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tables/table25.xml" ContentType="application/vnd.openxmlformats-officedocument.spreadsheetml.table+xml"/>
  <Override PartName="/xl/tables/table3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tables/table14.xml" ContentType="application/vnd.openxmlformats-officedocument.spreadsheetml.table+xml"/>
  <Override PartName="/xl/tables/table23.xml" ContentType="application/vnd.openxmlformats-officedocument.spreadsheetml.table+xml"/>
  <Override PartName="/xl/tables/table32.xml" ContentType="application/vnd.openxmlformats-officedocument.spreadsheetml.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tables/table12.xml" ContentType="application/vnd.openxmlformats-officedocument.spreadsheetml.table+xml"/>
  <Override PartName="/xl/tables/table21.xml" ContentType="application/vnd.openxmlformats-officedocument.spreadsheetml.table+xml"/>
  <Override PartName="/xl/tables/table30.xml" ContentType="application/vnd.openxmlformats-officedocument.spreadsheetml.table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ables/table9.xml" ContentType="application/vnd.openxmlformats-officedocument.spreadsheetml.table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ables/table15.xml" ContentType="application/vnd.openxmlformats-officedocument.spreadsheetml.table+xml"/>
  <Override PartName="/xl/tables/table24.xml" ContentType="application/vnd.openxmlformats-officedocument.spreadsheetml.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ables/table1.xml" ContentType="application/vnd.openxmlformats-officedocument.spreadsheetml.table+xml"/>
  <Override PartName="/xl/tables/table13.xml" ContentType="application/vnd.openxmlformats-officedocument.spreadsheetml.table+xml"/>
  <Override PartName="/xl/tables/table22.xml" ContentType="application/vnd.openxmlformats-officedocument.spreadsheetml.table+xml"/>
  <Override PartName="/xl/tables/table3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tables/table11.xml" ContentType="application/vnd.openxmlformats-officedocument.spreadsheetml.table+xml"/>
  <Override PartName="/xl/tables/table20.xml" ContentType="application/vnd.openxmlformats-officedocument.spreadsheetml.table+xml"/>
  <Override PartName="/xl/tables/table31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tables/table8.xml" ContentType="application/vnd.openxmlformats-officedocument.spreadsheetml.table+xml"/>
  <Override PartName="/xl/tables/table29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2" windowWidth="20280" windowHeight="7212" firstSheet="10" activeTab="18"/>
  </bookViews>
  <sheets>
    <sheet name="reservedele" sheetId="21" r:id="rId1"/>
    <sheet name="vand" sheetId="19" r:id="rId2"/>
    <sheet name="EL" sheetId="17" r:id="rId3"/>
    <sheet name="lr" sheetId="25" r:id="rId4"/>
    <sheet name="forbrug" sheetId="24" r:id="rId5"/>
    <sheet name="varme 23" sheetId="22" r:id="rId6"/>
    <sheet name="total" sheetId="18" r:id="rId7"/>
    <sheet name="total (2)" sheetId="26" r:id="rId8"/>
    <sheet name="budget" sheetId="29" r:id="rId9"/>
    <sheet name="bil" sheetId="20" r:id="rId10"/>
    <sheet name="panel" sheetId="35" r:id="rId11"/>
    <sheet name="reparation" sheetId="34" r:id="rId12"/>
    <sheet name="medicin" sheetId="15" r:id="rId13"/>
    <sheet name="kr dec" sheetId="32" r:id="rId14"/>
    <sheet name="kWh dec" sheetId="31" r:id="rId15"/>
    <sheet name="OK el" sheetId="33" r:id="rId16"/>
    <sheet name="varme 24" sheetId="30" r:id="rId17"/>
    <sheet name="el-varme" sheetId="28" r:id="rId18"/>
    <sheet name="2024" sheetId="27" r:id="rId19"/>
    <sheet name="2023" sheetId="1" r:id="rId20"/>
    <sheet name="2022" sheetId="2" r:id="rId21"/>
    <sheet name="2021" sheetId="3" r:id="rId22"/>
    <sheet name="2020" sheetId="4" r:id="rId23"/>
    <sheet name="2019" sheetId="5" r:id="rId24"/>
    <sheet name="2018-" sheetId="6" r:id="rId25"/>
    <sheet name="2018" sheetId="7" r:id="rId26"/>
    <sheet name="2017" sheetId="8" r:id="rId27"/>
    <sheet name="div16" sheetId="9" r:id="rId28"/>
    <sheet name="hush18" sheetId="10" r:id="rId29"/>
    <sheet name="div19" sheetId="11" r:id="rId30"/>
    <sheet name="div18" sheetId="12" r:id="rId31"/>
    <sheet name="hush17" sheetId="13" r:id="rId32"/>
    <sheet name="div17" sheetId="14" r:id="rId33"/>
  </sheets>
  <externalReferences>
    <externalReference r:id="rId34"/>
    <externalReference r:id="rId35"/>
    <externalReference r:id="rId36"/>
    <externalReference r:id="rId37"/>
    <externalReference r:id="rId38"/>
  </externalReferences>
  <calcPr calcId="125725"/>
</workbook>
</file>

<file path=xl/calcChain.xml><?xml version="1.0" encoding="utf-8"?>
<calcChain xmlns="http://schemas.openxmlformats.org/spreadsheetml/2006/main">
  <c r="T263" i="27"/>
  <c r="H223"/>
  <c r="G213"/>
  <c r="G223"/>
  <c r="E745" i="33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BK2" i="28"/>
  <c r="AX37"/>
  <c r="BJ27" s="1"/>
  <c r="BA42"/>
  <c r="H225" i="27"/>
  <c r="G225"/>
  <c r="H213"/>
  <c r="BQ2" i="28"/>
  <c r="N499" i="27" s="1"/>
  <c r="AW2" i="28"/>
  <c r="AY2"/>
  <c r="BC2" s="1"/>
  <c r="BA2"/>
  <c r="BB2"/>
  <c r="BD2"/>
  <c r="BE2"/>
  <c r="BF2"/>
  <c r="BC1"/>
  <c r="BE1"/>
  <c r="BD1"/>
  <c r="BF1" s="1"/>
  <c r="AX1"/>
  <c r="BB1"/>
  <c r="AZ1"/>
  <c r="AX106"/>
  <c r="AZ106"/>
  <c r="BB106"/>
  <c r="BC106"/>
  <c r="BD106"/>
  <c r="BE106"/>
  <c r="AX107"/>
  <c r="AZ107"/>
  <c r="BB107"/>
  <c r="BC107"/>
  <c r="BD107"/>
  <c r="BE107"/>
  <c r="AX108"/>
  <c r="AZ108"/>
  <c r="BB108"/>
  <c r="BC108"/>
  <c r="BD108"/>
  <c r="BE108"/>
  <c r="AX109"/>
  <c r="AZ109"/>
  <c r="BB109"/>
  <c r="BC109"/>
  <c r="BD109"/>
  <c r="BE109"/>
  <c r="AX110"/>
  <c r="AZ110"/>
  <c r="BB110"/>
  <c r="BC110"/>
  <c r="BD110"/>
  <c r="BE110"/>
  <c r="AX111"/>
  <c r="AZ111"/>
  <c r="BB111"/>
  <c r="BC111"/>
  <c r="BD111"/>
  <c r="BE111"/>
  <c r="AX112"/>
  <c r="AZ112"/>
  <c r="BB112"/>
  <c r="BC112"/>
  <c r="BD112"/>
  <c r="BE112"/>
  <c r="AX113"/>
  <c r="AZ113"/>
  <c r="BB113"/>
  <c r="BC113"/>
  <c r="BD113"/>
  <c r="BE113"/>
  <c r="AX114"/>
  <c r="AZ114"/>
  <c r="BB114"/>
  <c r="BC114"/>
  <c r="BD114"/>
  <c r="BE114"/>
  <c r="AX115"/>
  <c r="AZ115"/>
  <c r="BB115"/>
  <c r="BC115"/>
  <c r="BD115"/>
  <c r="BE115"/>
  <c r="AX116"/>
  <c r="AZ116"/>
  <c r="BB116"/>
  <c r="BC116"/>
  <c r="BD116"/>
  <c r="BE116"/>
  <c r="AX117"/>
  <c r="AZ117"/>
  <c r="BB117"/>
  <c r="BC117"/>
  <c r="BD117"/>
  <c r="BE117"/>
  <c r="AX118"/>
  <c r="AZ118"/>
  <c r="BB118"/>
  <c r="BC118"/>
  <c r="BD118"/>
  <c r="BE118"/>
  <c r="AX119"/>
  <c r="AZ119"/>
  <c r="BB119"/>
  <c r="BC119"/>
  <c r="BD119"/>
  <c r="BE119"/>
  <c r="AX120"/>
  <c r="AZ120"/>
  <c r="BB120"/>
  <c r="BC120"/>
  <c r="BD120"/>
  <c r="BE120"/>
  <c r="AX121"/>
  <c r="AZ121"/>
  <c r="BB121"/>
  <c r="BC121"/>
  <c r="BD121"/>
  <c r="BE121"/>
  <c r="AX122"/>
  <c r="AZ122"/>
  <c r="BB122"/>
  <c r="BC122"/>
  <c r="BD122"/>
  <c r="BE122"/>
  <c r="AX123"/>
  <c r="AZ123"/>
  <c r="BB123"/>
  <c r="BC123"/>
  <c r="BD123"/>
  <c r="BE123"/>
  <c r="AX124"/>
  <c r="AZ124"/>
  <c r="BB124"/>
  <c r="BC124"/>
  <c r="BD124"/>
  <c r="BE124"/>
  <c r="AX125"/>
  <c r="AZ125"/>
  <c r="BB125"/>
  <c r="BC125"/>
  <c r="BD125"/>
  <c r="BE125"/>
  <c r="AX126"/>
  <c r="AZ126"/>
  <c r="BB126"/>
  <c r="BC126"/>
  <c r="BD126"/>
  <c r="BE126"/>
  <c r="AX127"/>
  <c r="AZ127"/>
  <c r="BB127"/>
  <c r="BC127"/>
  <c r="BD127"/>
  <c r="BE127"/>
  <c r="AX128"/>
  <c r="AZ128"/>
  <c r="BB128"/>
  <c r="BC128"/>
  <c r="BD128"/>
  <c r="BE128"/>
  <c r="AX129"/>
  <c r="AZ129"/>
  <c r="BB129"/>
  <c r="BC129"/>
  <c r="BD129"/>
  <c r="BE129"/>
  <c r="AX130"/>
  <c r="AZ130"/>
  <c r="BB130"/>
  <c r="BC130"/>
  <c r="BD130"/>
  <c r="BE130"/>
  <c r="AX131"/>
  <c r="AZ131"/>
  <c r="BB131"/>
  <c r="BC131"/>
  <c r="BD131"/>
  <c r="BE131"/>
  <c r="AX132"/>
  <c r="AZ132"/>
  <c r="BB132"/>
  <c r="BC132"/>
  <c r="BD132"/>
  <c r="BE132"/>
  <c r="AX133"/>
  <c r="AZ133"/>
  <c r="BB133"/>
  <c r="BC133"/>
  <c r="BD133"/>
  <c r="BE133"/>
  <c r="BE105"/>
  <c r="BD105"/>
  <c r="BC105"/>
  <c r="BB105"/>
  <c r="AZ105"/>
  <c r="AX105"/>
  <c r="BE104"/>
  <c r="BD104"/>
  <c r="BC104"/>
  <c r="BB104"/>
  <c r="AZ104"/>
  <c r="AX104"/>
  <c r="AX72"/>
  <c r="AZ72"/>
  <c r="BB72"/>
  <c r="BC72"/>
  <c r="BD72"/>
  <c r="BE72"/>
  <c r="AX73"/>
  <c r="AZ73"/>
  <c r="BB73"/>
  <c r="BC73"/>
  <c r="BD73"/>
  <c r="BE73"/>
  <c r="AX74"/>
  <c r="AZ74"/>
  <c r="BB74"/>
  <c r="BC74"/>
  <c r="BD74"/>
  <c r="BE74"/>
  <c r="AX75"/>
  <c r="AZ75"/>
  <c r="BB75"/>
  <c r="BC75"/>
  <c r="BD75"/>
  <c r="BE75"/>
  <c r="AX76"/>
  <c r="AZ76"/>
  <c r="BB76"/>
  <c r="BC76"/>
  <c r="BD76"/>
  <c r="BE76"/>
  <c r="AX77"/>
  <c r="AZ77"/>
  <c r="BB77"/>
  <c r="BC77"/>
  <c r="BD77"/>
  <c r="BE77"/>
  <c r="AX78"/>
  <c r="AZ78"/>
  <c r="BB78"/>
  <c r="BC78"/>
  <c r="BD78"/>
  <c r="BE78"/>
  <c r="AX79"/>
  <c r="AZ79"/>
  <c r="BB79"/>
  <c r="BC79"/>
  <c r="BD79"/>
  <c r="BE79"/>
  <c r="AX80"/>
  <c r="AZ80"/>
  <c r="BB80"/>
  <c r="BC80"/>
  <c r="BD80"/>
  <c r="BE80"/>
  <c r="AX81"/>
  <c r="AZ81"/>
  <c r="BB81"/>
  <c r="BC81"/>
  <c r="BD81"/>
  <c r="BE81"/>
  <c r="AX82"/>
  <c r="AZ82"/>
  <c r="BB82"/>
  <c r="BC82"/>
  <c r="BD82"/>
  <c r="BE82"/>
  <c r="AX83"/>
  <c r="AZ83"/>
  <c r="BB83"/>
  <c r="BC83"/>
  <c r="BD83"/>
  <c r="BE83"/>
  <c r="AX84"/>
  <c r="AZ84"/>
  <c r="BB84"/>
  <c r="BC84"/>
  <c r="BD84"/>
  <c r="BE84"/>
  <c r="AX85"/>
  <c r="AZ85"/>
  <c r="BB85"/>
  <c r="BC85"/>
  <c r="BD85"/>
  <c r="BE85"/>
  <c r="AX86"/>
  <c r="AZ86"/>
  <c r="BB86"/>
  <c r="BC86"/>
  <c r="BD86"/>
  <c r="BE86"/>
  <c r="AX87"/>
  <c r="AZ87"/>
  <c r="BB87"/>
  <c r="BC87"/>
  <c r="BD87"/>
  <c r="BE87"/>
  <c r="AX88"/>
  <c r="AZ88"/>
  <c r="BB88"/>
  <c r="BC88"/>
  <c r="BD88"/>
  <c r="BE88"/>
  <c r="AX89"/>
  <c r="AZ89"/>
  <c r="BB89"/>
  <c r="BC89"/>
  <c r="BD89"/>
  <c r="BE89"/>
  <c r="AX90"/>
  <c r="AZ90"/>
  <c r="BB90"/>
  <c r="BC90"/>
  <c r="BD90"/>
  <c r="BE90"/>
  <c r="AX91"/>
  <c r="AZ91"/>
  <c r="BB91"/>
  <c r="BC91"/>
  <c r="BD91"/>
  <c r="BE91"/>
  <c r="AX92"/>
  <c r="AZ92"/>
  <c r="BB92"/>
  <c r="BC92"/>
  <c r="BD92"/>
  <c r="BE92"/>
  <c r="AX93"/>
  <c r="AZ93"/>
  <c r="BB93"/>
  <c r="BC93"/>
  <c r="BD93"/>
  <c r="BE93"/>
  <c r="AX94"/>
  <c r="AZ94"/>
  <c r="BB94"/>
  <c r="BC94"/>
  <c r="BD94"/>
  <c r="BE94"/>
  <c r="AX95"/>
  <c r="AZ95"/>
  <c r="BB95"/>
  <c r="BC95"/>
  <c r="BD95"/>
  <c r="BE95"/>
  <c r="AX96"/>
  <c r="AZ96"/>
  <c r="BB96"/>
  <c r="BC96"/>
  <c r="BD96"/>
  <c r="BE96"/>
  <c r="AX97"/>
  <c r="AZ97"/>
  <c r="BB97"/>
  <c r="BC97"/>
  <c r="BD97"/>
  <c r="BE97"/>
  <c r="AX98"/>
  <c r="AZ98"/>
  <c r="BB98"/>
  <c r="BC98"/>
  <c r="BD98"/>
  <c r="BE98"/>
  <c r="AX99"/>
  <c r="AZ99"/>
  <c r="BB99"/>
  <c r="BC99"/>
  <c r="BD99"/>
  <c r="BE99"/>
  <c r="AX100"/>
  <c r="AZ100"/>
  <c r="BB100"/>
  <c r="BC100"/>
  <c r="BD100"/>
  <c r="BE100"/>
  <c r="AX103"/>
  <c r="AZ103"/>
  <c r="BB103"/>
  <c r="BC103"/>
  <c r="BD103"/>
  <c r="BE103"/>
  <c r="BE71"/>
  <c r="BD71"/>
  <c r="BF71" s="1"/>
  <c r="BC71"/>
  <c r="BB71"/>
  <c r="AZ71"/>
  <c r="AX71"/>
  <c r="G226" i="27"/>
  <c r="G224"/>
  <c r="BK6" i="28"/>
  <c r="BL6" s="1"/>
  <c r="BK8"/>
  <c r="BL8" s="1"/>
  <c r="BK9"/>
  <c r="BL9" s="1"/>
  <c r="E213" i="27"/>
  <c r="H226"/>
  <c r="AL8" i="28"/>
  <c r="BN26"/>
  <c r="BM26" s="1"/>
  <c r="BE5"/>
  <c r="BK11" s="1"/>
  <c r="BL11" s="1"/>
  <c r="BD5"/>
  <c r="BJ11" s="1"/>
  <c r="E1" i="27"/>
  <c r="H5" s="1"/>
  <c r="BA31" i="28"/>
  <c r="H178" i="27"/>
  <c r="F186"/>
  <c r="G186"/>
  <c r="H186"/>
  <c r="I186"/>
  <c r="J186"/>
  <c r="K186"/>
  <c r="L186"/>
  <c r="M186"/>
  <c r="N186"/>
  <c r="O186"/>
  <c r="P186"/>
  <c r="Q186"/>
  <c r="R186"/>
  <c r="S186"/>
  <c r="T186"/>
  <c r="E186"/>
  <c r="G178"/>
  <c r="H182"/>
  <c r="G182"/>
  <c r="R159"/>
  <c r="I177"/>
  <c r="H180"/>
  <c r="H100"/>
  <c r="Q263"/>
  <c r="E17" i="20"/>
  <c r="R171" i="27"/>
  <c r="E373"/>
  <c r="E368"/>
  <c r="E321"/>
  <c r="T205"/>
  <c r="BE102" i="28" l="1"/>
  <c r="BD70"/>
  <c r="AZ70"/>
  <c r="AX102"/>
  <c r="AX70"/>
  <c r="BD102"/>
  <c r="BE70"/>
  <c r="N357" i="27"/>
  <c r="E357" s="1"/>
  <c r="N450"/>
  <c r="E450" s="1"/>
  <c r="N545"/>
  <c r="N407"/>
  <c r="E407" s="1"/>
  <c r="AZ102" i="28"/>
  <c r="BB102" s="1"/>
  <c r="BB70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31"/>
  <c r="BB13"/>
  <c r="BC16"/>
  <c r="H8" i="27"/>
  <c r="I8"/>
  <c r="J8"/>
  <c r="K8"/>
  <c r="L8"/>
  <c r="M8"/>
  <c r="N8"/>
  <c r="O8"/>
  <c r="BA11" i="28"/>
  <c r="AX52"/>
  <c r="AZ52"/>
  <c r="BC52"/>
  <c r="BF52"/>
  <c r="AX53"/>
  <c r="AZ53"/>
  <c r="BC53"/>
  <c r="BF53"/>
  <c r="AX54"/>
  <c r="AZ54"/>
  <c r="BC54"/>
  <c r="BF54"/>
  <c r="AX55"/>
  <c r="AZ55"/>
  <c r="BC55"/>
  <c r="BF55"/>
  <c r="AX56"/>
  <c r="AZ56"/>
  <c r="BC56"/>
  <c r="BF56"/>
  <c r="AX57"/>
  <c r="AZ57"/>
  <c r="BC57"/>
  <c r="BF57"/>
  <c r="AX58"/>
  <c r="AZ58"/>
  <c r="BC58"/>
  <c r="BF58"/>
  <c r="AX59"/>
  <c r="AZ59"/>
  <c r="BC59"/>
  <c r="BF59"/>
  <c r="AX60"/>
  <c r="AZ60"/>
  <c r="BC60"/>
  <c r="BF60"/>
  <c r="AX61"/>
  <c r="AZ61"/>
  <c r="BC61"/>
  <c r="BF61"/>
  <c r="AX62"/>
  <c r="AZ62"/>
  <c r="BC62"/>
  <c r="BF62"/>
  <c r="AX63"/>
  <c r="AZ63"/>
  <c r="BC63"/>
  <c r="BF63"/>
  <c r="AX64"/>
  <c r="AZ64"/>
  <c r="BC64"/>
  <c r="BF64"/>
  <c r="AX65"/>
  <c r="AZ65"/>
  <c r="BC65"/>
  <c r="BF65"/>
  <c r="AX66"/>
  <c r="AZ66"/>
  <c r="BC66"/>
  <c r="BF66"/>
  <c r="AX67"/>
  <c r="AZ67"/>
  <c r="BC67"/>
  <c r="BF67"/>
  <c r="AX68"/>
  <c r="AZ68"/>
  <c r="BC68"/>
  <c r="BF68"/>
  <c r="BC43"/>
  <c r="BC38"/>
  <c r="AZ7"/>
  <c r="AZ8"/>
  <c r="E177" i="27"/>
  <c r="BB6" i="28"/>
  <c r="BB7"/>
  <c r="BB8"/>
  <c r="BF17"/>
  <c r="BC6"/>
  <c r="BC7"/>
  <c r="E172" i="27"/>
  <c r="AP37" i="28"/>
  <c r="AT37" s="1"/>
  <c r="AR42"/>
  <c r="AS42" s="1"/>
  <c r="AP42"/>
  <c r="AQ42" s="1"/>
  <c r="AO42"/>
  <c r="AL42"/>
  <c r="AJ42"/>
  <c r="AN42" s="1"/>
  <c r="E149" i="27"/>
  <c r="AJ31" i="28"/>
  <c r="AK31" s="1"/>
  <c r="AJ8" s="1"/>
  <c r="AN33"/>
  <c r="K180" i="27"/>
  <c r="H142"/>
  <c r="E142" s="1"/>
  <c r="H144"/>
  <c r="E144" s="1"/>
  <c r="R9"/>
  <c r="Y16"/>
  <c r="T170"/>
  <c r="Q170"/>
  <c r="H19" i="20"/>
  <c r="E19"/>
  <c r="G19" s="1"/>
  <c r="BJ9" i="28"/>
  <c r="BJ8"/>
  <c r="AJ9"/>
  <c r="AL9"/>
  <c r="AN7"/>
  <c r="AN6"/>
  <c r="AN5"/>
  <c r="AB5"/>
  <c r="AB6"/>
  <c r="AB7"/>
  <c r="AO32"/>
  <c r="AO33"/>
  <c r="AO34"/>
  <c r="AO35"/>
  <c r="AO36"/>
  <c r="AO37"/>
  <c r="AO38"/>
  <c r="AO39"/>
  <c r="AP10"/>
  <c r="AP11"/>
  <c r="AT34"/>
  <c r="AT35"/>
  <c r="AT36"/>
  <c r="AP38"/>
  <c r="AT38" s="1"/>
  <c r="AT39"/>
  <c r="AP9"/>
  <c r="E128" i="27"/>
  <c r="AC36" i="28"/>
  <c r="BI24" s="1"/>
  <c r="F7" i="34"/>
  <c r="F6"/>
  <c r="F5"/>
  <c r="F4"/>
  <c r="F3"/>
  <c r="F11" s="1"/>
  <c r="C7"/>
  <c r="C6"/>
  <c r="C5"/>
  <c r="C4"/>
  <c r="C3"/>
  <c r="C10"/>
  <c r="C9"/>
  <c r="BP14" i="28"/>
  <c r="BN19"/>
  <c r="BL19" s="1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7"/>
  <c r="G6"/>
  <c r="O5"/>
  <c r="C602" i="33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T126" i="27"/>
  <c r="T8" i="2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E136" i="27"/>
  <c r="P549"/>
  <c r="E549" s="1"/>
  <c r="P548"/>
  <c r="E548" s="1"/>
  <c r="P503"/>
  <c r="E503" s="1"/>
  <c r="P502"/>
  <c r="E502" s="1"/>
  <c r="P454"/>
  <c r="P453"/>
  <c r="E453" s="1"/>
  <c r="P411"/>
  <c r="E411" s="1"/>
  <c r="P410"/>
  <c r="E410" s="1"/>
  <c r="P361"/>
  <c r="P360"/>
  <c r="P313"/>
  <c r="E313" s="1"/>
  <c r="P312"/>
  <c r="E312" s="1"/>
  <c r="P265"/>
  <c r="E265" s="1"/>
  <c r="P264"/>
  <c r="E264" s="1"/>
  <c r="P212"/>
  <c r="P206"/>
  <c r="P164"/>
  <c r="P163"/>
  <c r="E163" s="1"/>
  <c r="BL20" i="28"/>
  <c r="BL21"/>
  <c r="BL23"/>
  <c r="BJ22"/>
  <c r="BI22"/>
  <c r="BJ5"/>
  <c r="BL5"/>
  <c r="BL4"/>
  <c r="BJ4"/>
  <c r="BJ6"/>
  <c r="H5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D5"/>
  <c r="F5" s="1"/>
  <c r="I5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S6"/>
  <c r="T7"/>
  <c r="R6"/>
  <c r="BM23"/>
  <c r="BM20"/>
  <c r="BM21"/>
  <c r="BK20"/>
  <c r="BK21"/>
  <c r="BK19"/>
  <c r="E338" i="27"/>
  <c r="E290"/>
  <c r="E242"/>
  <c r="E545"/>
  <c r="E499"/>
  <c r="T554"/>
  <c r="T509"/>
  <c r="T462"/>
  <c r="T417"/>
  <c r="T367"/>
  <c r="T320"/>
  <c r="T271"/>
  <c r="T173"/>
  <c r="T135"/>
  <c r="BM5" i="28"/>
  <c r="BM4"/>
  <c r="J115" i="30"/>
  <c r="G115"/>
  <c r="J84"/>
  <c r="J53"/>
  <c r="J23"/>
  <c r="G84"/>
  <c r="G53"/>
  <c r="G23"/>
  <c r="AL39" i="28"/>
  <c r="AJ39"/>
  <c r="BM6"/>
  <c r="BJ1"/>
  <c r="BO2" s="1"/>
  <c r="BN2" s="1"/>
  <c r="H102" i="27"/>
  <c r="E102" s="1"/>
  <c r="BK23" i="28"/>
  <c r="AF36"/>
  <c r="H101" i="27"/>
  <c r="E101" s="1"/>
  <c r="T371"/>
  <c r="E371" s="1"/>
  <c r="H103"/>
  <c r="E103" s="1"/>
  <c r="E555"/>
  <c r="E510"/>
  <c r="E463"/>
  <c r="E421"/>
  <c r="E275"/>
  <c r="E3" i="30"/>
  <c r="AR10" i="28"/>
  <c r="AR11"/>
  <c r="G104" i="27"/>
  <c r="G65" s="1"/>
  <c r="G58" s="1"/>
  <c r="J79"/>
  <c r="A722" i="33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Q87" i="27"/>
  <c r="AR9" i="28"/>
  <c r="M1" i="30"/>
  <c r="N1"/>
  <c r="S100" i="27"/>
  <c r="Q81"/>
  <c r="H49"/>
  <c r="H54"/>
  <c r="Q54"/>
  <c r="N94"/>
  <c r="E94" s="1"/>
  <c r="I105"/>
  <c r="K105"/>
  <c r="L105"/>
  <c r="M105"/>
  <c r="O105"/>
  <c r="U105"/>
  <c r="W105"/>
  <c r="I476" i="31"/>
  <c r="I451"/>
  <c r="G476"/>
  <c r="F476"/>
  <c r="G475"/>
  <c r="F475"/>
  <c r="G474"/>
  <c r="F474"/>
  <c r="G473"/>
  <c r="F473"/>
  <c r="G472"/>
  <c r="F472"/>
  <c r="G471"/>
  <c r="F471"/>
  <c r="G470"/>
  <c r="F470"/>
  <c r="G469"/>
  <c r="F469"/>
  <c r="G468"/>
  <c r="F468"/>
  <c r="G467"/>
  <c r="F467"/>
  <c r="G466"/>
  <c r="F466"/>
  <c r="G465"/>
  <c r="F465"/>
  <c r="G464"/>
  <c r="F464"/>
  <c r="G463"/>
  <c r="F463"/>
  <c r="G462"/>
  <c r="F462"/>
  <c r="G461"/>
  <c r="F461"/>
  <c r="G460"/>
  <c r="F460"/>
  <c r="G459"/>
  <c r="F459"/>
  <c r="G458"/>
  <c r="F458"/>
  <c r="G457"/>
  <c r="F457"/>
  <c r="G456"/>
  <c r="F456"/>
  <c r="G455"/>
  <c r="F455"/>
  <c r="G454"/>
  <c r="F454"/>
  <c r="G453"/>
  <c r="F453"/>
  <c r="G451"/>
  <c r="F451"/>
  <c r="G450"/>
  <c r="F450"/>
  <c r="G449"/>
  <c r="F449"/>
  <c r="G448"/>
  <c r="F448"/>
  <c r="G447"/>
  <c r="F447"/>
  <c r="G446"/>
  <c r="F446"/>
  <c r="G445"/>
  <c r="F445"/>
  <c r="G444"/>
  <c r="F444"/>
  <c r="G443"/>
  <c r="F443"/>
  <c r="G442"/>
  <c r="F442"/>
  <c r="G441"/>
  <c r="F441"/>
  <c r="G440"/>
  <c r="F440"/>
  <c r="G439"/>
  <c r="F439"/>
  <c r="G438"/>
  <c r="F438"/>
  <c r="G437"/>
  <c r="F437"/>
  <c r="G436"/>
  <c r="F436"/>
  <c r="G435"/>
  <c r="F435"/>
  <c r="G434"/>
  <c r="F434"/>
  <c r="G433"/>
  <c r="F433"/>
  <c r="G432"/>
  <c r="F432"/>
  <c r="G431"/>
  <c r="F431"/>
  <c r="G430"/>
  <c r="F430"/>
  <c r="G429"/>
  <c r="F429"/>
  <c r="G428"/>
  <c r="F428"/>
  <c r="I426"/>
  <c r="G426"/>
  <c r="F426"/>
  <c r="G425"/>
  <c r="F425"/>
  <c r="G424"/>
  <c r="F424"/>
  <c r="G423"/>
  <c r="F423"/>
  <c r="G422"/>
  <c r="F422"/>
  <c r="G421"/>
  <c r="F421"/>
  <c r="G420"/>
  <c r="F420"/>
  <c r="G419"/>
  <c r="F419"/>
  <c r="G418"/>
  <c r="F418"/>
  <c r="G417"/>
  <c r="F417"/>
  <c r="G416"/>
  <c r="F416"/>
  <c r="G415"/>
  <c r="F415"/>
  <c r="G414"/>
  <c r="F414"/>
  <c r="G413"/>
  <c r="F413"/>
  <c r="G412"/>
  <c r="F412"/>
  <c r="G411"/>
  <c r="F411"/>
  <c r="G410"/>
  <c r="F410"/>
  <c r="G409"/>
  <c r="F409"/>
  <c r="G408"/>
  <c r="F408"/>
  <c r="G407"/>
  <c r="F407"/>
  <c r="G406"/>
  <c r="F406"/>
  <c r="G405"/>
  <c r="F405"/>
  <c r="G404"/>
  <c r="F404"/>
  <c r="G403"/>
  <c r="F403"/>
  <c r="I401"/>
  <c r="G401"/>
  <c r="F401"/>
  <c r="G400"/>
  <c r="F400"/>
  <c r="G399"/>
  <c r="F399"/>
  <c r="G398"/>
  <c r="F398"/>
  <c r="G397"/>
  <c r="F397"/>
  <c r="G396"/>
  <c r="F396"/>
  <c r="G395"/>
  <c r="F395"/>
  <c r="G394"/>
  <c r="F394"/>
  <c r="G393"/>
  <c r="F393"/>
  <c r="G392"/>
  <c r="F392"/>
  <c r="G391"/>
  <c r="F391"/>
  <c r="G390"/>
  <c r="F390"/>
  <c r="G389"/>
  <c r="F389"/>
  <c r="G388"/>
  <c r="F388"/>
  <c r="G387"/>
  <c r="F387"/>
  <c r="G386"/>
  <c r="F386"/>
  <c r="G385"/>
  <c r="F385"/>
  <c r="G384"/>
  <c r="F384"/>
  <c r="G383"/>
  <c r="F383"/>
  <c r="G382"/>
  <c r="F382"/>
  <c r="G381"/>
  <c r="F381"/>
  <c r="G380"/>
  <c r="F380"/>
  <c r="G379"/>
  <c r="F379"/>
  <c r="G378"/>
  <c r="F378"/>
  <c r="I376"/>
  <c r="G376"/>
  <c r="F376"/>
  <c r="G375"/>
  <c r="F375"/>
  <c r="G374"/>
  <c r="F374"/>
  <c r="G373"/>
  <c r="F373"/>
  <c r="G372"/>
  <c r="F372"/>
  <c r="G371"/>
  <c r="F371"/>
  <c r="G370"/>
  <c r="F370"/>
  <c r="G369"/>
  <c r="F369"/>
  <c r="G368"/>
  <c r="F368"/>
  <c r="G367"/>
  <c r="F367"/>
  <c r="G366"/>
  <c r="F366"/>
  <c r="G365"/>
  <c r="F365"/>
  <c r="G364"/>
  <c r="F364"/>
  <c r="G363"/>
  <c r="F363"/>
  <c r="G362"/>
  <c r="F362"/>
  <c r="G361"/>
  <c r="F361"/>
  <c r="G360"/>
  <c r="F360"/>
  <c r="G359"/>
  <c r="F359"/>
  <c r="G358"/>
  <c r="F358"/>
  <c r="G357"/>
  <c r="F357"/>
  <c r="G356"/>
  <c r="F356"/>
  <c r="G355"/>
  <c r="F355"/>
  <c r="G354"/>
  <c r="F354"/>
  <c r="G353"/>
  <c r="F353"/>
  <c r="I351"/>
  <c r="G351"/>
  <c r="F351"/>
  <c r="G350"/>
  <c r="F350"/>
  <c r="G349"/>
  <c r="F349"/>
  <c r="G348"/>
  <c r="F348"/>
  <c r="G347"/>
  <c r="F347"/>
  <c r="G346"/>
  <c r="F346"/>
  <c r="G345"/>
  <c r="F345"/>
  <c r="G344"/>
  <c r="F344"/>
  <c r="G343"/>
  <c r="F343"/>
  <c r="G342"/>
  <c r="F342"/>
  <c r="G341"/>
  <c r="F341"/>
  <c r="G340"/>
  <c r="F340"/>
  <c r="G339"/>
  <c r="F339"/>
  <c r="G338"/>
  <c r="F338"/>
  <c r="G337"/>
  <c r="F337"/>
  <c r="G336"/>
  <c r="F336"/>
  <c r="G335"/>
  <c r="F335"/>
  <c r="G334"/>
  <c r="F334"/>
  <c r="G333"/>
  <c r="F333"/>
  <c r="G332"/>
  <c r="F332"/>
  <c r="G331"/>
  <c r="F331"/>
  <c r="G330"/>
  <c r="F330"/>
  <c r="G329"/>
  <c r="F329"/>
  <c r="G328"/>
  <c r="F328"/>
  <c r="H52" i="27"/>
  <c r="I326" i="31"/>
  <c r="G326"/>
  <c r="F326"/>
  <c r="G325"/>
  <c r="F325"/>
  <c r="G324"/>
  <c r="F324"/>
  <c r="G323"/>
  <c r="F323"/>
  <c r="G322"/>
  <c r="F322"/>
  <c r="G321"/>
  <c r="F321"/>
  <c r="G320"/>
  <c r="F320"/>
  <c r="G319"/>
  <c r="F319"/>
  <c r="G318"/>
  <c r="F318"/>
  <c r="G317"/>
  <c r="F317"/>
  <c r="G316"/>
  <c r="F316"/>
  <c r="G315"/>
  <c r="F315"/>
  <c r="G314"/>
  <c r="F314"/>
  <c r="G313"/>
  <c r="F313"/>
  <c r="G312"/>
  <c r="F312"/>
  <c r="G311"/>
  <c r="F311"/>
  <c r="G310"/>
  <c r="F310"/>
  <c r="G309"/>
  <c r="F309"/>
  <c r="G308"/>
  <c r="F308"/>
  <c r="G307"/>
  <c r="F307"/>
  <c r="G306"/>
  <c r="F306"/>
  <c r="G305"/>
  <c r="F305"/>
  <c r="G304"/>
  <c r="F304"/>
  <c r="G303"/>
  <c r="F303"/>
  <c r="I301"/>
  <c r="I276"/>
  <c r="G301"/>
  <c r="F301"/>
  <c r="G300"/>
  <c r="F300"/>
  <c r="G299"/>
  <c r="F299"/>
  <c r="G298"/>
  <c r="F298"/>
  <c r="G297"/>
  <c r="F297"/>
  <c r="G296"/>
  <c r="F296"/>
  <c r="G295"/>
  <c r="F295"/>
  <c r="G294"/>
  <c r="F294"/>
  <c r="G293"/>
  <c r="F293"/>
  <c r="G292"/>
  <c r="F292"/>
  <c r="G291"/>
  <c r="F291"/>
  <c r="G290"/>
  <c r="F290"/>
  <c r="G289"/>
  <c r="F289"/>
  <c r="G288"/>
  <c r="F288"/>
  <c r="G287"/>
  <c r="F287"/>
  <c r="G286"/>
  <c r="F286"/>
  <c r="G285"/>
  <c r="F285"/>
  <c r="G284"/>
  <c r="F284"/>
  <c r="G283"/>
  <c r="F283"/>
  <c r="G282"/>
  <c r="F282"/>
  <c r="G281"/>
  <c r="F281"/>
  <c r="G280"/>
  <c r="F280"/>
  <c r="G279"/>
  <c r="F279"/>
  <c r="G278"/>
  <c r="F278"/>
  <c r="G276"/>
  <c r="F276"/>
  <c r="G275"/>
  <c r="F275"/>
  <c r="G274"/>
  <c r="F274"/>
  <c r="G273"/>
  <c r="F273"/>
  <c r="G272"/>
  <c r="F272"/>
  <c r="G271"/>
  <c r="F271"/>
  <c r="G270"/>
  <c r="F270"/>
  <c r="G269"/>
  <c r="F269"/>
  <c r="G268"/>
  <c r="F268"/>
  <c r="G267"/>
  <c r="F267"/>
  <c r="G266"/>
  <c r="F266"/>
  <c r="G265"/>
  <c r="F265"/>
  <c r="G264"/>
  <c r="F264"/>
  <c r="G263"/>
  <c r="F263"/>
  <c r="G262"/>
  <c r="F262"/>
  <c r="G261"/>
  <c r="F261"/>
  <c r="G260"/>
  <c r="F260"/>
  <c r="G259"/>
  <c r="F259"/>
  <c r="G258"/>
  <c r="F258"/>
  <c r="G257"/>
  <c r="F257"/>
  <c r="G256"/>
  <c r="F256"/>
  <c r="G255"/>
  <c r="F255"/>
  <c r="G254"/>
  <c r="F254"/>
  <c r="G253"/>
  <c r="F253"/>
  <c r="V16" i="15"/>
  <c r="O21"/>
  <c r="J53" i="27"/>
  <c r="E53" s="1"/>
  <c r="H51"/>
  <c r="I251" i="31"/>
  <c r="G251"/>
  <c r="F251"/>
  <c r="G250"/>
  <c r="F250"/>
  <c r="G249"/>
  <c r="F249"/>
  <c r="G248"/>
  <c r="F248"/>
  <c r="G247"/>
  <c r="F247"/>
  <c r="G246"/>
  <c r="F246"/>
  <c r="G245"/>
  <c r="F245"/>
  <c r="G244"/>
  <c r="F244"/>
  <c r="G243"/>
  <c r="F243"/>
  <c r="G242"/>
  <c r="F242"/>
  <c r="G241"/>
  <c r="F241"/>
  <c r="G240"/>
  <c r="F240"/>
  <c r="G239"/>
  <c r="F239"/>
  <c r="G238"/>
  <c r="F238"/>
  <c r="G237"/>
  <c r="F237"/>
  <c r="G236"/>
  <c r="F236"/>
  <c r="G235"/>
  <c r="F235"/>
  <c r="G234"/>
  <c r="F234"/>
  <c r="G233"/>
  <c r="F233"/>
  <c r="G232"/>
  <c r="F232"/>
  <c r="G231"/>
  <c r="F231"/>
  <c r="G230"/>
  <c r="F230"/>
  <c r="G229"/>
  <c r="F229"/>
  <c r="G228"/>
  <c r="F228"/>
  <c r="I226"/>
  <c r="I201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G210"/>
  <c r="F210"/>
  <c r="G209"/>
  <c r="F209"/>
  <c r="G208"/>
  <c r="F208"/>
  <c r="G207"/>
  <c r="F207"/>
  <c r="G206"/>
  <c r="F206"/>
  <c r="G205"/>
  <c r="F205"/>
  <c r="G204"/>
  <c r="F204"/>
  <c r="G203"/>
  <c r="F203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G188"/>
  <c r="F188"/>
  <c r="G187"/>
  <c r="F187"/>
  <c r="G186"/>
  <c r="F186"/>
  <c r="G185"/>
  <c r="F185"/>
  <c r="G184"/>
  <c r="F184"/>
  <c r="G183"/>
  <c r="F183"/>
  <c r="G182"/>
  <c r="F182"/>
  <c r="G181"/>
  <c r="F181"/>
  <c r="G180"/>
  <c r="F180"/>
  <c r="G179"/>
  <c r="F179"/>
  <c r="G178"/>
  <c r="F178"/>
  <c r="E43" i="27"/>
  <c r="I176" i="31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165"/>
  <c r="F165"/>
  <c r="G164"/>
  <c r="F164"/>
  <c r="G163"/>
  <c r="F163"/>
  <c r="G162"/>
  <c r="F162"/>
  <c r="G161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I151"/>
  <c r="G151"/>
  <c r="F151"/>
  <c r="G150"/>
  <c r="F150"/>
  <c r="G149"/>
  <c r="F149"/>
  <c r="G148"/>
  <c r="F148"/>
  <c r="G147"/>
  <c r="F147"/>
  <c r="G146"/>
  <c r="F146"/>
  <c r="G145"/>
  <c r="F145"/>
  <c r="G144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131"/>
  <c r="F131"/>
  <c r="G130"/>
  <c r="F130"/>
  <c r="G129"/>
  <c r="F129"/>
  <c r="G128"/>
  <c r="F128"/>
  <c r="G1" i="30"/>
  <c r="E1"/>
  <c r="L1"/>
  <c r="I1"/>
  <c r="I126" i="31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I76"/>
  <c r="I101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F55" i="27"/>
  <c r="G55"/>
  <c r="H55"/>
  <c r="I55"/>
  <c r="J55"/>
  <c r="K55"/>
  <c r="L55"/>
  <c r="M55"/>
  <c r="N55"/>
  <c r="O55"/>
  <c r="Q55"/>
  <c r="R55"/>
  <c r="S55"/>
  <c r="T55"/>
  <c r="U55"/>
  <c r="V55"/>
  <c r="W55"/>
  <c r="R1" i="15"/>
  <c r="G76" i="31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I51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I26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S564" i="27"/>
  <c r="S563"/>
  <c r="S562"/>
  <c r="S565"/>
  <c r="S566"/>
  <c r="S214"/>
  <c r="S140"/>
  <c r="D776" i="31"/>
  <c r="M32" s="1"/>
  <c r="D751"/>
  <c r="M31" s="1"/>
  <c r="D726"/>
  <c r="M30" s="1"/>
  <c r="D701"/>
  <c r="B776"/>
  <c r="A776"/>
  <c r="B775"/>
  <c r="A775"/>
  <c r="B774"/>
  <c r="A774"/>
  <c r="B773"/>
  <c r="A773"/>
  <c r="B772"/>
  <c r="A772"/>
  <c r="B771"/>
  <c r="A771"/>
  <c r="B770"/>
  <c r="A770"/>
  <c r="B769"/>
  <c r="A769"/>
  <c r="B768"/>
  <c r="A768"/>
  <c r="B767"/>
  <c r="A767"/>
  <c r="B766"/>
  <c r="A766"/>
  <c r="B765"/>
  <c r="A765"/>
  <c r="B764"/>
  <c r="A764"/>
  <c r="B763"/>
  <c r="A763"/>
  <c r="B762"/>
  <c r="A762"/>
  <c r="B761"/>
  <c r="A761"/>
  <c r="B760"/>
  <c r="A760"/>
  <c r="B759"/>
  <c r="A759"/>
  <c r="B758"/>
  <c r="A758"/>
  <c r="B757"/>
  <c r="A757"/>
  <c r="B756"/>
  <c r="A756"/>
  <c r="B755"/>
  <c r="A755"/>
  <c r="B754"/>
  <c r="A754"/>
  <c r="B753"/>
  <c r="A753"/>
  <c r="B751"/>
  <c r="A751"/>
  <c r="B750"/>
  <c r="A750"/>
  <c r="B749"/>
  <c r="A749"/>
  <c r="B748"/>
  <c r="A748"/>
  <c r="B747"/>
  <c r="A747"/>
  <c r="B746"/>
  <c r="A746"/>
  <c r="B745"/>
  <c r="A745"/>
  <c r="B744"/>
  <c r="A744"/>
  <c r="B743"/>
  <c r="A743"/>
  <c r="B742"/>
  <c r="A742"/>
  <c r="B741"/>
  <c r="A741"/>
  <c r="B740"/>
  <c r="A740"/>
  <c r="B739"/>
  <c r="A739"/>
  <c r="B738"/>
  <c r="A738"/>
  <c r="B737"/>
  <c r="A737"/>
  <c r="B736"/>
  <c r="A736"/>
  <c r="B735"/>
  <c r="A735"/>
  <c r="B734"/>
  <c r="A734"/>
  <c r="B733"/>
  <c r="A733"/>
  <c r="B732"/>
  <c r="A732"/>
  <c r="B731"/>
  <c r="A731"/>
  <c r="B730"/>
  <c r="A730"/>
  <c r="B729"/>
  <c r="A729"/>
  <c r="B728"/>
  <c r="A728"/>
  <c r="B726"/>
  <c r="A726"/>
  <c r="B725"/>
  <c r="A725"/>
  <c r="B724"/>
  <c r="A724"/>
  <c r="B723"/>
  <c r="A723"/>
  <c r="B722"/>
  <c r="A722"/>
  <c r="B721"/>
  <c r="A721"/>
  <c r="B720"/>
  <c r="A720"/>
  <c r="B719"/>
  <c r="A719"/>
  <c r="B718"/>
  <c r="A718"/>
  <c r="B717"/>
  <c r="A717"/>
  <c r="B716"/>
  <c r="A716"/>
  <c r="B715"/>
  <c r="A715"/>
  <c r="B714"/>
  <c r="A714"/>
  <c r="B713"/>
  <c r="A713"/>
  <c r="B712"/>
  <c r="A712"/>
  <c r="B711"/>
  <c r="A711"/>
  <c r="B710"/>
  <c r="A710"/>
  <c r="B709"/>
  <c r="A709"/>
  <c r="B708"/>
  <c r="A708"/>
  <c r="B707"/>
  <c r="A707"/>
  <c r="B706"/>
  <c r="A706"/>
  <c r="B705"/>
  <c r="A705"/>
  <c r="B704"/>
  <c r="A704"/>
  <c r="B703"/>
  <c r="A703"/>
  <c r="B701"/>
  <c r="A701"/>
  <c r="B700"/>
  <c r="A700"/>
  <c r="B699"/>
  <c r="A699"/>
  <c r="B698"/>
  <c r="A698"/>
  <c r="B697"/>
  <c r="A697"/>
  <c r="B696"/>
  <c r="A696"/>
  <c r="B695"/>
  <c r="A695"/>
  <c r="B694"/>
  <c r="A694"/>
  <c r="B693"/>
  <c r="A693"/>
  <c r="B692"/>
  <c r="A692"/>
  <c r="B691"/>
  <c r="A691"/>
  <c r="B690"/>
  <c r="A690"/>
  <c r="B689"/>
  <c r="A689"/>
  <c r="B688"/>
  <c r="A688"/>
  <c r="B687"/>
  <c r="A687"/>
  <c r="B686"/>
  <c r="A686"/>
  <c r="B685"/>
  <c r="A685"/>
  <c r="B684"/>
  <c r="A684"/>
  <c r="B683"/>
  <c r="A683"/>
  <c r="B682"/>
  <c r="A682"/>
  <c r="B681"/>
  <c r="A681"/>
  <c r="B680"/>
  <c r="A680"/>
  <c r="B679"/>
  <c r="A679"/>
  <c r="B678"/>
  <c r="A678"/>
  <c r="W529" i="27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W196"/>
  <c r="U196"/>
  <c r="S196"/>
  <c r="O196"/>
  <c r="M196"/>
  <c r="L196"/>
  <c r="K196"/>
  <c r="J196"/>
  <c r="I196"/>
  <c r="H196"/>
  <c r="G196"/>
  <c r="G155"/>
  <c r="I155"/>
  <c r="J155"/>
  <c r="L155"/>
  <c r="M155"/>
  <c r="O155"/>
  <c r="S155"/>
  <c r="U155"/>
  <c r="V155"/>
  <c r="W155"/>
  <c r="S567"/>
  <c r="E561"/>
  <c r="E560"/>
  <c r="E559"/>
  <c r="Q554"/>
  <c r="F554"/>
  <c r="R553"/>
  <c r="E553" s="1"/>
  <c r="E552"/>
  <c r="E551"/>
  <c r="P550"/>
  <c r="E550" s="1"/>
  <c r="Q547"/>
  <c r="F543"/>
  <c r="E543" s="1"/>
  <c r="T542"/>
  <c r="F542"/>
  <c r="W540"/>
  <c r="U540"/>
  <c r="O540"/>
  <c r="M540"/>
  <c r="L540"/>
  <c r="K540"/>
  <c r="I540"/>
  <c r="H540"/>
  <c r="G540"/>
  <c r="E538"/>
  <c r="E537"/>
  <c r="E536"/>
  <c r="E535"/>
  <c r="E534"/>
  <c r="E533"/>
  <c r="E532"/>
  <c r="E527"/>
  <c r="E526"/>
  <c r="E525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0"/>
  <c r="E519"/>
  <c r="E518"/>
  <c r="E515"/>
  <c r="E514"/>
  <c r="Q509"/>
  <c r="F509"/>
  <c r="R508"/>
  <c r="E508" s="1"/>
  <c r="E507"/>
  <c r="E506"/>
  <c r="E505"/>
  <c r="P504"/>
  <c r="E504" s="1"/>
  <c r="Q501"/>
  <c r="F497"/>
  <c r="E497" s="1"/>
  <c r="T496"/>
  <c r="F496"/>
  <c r="W494"/>
  <c r="U494"/>
  <c r="S494"/>
  <c r="O494"/>
  <c r="M494"/>
  <c r="L494"/>
  <c r="K494"/>
  <c r="I494"/>
  <c r="H494"/>
  <c r="G494"/>
  <c r="E492"/>
  <c r="E491"/>
  <c r="E490"/>
  <c r="E489"/>
  <c r="E488"/>
  <c r="E487"/>
  <c r="E486"/>
  <c r="E481"/>
  <c r="E480"/>
  <c r="E479"/>
  <c r="W477"/>
  <c r="V477"/>
  <c r="U477"/>
  <c r="T477"/>
  <c r="S477"/>
  <c r="R477"/>
  <c r="Q477"/>
  <c r="P477"/>
  <c r="O477"/>
  <c r="N477"/>
  <c r="M477"/>
  <c r="L477"/>
  <c r="K477"/>
  <c r="J477"/>
  <c r="I477"/>
  <c r="H477"/>
  <c r="G477"/>
  <c r="F477"/>
  <c r="E474"/>
  <c r="E473"/>
  <c r="E472"/>
  <c r="E469"/>
  <c r="E468"/>
  <c r="E467"/>
  <c r="Q462"/>
  <c r="F462"/>
  <c r="R459"/>
  <c r="E459" s="1"/>
  <c r="E458"/>
  <c r="E457"/>
  <c r="E456"/>
  <c r="P455"/>
  <c r="E455" s="1"/>
  <c r="Q452"/>
  <c r="F448"/>
  <c r="E448" s="1"/>
  <c r="T447"/>
  <c r="F447"/>
  <c r="W445"/>
  <c r="U445"/>
  <c r="S445"/>
  <c r="O445"/>
  <c r="M445"/>
  <c r="L445"/>
  <c r="K445"/>
  <c r="I445"/>
  <c r="H445"/>
  <c r="G445"/>
  <c r="E443"/>
  <c r="E442"/>
  <c r="E441"/>
  <c r="E440"/>
  <c r="E439"/>
  <c r="E438"/>
  <c r="E437"/>
  <c r="E432"/>
  <c r="E431"/>
  <c r="E430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3"/>
  <c r="E422"/>
  <c r="Q417"/>
  <c r="F417"/>
  <c r="R416"/>
  <c r="E416" s="1"/>
  <c r="E415"/>
  <c r="E414"/>
  <c r="E413"/>
  <c r="P412"/>
  <c r="E412" s="1"/>
  <c r="Q409"/>
  <c r="F405"/>
  <c r="E405" s="1"/>
  <c r="T404"/>
  <c r="F404"/>
  <c r="W402"/>
  <c r="U402"/>
  <c r="S402"/>
  <c r="O402"/>
  <c r="M402"/>
  <c r="L402"/>
  <c r="K402"/>
  <c r="I402"/>
  <c r="H402"/>
  <c r="G402"/>
  <c r="E400"/>
  <c r="E399"/>
  <c r="E398"/>
  <c r="E397"/>
  <c r="E396"/>
  <c r="E395"/>
  <c r="E394"/>
  <c r="E389"/>
  <c r="E388"/>
  <c r="E387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2"/>
  <c r="E381"/>
  <c r="E380"/>
  <c r="S378"/>
  <c r="S352" s="1"/>
  <c r="E377"/>
  <c r="E376"/>
  <c r="E375"/>
  <c r="Q367"/>
  <c r="F367"/>
  <c r="R366"/>
  <c r="E366" s="1"/>
  <c r="E364"/>
  <c r="E363"/>
  <c r="P362"/>
  <c r="E362" s="1"/>
  <c r="Q359"/>
  <c r="F355"/>
  <c r="E355" s="1"/>
  <c r="T354"/>
  <c r="F354"/>
  <c r="W352"/>
  <c r="U352"/>
  <c r="O352"/>
  <c r="M352"/>
  <c r="L352"/>
  <c r="K352"/>
  <c r="I352"/>
  <c r="H352"/>
  <c r="G352"/>
  <c r="E350"/>
  <c r="E349"/>
  <c r="E348"/>
  <c r="E347"/>
  <c r="E346"/>
  <c r="E345"/>
  <c r="E344"/>
  <c r="E339"/>
  <c r="E337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2"/>
  <c r="E331"/>
  <c r="E330"/>
  <c r="E327"/>
  <c r="E326"/>
  <c r="Q320"/>
  <c r="F320"/>
  <c r="R318"/>
  <c r="E317"/>
  <c r="E316"/>
  <c r="E315"/>
  <c r="P314"/>
  <c r="E314" s="1"/>
  <c r="Q311"/>
  <c r="F307"/>
  <c r="E307" s="1"/>
  <c r="T306"/>
  <c r="F306"/>
  <c r="W304"/>
  <c r="U304"/>
  <c r="S304"/>
  <c r="O304"/>
  <c r="M304"/>
  <c r="L304"/>
  <c r="K304"/>
  <c r="I304"/>
  <c r="H304"/>
  <c r="G304"/>
  <c r="E302"/>
  <c r="E301"/>
  <c r="E300"/>
  <c r="E299"/>
  <c r="E298"/>
  <c r="E297"/>
  <c r="E296"/>
  <c r="E291"/>
  <c r="E289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4"/>
  <c r="E283"/>
  <c r="E282"/>
  <c r="E279"/>
  <c r="E278"/>
  <c r="Q271"/>
  <c r="F271"/>
  <c r="R270"/>
  <c r="E270" s="1"/>
  <c r="E269"/>
  <c r="E268"/>
  <c r="E267"/>
  <c r="P266"/>
  <c r="E266" s="1"/>
  <c r="N261"/>
  <c r="E261" s="1"/>
  <c r="F259"/>
  <c r="E259" s="1"/>
  <c r="T258"/>
  <c r="F258"/>
  <c r="W256"/>
  <c r="U256"/>
  <c r="S256"/>
  <c r="O256"/>
  <c r="M256"/>
  <c r="L256"/>
  <c r="K256"/>
  <c r="I256"/>
  <c r="G256"/>
  <c r="E254"/>
  <c r="E253"/>
  <c r="E252"/>
  <c r="E251"/>
  <c r="E250"/>
  <c r="E249"/>
  <c r="E248"/>
  <c r="E243"/>
  <c r="E241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570"/>
  <c r="R572"/>
  <c r="E571" s="1"/>
  <c r="R573"/>
  <c r="R575"/>
  <c r="R576"/>
  <c r="R577"/>
  <c r="R578"/>
  <c r="D581"/>
  <c r="D588"/>
  <c r="D583" s="1"/>
  <c r="E229"/>
  <c r="E228"/>
  <c r="E227"/>
  <c r="E226"/>
  <c r="E225"/>
  <c r="E224"/>
  <c r="E223"/>
  <c r="E183"/>
  <c r="E182"/>
  <c r="E181"/>
  <c r="E179"/>
  <c r="Q196"/>
  <c r="R208"/>
  <c r="R196" s="1"/>
  <c r="N203"/>
  <c r="E203" s="1"/>
  <c r="F211"/>
  <c r="T198"/>
  <c r="T196" s="1"/>
  <c r="F198"/>
  <c r="F196" s="1"/>
  <c r="W230"/>
  <c r="U230"/>
  <c r="O230"/>
  <c r="M230"/>
  <c r="L230"/>
  <c r="K230"/>
  <c r="I230"/>
  <c r="H230"/>
  <c r="G230"/>
  <c r="Q173"/>
  <c r="F173"/>
  <c r="R166"/>
  <c r="N169"/>
  <c r="E169" s="1"/>
  <c r="F162"/>
  <c r="E162" s="1"/>
  <c r="T157"/>
  <c r="F157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46"/>
  <c r="E145"/>
  <c r="E143"/>
  <c r="W116"/>
  <c r="V116"/>
  <c r="U116"/>
  <c r="P116"/>
  <c r="P109" s="1"/>
  <c r="O116"/>
  <c r="O109" s="1"/>
  <c r="M116"/>
  <c r="M109" s="1"/>
  <c r="L116"/>
  <c r="L109" s="1"/>
  <c r="K116"/>
  <c r="K109" s="1"/>
  <c r="J116"/>
  <c r="J109" s="1"/>
  <c r="I116"/>
  <c r="I109" s="1"/>
  <c r="G116"/>
  <c r="G109" s="1"/>
  <c r="S139"/>
  <c r="Q135"/>
  <c r="Q116" s="1"/>
  <c r="Q109" s="1"/>
  <c r="F135"/>
  <c r="F116" s="1"/>
  <c r="F109" s="1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E74"/>
  <c r="S105"/>
  <c r="Q36"/>
  <c r="I65"/>
  <c r="I58" s="1"/>
  <c r="K65"/>
  <c r="K58" s="1"/>
  <c r="L65"/>
  <c r="L58" s="1"/>
  <c r="M65"/>
  <c r="M58" s="1"/>
  <c r="O65"/>
  <c r="O58" s="1"/>
  <c r="U65"/>
  <c r="V65"/>
  <c r="W65"/>
  <c r="E59"/>
  <c r="K51"/>
  <c r="E13"/>
  <c r="D676" i="31"/>
  <c r="M28" s="1"/>
  <c r="B676"/>
  <c r="A676"/>
  <c r="B675"/>
  <c r="A675"/>
  <c r="B674"/>
  <c r="A674"/>
  <c r="B673"/>
  <c r="A673"/>
  <c r="B672"/>
  <c r="A672"/>
  <c r="B671"/>
  <c r="A671"/>
  <c r="B670"/>
  <c r="A670"/>
  <c r="B669"/>
  <c r="A669"/>
  <c r="B668"/>
  <c r="A668"/>
  <c r="B667"/>
  <c r="A667"/>
  <c r="B666"/>
  <c r="A666"/>
  <c r="B665"/>
  <c r="A665"/>
  <c r="B664"/>
  <c r="A664"/>
  <c r="B663"/>
  <c r="A663"/>
  <c r="B662"/>
  <c r="A662"/>
  <c r="B661"/>
  <c r="A661"/>
  <c r="B660"/>
  <c r="A660"/>
  <c r="B659"/>
  <c r="A659"/>
  <c r="B658"/>
  <c r="A658"/>
  <c r="B657"/>
  <c r="A657"/>
  <c r="B656"/>
  <c r="A656"/>
  <c r="B655"/>
  <c r="A655"/>
  <c r="B654"/>
  <c r="A654"/>
  <c r="B653"/>
  <c r="A653"/>
  <c r="H50" i="27"/>
  <c r="E50" s="1"/>
  <c r="M29" i="31"/>
  <c r="B651"/>
  <c r="A651"/>
  <c r="B650"/>
  <c r="A650"/>
  <c r="B649"/>
  <c r="A649"/>
  <c r="B648"/>
  <c r="A648"/>
  <c r="B647"/>
  <c r="A647"/>
  <c r="B646"/>
  <c r="A646"/>
  <c r="B645"/>
  <c r="A645"/>
  <c r="B644"/>
  <c r="A644"/>
  <c r="B643"/>
  <c r="A643"/>
  <c r="B642"/>
  <c r="A642"/>
  <c r="B641"/>
  <c r="A641"/>
  <c r="B640"/>
  <c r="A640"/>
  <c r="B639"/>
  <c r="A639"/>
  <c r="B638"/>
  <c r="A638"/>
  <c r="B637"/>
  <c r="A637"/>
  <c r="B636"/>
  <c r="A636"/>
  <c r="B635"/>
  <c r="A635"/>
  <c r="B634"/>
  <c r="A634"/>
  <c r="B633"/>
  <c r="A633"/>
  <c r="B632"/>
  <c r="A632"/>
  <c r="B631"/>
  <c r="A631"/>
  <c r="B630"/>
  <c r="A630"/>
  <c r="B629"/>
  <c r="A629"/>
  <c r="B628"/>
  <c r="A628"/>
  <c r="D651"/>
  <c r="M27" s="1"/>
  <c r="D626"/>
  <c r="M26" s="1"/>
  <c r="D601"/>
  <c r="M25" s="1"/>
  <c r="D576"/>
  <c r="M24" s="1"/>
  <c r="B626"/>
  <c r="A626"/>
  <c r="B625"/>
  <c r="A625"/>
  <c r="B624"/>
  <c r="A624"/>
  <c r="B623"/>
  <c r="A623"/>
  <c r="B622"/>
  <c r="A622"/>
  <c r="B621"/>
  <c r="A621"/>
  <c r="B620"/>
  <c r="A620"/>
  <c r="B619"/>
  <c r="A619"/>
  <c r="B618"/>
  <c r="A618"/>
  <c r="B617"/>
  <c r="A617"/>
  <c r="B616"/>
  <c r="A616"/>
  <c r="B615"/>
  <c r="A615"/>
  <c r="B614"/>
  <c r="A614"/>
  <c r="B613"/>
  <c r="A613"/>
  <c r="B612"/>
  <c r="A612"/>
  <c r="B611"/>
  <c r="A611"/>
  <c r="B610"/>
  <c r="A610"/>
  <c r="B609"/>
  <c r="A609"/>
  <c r="B608"/>
  <c r="A608"/>
  <c r="B607"/>
  <c r="A607"/>
  <c r="B606"/>
  <c r="A606"/>
  <c r="B605"/>
  <c r="A605"/>
  <c r="B604"/>
  <c r="A604"/>
  <c r="B603"/>
  <c r="A603"/>
  <c r="B601"/>
  <c r="A601"/>
  <c r="B600"/>
  <c r="A600"/>
  <c r="B599"/>
  <c r="A599"/>
  <c r="B598"/>
  <c r="A598"/>
  <c r="B597"/>
  <c r="A597"/>
  <c r="B596"/>
  <c r="A596"/>
  <c r="B595"/>
  <c r="A595"/>
  <c r="B594"/>
  <c r="A594"/>
  <c r="B593"/>
  <c r="A593"/>
  <c r="B592"/>
  <c r="A592"/>
  <c r="B591"/>
  <c r="A591"/>
  <c r="B590"/>
  <c r="A590"/>
  <c r="B589"/>
  <c r="A589"/>
  <c r="B588"/>
  <c r="A588"/>
  <c r="B587"/>
  <c r="A587"/>
  <c r="B586"/>
  <c r="A586"/>
  <c r="B585"/>
  <c r="A585"/>
  <c r="B584"/>
  <c r="A584"/>
  <c r="B583"/>
  <c r="A583"/>
  <c r="B582"/>
  <c r="A582"/>
  <c r="B581"/>
  <c r="A581"/>
  <c r="B580"/>
  <c r="A580"/>
  <c r="B579"/>
  <c r="A579"/>
  <c r="B578"/>
  <c r="A578"/>
  <c r="B576"/>
  <c r="A576"/>
  <c r="B575"/>
  <c r="A575"/>
  <c r="B574"/>
  <c r="A574"/>
  <c r="B573"/>
  <c r="A573"/>
  <c r="B572"/>
  <c r="A572"/>
  <c r="B571"/>
  <c r="A571"/>
  <c r="B570"/>
  <c r="A570"/>
  <c r="B569"/>
  <c r="A569"/>
  <c r="B568"/>
  <c r="A568"/>
  <c r="B567"/>
  <c r="A567"/>
  <c r="B566"/>
  <c r="A566"/>
  <c r="B565"/>
  <c r="A565"/>
  <c r="B564"/>
  <c r="A564"/>
  <c r="B563"/>
  <c r="A563"/>
  <c r="B562"/>
  <c r="A562"/>
  <c r="B561"/>
  <c r="A561"/>
  <c r="B560"/>
  <c r="A560"/>
  <c r="B559"/>
  <c r="A559"/>
  <c r="B558"/>
  <c r="A558"/>
  <c r="B557"/>
  <c r="A557"/>
  <c r="B556"/>
  <c r="A556"/>
  <c r="B555"/>
  <c r="A555"/>
  <c r="B554"/>
  <c r="A554"/>
  <c r="B553"/>
  <c r="A553"/>
  <c r="D551"/>
  <c r="M23" s="1"/>
  <c r="B551"/>
  <c r="A551"/>
  <c r="B550"/>
  <c r="A550"/>
  <c r="B549"/>
  <c r="A549"/>
  <c r="B548"/>
  <c r="A548"/>
  <c r="B547"/>
  <c r="A547"/>
  <c r="B546"/>
  <c r="A546"/>
  <c r="B545"/>
  <c r="A545"/>
  <c r="B544"/>
  <c r="A544"/>
  <c r="B543"/>
  <c r="A543"/>
  <c r="B542"/>
  <c r="A542"/>
  <c r="B541"/>
  <c r="A541"/>
  <c r="B540"/>
  <c r="A540"/>
  <c r="B539"/>
  <c r="A539"/>
  <c r="B538"/>
  <c r="A538"/>
  <c r="B537"/>
  <c r="A537"/>
  <c r="B536"/>
  <c r="A536"/>
  <c r="B535"/>
  <c r="A535"/>
  <c r="B534"/>
  <c r="A534"/>
  <c r="B533"/>
  <c r="A533"/>
  <c r="B532"/>
  <c r="A532"/>
  <c r="B531"/>
  <c r="A531"/>
  <c r="B530"/>
  <c r="A530"/>
  <c r="B529"/>
  <c r="A529"/>
  <c r="B528"/>
  <c r="A528"/>
  <c r="D526"/>
  <c r="M22" s="1"/>
  <c r="B526"/>
  <c r="A526"/>
  <c r="B525"/>
  <c r="A525"/>
  <c r="B524"/>
  <c r="A524"/>
  <c r="B523"/>
  <c r="A523"/>
  <c r="B522"/>
  <c r="A522"/>
  <c r="B521"/>
  <c r="A521"/>
  <c r="B520"/>
  <c r="A520"/>
  <c r="B519"/>
  <c r="A519"/>
  <c r="B518"/>
  <c r="A518"/>
  <c r="B517"/>
  <c r="A517"/>
  <c r="B516"/>
  <c r="A516"/>
  <c r="B515"/>
  <c r="A515"/>
  <c r="B514"/>
  <c r="A514"/>
  <c r="B513"/>
  <c r="A513"/>
  <c r="B512"/>
  <c r="A512"/>
  <c r="B511"/>
  <c r="A511"/>
  <c r="B510"/>
  <c r="A510"/>
  <c r="B509"/>
  <c r="A509"/>
  <c r="B508"/>
  <c r="A508"/>
  <c r="B507"/>
  <c r="A507"/>
  <c r="B506"/>
  <c r="A506"/>
  <c r="B505"/>
  <c r="A505"/>
  <c r="B504"/>
  <c r="A504"/>
  <c r="B503"/>
  <c r="A503"/>
  <c r="D501"/>
  <c r="B501"/>
  <c r="A501"/>
  <c r="B500"/>
  <c r="A500"/>
  <c r="B499"/>
  <c r="A499"/>
  <c r="B498"/>
  <c r="A498"/>
  <c r="B497"/>
  <c r="A497"/>
  <c r="B496"/>
  <c r="A496"/>
  <c r="B495"/>
  <c r="A495"/>
  <c r="B494"/>
  <c r="A494"/>
  <c r="B493"/>
  <c r="A493"/>
  <c r="B492"/>
  <c r="A492"/>
  <c r="B491"/>
  <c r="A491"/>
  <c r="B490"/>
  <c r="A490"/>
  <c r="B489"/>
  <c r="A489"/>
  <c r="B488"/>
  <c r="A488"/>
  <c r="B487"/>
  <c r="A487"/>
  <c r="B486"/>
  <c r="A486"/>
  <c r="B485"/>
  <c r="A485"/>
  <c r="B484"/>
  <c r="A484"/>
  <c r="B483"/>
  <c r="A483"/>
  <c r="B482"/>
  <c r="A482"/>
  <c r="B481"/>
  <c r="A481"/>
  <c r="B480"/>
  <c r="A480"/>
  <c r="B479"/>
  <c r="A479"/>
  <c r="B478"/>
  <c r="A478"/>
  <c r="D476"/>
  <c r="D451"/>
  <c r="D426"/>
  <c r="D401"/>
  <c r="D376"/>
  <c r="D351"/>
  <c r="D326"/>
  <c r="D301"/>
  <c r="D276"/>
  <c r="D251"/>
  <c r="D226"/>
  <c r="D201"/>
  <c r="D176"/>
  <c r="D151"/>
  <c r="D126"/>
  <c r="D101"/>
  <c r="D76"/>
  <c r="D51"/>
  <c r="D26"/>
  <c r="B476"/>
  <c r="A476"/>
  <c r="B475"/>
  <c r="A475"/>
  <c r="B474"/>
  <c r="A474"/>
  <c r="B473"/>
  <c r="A473"/>
  <c r="B472"/>
  <c r="A472"/>
  <c r="B471"/>
  <c r="A471"/>
  <c r="B470"/>
  <c r="A470"/>
  <c r="B469"/>
  <c r="A469"/>
  <c r="B468"/>
  <c r="A468"/>
  <c r="B467"/>
  <c r="A467"/>
  <c r="B466"/>
  <c r="A466"/>
  <c r="B465"/>
  <c r="A465"/>
  <c r="B464"/>
  <c r="A464"/>
  <c r="B463"/>
  <c r="A463"/>
  <c r="B462"/>
  <c r="A462"/>
  <c r="B461"/>
  <c r="A461"/>
  <c r="B460"/>
  <c r="A460"/>
  <c r="B459"/>
  <c r="A459"/>
  <c r="B458"/>
  <c r="A458"/>
  <c r="B457"/>
  <c r="A457"/>
  <c r="B456"/>
  <c r="A456"/>
  <c r="B455"/>
  <c r="A455"/>
  <c r="B454"/>
  <c r="A454"/>
  <c r="B453"/>
  <c r="A453"/>
  <c r="B451"/>
  <c r="A451"/>
  <c r="B450"/>
  <c r="A450"/>
  <c r="B449"/>
  <c r="A449"/>
  <c r="B448"/>
  <c r="A448"/>
  <c r="B447"/>
  <c r="A447"/>
  <c r="B446"/>
  <c r="A446"/>
  <c r="B445"/>
  <c r="A445"/>
  <c r="B444"/>
  <c r="A444"/>
  <c r="B443"/>
  <c r="A443"/>
  <c r="B442"/>
  <c r="A442"/>
  <c r="B441"/>
  <c r="A441"/>
  <c r="B440"/>
  <c r="A440"/>
  <c r="B439"/>
  <c r="A439"/>
  <c r="B438"/>
  <c r="A438"/>
  <c r="B437"/>
  <c r="A437"/>
  <c r="B436"/>
  <c r="A436"/>
  <c r="B435"/>
  <c r="A435"/>
  <c r="B434"/>
  <c r="A434"/>
  <c r="B433"/>
  <c r="A433"/>
  <c r="B432"/>
  <c r="A432"/>
  <c r="B431"/>
  <c r="A431"/>
  <c r="B430"/>
  <c r="A430"/>
  <c r="B429"/>
  <c r="A429"/>
  <c r="B428"/>
  <c r="A428"/>
  <c r="B426"/>
  <c r="A426"/>
  <c r="B425"/>
  <c r="A425"/>
  <c r="B424"/>
  <c r="A424"/>
  <c r="B423"/>
  <c r="A423"/>
  <c r="B422"/>
  <c r="A422"/>
  <c r="B421"/>
  <c r="A421"/>
  <c r="B420"/>
  <c r="A420"/>
  <c r="B419"/>
  <c r="A419"/>
  <c r="B418"/>
  <c r="A418"/>
  <c r="B417"/>
  <c r="A417"/>
  <c r="B416"/>
  <c r="A416"/>
  <c r="B415"/>
  <c r="A415"/>
  <c r="B414"/>
  <c r="A414"/>
  <c r="B413"/>
  <c r="A413"/>
  <c r="B412"/>
  <c r="A412"/>
  <c r="B411"/>
  <c r="A411"/>
  <c r="B410"/>
  <c r="A410"/>
  <c r="B409"/>
  <c r="A409"/>
  <c r="B408"/>
  <c r="A408"/>
  <c r="B407"/>
  <c r="A407"/>
  <c r="B406"/>
  <c r="A406"/>
  <c r="B405"/>
  <c r="A405"/>
  <c r="B404"/>
  <c r="A404"/>
  <c r="B403"/>
  <c r="A403"/>
  <c r="B401"/>
  <c r="A401"/>
  <c r="B400"/>
  <c r="A400"/>
  <c r="B399"/>
  <c r="A399"/>
  <c r="B398"/>
  <c r="A398"/>
  <c r="B397"/>
  <c r="A397"/>
  <c r="B396"/>
  <c r="A396"/>
  <c r="B395"/>
  <c r="A395"/>
  <c r="B394"/>
  <c r="A394"/>
  <c r="B393"/>
  <c r="A393"/>
  <c r="B392"/>
  <c r="A392"/>
  <c r="B391"/>
  <c r="A391"/>
  <c r="B390"/>
  <c r="A390"/>
  <c r="B389"/>
  <c r="A389"/>
  <c r="B388"/>
  <c r="A388"/>
  <c r="B387"/>
  <c r="A387"/>
  <c r="B386"/>
  <c r="A386"/>
  <c r="B385"/>
  <c r="A385"/>
  <c r="B384"/>
  <c r="A384"/>
  <c r="B383"/>
  <c r="A383"/>
  <c r="B382"/>
  <c r="A382"/>
  <c r="B381"/>
  <c r="A381"/>
  <c r="B380"/>
  <c r="A380"/>
  <c r="B379"/>
  <c r="A379"/>
  <c r="B378"/>
  <c r="A378"/>
  <c r="B376"/>
  <c r="A376"/>
  <c r="B375"/>
  <c r="A375"/>
  <c r="B374"/>
  <c r="A374"/>
  <c r="B373"/>
  <c r="A373"/>
  <c r="B372"/>
  <c r="A372"/>
  <c r="B371"/>
  <c r="A371"/>
  <c r="B370"/>
  <c r="A370"/>
  <c r="B369"/>
  <c r="A369"/>
  <c r="B368"/>
  <c r="A368"/>
  <c r="B367"/>
  <c r="A367"/>
  <c r="B366"/>
  <c r="A366"/>
  <c r="B365"/>
  <c r="A365"/>
  <c r="B364"/>
  <c r="A364"/>
  <c r="B363"/>
  <c r="A363"/>
  <c r="B362"/>
  <c r="A362"/>
  <c r="B361"/>
  <c r="A361"/>
  <c r="B360"/>
  <c r="A360"/>
  <c r="B359"/>
  <c r="A359"/>
  <c r="B358"/>
  <c r="A358"/>
  <c r="B357"/>
  <c r="A357"/>
  <c r="B356"/>
  <c r="A356"/>
  <c r="B355"/>
  <c r="A355"/>
  <c r="B354"/>
  <c r="A354"/>
  <c r="B353"/>
  <c r="A353"/>
  <c r="B351"/>
  <c r="A351"/>
  <c r="B350"/>
  <c r="A350"/>
  <c r="B349"/>
  <c r="A349"/>
  <c r="B348"/>
  <c r="A348"/>
  <c r="B347"/>
  <c r="A347"/>
  <c r="B346"/>
  <c r="A346"/>
  <c r="B345"/>
  <c r="A345"/>
  <c r="B344"/>
  <c r="A344"/>
  <c r="B343"/>
  <c r="A343"/>
  <c r="B342"/>
  <c r="A342"/>
  <c r="B341"/>
  <c r="A341"/>
  <c r="B340"/>
  <c r="A340"/>
  <c r="B339"/>
  <c r="A339"/>
  <c r="B338"/>
  <c r="A338"/>
  <c r="B337"/>
  <c r="A337"/>
  <c r="B336"/>
  <c r="A336"/>
  <c r="B335"/>
  <c r="A335"/>
  <c r="B334"/>
  <c r="A334"/>
  <c r="B333"/>
  <c r="A333"/>
  <c r="B332"/>
  <c r="A332"/>
  <c r="B331"/>
  <c r="A331"/>
  <c r="B330"/>
  <c r="A330"/>
  <c r="B329"/>
  <c r="A329"/>
  <c r="B328"/>
  <c r="A328"/>
  <c r="B326"/>
  <c r="A326"/>
  <c r="B325"/>
  <c r="A325"/>
  <c r="B324"/>
  <c r="A324"/>
  <c r="B323"/>
  <c r="A323"/>
  <c r="B322"/>
  <c r="A322"/>
  <c r="B321"/>
  <c r="A321"/>
  <c r="B320"/>
  <c r="A320"/>
  <c r="B319"/>
  <c r="A319"/>
  <c r="B318"/>
  <c r="A318"/>
  <c r="B317"/>
  <c r="A317"/>
  <c r="B316"/>
  <c r="A316"/>
  <c r="B315"/>
  <c r="A315"/>
  <c r="B314"/>
  <c r="A314"/>
  <c r="B313"/>
  <c r="A313"/>
  <c r="B312"/>
  <c r="A312"/>
  <c r="B311"/>
  <c r="A311"/>
  <c r="B310"/>
  <c r="A310"/>
  <c r="B309"/>
  <c r="A309"/>
  <c r="B308"/>
  <c r="A308"/>
  <c r="B307"/>
  <c r="A307"/>
  <c r="B306"/>
  <c r="A306"/>
  <c r="B305"/>
  <c r="A305"/>
  <c r="B304"/>
  <c r="A304"/>
  <c r="B303"/>
  <c r="A303"/>
  <c r="B301"/>
  <c r="A301"/>
  <c r="B300"/>
  <c r="A300"/>
  <c r="B299"/>
  <c r="A299"/>
  <c r="B298"/>
  <c r="A298"/>
  <c r="B297"/>
  <c r="A297"/>
  <c r="B296"/>
  <c r="A296"/>
  <c r="B295"/>
  <c r="A295"/>
  <c r="B294"/>
  <c r="A294"/>
  <c r="B293"/>
  <c r="A293"/>
  <c r="B292"/>
  <c r="A292"/>
  <c r="B291"/>
  <c r="A291"/>
  <c r="B290"/>
  <c r="A290"/>
  <c r="B289"/>
  <c r="A289"/>
  <c r="B288"/>
  <c r="A288"/>
  <c r="B287"/>
  <c r="A287"/>
  <c r="B286"/>
  <c r="A286"/>
  <c r="B285"/>
  <c r="A285"/>
  <c r="B284"/>
  <c r="A284"/>
  <c r="B283"/>
  <c r="A283"/>
  <c r="B282"/>
  <c r="A282"/>
  <c r="B281"/>
  <c r="A281"/>
  <c r="B280"/>
  <c r="A280"/>
  <c r="B279"/>
  <c r="A279"/>
  <c r="B278"/>
  <c r="A278"/>
  <c r="B276"/>
  <c r="A276"/>
  <c r="B275"/>
  <c r="A275"/>
  <c r="B274"/>
  <c r="A274"/>
  <c r="B273"/>
  <c r="A273"/>
  <c r="B272"/>
  <c r="A272"/>
  <c r="B271"/>
  <c r="A271"/>
  <c r="B270"/>
  <c r="A270"/>
  <c r="B269"/>
  <c r="A269"/>
  <c r="B268"/>
  <c r="A268"/>
  <c r="B267"/>
  <c r="A267"/>
  <c r="B266"/>
  <c r="A266"/>
  <c r="B265"/>
  <c r="A265"/>
  <c r="B264"/>
  <c r="A264"/>
  <c r="B263"/>
  <c r="A263"/>
  <c r="B262"/>
  <c r="A262"/>
  <c r="B261"/>
  <c r="A261"/>
  <c r="B260"/>
  <c r="A260"/>
  <c r="B259"/>
  <c r="A259"/>
  <c r="B258"/>
  <c r="A258"/>
  <c r="B257"/>
  <c r="A257"/>
  <c r="B256"/>
  <c r="A256"/>
  <c r="B255"/>
  <c r="A255"/>
  <c r="B254"/>
  <c r="A254"/>
  <c r="B253"/>
  <c r="A253"/>
  <c r="B251"/>
  <c r="A251"/>
  <c r="B250"/>
  <c r="A250"/>
  <c r="B249"/>
  <c r="A249"/>
  <c r="B248"/>
  <c r="A248"/>
  <c r="B247"/>
  <c r="A247"/>
  <c r="B246"/>
  <c r="A246"/>
  <c r="B245"/>
  <c r="A245"/>
  <c r="B244"/>
  <c r="A244"/>
  <c r="B243"/>
  <c r="A243"/>
  <c r="B242"/>
  <c r="A242"/>
  <c r="B241"/>
  <c r="A241"/>
  <c r="B240"/>
  <c r="A240"/>
  <c r="B239"/>
  <c r="A239"/>
  <c r="B238"/>
  <c r="A238"/>
  <c r="B237"/>
  <c r="A237"/>
  <c r="B236"/>
  <c r="A236"/>
  <c r="B235"/>
  <c r="A235"/>
  <c r="B234"/>
  <c r="A234"/>
  <c r="B233"/>
  <c r="A233"/>
  <c r="B232"/>
  <c r="A232"/>
  <c r="B231"/>
  <c r="A231"/>
  <c r="B230"/>
  <c r="A230"/>
  <c r="B229"/>
  <c r="A229"/>
  <c r="B228"/>
  <c r="A228"/>
  <c r="B226"/>
  <c r="A226"/>
  <c r="B225"/>
  <c r="A225"/>
  <c r="B224"/>
  <c r="A224"/>
  <c r="B223"/>
  <c r="A223"/>
  <c r="B222"/>
  <c r="A222"/>
  <c r="B221"/>
  <c r="A221"/>
  <c r="B220"/>
  <c r="A220"/>
  <c r="B219"/>
  <c r="A219"/>
  <c r="B218"/>
  <c r="A218"/>
  <c r="B217"/>
  <c r="A217"/>
  <c r="B216"/>
  <c r="A216"/>
  <c r="B215"/>
  <c r="A215"/>
  <c r="B214"/>
  <c r="A214"/>
  <c r="B213"/>
  <c r="A213"/>
  <c r="B212"/>
  <c r="A212"/>
  <c r="B211"/>
  <c r="A211"/>
  <c r="B210"/>
  <c r="A210"/>
  <c r="B209"/>
  <c r="A209"/>
  <c r="B208"/>
  <c r="A208"/>
  <c r="B207"/>
  <c r="A207"/>
  <c r="B206"/>
  <c r="A206"/>
  <c r="B205"/>
  <c r="A205"/>
  <c r="B204"/>
  <c r="A204"/>
  <c r="B203"/>
  <c r="A203"/>
  <c r="B201"/>
  <c r="A201"/>
  <c r="B200"/>
  <c r="A200"/>
  <c r="B199"/>
  <c r="A199"/>
  <c r="B198"/>
  <c r="A198"/>
  <c r="B197"/>
  <c r="A197"/>
  <c r="B196"/>
  <c r="A196"/>
  <c r="B195"/>
  <c r="A195"/>
  <c r="B194"/>
  <c r="A194"/>
  <c r="B193"/>
  <c r="A193"/>
  <c r="B192"/>
  <c r="A192"/>
  <c r="B191"/>
  <c r="A191"/>
  <c r="B190"/>
  <c r="A190"/>
  <c r="B189"/>
  <c r="A189"/>
  <c r="B188"/>
  <c r="A188"/>
  <c r="B187"/>
  <c r="A187"/>
  <c r="B186"/>
  <c r="A186"/>
  <c r="B185"/>
  <c r="A185"/>
  <c r="B184"/>
  <c r="A184"/>
  <c r="B183"/>
  <c r="A183"/>
  <c r="B182"/>
  <c r="A182"/>
  <c r="B181"/>
  <c r="A181"/>
  <c r="B180"/>
  <c r="A180"/>
  <c r="B179"/>
  <c r="A179"/>
  <c r="B178"/>
  <c r="A178"/>
  <c r="B176"/>
  <c r="A176"/>
  <c r="B175"/>
  <c r="A175"/>
  <c r="B174"/>
  <c r="A174"/>
  <c r="B173"/>
  <c r="A173"/>
  <c r="B172"/>
  <c r="A172"/>
  <c r="B171"/>
  <c r="A171"/>
  <c r="B170"/>
  <c r="A170"/>
  <c r="B169"/>
  <c r="A169"/>
  <c r="B168"/>
  <c r="A168"/>
  <c r="B167"/>
  <c r="A167"/>
  <c r="B166"/>
  <c r="A166"/>
  <c r="B165"/>
  <c r="A165"/>
  <c r="B164"/>
  <c r="A164"/>
  <c r="B163"/>
  <c r="A163"/>
  <c r="B162"/>
  <c r="A162"/>
  <c r="B161"/>
  <c r="A161"/>
  <c r="B160"/>
  <c r="A160"/>
  <c r="B159"/>
  <c r="A159"/>
  <c r="B158"/>
  <c r="A158"/>
  <c r="B157"/>
  <c r="A157"/>
  <c r="B156"/>
  <c r="A156"/>
  <c r="B155"/>
  <c r="A155"/>
  <c r="B154"/>
  <c r="A154"/>
  <c r="B153"/>
  <c r="A153"/>
  <c r="B151"/>
  <c r="A151"/>
  <c r="B150"/>
  <c r="A150"/>
  <c r="B149"/>
  <c r="A149"/>
  <c r="B148"/>
  <c r="A148"/>
  <c r="B147"/>
  <c r="A147"/>
  <c r="B146"/>
  <c r="A146"/>
  <c r="B145"/>
  <c r="A145"/>
  <c r="B144"/>
  <c r="A144"/>
  <c r="B143"/>
  <c r="A143"/>
  <c r="B142"/>
  <c r="A142"/>
  <c r="B141"/>
  <c r="A141"/>
  <c r="B140"/>
  <c r="A140"/>
  <c r="B139"/>
  <c r="A139"/>
  <c r="B138"/>
  <c r="A138"/>
  <c r="B137"/>
  <c r="A137"/>
  <c r="B136"/>
  <c r="A136"/>
  <c r="B135"/>
  <c r="A135"/>
  <c r="B134"/>
  <c r="A134"/>
  <c r="B133"/>
  <c r="A133"/>
  <c r="B132"/>
  <c r="A132"/>
  <c r="B131"/>
  <c r="A131"/>
  <c r="B130"/>
  <c r="A130"/>
  <c r="B129"/>
  <c r="A129"/>
  <c r="B128"/>
  <c r="A128"/>
  <c r="B126"/>
  <c r="A126"/>
  <c r="B125"/>
  <c r="A125"/>
  <c r="B124"/>
  <c r="A124"/>
  <c r="B123"/>
  <c r="A123"/>
  <c r="B122"/>
  <c r="A122"/>
  <c r="B121"/>
  <c r="A121"/>
  <c r="B120"/>
  <c r="A120"/>
  <c r="B119"/>
  <c r="A119"/>
  <c r="B118"/>
  <c r="A118"/>
  <c r="B117"/>
  <c r="A117"/>
  <c r="B116"/>
  <c r="A116"/>
  <c r="B115"/>
  <c r="A115"/>
  <c r="B114"/>
  <c r="A114"/>
  <c r="B113"/>
  <c r="A113"/>
  <c r="B112"/>
  <c r="A112"/>
  <c r="B111"/>
  <c r="A111"/>
  <c r="B110"/>
  <c r="A110"/>
  <c r="B109"/>
  <c r="A109"/>
  <c r="B108"/>
  <c r="A108"/>
  <c r="B107"/>
  <c r="A107"/>
  <c r="B106"/>
  <c r="A106"/>
  <c r="B105"/>
  <c r="A105"/>
  <c r="B104"/>
  <c r="A104"/>
  <c r="B103"/>
  <c r="A103"/>
  <c r="B101"/>
  <c r="A101"/>
  <c r="B100"/>
  <c r="A100"/>
  <c r="B99"/>
  <c r="A99"/>
  <c r="B98"/>
  <c r="A98"/>
  <c r="B97"/>
  <c r="A97"/>
  <c r="B96"/>
  <c r="A96"/>
  <c r="B95"/>
  <c r="A95"/>
  <c r="B94"/>
  <c r="A94"/>
  <c r="B93"/>
  <c r="A93"/>
  <c r="B92"/>
  <c r="A92"/>
  <c r="B91"/>
  <c r="A91"/>
  <c r="B90"/>
  <c r="A90"/>
  <c r="B89"/>
  <c r="A89"/>
  <c r="B88"/>
  <c r="A88"/>
  <c r="B87"/>
  <c r="A87"/>
  <c r="B86"/>
  <c r="A86"/>
  <c r="B85"/>
  <c r="A85"/>
  <c r="B84"/>
  <c r="A84"/>
  <c r="B83"/>
  <c r="A83"/>
  <c r="B82"/>
  <c r="A82"/>
  <c r="B81"/>
  <c r="A81"/>
  <c r="B80"/>
  <c r="A80"/>
  <c r="B79"/>
  <c r="A79"/>
  <c r="B78"/>
  <c r="A78"/>
  <c r="B76"/>
  <c r="A76"/>
  <c r="B75"/>
  <c r="A75"/>
  <c r="B74"/>
  <c r="A74"/>
  <c r="B73"/>
  <c r="A73"/>
  <c r="B72"/>
  <c r="A72"/>
  <c r="B71"/>
  <c r="A71"/>
  <c r="B70"/>
  <c r="A70"/>
  <c r="B69"/>
  <c r="A69"/>
  <c r="B68"/>
  <c r="A68"/>
  <c r="B67"/>
  <c r="A67"/>
  <c r="B66"/>
  <c r="A66"/>
  <c r="B65"/>
  <c r="A65"/>
  <c r="B64"/>
  <c r="A64"/>
  <c r="B63"/>
  <c r="A63"/>
  <c r="B62"/>
  <c r="A62"/>
  <c r="B61"/>
  <c r="A61"/>
  <c r="B60"/>
  <c r="A60"/>
  <c r="B59"/>
  <c r="A59"/>
  <c r="B58"/>
  <c r="A58"/>
  <c r="B57"/>
  <c r="A57"/>
  <c r="B56"/>
  <c r="A56"/>
  <c r="B55"/>
  <c r="A55"/>
  <c r="B54"/>
  <c r="A54"/>
  <c r="B53"/>
  <c r="A53"/>
  <c r="B51"/>
  <c r="A51"/>
  <c r="B50"/>
  <c r="A50"/>
  <c r="B49"/>
  <c r="A49"/>
  <c r="B48"/>
  <c r="A48"/>
  <c r="B47"/>
  <c r="A47"/>
  <c r="B46"/>
  <c r="A46"/>
  <c r="B45"/>
  <c r="A45"/>
  <c r="B44"/>
  <c r="A44"/>
  <c r="B43"/>
  <c r="A43"/>
  <c r="B42"/>
  <c r="A42"/>
  <c r="B41"/>
  <c r="A41"/>
  <c r="B40"/>
  <c r="A40"/>
  <c r="B39"/>
  <c r="A39"/>
  <c r="B38"/>
  <c r="A38"/>
  <c r="B37"/>
  <c r="A37"/>
  <c r="B36"/>
  <c r="A36"/>
  <c r="B35"/>
  <c r="A35"/>
  <c r="B34"/>
  <c r="A34"/>
  <c r="B33"/>
  <c r="A33"/>
  <c r="B32"/>
  <c r="A32"/>
  <c r="B31"/>
  <c r="A31"/>
  <c r="B30"/>
  <c r="A30"/>
  <c r="B29"/>
  <c r="A29"/>
  <c r="B28"/>
  <c r="A28"/>
  <c r="B26"/>
  <c r="A26"/>
  <c r="B25"/>
  <c r="A25"/>
  <c r="B24"/>
  <c r="A24"/>
  <c r="B23"/>
  <c r="A23"/>
  <c r="B22"/>
  <c r="A22"/>
  <c r="B21"/>
  <c r="A21"/>
  <c r="B20"/>
  <c r="A20"/>
  <c r="B19"/>
  <c r="A19"/>
  <c r="B18"/>
  <c r="A1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B7"/>
  <c r="A7"/>
  <c r="B6"/>
  <c r="A6"/>
  <c r="B5"/>
  <c r="A5"/>
  <c r="B4"/>
  <c r="A4"/>
  <c r="B3"/>
  <c r="A3"/>
  <c r="I2" i="30"/>
  <c r="B1"/>
  <c r="C1" s="1"/>
  <c r="A3" i="32"/>
  <c r="B3"/>
  <c r="A4"/>
  <c r="B4"/>
  <c r="A5"/>
  <c r="B5"/>
  <c r="A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6"/>
  <c r="B16"/>
  <c r="A17"/>
  <c r="B17"/>
  <c r="A18"/>
  <c r="B18"/>
  <c r="A19"/>
  <c r="B19"/>
  <c r="A20"/>
  <c r="B20"/>
  <c r="A21"/>
  <c r="B21"/>
  <c r="A22"/>
  <c r="B22"/>
  <c r="A23"/>
  <c r="B23"/>
  <c r="A24"/>
  <c r="B24"/>
  <c r="A25"/>
  <c r="B25"/>
  <c r="A26"/>
  <c r="B26"/>
  <c r="A27"/>
  <c r="B27"/>
  <c r="A28"/>
  <c r="B28"/>
  <c r="A29"/>
  <c r="B29"/>
  <c r="A30"/>
  <c r="B30"/>
  <c r="A31"/>
  <c r="B31"/>
  <c r="A32"/>
  <c r="B32"/>
  <c r="A33"/>
  <c r="B33"/>
  <c r="A34"/>
  <c r="B34"/>
  <c r="A35"/>
  <c r="B35"/>
  <c r="A36"/>
  <c r="B36"/>
  <c r="A37"/>
  <c r="B37"/>
  <c r="A38"/>
  <c r="B38"/>
  <c r="A39"/>
  <c r="B39"/>
  <c r="A40"/>
  <c r="B40"/>
  <c r="A41"/>
  <c r="B41"/>
  <c r="A42"/>
  <c r="B42"/>
  <c r="A43"/>
  <c r="B43"/>
  <c r="A44"/>
  <c r="B44"/>
  <c r="A45"/>
  <c r="B45"/>
  <c r="A46"/>
  <c r="B46"/>
  <c r="A47"/>
  <c r="B47"/>
  <c r="A48"/>
  <c r="B48"/>
  <c r="A49"/>
  <c r="B49"/>
  <c r="A50"/>
  <c r="B50"/>
  <c r="A51"/>
  <c r="B51"/>
  <c r="A52"/>
  <c r="B52"/>
  <c r="A53"/>
  <c r="B53"/>
  <c r="A54"/>
  <c r="B54"/>
  <c r="A55"/>
  <c r="B55"/>
  <c r="A56"/>
  <c r="B56"/>
  <c r="A57"/>
  <c r="B57"/>
  <c r="A58"/>
  <c r="B58"/>
  <c r="A59"/>
  <c r="B59"/>
  <c r="A60"/>
  <c r="B60"/>
  <c r="A61"/>
  <c r="B61"/>
  <c r="A62"/>
  <c r="B62"/>
  <c r="A63"/>
  <c r="B63"/>
  <c r="A64"/>
  <c r="B64"/>
  <c r="A65"/>
  <c r="B65"/>
  <c r="A66"/>
  <c r="B66"/>
  <c r="A67"/>
  <c r="B67"/>
  <c r="A68"/>
  <c r="B68"/>
  <c r="A69"/>
  <c r="B69"/>
  <c r="A70"/>
  <c r="B70"/>
  <c r="A71"/>
  <c r="B71"/>
  <c r="A72"/>
  <c r="B72"/>
  <c r="A73"/>
  <c r="B73"/>
  <c r="A74"/>
  <c r="B74"/>
  <c r="A75"/>
  <c r="B75"/>
  <c r="A76"/>
  <c r="B76"/>
  <c r="A77"/>
  <c r="B77"/>
  <c r="A78"/>
  <c r="B78"/>
  <c r="A79"/>
  <c r="B79"/>
  <c r="A80"/>
  <c r="B80"/>
  <c r="A81"/>
  <c r="B81"/>
  <c r="A82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A102"/>
  <c r="B102"/>
  <c r="A103"/>
  <c r="B103"/>
  <c r="A104"/>
  <c r="B104"/>
  <c r="A105"/>
  <c r="B105"/>
  <c r="A106"/>
  <c r="B106"/>
  <c r="A107"/>
  <c r="B107"/>
  <c r="A108"/>
  <c r="B108"/>
  <c r="A109"/>
  <c r="B109"/>
  <c r="A110"/>
  <c r="B110"/>
  <c r="A111"/>
  <c r="B111"/>
  <c r="A112"/>
  <c r="B112"/>
  <c r="A113"/>
  <c r="B113"/>
  <c r="A114"/>
  <c r="B114"/>
  <c r="A115"/>
  <c r="B115"/>
  <c r="A116"/>
  <c r="B116"/>
  <c r="A117"/>
  <c r="B117"/>
  <c r="A118"/>
  <c r="B118"/>
  <c r="A119"/>
  <c r="B119"/>
  <c r="A120"/>
  <c r="B120"/>
  <c r="A121"/>
  <c r="B121"/>
  <c r="A122"/>
  <c r="B122"/>
  <c r="A123"/>
  <c r="B123"/>
  <c r="A124"/>
  <c r="B124"/>
  <c r="A125"/>
  <c r="B125"/>
  <c r="A126"/>
  <c r="B126"/>
  <c r="A127"/>
  <c r="B127"/>
  <c r="A128"/>
  <c r="B128"/>
  <c r="A129"/>
  <c r="B129"/>
  <c r="A130"/>
  <c r="B130"/>
  <c r="A131"/>
  <c r="B131"/>
  <c r="A132"/>
  <c r="B132"/>
  <c r="A133"/>
  <c r="B133"/>
  <c r="A134"/>
  <c r="B134"/>
  <c r="A135"/>
  <c r="B135"/>
  <c r="A136"/>
  <c r="B136"/>
  <c r="A137"/>
  <c r="B137"/>
  <c r="A138"/>
  <c r="B138"/>
  <c r="A139"/>
  <c r="B139"/>
  <c r="A140"/>
  <c r="B140"/>
  <c r="A141"/>
  <c r="B141"/>
  <c r="A142"/>
  <c r="B142"/>
  <c r="A143"/>
  <c r="B143"/>
  <c r="A144"/>
  <c r="B144"/>
  <c r="A145"/>
  <c r="B145"/>
  <c r="A146"/>
  <c r="B146"/>
  <c r="A147"/>
  <c r="B147"/>
  <c r="A148"/>
  <c r="B148"/>
  <c r="A149"/>
  <c r="B149"/>
  <c r="A150"/>
  <c r="B150"/>
  <c r="A151"/>
  <c r="B151"/>
  <c r="A152"/>
  <c r="B152"/>
  <c r="A153"/>
  <c r="B153"/>
  <c r="A154"/>
  <c r="B154"/>
  <c r="A155"/>
  <c r="B155"/>
  <c r="A156"/>
  <c r="B156"/>
  <c r="A157"/>
  <c r="B157"/>
  <c r="A158"/>
  <c r="B158"/>
  <c r="A159"/>
  <c r="B159"/>
  <c r="A160"/>
  <c r="B160"/>
  <c r="A161"/>
  <c r="B161"/>
  <c r="A162"/>
  <c r="B162"/>
  <c r="A163"/>
  <c r="B163"/>
  <c r="A164"/>
  <c r="B164"/>
  <c r="A165"/>
  <c r="B165"/>
  <c r="A166"/>
  <c r="B166"/>
  <c r="A167"/>
  <c r="B167"/>
  <c r="A168"/>
  <c r="B168"/>
  <c r="A169"/>
  <c r="B169"/>
  <c r="A170"/>
  <c r="B170"/>
  <c r="A171"/>
  <c r="B171"/>
  <c r="A172"/>
  <c r="B172"/>
  <c r="A173"/>
  <c r="B173"/>
  <c r="A174"/>
  <c r="B174"/>
  <c r="A175"/>
  <c r="B175"/>
  <c r="A176"/>
  <c r="B176"/>
  <c r="A177"/>
  <c r="B177"/>
  <c r="A178"/>
  <c r="B178"/>
  <c r="A179"/>
  <c r="B179"/>
  <c r="A180"/>
  <c r="B180"/>
  <c r="A181"/>
  <c r="B181"/>
  <c r="A182"/>
  <c r="B182"/>
  <c r="A183"/>
  <c r="B183"/>
  <c r="A184"/>
  <c r="B184"/>
  <c r="A185"/>
  <c r="B185"/>
  <c r="A186"/>
  <c r="B186"/>
  <c r="A187"/>
  <c r="B187"/>
  <c r="A188"/>
  <c r="B188"/>
  <c r="A189"/>
  <c r="B189"/>
  <c r="A190"/>
  <c r="B190"/>
  <c r="A191"/>
  <c r="B191"/>
  <c r="A192"/>
  <c r="B192"/>
  <c r="A193"/>
  <c r="B193"/>
  <c r="A194"/>
  <c r="B194"/>
  <c r="A195"/>
  <c r="B195"/>
  <c r="A196"/>
  <c r="B196"/>
  <c r="A197"/>
  <c r="B197"/>
  <c r="A198"/>
  <c r="B198"/>
  <c r="A199"/>
  <c r="B199"/>
  <c r="A200"/>
  <c r="B200"/>
  <c r="A201"/>
  <c r="B201"/>
  <c r="A202"/>
  <c r="B202"/>
  <c r="A203"/>
  <c r="B203"/>
  <c r="A204"/>
  <c r="B204"/>
  <c r="A205"/>
  <c r="B205"/>
  <c r="A206"/>
  <c r="B206"/>
  <c r="A207"/>
  <c r="B207"/>
  <c r="A208"/>
  <c r="B208"/>
  <c r="A209"/>
  <c r="B209"/>
  <c r="A210"/>
  <c r="B210"/>
  <c r="A211"/>
  <c r="B211"/>
  <c r="A212"/>
  <c r="B212"/>
  <c r="A213"/>
  <c r="B213"/>
  <c r="A214"/>
  <c r="B214"/>
  <c r="A215"/>
  <c r="B215"/>
  <c r="A216"/>
  <c r="B216"/>
  <c r="A217"/>
  <c r="B217"/>
  <c r="A218"/>
  <c r="B218"/>
  <c r="A219"/>
  <c r="B219"/>
  <c r="A220"/>
  <c r="B220"/>
  <c r="A221"/>
  <c r="B221"/>
  <c r="A222"/>
  <c r="B222"/>
  <c r="A223"/>
  <c r="B223"/>
  <c r="A224"/>
  <c r="B224"/>
  <c r="A225"/>
  <c r="B225"/>
  <c r="A226"/>
  <c r="B226"/>
  <c r="A227"/>
  <c r="B227"/>
  <c r="A228"/>
  <c r="B228"/>
  <c r="A229"/>
  <c r="B229"/>
  <c r="A230"/>
  <c r="B230"/>
  <c r="A231"/>
  <c r="B231"/>
  <c r="A232"/>
  <c r="B232"/>
  <c r="A233"/>
  <c r="B233"/>
  <c r="A234"/>
  <c r="B234"/>
  <c r="A235"/>
  <c r="B235"/>
  <c r="A236"/>
  <c r="B236"/>
  <c r="A237"/>
  <c r="B237"/>
  <c r="A238"/>
  <c r="B238"/>
  <c r="A239"/>
  <c r="B239"/>
  <c r="A240"/>
  <c r="B240"/>
  <c r="A241"/>
  <c r="B241"/>
  <c r="A242"/>
  <c r="B242"/>
  <c r="A243"/>
  <c r="B243"/>
  <c r="A244"/>
  <c r="B244"/>
  <c r="A245"/>
  <c r="B245"/>
  <c r="A246"/>
  <c r="B246"/>
  <c r="A247"/>
  <c r="B247"/>
  <c r="A248"/>
  <c r="B248"/>
  <c r="A249"/>
  <c r="B249"/>
  <c r="A250"/>
  <c r="B250"/>
  <c r="A251"/>
  <c r="B251"/>
  <c r="A252"/>
  <c r="B252"/>
  <c r="A253"/>
  <c r="B253"/>
  <c r="A254"/>
  <c r="B254"/>
  <c r="A255"/>
  <c r="B255"/>
  <c r="A256"/>
  <c r="B256"/>
  <c r="A257"/>
  <c r="B257"/>
  <c r="A258"/>
  <c r="B258"/>
  <c r="A259"/>
  <c r="B259"/>
  <c r="A260"/>
  <c r="B260"/>
  <c r="A261"/>
  <c r="B261"/>
  <c r="A262"/>
  <c r="B262"/>
  <c r="A263"/>
  <c r="B263"/>
  <c r="A264"/>
  <c r="B264"/>
  <c r="A265"/>
  <c r="B265"/>
  <c r="A266"/>
  <c r="B266"/>
  <c r="A267"/>
  <c r="B267"/>
  <c r="A268"/>
  <c r="B268"/>
  <c r="A269"/>
  <c r="B269"/>
  <c r="A270"/>
  <c r="B270"/>
  <c r="A271"/>
  <c r="B271"/>
  <c r="A272"/>
  <c r="B272"/>
  <c r="A273"/>
  <c r="B273"/>
  <c r="A274"/>
  <c r="B274"/>
  <c r="A275"/>
  <c r="B275"/>
  <c r="A276"/>
  <c r="B276"/>
  <c r="A277"/>
  <c r="B277"/>
  <c r="A278"/>
  <c r="B278"/>
  <c r="A279"/>
  <c r="B279"/>
  <c r="A280"/>
  <c r="B280"/>
  <c r="A281"/>
  <c r="B281"/>
  <c r="A282"/>
  <c r="B282"/>
  <c r="A283"/>
  <c r="B283"/>
  <c r="A284"/>
  <c r="B284"/>
  <c r="A285"/>
  <c r="B285"/>
  <c r="A286"/>
  <c r="B286"/>
  <c r="A287"/>
  <c r="B287"/>
  <c r="A288"/>
  <c r="B288"/>
  <c r="A289"/>
  <c r="B289"/>
  <c r="A290"/>
  <c r="B290"/>
  <c r="A291"/>
  <c r="B291"/>
  <c r="A292"/>
  <c r="B292"/>
  <c r="A293"/>
  <c r="B293"/>
  <c r="A294"/>
  <c r="B294"/>
  <c r="A295"/>
  <c r="B295"/>
  <c r="A296"/>
  <c r="B296"/>
  <c r="A297"/>
  <c r="B297"/>
  <c r="A298"/>
  <c r="B298"/>
  <c r="A299"/>
  <c r="B299"/>
  <c r="A300"/>
  <c r="B300"/>
  <c r="A301"/>
  <c r="B301"/>
  <c r="A302"/>
  <c r="B302"/>
  <c r="A303"/>
  <c r="B303"/>
  <c r="A304"/>
  <c r="B304"/>
  <c r="A305"/>
  <c r="B305"/>
  <c r="A306"/>
  <c r="B306"/>
  <c r="A307"/>
  <c r="B307"/>
  <c r="A308"/>
  <c r="B308"/>
  <c r="A309"/>
  <c r="B309"/>
  <c r="A310"/>
  <c r="B310"/>
  <c r="A311"/>
  <c r="B311"/>
  <c r="A312"/>
  <c r="B312"/>
  <c r="A313"/>
  <c r="B313"/>
  <c r="A314"/>
  <c r="B314"/>
  <c r="A315"/>
  <c r="B315"/>
  <c r="A316"/>
  <c r="B316"/>
  <c r="A317"/>
  <c r="B317"/>
  <c r="A318"/>
  <c r="B318"/>
  <c r="A319"/>
  <c r="B319"/>
  <c r="A320"/>
  <c r="B320"/>
  <c r="A321"/>
  <c r="B321"/>
  <c r="A322"/>
  <c r="B322"/>
  <c r="A323"/>
  <c r="B323"/>
  <c r="A324"/>
  <c r="B324"/>
  <c r="A325"/>
  <c r="B325"/>
  <c r="A326"/>
  <c r="B326"/>
  <c r="A327"/>
  <c r="B327"/>
  <c r="A328"/>
  <c r="B328"/>
  <c r="A329"/>
  <c r="B329"/>
  <c r="A330"/>
  <c r="B330"/>
  <c r="A331"/>
  <c r="B331"/>
  <c r="A332"/>
  <c r="B332"/>
  <c r="A333"/>
  <c r="B333"/>
  <c r="A334"/>
  <c r="B334"/>
  <c r="A335"/>
  <c r="B335"/>
  <c r="A336"/>
  <c r="B336"/>
  <c r="A337"/>
  <c r="B337"/>
  <c r="A338"/>
  <c r="B338"/>
  <c r="A339"/>
  <c r="B339"/>
  <c r="A340"/>
  <c r="B340"/>
  <c r="A341"/>
  <c r="B341"/>
  <c r="A342"/>
  <c r="B342"/>
  <c r="A343"/>
  <c r="B343"/>
  <c r="A344"/>
  <c r="B344"/>
  <c r="A345"/>
  <c r="B345"/>
  <c r="A346"/>
  <c r="B346"/>
  <c r="A347"/>
  <c r="B347"/>
  <c r="A348"/>
  <c r="B348"/>
  <c r="A349"/>
  <c r="B349"/>
  <c r="A350"/>
  <c r="B350"/>
  <c r="A351"/>
  <c r="B351"/>
  <c r="A352"/>
  <c r="B352"/>
  <c r="A353"/>
  <c r="B353"/>
  <c r="A354"/>
  <c r="B354"/>
  <c r="A355"/>
  <c r="B355"/>
  <c r="A356"/>
  <c r="B356"/>
  <c r="A357"/>
  <c r="B357"/>
  <c r="A358"/>
  <c r="B358"/>
  <c r="A359"/>
  <c r="B359"/>
  <c r="A360"/>
  <c r="B360"/>
  <c r="A361"/>
  <c r="B361"/>
  <c r="A362"/>
  <c r="B362"/>
  <c r="H432" i="1"/>
  <c r="H430"/>
  <c r="F13" i="22"/>
  <c r="D13"/>
  <c r="F12"/>
  <c r="D12"/>
  <c r="D9" i="1"/>
  <c r="E9"/>
  <c r="O435"/>
  <c r="D14" i="22"/>
  <c r="F14"/>
  <c r="H431" i="1"/>
  <c r="BT5" i="28"/>
  <c r="E418" i="1"/>
  <c r="V418"/>
  <c r="H435"/>
  <c r="E430"/>
  <c r="E432"/>
  <c r="AC16" i="15"/>
  <c r="AC12"/>
  <c r="AC10"/>
  <c r="AD10"/>
  <c r="AC17"/>
  <c r="AA17"/>
  <c r="Z17"/>
  <c r="AD8"/>
  <c r="S34"/>
  <c r="T34"/>
  <c r="U34"/>
  <c r="V34"/>
  <c r="W34"/>
  <c r="X34"/>
  <c r="Y34"/>
  <c r="Z34"/>
  <c r="AA34"/>
  <c r="AB34"/>
  <c r="AC34"/>
  <c r="AD34"/>
  <c r="V17"/>
  <c r="Y16"/>
  <c r="AB15"/>
  <c r="Y15"/>
  <c r="V10"/>
  <c r="AD21"/>
  <c r="Z21"/>
  <c r="V21"/>
  <c r="AD19"/>
  <c r="AA19"/>
  <c r="W19"/>
  <c r="AC13"/>
  <c r="AB12"/>
  <c r="Z12"/>
  <c r="X12"/>
  <c r="AA10"/>
  <c r="Y10"/>
  <c r="X10"/>
  <c r="AD9"/>
  <c r="Z9"/>
  <c r="AB7"/>
  <c r="AB4" s="1"/>
  <c r="H5"/>
  <c r="W9"/>
  <c r="AA20"/>
  <c r="W20"/>
  <c r="H20"/>
  <c r="C20"/>
  <c r="Y17"/>
  <c r="X17"/>
  <c r="Y8"/>
  <c r="W12"/>
  <c r="U10"/>
  <c r="U17"/>
  <c r="A34"/>
  <c r="C5"/>
  <c r="C6"/>
  <c r="C12"/>
  <c r="A4"/>
  <c r="B5" s="1"/>
  <c r="M35"/>
  <c r="M13"/>
  <c r="M11"/>
  <c r="M17"/>
  <c r="M12"/>
  <c r="M23"/>
  <c r="M8"/>
  <c r="M19"/>
  <c r="M10"/>
  <c r="M9"/>
  <c r="M14"/>
  <c r="M18"/>
  <c r="M7"/>
  <c r="M25"/>
  <c r="M22"/>
  <c r="M20"/>
  <c r="M28"/>
  <c r="M6"/>
  <c r="M27"/>
  <c r="M5"/>
  <c r="M16"/>
  <c r="M40"/>
  <c r="M42"/>
  <c r="M37"/>
  <c r="M39"/>
  <c r="M36"/>
  <c r="M41"/>
  <c r="M38"/>
  <c r="M15"/>
  <c r="M24"/>
  <c r="E184" i="27"/>
  <c r="Q273"/>
  <c r="R73"/>
  <c r="R105" s="1"/>
  <c r="P55"/>
  <c r="F82"/>
  <c r="T69"/>
  <c r="T105" s="1"/>
  <c r="F69"/>
  <c r="P71"/>
  <c r="E71" s="1"/>
  <c r="P83"/>
  <c r="Q105"/>
  <c r="F88"/>
  <c r="N76"/>
  <c r="P8" i="1"/>
  <c r="E26" i="29"/>
  <c r="F26"/>
  <c r="G26"/>
  <c r="H26"/>
  <c r="I26"/>
  <c r="J26"/>
  <c r="K26"/>
  <c r="L26"/>
  <c r="M26"/>
  <c r="N26"/>
  <c r="O26"/>
  <c r="P26"/>
  <c r="Q26"/>
  <c r="D26"/>
  <c r="Q27"/>
  <c r="G27"/>
  <c r="Q29"/>
  <c r="Q30"/>
  <c r="Q31"/>
  <c r="Q32"/>
  <c r="Q33"/>
  <c r="M31"/>
  <c r="I33"/>
  <c r="G32"/>
  <c r="G34" s="1"/>
  <c r="J30"/>
  <c r="I29"/>
  <c r="Q28"/>
  <c r="F28"/>
  <c r="E6"/>
  <c r="F6"/>
  <c r="G6"/>
  <c r="H6"/>
  <c r="I6"/>
  <c r="J6"/>
  <c r="K6"/>
  <c r="L6"/>
  <c r="M6"/>
  <c r="N6"/>
  <c r="O6"/>
  <c r="P6"/>
  <c r="Q6"/>
  <c r="E4"/>
  <c r="F4"/>
  <c r="G4"/>
  <c r="H4"/>
  <c r="I4"/>
  <c r="J4"/>
  <c r="K4"/>
  <c r="L4"/>
  <c r="M4"/>
  <c r="N4"/>
  <c r="O4"/>
  <c r="P4"/>
  <c r="Q4"/>
  <c r="E3"/>
  <c r="F3"/>
  <c r="G3"/>
  <c r="H3"/>
  <c r="I3"/>
  <c r="J3"/>
  <c r="K3"/>
  <c r="L3"/>
  <c r="M3"/>
  <c r="N3"/>
  <c r="O3"/>
  <c r="P3"/>
  <c r="Q3"/>
  <c r="D6"/>
  <c r="D4"/>
  <c r="D3"/>
  <c r="O21"/>
  <c r="H21"/>
  <c r="Q22"/>
  <c r="Q20"/>
  <c r="Q19"/>
  <c r="Q18"/>
  <c r="Q17"/>
  <c r="Q16"/>
  <c r="Q15"/>
  <c r="Q14"/>
  <c r="Q13"/>
  <c r="Q12"/>
  <c r="Q11"/>
  <c r="Q10"/>
  <c r="Q9"/>
  <c r="Q8"/>
  <c r="P22"/>
  <c r="P20"/>
  <c r="P19"/>
  <c r="P18"/>
  <c r="P17"/>
  <c r="P16"/>
  <c r="P15"/>
  <c r="P14"/>
  <c r="P13"/>
  <c r="P12"/>
  <c r="P11"/>
  <c r="P10"/>
  <c r="P9"/>
  <c r="P8"/>
  <c r="O22"/>
  <c r="O20"/>
  <c r="O19"/>
  <c r="O18"/>
  <c r="O17"/>
  <c r="O16"/>
  <c r="O15"/>
  <c r="O14"/>
  <c r="O13"/>
  <c r="O12"/>
  <c r="O11"/>
  <c r="O10"/>
  <c r="O9"/>
  <c r="O8"/>
  <c r="N22"/>
  <c r="N20"/>
  <c r="N19"/>
  <c r="N18"/>
  <c r="N17"/>
  <c r="N16"/>
  <c r="N15"/>
  <c r="N14"/>
  <c r="N13"/>
  <c r="N12"/>
  <c r="N11"/>
  <c r="N10"/>
  <c r="N9"/>
  <c r="N8"/>
  <c r="M22"/>
  <c r="M20"/>
  <c r="M19"/>
  <c r="M18"/>
  <c r="M17"/>
  <c r="M16"/>
  <c r="M15"/>
  <c r="M14"/>
  <c r="M13"/>
  <c r="M12"/>
  <c r="M11"/>
  <c r="M10"/>
  <c r="M9"/>
  <c r="M8"/>
  <c r="L22"/>
  <c r="L20"/>
  <c r="L19"/>
  <c r="L18"/>
  <c r="L17"/>
  <c r="L16"/>
  <c r="L15"/>
  <c r="L14"/>
  <c r="L13"/>
  <c r="L12"/>
  <c r="L11"/>
  <c r="L10"/>
  <c r="L9"/>
  <c r="L8"/>
  <c r="J22"/>
  <c r="J20"/>
  <c r="J19"/>
  <c r="J18"/>
  <c r="J17"/>
  <c r="J16"/>
  <c r="J15"/>
  <c r="J14"/>
  <c r="J13"/>
  <c r="J12"/>
  <c r="J11"/>
  <c r="J10"/>
  <c r="J9"/>
  <c r="J8"/>
  <c r="I22"/>
  <c r="I20"/>
  <c r="I19"/>
  <c r="I18"/>
  <c r="I17"/>
  <c r="I16"/>
  <c r="I15"/>
  <c r="I14"/>
  <c r="I13"/>
  <c r="I12"/>
  <c r="I11"/>
  <c r="I10"/>
  <c r="I9"/>
  <c r="I8"/>
  <c r="H22"/>
  <c r="H20"/>
  <c r="H19"/>
  <c r="H18"/>
  <c r="H17"/>
  <c r="H16"/>
  <c r="H15"/>
  <c r="H14"/>
  <c r="H13"/>
  <c r="H12"/>
  <c r="H11"/>
  <c r="H10"/>
  <c r="H9"/>
  <c r="H8"/>
  <c r="G22"/>
  <c r="G20"/>
  <c r="G19"/>
  <c r="G18"/>
  <c r="G17"/>
  <c r="G16"/>
  <c r="G15"/>
  <c r="G14"/>
  <c r="G13"/>
  <c r="G12"/>
  <c r="G11"/>
  <c r="G10"/>
  <c r="G9"/>
  <c r="G8"/>
  <c r="F22"/>
  <c r="F20"/>
  <c r="F19"/>
  <c r="F18"/>
  <c r="F17"/>
  <c r="F16"/>
  <c r="F15"/>
  <c r="F14"/>
  <c r="F13"/>
  <c r="F12"/>
  <c r="F11"/>
  <c r="F10"/>
  <c r="F9"/>
  <c r="F8"/>
  <c r="E22"/>
  <c r="R22" s="1"/>
  <c r="E20"/>
  <c r="R20" s="1"/>
  <c r="E19"/>
  <c r="E18"/>
  <c r="R18" s="1"/>
  <c r="E17"/>
  <c r="E16"/>
  <c r="R16" s="1"/>
  <c r="E15"/>
  <c r="E14"/>
  <c r="R14" s="1"/>
  <c r="E13"/>
  <c r="E12"/>
  <c r="E11"/>
  <c r="E10"/>
  <c r="E9"/>
  <c r="E8"/>
  <c r="D22"/>
  <c r="D20"/>
  <c r="D19"/>
  <c r="D18"/>
  <c r="D17"/>
  <c r="D16"/>
  <c r="D15"/>
  <c r="D14"/>
  <c r="D13"/>
  <c r="D12"/>
  <c r="D11"/>
  <c r="D10"/>
  <c r="D9"/>
  <c r="D8"/>
  <c r="R12"/>
  <c r="R25"/>
  <c r="R27"/>
  <c r="R28"/>
  <c r="R29"/>
  <c r="R30"/>
  <c r="R31"/>
  <c r="R32"/>
  <c r="R33"/>
  <c r="R26"/>
  <c r="E34"/>
  <c r="F34"/>
  <c r="H34"/>
  <c r="I34"/>
  <c r="J34"/>
  <c r="K34"/>
  <c r="L34"/>
  <c r="M34"/>
  <c r="N34"/>
  <c r="O34"/>
  <c r="P34"/>
  <c r="K23"/>
  <c r="E7"/>
  <c r="F7"/>
  <c r="G7"/>
  <c r="H7"/>
  <c r="I7"/>
  <c r="J7"/>
  <c r="K7"/>
  <c r="L7"/>
  <c r="M7"/>
  <c r="N7"/>
  <c r="O7"/>
  <c r="P7"/>
  <c r="Q7"/>
  <c r="R5"/>
  <c r="D5" s="1"/>
  <c r="D7" s="1"/>
  <c r="R4"/>
  <c r="R6"/>
  <c r="R8"/>
  <c r="R9"/>
  <c r="R10"/>
  <c r="R11"/>
  <c r="R13"/>
  <c r="R15"/>
  <c r="R17"/>
  <c r="R19"/>
  <c r="R3"/>
  <c r="C45"/>
  <c r="C40" s="1"/>
  <c r="C38"/>
  <c r="Q34"/>
  <c r="D25"/>
  <c r="D34" s="1"/>
  <c r="T381" i="1"/>
  <c r="H404"/>
  <c r="A5" i="27"/>
  <c r="B1"/>
  <c r="D1" s="1"/>
  <c r="I385" i="1"/>
  <c r="H402"/>
  <c r="E404"/>
  <c r="Q382"/>
  <c r="E385"/>
  <c r="H406"/>
  <c r="H407"/>
  <c r="E407" s="1"/>
  <c r="E402"/>
  <c r="G408"/>
  <c r="L407"/>
  <c r="K406"/>
  <c r="F384"/>
  <c r="E384" s="1"/>
  <c r="E383"/>
  <c r="E382"/>
  <c r="E441"/>
  <c r="Q388"/>
  <c r="E388" s="1"/>
  <c r="H365"/>
  <c r="E365" s="1"/>
  <c r="G370"/>
  <c r="G342" s="1"/>
  <c r="T362"/>
  <c r="T342" s="1"/>
  <c r="H367"/>
  <c r="Q359"/>
  <c r="E359" s="1"/>
  <c r="L367"/>
  <c r="O370"/>
  <c r="O342" s="1"/>
  <c r="I342"/>
  <c r="J342"/>
  <c r="K342"/>
  <c r="M342"/>
  <c r="N342"/>
  <c r="Q342"/>
  <c r="R342"/>
  <c r="S342"/>
  <c r="U342"/>
  <c r="V342"/>
  <c r="W342"/>
  <c r="T392"/>
  <c r="L369"/>
  <c r="L342" s="1"/>
  <c r="H369"/>
  <c r="E358"/>
  <c r="H332"/>
  <c r="I9"/>
  <c r="H330"/>
  <c r="I313"/>
  <c r="E313" s="1"/>
  <c r="H334"/>
  <c r="E334" s="1"/>
  <c r="L332"/>
  <c r="G324"/>
  <c r="F593" i="18"/>
  <c r="F592"/>
  <c r="F591"/>
  <c r="F590"/>
  <c r="F589"/>
  <c r="F588"/>
  <c r="F587"/>
  <c r="F586"/>
  <c r="H586" s="1"/>
  <c r="F585"/>
  <c r="H585" s="1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H613" s="1"/>
  <c r="F584"/>
  <c r="AR211" i="24"/>
  <c r="AQ211"/>
  <c r="AR186"/>
  <c r="AQ186"/>
  <c r="AR161"/>
  <c r="AQ161"/>
  <c r="AR136"/>
  <c r="AQ136"/>
  <c r="AR111"/>
  <c r="AQ111"/>
  <c r="AR86"/>
  <c r="AQ86"/>
  <c r="AR36"/>
  <c r="AQ36"/>
  <c r="AR72"/>
  <c r="AR61" s="1"/>
  <c r="AQ72"/>
  <c r="AQ61" s="1"/>
  <c r="N583" i="18"/>
  <c r="K583"/>
  <c r="F551"/>
  <c r="K551" s="1"/>
  <c r="G551"/>
  <c r="N551" s="1"/>
  <c r="F552"/>
  <c r="H552" s="1"/>
  <c r="G552"/>
  <c r="F553"/>
  <c r="H553" s="1"/>
  <c r="G553"/>
  <c r="F554"/>
  <c r="H554" s="1"/>
  <c r="G554"/>
  <c r="F555"/>
  <c r="H555" s="1"/>
  <c r="G555"/>
  <c r="F556"/>
  <c r="H556" s="1"/>
  <c r="G556"/>
  <c r="F557"/>
  <c r="H557" s="1"/>
  <c r="G557"/>
  <c r="F558"/>
  <c r="H558" s="1"/>
  <c r="G558"/>
  <c r="F559"/>
  <c r="H559" s="1"/>
  <c r="G559"/>
  <c r="F560"/>
  <c r="H560" s="1"/>
  <c r="G560"/>
  <c r="F561"/>
  <c r="H561" s="1"/>
  <c r="G561"/>
  <c r="F562"/>
  <c r="H562" s="1"/>
  <c r="G562"/>
  <c r="F563"/>
  <c r="G563"/>
  <c r="F564"/>
  <c r="H564" s="1"/>
  <c r="G564"/>
  <c r="F565"/>
  <c r="H565" s="1"/>
  <c r="G565"/>
  <c r="F566"/>
  <c r="H566" s="1"/>
  <c r="G566"/>
  <c r="F567"/>
  <c r="H567" s="1"/>
  <c r="G567"/>
  <c r="F568"/>
  <c r="H568" s="1"/>
  <c r="G568"/>
  <c r="F569"/>
  <c r="H569" s="1"/>
  <c r="G569"/>
  <c r="F570"/>
  <c r="H570" s="1"/>
  <c r="G570"/>
  <c r="F571"/>
  <c r="H571" s="1"/>
  <c r="G571"/>
  <c r="F572"/>
  <c r="H572" s="1"/>
  <c r="G572"/>
  <c r="F573"/>
  <c r="H573" s="1"/>
  <c r="G573"/>
  <c r="F574"/>
  <c r="H574" s="1"/>
  <c r="G574"/>
  <c r="F575"/>
  <c r="H575" s="1"/>
  <c r="G575"/>
  <c r="F576"/>
  <c r="H576" s="1"/>
  <c r="G576"/>
  <c r="F577"/>
  <c r="H577" s="1"/>
  <c r="G577"/>
  <c r="F578"/>
  <c r="H578" s="1"/>
  <c r="G578"/>
  <c r="F579"/>
  <c r="G579"/>
  <c r="F580"/>
  <c r="H580" s="1"/>
  <c r="G580"/>
  <c r="G584"/>
  <c r="G585"/>
  <c r="G586"/>
  <c r="H587"/>
  <c r="G587"/>
  <c r="H588"/>
  <c r="G588"/>
  <c r="H589"/>
  <c r="G589"/>
  <c r="H590"/>
  <c r="G590"/>
  <c r="H591"/>
  <c r="G591"/>
  <c r="H592"/>
  <c r="G592"/>
  <c r="H593"/>
  <c r="G593"/>
  <c r="H594"/>
  <c r="G594"/>
  <c r="H595"/>
  <c r="G595"/>
  <c r="H596"/>
  <c r="G596"/>
  <c r="H597"/>
  <c r="G597"/>
  <c r="H598"/>
  <c r="G598"/>
  <c r="H599"/>
  <c r="G599"/>
  <c r="H600"/>
  <c r="G600"/>
  <c r="H601"/>
  <c r="G601"/>
  <c r="H602"/>
  <c r="G602"/>
  <c r="H603"/>
  <c r="G603"/>
  <c r="H604"/>
  <c r="G604"/>
  <c r="H605"/>
  <c r="G605"/>
  <c r="H606"/>
  <c r="G606"/>
  <c r="H607"/>
  <c r="G607"/>
  <c r="H608"/>
  <c r="G608"/>
  <c r="H609"/>
  <c r="G609"/>
  <c r="H610"/>
  <c r="G610"/>
  <c r="H611"/>
  <c r="G611"/>
  <c r="H612"/>
  <c r="G612"/>
  <c r="G613"/>
  <c r="O583"/>
  <c r="L583"/>
  <c r="D583"/>
  <c r="C583"/>
  <c r="G581"/>
  <c r="F581"/>
  <c r="H581" s="1"/>
  <c r="H579"/>
  <c r="H563"/>
  <c r="O550"/>
  <c r="L550"/>
  <c r="D550"/>
  <c r="C550"/>
  <c r="L330" i="1"/>
  <c r="H333"/>
  <c r="E333" s="1"/>
  <c r="E326"/>
  <c r="G6" i="18"/>
  <c r="F6"/>
  <c r="F3"/>
  <c r="F5"/>
  <c r="G3"/>
  <c r="G5"/>
  <c r="F10"/>
  <c r="G10"/>
  <c r="O10"/>
  <c r="L10"/>
  <c r="G335" i="1"/>
  <c r="E321"/>
  <c r="F312"/>
  <c r="E312" s="1"/>
  <c r="T311"/>
  <c r="E310"/>
  <c r="E309"/>
  <c r="E308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E302"/>
  <c r="J281"/>
  <c r="Q291"/>
  <c r="I281"/>
  <c r="O314"/>
  <c r="F292"/>
  <c r="E278"/>
  <c r="E277"/>
  <c r="E276"/>
  <c r="E263"/>
  <c r="E267"/>
  <c r="AN810" i="24"/>
  <c r="AN809"/>
  <c r="AN808"/>
  <c r="AN807"/>
  <c r="AN806"/>
  <c r="AN805"/>
  <c r="AN804"/>
  <c r="AN803"/>
  <c r="AN802"/>
  <c r="AN801"/>
  <c r="AN800"/>
  <c r="AN799"/>
  <c r="AN798"/>
  <c r="AN797"/>
  <c r="AN796"/>
  <c r="AN795"/>
  <c r="AN794"/>
  <c r="AN793"/>
  <c r="AN792"/>
  <c r="AN791"/>
  <c r="AN790"/>
  <c r="AN789"/>
  <c r="AN788"/>
  <c r="AN787"/>
  <c r="AN785"/>
  <c r="AN784"/>
  <c r="AN783"/>
  <c r="AN782"/>
  <c r="AN781"/>
  <c r="AN780"/>
  <c r="AN779"/>
  <c r="AN778"/>
  <c r="AN777"/>
  <c r="AN776"/>
  <c r="AN775"/>
  <c r="AN774"/>
  <c r="AN773"/>
  <c r="AN772"/>
  <c r="AN771"/>
  <c r="AN770"/>
  <c r="AN769"/>
  <c r="AN768"/>
  <c r="AN767"/>
  <c r="AN766"/>
  <c r="AN765"/>
  <c r="AN764"/>
  <c r="AN763"/>
  <c r="AN762"/>
  <c r="AN760"/>
  <c r="AN759"/>
  <c r="AN758"/>
  <c r="AN757"/>
  <c r="AN756"/>
  <c r="AN755"/>
  <c r="AN754"/>
  <c r="AN753"/>
  <c r="AN752"/>
  <c r="AN751"/>
  <c r="AN750"/>
  <c r="AN749"/>
  <c r="AN748"/>
  <c r="AN747"/>
  <c r="AN746"/>
  <c r="AN745"/>
  <c r="AN744"/>
  <c r="AN743"/>
  <c r="AN742"/>
  <c r="AN741"/>
  <c r="AN740"/>
  <c r="AN739"/>
  <c r="AN738"/>
  <c r="AN737"/>
  <c r="AN735"/>
  <c r="AN734"/>
  <c r="AN733"/>
  <c r="AN732"/>
  <c r="AN731"/>
  <c r="AN730"/>
  <c r="AN729"/>
  <c r="AN728"/>
  <c r="AN727"/>
  <c r="AN726"/>
  <c r="AN725"/>
  <c r="AN724"/>
  <c r="AN723"/>
  <c r="AN722"/>
  <c r="AN721"/>
  <c r="AN720"/>
  <c r="AN719"/>
  <c r="AN718"/>
  <c r="AN717"/>
  <c r="AN716"/>
  <c r="AN715"/>
  <c r="AN714"/>
  <c r="AN713"/>
  <c r="AN712"/>
  <c r="AN710"/>
  <c r="AN709"/>
  <c r="AN708"/>
  <c r="AN707"/>
  <c r="AN706"/>
  <c r="AN705"/>
  <c r="AN704"/>
  <c r="AN703"/>
  <c r="AN702"/>
  <c r="AN701"/>
  <c r="AN700"/>
  <c r="AN699"/>
  <c r="AN698"/>
  <c r="AN697"/>
  <c r="AN696"/>
  <c r="AN695"/>
  <c r="AN694"/>
  <c r="AN693"/>
  <c r="AN692"/>
  <c r="AN691"/>
  <c r="AN690"/>
  <c r="AN689"/>
  <c r="AN688"/>
  <c r="AN687"/>
  <c r="AN685"/>
  <c r="AN684"/>
  <c r="AN683"/>
  <c r="AN682"/>
  <c r="AN681"/>
  <c r="AN680"/>
  <c r="AN679"/>
  <c r="AN678"/>
  <c r="AN677"/>
  <c r="AN676"/>
  <c r="AN675"/>
  <c r="AN674"/>
  <c r="AN673"/>
  <c r="AN672"/>
  <c r="AN671"/>
  <c r="AN670"/>
  <c r="AN669"/>
  <c r="AN668"/>
  <c r="AN667"/>
  <c r="AN666"/>
  <c r="AN665"/>
  <c r="AN664"/>
  <c r="AN663"/>
  <c r="AN662"/>
  <c r="AN660"/>
  <c r="AN659"/>
  <c r="AN658"/>
  <c r="AN657"/>
  <c r="AN656"/>
  <c r="AN655"/>
  <c r="AN654"/>
  <c r="AN653"/>
  <c r="AN652"/>
  <c r="AN651"/>
  <c r="AN650"/>
  <c r="AN649"/>
  <c r="AN648"/>
  <c r="AN647"/>
  <c r="AN646"/>
  <c r="AN645"/>
  <c r="AN644"/>
  <c r="AN643"/>
  <c r="AN642"/>
  <c r="AN641"/>
  <c r="AN640"/>
  <c r="AN639"/>
  <c r="AN638"/>
  <c r="AN637"/>
  <c r="AN635"/>
  <c r="AN634"/>
  <c r="AN633"/>
  <c r="AN632"/>
  <c r="AN631"/>
  <c r="AN630"/>
  <c r="AN629"/>
  <c r="AN628"/>
  <c r="AN627"/>
  <c r="AN626"/>
  <c r="AN625"/>
  <c r="AN624"/>
  <c r="AN623"/>
  <c r="AN622"/>
  <c r="AN621"/>
  <c r="AN620"/>
  <c r="AN619"/>
  <c r="AN618"/>
  <c r="AN617"/>
  <c r="AN616"/>
  <c r="AN615"/>
  <c r="AN614"/>
  <c r="AN613"/>
  <c r="AN612"/>
  <c r="AN610"/>
  <c r="AN609"/>
  <c r="AN608"/>
  <c r="AN607"/>
  <c r="AN606"/>
  <c r="AN605"/>
  <c r="AN604"/>
  <c r="AN603"/>
  <c r="AN602"/>
  <c r="AN601"/>
  <c r="AN600"/>
  <c r="AN599"/>
  <c r="AN598"/>
  <c r="AN597"/>
  <c r="AN596"/>
  <c r="AN595"/>
  <c r="AN594"/>
  <c r="AN593"/>
  <c r="AN592"/>
  <c r="AN591"/>
  <c r="AN590"/>
  <c r="AN589"/>
  <c r="AN588"/>
  <c r="AN587"/>
  <c r="AN585"/>
  <c r="AN584"/>
  <c r="AN583"/>
  <c r="AN582"/>
  <c r="AN581"/>
  <c r="AN580"/>
  <c r="AN579"/>
  <c r="AN578"/>
  <c r="AN577"/>
  <c r="AN576"/>
  <c r="AN575"/>
  <c r="AN574"/>
  <c r="AN573"/>
  <c r="AN572"/>
  <c r="AN571"/>
  <c r="AN570"/>
  <c r="AN569"/>
  <c r="AN568"/>
  <c r="AN567"/>
  <c r="AN566"/>
  <c r="AN565"/>
  <c r="AN564"/>
  <c r="AN563"/>
  <c r="AN562"/>
  <c r="AN560"/>
  <c r="AN559"/>
  <c r="AN558"/>
  <c r="AN557"/>
  <c r="AN556"/>
  <c r="AN555"/>
  <c r="AN554"/>
  <c r="AN553"/>
  <c r="AN552"/>
  <c r="AN551"/>
  <c r="AN550"/>
  <c r="AN549"/>
  <c r="AN548"/>
  <c r="AN547"/>
  <c r="AN546"/>
  <c r="AN545"/>
  <c r="AN544"/>
  <c r="AN543"/>
  <c r="AN542"/>
  <c r="AN541"/>
  <c r="AN540"/>
  <c r="AN539"/>
  <c r="AN538"/>
  <c r="AN537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E264" i="1"/>
  <c r="E262"/>
  <c r="AN235" i="24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62"/>
  <c r="D517" i="18"/>
  <c r="AL235" i="24"/>
  <c r="AL234"/>
  <c r="AL233"/>
  <c r="AL232"/>
  <c r="AL231"/>
  <c r="AL230"/>
  <c r="AT301" s="1"/>
  <c r="AL229"/>
  <c r="AQ343" s="1"/>
  <c r="AL228"/>
  <c r="AL227"/>
  <c r="AL226"/>
  <c r="AL225"/>
  <c r="AL224"/>
  <c r="AL223"/>
  <c r="AL222"/>
  <c r="AL221"/>
  <c r="AL220"/>
  <c r="AL219"/>
  <c r="AL218"/>
  <c r="AL217"/>
  <c r="AL216"/>
  <c r="AL215"/>
  <c r="AL214"/>
  <c r="AL213"/>
  <c r="AL212"/>
  <c r="AL210"/>
  <c r="AL209"/>
  <c r="AL208"/>
  <c r="AL207"/>
  <c r="AL206"/>
  <c r="AL205"/>
  <c r="AT300" s="1"/>
  <c r="AL204"/>
  <c r="AQ342" s="1"/>
  <c r="AL203"/>
  <c r="AL202"/>
  <c r="AL201"/>
  <c r="AL200"/>
  <c r="AL199"/>
  <c r="AL198"/>
  <c r="AL197"/>
  <c r="AL196"/>
  <c r="AL195"/>
  <c r="AL194"/>
  <c r="AL193"/>
  <c r="AL192"/>
  <c r="AL191"/>
  <c r="AL190"/>
  <c r="AL189"/>
  <c r="AL188"/>
  <c r="AL187"/>
  <c r="AL185"/>
  <c r="AL184"/>
  <c r="AL183"/>
  <c r="AL182"/>
  <c r="AL181"/>
  <c r="AL180"/>
  <c r="AT299" s="1"/>
  <c r="AL179"/>
  <c r="AQ341" s="1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0"/>
  <c r="AL159"/>
  <c r="AL158"/>
  <c r="AL157"/>
  <c r="AL156"/>
  <c r="AL155"/>
  <c r="AT298" s="1"/>
  <c r="AL154"/>
  <c r="AQ340" s="1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60"/>
  <c r="AL59"/>
  <c r="AL58"/>
  <c r="AL57"/>
  <c r="AL56"/>
  <c r="AL55"/>
  <c r="AL54"/>
  <c r="AQ336" s="1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85"/>
  <c r="AL84"/>
  <c r="AL83"/>
  <c r="AL82"/>
  <c r="AL81"/>
  <c r="AL80"/>
  <c r="AT295" s="1"/>
  <c r="AL79"/>
  <c r="AQ337" s="1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110"/>
  <c r="AL109"/>
  <c r="AL108"/>
  <c r="AL107"/>
  <c r="AL106"/>
  <c r="AL105"/>
  <c r="AL104"/>
  <c r="AQ338" s="1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Q339" s="1"/>
  <c r="AL130"/>
  <c r="AT297" s="1"/>
  <c r="AL131"/>
  <c r="AL132"/>
  <c r="AL133"/>
  <c r="AL134"/>
  <c r="AL135"/>
  <c r="AL112"/>
  <c r="AL260"/>
  <c r="AL259"/>
  <c r="AL258"/>
  <c r="AL257"/>
  <c r="AL256"/>
  <c r="AL255"/>
  <c r="AT302" s="1"/>
  <c r="AL254"/>
  <c r="AQ344" s="1"/>
  <c r="AL253"/>
  <c r="AL252"/>
  <c r="AL251"/>
  <c r="AL250"/>
  <c r="AL249"/>
  <c r="AL248"/>
  <c r="AL247"/>
  <c r="AL246"/>
  <c r="AL245"/>
  <c r="AL244"/>
  <c r="AL243"/>
  <c r="AL242"/>
  <c r="AL241"/>
  <c r="AL240"/>
  <c r="AL239"/>
  <c r="AL238"/>
  <c r="AL237"/>
  <c r="AL285"/>
  <c r="AL284"/>
  <c r="AL283"/>
  <c r="AL282"/>
  <c r="AL281"/>
  <c r="AL280"/>
  <c r="AT303" s="1"/>
  <c r="AL279"/>
  <c r="AQ345" s="1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310"/>
  <c r="AL309"/>
  <c r="AL308"/>
  <c r="AL307"/>
  <c r="AL306"/>
  <c r="AL305"/>
  <c r="AT304" s="1"/>
  <c r="AL304"/>
  <c r="AQ346" s="1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I786"/>
  <c r="G548" i="18" s="1"/>
  <c r="AH786" i="24"/>
  <c r="F548" i="18" s="1"/>
  <c r="H548" s="1"/>
  <c r="AI761" i="24"/>
  <c r="G547" i="18" s="1"/>
  <c r="AH761" i="24"/>
  <c r="F547" i="18" s="1"/>
  <c r="H547" s="1"/>
  <c r="AI736" i="24"/>
  <c r="AI30" s="1"/>
  <c r="AH736"/>
  <c r="F546" i="18" s="1"/>
  <c r="H546" s="1"/>
  <c r="AI711" i="24"/>
  <c r="G545" i="18" s="1"/>
  <c r="AH711" i="24"/>
  <c r="F545" i="18" s="1"/>
  <c r="H545" s="1"/>
  <c r="AI686" i="24"/>
  <c r="AH686"/>
  <c r="F544" i="18" s="1"/>
  <c r="H544" s="1"/>
  <c r="AI661" i="24"/>
  <c r="G543" i="18" s="1"/>
  <c r="AH661" i="24"/>
  <c r="F543" i="18" s="1"/>
  <c r="H543" s="1"/>
  <c r="AI636" i="24"/>
  <c r="AI26" s="1"/>
  <c r="AH636"/>
  <c r="F542" i="18" s="1"/>
  <c r="H542" s="1"/>
  <c r="AI611" i="24"/>
  <c r="G541" i="18" s="1"/>
  <c r="AH611" i="24"/>
  <c r="F541" i="18" s="1"/>
  <c r="H541" s="1"/>
  <c r="AI586" i="24"/>
  <c r="AI24" s="1"/>
  <c r="AH586"/>
  <c r="F540" i="18" s="1"/>
  <c r="H540" s="1"/>
  <c r="AI561" i="24"/>
  <c r="G539" i="18" s="1"/>
  <c r="AH561" i="24"/>
  <c r="F539" i="18" s="1"/>
  <c r="H539" s="1"/>
  <c r="AI536" i="24"/>
  <c r="AI22" s="1"/>
  <c r="AH536"/>
  <c r="AH22" s="1"/>
  <c r="AI511"/>
  <c r="AH511"/>
  <c r="AH21" s="1"/>
  <c r="AI486"/>
  <c r="G536" i="18" s="1"/>
  <c r="AH486" i="24"/>
  <c r="F536" i="18" s="1"/>
  <c r="H536" s="1"/>
  <c r="AI461" i="24"/>
  <c r="AH461"/>
  <c r="F535" i="18" s="1"/>
  <c r="H535" s="1"/>
  <c r="AI436" i="24"/>
  <c r="G534" i="18" s="1"/>
  <c r="AH436" i="24"/>
  <c r="F534" i="18" s="1"/>
  <c r="H534" s="1"/>
  <c r="AI411" i="24"/>
  <c r="AH411"/>
  <c r="F533" i="18" s="1"/>
  <c r="H533" s="1"/>
  <c r="AI386" i="24"/>
  <c r="G532" i="18" s="1"/>
  <c r="AH386" i="24"/>
  <c r="F532" i="18" s="1"/>
  <c r="H532" s="1"/>
  <c r="AI361" i="24"/>
  <c r="AH361"/>
  <c r="F531" i="18" s="1"/>
  <c r="H531" s="1"/>
  <c r="AI336" i="24"/>
  <c r="G530" i="18" s="1"/>
  <c r="AH336" i="24"/>
  <c r="AH14" s="1"/>
  <c r="AI311"/>
  <c r="G529" i="18" s="1"/>
  <c r="AH311" i="24"/>
  <c r="AH13" s="1"/>
  <c r="AI286"/>
  <c r="AI12" s="1"/>
  <c r="AH286"/>
  <c r="F528" i="18" s="1"/>
  <c r="H528" s="1"/>
  <c r="AI261" i="24"/>
  <c r="G527" i="18" s="1"/>
  <c r="AH261" i="24"/>
  <c r="F527" i="18" s="1"/>
  <c r="H527" s="1"/>
  <c r="AI236" i="24"/>
  <c r="AI10" s="1"/>
  <c r="AH236"/>
  <c r="F526" i="18" s="1"/>
  <c r="AI211" i="24"/>
  <c r="G525" i="18" s="1"/>
  <c r="AH211" i="24"/>
  <c r="F525" i="18" s="1"/>
  <c r="AI186" i="24"/>
  <c r="AI8" s="1"/>
  <c r="AH186"/>
  <c r="F524" i="18" s="1"/>
  <c r="H524" s="1"/>
  <c r="AI161" i="24"/>
  <c r="G523" i="18" s="1"/>
  <c r="AH161" i="24"/>
  <c r="F523" i="18" s="1"/>
  <c r="H523" s="1"/>
  <c r="AI136" i="24"/>
  <c r="G522" i="18" s="1"/>
  <c r="AH136" i="24"/>
  <c r="F522" i="18" s="1"/>
  <c r="H522" s="1"/>
  <c r="AI111" i="24"/>
  <c r="AH111"/>
  <c r="F521" i="18" s="1"/>
  <c r="AI86" i="24"/>
  <c r="AI4" s="1"/>
  <c r="AH86"/>
  <c r="AH4" s="1"/>
  <c r="AI61"/>
  <c r="AH61"/>
  <c r="F519" i="18" s="1"/>
  <c r="AI36" i="24"/>
  <c r="AI2" s="1"/>
  <c r="AH36"/>
  <c r="F518" i="18" s="1"/>
  <c r="K518" s="1"/>
  <c r="AI31" i="24"/>
  <c r="AH31"/>
  <c r="AF31"/>
  <c r="AH30"/>
  <c r="AF30"/>
  <c r="AF29"/>
  <c r="AF28"/>
  <c r="AH27"/>
  <c r="AF27"/>
  <c r="AH26"/>
  <c r="AF26"/>
  <c r="AF25"/>
  <c r="AF24"/>
  <c r="AH23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3"/>
  <c r="AF2"/>
  <c r="E259" i="1"/>
  <c r="F27" i="26"/>
  <c r="E266" i="1"/>
  <c r="R5" i="18"/>
  <c r="R6"/>
  <c r="AA31" i="24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AA2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Q10"/>
  <c r="Q9"/>
  <c r="Q8"/>
  <c r="Q7"/>
  <c r="Q6"/>
  <c r="Q5"/>
  <c r="Q4"/>
  <c r="Q3"/>
  <c r="Q2"/>
  <c r="L19"/>
  <c r="L31"/>
  <c r="L30"/>
  <c r="L29"/>
  <c r="L28"/>
  <c r="L27"/>
  <c r="L26"/>
  <c r="L25"/>
  <c r="L24"/>
  <c r="L23"/>
  <c r="L22"/>
  <c r="L21"/>
  <c r="L20"/>
  <c r="L18"/>
  <c r="L17"/>
  <c r="L16"/>
  <c r="L15"/>
  <c r="L14"/>
  <c r="L13"/>
  <c r="L12"/>
  <c r="L11"/>
  <c r="L10"/>
  <c r="L9"/>
  <c r="L8"/>
  <c r="L7"/>
  <c r="L6"/>
  <c r="L5"/>
  <c r="L4"/>
  <c r="L3"/>
  <c r="L2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B29"/>
  <c r="B28"/>
  <c r="B27"/>
  <c r="B26"/>
  <c r="B25"/>
  <c r="B24"/>
  <c r="B22"/>
  <c r="B23"/>
  <c r="B21"/>
  <c r="B20"/>
  <c r="B19"/>
  <c r="B18"/>
  <c r="B17"/>
  <c r="B16"/>
  <c r="B15"/>
  <c r="B14"/>
  <c r="B13"/>
  <c r="B12"/>
  <c r="B11"/>
  <c r="B10"/>
  <c r="B9"/>
  <c r="B8"/>
  <c r="B7"/>
  <c r="B6"/>
  <c r="B5"/>
  <c r="B4"/>
  <c r="B2"/>
  <c r="B3"/>
  <c r="D36"/>
  <c r="D2" s="1"/>
  <c r="E36"/>
  <c r="E2" s="1"/>
  <c r="G358" i="18" s="1"/>
  <c r="J786" i="24"/>
  <c r="J32" s="1"/>
  <c r="G418" i="18" s="1"/>
  <c r="I786" i="24"/>
  <c r="I32" s="1"/>
  <c r="F418" i="18" s="1"/>
  <c r="E786" i="24"/>
  <c r="D786"/>
  <c r="J761"/>
  <c r="J31" s="1"/>
  <c r="G417" i="18" s="1"/>
  <c r="I761" i="24"/>
  <c r="I31" s="1"/>
  <c r="F417" i="18" s="1"/>
  <c r="E761" i="24"/>
  <c r="D761"/>
  <c r="J736"/>
  <c r="J30" s="1"/>
  <c r="G416" i="18" s="1"/>
  <c r="I736" i="24"/>
  <c r="I30" s="1"/>
  <c r="F416" i="18" s="1"/>
  <c r="E736" i="24"/>
  <c r="D736"/>
  <c r="J711"/>
  <c r="J29" s="1"/>
  <c r="G415" i="18" s="1"/>
  <c r="I711" i="24"/>
  <c r="I29" s="1"/>
  <c r="F415" i="18" s="1"/>
  <c r="E711" i="24"/>
  <c r="E29" s="1"/>
  <c r="G385" i="18" s="1"/>
  <c r="D711" i="24"/>
  <c r="D29" s="1"/>
  <c r="F385" i="18" s="1"/>
  <c r="J686" i="24"/>
  <c r="J28" s="1"/>
  <c r="G414" i="18" s="1"/>
  <c r="I686" i="24"/>
  <c r="I28" s="1"/>
  <c r="F414" i="18" s="1"/>
  <c r="E686" i="24"/>
  <c r="E28" s="1"/>
  <c r="G384" i="18" s="1"/>
  <c r="D686" i="24"/>
  <c r="D28" s="1"/>
  <c r="F384" i="18" s="1"/>
  <c r="J661" i="24"/>
  <c r="I661"/>
  <c r="E661"/>
  <c r="D661"/>
  <c r="J636"/>
  <c r="J26" s="1"/>
  <c r="G412" i="18" s="1"/>
  <c r="I636" i="24"/>
  <c r="I26" s="1"/>
  <c r="F412" i="18" s="1"/>
  <c r="E636" i="24"/>
  <c r="E26" s="1"/>
  <c r="G382" i="18" s="1"/>
  <c r="D636" i="24"/>
  <c r="D26" s="1"/>
  <c r="F382" i="18" s="1"/>
  <c r="J611" i="24"/>
  <c r="J25" s="1"/>
  <c r="G411" i="18" s="1"/>
  <c r="I611" i="24"/>
  <c r="I25" s="1"/>
  <c r="F411" i="18" s="1"/>
  <c r="E611" i="24"/>
  <c r="E25" s="1"/>
  <c r="G381" i="18" s="1"/>
  <c r="D611" i="24"/>
  <c r="D25" s="1"/>
  <c r="F381" i="18" s="1"/>
  <c r="J586" i="24"/>
  <c r="J24" s="1"/>
  <c r="G410" i="18" s="1"/>
  <c r="I586" i="24"/>
  <c r="I24" s="1"/>
  <c r="F410" i="18" s="1"/>
  <c r="E586" i="24"/>
  <c r="E24" s="1"/>
  <c r="G380" i="18" s="1"/>
  <c r="D586" i="24"/>
  <c r="D24" s="1"/>
  <c r="F380" i="18" s="1"/>
  <c r="J561" i="24"/>
  <c r="J23" s="1"/>
  <c r="G409" i="18" s="1"/>
  <c r="I561" i="24"/>
  <c r="I23" s="1"/>
  <c r="F409" i="18" s="1"/>
  <c r="E561" i="24"/>
  <c r="E23" s="1"/>
  <c r="G379" i="18" s="1"/>
  <c r="D561" i="24"/>
  <c r="D23" s="1"/>
  <c r="F379" i="18" s="1"/>
  <c r="J536" i="24"/>
  <c r="J22" s="1"/>
  <c r="G408" i="18" s="1"/>
  <c r="I536" i="24"/>
  <c r="I22" s="1"/>
  <c r="F408" i="18" s="1"/>
  <c r="E536" i="24"/>
  <c r="E22" s="1"/>
  <c r="G378" i="18" s="1"/>
  <c r="D536" i="24"/>
  <c r="D22" s="1"/>
  <c r="F378" i="18" s="1"/>
  <c r="J511" i="24"/>
  <c r="J21" s="1"/>
  <c r="G407" i="18" s="1"/>
  <c r="I511" i="24"/>
  <c r="I21" s="1"/>
  <c r="F407" i="18" s="1"/>
  <c r="E511" i="24"/>
  <c r="E21" s="1"/>
  <c r="G377" i="18" s="1"/>
  <c r="D511" i="24"/>
  <c r="D21" s="1"/>
  <c r="F377" i="18" s="1"/>
  <c r="J486" i="24"/>
  <c r="J20" s="1"/>
  <c r="G406" i="18" s="1"/>
  <c r="I486" i="24"/>
  <c r="I20" s="1"/>
  <c r="F406" i="18" s="1"/>
  <c r="E486" i="24"/>
  <c r="E20" s="1"/>
  <c r="G376" i="18" s="1"/>
  <c r="D486" i="24"/>
  <c r="D19" s="1"/>
  <c r="F375" i="18" s="1"/>
  <c r="J461" i="24"/>
  <c r="J19" s="1"/>
  <c r="G405" i="18" s="1"/>
  <c r="I461" i="24"/>
  <c r="E461"/>
  <c r="E19" s="1"/>
  <c r="G375" i="18" s="1"/>
  <c r="D461" i="24"/>
  <c r="J436"/>
  <c r="J18" s="1"/>
  <c r="G404" i="18" s="1"/>
  <c r="I436" i="24"/>
  <c r="I18" s="1"/>
  <c r="F404" i="18" s="1"/>
  <c r="E436" i="24"/>
  <c r="E18" s="1"/>
  <c r="G374" i="18" s="1"/>
  <c r="D436" i="24"/>
  <c r="D18" s="1"/>
  <c r="F374" i="18" s="1"/>
  <c r="J411" i="24"/>
  <c r="J17" s="1"/>
  <c r="G403" i="18" s="1"/>
  <c r="I411" i="24"/>
  <c r="I17" s="1"/>
  <c r="F403" i="18" s="1"/>
  <c r="E411" i="24"/>
  <c r="E17" s="1"/>
  <c r="G373" i="18" s="1"/>
  <c r="D411" i="24"/>
  <c r="D17" s="1"/>
  <c r="F373" i="18" s="1"/>
  <c r="J386" i="24"/>
  <c r="J16" s="1"/>
  <c r="G402" i="18" s="1"/>
  <c r="I386" i="24"/>
  <c r="I16" s="1"/>
  <c r="F402" i="18" s="1"/>
  <c r="E386" i="24"/>
  <c r="E16" s="1"/>
  <c r="G372" i="18" s="1"/>
  <c r="D386" i="24"/>
  <c r="D16" s="1"/>
  <c r="F372" i="18" s="1"/>
  <c r="J361" i="24"/>
  <c r="J27" s="1"/>
  <c r="G413" i="18" s="1"/>
  <c r="I361" i="24"/>
  <c r="I27" s="1"/>
  <c r="F413" i="18" s="1"/>
  <c r="E361" i="24"/>
  <c r="E15" s="1"/>
  <c r="G371" i="18" s="1"/>
  <c r="D361" i="24"/>
  <c r="D27" s="1"/>
  <c r="F383" i="18" s="1"/>
  <c r="J336" i="24"/>
  <c r="J14" s="1"/>
  <c r="G400" i="18" s="1"/>
  <c r="I336" i="24"/>
  <c r="I14" s="1"/>
  <c r="F400" i="18" s="1"/>
  <c r="E336" i="24"/>
  <c r="E14" s="1"/>
  <c r="G370" i="18" s="1"/>
  <c r="D336" i="24"/>
  <c r="D14" s="1"/>
  <c r="F370" i="18" s="1"/>
  <c r="J311" i="24"/>
  <c r="J13" s="1"/>
  <c r="G399" i="18" s="1"/>
  <c r="I311" i="24"/>
  <c r="I13" s="1"/>
  <c r="F399" i="18" s="1"/>
  <c r="E311" i="24"/>
  <c r="E13" s="1"/>
  <c r="G369" i="18" s="1"/>
  <c r="D311" i="24"/>
  <c r="D13" s="1"/>
  <c r="F369" i="18" s="1"/>
  <c r="J286" i="24"/>
  <c r="J12" s="1"/>
  <c r="G398" i="18" s="1"/>
  <c r="I286" i="24"/>
  <c r="I12" s="1"/>
  <c r="F398" i="18" s="1"/>
  <c r="E286" i="24"/>
  <c r="E12" s="1"/>
  <c r="G368" i="18" s="1"/>
  <c r="D286" i="24"/>
  <c r="D12" s="1"/>
  <c r="F368" i="18" s="1"/>
  <c r="J261" i="24"/>
  <c r="J11" s="1"/>
  <c r="G397" i="18" s="1"/>
  <c r="I261" i="24"/>
  <c r="I11" s="1"/>
  <c r="F397" i="18" s="1"/>
  <c r="E261" i="24"/>
  <c r="E11" s="1"/>
  <c r="G367" i="18" s="1"/>
  <c r="D261" i="24"/>
  <c r="D11" s="1"/>
  <c r="F367" i="18" s="1"/>
  <c r="J236" i="24"/>
  <c r="J10" s="1"/>
  <c r="G396" i="18" s="1"/>
  <c r="I236" i="24"/>
  <c r="I10" s="1"/>
  <c r="F396" i="18" s="1"/>
  <c r="E236" i="24"/>
  <c r="E10" s="1"/>
  <c r="G366" i="18" s="1"/>
  <c r="D236" i="24"/>
  <c r="D10" s="1"/>
  <c r="F366" i="18" s="1"/>
  <c r="J211" i="24"/>
  <c r="J9" s="1"/>
  <c r="G395" i="18" s="1"/>
  <c r="I211" i="24"/>
  <c r="I9" s="1"/>
  <c r="F395" i="18" s="1"/>
  <c r="E211" i="24"/>
  <c r="E9" s="1"/>
  <c r="G365" i="18" s="1"/>
  <c r="D211" i="24"/>
  <c r="D9" s="1"/>
  <c r="F365" i="18" s="1"/>
  <c r="J186" i="24"/>
  <c r="J8" s="1"/>
  <c r="G394" i="18" s="1"/>
  <c r="I186" i="24"/>
  <c r="I8" s="1"/>
  <c r="F394" i="18" s="1"/>
  <c r="E186" i="24"/>
  <c r="E8" s="1"/>
  <c r="G364" i="18" s="1"/>
  <c r="D186" i="24"/>
  <c r="D8" s="1"/>
  <c r="F364" i="18" s="1"/>
  <c r="J161" i="24"/>
  <c r="J7" s="1"/>
  <c r="G393" i="18" s="1"/>
  <c r="I161" i="24"/>
  <c r="I6" s="1"/>
  <c r="F392" i="18" s="1"/>
  <c r="E161" i="24"/>
  <c r="E7" s="1"/>
  <c r="G363" i="18" s="1"/>
  <c r="D161" i="24"/>
  <c r="D6" s="1"/>
  <c r="F362" i="18" s="1"/>
  <c r="J136" i="24"/>
  <c r="I136"/>
  <c r="E136"/>
  <c r="D136"/>
  <c r="J111"/>
  <c r="J5" s="1"/>
  <c r="G391" i="18" s="1"/>
  <c r="I111" i="24"/>
  <c r="I5" s="1"/>
  <c r="F391" i="18" s="1"/>
  <c r="E111" i="24"/>
  <c r="E5" s="1"/>
  <c r="G361" i="18" s="1"/>
  <c r="D111" i="24"/>
  <c r="J86"/>
  <c r="J4" s="1"/>
  <c r="G390" i="18" s="1"/>
  <c r="I86" i="24"/>
  <c r="I4" s="1"/>
  <c r="F390" i="18" s="1"/>
  <c r="J61" i="24"/>
  <c r="J3" s="1"/>
  <c r="G389" i="18" s="1"/>
  <c r="I61" i="24"/>
  <c r="I3" s="1"/>
  <c r="F389" i="18" s="1"/>
  <c r="J36" i="24"/>
  <c r="J2" s="1"/>
  <c r="I36"/>
  <c r="I2" s="1"/>
  <c r="E86"/>
  <c r="E4" s="1"/>
  <c r="G360" i="18" s="1"/>
  <c r="D86" i="24"/>
  <c r="E61"/>
  <c r="E3" s="1"/>
  <c r="G359" i="18" s="1"/>
  <c r="D61" i="24"/>
  <c r="E250" i="1"/>
  <c r="AM810" i="24"/>
  <c r="AL810"/>
  <c r="AK810"/>
  <c r="AM809"/>
  <c r="AL809"/>
  <c r="AK809"/>
  <c r="AM808"/>
  <c r="AL808"/>
  <c r="AK808"/>
  <c r="AM807"/>
  <c r="AL807"/>
  <c r="AK807"/>
  <c r="AM806"/>
  <c r="AL806"/>
  <c r="AK806"/>
  <c r="AM805"/>
  <c r="AU324" s="1"/>
  <c r="AL805"/>
  <c r="AT324" s="1"/>
  <c r="AK805"/>
  <c r="AS324" s="1"/>
  <c r="AM804"/>
  <c r="AR366" s="1"/>
  <c r="AL804"/>
  <c r="AQ366" s="1"/>
  <c r="AK804"/>
  <c r="AP367" s="1"/>
  <c r="AM803"/>
  <c r="AL803"/>
  <c r="AK803"/>
  <c r="AM802"/>
  <c r="AL802"/>
  <c r="AK802"/>
  <c r="AM801"/>
  <c r="AL801"/>
  <c r="AK801"/>
  <c r="AM800"/>
  <c r="AL800"/>
  <c r="AK800"/>
  <c r="AM799"/>
  <c r="AL799"/>
  <c r="AK799"/>
  <c r="AM798"/>
  <c r="AL798"/>
  <c r="AK798"/>
  <c r="AM797"/>
  <c r="AL797"/>
  <c r="AK797"/>
  <c r="AM796"/>
  <c r="AL796"/>
  <c r="AK796"/>
  <c r="AM795"/>
  <c r="AL795"/>
  <c r="AK795"/>
  <c r="AM794"/>
  <c r="AL794"/>
  <c r="AK794"/>
  <c r="AM793"/>
  <c r="AL793"/>
  <c r="AK793"/>
  <c r="AM792"/>
  <c r="AL792"/>
  <c r="AK792"/>
  <c r="AM791"/>
  <c r="AL791"/>
  <c r="AK791"/>
  <c r="AM790"/>
  <c r="AL790"/>
  <c r="AK790"/>
  <c r="AM789"/>
  <c r="AL789"/>
  <c r="AK789"/>
  <c r="AM788"/>
  <c r="AL788"/>
  <c r="AK788"/>
  <c r="AM787"/>
  <c r="AL787"/>
  <c r="AK787"/>
  <c r="AM785"/>
  <c r="AL785"/>
  <c r="AK785"/>
  <c r="AM784"/>
  <c r="AL784"/>
  <c r="AK784"/>
  <c r="AM783"/>
  <c r="AL783"/>
  <c r="AK783"/>
  <c r="AM782"/>
  <c r="AL782"/>
  <c r="AK782"/>
  <c r="AM781"/>
  <c r="AL781"/>
  <c r="AK781"/>
  <c r="AM780"/>
  <c r="AU323" s="1"/>
  <c r="AL780"/>
  <c r="AT323" s="1"/>
  <c r="AK780"/>
  <c r="AS323" s="1"/>
  <c r="AM779"/>
  <c r="AR365" s="1"/>
  <c r="AL779"/>
  <c r="AQ365" s="1"/>
  <c r="AK779"/>
  <c r="AP366" s="1"/>
  <c r="AM778"/>
  <c r="AL778"/>
  <c r="AK778"/>
  <c r="AM777"/>
  <c r="AL777"/>
  <c r="AK777"/>
  <c r="AM776"/>
  <c r="AL776"/>
  <c r="AK776"/>
  <c r="AM775"/>
  <c r="AL775"/>
  <c r="AK775"/>
  <c r="AM774"/>
  <c r="AL774"/>
  <c r="AK774"/>
  <c r="AM773"/>
  <c r="AL773"/>
  <c r="AK773"/>
  <c r="AM772"/>
  <c r="AL772"/>
  <c r="AK772"/>
  <c r="AM771"/>
  <c r="AL771"/>
  <c r="AK771"/>
  <c r="AM770"/>
  <c r="AL770"/>
  <c r="AK770"/>
  <c r="AM769"/>
  <c r="AL769"/>
  <c r="AK769"/>
  <c r="AM768"/>
  <c r="AL768"/>
  <c r="AK768"/>
  <c r="AM767"/>
  <c r="AL767"/>
  <c r="AK767"/>
  <c r="AM766"/>
  <c r="AL766"/>
  <c r="AK766"/>
  <c r="AM765"/>
  <c r="AL765"/>
  <c r="AK765"/>
  <c r="AM764"/>
  <c r="AL764"/>
  <c r="AK764"/>
  <c r="AM763"/>
  <c r="AL763"/>
  <c r="AK763"/>
  <c r="AM762"/>
  <c r="AL762"/>
  <c r="AK762"/>
  <c r="AM760"/>
  <c r="AL760"/>
  <c r="AK760"/>
  <c r="AM759"/>
  <c r="AL759"/>
  <c r="AK759"/>
  <c r="AM758"/>
  <c r="AL758"/>
  <c r="AK758"/>
  <c r="AM757"/>
  <c r="AL757"/>
  <c r="AK757"/>
  <c r="AM756"/>
  <c r="AL756"/>
  <c r="AK756"/>
  <c r="AM755"/>
  <c r="AU322" s="1"/>
  <c r="AL755"/>
  <c r="AT322" s="1"/>
  <c r="AK755"/>
  <c r="AS322" s="1"/>
  <c r="AM754"/>
  <c r="AR364" s="1"/>
  <c r="AL754"/>
  <c r="AQ364" s="1"/>
  <c r="AK754"/>
  <c r="AP365" s="1"/>
  <c r="AM753"/>
  <c r="AL753"/>
  <c r="AK753"/>
  <c r="AM752"/>
  <c r="AL752"/>
  <c r="AK752"/>
  <c r="AM751"/>
  <c r="AL751"/>
  <c r="AK751"/>
  <c r="AM750"/>
  <c r="AL750"/>
  <c r="AK750"/>
  <c r="AM749"/>
  <c r="AL749"/>
  <c r="AK749"/>
  <c r="AM748"/>
  <c r="AL748"/>
  <c r="AK748"/>
  <c r="AM747"/>
  <c r="AL747"/>
  <c r="AK747"/>
  <c r="AM746"/>
  <c r="AL746"/>
  <c r="AK746"/>
  <c r="AM745"/>
  <c r="AL745"/>
  <c r="AK745"/>
  <c r="AM744"/>
  <c r="AL744"/>
  <c r="AK744"/>
  <c r="AM743"/>
  <c r="AL743"/>
  <c r="AK743"/>
  <c r="AM742"/>
  <c r="AL742"/>
  <c r="AK742"/>
  <c r="AM741"/>
  <c r="AL741"/>
  <c r="AK741"/>
  <c r="AM740"/>
  <c r="AL740"/>
  <c r="AK740"/>
  <c r="AM739"/>
  <c r="AL739"/>
  <c r="AK739"/>
  <c r="AM738"/>
  <c r="AL738"/>
  <c r="AK738"/>
  <c r="AM737"/>
  <c r="AL737"/>
  <c r="AK737"/>
  <c r="AM735"/>
  <c r="AL735"/>
  <c r="AK735"/>
  <c r="AM734"/>
  <c r="AL734"/>
  <c r="AK734"/>
  <c r="AM733"/>
  <c r="AL733"/>
  <c r="AK733"/>
  <c r="AM732"/>
  <c r="AL732"/>
  <c r="AK732"/>
  <c r="AM731"/>
  <c r="AL731"/>
  <c r="AK731"/>
  <c r="AM730"/>
  <c r="AU321" s="1"/>
  <c r="AL730"/>
  <c r="AT321" s="1"/>
  <c r="AK730"/>
  <c r="AS321" s="1"/>
  <c r="AM729"/>
  <c r="AR363" s="1"/>
  <c r="AL729"/>
  <c r="AQ363" s="1"/>
  <c r="AK729"/>
  <c r="AP364" s="1"/>
  <c r="AM728"/>
  <c r="AL728"/>
  <c r="AK728"/>
  <c r="AM727"/>
  <c r="AL727"/>
  <c r="AK727"/>
  <c r="AM726"/>
  <c r="AL726"/>
  <c r="AK726"/>
  <c r="AM725"/>
  <c r="AL725"/>
  <c r="AK725"/>
  <c r="AM724"/>
  <c r="AL724"/>
  <c r="AK724"/>
  <c r="AM723"/>
  <c r="AL723"/>
  <c r="AK723"/>
  <c r="AM722"/>
  <c r="AL722"/>
  <c r="AK722"/>
  <c r="AM721"/>
  <c r="AL721"/>
  <c r="AK721"/>
  <c r="AM720"/>
  <c r="AL720"/>
  <c r="AK720"/>
  <c r="AM719"/>
  <c r="AL719"/>
  <c r="AK719"/>
  <c r="AM718"/>
  <c r="AL718"/>
  <c r="AK718"/>
  <c r="AM717"/>
  <c r="AL717"/>
  <c r="AK717"/>
  <c r="AM716"/>
  <c r="AL716"/>
  <c r="AK716"/>
  <c r="AM715"/>
  <c r="AL715"/>
  <c r="AK715"/>
  <c r="AM714"/>
  <c r="AL714"/>
  <c r="AK714"/>
  <c r="AM713"/>
  <c r="AL713"/>
  <c r="AK713"/>
  <c r="AM712"/>
  <c r="AL712"/>
  <c r="AK712"/>
  <c r="AM710"/>
  <c r="AL710"/>
  <c r="AK710"/>
  <c r="AM709"/>
  <c r="AL709"/>
  <c r="AK709"/>
  <c r="AM708"/>
  <c r="AL708"/>
  <c r="AK708"/>
  <c r="AM707"/>
  <c r="AL707"/>
  <c r="AK707"/>
  <c r="AM706"/>
  <c r="AL706"/>
  <c r="AK706"/>
  <c r="AM705"/>
  <c r="AU320" s="1"/>
  <c r="AL705"/>
  <c r="AT320" s="1"/>
  <c r="AK705"/>
  <c r="AS320" s="1"/>
  <c r="AM704"/>
  <c r="AR362" s="1"/>
  <c r="AL704"/>
  <c r="AQ362" s="1"/>
  <c r="AK704"/>
  <c r="AP363" s="1"/>
  <c r="AM703"/>
  <c r="AL703"/>
  <c r="AK703"/>
  <c r="AM702"/>
  <c r="AL702"/>
  <c r="AK702"/>
  <c r="AM701"/>
  <c r="AL701"/>
  <c r="AK701"/>
  <c r="AM700"/>
  <c r="AL700"/>
  <c r="AK700"/>
  <c r="AM699"/>
  <c r="AL699"/>
  <c r="AK699"/>
  <c r="AM698"/>
  <c r="AL698"/>
  <c r="AK698"/>
  <c r="AM697"/>
  <c r="AL697"/>
  <c r="AK697"/>
  <c r="AM696"/>
  <c r="AL696"/>
  <c r="AK696"/>
  <c r="AM695"/>
  <c r="AL695"/>
  <c r="AK695"/>
  <c r="AM694"/>
  <c r="AL694"/>
  <c r="AK694"/>
  <c r="AM693"/>
  <c r="AL693"/>
  <c r="AK693"/>
  <c r="AM692"/>
  <c r="AL692"/>
  <c r="AK692"/>
  <c r="AM691"/>
  <c r="AL691"/>
  <c r="AK691"/>
  <c r="AM690"/>
  <c r="AL690"/>
  <c r="AK690"/>
  <c r="AM689"/>
  <c r="AL689"/>
  <c r="AK689"/>
  <c r="AM688"/>
  <c r="AL688"/>
  <c r="AK688"/>
  <c r="AM687"/>
  <c r="AL687"/>
  <c r="AK687"/>
  <c r="AM685"/>
  <c r="AL685"/>
  <c r="AK685"/>
  <c r="AM684"/>
  <c r="AL684"/>
  <c r="AK684"/>
  <c r="AM683"/>
  <c r="AL683"/>
  <c r="AK683"/>
  <c r="AM682"/>
  <c r="AL682"/>
  <c r="AK682"/>
  <c r="AM681"/>
  <c r="AL681"/>
  <c r="AK681"/>
  <c r="AM680"/>
  <c r="AU319" s="1"/>
  <c r="AL680"/>
  <c r="AT319" s="1"/>
  <c r="AK680"/>
  <c r="AS319" s="1"/>
  <c r="AM679"/>
  <c r="AR361" s="1"/>
  <c r="AL679"/>
  <c r="AQ361" s="1"/>
  <c r="AK679"/>
  <c r="AP362" s="1"/>
  <c r="AM678"/>
  <c r="AL678"/>
  <c r="AK678"/>
  <c r="AM677"/>
  <c r="AL677"/>
  <c r="AK677"/>
  <c r="AM676"/>
  <c r="AL676"/>
  <c r="AK676"/>
  <c r="AM675"/>
  <c r="AL675"/>
  <c r="AK675"/>
  <c r="AM674"/>
  <c r="AL674"/>
  <c r="AK674"/>
  <c r="AM673"/>
  <c r="AL673"/>
  <c r="AK673"/>
  <c r="AM672"/>
  <c r="AL672"/>
  <c r="AK672"/>
  <c r="AM671"/>
  <c r="AL671"/>
  <c r="AK671"/>
  <c r="AM670"/>
  <c r="AL670"/>
  <c r="AK670"/>
  <c r="AM669"/>
  <c r="AL669"/>
  <c r="AK669"/>
  <c r="AM668"/>
  <c r="AL668"/>
  <c r="AK668"/>
  <c r="AM667"/>
  <c r="AL667"/>
  <c r="AK667"/>
  <c r="AM666"/>
  <c r="AL666"/>
  <c r="AK666"/>
  <c r="AM665"/>
  <c r="AL665"/>
  <c r="AK665"/>
  <c r="AM664"/>
  <c r="AL664"/>
  <c r="AK664"/>
  <c r="AM663"/>
  <c r="AL663"/>
  <c r="AK663"/>
  <c r="AM662"/>
  <c r="AL662"/>
  <c r="AK662"/>
  <c r="AM660"/>
  <c r="AL660"/>
  <c r="AK660"/>
  <c r="AM659"/>
  <c r="AL659"/>
  <c r="AK659"/>
  <c r="AM658"/>
  <c r="AL658"/>
  <c r="AK658"/>
  <c r="AM657"/>
  <c r="AL657"/>
  <c r="AK657"/>
  <c r="AM656"/>
  <c r="AL656"/>
  <c r="AK656"/>
  <c r="AM655"/>
  <c r="AU318" s="1"/>
  <c r="AL655"/>
  <c r="AT318" s="1"/>
  <c r="AK655"/>
  <c r="AS318" s="1"/>
  <c r="AM654"/>
  <c r="AR360" s="1"/>
  <c r="AL654"/>
  <c r="AQ360" s="1"/>
  <c r="AK654"/>
  <c r="AP361" s="1"/>
  <c r="AM653"/>
  <c r="AL653"/>
  <c r="AK653"/>
  <c r="AM652"/>
  <c r="AL652"/>
  <c r="AK652"/>
  <c r="AM651"/>
  <c r="AL651"/>
  <c r="AK651"/>
  <c r="AM650"/>
  <c r="AL650"/>
  <c r="AK650"/>
  <c r="AM649"/>
  <c r="AL649"/>
  <c r="AK649"/>
  <c r="AM648"/>
  <c r="AL648"/>
  <c r="AK648"/>
  <c r="AM647"/>
  <c r="AL647"/>
  <c r="AK647"/>
  <c r="AM646"/>
  <c r="AL646"/>
  <c r="AK646"/>
  <c r="AM645"/>
  <c r="AL645"/>
  <c r="AK645"/>
  <c r="AM644"/>
  <c r="AL644"/>
  <c r="AK644"/>
  <c r="AM643"/>
  <c r="AL643"/>
  <c r="AK643"/>
  <c r="AM642"/>
  <c r="AL642"/>
  <c r="AK642"/>
  <c r="AM641"/>
  <c r="AL641"/>
  <c r="AK641"/>
  <c r="AM640"/>
  <c r="AL640"/>
  <c r="AK640"/>
  <c r="AM639"/>
  <c r="AL639"/>
  <c r="AK639"/>
  <c r="AM638"/>
  <c r="AL638"/>
  <c r="AK638"/>
  <c r="AM637"/>
  <c r="AL637"/>
  <c r="AK637"/>
  <c r="AM60"/>
  <c r="AK60"/>
  <c r="AM59"/>
  <c r="AK59"/>
  <c r="AM58"/>
  <c r="AK58"/>
  <c r="AM57"/>
  <c r="AK57"/>
  <c r="AM56"/>
  <c r="AK56"/>
  <c r="AM55"/>
  <c r="AU294" s="1"/>
  <c r="AT294"/>
  <c r="AK55"/>
  <c r="AS294" s="1"/>
  <c r="AM54"/>
  <c r="AR336" s="1"/>
  <c r="AK54"/>
  <c r="AM53"/>
  <c r="AK53"/>
  <c r="AM52"/>
  <c r="AK52"/>
  <c r="AM51"/>
  <c r="AK51"/>
  <c r="AM50"/>
  <c r="AK50"/>
  <c r="AM49"/>
  <c r="AK49"/>
  <c r="AM48"/>
  <c r="AK48"/>
  <c r="AM47"/>
  <c r="AK47"/>
  <c r="AM46"/>
  <c r="AK46"/>
  <c r="AM45"/>
  <c r="AK45"/>
  <c r="AM44"/>
  <c r="AK44"/>
  <c r="AM43"/>
  <c r="AK43"/>
  <c r="AM42"/>
  <c r="AK42"/>
  <c r="AM41"/>
  <c r="AK41"/>
  <c r="AM40"/>
  <c r="AK40"/>
  <c r="AM39"/>
  <c r="AK39"/>
  <c r="AM38"/>
  <c r="AK38"/>
  <c r="AM37"/>
  <c r="AK37"/>
  <c r="AM85"/>
  <c r="AK85"/>
  <c r="AM84"/>
  <c r="AK84"/>
  <c r="AM83"/>
  <c r="AK83"/>
  <c r="AM82"/>
  <c r="AK82"/>
  <c r="AM81"/>
  <c r="AK81"/>
  <c r="AM80"/>
  <c r="AU295" s="1"/>
  <c r="AK80"/>
  <c r="AS295" s="1"/>
  <c r="AM79"/>
  <c r="AR337" s="1"/>
  <c r="AK79"/>
  <c r="AM78"/>
  <c r="AK78"/>
  <c r="AM77"/>
  <c r="AK77"/>
  <c r="AM76"/>
  <c r="AK76"/>
  <c r="AM75"/>
  <c r="AK75"/>
  <c r="AM74"/>
  <c r="AK74"/>
  <c r="AM73"/>
  <c r="AK73"/>
  <c r="AM72"/>
  <c r="AK72"/>
  <c r="AM71"/>
  <c r="AK71"/>
  <c r="AM70"/>
  <c r="AK70"/>
  <c r="AM69"/>
  <c r="AK69"/>
  <c r="AM68"/>
  <c r="AK68"/>
  <c r="AM67"/>
  <c r="AK67"/>
  <c r="AM66"/>
  <c r="AK66"/>
  <c r="AM65"/>
  <c r="AK65"/>
  <c r="AM64"/>
  <c r="AK64"/>
  <c r="AM63"/>
  <c r="AK63"/>
  <c r="AM62"/>
  <c r="AK62"/>
  <c r="AM110"/>
  <c r="AK110"/>
  <c r="AM109"/>
  <c r="AK109"/>
  <c r="AM108"/>
  <c r="AK108"/>
  <c r="AM107"/>
  <c r="AK107"/>
  <c r="AM106"/>
  <c r="AK106"/>
  <c r="AM105"/>
  <c r="AU296" s="1"/>
  <c r="AT296"/>
  <c r="AK105"/>
  <c r="AS296" s="1"/>
  <c r="AM104"/>
  <c r="AR338" s="1"/>
  <c r="AK104"/>
  <c r="AM103"/>
  <c r="AK103"/>
  <c r="AM102"/>
  <c r="AK102"/>
  <c r="AM101"/>
  <c r="AK101"/>
  <c r="AM100"/>
  <c r="AK100"/>
  <c r="AM99"/>
  <c r="AK99"/>
  <c r="AM98"/>
  <c r="AK98"/>
  <c r="AM97"/>
  <c r="AK97"/>
  <c r="AM96"/>
  <c r="AK96"/>
  <c r="AM95"/>
  <c r="AK95"/>
  <c r="AM94"/>
  <c r="AK94"/>
  <c r="AM93"/>
  <c r="AK93"/>
  <c r="AM92"/>
  <c r="AK92"/>
  <c r="AM91"/>
  <c r="AK91"/>
  <c r="AM90"/>
  <c r="AK90"/>
  <c r="AM89"/>
  <c r="AK89"/>
  <c r="AM88"/>
  <c r="AK88"/>
  <c r="AM87"/>
  <c r="AK87"/>
  <c r="AM135"/>
  <c r="AK135"/>
  <c r="AM134"/>
  <c r="AK134"/>
  <c r="AM133"/>
  <c r="AK133"/>
  <c r="AM132"/>
  <c r="AK132"/>
  <c r="AM131"/>
  <c r="AK131"/>
  <c r="AM130"/>
  <c r="AU297" s="1"/>
  <c r="AK130"/>
  <c r="AS297" s="1"/>
  <c r="AM129"/>
  <c r="AR339" s="1"/>
  <c r="AK129"/>
  <c r="AM128"/>
  <c r="AK128"/>
  <c r="AM127"/>
  <c r="AK127"/>
  <c r="AM126"/>
  <c r="AK126"/>
  <c r="AM125"/>
  <c r="AK125"/>
  <c r="AM124"/>
  <c r="AK124"/>
  <c r="AM123"/>
  <c r="AK123"/>
  <c r="AM122"/>
  <c r="AK122"/>
  <c r="AM121"/>
  <c r="AK121"/>
  <c r="AM120"/>
  <c r="AK120"/>
  <c r="AM119"/>
  <c r="AK119"/>
  <c r="AM118"/>
  <c r="AK118"/>
  <c r="AM117"/>
  <c r="AK117"/>
  <c r="AM116"/>
  <c r="AK116"/>
  <c r="AM115"/>
  <c r="AK115"/>
  <c r="AM114"/>
  <c r="AK114"/>
  <c r="AM113"/>
  <c r="AK113"/>
  <c r="AM112"/>
  <c r="AK112"/>
  <c r="AM160"/>
  <c r="AK160"/>
  <c r="AM159"/>
  <c r="AK159"/>
  <c r="AM158"/>
  <c r="AK158"/>
  <c r="AM157"/>
  <c r="AK157"/>
  <c r="AM156"/>
  <c r="AK156"/>
  <c r="AM155"/>
  <c r="AU298" s="1"/>
  <c r="AK155"/>
  <c r="AS298" s="1"/>
  <c r="AM154"/>
  <c r="AR340" s="1"/>
  <c r="AK154"/>
  <c r="AM153"/>
  <c r="AK153"/>
  <c r="AM152"/>
  <c r="AK152"/>
  <c r="AM151"/>
  <c r="AK151"/>
  <c r="AM150"/>
  <c r="AK150"/>
  <c r="AM149"/>
  <c r="AK149"/>
  <c r="AM148"/>
  <c r="AK148"/>
  <c r="AM147"/>
  <c r="AK147"/>
  <c r="AM146"/>
  <c r="AK146"/>
  <c r="AM145"/>
  <c r="AK145"/>
  <c r="AM144"/>
  <c r="AK144"/>
  <c r="AM143"/>
  <c r="AK143"/>
  <c r="AM142"/>
  <c r="AK142"/>
  <c r="AM141"/>
  <c r="AK141"/>
  <c r="AM140"/>
  <c r="AK140"/>
  <c r="AM139"/>
  <c r="AK139"/>
  <c r="AM138"/>
  <c r="AK138"/>
  <c r="AM137"/>
  <c r="AK137"/>
  <c r="AM185"/>
  <c r="AK185"/>
  <c r="AM184"/>
  <c r="AK184"/>
  <c r="AM183"/>
  <c r="AK183"/>
  <c r="AM182"/>
  <c r="AK182"/>
  <c r="AM181"/>
  <c r="AK181"/>
  <c r="AM180"/>
  <c r="AU299" s="1"/>
  <c r="AK180"/>
  <c r="AS299" s="1"/>
  <c r="AM179"/>
  <c r="AR341" s="1"/>
  <c r="AK179"/>
  <c r="AM178"/>
  <c r="AK178"/>
  <c r="AM177"/>
  <c r="AK177"/>
  <c r="AM176"/>
  <c r="AK176"/>
  <c r="AM175"/>
  <c r="AK175"/>
  <c r="AM174"/>
  <c r="AK174"/>
  <c r="AM173"/>
  <c r="AK173"/>
  <c r="AM172"/>
  <c r="AK172"/>
  <c r="AM171"/>
  <c r="AK171"/>
  <c r="AM170"/>
  <c r="AK170"/>
  <c r="AM169"/>
  <c r="AK169"/>
  <c r="AM168"/>
  <c r="AK168"/>
  <c r="AM167"/>
  <c r="AK167"/>
  <c r="AM166"/>
  <c r="AK166"/>
  <c r="AM165"/>
  <c r="AK165"/>
  <c r="AM164"/>
  <c r="AK164"/>
  <c r="AM163"/>
  <c r="AK163"/>
  <c r="AM162"/>
  <c r="AK162"/>
  <c r="AM210"/>
  <c r="AK210"/>
  <c r="AM209"/>
  <c r="AK209"/>
  <c r="AM208"/>
  <c r="AK208"/>
  <c r="AM207"/>
  <c r="AK207"/>
  <c r="AM206"/>
  <c r="AK206"/>
  <c r="AM205"/>
  <c r="AU300" s="1"/>
  <c r="AK205"/>
  <c r="AS300" s="1"/>
  <c r="AM204"/>
  <c r="AR342" s="1"/>
  <c r="AK204"/>
  <c r="AM203"/>
  <c r="AK203"/>
  <c r="AM202"/>
  <c r="AK202"/>
  <c r="AM201"/>
  <c r="AK201"/>
  <c r="AM200"/>
  <c r="AK200"/>
  <c r="AM199"/>
  <c r="AK199"/>
  <c r="AM198"/>
  <c r="AK198"/>
  <c r="AM197"/>
  <c r="AK197"/>
  <c r="AM196"/>
  <c r="AK196"/>
  <c r="AM195"/>
  <c r="AK195"/>
  <c r="AM194"/>
  <c r="AK194"/>
  <c r="AM193"/>
  <c r="AK193"/>
  <c r="AM192"/>
  <c r="AK192"/>
  <c r="AM191"/>
  <c r="AK191"/>
  <c r="AM190"/>
  <c r="AK190"/>
  <c r="AM189"/>
  <c r="AK189"/>
  <c r="AM188"/>
  <c r="AK188"/>
  <c r="AM187"/>
  <c r="AK187"/>
  <c r="AM235"/>
  <c r="AK235"/>
  <c r="AM234"/>
  <c r="AK234"/>
  <c r="AM233"/>
  <c r="AK233"/>
  <c r="AM232"/>
  <c r="AK232"/>
  <c r="AM231"/>
  <c r="AK231"/>
  <c r="AM230"/>
  <c r="AU301" s="1"/>
  <c r="AK230"/>
  <c r="AS301" s="1"/>
  <c r="AM229"/>
  <c r="AR343" s="1"/>
  <c r="AK229"/>
  <c r="AM228"/>
  <c r="AK228"/>
  <c r="AM227"/>
  <c r="AK227"/>
  <c r="AM226"/>
  <c r="AK226"/>
  <c r="AM225"/>
  <c r="AK225"/>
  <c r="AM224"/>
  <c r="AK224"/>
  <c r="AM223"/>
  <c r="AK223"/>
  <c r="AM222"/>
  <c r="AK222"/>
  <c r="AM221"/>
  <c r="AK221"/>
  <c r="AM220"/>
  <c r="AK220"/>
  <c r="AM219"/>
  <c r="AK219"/>
  <c r="AM218"/>
  <c r="AK218"/>
  <c r="AM217"/>
  <c r="AK217"/>
  <c r="AM216"/>
  <c r="AK216"/>
  <c r="AM215"/>
  <c r="AK215"/>
  <c r="AM214"/>
  <c r="AK214"/>
  <c r="AM213"/>
  <c r="AK213"/>
  <c r="AM212"/>
  <c r="AK212"/>
  <c r="AM260"/>
  <c r="AK260"/>
  <c r="AM259"/>
  <c r="AK259"/>
  <c r="AM258"/>
  <c r="AK258"/>
  <c r="AM257"/>
  <c r="AK257"/>
  <c r="AM256"/>
  <c r="AK256"/>
  <c r="AM255"/>
  <c r="AU302" s="1"/>
  <c r="AK255"/>
  <c r="AS302" s="1"/>
  <c r="AM254"/>
  <c r="AR344" s="1"/>
  <c r="AK254"/>
  <c r="AM253"/>
  <c r="AK253"/>
  <c r="AM252"/>
  <c r="AK252"/>
  <c r="AM251"/>
  <c r="AK251"/>
  <c r="AM250"/>
  <c r="AK250"/>
  <c r="AM249"/>
  <c r="AK249"/>
  <c r="AM248"/>
  <c r="AK248"/>
  <c r="AM247"/>
  <c r="AK247"/>
  <c r="AM246"/>
  <c r="AK246"/>
  <c r="AM245"/>
  <c r="AK245"/>
  <c r="AM244"/>
  <c r="AK244"/>
  <c r="AM243"/>
  <c r="AK243"/>
  <c r="AM242"/>
  <c r="AK242"/>
  <c r="AM241"/>
  <c r="AK241"/>
  <c r="AM240"/>
  <c r="AK240"/>
  <c r="AM239"/>
  <c r="AK239"/>
  <c r="AM238"/>
  <c r="AK238"/>
  <c r="AM237"/>
  <c r="AK237"/>
  <c r="AM285"/>
  <c r="AK285"/>
  <c r="AM284"/>
  <c r="AK284"/>
  <c r="AM283"/>
  <c r="AK283"/>
  <c r="AM282"/>
  <c r="AK282"/>
  <c r="AM281"/>
  <c r="AK281"/>
  <c r="AM280"/>
  <c r="AU303" s="1"/>
  <c r="AK280"/>
  <c r="AS303" s="1"/>
  <c r="AM279"/>
  <c r="AR345" s="1"/>
  <c r="AK279"/>
  <c r="AM278"/>
  <c r="AK278"/>
  <c r="AM277"/>
  <c r="AK277"/>
  <c r="AM276"/>
  <c r="AK276"/>
  <c r="AM275"/>
  <c r="AK275"/>
  <c r="AM274"/>
  <c r="AK274"/>
  <c r="AM273"/>
  <c r="AK273"/>
  <c r="AM272"/>
  <c r="AK272"/>
  <c r="AM271"/>
  <c r="AK271"/>
  <c r="AM270"/>
  <c r="AK270"/>
  <c r="AM269"/>
  <c r="AK269"/>
  <c r="AM268"/>
  <c r="AK268"/>
  <c r="AM267"/>
  <c r="AK267"/>
  <c r="AM266"/>
  <c r="AK266"/>
  <c r="AM265"/>
  <c r="AK265"/>
  <c r="AM264"/>
  <c r="AK264"/>
  <c r="AM263"/>
  <c r="AK263"/>
  <c r="AM262"/>
  <c r="AK262"/>
  <c r="AM310"/>
  <c r="AK310"/>
  <c r="AM309"/>
  <c r="AK309"/>
  <c r="AM308"/>
  <c r="AK308"/>
  <c r="AM307"/>
  <c r="AK307"/>
  <c r="AM306"/>
  <c r="AK306"/>
  <c r="AM305"/>
  <c r="AU304" s="1"/>
  <c r="AK305"/>
  <c r="AS304" s="1"/>
  <c r="AM304"/>
  <c r="AR346" s="1"/>
  <c r="AK304"/>
  <c r="AP347" s="1"/>
  <c r="AM303"/>
  <c r="AK303"/>
  <c r="AM302"/>
  <c r="AK302"/>
  <c r="AM301"/>
  <c r="AK301"/>
  <c r="AM300"/>
  <c r="AK300"/>
  <c r="AM299"/>
  <c r="AK299"/>
  <c r="AM298"/>
  <c r="AK298"/>
  <c r="AM297"/>
  <c r="AK297"/>
  <c r="AM296"/>
  <c r="AK296"/>
  <c r="AM295"/>
  <c r="AK295"/>
  <c r="AM294"/>
  <c r="AK294"/>
  <c r="AM293"/>
  <c r="AK293"/>
  <c r="AM292"/>
  <c r="AK292"/>
  <c r="AM291"/>
  <c r="AK291"/>
  <c r="AM290"/>
  <c r="AK290"/>
  <c r="AM289"/>
  <c r="AK289"/>
  <c r="AM288"/>
  <c r="AK288"/>
  <c r="AM287"/>
  <c r="AK287"/>
  <c r="AM335"/>
  <c r="AL335"/>
  <c r="AK335"/>
  <c r="AM334"/>
  <c r="AL334"/>
  <c r="AK334"/>
  <c r="AM333"/>
  <c r="AL333"/>
  <c r="AK333"/>
  <c r="AM332"/>
  <c r="AL332"/>
  <c r="AK332"/>
  <c r="AM331"/>
  <c r="AL331"/>
  <c r="AK331"/>
  <c r="AM330"/>
  <c r="AU305" s="1"/>
  <c r="AL330"/>
  <c r="AT305" s="1"/>
  <c r="AK330"/>
  <c r="AS305" s="1"/>
  <c r="AM329"/>
  <c r="AR347" s="1"/>
  <c r="AL329"/>
  <c r="AQ347" s="1"/>
  <c r="AK329"/>
  <c r="AP348" s="1"/>
  <c r="AM328"/>
  <c r="AL328"/>
  <c r="AK328"/>
  <c r="AM327"/>
  <c r="AL327"/>
  <c r="AK327"/>
  <c r="AM326"/>
  <c r="AL326"/>
  <c r="AK326"/>
  <c r="AM325"/>
  <c r="AL325"/>
  <c r="AK325"/>
  <c r="AM324"/>
  <c r="AL324"/>
  <c r="AK324"/>
  <c r="AM323"/>
  <c r="AL323"/>
  <c r="AK323"/>
  <c r="AM322"/>
  <c r="AL322"/>
  <c r="AK322"/>
  <c r="AM321"/>
  <c r="AL321"/>
  <c r="AK321"/>
  <c r="AM320"/>
  <c r="AL320"/>
  <c r="AK320"/>
  <c r="AM319"/>
  <c r="AL319"/>
  <c r="AK319"/>
  <c r="AM318"/>
  <c r="AL318"/>
  <c r="AK318"/>
  <c r="AM317"/>
  <c r="AL317"/>
  <c r="AK317"/>
  <c r="AM316"/>
  <c r="AL316"/>
  <c r="AK316"/>
  <c r="AM315"/>
  <c r="AL315"/>
  <c r="AK315"/>
  <c r="AM314"/>
  <c r="AL314"/>
  <c r="AK314"/>
  <c r="AM313"/>
  <c r="AL313"/>
  <c r="AK313"/>
  <c r="AM312"/>
  <c r="AL312"/>
  <c r="AK312"/>
  <c r="AM360"/>
  <c r="AL360"/>
  <c r="AK360"/>
  <c r="AM359"/>
  <c r="AL359"/>
  <c r="AK359"/>
  <c r="AM358"/>
  <c r="AL358"/>
  <c r="AK358"/>
  <c r="AM357"/>
  <c r="AL357"/>
  <c r="AK357"/>
  <c r="AM356"/>
  <c r="AL356"/>
  <c r="AK356"/>
  <c r="AM355"/>
  <c r="AU306" s="1"/>
  <c r="AL355"/>
  <c r="AT306" s="1"/>
  <c r="AK355"/>
  <c r="AS306" s="1"/>
  <c r="AM354"/>
  <c r="AR348" s="1"/>
  <c r="AL354"/>
  <c r="AQ348" s="1"/>
  <c r="AK354"/>
  <c r="AP349" s="1"/>
  <c r="AM353"/>
  <c r="AL353"/>
  <c r="AK353"/>
  <c r="AM352"/>
  <c r="AL352"/>
  <c r="AK352"/>
  <c r="AM351"/>
  <c r="AL351"/>
  <c r="AK351"/>
  <c r="AM350"/>
  <c r="AL350"/>
  <c r="AK350"/>
  <c r="AM349"/>
  <c r="AL349"/>
  <c r="AK349"/>
  <c r="AM348"/>
  <c r="AL348"/>
  <c r="AK348"/>
  <c r="AM347"/>
  <c r="AL347"/>
  <c r="AK347"/>
  <c r="AM346"/>
  <c r="AL346"/>
  <c r="AK346"/>
  <c r="AM345"/>
  <c r="AL345"/>
  <c r="AK345"/>
  <c r="AM344"/>
  <c r="AL344"/>
  <c r="AK344"/>
  <c r="AM343"/>
  <c r="AL343"/>
  <c r="AK343"/>
  <c r="AM342"/>
  <c r="AL342"/>
  <c r="AK342"/>
  <c r="AM341"/>
  <c r="AL341"/>
  <c r="AK341"/>
  <c r="AM340"/>
  <c r="AL340"/>
  <c r="AK340"/>
  <c r="AM339"/>
  <c r="AL339"/>
  <c r="AK339"/>
  <c r="AM338"/>
  <c r="AL338"/>
  <c r="AK338"/>
  <c r="AM337"/>
  <c r="AL337"/>
  <c r="AK337"/>
  <c r="AM385"/>
  <c r="AL385"/>
  <c r="AK385"/>
  <c r="AM384"/>
  <c r="AL384"/>
  <c r="AK384"/>
  <c r="AM383"/>
  <c r="AL383"/>
  <c r="AK383"/>
  <c r="AM382"/>
  <c r="AL382"/>
  <c r="AK382"/>
  <c r="AM381"/>
  <c r="AL381"/>
  <c r="AK381"/>
  <c r="AM380"/>
  <c r="AU307" s="1"/>
  <c r="AL380"/>
  <c r="AT307" s="1"/>
  <c r="AK380"/>
  <c r="AS307" s="1"/>
  <c r="AM379"/>
  <c r="AR349" s="1"/>
  <c r="AL379"/>
  <c r="AQ349" s="1"/>
  <c r="AK379"/>
  <c r="AP350" s="1"/>
  <c r="AM378"/>
  <c r="AL378"/>
  <c r="AK378"/>
  <c r="AM377"/>
  <c r="AL377"/>
  <c r="AK377"/>
  <c r="AM376"/>
  <c r="AL376"/>
  <c r="AK376"/>
  <c r="AM375"/>
  <c r="AL375"/>
  <c r="AK375"/>
  <c r="AM374"/>
  <c r="AL374"/>
  <c r="AK374"/>
  <c r="AM373"/>
  <c r="AL373"/>
  <c r="AK373"/>
  <c r="AM372"/>
  <c r="AL372"/>
  <c r="AK372"/>
  <c r="AM371"/>
  <c r="AL371"/>
  <c r="AK371"/>
  <c r="AM370"/>
  <c r="AL370"/>
  <c r="AK370"/>
  <c r="AM369"/>
  <c r="AL369"/>
  <c r="AK369"/>
  <c r="AM368"/>
  <c r="AL368"/>
  <c r="AK368"/>
  <c r="AM367"/>
  <c r="AL367"/>
  <c r="AK367"/>
  <c r="AM366"/>
  <c r="AL366"/>
  <c r="AK366"/>
  <c r="AM365"/>
  <c r="AL365"/>
  <c r="AK365"/>
  <c r="AM364"/>
  <c r="AL364"/>
  <c r="AK364"/>
  <c r="AM363"/>
  <c r="AL363"/>
  <c r="AK363"/>
  <c r="AM362"/>
  <c r="AL362"/>
  <c r="AK362"/>
  <c r="AM410"/>
  <c r="AL410"/>
  <c r="AK410"/>
  <c r="AM409"/>
  <c r="AL409"/>
  <c r="AK409"/>
  <c r="AM408"/>
  <c r="AL408"/>
  <c r="AK408"/>
  <c r="AM407"/>
  <c r="AL407"/>
  <c r="AK407"/>
  <c r="AM406"/>
  <c r="AL406"/>
  <c r="AK406"/>
  <c r="AM405"/>
  <c r="AU308" s="1"/>
  <c r="AL405"/>
  <c r="AT308" s="1"/>
  <c r="AK405"/>
  <c r="AS308" s="1"/>
  <c r="AM404"/>
  <c r="AR350" s="1"/>
  <c r="AL404"/>
  <c r="AQ350" s="1"/>
  <c r="AK404"/>
  <c r="AP351" s="1"/>
  <c r="AM403"/>
  <c r="AL403"/>
  <c r="AK403"/>
  <c r="AM402"/>
  <c r="AL402"/>
  <c r="AK402"/>
  <c r="AM401"/>
  <c r="AL401"/>
  <c r="AK401"/>
  <c r="AM400"/>
  <c r="AL400"/>
  <c r="AK400"/>
  <c r="AM399"/>
  <c r="AL399"/>
  <c r="AK399"/>
  <c r="AM398"/>
  <c r="AL398"/>
  <c r="AK398"/>
  <c r="AM397"/>
  <c r="AL397"/>
  <c r="AK397"/>
  <c r="AM396"/>
  <c r="AL396"/>
  <c r="AK396"/>
  <c r="AM395"/>
  <c r="AL395"/>
  <c r="AK395"/>
  <c r="AM394"/>
  <c r="AL394"/>
  <c r="AK394"/>
  <c r="AM393"/>
  <c r="AL393"/>
  <c r="AK393"/>
  <c r="AM392"/>
  <c r="AL392"/>
  <c r="AK392"/>
  <c r="AM391"/>
  <c r="AL391"/>
  <c r="AK391"/>
  <c r="AM390"/>
  <c r="AL390"/>
  <c r="AK390"/>
  <c r="AM389"/>
  <c r="AL389"/>
  <c r="AK389"/>
  <c r="AM388"/>
  <c r="AL388"/>
  <c r="AK388"/>
  <c r="AM387"/>
  <c r="AL387"/>
  <c r="AK387"/>
  <c r="AM435"/>
  <c r="AL435"/>
  <c r="AK435"/>
  <c r="AM434"/>
  <c r="AL434"/>
  <c r="AK434"/>
  <c r="AM433"/>
  <c r="AL433"/>
  <c r="AK433"/>
  <c r="AM432"/>
  <c r="AL432"/>
  <c r="AK432"/>
  <c r="AM431"/>
  <c r="AL431"/>
  <c r="AK431"/>
  <c r="AM430"/>
  <c r="AU309" s="1"/>
  <c r="AL430"/>
  <c r="AT309" s="1"/>
  <c r="AK430"/>
  <c r="AS309" s="1"/>
  <c r="AM429"/>
  <c r="AR351" s="1"/>
  <c r="AL429"/>
  <c r="AQ351" s="1"/>
  <c r="AK429"/>
  <c r="AP352" s="1"/>
  <c r="AM428"/>
  <c r="AL428"/>
  <c r="AK428"/>
  <c r="AM427"/>
  <c r="AL427"/>
  <c r="AK427"/>
  <c r="AM426"/>
  <c r="AL426"/>
  <c r="AK426"/>
  <c r="AM425"/>
  <c r="AL425"/>
  <c r="AK425"/>
  <c r="AM424"/>
  <c r="AL424"/>
  <c r="AK424"/>
  <c r="AM423"/>
  <c r="AL423"/>
  <c r="AK423"/>
  <c r="AM422"/>
  <c r="AL422"/>
  <c r="AK422"/>
  <c r="AM421"/>
  <c r="AL421"/>
  <c r="AK421"/>
  <c r="AM420"/>
  <c r="AL420"/>
  <c r="AK420"/>
  <c r="AM419"/>
  <c r="AL419"/>
  <c r="AK419"/>
  <c r="AM418"/>
  <c r="AL418"/>
  <c r="AK418"/>
  <c r="AM417"/>
  <c r="AL417"/>
  <c r="AK417"/>
  <c r="AM416"/>
  <c r="AL416"/>
  <c r="AK416"/>
  <c r="AM415"/>
  <c r="AL415"/>
  <c r="AK415"/>
  <c r="AM414"/>
  <c r="AL414"/>
  <c r="AK414"/>
  <c r="AM413"/>
  <c r="AL413"/>
  <c r="AK413"/>
  <c r="AM412"/>
  <c r="AL412"/>
  <c r="AK412"/>
  <c r="AM460"/>
  <c r="AL460"/>
  <c r="AK460"/>
  <c r="AM459"/>
  <c r="AL459"/>
  <c r="AK459"/>
  <c r="AM458"/>
  <c r="AL458"/>
  <c r="AK458"/>
  <c r="AM457"/>
  <c r="AL457"/>
  <c r="AK457"/>
  <c r="AM456"/>
  <c r="AL456"/>
  <c r="AK456"/>
  <c r="AM455"/>
  <c r="AU310" s="1"/>
  <c r="AL455"/>
  <c r="AT310" s="1"/>
  <c r="AK455"/>
  <c r="AS310" s="1"/>
  <c r="AM454"/>
  <c r="AR352" s="1"/>
  <c r="AL454"/>
  <c r="AQ352" s="1"/>
  <c r="AK454"/>
  <c r="AP353" s="1"/>
  <c r="AM453"/>
  <c r="AL453"/>
  <c r="AK453"/>
  <c r="AM452"/>
  <c r="AL452"/>
  <c r="AK452"/>
  <c r="AM451"/>
  <c r="AL451"/>
  <c r="AK451"/>
  <c r="AM450"/>
  <c r="AL450"/>
  <c r="AK450"/>
  <c r="AM449"/>
  <c r="AL449"/>
  <c r="AK449"/>
  <c r="AM448"/>
  <c r="AL448"/>
  <c r="AK448"/>
  <c r="AM447"/>
  <c r="AL447"/>
  <c r="AK447"/>
  <c r="AM446"/>
  <c r="AL446"/>
  <c r="AK446"/>
  <c r="AM445"/>
  <c r="AL445"/>
  <c r="AK445"/>
  <c r="AM444"/>
  <c r="AL444"/>
  <c r="AK444"/>
  <c r="AM443"/>
  <c r="AL443"/>
  <c r="AK443"/>
  <c r="AM442"/>
  <c r="AL442"/>
  <c r="AK442"/>
  <c r="AM441"/>
  <c r="AL441"/>
  <c r="AK441"/>
  <c r="AM440"/>
  <c r="AL440"/>
  <c r="AK440"/>
  <c r="AM439"/>
  <c r="AL439"/>
  <c r="AK439"/>
  <c r="AM438"/>
  <c r="AL438"/>
  <c r="AK438"/>
  <c r="AM437"/>
  <c r="AL437"/>
  <c r="AK437"/>
  <c r="AM485"/>
  <c r="AL485"/>
  <c r="AK485"/>
  <c r="AM484"/>
  <c r="AL484"/>
  <c r="AK484"/>
  <c r="AM483"/>
  <c r="AL483"/>
  <c r="AK483"/>
  <c r="AM482"/>
  <c r="AL482"/>
  <c r="AK482"/>
  <c r="AM481"/>
  <c r="AL481"/>
  <c r="AK481"/>
  <c r="AM480"/>
  <c r="AU311" s="1"/>
  <c r="AL480"/>
  <c r="AT311" s="1"/>
  <c r="AK480"/>
  <c r="AS311" s="1"/>
  <c r="AM479"/>
  <c r="AR353" s="1"/>
  <c r="AL479"/>
  <c r="AQ353" s="1"/>
  <c r="AK479"/>
  <c r="AP354" s="1"/>
  <c r="AM478"/>
  <c r="AL478"/>
  <c r="AK478"/>
  <c r="AM477"/>
  <c r="AL477"/>
  <c r="AK477"/>
  <c r="AM476"/>
  <c r="AL476"/>
  <c r="AK476"/>
  <c r="AM475"/>
  <c r="AL475"/>
  <c r="AK475"/>
  <c r="AM474"/>
  <c r="AL474"/>
  <c r="AK474"/>
  <c r="AM473"/>
  <c r="AL473"/>
  <c r="AK473"/>
  <c r="AM472"/>
  <c r="AL472"/>
  <c r="AK472"/>
  <c r="AM471"/>
  <c r="AL471"/>
  <c r="AK471"/>
  <c r="AM470"/>
  <c r="AL470"/>
  <c r="AK470"/>
  <c r="AM469"/>
  <c r="AL469"/>
  <c r="AK469"/>
  <c r="AM468"/>
  <c r="AL468"/>
  <c r="AK468"/>
  <c r="AM467"/>
  <c r="AL467"/>
  <c r="AK467"/>
  <c r="AM466"/>
  <c r="AL466"/>
  <c r="AK466"/>
  <c r="AM465"/>
  <c r="AL465"/>
  <c r="AK465"/>
  <c r="AM464"/>
  <c r="AL464"/>
  <c r="AK464"/>
  <c r="AM463"/>
  <c r="AL463"/>
  <c r="AK463"/>
  <c r="AM462"/>
  <c r="AL462"/>
  <c r="AK462"/>
  <c r="AM635"/>
  <c r="AL635"/>
  <c r="AK635"/>
  <c r="AM634"/>
  <c r="AL634"/>
  <c r="AK634"/>
  <c r="AM633"/>
  <c r="AL633"/>
  <c r="AK633"/>
  <c r="AM632"/>
  <c r="AL632"/>
  <c r="AK632"/>
  <c r="AM631"/>
  <c r="AL631"/>
  <c r="AK631"/>
  <c r="AM630"/>
  <c r="AU317" s="1"/>
  <c r="AL630"/>
  <c r="AT317" s="1"/>
  <c r="AK630"/>
  <c r="AS317" s="1"/>
  <c r="AM629"/>
  <c r="AR359" s="1"/>
  <c r="AL629"/>
  <c r="AQ359" s="1"/>
  <c r="AK629"/>
  <c r="AP360" s="1"/>
  <c r="AM628"/>
  <c r="AL628"/>
  <c r="AK628"/>
  <c r="AM627"/>
  <c r="AL627"/>
  <c r="AK627"/>
  <c r="AM626"/>
  <c r="AL626"/>
  <c r="AK626"/>
  <c r="AM625"/>
  <c r="AL625"/>
  <c r="AK625"/>
  <c r="AM624"/>
  <c r="AL624"/>
  <c r="AK624"/>
  <c r="AM623"/>
  <c r="AL623"/>
  <c r="AK623"/>
  <c r="AM622"/>
  <c r="AL622"/>
  <c r="AK622"/>
  <c r="AM621"/>
  <c r="AL621"/>
  <c r="AK621"/>
  <c r="AM620"/>
  <c r="AL620"/>
  <c r="AK620"/>
  <c r="AM619"/>
  <c r="AL619"/>
  <c r="AK619"/>
  <c r="AM618"/>
  <c r="AL618"/>
  <c r="AK618"/>
  <c r="AM617"/>
  <c r="AL617"/>
  <c r="AK617"/>
  <c r="AM616"/>
  <c r="AL616"/>
  <c r="AK616"/>
  <c r="AM615"/>
  <c r="AL615"/>
  <c r="AK615"/>
  <c r="AM614"/>
  <c r="AL614"/>
  <c r="AK614"/>
  <c r="AM613"/>
  <c r="AL613"/>
  <c r="AK613"/>
  <c r="AM612"/>
  <c r="AL612"/>
  <c r="AK612"/>
  <c r="AM610"/>
  <c r="AL610"/>
  <c r="AK610"/>
  <c r="AM609"/>
  <c r="AL609"/>
  <c r="AK609"/>
  <c r="AM608"/>
  <c r="AL608"/>
  <c r="AK608"/>
  <c r="AM607"/>
  <c r="AL607"/>
  <c r="AK607"/>
  <c r="AM606"/>
  <c r="AL606"/>
  <c r="AK606"/>
  <c r="AM605"/>
  <c r="AU316" s="1"/>
  <c r="AL605"/>
  <c r="AT316" s="1"/>
  <c r="AK605"/>
  <c r="AS316" s="1"/>
  <c r="AM604"/>
  <c r="AR358" s="1"/>
  <c r="AL604"/>
  <c r="AQ358" s="1"/>
  <c r="AK604"/>
  <c r="AP359" s="1"/>
  <c r="AM603"/>
  <c r="AL603"/>
  <c r="AK603"/>
  <c r="AM602"/>
  <c r="AL602"/>
  <c r="AK602"/>
  <c r="AM601"/>
  <c r="AL601"/>
  <c r="AK601"/>
  <c r="AM600"/>
  <c r="AL600"/>
  <c r="AK600"/>
  <c r="AM599"/>
  <c r="AL599"/>
  <c r="AK599"/>
  <c r="AM598"/>
  <c r="AL598"/>
  <c r="AK598"/>
  <c r="AM597"/>
  <c r="AL597"/>
  <c r="AK597"/>
  <c r="AM596"/>
  <c r="AL596"/>
  <c r="AK596"/>
  <c r="AM595"/>
  <c r="AL595"/>
  <c r="AK595"/>
  <c r="AM594"/>
  <c r="AL594"/>
  <c r="AK594"/>
  <c r="AM593"/>
  <c r="AL593"/>
  <c r="AK593"/>
  <c r="AM592"/>
  <c r="AL592"/>
  <c r="AK592"/>
  <c r="AM591"/>
  <c r="AL591"/>
  <c r="AK591"/>
  <c r="AM590"/>
  <c r="AL590"/>
  <c r="AK590"/>
  <c r="AM589"/>
  <c r="AL589"/>
  <c r="AK589"/>
  <c r="AM588"/>
  <c r="AL588"/>
  <c r="AK588"/>
  <c r="AM587"/>
  <c r="AL587"/>
  <c r="AK587"/>
  <c r="AM585"/>
  <c r="AL585"/>
  <c r="AK585"/>
  <c r="AM584"/>
  <c r="AL584"/>
  <c r="AK584"/>
  <c r="AM583"/>
  <c r="AL583"/>
  <c r="AK583"/>
  <c r="AM582"/>
  <c r="AL582"/>
  <c r="AK582"/>
  <c r="AM581"/>
  <c r="AL581"/>
  <c r="AK581"/>
  <c r="AM580"/>
  <c r="AU315" s="1"/>
  <c r="AL580"/>
  <c r="AT315" s="1"/>
  <c r="AK580"/>
  <c r="AS315" s="1"/>
  <c r="AM579"/>
  <c r="AR357" s="1"/>
  <c r="AL579"/>
  <c r="AQ357" s="1"/>
  <c r="AK579"/>
  <c r="AP358" s="1"/>
  <c r="AM578"/>
  <c r="AL578"/>
  <c r="AK578"/>
  <c r="AM577"/>
  <c r="AL577"/>
  <c r="AK577"/>
  <c r="AM576"/>
  <c r="AL576"/>
  <c r="AK576"/>
  <c r="AM575"/>
  <c r="AL575"/>
  <c r="AK575"/>
  <c r="AM574"/>
  <c r="AL574"/>
  <c r="AK574"/>
  <c r="AM573"/>
  <c r="AL573"/>
  <c r="AK573"/>
  <c r="AM572"/>
  <c r="AL572"/>
  <c r="AK572"/>
  <c r="AM571"/>
  <c r="AL571"/>
  <c r="AK571"/>
  <c r="AM570"/>
  <c r="AL570"/>
  <c r="AK570"/>
  <c r="AM569"/>
  <c r="AL569"/>
  <c r="AK569"/>
  <c r="AM568"/>
  <c r="AL568"/>
  <c r="AK568"/>
  <c r="AM567"/>
  <c r="AL567"/>
  <c r="AK567"/>
  <c r="AM566"/>
  <c r="AL566"/>
  <c r="AK566"/>
  <c r="AM565"/>
  <c r="AL565"/>
  <c r="AK565"/>
  <c r="AM564"/>
  <c r="AL564"/>
  <c r="AK564"/>
  <c r="AM563"/>
  <c r="AL563"/>
  <c r="AK563"/>
  <c r="AM562"/>
  <c r="AL562"/>
  <c r="AK562"/>
  <c r="AM560"/>
  <c r="AL560"/>
  <c r="AK560"/>
  <c r="AM559"/>
  <c r="AL559"/>
  <c r="AK559"/>
  <c r="AM558"/>
  <c r="AL558"/>
  <c r="AK558"/>
  <c r="AM557"/>
  <c r="AL557"/>
  <c r="AK557"/>
  <c r="AM556"/>
  <c r="AL556"/>
  <c r="AK556"/>
  <c r="AM555"/>
  <c r="AU314" s="1"/>
  <c r="AL555"/>
  <c r="AT314" s="1"/>
  <c r="AK555"/>
  <c r="AS314" s="1"/>
  <c r="AM554"/>
  <c r="AR356" s="1"/>
  <c r="AL554"/>
  <c r="AQ356" s="1"/>
  <c r="AK554"/>
  <c r="AP357" s="1"/>
  <c r="AM553"/>
  <c r="AL553"/>
  <c r="AK553"/>
  <c r="AM552"/>
  <c r="AL552"/>
  <c r="AK552"/>
  <c r="AM551"/>
  <c r="AL551"/>
  <c r="AK551"/>
  <c r="AM550"/>
  <c r="AL550"/>
  <c r="AK550"/>
  <c r="AM549"/>
  <c r="AL549"/>
  <c r="AK549"/>
  <c r="AM548"/>
  <c r="AL548"/>
  <c r="AK548"/>
  <c r="AM547"/>
  <c r="AL547"/>
  <c r="AK547"/>
  <c r="AM546"/>
  <c r="AL546"/>
  <c r="AK546"/>
  <c r="AM545"/>
  <c r="AL545"/>
  <c r="AK545"/>
  <c r="AM544"/>
  <c r="AL544"/>
  <c r="AK544"/>
  <c r="AM543"/>
  <c r="AL543"/>
  <c r="AK543"/>
  <c r="AM542"/>
  <c r="AL542"/>
  <c r="AK542"/>
  <c r="AM541"/>
  <c r="AL541"/>
  <c r="AK541"/>
  <c r="AM540"/>
  <c r="AL540"/>
  <c r="AK540"/>
  <c r="AM539"/>
  <c r="AL539"/>
  <c r="AK539"/>
  <c r="AM538"/>
  <c r="AL538"/>
  <c r="AK538"/>
  <c r="AM537"/>
  <c r="AL537"/>
  <c r="AK537"/>
  <c r="AM535"/>
  <c r="AL535"/>
  <c r="AK535"/>
  <c r="AM534"/>
  <c r="AL534"/>
  <c r="AK534"/>
  <c r="AM533"/>
  <c r="AL533"/>
  <c r="AK533"/>
  <c r="AM532"/>
  <c r="AL532"/>
  <c r="AK532"/>
  <c r="AM531"/>
  <c r="AL531"/>
  <c r="AK531"/>
  <c r="AM530"/>
  <c r="AU313" s="1"/>
  <c r="AL530"/>
  <c r="AT313" s="1"/>
  <c r="AK530"/>
  <c r="AS313" s="1"/>
  <c r="AM529"/>
  <c r="AR355" s="1"/>
  <c r="AL529"/>
  <c r="AQ355" s="1"/>
  <c r="AK529"/>
  <c r="AP356" s="1"/>
  <c r="AM528"/>
  <c r="AL528"/>
  <c r="AK528"/>
  <c r="AM527"/>
  <c r="AL527"/>
  <c r="AK527"/>
  <c r="AM526"/>
  <c r="AL526"/>
  <c r="AK526"/>
  <c r="AM525"/>
  <c r="AL525"/>
  <c r="AK525"/>
  <c r="AM524"/>
  <c r="AL524"/>
  <c r="AK524"/>
  <c r="AM523"/>
  <c r="AL523"/>
  <c r="AK523"/>
  <c r="AM522"/>
  <c r="AL522"/>
  <c r="AK522"/>
  <c r="AM521"/>
  <c r="AL521"/>
  <c r="AK521"/>
  <c r="AM520"/>
  <c r="AL520"/>
  <c r="AK520"/>
  <c r="AM519"/>
  <c r="AL519"/>
  <c r="AK519"/>
  <c r="AM518"/>
  <c r="AL518"/>
  <c r="AK518"/>
  <c r="AM517"/>
  <c r="AL517"/>
  <c r="AK517"/>
  <c r="AM516"/>
  <c r="AL516"/>
  <c r="AK516"/>
  <c r="AM515"/>
  <c r="AL515"/>
  <c r="AK515"/>
  <c r="AM514"/>
  <c r="AL514"/>
  <c r="AK514"/>
  <c r="AM513"/>
  <c r="AL513"/>
  <c r="AK513"/>
  <c r="AM512"/>
  <c r="AL512"/>
  <c r="AK512"/>
  <c r="AK488"/>
  <c r="AL488"/>
  <c r="AM488"/>
  <c r="AK489"/>
  <c r="AL489"/>
  <c r="AM489"/>
  <c r="AK490"/>
  <c r="AL490"/>
  <c r="AM490"/>
  <c r="AK491"/>
  <c r="AL491"/>
  <c r="AM491"/>
  <c r="AK492"/>
  <c r="AL492"/>
  <c r="AM492"/>
  <c r="AK493"/>
  <c r="AL493"/>
  <c r="AM493"/>
  <c r="AK494"/>
  <c r="AL494"/>
  <c r="AM494"/>
  <c r="AK495"/>
  <c r="AL495"/>
  <c r="AM495"/>
  <c r="AK496"/>
  <c r="AL496"/>
  <c r="AM496"/>
  <c r="AK497"/>
  <c r="AL497"/>
  <c r="AM497"/>
  <c r="AK498"/>
  <c r="AL498"/>
  <c r="AM498"/>
  <c r="AK499"/>
  <c r="AL499"/>
  <c r="AM499"/>
  <c r="AK500"/>
  <c r="AL500"/>
  <c r="AM500"/>
  <c r="AK501"/>
  <c r="AL501"/>
  <c r="AM501"/>
  <c r="AK502"/>
  <c r="AL502"/>
  <c r="AM502"/>
  <c r="AK503"/>
  <c r="AL503"/>
  <c r="AM503"/>
  <c r="AK504"/>
  <c r="AP355" s="1"/>
  <c r="AL504"/>
  <c r="AQ354" s="1"/>
  <c r="AM504"/>
  <c r="AR354" s="1"/>
  <c r="AK505"/>
  <c r="AS312" s="1"/>
  <c r="AL505"/>
  <c r="AT312" s="1"/>
  <c r="AM505"/>
  <c r="AU312" s="1"/>
  <c r="AK506"/>
  <c r="AL506"/>
  <c r="AM506"/>
  <c r="AK507"/>
  <c r="AL507"/>
  <c r="AM507"/>
  <c r="AK508"/>
  <c r="AL508"/>
  <c r="AM508"/>
  <c r="AK509"/>
  <c r="AL509"/>
  <c r="AM509"/>
  <c r="AK510"/>
  <c r="AL510"/>
  <c r="AM510"/>
  <c r="AM487"/>
  <c r="AL487"/>
  <c r="AK487"/>
  <c r="J422" i="18"/>
  <c r="J421"/>
  <c r="AD61" i="24"/>
  <c r="AD3" s="1"/>
  <c r="G487" i="18" s="1"/>
  <c r="AC61" i="24"/>
  <c r="F487" i="18" s="1"/>
  <c r="K487" s="1"/>
  <c r="AD36" i="24"/>
  <c r="AD2" s="1"/>
  <c r="G486" i="18" s="1"/>
  <c r="AC36" i="24"/>
  <c r="AC2" s="1"/>
  <c r="F486" i="18" s="1"/>
  <c r="H486" s="1"/>
  <c r="T61" i="24"/>
  <c r="T3" s="1"/>
  <c r="G454" i="18" s="1"/>
  <c r="S61" i="24"/>
  <c r="T36"/>
  <c r="T2" s="1"/>
  <c r="S36"/>
  <c r="S2" s="1"/>
  <c r="O761"/>
  <c r="O31" s="1"/>
  <c r="G450" i="18" s="1"/>
  <c r="N761" i="24"/>
  <c r="N31" s="1"/>
  <c r="F450" i="18" s="1"/>
  <c r="O736" i="24"/>
  <c r="O30" s="1"/>
  <c r="G449" i="18" s="1"/>
  <c r="N736" i="24"/>
  <c r="N30" s="1"/>
  <c r="F449" i="18" s="1"/>
  <c r="O711" i="24"/>
  <c r="O29" s="1"/>
  <c r="G448" i="18" s="1"/>
  <c r="N711" i="24"/>
  <c r="N29" s="1"/>
  <c r="F448" i="18" s="1"/>
  <c r="O686" i="24"/>
  <c r="O28" s="1"/>
  <c r="G447" i="18" s="1"/>
  <c r="N686" i="24"/>
  <c r="N28" s="1"/>
  <c r="F447" i="18" s="1"/>
  <c r="O661" i="24"/>
  <c r="N661"/>
  <c r="O636"/>
  <c r="O26" s="1"/>
  <c r="G445" i="18" s="1"/>
  <c r="N636" i="24"/>
  <c r="N26" s="1"/>
  <c r="F445" i="18" s="1"/>
  <c r="O611" i="24"/>
  <c r="O25" s="1"/>
  <c r="G444" i="18" s="1"/>
  <c r="N611" i="24"/>
  <c r="N25" s="1"/>
  <c r="F444" i="18" s="1"/>
  <c r="O586" i="24"/>
  <c r="O24" s="1"/>
  <c r="G443" i="18" s="1"/>
  <c r="N586" i="24"/>
  <c r="N24" s="1"/>
  <c r="F443" i="18" s="1"/>
  <c r="O561" i="24"/>
  <c r="O23" s="1"/>
  <c r="G442" i="18" s="1"/>
  <c r="N561" i="24"/>
  <c r="N23" s="1"/>
  <c r="F442" i="18" s="1"/>
  <c r="O536" i="24"/>
  <c r="O22" s="1"/>
  <c r="G441" i="18" s="1"/>
  <c r="N536" i="24"/>
  <c r="N22" s="1"/>
  <c r="F441" i="18" s="1"/>
  <c r="O511" i="24"/>
  <c r="O21" s="1"/>
  <c r="G440" i="18" s="1"/>
  <c r="N511" i="24"/>
  <c r="N21" s="1"/>
  <c r="F440" i="18" s="1"/>
  <c r="O486" i="24"/>
  <c r="O20" s="1"/>
  <c r="G439" i="18" s="1"/>
  <c r="N486" i="24"/>
  <c r="N20" s="1"/>
  <c r="F439" i="18" s="1"/>
  <c r="O461" i="24"/>
  <c r="O19" s="1"/>
  <c r="N461"/>
  <c r="O436"/>
  <c r="O18" s="1"/>
  <c r="G437" i="18" s="1"/>
  <c r="N436" i="24"/>
  <c r="N18" s="1"/>
  <c r="F437" i="18" s="1"/>
  <c r="O411" i="24"/>
  <c r="O17" s="1"/>
  <c r="G436" i="18" s="1"/>
  <c r="N411" i="24"/>
  <c r="N17" s="1"/>
  <c r="F436" i="18" s="1"/>
  <c r="O386" i="24"/>
  <c r="O16" s="1"/>
  <c r="G435" i="18" s="1"/>
  <c r="N386" i="24"/>
  <c r="N16" s="1"/>
  <c r="F435" i="18" s="1"/>
  <c r="O361" i="24"/>
  <c r="O27" s="1"/>
  <c r="G446" i="18" s="1"/>
  <c r="N361" i="24"/>
  <c r="N15" s="1"/>
  <c r="F434" i="18" s="1"/>
  <c r="O336" i="24"/>
  <c r="O14" s="1"/>
  <c r="G433" i="18" s="1"/>
  <c r="N336" i="24"/>
  <c r="N14" s="1"/>
  <c r="F433" i="18" s="1"/>
  <c r="O311" i="24"/>
  <c r="O13" s="1"/>
  <c r="G432" i="18" s="1"/>
  <c r="N311" i="24"/>
  <c r="N13" s="1"/>
  <c r="F432" i="18" s="1"/>
  <c r="O286" i="24"/>
  <c r="O12" s="1"/>
  <c r="G431" i="18" s="1"/>
  <c r="N286" i="24"/>
  <c r="N12" s="1"/>
  <c r="F431" i="18" s="1"/>
  <c r="O261" i="24"/>
  <c r="O11" s="1"/>
  <c r="G430" i="18" s="1"/>
  <c r="N261" i="24"/>
  <c r="N11" s="1"/>
  <c r="F430" i="18" s="1"/>
  <c r="O236" i="24"/>
  <c r="O10" s="1"/>
  <c r="G429" i="18" s="1"/>
  <c r="N236" i="24"/>
  <c r="N10" s="1"/>
  <c r="F429" i="18" s="1"/>
  <c r="O211" i="24"/>
  <c r="O9" s="1"/>
  <c r="G428" i="18" s="1"/>
  <c r="N211" i="24"/>
  <c r="N9" s="1"/>
  <c r="F428" i="18" s="1"/>
  <c r="O186" i="24"/>
  <c r="O8" s="1"/>
  <c r="G427" i="18" s="1"/>
  <c r="N186" i="24"/>
  <c r="N8" s="1"/>
  <c r="F427" i="18" s="1"/>
  <c r="O161" i="24"/>
  <c r="O6" s="1"/>
  <c r="G425" i="18" s="1"/>
  <c r="N161" i="24"/>
  <c r="N7" s="1"/>
  <c r="F426" i="18" s="1"/>
  <c r="O136" i="24"/>
  <c r="N136"/>
  <c r="O111"/>
  <c r="O5" s="1"/>
  <c r="G424" i="18" s="1"/>
  <c r="N111" i="24"/>
  <c r="N5" s="1"/>
  <c r="F424" i="18" s="1"/>
  <c r="O86" i="24"/>
  <c r="O4" s="1"/>
  <c r="G423" i="18" s="1"/>
  <c r="N86" i="24"/>
  <c r="N4" s="1"/>
  <c r="F423" i="18" s="1"/>
  <c r="O61" i="24"/>
  <c r="O3" s="1"/>
  <c r="G422" i="18" s="1"/>
  <c r="N61" i="24"/>
  <c r="N3" s="1"/>
  <c r="F422" i="18" s="1"/>
  <c r="O36" i="24"/>
  <c r="O2" s="1"/>
  <c r="G421" i="18" s="1"/>
  <c r="N36" i="24"/>
  <c r="N2" s="1"/>
  <c r="BJ728" i="17"/>
  <c r="BI728"/>
  <c r="BG728"/>
  <c r="BJ703"/>
  <c r="BI703"/>
  <c r="BG703"/>
  <c r="BJ678"/>
  <c r="BI678"/>
  <c r="BG678"/>
  <c r="BJ653"/>
  <c r="BI653"/>
  <c r="BG653"/>
  <c r="BJ628"/>
  <c r="BI628"/>
  <c r="BG628"/>
  <c r="BJ603"/>
  <c r="BI603"/>
  <c r="BG603"/>
  <c r="BJ578"/>
  <c r="BI578"/>
  <c r="BG578"/>
  <c r="BJ553"/>
  <c r="BI553"/>
  <c r="BG553"/>
  <c r="BJ528"/>
  <c r="BI528"/>
  <c r="BG528"/>
  <c r="BJ503"/>
  <c r="BI503"/>
  <c r="BG503"/>
  <c r="BJ478"/>
  <c r="BI478"/>
  <c r="BG478"/>
  <c r="BJ453"/>
  <c r="BI453"/>
  <c r="BG453"/>
  <c r="BJ428"/>
  <c r="BI428"/>
  <c r="BG428"/>
  <c r="BJ403"/>
  <c r="BI403"/>
  <c r="BG403"/>
  <c r="BJ378"/>
  <c r="BI378"/>
  <c r="BG378"/>
  <c r="BJ353"/>
  <c r="BI353"/>
  <c r="BG353"/>
  <c r="BJ328"/>
  <c r="BI328"/>
  <c r="BG328"/>
  <c r="BJ303"/>
  <c r="BI303"/>
  <c r="BG303"/>
  <c r="BJ278"/>
  <c r="BI278"/>
  <c r="BG278"/>
  <c r="BJ253"/>
  <c r="BI253"/>
  <c r="BG253"/>
  <c r="BJ228"/>
  <c r="BI228"/>
  <c r="BG228"/>
  <c r="BJ203"/>
  <c r="BI203"/>
  <c r="BG203"/>
  <c r="BJ178"/>
  <c r="BI178"/>
  <c r="BG178"/>
  <c r="BJ153"/>
  <c r="BI153"/>
  <c r="BG153"/>
  <c r="BJ128"/>
  <c r="BI128"/>
  <c r="BG128"/>
  <c r="BJ103"/>
  <c r="BI103"/>
  <c r="BG103"/>
  <c r="BJ78"/>
  <c r="BI78"/>
  <c r="BG78"/>
  <c r="BJ53"/>
  <c r="BI53"/>
  <c r="BG53"/>
  <c r="BJ28"/>
  <c r="BI28"/>
  <c r="BJ3"/>
  <c r="BI3"/>
  <c r="L369" i="18"/>
  <c r="L368"/>
  <c r="L367"/>
  <c r="L366"/>
  <c r="Y786" i="24"/>
  <c r="Y32" s="1"/>
  <c r="G483" i="18" s="1"/>
  <c r="X786" i="24"/>
  <c r="X32" s="1"/>
  <c r="F483" i="18" s="1"/>
  <c r="H483" s="1"/>
  <c r="AD761" i="24"/>
  <c r="AC761"/>
  <c r="AC31" s="1"/>
  <c r="Y761"/>
  <c r="Y31" s="1"/>
  <c r="G482" i="18" s="1"/>
  <c r="X761" i="24"/>
  <c r="AD736"/>
  <c r="AD30" s="1"/>
  <c r="G514" i="18" s="1"/>
  <c r="AC736" i="24"/>
  <c r="F514" i="18" s="1"/>
  <c r="H514" s="1"/>
  <c r="Y736" i="24"/>
  <c r="Y30" s="1"/>
  <c r="G481" i="18" s="1"/>
  <c r="X736" i="24"/>
  <c r="AD711"/>
  <c r="AC711"/>
  <c r="AC29" s="1"/>
  <c r="Y711"/>
  <c r="Y29" s="1"/>
  <c r="G480" i="18" s="1"/>
  <c r="X711" i="24"/>
  <c r="AD686"/>
  <c r="AC686"/>
  <c r="F512" i="18" s="1"/>
  <c r="H512" s="1"/>
  <c r="Y686" i="24"/>
  <c r="Y28" s="1"/>
  <c r="G479" i="18" s="1"/>
  <c r="X686" i="24"/>
  <c r="AD661"/>
  <c r="AC661"/>
  <c r="AC27" s="1"/>
  <c r="Y661"/>
  <c r="X661"/>
  <c r="AD636"/>
  <c r="AC636"/>
  <c r="F510" i="18" s="1"/>
  <c r="H510" s="1"/>
  <c r="Y636" i="24"/>
  <c r="Y26" s="1"/>
  <c r="G477" i="18" s="1"/>
  <c r="X636" i="24"/>
  <c r="AD611"/>
  <c r="AD25" s="1"/>
  <c r="G509" i="18" s="1"/>
  <c r="AC611" i="24"/>
  <c r="AC25" s="1"/>
  <c r="Y611"/>
  <c r="Y25" s="1"/>
  <c r="G476" i="18" s="1"/>
  <c r="X611" i="24"/>
  <c r="AD586"/>
  <c r="AD24" s="1"/>
  <c r="G508" i="18" s="1"/>
  <c r="AC586" i="24"/>
  <c r="F508" i="18" s="1"/>
  <c r="H508" s="1"/>
  <c r="Y586" i="24"/>
  <c r="Y24" s="1"/>
  <c r="G475" i="18" s="1"/>
  <c r="X586" i="24"/>
  <c r="AD561"/>
  <c r="AD23" s="1"/>
  <c r="G507" i="18" s="1"/>
  <c r="AC561" i="24"/>
  <c r="Y561"/>
  <c r="Y23" s="1"/>
  <c r="G474" i="18" s="1"/>
  <c r="X561" i="24"/>
  <c r="AD536"/>
  <c r="AC536"/>
  <c r="AC22" s="1"/>
  <c r="Y536"/>
  <c r="Y22" s="1"/>
  <c r="G473" i="18" s="1"/>
  <c r="X536" i="24"/>
  <c r="AD511"/>
  <c r="AD21" s="1"/>
  <c r="G505" i="18" s="1"/>
  <c r="AC511" i="24"/>
  <c r="Y511"/>
  <c r="Y21" s="1"/>
  <c r="G472" i="18" s="1"/>
  <c r="X511" i="24"/>
  <c r="AD486"/>
  <c r="AC486"/>
  <c r="F504" i="18" s="1"/>
  <c r="H504" s="1"/>
  <c r="Y486" i="24"/>
  <c r="Y20" s="1"/>
  <c r="G471" i="18" s="1"/>
  <c r="X486" i="24"/>
  <c r="AD461"/>
  <c r="AD19" s="1"/>
  <c r="G503" i="18" s="1"/>
  <c r="AC461" i="24"/>
  <c r="F503" i="18" s="1"/>
  <c r="H503" s="1"/>
  <c r="Y461" i="24"/>
  <c r="Y19" s="1"/>
  <c r="G470" i="18" s="1"/>
  <c r="X461" i="24"/>
  <c r="AD436"/>
  <c r="AC436"/>
  <c r="Y436"/>
  <c r="Y18" s="1"/>
  <c r="G469" i="18" s="1"/>
  <c r="X436" i="24"/>
  <c r="AD411"/>
  <c r="AD17" s="1"/>
  <c r="G501" i="18" s="1"/>
  <c r="AC411" i="24"/>
  <c r="AC17" s="1"/>
  <c r="Y411"/>
  <c r="Y17" s="1"/>
  <c r="G468" i="18" s="1"/>
  <c r="X411" i="24"/>
  <c r="AD386"/>
  <c r="AC386"/>
  <c r="Y386"/>
  <c r="Y16" s="1"/>
  <c r="G467" i="18" s="1"/>
  <c r="X386" i="24"/>
  <c r="AD361"/>
  <c r="AD15" s="1"/>
  <c r="G499" i="18" s="1"/>
  <c r="AC361" i="24"/>
  <c r="F499" i="18" s="1"/>
  <c r="H499" s="1"/>
  <c r="Y361" i="24"/>
  <c r="Y15" s="1"/>
  <c r="G466" i="18" s="1"/>
  <c r="X361" i="24"/>
  <c r="AD336"/>
  <c r="AC336"/>
  <c r="AC14" s="1"/>
  <c r="Y336"/>
  <c r="Y14" s="1"/>
  <c r="G465" i="18" s="1"/>
  <c r="X336" i="24"/>
  <c r="AD311"/>
  <c r="AD13" s="1"/>
  <c r="G497" i="18" s="1"/>
  <c r="AC311" i="24"/>
  <c r="F497" i="18" s="1"/>
  <c r="H497" s="1"/>
  <c r="Y311" i="24"/>
  <c r="Y13" s="1"/>
  <c r="G464" i="18" s="1"/>
  <c r="X311" i="24"/>
  <c r="X13" s="1"/>
  <c r="F464" i="18" s="1"/>
  <c r="AD286" i="24"/>
  <c r="AC286"/>
  <c r="Y286"/>
  <c r="Y12" s="1"/>
  <c r="G463" i="18" s="1"/>
  <c r="X286" i="24"/>
  <c r="AD261"/>
  <c r="AD11" s="1"/>
  <c r="G495" i="18" s="1"/>
  <c r="AC261" i="24"/>
  <c r="AC11" s="1"/>
  <c r="Y261"/>
  <c r="Y11" s="1"/>
  <c r="G462" i="18" s="1"/>
  <c r="X261" i="24"/>
  <c r="X11" s="1"/>
  <c r="F462" i="18" s="1"/>
  <c r="AD236" i="24"/>
  <c r="AC236"/>
  <c r="Y236"/>
  <c r="Y10" s="1"/>
  <c r="X236"/>
  <c r="X10" s="1"/>
  <c r="T236"/>
  <c r="T10" s="1"/>
  <c r="G461" i="18" s="1"/>
  <c r="S236" i="24"/>
  <c r="S10" s="1"/>
  <c r="AD211"/>
  <c r="AD9" s="1"/>
  <c r="G493" i="18" s="1"/>
  <c r="AC211" i="24"/>
  <c r="AC9" s="1"/>
  <c r="Y211"/>
  <c r="Y9" s="1"/>
  <c r="X211"/>
  <c r="X9" s="1"/>
  <c r="T211"/>
  <c r="T9" s="1"/>
  <c r="G460" i="18" s="1"/>
  <c r="S211" i="24"/>
  <c r="AD186"/>
  <c r="AC186"/>
  <c r="Y186"/>
  <c r="Y8" s="1"/>
  <c r="X186"/>
  <c r="X8" s="1"/>
  <c r="T186"/>
  <c r="T8" s="1"/>
  <c r="G459" i="18" s="1"/>
  <c r="S186" i="24"/>
  <c r="S8" s="1"/>
  <c r="AD161"/>
  <c r="AD7" s="1"/>
  <c r="G491" i="18" s="1"/>
  <c r="AC161" i="24"/>
  <c r="AC6" s="1"/>
  <c r="Y161"/>
  <c r="Y7" s="1"/>
  <c r="X161"/>
  <c r="X6" s="1"/>
  <c r="T161"/>
  <c r="T6" s="1"/>
  <c r="S161"/>
  <c r="S6" s="1"/>
  <c r="AD136"/>
  <c r="AC136"/>
  <c r="Y136"/>
  <c r="X136"/>
  <c r="T136"/>
  <c r="S136"/>
  <c r="AD111"/>
  <c r="AD5" s="1"/>
  <c r="G489" i="18" s="1"/>
  <c r="AC111" i="24"/>
  <c r="F489" i="18" s="1"/>
  <c r="H489" s="1"/>
  <c r="T111" i="24"/>
  <c r="T5" s="1"/>
  <c r="G456" i="18" s="1"/>
  <c r="S111" i="24"/>
  <c r="AD86"/>
  <c r="AC86"/>
  <c r="T86"/>
  <c r="T4" s="1"/>
  <c r="G455" i="18" s="1"/>
  <c r="S86" i="24"/>
  <c r="S4" s="1"/>
  <c r="F455" i="18" s="1"/>
  <c r="C517"/>
  <c r="L504"/>
  <c r="L505"/>
  <c r="L506"/>
  <c r="L507"/>
  <c r="L508"/>
  <c r="L509"/>
  <c r="L510"/>
  <c r="L511"/>
  <c r="L512"/>
  <c r="L513"/>
  <c r="L514"/>
  <c r="L515"/>
  <c r="O505"/>
  <c r="O506"/>
  <c r="O507"/>
  <c r="O508"/>
  <c r="O509"/>
  <c r="O510"/>
  <c r="O511"/>
  <c r="O512"/>
  <c r="O513"/>
  <c r="O514"/>
  <c r="O515"/>
  <c r="O503"/>
  <c r="E245" i="1"/>
  <c r="O504" i="18"/>
  <c r="F23" i="26"/>
  <c r="G23" s="1"/>
  <c r="F24"/>
  <c r="G24" s="1"/>
  <c r="F21"/>
  <c r="G21" s="1"/>
  <c r="C27"/>
  <c r="D27" s="1"/>
  <c r="E27" s="1"/>
  <c r="C28"/>
  <c r="D28" s="1"/>
  <c r="C29"/>
  <c r="D29" s="1"/>
  <c r="E29" s="1"/>
  <c r="C30"/>
  <c r="D30" s="1"/>
  <c r="C31"/>
  <c r="D31" s="1"/>
  <c r="E31" s="1"/>
  <c r="C32"/>
  <c r="D32" s="1"/>
  <c r="C23"/>
  <c r="D23" s="1"/>
  <c r="C24"/>
  <c r="D24" s="1"/>
  <c r="C21"/>
  <c r="D21" s="1"/>
  <c r="E21" s="1"/>
  <c r="I5"/>
  <c r="I8"/>
  <c r="I11"/>
  <c r="I14"/>
  <c r="F4"/>
  <c r="C4"/>
  <c r="D5"/>
  <c r="D6"/>
  <c r="D7"/>
  <c r="D8"/>
  <c r="D9"/>
  <c r="D10"/>
  <c r="D11"/>
  <c r="D12"/>
  <c r="D13"/>
  <c r="D14"/>
  <c r="E14" s="1"/>
  <c r="D15"/>
  <c r="D16"/>
  <c r="E16" s="1"/>
  <c r="G5"/>
  <c r="G6"/>
  <c r="G7"/>
  <c r="G8"/>
  <c r="G9"/>
  <c r="G10"/>
  <c r="G11"/>
  <c r="G12"/>
  <c r="G13"/>
  <c r="G14"/>
  <c r="G15"/>
  <c r="G16"/>
  <c r="E15"/>
  <c r="E12"/>
  <c r="E11"/>
  <c r="E10"/>
  <c r="E9"/>
  <c r="E8"/>
  <c r="E7"/>
  <c r="E6"/>
  <c r="E5"/>
  <c r="L6" i="18"/>
  <c r="L5"/>
  <c r="L3"/>
  <c r="O3"/>
  <c r="O5"/>
  <c r="O6"/>
  <c r="N4"/>
  <c r="F22" i="26" s="1"/>
  <c r="K4" i="18"/>
  <c r="L4" s="1"/>
  <c r="Q5"/>
  <c r="H6"/>
  <c r="H3"/>
  <c r="H5"/>
  <c r="K7"/>
  <c r="C25" i="26" s="1"/>
  <c r="D25" s="1"/>
  <c r="E25" s="1"/>
  <c r="N7" i="18"/>
  <c r="F25" i="26" s="1"/>
  <c r="J4" i="18"/>
  <c r="J5"/>
  <c r="J6"/>
  <c r="C420"/>
  <c r="C387"/>
  <c r="C357"/>
  <c r="C485"/>
  <c r="I402" i="25"/>
  <c r="I377"/>
  <c r="I352"/>
  <c r="I327"/>
  <c r="I302"/>
  <c r="I277"/>
  <c r="I252"/>
  <c r="I227"/>
  <c r="I202"/>
  <c r="I177"/>
  <c r="I152"/>
  <c r="I127"/>
  <c r="I102"/>
  <c r="I77"/>
  <c r="I52"/>
  <c r="I27"/>
  <c r="I2"/>
  <c r="H3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G402" s="1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G377" s="1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G352" s="1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G327" s="1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G302" s="1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G277" s="1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G252" s="1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G227" s="1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1"/>
  <c r="G211"/>
  <c r="H210"/>
  <c r="G210"/>
  <c r="H209"/>
  <c r="G209"/>
  <c r="H208"/>
  <c r="G208"/>
  <c r="H207"/>
  <c r="G207"/>
  <c r="H206"/>
  <c r="G206"/>
  <c r="H205"/>
  <c r="G205"/>
  <c r="H204"/>
  <c r="G204"/>
  <c r="H203"/>
  <c r="G203"/>
  <c r="G202" s="1"/>
  <c r="H201"/>
  <c r="G201"/>
  <c r="H200"/>
  <c r="G200"/>
  <c r="H199"/>
  <c r="G199"/>
  <c r="H198"/>
  <c r="G198"/>
  <c r="H197"/>
  <c r="G197"/>
  <c r="H196"/>
  <c r="G196"/>
  <c r="H195"/>
  <c r="G195"/>
  <c r="H194"/>
  <c r="G194"/>
  <c r="H193"/>
  <c r="G193"/>
  <c r="H192"/>
  <c r="G192"/>
  <c r="H191"/>
  <c r="G191"/>
  <c r="H190"/>
  <c r="G190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G177" s="1"/>
  <c r="H176"/>
  <c r="G176"/>
  <c r="H175"/>
  <c r="G175"/>
  <c r="H174"/>
  <c r="G174"/>
  <c r="H173"/>
  <c r="G173"/>
  <c r="H172"/>
  <c r="G172"/>
  <c r="H171"/>
  <c r="G171"/>
  <c r="H170"/>
  <c r="G170"/>
  <c r="H169"/>
  <c r="G169"/>
  <c r="H168"/>
  <c r="G168"/>
  <c r="H167"/>
  <c r="G167"/>
  <c r="H166"/>
  <c r="G166"/>
  <c r="H165"/>
  <c r="G165"/>
  <c r="H164"/>
  <c r="G164"/>
  <c r="H163"/>
  <c r="G163"/>
  <c r="H162"/>
  <c r="G162"/>
  <c r="H161"/>
  <c r="G161"/>
  <c r="H160"/>
  <c r="G160"/>
  <c r="H159"/>
  <c r="G159"/>
  <c r="H158"/>
  <c r="G158"/>
  <c r="H157"/>
  <c r="G157"/>
  <c r="H156"/>
  <c r="G156"/>
  <c r="H155"/>
  <c r="G155"/>
  <c r="H154"/>
  <c r="G154"/>
  <c r="H153"/>
  <c r="G153"/>
  <c r="G152" s="1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G127" s="1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G102" s="1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G77" s="1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G52" s="1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G27" s="1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4"/>
  <c r="G4"/>
  <c r="G3"/>
  <c r="G2" s="1"/>
  <c r="L486" i="18"/>
  <c r="E230" i="1"/>
  <c r="E226"/>
  <c r="E227"/>
  <c r="D802" i="25"/>
  <c r="C802"/>
  <c r="D777"/>
  <c r="C777"/>
  <c r="B801"/>
  <c r="A801"/>
  <c r="B800"/>
  <c r="A800"/>
  <c r="B799"/>
  <c r="A799"/>
  <c r="B798"/>
  <c r="A798"/>
  <c r="B797"/>
  <c r="A797"/>
  <c r="B796"/>
  <c r="A796"/>
  <c r="B795"/>
  <c r="A795"/>
  <c r="B794"/>
  <c r="A794"/>
  <c r="B793"/>
  <c r="A793"/>
  <c r="B792"/>
  <c r="A792"/>
  <c r="B791"/>
  <c r="A791"/>
  <c r="B790"/>
  <c r="A790"/>
  <c r="B789"/>
  <c r="A789"/>
  <c r="B788"/>
  <c r="A788"/>
  <c r="B787"/>
  <c r="A787"/>
  <c r="B786"/>
  <c r="A786"/>
  <c r="B785"/>
  <c r="A785"/>
  <c r="B784"/>
  <c r="A784"/>
  <c r="B783"/>
  <c r="A783"/>
  <c r="B782"/>
  <c r="A782"/>
  <c r="B781"/>
  <c r="A781"/>
  <c r="B780"/>
  <c r="A780"/>
  <c r="B779"/>
  <c r="A779"/>
  <c r="B778"/>
  <c r="A778"/>
  <c r="B776"/>
  <c r="A776"/>
  <c r="B775"/>
  <c r="A775"/>
  <c r="B774"/>
  <c r="A774"/>
  <c r="B773"/>
  <c r="A773"/>
  <c r="B772"/>
  <c r="A772"/>
  <c r="B771"/>
  <c r="A771"/>
  <c r="B770"/>
  <c r="A770"/>
  <c r="B769"/>
  <c r="A769"/>
  <c r="B768"/>
  <c r="A768"/>
  <c r="B767"/>
  <c r="A767"/>
  <c r="B766"/>
  <c r="A766"/>
  <c r="B765"/>
  <c r="A765"/>
  <c r="B764"/>
  <c r="A764"/>
  <c r="B763"/>
  <c r="A763"/>
  <c r="B762"/>
  <c r="A762"/>
  <c r="B761"/>
  <c r="A761"/>
  <c r="B760"/>
  <c r="A760"/>
  <c r="B759"/>
  <c r="A759"/>
  <c r="B758"/>
  <c r="A758"/>
  <c r="B757"/>
  <c r="A757"/>
  <c r="B756"/>
  <c r="A756"/>
  <c r="B755"/>
  <c r="A755"/>
  <c r="B754"/>
  <c r="A754"/>
  <c r="B753"/>
  <c r="A753"/>
  <c r="O483" i="18"/>
  <c r="L483"/>
  <c r="D752" i="25"/>
  <c r="C752"/>
  <c r="D727"/>
  <c r="C727"/>
  <c r="D702"/>
  <c r="C702"/>
  <c r="B751"/>
  <c r="A751"/>
  <c r="B750"/>
  <c r="A750"/>
  <c r="B749"/>
  <c r="A749"/>
  <c r="B748"/>
  <c r="A748"/>
  <c r="B747"/>
  <c r="A747"/>
  <c r="B746"/>
  <c r="A746"/>
  <c r="B745"/>
  <c r="A745"/>
  <c r="B744"/>
  <c r="A744"/>
  <c r="B743"/>
  <c r="A743"/>
  <c r="B742"/>
  <c r="A742"/>
  <c r="B741"/>
  <c r="A741"/>
  <c r="B740"/>
  <c r="A740"/>
  <c r="B739"/>
  <c r="A739"/>
  <c r="B738"/>
  <c r="A738"/>
  <c r="B737"/>
  <c r="A737"/>
  <c r="B736"/>
  <c r="A736"/>
  <c r="B735"/>
  <c r="A735"/>
  <c r="B734"/>
  <c r="A734"/>
  <c r="B733"/>
  <c r="A733"/>
  <c r="B732"/>
  <c r="A732"/>
  <c r="B731"/>
  <c r="A731"/>
  <c r="B730"/>
  <c r="A730"/>
  <c r="B729"/>
  <c r="A729"/>
  <c r="B728"/>
  <c r="A728"/>
  <c r="B726"/>
  <c r="A726"/>
  <c r="B725"/>
  <c r="A725"/>
  <c r="B724"/>
  <c r="A724"/>
  <c r="B723"/>
  <c r="A723"/>
  <c r="B722"/>
  <c r="A722"/>
  <c r="B721"/>
  <c r="A721"/>
  <c r="B720"/>
  <c r="A720"/>
  <c r="B719"/>
  <c r="A719"/>
  <c r="B718"/>
  <c r="A718"/>
  <c r="B717"/>
  <c r="A717"/>
  <c r="B716"/>
  <c r="A716"/>
  <c r="B715"/>
  <c r="A715"/>
  <c r="B714"/>
  <c r="A714"/>
  <c r="B713"/>
  <c r="A713"/>
  <c r="B712"/>
  <c r="A712"/>
  <c r="B711"/>
  <c r="A711"/>
  <c r="B710"/>
  <c r="A710"/>
  <c r="B709"/>
  <c r="A709"/>
  <c r="B708"/>
  <c r="A708"/>
  <c r="B707"/>
  <c r="A707"/>
  <c r="B706"/>
  <c r="A706"/>
  <c r="B705"/>
  <c r="A705"/>
  <c r="B704"/>
  <c r="A704"/>
  <c r="B703"/>
  <c r="A703"/>
  <c r="B701"/>
  <c r="A701"/>
  <c r="B700"/>
  <c r="A700"/>
  <c r="B699"/>
  <c r="A699"/>
  <c r="B698"/>
  <c r="A698"/>
  <c r="B697"/>
  <c r="A697"/>
  <c r="B696"/>
  <c r="A696"/>
  <c r="B695"/>
  <c r="A695"/>
  <c r="B694"/>
  <c r="A694"/>
  <c r="B693"/>
  <c r="A693"/>
  <c r="B692"/>
  <c r="A692"/>
  <c r="B691"/>
  <c r="A691"/>
  <c r="B690"/>
  <c r="A690"/>
  <c r="B689"/>
  <c r="A689"/>
  <c r="B688"/>
  <c r="A688"/>
  <c r="B687"/>
  <c r="A687"/>
  <c r="B686"/>
  <c r="A686"/>
  <c r="B685"/>
  <c r="A685"/>
  <c r="B684"/>
  <c r="A684"/>
  <c r="B683"/>
  <c r="A683"/>
  <c r="B682"/>
  <c r="A682"/>
  <c r="B681"/>
  <c r="A681"/>
  <c r="B680"/>
  <c r="A680"/>
  <c r="B679"/>
  <c r="A679"/>
  <c r="B678"/>
  <c r="A678"/>
  <c r="O480" i="18"/>
  <c r="O481"/>
  <c r="O482"/>
  <c r="L480"/>
  <c r="L481"/>
  <c r="L482"/>
  <c r="L478"/>
  <c r="L479"/>
  <c r="D677" i="25"/>
  <c r="C677"/>
  <c r="D652"/>
  <c r="C652"/>
  <c r="B676"/>
  <c r="A676"/>
  <c r="B675"/>
  <c r="A675"/>
  <c r="B674"/>
  <c r="A674"/>
  <c r="B673"/>
  <c r="A673"/>
  <c r="B672"/>
  <c r="A672"/>
  <c r="B671"/>
  <c r="A671"/>
  <c r="B670"/>
  <c r="A670"/>
  <c r="B669"/>
  <c r="A669"/>
  <c r="B668"/>
  <c r="A668"/>
  <c r="B667"/>
  <c r="A667"/>
  <c r="B666"/>
  <c r="A666"/>
  <c r="B665"/>
  <c r="A665"/>
  <c r="B664"/>
  <c r="A664"/>
  <c r="B663"/>
  <c r="A663"/>
  <c r="B662"/>
  <c r="A662"/>
  <c r="B661"/>
  <c r="A661"/>
  <c r="B660"/>
  <c r="A660"/>
  <c r="B659"/>
  <c r="A659"/>
  <c r="B658"/>
  <c r="A658"/>
  <c r="B657"/>
  <c r="A657"/>
  <c r="B656"/>
  <c r="A656"/>
  <c r="B655"/>
  <c r="A655"/>
  <c r="B654"/>
  <c r="A654"/>
  <c r="B653"/>
  <c r="A653"/>
  <c r="B651"/>
  <c r="A651"/>
  <c r="B650"/>
  <c r="A650"/>
  <c r="B649"/>
  <c r="A649"/>
  <c r="B648"/>
  <c r="A648"/>
  <c r="B647"/>
  <c r="A647"/>
  <c r="B646"/>
  <c r="A646"/>
  <c r="B645"/>
  <c r="A645"/>
  <c r="B644"/>
  <c r="A644"/>
  <c r="B643"/>
  <c r="A643"/>
  <c r="B642"/>
  <c r="A642"/>
  <c r="B641"/>
  <c r="A641"/>
  <c r="B640"/>
  <c r="A640"/>
  <c r="B639"/>
  <c r="A639"/>
  <c r="B638"/>
  <c r="A638"/>
  <c r="B637"/>
  <c r="A637"/>
  <c r="B636"/>
  <c r="A636"/>
  <c r="B635"/>
  <c r="A635"/>
  <c r="B634"/>
  <c r="A634"/>
  <c r="B633"/>
  <c r="A633"/>
  <c r="B632"/>
  <c r="A632"/>
  <c r="B631"/>
  <c r="A631"/>
  <c r="B630"/>
  <c r="A630"/>
  <c r="B629"/>
  <c r="A629"/>
  <c r="B628"/>
  <c r="A628"/>
  <c r="O478" i="18"/>
  <c r="O479"/>
  <c r="D627" i="25"/>
  <c r="C627"/>
  <c r="B626"/>
  <c r="A626"/>
  <c r="B625"/>
  <c r="A625"/>
  <c r="B624"/>
  <c r="A624"/>
  <c r="B623"/>
  <c r="A623"/>
  <c r="B622"/>
  <c r="A622"/>
  <c r="B621"/>
  <c r="A621"/>
  <c r="B620"/>
  <c r="A620"/>
  <c r="B619"/>
  <c r="A619"/>
  <c r="B618"/>
  <c r="A618"/>
  <c r="B617"/>
  <c r="A617"/>
  <c r="B616"/>
  <c r="A616"/>
  <c r="B615"/>
  <c r="A615"/>
  <c r="B614"/>
  <c r="A614"/>
  <c r="B613"/>
  <c r="A613"/>
  <c r="B612"/>
  <c r="A612"/>
  <c r="B611"/>
  <c r="A611"/>
  <c r="B610"/>
  <c r="A610"/>
  <c r="B609"/>
  <c r="A609"/>
  <c r="B608"/>
  <c r="A608"/>
  <c r="B607"/>
  <c r="A607"/>
  <c r="B606"/>
  <c r="A606"/>
  <c r="B605"/>
  <c r="A605"/>
  <c r="B604"/>
  <c r="A604"/>
  <c r="B603"/>
  <c r="A603"/>
  <c r="O477" i="18"/>
  <c r="L477"/>
  <c r="E194" i="1"/>
  <c r="O475" i="18"/>
  <c r="O476"/>
  <c r="L475"/>
  <c r="L476"/>
  <c r="D602" i="25"/>
  <c r="C602"/>
  <c r="D577"/>
  <c r="C577"/>
  <c r="B601"/>
  <c r="A601"/>
  <c r="B600"/>
  <c r="A600"/>
  <c r="B599"/>
  <c r="A599"/>
  <c r="B598"/>
  <c r="A598"/>
  <c r="B597"/>
  <c r="A597"/>
  <c r="B596"/>
  <c r="A596"/>
  <c r="B595"/>
  <c r="A595"/>
  <c r="B594"/>
  <c r="A594"/>
  <c r="B593"/>
  <c r="A593"/>
  <c r="B592"/>
  <c r="A592"/>
  <c r="B591"/>
  <c r="A591"/>
  <c r="B590"/>
  <c r="A590"/>
  <c r="B589"/>
  <c r="A589"/>
  <c r="B588"/>
  <c r="A588"/>
  <c r="B587"/>
  <c r="A587"/>
  <c r="B586"/>
  <c r="A586"/>
  <c r="B585"/>
  <c r="A585"/>
  <c r="B584"/>
  <c r="A584"/>
  <c r="B583"/>
  <c r="A583"/>
  <c r="B582"/>
  <c r="A582"/>
  <c r="B581"/>
  <c r="A581"/>
  <c r="B580"/>
  <c r="A580"/>
  <c r="B579"/>
  <c r="A579"/>
  <c r="B578"/>
  <c r="A578"/>
  <c r="B576"/>
  <c r="A576"/>
  <c r="B575"/>
  <c r="A575"/>
  <c r="B574"/>
  <c r="A574"/>
  <c r="B573"/>
  <c r="A573"/>
  <c r="B572"/>
  <c r="A572"/>
  <c r="B571"/>
  <c r="A571"/>
  <c r="B570"/>
  <c r="A570"/>
  <c r="B569"/>
  <c r="A569"/>
  <c r="B568"/>
  <c r="A568"/>
  <c r="B567"/>
  <c r="A567"/>
  <c r="B566"/>
  <c r="A566"/>
  <c r="B565"/>
  <c r="A565"/>
  <c r="B564"/>
  <c r="A564"/>
  <c r="B563"/>
  <c r="A563"/>
  <c r="B562"/>
  <c r="A562"/>
  <c r="B561"/>
  <c r="A561"/>
  <c r="B560"/>
  <c r="A560"/>
  <c r="B559"/>
  <c r="A559"/>
  <c r="B558"/>
  <c r="A558"/>
  <c r="B557"/>
  <c r="A557"/>
  <c r="B556"/>
  <c r="A556"/>
  <c r="B555"/>
  <c r="A555"/>
  <c r="B554"/>
  <c r="A554"/>
  <c r="B553"/>
  <c r="A553"/>
  <c r="E220" i="1"/>
  <c r="U173"/>
  <c r="E173" s="1"/>
  <c r="D552" i="25"/>
  <c r="C552"/>
  <c r="D527"/>
  <c r="C527"/>
  <c r="D502"/>
  <c r="C502"/>
  <c r="D477"/>
  <c r="C477"/>
  <c r="B551"/>
  <c r="A551"/>
  <c r="B550"/>
  <c r="A550"/>
  <c r="B549"/>
  <c r="A549"/>
  <c r="B548"/>
  <c r="A548"/>
  <c r="B547"/>
  <c r="A547"/>
  <c r="B546"/>
  <c r="A546"/>
  <c r="B545"/>
  <c r="A545"/>
  <c r="B544"/>
  <c r="A544"/>
  <c r="B543"/>
  <c r="A543"/>
  <c r="B542"/>
  <c r="A542"/>
  <c r="B541"/>
  <c r="A541"/>
  <c r="B540"/>
  <c r="A540"/>
  <c r="B539"/>
  <c r="A539"/>
  <c r="B538"/>
  <c r="A538"/>
  <c r="B537"/>
  <c r="A537"/>
  <c r="B536"/>
  <c r="A536"/>
  <c r="B535"/>
  <c r="A535"/>
  <c r="B534"/>
  <c r="A534"/>
  <c r="B533"/>
  <c r="A533"/>
  <c r="B532"/>
  <c r="A532"/>
  <c r="B531"/>
  <c r="A531"/>
  <c r="B530"/>
  <c r="A530"/>
  <c r="B529"/>
  <c r="A529"/>
  <c r="B528"/>
  <c r="A528"/>
  <c r="B526"/>
  <c r="A526"/>
  <c r="B525"/>
  <c r="A525"/>
  <c r="B524"/>
  <c r="A524"/>
  <c r="B523"/>
  <c r="A523"/>
  <c r="B522"/>
  <c r="A522"/>
  <c r="B521"/>
  <c r="A521"/>
  <c r="B520"/>
  <c r="A520"/>
  <c r="B519"/>
  <c r="A519"/>
  <c r="B518"/>
  <c r="A518"/>
  <c r="B517"/>
  <c r="A517"/>
  <c r="B516"/>
  <c r="A516"/>
  <c r="B515"/>
  <c r="A515"/>
  <c r="B514"/>
  <c r="A514"/>
  <c r="B513"/>
  <c r="A513"/>
  <c r="B512"/>
  <c r="A512"/>
  <c r="B511"/>
  <c r="A511"/>
  <c r="B510"/>
  <c r="A510"/>
  <c r="B509"/>
  <c r="A509"/>
  <c r="B508"/>
  <c r="A508"/>
  <c r="B507"/>
  <c r="A507"/>
  <c r="B506"/>
  <c r="A506"/>
  <c r="B505"/>
  <c r="A505"/>
  <c r="B504"/>
  <c r="A504"/>
  <c r="B503"/>
  <c r="A503"/>
  <c r="B501"/>
  <c r="A501"/>
  <c r="B500"/>
  <c r="A500"/>
  <c r="B499"/>
  <c r="A499"/>
  <c r="B498"/>
  <c r="A498"/>
  <c r="B497"/>
  <c r="A497"/>
  <c r="B496"/>
  <c r="A496"/>
  <c r="B495"/>
  <c r="A495"/>
  <c r="B494"/>
  <c r="A494"/>
  <c r="B493"/>
  <c r="A493"/>
  <c r="B492"/>
  <c r="A492"/>
  <c r="B491"/>
  <c r="A491"/>
  <c r="B490"/>
  <c r="A490"/>
  <c r="B489"/>
  <c r="A489"/>
  <c r="B488"/>
  <c r="A488"/>
  <c r="B487"/>
  <c r="A487"/>
  <c r="B486"/>
  <c r="A486"/>
  <c r="B485"/>
  <c r="A485"/>
  <c r="B484"/>
  <c r="A484"/>
  <c r="B483"/>
  <c r="A483"/>
  <c r="B482"/>
  <c r="A482"/>
  <c r="B481"/>
  <c r="A481"/>
  <c r="B480"/>
  <c r="A480"/>
  <c r="B479"/>
  <c r="A479"/>
  <c r="B478"/>
  <c r="A478"/>
  <c r="B476"/>
  <c r="A476"/>
  <c r="B475"/>
  <c r="A475"/>
  <c r="B474"/>
  <c r="A474"/>
  <c r="B473"/>
  <c r="A473"/>
  <c r="B472"/>
  <c r="A472"/>
  <c r="B471"/>
  <c r="A471"/>
  <c r="B470"/>
  <c r="A470"/>
  <c r="B469"/>
  <c r="A469"/>
  <c r="B468"/>
  <c r="A468"/>
  <c r="B467"/>
  <c r="A467"/>
  <c r="B466"/>
  <c r="A466"/>
  <c r="B465"/>
  <c r="A465"/>
  <c r="B464"/>
  <c r="A464"/>
  <c r="B463"/>
  <c r="A463"/>
  <c r="B462"/>
  <c r="A462"/>
  <c r="B461"/>
  <c r="A461"/>
  <c r="B460"/>
  <c r="A460"/>
  <c r="B459"/>
  <c r="A459"/>
  <c r="B458"/>
  <c r="A458"/>
  <c r="B457"/>
  <c r="A457"/>
  <c r="B456"/>
  <c r="A456"/>
  <c r="B455"/>
  <c r="A455"/>
  <c r="B454"/>
  <c r="A454"/>
  <c r="B453"/>
  <c r="A453"/>
  <c r="O471" i="18"/>
  <c r="O472"/>
  <c r="O473"/>
  <c r="O474"/>
  <c r="L471"/>
  <c r="L472"/>
  <c r="L473"/>
  <c r="L474"/>
  <c r="B451" i="25"/>
  <c r="A451"/>
  <c r="B450"/>
  <c r="A450"/>
  <c r="B449"/>
  <c r="A449"/>
  <c r="B448"/>
  <c r="A448"/>
  <c r="B447"/>
  <c r="A447"/>
  <c r="B446"/>
  <c r="A446"/>
  <c r="B445"/>
  <c r="A445"/>
  <c r="B444"/>
  <c r="A444"/>
  <c r="B443"/>
  <c r="A443"/>
  <c r="B442"/>
  <c r="A442"/>
  <c r="B441"/>
  <c r="A441"/>
  <c r="B440"/>
  <c r="A440"/>
  <c r="B439"/>
  <c r="A439"/>
  <c r="B438"/>
  <c r="A438"/>
  <c r="B437"/>
  <c r="A437"/>
  <c r="B436"/>
  <c r="A436"/>
  <c r="B435"/>
  <c r="A435"/>
  <c r="B434"/>
  <c r="A434"/>
  <c r="B433"/>
  <c r="A433"/>
  <c r="B432"/>
  <c r="A432"/>
  <c r="B431"/>
  <c r="A431"/>
  <c r="B430"/>
  <c r="A430"/>
  <c r="B429"/>
  <c r="A429"/>
  <c r="B428"/>
  <c r="A428"/>
  <c r="O470" i="18"/>
  <c r="L470"/>
  <c r="D452" i="25"/>
  <c r="C452"/>
  <c r="L468" i="18"/>
  <c r="L469"/>
  <c r="O468"/>
  <c r="O469"/>
  <c r="D427" i="25"/>
  <c r="C427"/>
  <c r="D402"/>
  <c r="C402"/>
  <c r="B426"/>
  <c r="A426"/>
  <c r="B425"/>
  <c r="A425"/>
  <c r="B424"/>
  <c r="A424"/>
  <c r="B423"/>
  <c r="A423"/>
  <c r="B422"/>
  <c r="A422"/>
  <c r="B421"/>
  <c r="A421"/>
  <c r="B420"/>
  <c r="A420"/>
  <c r="B419"/>
  <c r="A419"/>
  <c r="B418"/>
  <c r="A418"/>
  <c r="B417"/>
  <c r="A417"/>
  <c r="B416"/>
  <c r="A416"/>
  <c r="B415"/>
  <c r="A415"/>
  <c r="B414"/>
  <c r="A414"/>
  <c r="B413"/>
  <c r="A413"/>
  <c r="B412"/>
  <c r="A412"/>
  <c r="B411"/>
  <c r="A411"/>
  <c r="B410"/>
  <c r="A410"/>
  <c r="B409"/>
  <c r="A409"/>
  <c r="B408"/>
  <c r="A408"/>
  <c r="B407"/>
  <c r="A407"/>
  <c r="B406"/>
  <c r="A406"/>
  <c r="B405"/>
  <c r="A405"/>
  <c r="B404"/>
  <c r="A404"/>
  <c r="B403"/>
  <c r="A403"/>
  <c r="B401"/>
  <c r="A401"/>
  <c r="B400"/>
  <c r="A400"/>
  <c r="B399"/>
  <c r="A399"/>
  <c r="B398"/>
  <c r="A398"/>
  <c r="B397"/>
  <c r="A397"/>
  <c r="B396"/>
  <c r="A396"/>
  <c r="B395"/>
  <c r="A395"/>
  <c r="B394"/>
  <c r="A394"/>
  <c r="B393"/>
  <c r="A393"/>
  <c r="B392"/>
  <c r="A392"/>
  <c r="B391"/>
  <c r="A391"/>
  <c r="B390"/>
  <c r="A390"/>
  <c r="B389"/>
  <c r="A389"/>
  <c r="B388"/>
  <c r="A388"/>
  <c r="B387"/>
  <c r="A387"/>
  <c r="B386"/>
  <c r="A386"/>
  <c r="B385"/>
  <c r="A385"/>
  <c r="B384"/>
  <c r="A384"/>
  <c r="B383"/>
  <c r="A383"/>
  <c r="B382"/>
  <c r="A382"/>
  <c r="B381"/>
  <c r="A381"/>
  <c r="B380"/>
  <c r="A380"/>
  <c r="B379"/>
  <c r="A379"/>
  <c r="B378"/>
  <c r="A378"/>
  <c r="D377"/>
  <c r="C377"/>
  <c r="B376"/>
  <c r="A376"/>
  <c r="B375"/>
  <c r="A375"/>
  <c r="B374"/>
  <c r="A374"/>
  <c r="B373"/>
  <c r="A373"/>
  <c r="B372"/>
  <c r="A372"/>
  <c r="B371"/>
  <c r="A371"/>
  <c r="B370"/>
  <c r="A370"/>
  <c r="B369"/>
  <c r="A369"/>
  <c r="B368"/>
  <c r="A368"/>
  <c r="B367"/>
  <c r="A367"/>
  <c r="B366"/>
  <c r="A366"/>
  <c r="B365"/>
  <c r="A365"/>
  <c r="B364"/>
  <c r="A364"/>
  <c r="B363"/>
  <c r="A363"/>
  <c r="B362"/>
  <c r="A362"/>
  <c r="B361"/>
  <c r="A361"/>
  <c r="B360"/>
  <c r="A360"/>
  <c r="B359"/>
  <c r="A359"/>
  <c r="B358"/>
  <c r="A358"/>
  <c r="B357"/>
  <c r="A357"/>
  <c r="B356"/>
  <c r="A356"/>
  <c r="B355"/>
  <c r="A355"/>
  <c r="B354"/>
  <c r="A354"/>
  <c r="B353"/>
  <c r="A353"/>
  <c r="O467" i="18"/>
  <c r="L467"/>
  <c r="L466"/>
  <c r="O466"/>
  <c r="Q466" s="1"/>
  <c r="D352" i="25"/>
  <c r="C352"/>
  <c r="B351"/>
  <c r="A351"/>
  <c r="B350"/>
  <c r="A350"/>
  <c r="B349"/>
  <c r="A349"/>
  <c r="B348"/>
  <c r="A348"/>
  <c r="B347"/>
  <c r="A347"/>
  <c r="B346"/>
  <c r="A346"/>
  <c r="B345"/>
  <c r="A345"/>
  <c r="B344"/>
  <c r="A344"/>
  <c r="B343"/>
  <c r="A343"/>
  <c r="B342"/>
  <c r="A342"/>
  <c r="B341"/>
  <c r="A341"/>
  <c r="B340"/>
  <c r="A340"/>
  <c r="B339"/>
  <c r="A339"/>
  <c r="B338"/>
  <c r="A338"/>
  <c r="B337"/>
  <c r="A337"/>
  <c r="B336"/>
  <c r="A336"/>
  <c r="B335"/>
  <c r="A335"/>
  <c r="B334"/>
  <c r="A334"/>
  <c r="B333"/>
  <c r="A333"/>
  <c r="B332"/>
  <c r="A332"/>
  <c r="B331"/>
  <c r="A331"/>
  <c r="B330"/>
  <c r="A330"/>
  <c r="B329"/>
  <c r="A329"/>
  <c r="B328"/>
  <c r="A328"/>
  <c r="D327"/>
  <c r="C327"/>
  <c r="B326"/>
  <c r="A326"/>
  <c r="B325"/>
  <c r="A325"/>
  <c r="B324"/>
  <c r="A324"/>
  <c r="B323"/>
  <c r="A323"/>
  <c r="B322"/>
  <c r="A322"/>
  <c r="B321"/>
  <c r="A321"/>
  <c r="B320"/>
  <c r="A320"/>
  <c r="B319"/>
  <c r="A319"/>
  <c r="B318"/>
  <c r="A318"/>
  <c r="B317"/>
  <c r="A317"/>
  <c r="B316"/>
  <c r="A316"/>
  <c r="B315"/>
  <c r="A315"/>
  <c r="B314"/>
  <c r="A314"/>
  <c r="B313"/>
  <c r="A313"/>
  <c r="B312"/>
  <c r="A312"/>
  <c r="B311"/>
  <c r="A311"/>
  <c r="B310"/>
  <c r="A310"/>
  <c r="B309"/>
  <c r="A309"/>
  <c r="B308"/>
  <c r="A308"/>
  <c r="B307"/>
  <c r="A307"/>
  <c r="B306"/>
  <c r="A306"/>
  <c r="B305"/>
  <c r="A305"/>
  <c r="B304"/>
  <c r="A304"/>
  <c r="B303"/>
  <c r="A303"/>
  <c r="D302"/>
  <c r="C302"/>
  <c r="D277"/>
  <c r="C277"/>
  <c r="D252"/>
  <c r="C25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E199" i="1"/>
  <c r="E197"/>
  <c r="D227" i="25"/>
  <c r="C227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D202"/>
  <c r="C202"/>
  <c r="D177"/>
  <c r="C177"/>
  <c r="D152"/>
  <c r="C152"/>
  <c r="D127"/>
  <c r="C127"/>
  <c r="D102"/>
  <c r="C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BP753" i="17"/>
  <c r="BO753"/>
  <c r="BP728"/>
  <c r="BO728"/>
  <c r="BP703"/>
  <c r="BO703"/>
  <c r="BP678"/>
  <c r="BO678"/>
  <c r="BP653"/>
  <c r="BO653"/>
  <c r="BP628"/>
  <c r="BO628"/>
  <c r="BP603"/>
  <c r="BO603"/>
  <c r="BP578"/>
  <c r="BO578"/>
  <c r="BP553"/>
  <c r="BO553"/>
  <c r="BP528"/>
  <c r="BO528"/>
  <c r="BP503"/>
  <c r="BO503"/>
  <c r="BP478"/>
  <c r="BO478"/>
  <c r="BP453"/>
  <c r="BO453"/>
  <c r="BP428"/>
  <c r="BO428"/>
  <c r="BP403"/>
  <c r="BO403"/>
  <c r="BP378"/>
  <c r="BO378"/>
  <c r="BP353"/>
  <c r="BO353"/>
  <c r="BP328"/>
  <c r="BO328"/>
  <c r="BP303"/>
  <c r="BO303"/>
  <c r="BP278"/>
  <c r="BO278"/>
  <c r="BP253"/>
  <c r="BO253"/>
  <c r="BP228"/>
  <c r="BO228"/>
  <c r="BP203"/>
  <c r="BO203"/>
  <c r="BP178"/>
  <c r="BO178"/>
  <c r="BP153"/>
  <c r="BO153"/>
  <c r="BP128"/>
  <c r="BO128"/>
  <c r="BL756"/>
  <c r="BL731"/>
  <c r="BL706"/>
  <c r="BL718" s="1"/>
  <c r="BL681"/>
  <c r="BL656"/>
  <c r="BL668" s="1"/>
  <c r="BL631"/>
  <c r="BL606"/>
  <c r="BL618" s="1"/>
  <c r="BL581"/>
  <c r="BL556"/>
  <c r="BL568" s="1"/>
  <c r="BL531"/>
  <c r="BL506"/>
  <c r="BL518" s="1"/>
  <c r="BL481"/>
  <c r="BL456"/>
  <c r="BL468" s="1"/>
  <c r="BL431"/>
  <c r="BL445" s="1"/>
  <c r="BL406"/>
  <c r="BL381"/>
  <c r="BL356"/>
  <c r="BL331"/>
  <c r="BL306"/>
  <c r="BL281"/>
  <c r="BL256"/>
  <c r="BL231"/>
  <c r="BL245" s="1"/>
  <c r="BL206"/>
  <c r="BL218" s="1"/>
  <c r="BL181"/>
  <c r="BL156"/>
  <c r="BL168" s="1"/>
  <c r="BL131"/>
  <c r="BL106"/>
  <c r="BL118" s="1"/>
  <c r="BP103"/>
  <c r="O465" i="18"/>
  <c r="O464"/>
  <c r="O463"/>
  <c r="O461"/>
  <c r="O462" s="1"/>
  <c r="O458"/>
  <c r="O459" s="1"/>
  <c r="O460" s="1"/>
  <c r="O457"/>
  <c r="O456" s="1"/>
  <c r="BL764" i="17"/>
  <c r="BL765" s="1"/>
  <c r="BL759"/>
  <c r="BL760" s="1"/>
  <c r="BL768"/>
  <c r="BL743"/>
  <c r="BL739"/>
  <c r="BL740" s="1"/>
  <c r="BL734"/>
  <c r="BL737" s="1"/>
  <c r="BL732"/>
  <c r="BL745"/>
  <c r="BL715"/>
  <c r="BL714"/>
  <c r="BL709"/>
  <c r="BL710" s="1"/>
  <c r="BL693"/>
  <c r="BL689"/>
  <c r="BL690" s="1"/>
  <c r="BL684"/>
  <c r="BL687" s="1"/>
  <c r="BL682"/>
  <c r="BL695"/>
  <c r="BL664"/>
  <c r="BL665" s="1"/>
  <c r="BL659"/>
  <c r="BL660" s="1"/>
  <c r="BL643"/>
  <c r="BL639"/>
  <c r="BL640" s="1"/>
  <c r="BL634"/>
  <c r="BL637" s="1"/>
  <c r="BL632"/>
  <c r="BL645"/>
  <c r="BL614"/>
  <c r="BL609"/>
  <c r="BL610" s="1"/>
  <c r="BL593"/>
  <c r="BL589"/>
  <c r="BL590" s="1"/>
  <c r="BL584"/>
  <c r="BL587" s="1"/>
  <c r="BL582"/>
  <c r="BL595"/>
  <c r="BL564"/>
  <c r="BL559"/>
  <c r="BL560" s="1"/>
  <c r="BL543"/>
  <c r="BL539"/>
  <c r="BL540" s="1"/>
  <c r="BL534"/>
  <c r="BL537" s="1"/>
  <c r="BL532"/>
  <c r="BL545"/>
  <c r="BL514"/>
  <c r="BL509"/>
  <c r="BL510" s="1"/>
  <c r="BL493"/>
  <c r="BL489"/>
  <c r="BL490" s="1"/>
  <c r="BL484"/>
  <c r="BL487" s="1"/>
  <c r="BL482"/>
  <c r="BL495"/>
  <c r="BL464"/>
  <c r="BL459"/>
  <c r="BL443"/>
  <c r="BL439"/>
  <c r="BL434"/>
  <c r="BL437" s="1"/>
  <c r="BL432"/>
  <c r="BL414"/>
  <c r="BL409"/>
  <c r="BL418"/>
  <c r="BL393"/>
  <c r="BL389"/>
  <c r="BL390" s="1"/>
  <c r="BL384"/>
  <c r="BL387" s="1"/>
  <c r="BL382"/>
  <c r="BL395"/>
  <c r="BL364"/>
  <c r="BL359"/>
  <c r="BL368"/>
  <c r="BL343"/>
  <c r="BL339"/>
  <c r="BL340" s="1"/>
  <c r="BL334"/>
  <c r="BL337" s="1"/>
  <c r="BL332"/>
  <c r="BL345"/>
  <c r="BL314"/>
  <c r="BL309"/>
  <c r="BL318"/>
  <c r="BL293"/>
  <c r="BL289"/>
  <c r="BL290" s="1"/>
  <c r="BL284"/>
  <c r="BL287" s="1"/>
  <c r="BL282"/>
  <c r="BL295"/>
  <c r="BL264"/>
  <c r="BL259"/>
  <c r="BL268"/>
  <c r="BL243"/>
  <c r="BL239"/>
  <c r="BL234"/>
  <c r="BL237" s="1"/>
  <c r="BL232"/>
  <c r="BL214"/>
  <c r="BL209"/>
  <c r="BL210" s="1"/>
  <c r="BL193"/>
  <c r="BL189"/>
  <c r="BL184"/>
  <c r="BL187" s="1"/>
  <c r="BL182"/>
  <c r="BL195"/>
  <c r="BL164"/>
  <c r="BL159"/>
  <c r="BL139"/>
  <c r="BL134"/>
  <c r="BL137" s="1"/>
  <c r="BL145"/>
  <c r="BL114"/>
  <c r="BL109"/>
  <c r="BL110" s="1"/>
  <c r="BO103"/>
  <c r="BL89"/>
  <c r="BL84"/>
  <c r="BL87" s="1"/>
  <c r="BL81"/>
  <c r="BL95" s="1"/>
  <c r="BP78"/>
  <c r="BO78"/>
  <c r="BL64"/>
  <c r="BL59"/>
  <c r="BL56"/>
  <c r="BL68" s="1"/>
  <c r="BP53"/>
  <c r="BO53"/>
  <c r="BL39"/>
  <c r="BL34"/>
  <c r="BL37" s="1"/>
  <c r="BL31"/>
  <c r="BL45" s="1"/>
  <c r="BP28"/>
  <c r="BO28"/>
  <c r="BL14"/>
  <c r="BL9"/>
  <c r="BL6"/>
  <c r="BL18" s="1"/>
  <c r="BP3"/>
  <c r="BO3"/>
  <c r="BM2"/>
  <c r="I43" i="20"/>
  <c r="F43"/>
  <c r="E257" i="1"/>
  <c r="E186"/>
  <c r="E244"/>
  <c r="E434"/>
  <c r="E433"/>
  <c r="E431"/>
  <c r="E405"/>
  <c r="E403"/>
  <c r="E368"/>
  <c r="E366"/>
  <c r="E331"/>
  <c r="E268"/>
  <c r="E265"/>
  <c r="E228"/>
  <c r="E229"/>
  <c r="E231"/>
  <c r="F395"/>
  <c r="F361"/>
  <c r="F342" s="1"/>
  <c r="F328"/>
  <c r="F190"/>
  <c r="E190" s="1"/>
  <c r="E195"/>
  <c r="D6" i="22"/>
  <c r="J6" s="1"/>
  <c r="G164" i="1"/>
  <c r="B6"/>
  <c r="G6" s="1"/>
  <c r="E185"/>
  <c r="E179"/>
  <c r="Q155"/>
  <c r="E155" s="1"/>
  <c r="E160"/>
  <c r="BF764" i="17"/>
  <c r="BF765" s="1"/>
  <c r="BF759"/>
  <c r="BF762" s="1"/>
  <c r="BF756"/>
  <c r="BF768" s="1"/>
  <c r="BF739"/>
  <c r="BF740" s="1"/>
  <c r="BF734"/>
  <c r="BF737" s="1"/>
  <c r="BF731"/>
  <c r="BF745" s="1"/>
  <c r="BF714"/>
  <c r="BF715" s="1"/>
  <c r="BF709"/>
  <c r="BF712" s="1"/>
  <c r="BF706"/>
  <c r="BF718" s="1"/>
  <c r="BF690"/>
  <c r="BF689"/>
  <c r="BF684"/>
  <c r="BF687" s="1"/>
  <c r="BF681"/>
  <c r="BF695" s="1"/>
  <c r="BF664"/>
  <c r="BF665" s="1"/>
  <c r="BF659"/>
  <c r="BF660" s="1"/>
  <c r="BF656"/>
  <c r="BF668" s="1"/>
  <c r="BF639"/>
  <c r="BF634"/>
  <c r="BF637" s="1"/>
  <c r="BF631"/>
  <c r="BF645" s="1"/>
  <c r="BF614"/>
  <c r="BF609"/>
  <c r="BF606"/>
  <c r="BF618" s="1"/>
  <c r="BF589"/>
  <c r="BF584"/>
  <c r="BF587" s="1"/>
  <c r="BF581"/>
  <c r="BF595" s="1"/>
  <c r="BF564"/>
  <c r="BF559"/>
  <c r="BF556"/>
  <c r="BF568" s="1"/>
  <c r="BF539"/>
  <c r="BF534"/>
  <c r="BF537" s="1"/>
  <c r="BF531"/>
  <c r="BF545" s="1"/>
  <c r="BF514"/>
  <c r="BF509"/>
  <c r="BF506"/>
  <c r="BF518" s="1"/>
  <c r="BF489"/>
  <c r="BF484"/>
  <c r="BF487" s="1"/>
  <c r="BF481"/>
  <c r="BF495" s="1"/>
  <c r="BF464"/>
  <c r="BF459"/>
  <c r="BF456"/>
  <c r="BF468" s="1"/>
  <c r="BF439"/>
  <c r="BF434"/>
  <c r="BF437" s="1"/>
  <c r="BF431"/>
  <c r="BF445" s="1"/>
  <c r="BF414"/>
  <c r="BF409"/>
  <c r="BF406"/>
  <c r="BF418" s="1"/>
  <c r="BF389"/>
  <c r="BF384"/>
  <c r="BF387" s="1"/>
  <c r="BF381"/>
  <c r="BF395" s="1"/>
  <c r="BF364"/>
  <c r="BF359"/>
  <c r="BF356"/>
  <c r="BF368" s="1"/>
  <c r="BF339"/>
  <c r="BF334"/>
  <c r="BF337" s="1"/>
  <c r="BF331"/>
  <c r="BF345" s="1"/>
  <c r="BF314"/>
  <c r="BF309"/>
  <c r="BF306"/>
  <c r="BF318" s="1"/>
  <c r="BF289"/>
  <c r="BF284"/>
  <c r="BF287" s="1"/>
  <c r="BF281"/>
  <c r="BF295" s="1"/>
  <c r="BF264"/>
  <c r="BF259"/>
  <c r="BF256"/>
  <c r="BF268" s="1"/>
  <c r="BF239"/>
  <c r="BF234"/>
  <c r="BF237" s="1"/>
  <c r="BF231"/>
  <c r="BF245" s="1"/>
  <c r="BF214"/>
  <c r="BF209"/>
  <c r="BF206"/>
  <c r="BF218" s="1"/>
  <c r="BF189"/>
  <c r="BF184"/>
  <c r="BF187" s="1"/>
  <c r="BF181"/>
  <c r="BF195" s="1"/>
  <c r="BF164"/>
  <c r="BF159"/>
  <c r="BF156"/>
  <c r="BF168" s="1"/>
  <c r="BF139"/>
  <c r="BF134"/>
  <c r="BF137" s="1"/>
  <c r="BF131"/>
  <c r="BF145" s="1"/>
  <c r="BF114"/>
  <c r="BF109"/>
  <c r="BF106"/>
  <c r="BF118" s="1"/>
  <c r="BF89"/>
  <c r="BF84"/>
  <c r="BF87" s="1"/>
  <c r="BF81"/>
  <c r="BF95" s="1"/>
  <c r="BF64"/>
  <c r="BF59"/>
  <c r="BF56"/>
  <c r="BF68" s="1"/>
  <c r="BF39"/>
  <c r="BF34"/>
  <c r="BF37" s="1"/>
  <c r="BF31"/>
  <c r="BF45" s="1"/>
  <c r="BF14"/>
  <c r="BF9"/>
  <c r="BF6"/>
  <c r="BF18" s="1"/>
  <c r="BG2"/>
  <c r="I44" i="20"/>
  <c r="F44"/>
  <c r="E143" i="1"/>
  <c r="E162"/>
  <c r="E139"/>
  <c r="E140"/>
  <c r="E141"/>
  <c r="E175"/>
  <c r="E149"/>
  <c r="E151"/>
  <c r="E147"/>
  <c r="E152"/>
  <c r="E145"/>
  <c r="E148"/>
  <c r="E192"/>
  <c r="E124"/>
  <c r="E215"/>
  <c r="E123"/>
  <c r="Q118"/>
  <c r="E118" s="1"/>
  <c r="E394"/>
  <c r="K6" i="22"/>
  <c r="K7"/>
  <c r="K8"/>
  <c r="D4"/>
  <c r="D5"/>
  <c r="E5" s="1"/>
  <c r="I8"/>
  <c r="I7"/>
  <c r="I6"/>
  <c r="I5"/>
  <c r="I4"/>
  <c r="M4" s="1"/>
  <c r="J5"/>
  <c r="K4"/>
  <c r="E156" i="1"/>
  <c r="E127"/>
  <c r="G121"/>
  <c r="E121" s="1"/>
  <c r="E150"/>
  <c r="O154"/>
  <c r="E153" s="1"/>
  <c r="E125"/>
  <c r="E180"/>
  <c r="E193"/>
  <c r="E120"/>
  <c r="E122"/>
  <c r="E129"/>
  <c r="O417" i="18"/>
  <c r="AZ28" i="17"/>
  <c r="O385" i="18"/>
  <c r="Q105" i="1"/>
  <c r="P101"/>
  <c r="E101" s="1"/>
  <c r="E217"/>
  <c r="E178"/>
  <c r="I46" i="20"/>
  <c r="E119" i="1"/>
  <c r="I77"/>
  <c r="AW314" i="17"/>
  <c r="AW309"/>
  <c r="AW312" s="1"/>
  <c r="AW306"/>
  <c r="AW318" s="1"/>
  <c r="E621" i="19"/>
  <c r="E620"/>
  <c r="E619"/>
  <c r="E618"/>
  <c r="E611"/>
  <c r="E610"/>
  <c r="O368" i="18"/>
  <c r="O359"/>
  <c r="O360"/>
  <c r="O361"/>
  <c r="O362"/>
  <c r="O363"/>
  <c r="O364"/>
  <c r="O365"/>
  <c r="O366"/>
  <c r="O367"/>
  <c r="AK855" i="17"/>
  <c r="AG855"/>
  <c r="AE855"/>
  <c r="AK854"/>
  <c r="AG854"/>
  <c r="AE854"/>
  <c r="AK853"/>
  <c r="AG853"/>
  <c r="AE853"/>
  <c r="AK852"/>
  <c r="AG852"/>
  <c r="AE852"/>
  <c r="AK851"/>
  <c r="AG851"/>
  <c r="AE851"/>
  <c r="AK850"/>
  <c r="AG850"/>
  <c r="AE850"/>
  <c r="AK849"/>
  <c r="AG849"/>
  <c r="AE849"/>
  <c r="AK848"/>
  <c r="AG848"/>
  <c r="AE848"/>
  <c r="AK847"/>
  <c r="AG847"/>
  <c r="AE847"/>
  <c r="AK846"/>
  <c r="AG846"/>
  <c r="AE846"/>
  <c r="AK845"/>
  <c r="AG845"/>
  <c r="AE845"/>
  <c r="AK844"/>
  <c r="AG844"/>
  <c r="AE844"/>
  <c r="AK843"/>
  <c r="AG843"/>
  <c r="AE843"/>
  <c r="AK842"/>
  <c r="AG842"/>
  <c r="AE842"/>
  <c r="AK841"/>
  <c r="AG841"/>
  <c r="AE841"/>
  <c r="AK840"/>
  <c r="AG840"/>
  <c r="AE840"/>
  <c r="AK839"/>
  <c r="AG839"/>
  <c r="AE839"/>
  <c r="AK838"/>
  <c r="AG838"/>
  <c r="AE838"/>
  <c r="AK837"/>
  <c r="AG837"/>
  <c r="AE837"/>
  <c r="AA837"/>
  <c r="AA838" s="1"/>
  <c r="AK836"/>
  <c r="AG836"/>
  <c r="AE836"/>
  <c r="AK835"/>
  <c r="AG835"/>
  <c r="AE835"/>
  <c r="AK834"/>
  <c r="AG834"/>
  <c r="AE834"/>
  <c r="AA834"/>
  <c r="AA846" s="1"/>
  <c r="AK833"/>
  <c r="AG833"/>
  <c r="AE833"/>
  <c r="AK832"/>
  <c r="AG832"/>
  <c r="AE832"/>
  <c r="AI831"/>
  <c r="AG831"/>
  <c r="AF831"/>
  <c r="AD831"/>
  <c r="AK829"/>
  <c r="AG829"/>
  <c r="AE829"/>
  <c r="AK828"/>
  <c r="AG828"/>
  <c r="AE828"/>
  <c r="AK827"/>
  <c r="AG827"/>
  <c r="AE827"/>
  <c r="AK826"/>
  <c r="AG826"/>
  <c r="AE826"/>
  <c r="AK825"/>
  <c r="AG825"/>
  <c r="AE825"/>
  <c r="AK824"/>
  <c r="AG824"/>
  <c r="AE824"/>
  <c r="AK823"/>
  <c r="AG823"/>
  <c r="AE823"/>
  <c r="AK822"/>
  <c r="AG822"/>
  <c r="AE822"/>
  <c r="AK821"/>
  <c r="AG821"/>
  <c r="AE821"/>
  <c r="AK820"/>
  <c r="AG820"/>
  <c r="AE820"/>
  <c r="AK819"/>
  <c r="AG819"/>
  <c r="AE819"/>
  <c r="AK818"/>
  <c r="AG818"/>
  <c r="AE818"/>
  <c r="AK817"/>
  <c r="AG817"/>
  <c r="AE817"/>
  <c r="AK816"/>
  <c r="AG816"/>
  <c r="AE816"/>
  <c r="AK815"/>
  <c r="AG815"/>
  <c r="AE815"/>
  <c r="AK814"/>
  <c r="AG814"/>
  <c r="AE814"/>
  <c r="AK813"/>
  <c r="AG813"/>
  <c r="AE813"/>
  <c r="AK812"/>
  <c r="AG812"/>
  <c r="AE812"/>
  <c r="AK811"/>
  <c r="AG811"/>
  <c r="AE811"/>
  <c r="AA811"/>
  <c r="AK810"/>
  <c r="AG810"/>
  <c r="AE810"/>
  <c r="AK809"/>
  <c r="AG809"/>
  <c r="AE809"/>
  <c r="AK808"/>
  <c r="AG808"/>
  <c r="AE808"/>
  <c r="AA808"/>
  <c r="AA820" s="1"/>
  <c r="AK807"/>
  <c r="AG807"/>
  <c r="AE807"/>
  <c r="AK806"/>
  <c r="AA816" s="1"/>
  <c r="AA817" s="1"/>
  <c r="AG806"/>
  <c r="AE806"/>
  <c r="AI805"/>
  <c r="AG805"/>
  <c r="AF805"/>
  <c r="AD805"/>
  <c r="AK803"/>
  <c r="AG803"/>
  <c r="AE803"/>
  <c r="AK802"/>
  <c r="AG802"/>
  <c r="AE802"/>
  <c r="AK801"/>
  <c r="AG801"/>
  <c r="AE801"/>
  <c r="AK800"/>
  <c r="AG800"/>
  <c r="AE800"/>
  <c r="AK799"/>
  <c r="AG799"/>
  <c r="AE799"/>
  <c r="AK798"/>
  <c r="AG798"/>
  <c r="AE798"/>
  <c r="AK797"/>
  <c r="AG797"/>
  <c r="AE797"/>
  <c r="AK796"/>
  <c r="AG796"/>
  <c r="AE796"/>
  <c r="AK795"/>
  <c r="AG795"/>
  <c r="AE795"/>
  <c r="AK794"/>
  <c r="AG794"/>
  <c r="AE794"/>
  <c r="AK793"/>
  <c r="AG793"/>
  <c r="AE793"/>
  <c r="AK792"/>
  <c r="AG792"/>
  <c r="AE792"/>
  <c r="AK791"/>
  <c r="AG791"/>
  <c r="AE791"/>
  <c r="AK790"/>
  <c r="AG790"/>
  <c r="AE790"/>
  <c r="AK789"/>
  <c r="AG789"/>
  <c r="AE789"/>
  <c r="AK788"/>
  <c r="AG788"/>
  <c r="AE788"/>
  <c r="AK787"/>
  <c r="AG787"/>
  <c r="AE787"/>
  <c r="AK786"/>
  <c r="AG786"/>
  <c r="AE786"/>
  <c r="AK785"/>
  <c r="AG785"/>
  <c r="AE785"/>
  <c r="AA785"/>
  <c r="AK784"/>
  <c r="AG784"/>
  <c r="AE784"/>
  <c r="AK783"/>
  <c r="AG783"/>
  <c r="AE783"/>
  <c r="AK782"/>
  <c r="AG782"/>
  <c r="AE782"/>
  <c r="AA782"/>
  <c r="AA794" s="1"/>
  <c r="AK781"/>
  <c r="AG781"/>
  <c r="AG779" s="1"/>
  <c r="AE781"/>
  <c r="AK780"/>
  <c r="AA790" s="1"/>
  <c r="AA791" s="1"/>
  <c r="AG780"/>
  <c r="AE780"/>
  <c r="AI779"/>
  <c r="AF779"/>
  <c r="AD779"/>
  <c r="BB777"/>
  <c r="BB776"/>
  <c r="BB775"/>
  <c r="BB774"/>
  <c r="BB773"/>
  <c r="BB772"/>
  <c r="BB771"/>
  <c r="BB770"/>
  <c r="BB769"/>
  <c r="BB768"/>
  <c r="BB767"/>
  <c r="BB766"/>
  <c r="BB765"/>
  <c r="BB764"/>
  <c r="AW764"/>
  <c r="AW765" s="1"/>
  <c r="BB763"/>
  <c r="BB762"/>
  <c r="BB761"/>
  <c r="BB760"/>
  <c r="BB759"/>
  <c r="AW759"/>
  <c r="AW762" s="1"/>
  <c r="BB758"/>
  <c r="BB757"/>
  <c r="BB756"/>
  <c r="AW756"/>
  <c r="AW768" s="1"/>
  <c r="BB755"/>
  <c r="BB754"/>
  <c r="BB753" s="1"/>
  <c r="BD753"/>
  <c r="BA753"/>
  <c r="AZ753"/>
  <c r="BB752"/>
  <c r="BB751"/>
  <c r="BB750"/>
  <c r="BB749"/>
  <c r="BB748"/>
  <c r="BB747"/>
  <c r="BB746"/>
  <c r="BB745"/>
  <c r="BB744"/>
  <c r="BB743"/>
  <c r="BB742"/>
  <c r="BB741"/>
  <c r="BB740"/>
  <c r="BB739"/>
  <c r="AW739"/>
  <c r="AW740" s="1"/>
  <c r="BB738"/>
  <c r="BB737"/>
  <c r="BB736"/>
  <c r="BB735"/>
  <c r="BB734"/>
  <c r="AW734"/>
  <c r="AW737" s="1"/>
  <c r="BB733"/>
  <c r="BB732"/>
  <c r="BB731"/>
  <c r="AW731"/>
  <c r="AW745" s="1"/>
  <c r="BB730"/>
  <c r="BB729"/>
  <c r="BD728"/>
  <c r="BB728"/>
  <c r="BA728"/>
  <c r="AZ728"/>
  <c r="BB727"/>
  <c r="BB726"/>
  <c r="BB725"/>
  <c r="BB724"/>
  <c r="BB723"/>
  <c r="BB722"/>
  <c r="BB721"/>
  <c r="BB720"/>
  <c r="BB719"/>
  <c r="BB718"/>
  <c r="BB717"/>
  <c r="BB716"/>
  <c r="BB715"/>
  <c r="BB714"/>
  <c r="AW714"/>
  <c r="AW715" s="1"/>
  <c r="BB713"/>
  <c r="BB712"/>
  <c r="BB711"/>
  <c r="BB710"/>
  <c r="BB709"/>
  <c r="AW709"/>
  <c r="BB708"/>
  <c r="BB707"/>
  <c r="BB706"/>
  <c r="AW706"/>
  <c r="AW718" s="1"/>
  <c r="BB705"/>
  <c r="BB703" s="1"/>
  <c r="BB704"/>
  <c r="BD703"/>
  <c r="BA703"/>
  <c r="AZ703"/>
  <c r="BB702"/>
  <c r="BB701"/>
  <c r="BB700"/>
  <c r="BB699"/>
  <c r="BB698"/>
  <c r="BB697"/>
  <c r="BB696"/>
  <c r="BB695"/>
  <c r="BB694"/>
  <c r="BB693"/>
  <c r="BB692"/>
  <c r="BB691"/>
  <c r="BB690"/>
  <c r="BB689"/>
  <c r="AW689"/>
  <c r="AW690" s="1"/>
  <c r="BB688"/>
  <c r="BB687"/>
  <c r="BB686"/>
  <c r="BB685"/>
  <c r="BB684"/>
  <c r="AW684"/>
  <c r="AW687" s="1"/>
  <c r="BB683"/>
  <c r="BB682"/>
  <c r="BB681"/>
  <c r="AW681"/>
  <c r="BB680"/>
  <c r="BB678" s="1"/>
  <c r="BB679"/>
  <c r="BD678"/>
  <c r="BA678"/>
  <c r="AZ678"/>
  <c r="BB677"/>
  <c r="BB676"/>
  <c r="BB675"/>
  <c r="BB674"/>
  <c r="BB673"/>
  <c r="BB672"/>
  <c r="BB671"/>
  <c r="BB670"/>
  <c r="BB669"/>
  <c r="BB668"/>
  <c r="BB667"/>
  <c r="BB666"/>
  <c r="BB665"/>
  <c r="BB664"/>
  <c r="AW664"/>
  <c r="AW665" s="1"/>
  <c r="BB663"/>
  <c r="BB662"/>
  <c r="BB661"/>
  <c r="BB660"/>
  <c r="BB659"/>
  <c r="AW659"/>
  <c r="AW662" s="1"/>
  <c r="BB658"/>
  <c r="BB657"/>
  <c r="BB656"/>
  <c r="AW656"/>
  <c r="BB655"/>
  <c r="BB654"/>
  <c r="BD653"/>
  <c r="BA653"/>
  <c r="AZ653"/>
  <c r="BB652"/>
  <c r="BB651"/>
  <c r="BB650"/>
  <c r="BB649"/>
  <c r="BB648"/>
  <c r="BB647"/>
  <c r="BB646"/>
  <c r="BB645"/>
  <c r="BB644"/>
  <c r="BB643"/>
  <c r="BB642"/>
  <c r="BB641"/>
  <c r="BB640"/>
  <c r="BB639"/>
  <c r="AW639"/>
  <c r="BB638"/>
  <c r="BB637"/>
  <c r="BB636"/>
  <c r="BB635"/>
  <c r="BB634"/>
  <c r="AW634"/>
  <c r="AW637" s="1"/>
  <c r="BB633"/>
  <c r="BB632"/>
  <c r="BB631"/>
  <c r="AW631"/>
  <c r="BB630"/>
  <c r="BB629"/>
  <c r="BD628"/>
  <c r="BA628"/>
  <c r="AZ628"/>
  <c r="BB627"/>
  <c r="BB626"/>
  <c r="BB625"/>
  <c r="BB624"/>
  <c r="BB623"/>
  <c r="BB622"/>
  <c r="BB621"/>
  <c r="BB620"/>
  <c r="BB619"/>
  <c r="BB618"/>
  <c r="BB617"/>
  <c r="BB616"/>
  <c r="BB615"/>
  <c r="BB614"/>
  <c r="AW614"/>
  <c r="BB613"/>
  <c r="BB612"/>
  <c r="BB611"/>
  <c r="BB610"/>
  <c r="BB609"/>
  <c r="AW609"/>
  <c r="BB608"/>
  <c r="BB607"/>
  <c r="BB606"/>
  <c r="AW606"/>
  <c r="AW618" s="1"/>
  <c r="BB605"/>
  <c r="BB604"/>
  <c r="BD603"/>
  <c r="BB603"/>
  <c r="BA603"/>
  <c r="AZ603"/>
  <c r="BB602"/>
  <c r="BB601"/>
  <c r="BB600"/>
  <c r="BB599"/>
  <c r="BB598"/>
  <c r="BB597"/>
  <c r="BB596"/>
  <c r="BB595"/>
  <c r="BB594"/>
  <c r="BB593"/>
  <c r="BB592"/>
  <c r="BB591"/>
  <c r="BB590"/>
  <c r="BB589"/>
  <c r="AW589"/>
  <c r="BB588"/>
  <c r="BB587"/>
  <c r="BB586"/>
  <c r="BB585"/>
  <c r="BB584"/>
  <c r="AW584"/>
  <c r="BB583"/>
  <c r="BB582"/>
  <c r="BB581"/>
  <c r="AW581"/>
  <c r="AW593" s="1"/>
  <c r="BB580"/>
  <c r="BB579"/>
  <c r="BD578"/>
  <c r="BA578"/>
  <c r="AZ578"/>
  <c r="BB577"/>
  <c r="BB576"/>
  <c r="BB575"/>
  <c r="BB574"/>
  <c r="BB573"/>
  <c r="BB572"/>
  <c r="BB571"/>
  <c r="BB570"/>
  <c r="BB569"/>
  <c r="BB568"/>
  <c r="BB567"/>
  <c r="BB566"/>
  <c r="BB565"/>
  <c r="BB564"/>
  <c r="AW564"/>
  <c r="BB563"/>
  <c r="BB562"/>
  <c r="BB561"/>
  <c r="BB560"/>
  <c r="BB559"/>
  <c r="AW559"/>
  <c r="BB558"/>
  <c r="BB557"/>
  <c r="BB556"/>
  <c r="AW556"/>
  <c r="AW568" s="1"/>
  <c r="BB555"/>
  <c r="BB554"/>
  <c r="BD553"/>
  <c r="BA553"/>
  <c r="AZ553"/>
  <c r="BB552"/>
  <c r="BB551"/>
  <c r="BB550"/>
  <c r="BB549"/>
  <c r="BB548"/>
  <c r="BB547"/>
  <c r="BB546"/>
  <c r="BB545"/>
  <c r="BB544"/>
  <c r="BB543"/>
  <c r="BB542"/>
  <c r="BB541"/>
  <c r="BB540"/>
  <c r="BB539"/>
  <c r="AW539"/>
  <c r="BB538"/>
  <c r="BB537"/>
  <c r="BB536"/>
  <c r="BB535"/>
  <c r="BB534"/>
  <c r="AW534"/>
  <c r="BB533"/>
  <c r="BB532"/>
  <c r="BB531"/>
  <c r="AW531"/>
  <c r="AW543" s="1"/>
  <c r="BB530"/>
  <c r="BB529"/>
  <c r="BD528"/>
  <c r="BA528"/>
  <c r="AZ528"/>
  <c r="BB527"/>
  <c r="BB526"/>
  <c r="BB525"/>
  <c r="BB524"/>
  <c r="BB523"/>
  <c r="BB522"/>
  <c r="BB521"/>
  <c r="BB520"/>
  <c r="BB519"/>
  <c r="BB518"/>
  <c r="BB517"/>
  <c r="BB516"/>
  <c r="BB515"/>
  <c r="BB514"/>
  <c r="AW514"/>
  <c r="BB513"/>
  <c r="BB512"/>
  <c r="BB511"/>
  <c r="BB510"/>
  <c r="BB509"/>
  <c r="AW509"/>
  <c r="BB508"/>
  <c r="BB507"/>
  <c r="AW506"/>
  <c r="AW518" s="1"/>
  <c r="BB505"/>
  <c r="BB504"/>
  <c r="BD503"/>
  <c r="BA503"/>
  <c r="AZ503"/>
  <c r="BB502"/>
  <c r="BB501"/>
  <c r="BB500"/>
  <c r="BB499"/>
  <c r="BB498"/>
  <c r="BB497"/>
  <c r="BB496"/>
  <c r="BB495"/>
  <c r="BB494"/>
  <c r="BB493"/>
  <c r="BB492"/>
  <c r="BB491"/>
  <c r="BB490"/>
  <c r="BB489"/>
  <c r="AW489"/>
  <c r="BB488"/>
  <c r="BB487"/>
  <c r="BB486"/>
  <c r="BB485"/>
  <c r="BB484"/>
  <c r="AW484"/>
  <c r="AW487" s="1"/>
  <c r="BB483"/>
  <c r="BB482"/>
  <c r="BB481"/>
  <c r="AW481"/>
  <c r="BB480"/>
  <c r="BB479"/>
  <c r="BD478"/>
  <c r="BA478"/>
  <c r="AZ478"/>
  <c r="BB477"/>
  <c r="BB476"/>
  <c r="BB475"/>
  <c r="BB474"/>
  <c r="BB473"/>
  <c r="BB472"/>
  <c r="BB471"/>
  <c r="BB470"/>
  <c r="BB469"/>
  <c r="BB468"/>
  <c r="BB467"/>
  <c r="BB466"/>
  <c r="BB465"/>
  <c r="BB464"/>
  <c r="AW464"/>
  <c r="BB463"/>
  <c r="BB462"/>
  <c r="BB461"/>
  <c r="BB460"/>
  <c r="BB459"/>
  <c r="AW459"/>
  <c r="AW462" s="1"/>
  <c r="BB458"/>
  <c r="BB457"/>
  <c r="BB456"/>
  <c r="AW456"/>
  <c r="BB455"/>
  <c r="BB454"/>
  <c r="BD453"/>
  <c r="BA453"/>
  <c r="AZ453"/>
  <c r="BB452"/>
  <c r="BB451"/>
  <c r="BB450"/>
  <c r="BB449"/>
  <c r="BB448"/>
  <c r="BB447"/>
  <c r="BB446"/>
  <c r="BB445"/>
  <c r="BB444"/>
  <c r="BB443"/>
  <c r="BB442"/>
  <c r="BB441"/>
  <c r="BB440"/>
  <c r="BB439"/>
  <c r="AW439"/>
  <c r="BB438"/>
  <c r="BB437"/>
  <c r="BB436"/>
  <c r="BB435"/>
  <c r="BB434"/>
  <c r="AW434"/>
  <c r="AW437" s="1"/>
  <c r="BB433"/>
  <c r="BB432"/>
  <c r="BB431"/>
  <c r="AW431"/>
  <c r="BB430"/>
  <c r="BB429"/>
  <c r="BD428"/>
  <c r="BA428"/>
  <c r="AZ428"/>
  <c r="BB427"/>
  <c r="BB426"/>
  <c r="BB425"/>
  <c r="BB424"/>
  <c r="BB423"/>
  <c r="BB422"/>
  <c r="BB421"/>
  <c r="BB420"/>
  <c r="BB419"/>
  <c r="BB418"/>
  <c r="BB417"/>
  <c r="BB416"/>
  <c r="BB415"/>
  <c r="BB414"/>
  <c r="AW414"/>
  <c r="BB413"/>
  <c r="BB412"/>
  <c r="BB411"/>
  <c r="BB410"/>
  <c r="BB409"/>
  <c r="AW409"/>
  <c r="AW412" s="1"/>
  <c r="BB408"/>
  <c r="BB407"/>
  <c r="BB406"/>
  <c r="AW406"/>
  <c r="BB405"/>
  <c r="BB404"/>
  <c r="BD403"/>
  <c r="BA403"/>
  <c r="AZ403"/>
  <c r="BB402"/>
  <c r="BB401"/>
  <c r="BB400"/>
  <c r="BB399"/>
  <c r="BB398"/>
  <c r="BB397"/>
  <c r="BB396"/>
  <c r="BB395"/>
  <c r="BB394"/>
  <c r="BB393"/>
  <c r="BB392"/>
  <c r="BB391"/>
  <c r="BB390"/>
  <c r="BB389"/>
  <c r="AW389"/>
  <c r="BB388"/>
  <c r="BB387"/>
  <c r="BB386"/>
  <c r="BB385"/>
  <c r="BB384"/>
  <c r="AW384"/>
  <c r="AW387" s="1"/>
  <c r="BB383"/>
  <c r="BB382"/>
  <c r="BB381"/>
  <c r="AW381"/>
  <c r="BB380"/>
  <c r="BB379"/>
  <c r="BD378"/>
  <c r="BB378"/>
  <c r="BA378"/>
  <c r="AZ378"/>
  <c r="BB377"/>
  <c r="BB376"/>
  <c r="BB375"/>
  <c r="BB374"/>
  <c r="BB373"/>
  <c r="BB372"/>
  <c r="BB371"/>
  <c r="BB370"/>
  <c r="BB369"/>
  <c r="BB368"/>
  <c r="BB367"/>
  <c r="BB366"/>
  <c r="BB365"/>
  <c r="BB364"/>
  <c r="AW364"/>
  <c r="BB363"/>
  <c r="BB362"/>
  <c r="BB361"/>
  <c r="BB360"/>
  <c r="BB359"/>
  <c r="AW359"/>
  <c r="AW362" s="1"/>
  <c r="BB358"/>
  <c r="BB357"/>
  <c r="BB356"/>
  <c r="AW356"/>
  <c r="BB355"/>
  <c r="BB354"/>
  <c r="BD353"/>
  <c r="BA353"/>
  <c r="AZ353"/>
  <c r="BB352"/>
  <c r="BB351"/>
  <c r="BB350"/>
  <c r="BB349"/>
  <c r="BB348"/>
  <c r="BB347"/>
  <c r="BB346"/>
  <c r="BB345"/>
  <c r="BB344"/>
  <c r="BB343"/>
  <c r="BB342"/>
  <c r="BB341"/>
  <c r="BB340"/>
  <c r="BB339"/>
  <c r="AW339"/>
  <c r="BB338"/>
  <c r="BB337"/>
  <c r="BB336"/>
  <c r="BB335"/>
  <c r="BB334"/>
  <c r="AW334"/>
  <c r="AW337" s="1"/>
  <c r="BB333"/>
  <c r="BB332"/>
  <c r="BB331"/>
  <c r="AW331"/>
  <c r="BB330"/>
  <c r="BB329"/>
  <c r="BD328"/>
  <c r="BA328"/>
  <c r="AZ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D303"/>
  <c r="BA303"/>
  <c r="AZ303"/>
  <c r="BB302"/>
  <c r="BB301"/>
  <c r="BB300"/>
  <c r="BB299"/>
  <c r="BB298"/>
  <c r="BB297"/>
  <c r="BB296"/>
  <c r="BB295"/>
  <c r="BB294"/>
  <c r="BB293"/>
  <c r="BB292"/>
  <c r="BB291"/>
  <c r="BB290"/>
  <c r="BB289"/>
  <c r="AW289"/>
  <c r="BB288"/>
  <c r="BB287"/>
  <c r="BB286"/>
  <c r="BB285"/>
  <c r="BB284"/>
  <c r="AW284"/>
  <c r="AW287" s="1"/>
  <c r="BB283"/>
  <c r="BB282"/>
  <c r="BB281"/>
  <c r="AW281"/>
  <c r="BB280"/>
  <c r="BB279"/>
  <c r="BB278" s="1"/>
  <c r="BD278"/>
  <c r="BA278"/>
  <c r="AZ278"/>
  <c r="BB277"/>
  <c r="BB276"/>
  <c r="BB275"/>
  <c r="BB274"/>
  <c r="BB273"/>
  <c r="BB272"/>
  <c r="BB271"/>
  <c r="BB270"/>
  <c r="BB269"/>
  <c r="BB268"/>
  <c r="BB267"/>
  <c r="BB266"/>
  <c r="BB265"/>
  <c r="BB264"/>
  <c r="AW264"/>
  <c r="BB263"/>
  <c r="BB262"/>
  <c r="BB261"/>
  <c r="BB260"/>
  <c r="BB259"/>
  <c r="AW259"/>
  <c r="AW262" s="1"/>
  <c r="BB258"/>
  <c r="BB257"/>
  <c r="BB256"/>
  <c r="AW256"/>
  <c r="BB255"/>
  <c r="BB254"/>
  <c r="BD253"/>
  <c r="BA253"/>
  <c r="AZ253"/>
  <c r="BB252"/>
  <c r="BB251"/>
  <c r="BB250"/>
  <c r="BB249"/>
  <c r="BB248"/>
  <c r="BB247"/>
  <c r="BB246"/>
  <c r="BB245"/>
  <c r="BB244"/>
  <c r="BB243"/>
  <c r="BB242"/>
  <c r="BB241"/>
  <c r="BB240"/>
  <c r="BB239"/>
  <c r="AW239"/>
  <c r="BB238"/>
  <c r="BB237"/>
  <c r="BB236"/>
  <c r="BB235"/>
  <c r="BB234"/>
  <c r="AW234"/>
  <c r="AW237" s="1"/>
  <c r="BB233"/>
  <c r="BB232"/>
  <c r="BB231"/>
  <c r="AW231"/>
  <c r="BB230"/>
  <c r="BB229"/>
  <c r="BB228" s="1"/>
  <c r="BD228"/>
  <c r="BA228"/>
  <c r="AZ228"/>
  <c r="BB227"/>
  <c r="BB226"/>
  <c r="BB225"/>
  <c r="BB224"/>
  <c r="BB223"/>
  <c r="BB222"/>
  <c r="BB221"/>
  <c r="BB220"/>
  <c r="BB219"/>
  <c r="BB218"/>
  <c r="BB217"/>
  <c r="BB216"/>
  <c r="BB215"/>
  <c r="BB214"/>
  <c r="AW214"/>
  <c r="BB213"/>
  <c r="BB212"/>
  <c r="BB211"/>
  <c r="BB210"/>
  <c r="BB209"/>
  <c r="AW209"/>
  <c r="AW212" s="1"/>
  <c r="BB208"/>
  <c r="BB207"/>
  <c r="BB206"/>
  <c r="AW206"/>
  <c r="BB205"/>
  <c r="BB204"/>
  <c r="BB203" s="1"/>
  <c r="BD203"/>
  <c r="BA203"/>
  <c r="AZ203"/>
  <c r="BB202"/>
  <c r="BB201"/>
  <c r="BB200"/>
  <c r="BB199"/>
  <c r="BB198"/>
  <c r="BB197"/>
  <c r="BB196"/>
  <c r="BB195"/>
  <c r="BB194"/>
  <c r="BB193"/>
  <c r="BB192"/>
  <c r="BB191"/>
  <c r="BB190"/>
  <c r="BB189"/>
  <c r="AW189"/>
  <c r="BB188"/>
  <c r="BB187"/>
  <c r="BB186"/>
  <c r="BB185"/>
  <c r="BB184"/>
  <c r="AW184"/>
  <c r="AW187" s="1"/>
  <c r="BB183"/>
  <c r="BB182"/>
  <c r="BB181"/>
  <c r="AW181"/>
  <c r="BB180"/>
  <c r="BB179"/>
  <c r="BB178" s="1"/>
  <c r="BD178"/>
  <c r="BA178"/>
  <c r="AZ178"/>
  <c r="BB177"/>
  <c r="BB176"/>
  <c r="BB175"/>
  <c r="BB174"/>
  <c r="BB173"/>
  <c r="BB172"/>
  <c r="BB171"/>
  <c r="BB170"/>
  <c r="BB169"/>
  <c r="BB168"/>
  <c r="BB167"/>
  <c r="BB166"/>
  <c r="BB165"/>
  <c r="BB164"/>
  <c r="AW164"/>
  <c r="BB163"/>
  <c r="BB162"/>
  <c r="BB161"/>
  <c r="BB160"/>
  <c r="BB159"/>
  <c r="AW159"/>
  <c r="AW162" s="1"/>
  <c r="BB158"/>
  <c r="BB157"/>
  <c r="BB156"/>
  <c r="AW156"/>
  <c r="BB155"/>
  <c r="BB154"/>
  <c r="BB153" s="1"/>
  <c r="BD153"/>
  <c r="BA153"/>
  <c r="AZ153"/>
  <c r="BB152"/>
  <c r="BB151"/>
  <c r="BB150"/>
  <c r="BB149"/>
  <c r="BB148"/>
  <c r="BB147"/>
  <c r="BB146"/>
  <c r="BB145"/>
  <c r="BB144"/>
  <c r="BB143"/>
  <c r="BB142"/>
  <c r="BB141"/>
  <c r="BB140"/>
  <c r="BB139"/>
  <c r="AW139"/>
  <c r="BB138"/>
  <c r="BB137"/>
  <c r="BB136"/>
  <c r="BB135"/>
  <c r="BB134"/>
  <c r="AW134"/>
  <c r="AW137" s="1"/>
  <c r="BB133"/>
  <c r="BB132"/>
  <c r="BB131"/>
  <c r="AW131"/>
  <c r="BB130"/>
  <c r="BB129"/>
  <c r="BD128"/>
  <c r="BA128"/>
  <c r="AZ128"/>
  <c r="BB127"/>
  <c r="BB126"/>
  <c r="BB125"/>
  <c r="BB124"/>
  <c r="BB123"/>
  <c r="BB122"/>
  <c r="BB121"/>
  <c r="BB120"/>
  <c r="BB119"/>
  <c r="BB118"/>
  <c r="BB117"/>
  <c r="BB116"/>
  <c r="BB115"/>
  <c r="BB114"/>
  <c r="AW114"/>
  <c r="BB113"/>
  <c r="BB112"/>
  <c r="BB111"/>
  <c r="BB110"/>
  <c r="BB109"/>
  <c r="AW109"/>
  <c r="AW112" s="1"/>
  <c r="BB108"/>
  <c r="BB107"/>
  <c r="BB106"/>
  <c r="AW106"/>
  <c r="BB105"/>
  <c r="BB104"/>
  <c r="BD103"/>
  <c r="BA103"/>
  <c r="AZ103"/>
  <c r="BB102"/>
  <c r="BB101"/>
  <c r="BB100"/>
  <c r="BB99"/>
  <c r="BB98"/>
  <c r="BB97"/>
  <c r="BB96"/>
  <c r="BB95"/>
  <c r="BB94"/>
  <c r="BB93"/>
  <c r="BB92"/>
  <c r="BB91"/>
  <c r="BB90"/>
  <c r="BB89"/>
  <c r="AW89"/>
  <c r="BB88"/>
  <c r="BB87"/>
  <c r="BB86"/>
  <c r="BB85"/>
  <c r="BB84"/>
  <c r="AW84"/>
  <c r="AW87" s="1"/>
  <c r="BB83"/>
  <c r="BB82"/>
  <c r="BB81"/>
  <c r="AW81"/>
  <c r="BB80"/>
  <c r="BB79"/>
  <c r="BB78" s="1"/>
  <c r="BD78"/>
  <c r="BA78"/>
  <c r="AZ78"/>
  <c r="BB77"/>
  <c r="BB76"/>
  <c r="BB75"/>
  <c r="BB74"/>
  <c r="BB73"/>
  <c r="BB72"/>
  <c r="BB71"/>
  <c r="BB70"/>
  <c r="BB69"/>
  <c r="BB68"/>
  <c r="BB67"/>
  <c r="BB66"/>
  <c r="BB65"/>
  <c r="BB64"/>
  <c r="AW64"/>
  <c r="BB63"/>
  <c r="BB62"/>
  <c r="BB61"/>
  <c r="BB60"/>
  <c r="BB59"/>
  <c r="AW59"/>
  <c r="AW62" s="1"/>
  <c r="BB58"/>
  <c r="BB57"/>
  <c r="BB56"/>
  <c r="AW56"/>
  <c r="BB55"/>
  <c r="BB54"/>
  <c r="BD53"/>
  <c r="BA53"/>
  <c r="AZ53"/>
  <c r="BB52"/>
  <c r="BB51"/>
  <c r="BB50"/>
  <c r="BB49"/>
  <c r="BB48"/>
  <c r="BB47"/>
  <c r="BB46"/>
  <c r="BB45"/>
  <c r="BB44"/>
  <c r="BB43"/>
  <c r="BB42"/>
  <c r="BB41"/>
  <c r="BB40"/>
  <c r="BB39"/>
  <c r="AW39"/>
  <c r="BB38"/>
  <c r="BB37"/>
  <c r="BB36"/>
  <c r="BB35"/>
  <c r="BB34"/>
  <c r="AW34"/>
  <c r="AW37" s="1"/>
  <c r="BB33"/>
  <c r="BB32"/>
  <c r="BB31"/>
  <c r="AW31"/>
  <c r="BB30"/>
  <c r="BB29"/>
  <c r="BD28"/>
  <c r="BA28"/>
  <c r="BB27"/>
  <c r="BB26"/>
  <c r="BB25"/>
  <c r="BB24"/>
  <c r="BB23"/>
  <c r="BB22"/>
  <c r="BB21"/>
  <c r="BB20"/>
  <c r="BB19"/>
  <c r="BB18"/>
  <c r="BB17"/>
  <c r="BB16"/>
  <c r="BB15"/>
  <c r="BB14"/>
  <c r="AW14"/>
  <c r="BB13"/>
  <c r="BB12"/>
  <c r="BB11"/>
  <c r="BB10"/>
  <c r="BB9"/>
  <c r="AW9"/>
  <c r="AW12" s="1"/>
  <c r="BB8"/>
  <c r="BB7"/>
  <c r="BB6"/>
  <c r="AW6"/>
  <c r="BB5"/>
  <c r="BB4"/>
  <c r="BD3"/>
  <c r="BA3"/>
  <c r="AZ3"/>
  <c r="AX2"/>
  <c r="AS702"/>
  <c r="AQ702"/>
  <c r="AS701"/>
  <c r="AQ701"/>
  <c r="AS700"/>
  <c r="AQ700"/>
  <c r="AS699"/>
  <c r="AQ699"/>
  <c r="AS698"/>
  <c r="AQ698"/>
  <c r="AS697"/>
  <c r="AQ697"/>
  <c r="AS696"/>
  <c r="AQ696"/>
  <c r="AS695"/>
  <c r="AQ695"/>
  <c r="AS694"/>
  <c r="AQ694"/>
  <c r="AS693"/>
  <c r="AQ693"/>
  <c r="AS692"/>
  <c r="AQ692"/>
  <c r="AS691"/>
  <c r="AQ691"/>
  <c r="AS690"/>
  <c r="AQ690"/>
  <c r="AS689"/>
  <c r="AQ689"/>
  <c r="AS688"/>
  <c r="AQ688"/>
  <c r="AS687"/>
  <c r="AQ687"/>
  <c r="AS686"/>
  <c r="AQ686"/>
  <c r="AS685"/>
  <c r="AQ685"/>
  <c r="AS684"/>
  <c r="AQ684"/>
  <c r="AM684"/>
  <c r="AS683"/>
  <c r="AQ683"/>
  <c r="AS682"/>
  <c r="AQ682"/>
  <c r="AS681"/>
  <c r="AQ681"/>
  <c r="AM681"/>
  <c r="AM693" s="1"/>
  <c r="AS680"/>
  <c r="AQ680"/>
  <c r="AM689"/>
  <c r="AM690" s="1"/>
  <c r="AS679"/>
  <c r="AQ679"/>
  <c r="AU678"/>
  <c r="AR678"/>
  <c r="AP678"/>
  <c r="AS677"/>
  <c r="AQ677"/>
  <c r="AS676"/>
  <c r="AQ676"/>
  <c r="AS675"/>
  <c r="AQ675"/>
  <c r="AS674"/>
  <c r="AQ674"/>
  <c r="AS673"/>
  <c r="AQ673"/>
  <c r="AS672"/>
  <c r="AQ672"/>
  <c r="AS671"/>
  <c r="AQ671"/>
  <c r="AS670"/>
  <c r="AQ670"/>
  <c r="AS669"/>
  <c r="AQ669"/>
  <c r="AS668"/>
  <c r="AQ668"/>
  <c r="AS667"/>
  <c r="AQ667"/>
  <c r="AS666"/>
  <c r="AQ666"/>
  <c r="AS665"/>
  <c r="AQ665"/>
  <c r="AS664"/>
  <c r="AQ664"/>
  <c r="AS663"/>
  <c r="AQ663"/>
  <c r="AS662"/>
  <c r="AQ662"/>
  <c r="AS661"/>
  <c r="AQ661"/>
  <c r="AS660"/>
  <c r="AQ660"/>
  <c r="AS659"/>
  <c r="AQ659"/>
  <c r="AM659"/>
  <c r="AM662" s="1"/>
  <c r="AS658"/>
  <c r="AQ658"/>
  <c r="AS657"/>
  <c r="AQ657"/>
  <c r="AS656"/>
  <c r="AQ656"/>
  <c r="AM656"/>
  <c r="AS655"/>
  <c r="AQ655"/>
  <c r="AM664"/>
  <c r="AM665" s="1"/>
  <c r="AS654"/>
  <c r="AQ654"/>
  <c r="AQ653" s="1"/>
  <c r="AU653"/>
  <c r="AR653"/>
  <c r="AP653"/>
  <c r="AS652"/>
  <c r="AQ652"/>
  <c r="AS651"/>
  <c r="AQ651"/>
  <c r="AS650"/>
  <c r="AQ650"/>
  <c r="AS649"/>
  <c r="AQ649"/>
  <c r="AS648"/>
  <c r="AQ648"/>
  <c r="AS647"/>
  <c r="AQ647"/>
  <c r="AS646"/>
  <c r="AQ646"/>
  <c r="AS645"/>
  <c r="AQ645"/>
  <c r="AS644"/>
  <c r="AQ644"/>
  <c r="AS643"/>
  <c r="AQ643"/>
  <c r="AS642"/>
  <c r="AQ642"/>
  <c r="AS641"/>
  <c r="AQ641"/>
  <c r="AS640"/>
  <c r="AQ640"/>
  <c r="AS639"/>
  <c r="AQ639"/>
  <c r="AS638"/>
  <c r="AQ638"/>
  <c r="AS637"/>
  <c r="AQ637"/>
  <c r="AS636"/>
  <c r="AQ636"/>
  <c r="AS635"/>
  <c r="AQ635"/>
  <c r="AS634"/>
  <c r="AQ634"/>
  <c r="AM634"/>
  <c r="AS633"/>
  <c r="AQ633"/>
  <c r="AS632"/>
  <c r="AQ632"/>
  <c r="AS631"/>
  <c r="AQ631"/>
  <c r="AM631"/>
  <c r="AM643" s="1"/>
  <c r="AS630"/>
  <c r="AQ630"/>
  <c r="AM639"/>
  <c r="AS629"/>
  <c r="AS628" s="1"/>
  <c r="AQ629"/>
  <c r="AU628"/>
  <c r="AR628"/>
  <c r="AP628"/>
  <c r="AS627"/>
  <c r="AQ627"/>
  <c r="AS626"/>
  <c r="AQ626"/>
  <c r="AS625"/>
  <c r="AQ625"/>
  <c r="AS624"/>
  <c r="AQ624"/>
  <c r="AS623"/>
  <c r="AQ623"/>
  <c r="AS622"/>
  <c r="AQ622"/>
  <c r="AS621"/>
  <c r="AQ621"/>
  <c r="AS620"/>
  <c r="AQ620"/>
  <c r="AS619"/>
  <c r="AQ619"/>
  <c r="AS618"/>
  <c r="AQ618"/>
  <c r="AS617"/>
  <c r="AQ617"/>
  <c r="AS616"/>
  <c r="AQ616"/>
  <c r="AS615"/>
  <c r="AQ615"/>
  <c r="AS614"/>
  <c r="AQ614"/>
  <c r="AS613"/>
  <c r="AQ613"/>
  <c r="AS612"/>
  <c r="AQ612"/>
  <c r="AS611"/>
  <c r="AQ611"/>
  <c r="AS610"/>
  <c r="AQ610"/>
  <c r="AS609"/>
  <c r="AQ609"/>
  <c r="AM609"/>
  <c r="AM612" s="1"/>
  <c r="AS608"/>
  <c r="AQ608"/>
  <c r="AS607"/>
  <c r="AQ607"/>
  <c r="AS606"/>
  <c r="AQ606"/>
  <c r="AM606"/>
  <c r="AM618" s="1"/>
  <c r="AS605"/>
  <c r="AQ605"/>
  <c r="AM614"/>
  <c r="AS604"/>
  <c r="AQ604"/>
  <c r="AU603"/>
  <c r="AR603"/>
  <c r="AP603"/>
  <c r="AS602"/>
  <c r="AQ602"/>
  <c r="AS601"/>
  <c r="AQ601"/>
  <c r="AS600"/>
  <c r="AQ600"/>
  <c r="AS599"/>
  <c r="AQ599"/>
  <c r="AS598"/>
  <c r="AQ598"/>
  <c r="AS597"/>
  <c r="AQ597"/>
  <c r="AS596"/>
  <c r="AQ596"/>
  <c r="AS595"/>
  <c r="AQ595"/>
  <c r="AS594"/>
  <c r="AQ594"/>
  <c r="AS593"/>
  <c r="AQ593"/>
  <c r="AS592"/>
  <c r="AQ592"/>
  <c r="AS591"/>
  <c r="AQ591"/>
  <c r="AS590"/>
  <c r="AQ590"/>
  <c r="AS589"/>
  <c r="AQ589"/>
  <c r="AS588"/>
  <c r="AQ588"/>
  <c r="AS587"/>
  <c r="AQ587"/>
  <c r="AS586"/>
  <c r="AQ586"/>
  <c r="AS585"/>
  <c r="AQ585"/>
  <c r="AS584"/>
  <c r="AQ584"/>
  <c r="AM584"/>
  <c r="AM587" s="1"/>
  <c r="AS583"/>
  <c r="AQ583"/>
  <c r="AS582"/>
  <c r="AQ582"/>
  <c r="AS581"/>
  <c r="AQ581"/>
  <c r="AM581"/>
  <c r="AS580"/>
  <c r="AQ580"/>
  <c r="AM589"/>
  <c r="AS579"/>
  <c r="AQ579"/>
  <c r="AQ578" s="1"/>
  <c r="AU578"/>
  <c r="AR578"/>
  <c r="AP578"/>
  <c r="AS577"/>
  <c r="AQ577"/>
  <c r="AS576"/>
  <c r="AQ576"/>
  <c r="AS575"/>
  <c r="AQ575"/>
  <c r="AS574"/>
  <c r="AQ574"/>
  <c r="AS573"/>
  <c r="AQ573"/>
  <c r="AS572"/>
  <c r="AQ572"/>
  <c r="AS571"/>
  <c r="AQ571"/>
  <c r="AS570"/>
  <c r="AQ570"/>
  <c r="AS569"/>
  <c r="AQ569"/>
  <c r="AS568"/>
  <c r="AQ568"/>
  <c r="AS567"/>
  <c r="AQ567"/>
  <c r="AS566"/>
  <c r="AQ566"/>
  <c r="AS565"/>
  <c r="AQ565"/>
  <c r="AS564"/>
  <c r="AQ564"/>
  <c r="AS563"/>
  <c r="AQ563"/>
  <c r="AS562"/>
  <c r="AQ562"/>
  <c r="AS561"/>
  <c r="AQ561"/>
  <c r="AS560"/>
  <c r="AQ560"/>
  <c r="AS559"/>
  <c r="AQ559"/>
  <c r="AM559"/>
  <c r="AS558"/>
  <c r="AQ558"/>
  <c r="AS557"/>
  <c r="AQ557"/>
  <c r="AS556"/>
  <c r="AQ556"/>
  <c r="AM556"/>
  <c r="AM568" s="1"/>
  <c r="AS555"/>
  <c r="AQ555"/>
  <c r="AM564"/>
  <c r="AS554"/>
  <c r="AQ554"/>
  <c r="AU553"/>
  <c r="AR553"/>
  <c r="AP553"/>
  <c r="AS552"/>
  <c r="AQ552"/>
  <c r="AS551"/>
  <c r="AQ551"/>
  <c r="AS550"/>
  <c r="AQ550"/>
  <c r="AS549"/>
  <c r="AQ549"/>
  <c r="AS548"/>
  <c r="AQ548"/>
  <c r="AS547"/>
  <c r="AQ547"/>
  <c r="AS546"/>
  <c r="AQ546"/>
  <c r="AS545"/>
  <c r="AQ545"/>
  <c r="AS544"/>
  <c r="AQ544"/>
  <c r="AS543"/>
  <c r="AQ543"/>
  <c r="AS542"/>
  <c r="AQ542"/>
  <c r="AS541"/>
  <c r="AQ541"/>
  <c r="AS540"/>
  <c r="AQ540"/>
  <c r="AS539"/>
  <c r="AQ539"/>
  <c r="AS538"/>
  <c r="AQ538"/>
  <c r="AS537"/>
  <c r="AQ537"/>
  <c r="AS536"/>
  <c r="AQ536"/>
  <c r="AS535"/>
  <c r="AQ535"/>
  <c r="AS534"/>
  <c r="AQ534"/>
  <c r="AM534"/>
  <c r="AM537" s="1"/>
  <c r="AS533"/>
  <c r="AQ533"/>
  <c r="AS532"/>
  <c r="AQ532"/>
  <c r="AS531"/>
  <c r="AQ531"/>
  <c r="AM531"/>
  <c r="AS530"/>
  <c r="AQ530"/>
  <c r="AM539"/>
  <c r="AS529"/>
  <c r="AQ529"/>
  <c r="AU528"/>
  <c r="AR528"/>
  <c r="AP528"/>
  <c r="AS527"/>
  <c r="AQ527"/>
  <c r="AS526"/>
  <c r="AQ526"/>
  <c r="AS525"/>
  <c r="AQ525"/>
  <c r="AS524"/>
  <c r="AQ524"/>
  <c r="AS523"/>
  <c r="AQ523"/>
  <c r="AS522"/>
  <c r="AQ522"/>
  <c r="AS521"/>
  <c r="AQ521"/>
  <c r="AS520"/>
  <c r="AQ520"/>
  <c r="AS519"/>
  <c r="AQ519"/>
  <c r="AS518"/>
  <c r="AQ518"/>
  <c r="AS517"/>
  <c r="AQ517"/>
  <c r="AS516"/>
  <c r="AQ516"/>
  <c r="AS515"/>
  <c r="AQ515"/>
  <c r="AS514"/>
  <c r="AQ514"/>
  <c r="AS513"/>
  <c r="AQ513"/>
  <c r="AS512"/>
  <c r="AQ512"/>
  <c r="AS511"/>
  <c r="AQ511"/>
  <c r="AS510"/>
  <c r="AQ510"/>
  <c r="AS509"/>
  <c r="AQ509"/>
  <c r="AM509"/>
  <c r="AS508"/>
  <c r="AQ508"/>
  <c r="AS507"/>
  <c r="AQ507"/>
  <c r="AQ506"/>
  <c r="AM506"/>
  <c r="AM518" s="1"/>
  <c r="AS505"/>
  <c r="AQ505"/>
  <c r="AM514"/>
  <c r="AS504"/>
  <c r="AQ504"/>
  <c r="AU503"/>
  <c r="AR503"/>
  <c r="AP503"/>
  <c r="AS502"/>
  <c r="AQ502"/>
  <c r="AS501"/>
  <c r="AQ501"/>
  <c r="AS500"/>
  <c r="AQ500"/>
  <c r="AS499"/>
  <c r="AQ499"/>
  <c r="AS498"/>
  <c r="AQ498"/>
  <c r="AS497"/>
  <c r="AQ497"/>
  <c r="AS496"/>
  <c r="AQ496"/>
  <c r="AS495"/>
  <c r="AQ495"/>
  <c r="AS494"/>
  <c r="AQ494"/>
  <c r="AS493"/>
  <c r="AQ493"/>
  <c r="AS492"/>
  <c r="AQ492"/>
  <c r="AS491"/>
  <c r="AQ491"/>
  <c r="AS490"/>
  <c r="AQ490"/>
  <c r="AS489"/>
  <c r="AQ489"/>
  <c r="AS488"/>
  <c r="AQ488"/>
  <c r="AS487"/>
  <c r="AQ487"/>
  <c r="AS486"/>
  <c r="AQ486"/>
  <c r="AS485"/>
  <c r="AQ485"/>
  <c r="AS484"/>
  <c r="AQ484"/>
  <c r="AM484"/>
  <c r="AS483"/>
  <c r="AQ483"/>
  <c r="AS482"/>
  <c r="AQ482"/>
  <c r="AS481"/>
  <c r="AQ481"/>
  <c r="AM481"/>
  <c r="AM493" s="1"/>
  <c r="AS480"/>
  <c r="AQ480"/>
  <c r="AM489"/>
  <c r="AS479"/>
  <c r="AQ479"/>
  <c r="AU478"/>
  <c r="AR478"/>
  <c r="AP478"/>
  <c r="AS477"/>
  <c r="AQ477"/>
  <c r="AS476"/>
  <c r="AQ476"/>
  <c r="AS475"/>
  <c r="AQ475"/>
  <c r="AS474"/>
  <c r="AQ474"/>
  <c r="AS473"/>
  <c r="AQ473"/>
  <c r="AS472"/>
  <c r="AQ472"/>
  <c r="AS471"/>
  <c r="AQ471"/>
  <c r="AS470"/>
  <c r="AQ470"/>
  <c r="AS469"/>
  <c r="AQ469"/>
  <c r="AS468"/>
  <c r="AQ468"/>
  <c r="AS467"/>
  <c r="AQ467"/>
  <c r="AS466"/>
  <c r="AQ466"/>
  <c r="AS465"/>
  <c r="AQ465"/>
  <c r="AS464"/>
  <c r="AQ464"/>
  <c r="AS463"/>
  <c r="AQ463"/>
  <c r="AS462"/>
  <c r="AQ462"/>
  <c r="AS461"/>
  <c r="AQ461"/>
  <c r="AS460"/>
  <c r="AQ460"/>
  <c r="AS459"/>
  <c r="AQ459"/>
  <c r="AM459"/>
  <c r="AM462" s="1"/>
  <c r="AS458"/>
  <c r="AQ458"/>
  <c r="AS457"/>
  <c r="AQ457"/>
  <c r="AS456"/>
  <c r="AQ456"/>
  <c r="AM456"/>
  <c r="AS455"/>
  <c r="AQ455"/>
  <c r="AM464"/>
  <c r="AS454"/>
  <c r="AQ454"/>
  <c r="AU453"/>
  <c r="AR453"/>
  <c r="AP453"/>
  <c r="AS452"/>
  <c r="AQ452"/>
  <c r="AS451"/>
  <c r="AQ451"/>
  <c r="AS450"/>
  <c r="AQ450"/>
  <c r="AS449"/>
  <c r="AQ449"/>
  <c r="AS448"/>
  <c r="AQ448"/>
  <c r="AS447"/>
  <c r="AQ447"/>
  <c r="AS446"/>
  <c r="AQ446"/>
  <c r="AS445"/>
  <c r="AQ445"/>
  <c r="AS444"/>
  <c r="AQ444"/>
  <c r="AS443"/>
  <c r="AQ443"/>
  <c r="AS442"/>
  <c r="AQ442"/>
  <c r="AS441"/>
  <c r="AQ441"/>
  <c r="AS440"/>
  <c r="AQ440"/>
  <c r="AS439"/>
  <c r="AQ439"/>
  <c r="AS438"/>
  <c r="AQ438"/>
  <c r="AS437"/>
  <c r="AQ437"/>
  <c r="AS436"/>
  <c r="AQ436"/>
  <c r="AS435"/>
  <c r="AQ435"/>
  <c r="AS434"/>
  <c r="AQ434"/>
  <c r="AM434"/>
  <c r="AS433"/>
  <c r="AQ433"/>
  <c r="AS432"/>
  <c r="AQ432"/>
  <c r="AS431"/>
  <c r="AQ431"/>
  <c r="AM431"/>
  <c r="AM443" s="1"/>
  <c r="AS430"/>
  <c r="AQ430"/>
  <c r="AM439"/>
  <c r="AM440" s="1"/>
  <c r="AS429"/>
  <c r="AQ429"/>
  <c r="AU428"/>
  <c r="AR428"/>
  <c r="AP428"/>
  <c r="AS427"/>
  <c r="AQ427"/>
  <c r="AS426"/>
  <c r="AQ426"/>
  <c r="AS425"/>
  <c r="AQ425"/>
  <c r="AS424"/>
  <c r="AQ424"/>
  <c r="AS423"/>
  <c r="AQ423"/>
  <c r="AS422"/>
  <c r="AQ422"/>
  <c r="AS421"/>
  <c r="AQ421"/>
  <c r="AS420"/>
  <c r="AQ420"/>
  <c r="AS419"/>
  <c r="AQ419"/>
  <c r="AS418"/>
  <c r="AQ418"/>
  <c r="AS417"/>
  <c r="AQ417"/>
  <c r="AS416"/>
  <c r="AQ416"/>
  <c r="AS415"/>
  <c r="AQ415"/>
  <c r="AS414"/>
  <c r="AQ414"/>
  <c r="AS413"/>
  <c r="AQ413"/>
  <c r="AS412"/>
  <c r="AQ412"/>
  <c r="AS411"/>
  <c r="AQ411"/>
  <c r="AS410"/>
  <c r="AQ410"/>
  <c r="AS409"/>
  <c r="AQ409"/>
  <c r="AM409"/>
  <c r="AM412" s="1"/>
  <c r="AS408"/>
  <c r="AQ408"/>
  <c r="AS407"/>
  <c r="AQ407"/>
  <c r="AS406"/>
  <c r="AQ406"/>
  <c r="AM406"/>
  <c r="AS405"/>
  <c r="AQ405"/>
  <c r="AM414"/>
  <c r="AS404"/>
  <c r="AQ404"/>
  <c r="AU403"/>
  <c r="AS403"/>
  <c r="AR403"/>
  <c r="AP403"/>
  <c r="AS402"/>
  <c r="AQ402"/>
  <c r="AS401"/>
  <c r="AQ401"/>
  <c r="AS400"/>
  <c r="AQ400"/>
  <c r="AS399"/>
  <c r="AQ399"/>
  <c r="AS398"/>
  <c r="AQ398"/>
  <c r="AS397"/>
  <c r="AQ397"/>
  <c r="AS396"/>
  <c r="AQ396"/>
  <c r="AS395"/>
  <c r="AQ395"/>
  <c r="AS394"/>
  <c r="AQ394"/>
  <c r="AS393"/>
  <c r="AQ393"/>
  <c r="AS392"/>
  <c r="AQ392"/>
  <c r="AS391"/>
  <c r="AQ391"/>
  <c r="AS390"/>
  <c r="AQ390"/>
  <c r="AS389"/>
  <c r="AQ389"/>
  <c r="AS388"/>
  <c r="AQ388"/>
  <c r="AS387"/>
  <c r="AQ387"/>
  <c r="AS386"/>
  <c r="AQ386"/>
  <c r="AS385"/>
  <c r="AQ385"/>
  <c r="AS384"/>
  <c r="AQ384"/>
  <c r="AM384"/>
  <c r="AS383"/>
  <c r="AQ383"/>
  <c r="AS382"/>
  <c r="AQ382"/>
  <c r="AS381"/>
  <c r="AQ381"/>
  <c r="AM381"/>
  <c r="AM393" s="1"/>
  <c r="AS380"/>
  <c r="AQ380"/>
  <c r="AM389"/>
  <c r="AS379"/>
  <c r="AQ379"/>
  <c r="AU378"/>
  <c r="AR378"/>
  <c r="AP378"/>
  <c r="AS377"/>
  <c r="AQ377"/>
  <c r="AS376"/>
  <c r="AQ376"/>
  <c r="AS375"/>
  <c r="AQ375"/>
  <c r="AS374"/>
  <c r="AQ374"/>
  <c r="AS373"/>
  <c r="AQ373"/>
  <c r="AS372"/>
  <c r="AQ372"/>
  <c r="AS371"/>
  <c r="AQ371"/>
  <c r="AS370"/>
  <c r="AQ370"/>
  <c r="AS369"/>
  <c r="AQ369"/>
  <c r="AS368"/>
  <c r="AQ368"/>
  <c r="AS367"/>
  <c r="AQ367"/>
  <c r="AS366"/>
  <c r="AQ366"/>
  <c r="AS365"/>
  <c r="AQ365"/>
  <c r="AS364"/>
  <c r="AQ364"/>
  <c r="AS363"/>
  <c r="AQ363"/>
  <c r="AS362"/>
  <c r="AQ362"/>
  <c r="AS361"/>
  <c r="AQ361"/>
  <c r="AS360"/>
  <c r="AQ360"/>
  <c r="AS359"/>
  <c r="AQ359"/>
  <c r="AM359"/>
  <c r="AM362" s="1"/>
  <c r="AS358"/>
  <c r="AQ358"/>
  <c r="AS357"/>
  <c r="AQ357"/>
  <c r="AS356"/>
  <c r="AQ356"/>
  <c r="AM356"/>
  <c r="AS355"/>
  <c r="AQ355"/>
  <c r="AS354"/>
  <c r="AQ354"/>
  <c r="AQ353" s="1"/>
  <c r="AU353"/>
  <c r="AR353"/>
  <c r="AP353"/>
  <c r="AS352"/>
  <c r="AQ352"/>
  <c r="AS351"/>
  <c r="AQ351"/>
  <c r="AS350"/>
  <c r="AQ350"/>
  <c r="AS349"/>
  <c r="AQ349"/>
  <c r="AS348"/>
  <c r="AQ348"/>
  <c r="AS347"/>
  <c r="AQ347"/>
  <c r="AS346"/>
  <c r="AQ346"/>
  <c r="AS345"/>
  <c r="AQ345"/>
  <c r="AS344"/>
  <c r="AQ344"/>
  <c r="AS343"/>
  <c r="AQ343"/>
  <c r="AS342"/>
  <c r="AQ342"/>
  <c r="AS341"/>
  <c r="AQ341"/>
  <c r="AS340"/>
  <c r="AQ340"/>
  <c r="AS339"/>
  <c r="AQ339"/>
  <c r="AS338"/>
  <c r="AQ338"/>
  <c r="AS337"/>
  <c r="AQ337"/>
  <c r="AS336"/>
  <c r="AQ336"/>
  <c r="AS335"/>
  <c r="AQ335"/>
  <c r="AS334"/>
  <c r="AQ334"/>
  <c r="AM334"/>
  <c r="AS333"/>
  <c r="AQ333"/>
  <c r="AS332"/>
  <c r="AQ332"/>
  <c r="AS331"/>
  <c r="AQ331"/>
  <c r="AM331"/>
  <c r="AM343" s="1"/>
  <c r="AS330"/>
  <c r="AQ330"/>
  <c r="AM339"/>
  <c r="AS329"/>
  <c r="AS328" s="1"/>
  <c r="AQ329"/>
  <c r="AU328"/>
  <c r="AR328"/>
  <c r="AP328"/>
  <c r="AS327"/>
  <c r="AQ327"/>
  <c r="AS326"/>
  <c r="AQ326"/>
  <c r="AS325"/>
  <c r="AQ325"/>
  <c r="AS324"/>
  <c r="AQ324"/>
  <c r="AS323"/>
  <c r="AQ323"/>
  <c r="AS322"/>
  <c r="AQ322"/>
  <c r="AS321"/>
  <c r="AQ321"/>
  <c r="AS320"/>
  <c r="AQ320"/>
  <c r="AS319"/>
  <c r="AQ319"/>
  <c r="AS318"/>
  <c r="AQ318"/>
  <c r="AS317"/>
  <c r="AQ317"/>
  <c r="AS316"/>
  <c r="AQ316"/>
  <c r="AS315"/>
  <c r="AQ315"/>
  <c r="AS314"/>
  <c r="AQ314"/>
  <c r="AS313"/>
  <c r="AQ313"/>
  <c r="AS312"/>
  <c r="AQ312"/>
  <c r="AS311"/>
  <c r="AQ311"/>
  <c r="AS310"/>
  <c r="AQ310"/>
  <c r="AS309"/>
  <c r="AQ309"/>
  <c r="AM309"/>
  <c r="AM312" s="1"/>
  <c r="AS308"/>
  <c r="AQ308"/>
  <c r="AS307"/>
  <c r="AQ307"/>
  <c r="AS306"/>
  <c r="AQ306"/>
  <c r="AM306"/>
  <c r="AS305"/>
  <c r="AQ305"/>
  <c r="AM314"/>
  <c r="AS304"/>
  <c r="AQ304"/>
  <c r="AU303"/>
  <c r="AR303"/>
  <c r="AP303"/>
  <c r="AS302"/>
  <c r="AQ302"/>
  <c r="AS301"/>
  <c r="AQ301"/>
  <c r="AS300"/>
  <c r="AQ300"/>
  <c r="AS299"/>
  <c r="AQ299"/>
  <c r="AS298"/>
  <c r="AQ298"/>
  <c r="AS297"/>
  <c r="AQ297"/>
  <c r="AS296"/>
  <c r="AQ296"/>
  <c r="AS295"/>
  <c r="AQ295"/>
  <c r="AS294"/>
  <c r="AQ294"/>
  <c r="AS293"/>
  <c r="AQ293"/>
  <c r="AS292"/>
  <c r="AQ292"/>
  <c r="AS291"/>
  <c r="AQ291"/>
  <c r="AS290"/>
  <c r="AQ290"/>
  <c r="AS289"/>
  <c r="AQ289"/>
  <c r="AS288"/>
  <c r="AQ288"/>
  <c r="AS287"/>
  <c r="AQ287"/>
  <c r="AS286"/>
  <c r="AQ286"/>
  <c r="AS285"/>
  <c r="AQ285"/>
  <c r="AS284"/>
  <c r="AQ284"/>
  <c r="AM284"/>
  <c r="AS283"/>
  <c r="AQ283"/>
  <c r="AS282"/>
  <c r="AQ282"/>
  <c r="AS281"/>
  <c r="AQ281"/>
  <c r="AM281"/>
  <c r="AM293" s="1"/>
  <c r="AS280"/>
  <c r="AQ280"/>
  <c r="AS279"/>
  <c r="AS278" s="1"/>
  <c r="AQ279"/>
  <c r="AU278"/>
  <c r="AR278"/>
  <c r="AP278"/>
  <c r="AS277"/>
  <c r="AQ277"/>
  <c r="AS276"/>
  <c r="AQ276"/>
  <c r="AS275"/>
  <c r="AQ275"/>
  <c r="AS274"/>
  <c r="AQ274"/>
  <c r="AS273"/>
  <c r="AQ273"/>
  <c r="AS272"/>
  <c r="AQ272"/>
  <c r="AS271"/>
  <c r="AQ271"/>
  <c r="AS270"/>
  <c r="AQ270"/>
  <c r="AS269"/>
  <c r="AQ269"/>
  <c r="AS268"/>
  <c r="AQ268"/>
  <c r="AS267"/>
  <c r="AQ267"/>
  <c r="AS266"/>
  <c r="AQ266"/>
  <c r="AS265"/>
  <c r="AQ265"/>
  <c r="AS264"/>
  <c r="AQ264"/>
  <c r="AS263"/>
  <c r="AQ263"/>
  <c r="AS262"/>
  <c r="AQ262"/>
  <c r="AS261"/>
  <c r="AQ261"/>
  <c r="AS260"/>
  <c r="AQ260"/>
  <c r="AS259"/>
  <c r="AQ259"/>
  <c r="AM259"/>
  <c r="AM262" s="1"/>
  <c r="AS258"/>
  <c r="AQ258"/>
  <c r="AS257"/>
  <c r="AQ257"/>
  <c r="AS256"/>
  <c r="AQ256"/>
  <c r="AM256"/>
  <c r="AS255"/>
  <c r="AQ255"/>
  <c r="AM264"/>
  <c r="AS254"/>
  <c r="AQ254"/>
  <c r="AU253"/>
  <c r="AR253"/>
  <c r="AP253"/>
  <c r="AS252"/>
  <c r="AQ252"/>
  <c r="AS251"/>
  <c r="AQ251"/>
  <c r="AS250"/>
  <c r="AQ250"/>
  <c r="AS249"/>
  <c r="AQ249"/>
  <c r="AS248"/>
  <c r="AQ248"/>
  <c r="AS247"/>
  <c r="AQ247"/>
  <c r="AS246"/>
  <c r="AQ246"/>
  <c r="AS245"/>
  <c r="AQ245"/>
  <c r="AS244"/>
  <c r="AQ244"/>
  <c r="AS243"/>
  <c r="AQ243"/>
  <c r="AS242"/>
  <c r="AQ242"/>
  <c r="AS241"/>
  <c r="AQ241"/>
  <c r="AS240"/>
  <c r="AQ240"/>
  <c r="AS239"/>
  <c r="AQ239"/>
  <c r="AS238"/>
  <c r="AQ238"/>
  <c r="AS237"/>
  <c r="AQ237"/>
  <c r="AS236"/>
  <c r="AQ236"/>
  <c r="AS235"/>
  <c r="AQ235"/>
  <c r="AS234"/>
  <c r="AQ234"/>
  <c r="AM234"/>
  <c r="AS233"/>
  <c r="AQ233"/>
  <c r="AS232"/>
  <c r="AQ232"/>
  <c r="AS231"/>
  <c r="AQ231"/>
  <c r="AM231"/>
  <c r="AM243" s="1"/>
  <c r="AS230"/>
  <c r="AQ230"/>
  <c r="AM239"/>
  <c r="AS229"/>
  <c r="AQ229"/>
  <c r="AU228"/>
  <c r="AR228"/>
  <c r="AP228"/>
  <c r="AS227"/>
  <c r="AQ227"/>
  <c r="AS226"/>
  <c r="AQ226"/>
  <c r="AS225"/>
  <c r="AQ225"/>
  <c r="AS224"/>
  <c r="AQ224"/>
  <c r="AS223"/>
  <c r="AQ223"/>
  <c r="AS222"/>
  <c r="AQ222"/>
  <c r="AS221"/>
  <c r="AQ221"/>
  <c r="AS220"/>
  <c r="AQ220"/>
  <c r="AS219"/>
  <c r="AQ219"/>
  <c r="AS218"/>
  <c r="AQ218"/>
  <c r="AS217"/>
  <c r="AQ217"/>
  <c r="AS216"/>
  <c r="AQ216"/>
  <c r="AS215"/>
  <c r="AQ215"/>
  <c r="AS214"/>
  <c r="AQ214"/>
  <c r="AS213"/>
  <c r="AQ213"/>
  <c r="AS212"/>
  <c r="AQ212"/>
  <c r="AS211"/>
  <c r="AQ211"/>
  <c r="AS210"/>
  <c r="AQ210"/>
  <c r="AS209"/>
  <c r="AQ209"/>
  <c r="AM209"/>
  <c r="AM212" s="1"/>
  <c r="AS208"/>
  <c r="AQ208"/>
  <c r="AS207"/>
  <c r="AQ207"/>
  <c r="AS206"/>
  <c r="AQ206"/>
  <c r="AM206"/>
  <c r="AS205"/>
  <c r="AQ205"/>
  <c r="AM214"/>
  <c r="AS204"/>
  <c r="AQ204"/>
  <c r="AU203"/>
  <c r="AR203"/>
  <c r="AP203"/>
  <c r="AS202"/>
  <c r="AQ202"/>
  <c r="AS201"/>
  <c r="AQ201"/>
  <c r="AS200"/>
  <c r="AQ200"/>
  <c r="AS199"/>
  <c r="AQ199"/>
  <c r="AS198"/>
  <c r="AQ198"/>
  <c r="AS197"/>
  <c r="AQ197"/>
  <c r="AS196"/>
  <c r="AQ196"/>
  <c r="AS195"/>
  <c r="AQ195"/>
  <c r="AS194"/>
  <c r="AQ194"/>
  <c r="AS193"/>
  <c r="AQ193"/>
  <c r="AS192"/>
  <c r="AQ192"/>
  <c r="AS191"/>
  <c r="AQ191"/>
  <c r="AS190"/>
  <c r="AQ190"/>
  <c r="AS189"/>
  <c r="AQ189"/>
  <c r="AS188"/>
  <c r="AQ188"/>
  <c r="AS187"/>
  <c r="AQ187"/>
  <c r="AS186"/>
  <c r="AQ186"/>
  <c r="AS185"/>
  <c r="AQ185"/>
  <c r="AS184"/>
  <c r="AQ184"/>
  <c r="AM184"/>
  <c r="AS183"/>
  <c r="AQ183"/>
  <c r="AS182"/>
  <c r="AQ182"/>
  <c r="AS181"/>
  <c r="AQ181"/>
  <c r="AM181"/>
  <c r="AM193" s="1"/>
  <c r="AS180"/>
  <c r="AQ180"/>
  <c r="AM189"/>
  <c r="AS179"/>
  <c r="AQ179"/>
  <c r="AU178"/>
  <c r="AR178"/>
  <c r="AP178"/>
  <c r="AS177"/>
  <c r="AQ177"/>
  <c r="AS176"/>
  <c r="AQ176"/>
  <c r="AS175"/>
  <c r="AQ175"/>
  <c r="AS174"/>
  <c r="AQ174"/>
  <c r="AS173"/>
  <c r="AQ173"/>
  <c r="AS172"/>
  <c r="AQ172"/>
  <c r="AS171"/>
  <c r="AQ171"/>
  <c r="AS170"/>
  <c r="AQ170"/>
  <c r="AS169"/>
  <c r="AQ169"/>
  <c r="AS168"/>
  <c r="AQ168"/>
  <c r="AS167"/>
  <c r="AQ167"/>
  <c r="AS166"/>
  <c r="AQ166"/>
  <c r="AS165"/>
  <c r="AQ165"/>
  <c r="AS164"/>
  <c r="AQ164"/>
  <c r="AS163"/>
  <c r="AQ163"/>
  <c r="AS162"/>
  <c r="AQ162"/>
  <c r="AS161"/>
  <c r="AQ161"/>
  <c r="AS160"/>
  <c r="AQ160"/>
  <c r="AS159"/>
  <c r="AQ159"/>
  <c r="AM159"/>
  <c r="AM162" s="1"/>
  <c r="AS158"/>
  <c r="AQ158"/>
  <c r="AS157"/>
  <c r="AQ157"/>
  <c r="AS156"/>
  <c r="AQ156"/>
  <c r="AM156"/>
  <c r="AS155"/>
  <c r="AQ155"/>
  <c r="AM164"/>
  <c r="AS154"/>
  <c r="AQ154"/>
  <c r="AU153"/>
  <c r="AR153"/>
  <c r="AP153"/>
  <c r="AS152"/>
  <c r="AQ152"/>
  <c r="AS151"/>
  <c r="AQ151"/>
  <c r="AS150"/>
  <c r="AQ150"/>
  <c r="AS149"/>
  <c r="AQ149"/>
  <c r="AS148"/>
  <c r="AQ148"/>
  <c r="AS147"/>
  <c r="AQ147"/>
  <c r="AS146"/>
  <c r="AQ146"/>
  <c r="AS145"/>
  <c r="AQ145"/>
  <c r="AS144"/>
  <c r="AQ144"/>
  <c r="AS143"/>
  <c r="AQ143"/>
  <c r="AS142"/>
  <c r="AQ142"/>
  <c r="AS141"/>
  <c r="AQ141"/>
  <c r="AS140"/>
  <c r="AQ140"/>
  <c r="AS139"/>
  <c r="AQ139"/>
  <c r="AS138"/>
  <c r="AQ138"/>
  <c r="AS137"/>
  <c r="AQ137"/>
  <c r="AS136"/>
  <c r="AQ136"/>
  <c r="AS135"/>
  <c r="AQ135"/>
  <c r="AS134"/>
  <c r="AQ134"/>
  <c r="AM134"/>
  <c r="AS133"/>
  <c r="AQ133"/>
  <c r="AS132"/>
  <c r="AQ132"/>
  <c r="AS131"/>
  <c r="AQ131"/>
  <c r="AM131"/>
  <c r="AM143" s="1"/>
  <c r="AS130"/>
  <c r="AQ130"/>
  <c r="AM139"/>
  <c r="AS129"/>
  <c r="AQ129"/>
  <c r="AU128"/>
  <c r="AR128"/>
  <c r="AP128"/>
  <c r="AS127"/>
  <c r="AQ127"/>
  <c r="AS126"/>
  <c r="AQ126"/>
  <c r="AS125"/>
  <c r="AQ125"/>
  <c r="AS124"/>
  <c r="AQ124"/>
  <c r="AS123"/>
  <c r="AQ123"/>
  <c r="AS122"/>
  <c r="AQ122"/>
  <c r="AS121"/>
  <c r="AQ121"/>
  <c r="AS120"/>
  <c r="AQ120"/>
  <c r="AS119"/>
  <c r="AQ119"/>
  <c r="AS118"/>
  <c r="AQ118"/>
  <c r="AS117"/>
  <c r="AQ117"/>
  <c r="AS116"/>
  <c r="AQ116"/>
  <c r="AS115"/>
  <c r="AQ115"/>
  <c r="AS114"/>
  <c r="AQ114"/>
  <c r="AS113"/>
  <c r="AQ113"/>
  <c r="AS112"/>
  <c r="AQ112"/>
  <c r="AS111"/>
  <c r="AQ111"/>
  <c r="AS110"/>
  <c r="AQ110"/>
  <c r="AS109"/>
  <c r="AQ109"/>
  <c r="AM109"/>
  <c r="AM112" s="1"/>
  <c r="AS108"/>
  <c r="AQ108"/>
  <c r="AS107"/>
  <c r="AQ107"/>
  <c r="AS106"/>
  <c r="AQ106"/>
  <c r="AM106"/>
  <c r="AS105"/>
  <c r="AQ105"/>
  <c r="AM114"/>
  <c r="AS104"/>
  <c r="AQ104"/>
  <c r="AU103"/>
  <c r="AR103"/>
  <c r="AP103"/>
  <c r="AS102"/>
  <c r="AQ102"/>
  <c r="AS101"/>
  <c r="AQ101"/>
  <c r="AS100"/>
  <c r="AQ100"/>
  <c r="AS99"/>
  <c r="AQ99"/>
  <c r="AS98"/>
  <c r="AQ98"/>
  <c r="AS97"/>
  <c r="AQ97"/>
  <c r="AS96"/>
  <c r="AQ96"/>
  <c r="AS95"/>
  <c r="AQ95"/>
  <c r="AS94"/>
  <c r="AQ94"/>
  <c r="AS93"/>
  <c r="AQ93"/>
  <c r="AS92"/>
  <c r="AQ92"/>
  <c r="AS91"/>
  <c r="AQ91"/>
  <c r="AS90"/>
  <c r="AQ90"/>
  <c r="AS89"/>
  <c r="AQ89"/>
  <c r="AS88"/>
  <c r="AQ88"/>
  <c r="AS87"/>
  <c r="AQ87"/>
  <c r="AS86"/>
  <c r="AQ86"/>
  <c r="AS85"/>
  <c r="AQ85"/>
  <c r="AS84"/>
  <c r="AQ84"/>
  <c r="AM84"/>
  <c r="AS83"/>
  <c r="AQ83"/>
  <c r="AS82"/>
  <c r="AQ82"/>
  <c r="AS81"/>
  <c r="AQ81"/>
  <c r="AM81"/>
  <c r="AM93" s="1"/>
  <c r="AS80"/>
  <c r="AQ80"/>
  <c r="AM89"/>
  <c r="AS79"/>
  <c r="AS78" s="1"/>
  <c r="AQ79"/>
  <c r="AU78"/>
  <c r="AR78"/>
  <c r="AP78"/>
  <c r="AS77"/>
  <c r="AQ77"/>
  <c r="AS76"/>
  <c r="AQ76"/>
  <c r="AS75"/>
  <c r="AQ75"/>
  <c r="AS74"/>
  <c r="AQ74"/>
  <c r="AS73"/>
  <c r="AQ73"/>
  <c r="AS72"/>
  <c r="AQ72"/>
  <c r="AS71"/>
  <c r="AQ71"/>
  <c r="AS70"/>
  <c r="AQ70"/>
  <c r="AS69"/>
  <c r="AQ69"/>
  <c r="AS68"/>
  <c r="AQ68"/>
  <c r="AS67"/>
  <c r="AQ67"/>
  <c r="AS66"/>
  <c r="AQ66"/>
  <c r="AS65"/>
  <c r="AQ65"/>
  <c r="AS64"/>
  <c r="AQ64"/>
  <c r="AS63"/>
  <c r="AQ63"/>
  <c r="AS62"/>
  <c r="AQ62"/>
  <c r="AS61"/>
  <c r="AQ61"/>
  <c r="AS60"/>
  <c r="AQ60"/>
  <c r="AS59"/>
  <c r="AQ59"/>
  <c r="AM59"/>
  <c r="AM62" s="1"/>
  <c r="AS58"/>
  <c r="AQ58"/>
  <c r="AS57"/>
  <c r="AQ57"/>
  <c r="AS56"/>
  <c r="AQ56"/>
  <c r="AM56"/>
  <c r="AS55"/>
  <c r="AQ55"/>
  <c r="AS54"/>
  <c r="AQ54"/>
  <c r="AU53"/>
  <c r="AR53"/>
  <c r="AP53"/>
  <c r="AS52"/>
  <c r="AQ52"/>
  <c r="AS51"/>
  <c r="AQ51"/>
  <c r="AS50"/>
  <c r="AQ50"/>
  <c r="AS49"/>
  <c r="AQ49"/>
  <c r="AS48"/>
  <c r="AQ48"/>
  <c r="AS47"/>
  <c r="AQ47"/>
  <c r="AS46"/>
  <c r="AQ46"/>
  <c r="AS45"/>
  <c r="AQ45"/>
  <c r="AS44"/>
  <c r="AQ44"/>
  <c r="AS43"/>
  <c r="AQ43"/>
  <c r="AS42"/>
  <c r="AQ42"/>
  <c r="AS41"/>
  <c r="AQ41"/>
  <c r="AS40"/>
  <c r="AQ40"/>
  <c r="AS39"/>
  <c r="AQ39"/>
  <c r="AS38"/>
  <c r="AQ38"/>
  <c r="AS37"/>
  <c r="AQ37"/>
  <c r="AS36"/>
  <c r="AQ36"/>
  <c r="AS35"/>
  <c r="AQ35"/>
  <c r="AS34"/>
  <c r="AQ34"/>
  <c r="AM34"/>
  <c r="AS33"/>
  <c r="AQ33"/>
  <c r="AS32"/>
  <c r="AQ32"/>
  <c r="AS31"/>
  <c r="AQ31"/>
  <c r="AM31"/>
  <c r="AM43" s="1"/>
  <c r="AS30"/>
  <c r="AQ30"/>
  <c r="AS29"/>
  <c r="AQ29"/>
  <c r="AU28"/>
  <c r="AR28"/>
  <c r="AP28"/>
  <c r="AS27"/>
  <c r="AQ27"/>
  <c r="AS26"/>
  <c r="AQ26"/>
  <c r="AS25"/>
  <c r="AQ25"/>
  <c r="AS24"/>
  <c r="AQ24"/>
  <c r="AS23"/>
  <c r="AQ23"/>
  <c r="AS22"/>
  <c r="AQ22"/>
  <c r="AS21"/>
  <c r="AQ21"/>
  <c r="AS20"/>
  <c r="AQ20"/>
  <c r="AS19"/>
  <c r="AQ19"/>
  <c r="AS18"/>
  <c r="AQ18"/>
  <c r="AS17"/>
  <c r="AQ17"/>
  <c r="AS16"/>
  <c r="AQ16"/>
  <c r="AS15"/>
  <c r="AQ15"/>
  <c r="AS14"/>
  <c r="AQ14"/>
  <c r="AS13"/>
  <c r="AQ13"/>
  <c r="AS12"/>
  <c r="AQ12"/>
  <c r="AS11"/>
  <c r="AQ11"/>
  <c r="AS10"/>
  <c r="AQ10"/>
  <c r="AS9"/>
  <c r="AQ9"/>
  <c r="AM9"/>
  <c r="AM12" s="1"/>
  <c r="AS8"/>
  <c r="AQ8"/>
  <c r="AS7"/>
  <c r="AQ7"/>
  <c r="AS6"/>
  <c r="AQ6"/>
  <c r="AM6"/>
  <c r="AS5"/>
  <c r="AQ5"/>
  <c r="AM14"/>
  <c r="AS4"/>
  <c r="AS3" s="1"/>
  <c r="AQ4"/>
  <c r="AU3"/>
  <c r="AR3"/>
  <c r="AP3"/>
  <c r="AN2"/>
  <c r="E43" i="1"/>
  <c r="F5" i="21"/>
  <c r="K5"/>
  <c r="O5"/>
  <c r="P5" s="1"/>
  <c r="F6"/>
  <c r="K6"/>
  <c r="O6"/>
  <c r="F7"/>
  <c r="K7"/>
  <c r="O7"/>
  <c r="F10"/>
  <c r="K10"/>
  <c r="O10"/>
  <c r="F11"/>
  <c r="K11"/>
  <c r="O11"/>
  <c r="P11" s="1"/>
  <c r="F12"/>
  <c r="K12"/>
  <c r="O12"/>
  <c r="F13"/>
  <c r="K13"/>
  <c r="O13"/>
  <c r="P13" s="1"/>
  <c r="F14"/>
  <c r="K14"/>
  <c r="O14"/>
  <c r="F15"/>
  <c r="K15"/>
  <c r="O15"/>
  <c r="F16"/>
  <c r="K16"/>
  <c r="O16"/>
  <c r="F17"/>
  <c r="K17"/>
  <c r="O17"/>
  <c r="F18"/>
  <c r="K18"/>
  <c r="K50" s="1"/>
  <c r="O18"/>
  <c r="F19"/>
  <c r="K19"/>
  <c r="O19"/>
  <c r="F20"/>
  <c r="K20"/>
  <c r="O20"/>
  <c r="F21"/>
  <c r="K21"/>
  <c r="O21"/>
  <c r="F22"/>
  <c r="K22"/>
  <c r="O22"/>
  <c r="F27"/>
  <c r="K27"/>
  <c r="N27"/>
  <c r="O27" s="1"/>
  <c r="F28"/>
  <c r="K28"/>
  <c r="N28"/>
  <c r="O28" s="1"/>
  <c r="F30"/>
  <c r="F31"/>
  <c r="F32"/>
  <c r="F33"/>
  <c r="F35"/>
  <c r="K35"/>
  <c r="N35"/>
  <c r="O35" s="1"/>
  <c r="F36"/>
  <c r="K36"/>
  <c r="N36"/>
  <c r="O36" s="1"/>
  <c r="F37"/>
  <c r="K37"/>
  <c r="O37"/>
  <c r="F38"/>
  <c r="K38"/>
  <c r="O38"/>
  <c r="F39"/>
  <c r="K39"/>
  <c r="O39"/>
  <c r="F40"/>
  <c r="K40"/>
  <c r="O40"/>
  <c r="F41"/>
  <c r="K41"/>
  <c r="O41"/>
  <c r="F42"/>
  <c r="K42"/>
  <c r="O42"/>
  <c r="F43"/>
  <c r="F44"/>
  <c r="F46"/>
  <c r="K46"/>
  <c r="O46"/>
  <c r="F47"/>
  <c r="K47"/>
  <c r="O47"/>
  <c r="F48"/>
  <c r="K48"/>
  <c r="O48"/>
  <c r="F50"/>
  <c r="F54"/>
  <c r="K54"/>
  <c r="O54"/>
  <c r="F55"/>
  <c r="K55"/>
  <c r="K60" s="1"/>
  <c r="O55"/>
  <c r="F56"/>
  <c r="K56"/>
  <c r="O56"/>
  <c r="F57"/>
  <c r="K57"/>
  <c r="O57"/>
  <c r="F58"/>
  <c r="K58"/>
  <c r="O58"/>
  <c r="F59"/>
  <c r="K59"/>
  <c r="O59"/>
  <c r="F60"/>
  <c r="O60"/>
  <c r="F64"/>
  <c r="F65"/>
  <c r="F66"/>
  <c r="F67"/>
  <c r="F68"/>
  <c r="F69"/>
  <c r="F70"/>
  <c r="F71"/>
  <c r="F72" s="1"/>
  <c r="F4" i="20"/>
  <c r="Q4"/>
  <c r="U4"/>
  <c r="F5"/>
  <c r="I5"/>
  <c r="Q5"/>
  <c r="U5"/>
  <c r="F6"/>
  <c r="I6"/>
  <c r="Q6"/>
  <c r="U6"/>
  <c r="I7"/>
  <c r="Q7"/>
  <c r="I8"/>
  <c r="Q8"/>
  <c r="U8"/>
  <c r="Q9"/>
  <c r="I10"/>
  <c r="Q10"/>
  <c r="I11"/>
  <c r="I12"/>
  <c r="I13"/>
  <c r="AD13"/>
  <c r="AH13"/>
  <c r="AI13"/>
  <c r="AJ13"/>
  <c r="AK13"/>
  <c r="AL13"/>
  <c r="AM13"/>
  <c r="AO13"/>
  <c r="AP13"/>
  <c r="AQ13"/>
  <c r="AR13"/>
  <c r="AS13"/>
  <c r="AT13"/>
  <c r="AU13"/>
  <c r="AV13"/>
  <c r="Q14"/>
  <c r="Q15"/>
  <c r="K14" s="1"/>
  <c r="AD15"/>
  <c r="X16"/>
  <c r="M17"/>
  <c r="O17"/>
  <c r="P17"/>
  <c r="X17"/>
  <c r="AD17"/>
  <c r="M18"/>
  <c r="P18" s="1"/>
  <c r="O18"/>
  <c r="X18"/>
  <c r="X19"/>
  <c r="X20"/>
  <c r="AD20"/>
  <c r="X21"/>
  <c r="AD22"/>
  <c r="CG23"/>
  <c r="CH23"/>
  <c r="U24"/>
  <c r="U7" s="1"/>
  <c r="X24"/>
  <c r="CG24"/>
  <c r="CH24"/>
  <c r="E43"/>
  <c r="G43" s="1"/>
  <c r="X25"/>
  <c r="CG25"/>
  <c r="CH25"/>
  <c r="E44"/>
  <c r="G44" s="1"/>
  <c r="X26"/>
  <c r="CG26"/>
  <c r="CH26"/>
  <c r="E45"/>
  <c r="G45" s="1"/>
  <c r="X27"/>
  <c r="CG27"/>
  <c r="CH27"/>
  <c r="E46"/>
  <c r="G46" s="1"/>
  <c r="X28"/>
  <c r="CG28"/>
  <c r="CH28"/>
  <c r="E47"/>
  <c r="G47" s="1"/>
  <c r="X29"/>
  <c r="BM29"/>
  <c r="BN29"/>
  <c r="BO29"/>
  <c r="BP29"/>
  <c r="BQ29"/>
  <c r="BR29"/>
  <c r="BS29"/>
  <c r="CG29"/>
  <c r="CH29"/>
  <c r="BM30"/>
  <c r="BN30"/>
  <c r="BO30"/>
  <c r="BP30"/>
  <c r="BQ30"/>
  <c r="BR30"/>
  <c r="BS30"/>
  <c r="CG30"/>
  <c r="CH30"/>
  <c r="I49"/>
  <c r="D4" s="1"/>
  <c r="AN31"/>
  <c r="AN13" s="1"/>
  <c r="BM31"/>
  <c r="BN31"/>
  <c r="BO31"/>
  <c r="BP31"/>
  <c r="BQ31"/>
  <c r="BR31"/>
  <c r="BS31"/>
  <c r="CG31"/>
  <c r="CH31"/>
  <c r="BK32"/>
  <c r="BL32"/>
  <c r="BM32"/>
  <c r="BN32"/>
  <c r="BO32"/>
  <c r="BP32"/>
  <c r="BQ32"/>
  <c r="BR32"/>
  <c r="BS32"/>
  <c r="CG32"/>
  <c r="CH32"/>
  <c r="AV33"/>
  <c r="AW33"/>
  <c r="AW13" s="1"/>
  <c r="AX33"/>
  <c r="AY33"/>
  <c r="BK33"/>
  <c r="BL33"/>
  <c r="BM33"/>
  <c r="BN33"/>
  <c r="BO33"/>
  <c r="BP33"/>
  <c r="BQ33"/>
  <c r="BR33"/>
  <c r="BS33"/>
  <c r="CG33"/>
  <c r="CH33"/>
  <c r="E52"/>
  <c r="H52" s="1"/>
  <c r="AV34"/>
  <c r="AW34"/>
  <c r="AX34"/>
  <c r="AY34"/>
  <c r="BK34"/>
  <c r="BL34"/>
  <c r="BM34"/>
  <c r="BN34"/>
  <c r="BO34"/>
  <c r="BP34"/>
  <c r="BQ34"/>
  <c r="BR34"/>
  <c r="BS34"/>
  <c r="CG34"/>
  <c r="CH34"/>
  <c r="E53"/>
  <c r="G53" s="1"/>
  <c r="AV35"/>
  <c r="AW35"/>
  <c r="AX35"/>
  <c r="AY35"/>
  <c r="BK35"/>
  <c r="BL35"/>
  <c r="BM35"/>
  <c r="BN35"/>
  <c r="BO35"/>
  <c r="BP35"/>
  <c r="BQ35"/>
  <c r="BR35"/>
  <c r="BS35"/>
  <c r="CG35"/>
  <c r="CH35"/>
  <c r="E54"/>
  <c r="G54" s="1"/>
  <c r="AV36"/>
  <c r="AW36"/>
  <c r="AX36"/>
  <c r="AY36"/>
  <c r="BK36"/>
  <c r="BL36"/>
  <c r="BM36"/>
  <c r="BN36"/>
  <c r="BO36"/>
  <c r="BP36"/>
  <c r="BQ36"/>
  <c r="BR36"/>
  <c r="BS36"/>
  <c r="CG36"/>
  <c r="CH36"/>
  <c r="E55"/>
  <c r="G55" s="1"/>
  <c r="AV37"/>
  <c r="AW37"/>
  <c r="AX37"/>
  <c r="AY37"/>
  <c r="BJ37"/>
  <c r="BK37"/>
  <c r="BL37"/>
  <c r="BM37"/>
  <c r="BN37"/>
  <c r="BO37"/>
  <c r="BP37"/>
  <c r="BQ37"/>
  <c r="BR37"/>
  <c r="BS37"/>
  <c r="E56"/>
  <c r="G56" s="1"/>
  <c r="AV38"/>
  <c r="AW38"/>
  <c r="AX38"/>
  <c r="AY38"/>
  <c r="AZ38"/>
  <c r="BA38"/>
  <c r="BJ38"/>
  <c r="BK38"/>
  <c r="BL38"/>
  <c r="BM38"/>
  <c r="BN38"/>
  <c r="BO38"/>
  <c r="BP38"/>
  <c r="BQ38"/>
  <c r="BR38"/>
  <c r="BS38"/>
  <c r="G57"/>
  <c r="AV39"/>
  <c r="AW39"/>
  <c r="AX39"/>
  <c r="AY39"/>
  <c r="AZ39"/>
  <c r="BA39"/>
  <c r="BJ39"/>
  <c r="BK39"/>
  <c r="BL39"/>
  <c r="BM39"/>
  <c r="BN39"/>
  <c r="BO39"/>
  <c r="BP39"/>
  <c r="BQ39"/>
  <c r="BR39"/>
  <c r="BS39"/>
  <c r="AV40"/>
  <c r="AW40"/>
  <c r="AX40"/>
  <c r="AY40"/>
  <c r="AZ40"/>
  <c r="BA40"/>
  <c r="BC40"/>
  <c r="BJ40"/>
  <c r="BK40"/>
  <c r="BL40"/>
  <c r="BM40"/>
  <c r="BN40"/>
  <c r="BO40"/>
  <c r="BP40"/>
  <c r="BQ40"/>
  <c r="BR40"/>
  <c r="BS40"/>
  <c r="AV41"/>
  <c r="AW41"/>
  <c r="AX41"/>
  <c r="AY41"/>
  <c r="AZ41"/>
  <c r="BC41"/>
  <c r="BJ41"/>
  <c r="BK41"/>
  <c r="BL41"/>
  <c r="BM41"/>
  <c r="BN41"/>
  <c r="BO41"/>
  <c r="BP41"/>
  <c r="BQ41"/>
  <c r="BR41"/>
  <c r="BS41"/>
  <c r="E60"/>
  <c r="H60" s="1"/>
  <c r="AV42"/>
  <c r="AW42"/>
  <c r="AX42"/>
  <c r="AY42"/>
  <c r="BA42"/>
  <c r="BB42"/>
  <c r="BC42"/>
  <c r="BJ42"/>
  <c r="BK42"/>
  <c r="BL42"/>
  <c r="BM42"/>
  <c r="BN42"/>
  <c r="BO42"/>
  <c r="BP42"/>
  <c r="BQ42"/>
  <c r="BR42"/>
  <c r="BS42"/>
  <c r="E61"/>
  <c r="G61"/>
  <c r="H61"/>
  <c r="AV43"/>
  <c r="AW43"/>
  <c r="AX43"/>
  <c r="AY43"/>
  <c r="AZ43"/>
  <c r="BB43"/>
  <c r="BC43"/>
  <c r="BJ43"/>
  <c r="BK43"/>
  <c r="BL43"/>
  <c r="BM43"/>
  <c r="BN43"/>
  <c r="BO43"/>
  <c r="BP43"/>
  <c r="BQ43"/>
  <c r="BR43"/>
  <c r="BS43"/>
  <c r="E62"/>
  <c r="G62"/>
  <c r="H62"/>
  <c r="AV44"/>
  <c r="AW44"/>
  <c r="AX44"/>
  <c r="AY44"/>
  <c r="AZ44"/>
  <c r="BB44"/>
  <c r="BC44"/>
  <c r="BJ44"/>
  <c r="BK44"/>
  <c r="BL44"/>
  <c r="BM44"/>
  <c r="BN44"/>
  <c r="BO44"/>
  <c r="BP44"/>
  <c r="BQ44"/>
  <c r="BR44"/>
  <c r="BS44"/>
  <c r="E63"/>
  <c r="G63"/>
  <c r="H63"/>
  <c r="AV45"/>
  <c r="AW45"/>
  <c r="AX45"/>
  <c r="AY45"/>
  <c r="AZ45"/>
  <c r="BA45"/>
  <c r="BC45"/>
  <c r="BJ45"/>
  <c r="BK45"/>
  <c r="BL45"/>
  <c r="BM45"/>
  <c r="BN45"/>
  <c r="BO45"/>
  <c r="BP45"/>
  <c r="BQ45"/>
  <c r="BR45"/>
  <c r="BS45"/>
  <c r="E64"/>
  <c r="G64"/>
  <c r="H64"/>
  <c r="AV46"/>
  <c r="AW46"/>
  <c r="AX46"/>
  <c r="AY46"/>
  <c r="AZ46"/>
  <c r="BA46"/>
  <c r="BC46"/>
  <c r="BJ46"/>
  <c r="BK46"/>
  <c r="BL46"/>
  <c r="BM46"/>
  <c r="BN46"/>
  <c r="BO46"/>
  <c r="BP46"/>
  <c r="BQ46"/>
  <c r="BR46"/>
  <c r="BS46"/>
  <c r="E65"/>
  <c r="H65" s="1"/>
  <c r="G65"/>
  <c r="AV47"/>
  <c r="AW47"/>
  <c r="AX47"/>
  <c r="AY47"/>
  <c r="AZ47"/>
  <c r="BA47"/>
  <c r="BC47"/>
  <c r="BJ47"/>
  <c r="BK47"/>
  <c r="BL47"/>
  <c r="BM47"/>
  <c r="BN47"/>
  <c r="BO47"/>
  <c r="BP47"/>
  <c r="BQ47"/>
  <c r="BR47"/>
  <c r="BS47"/>
  <c r="E66"/>
  <c r="G66"/>
  <c r="H66"/>
  <c r="AV48"/>
  <c r="AW48"/>
  <c r="AX48"/>
  <c r="AY48"/>
  <c r="AZ48"/>
  <c r="BA48"/>
  <c r="BB48"/>
  <c r="BD48"/>
  <c r="BJ48"/>
  <c r="BK48"/>
  <c r="BL48"/>
  <c r="BM48"/>
  <c r="BN48"/>
  <c r="BO48"/>
  <c r="BP48"/>
  <c r="BQ48"/>
  <c r="BR48"/>
  <c r="BS48"/>
  <c r="E67"/>
  <c r="G67"/>
  <c r="H67"/>
  <c r="BD49"/>
  <c r="BJ49"/>
  <c r="BK49"/>
  <c r="BL49"/>
  <c r="BM49"/>
  <c r="BN49"/>
  <c r="BO49"/>
  <c r="BP49"/>
  <c r="BQ49"/>
  <c r="BR49"/>
  <c r="BS49"/>
  <c r="E68"/>
  <c r="H68" s="1"/>
  <c r="G68"/>
  <c r="BE50"/>
  <c r="BJ50"/>
  <c r="BK50"/>
  <c r="BL50"/>
  <c r="BM50"/>
  <c r="BN50"/>
  <c r="BO50"/>
  <c r="BP50"/>
  <c r="BQ50"/>
  <c r="BR50"/>
  <c r="BS50"/>
  <c r="E69"/>
  <c r="G69"/>
  <c r="H69"/>
  <c r="BE51"/>
  <c r="BJ51"/>
  <c r="BK51"/>
  <c r="BL51"/>
  <c r="BM51"/>
  <c r="BN51"/>
  <c r="BO51"/>
  <c r="BP51"/>
  <c r="BQ51"/>
  <c r="BR51"/>
  <c r="BS51"/>
  <c r="E70"/>
  <c r="H70" s="1"/>
  <c r="G70"/>
  <c r="BF52"/>
  <c r="BJ52"/>
  <c r="BK52"/>
  <c r="BL52"/>
  <c r="BM52"/>
  <c r="BN52"/>
  <c r="BO52"/>
  <c r="BP52"/>
  <c r="BQ52"/>
  <c r="BR52"/>
  <c r="BS52"/>
  <c r="BF53"/>
  <c r="BJ53"/>
  <c r="BK53"/>
  <c r="BL53"/>
  <c r="BM53"/>
  <c r="BN53"/>
  <c r="BO53"/>
  <c r="BP53"/>
  <c r="BQ53"/>
  <c r="BR53"/>
  <c r="BS53"/>
  <c r="BF54"/>
  <c r="BH54"/>
  <c r="BJ54"/>
  <c r="BK54"/>
  <c r="BL54"/>
  <c r="BM54"/>
  <c r="BN54"/>
  <c r="BO54"/>
  <c r="BP54"/>
  <c r="BQ54"/>
  <c r="BR54"/>
  <c r="CG54"/>
  <c r="CH54"/>
  <c r="D73"/>
  <c r="D72" s="1"/>
  <c r="AC55"/>
  <c r="BG55"/>
  <c r="BH55"/>
  <c r="BJ55"/>
  <c r="BK55"/>
  <c r="BL55"/>
  <c r="BM55"/>
  <c r="BN55"/>
  <c r="BO55"/>
  <c r="BP55"/>
  <c r="BQ55"/>
  <c r="BR55"/>
  <c r="BS55"/>
  <c r="CG55"/>
  <c r="CH55"/>
  <c r="E74"/>
  <c r="H74" s="1"/>
  <c r="G74"/>
  <c r="AC56"/>
  <c r="BG56"/>
  <c r="BH56"/>
  <c r="BJ56"/>
  <c r="BK56"/>
  <c r="BL56"/>
  <c r="BM56"/>
  <c r="BN56"/>
  <c r="BO56"/>
  <c r="BP56"/>
  <c r="BQ56"/>
  <c r="BR56"/>
  <c r="BS56"/>
  <c r="CG56"/>
  <c r="CH56"/>
  <c r="E75"/>
  <c r="G75"/>
  <c r="H75"/>
  <c r="AC57"/>
  <c r="BI57"/>
  <c r="BJ57"/>
  <c r="BK57"/>
  <c r="BL57"/>
  <c r="BM57"/>
  <c r="BN57"/>
  <c r="BO57"/>
  <c r="BP57"/>
  <c r="BQ57"/>
  <c r="BR57"/>
  <c r="BS57"/>
  <c r="CG57"/>
  <c r="CH57"/>
  <c r="E76"/>
  <c r="G76"/>
  <c r="H76"/>
  <c r="AC58"/>
  <c r="BI58"/>
  <c r="BJ58"/>
  <c r="BK58"/>
  <c r="BL58"/>
  <c r="BN58"/>
  <c r="BO58"/>
  <c r="BP58"/>
  <c r="BQ58"/>
  <c r="BR58"/>
  <c r="BS58"/>
  <c r="BZ58"/>
  <c r="CG58"/>
  <c r="CH58"/>
  <c r="E77"/>
  <c r="H77" s="1"/>
  <c r="G77"/>
  <c r="AC59"/>
  <c r="BJ59"/>
  <c r="BK59"/>
  <c r="BL59"/>
  <c r="BM59"/>
  <c r="BN59"/>
  <c r="BO59"/>
  <c r="BP59"/>
  <c r="BQ59"/>
  <c r="BR59"/>
  <c r="BS59"/>
  <c r="CG59"/>
  <c r="CH59"/>
  <c r="E78"/>
  <c r="H78" s="1"/>
  <c r="G78"/>
  <c r="AC60"/>
  <c r="BJ60"/>
  <c r="BK60"/>
  <c r="BL60"/>
  <c r="BM60"/>
  <c r="BN60"/>
  <c r="BO60"/>
  <c r="BP60"/>
  <c r="BQ60"/>
  <c r="BR60"/>
  <c r="BS60"/>
  <c r="CG60"/>
  <c r="CH60"/>
  <c r="AC61"/>
  <c r="BJ61"/>
  <c r="BK61"/>
  <c r="BL61"/>
  <c r="BM61"/>
  <c r="BN61"/>
  <c r="BO61"/>
  <c r="BP61"/>
  <c r="BQ61"/>
  <c r="BS61"/>
  <c r="BT61"/>
  <c r="E80"/>
  <c r="G80"/>
  <c r="H80"/>
  <c r="AC62"/>
  <c r="BJ62"/>
  <c r="BK62"/>
  <c r="BL62"/>
  <c r="BM62"/>
  <c r="BN62"/>
  <c r="BO62"/>
  <c r="BP62"/>
  <c r="BQ62"/>
  <c r="BS62"/>
  <c r="BT62"/>
  <c r="BX62"/>
  <c r="CF62"/>
  <c r="E81"/>
  <c r="G81"/>
  <c r="H81"/>
  <c r="AC63"/>
  <c r="BJ63"/>
  <c r="BK63"/>
  <c r="BL63"/>
  <c r="BM63"/>
  <c r="BN63"/>
  <c r="BO63"/>
  <c r="BP63"/>
  <c r="BQ63"/>
  <c r="BR63"/>
  <c r="BS63"/>
  <c r="BX63"/>
  <c r="CF63"/>
  <c r="E82"/>
  <c r="G82"/>
  <c r="H82"/>
  <c r="AC64"/>
  <c r="BJ64"/>
  <c r="BK64"/>
  <c r="BL64"/>
  <c r="BM64"/>
  <c r="BN64"/>
  <c r="BO64"/>
  <c r="BP64"/>
  <c r="BQ64"/>
  <c r="BR64"/>
  <c r="BT64"/>
  <c r="BU64"/>
  <c r="BX64"/>
  <c r="BZ64"/>
  <c r="CB64"/>
  <c r="CD64"/>
  <c r="CE64"/>
  <c r="CF64"/>
  <c r="E83"/>
  <c r="H83" s="1"/>
  <c r="G83"/>
  <c r="AC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G84"/>
  <c r="H84"/>
  <c r="AC66"/>
  <c r="BJ66"/>
  <c r="BK66"/>
  <c r="BL66"/>
  <c r="BM66"/>
  <c r="BN66"/>
  <c r="BO66"/>
  <c r="BP66"/>
  <c r="BQ66"/>
  <c r="BR66"/>
  <c r="BS66"/>
  <c r="BT66"/>
  <c r="BU66"/>
  <c r="BV66"/>
  <c r="BW66"/>
  <c r="BX66"/>
  <c r="BY66"/>
  <c r="BY67" s="1"/>
  <c r="BZ66"/>
  <c r="CA66"/>
  <c r="CB66"/>
  <c r="CC66"/>
  <c r="CD66"/>
  <c r="CE66"/>
  <c r="CE67" s="1"/>
  <c r="CF66"/>
  <c r="CF67" s="1"/>
  <c r="G85"/>
  <c r="H85"/>
  <c r="AC67"/>
  <c r="BJ67"/>
  <c r="BK67"/>
  <c r="BL67"/>
  <c r="CA67"/>
  <c r="G86"/>
  <c r="H86"/>
  <c r="AC68"/>
  <c r="BJ68"/>
  <c r="BK68"/>
  <c r="BL68"/>
  <c r="BQ68"/>
  <c r="BT68"/>
  <c r="BU68"/>
  <c r="BV68"/>
  <c r="BW68"/>
  <c r="BX68"/>
  <c r="BY68"/>
  <c r="CB68"/>
  <c r="CC68"/>
  <c r="G87"/>
  <c r="H87"/>
  <c r="AC69"/>
  <c r="BJ69"/>
  <c r="BK69"/>
  <c r="BL69"/>
  <c r="BQ69"/>
  <c r="BS69"/>
  <c r="BT69"/>
  <c r="BW69"/>
  <c r="BY69"/>
  <c r="CC69"/>
  <c r="G88"/>
  <c r="H88"/>
  <c r="AC70"/>
  <c r="BJ70"/>
  <c r="BM70"/>
  <c r="BN70"/>
  <c r="BO70"/>
  <c r="BP70"/>
  <c r="BQ70"/>
  <c r="BU70"/>
  <c r="BV70"/>
  <c r="BW70"/>
  <c r="BX70"/>
  <c r="CB70"/>
  <c r="G89"/>
  <c r="H89"/>
  <c r="AC71"/>
  <c r="BJ71"/>
  <c r="BR71"/>
  <c r="BS71"/>
  <c r="BT71"/>
  <c r="BV71"/>
  <c r="BW71"/>
  <c r="BX71"/>
  <c r="CA71"/>
  <c r="CB71"/>
  <c r="G90"/>
  <c r="H90"/>
  <c r="AC72"/>
  <c r="BJ72"/>
  <c r="BM72"/>
  <c r="BN72"/>
  <c r="BO72"/>
  <c r="BP72"/>
  <c r="BS72"/>
  <c r="BU72"/>
  <c r="BV72"/>
  <c r="BW72"/>
  <c r="G91"/>
  <c r="H91"/>
  <c r="AC73"/>
  <c r="BJ73"/>
  <c r="BK73"/>
  <c r="BL73"/>
  <c r="BM73"/>
  <c r="BN73"/>
  <c r="BO73"/>
  <c r="BP73"/>
  <c r="BR73"/>
  <c r="BT73"/>
  <c r="BU73"/>
  <c r="BV73"/>
  <c r="BW73"/>
  <c r="BZ73"/>
  <c r="CA73"/>
  <c r="AC74"/>
  <c r="BJ74"/>
  <c r="BM74"/>
  <c r="BN74"/>
  <c r="BO74"/>
  <c r="BP74"/>
  <c r="BR74"/>
  <c r="BS74"/>
  <c r="BU74"/>
  <c r="BV74"/>
  <c r="BW74"/>
  <c r="CA74"/>
  <c r="G93"/>
  <c r="H93"/>
  <c r="AC75"/>
  <c r="BK75"/>
  <c r="BL75"/>
  <c r="BQ75"/>
  <c r="BT75"/>
  <c r="BU75"/>
  <c r="BV75"/>
  <c r="BW75"/>
  <c r="BZ75"/>
  <c r="G94"/>
  <c r="H94"/>
  <c r="AC76"/>
  <c r="BK76"/>
  <c r="BL76"/>
  <c r="BR76"/>
  <c r="BS76"/>
  <c r="BT76"/>
  <c r="BU76"/>
  <c r="BV76"/>
  <c r="BW76"/>
  <c r="BY76"/>
  <c r="BZ76"/>
  <c r="AC77"/>
  <c r="BH77"/>
  <c r="BK77"/>
  <c r="BL77"/>
  <c r="BQ77"/>
  <c r="BT77"/>
  <c r="BU77"/>
  <c r="BV77"/>
  <c r="BW77"/>
  <c r="AC78"/>
  <c r="BC78"/>
  <c r="BD78"/>
  <c r="BE78"/>
  <c r="BH78"/>
  <c r="BI78"/>
  <c r="BJ78"/>
  <c r="BQ78"/>
  <c r="BR78"/>
  <c r="BS78"/>
  <c r="BT78"/>
  <c r="BU78"/>
  <c r="BV78"/>
  <c r="BX78"/>
  <c r="BY78"/>
  <c r="AC79"/>
  <c r="BM79"/>
  <c r="BN79"/>
  <c r="BO79"/>
  <c r="BP79"/>
  <c r="BS79"/>
  <c r="BT79"/>
  <c r="BU79"/>
  <c r="BV79"/>
  <c r="BY79"/>
  <c r="AC80"/>
  <c r="AV80"/>
  <c r="AW80"/>
  <c r="AX80"/>
  <c r="AY80"/>
  <c r="AZ80"/>
  <c r="BA80"/>
  <c r="BB80"/>
  <c r="BC80"/>
  <c r="BD80"/>
  <c r="BE80"/>
  <c r="BF80"/>
  <c r="BG80"/>
  <c r="BH80"/>
  <c r="BI80"/>
  <c r="BJ80"/>
  <c r="BQ80"/>
  <c r="BR80"/>
  <c r="BS80"/>
  <c r="BT80"/>
  <c r="BU80"/>
  <c r="BX80"/>
  <c r="AC81"/>
  <c r="BC81"/>
  <c r="BD81"/>
  <c r="BE81"/>
  <c r="BF81"/>
  <c r="BG81"/>
  <c r="BH81"/>
  <c r="BI81"/>
  <c r="BJ81"/>
  <c r="BM81"/>
  <c r="BN81"/>
  <c r="BO81"/>
  <c r="BP81"/>
  <c r="BR81"/>
  <c r="BS81"/>
  <c r="BT81"/>
  <c r="BU81"/>
  <c r="BX81"/>
  <c r="AC82"/>
  <c r="AV82"/>
  <c r="AW82"/>
  <c r="AX82"/>
  <c r="AY82"/>
  <c r="AZ82"/>
  <c r="BA82"/>
  <c r="BB82"/>
  <c r="BH82"/>
  <c r="BI82"/>
  <c r="BJ82"/>
  <c r="BK82"/>
  <c r="BL82"/>
  <c r="BM82"/>
  <c r="BN82"/>
  <c r="BO82"/>
  <c r="BP82"/>
  <c r="BQ82"/>
  <c r="BR82"/>
  <c r="BS82"/>
  <c r="BT82"/>
  <c r="BW82"/>
  <c r="AC83"/>
  <c r="AV83"/>
  <c r="AW83"/>
  <c r="AX83"/>
  <c r="AY83"/>
  <c r="AZ83"/>
  <c r="BA83"/>
  <c r="BB83"/>
  <c r="BC83"/>
  <c r="BD83"/>
  <c r="BE83"/>
  <c r="BF83"/>
  <c r="BG83"/>
  <c r="BR83"/>
  <c r="BS83"/>
  <c r="BT83"/>
  <c r="AC84"/>
  <c r="BC84"/>
  <c r="BD84"/>
  <c r="BE84"/>
  <c r="BF84"/>
  <c r="BG84"/>
  <c r="BK84"/>
  <c r="BL84"/>
  <c r="BM84"/>
  <c r="BN84"/>
  <c r="BO84"/>
  <c r="BP84"/>
  <c r="BQ84"/>
  <c r="BR84"/>
  <c r="BS84"/>
  <c r="BT84"/>
  <c r="BV84"/>
  <c r="BW84"/>
  <c r="AC85"/>
  <c r="AV85"/>
  <c r="AW85"/>
  <c r="AX85"/>
  <c r="AY85"/>
  <c r="AZ85"/>
  <c r="BA85"/>
  <c r="BB85"/>
  <c r="BC85"/>
  <c r="BD85"/>
  <c r="BE85"/>
  <c r="BF85"/>
  <c r="BG85"/>
  <c r="BK85"/>
  <c r="BL85"/>
  <c r="BQ85"/>
  <c r="BR85"/>
  <c r="BS85"/>
  <c r="BW85"/>
  <c r="AC86"/>
  <c r="AV86"/>
  <c r="AW86"/>
  <c r="AX86"/>
  <c r="AY86"/>
  <c r="AZ86"/>
  <c r="BA86"/>
  <c r="BB86"/>
  <c r="BM86"/>
  <c r="BN86"/>
  <c r="BO86"/>
  <c r="BP86"/>
  <c r="BQ86"/>
  <c r="BR86"/>
  <c r="BS86"/>
  <c r="BU86"/>
  <c r="BV86"/>
  <c r="BW86"/>
  <c r="AC87"/>
  <c r="AV87"/>
  <c r="AW87"/>
  <c r="AX87"/>
  <c r="AY87"/>
  <c r="AZ87"/>
  <c r="BA87"/>
  <c r="BB87"/>
  <c r="BH87"/>
  <c r="BI87"/>
  <c r="BJ87"/>
  <c r="BK87"/>
  <c r="BL87"/>
  <c r="BQ87"/>
  <c r="BR87"/>
  <c r="BS87"/>
  <c r="BV87"/>
  <c r="BW87"/>
  <c r="AC88"/>
  <c r="BM88"/>
  <c r="BN88"/>
  <c r="BO88"/>
  <c r="BP88"/>
  <c r="BQ88"/>
  <c r="BR88"/>
  <c r="BV88"/>
  <c r="BW88"/>
  <c r="AC89"/>
  <c r="BH89"/>
  <c r="BI89"/>
  <c r="BJ89"/>
  <c r="BK89"/>
  <c r="BL89"/>
  <c r="BM89"/>
  <c r="BN89"/>
  <c r="BO89"/>
  <c r="BP89"/>
  <c r="BQ89"/>
  <c r="BR89"/>
  <c r="BT89"/>
  <c r="BV89"/>
  <c r="AC90"/>
  <c r="BC90"/>
  <c r="BD90"/>
  <c r="BE90"/>
  <c r="BF90"/>
  <c r="BG90"/>
  <c r="BH90"/>
  <c r="BI90"/>
  <c r="BJ90"/>
  <c r="BM90"/>
  <c r="BN90"/>
  <c r="BO90"/>
  <c r="BP90"/>
  <c r="BQ90"/>
  <c r="BV90"/>
  <c r="AC91"/>
  <c r="BK91"/>
  <c r="BL91"/>
  <c r="BM91"/>
  <c r="BN91"/>
  <c r="BO91"/>
  <c r="BP91"/>
  <c r="BQ91"/>
  <c r="AC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AC93"/>
  <c r="BC93"/>
  <c r="BD93"/>
  <c r="BE93"/>
  <c r="BF93"/>
  <c r="BG93"/>
  <c r="BK93"/>
  <c r="BL93"/>
  <c r="BM93"/>
  <c r="BN93"/>
  <c r="BO93"/>
  <c r="BP93"/>
  <c r="BQ93"/>
  <c r="AC94"/>
  <c r="AV94"/>
  <c r="AW94"/>
  <c r="AX94"/>
  <c r="AY94"/>
  <c r="AZ94"/>
  <c r="BA94"/>
  <c r="BB94"/>
  <c r="BH94"/>
  <c r="BI94"/>
  <c r="BJ94"/>
  <c r="BK94"/>
  <c r="BL94"/>
  <c r="BM94"/>
  <c r="BN94"/>
  <c r="BO94"/>
  <c r="BP94"/>
  <c r="AC95"/>
  <c r="AV95"/>
  <c r="AW95"/>
  <c r="AX95"/>
  <c r="AY95"/>
  <c r="AZ95"/>
  <c r="BA95"/>
  <c r="BB95"/>
  <c r="BC95"/>
  <c r="BD95"/>
  <c r="BE95"/>
  <c r="BF95"/>
  <c r="BG95"/>
  <c r="BK95"/>
  <c r="BL95"/>
  <c r="BM95"/>
  <c r="BN95"/>
  <c r="BO95"/>
  <c r="BP95"/>
  <c r="AC96"/>
  <c r="BH96"/>
  <c r="BI96"/>
  <c r="BJ96"/>
  <c r="BK96"/>
  <c r="BL96"/>
  <c r="BM96"/>
  <c r="BN96"/>
  <c r="BO96"/>
  <c r="BP96"/>
  <c r="AC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AC98"/>
  <c r="BH98"/>
  <c r="BI98"/>
  <c r="BJ98"/>
  <c r="BK98"/>
  <c r="BL98"/>
  <c r="AC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AC100"/>
  <c r="BC100"/>
  <c r="BD100"/>
  <c r="BE100"/>
  <c r="BF100"/>
  <c r="BG100"/>
  <c r="BH100"/>
  <c r="BI100"/>
  <c r="BJ100"/>
  <c r="BK100"/>
  <c r="BL100"/>
  <c r="AC101"/>
  <c r="AV101"/>
  <c r="AW101"/>
  <c r="AX101"/>
  <c r="AY101"/>
  <c r="AZ101"/>
  <c r="BA101"/>
  <c r="BB101"/>
  <c r="BC101"/>
  <c r="BD101"/>
  <c r="BE101"/>
  <c r="BF101"/>
  <c r="BG101"/>
  <c r="BH101"/>
  <c r="BI101"/>
  <c r="BJ101"/>
  <c r="AC102"/>
  <c r="AV102"/>
  <c r="AW102"/>
  <c r="AX102"/>
  <c r="AY102"/>
  <c r="AZ102"/>
  <c r="BA102"/>
  <c r="BB102"/>
  <c r="BC102"/>
  <c r="BD102"/>
  <c r="BE102"/>
  <c r="BF102"/>
  <c r="BG102"/>
  <c r="BH102"/>
  <c r="BI102"/>
  <c r="BJ102"/>
  <c r="AC103"/>
  <c r="AV103"/>
  <c r="AW103"/>
  <c r="AX103"/>
  <c r="AY103"/>
  <c r="AZ103"/>
  <c r="BA103"/>
  <c r="BB103"/>
  <c r="BC103"/>
  <c r="BD103"/>
  <c r="BE103"/>
  <c r="BF103"/>
  <c r="BG103"/>
  <c r="BH103"/>
  <c r="BI103"/>
  <c r="BJ103"/>
  <c r="AC104"/>
  <c r="AV104"/>
  <c r="AW104"/>
  <c r="AX104"/>
  <c r="AY104"/>
  <c r="AZ104"/>
  <c r="BA104"/>
  <c r="BB104"/>
  <c r="BC104"/>
  <c r="BD104"/>
  <c r="BE104"/>
  <c r="BF104"/>
  <c r="BG104"/>
  <c r="BH104"/>
  <c r="BI104"/>
  <c r="BJ104"/>
  <c r="AC105"/>
  <c r="AV105"/>
  <c r="AW105"/>
  <c r="AX105"/>
  <c r="AY105"/>
  <c r="AZ105"/>
  <c r="BA105"/>
  <c r="BB105"/>
  <c r="BC105"/>
  <c r="BD105"/>
  <c r="BE105"/>
  <c r="BF105"/>
  <c r="BG105"/>
  <c r="BH105"/>
  <c r="BI105"/>
  <c r="BJ105"/>
  <c r="AC106"/>
  <c r="AV106"/>
  <c r="AW106"/>
  <c r="AX106"/>
  <c r="AY106"/>
  <c r="AZ106"/>
  <c r="BA106"/>
  <c r="BB106"/>
  <c r="BC106"/>
  <c r="BD106"/>
  <c r="BE106"/>
  <c r="BF106"/>
  <c r="BG106"/>
  <c r="AC107"/>
  <c r="AV107"/>
  <c r="AW107"/>
  <c r="AX107"/>
  <c r="AY107"/>
  <c r="AZ107"/>
  <c r="BA107"/>
  <c r="BB107"/>
  <c r="BC107"/>
  <c r="BD107"/>
  <c r="BE107"/>
  <c r="BF107"/>
  <c r="BG107"/>
  <c r="AC108"/>
  <c r="AV108"/>
  <c r="AW108"/>
  <c r="AX108"/>
  <c r="AY108"/>
  <c r="AZ108"/>
  <c r="BA108"/>
  <c r="BB108"/>
  <c r="BC108"/>
  <c r="BD108"/>
  <c r="BE108"/>
  <c r="BF108"/>
  <c r="BG108"/>
  <c r="AC109"/>
  <c r="AV109"/>
  <c r="AW109"/>
  <c r="AX109"/>
  <c r="AY109"/>
  <c r="AZ109"/>
  <c r="BA109"/>
  <c r="BB109"/>
  <c r="AC110"/>
  <c r="AV110"/>
  <c r="AW110"/>
  <c r="AX110"/>
  <c r="AY110"/>
  <c r="AZ110"/>
  <c r="BA110"/>
  <c r="BB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I166"/>
  <c r="I9" s="1"/>
  <c r="AC148"/>
  <c r="AC149"/>
  <c r="AC150"/>
  <c r="AC151"/>
  <c r="AC152"/>
  <c r="AC153"/>
  <c r="AC154"/>
  <c r="AC155"/>
  <c r="BI12" i="28" l="1"/>
  <c r="BM12" s="1"/>
  <c r="BN22"/>
  <c r="BL22" s="1"/>
  <c r="BM19"/>
  <c r="P196" i="27"/>
  <c r="N196"/>
  <c r="N189" s="1"/>
  <c r="BE37" i="28"/>
  <c r="BK12" s="1"/>
  <c r="BL12" s="1"/>
  <c r="E180" i="27"/>
  <c r="S116"/>
  <c r="S109" s="1"/>
  <c r="F155"/>
  <c r="AX5" i="28"/>
  <c r="BJ26" s="1"/>
  <c r="BK26" s="1"/>
  <c r="AZ5"/>
  <c r="Q155" i="27"/>
  <c r="Q148" s="1"/>
  <c r="BD37" i="28"/>
  <c r="BJ12" s="1"/>
  <c r="K155" i="27"/>
  <c r="H155"/>
  <c r="T155"/>
  <c r="E178"/>
  <c r="AN9" i="28"/>
  <c r="BM13"/>
  <c r="AN39"/>
  <c r="N155" i="27"/>
  <c r="R155"/>
  <c r="P155"/>
  <c r="AT42" i="28"/>
  <c r="AN8"/>
  <c r="BL25" s="1"/>
  <c r="H116" i="27"/>
  <c r="H109" s="1"/>
  <c r="T116"/>
  <c r="T109" s="1"/>
  <c r="BI10" i="28"/>
  <c r="BM10" s="1"/>
  <c r="AP8"/>
  <c r="BJ10" s="1"/>
  <c r="AQ12"/>
  <c r="AQ10"/>
  <c r="AQ9"/>
  <c r="AQ11"/>
  <c r="AR8"/>
  <c r="BK10" s="1"/>
  <c r="BL10" s="1"/>
  <c r="BI25"/>
  <c r="BM25" s="1"/>
  <c r="N309" i="27"/>
  <c r="E309" s="1"/>
  <c r="T445"/>
  <c r="C11" i="34"/>
  <c r="R116" i="27"/>
  <c r="R109" s="1"/>
  <c r="N116"/>
  <c r="N109" s="1"/>
  <c r="T352"/>
  <c r="BN13" i="28"/>
  <c r="BO13"/>
  <c r="N5"/>
  <c r="P5"/>
  <c r="S5"/>
  <c r="R5"/>
  <c r="BO4"/>
  <c r="BO19" s="1"/>
  <c r="BK22"/>
  <c r="BM8"/>
  <c r="BO6"/>
  <c r="BL7"/>
  <c r="BJ7"/>
  <c r="BO5"/>
  <c r="BN5" s="1"/>
  <c r="BM7"/>
  <c r="T256" i="27"/>
  <c r="T540"/>
  <c r="T522" s="1"/>
  <c r="N65"/>
  <c r="N58" s="1"/>
  <c r="BJ24" i="28"/>
  <c r="BK24" s="1"/>
  <c r="S65" i="27"/>
  <c r="S58" s="1"/>
  <c r="E454"/>
  <c r="E318"/>
  <c r="E360"/>
  <c r="E361"/>
  <c r="E365"/>
  <c r="E52"/>
  <c r="E75"/>
  <c r="E164"/>
  <c r="E166"/>
  <c r="E81"/>
  <c r="U476"/>
  <c r="T230"/>
  <c r="T304"/>
  <c r="T402"/>
  <c r="T494"/>
  <c r="Q65"/>
  <c r="Q58" s="1"/>
  <c r="F65"/>
  <c r="F58" s="1"/>
  <c r="E54"/>
  <c r="H65"/>
  <c r="H58" s="1"/>
  <c r="R65"/>
  <c r="R58" s="1"/>
  <c r="E100"/>
  <c r="T238"/>
  <c r="L286"/>
  <c r="F334"/>
  <c r="H334"/>
  <c r="J334"/>
  <c r="L334"/>
  <c r="N334"/>
  <c r="P334"/>
  <c r="R334"/>
  <c r="T334"/>
  <c r="V334"/>
  <c r="P427"/>
  <c r="P65"/>
  <c r="P58" s="1"/>
  <c r="T65"/>
  <c r="T58" s="1"/>
  <c r="H427"/>
  <c r="P105"/>
  <c r="F427"/>
  <c r="J427"/>
  <c r="L427"/>
  <c r="N427"/>
  <c r="R427"/>
  <c r="T427"/>
  <c r="V427"/>
  <c r="U286"/>
  <c r="G334"/>
  <c r="I334"/>
  <c r="K334"/>
  <c r="M334"/>
  <c r="O334"/>
  <c r="Q334"/>
  <c r="S334"/>
  <c r="U334"/>
  <c r="W334"/>
  <c r="U384"/>
  <c r="N105"/>
  <c r="K522"/>
  <c r="F105"/>
  <c r="Q256"/>
  <c r="P238"/>
  <c r="L384"/>
  <c r="F238"/>
  <c r="H238"/>
  <c r="J238"/>
  <c r="L238"/>
  <c r="N238"/>
  <c r="R238"/>
  <c r="V238"/>
  <c r="R494"/>
  <c r="E509"/>
  <c r="V105"/>
  <c r="P476"/>
  <c r="G427"/>
  <c r="I427"/>
  <c r="K427"/>
  <c r="M427"/>
  <c r="O427"/>
  <c r="Q427"/>
  <c r="S427"/>
  <c r="U427"/>
  <c r="W427"/>
  <c r="K189"/>
  <c r="K148" s="1"/>
  <c r="F476"/>
  <c r="H476"/>
  <c r="J476"/>
  <c r="L476"/>
  <c r="N476"/>
  <c r="R476"/>
  <c r="Q402"/>
  <c r="H286"/>
  <c r="P286"/>
  <c r="H384"/>
  <c r="P384"/>
  <c r="Q304"/>
  <c r="F189"/>
  <c r="H189"/>
  <c r="J189"/>
  <c r="L189"/>
  <c r="L148" s="1"/>
  <c r="P189"/>
  <c r="R189"/>
  <c r="F286"/>
  <c r="J286"/>
  <c r="N286"/>
  <c r="R286"/>
  <c r="E335"/>
  <c r="K3" s="1"/>
  <c r="F384"/>
  <c r="J384"/>
  <c r="N384"/>
  <c r="R384"/>
  <c r="E428"/>
  <c r="M3" s="1"/>
  <c r="E523"/>
  <c r="O3" s="1"/>
  <c r="Q540"/>
  <c r="Q522" s="1"/>
  <c r="Q352"/>
  <c r="S189"/>
  <c r="G238"/>
  <c r="I238"/>
  <c r="K238"/>
  <c r="M238"/>
  <c r="O238"/>
  <c r="Q238"/>
  <c r="S238"/>
  <c r="U238"/>
  <c r="W238"/>
  <c r="W286"/>
  <c r="W384"/>
  <c r="W476"/>
  <c r="U189"/>
  <c r="U186" s="1"/>
  <c r="U148" s="1"/>
  <c r="U109" s="1"/>
  <c r="W189"/>
  <c r="W186" s="1"/>
  <c r="W148" s="1"/>
  <c r="W109" s="1"/>
  <c r="S230"/>
  <c r="E239"/>
  <c r="I3" s="1"/>
  <c r="E287"/>
  <c r="N494"/>
  <c r="P494"/>
  <c r="E496"/>
  <c r="G522"/>
  <c r="O522"/>
  <c r="E385"/>
  <c r="S540"/>
  <c r="S522" s="1"/>
  <c r="G189"/>
  <c r="G148" s="1"/>
  <c r="O189"/>
  <c r="O148" s="1"/>
  <c r="G286"/>
  <c r="I286"/>
  <c r="K286"/>
  <c r="M286"/>
  <c r="O286"/>
  <c r="Q286"/>
  <c r="S286"/>
  <c r="T286"/>
  <c r="V286"/>
  <c r="G384"/>
  <c r="I384"/>
  <c r="K384"/>
  <c r="M384"/>
  <c r="O384"/>
  <c r="Q384"/>
  <c r="S384"/>
  <c r="T384"/>
  <c r="V384"/>
  <c r="I189"/>
  <c r="I148" s="1"/>
  <c r="M189"/>
  <c r="M148" s="1"/>
  <c r="Q189"/>
  <c r="T189"/>
  <c r="E271"/>
  <c r="E320"/>
  <c r="E367"/>
  <c r="E417"/>
  <c r="Q445"/>
  <c r="F494"/>
  <c r="Q494"/>
  <c r="I522"/>
  <c r="M522"/>
  <c r="E477"/>
  <c r="N3" s="1"/>
  <c r="G476"/>
  <c r="I476"/>
  <c r="K476"/>
  <c r="M476"/>
  <c r="O476"/>
  <c r="Q476"/>
  <c r="S476"/>
  <c r="T476"/>
  <c r="V476"/>
  <c r="E190"/>
  <c r="H3" s="1"/>
  <c r="E157"/>
  <c r="Q230"/>
  <c r="F256"/>
  <c r="N256"/>
  <c r="P256"/>
  <c r="R256"/>
  <c r="E258"/>
  <c r="F304"/>
  <c r="P304"/>
  <c r="R304"/>
  <c r="E306"/>
  <c r="F352"/>
  <c r="N352"/>
  <c r="P352"/>
  <c r="R352"/>
  <c r="E354"/>
  <c r="F402"/>
  <c r="N402"/>
  <c r="P402"/>
  <c r="R402"/>
  <c r="E404"/>
  <c r="F445"/>
  <c r="N445"/>
  <c r="P445"/>
  <c r="R445"/>
  <c r="E447"/>
  <c r="E462"/>
  <c r="F540"/>
  <c r="N540"/>
  <c r="N522" s="1"/>
  <c r="P540"/>
  <c r="P522" s="1"/>
  <c r="R540"/>
  <c r="R522" s="1"/>
  <c r="E542"/>
  <c r="E554"/>
  <c r="H522"/>
  <c r="L522"/>
  <c r="U522"/>
  <c r="W522"/>
  <c r="U58"/>
  <c r="E208"/>
  <c r="E199"/>
  <c r="E236"/>
  <c r="E212"/>
  <c r="E211"/>
  <c r="E135"/>
  <c r="F230"/>
  <c r="N230"/>
  <c r="P230"/>
  <c r="P148" s="1"/>
  <c r="R230"/>
  <c r="E51"/>
  <c r="E82"/>
  <c r="E73"/>
  <c r="E49"/>
  <c r="AC4" i="15"/>
  <c r="J2" i="30"/>
  <c r="D1"/>
  <c r="J1" s="1"/>
  <c r="BT4" i="28"/>
  <c r="E367" i="1"/>
  <c r="W4" i="15"/>
  <c r="U4"/>
  <c r="AD4"/>
  <c r="Z4"/>
  <c r="V4"/>
  <c r="AA4"/>
  <c r="Y4"/>
  <c r="X4"/>
  <c r="I5"/>
  <c r="AF3" s="1"/>
  <c r="B42"/>
  <c r="I42" s="1"/>
  <c r="B40"/>
  <c r="I40" s="1"/>
  <c r="B38"/>
  <c r="I38" s="1"/>
  <c r="B36"/>
  <c r="I36" s="1"/>
  <c r="B41"/>
  <c r="I41" s="1"/>
  <c r="B39"/>
  <c r="I39" s="1"/>
  <c r="AG39" s="1"/>
  <c r="B37"/>
  <c r="I37" s="1"/>
  <c r="B35"/>
  <c r="I35" s="1"/>
  <c r="B32"/>
  <c r="I32" s="1"/>
  <c r="R32" s="1"/>
  <c r="B30"/>
  <c r="I30" s="1"/>
  <c r="R30" s="1"/>
  <c r="B27"/>
  <c r="I27" s="1"/>
  <c r="R27" s="1"/>
  <c r="B25"/>
  <c r="I25" s="1"/>
  <c r="R25" s="1"/>
  <c r="B22"/>
  <c r="I22" s="1"/>
  <c r="R22" s="1"/>
  <c r="B19"/>
  <c r="I19" s="1"/>
  <c r="R19" s="1"/>
  <c r="B13"/>
  <c r="I13" s="1"/>
  <c r="B17"/>
  <c r="I17" s="1"/>
  <c r="B15"/>
  <c r="I15" s="1"/>
  <c r="R15" s="1"/>
  <c r="B14"/>
  <c r="I14" s="1"/>
  <c r="R14" s="1"/>
  <c r="B11"/>
  <c r="I11" s="1"/>
  <c r="AG11" s="1"/>
  <c r="AH11" s="1"/>
  <c r="AI11" s="1"/>
  <c r="AJ11" s="1"/>
  <c r="AK11" s="1"/>
  <c r="AL11" s="1"/>
  <c r="AM11" s="1"/>
  <c r="AN11" s="1"/>
  <c r="B10"/>
  <c r="I10" s="1"/>
  <c r="R10" s="1"/>
  <c r="B8"/>
  <c r="I8" s="1"/>
  <c r="AG8" s="1"/>
  <c r="AH8" s="1"/>
  <c r="AI8" s="1"/>
  <c r="AJ8" s="1"/>
  <c r="AK8" s="1"/>
  <c r="AL8" s="1"/>
  <c r="AM8" s="1"/>
  <c r="AN8" s="1"/>
  <c r="B6"/>
  <c r="I6" s="1"/>
  <c r="AG6" s="1"/>
  <c r="AH6" s="1"/>
  <c r="AI6" s="1"/>
  <c r="AJ6" s="1"/>
  <c r="AK6" s="1"/>
  <c r="AL6" s="1"/>
  <c r="AM6" s="1"/>
  <c r="AN6" s="1"/>
  <c r="B31"/>
  <c r="I31" s="1"/>
  <c r="R31" s="1"/>
  <c r="B29"/>
  <c r="I29" s="1"/>
  <c r="R29" s="1"/>
  <c r="B26"/>
  <c r="I26" s="1"/>
  <c r="R26" s="1"/>
  <c r="B24"/>
  <c r="I24" s="1"/>
  <c r="R24" s="1"/>
  <c r="B20"/>
  <c r="I20" s="1"/>
  <c r="R20" s="1"/>
  <c r="B18"/>
  <c r="I18" s="1"/>
  <c r="R18" s="1"/>
  <c r="B23"/>
  <c r="I23" s="1"/>
  <c r="R23" s="1"/>
  <c r="B16"/>
  <c r="I16" s="1"/>
  <c r="R16" s="1"/>
  <c r="B21"/>
  <c r="I21" s="1"/>
  <c r="R21" s="1"/>
  <c r="B12"/>
  <c r="I12" s="1"/>
  <c r="R12" s="1"/>
  <c r="B28"/>
  <c r="I28" s="1"/>
  <c r="R28" s="1"/>
  <c r="B9"/>
  <c r="I9" s="1"/>
  <c r="R9" s="1"/>
  <c r="B7"/>
  <c r="I7" s="1"/>
  <c r="AG7" s="1"/>
  <c r="AH7" s="1"/>
  <c r="AI7" s="1"/>
  <c r="AJ7" s="1"/>
  <c r="AK7" s="1"/>
  <c r="AL7" s="1"/>
  <c r="AM7" s="1"/>
  <c r="AN7" s="1"/>
  <c r="B7" i="1"/>
  <c r="E76" i="27"/>
  <c r="E69"/>
  <c r="E77"/>
  <c r="E83"/>
  <c r="R34" i="29"/>
  <c r="K2"/>
  <c r="K24" s="1"/>
  <c r="R7"/>
  <c r="A2" i="27"/>
  <c r="E369" i="1"/>
  <c r="E330"/>
  <c r="E406"/>
  <c r="H342"/>
  <c r="BF78" i="20"/>
  <c r="CC67"/>
  <c r="BU67"/>
  <c r="G73"/>
  <c r="BO67"/>
  <c r="BS67"/>
  <c r="E332" i="1"/>
  <c r="F495" i="18"/>
  <c r="H495" s="1"/>
  <c r="AH2" i="24"/>
  <c r="AH3"/>
  <c r="I594" i="18"/>
  <c r="F511"/>
  <c r="H511" s="1"/>
  <c r="AI7" i="24"/>
  <c r="AI23"/>
  <c r="I602" i="18"/>
  <c r="I586"/>
  <c r="AI27" i="24"/>
  <c r="F491" i="18"/>
  <c r="H491" s="1"/>
  <c r="F501"/>
  <c r="H501" s="1"/>
  <c r="F515"/>
  <c r="H515" s="1"/>
  <c r="AI11" i="24"/>
  <c r="AI20"/>
  <c r="AI25"/>
  <c r="AI29"/>
  <c r="I590" i="18"/>
  <c r="I598"/>
  <c r="I612"/>
  <c r="I604"/>
  <c r="I603"/>
  <c r="I601"/>
  <c r="I600"/>
  <c r="I599"/>
  <c r="I597"/>
  <c r="I596"/>
  <c r="I595"/>
  <c r="I593"/>
  <c r="I592"/>
  <c r="I591"/>
  <c r="I589"/>
  <c r="I588"/>
  <c r="I587"/>
  <c r="I585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AH8" i="24"/>
  <c r="AH9"/>
  <c r="AH10"/>
  <c r="AH11"/>
  <c r="AH28"/>
  <c r="AH29"/>
  <c r="F583" i="18"/>
  <c r="I613"/>
  <c r="I608"/>
  <c r="I606"/>
  <c r="I610"/>
  <c r="I7" i="24"/>
  <c r="F393" i="18" s="1"/>
  <c r="I393" s="1"/>
  <c r="I15" i="24"/>
  <c r="F401" i="18" s="1"/>
  <c r="H401" s="1"/>
  <c r="I19" i="24"/>
  <c r="F405" i="18" s="1"/>
  <c r="H405" s="1"/>
  <c r="I605"/>
  <c r="I607"/>
  <c r="I609"/>
  <c r="I611"/>
  <c r="G7"/>
  <c r="F7"/>
  <c r="G4"/>
  <c r="G550"/>
  <c r="I577"/>
  <c r="I578"/>
  <c r="I579"/>
  <c r="I580"/>
  <c r="I581"/>
  <c r="G583"/>
  <c r="F4"/>
  <c r="F550"/>
  <c r="L584"/>
  <c r="O584"/>
  <c r="I584"/>
  <c r="H584"/>
  <c r="H583" s="1"/>
  <c r="N552"/>
  <c r="O551"/>
  <c r="K552"/>
  <c r="L551"/>
  <c r="I551"/>
  <c r="H551"/>
  <c r="H550" s="1"/>
  <c r="BW67" i="20"/>
  <c r="BJ75"/>
  <c r="BG78"/>
  <c r="P28" i="21"/>
  <c r="P16"/>
  <c r="P7"/>
  <c r="AQ53" i="17"/>
  <c r="AQ78"/>
  <c r="AM90"/>
  <c r="AS353"/>
  <c r="AM640"/>
  <c r="AS653"/>
  <c r="AS678"/>
  <c r="AQ678"/>
  <c r="BB653"/>
  <c r="AW695"/>
  <c r="F3" i="20"/>
  <c r="BL260" i="17"/>
  <c r="BL310"/>
  <c r="BL360"/>
  <c r="BL410"/>
  <c r="F493" i="18"/>
  <c r="H493" s="1"/>
  <c r="F498"/>
  <c r="H498" s="1"/>
  <c r="F509"/>
  <c r="H509" s="1"/>
  <c r="F513"/>
  <c r="H513" s="1"/>
  <c r="D7" i="24"/>
  <c r="F363" i="18" s="1"/>
  <c r="I363" s="1"/>
  <c r="D15" i="24"/>
  <c r="F371" i="18" s="1"/>
  <c r="D20" i="24"/>
  <c r="F376" i="18" s="1"/>
  <c r="I376" s="1"/>
  <c r="N19" i="24"/>
  <c r="F438" i="18" s="1"/>
  <c r="G518"/>
  <c r="N518" s="1"/>
  <c r="O518" s="1"/>
  <c r="G546"/>
  <c r="BV67" i="20"/>
  <c r="BL70"/>
  <c r="N6" i="24"/>
  <c r="F425" i="18" s="1"/>
  <c r="H425" s="1"/>
  <c r="N27" i="24"/>
  <c r="F446" i="18" s="1"/>
  <c r="X7" i="24"/>
  <c r="AC26"/>
  <c r="AH5"/>
  <c r="AH6"/>
  <c r="AH7"/>
  <c r="AH12"/>
  <c r="AH15"/>
  <c r="AH16"/>
  <c r="AH17"/>
  <c r="AH18"/>
  <c r="AH19"/>
  <c r="AH20"/>
  <c r="AH24"/>
  <c r="AH25"/>
  <c r="I541" i="18"/>
  <c r="F520"/>
  <c r="H520" s="1"/>
  <c r="G542"/>
  <c r="I542" s="1"/>
  <c r="E189" i="1"/>
  <c r="CB67" i="20"/>
  <c r="BT67"/>
  <c r="BQ67"/>
  <c r="BM67"/>
  <c r="BI75"/>
  <c r="H47"/>
  <c r="I539" i="18"/>
  <c r="I543"/>
  <c r="I545"/>
  <c r="F537"/>
  <c r="H537" s="1"/>
  <c r="G538"/>
  <c r="K519"/>
  <c r="K520" s="1"/>
  <c r="K521" s="1"/>
  <c r="K522" s="1"/>
  <c r="K523" s="1"/>
  <c r="K524" s="1"/>
  <c r="K525" s="1"/>
  <c r="K526" s="1"/>
  <c r="K527" s="1"/>
  <c r="K528" s="1"/>
  <c r="L518"/>
  <c r="R7"/>
  <c r="R4"/>
  <c r="AI18" i="24"/>
  <c r="AI16"/>
  <c r="AI14"/>
  <c r="AI13"/>
  <c r="F529" i="18"/>
  <c r="H529" s="1"/>
  <c r="AI9" i="24"/>
  <c r="G526" i="18"/>
  <c r="I527"/>
  <c r="I529"/>
  <c r="G388"/>
  <c r="I548"/>
  <c r="F459"/>
  <c r="H459" s="1"/>
  <c r="G438"/>
  <c r="G453"/>
  <c r="F388"/>
  <c r="K388" s="1"/>
  <c r="K389" s="1"/>
  <c r="L389" s="1"/>
  <c r="F457"/>
  <c r="H457" s="1"/>
  <c r="F461"/>
  <c r="H461" s="1"/>
  <c r="AD20" i="24"/>
  <c r="G504" i="18" s="1"/>
  <c r="I504" s="1"/>
  <c r="AD22" i="24"/>
  <c r="G506" i="18" s="1"/>
  <c r="AD26" i="24"/>
  <c r="G510" i="18" s="1"/>
  <c r="I510" s="1"/>
  <c r="F358"/>
  <c r="F421"/>
  <c r="I421" s="1"/>
  <c r="F453"/>
  <c r="H453" s="1"/>
  <c r="H518"/>
  <c r="H10" s="1"/>
  <c r="F488"/>
  <c r="H488" s="1"/>
  <c r="AC4" i="24"/>
  <c r="F492" i="18"/>
  <c r="H492" s="1"/>
  <c r="AC8" i="24"/>
  <c r="F494" i="18"/>
  <c r="H494" s="1"/>
  <c r="AC10" i="24"/>
  <c r="F496" i="18"/>
  <c r="H496" s="1"/>
  <c r="AC12" i="24"/>
  <c r="H464" i="18"/>
  <c r="X14" i="24"/>
  <c r="F465" i="18" s="1"/>
  <c r="H465" s="1"/>
  <c r="X27" i="24"/>
  <c r="F478" i="18" s="1"/>
  <c r="H478" s="1"/>
  <c r="X16" i="24"/>
  <c r="F467" i="18" s="1"/>
  <c r="H467" s="1"/>
  <c r="F500"/>
  <c r="H500" s="1"/>
  <c r="AC16" i="24"/>
  <c r="X18"/>
  <c r="F469" i="18" s="1"/>
  <c r="H469" s="1"/>
  <c r="F490"/>
  <c r="H490" s="1"/>
  <c r="AC18" i="24"/>
  <c r="X21"/>
  <c r="F472" i="18" s="1"/>
  <c r="H472" s="1"/>
  <c r="F505"/>
  <c r="H505" s="1"/>
  <c r="AC21" i="24"/>
  <c r="X23"/>
  <c r="F474" i="18" s="1"/>
  <c r="H474" s="1"/>
  <c r="F507"/>
  <c r="H507" s="1"/>
  <c r="AC23" i="24"/>
  <c r="X25"/>
  <c r="F476" i="18" s="1"/>
  <c r="H476" s="1"/>
  <c r="X29" i="24"/>
  <c r="F480" i="18" s="1"/>
  <c r="H480" s="1"/>
  <c r="X31" i="24"/>
  <c r="F482" i="18" s="1"/>
  <c r="H482" s="1"/>
  <c r="AI3" i="24"/>
  <c r="G519" i="18"/>
  <c r="I519" s="1"/>
  <c r="G521"/>
  <c r="I521" s="1"/>
  <c r="AI5" i="24"/>
  <c r="G531" i="18"/>
  <c r="I531" s="1"/>
  <c r="AI15" i="24"/>
  <c r="G533" i="18"/>
  <c r="AI17" i="24"/>
  <c r="G535" i="18"/>
  <c r="AI19" i="24"/>
  <c r="G537" i="18"/>
  <c r="AI21" i="24"/>
  <c r="G544" i="18"/>
  <c r="I544" s="1"/>
  <c r="AI28" i="24"/>
  <c r="I525" i="18"/>
  <c r="H525"/>
  <c r="E27" i="24"/>
  <c r="G383" i="18" s="1"/>
  <c r="I383" s="1"/>
  <c r="E6" i="24"/>
  <c r="G362" i="18" s="1"/>
  <c r="I362" s="1"/>
  <c r="J6" i="24"/>
  <c r="G392" i="18" s="1"/>
  <c r="I392" s="1"/>
  <c r="J15" i="24"/>
  <c r="G401" i="18" s="1"/>
  <c r="I401" s="1"/>
  <c r="O7" i="24"/>
  <c r="G426" i="18" s="1"/>
  <c r="I426" s="1"/>
  <c r="O15" i="24"/>
  <c r="G434" i="18" s="1"/>
  <c r="I434" s="1"/>
  <c r="T7" i="24"/>
  <c r="G458" i="18" s="1"/>
  <c r="Y6" i="24"/>
  <c r="G457" i="18" s="1"/>
  <c r="H526"/>
  <c r="H455"/>
  <c r="H462"/>
  <c r="S3" i="24"/>
  <c r="F454" i="18" s="1"/>
  <c r="H454" s="1"/>
  <c r="S5" i="24"/>
  <c r="F456" i="18" s="1"/>
  <c r="H456" s="1"/>
  <c r="S7" i="24"/>
  <c r="S9"/>
  <c r="F460" i="18" s="1"/>
  <c r="H460" s="1"/>
  <c r="X12" i="24"/>
  <c r="F463" i="18" s="1"/>
  <c r="H463" s="1"/>
  <c r="X15" i="24"/>
  <c r="F466" i="18" s="1"/>
  <c r="H466" s="1"/>
  <c r="X17" i="24"/>
  <c r="F468" i="18" s="1"/>
  <c r="H468" s="1"/>
  <c r="X19" i="24"/>
  <c r="F470" i="18" s="1"/>
  <c r="H470" s="1"/>
  <c r="X20" i="24"/>
  <c r="F471" i="18" s="1"/>
  <c r="H471" s="1"/>
  <c r="X22" i="24"/>
  <c r="F473" i="18" s="1"/>
  <c r="H473" s="1"/>
  <c r="X24" i="24"/>
  <c r="F475" i="18" s="1"/>
  <c r="H475" s="1"/>
  <c r="X26" i="24"/>
  <c r="F477" i="18" s="1"/>
  <c r="H477" s="1"/>
  <c r="Y27" i="24"/>
  <c r="G478" i="18" s="1"/>
  <c r="X28" i="24"/>
  <c r="F479" i="18" s="1"/>
  <c r="H479" s="1"/>
  <c r="X30" i="24"/>
  <c r="F481" i="18" s="1"/>
  <c r="H481" s="1"/>
  <c r="AC3" i="24"/>
  <c r="AD4"/>
  <c r="G488" i="18" s="1"/>
  <c r="I488" s="1"/>
  <c r="AC5" i="24"/>
  <c r="AD6"/>
  <c r="G490" i="18" s="1"/>
  <c r="AC7" i="24"/>
  <c r="AD8"/>
  <c r="G492" i="18" s="1"/>
  <c r="AD10" i="24"/>
  <c r="G494" i="18" s="1"/>
  <c r="AD12" i="24"/>
  <c r="G496" i="18" s="1"/>
  <c r="I496" s="1"/>
  <c r="AC13" i="24"/>
  <c r="AD14"/>
  <c r="G498" i="18" s="1"/>
  <c r="AC15" i="24"/>
  <c r="AD16"/>
  <c r="G500" i="18" s="1"/>
  <c r="I500" s="1"/>
  <c r="AD18" i="24"/>
  <c r="G502" i="18" s="1"/>
  <c r="AC19" i="24"/>
  <c r="AC20"/>
  <c r="AC24"/>
  <c r="I547" i="18"/>
  <c r="G524"/>
  <c r="G528"/>
  <c r="G540"/>
  <c r="I540" s="1"/>
  <c r="F530"/>
  <c r="F538"/>
  <c r="H538" s="1"/>
  <c r="AI6" i="24"/>
  <c r="G520" i="18"/>
  <c r="I522"/>
  <c r="H521"/>
  <c r="I523"/>
  <c r="H519"/>
  <c r="I532"/>
  <c r="I534"/>
  <c r="I536"/>
  <c r="I546"/>
  <c r="I514"/>
  <c r="AD31" i="24"/>
  <c r="G515" i="18" s="1"/>
  <c r="AD29" i="24"/>
  <c r="G513" i="18" s="1"/>
  <c r="AC30" i="24"/>
  <c r="AD28"/>
  <c r="G512" i="18" s="1"/>
  <c r="AC28" i="24"/>
  <c r="AD27"/>
  <c r="H487" i="18"/>
  <c r="D3" i="24"/>
  <c r="F359" i="18" s="1"/>
  <c r="I359" s="1"/>
  <c r="D4" i="24"/>
  <c r="F360" i="18" s="1"/>
  <c r="I360" s="1"/>
  <c r="D5" i="24"/>
  <c r="F361" i="18" s="1"/>
  <c r="I361" s="1"/>
  <c r="I399"/>
  <c r="I415"/>
  <c r="H395"/>
  <c r="H403"/>
  <c r="H407"/>
  <c r="I422"/>
  <c r="I423"/>
  <c r="I424"/>
  <c r="I427"/>
  <c r="I428"/>
  <c r="I429"/>
  <c r="I430"/>
  <c r="I431"/>
  <c r="I432"/>
  <c r="I433"/>
  <c r="I435"/>
  <c r="I436"/>
  <c r="I437"/>
  <c r="I439"/>
  <c r="I440"/>
  <c r="I441"/>
  <c r="I442"/>
  <c r="I416"/>
  <c r="I443"/>
  <c r="I444"/>
  <c r="I445"/>
  <c r="I446"/>
  <c r="I447"/>
  <c r="I414"/>
  <c r="I412"/>
  <c r="I410"/>
  <c r="I408"/>
  <c r="I406"/>
  <c r="I404"/>
  <c r="I402"/>
  <c r="I400"/>
  <c r="I397"/>
  <c r="I390"/>
  <c r="I394"/>
  <c r="I396"/>
  <c r="I365"/>
  <c r="I367"/>
  <c r="I369"/>
  <c r="I371"/>
  <c r="I373"/>
  <c r="I375"/>
  <c r="I377"/>
  <c r="I379"/>
  <c r="I381"/>
  <c r="I385"/>
  <c r="I418"/>
  <c r="I448"/>
  <c r="I449"/>
  <c r="I450"/>
  <c r="I413"/>
  <c r="I411"/>
  <c r="I409"/>
  <c r="I407"/>
  <c r="I405"/>
  <c r="I403"/>
  <c r="I398"/>
  <c r="I391"/>
  <c r="I389"/>
  <c r="I395"/>
  <c r="I358"/>
  <c r="I364"/>
  <c r="I366"/>
  <c r="I368"/>
  <c r="I370"/>
  <c r="I372"/>
  <c r="I374"/>
  <c r="I378"/>
  <c r="I380"/>
  <c r="I382"/>
  <c r="I384"/>
  <c r="I417"/>
  <c r="H390"/>
  <c r="H392"/>
  <c r="H394"/>
  <c r="H397"/>
  <c r="H406"/>
  <c r="I455"/>
  <c r="I508"/>
  <c r="I22" i="26"/>
  <c r="G4"/>
  <c r="D4"/>
  <c r="O4" i="18"/>
  <c r="L487"/>
  <c r="N499"/>
  <c r="N8" s="1"/>
  <c r="O486"/>
  <c r="Q486" s="1"/>
  <c r="O501"/>
  <c r="O497"/>
  <c r="O495"/>
  <c r="O502"/>
  <c r="O500"/>
  <c r="O498"/>
  <c r="O496"/>
  <c r="O494"/>
  <c r="O492"/>
  <c r="O490"/>
  <c r="G25" i="26"/>
  <c r="H25" s="1"/>
  <c r="G22"/>
  <c r="L7" i="18"/>
  <c r="C22" i="26"/>
  <c r="D22" s="1"/>
  <c r="E22" s="1"/>
  <c r="H4" i="18"/>
  <c r="O7"/>
  <c r="H24" i="26"/>
  <c r="H23"/>
  <c r="I4"/>
  <c r="E28"/>
  <c r="E30"/>
  <c r="E23"/>
  <c r="E24"/>
  <c r="H21"/>
  <c r="E32"/>
  <c r="H16"/>
  <c r="H14"/>
  <c r="H12"/>
  <c r="H10"/>
  <c r="H13"/>
  <c r="E13"/>
  <c r="E4" s="1"/>
  <c r="H11"/>
  <c r="H15"/>
  <c r="H6"/>
  <c r="H7"/>
  <c r="H8"/>
  <c r="H5"/>
  <c r="I7" i="18"/>
  <c r="H7"/>
  <c r="I487"/>
  <c r="I489"/>
  <c r="I495"/>
  <c r="I497"/>
  <c r="I499"/>
  <c r="I486"/>
  <c r="I503"/>
  <c r="I491"/>
  <c r="F506"/>
  <c r="H506" s="1"/>
  <c r="D485"/>
  <c r="F502"/>
  <c r="E252" i="25"/>
  <c r="E277"/>
  <c r="E302"/>
  <c r="E327"/>
  <c r="E352"/>
  <c r="E477"/>
  <c r="E502"/>
  <c r="E527"/>
  <c r="E552"/>
  <c r="E577"/>
  <c r="E602"/>
  <c r="E627"/>
  <c r="E652"/>
  <c r="E677"/>
  <c r="E402"/>
  <c r="E427"/>
  <c r="E452"/>
  <c r="E702"/>
  <c r="E727"/>
  <c r="E752"/>
  <c r="E777"/>
  <c r="E802"/>
  <c r="AZ13" i="20"/>
  <c r="H56"/>
  <c r="H54"/>
  <c r="H46"/>
  <c r="P59" i="21"/>
  <c r="P57"/>
  <c r="P55"/>
  <c r="P48"/>
  <c r="P46"/>
  <c r="P41"/>
  <c r="P39"/>
  <c r="P37"/>
  <c r="P22"/>
  <c r="P20"/>
  <c r="P18"/>
  <c r="P14"/>
  <c r="P12"/>
  <c r="P10"/>
  <c r="P6"/>
  <c r="P58"/>
  <c r="P56"/>
  <c r="P54"/>
  <c r="P47"/>
  <c r="P42"/>
  <c r="P40"/>
  <c r="P38"/>
  <c r="P21"/>
  <c r="P19"/>
  <c r="P17"/>
  <c r="P15"/>
  <c r="AW670" i="17"/>
  <c r="E614" i="19"/>
  <c r="K5" i="22"/>
  <c r="E7"/>
  <c r="L6"/>
  <c r="E232" i="1"/>
  <c r="E615" i="19"/>
  <c r="E616" s="1"/>
  <c r="BV13" i="20"/>
  <c r="CB13"/>
  <c r="BT13"/>
  <c r="BI13"/>
  <c r="E6"/>
  <c r="H6" s="1"/>
  <c r="BG13"/>
  <c r="BF13"/>
  <c r="BE13"/>
  <c r="BD13"/>
  <c r="BB13"/>
  <c r="BL13"/>
  <c r="BS13"/>
  <c r="BQ13"/>
  <c r="BO13"/>
  <c r="BM13"/>
  <c r="P36" i="21"/>
  <c r="P27"/>
  <c r="BB303" i="17"/>
  <c r="BB478"/>
  <c r="BL185"/>
  <c r="E377" i="25"/>
  <c r="CA13" i="20"/>
  <c r="BY13"/>
  <c r="BW13"/>
  <c r="CD67"/>
  <c r="BZ67"/>
  <c r="BU13"/>
  <c r="BX13"/>
  <c r="BP67"/>
  <c r="BZ13"/>
  <c r="BR67"/>
  <c r="BN67"/>
  <c r="BH13"/>
  <c r="BK70"/>
  <c r="BC13"/>
  <c r="BA13"/>
  <c r="BJ13"/>
  <c r="H55"/>
  <c r="BK13"/>
  <c r="AY13"/>
  <c r="H53"/>
  <c r="AX13"/>
  <c r="D51"/>
  <c r="BR13"/>
  <c r="BP13"/>
  <c r="BN13"/>
  <c r="P35" i="21"/>
  <c r="AS178" i="17"/>
  <c r="BF460"/>
  <c r="H424" i="18"/>
  <c r="BL435" i="17"/>
  <c r="E196" i="1"/>
  <c r="E227" i="25"/>
  <c r="E198" i="1"/>
  <c r="E152" i="25"/>
  <c r="E202"/>
  <c r="E127"/>
  <c r="E177"/>
  <c r="E102"/>
  <c r="BL735" i="17"/>
  <c r="BL685"/>
  <c r="BL635"/>
  <c r="BL585"/>
  <c r="BL535"/>
  <c r="BL485"/>
  <c r="BL460"/>
  <c r="BL440"/>
  <c r="BL385"/>
  <c r="BL335"/>
  <c r="BL285"/>
  <c r="BL235"/>
  <c r="BL240"/>
  <c r="BL160"/>
  <c r="BL60"/>
  <c r="BL10"/>
  <c r="O455" i="18"/>
  <c r="BL190" i="17"/>
  <c r="BL132"/>
  <c r="BL135"/>
  <c r="BL143"/>
  <c r="BL140"/>
  <c r="BL90"/>
  <c r="BL82"/>
  <c r="BL85"/>
  <c r="BL93"/>
  <c r="BL32"/>
  <c r="BL35"/>
  <c r="BL43"/>
  <c r="BL40"/>
  <c r="BL12"/>
  <c r="BL15"/>
  <c r="BL20"/>
  <c r="BL62"/>
  <c r="BL65"/>
  <c r="BL70"/>
  <c r="BL112"/>
  <c r="BL115"/>
  <c r="BL120"/>
  <c r="BL162"/>
  <c r="BL165"/>
  <c r="BL170"/>
  <c r="BL212"/>
  <c r="BL215"/>
  <c r="BL220"/>
  <c r="BL262"/>
  <c r="BL265"/>
  <c r="BL270"/>
  <c r="BL312"/>
  <c r="BL315"/>
  <c r="BL320"/>
  <c r="BL362"/>
  <c r="BL365"/>
  <c r="BL370"/>
  <c r="BL412"/>
  <c r="BL415"/>
  <c r="BL420"/>
  <c r="BL462"/>
  <c r="BL465"/>
  <c r="BL470"/>
  <c r="BL512"/>
  <c r="BL515"/>
  <c r="BL520"/>
  <c r="BL562"/>
  <c r="BL565"/>
  <c r="BL570"/>
  <c r="BL612"/>
  <c r="BL615"/>
  <c r="BL620"/>
  <c r="BL662"/>
  <c r="BL670"/>
  <c r="BL712"/>
  <c r="BL720"/>
  <c r="BL762"/>
  <c r="BL770"/>
  <c r="BL7"/>
  <c r="BL57"/>
  <c r="BL107"/>
  <c r="BL157"/>
  <c r="BL207"/>
  <c r="BL257"/>
  <c r="BL307"/>
  <c r="BL357"/>
  <c r="BL407"/>
  <c r="BL457"/>
  <c r="BL507"/>
  <c r="BL557"/>
  <c r="BL607"/>
  <c r="BL657"/>
  <c r="BL707"/>
  <c r="BL757"/>
  <c r="BF610"/>
  <c r="BF560"/>
  <c r="E200" i="1"/>
  <c r="E161"/>
  <c r="E163"/>
  <c r="BF410" i="17"/>
  <c r="BF360"/>
  <c r="BF310"/>
  <c r="H430" i="18"/>
  <c r="H429"/>
  <c r="H427"/>
  <c r="H426"/>
  <c r="H423"/>
  <c r="BF757" i="17"/>
  <c r="BF760"/>
  <c r="BF707"/>
  <c r="BF710"/>
  <c r="BF640"/>
  <c r="BF615"/>
  <c r="BF590"/>
  <c r="BF565"/>
  <c r="BF540"/>
  <c r="BF515"/>
  <c r="BF510"/>
  <c r="BF490"/>
  <c r="BF465"/>
  <c r="BF440"/>
  <c r="BF415"/>
  <c r="BF390"/>
  <c r="BF365"/>
  <c r="BF340"/>
  <c r="BF315"/>
  <c r="BF290"/>
  <c r="BF265"/>
  <c r="BF260"/>
  <c r="BF240"/>
  <c r="BF210"/>
  <c r="BF160"/>
  <c r="H428" i="18"/>
  <c r="BF110" i="17"/>
  <c r="BF60"/>
  <c r="BF215"/>
  <c r="BF190"/>
  <c r="BF165"/>
  <c r="BF140"/>
  <c r="BF115"/>
  <c r="BF90"/>
  <c r="BF65"/>
  <c r="BF40"/>
  <c r="BF15"/>
  <c r="BF10"/>
  <c r="BF12"/>
  <c r="BF20"/>
  <c r="BF32"/>
  <c r="BF35"/>
  <c r="BF43"/>
  <c r="BF62"/>
  <c r="BF70"/>
  <c r="BF82"/>
  <c r="BF85"/>
  <c r="BF93"/>
  <c r="BF112"/>
  <c r="BF120"/>
  <c r="BF132"/>
  <c r="BF135"/>
  <c r="BF143"/>
  <c r="BF162"/>
  <c r="BF170"/>
  <c r="BF182"/>
  <c r="BF185"/>
  <c r="BF193"/>
  <c r="BF212"/>
  <c r="BF220"/>
  <c r="BF232"/>
  <c r="BF235"/>
  <c r="BF243"/>
  <c r="BF262"/>
  <c r="BF270"/>
  <c r="BF282"/>
  <c r="BF285"/>
  <c r="BF293"/>
  <c r="BF312"/>
  <c r="BF320"/>
  <c r="BF332"/>
  <c r="BF335"/>
  <c r="BF343"/>
  <c r="BF362"/>
  <c r="BF370"/>
  <c r="BF382"/>
  <c r="BF385"/>
  <c r="BF393"/>
  <c r="BF412"/>
  <c r="BF420"/>
  <c r="BF432"/>
  <c r="BF435"/>
  <c r="BF443"/>
  <c r="BF462"/>
  <c r="BF470"/>
  <c r="BF482"/>
  <c r="BF485"/>
  <c r="BF493"/>
  <c r="BF512"/>
  <c r="BF520"/>
  <c r="BF532"/>
  <c r="BF535"/>
  <c r="BF543"/>
  <c r="BF562"/>
  <c r="BF570"/>
  <c r="BF582"/>
  <c r="BF585"/>
  <c r="BF593"/>
  <c r="BF612"/>
  <c r="BF620"/>
  <c r="BF632"/>
  <c r="BF635"/>
  <c r="BF643"/>
  <c r="BF662"/>
  <c r="BF670"/>
  <c r="BF682"/>
  <c r="BF685"/>
  <c r="BF693"/>
  <c r="BF720"/>
  <c r="BF732"/>
  <c r="BF735"/>
  <c r="BF743"/>
  <c r="BF770"/>
  <c r="BF7"/>
  <c r="BF57"/>
  <c r="BF107"/>
  <c r="BF157"/>
  <c r="BF207"/>
  <c r="BF257"/>
  <c r="BF307"/>
  <c r="BF357"/>
  <c r="BF407"/>
  <c r="BF457"/>
  <c r="BF507"/>
  <c r="BF557"/>
  <c r="BF607"/>
  <c r="BF657"/>
  <c r="E159" i="1"/>
  <c r="BB628" i="17"/>
  <c r="BB428"/>
  <c r="BB353"/>
  <c r="BB503"/>
  <c r="H400" i="18"/>
  <c r="H409"/>
  <c r="BB453" i="17"/>
  <c r="AW710"/>
  <c r="H408" i="18"/>
  <c r="H414"/>
  <c r="H411"/>
  <c r="BB578" i="17"/>
  <c r="BB553"/>
  <c r="E144" i="1"/>
  <c r="E314"/>
  <c r="E42" i="20"/>
  <c r="H44"/>
  <c r="E154" i="1"/>
  <c r="M5" i="22"/>
  <c r="M7"/>
  <c r="E6"/>
  <c r="M6" s="1"/>
  <c r="E8"/>
  <c r="M8" s="1"/>
  <c r="J4"/>
  <c r="E128" i="1"/>
  <c r="BB528" i="17"/>
  <c r="AW510"/>
  <c r="AW495"/>
  <c r="AW395"/>
  <c r="BB403"/>
  <c r="BB328"/>
  <c r="E41" i="20"/>
  <c r="H43"/>
  <c r="E130" i="1"/>
  <c r="AW370" i="17"/>
  <c r="AW365"/>
  <c r="AW420"/>
  <c r="AW415"/>
  <c r="AW470"/>
  <c r="AW465"/>
  <c r="AW535"/>
  <c r="AW540"/>
  <c r="AW585"/>
  <c r="AW590"/>
  <c r="AW645"/>
  <c r="AW640"/>
  <c r="AW757"/>
  <c r="AA786"/>
  <c r="AA812"/>
  <c r="AW315"/>
  <c r="AW340"/>
  <c r="AW390"/>
  <c r="AW445"/>
  <c r="AW440"/>
  <c r="AW490"/>
  <c r="AW515"/>
  <c r="AW560"/>
  <c r="AW565"/>
  <c r="AW610"/>
  <c r="AW615"/>
  <c r="AW760"/>
  <c r="BB253"/>
  <c r="AW290"/>
  <c r="AW265"/>
  <c r="AW240"/>
  <c r="AW215"/>
  <c r="AW120"/>
  <c r="AW95"/>
  <c r="AW70"/>
  <c r="BB128"/>
  <c r="BB103"/>
  <c r="BB53"/>
  <c r="AW45"/>
  <c r="AW20"/>
  <c r="AW190"/>
  <c r="AW165"/>
  <c r="AW140"/>
  <c r="AW115"/>
  <c r="AW90"/>
  <c r="O400" i="18"/>
  <c r="H389"/>
  <c r="H391"/>
  <c r="H396"/>
  <c r="H398"/>
  <c r="H399"/>
  <c r="H402"/>
  <c r="H404"/>
  <c r="H413"/>
  <c r="E126" i="1"/>
  <c r="BB28" i="17"/>
  <c r="BB3"/>
  <c r="AM590"/>
  <c r="H380" i="18"/>
  <c r="AS578" i="17"/>
  <c r="AS553"/>
  <c r="H45" i="20"/>
  <c r="AQ603" i="17"/>
  <c r="AS603"/>
  <c r="AM615"/>
  <c r="AQ553"/>
  <c r="AM565"/>
  <c r="AS528"/>
  <c r="AM540"/>
  <c r="AQ503"/>
  <c r="AM515"/>
  <c r="AS478"/>
  <c r="AS453"/>
  <c r="AM490"/>
  <c r="AM465"/>
  <c r="AQ453"/>
  <c r="AS428"/>
  <c r="AM415"/>
  <c r="AQ403"/>
  <c r="AS378"/>
  <c r="AM390"/>
  <c r="AM340"/>
  <c r="AW270"/>
  <c r="AW295"/>
  <c r="AW345"/>
  <c r="AW320"/>
  <c r="AW307"/>
  <c r="AW310"/>
  <c r="AS303"/>
  <c r="AQ328"/>
  <c r="AQ378"/>
  <c r="AQ428"/>
  <c r="AQ478"/>
  <c r="E622" i="19"/>
  <c r="E623" s="1"/>
  <c r="E624" s="1"/>
  <c r="AS253" i="17"/>
  <c r="AQ253"/>
  <c r="AM265"/>
  <c r="AS228"/>
  <c r="AQ278"/>
  <c r="AS203"/>
  <c r="AM215"/>
  <c r="AS128"/>
  <c r="AS103"/>
  <c r="AM165"/>
  <c r="AA788"/>
  <c r="AA842"/>
  <c r="AA843" s="1"/>
  <c r="AA835"/>
  <c r="AA840"/>
  <c r="AA848"/>
  <c r="AK831"/>
  <c r="AA809"/>
  <c r="AA814"/>
  <c r="AA822"/>
  <c r="AK805"/>
  <c r="AA783"/>
  <c r="AA796"/>
  <c r="AK779"/>
  <c r="AW170"/>
  <c r="AQ153"/>
  <c r="AW195"/>
  <c r="AW220"/>
  <c r="AQ203"/>
  <c r="AW245"/>
  <c r="AW145"/>
  <c r="AQ128"/>
  <c r="AW65"/>
  <c r="AW40"/>
  <c r="AW7"/>
  <c r="AW10"/>
  <c r="AW18"/>
  <c r="AW32"/>
  <c r="AW35"/>
  <c r="AW43"/>
  <c r="AW57"/>
  <c r="AW60"/>
  <c r="AW68"/>
  <c r="AW82"/>
  <c r="AW85"/>
  <c r="AW93"/>
  <c r="AW107"/>
  <c r="AW110"/>
  <c r="AW118"/>
  <c r="AW132"/>
  <c r="AW135"/>
  <c r="AW143"/>
  <c r="AW157"/>
  <c r="AW160"/>
  <c r="AW168"/>
  <c r="AW182"/>
  <c r="AW185"/>
  <c r="AW193"/>
  <c r="AW207"/>
  <c r="AW210"/>
  <c r="AW218"/>
  <c r="AW232"/>
  <c r="AW235"/>
  <c r="AW243"/>
  <c r="AW257"/>
  <c r="AW260"/>
  <c r="AW268"/>
  <c r="AW282"/>
  <c r="AW285"/>
  <c r="AW293"/>
  <c r="AW332"/>
  <c r="AW335"/>
  <c r="AW343"/>
  <c r="AW357"/>
  <c r="AW360"/>
  <c r="AW368"/>
  <c r="AW382"/>
  <c r="AW385"/>
  <c r="AW393"/>
  <c r="AW407"/>
  <c r="AW410"/>
  <c r="AW418"/>
  <c r="AW432"/>
  <c r="AW435"/>
  <c r="AW443"/>
  <c r="AW457"/>
  <c r="AW460"/>
  <c r="AW468"/>
  <c r="AW482"/>
  <c r="AW485"/>
  <c r="AW493"/>
  <c r="AW512"/>
  <c r="AW520"/>
  <c r="AW537"/>
  <c r="AW545"/>
  <c r="AW562"/>
  <c r="AW570"/>
  <c r="AW587"/>
  <c r="AW595"/>
  <c r="AW612"/>
  <c r="AW620"/>
  <c r="AW632"/>
  <c r="AW635"/>
  <c r="AW643"/>
  <c r="AW657"/>
  <c r="AW660"/>
  <c r="AW668"/>
  <c r="AW682"/>
  <c r="AW685"/>
  <c r="AW693"/>
  <c r="AW712"/>
  <c r="AW720"/>
  <c r="AW732"/>
  <c r="AW735"/>
  <c r="AW743"/>
  <c r="AW770"/>
  <c r="AW15"/>
  <c r="AW507"/>
  <c r="AW532"/>
  <c r="AW557"/>
  <c r="AW582"/>
  <c r="AW607"/>
  <c r="AW707"/>
  <c r="AQ3"/>
  <c r="AM15"/>
  <c r="AQ28"/>
  <c r="AQ103"/>
  <c r="AM115"/>
  <c r="AM140"/>
  <c r="AQ178"/>
  <c r="AM190"/>
  <c r="AQ228"/>
  <c r="AM240"/>
  <c r="AQ303"/>
  <c r="AM315"/>
  <c r="AM170"/>
  <c r="AM220"/>
  <c r="AM270"/>
  <c r="AM420"/>
  <c r="AM545"/>
  <c r="AM670"/>
  <c r="AS153"/>
  <c r="AM320"/>
  <c r="AM370"/>
  <c r="AM470"/>
  <c r="AQ528"/>
  <c r="AM595"/>
  <c r="AM685"/>
  <c r="AM635"/>
  <c r="AM560"/>
  <c r="AS503"/>
  <c r="AM510"/>
  <c r="AM485"/>
  <c r="AM435"/>
  <c r="AM385"/>
  <c r="AM364"/>
  <c r="AM365" s="1"/>
  <c r="AM335"/>
  <c r="AM289"/>
  <c r="AM290" s="1"/>
  <c r="AM285"/>
  <c r="AM235"/>
  <c r="AM185"/>
  <c r="AM135"/>
  <c r="AM120"/>
  <c r="AM20"/>
  <c r="AS53"/>
  <c r="AM70"/>
  <c r="AM64"/>
  <c r="AM65" s="1"/>
  <c r="AS28"/>
  <c r="AM39"/>
  <c r="AM40" s="1"/>
  <c r="AM85"/>
  <c r="AM35"/>
  <c r="AM10"/>
  <c r="AM18"/>
  <c r="AM32"/>
  <c r="AM37"/>
  <c r="AM45"/>
  <c r="AM60"/>
  <c r="AM68"/>
  <c r="AM82"/>
  <c r="AM87"/>
  <c r="AM95"/>
  <c r="AM110"/>
  <c r="AM118"/>
  <c r="AM132"/>
  <c r="AM137"/>
  <c r="AM145"/>
  <c r="AM160"/>
  <c r="AM168"/>
  <c r="AM182"/>
  <c r="AM187"/>
  <c r="AM195"/>
  <c r="AM210"/>
  <c r="AM218"/>
  <c r="AM232"/>
  <c r="AM237"/>
  <c r="AM245"/>
  <c r="AM260"/>
  <c r="AM268"/>
  <c r="AM282"/>
  <c r="AM287"/>
  <c r="AM295"/>
  <c r="AM310"/>
  <c r="AM318"/>
  <c r="AM332"/>
  <c r="AM337"/>
  <c r="AM345"/>
  <c r="AM360"/>
  <c r="AM368"/>
  <c r="AM382"/>
  <c r="AM387"/>
  <c r="AM395"/>
  <c r="AM410"/>
  <c r="AM418"/>
  <c r="AM432"/>
  <c r="AM437"/>
  <c r="AM445"/>
  <c r="AM460"/>
  <c r="AM468"/>
  <c r="AM482"/>
  <c r="AM487"/>
  <c r="AM495"/>
  <c r="AM507"/>
  <c r="AM512"/>
  <c r="AM520"/>
  <c r="AM535"/>
  <c r="AM543"/>
  <c r="AM557"/>
  <c r="AM562"/>
  <c r="AM570"/>
  <c r="AM593"/>
  <c r="AM607"/>
  <c r="AM610"/>
  <c r="AM620"/>
  <c r="AM632"/>
  <c r="AM637"/>
  <c r="AM645"/>
  <c r="AM660"/>
  <c r="AM668"/>
  <c r="AM682"/>
  <c r="AM687"/>
  <c r="AM695"/>
  <c r="AM7"/>
  <c r="AM57"/>
  <c r="AM107"/>
  <c r="AM157"/>
  <c r="AM207"/>
  <c r="AM257"/>
  <c r="AM307"/>
  <c r="AM357"/>
  <c r="AM407"/>
  <c r="AM457"/>
  <c r="AM532"/>
  <c r="AM582"/>
  <c r="AM585"/>
  <c r="AM657"/>
  <c r="E72" i="20"/>
  <c r="H72" s="1"/>
  <c r="E71"/>
  <c r="H71" s="1"/>
  <c r="G72"/>
  <c r="G71"/>
  <c r="E51"/>
  <c r="E50"/>
  <c r="G6"/>
  <c r="M14"/>
  <c r="O14"/>
  <c r="N14"/>
  <c r="P14"/>
  <c r="P50" i="21"/>
  <c r="BH75" i="20"/>
  <c r="BX67"/>
  <c r="E73"/>
  <c r="H73" s="1"/>
  <c r="G60"/>
  <c r="G52"/>
  <c r="I4"/>
  <c r="Q36" i="1"/>
  <c r="AE652" i="17"/>
  <c r="AE651"/>
  <c r="AE650"/>
  <c r="AE649"/>
  <c r="AE648"/>
  <c r="AE647"/>
  <c r="AE646"/>
  <c r="AE645"/>
  <c r="AE644"/>
  <c r="AE643"/>
  <c r="AE642"/>
  <c r="AE641"/>
  <c r="AE640"/>
  <c r="AE639"/>
  <c r="AE638"/>
  <c r="AE637"/>
  <c r="AE636"/>
  <c r="AE635"/>
  <c r="AE634"/>
  <c r="AE633"/>
  <c r="AE632"/>
  <c r="AE631"/>
  <c r="AE630"/>
  <c r="AE629"/>
  <c r="N3" i="19"/>
  <c r="P4"/>
  <c r="Q4"/>
  <c r="R4"/>
  <c r="S4"/>
  <c r="T4"/>
  <c r="P5"/>
  <c r="P6" s="1"/>
  <c r="Q5"/>
  <c r="R5"/>
  <c r="S5"/>
  <c r="T5"/>
  <c r="C6"/>
  <c r="F7"/>
  <c r="G7"/>
  <c r="H7" s="1"/>
  <c r="F8"/>
  <c r="G8"/>
  <c r="H8" s="1"/>
  <c r="L8"/>
  <c r="R8"/>
  <c r="F9"/>
  <c r="G9"/>
  <c r="H9" s="1"/>
  <c r="L9"/>
  <c r="R9"/>
  <c r="F10"/>
  <c r="G10"/>
  <c r="H10" s="1"/>
  <c r="L10"/>
  <c r="R10"/>
  <c r="F11"/>
  <c r="G11"/>
  <c r="H11" s="1"/>
  <c r="L11"/>
  <c r="F12"/>
  <c r="G12"/>
  <c r="H12" s="1"/>
  <c r="L12"/>
  <c r="F13"/>
  <c r="G13"/>
  <c r="L13"/>
  <c r="F14"/>
  <c r="G14"/>
  <c r="L14"/>
  <c r="F15"/>
  <c r="G15"/>
  <c r="L15"/>
  <c r="D16"/>
  <c r="F16"/>
  <c r="G16"/>
  <c r="H16"/>
  <c r="I16"/>
  <c r="K16"/>
  <c r="L16"/>
  <c r="D17"/>
  <c r="F17" s="1"/>
  <c r="G17"/>
  <c r="H17" s="1"/>
  <c r="L17"/>
  <c r="D18"/>
  <c r="F18" s="1"/>
  <c r="G18"/>
  <c r="H18" s="1"/>
  <c r="L18"/>
  <c r="D19"/>
  <c r="F19" s="1"/>
  <c r="G19"/>
  <c r="L19"/>
  <c r="R19"/>
  <c r="D20"/>
  <c r="F20" s="1"/>
  <c r="G20"/>
  <c r="H20" s="1"/>
  <c r="I20"/>
  <c r="K20" s="1"/>
  <c r="L20"/>
  <c r="R20"/>
  <c r="D21"/>
  <c r="F21" s="1"/>
  <c r="G21"/>
  <c r="L21"/>
  <c r="R21"/>
  <c r="R24" s="1"/>
  <c r="R25" s="1"/>
  <c r="R26" s="1"/>
  <c r="D22"/>
  <c r="F22" s="1"/>
  <c r="G22"/>
  <c r="H22" s="1"/>
  <c r="L22"/>
  <c r="D23"/>
  <c r="F23" s="1"/>
  <c r="G23"/>
  <c r="H23" s="1"/>
  <c r="L23"/>
  <c r="D24"/>
  <c r="F24" s="1"/>
  <c r="G24"/>
  <c r="H24" s="1"/>
  <c r="L24"/>
  <c r="D25"/>
  <c r="F25" s="1"/>
  <c r="G25"/>
  <c r="L25"/>
  <c r="D26"/>
  <c r="F26" s="1"/>
  <c r="G26"/>
  <c r="H26" s="1"/>
  <c r="I26"/>
  <c r="K26" s="1"/>
  <c r="L26"/>
  <c r="D27"/>
  <c r="F27" s="1"/>
  <c r="G27"/>
  <c r="H27" s="1"/>
  <c r="L27"/>
  <c r="D28"/>
  <c r="F28" s="1"/>
  <c r="G28"/>
  <c r="L28"/>
  <c r="D29"/>
  <c r="F29" s="1"/>
  <c r="G29"/>
  <c r="H29" s="1"/>
  <c r="I29"/>
  <c r="K29" s="1"/>
  <c r="L29"/>
  <c r="D30"/>
  <c r="F30" s="1"/>
  <c r="G30"/>
  <c r="H30" s="1"/>
  <c r="I30"/>
  <c r="K30" s="1"/>
  <c r="L30"/>
  <c r="D31"/>
  <c r="F31" s="1"/>
  <c r="G31"/>
  <c r="H31" s="1"/>
  <c r="L31"/>
  <c r="D32"/>
  <c r="F32" s="1"/>
  <c r="G32"/>
  <c r="H32" s="1"/>
  <c r="L32"/>
  <c r="D33"/>
  <c r="F33" s="1"/>
  <c r="G33"/>
  <c r="H33" s="1"/>
  <c r="L33"/>
  <c r="D34"/>
  <c r="F34" s="1"/>
  <c r="G34"/>
  <c r="H34" s="1"/>
  <c r="L34"/>
  <c r="D35"/>
  <c r="F35" s="1"/>
  <c r="G35"/>
  <c r="H35" s="1"/>
  <c r="L35"/>
  <c r="D36"/>
  <c r="F36" s="1"/>
  <c r="G36"/>
  <c r="H36" s="1"/>
  <c r="I36"/>
  <c r="K36" s="1"/>
  <c r="L36"/>
  <c r="D37"/>
  <c r="F37" s="1"/>
  <c r="G37"/>
  <c r="H37" s="1"/>
  <c r="L37"/>
  <c r="D38"/>
  <c r="F38" s="1"/>
  <c r="G38"/>
  <c r="H38" s="1"/>
  <c r="L38"/>
  <c r="D39"/>
  <c r="F39" s="1"/>
  <c r="G39"/>
  <c r="H39" s="1"/>
  <c r="L39"/>
  <c r="D40"/>
  <c r="F40" s="1"/>
  <c r="G40"/>
  <c r="L40"/>
  <c r="D41"/>
  <c r="F41" s="1"/>
  <c r="G41"/>
  <c r="H41" s="1"/>
  <c r="L41"/>
  <c r="D42"/>
  <c r="F42" s="1"/>
  <c r="G42"/>
  <c r="L42"/>
  <c r="D43"/>
  <c r="F43" s="1"/>
  <c r="G43"/>
  <c r="H43" s="1"/>
  <c r="I43"/>
  <c r="K43" s="1"/>
  <c r="L43"/>
  <c r="D44"/>
  <c r="F44" s="1"/>
  <c r="G44"/>
  <c r="L44"/>
  <c r="D45"/>
  <c r="F45" s="1"/>
  <c r="G45"/>
  <c r="H45" s="1"/>
  <c r="L45"/>
  <c r="D46"/>
  <c r="F46" s="1"/>
  <c r="G46"/>
  <c r="H46" s="1"/>
  <c r="I46"/>
  <c r="K46" s="1"/>
  <c r="L46"/>
  <c r="D47"/>
  <c r="F47" s="1"/>
  <c r="G47"/>
  <c r="H47" s="1"/>
  <c r="L47"/>
  <c r="D48"/>
  <c r="F48" s="1"/>
  <c r="G48"/>
  <c r="H48" s="1"/>
  <c r="L48"/>
  <c r="D49"/>
  <c r="F49" s="1"/>
  <c r="G49"/>
  <c r="H49" s="1"/>
  <c r="L49"/>
  <c r="D50"/>
  <c r="F50" s="1"/>
  <c r="G50"/>
  <c r="H50" s="1"/>
  <c r="L50"/>
  <c r="D51"/>
  <c r="F51" s="1"/>
  <c r="G51"/>
  <c r="H51" s="1"/>
  <c r="L51"/>
  <c r="D52"/>
  <c r="F52" s="1"/>
  <c r="G52"/>
  <c r="H52" s="1"/>
  <c r="I52"/>
  <c r="K52" s="1"/>
  <c r="L52"/>
  <c r="D53"/>
  <c r="F53" s="1"/>
  <c r="G53"/>
  <c r="H53" s="1"/>
  <c r="L53"/>
  <c r="D54"/>
  <c r="F54" s="1"/>
  <c r="G54"/>
  <c r="H54" s="1"/>
  <c r="L54"/>
  <c r="D55"/>
  <c r="F55" s="1"/>
  <c r="G55"/>
  <c r="H55" s="1"/>
  <c r="L55"/>
  <c r="D56"/>
  <c r="F56" s="1"/>
  <c r="G56"/>
  <c r="H56" s="1"/>
  <c r="L56"/>
  <c r="D57"/>
  <c r="F57" s="1"/>
  <c r="G57"/>
  <c r="H57" s="1"/>
  <c r="L57"/>
  <c r="D58"/>
  <c r="F58" s="1"/>
  <c r="G58"/>
  <c r="H58" s="1"/>
  <c r="I58"/>
  <c r="K58" s="1"/>
  <c r="L58"/>
  <c r="D59"/>
  <c r="F59" s="1"/>
  <c r="G59"/>
  <c r="H59" s="1"/>
  <c r="L59"/>
  <c r="D60"/>
  <c r="F60"/>
  <c r="G60"/>
  <c r="H60"/>
  <c r="I60"/>
  <c r="K60"/>
  <c r="L60"/>
  <c r="D61"/>
  <c r="F61" s="1"/>
  <c r="G61"/>
  <c r="H61" s="1"/>
  <c r="L61"/>
  <c r="D62"/>
  <c r="F62"/>
  <c r="G62"/>
  <c r="H62"/>
  <c r="I62"/>
  <c r="K62"/>
  <c r="L62"/>
  <c r="D63"/>
  <c r="F63" s="1"/>
  <c r="G63"/>
  <c r="H63" s="1"/>
  <c r="I63"/>
  <c r="K63" s="1"/>
  <c r="L63"/>
  <c r="D64"/>
  <c r="F64" s="1"/>
  <c r="G64"/>
  <c r="H64" s="1"/>
  <c r="I64"/>
  <c r="K64" s="1"/>
  <c r="L64"/>
  <c r="D65"/>
  <c r="F65" s="1"/>
  <c r="G65"/>
  <c r="H65" s="1"/>
  <c r="L65"/>
  <c r="D66"/>
  <c r="F66" s="1"/>
  <c r="G66"/>
  <c r="H66" s="1"/>
  <c r="L66"/>
  <c r="D67"/>
  <c r="F67" s="1"/>
  <c r="G67"/>
  <c r="H67" s="1"/>
  <c r="L67"/>
  <c r="D68"/>
  <c r="F68" s="1"/>
  <c r="G68"/>
  <c r="H68" s="1"/>
  <c r="L68"/>
  <c r="D69"/>
  <c r="F69" s="1"/>
  <c r="G69"/>
  <c r="H69" s="1"/>
  <c r="L69"/>
  <c r="D70"/>
  <c r="F70" s="1"/>
  <c r="G70"/>
  <c r="H70" s="1"/>
  <c r="I70"/>
  <c r="K70" s="1"/>
  <c r="L70"/>
  <c r="D71"/>
  <c r="F71" s="1"/>
  <c r="G71"/>
  <c r="H71" s="1"/>
  <c r="L71"/>
  <c r="D72"/>
  <c r="F72" s="1"/>
  <c r="G72"/>
  <c r="H72" s="1"/>
  <c r="L72"/>
  <c r="D73"/>
  <c r="F73" s="1"/>
  <c r="G73"/>
  <c r="H73" s="1"/>
  <c r="L73"/>
  <c r="D74"/>
  <c r="F74" s="1"/>
  <c r="G74"/>
  <c r="H74" s="1"/>
  <c r="L74"/>
  <c r="D75"/>
  <c r="F75" s="1"/>
  <c r="G75"/>
  <c r="H75" s="1"/>
  <c r="L75"/>
  <c r="D76"/>
  <c r="F76" s="1"/>
  <c r="G76"/>
  <c r="H76" s="1"/>
  <c r="I76"/>
  <c r="K76" s="1"/>
  <c r="L76"/>
  <c r="D77"/>
  <c r="F77" s="1"/>
  <c r="G77"/>
  <c r="H77" s="1"/>
  <c r="L77"/>
  <c r="D78"/>
  <c r="F78" s="1"/>
  <c r="G78"/>
  <c r="H78" s="1"/>
  <c r="I78"/>
  <c r="K78" s="1"/>
  <c r="L78"/>
  <c r="D79"/>
  <c r="E79"/>
  <c r="G79" s="1"/>
  <c r="L79"/>
  <c r="G82"/>
  <c r="H82" s="1"/>
  <c r="L82"/>
  <c r="D83"/>
  <c r="F83" s="1"/>
  <c r="G83"/>
  <c r="H83" s="1"/>
  <c r="L83"/>
  <c r="D84"/>
  <c r="F84" s="1"/>
  <c r="G84"/>
  <c r="H84" s="1"/>
  <c r="L84"/>
  <c r="D85"/>
  <c r="F85" s="1"/>
  <c r="G85"/>
  <c r="H85" s="1"/>
  <c r="L85"/>
  <c r="D86"/>
  <c r="F86" s="1"/>
  <c r="G86"/>
  <c r="H86" s="1"/>
  <c r="I86"/>
  <c r="K86" s="1"/>
  <c r="L86"/>
  <c r="D87"/>
  <c r="F87" s="1"/>
  <c r="G87"/>
  <c r="H87" s="1"/>
  <c r="L87"/>
  <c r="D88"/>
  <c r="F88" s="1"/>
  <c r="G88"/>
  <c r="H88" s="1"/>
  <c r="I88"/>
  <c r="K88" s="1"/>
  <c r="L88"/>
  <c r="D89"/>
  <c r="F89" s="1"/>
  <c r="G89"/>
  <c r="H89" s="1"/>
  <c r="L89"/>
  <c r="D90"/>
  <c r="F90" s="1"/>
  <c r="G90"/>
  <c r="H90" s="1"/>
  <c r="L90"/>
  <c r="D91"/>
  <c r="F91" s="1"/>
  <c r="G91"/>
  <c r="H91" s="1"/>
  <c r="L91"/>
  <c r="D92"/>
  <c r="F92" s="1"/>
  <c r="G92"/>
  <c r="H92" s="1"/>
  <c r="L92"/>
  <c r="D93"/>
  <c r="F93" s="1"/>
  <c r="G93"/>
  <c r="H93" s="1"/>
  <c r="L93"/>
  <c r="D94"/>
  <c r="F94" s="1"/>
  <c r="G94"/>
  <c r="H94" s="1"/>
  <c r="I94"/>
  <c r="K94" s="1"/>
  <c r="L94"/>
  <c r="D95"/>
  <c r="F95" s="1"/>
  <c r="G95"/>
  <c r="H95" s="1"/>
  <c r="L95"/>
  <c r="D96"/>
  <c r="F96" s="1"/>
  <c r="G96"/>
  <c r="H96" s="1"/>
  <c r="L96"/>
  <c r="D97"/>
  <c r="F97" s="1"/>
  <c r="G97"/>
  <c r="H97" s="1"/>
  <c r="L97"/>
  <c r="D98"/>
  <c r="F98" s="1"/>
  <c r="G98"/>
  <c r="H98" s="1"/>
  <c r="L98"/>
  <c r="D99"/>
  <c r="F99" s="1"/>
  <c r="G99"/>
  <c r="H99" s="1"/>
  <c r="L99"/>
  <c r="D100"/>
  <c r="E100"/>
  <c r="E101"/>
  <c r="G102"/>
  <c r="H102" s="1"/>
  <c r="L102"/>
  <c r="D103"/>
  <c r="E103"/>
  <c r="G104"/>
  <c r="H104" s="1"/>
  <c r="L104"/>
  <c r="D105"/>
  <c r="F105"/>
  <c r="G105"/>
  <c r="H105"/>
  <c r="I105"/>
  <c r="K105"/>
  <c r="L105"/>
  <c r="D106"/>
  <c r="F106" s="1"/>
  <c r="G106"/>
  <c r="H106" s="1"/>
  <c r="I106"/>
  <c r="K106" s="1"/>
  <c r="L106"/>
  <c r="D107"/>
  <c r="F107" s="1"/>
  <c r="G107"/>
  <c r="H107" s="1"/>
  <c r="I107"/>
  <c r="K107" s="1"/>
  <c r="L107"/>
  <c r="D108"/>
  <c r="F108" s="1"/>
  <c r="G108"/>
  <c r="H108" s="1"/>
  <c r="L108"/>
  <c r="D109"/>
  <c r="F109" s="1"/>
  <c r="G109"/>
  <c r="H109" s="1"/>
  <c r="L109"/>
  <c r="D110"/>
  <c r="E110"/>
  <c r="G110" s="1"/>
  <c r="G116"/>
  <c r="H116" s="1"/>
  <c r="L116"/>
  <c r="D117"/>
  <c r="E117"/>
  <c r="G117" s="1"/>
  <c r="G118"/>
  <c r="H118" s="1"/>
  <c r="L118"/>
  <c r="D119"/>
  <c r="E119"/>
  <c r="G119" s="1"/>
  <c r="G121"/>
  <c r="H121" s="1"/>
  <c r="I121"/>
  <c r="K121" s="1"/>
  <c r="L121"/>
  <c r="D122"/>
  <c r="F122" s="1"/>
  <c r="G122"/>
  <c r="H122" s="1"/>
  <c r="L122"/>
  <c r="D123"/>
  <c r="E123"/>
  <c r="G124"/>
  <c r="H124" s="1"/>
  <c r="L124"/>
  <c r="D125"/>
  <c r="E125"/>
  <c r="E126" s="1"/>
  <c r="G127"/>
  <c r="H127" s="1"/>
  <c r="L127"/>
  <c r="D128"/>
  <c r="F128" s="1"/>
  <c r="G128"/>
  <c r="H128" s="1"/>
  <c r="I128"/>
  <c r="K128" s="1"/>
  <c r="L128"/>
  <c r="D129"/>
  <c r="E129"/>
  <c r="G129"/>
  <c r="L129"/>
  <c r="G130"/>
  <c r="H130" s="1"/>
  <c r="L130"/>
  <c r="D131"/>
  <c r="E131"/>
  <c r="G131" s="1"/>
  <c r="E132"/>
  <c r="G132" s="1"/>
  <c r="G133"/>
  <c r="H133" s="1"/>
  <c r="L133"/>
  <c r="D134"/>
  <c r="F134" s="1"/>
  <c r="G134"/>
  <c r="H134" s="1"/>
  <c r="L134"/>
  <c r="D135"/>
  <c r="E135"/>
  <c r="G136"/>
  <c r="H136" s="1"/>
  <c r="L136"/>
  <c r="D137"/>
  <c r="E137"/>
  <c r="E138"/>
  <c r="E139" s="1"/>
  <c r="E140" s="1"/>
  <c r="E141" s="1"/>
  <c r="G142"/>
  <c r="H142" s="1"/>
  <c r="L142"/>
  <c r="D143"/>
  <c r="F143" s="1"/>
  <c r="G143"/>
  <c r="H143" s="1"/>
  <c r="L143"/>
  <c r="D144"/>
  <c r="E144"/>
  <c r="G144" s="1"/>
  <c r="G145"/>
  <c r="H145" s="1"/>
  <c r="L145"/>
  <c r="D146"/>
  <c r="E146"/>
  <c r="G146" s="1"/>
  <c r="G147"/>
  <c r="H147" s="1"/>
  <c r="L147"/>
  <c r="D148"/>
  <c r="F148" s="1"/>
  <c r="G148"/>
  <c r="H148" s="1"/>
  <c r="L148"/>
  <c r="D149"/>
  <c r="E149"/>
  <c r="E150" s="1"/>
  <c r="E151" s="1"/>
  <c r="E152" s="1"/>
  <c r="G153"/>
  <c r="H153" s="1"/>
  <c r="L153"/>
  <c r="D154"/>
  <c r="F154"/>
  <c r="G154"/>
  <c r="H154" s="1"/>
  <c r="I154"/>
  <c r="K154" s="1"/>
  <c r="L154"/>
  <c r="D155"/>
  <c r="E155"/>
  <c r="G155" s="1"/>
  <c r="L155"/>
  <c r="G156"/>
  <c r="H156" s="1"/>
  <c r="L156"/>
  <c r="D157"/>
  <c r="F157" s="1"/>
  <c r="G157"/>
  <c r="H157" s="1"/>
  <c r="L157"/>
  <c r="D158"/>
  <c r="F158" s="1"/>
  <c r="G158"/>
  <c r="H158" s="1"/>
  <c r="I158"/>
  <c r="K158" s="1"/>
  <c r="L158"/>
  <c r="D159"/>
  <c r="E159"/>
  <c r="G159" s="1"/>
  <c r="L159"/>
  <c r="G160"/>
  <c r="H160" s="1"/>
  <c r="L160"/>
  <c r="D161"/>
  <c r="E161"/>
  <c r="G161" s="1"/>
  <c r="G163"/>
  <c r="H163" s="1"/>
  <c r="L163"/>
  <c r="D164"/>
  <c r="E164"/>
  <c r="G164" s="1"/>
  <c r="H164" s="1"/>
  <c r="G166"/>
  <c r="H166" s="1"/>
  <c r="L166"/>
  <c r="D167"/>
  <c r="E167"/>
  <c r="G167" s="1"/>
  <c r="H167" s="1"/>
  <c r="G170"/>
  <c r="L170"/>
  <c r="D171"/>
  <c r="E171"/>
  <c r="G174"/>
  <c r="H174" s="1"/>
  <c r="L174"/>
  <c r="D175"/>
  <c r="E175"/>
  <c r="G175" s="1"/>
  <c r="G176"/>
  <c r="H176" s="1"/>
  <c r="L176"/>
  <c r="D177"/>
  <c r="F177" s="1"/>
  <c r="G177"/>
  <c r="H177" s="1"/>
  <c r="L177"/>
  <c r="D178"/>
  <c r="F178" s="1"/>
  <c r="G178"/>
  <c r="H178" s="1"/>
  <c r="I178"/>
  <c r="K178"/>
  <c r="L178"/>
  <c r="D179"/>
  <c r="F179" s="1"/>
  <c r="G179"/>
  <c r="L179"/>
  <c r="D180"/>
  <c r="F180"/>
  <c r="G180"/>
  <c r="H180"/>
  <c r="I180"/>
  <c r="K180"/>
  <c r="L180"/>
  <c r="D181"/>
  <c r="F181" s="1"/>
  <c r="G181"/>
  <c r="H181" s="1"/>
  <c r="I181"/>
  <c r="K181" s="1"/>
  <c r="L181"/>
  <c r="D182"/>
  <c r="F182" s="1"/>
  <c r="G182"/>
  <c r="H182" s="1"/>
  <c r="I182"/>
  <c r="K182" s="1"/>
  <c r="L182"/>
  <c r="D183"/>
  <c r="F183" s="1"/>
  <c r="G183"/>
  <c r="L183"/>
  <c r="D184"/>
  <c r="F184" s="1"/>
  <c r="G184"/>
  <c r="H184" s="1"/>
  <c r="L184"/>
  <c r="D185"/>
  <c r="E185"/>
  <c r="G185" s="1"/>
  <c r="G187"/>
  <c r="H187" s="1"/>
  <c r="L187"/>
  <c r="D188"/>
  <c r="E188"/>
  <c r="G188" s="1"/>
  <c r="G190"/>
  <c r="H190" s="1"/>
  <c r="L190"/>
  <c r="D191"/>
  <c r="E191"/>
  <c r="G191" s="1"/>
  <c r="G193"/>
  <c r="H193" s="1"/>
  <c r="L193"/>
  <c r="D194"/>
  <c r="E194"/>
  <c r="G194" s="1"/>
  <c r="G195"/>
  <c r="H195" s="1"/>
  <c r="L195"/>
  <c r="D196"/>
  <c r="E196"/>
  <c r="G196" s="1"/>
  <c r="G199"/>
  <c r="H199" s="1"/>
  <c r="L199"/>
  <c r="D200"/>
  <c r="E200"/>
  <c r="G200" s="1"/>
  <c r="G201"/>
  <c r="H201" s="1"/>
  <c r="I201"/>
  <c r="K201" s="1"/>
  <c r="L201"/>
  <c r="D202"/>
  <c r="F202" s="1"/>
  <c r="G202"/>
  <c r="L202"/>
  <c r="D203"/>
  <c r="F203" s="1"/>
  <c r="G203"/>
  <c r="H203" s="1"/>
  <c r="I203"/>
  <c r="K203" s="1"/>
  <c r="L203"/>
  <c r="D204"/>
  <c r="F204" s="1"/>
  <c r="G204"/>
  <c r="H204" s="1"/>
  <c r="I204"/>
  <c r="K204" s="1"/>
  <c r="L204"/>
  <c r="D205"/>
  <c r="F205" s="1"/>
  <c r="G205"/>
  <c r="H205" s="1"/>
  <c r="L205"/>
  <c r="D206"/>
  <c r="F206" s="1"/>
  <c r="G206"/>
  <c r="H206" s="1"/>
  <c r="I206"/>
  <c r="K206" s="1"/>
  <c r="L206"/>
  <c r="D207"/>
  <c r="F207" s="1"/>
  <c r="G207"/>
  <c r="H207" s="1"/>
  <c r="L207"/>
  <c r="D208"/>
  <c r="F208" s="1"/>
  <c r="G208"/>
  <c r="H208" s="1"/>
  <c r="L208"/>
  <c r="D209"/>
  <c r="E209"/>
  <c r="G209" s="1"/>
  <c r="G212"/>
  <c r="H212" s="1"/>
  <c r="I212"/>
  <c r="K212" s="1"/>
  <c r="L212"/>
  <c r="D213"/>
  <c r="E213"/>
  <c r="G213" s="1"/>
  <c r="I213" s="1"/>
  <c r="K213" s="1"/>
  <c r="L213"/>
  <c r="G215"/>
  <c r="H215" s="1"/>
  <c r="L215"/>
  <c r="D216"/>
  <c r="E216"/>
  <c r="G216" s="1"/>
  <c r="G218"/>
  <c r="H218" s="1"/>
  <c r="I218"/>
  <c r="K218" s="1"/>
  <c r="L218"/>
  <c r="D219"/>
  <c r="E219"/>
  <c r="G219" s="1"/>
  <c r="L219"/>
  <c r="G220"/>
  <c r="H220" s="1"/>
  <c r="L220"/>
  <c r="D221"/>
  <c r="E221"/>
  <c r="G221" s="1"/>
  <c r="G223"/>
  <c r="H223" s="1"/>
  <c r="L223"/>
  <c r="D224"/>
  <c r="E224"/>
  <c r="G224" s="1"/>
  <c r="G225"/>
  <c r="H225" s="1"/>
  <c r="L225"/>
  <c r="D226"/>
  <c r="E226"/>
  <c r="G226" s="1"/>
  <c r="G228"/>
  <c r="H228" s="1"/>
  <c r="I228"/>
  <c r="K228" s="1"/>
  <c r="L228"/>
  <c r="D229"/>
  <c r="F229" s="1"/>
  <c r="G229"/>
  <c r="H229" s="1"/>
  <c r="L229"/>
  <c r="D230"/>
  <c r="E230"/>
  <c r="E231" s="1"/>
  <c r="G232"/>
  <c r="H232" s="1"/>
  <c r="L232"/>
  <c r="D233"/>
  <c r="F233" s="1"/>
  <c r="G233"/>
  <c r="H233" s="1"/>
  <c r="L233"/>
  <c r="D234"/>
  <c r="E234"/>
  <c r="G234" s="1"/>
  <c r="G235"/>
  <c r="H235" s="1"/>
  <c r="I235"/>
  <c r="K235" s="1"/>
  <c r="L235"/>
  <c r="D236"/>
  <c r="F236" s="1"/>
  <c r="G236"/>
  <c r="H236" s="1"/>
  <c r="L236"/>
  <c r="D237"/>
  <c r="E237"/>
  <c r="E238" s="1"/>
  <c r="G239"/>
  <c r="H239" s="1"/>
  <c r="L239"/>
  <c r="D240"/>
  <c r="F240" s="1"/>
  <c r="G240"/>
  <c r="H240" s="1"/>
  <c r="L240"/>
  <c r="D241"/>
  <c r="F241" s="1"/>
  <c r="G241"/>
  <c r="H241" s="1"/>
  <c r="L241"/>
  <c r="D242"/>
  <c r="F242" s="1"/>
  <c r="G242"/>
  <c r="H242" s="1"/>
  <c r="L242"/>
  <c r="D243"/>
  <c r="F243" s="1"/>
  <c r="G243"/>
  <c r="H243" s="1"/>
  <c r="L243"/>
  <c r="D244"/>
  <c r="E244"/>
  <c r="G245"/>
  <c r="H245" s="1"/>
  <c r="L245"/>
  <c r="D246"/>
  <c r="F246" s="1"/>
  <c r="G246"/>
  <c r="H246" s="1"/>
  <c r="L246"/>
  <c r="D247"/>
  <c r="F247" s="1"/>
  <c r="G247"/>
  <c r="H247" s="1"/>
  <c r="L247"/>
  <c r="D248"/>
  <c r="F248" s="1"/>
  <c r="G248"/>
  <c r="H248" s="1"/>
  <c r="I248"/>
  <c r="K248" s="1"/>
  <c r="L248"/>
  <c r="D249"/>
  <c r="E249"/>
  <c r="G249" s="1"/>
  <c r="L249"/>
  <c r="G251"/>
  <c r="H251" s="1"/>
  <c r="I251"/>
  <c r="K251" s="1"/>
  <c r="L251"/>
  <c r="D252"/>
  <c r="F252" s="1"/>
  <c r="G252"/>
  <c r="H252" s="1"/>
  <c r="L252"/>
  <c r="D253"/>
  <c r="F253"/>
  <c r="G253"/>
  <c r="H253"/>
  <c r="I253"/>
  <c r="K253"/>
  <c r="L253"/>
  <c r="D254"/>
  <c r="E254"/>
  <c r="G254"/>
  <c r="L254"/>
  <c r="G255"/>
  <c r="H255" s="1"/>
  <c r="L255"/>
  <c r="D256"/>
  <c r="F256" s="1"/>
  <c r="G256"/>
  <c r="H256" s="1"/>
  <c r="L256"/>
  <c r="D257"/>
  <c r="E257"/>
  <c r="G258"/>
  <c r="H258" s="1"/>
  <c r="L258"/>
  <c r="D259"/>
  <c r="E259"/>
  <c r="G260"/>
  <c r="H260" s="1"/>
  <c r="L260"/>
  <c r="D261"/>
  <c r="E261"/>
  <c r="E262" s="1"/>
  <c r="G263"/>
  <c r="H263" s="1"/>
  <c r="L263"/>
  <c r="D264"/>
  <c r="F264"/>
  <c r="G264"/>
  <c r="H264"/>
  <c r="I264"/>
  <c r="K264" s="1"/>
  <c r="L264"/>
  <c r="D265"/>
  <c r="F265" s="1"/>
  <c r="G265"/>
  <c r="H265" s="1"/>
  <c r="L265"/>
  <c r="D266"/>
  <c r="F266"/>
  <c r="G266"/>
  <c r="H266"/>
  <c r="I266"/>
  <c r="K266" s="1"/>
  <c r="L266"/>
  <c r="D267"/>
  <c r="F267" s="1"/>
  <c r="G267"/>
  <c r="H267" s="1"/>
  <c r="I267"/>
  <c r="K267" s="1"/>
  <c r="L267"/>
  <c r="D268"/>
  <c r="F268" s="1"/>
  <c r="G268"/>
  <c r="H268" s="1"/>
  <c r="I268"/>
  <c r="K268" s="1"/>
  <c r="L268"/>
  <c r="D269"/>
  <c r="F269" s="1"/>
  <c r="G269"/>
  <c r="H269" s="1"/>
  <c r="L269"/>
  <c r="D270"/>
  <c r="F270" s="1"/>
  <c r="G270"/>
  <c r="H270" s="1"/>
  <c r="L270"/>
  <c r="D271"/>
  <c r="F271" s="1"/>
  <c r="G271"/>
  <c r="H271" s="1"/>
  <c r="L271"/>
  <c r="D272"/>
  <c r="F272" s="1"/>
  <c r="G272"/>
  <c r="H272" s="1"/>
  <c r="I272"/>
  <c r="K272" s="1"/>
  <c r="L272"/>
  <c r="D273"/>
  <c r="F273" s="1"/>
  <c r="G273"/>
  <c r="H273" s="1"/>
  <c r="L273"/>
  <c r="D274"/>
  <c r="F274" s="1"/>
  <c r="G274"/>
  <c r="H274" s="1"/>
  <c r="L274"/>
  <c r="D275"/>
  <c r="F275" s="1"/>
  <c r="G275"/>
  <c r="H275" s="1"/>
  <c r="L275"/>
  <c r="D276"/>
  <c r="E276"/>
  <c r="G277"/>
  <c r="H277" s="1"/>
  <c r="L277"/>
  <c r="D278"/>
  <c r="F278" s="1"/>
  <c r="G278"/>
  <c r="H278" s="1"/>
  <c r="I278"/>
  <c r="K278" s="1"/>
  <c r="L278"/>
  <c r="D279"/>
  <c r="F279" s="1"/>
  <c r="G279"/>
  <c r="H279" s="1"/>
  <c r="L279"/>
  <c r="D280"/>
  <c r="F280" s="1"/>
  <c r="G280"/>
  <c r="H280" s="1"/>
  <c r="I280"/>
  <c r="K280" s="1"/>
  <c r="L280"/>
  <c r="D281"/>
  <c r="F281" s="1"/>
  <c r="G281"/>
  <c r="H281" s="1"/>
  <c r="L281"/>
  <c r="D282"/>
  <c r="F282" s="1"/>
  <c r="G282"/>
  <c r="H282" s="1"/>
  <c r="L282"/>
  <c r="D283"/>
  <c r="F283" s="1"/>
  <c r="G283"/>
  <c r="H283" s="1"/>
  <c r="L283"/>
  <c r="D284"/>
  <c r="F284" s="1"/>
  <c r="G284"/>
  <c r="H284" s="1"/>
  <c r="L284"/>
  <c r="D285"/>
  <c r="E285"/>
  <c r="G285" s="1"/>
  <c r="G286"/>
  <c r="H286" s="1"/>
  <c r="I286"/>
  <c r="K286" s="1"/>
  <c r="L286"/>
  <c r="D287"/>
  <c r="F287" s="1"/>
  <c r="G287"/>
  <c r="H287" s="1"/>
  <c r="L287"/>
  <c r="D288"/>
  <c r="F288" s="1"/>
  <c r="G288"/>
  <c r="H288" s="1"/>
  <c r="L288"/>
  <c r="D289"/>
  <c r="F289" s="1"/>
  <c r="G289"/>
  <c r="H289" s="1"/>
  <c r="L289"/>
  <c r="D290"/>
  <c r="F290" s="1"/>
  <c r="G290"/>
  <c r="H290" s="1"/>
  <c r="L290"/>
  <c r="D291"/>
  <c r="F291" s="1"/>
  <c r="G291"/>
  <c r="H291" s="1"/>
  <c r="L291"/>
  <c r="D292"/>
  <c r="F292" s="1"/>
  <c r="G292"/>
  <c r="H292" s="1"/>
  <c r="I292"/>
  <c r="K292" s="1"/>
  <c r="L292"/>
  <c r="D293"/>
  <c r="F293" s="1"/>
  <c r="G293"/>
  <c r="H293" s="1"/>
  <c r="L293"/>
  <c r="D294"/>
  <c r="E294"/>
  <c r="G295"/>
  <c r="H295" s="1"/>
  <c r="I295"/>
  <c r="K295" s="1"/>
  <c r="L295"/>
  <c r="D296"/>
  <c r="F296" s="1"/>
  <c r="G296"/>
  <c r="H296" s="1"/>
  <c r="I296"/>
  <c r="K296" s="1"/>
  <c r="L296"/>
  <c r="D297"/>
  <c r="E297"/>
  <c r="G297" s="1"/>
  <c r="L297"/>
  <c r="G298"/>
  <c r="H298"/>
  <c r="I298"/>
  <c r="K298"/>
  <c r="L298"/>
  <c r="D299"/>
  <c r="F299" s="1"/>
  <c r="G299"/>
  <c r="H299" s="1"/>
  <c r="I299"/>
  <c r="K299" s="1"/>
  <c r="L299"/>
  <c r="D300"/>
  <c r="F300" s="1"/>
  <c r="G300"/>
  <c r="H300" s="1"/>
  <c r="I300"/>
  <c r="K300" s="1"/>
  <c r="L300"/>
  <c r="D301"/>
  <c r="F301" s="1"/>
  <c r="G301"/>
  <c r="H301" s="1"/>
  <c r="L301"/>
  <c r="D302"/>
  <c r="E302"/>
  <c r="G303"/>
  <c r="H303" s="1"/>
  <c r="L303"/>
  <c r="D304"/>
  <c r="F304" s="1"/>
  <c r="G304"/>
  <c r="H304" s="1"/>
  <c r="L304"/>
  <c r="D305"/>
  <c r="E305"/>
  <c r="G305" s="1"/>
  <c r="G306"/>
  <c r="H306" s="1"/>
  <c r="I306"/>
  <c r="K306" s="1"/>
  <c r="L306"/>
  <c r="D307"/>
  <c r="F307" s="1"/>
  <c r="G307"/>
  <c r="H307" s="1"/>
  <c r="L307"/>
  <c r="D308"/>
  <c r="F308" s="1"/>
  <c r="G308"/>
  <c r="H308" s="1"/>
  <c r="I308"/>
  <c r="K308" s="1"/>
  <c r="L308"/>
  <c r="D309"/>
  <c r="F309" s="1"/>
  <c r="G309"/>
  <c r="H309" s="1"/>
  <c r="L309"/>
  <c r="D310"/>
  <c r="F310" s="1"/>
  <c r="G310"/>
  <c r="H310" s="1"/>
  <c r="L310"/>
  <c r="D311"/>
  <c r="F311" s="1"/>
  <c r="G311"/>
  <c r="H311" s="1"/>
  <c r="L311"/>
  <c r="D312"/>
  <c r="F312" s="1"/>
  <c r="G312"/>
  <c r="H312" s="1"/>
  <c r="L312"/>
  <c r="D313"/>
  <c r="F313" s="1"/>
  <c r="G313"/>
  <c r="H313" s="1"/>
  <c r="L313"/>
  <c r="D314"/>
  <c r="F314" s="1"/>
  <c r="G314"/>
  <c r="H314" s="1"/>
  <c r="I314"/>
  <c r="K314" s="1"/>
  <c r="L314"/>
  <c r="D315"/>
  <c r="E315"/>
  <c r="G315" s="1"/>
  <c r="L315"/>
  <c r="G316"/>
  <c r="H316" s="1"/>
  <c r="L316"/>
  <c r="D317"/>
  <c r="E317"/>
  <c r="G317" s="1"/>
  <c r="G318"/>
  <c r="H318" s="1"/>
  <c r="L318"/>
  <c r="D319"/>
  <c r="F319" s="1"/>
  <c r="G319"/>
  <c r="H319" s="1"/>
  <c r="L319"/>
  <c r="D320"/>
  <c r="E320"/>
  <c r="G321"/>
  <c r="H321" s="1"/>
  <c r="L321"/>
  <c r="D322"/>
  <c r="E322"/>
  <c r="E323" s="1"/>
  <c r="G324"/>
  <c r="H324" s="1"/>
  <c r="L324"/>
  <c r="D325"/>
  <c r="E325"/>
  <c r="E326"/>
  <c r="G327"/>
  <c r="H327" s="1"/>
  <c r="L327"/>
  <c r="D328"/>
  <c r="F328"/>
  <c r="G328"/>
  <c r="H328"/>
  <c r="I328"/>
  <c r="K328"/>
  <c r="L328"/>
  <c r="D329"/>
  <c r="F329" s="1"/>
  <c r="G329"/>
  <c r="H329" s="1"/>
  <c r="I329"/>
  <c r="K329" s="1"/>
  <c r="L329"/>
  <c r="D330"/>
  <c r="E330"/>
  <c r="G331"/>
  <c r="H331" s="1"/>
  <c r="L331"/>
  <c r="D332"/>
  <c r="F332" s="1"/>
  <c r="G332"/>
  <c r="H332" s="1"/>
  <c r="I332"/>
  <c r="K332" s="1"/>
  <c r="L332"/>
  <c r="D333"/>
  <c r="F333" s="1"/>
  <c r="G333"/>
  <c r="H333" s="1"/>
  <c r="L333"/>
  <c r="D334"/>
  <c r="F334" s="1"/>
  <c r="G334"/>
  <c r="H334" s="1"/>
  <c r="L334"/>
  <c r="D335"/>
  <c r="F335" s="1"/>
  <c r="G335"/>
  <c r="H335" s="1"/>
  <c r="L335"/>
  <c r="D336"/>
  <c r="F336" s="1"/>
  <c r="G336"/>
  <c r="H336" s="1"/>
  <c r="L336"/>
  <c r="D337"/>
  <c r="F337" s="1"/>
  <c r="G337"/>
  <c r="H337" s="1"/>
  <c r="L337"/>
  <c r="D338"/>
  <c r="E338"/>
  <c r="G339"/>
  <c r="H339" s="1"/>
  <c r="L339"/>
  <c r="D340"/>
  <c r="F340" s="1"/>
  <c r="G340"/>
  <c r="H340" s="1"/>
  <c r="I340"/>
  <c r="K340" s="1"/>
  <c r="L340"/>
  <c r="D341"/>
  <c r="F341" s="1"/>
  <c r="G341"/>
  <c r="H341" s="1"/>
  <c r="L341"/>
  <c r="D342"/>
  <c r="F342"/>
  <c r="G342"/>
  <c r="H342"/>
  <c r="I342"/>
  <c r="K342"/>
  <c r="L342"/>
  <c r="D343"/>
  <c r="F343" s="1"/>
  <c r="G343"/>
  <c r="H343" s="1"/>
  <c r="I343"/>
  <c r="K343" s="1"/>
  <c r="L343"/>
  <c r="D344"/>
  <c r="F344" s="1"/>
  <c r="G344"/>
  <c r="H344" s="1"/>
  <c r="I344"/>
  <c r="K344" s="1"/>
  <c r="L344"/>
  <c r="D345"/>
  <c r="F345" s="1"/>
  <c r="G345"/>
  <c r="H345" s="1"/>
  <c r="L345"/>
  <c r="D346"/>
  <c r="F346"/>
  <c r="G346"/>
  <c r="H346"/>
  <c r="I346"/>
  <c r="K346"/>
  <c r="L346"/>
  <c r="D347"/>
  <c r="F347" s="1"/>
  <c r="G347"/>
  <c r="H347" s="1"/>
  <c r="I347"/>
  <c r="K347" s="1"/>
  <c r="L347"/>
  <c r="D348"/>
  <c r="F348" s="1"/>
  <c r="G348"/>
  <c r="H348" s="1"/>
  <c r="I348"/>
  <c r="K348" s="1"/>
  <c r="L348"/>
  <c r="D349"/>
  <c r="F349" s="1"/>
  <c r="G349"/>
  <c r="H349" s="1"/>
  <c r="L349"/>
  <c r="D350"/>
  <c r="F350"/>
  <c r="G350"/>
  <c r="H350"/>
  <c r="I350"/>
  <c r="K350"/>
  <c r="L350"/>
  <c r="D351"/>
  <c r="F351" s="1"/>
  <c r="G351"/>
  <c r="H351" s="1"/>
  <c r="I351"/>
  <c r="K351" s="1"/>
  <c r="L351"/>
  <c r="D352"/>
  <c r="F352" s="1"/>
  <c r="G352"/>
  <c r="H352" s="1"/>
  <c r="I352"/>
  <c r="K352" s="1"/>
  <c r="L352"/>
  <c r="D353"/>
  <c r="F353" s="1"/>
  <c r="G353"/>
  <c r="H353" s="1"/>
  <c r="L353"/>
  <c r="D354"/>
  <c r="F354"/>
  <c r="G354"/>
  <c r="H354"/>
  <c r="I354"/>
  <c r="K354"/>
  <c r="L354"/>
  <c r="D355"/>
  <c r="F355" s="1"/>
  <c r="G355"/>
  <c r="H355" s="1"/>
  <c r="I355"/>
  <c r="K355" s="1"/>
  <c r="L355"/>
  <c r="D356"/>
  <c r="F356" s="1"/>
  <c r="G356"/>
  <c r="H356" s="1"/>
  <c r="I356"/>
  <c r="K356" s="1"/>
  <c r="L356"/>
  <c r="D357"/>
  <c r="F357" s="1"/>
  <c r="G357"/>
  <c r="H357" s="1"/>
  <c r="L357"/>
  <c r="D358"/>
  <c r="F358"/>
  <c r="G358"/>
  <c r="H358"/>
  <c r="I358"/>
  <c r="K358"/>
  <c r="L358"/>
  <c r="D359"/>
  <c r="F359" s="1"/>
  <c r="G359"/>
  <c r="H359" s="1"/>
  <c r="I359"/>
  <c r="K359" s="1"/>
  <c r="L359"/>
  <c r="D360"/>
  <c r="F360" s="1"/>
  <c r="G360"/>
  <c r="H360" s="1"/>
  <c r="I360"/>
  <c r="K360" s="1"/>
  <c r="L360"/>
  <c r="D361"/>
  <c r="F361" s="1"/>
  <c r="G361"/>
  <c r="H361" s="1"/>
  <c r="L361"/>
  <c r="D362"/>
  <c r="F362"/>
  <c r="G362"/>
  <c r="H362"/>
  <c r="I362"/>
  <c r="K362"/>
  <c r="L362"/>
  <c r="D363"/>
  <c r="F363" s="1"/>
  <c r="G363"/>
  <c r="H363" s="1"/>
  <c r="I363"/>
  <c r="K363" s="1"/>
  <c r="L363"/>
  <c r="D364"/>
  <c r="F364" s="1"/>
  <c r="G364"/>
  <c r="H364" s="1"/>
  <c r="I364"/>
  <c r="K364" s="1"/>
  <c r="L364"/>
  <c r="D365"/>
  <c r="F365" s="1"/>
  <c r="G365"/>
  <c r="H365" s="1"/>
  <c r="L365"/>
  <c r="D366"/>
  <c r="F366"/>
  <c r="G366"/>
  <c r="H366"/>
  <c r="I366"/>
  <c r="K366"/>
  <c r="L366"/>
  <c r="D367"/>
  <c r="F367" s="1"/>
  <c r="G367"/>
  <c r="H367" s="1"/>
  <c r="I367"/>
  <c r="K367" s="1"/>
  <c r="L367"/>
  <c r="D368"/>
  <c r="F368" s="1"/>
  <c r="G368"/>
  <c r="H368" s="1"/>
  <c r="I368"/>
  <c r="K368" s="1"/>
  <c r="L368"/>
  <c r="D369"/>
  <c r="F369" s="1"/>
  <c r="G369"/>
  <c r="H369" s="1"/>
  <c r="L369"/>
  <c r="D370"/>
  <c r="F370"/>
  <c r="G370"/>
  <c r="H370"/>
  <c r="I370"/>
  <c r="K370"/>
  <c r="L370"/>
  <c r="D371"/>
  <c r="F371" s="1"/>
  <c r="G371"/>
  <c r="H371" s="1"/>
  <c r="I371"/>
  <c r="K371" s="1"/>
  <c r="L371"/>
  <c r="D372"/>
  <c r="F372" s="1"/>
  <c r="G372"/>
  <c r="H372" s="1"/>
  <c r="I372"/>
  <c r="K372" s="1"/>
  <c r="L372"/>
  <c r="D373"/>
  <c r="F373" s="1"/>
  <c r="G373"/>
  <c r="H373" s="1"/>
  <c r="L373"/>
  <c r="D374"/>
  <c r="F374"/>
  <c r="G374"/>
  <c r="H374"/>
  <c r="I374"/>
  <c r="K374"/>
  <c r="L374"/>
  <c r="D375"/>
  <c r="F375" s="1"/>
  <c r="G375"/>
  <c r="H375" s="1"/>
  <c r="I375"/>
  <c r="K375" s="1"/>
  <c r="L375"/>
  <c r="D376"/>
  <c r="F376" s="1"/>
  <c r="G376"/>
  <c r="H376" s="1"/>
  <c r="I376"/>
  <c r="K376" s="1"/>
  <c r="L376"/>
  <c r="D377"/>
  <c r="F377" s="1"/>
  <c r="G377"/>
  <c r="H377" s="1"/>
  <c r="L377"/>
  <c r="D378"/>
  <c r="F378"/>
  <c r="G378"/>
  <c r="H378"/>
  <c r="I378"/>
  <c r="K378"/>
  <c r="L378"/>
  <c r="D379"/>
  <c r="F379" s="1"/>
  <c r="G379"/>
  <c r="H379" s="1"/>
  <c r="I379"/>
  <c r="K379" s="1"/>
  <c r="L379"/>
  <c r="D380"/>
  <c r="F380" s="1"/>
  <c r="G380"/>
  <c r="H380" s="1"/>
  <c r="I380"/>
  <c r="K380" s="1"/>
  <c r="L380"/>
  <c r="D381"/>
  <c r="F381" s="1"/>
  <c r="G381"/>
  <c r="H381" s="1"/>
  <c r="L381"/>
  <c r="D382"/>
  <c r="F382"/>
  <c r="G382"/>
  <c r="H382"/>
  <c r="I382"/>
  <c r="K382"/>
  <c r="L382"/>
  <c r="D383"/>
  <c r="F383" s="1"/>
  <c r="G383"/>
  <c r="H383" s="1"/>
  <c r="I383"/>
  <c r="K383" s="1"/>
  <c r="L383"/>
  <c r="D384"/>
  <c r="F384" s="1"/>
  <c r="G384"/>
  <c r="H384" s="1"/>
  <c r="I384"/>
  <c r="K384" s="1"/>
  <c r="L384"/>
  <c r="D385"/>
  <c r="F385" s="1"/>
  <c r="G385"/>
  <c r="H385" s="1"/>
  <c r="L385"/>
  <c r="D386"/>
  <c r="F386"/>
  <c r="G386"/>
  <c r="H386"/>
  <c r="I386"/>
  <c r="K386"/>
  <c r="L386"/>
  <c r="D387"/>
  <c r="F387" s="1"/>
  <c r="G387"/>
  <c r="H387" s="1"/>
  <c r="I387"/>
  <c r="K387" s="1"/>
  <c r="L387"/>
  <c r="D388"/>
  <c r="F388" s="1"/>
  <c r="G388"/>
  <c r="H388" s="1"/>
  <c r="I388"/>
  <c r="K388" s="1"/>
  <c r="L388"/>
  <c r="D389"/>
  <c r="F389" s="1"/>
  <c r="G389"/>
  <c r="H389" s="1"/>
  <c r="L389"/>
  <c r="D390"/>
  <c r="F390"/>
  <c r="G390"/>
  <c r="H390"/>
  <c r="I390"/>
  <c r="K390"/>
  <c r="L390"/>
  <c r="D391"/>
  <c r="F391" s="1"/>
  <c r="G391"/>
  <c r="H391" s="1"/>
  <c r="I391"/>
  <c r="K391" s="1"/>
  <c r="L391"/>
  <c r="D392"/>
  <c r="F392" s="1"/>
  <c r="G392"/>
  <c r="H392" s="1"/>
  <c r="I392"/>
  <c r="K392" s="1"/>
  <c r="L392"/>
  <c r="D393"/>
  <c r="F393" s="1"/>
  <c r="G393"/>
  <c r="H393" s="1"/>
  <c r="L393"/>
  <c r="D394"/>
  <c r="F394"/>
  <c r="G394"/>
  <c r="H394"/>
  <c r="I394"/>
  <c r="K394"/>
  <c r="L394"/>
  <c r="D395"/>
  <c r="F395" s="1"/>
  <c r="G395"/>
  <c r="H395" s="1"/>
  <c r="I395"/>
  <c r="K395" s="1"/>
  <c r="L395"/>
  <c r="D396"/>
  <c r="F396" s="1"/>
  <c r="G396"/>
  <c r="H396" s="1"/>
  <c r="I396"/>
  <c r="K396" s="1"/>
  <c r="L396"/>
  <c r="D397"/>
  <c r="F397" s="1"/>
  <c r="G397"/>
  <c r="H397" s="1"/>
  <c r="L397"/>
  <c r="D398"/>
  <c r="F398"/>
  <c r="G398"/>
  <c r="H398"/>
  <c r="I398"/>
  <c r="K398"/>
  <c r="L398"/>
  <c r="D399"/>
  <c r="F399" s="1"/>
  <c r="G399"/>
  <c r="H399" s="1"/>
  <c r="I399"/>
  <c r="K399" s="1"/>
  <c r="L399"/>
  <c r="D400"/>
  <c r="F400" s="1"/>
  <c r="G400"/>
  <c r="H400" s="1"/>
  <c r="I400"/>
  <c r="K400" s="1"/>
  <c r="L400"/>
  <c r="D401"/>
  <c r="F401" s="1"/>
  <c r="G401"/>
  <c r="H401" s="1"/>
  <c r="L401"/>
  <c r="D402"/>
  <c r="F402"/>
  <c r="G402"/>
  <c r="H402"/>
  <c r="I402"/>
  <c r="K402"/>
  <c r="L402"/>
  <c r="D403"/>
  <c r="F403" s="1"/>
  <c r="G403"/>
  <c r="H403" s="1"/>
  <c r="I403"/>
  <c r="K403" s="1"/>
  <c r="L403"/>
  <c r="D404"/>
  <c r="F404" s="1"/>
  <c r="G404"/>
  <c r="H404" s="1"/>
  <c r="I404"/>
  <c r="K404" s="1"/>
  <c r="L404"/>
  <c r="D405"/>
  <c r="F405" s="1"/>
  <c r="G405"/>
  <c r="H405" s="1"/>
  <c r="L405"/>
  <c r="D406"/>
  <c r="F406"/>
  <c r="G406"/>
  <c r="H406"/>
  <c r="I406"/>
  <c r="K406"/>
  <c r="L406"/>
  <c r="D407"/>
  <c r="F407" s="1"/>
  <c r="G407"/>
  <c r="H407" s="1"/>
  <c r="I407"/>
  <c r="K407" s="1"/>
  <c r="L407"/>
  <c r="D408"/>
  <c r="F408" s="1"/>
  <c r="G408"/>
  <c r="H408" s="1"/>
  <c r="I408"/>
  <c r="K408" s="1"/>
  <c r="L408"/>
  <c r="D409"/>
  <c r="F409" s="1"/>
  <c r="G409"/>
  <c r="H409" s="1"/>
  <c r="L409"/>
  <c r="D410"/>
  <c r="F410"/>
  <c r="G410"/>
  <c r="H410"/>
  <c r="I410"/>
  <c r="K410"/>
  <c r="L410"/>
  <c r="D411"/>
  <c r="E411"/>
  <c r="G411"/>
  <c r="H411" s="1"/>
  <c r="D412"/>
  <c r="F412" s="1"/>
  <c r="G412"/>
  <c r="H412" s="1"/>
  <c r="L412"/>
  <c r="D413"/>
  <c r="F413" s="1"/>
  <c r="G413"/>
  <c r="H413" s="1"/>
  <c r="I413"/>
  <c r="K413" s="1"/>
  <c r="L413"/>
  <c r="D414"/>
  <c r="F414" s="1"/>
  <c r="G414"/>
  <c r="H414" s="1"/>
  <c r="I414"/>
  <c r="K414" s="1"/>
  <c r="L414"/>
  <c r="D415"/>
  <c r="F415" s="1"/>
  <c r="G415"/>
  <c r="H415" s="1"/>
  <c r="L415"/>
  <c r="D416"/>
  <c r="F416" s="1"/>
  <c r="G416"/>
  <c r="L416"/>
  <c r="D417"/>
  <c r="E417"/>
  <c r="G418"/>
  <c r="H418" s="1"/>
  <c r="L418"/>
  <c r="D419"/>
  <c r="F419" s="1"/>
  <c r="G419"/>
  <c r="L419"/>
  <c r="D420"/>
  <c r="F420"/>
  <c r="G420"/>
  <c r="H420"/>
  <c r="I420"/>
  <c r="K420"/>
  <c r="L420"/>
  <c r="D421"/>
  <c r="F421" s="1"/>
  <c r="G421"/>
  <c r="H421" s="1"/>
  <c r="I421"/>
  <c r="K421" s="1"/>
  <c r="L421"/>
  <c r="D422"/>
  <c r="F422" s="1"/>
  <c r="G422"/>
  <c r="H422" s="1"/>
  <c r="I422"/>
  <c r="K422" s="1"/>
  <c r="L422"/>
  <c r="D423"/>
  <c r="F423" s="1"/>
  <c r="G423"/>
  <c r="L423"/>
  <c r="D424"/>
  <c r="F424"/>
  <c r="G424"/>
  <c r="H424"/>
  <c r="I424"/>
  <c r="K424"/>
  <c r="L424"/>
  <c r="D425"/>
  <c r="F425" s="1"/>
  <c r="G425"/>
  <c r="H425" s="1"/>
  <c r="I425"/>
  <c r="K425" s="1"/>
  <c r="L425"/>
  <c r="D426"/>
  <c r="F426" s="1"/>
  <c r="G426"/>
  <c r="H426"/>
  <c r="I426"/>
  <c r="K426"/>
  <c r="L426"/>
  <c r="D427"/>
  <c r="F427" s="1"/>
  <c r="G427"/>
  <c r="H427" s="1"/>
  <c r="I427"/>
  <c r="K427" s="1"/>
  <c r="L427"/>
  <c r="D428"/>
  <c r="F428" s="1"/>
  <c r="G428"/>
  <c r="H428" s="1"/>
  <c r="I428"/>
  <c r="K428" s="1"/>
  <c r="L428"/>
  <c r="D429"/>
  <c r="F429" s="1"/>
  <c r="G429"/>
  <c r="H429" s="1"/>
  <c r="L429"/>
  <c r="D430"/>
  <c r="F430"/>
  <c r="G430"/>
  <c r="H430"/>
  <c r="I430"/>
  <c r="K430"/>
  <c r="L430"/>
  <c r="D431"/>
  <c r="E431"/>
  <c r="G431"/>
  <c r="H431" s="1"/>
  <c r="D432"/>
  <c r="F432" s="1"/>
  <c r="G432"/>
  <c r="H432" s="1"/>
  <c r="L432"/>
  <c r="D433"/>
  <c r="E433"/>
  <c r="F433"/>
  <c r="G433"/>
  <c r="H433"/>
  <c r="I433"/>
  <c r="K433"/>
  <c r="L433"/>
  <c r="D434"/>
  <c r="E434"/>
  <c r="G434"/>
  <c r="H434" s="1"/>
  <c r="D435"/>
  <c r="G436"/>
  <c r="H436" s="1"/>
  <c r="L436"/>
  <c r="D437"/>
  <c r="E437"/>
  <c r="G439"/>
  <c r="H439" s="1"/>
  <c r="L439"/>
  <c r="D440"/>
  <c r="E440"/>
  <c r="G440" s="1"/>
  <c r="H440" s="1"/>
  <c r="G442"/>
  <c r="H442" s="1"/>
  <c r="L442"/>
  <c r="D443"/>
  <c r="F443" s="1"/>
  <c r="G443"/>
  <c r="H443" s="1"/>
  <c r="L443"/>
  <c r="D444"/>
  <c r="E444"/>
  <c r="G444" s="1"/>
  <c r="H444" s="1"/>
  <c r="G445"/>
  <c r="H445" s="1"/>
  <c r="L445"/>
  <c r="D446"/>
  <c r="F446" s="1"/>
  <c r="G446"/>
  <c r="H446" s="1"/>
  <c r="L446"/>
  <c r="D447"/>
  <c r="F447" s="1"/>
  <c r="G447"/>
  <c r="H447" s="1"/>
  <c r="L447"/>
  <c r="D448"/>
  <c r="F448" s="1"/>
  <c r="G448"/>
  <c r="H448" s="1"/>
  <c r="L448"/>
  <c r="D449"/>
  <c r="F449" s="1"/>
  <c r="G449"/>
  <c r="H449" s="1"/>
  <c r="L449"/>
  <c r="D450"/>
  <c r="F450" s="1"/>
  <c r="G450"/>
  <c r="H450" s="1"/>
  <c r="L450"/>
  <c r="D451"/>
  <c r="F451" s="1"/>
  <c r="G451"/>
  <c r="H451" s="1"/>
  <c r="L451"/>
  <c r="D452"/>
  <c r="F452" s="1"/>
  <c r="G452"/>
  <c r="H452" s="1"/>
  <c r="L452"/>
  <c r="D453"/>
  <c r="E453"/>
  <c r="G453" s="1"/>
  <c r="H453" s="1"/>
  <c r="G454"/>
  <c r="H454" s="1"/>
  <c r="I454"/>
  <c r="K454" s="1"/>
  <c r="L454"/>
  <c r="D455"/>
  <c r="F455" s="1"/>
  <c r="G455"/>
  <c r="H455" s="1"/>
  <c r="L455"/>
  <c r="D456"/>
  <c r="F456" s="1"/>
  <c r="G456"/>
  <c r="H456" s="1"/>
  <c r="L456"/>
  <c r="D457"/>
  <c r="F457" s="1"/>
  <c r="G457"/>
  <c r="H457" s="1"/>
  <c r="L457"/>
  <c r="D458"/>
  <c r="F458" s="1"/>
  <c r="G458"/>
  <c r="H458" s="1"/>
  <c r="I458"/>
  <c r="K458" s="1"/>
  <c r="L458"/>
  <c r="D459"/>
  <c r="F459" s="1"/>
  <c r="G459"/>
  <c r="H459" s="1"/>
  <c r="L459"/>
  <c r="D460"/>
  <c r="F460" s="1"/>
  <c r="G460"/>
  <c r="H460" s="1"/>
  <c r="L460"/>
  <c r="D461"/>
  <c r="F461" s="1"/>
  <c r="G461"/>
  <c r="H461" s="1"/>
  <c r="L461"/>
  <c r="D462"/>
  <c r="F462" s="1"/>
  <c r="G462"/>
  <c r="H462" s="1"/>
  <c r="I462"/>
  <c r="K462" s="1"/>
  <c r="L462"/>
  <c r="D463"/>
  <c r="F463" s="1"/>
  <c r="G463"/>
  <c r="H463" s="1"/>
  <c r="L463"/>
  <c r="D464"/>
  <c r="F464" s="1"/>
  <c r="G464"/>
  <c r="H464" s="1"/>
  <c r="L464"/>
  <c r="D465"/>
  <c r="F465" s="1"/>
  <c r="G465"/>
  <c r="H465" s="1"/>
  <c r="L465"/>
  <c r="D466"/>
  <c r="F466" s="1"/>
  <c r="G466"/>
  <c r="H466" s="1"/>
  <c r="I466"/>
  <c r="K466" s="1"/>
  <c r="L466"/>
  <c r="D467"/>
  <c r="F467" s="1"/>
  <c r="G467"/>
  <c r="H467" s="1"/>
  <c r="L467"/>
  <c r="D468"/>
  <c r="F468" s="1"/>
  <c r="G468"/>
  <c r="H468" s="1"/>
  <c r="L468"/>
  <c r="D469"/>
  <c r="F469" s="1"/>
  <c r="G469"/>
  <c r="H469" s="1"/>
  <c r="L469"/>
  <c r="D470"/>
  <c r="F470" s="1"/>
  <c r="G470"/>
  <c r="H470" s="1"/>
  <c r="I470"/>
  <c r="K470" s="1"/>
  <c r="L470"/>
  <c r="D471"/>
  <c r="F471" s="1"/>
  <c r="G471"/>
  <c r="H471" s="1"/>
  <c r="L471"/>
  <c r="D472"/>
  <c r="F472" s="1"/>
  <c r="G472"/>
  <c r="H472" s="1"/>
  <c r="L472"/>
  <c r="D473"/>
  <c r="F473" s="1"/>
  <c r="G473"/>
  <c r="H473" s="1"/>
  <c r="L473"/>
  <c r="D474"/>
  <c r="F474" s="1"/>
  <c r="G474"/>
  <c r="H474" s="1"/>
  <c r="I474"/>
  <c r="K474" s="1"/>
  <c r="L474"/>
  <c r="D475"/>
  <c r="F475" s="1"/>
  <c r="G475"/>
  <c r="H475" s="1"/>
  <c r="L475"/>
  <c r="D476"/>
  <c r="F476" s="1"/>
  <c r="G476"/>
  <c r="H476" s="1"/>
  <c r="L476"/>
  <c r="D477"/>
  <c r="F477" s="1"/>
  <c r="G477"/>
  <c r="H477" s="1"/>
  <c r="L477"/>
  <c r="D478"/>
  <c r="F478" s="1"/>
  <c r="G478"/>
  <c r="H478" s="1"/>
  <c r="I478"/>
  <c r="K478" s="1"/>
  <c r="L478"/>
  <c r="D479"/>
  <c r="F479" s="1"/>
  <c r="G479"/>
  <c r="H479" s="1"/>
  <c r="L479"/>
  <c r="D480"/>
  <c r="E480"/>
  <c r="G480" s="1"/>
  <c r="G482"/>
  <c r="H482" s="1"/>
  <c r="L482"/>
  <c r="D483"/>
  <c r="G483"/>
  <c r="H483" s="1"/>
  <c r="L483"/>
  <c r="D484"/>
  <c r="G484"/>
  <c r="H484" s="1"/>
  <c r="L484"/>
  <c r="D485"/>
  <c r="G485"/>
  <c r="H485" s="1"/>
  <c r="L485"/>
  <c r="D486"/>
  <c r="G486"/>
  <c r="H486" s="1"/>
  <c r="L486"/>
  <c r="D487"/>
  <c r="G487"/>
  <c r="H487"/>
  <c r="I487"/>
  <c r="K487"/>
  <c r="L487"/>
  <c r="D488"/>
  <c r="G488"/>
  <c r="H488" s="1"/>
  <c r="I488"/>
  <c r="K488" s="1"/>
  <c r="L488"/>
  <c r="D489"/>
  <c r="G489"/>
  <c r="H489" s="1"/>
  <c r="I489"/>
  <c r="K489" s="1"/>
  <c r="L489"/>
  <c r="D490"/>
  <c r="G490"/>
  <c r="H490" s="1"/>
  <c r="L490"/>
  <c r="D491"/>
  <c r="E491"/>
  <c r="G491" s="1"/>
  <c r="H491" s="1"/>
  <c r="G492"/>
  <c r="H492" s="1"/>
  <c r="L492"/>
  <c r="D493"/>
  <c r="G493"/>
  <c r="H493" s="1"/>
  <c r="L493"/>
  <c r="D494"/>
  <c r="G494"/>
  <c r="H494" s="1"/>
  <c r="L494"/>
  <c r="D495"/>
  <c r="G495"/>
  <c r="H495" s="1"/>
  <c r="L495"/>
  <c r="D496"/>
  <c r="G496"/>
  <c r="H496"/>
  <c r="I496"/>
  <c r="K496"/>
  <c r="L496"/>
  <c r="D497"/>
  <c r="G497"/>
  <c r="H497" s="1"/>
  <c r="I497"/>
  <c r="K497" s="1"/>
  <c r="L497"/>
  <c r="D498"/>
  <c r="G498"/>
  <c r="H498" s="1"/>
  <c r="I498"/>
  <c r="K498" s="1"/>
  <c r="L498"/>
  <c r="D499"/>
  <c r="G499"/>
  <c r="H499" s="1"/>
  <c r="L499"/>
  <c r="D500"/>
  <c r="G500"/>
  <c r="H500" s="1"/>
  <c r="L500"/>
  <c r="D501"/>
  <c r="G501"/>
  <c r="H501" s="1"/>
  <c r="L501"/>
  <c r="D502"/>
  <c r="G502"/>
  <c r="H502" s="1"/>
  <c r="L502"/>
  <c r="D503"/>
  <c r="G503"/>
  <c r="H503" s="1"/>
  <c r="L503"/>
  <c r="D504"/>
  <c r="G504"/>
  <c r="H504" s="1"/>
  <c r="I504"/>
  <c r="K504" s="1"/>
  <c r="L504"/>
  <c r="D505"/>
  <c r="G505"/>
  <c r="H505" s="1"/>
  <c r="L505"/>
  <c r="D506"/>
  <c r="F506" s="1"/>
  <c r="G506"/>
  <c r="H506" s="1"/>
  <c r="L506"/>
  <c r="D507"/>
  <c r="F507" s="1"/>
  <c r="G507"/>
  <c r="H507" s="1"/>
  <c r="L507"/>
  <c r="D508"/>
  <c r="F508" s="1"/>
  <c r="G508"/>
  <c r="H508" s="1"/>
  <c r="L508"/>
  <c r="D509"/>
  <c r="F509" s="1"/>
  <c r="G509"/>
  <c r="H509" s="1"/>
  <c r="L509"/>
  <c r="D510"/>
  <c r="F510" s="1"/>
  <c r="G510"/>
  <c r="H510" s="1"/>
  <c r="L510"/>
  <c r="D511"/>
  <c r="F511" s="1"/>
  <c r="G511"/>
  <c r="H511" s="1"/>
  <c r="L511"/>
  <c r="D512"/>
  <c r="F512" s="1"/>
  <c r="G512"/>
  <c r="H512" s="1"/>
  <c r="L512"/>
  <c r="D513"/>
  <c r="F513" s="1"/>
  <c r="G513"/>
  <c r="H513" s="1"/>
  <c r="I513"/>
  <c r="K513" s="1"/>
  <c r="L513"/>
  <c r="D514"/>
  <c r="F514" s="1"/>
  <c r="G514"/>
  <c r="H514" s="1"/>
  <c r="L514"/>
  <c r="D515"/>
  <c r="F515" s="1"/>
  <c r="G515"/>
  <c r="H515" s="1"/>
  <c r="L515"/>
  <c r="D516"/>
  <c r="F516" s="1"/>
  <c r="G516"/>
  <c r="H516" s="1"/>
  <c r="L516"/>
  <c r="D517"/>
  <c r="F517" s="1"/>
  <c r="G517"/>
  <c r="H517" s="1"/>
  <c r="L517"/>
  <c r="D518"/>
  <c r="F518" s="1"/>
  <c r="G518"/>
  <c r="H518" s="1"/>
  <c r="L518"/>
  <c r="D519"/>
  <c r="F519" s="1"/>
  <c r="G519"/>
  <c r="H519" s="1"/>
  <c r="L519"/>
  <c r="D520"/>
  <c r="F520" s="1"/>
  <c r="G520"/>
  <c r="H520" s="1"/>
  <c r="L520"/>
  <c r="D521"/>
  <c r="F521" s="1"/>
  <c r="G521"/>
  <c r="H521" s="1"/>
  <c r="L521"/>
  <c r="D522"/>
  <c r="F522" s="1"/>
  <c r="G522"/>
  <c r="H522" s="1"/>
  <c r="L522"/>
  <c r="D523"/>
  <c r="G523"/>
  <c r="H523" s="1"/>
  <c r="L523"/>
  <c r="D524"/>
  <c r="G524"/>
  <c r="H524" s="1"/>
  <c r="L524"/>
  <c r="D525"/>
  <c r="G525"/>
  <c r="H525" s="1"/>
  <c r="L525"/>
  <c r="D526"/>
  <c r="G526"/>
  <c r="H526" s="1"/>
  <c r="L526"/>
  <c r="D527"/>
  <c r="G527"/>
  <c r="H527"/>
  <c r="I527"/>
  <c r="K527"/>
  <c r="L527"/>
  <c r="D528"/>
  <c r="G528"/>
  <c r="H528" s="1"/>
  <c r="I528"/>
  <c r="K528" s="1"/>
  <c r="L528"/>
  <c r="D529"/>
  <c r="G529"/>
  <c r="H529" s="1"/>
  <c r="I529"/>
  <c r="K529" s="1"/>
  <c r="L529"/>
  <c r="D530"/>
  <c r="G530"/>
  <c r="H530" s="1"/>
  <c r="L530"/>
  <c r="D531"/>
  <c r="G531"/>
  <c r="H531" s="1"/>
  <c r="L531"/>
  <c r="D532"/>
  <c r="G532"/>
  <c r="H532" s="1"/>
  <c r="L532"/>
  <c r="D533"/>
  <c r="G533"/>
  <c r="H533" s="1"/>
  <c r="L533"/>
  <c r="D534"/>
  <c r="G534"/>
  <c r="H534" s="1"/>
  <c r="L534"/>
  <c r="D535"/>
  <c r="G535"/>
  <c r="H535" s="1"/>
  <c r="I535"/>
  <c r="K535" s="1"/>
  <c r="L535"/>
  <c r="D536"/>
  <c r="G536"/>
  <c r="H536" s="1"/>
  <c r="L536"/>
  <c r="D537"/>
  <c r="G537"/>
  <c r="H537" s="1"/>
  <c r="L537"/>
  <c r="D538"/>
  <c r="G538"/>
  <c r="H538" s="1"/>
  <c r="L538"/>
  <c r="D539"/>
  <c r="G539"/>
  <c r="H539" s="1"/>
  <c r="L539"/>
  <c r="D540"/>
  <c r="G540"/>
  <c r="H540" s="1"/>
  <c r="L540"/>
  <c r="D541"/>
  <c r="G541"/>
  <c r="H541" s="1"/>
  <c r="L541"/>
  <c r="D542"/>
  <c r="G542"/>
  <c r="H542" s="1"/>
  <c r="L542"/>
  <c r="D543"/>
  <c r="G543"/>
  <c r="H543"/>
  <c r="I543"/>
  <c r="K543"/>
  <c r="L543"/>
  <c r="D544"/>
  <c r="G544"/>
  <c r="H544" s="1"/>
  <c r="I544"/>
  <c r="K544" s="1"/>
  <c r="L544"/>
  <c r="D545"/>
  <c r="G545"/>
  <c r="H545" s="1"/>
  <c r="I545"/>
  <c r="K545" s="1"/>
  <c r="L545"/>
  <c r="D546"/>
  <c r="G546"/>
  <c r="H546" s="1"/>
  <c r="L546"/>
  <c r="D547"/>
  <c r="G547"/>
  <c r="H547" s="1"/>
  <c r="L547"/>
  <c r="D548"/>
  <c r="G548"/>
  <c r="H548" s="1"/>
  <c r="L548"/>
  <c r="D549"/>
  <c r="G549"/>
  <c r="H549" s="1"/>
  <c r="L549"/>
  <c r="D550"/>
  <c r="G550"/>
  <c r="H550" s="1"/>
  <c r="L550"/>
  <c r="D551"/>
  <c r="G551"/>
  <c r="H551" s="1"/>
  <c r="I551"/>
  <c r="K551" s="1"/>
  <c r="L551"/>
  <c r="D552"/>
  <c r="G552"/>
  <c r="H552" s="1"/>
  <c r="L552"/>
  <c r="D553"/>
  <c r="G553"/>
  <c r="H553" s="1"/>
  <c r="L553"/>
  <c r="D554"/>
  <c r="G554"/>
  <c r="H554" s="1"/>
  <c r="L554"/>
  <c r="D555"/>
  <c r="E555"/>
  <c r="E556"/>
  <c r="G556" s="1"/>
  <c r="H556" s="1"/>
  <c r="G558"/>
  <c r="H558" s="1"/>
  <c r="L558"/>
  <c r="D559"/>
  <c r="G559"/>
  <c r="H559" s="1"/>
  <c r="L559"/>
  <c r="D560"/>
  <c r="G560"/>
  <c r="H560" s="1"/>
  <c r="I560"/>
  <c r="K560" s="1"/>
  <c r="L560"/>
  <c r="D561"/>
  <c r="E561"/>
  <c r="G561" s="1"/>
  <c r="H561" s="1"/>
  <c r="D562"/>
  <c r="G567"/>
  <c r="H567" s="1"/>
  <c r="I567"/>
  <c r="K567" s="1"/>
  <c r="L567"/>
  <c r="D568"/>
  <c r="G568"/>
  <c r="H568" s="1"/>
  <c r="L568"/>
  <c r="D569"/>
  <c r="O604"/>
  <c r="E569" s="1"/>
  <c r="G181" i="18"/>
  <c r="G12"/>
  <c r="G13"/>
  <c r="N12"/>
  <c r="F28" i="26" s="1"/>
  <c r="I27" s="1"/>
  <c r="G14" i="18"/>
  <c r="N13"/>
  <c r="F29" i="26" s="1"/>
  <c r="G15" i="18"/>
  <c r="N14"/>
  <c r="F30" i="26" s="1"/>
  <c r="I30" s="1"/>
  <c r="G16" i="18"/>
  <c r="N15"/>
  <c r="F31" i="26" s="1"/>
  <c r="G17" i="18"/>
  <c r="N16"/>
  <c r="F32" i="26" s="1"/>
  <c r="G18" i="18"/>
  <c r="N17"/>
  <c r="G19"/>
  <c r="N18"/>
  <c r="O18" s="1"/>
  <c r="G20"/>
  <c r="N19"/>
  <c r="O19" s="1"/>
  <c r="G21"/>
  <c r="N20"/>
  <c r="O20" s="1"/>
  <c r="G22"/>
  <c r="N21"/>
  <c r="O21" s="1"/>
  <c r="G23"/>
  <c r="N22"/>
  <c r="O22" s="1"/>
  <c r="G24"/>
  <c r="N23"/>
  <c r="O23" s="1"/>
  <c r="G25"/>
  <c r="N24"/>
  <c r="O24" s="1"/>
  <c r="G26"/>
  <c r="N25"/>
  <c r="O25" s="1"/>
  <c r="G27"/>
  <c r="N26"/>
  <c r="O26" s="1"/>
  <c r="G28"/>
  <c r="N27"/>
  <c r="O27" s="1"/>
  <c r="G29"/>
  <c r="N28"/>
  <c r="O28" s="1"/>
  <c r="G30"/>
  <c r="N29"/>
  <c r="O29" s="1"/>
  <c r="G31"/>
  <c r="N30"/>
  <c r="O30" s="1"/>
  <c r="G32"/>
  <c r="N31"/>
  <c r="O31" s="1"/>
  <c r="G33"/>
  <c r="N32"/>
  <c r="O32" s="1"/>
  <c r="G34"/>
  <c r="N33"/>
  <c r="O33" s="1"/>
  <c r="G35"/>
  <c r="N34"/>
  <c r="O34" s="1"/>
  <c r="G36"/>
  <c r="N35"/>
  <c r="O35" s="1"/>
  <c r="G37"/>
  <c r="N36"/>
  <c r="O36" s="1"/>
  <c r="G38"/>
  <c r="N37"/>
  <c r="O37" s="1"/>
  <c r="G39"/>
  <c r="N38"/>
  <c r="O38" s="1"/>
  <c r="G40"/>
  <c r="N39"/>
  <c r="O39" s="1"/>
  <c r="G41"/>
  <c r="N40"/>
  <c r="O40" s="1"/>
  <c r="G42"/>
  <c r="N41"/>
  <c r="O41" s="1"/>
  <c r="G43"/>
  <c r="N42"/>
  <c r="O42" s="1"/>
  <c r="G44"/>
  <c r="N43"/>
  <c r="O43" s="1"/>
  <c r="G45"/>
  <c r="N44"/>
  <c r="O44" s="1"/>
  <c r="G46"/>
  <c r="N45"/>
  <c r="O45" s="1"/>
  <c r="G47"/>
  <c r="N46"/>
  <c r="O46" s="1"/>
  <c r="G48"/>
  <c r="N47"/>
  <c r="O47" s="1"/>
  <c r="G49"/>
  <c r="N48"/>
  <c r="O48" s="1"/>
  <c r="G50"/>
  <c r="N49"/>
  <c r="O49" s="1"/>
  <c r="G51"/>
  <c r="N50"/>
  <c r="O50" s="1"/>
  <c r="G52"/>
  <c r="N51"/>
  <c r="O51" s="1"/>
  <c r="G53"/>
  <c r="N52"/>
  <c r="O52" s="1"/>
  <c r="G54"/>
  <c r="N53"/>
  <c r="O53" s="1"/>
  <c r="G55"/>
  <c r="N54"/>
  <c r="O54" s="1"/>
  <c r="G56"/>
  <c r="N55"/>
  <c r="O55" s="1"/>
  <c r="G57"/>
  <c r="N56"/>
  <c r="O56" s="1"/>
  <c r="G58"/>
  <c r="N57"/>
  <c r="O57" s="1"/>
  <c r="G59"/>
  <c r="N58"/>
  <c r="O58" s="1"/>
  <c r="G60"/>
  <c r="N59"/>
  <c r="O59" s="1"/>
  <c r="G61"/>
  <c r="N60"/>
  <c r="O60" s="1"/>
  <c r="G62"/>
  <c r="N61"/>
  <c r="O61" s="1"/>
  <c r="G63"/>
  <c r="N62"/>
  <c r="O62" s="1"/>
  <c r="G64"/>
  <c r="N63"/>
  <c r="O63" s="1"/>
  <c r="G65"/>
  <c r="N64"/>
  <c r="O64" s="1"/>
  <c r="G66"/>
  <c r="N65"/>
  <c r="O65" s="1"/>
  <c r="G67"/>
  <c r="N66"/>
  <c r="O66" s="1"/>
  <c r="G68"/>
  <c r="N67"/>
  <c r="O67" s="1"/>
  <c r="G69"/>
  <c r="N68"/>
  <c r="O68" s="1"/>
  <c r="G70"/>
  <c r="N69"/>
  <c r="O69" s="1"/>
  <c r="G71"/>
  <c r="N70"/>
  <c r="O70" s="1"/>
  <c r="G72"/>
  <c r="N71"/>
  <c r="O71" s="1"/>
  <c r="G73"/>
  <c r="N72"/>
  <c r="O72" s="1"/>
  <c r="G74"/>
  <c r="N73"/>
  <c r="O73" s="1"/>
  <c r="G75"/>
  <c r="N74"/>
  <c r="O74" s="1"/>
  <c r="G76"/>
  <c r="N75"/>
  <c r="O75" s="1"/>
  <c r="G77"/>
  <c r="N76"/>
  <c r="O76" s="1"/>
  <c r="G78"/>
  <c r="N77"/>
  <c r="O77" s="1"/>
  <c r="G79"/>
  <c r="N78"/>
  <c r="O78" s="1"/>
  <c r="G80"/>
  <c r="N79"/>
  <c r="O79" s="1"/>
  <c r="G81"/>
  <c r="N80"/>
  <c r="O80" s="1"/>
  <c r="G82"/>
  <c r="N81"/>
  <c r="O81" s="1"/>
  <c r="G83"/>
  <c r="N82"/>
  <c r="O82" s="1"/>
  <c r="G84"/>
  <c r="N83"/>
  <c r="O83" s="1"/>
  <c r="G85"/>
  <c r="N84"/>
  <c r="O84" s="1"/>
  <c r="G86"/>
  <c r="N85"/>
  <c r="O85" s="1"/>
  <c r="G87"/>
  <c r="N86"/>
  <c r="O86" s="1"/>
  <c r="G88"/>
  <c r="N87"/>
  <c r="O87" s="1"/>
  <c r="G89"/>
  <c r="N88"/>
  <c r="O88" s="1"/>
  <c r="G90"/>
  <c r="N89"/>
  <c r="O89" s="1"/>
  <c r="G91"/>
  <c r="N90"/>
  <c r="O90" s="1"/>
  <c r="G92"/>
  <c r="N91"/>
  <c r="O91" s="1"/>
  <c r="G93"/>
  <c r="N92"/>
  <c r="O92" s="1"/>
  <c r="G94"/>
  <c r="N93"/>
  <c r="O93" s="1"/>
  <c r="G95"/>
  <c r="N94"/>
  <c r="O94" s="1"/>
  <c r="G96"/>
  <c r="N95"/>
  <c r="O95" s="1"/>
  <c r="G97"/>
  <c r="N96"/>
  <c r="O96" s="1"/>
  <c r="G98"/>
  <c r="N97"/>
  <c r="O97" s="1"/>
  <c r="G99"/>
  <c r="N98"/>
  <c r="O98" s="1"/>
  <c r="G100"/>
  <c r="N99"/>
  <c r="O99" s="1"/>
  <c r="G101"/>
  <c r="N100"/>
  <c r="O100" s="1"/>
  <c r="G102"/>
  <c r="N101"/>
  <c r="O101" s="1"/>
  <c r="G103"/>
  <c r="N102"/>
  <c r="O102" s="1"/>
  <c r="G104"/>
  <c r="N103"/>
  <c r="O103" s="1"/>
  <c r="G105"/>
  <c r="N104"/>
  <c r="O104" s="1"/>
  <c r="G106"/>
  <c r="N105"/>
  <c r="O105" s="1"/>
  <c r="G107"/>
  <c r="N106"/>
  <c r="O106" s="1"/>
  <c r="G108"/>
  <c r="N107"/>
  <c r="O107" s="1"/>
  <c r="G109"/>
  <c r="N108"/>
  <c r="O108" s="1"/>
  <c r="G110"/>
  <c r="N109"/>
  <c r="O109" s="1"/>
  <c r="G111"/>
  <c r="N110"/>
  <c r="O110" s="1"/>
  <c r="G112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G18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26"/>
  <c r="O226"/>
  <c r="H228"/>
  <c r="K228"/>
  <c r="H229"/>
  <c r="K229"/>
  <c r="H230"/>
  <c r="K230"/>
  <c r="H231"/>
  <c r="K231"/>
  <c r="H232"/>
  <c r="K232"/>
  <c r="H233"/>
  <c r="K233"/>
  <c r="H234"/>
  <c r="K234"/>
  <c r="H235"/>
  <c r="K235"/>
  <c r="H236"/>
  <c r="K236"/>
  <c r="H237"/>
  <c r="K237"/>
  <c r="H238"/>
  <c r="K238"/>
  <c r="H239"/>
  <c r="K239"/>
  <c r="H240"/>
  <c r="K240"/>
  <c r="H241"/>
  <c r="K241"/>
  <c r="H242"/>
  <c r="K242"/>
  <c r="H243"/>
  <c r="K243"/>
  <c r="H244"/>
  <c r="K244"/>
  <c r="H245"/>
  <c r="K245"/>
  <c r="H246"/>
  <c r="K246"/>
  <c r="O246"/>
  <c r="H247"/>
  <c r="G247"/>
  <c r="K247"/>
  <c r="O247"/>
  <c r="H248"/>
  <c r="G248"/>
  <c r="O248"/>
  <c r="H249"/>
  <c r="G249"/>
  <c r="O249"/>
  <c r="H250"/>
  <c r="G250"/>
  <c r="O250"/>
  <c r="H251"/>
  <c r="G251"/>
  <c r="O251"/>
  <c r="H252"/>
  <c r="G252"/>
  <c r="K252"/>
  <c r="O252"/>
  <c r="H253"/>
  <c r="G253"/>
  <c r="K253"/>
  <c r="O253"/>
  <c r="H254"/>
  <c r="G254"/>
  <c r="O254"/>
  <c r="H255"/>
  <c r="G255"/>
  <c r="O255"/>
  <c r="H256"/>
  <c r="G256"/>
  <c r="O256"/>
  <c r="H257"/>
  <c r="G257"/>
  <c r="O257"/>
  <c r="H258"/>
  <c r="G258"/>
  <c r="K258"/>
  <c r="O258"/>
  <c r="H260"/>
  <c r="G260"/>
  <c r="K260"/>
  <c r="O260"/>
  <c r="H261"/>
  <c r="G261"/>
  <c r="K261"/>
  <c r="O261"/>
  <c r="F262"/>
  <c r="H262" s="1"/>
  <c r="G262"/>
  <c r="O262"/>
  <c r="F263"/>
  <c r="H263" s="1"/>
  <c r="G263"/>
  <c r="O263"/>
  <c r="H264"/>
  <c r="G264"/>
  <c r="K264"/>
  <c r="O264"/>
  <c r="F265"/>
  <c r="H265" s="1"/>
  <c r="G265"/>
  <c r="O265"/>
  <c r="H266"/>
  <c r="G266"/>
  <c r="K266"/>
  <c r="K267" s="1"/>
  <c r="K268" s="1"/>
  <c r="K269" s="1"/>
  <c r="K270" s="1"/>
  <c r="K271" s="1"/>
  <c r="K272" s="1"/>
  <c r="O266"/>
  <c r="H267"/>
  <c r="G267"/>
  <c r="O267"/>
  <c r="H268"/>
  <c r="G268"/>
  <c r="O268"/>
  <c r="H269"/>
  <c r="G269"/>
  <c r="O269"/>
  <c r="H270"/>
  <c r="G270"/>
  <c r="O270"/>
  <c r="H271"/>
  <c r="G271"/>
  <c r="O271"/>
  <c r="H272"/>
  <c r="G272"/>
  <c r="O272"/>
  <c r="F273"/>
  <c r="H273" s="1"/>
  <c r="G273"/>
  <c r="O273"/>
  <c r="F274"/>
  <c r="H274" s="1"/>
  <c r="G274"/>
  <c r="O274"/>
  <c r="F275"/>
  <c r="H275" s="1"/>
  <c r="G275"/>
  <c r="O275"/>
  <c r="F276"/>
  <c r="H276" s="1"/>
  <c r="G276"/>
  <c r="O276"/>
  <c r="F277"/>
  <c r="H277" s="1"/>
  <c r="G277"/>
  <c r="O277"/>
  <c r="F278"/>
  <c r="H278" s="1"/>
  <c r="G278"/>
  <c r="O278"/>
  <c r="G279"/>
  <c r="O279"/>
  <c r="G280"/>
  <c r="O280"/>
  <c r="G281"/>
  <c r="O281"/>
  <c r="G282"/>
  <c r="O282"/>
  <c r="G283"/>
  <c r="O283"/>
  <c r="O285"/>
  <c r="O286"/>
  <c r="O287"/>
  <c r="O288"/>
  <c r="O289"/>
  <c r="O291"/>
  <c r="O292"/>
  <c r="O293"/>
  <c r="O294"/>
  <c r="I295"/>
  <c r="O295"/>
  <c r="O296"/>
  <c r="O297"/>
  <c r="O298"/>
  <c r="I299"/>
  <c r="O299"/>
  <c r="O300"/>
  <c r="O301"/>
  <c r="O302"/>
  <c r="I303"/>
  <c r="O303"/>
  <c r="O304"/>
  <c r="O305"/>
  <c r="O306"/>
  <c r="I307"/>
  <c r="O307"/>
  <c r="O308"/>
  <c r="O309"/>
  <c r="O310"/>
  <c r="I311"/>
  <c r="O311"/>
  <c r="O312"/>
  <c r="O313"/>
  <c r="O314"/>
  <c r="I315"/>
  <c r="O315"/>
  <c r="L316"/>
  <c r="O316"/>
  <c r="O317"/>
  <c r="O318"/>
  <c r="I319"/>
  <c r="O319"/>
  <c r="L321"/>
  <c r="O321"/>
  <c r="N322"/>
  <c r="H325"/>
  <c r="K325"/>
  <c r="L325" s="1"/>
  <c r="N325"/>
  <c r="O325" s="1"/>
  <c r="O335"/>
  <c r="O336"/>
  <c r="O348"/>
  <c r="J2" i="17"/>
  <c r="Q2"/>
  <c r="AB2"/>
  <c r="L3"/>
  <c r="M3"/>
  <c r="S3"/>
  <c r="U3"/>
  <c r="X3"/>
  <c r="I291" i="18" s="1"/>
  <c r="AD3" i="17"/>
  <c r="AF3"/>
  <c r="AI3"/>
  <c r="I325" i="18" s="1"/>
  <c r="G4" i="17"/>
  <c r="N4"/>
  <c r="T4"/>
  <c r="V4"/>
  <c r="Z4"/>
  <c r="AE4"/>
  <c r="AG4"/>
  <c r="AK4"/>
  <c r="G5"/>
  <c r="N5"/>
  <c r="T5"/>
  <c r="V5"/>
  <c r="Z5"/>
  <c r="AE5"/>
  <c r="AG5"/>
  <c r="AK5"/>
  <c r="B6"/>
  <c r="G6"/>
  <c r="I6"/>
  <c r="N6"/>
  <c r="P6"/>
  <c r="F291" i="18" s="1"/>
  <c r="T6" i="17"/>
  <c r="V6"/>
  <c r="Z6"/>
  <c r="AA6"/>
  <c r="AE6"/>
  <c r="AG6"/>
  <c r="AK6"/>
  <c r="B7"/>
  <c r="G7"/>
  <c r="I7"/>
  <c r="N7"/>
  <c r="P7"/>
  <c r="T7"/>
  <c r="V7"/>
  <c r="Z7"/>
  <c r="AA7"/>
  <c r="AE7"/>
  <c r="AG7"/>
  <c r="AK7"/>
  <c r="G8"/>
  <c r="N8"/>
  <c r="T8"/>
  <c r="V8"/>
  <c r="Z8"/>
  <c r="AE8"/>
  <c r="AG8"/>
  <c r="AK8"/>
  <c r="B9"/>
  <c r="G9"/>
  <c r="I9"/>
  <c r="N9"/>
  <c r="P9"/>
  <c r="G291" i="18" s="1"/>
  <c r="T9" i="17"/>
  <c r="V9"/>
  <c r="Z9"/>
  <c r="AA9"/>
  <c r="AE9"/>
  <c r="AG9"/>
  <c r="AK9"/>
  <c r="B10"/>
  <c r="G10"/>
  <c r="I10"/>
  <c r="N10"/>
  <c r="P10"/>
  <c r="T10"/>
  <c r="V10"/>
  <c r="Z10"/>
  <c r="AA10"/>
  <c r="AE10"/>
  <c r="AG10"/>
  <c r="AK10"/>
  <c r="G11"/>
  <c r="N11"/>
  <c r="T11"/>
  <c r="V11"/>
  <c r="Z11"/>
  <c r="AE11"/>
  <c r="AG11"/>
  <c r="AK11"/>
  <c r="B12"/>
  <c r="G12"/>
  <c r="I12"/>
  <c r="N12"/>
  <c r="P12"/>
  <c r="T12"/>
  <c r="V12"/>
  <c r="Z12"/>
  <c r="AA12"/>
  <c r="AE12"/>
  <c r="AG12"/>
  <c r="AK12"/>
  <c r="G13"/>
  <c r="N13"/>
  <c r="T13"/>
  <c r="V13"/>
  <c r="Z13"/>
  <c r="AE13"/>
  <c r="AG13"/>
  <c r="AK13"/>
  <c r="G14"/>
  <c r="N14"/>
  <c r="T14"/>
  <c r="V14"/>
  <c r="Z14"/>
  <c r="AE14"/>
  <c r="AG14"/>
  <c r="AK14"/>
  <c r="G15"/>
  <c r="N15"/>
  <c r="T15"/>
  <c r="V15"/>
  <c r="Z15"/>
  <c r="AE15"/>
  <c r="AG15"/>
  <c r="AK15"/>
  <c r="G16"/>
  <c r="N16"/>
  <c r="T16"/>
  <c r="V16"/>
  <c r="Z16"/>
  <c r="AE16"/>
  <c r="AG16"/>
  <c r="AK16"/>
  <c r="G17"/>
  <c r="N17"/>
  <c r="T17"/>
  <c r="V17"/>
  <c r="Z17"/>
  <c r="AE17"/>
  <c r="AG17"/>
  <c r="AK17"/>
  <c r="G18"/>
  <c r="N18"/>
  <c r="P18"/>
  <c r="T18"/>
  <c r="V18"/>
  <c r="Z18"/>
  <c r="AA18"/>
  <c r="AE18"/>
  <c r="AG18"/>
  <c r="AK18"/>
  <c r="G19"/>
  <c r="N19"/>
  <c r="T19"/>
  <c r="V19"/>
  <c r="Z19"/>
  <c r="AE19"/>
  <c r="AG19"/>
  <c r="AK19"/>
  <c r="G20"/>
  <c r="N20"/>
  <c r="P20"/>
  <c r="T20"/>
  <c r="V20"/>
  <c r="Z20"/>
  <c r="AA20"/>
  <c r="AE20"/>
  <c r="AG20"/>
  <c r="AK20"/>
  <c r="G21"/>
  <c r="N21"/>
  <c r="T21"/>
  <c r="V21"/>
  <c r="Z21"/>
  <c r="AE21"/>
  <c r="AG21"/>
  <c r="AK21"/>
  <c r="G22"/>
  <c r="N22"/>
  <c r="T22"/>
  <c r="V22"/>
  <c r="Z22"/>
  <c r="AE22"/>
  <c r="AG22"/>
  <c r="AK22"/>
  <c r="G23"/>
  <c r="N23"/>
  <c r="T23"/>
  <c r="V23"/>
  <c r="Z23"/>
  <c r="AE23"/>
  <c r="AG23"/>
  <c r="AK23"/>
  <c r="G24"/>
  <c r="N24"/>
  <c r="T24"/>
  <c r="V24"/>
  <c r="Z24"/>
  <c r="AE24"/>
  <c r="AG24"/>
  <c r="AK24"/>
  <c r="G25"/>
  <c r="N25"/>
  <c r="T25"/>
  <c r="V25"/>
  <c r="Z25"/>
  <c r="AE25"/>
  <c r="AG25"/>
  <c r="AK25"/>
  <c r="G26"/>
  <c r="N26"/>
  <c r="T26"/>
  <c r="V26"/>
  <c r="Z26"/>
  <c r="AE26"/>
  <c r="AG26"/>
  <c r="AK26"/>
  <c r="G27"/>
  <c r="N27"/>
  <c r="T27"/>
  <c r="V27"/>
  <c r="Z27"/>
  <c r="AE27"/>
  <c r="AG27"/>
  <c r="AK27"/>
  <c r="L28"/>
  <c r="M28"/>
  <c r="S28"/>
  <c r="U28"/>
  <c r="X28"/>
  <c r="I292" i="18" s="1"/>
  <c r="AD28" i="17"/>
  <c r="AF28"/>
  <c r="AI28"/>
  <c r="I326" i="18" s="1"/>
  <c r="G29" i="17"/>
  <c r="N29"/>
  <c r="T29"/>
  <c r="V29"/>
  <c r="Z29"/>
  <c r="AE29"/>
  <c r="AG29"/>
  <c r="AK29"/>
  <c r="G30"/>
  <c r="N30"/>
  <c r="T30"/>
  <c r="V30"/>
  <c r="Z30"/>
  <c r="AE30"/>
  <c r="AG30"/>
  <c r="AK30"/>
  <c r="B31"/>
  <c r="G31"/>
  <c r="I31"/>
  <c r="N31"/>
  <c r="P31"/>
  <c r="F292" i="18" s="1"/>
  <c r="T31" i="17"/>
  <c r="V31"/>
  <c r="Z31"/>
  <c r="AA31"/>
  <c r="F326" i="18" s="1"/>
  <c r="AE31" i="17"/>
  <c r="AG31"/>
  <c r="AK31"/>
  <c r="B32"/>
  <c r="G32"/>
  <c r="I32"/>
  <c r="N32"/>
  <c r="P32"/>
  <c r="T32"/>
  <c r="V32"/>
  <c r="Z32"/>
  <c r="AA32"/>
  <c r="AE32"/>
  <c r="AG32"/>
  <c r="AK32"/>
  <c r="G33"/>
  <c r="N33"/>
  <c r="T33"/>
  <c r="V33"/>
  <c r="Z33"/>
  <c r="AE33"/>
  <c r="AG33"/>
  <c r="AK33"/>
  <c r="B34"/>
  <c r="G34"/>
  <c r="I34"/>
  <c r="N34"/>
  <c r="P34"/>
  <c r="G292" i="18" s="1"/>
  <c r="T34" i="17"/>
  <c r="V34"/>
  <c r="Z34"/>
  <c r="AA34"/>
  <c r="G326" i="18" s="1"/>
  <c r="AE34" i="17"/>
  <c r="AG34"/>
  <c r="AK34"/>
  <c r="B35"/>
  <c r="G35"/>
  <c r="I35"/>
  <c r="N35"/>
  <c r="P35"/>
  <c r="T35"/>
  <c r="V35"/>
  <c r="Z35"/>
  <c r="AA35"/>
  <c r="AE35"/>
  <c r="AG35"/>
  <c r="AK35"/>
  <c r="G36"/>
  <c r="N36"/>
  <c r="T36"/>
  <c r="V36"/>
  <c r="Z36"/>
  <c r="AE36"/>
  <c r="AG36"/>
  <c r="AK36"/>
  <c r="B37"/>
  <c r="G37"/>
  <c r="I37"/>
  <c r="N37"/>
  <c r="P37"/>
  <c r="T37"/>
  <c r="V37"/>
  <c r="Z37"/>
  <c r="AA37"/>
  <c r="AE37"/>
  <c r="AG37"/>
  <c r="AK37"/>
  <c r="G38"/>
  <c r="N38"/>
  <c r="T38"/>
  <c r="V38"/>
  <c r="Z38"/>
  <c r="AE38"/>
  <c r="AG38"/>
  <c r="AK38"/>
  <c r="G39"/>
  <c r="N39"/>
  <c r="T39"/>
  <c r="V39"/>
  <c r="Z39"/>
  <c r="AE39"/>
  <c r="AG39"/>
  <c r="AK39"/>
  <c r="G40"/>
  <c r="N40"/>
  <c r="T40"/>
  <c r="V40"/>
  <c r="Z40"/>
  <c r="AE40"/>
  <c r="AG40"/>
  <c r="AK40"/>
  <c r="G41"/>
  <c r="N41"/>
  <c r="T41"/>
  <c r="V41"/>
  <c r="Z41"/>
  <c r="AE41"/>
  <c r="AG41"/>
  <c r="AK41"/>
  <c r="G42"/>
  <c r="N42"/>
  <c r="T42"/>
  <c r="V42"/>
  <c r="Z42"/>
  <c r="AE42"/>
  <c r="AG42"/>
  <c r="AK42"/>
  <c r="G43"/>
  <c r="N43"/>
  <c r="P43"/>
  <c r="T43"/>
  <c r="V43"/>
  <c r="Z43"/>
  <c r="AA43"/>
  <c r="AE43"/>
  <c r="AG43"/>
  <c r="AK43"/>
  <c r="G44"/>
  <c r="N44"/>
  <c r="T44"/>
  <c r="V44"/>
  <c r="Z44"/>
  <c r="AE44"/>
  <c r="AG44"/>
  <c r="AK44"/>
  <c r="G45"/>
  <c r="N45"/>
  <c r="P45"/>
  <c r="T45"/>
  <c r="V45"/>
  <c r="Z45"/>
  <c r="AA45"/>
  <c r="AE45"/>
  <c r="AG45"/>
  <c r="AK45"/>
  <c r="G46"/>
  <c r="N46"/>
  <c r="T46"/>
  <c r="V46"/>
  <c r="Z46"/>
  <c r="AE46"/>
  <c r="AG46"/>
  <c r="AK46"/>
  <c r="G47"/>
  <c r="N47"/>
  <c r="T47"/>
  <c r="V47"/>
  <c r="Z47"/>
  <c r="AE47"/>
  <c r="AG47"/>
  <c r="AK47"/>
  <c r="G48"/>
  <c r="N48"/>
  <c r="T48"/>
  <c r="V48"/>
  <c r="Z48"/>
  <c r="AE48"/>
  <c r="AG48"/>
  <c r="AK48"/>
  <c r="G49"/>
  <c r="N49"/>
  <c r="T49"/>
  <c r="V49"/>
  <c r="Z49"/>
  <c r="AE49"/>
  <c r="AG49"/>
  <c r="AK49"/>
  <c r="G50"/>
  <c r="N50"/>
  <c r="T50"/>
  <c r="V50"/>
  <c r="Z50"/>
  <c r="AE50"/>
  <c r="AG50"/>
  <c r="AK50"/>
  <c r="G51"/>
  <c r="N51"/>
  <c r="T51"/>
  <c r="V51"/>
  <c r="Z51"/>
  <c r="AE51"/>
  <c r="AG51"/>
  <c r="AK51"/>
  <c r="G52"/>
  <c r="N52"/>
  <c r="T52"/>
  <c r="V52"/>
  <c r="Z52"/>
  <c r="AE52"/>
  <c r="AG52"/>
  <c r="AK52"/>
  <c r="L53"/>
  <c r="M53"/>
  <c r="S53"/>
  <c r="U53"/>
  <c r="X53"/>
  <c r="I293" i="18" s="1"/>
  <c r="AD53" i="17"/>
  <c r="AF53"/>
  <c r="AI53"/>
  <c r="I327" i="18" s="1"/>
  <c r="G54" i="17"/>
  <c r="N54"/>
  <c r="T54"/>
  <c r="V54"/>
  <c r="Z54"/>
  <c r="AE54"/>
  <c r="AG54"/>
  <c r="AK54"/>
  <c r="G55"/>
  <c r="N55"/>
  <c r="T55"/>
  <c r="V55"/>
  <c r="Z55"/>
  <c r="AE55"/>
  <c r="AG55"/>
  <c r="AK55"/>
  <c r="B56"/>
  <c r="G56"/>
  <c r="I56"/>
  <c r="N56"/>
  <c r="P56"/>
  <c r="F293" i="18" s="1"/>
  <c r="T56" i="17"/>
  <c r="V56"/>
  <c r="Z56"/>
  <c r="AA56"/>
  <c r="AE56"/>
  <c r="AG56"/>
  <c r="AK56"/>
  <c r="B57"/>
  <c r="G57"/>
  <c r="I57"/>
  <c r="N57"/>
  <c r="P57"/>
  <c r="T57"/>
  <c r="V57"/>
  <c r="Z57"/>
  <c r="AA57"/>
  <c r="AE57"/>
  <c r="AG57"/>
  <c r="AK57"/>
  <c r="G58"/>
  <c r="N58"/>
  <c r="T58"/>
  <c r="V58"/>
  <c r="Z58"/>
  <c r="AE58"/>
  <c r="AG58"/>
  <c r="AK58"/>
  <c r="B59"/>
  <c r="G59"/>
  <c r="I59"/>
  <c r="N59"/>
  <c r="P59"/>
  <c r="G293" i="18" s="1"/>
  <c r="T59" i="17"/>
  <c r="V59"/>
  <c r="Z59"/>
  <c r="AA59"/>
  <c r="G327" i="18" s="1"/>
  <c r="AE59" i="17"/>
  <c r="AG59"/>
  <c r="AK59"/>
  <c r="B60"/>
  <c r="G60"/>
  <c r="I60"/>
  <c r="N60"/>
  <c r="P60"/>
  <c r="T60"/>
  <c r="V60"/>
  <c r="Z60"/>
  <c r="AA60"/>
  <c r="AE60"/>
  <c r="AG60"/>
  <c r="AK60"/>
  <c r="G61"/>
  <c r="N61"/>
  <c r="T61"/>
  <c r="V61"/>
  <c r="Z61"/>
  <c r="AE61"/>
  <c r="AG61"/>
  <c r="AK61"/>
  <c r="B62"/>
  <c r="G62"/>
  <c r="I62"/>
  <c r="N62"/>
  <c r="P62"/>
  <c r="T62"/>
  <c r="V62"/>
  <c r="Z62"/>
  <c r="AA62"/>
  <c r="AE62"/>
  <c r="AG62"/>
  <c r="AK62"/>
  <c r="G63"/>
  <c r="N63"/>
  <c r="T63"/>
  <c r="V63"/>
  <c r="Z63"/>
  <c r="AE63"/>
  <c r="AG63"/>
  <c r="AK63"/>
  <c r="G64"/>
  <c r="N64"/>
  <c r="T64"/>
  <c r="V64"/>
  <c r="Z64"/>
  <c r="AE64"/>
  <c r="AG64"/>
  <c r="AK64"/>
  <c r="G65"/>
  <c r="N65"/>
  <c r="T65"/>
  <c r="V65"/>
  <c r="Z65"/>
  <c r="AE65"/>
  <c r="AG65"/>
  <c r="AK65"/>
  <c r="G66"/>
  <c r="N66"/>
  <c r="T66"/>
  <c r="V66"/>
  <c r="Z66"/>
  <c r="AE66"/>
  <c r="AG66"/>
  <c r="AK66"/>
  <c r="G67"/>
  <c r="N67"/>
  <c r="T67"/>
  <c r="V67"/>
  <c r="Z67"/>
  <c r="AE67"/>
  <c r="AG67"/>
  <c r="AK67"/>
  <c r="G68"/>
  <c r="N68"/>
  <c r="P68"/>
  <c r="T68"/>
  <c r="V68"/>
  <c r="Z68"/>
  <c r="AA68"/>
  <c r="AE68"/>
  <c r="AG68"/>
  <c r="AK68"/>
  <c r="G69"/>
  <c r="N69"/>
  <c r="T69"/>
  <c r="V69"/>
  <c r="Z69"/>
  <c r="AE69"/>
  <c r="AG69"/>
  <c r="AK69"/>
  <c r="G70"/>
  <c r="N70"/>
  <c r="P70"/>
  <c r="T70"/>
  <c r="V70"/>
  <c r="Z70"/>
  <c r="AA70"/>
  <c r="AE70"/>
  <c r="AG70"/>
  <c r="AK70"/>
  <c r="G71"/>
  <c r="N71"/>
  <c r="T71"/>
  <c r="V71"/>
  <c r="Z71"/>
  <c r="AE71"/>
  <c r="AG71"/>
  <c r="AK71"/>
  <c r="G72"/>
  <c r="N72"/>
  <c r="T72"/>
  <c r="V72"/>
  <c r="Z72"/>
  <c r="AE72"/>
  <c r="AG72"/>
  <c r="AK72"/>
  <c r="G73"/>
  <c r="N73"/>
  <c r="T73"/>
  <c r="V73"/>
  <c r="Z73"/>
  <c r="AE73"/>
  <c r="AG73"/>
  <c r="AK73"/>
  <c r="G74"/>
  <c r="N74"/>
  <c r="T74"/>
  <c r="V74"/>
  <c r="Z74"/>
  <c r="AE74"/>
  <c r="AG74"/>
  <c r="AK74"/>
  <c r="G75"/>
  <c r="N75"/>
  <c r="T75"/>
  <c r="V75"/>
  <c r="Z75"/>
  <c r="AE75"/>
  <c r="AG75"/>
  <c r="AK75"/>
  <c r="G76"/>
  <c r="N76"/>
  <c r="T76"/>
  <c r="V76"/>
  <c r="Z76"/>
  <c r="AE76"/>
  <c r="AG76"/>
  <c r="AK76"/>
  <c r="G77"/>
  <c r="N77"/>
  <c r="T77"/>
  <c r="V77"/>
  <c r="Z77"/>
  <c r="AE77"/>
  <c r="AG77"/>
  <c r="AK77"/>
  <c r="L78"/>
  <c r="M78"/>
  <c r="S78"/>
  <c r="U78"/>
  <c r="X78"/>
  <c r="I294" i="18" s="1"/>
  <c r="AD78" i="17"/>
  <c r="AF78"/>
  <c r="AI78"/>
  <c r="I328" i="18" s="1"/>
  <c r="G79" i="17"/>
  <c r="N79"/>
  <c r="T79"/>
  <c r="V79"/>
  <c r="Z79"/>
  <c r="AE79"/>
  <c r="AG79"/>
  <c r="AK79"/>
  <c r="G80"/>
  <c r="N80"/>
  <c r="T80"/>
  <c r="V80"/>
  <c r="Z80"/>
  <c r="AE80"/>
  <c r="AG80"/>
  <c r="AK80"/>
  <c r="B81"/>
  <c r="G81"/>
  <c r="I81"/>
  <c r="N81"/>
  <c r="P81"/>
  <c r="F294" i="18" s="1"/>
  <c r="T81" i="17"/>
  <c r="V81"/>
  <c r="Z81"/>
  <c r="AA81"/>
  <c r="AE81"/>
  <c r="AG81"/>
  <c r="AK81"/>
  <c r="B82"/>
  <c r="G82"/>
  <c r="I82"/>
  <c r="N82"/>
  <c r="P82"/>
  <c r="T82"/>
  <c r="V82"/>
  <c r="Z82"/>
  <c r="AA82"/>
  <c r="AE82"/>
  <c r="AG82"/>
  <c r="AK82"/>
  <c r="G83"/>
  <c r="N83"/>
  <c r="T83"/>
  <c r="V83"/>
  <c r="Z83"/>
  <c r="AE83"/>
  <c r="AG83"/>
  <c r="AK83"/>
  <c r="B84"/>
  <c r="G84"/>
  <c r="I84"/>
  <c r="N84"/>
  <c r="P84"/>
  <c r="G294" i="18" s="1"/>
  <c r="T84" i="17"/>
  <c r="V84"/>
  <c r="Z84"/>
  <c r="AA84"/>
  <c r="G328" i="18" s="1"/>
  <c r="AE84" i="17"/>
  <c r="AG84"/>
  <c r="AK84"/>
  <c r="B85"/>
  <c r="G85"/>
  <c r="I85"/>
  <c r="N85"/>
  <c r="P85"/>
  <c r="T85"/>
  <c r="V85"/>
  <c r="Z85"/>
  <c r="AA85"/>
  <c r="AE85"/>
  <c r="AG85"/>
  <c r="AK85"/>
  <c r="G86"/>
  <c r="N86"/>
  <c r="T86"/>
  <c r="V86"/>
  <c r="Z86"/>
  <c r="AE86"/>
  <c r="AG86"/>
  <c r="AK86"/>
  <c r="B87"/>
  <c r="G87"/>
  <c r="I87"/>
  <c r="N87"/>
  <c r="P87"/>
  <c r="T87"/>
  <c r="V87"/>
  <c r="Z87"/>
  <c r="AA87"/>
  <c r="AE87"/>
  <c r="AG87"/>
  <c r="AK87"/>
  <c r="G88"/>
  <c r="N88"/>
  <c r="T88"/>
  <c r="V88"/>
  <c r="Z88"/>
  <c r="AE88"/>
  <c r="AG88"/>
  <c r="AK88"/>
  <c r="G89"/>
  <c r="N89"/>
  <c r="T89"/>
  <c r="V89"/>
  <c r="Z89"/>
  <c r="AE89"/>
  <c r="AG89"/>
  <c r="AK89"/>
  <c r="G90"/>
  <c r="N90"/>
  <c r="T90"/>
  <c r="V90"/>
  <c r="Z90"/>
  <c r="AE90"/>
  <c r="AG90"/>
  <c r="AK90"/>
  <c r="G91"/>
  <c r="N91"/>
  <c r="T91"/>
  <c r="V91"/>
  <c r="Z91"/>
  <c r="AE91"/>
  <c r="AG91"/>
  <c r="AK91"/>
  <c r="G92"/>
  <c r="N92"/>
  <c r="T92"/>
  <c r="V92"/>
  <c r="Z92"/>
  <c r="AE92"/>
  <c r="AG92"/>
  <c r="AK92"/>
  <c r="G93"/>
  <c r="N93"/>
  <c r="P93"/>
  <c r="T93"/>
  <c r="V93"/>
  <c r="Z93"/>
  <c r="AA93"/>
  <c r="AE93"/>
  <c r="AG93"/>
  <c r="AK93"/>
  <c r="G94"/>
  <c r="N94"/>
  <c r="T94"/>
  <c r="V94"/>
  <c r="Z94"/>
  <c r="AE94"/>
  <c r="AG94"/>
  <c r="AK94"/>
  <c r="G95"/>
  <c r="N95"/>
  <c r="P95"/>
  <c r="T95"/>
  <c r="V95"/>
  <c r="Z95"/>
  <c r="AA95"/>
  <c r="AE95"/>
  <c r="AG95"/>
  <c r="AK95"/>
  <c r="G96"/>
  <c r="N96"/>
  <c r="T96"/>
  <c r="V96"/>
  <c r="Z96"/>
  <c r="AE96"/>
  <c r="AG96"/>
  <c r="AK96"/>
  <c r="G97"/>
  <c r="N97"/>
  <c r="T97"/>
  <c r="V97"/>
  <c r="Z97"/>
  <c r="AE97"/>
  <c r="AG97"/>
  <c r="AK97"/>
  <c r="G98"/>
  <c r="N98"/>
  <c r="T98"/>
  <c r="V98"/>
  <c r="Z98"/>
  <c r="AE98"/>
  <c r="AG98"/>
  <c r="AK98"/>
  <c r="G99"/>
  <c r="N99"/>
  <c r="T99"/>
  <c r="V99"/>
  <c r="Z99"/>
  <c r="AE99"/>
  <c r="AG99"/>
  <c r="AK99"/>
  <c r="G100"/>
  <c r="N100"/>
  <c r="T100"/>
  <c r="V100"/>
  <c r="Z100"/>
  <c r="AE100"/>
  <c r="AG100"/>
  <c r="AK100"/>
  <c r="G101"/>
  <c r="N101"/>
  <c r="T101"/>
  <c r="V101"/>
  <c r="Z101"/>
  <c r="AE101"/>
  <c r="AG101"/>
  <c r="AK101"/>
  <c r="G102"/>
  <c r="N102"/>
  <c r="T102"/>
  <c r="V102"/>
  <c r="Z102"/>
  <c r="AE102"/>
  <c r="AG102"/>
  <c r="AK102"/>
  <c r="L103"/>
  <c r="M103"/>
  <c r="S103"/>
  <c r="U103"/>
  <c r="X103"/>
  <c r="AD103"/>
  <c r="AF103"/>
  <c r="AI103"/>
  <c r="I329" i="18" s="1"/>
  <c r="G104" i="17"/>
  <c r="N104"/>
  <c r="T104"/>
  <c r="V104"/>
  <c r="Z104"/>
  <c r="AE104"/>
  <c r="AG104"/>
  <c r="AK104"/>
  <c r="G105"/>
  <c r="N105"/>
  <c r="T105"/>
  <c r="V105"/>
  <c r="Z105"/>
  <c r="AE105"/>
  <c r="AG105"/>
  <c r="AK105"/>
  <c r="B106"/>
  <c r="G106"/>
  <c r="I106"/>
  <c r="N106"/>
  <c r="P106"/>
  <c r="F295" i="18" s="1"/>
  <c r="T106" i="17"/>
  <c r="V106"/>
  <c r="Z106"/>
  <c r="AA106"/>
  <c r="AE106"/>
  <c r="AG106"/>
  <c r="AK106"/>
  <c r="B107"/>
  <c r="G107"/>
  <c r="I107"/>
  <c r="N107"/>
  <c r="P107"/>
  <c r="T107"/>
  <c r="V107"/>
  <c r="Z107"/>
  <c r="AA107"/>
  <c r="AE107"/>
  <c r="AG107"/>
  <c r="AK107"/>
  <c r="G108"/>
  <c r="N108"/>
  <c r="T108"/>
  <c r="V108"/>
  <c r="Z108"/>
  <c r="AE108"/>
  <c r="AG108"/>
  <c r="AK108"/>
  <c r="B109"/>
  <c r="G109"/>
  <c r="I109"/>
  <c r="N109"/>
  <c r="P109"/>
  <c r="G295" i="18" s="1"/>
  <c r="T109" i="17"/>
  <c r="V109"/>
  <c r="Z109"/>
  <c r="AA109"/>
  <c r="G329" i="18" s="1"/>
  <c r="AE109" i="17"/>
  <c r="AG109"/>
  <c r="AK109"/>
  <c r="B110"/>
  <c r="G110"/>
  <c r="I110"/>
  <c r="N110"/>
  <c r="P110"/>
  <c r="T110"/>
  <c r="V110"/>
  <c r="Z110"/>
  <c r="AA110"/>
  <c r="AE110"/>
  <c r="AG110"/>
  <c r="AK110"/>
  <c r="G111"/>
  <c r="N111"/>
  <c r="T111"/>
  <c r="V111"/>
  <c r="Z111"/>
  <c r="AE111"/>
  <c r="AG111"/>
  <c r="AK111"/>
  <c r="B112"/>
  <c r="G112"/>
  <c r="I112"/>
  <c r="N112"/>
  <c r="P112"/>
  <c r="T112"/>
  <c r="V112"/>
  <c r="Z112"/>
  <c r="AA112"/>
  <c r="AE112"/>
  <c r="AG112"/>
  <c r="AK112"/>
  <c r="G113"/>
  <c r="N113"/>
  <c r="T113"/>
  <c r="V113"/>
  <c r="Z113"/>
  <c r="AE113"/>
  <c r="AG113"/>
  <c r="AK113"/>
  <c r="G114"/>
  <c r="N114"/>
  <c r="T114"/>
  <c r="V114"/>
  <c r="Z114"/>
  <c r="AE114"/>
  <c r="AG114"/>
  <c r="AK114"/>
  <c r="G115"/>
  <c r="N115"/>
  <c r="T115"/>
  <c r="V115"/>
  <c r="Z115"/>
  <c r="AE115"/>
  <c r="AG115"/>
  <c r="AK115"/>
  <c r="G116"/>
  <c r="N116"/>
  <c r="T116"/>
  <c r="V116"/>
  <c r="Z116"/>
  <c r="AE116"/>
  <c r="AG116"/>
  <c r="AK116"/>
  <c r="G117"/>
  <c r="N117"/>
  <c r="T117"/>
  <c r="V117"/>
  <c r="Z117"/>
  <c r="AE117"/>
  <c r="AG117"/>
  <c r="AK117"/>
  <c r="G118"/>
  <c r="N118"/>
  <c r="P118"/>
  <c r="T118"/>
  <c r="V118"/>
  <c r="Z118"/>
  <c r="AA118"/>
  <c r="AE118"/>
  <c r="AG118"/>
  <c r="AK118"/>
  <c r="G119"/>
  <c r="N119"/>
  <c r="T119"/>
  <c r="V119"/>
  <c r="Z119"/>
  <c r="AE119"/>
  <c r="AG119"/>
  <c r="AK119"/>
  <c r="G120"/>
  <c r="N120"/>
  <c r="P120"/>
  <c r="T120"/>
  <c r="V120"/>
  <c r="Z120"/>
  <c r="AA120"/>
  <c r="AE120"/>
  <c r="AG120"/>
  <c r="AK120"/>
  <c r="G121"/>
  <c r="N121"/>
  <c r="T121"/>
  <c r="V121"/>
  <c r="Z121"/>
  <c r="AE121"/>
  <c r="AG121"/>
  <c r="AK121"/>
  <c r="G122"/>
  <c r="N122"/>
  <c r="T122"/>
  <c r="V122"/>
  <c r="Z122"/>
  <c r="AE122"/>
  <c r="AG122"/>
  <c r="AK122"/>
  <c r="G123"/>
  <c r="N123"/>
  <c r="T123"/>
  <c r="V123"/>
  <c r="Z123"/>
  <c r="AE123"/>
  <c r="AG123"/>
  <c r="AK123"/>
  <c r="G124"/>
  <c r="N124"/>
  <c r="T124"/>
  <c r="V124"/>
  <c r="Z124"/>
  <c r="AE124"/>
  <c r="AG124"/>
  <c r="AK124"/>
  <c r="G125"/>
  <c r="N125"/>
  <c r="T125"/>
  <c r="V125"/>
  <c r="Z125"/>
  <c r="AE125"/>
  <c r="AG125"/>
  <c r="AK125"/>
  <c r="G126"/>
  <c r="N126"/>
  <c r="T126"/>
  <c r="V126"/>
  <c r="Z126"/>
  <c r="AE126"/>
  <c r="AG126"/>
  <c r="AK126"/>
  <c r="G127"/>
  <c r="N127"/>
  <c r="T127"/>
  <c r="V127"/>
  <c r="Z127"/>
  <c r="AE127"/>
  <c r="AG127"/>
  <c r="AK127"/>
  <c r="L128"/>
  <c r="M128"/>
  <c r="S128"/>
  <c r="U128"/>
  <c r="X128"/>
  <c r="I296" i="18" s="1"/>
  <c r="AD128" i="17"/>
  <c r="AF128"/>
  <c r="AI128"/>
  <c r="I330" i="18" s="1"/>
  <c r="G129" i="17"/>
  <c r="N129"/>
  <c r="T129"/>
  <c r="V129"/>
  <c r="Z129"/>
  <c r="AE129"/>
  <c r="AG129"/>
  <c r="AK129"/>
  <c r="G130"/>
  <c r="N130"/>
  <c r="T130"/>
  <c r="V130"/>
  <c r="Z130"/>
  <c r="AE130"/>
  <c r="AG130"/>
  <c r="AK130"/>
  <c r="B131"/>
  <c r="G131"/>
  <c r="I131"/>
  <c r="N131"/>
  <c r="P131"/>
  <c r="F296" i="18" s="1"/>
  <c r="T131" i="17"/>
  <c r="V131"/>
  <c r="Z131"/>
  <c r="AA131"/>
  <c r="AE131"/>
  <c r="AG131"/>
  <c r="AK131"/>
  <c r="B132"/>
  <c r="G132"/>
  <c r="I132"/>
  <c r="N132"/>
  <c r="P132"/>
  <c r="T132"/>
  <c r="V132"/>
  <c r="Z132"/>
  <c r="AA132"/>
  <c r="AE132"/>
  <c r="AG132"/>
  <c r="AK132"/>
  <c r="G133"/>
  <c r="N133"/>
  <c r="T133"/>
  <c r="V133"/>
  <c r="Z133"/>
  <c r="AE133"/>
  <c r="AG133"/>
  <c r="AK133"/>
  <c r="B134"/>
  <c r="G134"/>
  <c r="I134"/>
  <c r="N134"/>
  <c r="P134"/>
  <c r="G296" i="18" s="1"/>
  <c r="T134" i="17"/>
  <c r="V134"/>
  <c r="Z134"/>
  <c r="AA134"/>
  <c r="G330" i="18" s="1"/>
  <c r="AE134" i="17"/>
  <c r="AG134"/>
  <c r="AK134"/>
  <c r="B135"/>
  <c r="G135"/>
  <c r="I135"/>
  <c r="N135"/>
  <c r="P135"/>
  <c r="T135"/>
  <c r="V135"/>
  <c r="Z135"/>
  <c r="AA135"/>
  <c r="AE135"/>
  <c r="AG135"/>
  <c r="AK135"/>
  <c r="G136"/>
  <c r="N136"/>
  <c r="T136"/>
  <c r="V136"/>
  <c r="Z136"/>
  <c r="AE136"/>
  <c r="AG136"/>
  <c r="AK136"/>
  <c r="B137"/>
  <c r="G137"/>
  <c r="I137"/>
  <c r="N137"/>
  <c r="P137"/>
  <c r="T137"/>
  <c r="V137"/>
  <c r="Z137"/>
  <c r="AA137"/>
  <c r="AE137"/>
  <c r="AG137"/>
  <c r="AK137"/>
  <c r="G138"/>
  <c r="N138"/>
  <c r="T138"/>
  <c r="V138"/>
  <c r="Z138"/>
  <c r="AE138"/>
  <c r="AG138"/>
  <c r="AK138"/>
  <c r="G139"/>
  <c r="N139"/>
  <c r="T139"/>
  <c r="V139"/>
  <c r="Z139"/>
  <c r="AE139"/>
  <c r="AG139"/>
  <c r="AK139"/>
  <c r="G140"/>
  <c r="N140"/>
  <c r="T140"/>
  <c r="V140"/>
  <c r="Z140"/>
  <c r="AE140"/>
  <c r="AG140"/>
  <c r="AK140"/>
  <c r="G141"/>
  <c r="N141"/>
  <c r="T141"/>
  <c r="V141"/>
  <c r="Z141"/>
  <c r="AE141"/>
  <c r="AG141"/>
  <c r="AK141"/>
  <c r="G142"/>
  <c r="N142"/>
  <c r="T142"/>
  <c r="V142"/>
  <c r="Z142"/>
  <c r="AE142"/>
  <c r="AG142"/>
  <c r="AK142"/>
  <c r="G143"/>
  <c r="N143"/>
  <c r="P143"/>
  <c r="T143"/>
  <c r="V143"/>
  <c r="Z143"/>
  <c r="AA143"/>
  <c r="AE143"/>
  <c r="AG143"/>
  <c r="AK143"/>
  <c r="G144"/>
  <c r="N144"/>
  <c r="T144"/>
  <c r="V144"/>
  <c r="Z144"/>
  <c r="AE144"/>
  <c r="AG144"/>
  <c r="AK144"/>
  <c r="G145"/>
  <c r="N145"/>
  <c r="P145"/>
  <c r="T145"/>
  <c r="V145"/>
  <c r="Z145"/>
  <c r="AA145"/>
  <c r="AE145"/>
  <c r="AG145"/>
  <c r="AK145"/>
  <c r="G146"/>
  <c r="N146"/>
  <c r="T146"/>
  <c r="V146"/>
  <c r="Z146"/>
  <c r="AE146"/>
  <c r="AG146"/>
  <c r="AK146"/>
  <c r="G147"/>
  <c r="N147"/>
  <c r="T147"/>
  <c r="V147"/>
  <c r="Z147"/>
  <c r="AE147"/>
  <c r="AG147"/>
  <c r="AK147"/>
  <c r="G148"/>
  <c r="N148"/>
  <c r="T148"/>
  <c r="V148"/>
  <c r="Z148"/>
  <c r="AE148"/>
  <c r="AG148"/>
  <c r="AK148"/>
  <c r="G149"/>
  <c r="N149"/>
  <c r="T149"/>
  <c r="V149"/>
  <c r="Z149"/>
  <c r="AE149"/>
  <c r="AG149"/>
  <c r="AK149"/>
  <c r="G150"/>
  <c r="N150"/>
  <c r="T150"/>
  <c r="V150"/>
  <c r="Z150"/>
  <c r="AE150"/>
  <c r="AG150"/>
  <c r="AK150"/>
  <c r="G151"/>
  <c r="N151"/>
  <c r="T151"/>
  <c r="V151"/>
  <c r="Z151"/>
  <c r="AE151"/>
  <c r="AG151"/>
  <c r="AK151"/>
  <c r="G152"/>
  <c r="N152"/>
  <c r="T152"/>
  <c r="V152"/>
  <c r="Z152"/>
  <c r="AE152"/>
  <c r="AG152"/>
  <c r="AK152"/>
  <c r="L153"/>
  <c r="M153"/>
  <c r="S153"/>
  <c r="U153"/>
  <c r="X153"/>
  <c r="I297" i="18" s="1"/>
  <c r="AD153" i="17"/>
  <c r="AF153"/>
  <c r="AI153"/>
  <c r="I331" i="18" s="1"/>
  <c r="G154" i="17"/>
  <c r="N154"/>
  <c r="T154"/>
  <c r="V154"/>
  <c r="Z154"/>
  <c r="AE154"/>
  <c r="AG154"/>
  <c r="AK154"/>
  <c r="G155"/>
  <c r="N155"/>
  <c r="T155"/>
  <c r="V155"/>
  <c r="Z155"/>
  <c r="AE155"/>
  <c r="AG155"/>
  <c r="AK155"/>
  <c r="B156"/>
  <c r="G156"/>
  <c r="I156"/>
  <c r="N156"/>
  <c r="P156"/>
  <c r="F297" i="18" s="1"/>
  <c r="T156" i="17"/>
  <c r="V156"/>
  <c r="Z156"/>
  <c r="AA156"/>
  <c r="AE156"/>
  <c r="AG156"/>
  <c r="AK156"/>
  <c r="B157"/>
  <c r="G157"/>
  <c r="I157"/>
  <c r="N157"/>
  <c r="P157"/>
  <c r="T157"/>
  <c r="V157"/>
  <c r="Z157"/>
  <c r="AA157"/>
  <c r="AE157"/>
  <c r="AG157"/>
  <c r="AK157"/>
  <c r="G158"/>
  <c r="N158"/>
  <c r="T158"/>
  <c r="V158"/>
  <c r="Z158"/>
  <c r="AE158"/>
  <c r="AG158"/>
  <c r="AK158"/>
  <c r="B159"/>
  <c r="G159"/>
  <c r="I159"/>
  <c r="N159"/>
  <c r="P159"/>
  <c r="G297" i="18" s="1"/>
  <c r="T159" i="17"/>
  <c r="V159"/>
  <c r="Z159"/>
  <c r="AA159"/>
  <c r="G331" i="18" s="1"/>
  <c r="AE159" i="17"/>
  <c r="AG159"/>
  <c r="AK159"/>
  <c r="B160"/>
  <c r="G160"/>
  <c r="I160"/>
  <c r="N160"/>
  <c r="P160"/>
  <c r="T160"/>
  <c r="V160"/>
  <c r="Z160"/>
  <c r="AA160"/>
  <c r="AE160"/>
  <c r="AG160"/>
  <c r="AK160"/>
  <c r="G161"/>
  <c r="N161"/>
  <c r="T161"/>
  <c r="V161"/>
  <c r="Z161"/>
  <c r="AE161"/>
  <c r="AG161"/>
  <c r="AK161"/>
  <c r="B162"/>
  <c r="G162"/>
  <c r="I162"/>
  <c r="N162"/>
  <c r="P162"/>
  <c r="T162"/>
  <c r="V162"/>
  <c r="Z162"/>
  <c r="AA162"/>
  <c r="AE162"/>
  <c r="AG162"/>
  <c r="AK162"/>
  <c r="G163"/>
  <c r="N163"/>
  <c r="T163"/>
  <c r="V163"/>
  <c r="Z163"/>
  <c r="AE163"/>
  <c r="AG163"/>
  <c r="AK163"/>
  <c r="G164"/>
  <c r="N164"/>
  <c r="T164"/>
  <c r="V164"/>
  <c r="Z164"/>
  <c r="AE164"/>
  <c r="AG164"/>
  <c r="AK164"/>
  <c r="G165"/>
  <c r="N165"/>
  <c r="T165"/>
  <c r="V165"/>
  <c r="Z165"/>
  <c r="AE165"/>
  <c r="AG165"/>
  <c r="AK165"/>
  <c r="G166"/>
  <c r="N166"/>
  <c r="T166"/>
  <c r="V166"/>
  <c r="Z166"/>
  <c r="AE166"/>
  <c r="AG166"/>
  <c r="AK166"/>
  <c r="G167"/>
  <c r="N167"/>
  <c r="T167"/>
  <c r="V167"/>
  <c r="Z167"/>
  <c r="AE167"/>
  <c r="AG167"/>
  <c r="AK167"/>
  <c r="G168"/>
  <c r="N168"/>
  <c r="P168"/>
  <c r="T168"/>
  <c r="V168"/>
  <c r="Z168"/>
  <c r="AA168"/>
  <c r="AE168"/>
  <c r="AG168"/>
  <c r="AK168"/>
  <c r="G169"/>
  <c r="N169"/>
  <c r="T169"/>
  <c r="V169"/>
  <c r="Z169"/>
  <c r="AE169"/>
  <c r="AG169"/>
  <c r="AK169"/>
  <c r="G170"/>
  <c r="N170"/>
  <c r="P170"/>
  <c r="T170"/>
  <c r="V170"/>
  <c r="Z170"/>
  <c r="AA170"/>
  <c r="AE170"/>
  <c r="AG170"/>
  <c r="AK170"/>
  <c r="G171"/>
  <c r="N171"/>
  <c r="T171"/>
  <c r="V171"/>
  <c r="Z171"/>
  <c r="AE171"/>
  <c r="AG171"/>
  <c r="AK171"/>
  <c r="G172"/>
  <c r="N172"/>
  <c r="T172"/>
  <c r="V172"/>
  <c r="Z172"/>
  <c r="AE172"/>
  <c r="AG172"/>
  <c r="AK172"/>
  <c r="G173"/>
  <c r="N173"/>
  <c r="T173"/>
  <c r="V173"/>
  <c r="Z173"/>
  <c r="AE173"/>
  <c r="AG173"/>
  <c r="AK173"/>
  <c r="G174"/>
  <c r="N174"/>
  <c r="T174"/>
  <c r="V174"/>
  <c r="Z174"/>
  <c r="AE174"/>
  <c r="AG174"/>
  <c r="AK174"/>
  <c r="G175"/>
  <c r="N175"/>
  <c r="T175"/>
  <c r="V175"/>
  <c r="Z175"/>
  <c r="AE175"/>
  <c r="AG175"/>
  <c r="AK175"/>
  <c r="G176"/>
  <c r="N176"/>
  <c r="T176"/>
  <c r="V176"/>
  <c r="Z176"/>
  <c r="AE176"/>
  <c r="AG176"/>
  <c r="AK176"/>
  <c r="G177"/>
  <c r="N177"/>
  <c r="T177"/>
  <c r="V177"/>
  <c r="Z177"/>
  <c r="AE177"/>
  <c r="AG177"/>
  <c r="AK177"/>
  <c r="L178"/>
  <c r="M178"/>
  <c r="S178"/>
  <c r="U178"/>
  <c r="X178"/>
  <c r="I298" i="18" s="1"/>
  <c r="AD178" i="17"/>
  <c r="AF178"/>
  <c r="AI178"/>
  <c r="I332" i="18" s="1"/>
  <c r="G179" i="17"/>
  <c r="N179"/>
  <c r="T179"/>
  <c r="V179"/>
  <c r="Z179"/>
  <c r="AE179"/>
  <c r="AG179"/>
  <c r="AK179"/>
  <c r="G180"/>
  <c r="N180"/>
  <c r="T180"/>
  <c r="V180"/>
  <c r="Z180"/>
  <c r="AE180"/>
  <c r="AG180"/>
  <c r="AK180"/>
  <c r="B181"/>
  <c r="G181"/>
  <c r="I181"/>
  <c r="N181"/>
  <c r="P181"/>
  <c r="F298" i="18" s="1"/>
  <c r="T181" i="17"/>
  <c r="V181"/>
  <c r="Z181"/>
  <c r="AA181"/>
  <c r="AE181"/>
  <c r="AG181"/>
  <c r="AK181"/>
  <c r="B182"/>
  <c r="G182"/>
  <c r="I182"/>
  <c r="N182"/>
  <c r="P182"/>
  <c r="T182"/>
  <c r="V182"/>
  <c r="Z182"/>
  <c r="AA182"/>
  <c r="AE182"/>
  <c r="AG182"/>
  <c r="AK182"/>
  <c r="G183"/>
  <c r="N183"/>
  <c r="T183"/>
  <c r="V183"/>
  <c r="Z183"/>
  <c r="AE183"/>
  <c r="AG183"/>
  <c r="AK183"/>
  <c r="B184"/>
  <c r="G184"/>
  <c r="I184"/>
  <c r="N184"/>
  <c r="P184"/>
  <c r="G298" i="18" s="1"/>
  <c r="T184" i="17"/>
  <c r="V184"/>
  <c r="Z184"/>
  <c r="AA184"/>
  <c r="G332" i="18" s="1"/>
  <c r="AE184" i="17"/>
  <c r="AG184"/>
  <c r="AK184"/>
  <c r="B185"/>
  <c r="G185"/>
  <c r="I185"/>
  <c r="N185"/>
  <c r="P185"/>
  <c r="T185"/>
  <c r="V185"/>
  <c r="Z185"/>
  <c r="AA185"/>
  <c r="AE185"/>
  <c r="AG185"/>
  <c r="AK185"/>
  <c r="G186"/>
  <c r="N186"/>
  <c r="T186"/>
  <c r="V186"/>
  <c r="Z186"/>
  <c r="AE186"/>
  <c r="AG186"/>
  <c r="AK186"/>
  <c r="B187"/>
  <c r="G187"/>
  <c r="I187"/>
  <c r="N187"/>
  <c r="P187"/>
  <c r="T187"/>
  <c r="V187"/>
  <c r="Z187"/>
  <c r="AA187"/>
  <c r="AE187"/>
  <c r="AG187"/>
  <c r="AK187"/>
  <c r="G188"/>
  <c r="N188"/>
  <c r="T188"/>
  <c r="V188"/>
  <c r="Z188"/>
  <c r="AE188"/>
  <c r="AG188"/>
  <c r="AK188"/>
  <c r="G189"/>
  <c r="N189"/>
  <c r="T189"/>
  <c r="V189"/>
  <c r="Z189"/>
  <c r="AE189"/>
  <c r="AG189"/>
  <c r="AK189"/>
  <c r="G190"/>
  <c r="N190"/>
  <c r="T190"/>
  <c r="V190"/>
  <c r="Z190"/>
  <c r="AE190"/>
  <c r="AG190"/>
  <c r="AK190"/>
  <c r="G191"/>
  <c r="N191"/>
  <c r="T191"/>
  <c r="V191"/>
  <c r="Z191"/>
  <c r="AE191"/>
  <c r="AG191"/>
  <c r="AK191"/>
  <c r="G192"/>
  <c r="N192"/>
  <c r="T192"/>
  <c r="V192"/>
  <c r="Z192"/>
  <c r="AE192"/>
  <c r="AG192"/>
  <c r="AK192"/>
  <c r="G193"/>
  <c r="N193"/>
  <c r="P193"/>
  <c r="T193"/>
  <c r="V193"/>
  <c r="Z193"/>
  <c r="AA193"/>
  <c r="AE193"/>
  <c r="AG193"/>
  <c r="AK193"/>
  <c r="G194"/>
  <c r="N194"/>
  <c r="T194"/>
  <c r="V194"/>
  <c r="Z194"/>
  <c r="AE194"/>
  <c r="AG194"/>
  <c r="AK194"/>
  <c r="G195"/>
  <c r="N195"/>
  <c r="P195"/>
  <c r="T195"/>
  <c r="V195"/>
  <c r="Z195"/>
  <c r="AA195"/>
  <c r="AE195"/>
  <c r="AG195"/>
  <c r="AK195"/>
  <c r="G196"/>
  <c r="N196"/>
  <c r="T196"/>
  <c r="V196"/>
  <c r="Z196"/>
  <c r="AE196"/>
  <c r="AG196"/>
  <c r="AK196"/>
  <c r="G197"/>
  <c r="N197"/>
  <c r="T197"/>
  <c r="V197"/>
  <c r="Z197"/>
  <c r="AE197"/>
  <c r="AG197"/>
  <c r="AK197"/>
  <c r="G198"/>
  <c r="N198"/>
  <c r="T198"/>
  <c r="V198"/>
  <c r="Z198"/>
  <c r="AE198"/>
  <c r="AG198"/>
  <c r="AK198"/>
  <c r="G199"/>
  <c r="N199"/>
  <c r="T199"/>
  <c r="V199"/>
  <c r="Z199"/>
  <c r="AE199"/>
  <c r="AG199"/>
  <c r="AK199"/>
  <c r="G200"/>
  <c r="N200"/>
  <c r="T200"/>
  <c r="V200"/>
  <c r="Z200"/>
  <c r="AE200"/>
  <c r="AG200"/>
  <c r="AK200"/>
  <c r="G201"/>
  <c r="N201"/>
  <c r="T201"/>
  <c r="V201"/>
  <c r="Z201"/>
  <c r="AE201"/>
  <c r="AG201"/>
  <c r="AK201"/>
  <c r="G202"/>
  <c r="N202"/>
  <c r="T202"/>
  <c r="V202"/>
  <c r="Z202"/>
  <c r="AE202"/>
  <c r="AG202"/>
  <c r="AK202"/>
  <c r="L203"/>
  <c r="M203"/>
  <c r="S203"/>
  <c r="U203"/>
  <c r="X203"/>
  <c r="AD203"/>
  <c r="AF203"/>
  <c r="AI203"/>
  <c r="I333" i="18" s="1"/>
  <c r="G204" i="17"/>
  <c r="N204"/>
  <c r="T204"/>
  <c r="V204"/>
  <c r="Z204"/>
  <c r="AE204"/>
  <c r="AG204"/>
  <c r="AK204"/>
  <c r="G205"/>
  <c r="N205"/>
  <c r="T205"/>
  <c r="V205"/>
  <c r="Z205"/>
  <c r="AE205"/>
  <c r="AG205"/>
  <c r="AK205"/>
  <c r="B206"/>
  <c r="G206"/>
  <c r="I206"/>
  <c r="N206"/>
  <c r="P206"/>
  <c r="F299" i="18" s="1"/>
  <c r="T206" i="17"/>
  <c r="V206"/>
  <c r="Z206"/>
  <c r="AA206"/>
  <c r="AE206"/>
  <c r="AG206"/>
  <c r="AK206"/>
  <c r="B207"/>
  <c r="G207"/>
  <c r="I207"/>
  <c r="N207"/>
  <c r="P207"/>
  <c r="T207"/>
  <c r="V207"/>
  <c r="Z207"/>
  <c r="AA207"/>
  <c r="AE207"/>
  <c r="AG207"/>
  <c r="AK207"/>
  <c r="G208"/>
  <c r="N208"/>
  <c r="T208"/>
  <c r="V208"/>
  <c r="Z208"/>
  <c r="AE208"/>
  <c r="AG208"/>
  <c r="AK208"/>
  <c r="B209"/>
  <c r="G209"/>
  <c r="I209"/>
  <c r="N209"/>
  <c r="P209"/>
  <c r="G299" i="18" s="1"/>
  <c r="T209" i="17"/>
  <c r="V209"/>
  <c r="Z209"/>
  <c r="AA209"/>
  <c r="G333" i="18" s="1"/>
  <c r="AE209" i="17"/>
  <c r="AG209"/>
  <c r="AK209"/>
  <c r="B210"/>
  <c r="G210"/>
  <c r="I210"/>
  <c r="N210"/>
  <c r="P210"/>
  <c r="T210"/>
  <c r="V210"/>
  <c r="Z210"/>
  <c r="AA210"/>
  <c r="AE210"/>
  <c r="AG210"/>
  <c r="AK210"/>
  <c r="G211"/>
  <c r="N211"/>
  <c r="T211"/>
  <c r="V211"/>
  <c r="Z211"/>
  <c r="AE211"/>
  <c r="AG211"/>
  <c r="AK211"/>
  <c r="B212"/>
  <c r="G212"/>
  <c r="I212"/>
  <c r="N212"/>
  <c r="P212"/>
  <c r="T212"/>
  <c r="V212"/>
  <c r="Z212"/>
  <c r="AA212"/>
  <c r="AE212"/>
  <c r="AG212"/>
  <c r="AK212"/>
  <c r="G213"/>
  <c r="N213"/>
  <c r="T213"/>
  <c r="V213"/>
  <c r="Z213"/>
  <c r="AE213"/>
  <c r="AG213"/>
  <c r="AK213"/>
  <c r="G214"/>
  <c r="N214"/>
  <c r="T214"/>
  <c r="V214"/>
  <c r="Z214"/>
  <c r="AE214"/>
  <c r="AG214"/>
  <c r="AK214"/>
  <c r="G215"/>
  <c r="N215"/>
  <c r="T215"/>
  <c r="V215"/>
  <c r="Z215"/>
  <c r="AE215"/>
  <c r="AG215"/>
  <c r="AK215"/>
  <c r="G216"/>
  <c r="N216"/>
  <c r="T216"/>
  <c r="V216"/>
  <c r="Z216"/>
  <c r="AE216"/>
  <c r="AG216"/>
  <c r="AK216"/>
  <c r="G217"/>
  <c r="N217"/>
  <c r="T217"/>
  <c r="V217"/>
  <c r="Z217"/>
  <c r="AE217"/>
  <c r="AG217"/>
  <c r="AK217"/>
  <c r="G218"/>
  <c r="N218"/>
  <c r="P218"/>
  <c r="T218"/>
  <c r="V218"/>
  <c r="Z218"/>
  <c r="AA218"/>
  <c r="AE218"/>
  <c r="AG218"/>
  <c r="AK218"/>
  <c r="G219"/>
  <c r="N219"/>
  <c r="T219"/>
  <c r="V219"/>
  <c r="Z219"/>
  <c r="AE219"/>
  <c r="AG219"/>
  <c r="AK219"/>
  <c r="G220"/>
  <c r="N220"/>
  <c r="P220"/>
  <c r="T220"/>
  <c r="V220"/>
  <c r="Z220"/>
  <c r="AA220"/>
  <c r="AE220"/>
  <c r="AG220"/>
  <c r="AK220"/>
  <c r="G221"/>
  <c r="N221"/>
  <c r="T221"/>
  <c r="V221"/>
  <c r="Z221"/>
  <c r="AE221"/>
  <c r="AG221"/>
  <c r="AK221"/>
  <c r="G222"/>
  <c r="N222"/>
  <c r="T222"/>
  <c r="V222"/>
  <c r="Z222"/>
  <c r="AE222"/>
  <c r="AG222"/>
  <c r="AK222"/>
  <c r="G223"/>
  <c r="N223"/>
  <c r="T223"/>
  <c r="V223"/>
  <c r="Z223"/>
  <c r="AE223"/>
  <c r="AG223"/>
  <c r="AK223"/>
  <c r="G224"/>
  <c r="N224"/>
  <c r="T224"/>
  <c r="V224"/>
  <c r="Z224"/>
  <c r="AE224"/>
  <c r="AG224"/>
  <c r="AK224"/>
  <c r="G225"/>
  <c r="N225"/>
  <c r="T225"/>
  <c r="V225"/>
  <c r="Z225"/>
  <c r="AE225"/>
  <c r="AG225"/>
  <c r="AK225"/>
  <c r="G226"/>
  <c r="N226"/>
  <c r="T226"/>
  <c r="V226"/>
  <c r="Z226"/>
  <c r="AE226"/>
  <c r="AG226"/>
  <c r="AK226"/>
  <c r="G227"/>
  <c r="N227"/>
  <c r="T227"/>
  <c r="V227"/>
  <c r="Z227"/>
  <c r="AE227"/>
  <c r="AG227"/>
  <c r="AK227"/>
  <c r="L228"/>
  <c r="M228"/>
  <c r="S228"/>
  <c r="U228"/>
  <c r="X228"/>
  <c r="I300" i="18" s="1"/>
  <c r="AD228" i="17"/>
  <c r="AF228"/>
  <c r="AI228"/>
  <c r="I334" i="18" s="1"/>
  <c r="G229" i="17"/>
  <c r="N229"/>
  <c r="T229"/>
  <c r="V229"/>
  <c r="Z229"/>
  <c r="AE229"/>
  <c r="AG229"/>
  <c r="AK229"/>
  <c r="G230"/>
  <c r="N230"/>
  <c r="T230"/>
  <c r="V230"/>
  <c r="Z230"/>
  <c r="AE230"/>
  <c r="AG230"/>
  <c r="AK230"/>
  <c r="B231"/>
  <c r="G231"/>
  <c r="I231"/>
  <c r="N231"/>
  <c r="P231"/>
  <c r="F300" i="18" s="1"/>
  <c r="T231" i="17"/>
  <c r="V231"/>
  <c r="Z231"/>
  <c r="AA231"/>
  <c r="F334" i="18" s="1"/>
  <c r="AE231" i="17"/>
  <c r="AG231"/>
  <c r="AK231"/>
  <c r="B232"/>
  <c r="G232"/>
  <c r="I232"/>
  <c r="N232"/>
  <c r="P232"/>
  <c r="T232"/>
  <c r="V232"/>
  <c r="Z232"/>
  <c r="AA232"/>
  <c r="AE232"/>
  <c r="AG232"/>
  <c r="AK232"/>
  <c r="G233"/>
  <c r="N233"/>
  <c r="T233"/>
  <c r="V233"/>
  <c r="Z233"/>
  <c r="AE233"/>
  <c r="AG233"/>
  <c r="AK233"/>
  <c r="B234"/>
  <c r="G234"/>
  <c r="I234"/>
  <c r="N234"/>
  <c r="P234"/>
  <c r="G300" i="18" s="1"/>
  <c r="T234" i="17"/>
  <c r="V234"/>
  <c r="Z234"/>
  <c r="AA234"/>
  <c r="G334" i="18" s="1"/>
  <c r="AE234" i="17"/>
  <c r="AG234"/>
  <c r="AK234"/>
  <c r="B235"/>
  <c r="G235"/>
  <c r="I235"/>
  <c r="N235"/>
  <c r="P235"/>
  <c r="T235"/>
  <c r="V235"/>
  <c r="Z235"/>
  <c r="AA235"/>
  <c r="AE235"/>
  <c r="AG235"/>
  <c r="AK235"/>
  <c r="G236"/>
  <c r="N236"/>
  <c r="T236"/>
  <c r="V236"/>
  <c r="Z236"/>
  <c r="AE236"/>
  <c r="AG236"/>
  <c r="AK236"/>
  <c r="B237"/>
  <c r="G237"/>
  <c r="I237"/>
  <c r="N237"/>
  <c r="P237"/>
  <c r="T237"/>
  <c r="V237"/>
  <c r="Z237"/>
  <c r="AA237"/>
  <c r="AE237"/>
  <c r="AG237"/>
  <c r="AK237"/>
  <c r="G238"/>
  <c r="N238"/>
  <c r="T238"/>
  <c r="V238"/>
  <c r="Z238"/>
  <c r="AE238"/>
  <c r="AG238"/>
  <c r="AK238"/>
  <c r="G239"/>
  <c r="N239"/>
  <c r="T239"/>
  <c r="V239"/>
  <c r="Z239"/>
  <c r="AE239"/>
  <c r="AG239"/>
  <c r="AK239"/>
  <c r="G240"/>
  <c r="N240"/>
  <c r="T240"/>
  <c r="V240"/>
  <c r="Z240"/>
  <c r="AE240"/>
  <c r="AG240"/>
  <c r="AK240"/>
  <c r="G241"/>
  <c r="N241"/>
  <c r="T241"/>
  <c r="V241"/>
  <c r="Z241"/>
  <c r="AE241"/>
  <c r="AG241"/>
  <c r="AK241"/>
  <c r="G242"/>
  <c r="N242"/>
  <c r="T242"/>
  <c r="V242"/>
  <c r="Z242"/>
  <c r="AE242"/>
  <c r="AG242"/>
  <c r="AK242"/>
  <c r="G243"/>
  <c r="N243"/>
  <c r="P243"/>
  <c r="T243"/>
  <c r="V243"/>
  <c r="Z243"/>
  <c r="AA243"/>
  <c r="AE243"/>
  <c r="AG243"/>
  <c r="AK243"/>
  <c r="G244"/>
  <c r="N244"/>
  <c r="T244"/>
  <c r="V244"/>
  <c r="Z244"/>
  <c r="AE244"/>
  <c r="AG244"/>
  <c r="AK244"/>
  <c r="G245"/>
  <c r="N245"/>
  <c r="P245"/>
  <c r="T245"/>
  <c r="V245"/>
  <c r="Z245"/>
  <c r="AA245"/>
  <c r="AE245"/>
  <c r="AG245"/>
  <c r="AK245"/>
  <c r="G246"/>
  <c r="N246"/>
  <c r="T246"/>
  <c r="V246"/>
  <c r="Z246"/>
  <c r="AE246"/>
  <c r="AG246"/>
  <c r="AK246"/>
  <c r="G247"/>
  <c r="N247"/>
  <c r="T247"/>
  <c r="V247"/>
  <c r="Z247"/>
  <c r="AE247"/>
  <c r="AG247"/>
  <c r="AK247"/>
  <c r="G248"/>
  <c r="N248"/>
  <c r="T248"/>
  <c r="V248"/>
  <c r="Z248"/>
  <c r="AE248"/>
  <c r="AG248"/>
  <c r="AK248"/>
  <c r="G249"/>
  <c r="N249"/>
  <c r="T249"/>
  <c r="V249"/>
  <c r="Z249"/>
  <c r="AE249"/>
  <c r="AG249"/>
  <c r="AK249"/>
  <c r="G250"/>
  <c r="N250"/>
  <c r="T250"/>
  <c r="V250"/>
  <c r="Z250"/>
  <c r="AE250"/>
  <c r="AG250"/>
  <c r="AK250"/>
  <c r="G251"/>
  <c r="N251"/>
  <c r="T251"/>
  <c r="V251"/>
  <c r="Z251"/>
  <c r="AE251"/>
  <c r="AG251"/>
  <c r="AK251"/>
  <c r="G252"/>
  <c r="N252"/>
  <c r="T252"/>
  <c r="V252"/>
  <c r="Z252"/>
  <c r="AE252"/>
  <c r="AG252"/>
  <c r="AK252"/>
  <c r="L253"/>
  <c r="M253"/>
  <c r="S253"/>
  <c r="U253"/>
  <c r="X253"/>
  <c r="I301" i="18" s="1"/>
  <c r="AD253" i="17"/>
  <c r="AF253"/>
  <c r="AI253"/>
  <c r="I335" i="18" s="1"/>
  <c r="G254" i="17"/>
  <c r="N254"/>
  <c r="T254"/>
  <c r="V254"/>
  <c r="Z254"/>
  <c r="AE254"/>
  <c r="AG254"/>
  <c r="AK254"/>
  <c r="G255"/>
  <c r="N255"/>
  <c r="T255"/>
  <c r="V255"/>
  <c r="Z255"/>
  <c r="AE255"/>
  <c r="AG255"/>
  <c r="AK255"/>
  <c r="B256"/>
  <c r="G256"/>
  <c r="I256"/>
  <c r="N256"/>
  <c r="P256"/>
  <c r="F301" i="18" s="1"/>
  <c r="T256" i="17"/>
  <c r="V256"/>
  <c r="Z256"/>
  <c r="AA256"/>
  <c r="F335" i="18" s="1"/>
  <c r="AE256" i="17"/>
  <c r="AG256"/>
  <c r="AK256"/>
  <c r="B257"/>
  <c r="G257"/>
  <c r="I257"/>
  <c r="N257"/>
  <c r="P257"/>
  <c r="T257"/>
  <c r="V257"/>
  <c r="Z257"/>
  <c r="AA257"/>
  <c r="AE257"/>
  <c r="AG257"/>
  <c r="AK257"/>
  <c r="G258"/>
  <c r="N258"/>
  <c r="T258"/>
  <c r="V258"/>
  <c r="Z258"/>
  <c r="AE258"/>
  <c r="AG258"/>
  <c r="AK258"/>
  <c r="B259"/>
  <c r="G259"/>
  <c r="I259"/>
  <c r="N259"/>
  <c r="P259"/>
  <c r="G301" i="18" s="1"/>
  <c r="T259" i="17"/>
  <c r="V259"/>
  <c r="Z259"/>
  <c r="AA259"/>
  <c r="G335" i="18" s="1"/>
  <c r="AE259" i="17"/>
  <c r="AG259"/>
  <c r="AK259"/>
  <c r="B260"/>
  <c r="G260"/>
  <c r="I260"/>
  <c r="N260"/>
  <c r="P260"/>
  <c r="T260"/>
  <c r="V260"/>
  <c r="Z260"/>
  <c r="AA260"/>
  <c r="AE260"/>
  <c r="AG260"/>
  <c r="AK260"/>
  <c r="G261"/>
  <c r="N261"/>
  <c r="T261"/>
  <c r="V261"/>
  <c r="Z261"/>
  <c r="AE261"/>
  <c r="AG261"/>
  <c r="AK261"/>
  <c r="B262"/>
  <c r="G262"/>
  <c r="I262"/>
  <c r="N262"/>
  <c r="P262"/>
  <c r="T262"/>
  <c r="V262"/>
  <c r="Z262"/>
  <c r="AA262"/>
  <c r="AE262"/>
  <c r="AG262"/>
  <c r="AK262"/>
  <c r="G263"/>
  <c r="N263"/>
  <c r="T263"/>
  <c r="V263"/>
  <c r="Z263"/>
  <c r="AE263"/>
  <c r="AG263"/>
  <c r="AK263"/>
  <c r="G264"/>
  <c r="N264"/>
  <c r="T264"/>
  <c r="V264"/>
  <c r="Z264"/>
  <c r="AE264"/>
  <c r="AG264"/>
  <c r="AK264"/>
  <c r="G265"/>
  <c r="N265"/>
  <c r="T265"/>
  <c r="V265"/>
  <c r="Z265"/>
  <c r="AE265"/>
  <c r="AG265"/>
  <c r="AK265"/>
  <c r="G266"/>
  <c r="N266"/>
  <c r="T266"/>
  <c r="V266"/>
  <c r="Z266"/>
  <c r="AE266"/>
  <c r="AG266"/>
  <c r="AK266"/>
  <c r="G267"/>
  <c r="N267"/>
  <c r="T267"/>
  <c r="V267"/>
  <c r="Z267"/>
  <c r="AE267"/>
  <c r="AG267"/>
  <c r="AK267"/>
  <c r="G268"/>
  <c r="N268"/>
  <c r="P268"/>
  <c r="T268"/>
  <c r="V268"/>
  <c r="Z268"/>
  <c r="AA268"/>
  <c r="AE268"/>
  <c r="AG268"/>
  <c r="AK268"/>
  <c r="G269"/>
  <c r="N269"/>
  <c r="T269"/>
  <c r="V269"/>
  <c r="Z269"/>
  <c r="AE269"/>
  <c r="AG269"/>
  <c r="AK269"/>
  <c r="G270"/>
  <c r="N270"/>
  <c r="P270"/>
  <c r="T270"/>
  <c r="V270"/>
  <c r="Z270"/>
  <c r="AA270"/>
  <c r="AE270"/>
  <c r="AG270"/>
  <c r="AK270"/>
  <c r="G271"/>
  <c r="N271"/>
  <c r="T271"/>
  <c r="V271"/>
  <c r="Z271"/>
  <c r="AE271"/>
  <c r="AG271"/>
  <c r="AK271"/>
  <c r="G272"/>
  <c r="N272"/>
  <c r="T272"/>
  <c r="V272"/>
  <c r="Z272"/>
  <c r="AE272"/>
  <c r="AG272"/>
  <c r="AK272"/>
  <c r="G273"/>
  <c r="N273"/>
  <c r="T273"/>
  <c r="V273"/>
  <c r="Z273"/>
  <c r="AE273"/>
  <c r="AG273"/>
  <c r="AK273"/>
  <c r="G274"/>
  <c r="N274"/>
  <c r="T274"/>
  <c r="V274"/>
  <c r="Z274"/>
  <c r="AE274"/>
  <c r="AG274"/>
  <c r="AK274"/>
  <c r="G275"/>
  <c r="N275"/>
  <c r="T275"/>
  <c r="V275"/>
  <c r="Z275"/>
  <c r="AE275"/>
  <c r="AG275"/>
  <c r="AK275"/>
  <c r="G276"/>
  <c r="N276"/>
  <c r="T276"/>
  <c r="V276"/>
  <c r="Z276"/>
  <c r="AE276"/>
  <c r="AG276"/>
  <c r="AK276"/>
  <c r="G277"/>
  <c r="N277"/>
  <c r="T277"/>
  <c r="V277"/>
  <c r="Z277"/>
  <c r="AE277"/>
  <c r="AG277"/>
  <c r="AK277"/>
  <c r="L278"/>
  <c r="M278"/>
  <c r="S278"/>
  <c r="U278"/>
  <c r="X278"/>
  <c r="I302" i="18" s="1"/>
  <c r="AD278" i="17"/>
  <c r="AF278"/>
  <c r="AI278"/>
  <c r="I336" i="18" s="1"/>
  <c r="G279" i="17"/>
  <c r="N279"/>
  <c r="T279"/>
  <c r="V279"/>
  <c r="Z279"/>
  <c r="AE279"/>
  <c r="AG279"/>
  <c r="AK279"/>
  <c r="G280"/>
  <c r="N280"/>
  <c r="T280"/>
  <c r="V280"/>
  <c r="Z280"/>
  <c r="AE280"/>
  <c r="AG280"/>
  <c r="AK280"/>
  <c r="B281"/>
  <c r="G281"/>
  <c r="I281"/>
  <c r="N281"/>
  <c r="P281"/>
  <c r="F302" i="18" s="1"/>
  <c r="T281" i="17"/>
  <c r="V281"/>
  <c r="Z281"/>
  <c r="AA281"/>
  <c r="F336" i="18" s="1"/>
  <c r="AE281" i="17"/>
  <c r="AG281"/>
  <c r="AK281"/>
  <c r="B282"/>
  <c r="G282"/>
  <c r="I282"/>
  <c r="N282"/>
  <c r="P282"/>
  <c r="T282"/>
  <c r="V282"/>
  <c r="Z282"/>
  <c r="AA282"/>
  <c r="AE282"/>
  <c r="AG282"/>
  <c r="AK282"/>
  <c r="G283"/>
  <c r="N283"/>
  <c r="T283"/>
  <c r="V283"/>
  <c r="Z283"/>
  <c r="AE283"/>
  <c r="AG283"/>
  <c r="AK283"/>
  <c r="B284"/>
  <c r="G284"/>
  <c r="I284"/>
  <c r="N284"/>
  <c r="P284"/>
  <c r="G302" i="18" s="1"/>
  <c r="T284" i="17"/>
  <c r="V284"/>
  <c r="Z284"/>
  <c r="AA284"/>
  <c r="G336" i="18" s="1"/>
  <c r="AE284" i="17"/>
  <c r="AG284"/>
  <c r="AK284"/>
  <c r="B285"/>
  <c r="G285"/>
  <c r="I285"/>
  <c r="N285"/>
  <c r="P285"/>
  <c r="T285"/>
  <c r="V285"/>
  <c r="Z285"/>
  <c r="AA285"/>
  <c r="AE285"/>
  <c r="AG285"/>
  <c r="AK285"/>
  <c r="G286"/>
  <c r="N286"/>
  <c r="T286"/>
  <c r="V286"/>
  <c r="Z286"/>
  <c r="AE286"/>
  <c r="AG286"/>
  <c r="AK286"/>
  <c r="B287"/>
  <c r="G287"/>
  <c r="I287"/>
  <c r="N287"/>
  <c r="P287"/>
  <c r="T287"/>
  <c r="V287"/>
  <c r="Z287"/>
  <c r="AA287"/>
  <c r="AE287"/>
  <c r="AG287"/>
  <c r="AK287"/>
  <c r="G288"/>
  <c r="N288"/>
  <c r="T288"/>
  <c r="V288"/>
  <c r="Z288"/>
  <c r="AE288"/>
  <c r="AG288"/>
  <c r="AK288"/>
  <c r="G289"/>
  <c r="N289"/>
  <c r="T289"/>
  <c r="V289"/>
  <c r="Z289"/>
  <c r="AE289"/>
  <c r="AG289"/>
  <c r="AK289"/>
  <c r="G290"/>
  <c r="N290"/>
  <c r="T290"/>
  <c r="V290"/>
  <c r="Z290"/>
  <c r="AE290"/>
  <c r="AG290"/>
  <c r="AK290"/>
  <c r="G291"/>
  <c r="N291"/>
  <c r="T291"/>
  <c r="V291"/>
  <c r="Z291"/>
  <c r="AE291"/>
  <c r="AG291"/>
  <c r="AK291"/>
  <c r="G292"/>
  <c r="N292"/>
  <c r="T292"/>
  <c r="V292"/>
  <c r="Z292"/>
  <c r="AE292"/>
  <c r="AG292"/>
  <c r="AK292"/>
  <c r="G293"/>
  <c r="N293"/>
  <c r="P293"/>
  <c r="T293"/>
  <c r="V293"/>
  <c r="Z293"/>
  <c r="AA293"/>
  <c r="AE293"/>
  <c r="AG293"/>
  <c r="AK293"/>
  <c r="G294"/>
  <c r="N294"/>
  <c r="T294"/>
  <c r="V294"/>
  <c r="Z294"/>
  <c r="AE294"/>
  <c r="AG294"/>
  <c r="AK294"/>
  <c r="G295"/>
  <c r="N295"/>
  <c r="P295"/>
  <c r="T295"/>
  <c r="V295"/>
  <c r="Z295"/>
  <c r="AA295"/>
  <c r="AE295"/>
  <c r="AG295"/>
  <c r="AK295"/>
  <c r="G296"/>
  <c r="N296"/>
  <c r="T296"/>
  <c r="V296"/>
  <c r="Z296"/>
  <c r="AE296"/>
  <c r="AG296"/>
  <c r="AK296"/>
  <c r="G297"/>
  <c r="N297"/>
  <c r="T297"/>
  <c r="V297"/>
  <c r="Z297"/>
  <c r="AE297"/>
  <c r="AG297"/>
  <c r="AK297"/>
  <c r="G298"/>
  <c r="N298"/>
  <c r="T298"/>
  <c r="V298"/>
  <c r="Z298"/>
  <c r="AE298"/>
  <c r="AG298"/>
  <c r="AK298"/>
  <c r="G299"/>
  <c r="N299"/>
  <c r="T299"/>
  <c r="V299"/>
  <c r="Z299"/>
  <c r="AE299"/>
  <c r="AG299"/>
  <c r="AK299"/>
  <c r="G300"/>
  <c r="N300"/>
  <c r="T300"/>
  <c r="V300"/>
  <c r="Z300"/>
  <c r="AE300"/>
  <c r="AG300"/>
  <c r="AK300"/>
  <c r="G301"/>
  <c r="N301"/>
  <c r="T301"/>
  <c r="V301"/>
  <c r="Z301"/>
  <c r="AE301"/>
  <c r="AG301"/>
  <c r="AK301"/>
  <c r="G302"/>
  <c r="N302"/>
  <c r="T302"/>
  <c r="V302"/>
  <c r="Z302"/>
  <c r="AE302"/>
  <c r="AG302"/>
  <c r="AK302"/>
  <c r="L303"/>
  <c r="M303"/>
  <c r="S303"/>
  <c r="U303"/>
  <c r="X303"/>
  <c r="AD303"/>
  <c r="AF303"/>
  <c r="AI303"/>
  <c r="I337" i="18" s="1"/>
  <c r="G304" i="17"/>
  <c r="N304"/>
  <c r="T304"/>
  <c r="V304"/>
  <c r="Z304"/>
  <c r="AE304"/>
  <c r="AG304"/>
  <c r="AK304"/>
  <c r="G305"/>
  <c r="N305"/>
  <c r="T305"/>
  <c r="V305"/>
  <c r="Z305"/>
  <c r="AE305"/>
  <c r="AG305"/>
  <c r="AK305"/>
  <c r="B306"/>
  <c r="G306"/>
  <c r="I306"/>
  <c r="N306"/>
  <c r="P306"/>
  <c r="F303" i="18" s="1"/>
  <c r="T306" i="17"/>
  <c r="V306"/>
  <c r="Z306"/>
  <c r="AA306"/>
  <c r="F337" i="18" s="1"/>
  <c r="AE306" i="17"/>
  <c r="AG306"/>
  <c r="AK306"/>
  <c r="B307"/>
  <c r="G307"/>
  <c r="I307"/>
  <c r="N307"/>
  <c r="P307"/>
  <c r="T307"/>
  <c r="V307"/>
  <c r="Z307"/>
  <c r="AA307"/>
  <c r="AE307"/>
  <c r="AG307"/>
  <c r="AK307"/>
  <c r="G308"/>
  <c r="N308"/>
  <c r="T308"/>
  <c r="V308"/>
  <c r="Z308"/>
  <c r="AE308"/>
  <c r="AG308"/>
  <c r="AK308"/>
  <c r="B309"/>
  <c r="G309"/>
  <c r="I309"/>
  <c r="N309"/>
  <c r="P309"/>
  <c r="G303" i="18" s="1"/>
  <c r="T309" i="17"/>
  <c r="V309"/>
  <c r="Z309"/>
  <c r="AA309"/>
  <c r="G337" i="18" s="1"/>
  <c r="AE309" i="17"/>
  <c r="AG309"/>
  <c r="AK309"/>
  <c r="B310"/>
  <c r="G310"/>
  <c r="I310"/>
  <c r="N310"/>
  <c r="P310"/>
  <c r="T310"/>
  <c r="V310"/>
  <c r="Z310"/>
  <c r="AA310"/>
  <c r="AE310"/>
  <c r="AG310"/>
  <c r="AK310"/>
  <c r="G311"/>
  <c r="N311"/>
  <c r="T311"/>
  <c r="V311"/>
  <c r="Z311"/>
  <c r="AE311"/>
  <c r="AG311"/>
  <c r="AK311"/>
  <c r="B312"/>
  <c r="G312"/>
  <c r="I312"/>
  <c r="N312"/>
  <c r="P312"/>
  <c r="T312"/>
  <c r="V312"/>
  <c r="Z312"/>
  <c r="AA312"/>
  <c r="AE312"/>
  <c r="AG312"/>
  <c r="AK312"/>
  <c r="G313"/>
  <c r="N313"/>
  <c r="T313"/>
  <c r="V313"/>
  <c r="Z313"/>
  <c r="AE313"/>
  <c r="AG313"/>
  <c r="AK313"/>
  <c r="G314"/>
  <c r="N314"/>
  <c r="T314"/>
  <c r="V314"/>
  <c r="Z314"/>
  <c r="AE314"/>
  <c r="AG314"/>
  <c r="AK314"/>
  <c r="G315"/>
  <c r="N315"/>
  <c r="T315"/>
  <c r="V315"/>
  <c r="Z315"/>
  <c r="AE315"/>
  <c r="AG315"/>
  <c r="AK315"/>
  <c r="G316"/>
  <c r="N316"/>
  <c r="T316"/>
  <c r="V316"/>
  <c r="Z316"/>
  <c r="AE316"/>
  <c r="AG316"/>
  <c r="AK316"/>
  <c r="G317"/>
  <c r="N317"/>
  <c r="T317"/>
  <c r="V317"/>
  <c r="Z317"/>
  <c r="AE317"/>
  <c r="AG317"/>
  <c r="AK317"/>
  <c r="G318"/>
  <c r="N318"/>
  <c r="P318"/>
  <c r="T318"/>
  <c r="V318"/>
  <c r="Z318"/>
  <c r="AA318"/>
  <c r="AE318"/>
  <c r="AG318"/>
  <c r="AK318"/>
  <c r="G319"/>
  <c r="N319"/>
  <c r="T319"/>
  <c r="V319"/>
  <c r="Z319"/>
  <c r="AE319"/>
  <c r="AG319"/>
  <c r="AK319"/>
  <c r="G320"/>
  <c r="N320"/>
  <c r="P320"/>
  <c r="T320"/>
  <c r="V320"/>
  <c r="Z320"/>
  <c r="AA320"/>
  <c r="AE320"/>
  <c r="AG320"/>
  <c r="AK320"/>
  <c r="G321"/>
  <c r="N321"/>
  <c r="T321"/>
  <c r="V321"/>
  <c r="Z321"/>
  <c r="AE321"/>
  <c r="AG321"/>
  <c r="AK321"/>
  <c r="G322"/>
  <c r="N322"/>
  <c r="T322"/>
  <c r="V322"/>
  <c r="Z322"/>
  <c r="AE322"/>
  <c r="AG322"/>
  <c r="AK322"/>
  <c r="G323"/>
  <c r="N323"/>
  <c r="T323"/>
  <c r="V323"/>
  <c r="Z323"/>
  <c r="AE323"/>
  <c r="AG323"/>
  <c r="AK323"/>
  <c r="G324"/>
  <c r="N324"/>
  <c r="T324"/>
  <c r="V324"/>
  <c r="Z324"/>
  <c r="AE324"/>
  <c r="AG324"/>
  <c r="AK324"/>
  <c r="G325"/>
  <c r="N325"/>
  <c r="T325"/>
  <c r="V325"/>
  <c r="Z325"/>
  <c r="AE325"/>
  <c r="AG325"/>
  <c r="AK325"/>
  <c r="G326"/>
  <c r="N326"/>
  <c r="T326"/>
  <c r="V326"/>
  <c r="Z326"/>
  <c r="AE326"/>
  <c r="AG326"/>
  <c r="AK326"/>
  <c r="G327"/>
  <c r="N327"/>
  <c r="T327"/>
  <c r="V327"/>
  <c r="Z327"/>
  <c r="AE327"/>
  <c r="AG327"/>
  <c r="AK327"/>
  <c r="L328"/>
  <c r="M328"/>
  <c r="S328"/>
  <c r="U328"/>
  <c r="X328"/>
  <c r="I304" i="18" s="1"/>
  <c r="AD328" i="17"/>
  <c r="AF328"/>
  <c r="AI328"/>
  <c r="I338" i="18" s="1"/>
  <c r="G329" i="17"/>
  <c r="N329"/>
  <c r="T329"/>
  <c r="V329"/>
  <c r="Z329"/>
  <c r="AE329"/>
  <c r="AG329"/>
  <c r="AK329"/>
  <c r="G330"/>
  <c r="N330"/>
  <c r="T330"/>
  <c r="V330"/>
  <c r="Z330"/>
  <c r="AE330"/>
  <c r="AG330"/>
  <c r="AK330"/>
  <c r="B331"/>
  <c r="G331"/>
  <c r="I331"/>
  <c r="N331"/>
  <c r="P331"/>
  <c r="T331"/>
  <c r="V331"/>
  <c r="Z331"/>
  <c r="AA331"/>
  <c r="F338" i="18" s="1"/>
  <c r="AE331" i="17"/>
  <c r="AG331"/>
  <c r="AK331"/>
  <c r="B332"/>
  <c r="G332"/>
  <c r="I332"/>
  <c r="N332"/>
  <c r="P332"/>
  <c r="T332"/>
  <c r="V332"/>
  <c r="Z332"/>
  <c r="AA332"/>
  <c r="AE332"/>
  <c r="AG332"/>
  <c r="AK332"/>
  <c r="G333"/>
  <c r="N333"/>
  <c r="T333"/>
  <c r="V333"/>
  <c r="Z333"/>
  <c r="AE333"/>
  <c r="AG333"/>
  <c r="AK333"/>
  <c r="B334"/>
  <c r="G334"/>
  <c r="I334"/>
  <c r="N334"/>
  <c r="P334"/>
  <c r="G304" i="18" s="1"/>
  <c r="T334" i="17"/>
  <c r="V334"/>
  <c r="Z334"/>
  <c r="AA334"/>
  <c r="G338" i="18" s="1"/>
  <c r="AE334" i="17"/>
  <c r="AG334"/>
  <c r="AK334"/>
  <c r="B335"/>
  <c r="G335"/>
  <c r="I335"/>
  <c r="N335"/>
  <c r="P335"/>
  <c r="T335"/>
  <c r="V335"/>
  <c r="Z335"/>
  <c r="AA335"/>
  <c r="AE335"/>
  <c r="AG335"/>
  <c r="AK335"/>
  <c r="G336"/>
  <c r="N336"/>
  <c r="T336"/>
  <c r="V336"/>
  <c r="Z336"/>
  <c r="AE336"/>
  <c r="AG336"/>
  <c r="AK336"/>
  <c r="B337"/>
  <c r="G337"/>
  <c r="I337"/>
  <c r="N337"/>
  <c r="P337"/>
  <c r="T337"/>
  <c r="V337"/>
  <c r="Z337"/>
  <c r="AA337"/>
  <c r="AE337"/>
  <c r="AG337"/>
  <c r="AK337"/>
  <c r="G338"/>
  <c r="N338"/>
  <c r="T338"/>
  <c r="V338"/>
  <c r="Z338"/>
  <c r="AE338"/>
  <c r="AG338"/>
  <c r="AK338"/>
  <c r="G339"/>
  <c r="N339"/>
  <c r="T339"/>
  <c r="V339"/>
  <c r="Z339"/>
  <c r="AE339"/>
  <c r="AG339"/>
  <c r="AK339"/>
  <c r="G340"/>
  <c r="N340"/>
  <c r="T340"/>
  <c r="V340"/>
  <c r="Z340"/>
  <c r="AE340"/>
  <c r="AG340"/>
  <c r="AK340"/>
  <c r="G341"/>
  <c r="N341"/>
  <c r="T341"/>
  <c r="V341"/>
  <c r="Z341"/>
  <c r="AE341"/>
  <c r="AG341"/>
  <c r="AK341"/>
  <c r="G342"/>
  <c r="N342"/>
  <c r="T342"/>
  <c r="V342"/>
  <c r="Z342"/>
  <c r="AE342"/>
  <c r="AG342"/>
  <c r="AK342"/>
  <c r="G343"/>
  <c r="N343"/>
  <c r="P343"/>
  <c r="T343"/>
  <c r="V343"/>
  <c r="Z343"/>
  <c r="AA343"/>
  <c r="AE343"/>
  <c r="AG343"/>
  <c r="AK343"/>
  <c r="G344"/>
  <c r="N344"/>
  <c r="T344"/>
  <c r="V344"/>
  <c r="Z344"/>
  <c r="AE344"/>
  <c r="AG344"/>
  <c r="AK344"/>
  <c r="G345"/>
  <c r="N345"/>
  <c r="P345"/>
  <c r="T345"/>
  <c r="V345"/>
  <c r="Z345"/>
  <c r="AA345"/>
  <c r="AE345"/>
  <c r="AG345"/>
  <c r="AK345"/>
  <c r="G346"/>
  <c r="N346"/>
  <c r="T346"/>
  <c r="V346"/>
  <c r="Z346"/>
  <c r="AE346"/>
  <c r="AG346"/>
  <c r="AK346"/>
  <c r="G347"/>
  <c r="N347"/>
  <c r="T347"/>
  <c r="V347"/>
  <c r="Z347"/>
  <c r="AE347"/>
  <c r="AG347"/>
  <c r="AK347"/>
  <c r="G348"/>
  <c r="N348"/>
  <c r="T348"/>
  <c r="V348"/>
  <c r="Z348"/>
  <c r="AE348"/>
  <c r="AG348"/>
  <c r="AK348"/>
  <c r="G349"/>
  <c r="N349"/>
  <c r="T349"/>
  <c r="V349"/>
  <c r="Z349"/>
  <c r="AE349"/>
  <c r="AG349"/>
  <c r="AK349"/>
  <c r="G350"/>
  <c r="N350"/>
  <c r="T350"/>
  <c r="V350"/>
  <c r="Z350"/>
  <c r="AE350"/>
  <c r="AG350"/>
  <c r="AK350"/>
  <c r="G351"/>
  <c r="N351"/>
  <c r="T351"/>
  <c r="V351"/>
  <c r="Z351"/>
  <c r="AE351"/>
  <c r="AG351"/>
  <c r="AK351"/>
  <c r="G352"/>
  <c r="N352"/>
  <c r="T352"/>
  <c r="V352"/>
  <c r="Z352"/>
  <c r="AE352"/>
  <c r="AG352"/>
  <c r="AK352"/>
  <c r="L353"/>
  <c r="M353"/>
  <c r="S353"/>
  <c r="U353"/>
  <c r="X353"/>
  <c r="I305" i="18" s="1"/>
  <c r="AD353" i="17"/>
  <c r="AF353"/>
  <c r="AI353"/>
  <c r="I339" i="18" s="1"/>
  <c r="G354" i="17"/>
  <c r="N354"/>
  <c r="T354"/>
  <c r="V354"/>
  <c r="Z354"/>
  <c r="AE354"/>
  <c r="AG354"/>
  <c r="AK354"/>
  <c r="G355"/>
  <c r="N355"/>
  <c r="T355"/>
  <c r="V355"/>
  <c r="Z355"/>
  <c r="AE355"/>
  <c r="AG355"/>
  <c r="AK355"/>
  <c r="B356"/>
  <c r="G356"/>
  <c r="I356"/>
  <c r="N356"/>
  <c r="P356"/>
  <c r="T356"/>
  <c r="V356"/>
  <c r="Z356"/>
  <c r="AA356"/>
  <c r="F339" i="18" s="1"/>
  <c r="AE356" i="17"/>
  <c r="AG356"/>
  <c r="AK356"/>
  <c r="B357"/>
  <c r="G357"/>
  <c r="I357"/>
  <c r="N357"/>
  <c r="P357"/>
  <c r="T357"/>
  <c r="V357"/>
  <c r="Z357"/>
  <c r="AA357"/>
  <c r="AE357"/>
  <c r="AG357"/>
  <c r="AK357"/>
  <c r="G358"/>
  <c r="N358"/>
  <c r="T358"/>
  <c r="V358"/>
  <c r="Z358"/>
  <c r="AE358"/>
  <c r="AG358"/>
  <c r="AK358"/>
  <c r="B359"/>
  <c r="G359"/>
  <c r="I359"/>
  <c r="N359"/>
  <c r="P359"/>
  <c r="G305" i="18" s="1"/>
  <c r="T359" i="17"/>
  <c r="V359"/>
  <c r="Z359"/>
  <c r="AA359"/>
  <c r="G339" i="18" s="1"/>
  <c r="AE359" i="17"/>
  <c r="AG359"/>
  <c r="AK359"/>
  <c r="B360"/>
  <c r="G360"/>
  <c r="I360"/>
  <c r="N360"/>
  <c r="P360"/>
  <c r="T360"/>
  <c r="V360"/>
  <c r="Z360"/>
  <c r="AA360"/>
  <c r="AE360"/>
  <c r="AG360"/>
  <c r="AK360"/>
  <c r="G361"/>
  <c r="N361"/>
  <c r="T361"/>
  <c r="V361"/>
  <c r="Z361"/>
  <c r="AE361"/>
  <c r="AG361"/>
  <c r="AK361"/>
  <c r="B362"/>
  <c r="G362"/>
  <c r="I362"/>
  <c r="N362"/>
  <c r="P362"/>
  <c r="T362"/>
  <c r="V362"/>
  <c r="Z362"/>
  <c r="AA362"/>
  <c r="AE362"/>
  <c r="AG362"/>
  <c r="AK362"/>
  <c r="G363"/>
  <c r="N363"/>
  <c r="T363"/>
  <c r="V363"/>
  <c r="Z363"/>
  <c r="AE363"/>
  <c r="AG363"/>
  <c r="AK363"/>
  <c r="G364"/>
  <c r="N364"/>
  <c r="T364"/>
  <c r="V364"/>
  <c r="Z364"/>
  <c r="AE364"/>
  <c r="AG364"/>
  <c r="AK364"/>
  <c r="G365"/>
  <c r="N365"/>
  <c r="T365"/>
  <c r="V365"/>
  <c r="Z365"/>
  <c r="AE365"/>
  <c r="AG365"/>
  <c r="AK365"/>
  <c r="G366"/>
  <c r="N366"/>
  <c r="T366"/>
  <c r="V366"/>
  <c r="Z366"/>
  <c r="AE366"/>
  <c r="AG366"/>
  <c r="AK366"/>
  <c r="G367"/>
  <c r="N367"/>
  <c r="T367"/>
  <c r="V367"/>
  <c r="Z367"/>
  <c r="AE367"/>
  <c r="AG367"/>
  <c r="AK367"/>
  <c r="G368"/>
  <c r="N368"/>
  <c r="P368"/>
  <c r="T368"/>
  <c r="V368"/>
  <c r="Z368"/>
  <c r="AA368"/>
  <c r="AE368"/>
  <c r="AG368"/>
  <c r="AK368"/>
  <c r="G369"/>
  <c r="N369"/>
  <c r="T369"/>
  <c r="V369"/>
  <c r="Z369"/>
  <c r="AE369"/>
  <c r="AG369"/>
  <c r="AK369"/>
  <c r="G370"/>
  <c r="N370"/>
  <c r="P370"/>
  <c r="T370"/>
  <c r="V370"/>
  <c r="Z370"/>
  <c r="AA370"/>
  <c r="AE370"/>
  <c r="AG370"/>
  <c r="AK370"/>
  <c r="G371"/>
  <c r="N371"/>
  <c r="T371"/>
  <c r="V371"/>
  <c r="Z371"/>
  <c r="AE371"/>
  <c r="AG371"/>
  <c r="AK371"/>
  <c r="G372"/>
  <c r="N372"/>
  <c r="T372"/>
  <c r="V372"/>
  <c r="Z372"/>
  <c r="AE372"/>
  <c r="AG372"/>
  <c r="AK372"/>
  <c r="G373"/>
  <c r="N373"/>
  <c r="T373"/>
  <c r="V373"/>
  <c r="Z373"/>
  <c r="AE373"/>
  <c r="AG373"/>
  <c r="AK373"/>
  <c r="G374"/>
  <c r="N374"/>
  <c r="T374"/>
  <c r="V374"/>
  <c r="Z374"/>
  <c r="AE374"/>
  <c r="AG374"/>
  <c r="AK374"/>
  <c r="G375"/>
  <c r="N375"/>
  <c r="T375"/>
  <c r="V375"/>
  <c r="Z375"/>
  <c r="AE375"/>
  <c r="AG375"/>
  <c r="AK375"/>
  <c r="G376"/>
  <c r="N376"/>
  <c r="T376"/>
  <c r="V376"/>
  <c r="Z376"/>
  <c r="AE376"/>
  <c r="AG376"/>
  <c r="AK376"/>
  <c r="G377"/>
  <c r="N377"/>
  <c r="T377"/>
  <c r="V377"/>
  <c r="Z377"/>
  <c r="AE377"/>
  <c r="AG377"/>
  <c r="AK377"/>
  <c r="L378"/>
  <c r="M378"/>
  <c r="S378"/>
  <c r="U378"/>
  <c r="X378"/>
  <c r="I306" i="18" s="1"/>
  <c r="AD378" i="17"/>
  <c r="AF378"/>
  <c r="AI378"/>
  <c r="I340" i="18" s="1"/>
  <c r="G379" i="17"/>
  <c r="N379"/>
  <c r="T379"/>
  <c r="V379"/>
  <c r="Z379"/>
  <c r="AE379"/>
  <c r="AG379"/>
  <c r="AK379"/>
  <c r="G380"/>
  <c r="N380"/>
  <c r="T380"/>
  <c r="V380"/>
  <c r="Z380"/>
  <c r="AE380"/>
  <c r="AG380"/>
  <c r="AK380"/>
  <c r="B381"/>
  <c r="G381"/>
  <c r="I381"/>
  <c r="N381"/>
  <c r="P381"/>
  <c r="F306" i="18" s="1"/>
  <c r="T381" i="17"/>
  <c r="V381"/>
  <c r="Z381"/>
  <c r="AA381"/>
  <c r="F340" i="18" s="1"/>
  <c r="AE381" i="17"/>
  <c r="AG381"/>
  <c r="AK381"/>
  <c r="B382"/>
  <c r="G382"/>
  <c r="I382"/>
  <c r="N382"/>
  <c r="P382"/>
  <c r="T382"/>
  <c r="V382"/>
  <c r="Z382"/>
  <c r="AA382"/>
  <c r="AE382"/>
  <c r="AG382"/>
  <c r="AK382"/>
  <c r="G383"/>
  <c r="N383"/>
  <c r="T383"/>
  <c r="V383"/>
  <c r="Z383"/>
  <c r="AE383"/>
  <c r="AG383"/>
  <c r="AK383"/>
  <c r="B384"/>
  <c r="G384"/>
  <c r="I384"/>
  <c r="N384"/>
  <c r="P384"/>
  <c r="G306" i="18" s="1"/>
  <c r="T384" i="17"/>
  <c r="V384"/>
  <c r="Z384"/>
  <c r="AA384"/>
  <c r="G340" i="18" s="1"/>
  <c r="AE384" i="17"/>
  <c r="AG384"/>
  <c r="AK384"/>
  <c r="B385"/>
  <c r="G385"/>
  <c r="I385"/>
  <c r="N385"/>
  <c r="P385"/>
  <c r="T385"/>
  <c r="V385"/>
  <c r="Z385"/>
  <c r="AA385"/>
  <c r="AE385"/>
  <c r="AG385"/>
  <c r="AK385"/>
  <c r="G386"/>
  <c r="N386"/>
  <c r="T386"/>
  <c r="V386"/>
  <c r="Z386"/>
  <c r="AE386"/>
  <c r="AG386"/>
  <c r="AK386"/>
  <c r="B387"/>
  <c r="G387"/>
  <c r="I387"/>
  <c r="N387"/>
  <c r="P387"/>
  <c r="T387"/>
  <c r="V387"/>
  <c r="Z387"/>
  <c r="AA387"/>
  <c r="AE387"/>
  <c r="AG387"/>
  <c r="AK387"/>
  <c r="G388"/>
  <c r="N388"/>
  <c r="T388"/>
  <c r="V388"/>
  <c r="Z388"/>
  <c r="AE388"/>
  <c r="AG388"/>
  <c r="AK388"/>
  <c r="G389"/>
  <c r="N389"/>
  <c r="T389"/>
  <c r="V389"/>
  <c r="Z389"/>
  <c r="AE389"/>
  <c r="AG389"/>
  <c r="AK389"/>
  <c r="G390"/>
  <c r="N390"/>
  <c r="T390"/>
  <c r="V390"/>
  <c r="Z390"/>
  <c r="AE390"/>
  <c r="AG390"/>
  <c r="AK390"/>
  <c r="G391"/>
  <c r="N391"/>
  <c r="T391"/>
  <c r="V391"/>
  <c r="Z391"/>
  <c r="AE391"/>
  <c r="AG391"/>
  <c r="AK391"/>
  <c r="G392"/>
  <c r="N392"/>
  <c r="T392"/>
  <c r="V392"/>
  <c r="Z392"/>
  <c r="AE392"/>
  <c r="AG392"/>
  <c r="AK392"/>
  <c r="G393"/>
  <c r="N393"/>
  <c r="P393"/>
  <c r="T393"/>
  <c r="V393"/>
  <c r="Z393"/>
  <c r="AA393"/>
  <c r="AE393"/>
  <c r="AG393"/>
  <c r="AK393"/>
  <c r="G394"/>
  <c r="N394"/>
  <c r="T394"/>
  <c r="V394"/>
  <c r="Z394"/>
  <c r="AE394"/>
  <c r="AG394"/>
  <c r="AK394"/>
  <c r="G395"/>
  <c r="N395"/>
  <c r="P395"/>
  <c r="T395"/>
  <c r="V395"/>
  <c r="Z395"/>
  <c r="AA395"/>
  <c r="AE395"/>
  <c r="AG395"/>
  <c r="AK395"/>
  <c r="G396"/>
  <c r="N396"/>
  <c r="T396"/>
  <c r="V396"/>
  <c r="Z396"/>
  <c r="AE396"/>
  <c r="AG396"/>
  <c r="AK396"/>
  <c r="G397"/>
  <c r="N397"/>
  <c r="T397"/>
  <c r="V397"/>
  <c r="Z397"/>
  <c r="AE397"/>
  <c r="AG397"/>
  <c r="AK397"/>
  <c r="G398"/>
  <c r="N398"/>
  <c r="T398"/>
  <c r="V398"/>
  <c r="Z398"/>
  <c r="AE398"/>
  <c r="AG398"/>
  <c r="AK398"/>
  <c r="G399"/>
  <c r="N399"/>
  <c r="T399"/>
  <c r="V399"/>
  <c r="Z399"/>
  <c r="AE399"/>
  <c r="AG399"/>
  <c r="AK399"/>
  <c r="G400"/>
  <c r="N400"/>
  <c r="T400"/>
  <c r="V400"/>
  <c r="Z400"/>
  <c r="AE400"/>
  <c r="AG400"/>
  <c r="AK400"/>
  <c r="G401"/>
  <c r="N401"/>
  <c r="T401"/>
  <c r="V401"/>
  <c r="Z401"/>
  <c r="AE401"/>
  <c r="AG401"/>
  <c r="AK401"/>
  <c r="G402"/>
  <c r="N402"/>
  <c r="T402"/>
  <c r="V402"/>
  <c r="Z402"/>
  <c r="AE402"/>
  <c r="AG402"/>
  <c r="AK402"/>
  <c r="L403"/>
  <c r="M403"/>
  <c r="S403"/>
  <c r="U403"/>
  <c r="X403"/>
  <c r="AD403"/>
  <c r="AF403"/>
  <c r="AI403"/>
  <c r="I341" i="18" s="1"/>
  <c r="G404" i="17"/>
  <c r="N404"/>
  <c r="T404"/>
  <c r="V404"/>
  <c r="Z404"/>
  <c r="AE404"/>
  <c r="AG404"/>
  <c r="AK404"/>
  <c r="G405"/>
  <c r="N405"/>
  <c r="T405"/>
  <c r="V405"/>
  <c r="Z405"/>
  <c r="AE405"/>
  <c r="AG405"/>
  <c r="AK405"/>
  <c r="B406"/>
  <c r="G406"/>
  <c r="I406"/>
  <c r="N406"/>
  <c r="P406"/>
  <c r="F307" i="18" s="1"/>
  <c r="T406" i="17"/>
  <c r="V406"/>
  <c r="Z406"/>
  <c r="AA406"/>
  <c r="F341" i="18" s="1"/>
  <c r="AE406" i="17"/>
  <c r="AG406"/>
  <c r="AK406"/>
  <c r="B407"/>
  <c r="G407"/>
  <c r="I407"/>
  <c r="N407"/>
  <c r="P407"/>
  <c r="T407"/>
  <c r="V407"/>
  <c r="Z407"/>
  <c r="AA407"/>
  <c r="AE407"/>
  <c r="AG407"/>
  <c r="AK407"/>
  <c r="G408"/>
  <c r="N408"/>
  <c r="T408"/>
  <c r="V408"/>
  <c r="Z408"/>
  <c r="AE408"/>
  <c r="AG408"/>
  <c r="AK408"/>
  <c r="B409"/>
  <c r="G409"/>
  <c r="I409"/>
  <c r="N409"/>
  <c r="P409"/>
  <c r="G307" i="18" s="1"/>
  <c r="T409" i="17"/>
  <c r="V409"/>
  <c r="Z409"/>
  <c r="AA409"/>
  <c r="G341" i="18" s="1"/>
  <c r="AE409" i="17"/>
  <c r="AG409"/>
  <c r="AK409"/>
  <c r="B410"/>
  <c r="G410"/>
  <c r="I410"/>
  <c r="N410"/>
  <c r="P410"/>
  <c r="T410"/>
  <c r="V410"/>
  <c r="Z410"/>
  <c r="AA410"/>
  <c r="AE410"/>
  <c r="AG410"/>
  <c r="AK410"/>
  <c r="G411"/>
  <c r="N411"/>
  <c r="T411"/>
  <c r="V411"/>
  <c r="Z411"/>
  <c r="AE411"/>
  <c r="AG411"/>
  <c r="AK411"/>
  <c r="B412"/>
  <c r="G412"/>
  <c r="I412"/>
  <c r="N412"/>
  <c r="P412"/>
  <c r="T412"/>
  <c r="V412"/>
  <c r="Z412"/>
  <c r="AA412"/>
  <c r="AE412"/>
  <c r="AG412"/>
  <c r="AK412"/>
  <c r="G413"/>
  <c r="N413"/>
  <c r="T413"/>
  <c r="V413"/>
  <c r="Z413"/>
  <c r="AE413"/>
  <c r="AG413"/>
  <c r="AK413"/>
  <c r="G414"/>
  <c r="N414"/>
  <c r="T414"/>
  <c r="V414"/>
  <c r="Z414"/>
  <c r="AE414"/>
  <c r="AG414"/>
  <c r="AK414"/>
  <c r="G415"/>
  <c r="N415"/>
  <c r="T415"/>
  <c r="V415"/>
  <c r="Z415"/>
  <c r="AE415"/>
  <c r="AG415"/>
  <c r="AK415"/>
  <c r="G416"/>
  <c r="N416"/>
  <c r="T416"/>
  <c r="V416"/>
  <c r="Z416"/>
  <c r="AE416"/>
  <c r="AG416"/>
  <c r="AK416"/>
  <c r="G417"/>
  <c r="N417"/>
  <c r="T417"/>
  <c r="V417"/>
  <c r="Z417"/>
  <c r="AE417"/>
  <c r="AG417"/>
  <c r="AK417"/>
  <c r="G418"/>
  <c r="N418"/>
  <c r="P418"/>
  <c r="T418"/>
  <c r="V418"/>
  <c r="Z418"/>
  <c r="AA418"/>
  <c r="AE418"/>
  <c r="AG418"/>
  <c r="AK418"/>
  <c r="G419"/>
  <c r="N419"/>
  <c r="T419"/>
  <c r="V419"/>
  <c r="Z419"/>
  <c r="AE419"/>
  <c r="AG419"/>
  <c r="AK419"/>
  <c r="G420"/>
  <c r="N420"/>
  <c r="P420"/>
  <c r="T420"/>
  <c r="V420"/>
  <c r="Z420"/>
  <c r="AA420"/>
  <c r="AE420"/>
  <c r="AG420"/>
  <c r="AK420"/>
  <c r="G421"/>
  <c r="N421"/>
  <c r="T421"/>
  <c r="V421"/>
  <c r="Z421"/>
  <c r="AE421"/>
  <c r="AG421"/>
  <c r="AK421"/>
  <c r="G422"/>
  <c r="N422"/>
  <c r="T422"/>
  <c r="V422"/>
  <c r="Z422"/>
  <c r="AE422"/>
  <c r="AG422"/>
  <c r="AK422"/>
  <c r="G423"/>
  <c r="N423"/>
  <c r="T423"/>
  <c r="V423"/>
  <c r="Z423"/>
  <c r="AE423"/>
  <c r="AG423"/>
  <c r="AK423"/>
  <c r="G424"/>
  <c r="N424"/>
  <c r="T424"/>
  <c r="V424"/>
  <c r="Z424"/>
  <c r="AE424"/>
  <c r="AG424"/>
  <c r="AK424"/>
  <c r="G425"/>
  <c r="N425"/>
  <c r="T425"/>
  <c r="V425"/>
  <c r="Z425"/>
  <c r="AE425"/>
  <c r="AG425"/>
  <c r="AK425"/>
  <c r="G426"/>
  <c r="N426"/>
  <c r="T426"/>
  <c r="V426"/>
  <c r="Z426"/>
  <c r="AE426"/>
  <c r="AG426"/>
  <c r="AK426"/>
  <c r="G427"/>
  <c r="N427"/>
  <c r="T427"/>
  <c r="V427"/>
  <c r="Z427"/>
  <c r="AE427"/>
  <c r="AG427"/>
  <c r="AK427"/>
  <c r="L428"/>
  <c r="M428"/>
  <c r="S428"/>
  <c r="U428"/>
  <c r="X428"/>
  <c r="I308" i="18" s="1"/>
  <c r="AD428" i="17"/>
  <c r="AF428"/>
  <c r="AI428"/>
  <c r="I342" i="18" s="1"/>
  <c r="G429" i="17"/>
  <c r="N429"/>
  <c r="T429"/>
  <c r="V429"/>
  <c r="Z429"/>
  <c r="AE429"/>
  <c r="AG429"/>
  <c r="AK429"/>
  <c r="G430"/>
  <c r="N430"/>
  <c r="T430"/>
  <c r="V430"/>
  <c r="Z430"/>
  <c r="AE430"/>
  <c r="AG430"/>
  <c r="AK430"/>
  <c r="B431"/>
  <c r="G431"/>
  <c r="I431"/>
  <c r="N431"/>
  <c r="P431"/>
  <c r="F308" i="18" s="1"/>
  <c r="T431" i="17"/>
  <c r="V431"/>
  <c r="Z431"/>
  <c r="AA431"/>
  <c r="F342" i="18" s="1"/>
  <c r="AE431" i="17"/>
  <c r="AG431"/>
  <c r="AK431"/>
  <c r="B432"/>
  <c r="G432"/>
  <c r="I432"/>
  <c r="N432"/>
  <c r="P432"/>
  <c r="T432"/>
  <c r="V432"/>
  <c r="Z432"/>
  <c r="AA432"/>
  <c r="AE432"/>
  <c r="AG432"/>
  <c r="AK432"/>
  <c r="G433"/>
  <c r="N433"/>
  <c r="T433"/>
  <c r="V433"/>
  <c r="Z433"/>
  <c r="AE433"/>
  <c r="AG433"/>
  <c r="AK433"/>
  <c r="B434"/>
  <c r="G434"/>
  <c r="I434"/>
  <c r="N434"/>
  <c r="P434"/>
  <c r="G308" i="18" s="1"/>
  <c r="T434" i="17"/>
  <c r="V434"/>
  <c r="Z434"/>
  <c r="AA434"/>
  <c r="G342" i="18" s="1"/>
  <c r="AE434" i="17"/>
  <c r="AG434"/>
  <c r="AK434"/>
  <c r="B435"/>
  <c r="G435"/>
  <c r="I435"/>
  <c r="N435"/>
  <c r="P435"/>
  <c r="T435"/>
  <c r="V435"/>
  <c r="Z435"/>
  <c r="AA435"/>
  <c r="AE435"/>
  <c r="AG435"/>
  <c r="AK435"/>
  <c r="G436"/>
  <c r="N436"/>
  <c r="T436"/>
  <c r="V436"/>
  <c r="Z436"/>
  <c r="AE436"/>
  <c r="AG436"/>
  <c r="AK436"/>
  <c r="B437"/>
  <c r="G437"/>
  <c r="I437"/>
  <c r="N437"/>
  <c r="P437"/>
  <c r="T437"/>
  <c r="V437"/>
  <c r="Z437"/>
  <c r="AA437"/>
  <c r="AE437"/>
  <c r="AG437"/>
  <c r="AK437"/>
  <c r="G438"/>
  <c r="N438"/>
  <c r="T438"/>
  <c r="V438"/>
  <c r="Z438"/>
  <c r="AE438"/>
  <c r="AG438"/>
  <c r="AK438"/>
  <c r="G439"/>
  <c r="N439"/>
  <c r="T439"/>
  <c r="V439"/>
  <c r="Z439"/>
  <c r="AE439"/>
  <c r="AG439"/>
  <c r="AK439"/>
  <c r="G440"/>
  <c r="N440"/>
  <c r="T440"/>
  <c r="V440"/>
  <c r="Z440"/>
  <c r="AE440"/>
  <c r="AG440"/>
  <c r="AK440"/>
  <c r="G441"/>
  <c r="N441"/>
  <c r="T441"/>
  <c r="V441"/>
  <c r="Z441"/>
  <c r="AE441"/>
  <c r="AG441"/>
  <c r="AK441"/>
  <c r="G442"/>
  <c r="N442"/>
  <c r="T442"/>
  <c r="V442"/>
  <c r="Z442"/>
  <c r="AE442"/>
  <c r="AG442"/>
  <c r="AK442"/>
  <c r="G443"/>
  <c r="N443"/>
  <c r="P443"/>
  <c r="T443"/>
  <c r="V443"/>
  <c r="Z443"/>
  <c r="AA443"/>
  <c r="AE443"/>
  <c r="AG443"/>
  <c r="AK443"/>
  <c r="G444"/>
  <c r="N444"/>
  <c r="T444"/>
  <c r="V444"/>
  <c r="Z444"/>
  <c r="AE444"/>
  <c r="AG444"/>
  <c r="AK444"/>
  <c r="G445"/>
  <c r="N445"/>
  <c r="P445"/>
  <c r="T445"/>
  <c r="V445"/>
  <c r="Z445"/>
  <c r="AA445"/>
  <c r="AE445"/>
  <c r="AG445"/>
  <c r="AK445"/>
  <c r="G446"/>
  <c r="N446"/>
  <c r="T446"/>
  <c r="V446"/>
  <c r="Z446"/>
  <c r="AE446"/>
  <c r="AG446"/>
  <c r="AK446"/>
  <c r="G447"/>
  <c r="N447"/>
  <c r="T447"/>
  <c r="V447"/>
  <c r="Z447"/>
  <c r="AE447"/>
  <c r="AG447"/>
  <c r="AK447"/>
  <c r="G448"/>
  <c r="N448"/>
  <c r="T448"/>
  <c r="V448"/>
  <c r="Z448"/>
  <c r="AE448"/>
  <c r="AG448"/>
  <c r="AK448"/>
  <c r="G449"/>
  <c r="N449"/>
  <c r="T449"/>
  <c r="V449"/>
  <c r="Z449"/>
  <c r="AE449"/>
  <c r="AG449"/>
  <c r="AK449"/>
  <c r="G450"/>
  <c r="N450"/>
  <c r="T450"/>
  <c r="V450"/>
  <c r="Z450"/>
  <c r="AE450"/>
  <c r="AG450"/>
  <c r="AK450"/>
  <c r="G451"/>
  <c r="N451"/>
  <c r="T451"/>
  <c r="V451"/>
  <c r="Z451"/>
  <c r="AE451"/>
  <c r="AG451"/>
  <c r="AK451"/>
  <c r="G452"/>
  <c r="N452"/>
  <c r="T452"/>
  <c r="V452"/>
  <c r="Z452"/>
  <c r="AE452"/>
  <c r="AG452"/>
  <c r="AK452"/>
  <c r="L453"/>
  <c r="M453"/>
  <c r="S453"/>
  <c r="U453"/>
  <c r="X453"/>
  <c r="I309" i="18" s="1"/>
  <c r="AD453" i="17"/>
  <c r="AF453"/>
  <c r="AI453"/>
  <c r="I343" i="18" s="1"/>
  <c r="G454" i="17"/>
  <c r="N454"/>
  <c r="T454"/>
  <c r="V454"/>
  <c r="Z454"/>
  <c r="AE454"/>
  <c r="AG454"/>
  <c r="AK454"/>
  <c r="G455"/>
  <c r="N455"/>
  <c r="T455"/>
  <c r="V455"/>
  <c r="Z455"/>
  <c r="AE455"/>
  <c r="AG455"/>
  <c r="AK455"/>
  <c r="B456"/>
  <c r="G456"/>
  <c r="I456"/>
  <c r="N456"/>
  <c r="P456"/>
  <c r="F309" i="18" s="1"/>
  <c r="T456" i="17"/>
  <c r="V456"/>
  <c r="Z456"/>
  <c r="AA456"/>
  <c r="F343" i="18" s="1"/>
  <c r="AE456" i="17"/>
  <c r="AG456"/>
  <c r="AK456"/>
  <c r="B457"/>
  <c r="G457"/>
  <c r="I457"/>
  <c r="N457"/>
  <c r="P457"/>
  <c r="T457"/>
  <c r="V457"/>
  <c r="Z457"/>
  <c r="AA457"/>
  <c r="AE457"/>
  <c r="AG457"/>
  <c r="AK457"/>
  <c r="G458"/>
  <c r="N458"/>
  <c r="T458"/>
  <c r="V458"/>
  <c r="Z458"/>
  <c r="AE458"/>
  <c r="AG458"/>
  <c r="AK458"/>
  <c r="B459"/>
  <c r="G459"/>
  <c r="I459"/>
  <c r="N459"/>
  <c r="P459"/>
  <c r="G309" i="18" s="1"/>
  <c r="T459" i="17"/>
  <c r="V459"/>
  <c r="Z459"/>
  <c r="AA459"/>
  <c r="AE459"/>
  <c r="AG459"/>
  <c r="AK459"/>
  <c r="B460"/>
  <c r="G460"/>
  <c r="I460"/>
  <c r="N460"/>
  <c r="P460"/>
  <c r="T460"/>
  <c r="V460"/>
  <c r="Z460"/>
  <c r="AA460"/>
  <c r="AE460"/>
  <c r="AG460"/>
  <c r="AK460"/>
  <c r="G461"/>
  <c r="N461"/>
  <c r="T461"/>
  <c r="V461"/>
  <c r="Z461"/>
  <c r="AE461"/>
  <c r="AG461"/>
  <c r="AK461"/>
  <c r="B462"/>
  <c r="G462"/>
  <c r="I462"/>
  <c r="N462"/>
  <c r="P462"/>
  <c r="T462"/>
  <c r="V462"/>
  <c r="Z462"/>
  <c r="AA462"/>
  <c r="AE462"/>
  <c r="AG462"/>
  <c r="AK462"/>
  <c r="G463"/>
  <c r="N463"/>
  <c r="T463"/>
  <c r="V463"/>
  <c r="Z463"/>
  <c r="AE463"/>
  <c r="AG463"/>
  <c r="AK463"/>
  <c r="G464"/>
  <c r="N464"/>
  <c r="T464"/>
  <c r="V464"/>
  <c r="Z464"/>
  <c r="AE464"/>
  <c r="AG464"/>
  <c r="AK464"/>
  <c r="G465"/>
  <c r="N465"/>
  <c r="T465"/>
  <c r="V465"/>
  <c r="Z465"/>
  <c r="AE465"/>
  <c r="AG465"/>
  <c r="AK465"/>
  <c r="G466"/>
  <c r="N466"/>
  <c r="T466"/>
  <c r="V466"/>
  <c r="Z466"/>
  <c r="AE466"/>
  <c r="AG466"/>
  <c r="AK466"/>
  <c r="G467"/>
  <c r="N467"/>
  <c r="T467"/>
  <c r="V467"/>
  <c r="Z467"/>
  <c r="AE467"/>
  <c r="AG467"/>
  <c r="AK467"/>
  <c r="G468"/>
  <c r="N468"/>
  <c r="P468"/>
  <c r="T468"/>
  <c r="V468"/>
  <c r="Z468"/>
  <c r="AA468"/>
  <c r="AE468"/>
  <c r="AG468"/>
  <c r="AK468"/>
  <c r="G469"/>
  <c r="N469"/>
  <c r="T469"/>
  <c r="V469"/>
  <c r="Z469"/>
  <c r="AE469"/>
  <c r="AG469"/>
  <c r="AK469"/>
  <c r="G470"/>
  <c r="N470"/>
  <c r="P470"/>
  <c r="T470"/>
  <c r="V470"/>
  <c r="Z470"/>
  <c r="AA470"/>
  <c r="AE470"/>
  <c r="AG470"/>
  <c r="AK470"/>
  <c r="G471"/>
  <c r="N471"/>
  <c r="T471"/>
  <c r="V471"/>
  <c r="Z471"/>
  <c r="AE471"/>
  <c r="AG471"/>
  <c r="AK471"/>
  <c r="G472"/>
  <c r="N472"/>
  <c r="T472"/>
  <c r="V472"/>
  <c r="Z472"/>
  <c r="AE472"/>
  <c r="AG472"/>
  <c r="AK472"/>
  <c r="G473"/>
  <c r="N473"/>
  <c r="T473"/>
  <c r="V473"/>
  <c r="Z473"/>
  <c r="AE473"/>
  <c r="AG473"/>
  <c r="AK473"/>
  <c r="G474"/>
  <c r="N474"/>
  <c r="T474"/>
  <c r="V474"/>
  <c r="Z474"/>
  <c r="AE474"/>
  <c r="AG474"/>
  <c r="AK474"/>
  <c r="G475"/>
  <c r="N475"/>
  <c r="T475"/>
  <c r="V475"/>
  <c r="Z475"/>
  <c r="AE475"/>
  <c r="AG475"/>
  <c r="AK475"/>
  <c r="G476"/>
  <c r="N476"/>
  <c r="T476"/>
  <c r="V476"/>
  <c r="Z476"/>
  <c r="AE476"/>
  <c r="AG476"/>
  <c r="AK476"/>
  <c r="G477"/>
  <c r="N477"/>
  <c r="T477"/>
  <c r="V477"/>
  <c r="Z477"/>
  <c r="AE477"/>
  <c r="AG477"/>
  <c r="AK477"/>
  <c r="L478"/>
  <c r="M478"/>
  <c r="S478"/>
  <c r="U478"/>
  <c r="X478"/>
  <c r="I310" i="18" s="1"/>
  <c r="AD478" i="17"/>
  <c r="AF478"/>
  <c r="AI478"/>
  <c r="I344" i="18" s="1"/>
  <c r="G479" i="17"/>
  <c r="N479"/>
  <c r="T479"/>
  <c r="V479"/>
  <c r="Z479"/>
  <c r="AE479"/>
  <c r="AG479"/>
  <c r="AK479"/>
  <c r="G480"/>
  <c r="N480"/>
  <c r="T480"/>
  <c r="V480"/>
  <c r="Z480"/>
  <c r="AE480"/>
  <c r="AG480"/>
  <c r="AK480"/>
  <c r="B481"/>
  <c r="G481"/>
  <c r="I481"/>
  <c r="F279" i="18" s="1"/>
  <c r="N481" i="17"/>
  <c r="P481"/>
  <c r="F310" i="18" s="1"/>
  <c r="T481" i="17"/>
  <c r="V481"/>
  <c r="Z481"/>
  <c r="AA481"/>
  <c r="F344" i="18" s="1"/>
  <c r="AE481" i="17"/>
  <c r="AG481"/>
  <c r="AK481"/>
  <c r="B482"/>
  <c r="G482"/>
  <c r="I482"/>
  <c r="N482"/>
  <c r="P482"/>
  <c r="T482"/>
  <c r="V482"/>
  <c r="Z482"/>
  <c r="AA482"/>
  <c r="AE482"/>
  <c r="AG482"/>
  <c r="AK482"/>
  <c r="G483"/>
  <c r="N483"/>
  <c r="T483"/>
  <c r="V483"/>
  <c r="Z483"/>
  <c r="AE483"/>
  <c r="AG483"/>
  <c r="AK483"/>
  <c r="B484"/>
  <c r="G484"/>
  <c r="I484"/>
  <c r="N484"/>
  <c r="P484"/>
  <c r="G310" i="18" s="1"/>
  <c r="T484" i="17"/>
  <c r="V484"/>
  <c r="Z484"/>
  <c r="AA484"/>
  <c r="G345" i="18" s="1"/>
  <c r="AE484" i="17"/>
  <c r="AG484"/>
  <c r="AK484"/>
  <c r="B485"/>
  <c r="G485"/>
  <c r="I485"/>
  <c r="N485"/>
  <c r="P485"/>
  <c r="T485"/>
  <c r="V485"/>
  <c r="Z485"/>
  <c r="AA485"/>
  <c r="AE485"/>
  <c r="AG485"/>
  <c r="AK485"/>
  <c r="G486"/>
  <c r="N486"/>
  <c r="T486"/>
  <c r="V486"/>
  <c r="Z486"/>
  <c r="AE486"/>
  <c r="AG486"/>
  <c r="AK486"/>
  <c r="B487"/>
  <c r="G487"/>
  <c r="I487"/>
  <c r="N487"/>
  <c r="P487"/>
  <c r="T487"/>
  <c r="V487"/>
  <c r="Z487"/>
  <c r="AA487"/>
  <c r="AE487"/>
  <c r="AG487"/>
  <c r="AK487"/>
  <c r="G488"/>
  <c r="N488"/>
  <c r="T488"/>
  <c r="V488"/>
  <c r="Z488"/>
  <c r="AE488"/>
  <c r="AG488"/>
  <c r="AK488"/>
  <c r="G489"/>
  <c r="N489"/>
  <c r="T489"/>
  <c r="V489"/>
  <c r="Z489"/>
  <c r="AE489"/>
  <c r="AG489"/>
  <c r="AK489"/>
  <c r="G490"/>
  <c r="N490"/>
  <c r="T490"/>
  <c r="V490"/>
  <c r="Z490"/>
  <c r="AE490"/>
  <c r="AG490"/>
  <c r="AK490"/>
  <c r="G491"/>
  <c r="N491"/>
  <c r="T491"/>
  <c r="V491"/>
  <c r="Z491"/>
  <c r="AE491"/>
  <c r="AG491"/>
  <c r="AK491"/>
  <c r="G492"/>
  <c r="N492"/>
  <c r="T492"/>
  <c r="V492"/>
  <c r="Z492"/>
  <c r="AE492"/>
  <c r="AG492"/>
  <c r="AK492"/>
  <c r="G493"/>
  <c r="N493"/>
  <c r="P493"/>
  <c r="T493"/>
  <c r="V493"/>
  <c r="Z493"/>
  <c r="AA493"/>
  <c r="AE493"/>
  <c r="AG493"/>
  <c r="AK493"/>
  <c r="G494"/>
  <c r="N494"/>
  <c r="T494"/>
  <c r="V494"/>
  <c r="Z494"/>
  <c r="AE494"/>
  <c r="AG494"/>
  <c r="AK494"/>
  <c r="G495"/>
  <c r="N495"/>
  <c r="P495"/>
  <c r="T495"/>
  <c r="V495"/>
  <c r="Z495"/>
  <c r="AA495"/>
  <c r="AE495"/>
  <c r="AG495"/>
  <c r="AK495"/>
  <c r="G496"/>
  <c r="N496"/>
  <c r="T496"/>
  <c r="V496"/>
  <c r="Z496"/>
  <c r="AE496"/>
  <c r="AG496"/>
  <c r="AK496"/>
  <c r="G497"/>
  <c r="N497"/>
  <c r="T497"/>
  <c r="V497"/>
  <c r="Z497"/>
  <c r="AE497"/>
  <c r="AG497"/>
  <c r="AK497"/>
  <c r="G498"/>
  <c r="N498"/>
  <c r="T498"/>
  <c r="V498"/>
  <c r="Z498"/>
  <c r="AE498"/>
  <c r="AG498"/>
  <c r="AK498"/>
  <c r="G499"/>
  <c r="N499"/>
  <c r="T499"/>
  <c r="V499"/>
  <c r="Z499"/>
  <c r="AE499"/>
  <c r="AG499"/>
  <c r="AK499"/>
  <c r="G500"/>
  <c r="N500"/>
  <c r="T500"/>
  <c r="V500"/>
  <c r="Z500"/>
  <c r="AE500"/>
  <c r="AG500"/>
  <c r="AK500"/>
  <c r="G501"/>
  <c r="N501"/>
  <c r="T501"/>
  <c r="V501"/>
  <c r="Z501"/>
  <c r="AE501"/>
  <c r="AG501"/>
  <c r="AK501"/>
  <c r="G502"/>
  <c r="N502"/>
  <c r="T502"/>
  <c r="V502"/>
  <c r="Z502"/>
  <c r="AE502"/>
  <c r="AG502"/>
  <c r="AK502"/>
  <c r="AA489" s="1"/>
  <c r="L503"/>
  <c r="M503"/>
  <c r="S503"/>
  <c r="U503"/>
  <c r="X503"/>
  <c r="AD503"/>
  <c r="AF503"/>
  <c r="AI503"/>
  <c r="I345" i="18" s="1"/>
  <c r="G504" i="17"/>
  <c r="N504"/>
  <c r="T504"/>
  <c r="V504"/>
  <c r="Z504"/>
  <c r="AE504"/>
  <c r="AG504"/>
  <c r="AK504"/>
  <c r="G505"/>
  <c r="N505"/>
  <c r="T505"/>
  <c r="V505"/>
  <c r="Z505"/>
  <c r="AE505"/>
  <c r="AG505"/>
  <c r="AK505"/>
  <c r="B506"/>
  <c r="B510" s="1"/>
  <c r="G506"/>
  <c r="I506"/>
  <c r="F280" i="18" s="1"/>
  <c r="H280" s="1"/>
  <c r="N506" i="17"/>
  <c r="P506"/>
  <c r="F311" i="18" s="1"/>
  <c r="T506" i="17"/>
  <c r="Z506"/>
  <c r="AA506"/>
  <c r="AE506"/>
  <c r="AK506"/>
  <c r="B507"/>
  <c r="G507"/>
  <c r="I507"/>
  <c r="N507"/>
  <c r="P507"/>
  <c r="T507"/>
  <c r="V507"/>
  <c r="Z507"/>
  <c r="AE507"/>
  <c r="AG507"/>
  <c r="AK507"/>
  <c r="G508"/>
  <c r="N508"/>
  <c r="T508"/>
  <c r="V508"/>
  <c r="Z508"/>
  <c r="AE508"/>
  <c r="AG508"/>
  <c r="AK508"/>
  <c r="B509"/>
  <c r="G509"/>
  <c r="I509"/>
  <c r="N509"/>
  <c r="P509"/>
  <c r="G311" i="18" s="1"/>
  <c r="T509" i="17"/>
  <c r="V509"/>
  <c r="Z509"/>
  <c r="AA509"/>
  <c r="AE509"/>
  <c r="AG509"/>
  <c r="AK509"/>
  <c r="G510"/>
  <c r="N510"/>
  <c r="T510"/>
  <c r="V510"/>
  <c r="Z510"/>
  <c r="AA510"/>
  <c r="AE510"/>
  <c r="AG510"/>
  <c r="AK510"/>
  <c r="G511"/>
  <c r="N511"/>
  <c r="T511"/>
  <c r="V511"/>
  <c r="Z511"/>
  <c r="AE511"/>
  <c r="AG511"/>
  <c r="AK511"/>
  <c r="B512"/>
  <c r="G512"/>
  <c r="I512"/>
  <c r="N512"/>
  <c r="P512"/>
  <c r="T512"/>
  <c r="V512"/>
  <c r="Z512"/>
  <c r="AA512"/>
  <c r="AE512"/>
  <c r="AG512"/>
  <c r="AK512"/>
  <c r="G513"/>
  <c r="N513"/>
  <c r="T513"/>
  <c r="V513"/>
  <c r="Z513"/>
  <c r="AE513"/>
  <c r="AG513"/>
  <c r="AK513"/>
  <c r="G514"/>
  <c r="N514"/>
  <c r="T514"/>
  <c r="V514"/>
  <c r="Z514"/>
  <c r="AE514"/>
  <c r="AG514"/>
  <c r="AK514"/>
  <c r="G515"/>
  <c r="N515"/>
  <c r="T515"/>
  <c r="V515"/>
  <c r="Z515"/>
  <c r="AE515"/>
  <c r="AG515"/>
  <c r="AK515"/>
  <c r="G516"/>
  <c r="N516"/>
  <c r="T516"/>
  <c r="V516"/>
  <c r="Z516"/>
  <c r="AE516"/>
  <c r="AG516"/>
  <c r="AK516"/>
  <c r="G517"/>
  <c r="N517"/>
  <c r="T517"/>
  <c r="V517"/>
  <c r="Z517"/>
  <c r="AE517"/>
  <c r="AG517"/>
  <c r="AK517"/>
  <c r="G518"/>
  <c r="N518"/>
  <c r="P518"/>
  <c r="T518"/>
  <c r="V518"/>
  <c r="Z518"/>
  <c r="AA518"/>
  <c r="AE518"/>
  <c r="AG518"/>
  <c r="AK518"/>
  <c r="G519"/>
  <c r="N519"/>
  <c r="T519"/>
  <c r="V519"/>
  <c r="Z519"/>
  <c r="AE519"/>
  <c r="AG519"/>
  <c r="AK519"/>
  <c r="G520"/>
  <c r="N520"/>
  <c r="P520"/>
  <c r="T520"/>
  <c r="V520"/>
  <c r="Z520"/>
  <c r="AA520"/>
  <c r="AE520"/>
  <c r="AG520"/>
  <c r="AK520"/>
  <c r="G521"/>
  <c r="N521"/>
  <c r="T521"/>
  <c r="V521"/>
  <c r="Z521"/>
  <c r="AE521"/>
  <c r="AG521"/>
  <c r="AK521"/>
  <c r="G522"/>
  <c r="N522"/>
  <c r="T522"/>
  <c r="V522"/>
  <c r="Z522"/>
  <c r="AE522"/>
  <c r="AG522"/>
  <c r="AK522"/>
  <c r="G523"/>
  <c r="N523"/>
  <c r="T523"/>
  <c r="V523"/>
  <c r="Z523"/>
  <c r="AE523"/>
  <c r="AG523"/>
  <c r="AK523"/>
  <c r="G524"/>
  <c r="N524"/>
  <c r="T524"/>
  <c r="V524"/>
  <c r="Z524"/>
  <c r="AE524"/>
  <c r="AG524"/>
  <c r="AK524"/>
  <c r="G525"/>
  <c r="N525"/>
  <c r="T525"/>
  <c r="V525"/>
  <c r="Z525"/>
  <c r="AE525"/>
  <c r="AG525"/>
  <c r="AK525"/>
  <c r="G526"/>
  <c r="N526"/>
  <c r="T526"/>
  <c r="V526"/>
  <c r="Z526"/>
  <c r="AE526"/>
  <c r="AG526"/>
  <c r="AK526"/>
  <c r="G527"/>
  <c r="N527"/>
  <c r="T527"/>
  <c r="V527"/>
  <c r="Z527"/>
  <c r="AE527"/>
  <c r="AG527"/>
  <c r="AK527"/>
  <c r="L528"/>
  <c r="M528"/>
  <c r="S528"/>
  <c r="U528"/>
  <c r="X528"/>
  <c r="I312" i="18" s="1"/>
  <c r="AD528" i="17"/>
  <c r="AF528"/>
  <c r="AI528"/>
  <c r="G529"/>
  <c r="N529"/>
  <c r="T529"/>
  <c r="V529"/>
  <c r="Z529"/>
  <c r="AE529"/>
  <c r="AG529"/>
  <c r="AK529"/>
  <c r="G530"/>
  <c r="N530"/>
  <c r="T530"/>
  <c r="V530"/>
  <c r="Z530"/>
  <c r="AE530"/>
  <c r="AG530"/>
  <c r="AK530"/>
  <c r="B531"/>
  <c r="G531"/>
  <c r="I531"/>
  <c r="F281" i="18" s="1"/>
  <c r="N531" i="17"/>
  <c r="P531"/>
  <c r="F312" i="18" s="1"/>
  <c r="T531" i="17"/>
  <c r="V531"/>
  <c r="Z531"/>
  <c r="AA531"/>
  <c r="F346" i="18" s="1"/>
  <c r="AE531" i="17"/>
  <c r="AG531"/>
  <c r="AK531"/>
  <c r="B532"/>
  <c r="G532"/>
  <c r="I532"/>
  <c r="N532"/>
  <c r="P532"/>
  <c r="T532"/>
  <c r="V532"/>
  <c r="Z532"/>
  <c r="AA532"/>
  <c r="AE532"/>
  <c r="AG532"/>
  <c r="AK532"/>
  <c r="G533"/>
  <c r="N533"/>
  <c r="T533"/>
  <c r="V533"/>
  <c r="Z533"/>
  <c r="AE533"/>
  <c r="AG533"/>
  <c r="AK533"/>
  <c r="B534"/>
  <c r="G534"/>
  <c r="I534"/>
  <c r="N534"/>
  <c r="P534"/>
  <c r="G312" i="18" s="1"/>
  <c r="T534" i="17"/>
  <c r="V534"/>
  <c r="Z534"/>
  <c r="AA534"/>
  <c r="G346" i="18" s="1"/>
  <c r="AE534" i="17"/>
  <c r="AG534"/>
  <c r="AK534"/>
  <c r="B535"/>
  <c r="G535"/>
  <c r="I535"/>
  <c r="N535"/>
  <c r="P535"/>
  <c r="T535"/>
  <c r="V535"/>
  <c r="Z535"/>
  <c r="AA535"/>
  <c r="AE535"/>
  <c r="AG535"/>
  <c r="AK535"/>
  <c r="G536"/>
  <c r="N536"/>
  <c r="T536"/>
  <c r="V536"/>
  <c r="Z536"/>
  <c r="AE536"/>
  <c r="AG536"/>
  <c r="AK536"/>
  <c r="B537"/>
  <c r="G537"/>
  <c r="I537"/>
  <c r="N537"/>
  <c r="P537"/>
  <c r="T537"/>
  <c r="V537"/>
  <c r="Z537"/>
  <c r="AA537"/>
  <c r="AE537"/>
  <c r="AG537"/>
  <c r="AK537"/>
  <c r="G538"/>
  <c r="N538"/>
  <c r="T538"/>
  <c r="V538"/>
  <c r="Z538"/>
  <c r="AE538"/>
  <c r="AG538"/>
  <c r="AK538"/>
  <c r="G539"/>
  <c r="N539"/>
  <c r="T539"/>
  <c r="V539"/>
  <c r="Z539"/>
  <c r="AE539"/>
  <c r="AG539"/>
  <c r="AK539"/>
  <c r="G540"/>
  <c r="N540"/>
  <c r="T540"/>
  <c r="V540"/>
  <c r="Z540"/>
  <c r="AE540"/>
  <c r="AG540"/>
  <c r="AK540"/>
  <c r="G541"/>
  <c r="N541"/>
  <c r="T541"/>
  <c r="V541"/>
  <c r="Z541"/>
  <c r="AE541"/>
  <c r="AG541"/>
  <c r="AK541"/>
  <c r="G542"/>
  <c r="N542"/>
  <c r="T542"/>
  <c r="V542"/>
  <c r="Z542"/>
  <c r="AE542"/>
  <c r="AG542"/>
  <c r="AK542"/>
  <c r="G543"/>
  <c r="N543"/>
  <c r="P543"/>
  <c r="T543"/>
  <c r="V543"/>
  <c r="Z543"/>
  <c r="AA543"/>
  <c r="AE543"/>
  <c r="AG543"/>
  <c r="AK543"/>
  <c r="G544"/>
  <c r="N544"/>
  <c r="T544"/>
  <c r="V544"/>
  <c r="Z544"/>
  <c r="AE544"/>
  <c r="AG544"/>
  <c r="AK544"/>
  <c r="G545"/>
  <c r="N545"/>
  <c r="P545"/>
  <c r="T545"/>
  <c r="V545"/>
  <c r="Z545"/>
  <c r="AA545"/>
  <c r="AE545"/>
  <c r="AG545"/>
  <c r="AK545"/>
  <c r="G546"/>
  <c r="N546"/>
  <c r="T546"/>
  <c r="V546"/>
  <c r="Z546"/>
  <c r="AE546"/>
  <c r="AG546"/>
  <c r="AK546"/>
  <c r="G547"/>
  <c r="N547"/>
  <c r="T547"/>
  <c r="V547"/>
  <c r="Z547"/>
  <c r="AE547"/>
  <c r="AG547"/>
  <c r="AK547"/>
  <c r="G548"/>
  <c r="N548"/>
  <c r="T548"/>
  <c r="V548"/>
  <c r="Z548"/>
  <c r="AE548"/>
  <c r="AG548"/>
  <c r="AK548"/>
  <c r="G549"/>
  <c r="N549"/>
  <c r="T549"/>
  <c r="V549"/>
  <c r="Z549"/>
  <c r="AE549"/>
  <c r="AG549"/>
  <c r="AK549"/>
  <c r="G550"/>
  <c r="N550"/>
  <c r="T550"/>
  <c r="V550"/>
  <c r="Z550"/>
  <c r="AE550"/>
  <c r="AG550"/>
  <c r="AK550"/>
  <c r="G551"/>
  <c r="N551"/>
  <c r="T551"/>
  <c r="V551"/>
  <c r="Z551"/>
  <c r="AE551"/>
  <c r="AG551"/>
  <c r="AK551"/>
  <c r="G552"/>
  <c r="N552"/>
  <c r="T552"/>
  <c r="V552"/>
  <c r="Z552"/>
  <c r="AE552"/>
  <c r="AG552"/>
  <c r="AK552"/>
  <c r="L553"/>
  <c r="M553"/>
  <c r="S553"/>
  <c r="U553"/>
  <c r="X553"/>
  <c r="I313" i="18" s="1"/>
  <c r="AD553" i="17"/>
  <c r="AF553"/>
  <c r="AI553"/>
  <c r="G554"/>
  <c r="N554"/>
  <c r="T554"/>
  <c r="V554"/>
  <c r="Z554"/>
  <c r="AE554"/>
  <c r="AG554"/>
  <c r="AK554"/>
  <c r="G555"/>
  <c r="N555"/>
  <c r="T555"/>
  <c r="V555"/>
  <c r="Z555"/>
  <c r="AE555"/>
  <c r="AG555"/>
  <c r="AK555"/>
  <c r="B556"/>
  <c r="G556"/>
  <c r="I556"/>
  <c r="F282" i="18" s="1"/>
  <c r="H282" s="1"/>
  <c r="N556" i="17"/>
  <c r="P556"/>
  <c r="F313" i="18" s="1"/>
  <c r="T556" i="17"/>
  <c r="V556"/>
  <c r="Z556"/>
  <c r="AA556"/>
  <c r="F347" i="18" s="1"/>
  <c r="AE556" i="17"/>
  <c r="AG556"/>
  <c r="AK556"/>
  <c r="B557"/>
  <c r="G557"/>
  <c r="I557"/>
  <c r="N557"/>
  <c r="P557"/>
  <c r="T557"/>
  <c r="V557"/>
  <c r="Z557"/>
  <c r="AA557"/>
  <c r="AE557"/>
  <c r="AG557"/>
  <c r="AK557"/>
  <c r="G558"/>
  <c r="N558"/>
  <c r="T558"/>
  <c r="V558"/>
  <c r="Z558"/>
  <c r="AE558"/>
  <c r="AG558"/>
  <c r="AK558"/>
  <c r="B559"/>
  <c r="G559"/>
  <c r="I559"/>
  <c r="N559"/>
  <c r="P559"/>
  <c r="G313" i="18" s="1"/>
  <c r="T559" i="17"/>
  <c r="V559"/>
  <c r="Z559"/>
  <c r="AA559"/>
  <c r="G347" i="18" s="1"/>
  <c r="AE559" i="17"/>
  <c r="AG559"/>
  <c r="AK559"/>
  <c r="B560"/>
  <c r="G560"/>
  <c r="I560"/>
  <c r="N560"/>
  <c r="P560"/>
  <c r="T560"/>
  <c r="V560"/>
  <c r="Z560"/>
  <c r="AA560"/>
  <c r="AE560"/>
  <c r="AG560"/>
  <c r="AK560"/>
  <c r="G561"/>
  <c r="N561"/>
  <c r="T561"/>
  <c r="V561"/>
  <c r="Z561"/>
  <c r="AE561"/>
  <c r="AG561"/>
  <c r="AK561"/>
  <c r="B562"/>
  <c r="G562"/>
  <c r="I562"/>
  <c r="N562"/>
  <c r="P562"/>
  <c r="T562"/>
  <c r="V562"/>
  <c r="Z562"/>
  <c r="AA562"/>
  <c r="AE562"/>
  <c r="AG562"/>
  <c r="AK562"/>
  <c r="G563"/>
  <c r="N563"/>
  <c r="T563"/>
  <c r="V563"/>
  <c r="Z563"/>
  <c r="AE563"/>
  <c r="AG563"/>
  <c r="AK563"/>
  <c r="G564"/>
  <c r="N564"/>
  <c r="T564"/>
  <c r="V564"/>
  <c r="Z564"/>
  <c r="AE564"/>
  <c r="AG564"/>
  <c r="AK564"/>
  <c r="G565"/>
  <c r="N565"/>
  <c r="T565"/>
  <c r="V565"/>
  <c r="Z565"/>
  <c r="AE565"/>
  <c r="AG565"/>
  <c r="AK565"/>
  <c r="G566"/>
  <c r="N566"/>
  <c r="T566"/>
  <c r="V566"/>
  <c r="Z566"/>
  <c r="AE566"/>
  <c r="AG566"/>
  <c r="AK566"/>
  <c r="G567"/>
  <c r="N567"/>
  <c r="T567"/>
  <c r="V567"/>
  <c r="Z567"/>
  <c r="AE567"/>
  <c r="AG567"/>
  <c r="AK567"/>
  <c r="G568"/>
  <c r="N568"/>
  <c r="P568"/>
  <c r="T568"/>
  <c r="V568"/>
  <c r="Z568"/>
  <c r="AA568"/>
  <c r="AE568"/>
  <c r="AG568"/>
  <c r="AK568"/>
  <c r="G569"/>
  <c r="N569"/>
  <c r="T569"/>
  <c r="V569"/>
  <c r="Z569"/>
  <c r="AE569"/>
  <c r="AG569"/>
  <c r="AK569"/>
  <c r="G570"/>
  <c r="N570"/>
  <c r="P570"/>
  <c r="T570"/>
  <c r="V570"/>
  <c r="Z570"/>
  <c r="AA570"/>
  <c r="AE570"/>
  <c r="AG570"/>
  <c r="AK570"/>
  <c r="G571"/>
  <c r="N571"/>
  <c r="T571"/>
  <c r="V571"/>
  <c r="Z571"/>
  <c r="AE571"/>
  <c r="AG571"/>
  <c r="AK571"/>
  <c r="G572"/>
  <c r="N572"/>
  <c r="T572"/>
  <c r="V572"/>
  <c r="Z572"/>
  <c r="AE572"/>
  <c r="AG572"/>
  <c r="AK572"/>
  <c r="G573"/>
  <c r="N573"/>
  <c r="T573"/>
  <c r="V573"/>
  <c r="Z573"/>
  <c r="AE573"/>
  <c r="AG573"/>
  <c r="AK573"/>
  <c r="G574"/>
  <c r="N574"/>
  <c r="T574"/>
  <c r="V574"/>
  <c r="Z574"/>
  <c r="AE574"/>
  <c r="AG574"/>
  <c r="AK574"/>
  <c r="G575"/>
  <c r="N575"/>
  <c r="T575"/>
  <c r="V575"/>
  <c r="Z575"/>
  <c r="AE575"/>
  <c r="AG575"/>
  <c r="AK575"/>
  <c r="G576"/>
  <c r="N576"/>
  <c r="T576"/>
  <c r="V576"/>
  <c r="Z576"/>
  <c r="AE576"/>
  <c r="AG576"/>
  <c r="AK576"/>
  <c r="G577"/>
  <c r="N577"/>
  <c r="T577"/>
  <c r="V577"/>
  <c r="Z577"/>
  <c r="AE577"/>
  <c r="AG577"/>
  <c r="AK577"/>
  <c r="L578"/>
  <c r="M578"/>
  <c r="S578"/>
  <c r="U578"/>
  <c r="X578"/>
  <c r="I314" i="18" s="1"/>
  <c r="AD578" i="17"/>
  <c r="AF578"/>
  <c r="AI578"/>
  <c r="G579"/>
  <c r="N579"/>
  <c r="T579"/>
  <c r="V579"/>
  <c r="Z579"/>
  <c r="AE579"/>
  <c r="AG579"/>
  <c r="AK579"/>
  <c r="G580"/>
  <c r="N580"/>
  <c r="T580"/>
  <c r="V580"/>
  <c r="AE580"/>
  <c r="AG580"/>
  <c r="B581"/>
  <c r="G581"/>
  <c r="I581"/>
  <c r="F283" i="18" s="1"/>
  <c r="N581" i="17"/>
  <c r="P581"/>
  <c r="T581"/>
  <c r="V581"/>
  <c r="AA581"/>
  <c r="F348" i="18" s="1"/>
  <c r="AE581" i="17"/>
  <c r="AG581"/>
  <c r="B582"/>
  <c r="G582"/>
  <c r="I582"/>
  <c r="N582"/>
  <c r="P582"/>
  <c r="T582"/>
  <c r="V582"/>
  <c r="AA582"/>
  <c r="AE582"/>
  <c r="AG582"/>
  <c r="G583"/>
  <c r="N583"/>
  <c r="T583"/>
  <c r="V583"/>
  <c r="AE583"/>
  <c r="AG583"/>
  <c r="B584"/>
  <c r="G584"/>
  <c r="I584"/>
  <c r="N584"/>
  <c r="P584"/>
  <c r="G314" i="18" s="1"/>
  <c r="T584" i="17"/>
  <c r="V584"/>
  <c r="AA584"/>
  <c r="G348" i="18" s="1"/>
  <c r="AE584" i="17"/>
  <c r="AG584"/>
  <c r="B585"/>
  <c r="G585"/>
  <c r="I585"/>
  <c r="N585"/>
  <c r="P585"/>
  <c r="T585"/>
  <c r="V585"/>
  <c r="AA585"/>
  <c r="AE585"/>
  <c r="AG585"/>
  <c r="G586"/>
  <c r="N586"/>
  <c r="T586"/>
  <c r="V586"/>
  <c r="Z586"/>
  <c r="AE586"/>
  <c r="AG586"/>
  <c r="AK586"/>
  <c r="B587"/>
  <c r="G587"/>
  <c r="I587"/>
  <c r="N587"/>
  <c r="P587"/>
  <c r="T587"/>
  <c r="V587"/>
  <c r="Z587"/>
  <c r="AA587"/>
  <c r="AE587"/>
  <c r="AG587"/>
  <c r="AK587"/>
  <c r="G588"/>
  <c r="N588"/>
  <c r="T588"/>
  <c r="V588"/>
  <c r="Z588"/>
  <c r="AE588"/>
  <c r="AG588"/>
  <c r="AK588"/>
  <c r="G589"/>
  <c r="N589"/>
  <c r="T589"/>
  <c r="V589"/>
  <c r="Z589"/>
  <c r="AE589"/>
  <c r="AG589"/>
  <c r="AK589"/>
  <c r="G590"/>
  <c r="N590"/>
  <c r="T590"/>
  <c r="V590"/>
  <c r="Z590"/>
  <c r="AE590"/>
  <c r="AG590"/>
  <c r="AK590"/>
  <c r="G591"/>
  <c r="N591"/>
  <c r="T591"/>
  <c r="V591"/>
  <c r="Z591"/>
  <c r="AE591"/>
  <c r="AG591"/>
  <c r="AK591"/>
  <c r="G592"/>
  <c r="N592"/>
  <c r="T592"/>
  <c r="V592"/>
  <c r="Z592"/>
  <c r="AE592"/>
  <c r="AG592"/>
  <c r="AK592"/>
  <c r="G593"/>
  <c r="N593"/>
  <c r="P593"/>
  <c r="T593"/>
  <c r="V593"/>
  <c r="Z593"/>
  <c r="AA593"/>
  <c r="AE593"/>
  <c r="AG593"/>
  <c r="AK593"/>
  <c r="G594"/>
  <c r="N594"/>
  <c r="T594"/>
  <c r="V594"/>
  <c r="Z594"/>
  <c r="AE594"/>
  <c r="AG594"/>
  <c r="AK594"/>
  <c r="G595"/>
  <c r="N595"/>
  <c r="P595"/>
  <c r="T595"/>
  <c r="V595"/>
  <c r="Z595"/>
  <c r="AA595"/>
  <c r="AE595"/>
  <c r="AG595"/>
  <c r="AK595"/>
  <c r="G596"/>
  <c r="N596"/>
  <c r="T596"/>
  <c r="V596"/>
  <c r="Z596"/>
  <c r="AE596"/>
  <c r="AG596"/>
  <c r="AK596"/>
  <c r="G597"/>
  <c r="N597"/>
  <c r="T597"/>
  <c r="V597"/>
  <c r="Z597"/>
  <c r="AE597"/>
  <c r="AG597"/>
  <c r="AK597"/>
  <c r="G598"/>
  <c r="N598"/>
  <c r="T598"/>
  <c r="V598"/>
  <c r="Z598"/>
  <c r="AE598"/>
  <c r="AG598"/>
  <c r="AK598"/>
  <c r="G599"/>
  <c r="N599"/>
  <c r="T599"/>
  <c r="V599"/>
  <c r="Z599"/>
  <c r="AE599"/>
  <c r="AG599"/>
  <c r="AK599"/>
  <c r="G600"/>
  <c r="N600"/>
  <c r="T600"/>
  <c r="V600"/>
  <c r="Z600"/>
  <c r="AE600"/>
  <c r="AG600"/>
  <c r="AK600"/>
  <c r="G601"/>
  <c r="N601"/>
  <c r="T601"/>
  <c r="V601"/>
  <c r="Z601"/>
  <c r="AE601"/>
  <c r="AG601"/>
  <c r="AK601"/>
  <c r="G602"/>
  <c r="N602"/>
  <c r="T602"/>
  <c r="V602"/>
  <c r="Z602"/>
  <c r="AE602"/>
  <c r="AG602"/>
  <c r="AK602"/>
  <c r="L603"/>
  <c r="M603"/>
  <c r="S603"/>
  <c r="U603"/>
  <c r="X603"/>
  <c r="AD603"/>
  <c r="AF603"/>
  <c r="AI603"/>
  <c r="G604"/>
  <c r="N604"/>
  <c r="T604"/>
  <c r="V604"/>
  <c r="Z604"/>
  <c r="AE604"/>
  <c r="AG604"/>
  <c r="AK604"/>
  <c r="G605"/>
  <c r="N605"/>
  <c r="T605"/>
  <c r="V605"/>
  <c r="AE605"/>
  <c r="AG605"/>
  <c r="B606"/>
  <c r="G606"/>
  <c r="I606"/>
  <c r="F284" i="18" s="1"/>
  <c r="H284" s="1"/>
  <c r="N606" i="17"/>
  <c r="P606"/>
  <c r="F315" i="18" s="1"/>
  <c r="T606" i="17"/>
  <c r="V606"/>
  <c r="AA606"/>
  <c r="AE606"/>
  <c r="AG606"/>
  <c r="B607"/>
  <c r="G607"/>
  <c r="I607"/>
  <c r="N607"/>
  <c r="P607"/>
  <c r="T607"/>
  <c r="V607"/>
  <c r="AA607"/>
  <c r="AE607"/>
  <c r="AG607"/>
  <c r="G608"/>
  <c r="N608"/>
  <c r="T608"/>
  <c r="V608"/>
  <c r="AE608"/>
  <c r="AG608"/>
  <c r="B609"/>
  <c r="G609"/>
  <c r="I609"/>
  <c r="G284" i="18" s="1"/>
  <c r="N609" i="17"/>
  <c r="P609"/>
  <c r="G315" i="18" s="1"/>
  <c r="T609" i="17"/>
  <c r="V609"/>
  <c r="AA609"/>
  <c r="G349" i="18" s="1"/>
  <c r="AE609" i="17"/>
  <c r="AG609"/>
  <c r="B610"/>
  <c r="G610"/>
  <c r="I610"/>
  <c r="N610"/>
  <c r="P610"/>
  <c r="T610"/>
  <c r="V610"/>
  <c r="AA610"/>
  <c r="AE610"/>
  <c r="AG610"/>
  <c r="G611"/>
  <c r="N611"/>
  <c r="T611"/>
  <c r="V611"/>
  <c r="Z611"/>
  <c r="AE611"/>
  <c r="AG611"/>
  <c r="AK611"/>
  <c r="B612"/>
  <c r="G612"/>
  <c r="I612"/>
  <c r="N612"/>
  <c r="P612"/>
  <c r="T612"/>
  <c r="V612"/>
  <c r="Z612"/>
  <c r="AA612"/>
  <c r="AE612"/>
  <c r="AG612"/>
  <c r="AK612"/>
  <c r="G613"/>
  <c r="N613"/>
  <c r="T613"/>
  <c r="V613"/>
  <c r="Z613"/>
  <c r="AE613"/>
  <c r="AG613"/>
  <c r="AK613"/>
  <c r="G614"/>
  <c r="N614"/>
  <c r="T614"/>
  <c r="V614"/>
  <c r="Z614"/>
  <c r="AE614"/>
  <c r="AG614"/>
  <c r="AK614"/>
  <c r="G615"/>
  <c r="N615"/>
  <c r="T615"/>
  <c r="V615"/>
  <c r="Z615"/>
  <c r="AE615"/>
  <c r="AG615"/>
  <c r="AK615"/>
  <c r="G616"/>
  <c r="N616"/>
  <c r="T616"/>
  <c r="V616"/>
  <c r="Z616"/>
  <c r="AE616"/>
  <c r="AG616"/>
  <c r="AK616"/>
  <c r="G617"/>
  <c r="N617"/>
  <c r="T617"/>
  <c r="V617"/>
  <c r="Z617"/>
  <c r="AE617"/>
  <c r="AG617"/>
  <c r="AK617"/>
  <c r="G618"/>
  <c r="N618"/>
  <c r="P618"/>
  <c r="T618"/>
  <c r="V618"/>
  <c r="Z618"/>
  <c r="AA618"/>
  <c r="AE618"/>
  <c r="AG618"/>
  <c r="AK618"/>
  <c r="G619"/>
  <c r="N619"/>
  <c r="T619"/>
  <c r="V619"/>
  <c r="Z619"/>
  <c r="AE619"/>
  <c r="AG619"/>
  <c r="AK619"/>
  <c r="G620"/>
  <c r="N620"/>
  <c r="P620"/>
  <c r="T620"/>
  <c r="V620"/>
  <c r="Z620"/>
  <c r="AA620"/>
  <c r="AE620"/>
  <c r="AG620"/>
  <c r="AK620"/>
  <c r="G621"/>
  <c r="N621"/>
  <c r="T621"/>
  <c r="V621"/>
  <c r="Z621"/>
  <c r="AE621"/>
  <c r="AG621"/>
  <c r="AK621"/>
  <c r="G622"/>
  <c r="N622"/>
  <c r="T622"/>
  <c r="V622"/>
  <c r="Z622"/>
  <c r="AE622"/>
  <c r="AG622"/>
  <c r="AK622"/>
  <c r="G623"/>
  <c r="N623"/>
  <c r="T623"/>
  <c r="V623"/>
  <c r="Z623"/>
  <c r="AE623"/>
  <c r="AG623"/>
  <c r="AK623"/>
  <c r="G624"/>
  <c r="N624"/>
  <c r="T624"/>
  <c r="V624"/>
  <c r="Z624"/>
  <c r="AE624"/>
  <c r="AG624"/>
  <c r="AK624"/>
  <c r="G625"/>
  <c r="N625"/>
  <c r="T625"/>
  <c r="V625"/>
  <c r="Z625"/>
  <c r="AE625"/>
  <c r="AG625"/>
  <c r="AK625"/>
  <c r="G626"/>
  <c r="N626"/>
  <c r="T626"/>
  <c r="V626"/>
  <c r="Z626"/>
  <c r="AE626"/>
  <c r="AG626"/>
  <c r="AK626"/>
  <c r="G627"/>
  <c r="N627"/>
  <c r="T627"/>
  <c r="V627"/>
  <c r="Z627"/>
  <c r="AE627"/>
  <c r="AG627"/>
  <c r="AK627"/>
  <c r="L628"/>
  <c r="M628"/>
  <c r="S628"/>
  <c r="U628"/>
  <c r="X628"/>
  <c r="I316" i="18" s="1"/>
  <c r="AD628" i="17"/>
  <c r="AF628"/>
  <c r="AI628"/>
  <c r="G629"/>
  <c r="N629"/>
  <c r="V629"/>
  <c r="Z629"/>
  <c r="AG629"/>
  <c r="AK629"/>
  <c r="G630"/>
  <c r="N630"/>
  <c r="V630"/>
  <c r="Z630"/>
  <c r="AG630"/>
  <c r="AK630"/>
  <c r="B631"/>
  <c r="G631"/>
  <c r="I631"/>
  <c r="F285" i="18" s="1"/>
  <c r="H285" s="1"/>
  <c r="N631" i="17"/>
  <c r="P631"/>
  <c r="F316" i="18" s="1"/>
  <c r="V631" i="17"/>
  <c r="Z631"/>
  <c r="AA631"/>
  <c r="AG631"/>
  <c r="AK631"/>
  <c r="B632"/>
  <c r="G632"/>
  <c r="I632"/>
  <c r="N632"/>
  <c r="P632"/>
  <c r="V632"/>
  <c r="Z632"/>
  <c r="AA632"/>
  <c r="AG632"/>
  <c r="AK632"/>
  <c r="G633"/>
  <c r="N633"/>
  <c r="V633"/>
  <c r="Z633"/>
  <c r="AG633"/>
  <c r="AK633"/>
  <c r="B634"/>
  <c r="G634"/>
  <c r="I634"/>
  <c r="G285" i="18" s="1"/>
  <c r="N634" i="17"/>
  <c r="P634"/>
  <c r="G316" i="18" s="1"/>
  <c r="V634" i="17"/>
  <c r="Z634"/>
  <c r="AA634"/>
  <c r="G350" i="18" s="1"/>
  <c r="AG634" i="17"/>
  <c r="AK634"/>
  <c r="B635"/>
  <c r="G635"/>
  <c r="I635"/>
  <c r="N635"/>
  <c r="P635"/>
  <c r="V635"/>
  <c r="Z635"/>
  <c r="AA635"/>
  <c r="AG635"/>
  <c r="AK635"/>
  <c r="G636"/>
  <c r="N636"/>
  <c r="V636"/>
  <c r="Z636"/>
  <c r="AG636"/>
  <c r="AK636"/>
  <c r="B637"/>
  <c r="G637"/>
  <c r="I637"/>
  <c r="N637"/>
  <c r="P637"/>
  <c r="V637"/>
  <c r="Z637"/>
  <c r="AA637"/>
  <c r="AG637"/>
  <c r="AK637"/>
  <c r="G638"/>
  <c r="N638"/>
  <c r="V638"/>
  <c r="Z638"/>
  <c r="AG638"/>
  <c r="AK638"/>
  <c r="G639"/>
  <c r="N639"/>
  <c r="V639"/>
  <c r="Z639"/>
  <c r="AG639"/>
  <c r="AK639"/>
  <c r="G640"/>
  <c r="N640"/>
  <c r="V640"/>
  <c r="Z640"/>
  <c r="AG640"/>
  <c r="AK640"/>
  <c r="G641"/>
  <c r="N641"/>
  <c r="V641"/>
  <c r="Z641"/>
  <c r="AG641"/>
  <c r="AK641"/>
  <c r="G642"/>
  <c r="N642"/>
  <c r="V642"/>
  <c r="Z642"/>
  <c r="AG642"/>
  <c r="AK642"/>
  <c r="G643"/>
  <c r="N643"/>
  <c r="P643"/>
  <c r="V643"/>
  <c r="Z643"/>
  <c r="AA643"/>
  <c r="AG643"/>
  <c r="AK643"/>
  <c r="G644"/>
  <c r="N644"/>
  <c r="V644"/>
  <c r="Z644"/>
  <c r="AG644"/>
  <c r="AK644"/>
  <c r="G645"/>
  <c r="N645"/>
  <c r="P645"/>
  <c r="V645"/>
  <c r="Z645"/>
  <c r="AA645"/>
  <c r="AG645"/>
  <c r="AK645"/>
  <c r="G646"/>
  <c r="N646"/>
  <c r="V646"/>
  <c r="Z646"/>
  <c r="AG646"/>
  <c r="AK646"/>
  <c r="G647"/>
  <c r="N647"/>
  <c r="V647"/>
  <c r="Z647"/>
  <c r="AG647"/>
  <c r="AK647"/>
  <c r="G648"/>
  <c r="N648"/>
  <c r="V648"/>
  <c r="Z648"/>
  <c r="AG648"/>
  <c r="AK648"/>
  <c r="G649"/>
  <c r="N649"/>
  <c r="V649"/>
  <c r="Z649"/>
  <c r="AG649"/>
  <c r="AK649"/>
  <c r="G650"/>
  <c r="N650"/>
  <c r="V650"/>
  <c r="Z650"/>
  <c r="AG650"/>
  <c r="AK650"/>
  <c r="G651"/>
  <c r="N651"/>
  <c r="V651"/>
  <c r="Z651"/>
  <c r="AG651"/>
  <c r="AK651"/>
  <c r="G652"/>
  <c r="N652"/>
  <c r="V652"/>
  <c r="Z652"/>
  <c r="AG652"/>
  <c r="AK652"/>
  <c r="L653"/>
  <c r="M653"/>
  <c r="S653"/>
  <c r="U653"/>
  <c r="X653"/>
  <c r="I317" i="18" s="1"/>
  <c r="AD653" i="17"/>
  <c r="AF653"/>
  <c r="AI653"/>
  <c r="AA670" s="1"/>
  <c r="G654"/>
  <c r="N654"/>
  <c r="T654"/>
  <c r="V654"/>
  <c r="Z654"/>
  <c r="AE654"/>
  <c r="AG654"/>
  <c r="AK654"/>
  <c r="G655"/>
  <c r="N655"/>
  <c r="T655"/>
  <c r="V655"/>
  <c r="Z655"/>
  <c r="AE655"/>
  <c r="AG655"/>
  <c r="AK655"/>
  <c r="B656"/>
  <c r="G656"/>
  <c r="I656"/>
  <c r="F286" i="18" s="1"/>
  <c r="H286" s="1"/>
  <c r="N656" i="17"/>
  <c r="P656"/>
  <c r="F317" i="18" s="1"/>
  <c r="T656" i="17"/>
  <c r="V656"/>
  <c r="Z656"/>
  <c r="AA656"/>
  <c r="F351" i="18" s="1"/>
  <c r="AE656" i="17"/>
  <c r="AG656"/>
  <c r="AK656"/>
  <c r="B657"/>
  <c r="G657"/>
  <c r="I657"/>
  <c r="N657"/>
  <c r="P657"/>
  <c r="T657"/>
  <c r="V657"/>
  <c r="Z657"/>
  <c r="AA657"/>
  <c r="AE657"/>
  <c r="AG657"/>
  <c r="AK657"/>
  <c r="G658"/>
  <c r="N658"/>
  <c r="T658"/>
  <c r="V658"/>
  <c r="Z658"/>
  <c r="AE658"/>
  <c r="AG658"/>
  <c r="AK658"/>
  <c r="B659"/>
  <c r="G659"/>
  <c r="I659"/>
  <c r="G286" i="18" s="1"/>
  <c r="N659" i="17"/>
  <c r="P659"/>
  <c r="G317" i="18" s="1"/>
  <c r="T659" i="17"/>
  <c r="V659"/>
  <c r="Z659"/>
  <c r="AA659"/>
  <c r="G351" i="18" s="1"/>
  <c r="AE659" i="17"/>
  <c r="AG659"/>
  <c r="AK659"/>
  <c r="B660"/>
  <c r="G660"/>
  <c r="I660"/>
  <c r="N660"/>
  <c r="P660"/>
  <c r="T660"/>
  <c r="V660"/>
  <c r="Z660"/>
  <c r="AA660"/>
  <c r="AE660"/>
  <c r="AG660"/>
  <c r="AK660"/>
  <c r="G661"/>
  <c r="N661"/>
  <c r="T661"/>
  <c r="V661"/>
  <c r="Z661"/>
  <c r="AE661"/>
  <c r="AG661"/>
  <c r="AK661"/>
  <c r="B662"/>
  <c r="G662"/>
  <c r="I662"/>
  <c r="N662"/>
  <c r="P662"/>
  <c r="T662"/>
  <c r="V662"/>
  <c r="Z662"/>
  <c r="AA662"/>
  <c r="AE662"/>
  <c r="AG662"/>
  <c r="AK662"/>
  <c r="G663"/>
  <c r="N663"/>
  <c r="T663"/>
  <c r="V663"/>
  <c r="Z663"/>
  <c r="AE663"/>
  <c r="AG663"/>
  <c r="AK663"/>
  <c r="G664"/>
  <c r="N664"/>
  <c r="T664"/>
  <c r="V664"/>
  <c r="Z664"/>
  <c r="AE664"/>
  <c r="AG664"/>
  <c r="AK664"/>
  <c r="G665"/>
  <c r="N665"/>
  <c r="T665"/>
  <c r="V665"/>
  <c r="Z665"/>
  <c r="AE665"/>
  <c r="AG665"/>
  <c r="AK665"/>
  <c r="G666"/>
  <c r="N666"/>
  <c r="T666"/>
  <c r="V666"/>
  <c r="Z666"/>
  <c r="AE666"/>
  <c r="AG666"/>
  <c r="AK666"/>
  <c r="G667"/>
  <c r="N667"/>
  <c r="T667"/>
  <c r="V667"/>
  <c r="Z667"/>
  <c r="AE667"/>
  <c r="AG667"/>
  <c r="AK667"/>
  <c r="G668"/>
  <c r="N668"/>
  <c r="P668"/>
  <c r="T668"/>
  <c r="V668"/>
  <c r="Z668"/>
  <c r="AA668"/>
  <c r="AE668"/>
  <c r="AG668"/>
  <c r="AK668"/>
  <c r="G669"/>
  <c r="N669"/>
  <c r="T669"/>
  <c r="V669"/>
  <c r="Z669"/>
  <c r="AE669"/>
  <c r="AG669"/>
  <c r="AK669"/>
  <c r="G670"/>
  <c r="N670"/>
  <c r="P670"/>
  <c r="T670"/>
  <c r="V670"/>
  <c r="Z670"/>
  <c r="AE670"/>
  <c r="AG670"/>
  <c r="AK670"/>
  <c r="G671"/>
  <c r="N671"/>
  <c r="T671"/>
  <c r="V671"/>
  <c r="Z671"/>
  <c r="AE671"/>
  <c r="AG671"/>
  <c r="AK671"/>
  <c r="G672"/>
  <c r="N672"/>
  <c r="T672"/>
  <c r="V672"/>
  <c r="Z672"/>
  <c r="AE672"/>
  <c r="AG672"/>
  <c r="AK672"/>
  <c r="G673"/>
  <c r="N673"/>
  <c r="T673"/>
  <c r="V673"/>
  <c r="Z673"/>
  <c r="AE673"/>
  <c r="AG673"/>
  <c r="AK673"/>
  <c r="G674"/>
  <c r="N674"/>
  <c r="T674"/>
  <c r="V674"/>
  <c r="Z674"/>
  <c r="AE674"/>
  <c r="AG674"/>
  <c r="AK674"/>
  <c r="G675"/>
  <c r="N675"/>
  <c r="T675"/>
  <c r="V675"/>
  <c r="Z675"/>
  <c r="AE675"/>
  <c r="AG675"/>
  <c r="AK675"/>
  <c r="G676"/>
  <c r="N676"/>
  <c r="T676"/>
  <c r="V676"/>
  <c r="Z676"/>
  <c r="AE676"/>
  <c r="AG676"/>
  <c r="AK676"/>
  <c r="G677"/>
  <c r="N677"/>
  <c r="T677"/>
  <c r="V677"/>
  <c r="Z677"/>
  <c r="AE677"/>
  <c r="AG677"/>
  <c r="AK677"/>
  <c r="L678"/>
  <c r="M678"/>
  <c r="S678"/>
  <c r="U678"/>
  <c r="X678"/>
  <c r="I318" i="18" s="1"/>
  <c r="AD678" i="17"/>
  <c r="AF678"/>
  <c r="AI678"/>
  <c r="AA695" s="1"/>
  <c r="G679"/>
  <c r="N679"/>
  <c r="T679"/>
  <c r="V679"/>
  <c r="Z679"/>
  <c r="AE679"/>
  <c r="AG679"/>
  <c r="AK679"/>
  <c r="G680"/>
  <c r="N680"/>
  <c r="T680"/>
  <c r="V680"/>
  <c r="Z680"/>
  <c r="AE680"/>
  <c r="AG680"/>
  <c r="AK680"/>
  <c r="B681"/>
  <c r="G681"/>
  <c r="I681"/>
  <c r="F287" i="18" s="1"/>
  <c r="H287" s="1"/>
  <c r="N681" i="17"/>
  <c r="P681"/>
  <c r="F318" i="18" s="1"/>
  <c r="T681" i="17"/>
  <c r="V681"/>
  <c r="Z681"/>
  <c r="AA681"/>
  <c r="F352" i="18" s="1"/>
  <c r="AE681" i="17"/>
  <c r="AG681"/>
  <c r="AK681"/>
  <c r="B682"/>
  <c r="G682"/>
  <c r="I682"/>
  <c r="N682"/>
  <c r="P682"/>
  <c r="T682"/>
  <c r="V682"/>
  <c r="Z682"/>
  <c r="AA682"/>
  <c r="AE682"/>
  <c r="AG682"/>
  <c r="AK682"/>
  <c r="G683"/>
  <c r="N683"/>
  <c r="T683"/>
  <c r="V683"/>
  <c r="Z683"/>
  <c r="AE683"/>
  <c r="AG683"/>
  <c r="AK683"/>
  <c r="B684"/>
  <c r="G684"/>
  <c r="I684"/>
  <c r="G287" i="18" s="1"/>
  <c r="N684" i="17"/>
  <c r="P684"/>
  <c r="G318" i="18" s="1"/>
  <c r="T684" i="17"/>
  <c r="V684"/>
  <c r="Z684"/>
  <c r="AA684"/>
  <c r="G352" i="18" s="1"/>
  <c r="AE684" i="17"/>
  <c r="AG684"/>
  <c r="AK684"/>
  <c r="B685"/>
  <c r="G685"/>
  <c r="I685"/>
  <c r="N685"/>
  <c r="P685"/>
  <c r="T685"/>
  <c r="V685"/>
  <c r="Z685"/>
  <c r="AA685"/>
  <c r="AE685"/>
  <c r="AG685"/>
  <c r="AK685"/>
  <c r="G686"/>
  <c r="N686"/>
  <c r="T686"/>
  <c r="V686"/>
  <c r="Z686"/>
  <c r="AE686"/>
  <c r="AG686"/>
  <c r="AK686"/>
  <c r="B687"/>
  <c r="G687"/>
  <c r="I687"/>
  <c r="N687"/>
  <c r="P687"/>
  <c r="T687"/>
  <c r="V687"/>
  <c r="Z687"/>
  <c r="AA687"/>
  <c r="AE687"/>
  <c r="AG687"/>
  <c r="AK687"/>
  <c r="G688"/>
  <c r="N688"/>
  <c r="T688"/>
  <c r="V688"/>
  <c r="Z688"/>
  <c r="AE688"/>
  <c r="AG688"/>
  <c r="AK688"/>
  <c r="G689"/>
  <c r="N689"/>
  <c r="T689"/>
  <c r="V689"/>
  <c r="Z689"/>
  <c r="AE689"/>
  <c r="AG689"/>
  <c r="AK689"/>
  <c r="G690"/>
  <c r="N690"/>
  <c r="T690"/>
  <c r="V690"/>
  <c r="Z690"/>
  <c r="AE690"/>
  <c r="AG690"/>
  <c r="AK690"/>
  <c r="G691"/>
  <c r="N691"/>
  <c r="T691"/>
  <c r="V691"/>
  <c r="Z691"/>
  <c r="AE691"/>
  <c r="AG691"/>
  <c r="AK691"/>
  <c r="G692"/>
  <c r="N692"/>
  <c r="T692"/>
  <c r="V692"/>
  <c r="Z692"/>
  <c r="AE692"/>
  <c r="AG692"/>
  <c r="AK692"/>
  <c r="G693"/>
  <c r="N693"/>
  <c r="P693"/>
  <c r="T693"/>
  <c r="V693"/>
  <c r="Z693"/>
  <c r="AA693"/>
  <c r="AE693"/>
  <c r="AG693"/>
  <c r="AK693"/>
  <c r="G694"/>
  <c r="N694"/>
  <c r="T694"/>
  <c r="V694"/>
  <c r="Z694"/>
  <c r="AE694"/>
  <c r="AG694"/>
  <c r="AK694"/>
  <c r="G695"/>
  <c r="N695"/>
  <c r="P695"/>
  <c r="T695"/>
  <c r="V695"/>
  <c r="Z695"/>
  <c r="AE695"/>
  <c r="AG695"/>
  <c r="AK695"/>
  <c r="G696"/>
  <c r="N696"/>
  <c r="T696"/>
  <c r="V696"/>
  <c r="Z696"/>
  <c r="AE696"/>
  <c r="AG696"/>
  <c r="AK696"/>
  <c r="G697"/>
  <c r="N697"/>
  <c r="T697"/>
  <c r="V697"/>
  <c r="Z697"/>
  <c r="AE697"/>
  <c r="AG697"/>
  <c r="AK697"/>
  <c r="G698"/>
  <c r="N698"/>
  <c r="T698"/>
  <c r="V698"/>
  <c r="Z698"/>
  <c r="AE698"/>
  <c r="AG698"/>
  <c r="AK698"/>
  <c r="G699"/>
  <c r="N699"/>
  <c r="T699"/>
  <c r="V699"/>
  <c r="Z699"/>
  <c r="AE699"/>
  <c r="AG699"/>
  <c r="AK699"/>
  <c r="G700"/>
  <c r="N700"/>
  <c r="T700"/>
  <c r="V700"/>
  <c r="Z700"/>
  <c r="AE700"/>
  <c r="AG700"/>
  <c r="AK700"/>
  <c r="G701"/>
  <c r="N701"/>
  <c r="T701"/>
  <c r="V701"/>
  <c r="Z701"/>
  <c r="AE701"/>
  <c r="AG701"/>
  <c r="AK701"/>
  <c r="G702"/>
  <c r="N702"/>
  <c r="T702"/>
  <c r="V702"/>
  <c r="Z702"/>
  <c r="AE702"/>
  <c r="AG702"/>
  <c r="AK702"/>
  <c r="L703"/>
  <c r="M703"/>
  <c r="S703"/>
  <c r="U703"/>
  <c r="X703"/>
  <c r="AD703"/>
  <c r="AF703"/>
  <c r="AI703"/>
  <c r="AA720" s="1"/>
  <c r="G704"/>
  <c r="N704"/>
  <c r="T704"/>
  <c r="V704"/>
  <c r="Z704"/>
  <c r="AE704"/>
  <c r="AG704"/>
  <c r="AK704"/>
  <c r="G705"/>
  <c r="N705"/>
  <c r="T705"/>
  <c r="V705"/>
  <c r="Z705"/>
  <c r="AE705"/>
  <c r="AG705"/>
  <c r="AK705"/>
  <c r="B706"/>
  <c r="G706"/>
  <c r="I706"/>
  <c r="F288" i="18" s="1"/>
  <c r="H288" s="1"/>
  <c r="N706" i="17"/>
  <c r="P706"/>
  <c r="F319" i="18" s="1"/>
  <c r="H319" s="1"/>
  <c r="T706" i="17"/>
  <c r="V706"/>
  <c r="Z706"/>
  <c r="AA706"/>
  <c r="F353" i="18" s="1"/>
  <c r="AE706" i="17"/>
  <c r="AG706"/>
  <c r="AK706"/>
  <c r="B707"/>
  <c r="G707"/>
  <c r="I707"/>
  <c r="N707"/>
  <c r="P707"/>
  <c r="T707"/>
  <c r="V707"/>
  <c r="Z707"/>
  <c r="AA707"/>
  <c r="AE707"/>
  <c r="AG707"/>
  <c r="AK707"/>
  <c r="G708"/>
  <c r="N708"/>
  <c r="T708"/>
  <c r="V708"/>
  <c r="Z708"/>
  <c r="AE708"/>
  <c r="AG708"/>
  <c r="AK708"/>
  <c r="B709"/>
  <c r="G709"/>
  <c r="I709"/>
  <c r="G288" i="18" s="1"/>
  <c r="N709" i="17"/>
  <c r="P709"/>
  <c r="G319" i="18" s="1"/>
  <c r="T709" i="17"/>
  <c r="V709"/>
  <c r="Z709"/>
  <c r="AA709"/>
  <c r="G353" i="18" s="1"/>
  <c r="AE709" i="17"/>
  <c r="AG709"/>
  <c r="AK709"/>
  <c r="B710"/>
  <c r="G710"/>
  <c r="I710"/>
  <c r="N710"/>
  <c r="P710"/>
  <c r="T710"/>
  <c r="V710"/>
  <c r="Z710"/>
  <c r="AA710"/>
  <c r="AE710"/>
  <c r="AG710"/>
  <c r="AK710"/>
  <c r="G711"/>
  <c r="N711"/>
  <c r="T711"/>
  <c r="V711"/>
  <c r="Z711"/>
  <c r="AE711"/>
  <c r="AG711"/>
  <c r="AK711"/>
  <c r="B712"/>
  <c r="G712"/>
  <c r="I712"/>
  <c r="N712"/>
  <c r="P712"/>
  <c r="T712"/>
  <c r="V712"/>
  <c r="Z712"/>
  <c r="AA712"/>
  <c r="AE712"/>
  <c r="AG712"/>
  <c r="AK712"/>
  <c r="G713"/>
  <c r="N713"/>
  <c r="T713"/>
  <c r="V713"/>
  <c r="Z713"/>
  <c r="AE713"/>
  <c r="AG713"/>
  <c r="AK713"/>
  <c r="G714"/>
  <c r="N714"/>
  <c r="T714"/>
  <c r="V714"/>
  <c r="Z714"/>
  <c r="AE714"/>
  <c r="AG714"/>
  <c r="AK714"/>
  <c r="G715"/>
  <c r="N715"/>
  <c r="T715"/>
  <c r="V715"/>
  <c r="Z715"/>
  <c r="AE715"/>
  <c r="AG715"/>
  <c r="AK715"/>
  <c r="G716"/>
  <c r="N716"/>
  <c r="T716"/>
  <c r="V716"/>
  <c r="Z716"/>
  <c r="AE716"/>
  <c r="AG716"/>
  <c r="AK716"/>
  <c r="G717"/>
  <c r="N717"/>
  <c r="T717"/>
  <c r="V717"/>
  <c r="Z717"/>
  <c r="AE717"/>
  <c r="AG717"/>
  <c r="AK717"/>
  <c r="G718"/>
  <c r="N718"/>
  <c r="P718"/>
  <c r="T718"/>
  <c r="V718"/>
  <c r="Z718"/>
  <c r="AA718"/>
  <c r="AE718"/>
  <c r="AG718"/>
  <c r="AK718"/>
  <c r="G719"/>
  <c r="N719"/>
  <c r="T719"/>
  <c r="V719"/>
  <c r="Z719"/>
  <c r="AE719"/>
  <c r="AG719"/>
  <c r="AK719"/>
  <c r="G720"/>
  <c r="N720"/>
  <c r="P720"/>
  <c r="T720"/>
  <c r="V720"/>
  <c r="Z720"/>
  <c r="AE720"/>
  <c r="AG720"/>
  <c r="AK720"/>
  <c r="G721"/>
  <c r="N721"/>
  <c r="T721"/>
  <c r="V721"/>
  <c r="Z721"/>
  <c r="AE721"/>
  <c r="AG721"/>
  <c r="AK721"/>
  <c r="G722"/>
  <c r="N722"/>
  <c r="T722"/>
  <c r="V722"/>
  <c r="Z722"/>
  <c r="AE722"/>
  <c r="AG722"/>
  <c r="AK722"/>
  <c r="G723"/>
  <c r="N723"/>
  <c r="T723"/>
  <c r="V723"/>
  <c r="Z723"/>
  <c r="AE723"/>
  <c r="AG723"/>
  <c r="AK723"/>
  <c r="G724"/>
  <c r="N724"/>
  <c r="T724"/>
  <c r="V724"/>
  <c r="Z724"/>
  <c r="AE724"/>
  <c r="AG724"/>
  <c r="AK724"/>
  <c r="G725"/>
  <c r="N725"/>
  <c r="T725"/>
  <c r="V725"/>
  <c r="Z725"/>
  <c r="AE725"/>
  <c r="AG725"/>
  <c r="AK725"/>
  <c r="G726"/>
  <c r="N726"/>
  <c r="T726"/>
  <c r="V726"/>
  <c r="Z726"/>
  <c r="AE726"/>
  <c r="AG726"/>
  <c r="AK726"/>
  <c r="G727"/>
  <c r="N727"/>
  <c r="T727"/>
  <c r="V727"/>
  <c r="Z727"/>
  <c r="AE727"/>
  <c r="AG727"/>
  <c r="AK727"/>
  <c r="L728"/>
  <c r="M728"/>
  <c r="S728"/>
  <c r="U728"/>
  <c r="X728"/>
  <c r="I320" i="18" s="1"/>
  <c r="AD728" i="17"/>
  <c r="AF728"/>
  <c r="AI728"/>
  <c r="AA745" s="1"/>
  <c r="G729"/>
  <c r="N729"/>
  <c r="T729"/>
  <c r="V729"/>
  <c r="Z729"/>
  <c r="AE729"/>
  <c r="AG729"/>
  <c r="AK729"/>
  <c r="G730"/>
  <c r="N730"/>
  <c r="T730"/>
  <c r="V730"/>
  <c r="Z730"/>
  <c r="AE730"/>
  <c r="AG730"/>
  <c r="AK730"/>
  <c r="B731"/>
  <c r="G731"/>
  <c r="I731"/>
  <c r="F289" i="18" s="1"/>
  <c r="H289" s="1"/>
  <c r="N731" i="17"/>
  <c r="P731"/>
  <c r="F320" i="18" s="1"/>
  <c r="T731" i="17"/>
  <c r="V731"/>
  <c r="Z731"/>
  <c r="AA731"/>
  <c r="F354" i="18" s="1"/>
  <c r="AE731" i="17"/>
  <c r="AG731"/>
  <c r="AK731"/>
  <c r="B732"/>
  <c r="G732"/>
  <c r="I732"/>
  <c r="N732"/>
  <c r="P732"/>
  <c r="T732"/>
  <c r="V732"/>
  <c r="Z732"/>
  <c r="AA732"/>
  <c r="AE732"/>
  <c r="AG732"/>
  <c r="AK732"/>
  <c r="G733"/>
  <c r="N733"/>
  <c r="T733"/>
  <c r="V733"/>
  <c r="Z733"/>
  <c r="AE733"/>
  <c r="AG733"/>
  <c r="AK733"/>
  <c r="B734"/>
  <c r="G734"/>
  <c r="I734"/>
  <c r="N734"/>
  <c r="P734"/>
  <c r="G320" i="18" s="1"/>
  <c r="T734" i="17"/>
  <c r="V734"/>
  <c r="Z734"/>
  <c r="AA734"/>
  <c r="G354" i="18" s="1"/>
  <c r="AE734" i="17"/>
  <c r="AG734"/>
  <c r="AK734"/>
  <c r="B735"/>
  <c r="G735"/>
  <c r="I735"/>
  <c r="N735"/>
  <c r="P735"/>
  <c r="T735"/>
  <c r="V735"/>
  <c r="Z735"/>
  <c r="AA735"/>
  <c r="AE735"/>
  <c r="AG735"/>
  <c r="AK735"/>
  <c r="G736"/>
  <c r="N736"/>
  <c r="T736"/>
  <c r="V736"/>
  <c r="Z736"/>
  <c r="AE736"/>
  <c r="AG736"/>
  <c r="AK736"/>
  <c r="B737"/>
  <c r="G737"/>
  <c r="I737"/>
  <c r="N737"/>
  <c r="P737"/>
  <c r="T737"/>
  <c r="V737"/>
  <c r="Z737"/>
  <c r="AA737"/>
  <c r="AE737"/>
  <c r="AG737"/>
  <c r="AK737"/>
  <c r="G738"/>
  <c r="N738"/>
  <c r="T738"/>
  <c r="V738"/>
  <c r="Z738"/>
  <c r="AE738"/>
  <c r="AG738"/>
  <c r="AK738"/>
  <c r="G739"/>
  <c r="N739"/>
  <c r="T739"/>
  <c r="V739"/>
  <c r="Z739"/>
  <c r="AE739"/>
  <c r="AG739"/>
  <c r="AK739"/>
  <c r="G740"/>
  <c r="N740"/>
  <c r="T740"/>
  <c r="V740"/>
  <c r="Z740"/>
  <c r="AE740"/>
  <c r="AG740"/>
  <c r="AK740"/>
  <c r="G741"/>
  <c r="N741"/>
  <c r="T741"/>
  <c r="V741"/>
  <c r="Z741"/>
  <c r="AE741"/>
  <c r="AG741"/>
  <c r="AK741"/>
  <c r="G742"/>
  <c r="N742"/>
  <c r="T742"/>
  <c r="V742"/>
  <c r="Z742"/>
  <c r="AE742"/>
  <c r="AG742"/>
  <c r="AK742"/>
  <c r="G743"/>
  <c r="N743"/>
  <c r="P743"/>
  <c r="T743"/>
  <c r="V743"/>
  <c r="Z743"/>
  <c r="AA743"/>
  <c r="AE743"/>
  <c r="AG743"/>
  <c r="AK743"/>
  <c r="G744"/>
  <c r="N744"/>
  <c r="T744"/>
  <c r="V744"/>
  <c r="Z744"/>
  <c r="AE744"/>
  <c r="AG744"/>
  <c r="AK744"/>
  <c r="G745"/>
  <c r="N745"/>
  <c r="P745"/>
  <c r="T745"/>
  <c r="V745"/>
  <c r="Z745"/>
  <c r="AE745"/>
  <c r="AG745"/>
  <c r="AK745"/>
  <c r="G746"/>
  <c r="N746"/>
  <c r="T746"/>
  <c r="V746"/>
  <c r="Z746"/>
  <c r="AE746"/>
  <c r="AG746"/>
  <c r="AK746"/>
  <c r="G747"/>
  <c r="N747"/>
  <c r="T747"/>
  <c r="V747"/>
  <c r="Z747"/>
  <c r="AE747"/>
  <c r="AG747"/>
  <c r="AK747"/>
  <c r="G748"/>
  <c r="N748"/>
  <c r="T748"/>
  <c r="V748"/>
  <c r="Z748"/>
  <c r="AE748"/>
  <c r="AG748"/>
  <c r="AK748"/>
  <c r="G749"/>
  <c r="N749"/>
  <c r="T749"/>
  <c r="V749"/>
  <c r="Z749"/>
  <c r="AE749"/>
  <c r="AG749"/>
  <c r="AK749"/>
  <c r="G750"/>
  <c r="N750"/>
  <c r="T750"/>
  <c r="V750"/>
  <c r="Z750"/>
  <c r="AE750"/>
  <c r="AG750"/>
  <c r="AK750"/>
  <c r="G751"/>
  <c r="N751"/>
  <c r="T751"/>
  <c r="V751"/>
  <c r="Z751"/>
  <c r="AE751"/>
  <c r="AG751"/>
  <c r="AK751"/>
  <c r="G752"/>
  <c r="N752"/>
  <c r="T752"/>
  <c r="V752"/>
  <c r="Z752"/>
  <c r="AE752"/>
  <c r="AG752"/>
  <c r="AK752"/>
  <c r="S753"/>
  <c r="U753"/>
  <c r="X753"/>
  <c r="I321" i="18" s="1"/>
  <c r="AD753" i="17"/>
  <c r="AF753"/>
  <c r="AI753"/>
  <c r="G754"/>
  <c r="T754"/>
  <c r="V754"/>
  <c r="Z754"/>
  <c r="AE754"/>
  <c r="AG754"/>
  <c r="AK754"/>
  <c r="G755"/>
  <c r="T755"/>
  <c r="V755"/>
  <c r="Z755"/>
  <c r="AE755"/>
  <c r="AG755"/>
  <c r="AK755"/>
  <c r="B756"/>
  <c r="G756"/>
  <c r="P756"/>
  <c r="F321" i="18" s="1"/>
  <c r="T756" i="17"/>
  <c r="V756"/>
  <c r="Z756"/>
  <c r="AA756"/>
  <c r="F355" i="18" s="1"/>
  <c r="AE756" i="17"/>
  <c r="AG756"/>
  <c r="AK756"/>
  <c r="B757"/>
  <c r="G757"/>
  <c r="P757"/>
  <c r="T757"/>
  <c r="V757"/>
  <c r="Z757"/>
  <c r="AA757"/>
  <c r="AE757"/>
  <c r="AG757"/>
  <c r="AK757"/>
  <c r="G758"/>
  <c r="T758"/>
  <c r="V758"/>
  <c r="Z758"/>
  <c r="AE758"/>
  <c r="AG758"/>
  <c r="AK758"/>
  <c r="B759"/>
  <c r="G759"/>
  <c r="P759"/>
  <c r="G321" i="18" s="1"/>
  <c r="T759" i="17"/>
  <c r="V759"/>
  <c r="Z759"/>
  <c r="AA759"/>
  <c r="AE759"/>
  <c r="AG759"/>
  <c r="AK759"/>
  <c r="G760"/>
  <c r="T760"/>
  <c r="V760"/>
  <c r="Z760"/>
  <c r="AE760"/>
  <c r="AG760"/>
  <c r="AK760"/>
  <c r="G761"/>
  <c r="T761"/>
  <c r="V761"/>
  <c r="Z761"/>
  <c r="AE761"/>
  <c r="AG761"/>
  <c r="AK761"/>
  <c r="B762"/>
  <c r="G762"/>
  <c r="P762"/>
  <c r="T762"/>
  <c r="V762"/>
  <c r="Z762"/>
  <c r="AA762"/>
  <c r="AE762"/>
  <c r="AG762"/>
  <c r="AK762"/>
  <c r="G763"/>
  <c r="T763"/>
  <c r="V763"/>
  <c r="Z763"/>
  <c r="AE763"/>
  <c r="AG763"/>
  <c r="AK763"/>
  <c r="G764"/>
  <c r="T764"/>
  <c r="V764"/>
  <c r="Z764"/>
  <c r="AE764"/>
  <c r="AG764"/>
  <c r="AK764"/>
  <c r="G765"/>
  <c r="T765"/>
  <c r="V765"/>
  <c r="Z765"/>
  <c r="AE765"/>
  <c r="AG765"/>
  <c r="AK765"/>
  <c r="G766"/>
  <c r="T766"/>
  <c r="V766"/>
  <c r="Z766"/>
  <c r="AE766"/>
  <c r="AG766"/>
  <c r="AK766"/>
  <c r="G767"/>
  <c r="T767"/>
  <c r="V767"/>
  <c r="Z767"/>
  <c r="AE767"/>
  <c r="AG767"/>
  <c r="AK767"/>
  <c r="G768"/>
  <c r="T768"/>
  <c r="V768"/>
  <c r="Z768"/>
  <c r="AE768"/>
  <c r="AG768"/>
  <c r="AK768"/>
  <c r="G769"/>
  <c r="T769"/>
  <c r="V769"/>
  <c r="Z769"/>
  <c r="AE769"/>
  <c r="AG769"/>
  <c r="AK769"/>
  <c r="G770"/>
  <c r="T770"/>
  <c r="V770"/>
  <c r="Z770"/>
  <c r="AE770"/>
  <c r="AG770"/>
  <c r="AK770"/>
  <c r="G771"/>
  <c r="T771"/>
  <c r="V771"/>
  <c r="Z771"/>
  <c r="AE771"/>
  <c r="AG771"/>
  <c r="AK771"/>
  <c r="G772"/>
  <c r="T772"/>
  <c r="V772"/>
  <c r="Z772"/>
  <c r="AE772"/>
  <c r="AG772"/>
  <c r="AK772"/>
  <c r="G773"/>
  <c r="T773"/>
  <c r="V773"/>
  <c r="Z773"/>
  <c r="AE773"/>
  <c r="AG773"/>
  <c r="AK773"/>
  <c r="G774"/>
  <c r="T774"/>
  <c r="V774"/>
  <c r="Z774"/>
  <c r="AE774"/>
  <c r="AG774"/>
  <c r="AK774"/>
  <c r="G775"/>
  <c r="T775"/>
  <c r="V775"/>
  <c r="Z775"/>
  <c r="AE775"/>
  <c r="AG775"/>
  <c r="AK775"/>
  <c r="G776"/>
  <c r="T776"/>
  <c r="V776"/>
  <c r="Z776"/>
  <c r="AE776"/>
  <c r="AG776"/>
  <c r="AK776"/>
  <c r="G777"/>
  <c r="T777"/>
  <c r="V777"/>
  <c r="Z777"/>
  <c r="AE777"/>
  <c r="AG777"/>
  <c r="AK777"/>
  <c r="BM22" i="28" l="1"/>
  <c r="N304" i="27"/>
  <c r="S148"/>
  <c r="BB5" i="28"/>
  <c r="BL26" s="1"/>
  <c r="R8" i="27"/>
  <c r="T148"/>
  <c r="N148"/>
  <c r="R148"/>
  <c r="BO10" i="28"/>
  <c r="AQ8"/>
  <c r="BK25"/>
  <c r="BN6"/>
  <c r="AS5"/>
  <c r="BN4"/>
  <c r="BI29"/>
  <c r="BT9"/>
  <c r="BT10" s="1"/>
  <c r="BO21"/>
  <c r="BO20"/>
  <c r="BJ25"/>
  <c r="BO8"/>
  <c r="AS6" s="1"/>
  <c r="BI9"/>
  <c r="BJ14"/>
  <c r="BO7"/>
  <c r="P6"/>
  <c r="BV5"/>
  <c r="BL16"/>
  <c r="BL14"/>
  <c r="F148" i="27"/>
  <c r="F522"/>
  <c r="J3"/>
  <c r="R17" i="15"/>
  <c r="R13"/>
  <c r="R5"/>
  <c r="R6"/>
  <c r="R8"/>
  <c r="R7"/>
  <c r="R11"/>
  <c r="AG20"/>
  <c r="AH20" s="1"/>
  <c r="AI20" s="1"/>
  <c r="AJ20" s="1"/>
  <c r="AK20" s="1"/>
  <c r="AL20" s="1"/>
  <c r="AM20" s="1"/>
  <c r="AN20" s="1"/>
  <c r="AG19"/>
  <c r="AH19" s="1"/>
  <c r="AI19" s="1"/>
  <c r="AJ19" s="1"/>
  <c r="AK19" s="1"/>
  <c r="AL19" s="1"/>
  <c r="AM19" s="1"/>
  <c r="AN19" s="1"/>
  <c r="AG13"/>
  <c r="AH13" s="1"/>
  <c r="AI13" s="1"/>
  <c r="AJ13" s="1"/>
  <c r="AK13" s="1"/>
  <c r="AL13" s="1"/>
  <c r="AM13" s="1"/>
  <c r="AN13" s="1"/>
  <c r="AG12"/>
  <c r="AH12" s="1"/>
  <c r="AI12" s="1"/>
  <c r="AJ12" s="1"/>
  <c r="AK12" s="1"/>
  <c r="AL12" s="1"/>
  <c r="AM12" s="1"/>
  <c r="AN12" s="1"/>
  <c r="AG14"/>
  <c r="AH14" s="1"/>
  <c r="AI14" s="1"/>
  <c r="AJ14" s="1"/>
  <c r="AK14" s="1"/>
  <c r="AL14" s="1"/>
  <c r="AM14" s="1"/>
  <c r="AN14" s="1"/>
  <c r="E206" i="27"/>
  <c r="W58"/>
  <c r="E20"/>
  <c r="BV4" i="28"/>
  <c r="AG5" i="15"/>
  <c r="AH5" s="1"/>
  <c r="AI5" s="1"/>
  <c r="AJ5" s="1"/>
  <c r="AK5" s="1"/>
  <c r="AL5" s="1"/>
  <c r="AM5" s="1"/>
  <c r="AN5" s="1"/>
  <c r="AG21"/>
  <c r="AH21" s="1"/>
  <c r="AI21" s="1"/>
  <c r="AJ21" s="1"/>
  <c r="AK21" s="1"/>
  <c r="AL21" s="1"/>
  <c r="AM21" s="1"/>
  <c r="AN21" s="1"/>
  <c r="AG15"/>
  <c r="AH15" s="1"/>
  <c r="AI15" s="1"/>
  <c r="AJ15" s="1"/>
  <c r="AK15" s="1"/>
  <c r="AL15" s="1"/>
  <c r="AM15" s="1"/>
  <c r="AN15" s="1"/>
  <c r="AG16"/>
  <c r="AH16" s="1"/>
  <c r="AI16" s="1"/>
  <c r="AJ16" s="1"/>
  <c r="AK16" s="1"/>
  <c r="AL16" s="1"/>
  <c r="AM16" s="1"/>
  <c r="AN16" s="1"/>
  <c r="AG18"/>
  <c r="AH18" s="1"/>
  <c r="AI18" s="1"/>
  <c r="AJ18" s="1"/>
  <c r="AK18" s="1"/>
  <c r="AL18" s="1"/>
  <c r="AM18" s="1"/>
  <c r="AN18" s="1"/>
  <c r="AG10"/>
  <c r="AH10" s="1"/>
  <c r="AI10" s="1"/>
  <c r="AJ10" s="1"/>
  <c r="AK10" s="1"/>
  <c r="AL10" s="1"/>
  <c r="AM10" s="1"/>
  <c r="AN10" s="1"/>
  <c r="AG17"/>
  <c r="AH17" s="1"/>
  <c r="AI17" s="1"/>
  <c r="AJ17" s="1"/>
  <c r="AK17" s="1"/>
  <c r="AL17" s="1"/>
  <c r="AM17" s="1"/>
  <c r="AN17" s="1"/>
  <c r="AG9"/>
  <c r="AH9" s="1"/>
  <c r="AI9" s="1"/>
  <c r="AJ9" s="1"/>
  <c r="AK9" s="1"/>
  <c r="AL9" s="1"/>
  <c r="AM9" s="1"/>
  <c r="AN9" s="1"/>
  <c r="E110" i="27"/>
  <c r="I501" i="18"/>
  <c r="I493"/>
  <c r="H393"/>
  <c r="I425"/>
  <c r="I518"/>
  <c r="I10" s="1"/>
  <c r="F458"/>
  <c r="H458" s="1"/>
  <c r="I509"/>
  <c r="N33" i="24"/>
  <c r="I33"/>
  <c r="I583" i="18"/>
  <c r="AH33" i="24"/>
  <c r="I498" i="18"/>
  <c r="I520"/>
  <c r="I490"/>
  <c r="E34" i="24"/>
  <c r="I438" i="18"/>
  <c r="Q8"/>
  <c r="G8"/>
  <c r="I550"/>
  <c r="O585"/>
  <c r="L585"/>
  <c r="K553"/>
  <c r="L552"/>
  <c r="N553"/>
  <c r="O552"/>
  <c r="F349"/>
  <c r="F350"/>
  <c r="AA507" i="17"/>
  <c r="F345" i="18"/>
  <c r="F555" i="19"/>
  <c r="I553"/>
  <c r="K553" s="1"/>
  <c r="I552"/>
  <c r="K552" s="1"/>
  <c r="I537"/>
  <c r="K537" s="1"/>
  <c r="I536"/>
  <c r="K536" s="1"/>
  <c r="I521"/>
  <c r="K521" s="1"/>
  <c r="I505"/>
  <c r="K505" s="1"/>
  <c r="E481"/>
  <c r="G481" s="1"/>
  <c r="I479"/>
  <c r="K479" s="1"/>
  <c r="I476"/>
  <c r="K476" s="1"/>
  <c r="I475"/>
  <c r="K475" s="1"/>
  <c r="I472"/>
  <c r="K472" s="1"/>
  <c r="I471"/>
  <c r="K471" s="1"/>
  <c r="I468"/>
  <c r="K468" s="1"/>
  <c r="I467"/>
  <c r="K467" s="1"/>
  <c r="I464"/>
  <c r="K464" s="1"/>
  <c r="I463"/>
  <c r="K463" s="1"/>
  <c r="I460"/>
  <c r="K460" s="1"/>
  <c r="I459"/>
  <c r="K459" s="1"/>
  <c r="I456"/>
  <c r="K456" s="1"/>
  <c r="I455"/>
  <c r="K455" s="1"/>
  <c r="L453"/>
  <c r="I448"/>
  <c r="K448" s="1"/>
  <c r="I334"/>
  <c r="K334" s="1"/>
  <c r="I318"/>
  <c r="K318" s="1"/>
  <c r="I240"/>
  <c r="K240" s="1"/>
  <c r="I239"/>
  <c r="K239" s="1"/>
  <c r="I236"/>
  <c r="K236" s="1"/>
  <c r="L234"/>
  <c r="I233"/>
  <c r="K233" s="1"/>
  <c r="I232"/>
  <c r="K232" s="1"/>
  <c r="I229"/>
  <c r="K229" s="1"/>
  <c r="L226"/>
  <c r="I225"/>
  <c r="K225" s="1"/>
  <c r="I176"/>
  <c r="K176" s="1"/>
  <c r="L175"/>
  <c r="I174"/>
  <c r="K174" s="1"/>
  <c r="L164"/>
  <c r="I163"/>
  <c r="K163" s="1"/>
  <c r="L161"/>
  <c r="I160"/>
  <c r="K160" s="1"/>
  <c r="P60" i="21"/>
  <c r="G343" i="18"/>
  <c r="G344"/>
  <c r="F333"/>
  <c r="H333" s="1"/>
  <c r="F332"/>
  <c r="H332" s="1"/>
  <c r="F331"/>
  <c r="H331" s="1"/>
  <c r="F330"/>
  <c r="H330" s="1"/>
  <c r="F329"/>
  <c r="H329" s="1"/>
  <c r="F328"/>
  <c r="H328" s="1"/>
  <c r="F327"/>
  <c r="H327" s="1"/>
  <c r="I312" i="19"/>
  <c r="K312" s="1"/>
  <c r="I288"/>
  <c r="K288" s="1"/>
  <c r="I282"/>
  <c r="K282" s="1"/>
  <c r="I281"/>
  <c r="K281" s="1"/>
  <c r="I274"/>
  <c r="K274" s="1"/>
  <c r="L216"/>
  <c r="I215"/>
  <c r="K215" s="1"/>
  <c r="E214"/>
  <c r="G214" s="1"/>
  <c r="L209"/>
  <c r="I208"/>
  <c r="K208" s="1"/>
  <c r="I207"/>
  <c r="K207" s="1"/>
  <c r="L200"/>
  <c r="I199"/>
  <c r="K199" s="1"/>
  <c r="L196"/>
  <c r="I195"/>
  <c r="K195" s="1"/>
  <c r="I147"/>
  <c r="K147" s="1"/>
  <c r="L146"/>
  <c r="I145"/>
  <c r="K145" s="1"/>
  <c r="L144"/>
  <c r="I143"/>
  <c r="K143" s="1"/>
  <c r="I133"/>
  <c r="K133" s="1"/>
  <c r="L132"/>
  <c r="L119"/>
  <c r="I118"/>
  <c r="K118" s="1"/>
  <c r="I96"/>
  <c r="K96" s="1"/>
  <c r="I90"/>
  <c r="K90" s="1"/>
  <c r="I89"/>
  <c r="K89" s="1"/>
  <c r="I84"/>
  <c r="K84" s="1"/>
  <c r="E80"/>
  <c r="G80" s="1"/>
  <c r="I74"/>
  <c r="K74" s="1"/>
  <c r="I68"/>
  <c r="K68" s="1"/>
  <c r="I50"/>
  <c r="K50" s="1"/>
  <c r="I49"/>
  <c r="K49" s="1"/>
  <c r="I48"/>
  <c r="K48" s="1"/>
  <c r="I47"/>
  <c r="K47" s="1"/>
  <c r="I34"/>
  <c r="K34" s="1"/>
  <c r="I22"/>
  <c r="K22" s="1"/>
  <c r="I8"/>
  <c r="K8" s="1"/>
  <c r="L519" i="18"/>
  <c r="H388"/>
  <c r="K488"/>
  <c r="K489" s="1"/>
  <c r="I460"/>
  <c r="I494"/>
  <c r="I482"/>
  <c r="I505"/>
  <c r="I458"/>
  <c r="K529"/>
  <c r="K530" s="1"/>
  <c r="K531" s="1"/>
  <c r="K532" s="1"/>
  <c r="K533" s="1"/>
  <c r="K534" s="1"/>
  <c r="K535" s="1"/>
  <c r="K536" s="1"/>
  <c r="K537" s="1"/>
  <c r="L537" s="1"/>
  <c r="I507"/>
  <c r="I492"/>
  <c r="F452"/>
  <c r="I456"/>
  <c r="I453"/>
  <c r="I388"/>
  <c r="I538"/>
  <c r="N519"/>
  <c r="I481"/>
  <c r="G420"/>
  <c r="I459"/>
  <c r="I454"/>
  <c r="L517"/>
  <c r="F517"/>
  <c r="I535"/>
  <c r="L536"/>
  <c r="I533"/>
  <c r="O517"/>
  <c r="AI34" i="24"/>
  <c r="I526" i="18"/>
  <c r="I457"/>
  <c r="I524"/>
  <c r="I537"/>
  <c r="AC33" i="24"/>
  <c r="H530" i="18"/>
  <c r="H517" s="1"/>
  <c r="H9" s="1"/>
  <c r="I530"/>
  <c r="I528"/>
  <c r="S33" i="24"/>
  <c r="X33" s="1"/>
  <c r="D33"/>
  <c r="T34"/>
  <c r="Y34" s="1"/>
  <c r="O34"/>
  <c r="J34"/>
  <c r="G517" i="18"/>
  <c r="L520"/>
  <c r="I512"/>
  <c r="I513"/>
  <c r="I515"/>
  <c r="O499"/>
  <c r="G511"/>
  <c r="I511" s="1"/>
  <c r="AD34" i="24"/>
  <c r="I502" i="18"/>
  <c r="H502"/>
  <c r="G194"/>
  <c r="G190"/>
  <c r="G182"/>
  <c r="G192"/>
  <c r="G188"/>
  <c r="G184"/>
  <c r="G180"/>
  <c r="G452"/>
  <c r="K452"/>
  <c r="L452"/>
  <c r="G195"/>
  <c r="G193"/>
  <c r="G191"/>
  <c r="G189"/>
  <c r="G187"/>
  <c r="G185"/>
  <c r="G183"/>
  <c r="N162"/>
  <c r="O162" s="1"/>
  <c r="F420"/>
  <c r="N213"/>
  <c r="O213" s="1"/>
  <c r="N146"/>
  <c r="O146" s="1"/>
  <c r="N154"/>
  <c r="O154" s="1"/>
  <c r="N138"/>
  <c r="O138" s="1"/>
  <c r="F485"/>
  <c r="S6" i="19"/>
  <c r="F26" i="26"/>
  <c r="O8" i="18"/>
  <c r="I506"/>
  <c r="N158"/>
  <c r="O158" s="1"/>
  <c r="N150"/>
  <c r="O150" s="1"/>
  <c r="N142"/>
  <c r="O142" s="1"/>
  <c r="N134"/>
  <c r="O134" s="1"/>
  <c r="H412"/>
  <c r="N160"/>
  <c r="O160" s="1"/>
  <c r="N156"/>
  <c r="O156" s="1"/>
  <c r="N152"/>
  <c r="O152" s="1"/>
  <c r="N148"/>
  <c r="O148" s="1"/>
  <c r="N144"/>
  <c r="O144" s="1"/>
  <c r="N140"/>
  <c r="O140" s="1"/>
  <c r="N136"/>
  <c r="O136" s="1"/>
  <c r="N132"/>
  <c r="O132" s="1"/>
  <c r="K390"/>
  <c r="L390" s="1"/>
  <c r="L388"/>
  <c r="H22" i="26"/>
  <c r="O488" i="18"/>
  <c r="O487"/>
  <c r="O489"/>
  <c r="O491"/>
  <c r="O493"/>
  <c r="O17"/>
  <c r="O16"/>
  <c r="O15"/>
  <c r="O14"/>
  <c r="O13"/>
  <c r="O12"/>
  <c r="H4" i="26"/>
  <c r="H9"/>
  <c r="G357" i="18"/>
  <c r="F357"/>
  <c r="I4" s="1"/>
  <c r="G387"/>
  <c r="F387"/>
  <c r="I5" s="1"/>
  <c r="K485"/>
  <c r="I461"/>
  <c r="I470"/>
  <c r="I480"/>
  <c r="I478"/>
  <c r="I473"/>
  <c r="I468"/>
  <c r="I463"/>
  <c r="I477"/>
  <c r="I474"/>
  <c r="I469"/>
  <c r="I465"/>
  <c r="I462"/>
  <c r="I475"/>
  <c r="I471"/>
  <c r="I466"/>
  <c r="I479"/>
  <c r="I476"/>
  <c r="I472"/>
  <c r="I467"/>
  <c r="I464"/>
  <c r="I483"/>
  <c r="AA770" i="17"/>
  <c r="P770"/>
  <c r="AA768"/>
  <c r="P768"/>
  <c r="I558" i="19"/>
  <c r="K558" s="1"/>
  <c r="D557"/>
  <c r="L555"/>
  <c r="G555"/>
  <c r="I547"/>
  <c r="K547" s="1"/>
  <c r="I539"/>
  <c r="K539" s="1"/>
  <c r="I531"/>
  <c r="K531" s="1"/>
  <c r="I523"/>
  <c r="K523" s="1"/>
  <c r="I517"/>
  <c r="K517" s="1"/>
  <c r="I509"/>
  <c r="K509" s="1"/>
  <c r="I500"/>
  <c r="K500" s="1"/>
  <c r="I492"/>
  <c r="K492" s="1"/>
  <c r="L491"/>
  <c r="I483"/>
  <c r="K483" s="1"/>
  <c r="I452"/>
  <c r="K452" s="1"/>
  <c r="D445"/>
  <c r="F445" s="1"/>
  <c r="I443"/>
  <c r="K443" s="1"/>
  <c r="I442"/>
  <c r="K442" s="1"/>
  <c r="D441"/>
  <c r="I439"/>
  <c r="K439" s="1"/>
  <c r="F437"/>
  <c r="I336"/>
  <c r="K336" s="1"/>
  <c r="I335"/>
  <c r="K335" s="1"/>
  <c r="L317"/>
  <c r="I316"/>
  <c r="K316" s="1"/>
  <c r="I310"/>
  <c r="K310" s="1"/>
  <c r="I309"/>
  <c r="K309" s="1"/>
  <c r="L305"/>
  <c r="I304"/>
  <c r="K304" s="1"/>
  <c r="I290"/>
  <c r="K290" s="1"/>
  <c r="I289"/>
  <c r="K289" s="1"/>
  <c r="L285"/>
  <c r="I284"/>
  <c r="K284" s="1"/>
  <c r="I275"/>
  <c r="K275" s="1"/>
  <c r="I270"/>
  <c r="K270" s="1"/>
  <c r="I258"/>
  <c r="K258" s="1"/>
  <c r="I255"/>
  <c r="K255" s="1"/>
  <c r="I246"/>
  <c r="K246" s="1"/>
  <c r="I245"/>
  <c r="K245" s="1"/>
  <c r="I242"/>
  <c r="K242" s="1"/>
  <c r="E227"/>
  <c r="L224"/>
  <c r="I223"/>
  <c r="K223" s="1"/>
  <c r="L221"/>
  <c r="I220"/>
  <c r="K220" s="1"/>
  <c r="E217"/>
  <c r="L214"/>
  <c r="E197"/>
  <c r="L194"/>
  <c r="I193"/>
  <c r="K193" s="1"/>
  <c r="L191"/>
  <c r="I190"/>
  <c r="K190" s="1"/>
  <c r="L188"/>
  <c r="I187"/>
  <c r="K187" s="1"/>
  <c r="L185"/>
  <c r="I184"/>
  <c r="K184" s="1"/>
  <c r="L167"/>
  <c r="I166"/>
  <c r="K166" s="1"/>
  <c r="L131"/>
  <c r="I130"/>
  <c r="K130" s="1"/>
  <c r="E120"/>
  <c r="L117"/>
  <c r="I116"/>
  <c r="K116" s="1"/>
  <c r="L110"/>
  <c r="I109"/>
  <c r="K109" s="1"/>
  <c r="I98"/>
  <c r="K98" s="1"/>
  <c r="I97"/>
  <c r="K97" s="1"/>
  <c r="I92"/>
  <c r="K92" s="1"/>
  <c r="I82"/>
  <c r="K82" s="1"/>
  <c r="L80"/>
  <c r="I72"/>
  <c r="K72" s="1"/>
  <c r="I71"/>
  <c r="K71" s="1"/>
  <c r="I66"/>
  <c r="K66" s="1"/>
  <c r="I56"/>
  <c r="K56" s="1"/>
  <c r="I55"/>
  <c r="K55" s="1"/>
  <c r="I54"/>
  <c r="K54" s="1"/>
  <c r="I45"/>
  <c r="K45" s="1"/>
  <c r="I41"/>
  <c r="K41" s="1"/>
  <c r="I38"/>
  <c r="K38" s="1"/>
  <c r="I37"/>
  <c r="K37" s="1"/>
  <c r="I32"/>
  <c r="K32" s="1"/>
  <c r="I24"/>
  <c r="K24" s="1"/>
  <c r="I23"/>
  <c r="K23" s="1"/>
  <c r="R13"/>
  <c r="R14" s="1"/>
  <c r="R15" s="1"/>
  <c r="R17" s="1"/>
  <c r="I10"/>
  <c r="K10" s="1"/>
  <c r="I156"/>
  <c r="K156" s="1"/>
  <c r="T6"/>
  <c r="R6"/>
  <c r="E626"/>
  <c r="E628" s="1"/>
  <c r="H416" i="18"/>
  <c r="Q6" i="19"/>
  <c r="H417" i="18"/>
  <c r="H415"/>
  <c r="H416" i="19"/>
  <c r="I416"/>
  <c r="K416" s="1"/>
  <c r="B760" i="17"/>
  <c r="I418" i="19"/>
  <c r="K418" s="1"/>
  <c r="H423"/>
  <c r="I423"/>
  <c r="K423" s="1"/>
  <c r="H419"/>
  <c r="I419"/>
  <c r="K419" s="1"/>
  <c r="F417"/>
  <c r="G417"/>
  <c r="L417"/>
  <c r="D556"/>
  <c r="I549"/>
  <c r="K549" s="1"/>
  <c r="I548"/>
  <c r="K548" s="1"/>
  <c r="I541"/>
  <c r="K541" s="1"/>
  <c r="I540"/>
  <c r="K540" s="1"/>
  <c r="I533"/>
  <c r="K533" s="1"/>
  <c r="I532"/>
  <c r="K532" s="1"/>
  <c r="I525"/>
  <c r="K525" s="1"/>
  <c r="I524"/>
  <c r="K524" s="1"/>
  <c r="I519"/>
  <c r="K519" s="1"/>
  <c r="I515"/>
  <c r="K515" s="1"/>
  <c r="I511"/>
  <c r="K511" s="1"/>
  <c r="I507"/>
  <c r="K507" s="1"/>
  <c r="I502"/>
  <c r="K502" s="1"/>
  <c r="I501"/>
  <c r="K501" s="1"/>
  <c r="I494"/>
  <c r="K494" s="1"/>
  <c r="I493"/>
  <c r="K493" s="1"/>
  <c r="D492"/>
  <c r="I485"/>
  <c r="K485" s="1"/>
  <c r="I484"/>
  <c r="K484" s="1"/>
  <c r="I477"/>
  <c r="K477" s="1"/>
  <c r="I473"/>
  <c r="K473" s="1"/>
  <c r="I469"/>
  <c r="K469" s="1"/>
  <c r="I465"/>
  <c r="K465" s="1"/>
  <c r="I461"/>
  <c r="K461" s="1"/>
  <c r="I457"/>
  <c r="K457" s="1"/>
  <c r="I453"/>
  <c r="K453" s="1"/>
  <c r="F453"/>
  <c r="I450"/>
  <c r="K450" s="1"/>
  <c r="I446"/>
  <c r="K446" s="1"/>
  <c r="D438"/>
  <c r="I436"/>
  <c r="K436" s="1"/>
  <c r="I429"/>
  <c r="K429" s="1"/>
  <c r="L5" i="22"/>
  <c r="L4"/>
  <c r="I409" i="19"/>
  <c r="K409" s="1"/>
  <c r="I405"/>
  <c r="K405" s="1"/>
  <c r="I401"/>
  <c r="K401" s="1"/>
  <c r="I397"/>
  <c r="K397" s="1"/>
  <c r="I393"/>
  <c r="K393" s="1"/>
  <c r="I389"/>
  <c r="K389" s="1"/>
  <c r="I385"/>
  <c r="K385" s="1"/>
  <c r="I381"/>
  <c r="K381" s="1"/>
  <c r="I377"/>
  <c r="K377" s="1"/>
  <c r="I373"/>
  <c r="K373" s="1"/>
  <c r="I369"/>
  <c r="K369" s="1"/>
  <c r="I365"/>
  <c r="K365" s="1"/>
  <c r="I361"/>
  <c r="K361" s="1"/>
  <c r="I357"/>
  <c r="K357" s="1"/>
  <c r="I353"/>
  <c r="K353" s="1"/>
  <c r="I349"/>
  <c r="K349" s="1"/>
  <c r="I345"/>
  <c r="K345" s="1"/>
  <c r="I341"/>
  <c r="K341" s="1"/>
  <c r="I331"/>
  <c r="K331" s="1"/>
  <c r="I313"/>
  <c r="K313" s="1"/>
  <c r="I293"/>
  <c r="K293" s="1"/>
  <c r="I277"/>
  <c r="K277" s="1"/>
  <c r="I271"/>
  <c r="K271" s="1"/>
  <c r="I263"/>
  <c r="K263" s="1"/>
  <c r="I260"/>
  <c r="K260" s="1"/>
  <c r="I256"/>
  <c r="K256" s="1"/>
  <c r="I252"/>
  <c r="K252" s="1"/>
  <c r="E250"/>
  <c r="I243"/>
  <c r="K243" s="1"/>
  <c r="E222"/>
  <c r="E210"/>
  <c r="E198"/>
  <c r="E192"/>
  <c r="E189"/>
  <c r="E186"/>
  <c r="I177"/>
  <c r="K177" s="1"/>
  <c r="E168"/>
  <c r="L168" s="1"/>
  <c r="E165"/>
  <c r="E162"/>
  <c r="I157"/>
  <c r="K157" s="1"/>
  <c r="I153"/>
  <c r="K153" s="1"/>
  <c r="I148"/>
  <c r="K148" s="1"/>
  <c r="K421" i="18"/>
  <c r="L421" s="1"/>
  <c r="H421"/>
  <c r="E111" i="19"/>
  <c r="I93"/>
  <c r="K93" s="1"/>
  <c r="I85"/>
  <c r="K85" s="1"/>
  <c r="E81"/>
  <c r="I75"/>
  <c r="K75" s="1"/>
  <c r="I67"/>
  <c r="K67" s="1"/>
  <c r="I59"/>
  <c r="K59" s="1"/>
  <c r="I51"/>
  <c r="K51" s="1"/>
  <c r="I39"/>
  <c r="K39" s="1"/>
  <c r="I33"/>
  <c r="K33" s="1"/>
  <c r="I27"/>
  <c r="K27" s="1"/>
  <c r="I18"/>
  <c r="K18" s="1"/>
  <c r="I11"/>
  <c r="K11" s="1"/>
  <c r="I9"/>
  <c r="K9" s="1"/>
  <c r="H452" i="18"/>
  <c r="O454"/>
  <c r="O453" s="1"/>
  <c r="L453"/>
  <c r="H422"/>
  <c r="H431"/>
  <c r="H410"/>
  <c r="G42" i="20"/>
  <c r="H42"/>
  <c r="D39"/>
  <c r="D38" s="1"/>
  <c r="E38" s="1"/>
  <c r="E40"/>
  <c r="H41"/>
  <c r="G41"/>
  <c r="N388" i="18"/>
  <c r="AA760" i="17"/>
  <c r="O401" i="18"/>
  <c r="F330" i="19"/>
  <c r="G330"/>
  <c r="L330"/>
  <c r="H315"/>
  <c r="I315"/>
  <c r="K315" s="1"/>
  <c r="H297"/>
  <c r="I297"/>
  <c r="K297" s="1"/>
  <c r="F294"/>
  <c r="G294"/>
  <c r="L294"/>
  <c r="F276"/>
  <c r="G276"/>
  <c r="L276"/>
  <c r="G262"/>
  <c r="L262"/>
  <c r="F261"/>
  <c r="G261"/>
  <c r="L261"/>
  <c r="F259"/>
  <c r="G259"/>
  <c r="L259"/>
  <c r="F257"/>
  <c r="G257"/>
  <c r="L257"/>
  <c r="H254"/>
  <c r="I254"/>
  <c r="K254" s="1"/>
  <c r="F244"/>
  <c r="G244"/>
  <c r="L244"/>
  <c r="G238"/>
  <c r="L238"/>
  <c r="F237"/>
  <c r="G237"/>
  <c r="L237"/>
  <c r="H234"/>
  <c r="I234"/>
  <c r="K234" s="1"/>
  <c r="G231"/>
  <c r="L231"/>
  <c r="F230"/>
  <c r="G230"/>
  <c r="L230"/>
  <c r="H224"/>
  <c r="I224"/>
  <c r="K224" s="1"/>
  <c r="H221"/>
  <c r="I221"/>
  <c r="K221" s="1"/>
  <c r="H214"/>
  <c r="I214"/>
  <c r="K214" s="1"/>
  <c r="H209"/>
  <c r="I209"/>
  <c r="K209" s="1"/>
  <c r="H183"/>
  <c r="I183"/>
  <c r="K183" s="1"/>
  <c r="G171"/>
  <c r="H171" s="1"/>
  <c r="E172"/>
  <c r="L171"/>
  <c r="I568"/>
  <c r="K568" s="1"/>
  <c r="I561"/>
  <c r="K561" s="1"/>
  <c r="F561"/>
  <c r="I559"/>
  <c r="K559" s="1"/>
  <c r="I556"/>
  <c r="K556" s="1"/>
  <c r="F556"/>
  <c r="I554"/>
  <c r="K554" s="1"/>
  <c r="I550"/>
  <c r="K550" s="1"/>
  <c r="I546"/>
  <c r="K546" s="1"/>
  <c r="I542"/>
  <c r="K542" s="1"/>
  <c r="I538"/>
  <c r="K538" s="1"/>
  <c r="I534"/>
  <c r="K534" s="1"/>
  <c r="I530"/>
  <c r="K530" s="1"/>
  <c r="I526"/>
  <c r="K526" s="1"/>
  <c r="I522"/>
  <c r="K522" s="1"/>
  <c r="I520"/>
  <c r="K520" s="1"/>
  <c r="I518"/>
  <c r="K518" s="1"/>
  <c r="I516"/>
  <c r="K516" s="1"/>
  <c r="I514"/>
  <c r="K514" s="1"/>
  <c r="I512"/>
  <c r="K512" s="1"/>
  <c r="I510"/>
  <c r="K510" s="1"/>
  <c r="I508"/>
  <c r="K508" s="1"/>
  <c r="I506"/>
  <c r="K506" s="1"/>
  <c r="I503"/>
  <c r="K503" s="1"/>
  <c r="I499"/>
  <c r="K499" s="1"/>
  <c r="I495"/>
  <c r="K495" s="1"/>
  <c r="I491"/>
  <c r="K491" s="1"/>
  <c r="I490"/>
  <c r="K490" s="1"/>
  <c r="I486"/>
  <c r="K486" s="1"/>
  <c r="I482"/>
  <c r="K482" s="1"/>
  <c r="L481"/>
  <c r="L480"/>
  <c r="D454"/>
  <c r="F454" s="1"/>
  <c r="I451"/>
  <c r="K451" s="1"/>
  <c r="I449"/>
  <c r="K449" s="1"/>
  <c r="I447"/>
  <c r="K447" s="1"/>
  <c r="I445"/>
  <c r="K445" s="1"/>
  <c r="I444"/>
  <c r="K444" s="1"/>
  <c r="F444"/>
  <c r="I440"/>
  <c r="K440" s="1"/>
  <c r="F440"/>
  <c r="G437"/>
  <c r="I434"/>
  <c r="K434" s="1"/>
  <c r="F434"/>
  <c r="I432"/>
  <c r="K432" s="1"/>
  <c r="I431"/>
  <c r="K431" s="1"/>
  <c r="F431"/>
  <c r="D418"/>
  <c r="F418" s="1"/>
  <c r="I415"/>
  <c r="K415" s="1"/>
  <c r="I412"/>
  <c r="K412" s="1"/>
  <c r="I411"/>
  <c r="K411" s="1"/>
  <c r="F411"/>
  <c r="I339"/>
  <c r="K339" s="1"/>
  <c r="I337"/>
  <c r="K337" s="1"/>
  <c r="I333"/>
  <c r="K333" s="1"/>
  <c r="I327"/>
  <c r="K327" s="1"/>
  <c r="I324"/>
  <c r="K324" s="1"/>
  <c r="I321"/>
  <c r="K321" s="1"/>
  <c r="I319"/>
  <c r="K319" s="1"/>
  <c r="I311"/>
  <c r="K311" s="1"/>
  <c r="I307"/>
  <c r="K307" s="1"/>
  <c r="I303"/>
  <c r="K303" s="1"/>
  <c r="I301"/>
  <c r="K301" s="1"/>
  <c r="I291"/>
  <c r="K291" s="1"/>
  <c r="I287"/>
  <c r="K287" s="1"/>
  <c r="I283"/>
  <c r="K283" s="1"/>
  <c r="I279"/>
  <c r="K279" s="1"/>
  <c r="I273"/>
  <c r="K273" s="1"/>
  <c r="I269"/>
  <c r="K269" s="1"/>
  <c r="I265"/>
  <c r="K265" s="1"/>
  <c r="I247"/>
  <c r="K247" s="1"/>
  <c r="I241"/>
  <c r="K241" s="1"/>
  <c r="I205"/>
  <c r="K205" s="1"/>
  <c r="F338"/>
  <c r="G338"/>
  <c r="L338"/>
  <c r="G326"/>
  <c r="L326"/>
  <c r="F325"/>
  <c r="G325"/>
  <c r="L325"/>
  <c r="G323"/>
  <c r="L323"/>
  <c r="F322"/>
  <c r="G322"/>
  <c r="L322"/>
  <c r="F320"/>
  <c r="G320"/>
  <c r="L320"/>
  <c r="H317"/>
  <c r="I317"/>
  <c r="K317" s="1"/>
  <c r="H305"/>
  <c r="I305"/>
  <c r="K305" s="1"/>
  <c r="F302"/>
  <c r="G302"/>
  <c r="L302"/>
  <c r="H285"/>
  <c r="I285"/>
  <c r="K285" s="1"/>
  <c r="H249"/>
  <c r="I249"/>
  <c r="K249" s="1"/>
  <c r="H226"/>
  <c r="I226"/>
  <c r="K226" s="1"/>
  <c r="H219"/>
  <c r="I219"/>
  <c r="K219" s="1"/>
  <c r="H216"/>
  <c r="I216"/>
  <c r="K216" s="1"/>
  <c r="H202"/>
  <c r="I202"/>
  <c r="K202" s="1"/>
  <c r="H200"/>
  <c r="I200"/>
  <c r="K200" s="1"/>
  <c r="H194"/>
  <c r="I194"/>
  <c r="K194" s="1"/>
  <c r="H191"/>
  <c r="I191"/>
  <c r="K191" s="1"/>
  <c r="H188"/>
  <c r="I188"/>
  <c r="K188" s="1"/>
  <c r="H185"/>
  <c r="I185"/>
  <c r="K185" s="1"/>
  <c r="H179"/>
  <c r="I179"/>
  <c r="K179" s="1"/>
  <c r="H170"/>
  <c r="I170"/>
  <c r="K170" s="1"/>
  <c r="G165"/>
  <c r="H165" s="1"/>
  <c r="L165"/>
  <c r="H161"/>
  <c r="I161"/>
  <c r="K161" s="1"/>
  <c r="H144"/>
  <c r="I144"/>
  <c r="K144" s="1"/>
  <c r="R28"/>
  <c r="H196"/>
  <c r="I196"/>
  <c r="K196" s="1"/>
  <c r="H175"/>
  <c r="I175"/>
  <c r="K175" s="1"/>
  <c r="G168"/>
  <c r="H168" s="1"/>
  <c r="E169"/>
  <c r="H159"/>
  <c r="I159"/>
  <c r="K159" s="1"/>
  <c r="H155"/>
  <c r="I155"/>
  <c r="K155" s="1"/>
  <c r="G152"/>
  <c r="L152"/>
  <c r="G151"/>
  <c r="L151"/>
  <c r="G150"/>
  <c r="L150"/>
  <c r="F149"/>
  <c r="G149"/>
  <c r="L149"/>
  <c r="H146"/>
  <c r="I146"/>
  <c r="K146" s="1"/>
  <c r="H131"/>
  <c r="I131"/>
  <c r="K131" s="1"/>
  <c r="H119"/>
  <c r="I119"/>
  <c r="K119" s="1"/>
  <c r="H80"/>
  <c r="I80"/>
  <c r="K80" s="1"/>
  <c r="H28"/>
  <c r="I28"/>
  <c r="K28" s="1"/>
  <c r="H25"/>
  <c r="I25"/>
  <c r="K25" s="1"/>
  <c r="H21"/>
  <c r="I21"/>
  <c r="K21" s="1"/>
  <c r="H14"/>
  <c r="I14"/>
  <c r="K14" s="1"/>
  <c r="F317"/>
  <c r="F315"/>
  <c r="F305"/>
  <c r="F297"/>
  <c r="F285"/>
  <c r="F254"/>
  <c r="F249"/>
  <c r="F234"/>
  <c r="F226"/>
  <c r="F224"/>
  <c r="F221"/>
  <c r="F219"/>
  <c r="F216"/>
  <c r="F213"/>
  <c r="F209"/>
  <c r="I142"/>
  <c r="K142" s="1"/>
  <c r="I136"/>
  <c r="K136" s="1"/>
  <c r="I134"/>
  <c r="K134" s="1"/>
  <c r="I127"/>
  <c r="K127" s="1"/>
  <c r="I124"/>
  <c r="K124" s="1"/>
  <c r="I122"/>
  <c r="K122" s="1"/>
  <c r="I108"/>
  <c r="K108" s="1"/>
  <c r="I104"/>
  <c r="K104" s="1"/>
  <c r="I102"/>
  <c r="K102" s="1"/>
  <c r="I99"/>
  <c r="K99" s="1"/>
  <c r="I95"/>
  <c r="K95" s="1"/>
  <c r="I91"/>
  <c r="K91" s="1"/>
  <c r="I87"/>
  <c r="K87" s="1"/>
  <c r="I83"/>
  <c r="K83" s="1"/>
  <c r="I77"/>
  <c r="K77" s="1"/>
  <c r="I73"/>
  <c r="K73" s="1"/>
  <c r="I69"/>
  <c r="K69" s="1"/>
  <c r="I65"/>
  <c r="K65" s="1"/>
  <c r="I61"/>
  <c r="K61" s="1"/>
  <c r="I57"/>
  <c r="K57" s="1"/>
  <c r="I53"/>
  <c r="K53" s="1"/>
  <c r="I35"/>
  <c r="K35" s="1"/>
  <c r="I31"/>
  <c r="K31" s="1"/>
  <c r="I17"/>
  <c r="K17" s="1"/>
  <c r="I12"/>
  <c r="K12" s="1"/>
  <c r="G141"/>
  <c r="L141"/>
  <c r="G140"/>
  <c r="L140"/>
  <c r="G139"/>
  <c r="L139"/>
  <c r="G138"/>
  <c r="L138"/>
  <c r="F137"/>
  <c r="G137"/>
  <c r="L137"/>
  <c r="F135"/>
  <c r="G135"/>
  <c r="L135"/>
  <c r="H132"/>
  <c r="I132"/>
  <c r="K132" s="1"/>
  <c r="H129"/>
  <c r="I129"/>
  <c r="K129" s="1"/>
  <c r="G126"/>
  <c r="L126"/>
  <c r="F125"/>
  <c r="G125"/>
  <c r="L125"/>
  <c r="F123"/>
  <c r="G123"/>
  <c r="L123"/>
  <c r="H117"/>
  <c r="I117"/>
  <c r="K117" s="1"/>
  <c r="H110"/>
  <c r="I110"/>
  <c r="K110" s="1"/>
  <c r="F103"/>
  <c r="G103"/>
  <c r="L103"/>
  <c r="G101"/>
  <c r="L101"/>
  <c r="F100"/>
  <c r="G100"/>
  <c r="L100"/>
  <c r="H79"/>
  <c r="I79"/>
  <c r="K79" s="1"/>
  <c r="H44"/>
  <c r="I44"/>
  <c r="K44" s="1"/>
  <c r="H42"/>
  <c r="I42"/>
  <c r="K42" s="1"/>
  <c r="H40"/>
  <c r="I40"/>
  <c r="K40" s="1"/>
  <c r="H19"/>
  <c r="I19"/>
  <c r="K19" s="1"/>
  <c r="H15"/>
  <c r="I15"/>
  <c r="K15" s="1"/>
  <c r="H13"/>
  <c r="I13"/>
  <c r="K13" s="1"/>
  <c r="F200"/>
  <c r="F196"/>
  <c r="F194"/>
  <c r="F191"/>
  <c r="F188"/>
  <c r="F185"/>
  <c r="F175"/>
  <c r="F161"/>
  <c r="F159"/>
  <c r="F155"/>
  <c r="F146"/>
  <c r="F144"/>
  <c r="F131"/>
  <c r="F129"/>
  <c r="F119"/>
  <c r="F117"/>
  <c r="F110"/>
  <c r="F79"/>
  <c r="N212" i="18"/>
  <c r="O212" s="1"/>
  <c r="N211"/>
  <c r="O211" s="1"/>
  <c r="N210"/>
  <c r="O210" s="1"/>
  <c r="N209"/>
  <c r="O209" s="1"/>
  <c r="N208"/>
  <c r="O208" s="1"/>
  <c r="N207"/>
  <c r="O207" s="1"/>
  <c r="N206"/>
  <c r="O206" s="1"/>
  <c r="N205"/>
  <c r="O205" s="1"/>
  <c r="N204"/>
  <c r="O204" s="1"/>
  <c r="N203"/>
  <c r="O203" s="1"/>
  <c r="N202"/>
  <c r="O202" s="1"/>
  <c r="N201"/>
  <c r="O201" s="1"/>
  <c r="N200"/>
  <c r="O200" s="1"/>
  <c r="N199"/>
  <c r="O199" s="1"/>
  <c r="N198"/>
  <c r="O198" s="1"/>
  <c r="N197"/>
  <c r="O197" s="1"/>
  <c r="N163"/>
  <c r="O163" s="1"/>
  <c r="N161"/>
  <c r="O161" s="1"/>
  <c r="N159"/>
  <c r="O159" s="1"/>
  <c r="N157"/>
  <c r="O157" s="1"/>
  <c r="N155"/>
  <c r="O155" s="1"/>
  <c r="N153"/>
  <c r="O153" s="1"/>
  <c r="N151"/>
  <c r="O151" s="1"/>
  <c r="N149"/>
  <c r="O149" s="1"/>
  <c r="N147"/>
  <c r="O147" s="1"/>
  <c r="N145"/>
  <c r="O145" s="1"/>
  <c r="N143"/>
  <c r="O143" s="1"/>
  <c r="N141"/>
  <c r="O141" s="1"/>
  <c r="N139"/>
  <c r="O139" s="1"/>
  <c r="N137"/>
  <c r="O137" s="1"/>
  <c r="N135"/>
  <c r="O135" s="1"/>
  <c r="N133"/>
  <c r="O133" s="1"/>
  <c r="N131"/>
  <c r="O131" s="1"/>
  <c r="K273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AG203" i="17"/>
  <c r="I510"/>
  <c r="AA490"/>
  <c r="AA439"/>
  <c r="AA440" s="1"/>
  <c r="AA389"/>
  <c r="AA390" s="1"/>
  <c r="AA339"/>
  <c r="AA340" s="1"/>
  <c r="AA289"/>
  <c r="AA290" s="1"/>
  <c r="AA239"/>
  <c r="AA240" s="1"/>
  <c r="AA189"/>
  <c r="AA190" s="1"/>
  <c r="AA139"/>
  <c r="AA140" s="1"/>
  <c r="P760"/>
  <c r="AG753"/>
  <c r="Z753"/>
  <c r="V728"/>
  <c r="N728"/>
  <c r="V703"/>
  <c r="N703"/>
  <c r="V678"/>
  <c r="N678"/>
  <c r="V653"/>
  <c r="N653"/>
  <c r="P639"/>
  <c r="P640" s="1"/>
  <c r="Z628"/>
  <c r="N628"/>
  <c r="AA614"/>
  <c r="AA615" s="1"/>
  <c r="AG603"/>
  <c r="AK603"/>
  <c r="AE603"/>
  <c r="V603"/>
  <c r="N603"/>
  <c r="AA589"/>
  <c r="AA590" s="1"/>
  <c r="AK578"/>
  <c r="AE578"/>
  <c r="V578"/>
  <c r="N578"/>
  <c r="AA564"/>
  <c r="AA565" s="1"/>
  <c r="P564"/>
  <c r="P565" s="1"/>
  <c r="Z553"/>
  <c r="T553"/>
  <c r="AK553"/>
  <c r="AE553"/>
  <c r="V553"/>
  <c r="N553"/>
  <c r="AA539"/>
  <c r="AA540" s="1"/>
  <c r="AK528"/>
  <c r="AE528"/>
  <c r="V528"/>
  <c r="N528"/>
  <c r="AA514"/>
  <c r="AA515" s="1"/>
  <c r="P514"/>
  <c r="P515" s="1"/>
  <c r="P489"/>
  <c r="P490" s="1"/>
  <c r="AG478"/>
  <c r="Z478"/>
  <c r="T478"/>
  <c r="AG453"/>
  <c r="P439"/>
  <c r="P440" s="1"/>
  <c r="AG428"/>
  <c r="Z428"/>
  <c r="T428"/>
  <c r="AG403"/>
  <c r="P389"/>
  <c r="P390" s="1"/>
  <c r="AG378"/>
  <c r="Z378"/>
  <c r="T378"/>
  <c r="AG353"/>
  <c r="P339"/>
  <c r="P340" s="1"/>
  <c r="AG328"/>
  <c r="Z328"/>
  <c r="T328"/>
  <c r="AG303"/>
  <c r="P289"/>
  <c r="P290" s="1"/>
  <c r="AG278"/>
  <c r="Z278"/>
  <c r="T278"/>
  <c r="AG253"/>
  <c r="P239"/>
  <c r="P240" s="1"/>
  <c r="AG228"/>
  <c r="Z228"/>
  <c r="T228"/>
  <c r="AK178"/>
  <c r="AE178"/>
  <c r="V178"/>
  <c r="N178"/>
  <c r="P164"/>
  <c r="P165" s="1"/>
  <c r="T153"/>
  <c r="AA164"/>
  <c r="AA165" s="1"/>
  <c r="AE153"/>
  <c r="V153"/>
  <c r="N153"/>
  <c r="AK128"/>
  <c r="AE128"/>
  <c r="V128"/>
  <c r="N128"/>
  <c r="AA114"/>
  <c r="AA115" s="1"/>
  <c r="P114"/>
  <c r="P115" s="1"/>
  <c r="AK103"/>
  <c r="AE103"/>
  <c r="V103"/>
  <c r="N103"/>
  <c r="AA89"/>
  <c r="AA90" s="1"/>
  <c r="AK78"/>
  <c r="AE78"/>
  <c r="V78"/>
  <c r="N78"/>
  <c r="AA64"/>
  <c r="AA65" s="1"/>
  <c r="AK53"/>
  <c r="AE53"/>
  <c r="V53"/>
  <c r="N53"/>
  <c r="AA39"/>
  <c r="AA40" s="1"/>
  <c r="AK28"/>
  <c r="AE28"/>
  <c r="V28"/>
  <c r="N28"/>
  <c r="AA14"/>
  <c r="AA15" s="1"/>
  <c r="AK3"/>
  <c r="AE3"/>
  <c r="V3"/>
  <c r="N3"/>
  <c r="P764"/>
  <c r="P765" s="1"/>
  <c r="V753"/>
  <c r="P739"/>
  <c r="P740" s="1"/>
  <c r="Z728"/>
  <c r="P714"/>
  <c r="P715" s="1"/>
  <c r="Z703"/>
  <c r="P689"/>
  <c r="P690" s="1"/>
  <c r="Z678"/>
  <c r="T678"/>
  <c r="P664"/>
  <c r="P665" s="1"/>
  <c r="Z653"/>
  <c r="T653"/>
  <c r="V628"/>
  <c r="P614"/>
  <c r="P615" s="1"/>
  <c r="Z603"/>
  <c r="T603"/>
  <c r="P589"/>
  <c r="P590" s="1"/>
  <c r="AG578"/>
  <c r="Z578"/>
  <c r="T578"/>
  <c r="AG553"/>
  <c r="P539"/>
  <c r="P540" s="1"/>
  <c r="AG528"/>
  <c r="Z528"/>
  <c r="T528"/>
  <c r="P510"/>
  <c r="AG503"/>
  <c r="Z503"/>
  <c r="T503"/>
  <c r="AK503"/>
  <c r="AE503"/>
  <c r="V503"/>
  <c r="N503"/>
  <c r="AK478"/>
  <c r="AE478"/>
  <c r="V478"/>
  <c r="N478"/>
  <c r="AA464"/>
  <c r="AA465" s="1"/>
  <c r="P464"/>
  <c r="P465" s="1"/>
  <c r="Z453"/>
  <c r="T453"/>
  <c r="AK453"/>
  <c r="AE453"/>
  <c r="V453"/>
  <c r="N453"/>
  <c r="AK428"/>
  <c r="AE428"/>
  <c r="V428"/>
  <c r="N428"/>
  <c r="AA414"/>
  <c r="AA415" s="1"/>
  <c r="P414"/>
  <c r="P415" s="1"/>
  <c r="Z403"/>
  <c r="T403"/>
  <c r="AK403"/>
  <c r="AE403"/>
  <c r="V403"/>
  <c r="N403"/>
  <c r="AK378"/>
  <c r="AE378"/>
  <c r="V378"/>
  <c r="N378"/>
  <c r="AA364"/>
  <c r="AA365" s="1"/>
  <c r="P364"/>
  <c r="P365" s="1"/>
  <c r="T353"/>
  <c r="AK353"/>
  <c r="AE353"/>
  <c r="V353"/>
  <c r="N353"/>
  <c r="AK328"/>
  <c r="AE328"/>
  <c r="V328"/>
  <c r="N328"/>
  <c r="P314"/>
  <c r="P315" s="1"/>
  <c r="T303"/>
  <c r="AA314"/>
  <c r="AA315" s="1"/>
  <c r="AK303"/>
  <c r="AE303"/>
  <c r="V303"/>
  <c r="N303"/>
  <c r="AK278"/>
  <c r="AE278"/>
  <c r="V278"/>
  <c r="N278"/>
  <c r="P264"/>
  <c r="P265" s="1"/>
  <c r="T253"/>
  <c r="AA264"/>
  <c r="AA265" s="1"/>
  <c r="AE253"/>
  <c r="V253"/>
  <c r="N253"/>
  <c r="AK228"/>
  <c r="AE228"/>
  <c r="V228"/>
  <c r="N228"/>
  <c r="P214"/>
  <c r="P215" s="1"/>
  <c r="T203"/>
  <c r="AA214"/>
  <c r="AA215" s="1"/>
  <c r="AE203"/>
  <c r="V203"/>
  <c r="N203"/>
  <c r="P189"/>
  <c r="P190" s="1"/>
  <c r="AG178"/>
  <c r="Z178"/>
  <c r="T178"/>
  <c r="AG153"/>
  <c r="P139"/>
  <c r="P140" s="1"/>
  <c r="AG128"/>
  <c r="Z128"/>
  <c r="T128"/>
  <c r="AG103"/>
  <c r="Z103"/>
  <c r="T103"/>
  <c r="P89"/>
  <c r="P90" s="1"/>
  <c r="AG78"/>
  <c r="Z78"/>
  <c r="T78"/>
  <c r="P64"/>
  <c r="P65" s="1"/>
  <c r="AG53"/>
  <c r="Z53"/>
  <c r="T53"/>
  <c r="P39"/>
  <c r="P40" s="1"/>
  <c r="AG28"/>
  <c r="Z28"/>
  <c r="T28"/>
  <c r="P14"/>
  <c r="P15" s="1"/>
  <c r="AG3"/>
  <c r="Z3"/>
  <c r="T3"/>
  <c r="AG728"/>
  <c r="AG703"/>
  <c r="AK753"/>
  <c r="AA764"/>
  <c r="AA765" s="1"/>
  <c r="AG678"/>
  <c r="AA739"/>
  <c r="AA740" s="1"/>
  <c r="AK728"/>
  <c r="AA714"/>
  <c r="AA715" s="1"/>
  <c r="AK703"/>
  <c r="AG653"/>
  <c r="AE653"/>
  <c r="AA664"/>
  <c r="AA665" s="1"/>
  <c r="AK653"/>
  <c r="H51" i="20"/>
  <c r="G51"/>
  <c r="E5"/>
  <c r="I3"/>
  <c r="D49"/>
  <c r="G50"/>
  <c r="H50"/>
  <c r="AA689" i="17"/>
  <c r="AA690" s="1"/>
  <c r="AK678"/>
  <c r="AE678"/>
  <c r="AA639"/>
  <c r="AA640" s="1"/>
  <c r="AK628"/>
  <c r="AG628"/>
  <c r="F569" i="19"/>
  <c r="L569"/>
  <c r="E570"/>
  <c r="G569"/>
  <c r="D570"/>
  <c r="H481"/>
  <c r="I481"/>
  <c r="K481" s="1"/>
  <c r="H480"/>
  <c r="I480"/>
  <c r="K480" s="1"/>
  <c r="E562"/>
  <c r="L561"/>
  <c r="E557"/>
  <c r="L556"/>
  <c r="D482"/>
  <c r="D481"/>
  <c r="L444"/>
  <c r="E441"/>
  <c r="L440"/>
  <c r="E438"/>
  <c r="L437"/>
  <c r="E435"/>
  <c r="L434"/>
  <c r="L431"/>
  <c r="F171"/>
  <c r="D172"/>
  <c r="D170"/>
  <c r="F170" s="1"/>
  <c r="D169"/>
  <c r="F169" s="1"/>
  <c r="F167"/>
  <c r="D168"/>
  <c r="F168" s="1"/>
  <c r="D166"/>
  <c r="F166" s="1"/>
  <c r="F164"/>
  <c r="D165"/>
  <c r="F165" s="1"/>
  <c r="L411"/>
  <c r="D339"/>
  <c r="F339" s="1"/>
  <c r="D331"/>
  <c r="F331" s="1"/>
  <c r="D327"/>
  <c r="F327" s="1"/>
  <c r="D326"/>
  <c r="F326" s="1"/>
  <c r="D324"/>
  <c r="F324" s="1"/>
  <c r="D323"/>
  <c r="F323" s="1"/>
  <c r="D321"/>
  <c r="F321" s="1"/>
  <c r="D318"/>
  <c r="F318" s="1"/>
  <c r="D316"/>
  <c r="F316" s="1"/>
  <c r="D306"/>
  <c r="F306" s="1"/>
  <c r="D303"/>
  <c r="F303" s="1"/>
  <c r="D298"/>
  <c r="F298" s="1"/>
  <c r="D295"/>
  <c r="F295" s="1"/>
  <c r="D286"/>
  <c r="F286" s="1"/>
  <c r="D277"/>
  <c r="F277" s="1"/>
  <c r="D263"/>
  <c r="F263" s="1"/>
  <c r="D262"/>
  <c r="F262" s="1"/>
  <c r="D260"/>
  <c r="F260" s="1"/>
  <c r="D258"/>
  <c r="F258" s="1"/>
  <c r="D255"/>
  <c r="F255" s="1"/>
  <c r="D251"/>
  <c r="F251" s="1"/>
  <c r="D250"/>
  <c r="F250" s="1"/>
  <c r="D245"/>
  <c r="F245" s="1"/>
  <c r="D239"/>
  <c r="F239" s="1"/>
  <c r="D238"/>
  <c r="F238" s="1"/>
  <c r="D235"/>
  <c r="F235" s="1"/>
  <c r="D232"/>
  <c r="F232" s="1"/>
  <c r="D231"/>
  <c r="F231" s="1"/>
  <c r="D228"/>
  <c r="F228" s="1"/>
  <c r="D227"/>
  <c r="F227" s="1"/>
  <c r="D225"/>
  <c r="F225" s="1"/>
  <c r="D223"/>
  <c r="F223" s="1"/>
  <c r="D222"/>
  <c r="F222" s="1"/>
  <c r="D220"/>
  <c r="F220" s="1"/>
  <c r="D218"/>
  <c r="F218" s="1"/>
  <c r="D217"/>
  <c r="F217" s="1"/>
  <c r="D215"/>
  <c r="F215" s="1"/>
  <c r="D214"/>
  <c r="F214" s="1"/>
  <c r="H213"/>
  <c r="D211"/>
  <c r="D210"/>
  <c r="F210" s="1"/>
  <c r="D201"/>
  <c r="F201" s="1"/>
  <c r="D199"/>
  <c r="F199" s="1"/>
  <c r="D198"/>
  <c r="F198" s="1"/>
  <c r="D197"/>
  <c r="F197" s="1"/>
  <c r="D195"/>
  <c r="F195" s="1"/>
  <c r="D193"/>
  <c r="F193" s="1"/>
  <c r="D192"/>
  <c r="F192" s="1"/>
  <c r="D190"/>
  <c r="F190" s="1"/>
  <c r="D189"/>
  <c r="F189" s="1"/>
  <c r="D187"/>
  <c r="F187" s="1"/>
  <c r="D186"/>
  <c r="F186" s="1"/>
  <c r="D176"/>
  <c r="F176" s="1"/>
  <c r="F172"/>
  <c r="I171"/>
  <c r="K171" s="1"/>
  <c r="I168"/>
  <c r="K168" s="1"/>
  <c r="I167"/>
  <c r="K167" s="1"/>
  <c r="I165"/>
  <c r="K165" s="1"/>
  <c r="I164"/>
  <c r="K164" s="1"/>
  <c r="D163"/>
  <c r="F163" s="1"/>
  <c r="D162"/>
  <c r="F162" s="1"/>
  <c r="D160"/>
  <c r="F160" s="1"/>
  <c r="D156"/>
  <c r="F156" s="1"/>
  <c r="D153"/>
  <c r="F153" s="1"/>
  <c r="D152"/>
  <c r="F152" s="1"/>
  <c r="D151"/>
  <c r="F151" s="1"/>
  <c r="D150"/>
  <c r="F150" s="1"/>
  <c r="D147"/>
  <c r="F147" s="1"/>
  <c r="D145"/>
  <c r="F145" s="1"/>
  <c r="D142"/>
  <c r="F142" s="1"/>
  <c r="D141"/>
  <c r="F141" s="1"/>
  <c r="D140"/>
  <c r="F140" s="1"/>
  <c r="D139"/>
  <c r="F139" s="1"/>
  <c r="D138"/>
  <c r="F138" s="1"/>
  <c r="D136"/>
  <c r="F136" s="1"/>
  <c r="D133"/>
  <c r="F133" s="1"/>
  <c r="D132"/>
  <c r="F132" s="1"/>
  <c r="D130"/>
  <c r="F130" s="1"/>
  <c r="D127"/>
  <c r="F127" s="1"/>
  <c r="D126"/>
  <c r="F126" s="1"/>
  <c r="D124"/>
  <c r="F124" s="1"/>
  <c r="D121"/>
  <c r="F121" s="1"/>
  <c r="D120"/>
  <c r="F120" s="1"/>
  <c r="D118"/>
  <c r="F118" s="1"/>
  <c r="D112"/>
  <c r="D111"/>
  <c r="F111" s="1"/>
  <c r="D104"/>
  <c r="F104" s="1"/>
  <c r="D102"/>
  <c r="F102" s="1"/>
  <c r="D101"/>
  <c r="F101" s="1"/>
  <c r="D82"/>
  <c r="F82" s="1"/>
  <c r="D81"/>
  <c r="F81" s="1"/>
  <c r="D80"/>
  <c r="F80" s="1"/>
  <c r="H347" i="18"/>
  <c r="H346"/>
  <c r="H326"/>
  <c r="K326"/>
  <c r="I322"/>
  <c r="H321"/>
  <c r="N320"/>
  <c r="O320" s="1"/>
  <c r="O322" s="1"/>
  <c r="H320"/>
  <c r="H349"/>
  <c r="H348"/>
  <c r="H344"/>
  <c r="H343"/>
  <c r="H342"/>
  <c r="H341"/>
  <c r="H340"/>
  <c r="H339"/>
  <c r="H338"/>
  <c r="H337"/>
  <c r="H336"/>
  <c r="H335"/>
  <c r="H334"/>
  <c r="I346"/>
  <c r="H318"/>
  <c r="H316"/>
  <c r="H283"/>
  <c r="H312"/>
  <c r="H281"/>
  <c r="H310"/>
  <c r="H279"/>
  <c r="H308"/>
  <c r="H306"/>
  <c r="F304"/>
  <c r="F305"/>
  <c r="H302"/>
  <c r="H300"/>
  <c r="H298"/>
  <c r="H296"/>
  <c r="H294"/>
  <c r="H292"/>
  <c r="Z353" i="17"/>
  <c r="Z303"/>
  <c r="AK253"/>
  <c r="Z253"/>
  <c r="AK203"/>
  <c r="Z203"/>
  <c r="AK153"/>
  <c r="Z153"/>
  <c r="F324" i="18"/>
  <c r="I3" s="1"/>
  <c r="G324"/>
  <c r="H317"/>
  <c r="K317"/>
  <c r="N284"/>
  <c r="G289"/>
  <c r="H315"/>
  <c r="H313"/>
  <c r="H311"/>
  <c r="H309"/>
  <c r="H307"/>
  <c r="H303"/>
  <c r="H301"/>
  <c r="H299"/>
  <c r="H297"/>
  <c r="H295"/>
  <c r="H293"/>
  <c r="H291"/>
  <c r="K291"/>
  <c r="G32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N164" s="1"/>
  <c r="O164" s="1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N165" s="1"/>
  <c r="O165" s="1"/>
  <c r="G166"/>
  <c r="G167"/>
  <c r="G168"/>
  <c r="G169"/>
  <c r="G170"/>
  <c r="G171"/>
  <c r="G172"/>
  <c r="G173"/>
  <c r="G174"/>
  <c r="G175"/>
  <c r="G176"/>
  <c r="G177"/>
  <c r="G178"/>
  <c r="G179"/>
  <c r="BO22" i="28" l="1"/>
  <c r="BN24"/>
  <c r="AA11" i="27" s="1"/>
  <c r="BL24" i="28"/>
  <c r="BM24"/>
  <c r="BV9"/>
  <c r="BO23"/>
  <c r="BN8"/>
  <c r="BJ29"/>
  <c r="BK29" s="1"/>
  <c r="V58" i="27"/>
  <c r="L3"/>
  <c r="D4"/>
  <c r="X3" i="15"/>
  <c r="L488" i="18"/>
  <c r="K538"/>
  <c r="K539" s="1"/>
  <c r="L586"/>
  <c r="O586"/>
  <c r="N554"/>
  <c r="O553"/>
  <c r="K554"/>
  <c r="L553"/>
  <c r="G38" i="20"/>
  <c r="H38"/>
  <c r="G485" i="18"/>
  <c r="I452"/>
  <c r="N520"/>
  <c r="O519"/>
  <c r="L521"/>
  <c r="N485"/>
  <c r="K391"/>
  <c r="L391" s="1"/>
  <c r="H485"/>
  <c r="H8" s="1"/>
  <c r="G26" i="26"/>
  <c r="G20" s="1"/>
  <c r="I24"/>
  <c r="I20" s="1"/>
  <c r="I6" i="18"/>
  <c r="I517"/>
  <c r="I9" s="1"/>
  <c r="H387"/>
  <c r="K490"/>
  <c r="L489"/>
  <c r="F20" i="26"/>
  <c r="I324" i="18"/>
  <c r="I357"/>
  <c r="I387"/>
  <c r="I420"/>
  <c r="L485"/>
  <c r="G120" i="19"/>
  <c r="L120"/>
  <c r="G227"/>
  <c r="L227"/>
  <c r="G197"/>
  <c r="L197"/>
  <c r="G217"/>
  <c r="L217"/>
  <c r="H555"/>
  <c r="I555"/>
  <c r="K555" s="1"/>
  <c r="K422" i="18"/>
  <c r="K423" s="1"/>
  <c r="L81" i="19"/>
  <c r="G81"/>
  <c r="G189"/>
  <c r="L189"/>
  <c r="G198"/>
  <c r="L198"/>
  <c r="G222"/>
  <c r="L222"/>
  <c r="G250"/>
  <c r="L250"/>
  <c r="L111"/>
  <c r="G111"/>
  <c r="E112"/>
  <c r="G162"/>
  <c r="L162"/>
  <c r="G186"/>
  <c r="L186"/>
  <c r="G192"/>
  <c r="L192"/>
  <c r="G210"/>
  <c r="E211"/>
  <c r="F211" s="1"/>
  <c r="L210"/>
  <c r="H417"/>
  <c r="I417"/>
  <c r="K417" s="1"/>
  <c r="F112"/>
  <c r="L454" i="18"/>
  <c r="H418"/>
  <c r="E39" i="20"/>
  <c r="G40"/>
  <c r="H40"/>
  <c r="O388" i="18"/>
  <c r="O418"/>
  <c r="O402"/>
  <c r="H101" i="19"/>
  <c r="I101"/>
  <c r="K101" s="1"/>
  <c r="H103"/>
  <c r="I103"/>
  <c r="K103" s="1"/>
  <c r="H125"/>
  <c r="I125"/>
  <c r="K125" s="1"/>
  <c r="H137"/>
  <c r="I137"/>
  <c r="K137" s="1"/>
  <c r="H150"/>
  <c r="I150"/>
  <c r="K150" s="1"/>
  <c r="H151"/>
  <c r="I151"/>
  <c r="K151" s="1"/>
  <c r="H152"/>
  <c r="I152"/>
  <c r="K152" s="1"/>
  <c r="H320"/>
  <c r="I320"/>
  <c r="K320" s="1"/>
  <c r="H323"/>
  <c r="I323"/>
  <c r="K323" s="1"/>
  <c r="H325"/>
  <c r="I325"/>
  <c r="K325" s="1"/>
  <c r="H437"/>
  <c r="I437"/>
  <c r="K437" s="1"/>
  <c r="H230"/>
  <c r="I230"/>
  <c r="K230" s="1"/>
  <c r="H238"/>
  <c r="I238"/>
  <c r="K238" s="1"/>
  <c r="H244"/>
  <c r="I244"/>
  <c r="K244" s="1"/>
  <c r="H259"/>
  <c r="I259"/>
  <c r="K259" s="1"/>
  <c r="H262"/>
  <c r="I262"/>
  <c r="K262" s="1"/>
  <c r="H276"/>
  <c r="I276"/>
  <c r="K276" s="1"/>
  <c r="H330"/>
  <c r="I330"/>
  <c r="K330" s="1"/>
  <c r="H100"/>
  <c r="I100"/>
  <c r="K100" s="1"/>
  <c r="H123"/>
  <c r="I123"/>
  <c r="K123" s="1"/>
  <c r="H126"/>
  <c r="I126"/>
  <c r="K126" s="1"/>
  <c r="H135"/>
  <c r="I135"/>
  <c r="K135" s="1"/>
  <c r="H138"/>
  <c r="I138"/>
  <c r="K138" s="1"/>
  <c r="H139"/>
  <c r="I139"/>
  <c r="K139" s="1"/>
  <c r="H140"/>
  <c r="I140"/>
  <c r="K140" s="1"/>
  <c r="H141"/>
  <c r="I141"/>
  <c r="K141" s="1"/>
  <c r="H149"/>
  <c r="I149"/>
  <c r="K149" s="1"/>
  <c r="L169"/>
  <c r="G169"/>
  <c r="H302"/>
  <c r="I302"/>
  <c r="K302" s="1"/>
  <c r="H322"/>
  <c r="I322"/>
  <c r="K322" s="1"/>
  <c r="H326"/>
  <c r="I326"/>
  <c r="K326" s="1"/>
  <c r="H338"/>
  <c r="I338"/>
  <c r="K338" s="1"/>
  <c r="L172"/>
  <c r="E173"/>
  <c r="D173"/>
  <c r="G172"/>
  <c r="H231"/>
  <c r="I231"/>
  <c r="K231" s="1"/>
  <c r="H237"/>
  <c r="I237"/>
  <c r="K237" s="1"/>
  <c r="H257"/>
  <c r="I257"/>
  <c r="K257" s="1"/>
  <c r="H261"/>
  <c r="I261"/>
  <c r="K261" s="1"/>
  <c r="H294"/>
  <c r="I294"/>
  <c r="K294" s="1"/>
  <c r="G6"/>
  <c r="H6" s="1"/>
  <c r="I6" s="1"/>
  <c r="P40" s="1"/>
  <c r="R40" s="1"/>
  <c r="N166" i="18"/>
  <c r="O166" s="1"/>
  <c r="F314"/>
  <c r="I347"/>
  <c r="E48" i="20"/>
  <c r="E49"/>
  <c r="G5"/>
  <c r="H5"/>
  <c r="F557" i="19"/>
  <c r="L557"/>
  <c r="G557"/>
  <c r="D558"/>
  <c r="F558" s="1"/>
  <c r="F562"/>
  <c r="L562"/>
  <c r="E563"/>
  <c r="G562"/>
  <c r="D563"/>
  <c r="G570"/>
  <c r="D571"/>
  <c r="F570"/>
  <c r="L570"/>
  <c r="E571"/>
  <c r="F435"/>
  <c r="L435"/>
  <c r="G435"/>
  <c r="D436"/>
  <c r="F436" s="1"/>
  <c r="F438"/>
  <c r="L438"/>
  <c r="G438"/>
  <c r="D439"/>
  <c r="F439" s="1"/>
  <c r="F441"/>
  <c r="L441"/>
  <c r="G441"/>
  <c r="D442"/>
  <c r="F442" s="1"/>
  <c r="H569"/>
  <c r="I569"/>
  <c r="K569" s="1"/>
  <c r="L291" i="18"/>
  <c r="K292"/>
  <c r="O284"/>
  <c r="L317"/>
  <c r="K318"/>
  <c r="H305"/>
  <c r="O349"/>
  <c r="L326"/>
  <c r="K327"/>
  <c r="H345"/>
  <c r="H304"/>
  <c r="O337"/>
  <c r="O326"/>
  <c r="BV10" i="28" l="1"/>
  <c r="BI7"/>
  <c r="BN7" s="1"/>
  <c r="V500" i="27"/>
  <c r="V262"/>
  <c r="V256" s="1"/>
  <c r="V451"/>
  <c r="V204"/>
  <c r="V196" s="1"/>
  <c r="V189" s="1"/>
  <c r="V408"/>
  <c r="V358"/>
  <c r="V546"/>
  <c r="V540" s="1"/>
  <c r="V522" s="1"/>
  <c r="V310"/>
  <c r="E311" s="1"/>
  <c r="V109"/>
  <c r="X2" i="15"/>
  <c r="L538" i="18"/>
  <c r="O587"/>
  <c r="L587"/>
  <c r="K555"/>
  <c r="L554"/>
  <c r="N555"/>
  <c r="O554"/>
  <c r="K392"/>
  <c r="K393" s="1"/>
  <c r="I485"/>
  <c r="I8" s="1"/>
  <c r="N521"/>
  <c r="O520"/>
  <c r="L539"/>
  <c r="K540"/>
  <c r="L522"/>
  <c r="N167"/>
  <c r="O167" s="1"/>
  <c r="L422"/>
  <c r="K491"/>
  <c r="L490"/>
  <c r="H217" i="19"/>
  <c r="I217"/>
  <c r="K217" s="1"/>
  <c r="I197"/>
  <c r="K197" s="1"/>
  <c r="H197"/>
  <c r="H227"/>
  <c r="I227"/>
  <c r="K227" s="1"/>
  <c r="I120"/>
  <c r="K120" s="1"/>
  <c r="H120"/>
  <c r="I210"/>
  <c r="K210" s="1"/>
  <c r="H210"/>
  <c r="H192"/>
  <c r="I192"/>
  <c r="K192" s="1"/>
  <c r="H186"/>
  <c r="I186"/>
  <c r="K186" s="1"/>
  <c r="H162"/>
  <c r="I162"/>
  <c r="K162" s="1"/>
  <c r="I111"/>
  <c r="K111" s="1"/>
  <c r="H111"/>
  <c r="I250"/>
  <c r="K250" s="1"/>
  <c r="H250"/>
  <c r="I222"/>
  <c r="K222" s="1"/>
  <c r="H222"/>
  <c r="H198"/>
  <c r="I198"/>
  <c r="K198" s="1"/>
  <c r="H189"/>
  <c r="I189"/>
  <c r="K189" s="1"/>
  <c r="L211"/>
  <c r="G211"/>
  <c r="D212"/>
  <c r="F212" s="1"/>
  <c r="G112"/>
  <c r="E113"/>
  <c r="L112"/>
  <c r="D113"/>
  <c r="F113" s="1"/>
  <c r="I81"/>
  <c r="K81" s="1"/>
  <c r="H81"/>
  <c r="L455" i="18"/>
  <c r="K424"/>
  <c r="L423"/>
  <c r="H432"/>
  <c r="H434"/>
  <c r="N168"/>
  <c r="O168" s="1"/>
  <c r="E37" i="20"/>
  <c r="G39"/>
  <c r="H39"/>
  <c r="O389" i="18"/>
  <c r="O416"/>
  <c r="O403"/>
  <c r="M3" i="19"/>
  <c r="J82" s="1"/>
  <c r="P32"/>
  <c r="R32" s="1"/>
  <c r="P41"/>
  <c r="R41" s="1"/>
  <c r="H172"/>
  <c r="I172"/>
  <c r="K172" s="1"/>
  <c r="F173"/>
  <c r="L173"/>
  <c r="G173"/>
  <c r="D174"/>
  <c r="F174" s="1"/>
  <c r="H169"/>
  <c r="I169"/>
  <c r="K169" s="1"/>
  <c r="P33"/>
  <c r="R33" s="1"/>
  <c r="P31"/>
  <c r="R31" s="1"/>
  <c r="P42"/>
  <c r="R42" s="1"/>
  <c r="I348" i="18"/>
  <c r="H314"/>
  <c r="H322" s="1"/>
  <c r="F322"/>
  <c r="H48" i="20"/>
  <c r="G48"/>
  <c r="E4"/>
  <c r="G49"/>
  <c r="H49"/>
  <c r="F571" i="19"/>
  <c r="L571"/>
  <c r="E572"/>
  <c r="G571"/>
  <c r="D572"/>
  <c r="I570"/>
  <c r="K570" s="1"/>
  <c r="H570"/>
  <c r="H562"/>
  <c r="I562"/>
  <c r="K562" s="1"/>
  <c r="H441"/>
  <c r="I441"/>
  <c r="K441" s="1"/>
  <c r="H438"/>
  <c r="I438"/>
  <c r="K438" s="1"/>
  <c r="H435"/>
  <c r="I435"/>
  <c r="K435" s="1"/>
  <c r="G563"/>
  <c r="D564"/>
  <c r="F563"/>
  <c r="L563"/>
  <c r="E564"/>
  <c r="H557"/>
  <c r="I557"/>
  <c r="K557" s="1"/>
  <c r="H350" i="18"/>
  <c r="O327"/>
  <c r="O338"/>
  <c r="L327"/>
  <c r="K328"/>
  <c r="L318"/>
  <c r="K319"/>
  <c r="L292"/>
  <c r="K293"/>
  <c r="V304" i="27" l="1"/>
  <c r="E358"/>
  <c r="E359"/>
  <c r="E408"/>
  <c r="E409"/>
  <c r="V445"/>
  <c r="E452"/>
  <c r="E500"/>
  <c r="E501"/>
  <c r="E546"/>
  <c r="E547"/>
  <c r="E170"/>
  <c r="E262"/>
  <c r="E263"/>
  <c r="E451"/>
  <c r="V352"/>
  <c r="V230"/>
  <c r="V186" s="1"/>
  <c r="V148" s="1"/>
  <c r="E310"/>
  <c r="V402"/>
  <c r="V494"/>
  <c r="H37" i="20"/>
  <c r="G37"/>
  <c r="L392" i="18"/>
  <c r="L588"/>
  <c r="O588"/>
  <c r="N556"/>
  <c r="O555"/>
  <c r="K556"/>
  <c r="L555"/>
  <c r="N522"/>
  <c r="O521"/>
  <c r="K541"/>
  <c r="L540"/>
  <c r="L523"/>
  <c r="N169"/>
  <c r="N170" s="1"/>
  <c r="K492"/>
  <c r="L491"/>
  <c r="L113" i="19"/>
  <c r="G113"/>
  <c r="E114"/>
  <c r="D114"/>
  <c r="F114" s="1"/>
  <c r="I112"/>
  <c r="K112" s="1"/>
  <c r="H112"/>
  <c r="H211"/>
  <c r="I211"/>
  <c r="K211" s="1"/>
  <c r="L456" i="18"/>
  <c r="K425"/>
  <c r="L424"/>
  <c r="H433"/>
  <c r="I349"/>
  <c r="E36" i="20"/>
  <c r="O390" i="18"/>
  <c r="K394"/>
  <c r="L393"/>
  <c r="O404"/>
  <c r="J61" i="19"/>
  <c r="J225"/>
  <c r="J551"/>
  <c r="J353"/>
  <c r="J556"/>
  <c r="J423"/>
  <c r="J252"/>
  <c r="J552"/>
  <c r="J475"/>
  <c r="J385"/>
  <c r="J301"/>
  <c r="J8"/>
  <c r="J437"/>
  <c r="J515"/>
  <c r="J503"/>
  <c r="J502"/>
  <c r="J459"/>
  <c r="J401"/>
  <c r="J369"/>
  <c r="J335"/>
  <c r="J279"/>
  <c r="J203"/>
  <c r="J97"/>
  <c r="J324"/>
  <c r="J77"/>
  <c r="J34"/>
  <c r="J436"/>
  <c r="J166"/>
  <c r="R36"/>
  <c r="R37" s="1"/>
  <c r="J40"/>
  <c r="J434"/>
  <c r="J49"/>
  <c r="J510"/>
  <c r="J536"/>
  <c r="J488"/>
  <c r="J535"/>
  <c r="J485"/>
  <c r="J467"/>
  <c r="J433"/>
  <c r="J409"/>
  <c r="J393"/>
  <c r="J377"/>
  <c r="J361"/>
  <c r="J345"/>
  <c r="J313"/>
  <c r="J289"/>
  <c r="J269"/>
  <c r="J236"/>
  <c r="J178"/>
  <c r="J122"/>
  <c r="J89"/>
  <c r="J69"/>
  <c r="J53"/>
  <c r="J23"/>
  <c r="J199"/>
  <c r="J174"/>
  <c r="J331"/>
  <c r="J327"/>
  <c r="J43"/>
  <c r="J513"/>
  <c r="J508"/>
  <c r="J18"/>
  <c r="J446"/>
  <c r="J440"/>
  <c r="J561"/>
  <c r="J544"/>
  <c r="J528"/>
  <c r="J495"/>
  <c r="J414"/>
  <c r="J543"/>
  <c r="J527"/>
  <c r="J494"/>
  <c r="J479"/>
  <c r="J471"/>
  <c r="J463"/>
  <c r="J455"/>
  <c r="J427"/>
  <c r="J419"/>
  <c r="J405"/>
  <c r="J397"/>
  <c r="J389"/>
  <c r="J381"/>
  <c r="J373"/>
  <c r="J365"/>
  <c r="J357"/>
  <c r="J349"/>
  <c r="J341"/>
  <c r="J329"/>
  <c r="J309"/>
  <c r="J293"/>
  <c r="J283"/>
  <c r="J273"/>
  <c r="J265"/>
  <c r="J243"/>
  <c r="J207"/>
  <c r="J182"/>
  <c r="J13"/>
  <c r="J148"/>
  <c r="J106"/>
  <c r="J93"/>
  <c r="J85"/>
  <c r="J73"/>
  <c r="J65"/>
  <c r="J57"/>
  <c r="J46"/>
  <c r="J30"/>
  <c r="J16"/>
  <c r="J558"/>
  <c r="J127"/>
  <c r="J263"/>
  <c r="J121"/>
  <c r="J245"/>
  <c r="J187"/>
  <c r="J215"/>
  <c r="J306"/>
  <c r="J435"/>
  <c r="J19"/>
  <c r="J27"/>
  <c r="J51"/>
  <c r="J452"/>
  <c r="J521"/>
  <c r="J447"/>
  <c r="J516"/>
  <c r="J28"/>
  <c r="J41"/>
  <c r="J411"/>
  <c r="J507"/>
  <c r="J415"/>
  <c r="J449"/>
  <c r="J518"/>
  <c r="J559"/>
  <c r="J548"/>
  <c r="J540"/>
  <c r="J532"/>
  <c r="J524"/>
  <c r="J499"/>
  <c r="J491"/>
  <c r="J484"/>
  <c r="J555"/>
  <c r="J547"/>
  <c r="J539"/>
  <c r="J531"/>
  <c r="J523"/>
  <c r="J498"/>
  <c r="J489"/>
  <c r="J481"/>
  <c r="J477"/>
  <c r="J473"/>
  <c r="J469"/>
  <c r="J465"/>
  <c r="J461"/>
  <c r="J457"/>
  <c r="J453"/>
  <c r="J429"/>
  <c r="J425"/>
  <c r="J421"/>
  <c r="J417"/>
  <c r="J407"/>
  <c r="J403"/>
  <c r="J399"/>
  <c r="J395"/>
  <c r="J391"/>
  <c r="J387"/>
  <c r="J383"/>
  <c r="J379"/>
  <c r="J375"/>
  <c r="J371"/>
  <c r="J367"/>
  <c r="J363"/>
  <c r="J359"/>
  <c r="J355"/>
  <c r="J351"/>
  <c r="J347"/>
  <c r="J343"/>
  <c r="J337"/>
  <c r="J333"/>
  <c r="J319"/>
  <c r="J311"/>
  <c r="J307"/>
  <c r="J299"/>
  <c r="J291"/>
  <c r="J287"/>
  <c r="J281"/>
  <c r="J275"/>
  <c r="J271"/>
  <c r="J267"/>
  <c r="J256"/>
  <c r="J247"/>
  <c r="J241"/>
  <c r="J229"/>
  <c r="J205"/>
  <c r="J184"/>
  <c r="J180"/>
  <c r="J15"/>
  <c r="J10"/>
  <c r="J157"/>
  <c r="J134"/>
  <c r="J108"/>
  <c r="J99"/>
  <c r="J95"/>
  <c r="J91"/>
  <c r="J87"/>
  <c r="J83"/>
  <c r="J75"/>
  <c r="J71"/>
  <c r="J67"/>
  <c r="J63"/>
  <c r="J59"/>
  <c r="J55"/>
  <c r="J50"/>
  <c r="J36"/>
  <c r="J32"/>
  <c r="J26"/>
  <c r="J20"/>
  <c r="J563"/>
  <c r="J176"/>
  <c r="J235"/>
  <c r="J318"/>
  <c r="J442"/>
  <c r="J147"/>
  <c r="J218"/>
  <c r="J295"/>
  <c r="J170"/>
  <c r="J239"/>
  <c r="J142"/>
  <c r="J277"/>
  <c r="J193"/>
  <c r="J195"/>
  <c r="J153"/>
  <c r="J441"/>
  <c r="R45"/>
  <c r="R46" s="1"/>
  <c r="R47" s="1"/>
  <c r="J25"/>
  <c r="J44"/>
  <c r="J39"/>
  <c r="J47"/>
  <c r="J412"/>
  <c r="J448"/>
  <c r="J509"/>
  <c r="J517"/>
  <c r="J431"/>
  <c r="J444"/>
  <c r="J451"/>
  <c r="J512"/>
  <c r="J520"/>
  <c r="J21"/>
  <c r="J42"/>
  <c r="J37"/>
  <c r="J45"/>
  <c r="J413"/>
  <c r="J416"/>
  <c r="J450"/>
  <c r="J511"/>
  <c r="J519"/>
  <c r="J432"/>
  <c r="J445"/>
  <c r="J506"/>
  <c r="J514"/>
  <c r="J522"/>
  <c r="J568"/>
  <c r="J554"/>
  <c r="J550"/>
  <c r="J546"/>
  <c r="J542"/>
  <c r="J538"/>
  <c r="J534"/>
  <c r="J530"/>
  <c r="J526"/>
  <c r="J505"/>
  <c r="J501"/>
  <c r="J497"/>
  <c r="J493"/>
  <c r="J490"/>
  <c r="J486"/>
  <c r="J482"/>
  <c r="J560"/>
  <c r="J553"/>
  <c r="J549"/>
  <c r="J545"/>
  <c r="J541"/>
  <c r="J537"/>
  <c r="J533"/>
  <c r="J529"/>
  <c r="J525"/>
  <c r="J504"/>
  <c r="J500"/>
  <c r="J496"/>
  <c r="J492"/>
  <c r="J487"/>
  <c r="J483"/>
  <c r="J480"/>
  <c r="J478"/>
  <c r="J476"/>
  <c r="J474"/>
  <c r="J472"/>
  <c r="J470"/>
  <c r="J468"/>
  <c r="J466"/>
  <c r="J464"/>
  <c r="J462"/>
  <c r="J460"/>
  <c r="J458"/>
  <c r="J456"/>
  <c r="J454"/>
  <c r="J443"/>
  <c r="J430"/>
  <c r="J428"/>
  <c r="J426"/>
  <c r="J424"/>
  <c r="J422"/>
  <c r="J420"/>
  <c r="J418"/>
  <c r="J410"/>
  <c r="J408"/>
  <c r="J406"/>
  <c r="J404"/>
  <c r="J402"/>
  <c r="J400"/>
  <c r="J398"/>
  <c r="J396"/>
  <c r="J394"/>
  <c r="J392"/>
  <c r="J390"/>
  <c r="J388"/>
  <c r="J386"/>
  <c r="J384"/>
  <c r="J382"/>
  <c r="J380"/>
  <c r="J378"/>
  <c r="J376"/>
  <c r="J374"/>
  <c r="J372"/>
  <c r="J370"/>
  <c r="J368"/>
  <c r="J366"/>
  <c r="J364"/>
  <c r="J362"/>
  <c r="J360"/>
  <c r="J358"/>
  <c r="J356"/>
  <c r="J354"/>
  <c r="J352"/>
  <c r="J350"/>
  <c r="J348"/>
  <c r="J346"/>
  <c r="J344"/>
  <c r="J342"/>
  <c r="J340"/>
  <c r="J336"/>
  <c r="J334"/>
  <c r="J332"/>
  <c r="J328"/>
  <c r="J314"/>
  <c r="J312"/>
  <c r="J310"/>
  <c r="J308"/>
  <c r="J304"/>
  <c r="J300"/>
  <c r="J296"/>
  <c r="J292"/>
  <c r="J290"/>
  <c r="J288"/>
  <c r="J284"/>
  <c r="J282"/>
  <c r="J280"/>
  <c r="J278"/>
  <c r="J274"/>
  <c r="J272"/>
  <c r="J270"/>
  <c r="J268"/>
  <c r="J266"/>
  <c r="J264"/>
  <c r="J253"/>
  <c r="J248"/>
  <c r="J246"/>
  <c r="J242"/>
  <c r="J240"/>
  <c r="J233"/>
  <c r="J208"/>
  <c r="J206"/>
  <c r="J204"/>
  <c r="J202"/>
  <c r="J183"/>
  <c r="J181"/>
  <c r="J179"/>
  <c r="J177"/>
  <c r="J14"/>
  <c r="J11"/>
  <c r="J9"/>
  <c r="J158"/>
  <c r="J154"/>
  <c r="J143"/>
  <c r="J128"/>
  <c r="J109"/>
  <c r="J107"/>
  <c r="J105"/>
  <c r="J98"/>
  <c r="J96"/>
  <c r="J94"/>
  <c r="J92"/>
  <c r="J90"/>
  <c r="J88"/>
  <c r="J86"/>
  <c r="J84"/>
  <c r="J78"/>
  <c r="J76"/>
  <c r="J74"/>
  <c r="J72"/>
  <c r="J70"/>
  <c r="J68"/>
  <c r="J66"/>
  <c r="J64"/>
  <c r="J62"/>
  <c r="J60"/>
  <c r="J58"/>
  <c r="J56"/>
  <c r="J54"/>
  <c r="J52"/>
  <c r="J48"/>
  <c r="J38"/>
  <c r="J35"/>
  <c r="J33"/>
  <c r="J31"/>
  <c r="J29"/>
  <c r="J24"/>
  <c r="J22"/>
  <c r="J17"/>
  <c r="J12"/>
  <c r="J571"/>
  <c r="J570"/>
  <c r="J124"/>
  <c r="J145"/>
  <c r="J190"/>
  <c r="J220"/>
  <c r="J255"/>
  <c r="J298"/>
  <c r="J569"/>
  <c r="J439"/>
  <c r="J102"/>
  <c r="J133"/>
  <c r="J160"/>
  <c r="J201"/>
  <c r="J228"/>
  <c r="J258"/>
  <c r="J316"/>
  <c r="J339"/>
  <c r="J136"/>
  <c r="J212"/>
  <c r="J286"/>
  <c r="J118"/>
  <c r="J163"/>
  <c r="J232"/>
  <c r="J321"/>
  <c r="J156"/>
  <c r="J223"/>
  <c r="J130"/>
  <c r="J251"/>
  <c r="J260"/>
  <c r="J303"/>
  <c r="J438"/>
  <c r="J104"/>
  <c r="J557"/>
  <c r="J562"/>
  <c r="H173"/>
  <c r="I173"/>
  <c r="K173" s="1"/>
  <c r="O169" i="18"/>
  <c r="G4" i="20"/>
  <c r="H4"/>
  <c r="F564" i="19"/>
  <c r="J564" s="1"/>
  <c r="L564"/>
  <c r="E565"/>
  <c r="G564"/>
  <c r="D565"/>
  <c r="I563"/>
  <c r="K563" s="1"/>
  <c r="H563"/>
  <c r="G572"/>
  <c r="D573"/>
  <c r="F572"/>
  <c r="J572" s="1"/>
  <c r="L572"/>
  <c r="E573"/>
  <c r="H571"/>
  <c r="I571"/>
  <c r="K571" s="1"/>
  <c r="H351" i="18"/>
  <c r="O350"/>
  <c r="L293"/>
  <c r="K294"/>
  <c r="L319"/>
  <c r="K320"/>
  <c r="L320" s="1"/>
  <c r="L328"/>
  <c r="K329"/>
  <c r="O339"/>
  <c r="O328"/>
  <c r="O589" l="1"/>
  <c r="L589"/>
  <c r="K557"/>
  <c r="L556"/>
  <c r="N557"/>
  <c r="O556"/>
  <c r="N523"/>
  <c r="O522"/>
  <c r="L541"/>
  <c r="K542"/>
  <c r="L524"/>
  <c r="K493"/>
  <c r="L492"/>
  <c r="I350"/>
  <c r="G114" i="19"/>
  <c r="E115"/>
  <c r="L114"/>
  <c r="D115"/>
  <c r="F115" s="1"/>
  <c r="I113"/>
  <c r="K113" s="1"/>
  <c r="H113"/>
  <c r="L457" i="18"/>
  <c r="L425"/>
  <c r="K426"/>
  <c r="H436"/>
  <c r="H435"/>
  <c r="H437"/>
  <c r="D34" i="20"/>
  <c r="E35"/>
  <c r="G36"/>
  <c r="H36"/>
  <c r="O391" i="18"/>
  <c r="O405"/>
  <c r="L394"/>
  <c r="K395"/>
  <c r="R38" i="19"/>
  <c r="R48" s="1"/>
  <c r="R49" s="1"/>
  <c r="O170" i="18"/>
  <c r="N171"/>
  <c r="G565" i="19"/>
  <c r="D566"/>
  <c r="F565"/>
  <c r="J565" s="1"/>
  <c r="L565"/>
  <c r="E566"/>
  <c r="F573"/>
  <c r="J573" s="1"/>
  <c r="L573"/>
  <c r="E574"/>
  <c r="G573"/>
  <c r="D574"/>
  <c r="I572"/>
  <c r="K572" s="1"/>
  <c r="H572"/>
  <c r="H564"/>
  <c r="I564"/>
  <c r="K564" s="1"/>
  <c r="H355" i="18"/>
  <c r="O329"/>
  <c r="H353"/>
  <c r="H354"/>
  <c r="O340"/>
  <c r="L329"/>
  <c r="K330"/>
  <c r="L294"/>
  <c r="K295"/>
  <c r="O351"/>
  <c r="H352"/>
  <c r="G355"/>
  <c r="L590" l="1"/>
  <c r="O590"/>
  <c r="N558"/>
  <c r="O557"/>
  <c r="K558"/>
  <c r="L557"/>
  <c r="O523"/>
  <c r="N524"/>
  <c r="K543"/>
  <c r="L542"/>
  <c r="L525"/>
  <c r="K494"/>
  <c r="L493"/>
  <c r="H324"/>
  <c r="I351"/>
  <c r="I114" i="19"/>
  <c r="K114" s="1"/>
  <c r="H114"/>
  <c r="L115"/>
  <c r="G115"/>
  <c r="D116"/>
  <c r="F116" s="1"/>
  <c r="J116" s="1"/>
  <c r="L458" i="18"/>
  <c r="K427"/>
  <c r="L426"/>
  <c r="D33" i="20"/>
  <c r="E34"/>
  <c r="H35"/>
  <c r="O392" i="18"/>
  <c r="K396"/>
  <c r="L395"/>
  <c r="O395"/>
  <c r="O406"/>
  <c r="O6" i="19"/>
  <c r="R50"/>
  <c r="R51" s="1"/>
  <c r="N172" i="18"/>
  <c r="O171"/>
  <c r="G574" i="19"/>
  <c r="D575"/>
  <c r="F574"/>
  <c r="J574" s="1"/>
  <c r="L574"/>
  <c r="E575"/>
  <c r="H573"/>
  <c r="I573"/>
  <c r="K573" s="1"/>
  <c r="F566"/>
  <c r="J566" s="1"/>
  <c r="L566"/>
  <c r="G566"/>
  <c r="D567"/>
  <c r="F567" s="1"/>
  <c r="J567" s="1"/>
  <c r="I565"/>
  <c r="K565" s="1"/>
  <c r="H565"/>
  <c r="O352" i="18"/>
  <c r="O330"/>
  <c r="H358"/>
  <c r="K358"/>
  <c r="L358" s="1"/>
  <c r="L295"/>
  <c r="K296"/>
  <c r="L330"/>
  <c r="K331"/>
  <c r="O341"/>
  <c r="O591" l="1"/>
  <c r="L591"/>
  <c r="K559"/>
  <c r="L558"/>
  <c r="N559"/>
  <c r="O558"/>
  <c r="O524"/>
  <c r="N525"/>
  <c r="L543"/>
  <c r="K544"/>
  <c r="L526"/>
  <c r="K495"/>
  <c r="L494"/>
  <c r="I352"/>
  <c r="I115" i="19"/>
  <c r="K115" s="1"/>
  <c r="H115"/>
  <c r="L459" i="18"/>
  <c r="K428"/>
  <c r="L427"/>
  <c r="H438"/>
  <c r="E33" i="20"/>
  <c r="D32"/>
  <c r="E32" s="1"/>
  <c r="G34"/>
  <c r="H34"/>
  <c r="E3"/>
  <c r="O393" i="18"/>
  <c r="O394"/>
  <c r="O396"/>
  <c r="K397"/>
  <c r="L396"/>
  <c r="O407"/>
  <c r="O172"/>
  <c r="N173"/>
  <c r="K359"/>
  <c r="L359" s="1"/>
  <c r="F575" i="19"/>
  <c r="J575" s="1"/>
  <c r="L575"/>
  <c r="E576"/>
  <c r="G575"/>
  <c r="D576"/>
  <c r="I574"/>
  <c r="K574" s="1"/>
  <c r="H574"/>
  <c r="H566"/>
  <c r="I566"/>
  <c r="K566" s="1"/>
  <c r="O342" i="18"/>
  <c r="K332"/>
  <c r="L331"/>
  <c r="L296"/>
  <c r="K297"/>
  <c r="H359"/>
  <c r="O353"/>
  <c r="O331"/>
  <c r="L592" l="1"/>
  <c r="O592"/>
  <c r="N560"/>
  <c r="O559"/>
  <c r="K560"/>
  <c r="L559"/>
  <c r="O525"/>
  <c r="N526"/>
  <c r="K545"/>
  <c r="L544"/>
  <c r="L527"/>
  <c r="K496"/>
  <c r="L495"/>
  <c r="I353"/>
  <c r="L460"/>
  <c r="K429"/>
  <c r="L428"/>
  <c r="H439"/>
  <c r="G3" i="20"/>
  <c r="H3"/>
  <c r="G33"/>
  <c r="H33"/>
  <c r="G32"/>
  <c r="H32"/>
  <c r="O397" i="18"/>
  <c r="K398"/>
  <c r="L397"/>
  <c r="O408"/>
  <c r="N174"/>
  <c r="O173"/>
  <c r="K360"/>
  <c r="L360" s="1"/>
  <c r="G576" i="19"/>
  <c r="D577"/>
  <c r="F576"/>
  <c r="J576" s="1"/>
  <c r="L576"/>
  <c r="E577"/>
  <c r="H575"/>
  <c r="I575"/>
  <c r="K575" s="1"/>
  <c r="O332" i="18"/>
  <c r="O358"/>
  <c r="N355"/>
  <c r="O354"/>
  <c r="L332"/>
  <c r="K333"/>
  <c r="H360"/>
  <c r="L297"/>
  <c r="K298"/>
  <c r="O343"/>
  <c r="O593" l="1"/>
  <c r="L593"/>
  <c r="K561"/>
  <c r="L560"/>
  <c r="N561"/>
  <c r="O560"/>
  <c r="O526"/>
  <c r="N527"/>
  <c r="K546"/>
  <c r="L545"/>
  <c r="L528"/>
  <c r="K497"/>
  <c r="L496"/>
  <c r="I354"/>
  <c r="I355" s="1"/>
  <c r="L461"/>
  <c r="K430"/>
  <c r="L429"/>
  <c r="H440"/>
  <c r="O399"/>
  <c r="O398"/>
  <c r="K399"/>
  <c r="L398"/>
  <c r="O409"/>
  <c r="O174"/>
  <c r="N175"/>
  <c r="K361"/>
  <c r="L361" s="1"/>
  <c r="F577" i="19"/>
  <c r="J577" s="1"/>
  <c r="L577"/>
  <c r="G577"/>
  <c r="E578"/>
  <c r="E579" s="1"/>
  <c r="E580" s="1"/>
  <c r="E581" s="1"/>
  <c r="E582" s="1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I576"/>
  <c r="K576" s="1"/>
  <c r="H576"/>
  <c r="O355" i="18"/>
  <c r="O344"/>
  <c r="L298"/>
  <c r="K299"/>
  <c r="H361"/>
  <c r="L333"/>
  <c r="K334"/>
  <c r="O333"/>
  <c r="O334"/>
  <c r="L594" l="1"/>
  <c r="O594"/>
  <c r="N562"/>
  <c r="O561"/>
  <c r="K562"/>
  <c r="L561"/>
  <c r="O527"/>
  <c r="N528"/>
  <c r="K547"/>
  <c r="L546"/>
  <c r="L529"/>
  <c r="K498"/>
  <c r="L497"/>
  <c r="L462"/>
  <c r="J431"/>
  <c r="L430"/>
  <c r="H441"/>
  <c r="O410"/>
  <c r="K400"/>
  <c r="L399"/>
  <c r="N176"/>
  <c r="O175"/>
  <c r="K362"/>
  <c r="L362" s="1"/>
  <c r="O3" i="19"/>
  <c r="H577"/>
  <c r="I577"/>
  <c r="K577" s="1"/>
  <c r="L334" i="18"/>
  <c r="K335"/>
  <c r="H362"/>
  <c r="K300"/>
  <c r="L299"/>
  <c r="O345"/>
  <c r="O595" l="1"/>
  <c r="L595"/>
  <c r="K563"/>
  <c r="L562"/>
  <c r="N563"/>
  <c r="O562"/>
  <c r="O528"/>
  <c r="N529"/>
  <c r="K548"/>
  <c r="L548" s="1"/>
  <c r="L547"/>
  <c r="L530"/>
  <c r="K499"/>
  <c r="L498"/>
  <c r="L463"/>
  <c r="K432"/>
  <c r="K431"/>
  <c r="H442"/>
  <c r="O411"/>
  <c r="K401"/>
  <c r="L400"/>
  <c r="O176"/>
  <c r="N177"/>
  <c r="K363"/>
  <c r="L363" s="1"/>
  <c r="O346"/>
  <c r="O347"/>
  <c r="H363"/>
  <c r="L335"/>
  <c r="K336"/>
  <c r="K301"/>
  <c r="L300"/>
  <c r="L596" l="1"/>
  <c r="O596"/>
  <c r="N564"/>
  <c r="O563"/>
  <c r="K564"/>
  <c r="L563"/>
  <c r="O529"/>
  <c r="N530"/>
  <c r="L531"/>
  <c r="K500"/>
  <c r="L499"/>
  <c r="L464"/>
  <c r="K433"/>
  <c r="L432"/>
  <c r="H443"/>
  <c r="O412"/>
  <c r="K402"/>
  <c r="L401"/>
  <c r="O177"/>
  <c r="N178"/>
  <c r="K364"/>
  <c r="L336"/>
  <c r="K337"/>
  <c r="K302"/>
  <c r="L301"/>
  <c r="H364"/>
  <c r="O597" l="1"/>
  <c r="L597"/>
  <c r="K565"/>
  <c r="L564"/>
  <c r="N565"/>
  <c r="O564"/>
  <c r="O530"/>
  <c r="N531"/>
  <c r="L532"/>
  <c r="K365"/>
  <c r="L365" s="1"/>
  <c r="L364"/>
  <c r="K501"/>
  <c r="L500"/>
  <c r="L465"/>
  <c r="K434"/>
  <c r="L433"/>
  <c r="H444"/>
  <c r="O413"/>
  <c r="K403"/>
  <c r="L402"/>
  <c r="N179"/>
  <c r="O178"/>
  <c r="L337"/>
  <c r="K338"/>
  <c r="H365"/>
  <c r="L302"/>
  <c r="K303"/>
  <c r="L598" l="1"/>
  <c r="O598"/>
  <c r="N566"/>
  <c r="O565"/>
  <c r="K566"/>
  <c r="L565"/>
  <c r="O531"/>
  <c r="N532"/>
  <c r="L533"/>
  <c r="K502"/>
  <c r="L501"/>
  <c r="K435"/>
  <c r="L434"/>
  <c r="H445"/>
  <c r="O414"/>
  <c r="O415"/>
  <c r="K404"/>
  <c r="L403"/>
  <c r="N180"/>
  <c r="O179"/>
  <c r="H366"/>
  <c r="L338"/>
  <c r="K339"/>
  <c r="L303"/>
  <c r="K304"/>
  <c r="O599" l="1"/>
  <c r="L599"/>
  <c r="K567"/>
  <c r="L566"/>
  <c r="N567"/>
  <c r="O566"/>
  <c r="O532"/>
  <c r="N533"/>
  <c r="L534"/>
  <c r="K503"/>
  <c r="L502"/>
  <c r="K436"/>
  <c r="L435"/>
  <c r="H446"/>
  <c r="K405"/>
  <c r="L404"/>
  <c r="O180"/>
  <c r="N181"/>
  <c r="L304"/>
  <c r="K305"/>
  <c r="L339"/>
  <c r="K340"/>
  <c r="H367"/>
  <c r="L600" l="1"/>
  <c r="O600"/>
  <c r="N568"/>
  <c r="O567"/>
  <c r="K568"/>
  <c r="L567"/>
  <c r="N534"/>
  <c r="O533"/>
  <c r="L535"/>
  <c r="K9"/>
  <c r="L503"/>
  <c r="K8"/>
  <c r="K437"/>
  <c r="L436"/>
  <c r="H447"/>
  <c r="L405"/>
  <c r="K406"/>
  <c r="N182"/>
  <c r="O181"/>
  <c r="H368"/>
  <c r="L340"/>
  <c r="K341"/>
  <c r="L305"/>
  <c r="K306"/>
  <c r="R8" l="1"/>
  <c r="S8" s="1"/>
  <c r="F8"/>
  <c r="L9"/>
  <c r="F9"/>
  <c r="O601"/>
  <c r="L601"/>
  <c r="K569"/>
  <c r="L568"/>
  <c r="N569"/>
  <c r="O568"/>
  <c r="O534"/>
  <c r="N535"/>
  <c r="R3"/>
  <c r="L8"/>
  <c r="C26" i="26"/>
  <c r="K438" i="18"/>
  <c r="L437"/>
  <c r="H448"/>
  <c r="L406"/>
  <c r="K407"/>
  <c r="O182"/>
  <c r="N183"/>
  <c r="L341"/>
  <c r="K342"/>
  <c r="L306"/>
  <c r="K307"/>
  <c r="H369"/>
  <c r="L602" l="1"/>
  <c r="O602"/>
  <c r="N570"/>
  <c r="O569"/>
  <c r="K570"/>
  <c r="L569"/>
  <c r="N536"/>
  <c r="O535"/>
  <c r="C20" i="26"/>
  <c r="D26"/>
  <c r="K439" i="18"/>
  <c r="L438"/>
  <c r="H449"/>
  <c r="H450"/>
  <c r="L407"/>
  <c r="K408"/>
  <c r="O369"/>
  <c r="O183"/>
  <c r="N184"/>
  <c r="H370"/>
  <c r="L307"/>
  <c r="K308"/>
  <c r="K370"/>
  <c r="L370" s="1"/>
  <c r="L342"/>
  <c r="K343"/>
  <c r="O603" l="1"/>
  <c r="L603"/>
  <c r="K571"/>
  <c r="L570"/>
  <c r="N571"/>
  <c r="O570"/>
  <c r="O536"/>
  <c r="N537"/>
  <c r="H420"/>
  <c r="D20" i="26"/>
  <c r="H20" s="1"/>
  <c r="E26"/>
  <c r="E20" s="1"/>
  <c r="H26"/>
  <c r="K440" i="18"/>
  <c r="L439"/>
  <c r="L408"/>
  <c r="K409"/>
  <c r="O370"/>
  <c r="O184"/>
  <c r="N185"/>
  <c r="L343"/>
  <c r="K344"/>
  <c r="K371"/>
  <c r="L371" s="1"/>
  <c r="L308"/>
  <c r="K309"/>
  <c r="H371"/>
  <c r="L604" l="1"/>
  <c r="O604"/>
  <c r="N572"/>
  <c r="O571"/>
  <c r="K572"/>
  <c r="L571"/>
  <c r="N538"/>
  <c r="O537"/>
  <c r="K441"/>
  <c r="L440"/>
  <c r="L409"/>
  <c r="K410"/>
  <c r="O371"/>
  <c r="N186"/>
  <c r="O185"/>
  <c r="K310"/>
  <c r="L309"/>
  <c r="K372"/>
  <c r="L372" s="1"/>
  <c r="H372"/>
  <c r="L344"/>
  <c r="K345"/>
  <c r="O605" l="1"/>
  <c r="L605"/>
  <c r="N573"/>
  <c r="O572"/>
  <c r="K573"/>
  <c r="L572"/>
  <c r="O538"/>
  <c r="N539"/>
  <c r="K442"/>
  <c r="L441"/>
  <c r="L410"/>
  <c r="K411"/>
  <c r="O372"/>
  <c r="N187"/>
  <c r="O186"/>
  <c r="L345"/>
  <c r="K346"/>
  <c r="H373"/>
  <c r="K311"/>
  <c r="L310"/>
  <c r="K373"/>
  <c r="L373" s="1"/>
  <c r="E42" i="1"/>
  <c r="L606" i="18" l="1"/>
  <c r="O606"/>
  <c r="K574"/>
  <c r="L573"/>
  <c r="N574"/>
  <c r="O573"/>
  <c r="N540"/>
  <c r="O539"/>
  <c r="K443"/>
  <c r="L442"/>
  <c r="K412"/>
  <c r="L411"/>
  <c r="O373"/>
  <c r="O187"/>
  <c r="N188"/>
  <c r="L311"/>
  <c r="K312"/>
  <c r="K374"/>
  <c r="L374" s="1"/>
  <c r="H374"/>
  <c r="L346"/>
  <c r="K347"/>
  <c r="O607" l="1"/>
  <c r="L607"/>
  <c r="K575"/>
  <c r="L574"/>
  <c r="N575"/>
  <c r="O574"/>
  <c r="O540"/>
  <c r="N541"/>
  <c r="J444"/>
  <c r="L443"/>
  <c r="K413"/>
  <c r="L412"/>
  <c r="O374"/>
  <c r="N189"/>
  <c r="O188"/>
  <c r="H375"/>
  <c r="K375"/>
  <c r="L375" s="1"/>
  <c r="L347"/>
  <c r="K348"/>
  <c r="L312"/>
  <c r="K313"/>
  <c r="E40" i="1"/>
  <c r="L608" i="18" l="1"/>
  <c r="O608"/>
  <c r="K576"/>
  <c r="L575"/>
  <c r="N576"/>
  <c r="O575"/>
  <c r="N542"/>
  <c r="O541"/>
  <c r="K445"/>
  <c r="K444"/>
  <c r="K414"/>
  <c r="L413"/>
  <c r="O375"/>
  <c r="N190"/>
  <c r="O189"/>
  <c r="K376"/>
  <c r="L348"/>
  <c r="K349"/>
  <c r="H376"/>
  <c r="L313"/>
  <c r="K314"/>
  <c r="E39" i="1"/>
  <c r="O609" i="18" l="1"/>
  <c r="L609"/>
  <c r="N577"/>
  <c r="O576"/>
  <c r="K577"/>
  <c r="L576"/>
  <c r="O542"/>
  <c r="N543"/>
  <c r="K377"/>
  <c r="L377" s="1"/>
  <c r="L376"/>
  <c r="K446"/>
  <c r="L445"/>
  <c r="K415"/>
  <c r="L414"/>
  <c r="O376"/>
  <c r="O190"/>
  <c r="N191"/>
  <c r="H377"/>
  <c r="K350"/>
  <c r="L349"/>
  <c r="L314"/>
  <c r="K315"/>
  <c r="L315" s="1"/>
  <c r="E36" i="1"/>
  <c r="L610" i="18" l="1"/>
  <c r="O610"/>
  <c r="K578"/>
  <c r="L577"/>
  <c r="N578"/>
  <c r="O577"/>
  <c r="N544"/>
  <c r="O543"/>
  <c r="K378"/>
  <c r="L378" s="1"/>
  <c r="K447"/>
  <c r="L446"/>
  <c r="L415"/>
  <c r="L322"/>
  <c r="O377"/>
  <c r="N192"/>
  <c r="O191"/>
  <c r="K351"/>
  <c r="L350"/>
  <c r="H378"/>
  <c r="O611" l="1"/>
  <c r="L611"/>
  <c r="K579"/>
  <c r="L578"/>
  <c r="N579"/>
  <c r="O578"/>
  <c r="O544"/>
  <c r="N545"/>
  <c r="K379"/>
  <c r="L379" s="1"/>
  <c r="K448"/>
  <c r="L447"/>
  <c r="L416"/>
  <c r="O378"/>
  <c r="O192"/>
  <c r="N193"/>
  <c r="H379"/>
  <c r="K352"/>
  <c r="L351"/>
  <c r="AF15" i="1"/>
  <c r="M13"/>
  <c r="K13"/>
  <c r="G436"/>
  <c r="H436"/>
  <c r="I436"/>
  <c r="J436"/>
  <c r="K436"/>
  <c r="L436"/>
  <c r="N436"/>
  <c r="Q436"/>
  <c r="R436"/>
  <c r="S436"/>
  <c r="U436"/>
  <c r="V436"/>
  <c r="W436"/>
  <c r="G409"/>
  <c r="H409"/>
  <c r="I409"/>
  <c r="J409"/>
  <c r="K409"/>
  <c r="L409"/>
  <c r="N409"/>
  <c r="Q409"/>
  <c r="R409"/>
  <c r="S409"/>
  <c r="U409"/>
  <c r="V409"/>
  <c r="W409"/>
  <c r="G371"/>
  <c r="H371"/>
  <c r="I371"/>
  <c r="J371"/>
  <c r="K371"/>
  <c r="L371"/>
  <c r="N371"/>
  <c r="Q371"/>
  <c r="R371"/>
  <c r="S371"/>
  <c r="U371"/>
  <c r="W371"/>
  <c r="G336"/>
  <c r="H336"/>
  <c r="I336"/>
  <c r="J336"/>
  <c r="K336"/>
  <c r="L336"/>
  <c r="N336"/>
  <c r="Q336"/>
  <c r="R336"/>
  <c r="S336"/>
  <c r="U336"/>
  <c r="V336"/>
  <c r="W336"/>
  <c r="G270"/>
  <c r="H270"/>
  <c r="I270"/>
  <c r="J270"/>
  <c r="K270"/>
  <c r="L270"/>
  <c r="N270"/>
  <c r="Q270"/>
  <c r="R270"/>
  <c r="S270"/>
  <c r="U270"/>
  <c r="W270"/>
  <c r="G91"/>
  <c r="H91"/>
  <c r="I91"/>
  <c r="J91"/>
  <c r="K91"/>
  <c r="L91"/>
  <c r="M91"/>
  <c r="N91"/>
  <c r="Q91"/>
  <c r="R91"/>
  <c r="S91"/>
  <c r="U91"/>
  <c r="V91"/>
  <c r="W91"/>
  <c r="H50"/>
  <c r="I50"/>
  <c r="J50"/>
  <c r="K50"/>
  <c r="L50"/>
  <c r="M50"/>
  <c r="N50"/>
  <c r="P50"/>
  <c r="Q50"/>
  <c r="R50"/>
  <c r="S50"/>
  <c r="T50"/>
  <c r="U50"/>
  <c r="V50"/>
  <c r="W50"/>
  <c r="L612" i="18" l="1"/>
  <c r="O612"/>
  <c r="N580"/>
  <c r="O579"/>
  <c r="K580"/>
  <c r="L579"/>
  <c r="O545"/>
  <c r="N546"/>
  <c r="K380"/>
  <c r="L380" s="1"/>
  <c r="K449"/>
  <c r="L448"/>
  <c r="K418"/>
  <c r="L417"/>
  <c r="O379"/>
  <c r="O193"/>
  <c r="N194"/>
  <c r="K353"/>
  <c r="L352"/>
  <c r="E30" i="1"/>
  <c r="O613" i="18" l="1"/>
  <c r="L613"/>
  <c r="L581"/>
  <c r="L580"/>
  <c r="N581"/>
  <c r="O581" s="1"/>
  <c r="O580"/>
  <c r="K381"/>
  <c r="L381" s="1"/>
  <c r="O546"/>
  <c r="N547"/>
  <c r="L450"/>
  <c r="L449"/>
  <c r="L418"/>
  <c r="O380"/>
  <c r="N195"/>
  <c r="O195" s="1"/>
  <c r="O194"/>
  <c r="H381"/>
  <c r="K354"/>
  <c r="L353"/>
  <c r="E26" i="1"/>
  <c r="E27"/>
  <c r="E32"/>
  <c r="E41"/>
  <c r="K382" i="18" l="1"/>
  <c r="L382" s="1"/>
  <c r="O547"/>
  <c r="N548"/>
  <c r="O548" s="1"/>
  <c r="O381"/>
  <c r="K355"/>
  <c r="L354"/>
  <c r="H382"/>
  <c r="E45" i="1"/>
  <c r="E46"/>
  <c r="E47"/>
  <c r="K383" i="18" l="1"/>
  <c r="L383" s="1"/>
  <c r="N9"/>
  <c r="O382"/>
  <c r="H383"/>
  <c r="O383"/>
  <c r="L355"/>
  <c r="E48" i="1"/>
  <c r="E44"/>
  <c r="Q406" i="2"/>
  <c r="O2" i="15"/>
  <c r="P2" s="1"/>
  <c r="O33"/>
  <c r="P33" s="1"/>
  <c r="N37" l="1"/>
  <c r="O37" s="1"/>
  <c r="P37" s="1"/>
  <c r="N39"/>
  <c r="O39" s="1"/>
  <c r="N41"/>
  <c r="O41" s="1"/>
  <c r="P41" s="1"/>
  <c r="N35"/>
  <c r="O35" s="1"/>
  <c r="P35" s="1"/>
  <c r="N36"/>
  <c r="O36" s="1"/>
  <c r="P36" s="1"/>
  <c r="N38"/>
  <c r="O38" s="1"/>
  <c r="P38" s="1"/>
  <c r="N40"/>
  <c r="O40" s="1"/>
  <c r="P40" s="1"/>
  <c r="N42"/>
  <c r="O42" s="1"/>
  <c r="P42" s="1"/>
  <c r="N7"/>
  <c r="N9"/>
  <c r="N28"/>
  <c r="N12"/>
  <c r="P21"/>
  <c r="N16"/>
  <c r="N23"/>
  <c r="N18"/>
  <c r="N20"/>
  <c r="N26"/>
  <c r="N29"/>
  <c r="N31"/>
  <c r="O31" s="1"/>
  <c r="P31" s="1"/>
  <c r="N5"/>
  <c r="N6"/>
  <c r="N8"/>
  <c r="N10"/>
  <c r="N11"/>
  <c r="N14"/>
  <c r="N15"/>
  <c r="N17"/>
  <c r="N13"/>
  <c r="N19"/>
  <c r="N22"/>
  <c r="N25"/>
  <c r="N27"/>
  <c r="N30"/>
  <c r="O30" s="1"/>
  <c r="P30" s="1"/>
  <c r="N32"/>
  <c r="O32" s="1"/>
  <c r="P32" s="1"/>
  <c r="N24"/>
  <c r="O9" i="18"/>
  <c r="G9"/>
  <c r="K384"/>
  <c r="L384" s="1"/>
  <c r="O384"/>
  <c r="H385"/>
  <c r="H384"/>
  <c r="H357" s="1"/>
  <c r="K385"/>
  <c r="L385" s="1"/>
  <c r="O27" i="15" l="1"/>
  <c r="P27" s="1"/>
  <c r="O22"/>
  <c r="P22" s="1"/>
  <c r="O13"/>
  <c r="P13" s="1"/>
  <c r="O15"/>
  <c r="P15" s="1"/>
  <c r="O11"/>
  <c r="P11" s="1"/>
  <c r="O8"/>
  <c r="P8" s="1"/>
  <c r="O5"/>
  <c r="P5" s="1"/>
  <c r="O29"/>
  <c r="P29" s="1"/>
  <c r="O20"/>
  <c r="P20" s="1"/>
  <c r="O23"/>
  <c r="P23" s="1"/>
  <c r="O28"/>
  <c r="P28" s="1"/>
  <c r="O7"/>
  <c r="P7" s="1"/>
  <c r="O24"/>
  <c r="P24" s="1"/>
  <c r="O25"/>
  <c r="P25" s="1"/>
  <c r="T19"/>
  <c r="O19"/>
  <c r="S17"/>
  <c r="O17"/>
  <c r="P17" s="1"/>
  <c r="T17"/>
  <c r="O14"/>
  <c r="P14" s="1"/>
  <c r="S10"/>
  <c r="S4" s="1"/>
  <c r="T10"/>
  <c r="O10"/>
  <c r="P10" s="1"/>
  <c r="O6"/>
  <c r="P6" s="1"/>
  <c r="O26"/>
  <c r="P26" s="1"/>
  <c r="O18"/>
  <c r="P18" s="1"/>
  <c r="O16"/>
  <c r="P16" s="1"/>
  <c r="O12"/>
  <c r="P12" s="1"/>
  <c r="O9"/>
  <c r="P9" s="1"/>
  <c r="P19"/>
  <c r="P39"/>
  <c r="R39"/>
  <c r="G50" i="1"/>
  <c r="O406" i="2"/>
  <c r="G406"/>
  <c r="H403"/>
  <c r="H402"/>
  <c r="P3" i="15" l="1"/>
  <c r="T4"/>
  <c r="I444" i="1"/>
  <c r="R34" i="15"/>
  <c r="R43" s="1"/>
  <c r="J444" i="1"/>
  <c r="E37"/>
  <c r="E28"/>
  <c r="E399" i="2"/>
  <c r="J329" i="27" l="1"/>
  <c r="E328" s="1"/>
  <c r="J425"/>
  <c r="E424" s="1"/>
  <c r="J517"/>
  <c r="E516" s="1"/>
  <c r="J281"/>
  <c r="E280" s="1"/>
  <c r="J379"/>
  <c r="J471"/>
  <c r="E470" s="1"/>
  <c r="J568"/>
  <c r="E444" i="1"/>
  <c r="H400" i="2"/>
  <c r="J105" i="27" l="1"/>
  <c r="J65"/>
  <c r="J58" s="1"/>
  <c r="E568"/>
  <c r="E540" s="1"/>
  <c r="O6" s="1"/>
  <c r="J540"/>
  <c r="E471"/>
  <c r="E445" s="1"/>
  <c r="M6" s="1"/>
  <c r="J445"/>
  <c r="E444" s="1"/>
  <c r="E434" s="1"/>
  <c r="E281"/>
  <c r="J256"/>
  <c r="E255" s="1"/>
  <c r="E245" s="1"/>
  <c r="E425"/>
  <c r="E402" s="1"/>
  <c r="L6" s="1"/>
  <c r="J402"/>
  <c r="E401" s="1"/>
  <c r="E391" s="1"/>
  <c r="E230"/>
  <c r="J230"/>
  <c r="E196" s="1"/>
  <c r="E79"/>
  <c r="E379"/>
  <c r="E352" s="1"/>
  <c r="K6" s="1"/>
  <c r="J352"/>
  <c r="E351" s="1"/>
  <c r="E341" s="1"/>
  <c r="K4" s="1"/>
  <c r="E517"/>
  <c r="E494" s="1"/>
  <c r="N6" s="1"/>
  <c r="J494"/>
  <c r="E493" s="1"/>
  <c r="E483" s="1"/>
  <c r="N4" s="1"/>
  <c r="N5" s="1"/>
  <c r="E329"/>
  <c r="E304" s="1"/>
  <c r="J6" s="1"/>
  <c r="J304"/>
  <c r="E303" s="1"/>
  <c r="E293" s="1"/>
  <c r="J4" s="1"/>
  <c r="J5" s="1"/>
  <c r="E398" i="2"/>
  <c r="AU8" i="1"/>
  <c r="J7" i="27" l="1"/>
  <c r="N7"/>
  <c r="I4"/>
  <c r="I5" s="1"/>
  <c r="J148"/>
  <c r="K5"/>
  <c r="K7" s="1"/>
  <c r="H4"/>
  <c r="L4"/>
  <c r="L5" s="1"/>
  <c r="L7" s="1"/>
  <c r="M4"/>
  <c r="M5" s="1"/>
  <c r="M7" s="1"/>
  <c r="J522"/>
  <c r="E539"/>
  <c r="E529" s="1"/>
  <c r="O4" s="1"/>
  <c r="O5" s="1"/>
  <c r="O7" s="1"/>
  <c r="E286"/>
  <c r="E476"/>
  <c r="E334"/>
  <c r="E189"/>
  <c r="H6"/>
  <c r="H7" s="1"/>
  <c r="E384"/>
  <c r="E427"/>
  <c r="E184" i="1"/>
  <c r="E522" i="27" l="1"/>
  <c r="E221" i="1"/>
  <c r="D2" i="14"/>
  <c r="F2"/>
  <c r="G2"/>
  <c r="H2"/>
  <c r="I2"/>
  <c r="J2"/>
  <c r="L2"/>
  <c r="D3"/>
  <c r="E3"/>
  <c r="G3"/>
  <c r="H3"/>
  <c r="I3"/>
  <c r="J3"/>
  <c r="L3"/>
  <c r="E4"/>
  <c r="F4"/>
  <c r="G4"/>
  <c r="H4"/>
  <c r="I4"/>
  <c r="J4"/>
  <c r="L4"/>
  <c r="E5"/>
  <c r="F5"/>
  <c r="G5"/>
  <c r="H5"/>
  <c r="I5"/>
  <c r="J5"/>
  <c r="L5"/>
  <c r="D6"/>
  <c r="E6"/>
  <c r="F6"/>
  <c r="G6"/>
  <c r="H6"/>
  <c r="I6"/>
  <c r="J6"/>
  <c r="L6"/>
  <c r="D7"/>
  <c r="E7"/>
  <c r="F7"/>
  <c r="G7"/>
  <c r="H7"/>
  <c r="I7"/>
  <c r="J7"/>
  <c r="L7"/>
  <c r="B8"/>
  <c r="D8"/>
  <c r="E8"/>
  <c r="F8"/>
  <c r="G8"/>
  <c r="H8"/>
  <c r="I8"/>
  <c r="J8"/>
  <c r="L8"/>
  <c r="D9"/>
  <c r="E9"/>
  <c r="F9"/>
  <c r="H9"/>
  <c r="I9"/>
  <c r="J9"/>
  <c r="L9"/>
  <c r="D10"/>
  <c r="E10"/>
  <c r="F10"/>
  <c r="H10"/>
  <c r="J10"/>
  <c r="L10"/>
  <c r="D11"/>
  <c r="E11"/>
  <c r="F11"/>
  <c r="I11"/>
  <c r="J11"/>
  <c r="L11"/>
  <c r="D12"/>
  <c r="E12"/>
  <c r="I12"/>
  <c r="J12"/>
  <c r="L12"/>
  <c r="D13"/>
  <c r="E13"/>
  <c r="F13"/>
  <c r="I13"/>
  <c r="J13"/>
  <c r="L13"/>
  <c r="G14"/>
  <c r="H14"/>
  <c r="I14"/>
  <c r="J14"/>
  <c r="L14"/>
  <c r="E19"/>
  <c r="E2" s="1"/>
  <c r="E14" s="1"/>
  <c r="E21"/>
  <c r="F85"/>
  <c r="F3" s="1"/>
  <c r="F14" s="1"/>
  <c r="D90"/>
  <c r="D4" s="1"/>
  <c r="D108"/>
  <c r="D5" s="1"/>
  <c r="D110"/>
  <c r="G190"/>
  <c r="G9" s="1"/>
  <c r="G191"/>
  <c r="G225"/>
  <c r="G10" s="1"/>
  <c r="I228"/>
  <c r="I10" s="1"/>
  <c r="H239"/>
  <c r="H240"/>
  <c r="H245"/>
  <c r="G246"/>
  <c r="G247"/>
  <c r="G248"/>
  <c r="G266"/>
  <c r="G12" s="1"/>
  <c r="G267"/>
  <c r="F268"/>
  <c r="F12" s="1"/>
  <c r="H269"/>
  <c r="H273"/>
  <c r="G274"/>
  <c r="H280"/>
  <c r="H302"/>
  <c r="H13" s="1"/>
  <c r="G303"/>
  <c r="G304"/>
  <c r="G307"/>
  <c r="D345"/>
  <c r="E347"/>
  <c r="J2" i="13"/>
  <c r="K2"/>
  <c r="L2"/>
  <c r="M2"/>
  <c r="N2"/>
  <c r="J3"/>
  <c r="K3"/>
  <c r="L3"/>
  <c r="M3"/>
  <c r="N3"/>
  <c r="D4"/>
  <c r="E4"/>
  <c r="F4"/>
  <c r="G4"/>
  <c r="H4"/>
  <c r="D5"/>
  <c r="E5"/>
  <c r="F5"/>
  <c r="G5"/>
  <c r="H5"/>
  <c r="E6"/>
  <c r="F6"/>
  <c r="G6"/>
  <c r="H6"/>
  <c r="D7"/>
  <c r="E7"/>
  <c r="F7"/>
  <c r="G7"/>
  <c r="H7"/>
  <c r="D8"/>
  <c r="E8"/>
  <c r="F8"/>
  <c r="G8"/>
  <c r="H8"/>
  <c r="D9"/>
  <c r="E9"/>
  <c r="F9"/>
  <c r="G9"/>
  <c r="H9"/>
  <c r="D10"/>
  <c r="E10"/>
  <c r="F10"/>
  <c r="G10"/>
  <c r="H10"/>
  <c r="D11"/>
  <c r="E11"/>
  <c r="F11"/>
  <c r="G11"/>
  <c r="H11"/>
  <c r="D12"/>
  <c r="E12"/>
  <c r="F12"/>
  <c r="G12"/>
  <c r="H12"/>
  <c r="E13"/>
  <c r="F13"/>
  <c r="G13"/>
  <c r="H13"/>
  <c r="D14"/>
  <c r="E14"/>
  <c r="F14"/>
  <c r="G14"/>
  <c r="H14"/>
  <c r="D15"/>
  <c r="E15"/>
  <c r="F15"/>
  <c r="G15"/>
  <c r="H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D97"/>
  <c r="D6" s="1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D374"/>
  <c r="D13" s="1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J1" i="12"/>
  <c r="J2"/>
  <c r="K2"/>
  <c r="L2"/>
  <c r="M2"/>
  <c r="N2"/>
  <c r="F10"/>
  <c r="E12"/>
  <c r="D3" s="1"/>
  <c r="H12"/>
  <c r="D6" s="1"/>
  <c r="I12"/>
  <c r="D7" s="1"/>
  <c r="K12"/>
  <c r="D9" s="1"/>
  <c r="L12"/>
  <c r="M12"/>
  <c r="D10" s="1"/>
  <c r="G13"/>
  <c r="G14"/>
  <c r="D17"/>
  <c r="F17" s="1"/>
  <c r="F12" s="1"/>
  <c r="D4" s="1"/>
  <c r="D18"/>
  <c r="J18" s="1"/>
  <c r="J12" s="1"/>
  <c r="D8" s="1"/>
  <c r="E44"/>
  <c r="E3" s="1"/>
  <c r="H44"/>
  <c r="E6" s="1"/>
  <c r="I44"/>
  <c r="E7" s="1"/>
  <c r="K44"/>
  <c r="E9" s="1"/>
  <c r="M44"/>
  <c r="E10" s="1"/>
  <c r="G45"/>
  <c r="G44" s="1"/>
  <c r="E5" s="1"/>
  <c r="D52"/>
  <c r="F52" s="1"/>
  <c r="F44" s="1"/>
  <c r="E4" s="1"/>
  <c r="D53"/>
  <c r="J53" s="1"/>
  <c r="J44" s="1"/>
  <c r="E8" s="1"/>
  <c r="H78"/>
  <c r="F6" s="1"/>
  <c r="K78"/>
  <c r="F9" s="1"/>
  <c r="M78"/>
  <c r="E79"/>
  <c r="E78" s="1"/>
  <c r="F3" s="1"/>
  <c r="D80"/>
  <c r="F80" s="1"/>
  <c r="F78" s="1"/>
  <c r="F4" s="1"/>
  <c r="D81"/>
  <c r="J81" s="1"/>
  <c r="J78" s="1"/>
  <c r="F8" s="1"/>
  <c r="G82"/>
  <c r="G83"/>
  <c r="G84"/>
  <c r="I94"/>
  <c r="I95"/>
  <c r="I96"/>
  <c r="I97"/>
  <c r="I101"/>
  <c r="E103"/>
  <c r="G3" s="1"/>
  <c r="H103"/>
  <c r="G6" s="1"/>
  <c r="K103"/>
  <c r="G9" s="1"/>
  <c r="L103"/>
  <c r="M103"/>
  <c r="G10" s="1"/>
  <c r="D104"/>
  <c r="F104"/>
  <c r="G105"/>
  <c r="G106"/>
  <c r="I108"/>
  <c r="I103" s="1"/>
  <c r="G7" s="1"/>
  <c r="D112"/>
  <c r="F112" s="1"/>
  <c r="D113"/>
  <c r="J113" s="1"/>
  <c r="J103" s="1"/>
  <c r="G8" s="1"/>
  <c r="G115"/>
  <c r="E148"/>
  <c r="H3" s="1"/>
  <c r="I148"/>
  <c r="H7" s="1"/>
  <c r="K148"/>
  <c r="H9" s="1"/>
  <c r="L148"/>
  <c r="M148"/>
  <c r="H10" s="1"/>
  <c r="G149"/>
  <c r="D150"/>
  <c r="D151"/>
  <c r="J151" s="1"/>
  <c r="J148" s="1"/>
  <c r="H8" s="1"/>
  <c r="G152"/>
  <c r="H153"/>
  <c r="H148" s="1"/>
  <c r="H6" s="1"/>
  <c r="G155"/>
  <c r="E176"/>
  <c r="I3" s="1"/>
  <c r="H176"/>
  <c r="I6" s="1"/>
  <c r="I176"/>
  <c r="I7" s="1"/>
  <c r="K176"/>
  <c r="I9" s="1"/>
  <c r="M176"/>
  <c r="I10" s="1"/>
  <c r="G177"/>
  <c r="G178"/>
  <c r="D187"/>
  <c r="D188"/>
  <c r="J188" s="1"/>
  <c r="J176" s="1"/>
  <c r="I8" s="1"/>
  <c r="G190"/>
  <c r="F230"/>
  <c r="F231"/>
  <c r="E237"/>
  <c r="J3" s="1"/>
  <c r="H237"/>
  <c r="J6" s="1"/>
  <c r="I237"/>
  <c r="J7" s="1"/>
  <c r="K237"/>
  <c r="J9" s="1"/>
  <c r="M237"/>
  <c r="J10" s="1"/>
  <c r="F238"/>
  <c r="F237" s="1"/>
  <c r="J4" s="1"/>
  <c r="J239"/>
  <c r="G240"/>
  <c r="G241"/>
  <c r="G242"/>
  <c r="J257"/>
  <c r="E271"/>
  <c r="K3" s="1"/>
  <c r="I271"/>
  <c r="K7" s="1"/>
  <c r="K271"/>
  <c r="K9" s="1"/>
  <c r="M271"/>
  <c r="K10" s="1"/>
  <c r="F272"/>
  <c r="F271" s="1"/>
  <c r="K4" s="1"/>
  <c r="J273"/>
  <c r="J271" s="1"/>
  <c r="K8" s="1"/>
  <c r="H274"/>
  <c r="H275"/>
  <c r="G277"/>
  <c r="G278"/>
  <c r="G280"/>
  <c r="E325"/>
  <c r="L3" s="1"/>
  <c r="H325"/>
  <c r="L6" s="1"/>
  <c r="I325"/>
  <c r="L7" s="1"/>
  <c r="K325"/>
  <c r="L9" s="1"/>
  <c r="M325"/>
  <c r="L10" s="1"/>
  <c r="F326"/>
  <c r="F325" s="1"/>
  <c r="L4" s="1"/>
  <c r="J327"/>
  <c r="J325" s="1"/>
  <c r="L8" s="1"/>
  <c r="G328"/>
  <c r="G325" s="1"/>
  <c r="L5" s="1"/>
  <c r="E354"/>
  <c r="M3" s="1"/>
  <c r="H354"/>
  <c r="M6" s="1"/>
  <c r="I354"/>
  <c r="M7" s="1"/>
  <c r="K354"/>
  <c r="M9" s="1"/>
  <c r="M354"/>
  <c r="M10" s="1"/>
  <c r="F355"/>
  <c r="F354" s="1"/>
  <c r="M4" s="1"/>
  <c r="J356"/>
  <c r="J354" s="1"/>
  <c r="M8" s="1"/>
  <c r="G361"/>
  <c r="G354" s="1"/>
  <c r="M5" s="1"/>
  <c r="E377"/>
  <c r="N3" s="1"/>
  <c r="H377"/>
  <c r="N6" s="1"/>
  <c r="I377"/>
  <c r="N7" s="1"/>
  <c r="K377"/>
  <c r="N9" s="1"/>
  <c r="M377"/>
  <c r="N10" s="1"/>
  <c r="F378"/>
  <c r="F377" s="1"/>
  <c r="N4" s="1"/>
  <c r="J379"/>
  <c r="J377" s="1"/>
  <c r="N8" s="1"/>
  <c r="G389"/>
  <c r="G377" s="1"/>
  <c r="N5" s="1"/>
  <c r="E413"/>
  <c r="O3" s="1"/>
  <c r="H413"/>
  <c r="O6" s="1"/>
  <c r="I413"/>
  <c r="O7" s="1"/>
  <c r="K413"/>
  <c r="O9" s="1"/>
  <c r="M413"/>
  <c r="O10" s="1"/>
  <c r="D414"/>
  <c r="F414"/>
  <c r="F413" s="1"/>
  <c r="O4" s="1"/>
  <c r="D415"/>
  <c r="J415"/>
  <c r="J413" s="1"/>
  <c r="O8" s="1"/>
  <c r="G417"/>
  <c r="G413" s="1"/>
  <c r="O5" s="1"/>
  <c r="B443"/>
  <c r="D443"/>
  <c r="D445"/>
  <c r="D453"/>
  <c r="D466"/>
  <c r="D474"/>
  <c r="D487"/>
  <c r="E487"/>
  <c r="E466" s="1"/>
  <c r="E445" s="1"/>
  <c r="F487"/>
  <c r="F466" s="1"/>
  <c r="F445" s="1"/>
  <c r="G487"/>
  <c r="G466" s="1"/>
  <c r="G445" s="1"/>
  <c r="H487"/>
  <c r="H466" s="1"/>
  <c r="H445" s="1"/>
  <c r="I487"/>
  <c r="I466" s="1"/>
  <c r="I445" s="1"/>
  <c r="J487"/>
  <c r="J466" s="1"/>
  <c r="J445" s="1"/>
  <c r="M487"/>
  <c r="M466" s="1"/>
  <c r="M445" s="1"/>
  <c r="D495"/>
  <c r="F10" i="11"/>
  <c r="G10"/>
  <c r="H10"/>
  <c r="I10"/>
  <c r="J10"/>
  <c r="K10"/>
  <c r="L10"/>
  <c r="M10"/>
  <c r="N10"/>
  <c r="D13"/>
  <c r="C2" s="1"/>
  <c r="F13"/>
  <c r="C4" s="1"/>
  <c r="G13"/>
  <c r="C5" s="1"/>
  <c r="H13"/>
  <c r="C6" s="1"/>
  <c r="K13"/>
  <c r="C9" s="1"/>
  <c r="L13"/>
  <c r="C10" s="1"/>
  <c r="M13"/>
  <c r="C11" s="1"/>
  <c r="E16"/>
  <c r="E18"/>
  <c r="J19"/>
  <c r="J29"/>
  <c r="I44"/>
  <c r="I13" s="1"/>
  <c r="C7" s="1"/>
  <c r="J45"/>
  <c r="B52"/>
  <c r="H52"/>
  <c r="D6" s="1"/>
  <c r="K52"/>
  <c r="D9" s="1"/>
  <c r="M52"/>
  <c r="D11" s="1"/>
  <c r="E53"/>
  <c r="E52" s="1"/>
  <c r="D3" s="1"/>
  <c r="D55"/>
  <c r="D52" s="1"/>
  <c r="D2" s="1"/>
  <c r="F59"/>
  <c r="F52" s="1"/>
  <c r="D4" s="1"/>
  <c r="G60"/>
  <c r="L63"/>
  <c r="L64"/>
  <c r="G66"/>
  <c r="G67"/>
  <c r="I69"/>
  <c r="J70"/>
  <c r="G74"/>
  <c r="G76"/>
  <c r="G77"/>
  <c r="I78"/>
  <c r="J79"/>
  <c r="I81"/>
  <c r="J82"/>
  <c r="B89"/>
  <c r="D89"/>
  <c r="I90"/>
  <c r="J91"/>
  <c r="B92"/>
  <c r="D92"/>
  <c r="E2" s="1"/>
  <c r="E92"/>
  <c r="E3" s="1"/>
  <c r="F92"/>
  <c r="E4" s="1"/>
  <c r="G92"/>
  <c r="E5" s="1"/>
  <c r="H92"/>
  <c r="E6" s="1"/>
  <c r="I92"/>
  <c r="E7" s="1"/>
  <c r="J92"/>
  <c r="E8" s="1"/>
  <c r="K92"/>
  <c r="E9" s="1"/>
  <c r="L92"/>
  <c r="E10" s="1"/>
  <c r="M92"/>
  <c r="E11" s="1"/>
  <c r="B96"/>
  <c r="D96"/>
  <c r="G97"/>
  <c r="G98"/>
  <c r="G99"/>
  <c r="F100"/>
  <c r="I102"/>
  <c r="J103"/>
  <c r="I104"/>
  <c r="J105"/>
  <c r="I106"/>
  <c r="J107"/>
  <c r="I108"/>
  <c r="J109"/>
  <c r="I110"/>
  <c r="J111"/>
  <c r="H112"/>
  <c r="H113"/>
  <c r="B119"/>
  <c r="D119"/>
  <c r="F2" s="1"/>
  <c r="E119"/>
  <c r="F3" s="1"/>
  <c r="F119"/>
  <c r="F4" s="1"/>
  <c r="G119"/>
  <c r="F5" s="1"/>
  <c r="H119"/>
  <c r="F6" s="1"/>
  <c r="I119"/>
  <c r="F7" s="1"/>
  <c r="J119"/>
  <c r="F8" s="1"/>
  <c r="K119"/>
  <c r="F9" s="1"/>
  <c r="L119"/>
  <c r="M119"/>
  <c r="F11" s="1"/>
  <c r="B123"/>
  <c r="D123"/>
  <c r="G124"/>
  <c r="G126"/>
  <c r="F127"/>
  <c r="I129"/>
  <c r="J130"/>
  <c r="I131"/>
  <c r="J132"/>
  <c r="I133"/>
  <c r="J134"/>
  <c r="I135"/>
  <c r="J136"/>
  <c r="H137"/>
  <c r="H138"/>
  <c r="H141"/>
  <c r="B145"/>
  <c r="D145"/>
  <c r="G2" s="1"/>
  <c r="E145"/>
  <c r="G3" s="1"/>
  <c r="F145"/>
  <c r="G4" s="1"/>
  <c r="G145"/>
  <c r="G5" s="1"/>
  <c r="H145"/>
  <c r="G6" s="1"/>
  <c r="I145"/>
  <c r="G7" s="1"/>
  <c r="J145"/>
  <c r="G8" s="1"/>
  <c r="K145"/>
  <c r="G9" s="1"/>
  <c r="L145"/>
  <c r="M145"/>
  <c r="G11" s="1"/>
  <c r="B149"/>
  <c r="D149"/>
  <c r="G150"/>
  <c r="G152"/>
  <c r="F153"/>
  <c r="I155"/>
  <c r="J156"/>
  <c r="I157"/>
  <c r="J158"/>
  <c r="I159"/>
  <c r="J160"/>
  <c r="I161"/>
  <c r="J162"/>
  <c r="I163"/>
  <c r="J164"/>
  <c r="H165"/>
  <c r="H166"/>
  <c r="B172"/>
  <c r="D172"/>
  <c r="H2" s="1"/>
  <c r="E172"/>
  <c r="H3" s="1"/>
  <c r="F172"/>
  <c r="H4" s="1"/>
  <c r="G172"/>
  <c r="H5" s="1"/>
  <c r="H172"/>
  <c r="H6" s="1"/>
  <c r="I172"/>
  <c r="H7" s="1"/>
  <c r="J172"/>
  <c r="H8" s="1"/>
  <c r="K172"/>
  <c r="H9" s="1"/>
  <c r="L172"/>
  <c r="M172"/>
  <c r="H11" s="1"/>
  <c r="B176"/>
  <c r="D176"/>
  <c r="G177"/>
  <c r="G179"/>
  <c r="F180"/>
  <c r="I182"/>
  <c r="J183"/>
  <c r="I184"/>
  <c r="J185"/>
  <c r="I186"/>
  <c r="J187"/>
  <c r="I188"/>
  <c r="J189"/>
  <c r="H190"/>
  <c r="H191"/>
  <c r="B194"/>
  <c r="D194"/>
  <c r="I2" s="1"/>
  <c r="E194"/>
  <c r="I3" s="1"/>
  <c r="F194"/>
  <c r="I4" s="1"/>
  <c r="G194"/>
  <c r="I5" s="1"/>
  <c r="H194"/>
  <c r="I6" s="1"/>
  <c r="I194"/>
  <c r="I7" s="1"/>
  <c r="J194"/>
  <c r="I8" s="1"/>
  <c r="K194"/>
  <c r="I9" s="1"/>
  <c r="L194"/>
  <c r="M194"/>
  <c r="I11" s="1"/>
  <c r="B198"/>
  <c r="D198"/>
  <c r="G199"/>
  <c r="G201"/>
  <c r="F202"/>
  <c r="I204"/>
  <c r="J205"/>
  <c r="I206"/>
  <c r="J207"/>
  <c r="I208"/>
  <c r="J209"/>
  <c r="I210"/>
  <c r="J211"/>
  <c r="H212"/>
  <c r="H213"/>
  <c r="B217"/>
  <c r="D217"/>
  <c r="J2" s="1"/>
  <c r="E217"/>
  <c r="J3" s="1"/>
  <c r="F217"/>
  <c r="J4" s="1"/>
  <c r="G217"/>
  <c r="J5" s="1"/>
  <c r="H217"/>
  <c r="J6" s="1"/>
  <c r="I217"/>
  <c r="J7" s="1"/>
  <c r="J217"/>
  <c r="J8" s="1"/>
  <c r="K217"/>
  <c r="J9" s="1"/>
  <c r="L217"/>
  <c r="M217"/>
  <c r="J11" s="1"/>
  <c r="B221"/>
  <c r="D221"/>
  <c r="G222"/>
  <c r="G224"/>
  <c r="F225"/>
  <c r="I227"/>
  <c r="J228"/>
  <c r="I229"/>
  <c r="J230"/>
  <c r="I231"/>
  <c r="J232"/>
  <c r="I233"/>
  <c r="J234"/>
  <c r="I235"/>
  <c r="J236"/>
  <c r="H237"/>
  <c r="H238"/>
  <c r="B242"/>
  <c r="D242"/>
  <c r="K2" s="1"/>
  <c r="E242"/>
  <c r="K3" s="1"/>
  <c r="F242"/>
  <c r="K4" s="1"/>
  <c r="G242"/>
  <c r="K5" s="1"/>
  <c r="H242"/>
  <c r="K6" s="1"/>
  <c r="I242"/>
  <c r="K7" s="1"/>
  <c r="J242"/>
  <c r="K8" s="1"/>
  <c r="K242"/>
  <c r="K9" s="1"/>
  <c r="L242"/>
  <c r="M242"/>
  <c r="K11" s="1"/>
  <c r="B246"/>
  <c r="D246"/>
  <c r="G247"/>
  <c r="G249"/>
  <c r="F250"/>
  <c r="I252"/>
  <c r="J253"/>
  <c r="I254"/>
  <c r="J255"/>
  <c r="I256"/>
  <c r="J257"/>
  <c r="I258"/>
  <c r="J259"/>
  <c r="H260"/>
  <c r="H261"/>
  <c r="B265"/>
  <c r="D265"/>
  <c r="L2" s="1"/>
  <c r="E265"/>
  <c r="L3" s="1"/>
  <c r="F265"/>
  <c r="L4" s="1"/>
  <c r="G265"/>
  <c r="L5" s="1"/>
  <c r="H265"/>
  <c r="L6" s="1"/>
  <c r="I265"/>
  <c r="L7" s="1"/>
  <c r="J265"/>
  <c r="L8" s="1"/>
  <c r="K265"/>
  <c r="L9" s="1"/>
  <c r="L265"/>
  <c r="M265"/>
  <c r="L11" s="1"/>
  <c r="B269"/>
  <c r="D269"/>
  <c r="G270"/>
  <c r="G272"/>
  <c r="F273"/>
  <c r="I275"/>
  <c r="J276"/>
  <c r="I277"/>
  <c r="J278"/>
  <c r="I279"/>
  <c r="J280"/>
  <c r="I281"/>
  <c r="J282"/>
  <c r="I283"/>
  <c r="J284"/>
  <c r="H285"/>
  <c r="H286"/>
  <c r="B290"/>
  <c r="D290"/>
  <c r="M2" s="1"/>
  <c r="E290"/>
  <c r="M3" s="1"/>
  <c r="F290"/>
  <c r="M4" s="1"/>
  <c r="G290"/>
  <c r="M5" s="1"/>
  <c r="H290"/>
  <c r="M6" s="1"/>
  <c r="I290"/>
  <c r="M7" s="1"/>
  <c r="J290"/>
  <c r="M8" s="1"/>
  <c r="K290"/>
  <c r="M9" s="1"/>
  <c r="L290"/>
  <c r="M290"/>
  <c r="M11" s="1"/>
  <c r="B294"/>
  <c r="D294"/>
  <c r="G295"/>
  <c r="G297"/>
  <c r="F298"/>
  <c r="I300"/>
  <c r="J301"/>
  <c r="I302"/>
  <c r="J303"/>
  <c r="I304"/>
  <c r="J305"/>
  <c r="I306"/>
  <c r="J307"/>
  <c r="H308"/>
  <c r="H309"/>
  <c r="B313"/>
  <c r="D313"/>
  <c r="N2" s="1"/>
  <c r="E313"/>
  <c r="N3" s="1"/>
  <c r="F313"/>
  <c r="N4" s="1"/>
  <c r="G313"/>
  <c r="N5" s="1"/>
  <c r="H313"/>
  <c r="N6" s="1"/>
  <c r="I313"/>
  <c r="N7" s="1"/>
  <c r="J313"/>
  <c r="N8" s="1"/>
  <c r="K313"/>
  <c r="N9" s="1"/>
  <c r="L313"/>
  <c r="M313"/>
  <c r="N11" s="1"/>
  <c r="B317"/>
  <c r="D317"/>
  <c r="G318"/>
  <c r="G320"/>
  <c r="F321"/>
  <c r="I323"/>
  <c r="J324"/>
  <c r="I325"/>
  <c r="J326"/>
  <c r="I327"/>
  <c r="J328"/>
  <c r="I329"/>
  <c r="J330"/>
  <c r="H331"/>
  <c r="H332"/>
  <c r="O16" i="10"/>
  <c r="P16"/>
  <c r="O17"/>
  <c r="P17"/>
  <c r="O18"/>
  <c r="P18"/>
  <c r="O19"/>
  <c r="P19"/>
  <c r="B22"/>
  <c r="D22"/>
  <c r="F22"/>
  <c r="C4" s="1"/>
  <c r="G22"/>
  <c r="C5" s="1"/>
  <c r="H22"/>
  <c r="C6" s="1"/>
  <c r="I22"/>
  <c r="C7" s="1"/>
  <c r="J22"/>
  <c r="C8" s="1"/>
  <c r="K22"/>
  <c r="C9" s="1"/>
  <c r="L22"/>
  <c r="C10" s="1"/>
  <c r="M22"/>
  <c r="C11" s="1"/>
  <c r="N22"/>
  <c r="C12" s="1"/>
  <c r="O22"/>
  <c r="C13" s="1"/>
  <c r="P22"/>
  <c r="C14" s="1"/>
  <c r="Q22"/>
  <c r="C20" s="1"/>
  <c r="R22"/>
  <c r="S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B66"/>
  <c r="D66"/>
  <c r="F66"/>
  <c r="D4" s="1"/>
  <c r="G66"/>
  <c r="D5" s="1"/>
  <c r="H66"/>
  <c r="D6" s="1"/>
  <c r="D29" i="7" s="1"/>
  <c r="I66" i="10"/>
  <c r="D7" s="1"/>
  <c r="D30" i="7" s="1"/>
  <c r="J66" i="10"/>
  <c r="D8" s="1"/>
  <c r="K66"/>
  <c r="D9" s="1"/>
  <c r="L66"/>
  <c r="D10" s="1"/>
  <c r="M66"/>
  <c r="D11" s="1"/>
  <c r="N66"/>
  <c r="D12" s="1"/>
  <c r="O66"/>
  <c r="D13" s="1"/>
  <c r="P66"/>
  <c r="D14" s="1"/>
  <c r="Q66"/>
  <c r="D20" s="1"/>
  <c r="R66"/>
  <c r="S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B102"/>
  <c r="D102"/>
  <c r="F102"/>
  <c r="E4" s="1"/>
  <c r="G102"/>
  <c r="E5" s="1"/>
  <c r="H102"/>
  <c r="E6" s="1"/>
  <c r="E29" i="7" s="1"/>
  <c r="I102" i="10"/>
  <c r="E7" s="1"/>
  <c r="E30" i="7" s="1"/>
  <c r="J102" i="10"/>
  <c r="E8" s="1"/>
  <c r="K102"/>
  <c r="E9" s="1"/>
  <c r="L102"/>
  <c r="E10" s="1"/>
  <c r="M102"/>
  <c r="E11" s="1"/>
  <c r="N102"/>
  <c r="E12" s="1"/>
  <c r="O102"/>
  <c r="E13" s="1"/>
  <c r="P102"/>
  <c r="E14" s="1"/>
  <c r="Q102"/>
  <c r="R102"/>
  <c r="S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B135"/>
  <c r="D135"/>
  <c r="F135"/>
  <c r="F4" s="1"/>
  <c r="G135"/>
  <c r="F5" s="1"/>
  <c r="H135"/>
  <c r="F6" s="1"/>
  <c r="F29" i="7" s="1"/>
  <c r="I135" i="10"/>
  <c r="F7" s="1"/>
  <c r="F30" i="7" s="1"/>
  <c r="J135" i="10"/>
  <c r="F8" s="1"/>
  <c r="K135"/>
  <c r="F9" s="1"/>
  <c r="L135"/>
  <c r="G10" s="1"/>
  <c r="M135"/>
  <c r="F11" s="1"/>
  <c r="N135"/>
  <c r="G12" s="1"/>
  <c r="O135"/>
  <c r="F13" s="1"/>
  <c r="P135"/>
  <c r="G14" s="1"/>
  <c r="Q135"/>
  <c r="R135"/>
  <c r="S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B192"/>
  <c r="D192"/>
  <c r="F192"/>
  <c r="G4" s="1"/>
  <c r="G192"/>
  <c r="G5" s="1"/>
  <c r="H192"/>
  <c r="G6" s="1"/>
  <c r="G29" i="7" s="1"/>
  <c r="I192" i="10"/>
  <c r="G7" s="1"/>
  <c r="G30" i="7" s="1"/>
  <c r="J192" i="10"/>
  <c r="G8" s="1"/>
  <c r="K192"/>
  <c r="G9" s="1"/>
  <c r="L192"/>
  <c r="M192"/>
  <c r="N192"/>
  <c r="O192"/>
  <c r="P192"/>
  <c r="Q192"/>
  <c r="R192"/>
  <c r="S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B234"/>
  <c r="D234"/>
  <c r="F234"/>
  <c r="H4" s="1"/>
  <c r="G234"/>
  <c r="H5" s="1"/>
  <c r="H234"/>
  <c r="H6" s="1"/>
  <c r="H29" i="7" s="1"/>
  <c r="I234" i="10"/>
  <c r="H7" s="1"/>
  <c r="H30" i="7" s="1"/>
  <c r="J234" i="10"/>
  <c r="H8" s="1"/>
  <c r="K234"/>
  <c r="L234"/>
  <c r="M234"/>
  <c r="N234"/>
  <c r="O234"/>
  <c r="P234"/>
  <c r="Q234"/>
  <c r="R234"/>
  <c r="S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B284"/>
  <c r="D284"/>
  <c r="F284"/>
  <c r="I4" s="1"/>
  <c r="G284"/>
  <c r="I5" s="1"/>
  <c r="H284"/>
  <c r="I6" s="1"/>
  <c r="I29" i="7" s="1"/>
  <c r="I284" i="10"/>
  <c r="I7" s="1"/>
  <c r="I30" i="7" s="1"/>
  <c r="J284" i="10"/>
  <c r="I8" s="1"/>
  <c r="K284"/>
  <c r="L284"/>
  <c r="M284"/>
  <c r="N284"/>
  <c r="O284"/>
  <c r="P284"/>
  <c r="Q284"/>
  <c r="R284"/>
  <c r="S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B334"/>
  <c r="D334"/>
  <c r="F334"/>
  <c r="J4" s="1"/>
  <c r="G334"/>
  <c r="J5" s="1"/>
  <c r="H334"/>
  <c r="J6" s="1"/>
  <c r="J29" i="7" s="1"/>
  <c r="I334" i="10"/>
  <c r="J7" s="1"/>
  <c r="J30" i="7" s="1"/>
  <c r="J334" i="10"/>
  <c r="J8" s="1"/>
  <c r="K334"/>
  <c r="L334"/>
  <c r="M334"/>
  <c r="N334"/>
  <c r="O334"/>
  <c r="P334"/>
  <c r="Q334"/>
  <c r="R334"/>
  <c r="S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B385"/>
  <c r="D385"/>
  <c r="F385"/>
  <c r="K4" s="1"/>
  <c r="G385"/>
  <c r="K5" s="1"/>
  <c r="H385"/>
  <c r="K6" s="1"/>
  <c r="K29" i="7" s="1"/>
  <c r="I385" i="10"/>
  <c r="K7" s="1"/>
  <c r="K30" i="7" s="1"/>
  <c r="J385" i="10"/>
  <c r="K8" s="1"/>
  <c r="K385"/>
  <c r="L385"/>
  <c r="M385"/>
  <c r="N385"/>
  <c r="O385"/>
  <c r="P385"/>
  <c r="Q385"/>
  <c r="R385"/>
  <c r="S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B424"/>
  <c r="D424"/>
  <c r="F424"/>
  <c r="L4" s="1"/>
  <c r="G424"/>
  <c r="L5" s="1"/>
  <c r="H424"/>
  <c r="L6" s="1"/>
  <c r="L29" i="7" s="1"/>
  <c r="I424" i="10"/>
  <c r="L7" s="1"/>
  <c r="L30" i="7" s="1"/>
  <c r="J424" i="10"/>
  <c r="L8" s="1"/>
  <c r="K424"/>
  <c r="L424"/>
  <c r="M424"/>
  <c r="N424"/>
  <c r="O424"/>
  <c r="P424"/>
  <c r="Q424"/>
  <c r="R424"/>
  <c r="S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B453"/>
  <c r="D453"/>
  <c r="F453"/>
  <c r="M4" s="1"/>
  <c r="G453"/>
  <c r="M5" s="1"/>
  <c r="H453"/>
  <c r="M6" s="1"/>
  <c r="M29" i="7" s="1"/>
  <c r="I453" i="10"/>
  <c r="M7" s="1"/>
  <c r="M30" i="7" s="1"/>
  <c r="J453" i="10"/>
  <c r="M8" s="1"/>
  <c r="K453"/>
  <c r="L453"/>
  <c r="M453"/>
  <c r="N453"/>
  <c r="O453"/>
  <c r="P453"/>
  <c r="Q453"/>
  <c r="R453"/>
  <c r="S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B495"/>
  <c r="D495"/>
  <c r="F495"/>
  <c r="N4" s="1"/>
  <c r="N31" i="7" s="1"/>
  <c r="G495" i="10"/>
  <c r="N5" s="1"/>
  <c r="N32" i="7" s="1"/>
  <c r="H495" i="10"/>
  <c r="N6" s="1"/>
  <c r="N29" i="7" s="1"/>
  <c r="I495" i="10"/>
  <c r="N7" s="1"/>
  <c r="N30" i="7" s="1"/>
  <c r="J495" i="10"/>
  <c r="N8" s="1"/>
  <c r="K495"/>
  <c r="L495"/>
  <c r="M495"/>
  <c r="N495"/>
  <c r="O495"/>
  <c r="P495"/>
  <c r="Q495"/>
  <c r="R495"/>
  <c r="S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D523"/>
  <c r="E523"/>
  <c r="F523"/>
  <c r="G523"/>
  <c r="H523"/>
  <c r="I523"/>
  <c r="J523"/>
  <c r="K523"/>
  <c r="L523"/>
  <c r="M523"/>
  <c r="N523"/>
  <c r="C524"/>
  <c r="D524"/>
  <c r="E524"/>
  <c r="F524"/>
  <c r="G524"/>
  <c r="H524"/>
  <c r="I524"/>
  <c r="J524"/>
  <c r="K524"/>
  <c r="L524"/>
  <c r="M524"/>
  <c r="N524"/>
  <c r="O524" s="1"/>
  <c r="C525"/>
  <c r="D525"/>
  <c r="E525"/>
  <c r="F525"/>
  <c r="G525"/>
  <c r="H525"/>
  <c r="I525"/>
  <c r="J525"/>
  <c r="K525"/>
  <c r="L525"/>
  <c r="M525"/>
  <c r="N525"/>
  <c r="C527"/>
  <c r="D527"/>
  <c r="E527"/>
  <c r="F527"/>
  <c r="G527"/>
  <c r="H527"/>
  <c r="I527"/>
  <c r="J527"/>
  <c r="K527"/>
  <c r="L527"/>
  <c r="M527"/>
  <c r="N527"/>
  <c r="C528"/>
  <c r="D528"/>
  <c r="E528"/>
  <c r="F528"/>
  <c r="G528"/>
  <c r="H528"/>
  <c r="I528"/>
  <c r="J528"/>
  <c r="K528"/>
  <c r="L528"/>
  <c r="M528"/>
  <c r="N528"/>
  <c r="O529"/>
  <c r="O530"/>
  <c r="O531"/>
  <c r="O532"/>
  <c r="O533"/>
  <c r="B535"/>
  <c r="D535"/>
  <c r="C523" s="1"/>
  <c r="O523" s="1"/>
  <c r="E535"/>
  <c r="F535"/>
  <c r="H535"/>
  <c r="I535"/>
  <c r="J535"/>
  <c r="K535"/>
  <c r="L535"/>
  <c r="M535"/>
  <c r="N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B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B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B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B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B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B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B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B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B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B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B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E2" i="9"/>
  <c r="F2"/>
  <c r="G2"/>
  <c r="I2"/>
  <c r="J2"/>
  <c r="L2"/>
  <c r="B3"/>
  <c r="E3"/>
  <c r="F3"/>
  <c r="G3"/>
  <c r="I3"/>
  <c r="J3"/>
  <c r="L3"/>
  <c r="B4"/>
  <c r="E4"/>
  <c r="F4"/>
  <c r="G4"/>
  <c r="I4"/>
  <c r="J4"/>
  <c r="L4"/>
  <c r="B5"/>
  <c r="E5"/>
  <c r="F5"/>
  <c r="G5"/>
  <c r="I5"/>
  <c r="J5"/>
  <c r="L5"/>
  <c r="B6"/>
  <c r="E6"/>
  <c r="F6"/>
  <c r="G6"/>
  <c r="I6"/>
  <c r="J6"/>
  <c r="L6"/>
  <c r="B7"/>
  <c r="E7"/>
  <c r="F7"/>
  <c r="G7"/>
  <c r="I7"/>
  <c r="J7"/>
  <c r="L7"/>
  <c r="B8"/>
  <c r="D8"/>
  <c r="E8"/>
  <c r="F8"/>
  <c r="G8"/>
  <c r="I8"/>
  <c r="J8"/>
  <c r="L8"/>
  <c r="B9"/>
  <c r="D9"/>
  <c r="E9"/>
  <c r="F9"/>
  <c r="G9"/>
  <c r="I9"/>
  <c r="J9"/>
  <c r="L9"/>
  <c r="B10"/>
  <c r="D10"/>
  <c r="E10"/>
  <c r="F10"/>
  <c r="G10"/>
  <c r="I10"/>
  <c r="J10"/>
  <c r="L10"/>
  <c r="B11"/>
  <c r="D11"/>
  <c r="E11"/>
  <c r="F11"/>
  <c r="G11"/>
  <c r="I11"/>
  <c r="J11"/>
  <c r="L11"/>
  <c r="B12"/>
  <c r="E12"/>
  <c r="F12"/>
  <c r="G12"/>
  <c r="I12"/>
  <c r="J12"/>
  <c r="L12"/>
  <c r="D13"/>
  <c r="E13"/>
  <c r="F13"/>
  <c r="G13"/>
  <c r="I13"/>
  <c r="J13"/>
  <c r="L13"/>
  <c r="E14"/>
  <c r="F14"/>
  <c r="G14"/>
  <c r="I14"/>
  <c r="J14"/>
  <c r="L14"/>
  <c r="D16"/>
  <c r="D2" s="1"/>
  <c r="D17"/>
  <c r="D33"/>
  <c r="D37"/>
  <c r="D38"/>
  <c r="D42"/>
  <c r="D43"/>
  <c r="D47"/>
  <c r="D55"/>
  <c r="D57"/>
  <c r="D58"/>
  <c r="D61"/>
  <c r="D62"/>
  <c r="D74"/>
  <c r="D75"/>
  <c r="D80"/>
  <c r="D6" s="1"/>
  <c r="D87"/>
  <c r="D7" s="1"/>
  <c r="D166"/>
  <c r="D167"/>
  <c r="A2" i="8"/>
  <c r="I2"/>
  <c r="J2"/>
  <c r="K2"/>
  <c r="L2"/>
  <c r="N2"/>
  <c r="O2"/>
  <c r="P2"/>
  <c r="Q2"/>
  <c r="A3"/>
  <c r="A4"/>
  <c r="D15"/>
  <c r="E15"/>
  <c r="I15"/>
  <c r="F31"/>
  <c r="G31"/>
  <c r="H31" s="1"/>
  <c r="H15" s="1"/>
  <c r="H38"/>
  <c r="H39"/>
  <c r="H41"/>
  <c r="D42"/>
  <c r="E42"/>
  <c r="N42"/>
  <c r="I44"/>
  <c r="I42" s="1"/>
  <c r="H46"/>
  <c r="H61"/>
  <c r="H62"/>
  <c r="H64"/>
  <c r="H65"/>
  <c r="H66"/>
  <c r="D67"/>
  <c r="E67"/>
  <c r="N67"/>
  <c r="F83"/>
  <c r="G83"/>
  <c r="H90"/>
  <c r="H91"/>
  <c r="H93"/>
  <c r="I94"/>
  <c r="I67" s="1"/>
  <c r="H95"/>
  <c r="D96"/>
  <c r="E96"/>
  <c r="N96"/>
  <c r="I98"/>
  <c r="I96" s="1"/>
  <c r="F112"/>
  <c r="G112"/>
  <c r="H112"/>
  <c r="H117"/>
  <c r="H118"/>
  <c r="H120"/>
  <c r="H122"/>
  <c r="D123"/>
  <c r="E123"/>
  <c r="N123"/>
  <c r="I124"/>
  <c r="I125"/>
  <c r="F139"/>
  <c r="G139"/>
  <c r="H144"/>
  <c r="H145"/>
  <c r="H146"/>
  <c r="H147"/>
  <c r="D148"/>
  <c r="E148"/>
  <c r="I148"/>
  <c r="N148"/>
  <c r="J159"/>
  <c r="F163"/>
  <c r="G163"/>
  <c r="H168"/>
  <c r="H169"/>
  <c r="H170"/>
  <c r="H172"/>
  <c r="D173"/>
  <c r="E173"/>
  <c r="I173"/>
  <c r="K173"/>
  <c r="N173"/>
  <c r="J184"/>
  <c r="J185"/>
  <c r="F189"/>
  <c r="G189"/>
  <c r="H196"/>
  <c r="H197"/>
  <c r="H200"/>
  <c r="D201"/>
  <c r="E201"/>
  <c r="I201"/>
  <c r="N201"/>
  <c r="F213"/>
  <c r="G213"/>
  <c r="H218"/>
  <c r="M218"/>
  <c r="H219"/>
  <c r="M219"/>
  <c r="H220"/>
  <c r="M220"/>
  <c r="H222"/>
  <c r="D223"/>
  <c r="E223"/>
  <c r="I223"/>
  <c r="F236"/>
  <c r="G236"/>
  <c r="H242"/>
  <c r="H243"/>
  <c r="H245"/>
  <c r="M245"/>
  <c r="H247"/>
  <c r="D248"/>
  <c r="E248"/>
  <c r="I248"/>
  <c r="N248"/>
  <c r="H264"/>
  <c r="L264"/>
  <c r="H265"/>
  <c r="L265"/>
  <c r="H266"/>
  <c r="D267"/>
  <c r="E267"/>
  <c r="I267"/>
  <c r="N267"/>
  <c r="F277"/>
  <c r="G277"/>
  <c r="H282"/>
  <c r="L282"/>
  <c r="H283"/>
  <c r="L283"/>
  <c r="H284"/>
  <c r="E285"/>
  <c r="E14" s="1"/>
  <c r="I285"/>
  <c r="N285"/>
  <c r="F296"/>
  <c r="G296"/>
  <c r="H301"/>
  <c r="M301" s="1"/>
  <c r="L301"/>
  <c r="H302"/>
  <c r="M302" s="1"/>
  <c r="L302"/>
  <c r="D303"/>
  <c r="D285" s="1"/>
  <c r="H303"/>
  <c r="M303"/>
  <c r="D2" i="7"/>
  <c r="E2"/>
  <c r="F2"/>
  <c r="G2"/>
  <c r="H2"/>
  <c r="I2"/>
  <c r="J2"/>
  <c r="K2"/>
  <c r="L2"/>
  <c r="M2"/>
  <c r="N2"/>
  <c r="P3"/>
  <c r="R3"/>
  <c r="P4"/>
  <c r="R4"/>
  <c r="P5"/>
  <c r="R5"/>
  <c r="P6"/>
  <c r="R6"/>
  <c r="D7"/>
  <c r="F7"/>
  <c r="G7"/>
  <c r="H7"/>
  <c r="I7"/>
  <c r="J7"/>
  <c r="K7"/>
  <c r="L7"/>
  <c r="M7"/>
  <c r="N7"/>
  <c r="P8"/>
  <c r="R8"/>
  <c r="P9"/>
  <c r="R9"/>
  <c r="P10"/>
  <c r="R10"/>
  <c r="P11"/>
  <c r="R11"/>
  <c r="P12"/>
  <c r="R12"/>
  <c r="P13"/>
  <c r="R13"/>
  <c r="P14"/>
  <c r="R14"/>
  <c r="P15"/>
  <c r="R15"/>
  <c r="P16"/>
  <c r="R16"/>
  <c r="P17"/>
  <c r="R17"/>
  <c r="P18"/>
  <c r="R18"/>
  <c r="P19"/>
  <c r="R19"/>
  <c r="P20"/>
  <c r="R20"/>
  <c r="P21"/>
  <c r="R21"/>
  <c r="P22"/>
  <c r="R22"/>
  <c r="P23"/>
  <c r="R23"/>
  <c r="P24"/>
  <c r="R24"/>
  <c r="E25"/>
  <c r="E7" s="1"/>
  <c r="P26"/>
  <c r="R26"/>
  <c r="D33"/>
  <c r="G33"/>
  <c r="H33"/>
  <c r="J33"/>
  <c r="K33"/>
  <c r="L33"/>
  <c r="M33"/>
  <c r="C38"/>
  <c r="D38"/>
  <c r="E38"/>
  <c r="F38"/>
  <c r="G38"/>
  <c r="H38"/>
  <c r="I38"/>
  <c r="J38"/>
  <c r="K38"/>
  <c r="L38"/>
  <c r="M38"/>
  <c r="N38"/>
  <c r="O38"/>
  <c r="D43"/>
  <c r="E43" s="1"/>
  <c r="F43" s="1"/>
  <c r="G43" s="1"/>
  <c r="H43" s="1"/>
  <c r="I43" s="1"/>
  <c r="J43" s="1"/>
  <c r="K43" s="1"/>
  <c r="L43" s="1"/>
  <c r="M43" s="1"/>
  <c r="N43" s="1"/>
  <c r="C50"/>
  <c r="C51" s="1"/>
  <c r="C57"/>
  <c r="C52" s="1"/>
  <c r="C59"/>
  <c r="E59"/>
  <c r="F59" s="1"/>
  <c r="G59" s="1"/>
  <c r="H59" s="1"/>
  <c r="I59" s="1"/>
  <c r="J59" s="1"/>
  <c r="K59" s="1"/>
  <c r="L59" s="1"/>
  <c r="M59" s="1"/>
  <c r="N59" s="1"/>
  <c r="C60"/>
  <c r="E60"/>
  <c r="F60" s="1"/>
  <c r="G60" s="1"/>
  <c r="H60" s="1"/>
  <c r="I60" s="1"/>
  <c r="J60" s="1"/>
  <c r="K60" s="1"/>
  <c r="L60" s="1"/>
  <c r="M60" s="1"/>
  <c r="N60" s="1"/>
  <c r="E61"/>
  <c r="F61" s="1"/>
  <c r="G61" s="1"/>
  <c r="H61" s="1"/>
  <c r="I61" s="1"/>
  <c r="J61" s="1"/>
  <c r="K61" s="1"/>
  <c r="L61" s="1"/>
  <c r="M61" s="1"/>
  <c r="N61" s="1"/>
  <c r="D62"/>
  <c r="E62" s="1"/>
  <c r="F62" s="1"/>
  <c r="G62" s="1"/>
  <c r="E63"/>
  <c r="F63" s="1"/>
  <c r="G63" s="1"/>
  <c r="E65"/>
  <c r="F65" s="1"/>
  <c r="G65" s="1"/>
  <c r="O2" i="6"/>
  <c r="P2"/>
  <c r="Q2"/>
  <c r="A3"/>
  <c r="A4"/>
  <c r="J7"/>
  <c r="K8"/>
  <c r="H11"/>
  <c r="I11"/>
  <c r="H13"/>
  <c r="I13"/>
  <c r="E15"/>
  <c r="I15"/>
  <c r="E3" s="1"/>
  <c r="D35"/>
  <c r="E36"/>
  <c r="I36"/>
  <c r="E4" s="1"/>
  <c r="O36"/>
  <c r="D55"/>
  <c r="D36" s="1"/>
  <c r="E56"/>
  <c r="I56"/>
  <c r="E5" s="1"/>
  <c r="O56"/>
  <c r="D76"/>
  <c r="D77"/>
  <c r="E77"/>
  <c r="I77"/>
  <c r="E6" s="1"/>
  <c r="O77"/>
  <c r="D98"/>
  <c r="E98"/>
  <c r="I98"/>
  <c r="E7" s="1"/>
  <c r="O98"/>
  <c r="D118"/>
  <c r="E118"/>
  <c r="I118"/>
  <c r="E8" s="1"/>
  <c r="O118"/>
  <c r="D137"/>
  <c r="E137"/>
  <c r="I137"/>
  <c r="E9" s="1"/>
  <c r="J137"/>
  <c r="K137"/>
  <c r="L137"/>
  <c r="O137"/>
  <c r="H157"/>
  <c r="D158"/>
  <c r="E158"/>
  <c r="I158"/>
  <c r="E10" s="1"/>
  <c r="O158"/>
  <c r="H179"/>
  <c r="E180"/>
  <c r="I180"/>
  <c r="E11" s="1"/>
  <c r="D200"/>
  <c r="D180" s="1"/>
  <c r="H200"/>
  <c r="E201"/>
  <c r="I201"/>
  <c r="E12" s="1"/>
  <c r="O201"/>
  <c r="D221"/>
  <c r="D201" s="1"/>
  <c r="H221"/>
  <c r="E222"/>
  <c r="I222"/>
  <c r="E13" s="1"/>
  <c r="O222"/>
  <c r="H233"/>
  <c r="D240"/>
  <c r="D222" s="1"/>
  <c r="H240"/>
  <c r="E241"/>
  <c r="E14" s="1"/>
  <c r="I241"/>
  <c r="O241"/>
  <c r="H258"/>
  <c r="D259"/>
  <c r="H259"/>
  <c r="D260"/>
  <c r="E262"/>
  <c r="F262"/>
  <c r="G262"/>
  <c r="H262"/>
  <c r="I262"/>
  <c r="J262"/>
  <c r="K262"/>
  <c r="L262"/>
  <c r="M262"/>
  <c r="N262"/>
  <c r="O262"/>
  <c r="P262"/>
  <c r="Q262"/>
  <c r="R262"/>
  <c r="W262"/>
  <c r="E263"/>
  <c r="U262" s="1"/>
  <c r="F263"/>
  <c r="G263"/>
  <c r="H263"/>
  <c r="T262" s="1"/>
  <c r="I263"/>
  <c r="J263"/>
  <c r="K263"/>
  <c r="L263"/>
  <c r="M263"/>
  <c r="N263"/>
  <c r="O263"/>
  <c r="P263"/>
  <c r="Q263"/>
  <c r="R263"/>
  <c r="E264"/>
  <c r="F264"/>
  <c r="G264"/>
  <c r="H264"/>
  <c r="T263" s="1"/>
  <c r="I264"/>
  <c r="J264"/>
  <c r="K264"/>
  <c r="L264"/>
  <c r="M264"/>
  <c r="N264"/>
  <c r="O264"/>
  <c r="P264"/>
  <c r="Q264"/>
  <c r="R264"/>
  <c r="E265"/>
  <c r="F265"/>
  <c r="G265"/>
  <c r="H265"/>
  <c r="T264" s="1"/>
  <c r="I265"/>
  <c r="J265"/>
  <c r="K265"/>
  <c r="L265"/>
  <c r="M265"/>
  <c r="N265"/>
  <c r="O265"/>
  <c r="P265"/>
  <c r="Q265"/>
  <c r="R265"/>
  <c r="E266"/>
  <c r="F266"/>
  <c r="G266"/>
  <c r="H266"/>
  <c r="T265" s="1"/>
  <c r="I266"/>
  <c r="J266"/>
  <c r="K266"/>
  <c r="L266"/>
  <c r="M266"/>
  <c r="N266"/>
  <c r="O266"/>
  <c r="P266"/>
  <c r="Q266"/>
  <c r="R266"/>
  <c r="E267"/>
  <c r="F267"/>
  <c r="G267"/>
  <c r="H267"/>
  <c r="T266" s="1"/>
  <c r="I267"/>
  <c r="J267"/>
  <c r="K267"/>
  <c r="L267"/>
  <c r="M267"/>
  <c r="N267"/>
  <c r="O267"/>
  <c r="P267"/>
  <c r="Q267"/>
  <c r="R267"/>
  <c r="E268"/>
  <c r="F268"/>
  <c r="U267" s="1"/>
  <c r="G268"/>
  <c r="H268"/>
  <c r="T267" s="1"/>
  <c r="I268"/>
  <c r="J268"/>
  <c r="K268"/>
  <c r="L268"/>
  <c r="M268"/>
  <c r="N268"/>
  <c r="O268"/>
  <c r="P268"/>
  <c r="Q268"/>
  <c r="R268"/>
  <c r="T268"/>
  <c r="U268"/>
  <c r="T269"/>
  <c r="U269"/>
  <c r="T270"/>
  <c r="U270"/>
  <c r="E271"/>
  <c r="T271"/>
  <c r="E272"/>
  <c r="U271" s="1"/>
  <c r="T272"/>
  <c r="E273"/>
  <c r="U272" s="1"/>
  <c r="T273"/>
  <c r="E274"/>
  <c r="U273" s="1"/>
  <c r="T274"/>
  <c r="F275"/>
  <c r="U274" s="1"/>
  <c r="T275"/>
  <c r="U275"/>
  <c r="T276"/>
  <c r="F277"/>
  <c r="U276" s="1"/>
  <c r="T277"/>
  <c r="U277"/>
  <c r="V278"/>
  <c r="W278"/>
  <c r="D279"/>
  <c r="E279"/>
  <c r="G279"/>
  <c r="H279"/>
  <c r="I279"/>
  <c r="J279"/>
  <c r="K279"/>
  <c r="L279"/>
  <c r="M279"/>
  <c r="N279"/>
  <c r="O279"/>
  <c r="P279"/>
  <c r="Q279"/>
  <c r="R279"/>
  <c r="E280"/>
  <c r="G280"/>
  <c r="F281"/>
  <c r="G281"/>
  <c r="H281"/>
  <c r="I281"/>
  <c r="K281"/>
  <c r="L281"/>
  <c r="M281"/>
  <c r="N281"/>
  <c r="O281"/>
  <c r="P281"/>
  <c r="Q281"/>
  <c r="R281"/>
  <c r="I282"/>
  <c r="J282"/>
  <c r="K282"/>
  <c r="L282"/>
  <c r="M282"/>
  <c r="N282"/>
  <c r="O282"/>
  <c r="P282"/>
  <c r="Q282"/>
  <c r="R282"/>
  <c r="G283"/>
  <c r="H283"/>
  <c r="I283"/>
  <c r="J283"/>
  <c r="K283"/>
  <c r="L283"/>
  <c r="M283"/>
  <c r="N283"/>
  <c r="O283"/>
  <c r="P283"/>
  <c r="Q283"/>
  <c r="R283"/>
  <c r="F285"/>
  <c r="G285"/>
  <c r="H285"/>
  <c r="I285"/>
  <c r="K285"/>
  <c r="L285"/>
  <c r="M285"/>
  <c r="N285"/>
  <c r="O285"/>
  <c r="P285"/>
  <c r="Q285"/>
  <c r="R285"/>
  <c r="C2" i="5"/>
  <c r="E2"/>
  <c r="F2"/>
  <c r="G2"/>
  <c r="H2"/>
  <c r="I2"/>
  <c r="J2"/>
  <c r="K2"/>
  <c r="L2"/>
  <c r="M3"/>
  <c r="N3"/>
  <c r="N2" s="1"/>
  <c r="O3"/>
  <c r="P3" s="1"/>
  <c r="M4"/>
  <c r="N4"/>
  <c r="O4" s="1"/>
  <c r="P4" s="1"/>
  <c r="M5"/>
  <c r="N5"/>
  <c r="O5" s="1"/>
  <c r="P5" s="1"/>
  <c r="M6"/>
  <c r="N6"/>
  <c r="P11"/>
  <c r="Q11" s="1"/>
  <c r="P12"/>
  <c r="Q12" s="1"/>
  <c r="P13"/>
  <c r="Q13" s="1"/>
  <c r="P14"/>
  <c r="Q14" s="1"/>
  <c r="K15"/>
  <c r="P16"/>
  <c r="Q16" s="1"/>
  <c r="P17"/>
  <c r="Q17" s="1"/>
  <c r="P18"/>
  <c r="Q18" s="1"/>
  <c r="P19"/>
  <c r="Q19" s="1"/>
  <c r="P20"/>
  <c r="Q20" s="1"/>
  <c r="Y20"/>
  <c r="P21"/>
  <c r="Q21" s="1"/>
  <c r="P22"/>
  <c r="Q22" s="1"/>
  <c r="L23"/>
  <c r="L9" s="1"/>
  <c r="L39" s="1"/>
  <c r="U23"/>
  <c r="T28"/>
  <c r="T33"/>
  <c r="P34"/>
  <c r="P35"/>
  <c r="P37"/>
  <c r="Q37" s="1"/>
  <c r="P38"/>
  <c r="Q38" s="1"/>
  <c r="O41"/>
  <c r="V41" s="1"/>
  <c r="B45"/>
  <c r="D45"/>
  <c r="E45"/>
  <c r="F45"/>
  <c r="G45"/>
  <c r="H45"/>
  <c r="C25" s="1"/>
  <c r="I45"/>
  <c r="C26" s="1"/>
  <c r="J45"/>
  <c r="K45"/>
  <c r="L45"/>
  <c r="M45"/>
  <c r="O45"/>
  <c r="P45"/>
  <c r="Q45"/>
  <c r="T45"/>
  <c r="U45"/>
  <c r="V45"/>
  <c r="N52"/>
  <c r="N57"/>
  <c r="S59"/>
  <c r="S85"/>
  <c r="R127"/>
  <c r="R45" s="1"/>
  <c r="S128"/>
  <c r="C145"/>
  <c r="E145"/>
  <c r="G145"/>
  <c r="H145"/>
  <c r="D25" s="1"/>
  <c r="I145"/>
  <c r="D26" s="1"/>
  <c r="J145"/>
  <c r="K145"/>
  <c r="L145"/>
  <c r="M145"/>
  <c r="Q145"/>
  <c r="U145"/>
  <c r="D7" s="1"/>
  <c r="V145"/>
  <c r="N149"/>
  <c r="N145" s="1"/>
  <c r="D151"/>
  <c r="D145" s="1"/>
  <c r="O169"/>
  <c r="O145" s="1"/>
  <c r="P170"/>
  <c r="P174"/>
  <c r="P175"/>
  <c r="P176"/>
  <c r="R179"/>
  <c r="S180"/>
  <c r="P188"/>
  <c r="P189"/>
  <c r="R194"/>
  <c r="S195"/>
  <c r="T205"/>
  <c r="T145" s="1"/>
  <c r="T217"/>
  <c r="R219"/>
  <c r="S220"/>
  <c r="F225"/>
  <c r="F145" s="1"/>
  <c r="C226"/>
  <c r="D226"/>
  <c r="E226"/>
  <c r="F226"/>
  <c r="G226"/>
  <c r="H226"/>
  <c r="E25" s="1"/>
  <c r="I226"/>
  <c r="E26" s="1"/>
  <c r="J226"/>
  <c r="K226"/>
  <c r="L226"/>
  <c r="N226"/>
  <c r="Q226"/>
  <c r="U226"/>
  <c r="M233"/>
  <c r="M226" s="1"/>
  <c r="O241"/>
  <c r="V242"/>
  <c r="V226" s="1"/>
  <c r="P243"/>
  <c r="O244"/>
  <c r="P245"/>
  <c r="P250"/>
  <c r="R253"/>
  <c r="S254"/>
  <c r="R267"/>
  <c r="S268"/>
  <c r="T278"/>
  <c r="T280"/>
  <c r="C291"/>
  <c r="F291"/>
  <c r="G291"/>
  <c r="H291"/>
  <c r="F25" s="1"/>
  <c r="I291"/>
  <c r="F26" s="1"/>
  <c r="J291"/>
  <c r="K291"/>
  <c r="L291"/>
  <c r="N291"/>
  <c r="R291"/>
  <c r="S291"/>
  <c r="U291"/>
  <c r="D310"/>
  <c r="D311"/>
  <c r="E311"/>
  <c r="D312"/>
  <c r="E312"/>
  <c r="D313"/>
  <c r="E313"/>
  <c r="D314"/>
  <c r="E314"/>
  <c r="D315"/>
  <c r="E315"/>
  <c r="D316"/>
  <c r="E316"/>
  <c r="D317"/>
  <c r="E317"/>
  <c r="D318"/>
  <c r="Q318" s="1"/>
  <c r="D319"/>
  <c r="O319" s="1"/>
  <c r="O291" s="1"/>
  <c r="D320"/>
  <c r="V320" s="1"/>
  <c r="V291" s="1"/>
  <c r="P321"/>
  <c r="P322"/>
  <c r="P326"/>
  <c r="T327"/>
  <c r="T291" s="1"/>
  <c r="Q328"/>
  <c r="B375"/>
  <c r="D375"/>
  <c r="E375"/>
  <c r="F375"/>
  <c r="G375"/>
  <c r="H375"/>
  <c r="G25" s="1"/>
  <c r="G9" s="1"/>
  <c r="G39" s="1"/>
  <c r="I375"/>
  <c r="G26" s="1"/>
  <c r="J375"/>
  <c r="K375"/>
  <c r="L375"/>
  <c r="M375"/>
  <c r="N375"/>
  <c r="Q375"/>
  <c r="R375"/>
  <c r="S375"/>
  <c r="T375"/>
  <c r="U375"/>
  <c r="P377"/>
  <c r="O384"/>
  <c r="O389"/>
  <c r="V390"/>
  <c r="V375" s="1"/>
  <c r="P393"/>
  <c r="P394"/>
  <c r="O443"/>
  <c r="B458"/>
  <c r="F458"/>
  <c r="G458"/>
  <c r="H458"/>
  <c r="H25" s="1"/>
  <c r="H9" s="1"/>
  <c r="H39" s="1"/>
  <c r="I458"/>
  <c r="H26" s="1"/>
  <c r="J458"/>
  <c r="K458"/>
  <c r="L458"/>
  <c r="N458"/>
  <c r="Q458"/>
  <c r="R458"/>
  <c r="S458"/>
  <c r="T458"/>
  <c r="U458"/>
  <c r="V458"/>
  <c r="O465"/>
  <c r="O458" s="1"/>
  <c r="P467"/>
  <c r="P470"/>
  <c r="P471"/>
  <c r="M473"/>
  <c r="M458" s="1"/>
  <c r="D475"/>
  <c r="E475"/>
  <c r="D476"/>
  <c r="E476"/>
  <c r="D477"/>
  <c r="E477"/>
  <c r="B527"/>
  <c r="F527"/>
  <c r="G527"/>
  <c r="H527"/>
  <c r="I25" s="1"/>
  <c r="I527"/>
  <c r="I26" s="1"/>
  <c r="J527"/>
  <c r="K527"/>
  <c r="L527"/>
  <c r="N527"/>
  <c r="Q527"/>
  <c r="R527"/>
  <c r="S527"/>
  <c r="U527"/>
  <c r="O533"/>
  <c r="P545"/>
  <c r="D547"/>
  <c r="D527" s="1"/>
  <c r="D548"/>
  <c r="O548" s="1"/>
  <c r="D549"/>
  <c r="V549" s="1"/>
  <c r="V527" s="1"/>
  <c r="E550"/>
  <c r="M552"/>
  <c r="M527" s="1"/>
  <c r="E553"/>
  <c r="D554"/>
  <c r="E554" s="1"/>
  <c r="P555"/>
  <c r="P557"/>
  <c r="O562"/>
  <c r="O563"/>
  <c r="T564"/>
  <c r="T527" s="1"/>
  <c r="D567"/>
  <c r="E567" s="1"/>
  <c r="O583"/>
  <c r="B608"/>
  <c r="F608"/>
  <c r="G608"/>
  <c r="H608"/>
  <c r="J25" s="1"/>
  <c r="J9" s="1"/>
  <c r="J39" s="1"/>
  <c r="I608"/>
  <c r="J26" s="1"/>
  <c r="J608"/>
  <c r="K608"/>
  <c r="L608"/>
  <c r="N608"/>
  <c r="R608"/>
  <c r="S608"/>
  <c r="U608"/>
  <c r="V608"/>
  <c r="W608"/>
  <c r="Q616"/>
  <c r="Q608" s="1"/>
  <c r="D617"/>
  <c r="E618"/>
  <c r="O619"/>
  <c r="O608" s="1"/>
  <c r="D620"/>
  <c r="E620" s="1"/>
  <c r="D621"/>
  <c r="E621" s="1"/>
  <c r="M622"/>
  <c r="M608" s="1"/>
  <c r="E624"/>
  <c r="P625"/>
  <c r="P626"/>
  <c r="P627"/>
  <c r="D634"/>
  <c r="E634" s="1"/>
  <c r="T643"/>
  <c r="T608" s="1"/>
  <c r="B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B678"/>
  <c r="F678"/>
  <c r="G678"/>
  <c r="H678"/>
  <c r="K25" s="1"/>
  <c r="I678"/>
  <c r="K26" s="1"/>
  <c r="J678"/>
  <c r="K678"/>
  <c r="L678"/>
  <c r="N678"/>
  <c r="R678"/>
  <c r="S678"/>
  <c r="T678"/>
  <c r="K36" s="1"/>
  <c r="U678"/>
  <c r="P682"/>
  <c r="P693"/>
  <c r="M695"/>
  <c r="M678" s="1"/>
  <c r="E696"/>
  <c r="E697"/>
  <c r="E698"/>
  <c r="E699"/>
  <c r="O700"/>
  <c r="D701"/>
  <c r="D678" s="1"/>
  <c r="P702"/>
  <c r="P703"/>
  <c r="Q704"/>
  <c r="Q705"/>
  <c r="E712"/>
  <c r="O717"/>
  <c r="B747"/>
  <c r="D747"/>
  <c r="E747"/>
  <c r="F747"/>
  <c r="H747"/>
  <c r="I747"/>
  <c r="J747"/>
  <c r="K747"/>
  <c r="L747"/>
  <c r="M747"/>
  <c r="N747"/>
  <c r="O747"/>
  <c r="P747"/>
  <c r="Q747"/>
  <c r="R747"/>
  <c r="S747"/>
  <c r="T747"/>
  <c r="U747"/>
  <c r="V747"/>
  <c r="W747"/>
  <c r="G748"/>
  <c r="G747" s="1"/>
  <c r="B749"/>
  <c r="G749"/>
  <c r="H749"/>
  <c r="I749"/>
  <c r="J749"/>
  <c r="K749"/>
  <c r="L749"/>
  <c r="N749"/>
  <c r="R749"/>
  <c r="S749"/>
  <c r="T749"/>
  <c r="U749"/>
  <c r="W749"/>
  <c r="M761"/>
  <c r="M749" s="1"/>
  <c r="Q765"/>
  <c r="Q749" s="1"/>
  <c r="D767"/>
  <c r="D749" s="1"/>
  <c r="D768"/>
  <c r="V768"/>
  <c r="V749" s="1"/>
  <c r="P772"/>
  <c r="P775"/>
  <c r="F776"/>
  <c r="F749" s="1"/>
  <c r="D783"/>
  <c r="E783" s="1"/>
  <c r="E749" s="1"/>
  <c r="B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P814"/>
  <c r="G815"/>
  <c r="G816"/>
  <c r="L816"/>
  <c r="G817"/>
  <c r="L817"/>
  <c r="D819"/>
  <c r="B897"/>
  <c r="D897"/>
  <c r="E897"/>
  <c r="F897"/>
  <c r="M23" s="1"/>
  <c r="P23" s="1"/>
  <c r="Q23" s="1"/>
  <c r="G897"/>
  <c r="M24" s="1"/>
  <c r="P24" s="1"/>
  <c r="Q24" s="1"/>
  <c r="T24" s="1"/>
  <c r="H897"/>
  <c r="M25" s="1"/>
  <c r="I897"/>
  <c r="M26" s="1"/>
  <c r="J897"/>
  <c r="M27" s="1"/>
  <c r="P27" s="1"/>
  <c r="Q27" s="1"/>
  <c r="K897"/>
  <c r="M28" s="1"/>
  <c r="P28" s="1"/>
  <c r="Q28" s="1"/>
  <c r="L897"/>
  <c r="M29" s="1"/>
  <c r="P29" s="1"/>
  <c r="Q29" s="1"/>
  <c r="M897"/>
  <c r="M10" s="1"/>
  <c r="N897"/>
  <c r="M30" s="1"/>
  <c r="P30" s="1"/>
  <c r="Q30" s="1"/>
  <c r="O897"/>
  <c r="M31" s="1"/>
  <c r="P31" s="1"/>
  <c r="Q31" s="1"/>
  <c r="P897"/>
  <c r="M32" s="1"/>
  <c r="P32" s="1"/>
  <c r="Q32" s="1"/>
  <c r="Q897"/>
  <c r="M33" s="1"/>
  <c r="P33" s="1"/>
  <c r="Q33" s="1"/>
  <c r="R897"/>
  <c r="S897"/>
  <c r="T897"/>
  <c r="U897"/>
  <c r="V897"/>
  <c r="W897"/>
  <c r="B898"/>
  <c r="D898"/>
  <c r="E898"/>
  <c r="F898"/>
  <c r="H898"/>
  <c r="I898"/>
  <c r="J898"/>
  <c r="K898"/>
  <c r="L898"/>
  <c r="M898"/>
  <c r="N898"/>
  <c r="O898"/>
  <c r="P898"/>
  <c r="Q898"/>
  <c r="R898"/>
  <c r="S898"/>
  <c r="T898"/>
  <c r="U898"/>
  <c r="V898"/>
  <c r="W898"/>
  <c r="G900"/>
  <c r="G898" s="1"/>
  <c r="P914"/>
  <c r="P915"/>
  <c r="D919"/>
  <c r="E919" s="1"/>
  <c r="D920"/>
  <c r="E920" s="1"/>
  <c r="E921"/>
  <c r="Q922"/>
  <c r="Q923"/>
  <c r="D925"/>
  <c r="E925" s="1"/>
  <c r="Q926"/>
  <c r="P927"/>
  <c r="E936"/>
  <c r="T955"/>
  <c r="T956"/>
  <c r="T970"/>
  <c r="T971"/>
  <c r="T972"/>
  <c r="T980"/>
  <c r="T984"/>
  <c r="T985"/>
  <c r="B1002"/>
  <c r="D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B1003"/>
  <c r="D1003"/>
  <c r="N41" s="1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C1008"/>
  <c r="C1015"/>
  <c r="C1010" s="1"/>
  <c r="C1016"/>
  <c r="M1017"/>
  <c r="M1018" s="1"/>
  <c r="M1016" s="1"/>
  <c r="C1019"/>
  <c r="M1019"/>
  <c r="N1019" s="1"/>
  <c r="M1020"/>
  <c r="N1020"/>
  <c r="N1021" s="1"/>
  <c r="M1021"/>
  <c r="O1022"/>
  <c r="C4" i="4"/>
  <c r="D4"/>
  <c r="E4"/>
  <c r="F4"/>
  <c r="G4"/>
  <c r="H4"/>
  <c r="P4" s="1"/>
  <c r="Q4" s="1"/>
  <c r="I4"/>
  <c r="J4"/>
  <c r="K4"/>
  <c r="L4"/>
  <c r="M4"/>
  <c r="N4"/>
  <c r="W4"/>
  <c r="Y4"/>
  <c r="S6" s="1"/>
  <c r="C7"/>
  <c r="D7"/>
  <c r="E7"/>
  <c r="F7"/>
  <c r="G7"/>
  <c r="H7"/>
  <c r="I7"/>
  <c r="J7"/>
  <c r="K7"/>
  <c r="L7"/>
  <c r="M7"/>
  <c r="N7"/>
  <c r="W7"/>
  <c r="Y7"/>
  <c r="AA7"/>
  <c r="C9"/>
  <c r="D9"/>
  <c r="E9"/>
  <c r="F9"/>
  <c r="G9"/>
  <c r="H9"/>
  <c r="I9"/>
  <c r="J9"/>
  <c r="K9"/>
  <c r="L9"/>
  <c r="M9"/>
  <c r="N9"/>
  <c r="C10"/>
  <c r="D10"/>
  <c r="E10"/>
  <c r="F10"/>
  <c r="C11"/>
  <c r="D11"/>
  <c r="E11"/>
  <c r="F11"/>
  <c r="G11"/>
  <c r="H11"/>
  <c r="I11"/>
  <c r="J11"/>
  <c r="K11"/>
  <c r="L11"/>
  <c r="C12"/>
  <c r="D12"/>
  <c r="P12" s="1"/>
  <c r="Q12" s="1"/>
  <c r="E12"/>
  <c r="F12"/>
  <c r="G12"/>
  <c r="H12"/>
  <c r="I12"/>
  <c r="J12"/>
  <c r="K12"/>
  <c r="L12"/>
  <c r="M12"/>
  <c r="N12"/>
  <c r="C13"/>
  <c r="D13"/>
  <c r="E13"/>
  <c r="F13"/>
  <c r="G13"/>
  <c r="H13"/>
  <c r="I13"/>
  <c r="J13"/>
  <c r="K13"/>
  <c r="L13"/>
  <c r="M13"/>
  <c r="N13"/>
  <c r="C14"/>
  <c r="D14"/>
  <c r="E14"/>
  <c r="F14"/>
  <c r="G14"/>
  <c r="H14"/>
  <c r="I14"/>
  <c r="J14"/>
  <c r="K14"/>
  <c r="L14"/>
  <c r="M14"/>
  <c r="N14"/>
  <c r="C15"/>
  <c r="F15"/>
  <c r="I15"/>
  <c r="L15"/>
  <c r="P15"/>
  <c r="Q15" s="1"/>
  <c r="U15"/>
  <c r="P16"/>
  <c r="Q16" s="1"/>
  <c r="D17"/>
  <c r="J17"/>
  <c r="P17" s="1"/>
  <c r="Q17" s="1"/>
  <c r="D18"/>
  <c r="I18"/>
  <c r="U18"/>
  <c r="U19"/>
  <c r="W20"/>
  <c r="D23"/>
  <c r="P23" s="1"/>
  <c r="Q23" s="1"/>
  <c r="H26"/>
  <c r="I26"/>
  <c r="J26"/>
  <c r="K26"/>
  <c r="L26"/>
  <c r="M26"/>
  <c r="N26"/>
  <c r="C30"/>
  <c r="D30"/>
  <c r="E30"/>
  <c r="F30"/>
  <c r="G30"/>
  <c r="H30"/>
  <c r="I30"/>
  <c r="J30"/>
  <c r="K30"/>
  <c r="L30"/>
  <c r="M30"/>
  <c r="N30"/>
  <c r="A35"/>
  <c r="Q35"/>
  <c r="T35"/>
  <c r="AJ35"/>
  <c r="AL35"/>
  <c r="B39"/>
  <c r="P44"/>
  <c r="P46"/>
  <c r="P47"/>
  <c r="O50"/>
  <c r="D52"/>
  <c r="E53"/>
  <c r="E54"/>
  <c r="E55"/>
  <c r="M57"/>
  <c r="Q58"/>
  <c r="E59"/>
  <c r="D60"/>
  <c r="E60" s="1"/>
  <c r="E84" s="1"/>
  <c r="E63"/>
  <c r="B84"/>
  <c r="D84"/>
  <c r="F84"/>
  <c r="C19" s="1"/>
  <c r="G84"/>
  <c r="C20" s="1"/>
  <c r="H84"/>
  <c r="I84"/>
  <c r="C22" s="1"/>
  <c r="J84"/>
  <c r="K84"/>
  <c r="C24" s="1"/>
  <c r="L84"/>
  <c r="C25" s="1"/>
  <c r="M84"/>
  <c r="N84"/>
  <c r="C26" s="1"/>
  <c r="O84"/>
  <c r="P84"/>
  <c r="C28" s="1"/>
  <c r="Q84"/>
  <c r="R84"/>
  <c r="S84"/>
  <c r="T84"/>
  <c r="C31" s="1"/>
  <c r="U84"/>
  <c r="C32" s="1"/>
  <c r="B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B87"/>
  <c r="P91"/>
  <c r="P96"/>
  <c r="P100"/>
  <c r="M106"/>
  <c r="E109"/>
  <c r="E110"/>
  <c r="E111"/>
  <c r="O112"/>
  <c r="T113"/>
  <c r="E114"/>
  <c r="E121"/>
  <c r="E132"/>
  <c r="C162"/>
  <c r="D162"/>
  <c r="E162"/>
  <c r="F162"/>
  <c r="D19" s="1"/>
  <c r="G162"/>
  <c r="D20" s="1"/>
  <c r="H162"/>
  <c r="D21" s="1"/>
  <c r="I162"/>
  <c r="D22" s="1"/>
  <c r="J162"/>
  <c r="K162"/>
  <c r="D24" s="1"/>
  <c r="L162"/>
  <c r="D25" s="1"/>
  <c r="M162"/>
  <c r="N162"/>
  <c r="D26" s="1"/>
  <c r="O162"/>
  <c r="D27" s="1"/>
  <c r="P162"/>
  <c r="D28" s="1"/>
  <c r="Q162"/>
  <c r="D29" s="1"/>
  <c r="R162"/>
  <c r="S162"/>
  <c r="T162"/>
  <c r="U162"/>
  <c r="B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C165"/>
  <c r="D165"/>
  <c r="F165"/>
  <c r="E19" s="1"/>
  <c r="G165"/>
  <c r="E20" s="1"/>
  <c r="H165"/>
  <c r="E21" s="1"/>
  <c r="I165"/>
  <c r="E22" s="1"/>
  <c r="J165"/>
  <c r="E23" s="1"/>
  <c r="K165"/>
  <c r="E24" s="1"/>
  <c r="L165"/>
  <c r="E25" s="1"/>
  <c r="M165"/>
  <c r="N165"/>
  <c r="E26" s="1"/>
  <c r="P165"/>
  <c r="E28" s="1"/>
  <c r="Q165"/>
  <c r="E29" s="1"/>
  <c r="R165"/>
  <c r="S165"/>
  <c r="U165"/>
  <c r="P169"/>
  <c r="P177"/>
  <c r="P181"/>
  <c r="M182"/>
  <c r="E185"/>
  <c r="E186"/>
  <c r="E187"/>
  <c r="E188"/>
  <c r="O189"/>
  <c r="T190"/>
  <c r="T165" s="1"/>
  <c r="E194"/>
  <c r="E165" s="1"/>
  <c r="O195"/>
  <c r="B225"/>
  <c r="C227"/>
  <c r="D227"/>
  <c r="F227"/>
  <c r="F19" s="1"/>
  <c r="G227"/>
  <c r="F20" s="1"/>
  <c r="H227"/>
  <c r="F21" s="1"/>
  <c r="I227"/>
  <c r="F22" s="1"/>
  <c r="J227"/>
  <c r="F23" s="1"/>
  <c r="K227"/>
  <c r="F24" s="1"/>
  <c r="L227"/>
  <c r="F25" s="1"/>
  <c r="N227"/>
  <c r="F26" s="1"/>
  <c r="O227"/>
  <c r="R227"/>
  <c r="S227"/>
  <c r="T227"/>
  <c r="U227"/>
  <c r="S228"/>
  <c r="E243"/>
  <c r="E244"/>
  <c r="E245"/>
  <c r="E249"/>
  <c r="E250"/>
  <c r="M251"/>
  <c r="M227" s="1"/>
  <c r="P252"/>
  <c r="P253"/>
  <c r="P256"/>
  <c r="Q257"/>
  <c r="Q227" s="1"/>
  <c r="E267"/>
  <c r="B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B296"/>
  <c r="D296"/>
  <c r="F296"/>
  <c r="G19" s="1"/>
  <c r="G296"/>
  <c r="G20" s="1"/>
  <c r="H296"/>
  <c r="I296"/>
  <c r="G22" s="1"/>
  <c r="J296"/>
  <c r="K296"/>
  <c r="G24" s="1"/>
  <c r="L296"/>
  <c r="G25" s="1"/>
  <c r="N296"/>
  <c r="G26" s="1"/>
  <c r="Q296"/>
  <c r="G29" s="1"/>
  <c r="R296"/>
  <c r="S296"/>
  <c r="T296"/>
  <c r="U296"/>
  <c r="E305"/>
  <c r="E306"/>
  <c r="E307"/>
  <c r="O308"/>
  <c r="O296" s="1"/>
  <c r="E309"/>
  <c r="M311"/>
  <c r="M296" s="1"/>
  <c r="P312"/>
  <c r="P319"/>
  <c r="E329"/>
  <c r="B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B370"/>
  <c r="D370"/>
  <c r="F370"/>
  <c r="H19" s="1"/>
  <c r="G370"/>
  <c r="H20" s="1"/>
  <c r="H370"/>
  <c r="I370"/>
  <c r="H22" s="1"/>
  <c r="J370"/>
  <c r="K370"/>
  <c r="H24" s="1"/>
  <c r="L370"/>
  <c r="H25" s="1"/>
  <c r="N370"/>
  <c r="R370"/>
  <c r="S370"/>
  <c r="U370"/>
  <c r="P374"/>
  <c r="P383"/>
  <c r="M387"/>
  <c r="M370" s="1"/>
  <c r="Q388"/>
  <c r="Q370" s="1"/>
  <c r="E389"/>
  <c r="E390"/>
  <c r="E391"/>
  <c r="O392"/>
  <c r="O370" s="1"/>
  <c r="T393"/>
  <c r="E395"/>
  <c r="P396"/>
  <c r="E403"/>
  <c r="T404"/>
  <c r="T426"/>
  <c r="B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B444"/>
  <c r="D444"/>
  <c r="F444"/>
  <c r="I19" s="1"/>
  <c r="G444"/>
  <c r="I20" s="1"/>
  <c r="H444"/>
  <c r="I444"/>
  <c r="I22" s="1"/>
  <c r="J444"/>
  <c r="K444"/>
  <c r="I24" s="1"/>
  <c r="L444"/>
  <c r="I25" s="1"/>
  <c r="N444"/>
  <c r="P444"/>
  <c r="I28" s="1"/>
  <c r="Q444"/>
  <c r="R444"/>
  <c r="S444"/>
  <c r="U444"/>
  <c r="E462"/>
  <c r="D464"/>
  <c r="O464" s="1"/>
  <c r="O444" s="1"/>
  <c r="T465"/>
  <c r="T444" s="1"/>
  <c r="E467"/>
  <c r="E468"/>
  <c r="E469"/>
  <c r="M470"/>
  <c r="M444" s="1"/>
  <c r="D483"/>
  <c r="E493"/>
  <c r="B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B524"/>
  <c r="E524"/>
  <c r="F524"/>
  <c r="J19" s="1"/>
  <c r="G524"/>
  <c r="J20" s="1"/>
  <c r="H524"/>
  <c r="I524"/>
  <c r="J22" s="1"/>
  <c r="J524"/>
  <c r="K524"/>
  <c r="J24" s="1"/>
  <c r="L524"/>
  <c r="J25" s="1"/>
  <c r="M524"/>
  <c r="N524"/>
  <c r="O524"/>
  <c r="Q524"/>
  <c r="R524"/>
  <c r="S524"/>
  <c r="T524"/>
  <c r="U524"/>
  <c r="D538"/>
  <c r="P538"/>
  <c r="P545"/>
  <c r="D547"/>
  <c r="D562"/>
  <c r="B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B607"/>
  <c r="E607"/>
  <c r="F607"/>
  <c r="K19" s="1"/>
  <c r="G607"/>
  <c r="K20" s="1"/>
  <c r="H607"/>
  <c r="I607"/>
  <c r="K22" s="1"/>
  <c r="J607"/>
  <c r="K607"/>
  <c r="K24" s="1"/>
  <c r="L607"/>
  <c r="K25" s="1"/>
  <c r="M607"/>
  <c r="N607"/>
  <c r="O607"/>
  <c r="P607"/>
  <c r="K28" s="1"/>
  <c r="Q607"/>
  <c r="R607"/>
  <c r="S607"/>
  <c r="T607"/>
  <c r="U607"/>
  <c r="P630"/>
  <c r="D634"/>
  <c r="D667"/>
  <c r="D607" s="1"/>
  <c r="B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B679"/>
  <c r="E679"/>
  <c r="G679"/>
  <c r="L20" s="1"/>
  <c r="H679"/>
  <c r="I679"/>
  <c r="L22" s="1"/>
  <c r="J679"/>
  <c r="K679"/>
  <c r="L24" s="1"/>
  <c r="L679"/>
  <c r="L25" s="1"/>
  <c r="M679"/>
  <c r="N679"/>
  <c r="P679"/>
  <c r="L28" s="1"/>
  <c r="Q679"/>
  <c r="R679"/>
  <c r="S679"/>
  <c r="T679"/>
  <c r="U679"/>
  <c r="D680"/>
  <c r="D681"/>
  <c r="D695"/>
  <c r="D696"/>
  <c r="D700"/>
  <c r="O702"/>
  <c r="D705"/>
  <c r="F710"/>
  <c r="F679" s="1"/>
  <c r="L19" s="1"/>
  <c r="D729"/>
  <c r="O783"/>
  <c r="D787"/>
  <c r="B798"/>
  <c r="B800"/>
  <c r="E800"/>
  <c r="F800"/>
  <c r="M19" s="1"/>
  <c r="G800"/>
  <c r="M20" s="1"/>
  <c r="H800"/>
  <c r="I800"/>
  <c r="M22" s="1"/>
  <c r="J800"/>
  <c r="K800"/>
  <c r="M24" s="1"/>
  <c r="L800"/>
  <c r="M25" s="1"/>
  <c r="M800"/>
  <c r="N800"/>
  <c r="O800"/>
  <c r="Q800"/>
  <c r="R800"/>
  <c r="S800"/>
  <c r="T800"/>
  <c r="U800"/>
  <c r="D801"/>
  <c r="D802"/>
  <c r="P815"/>
  <c r="P800" s="1"/>
  <c r="D816"/>
  <c r="D823"/>
  <c r="D853"/>
  <c r="B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B892"/>
  <c r="E892"/>
  <c r="F892"/>
  <c r="N19" s="1"/>
  <c r="G892"/>
  <c r="N20" s="1"/>
  <c r="H892"/>
  <c r="I892"/>
  <c r="N22" s="1"/>
  <c r="J892"/>
  <c r="K892"/>
  <c r="N24" s="1"/>
  <c r="L892"/>
  <c r="N25" s="1"/>
  <c r="M892"/>
  <c r="N892"/>
  <c r="O892"/>
  <c r="P892"/>
  <c r="N28" s="1"/>
  <c r="Q892"/>
  <c r="S892"/>
  <c r="T892"/>
  <c r="U892"/>
  <c r="R931"/>
  <c r="R932"/>
  <c r="R933"/>
  <c r="R934"/>
  <c r="R935"/>
  <c r="D961"/>
  <c r="D892" s="1"/>
  <c r="B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C973"/>
  <c r="C980"/>
  <c r="C975" s="1"/>
  <c r="D981"/>
  <c r="E981" s="1"/>
  <c r="F981" s="1"/>
  <c r="G981" s="1"/>
  <c r="H981" s="1"/>
  <c r="I981" s="1"/>
  <c r="J981" s="1"/>
  <c r="L981"/>
  <c r="M981"/>
  <c r="M982"/>
  <c r="Y4" i="3"/>
  <c r="D5"/>
  <c r="F5"/>
  <c r="G5"/>
  <c r="H5"/>
  <c r="I5"/>
  <c r="J5"/>
  <c r="K5"/>
  <c r="L5"/>
  <c r="M5"/>
  <c r="N5"/>
  <c r="O5"/>
  <c r="T6"/>
  <c r="E6" s="1"/>
  <c r="D7"/>
  <c r="E7"/>
  <c r="F7"/>
  <c r="G7"/>
  <c r="H7"/>
  <c r="I7"/>
  <c r="J7"/>
  <c r="K7"/>
  <c r="L7"/>
  <c r="M7"/>
  <c r="N7"/>
  <c r="O7"/>
  <c r="V7"/>
  <c r="W7"/>
  <c r="Y7"/>
  <c r="AA7"/>
  <c r="E5" s="1"/>
  <c r="Q5" s="1"/>
  <c r="R5" s="1"/>
  <c r="D9"/>
  <c r="E9"/>
  <c r="F9"/>
  <c r="G9"/>
  <c r="H9"/>
  <c r="I9"/>
  <c r="J9"/>
  <c r="K9"/>
  <c r="L9"/>
  <c r="M9"/>
  <c r="N9"/>
  <c r="O9"/>
  <c r="D10"/>
  <c r="E10"/>
  <c r="F10"/>
  <c r="G10"/>
  <c r="D11"/>
  <c r="E11"/>
  <c r="F11"/>
  <c r="G11"/>
  <c r="H11"/>
  <c r="I11"/>
  <c r="J11"/>
  <c r="K11"/>
  <c r="L11"/>
  <c r="M11"/>
  <c r="D12"/>
  <c r="E12"/>
  <c r="F12"/>
  <c r="G12"/>
  <c r="H12"/>
  <c r="I12"/>
  <c r="J12"/>
  <c r="K12"/>
  <c r="L12"/>
  <c r="M12"/>
  <c r="N12"/>
  <c r="O12"/>
  <c r="Q12"/>
  <c r="R12" s="1"/>
  <c r="D13"/>
  <c r="E13"/>
  <c r="F13"/>
  <c r="G13"/>
  <c r="H13"/>
  <c r="I13"/>
  <c r="J13"/>
  <c r="K13"/>
  <c r="L13"/>
  <c r="M13"/>
  <c r="N13"/>
  <c r="O13"/>
  <c r="D14"/>
  <c r="E14"/>
  <c r="F14"/>
  <c r="G14"/>
  <c r="H14"/>
  <c r="I14"/>
  <c r="J14"/>
  <c r="K14"/>
  <c r="L14"/>
  <c r="M14"/>
  <c r="N14"/>
  <c r="O14"/>
  <c r="D15"/>
  <c r="G15"/>
  <c r="J15"/>
  <c r="M15"/>
  <c r="Q15"/>
  <c r="R15" s="1"/>
  <c r="V15"/>
  <c r="W15"/>
  <c r="Q16"/>
  <c r="R16" s="1"/>
  <c r="E17"/>
  <c r="K17"/>
  <c r="E18"/>
  <c r="J18"/>
  <c r="Q18"/>
  <c r="R18" s="1"/>
  <c r="V18"/>
  <c r="W18"/>
  <c r="D19"/>
  <c r="E19"/>
  <c r="F19"/>
  <c r="G19"/>
  <c r="H19"/>
  <c r="I19"/>
  <c r="J19"/>
  <c r="K19"/>
  <c r="L19"/>
  <c r="M19"/>
  <c r="N19"/>
  <c r="O19"/>
  <c r="Q19"/>
  <c r="R19" s="1"/>
  <c r="V19"/>
  <c r="W19"/>
  <c r="D20"/>
  <c r="E20"/>
  <c r="F20"/>
  <c r="G20"/>
  <c r="H20"/>
  <c r="I20"/>
  <c r="J20"/>
  <c r="K20"/>
  <c r="L20"/>
  <c r="M20"/>
  <c r="N20"/>
  <c r="O20"/>
  <c r="Q20"/>
  <c r="R20" s="1"/>
  <c r="E21"/>
  <c r="F21"/>
  <c r="G21"/>
  <c r="H21"/>
  <c r="I21"/>
  <c r="J21"/>
  <c r="K21"/>
  <c r="L21"/>
  <c r="M21"/>
  <c r="N21"/>
  <c r="O21"/>
  <c r="Q21"/>
  <c r="R21" s="1"/>
  <c r="D22"/>
  <c r="E22"/>
  <c r="F22"/>
  <c r="G22"/>
  <c r="H22"/>
  <c r="I22"/>
  <c r="J22"/>
  <c r="K22"/>
  <c r="L22"/>
  <c r="M22"/>
  <c r="N22"/>
  <c r="O22"/>
  <c r="Q22"/>
  <c r="R22"/>
  <c r="E23"/>
  <c r="F23"/>
  <c r="G23"/>
  <c r="H23"/>
  <c r="I23"/>
  <c r="J23"/>
  <c r="K23"/>
  <c r="L23"/>
  <c r="M23"/>
  <c r="N23"/>
  <c r="O23"/>
  <c r="Q23"/>
  <c r="R23" s="1"/>
  <c r="D24"/>
  <c r="E24"/>
  <c r="F24"/>
  <c r="G24"/>
  <c r="H24"/>
  <c r="I24"/>
  <c r="J24"/>
  <c r="K24"/>
  <c r="L24"/>
  <c r="M24"/>
  <c r="N24"/>
  <c r="O24"/>
  <c r="Q24"/>
  <c r="R24" s="1"/>
  <c r="D25"/>
  <c r="E25"/>
  <c r="F25"/>
  <c r="G25"/>
  <c r="H25"/>
  <c r="I25"/>
  <c r="J25"/>
  <c r="K25"/>
  <c r="L25"/>
  <c r="M25"/>
  <c r="N25"/>
  <c r="O25"/>
  <c r="Q25"/>
  <c r="R25" s="1"/>
  <c r="D26"/>
  <c r="E26"/>
  <c r="F26"/>
  <c r="G26"/>
  <c r="H26"/>
  <c r="I26"/>
  <c r="J26"/>
  <c r="K26"/>
  <c r="L26"/>
  <c r="M26"/>
  <c r="N26"/>
  <c r="O26"/>
  <c r="Q26"/>
  <c r="R26"/>
  <c r="D27"/>
  <c r="E27"/>
  <c r="F27"/>
  <c r="G27"/>
  <c r="H27"/>
  <c r="I27"/>
  <c r="J27"/>
  <c r="K27"/>
  <c r="L27"/>
  <c r="M27"/>
  <c r="N27"/>
  <c r="O27"/>
  <c r="Q27"/>
  <c r="R27"/>
  <c r="D28"/>
  <c r="E28"/>
  <c r="F28"/>
  <c r="G28"/>
  <c r="H28"/>
  <c r="I28"/>
  <c r="J28"/>
  <c r="K28"/>
  <c r="L28"/>
  <c r="M28"/>
  <c r="N28"/>
  <c r="O28"/>
  <c r="Q28"/>
  <c r="R28"/>
  <c r="D29"/>
  <c r="E29"/>
  <c r="F29"/>
  <c r="G29"/>
  <c r="H29"/>
  <c r="I29"/>
  <c r="J29"/>
  <c r="K29"/>
  <c r="L29"/>
  <c r="M29"/>
  <c r="N29"/>
  <c r="O29"/>
  <c r="Q29"/>
  <c r="R29"/>
  <c r="D30"/>
  <c r="E30"/>
  <c r="F30"/>
  <c r="G30"/>
  <c r="H30"/>
  <c r="I30"/>
  <c r="J30"/>
  <c r="K30"/>
  <c r="L30"/>
  <c r="M30"/>
  <c r="N30"/>
  <c r="O30"/>
  <c r="Q30"/>
  <c r="R30"/>
  <c r="D31"/>
  <c r="E31"/>
  <c r="F31"/>
  <c r="G31"/>
  <c r="H31"/>
  <c r="I31"/>
  <c r="J31"/>
  <c r="K31"/>
  <c r="L31"/>
  <c r="M31"/>
  <c r="N31"/>
  <c r="O31"/>
  <c r="Q31"/>
  <c r="R31"/>
  <c r="D32"/>
  <c r="E32"/>
  <c r="F32"/>
  <c r="G32"/>
  <c r="H32"/>
  <c r="I32"/>
  <c r="J32"/>
  <c r="K32"/>
  <c r="L32"/>
  <c r="M32"/>
  <c r="N32"/>
  <c r="O32"/>
  <c r="Q32"/>
  <c r="R32" s="1"/>
  <c r="B34"/>
  <c r="A35" s="1"/>
  <c r="R36"/>
  <c r="S36"/>
  <c r="U36"/>
  <c r="V36"/>
  <c r="A37"/>
  <c r="AE37"/>
  <c r="AF37"/>
  <c r="AG37"/>
  <c r="AH37"/>
  <c r="AK37"/>
  <c r="D4" s="1"/>
  <c r="AN37"/>
  <c r="B42"/>
  <c r="B44" s="1"/>
  <c r="E42"/>
  <c r="F42"/>
  <c r="G42"/>
  <c r="H42"/>
  <c r="I42"/>
  <c r="J42"/>
  <c r="K42"/>
  <c r="L42"/>
  <c r="M42"/>
  <c r="N42"/>
  <c r="O42"/>
  <c r="P42"/>
  <c r="Q42"/>
  <c r="R42"/>
  <c r="S42"/>
  <c r="T42"/>
  <c r="V42"/>
  <c r="W42"/>
  <c r="F44"/>
  <c r="G44"/>
  <c r="H44"/>
  <c r="I44"/>
  <c r="J44"/>
  <c r="K44"/>
  <c r="L44"/>
  <c r="M44"/>
  <c r="N44"/>
  <c r="O44"/>
  <c r="P44"/>
  <c r="Q44"/>
  <c r="R44"/>
  <c r="S44"/>
  <c r="T44"/>
  <c r="W44"/>
  <c r="V48"/>
  <c r="V44" s="1"/>
  <c r="E66"/>
  <c r="E44" s="1"/>
  <c r="F109"/>
  <c r="G109"/>
  <c r="H109"/>
  <c r="I109"/>
  <c r="J109"/>
  <c r="K109"/>
  <c r="L109"/>
  <c r="M109"/>
  <c r="N109"/>
  <c r="O109"/>
  <c r="P109"/>
  <c r="Q109"/>
  <c r="R109"/>
  <c r="T109"/>
  <c r="U109"/>
  <c r="V109"/>
  <c r="W109"/>
  <c r="E110"/>
  <c r="E128"/>
  <c r="E134"/>
  <c r="S166"/>
  <c r="S109" s="1"/>
  <c r="B174"/>
  <c r="B109" s="1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G176"/>
  <c r="H176"/>
  <c r="I176"/>
  <c r="K176"/>
  <c r="L176"/>
  <c r="M176"/>
  <c r="N176"/>
  <c r="O176"/>
  <c r="P176"/>
  <c r="R176"/>
  <c r="T176"/>
  <c r="U176"/>
  <c r="V176"/>
  <c r="W176"/>
  <c r="E190"/>
  <c r="Q190" s="1"/>
  <c r="Q176" s="1"/>
  <c r="E192"/>
  <c r="F193"/>
  <c r="F176" s="1"/>
  <c r="S242"/>
  <c r="S243"/>
  <c r="B267"/>
  <c r="B176" s="1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E269"/>
  <c r="F269"/>
  <c r="G269"/>
  <c r="H269"/>
  <c r="I269"/>
  <c r="J269"/>
  <c r="K269"/>
  <c r="L269"/>
  <c r="M269"/>
  <c r="N269"/>
  <c r="O269"/>
  <c r="P269"/>
  <c r="Q269"/>
  <c r="R269"/>
  <c r="T269"/>
  <c r="U269"/>
  <c r="V269"/>
  <c r="W269"/>
  <c r="S321"/>
  <c r="S269" s="1"/>
  <c r="B349"/>
  <c r="B269" s="1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F351"/>
  <c r="G351"/>
  <c r="H351"/>
  <c r="I351"/>
  <c r="J351"/>
  <c r="K351"/>
  <c r="L351"/>
  <c r="M351"/>
  <c r="O351"/>
  <c r="P351"/>
  <c r="Q351"/>
  <c r="R351"/>
  <c r="T351"/>
  <c r="U351"/>
  <c r="W351"/>
  <c r="E352"/>
  <c r="E353"/>
  <c r="E354"/>
  <c r="V355"/>
  <c r="V351" s="1"/>
  <c r="S358"/>
  <c r="S351" s="1"/>
  <c r="N366"/>
  <c r="N351" s="1"/>
  <c r="B431"/>
  <c r="B351" s="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I433"/>
  <c r="J433"/>
  <c r="L433"/>
  <c r="N433"/>
  <c r="O433"/>
  <c r="P433"/>
  <c r="R433"/>
  <c r="S433"/>
  <c r="T433"/>
  <c r="U433"/>
  <c r="W433"/>
  <c r="V437"/>
  <c r="V433" s="1"/>
  <c r="E444"/>
  <c r="E445"/>
  <c r="Q445" s="1"/>
  <c r="E475"/>
  <c r="H475"/>
  <c r="E476"/>
  <c r="H476"/>
  <c r="E477"/>
  <c r="H477"/>
  <c r="E478"/>
  <c r="H478"/>
  <c r="K478"/>
  <c r="K433" s="1"/>
  <c r="M478"/>
  <c r="M433" s="1"/>
  <c r="F479"/>
  <c r="F433" s="1"/>
  <c r="G479"/>
  <c r="G433" s="1"/>
  <c r="H479"/>
  <c r="J479"/>
  <c r="K479"/>
  <c r="L479"/>
  <c r="M479"/>
  <c r="N479"/>
  <c r="O479"/>
  <c r="P479"/>
  <c r="Q479"/>
  <c r="S479"/>
  <c r="T479"/>
  <c r="U479"/>
  <c r="V479"/>
  <c r="W479"/>
  <c r="E483"/>
  <c r="E489"/>
  <c r="E490"/>
  <c r="E496"/>
  <c r="R496"/>
  <c r="R479" s="1"/>
  <c r="E501"/>
  <c r="I501"/>
  <c r="I479" s="1"/>
  <c r="B511"/>
  <c r="B479" s="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E514"/>
  <c r="E515"/>
  <c r="E516"/>
  <c r="E519"/>
  <c r="E544"/>
  <c r="H544"/>
  <c r="B545"/>
  <c r="B513" s="1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F547"/>
  <c r="H547"/>
  <c r="I547"/>
  <c r="J547"/>
  <c r="K547"/>
  <c r="L547"/>
  <c r="M547"/>
  <c r="N547"/>
  <c r="O547"/>
  <c r="P547"/>
  <c r="R547"/>
  <c r="S547"/>
  <c r="T547"/>
  <c r="U547"/>
  <c r="V547"/>
  <c r="W547"/>
  <c r="E556"/>
  <c r="G556"/>
  <c r="E557"/>
  <c r="E569"/>
  <c r="Q569" s="1"/>
  <c r="Q547" s="1"/>
  <c r="E570"/>
  <c r="G570"/>
  <c r="B583"/>
  <c r="B547" s="1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H585"/>
  <c r="I585"/>
  <c r="J585"/>
  <c r="K585"/>
  <c r="L585"/>
  <c r="N585"/>
  <c r="R585"/>
  <c r="S585"/>
  <c r="T585"/>
  <c r="V585"/>
  <c r="W585"/>
  <c r="E592"/>
  <c r="G592" s="1"/>
  <c r="G585" s="1"/>
  <c r="O592"/>
  <c r="O585" s="1"/>
  <c r="E595"/>
  <c r="F597"/>
  <c r="F585" s="1"/>
  <c r="P599"/>
  <c r="P585" s="1"/>
  <c r="U599"/>
  <c r="U585" s="1"/>
  <c r="E602"/>
  <c r="E605"/>
  <c r="Q605"/>
  <c r="Q585" s="1"/>
  <c r="M617"/>
  <c r="M585" s="1"/>
  <c r="B621"/>
  <c r="B585" s="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F623"/>
  <c r="G623"/>
  <c r="H623"/>
  <c r="I623"/>
  <c r="J623"/>
  <c r="K623"/>
  <c r="L623"/>
  <c r="N623"/>
  <c r="P623"/>
  <c r="R623"/>
  <c r="T623"/>
  <c r="U623"/>
  <c r="V623"/>
  <c r="W623"/>
  <c r="Q633"/>
  <c r="E635"/>
  <c r="E637"/>
  <c r="Q637" s="1"/>
  <c r="S643"/>
  <c r="S644"/>
  <c r="S645"/>
  <c r="E647"/>
  <c r="O647"/>
  <c r="O623" s="1"/>
  <c r="E649"/>
  <c r="M654"/>
  <c r="M623" s="1"/>
  <c r="M656"/>
  <c r="E658"/>
  <c r="B661"/>
  <c r="B623" s="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F663"/>
  <c r="J663"/>
  <c r="K663"/>
  <c r="L663"/>
  <c r="N663"/>
  <c r="P663"/>
  <c r="Q663"/>
  <c r="R663"/>
  <c r="S663"/>
  <c r="T663"/>
  <c r="V663"/>
  <c r="W663"/>
  <c r="E672"/>
  <c r="E673"/>
  <c r="E679"/>
  <c r="U679"/>
  <c r="U663" s="1"/>
  <c r="U683"/>
  <c r="E684"/>
  <c r="G684"/>
  <c r="O684"/>
  <c r="O663" s="1"/>
  <c r="E695"/>
  <c r="G695"/>
  <c r="I695"/>
  <c r="I663" s="1"/>
  <c r="M695"/>
  <c r="H695" s="1"/>
  <c r="E696"/>
  <c r="H696"/>
  <c r="M696"/>
  <c r="E697"/>
  <c r="H697"/>
  <c r="E698"/>
  <c r="H698"/>
  <c r="E699"/>
  <c r="H699"/>
  <c r="E700"/>
  <c r="G700"/>
  <c r="B701"/>
  <c r="B663" s="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D3" i="2"/>
  <c r="F3"/>
  <c r="G3"/>
  <c r="H3"/>
  <c r="I3"/>
  <c r="J3"/>
  <c r="K3"/>
  <c r="L3"/>
  <c r="M3"/>
  <c r="N3"/>
  <c r="O3"/>
  <c r="T4"/>
  <c r="D4" s="1"/>
  <c r="Q4" s="1"/>
  <c r="R4" s="1"/>
  <c r="D5"/>
  <c r="E5"/>
  <c r="F5"/>
  <c r="G5"/>
  <c r="H5"/>
  <c r="I5"/>
  <c r="J5"/>
  <c r="K5"/>
  <c r="L5"/>
  <c r="M5"/>
  <c r="N5"/>
  <c r="O5"/>
  <c r="Q5"/>
  <c r="R5" s="1"/>
  <c r="V5"/>
  <c r="AA5"/>
  <c r="E3" s="1"/>
  <c r="Q3" s="1"/>
  <c r="R3" s="1"/>
  <c r="B6"/>
  <c r="B7" s="1"/>
  <c r="D6"/>
  <c r="P7"/>
  <c r="A8"/>
  <c r="U8"/>
  <c r="P8" s="1"/>
  <c r="AB8"/>
  <c r="AH8"/>
  <c r="AA10"/>
  <c r="AB10"/>
  <c r="AH10"/>
  <c r="AJ10"/>
  <c r="AK10"/>
  <c r="AL10"/>
  <c r="AM10"/>
  <c r="AN10"/>
  <c r="AA12"/>
  <c r="AB12"/>
  <c r="AH12"/>
  <c r="AJ12"/>
  <c r="AK12"/>
  <c r="AL12"/>
  <c r="AM12"/>
  <c r="AN12"/>
  <c r="I13"/>
  <c r="I14" s="1"/>
  <c r="J13"/>
  <c r="K13"/>
  <c r="L13"/>
  <c r="M13"/>
  <c r="M14" s="1"/>
  <c r="N13"/>
  <c r="O13"/>
  <c r="O14" s="1"/>
  <c r="P13"/>
  <c r="Q13"/>
  <c r="Q14" s="1"/>
  <c r="R13"/>
  <c r="T13"/>
  <c r="U13"/>
  <c r="U14" s="1"/>
  <c r="V13"/>
  <c r="W13"/>
  <c r="W14" s="1"/>
  <c r="X13"/>
  <c r="AI13"/>
  <c r="AI8" s="1"/>
  <c r="AL13"/>
  <c r="AM13"/>
  <c r="AN13"/>
  <c r="J14"/>
  <c r="L14"/>
  <c r="N14"/>
  <c r="P14"/>
  <c r="R14"/>
  <c r="T14"/>
  <c r="V14"/>
  <c r="X14"/>
  <c r="AF14"/>
  <c r="E2" s="1"/>
  <c r="AG14"/>
  <c r="AG8" s="1"/>
  <c r="E16"/>
  <c r="B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E21"/>
  <c r="E22"/>
  <c r="B52"/>
  <c r="B54"/>
  <c r="G54"/>
  <c r="H54"/>
  <c r="I54"/>
  <c r="J54"/>
  <c r="K54"/>
  <c r="L54"/>
  <c r="M54"/>
  <c r="N54"/>
  <c r="P54"/>
  <c r="R54"/>
  <c r="S54"/>
  <c r="T54"/>
  <c r="U54"/>
  <c r="V54"/>
  <c r="E64"/>
  <c r="E73"/>
  <c r="F73"/>
  <c r="F54" s="1"/>
  <c r="Q73"/>
  <c r="Q54" s="1"/>
  <c r="E77"/>
  <c r="O77"/>
  <c r="O54" s="1"/>
  <c r="B87"/>
  <c r="B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E90"/>
  <c r="E91"/>
  <c r="E95"/>
  <c r="B121"/>
  <c r="B123"/>
  <c r="E123"/>
  <c r="G8" s="1"/>
  <c r="F123"/>
  <c r="G123"/>
  <c r="H123"/>
  <c r="I123"/>
  <c r="J123"/>
  <c r="K123"/>
  <c r="L123"/>
  <c r="M123"/>
  <c r="N123"/>
  <c r="O123"/>
  <c r="P123"/>
  <c r="R123"/>
  <c r="S123"/>
  <c r="T123"/>
  <c r="U123"/>
  <c r="V123"/>
  <c r="W123"/>
  <c r="Q137"/>
  <c r="Q123" s="1"/>
  <c r="Q138"/>
  <c r="B151"/>
  <c r="B153"/>
  <c r="E153"/>
  <c r="H8" s="1"/>
  <c r="F153"/>
  <c r="G153"/>
  <c r="H153"/>
  <c r="I153"/>
  <c r="J153"/>
  <c r="K153"/>
  <c r="L153"/>
  <c r="M153"/>
  <c r="N153"/>
  <c r="O153"/>
  <c r="P153"/>
  <c r="Q153"/>
  <c r="S153"/>
  <c r="T153"/>
  <c r="U153"/>
  <c r="V153"/>
  <c r="R168"/>
  <c r="A168" s="1"/>
  <c r="B184"/>
  <c r="B186"/>
  <c r="E186"/>
  <c r="I8" s="1"/>
  <c r="F186"/>
  <c r="G186"/>
  <c r="H186"/>
  <c r="I186"/>
  <c r="J186"/>
  <c r="K186"/>
  <c r="L186"/>
  <c r="M186"/>
  <c r="N186"/>
  <c r="O186"/>
  <c r="Q186"/>
  <c r="R186"/>
  <c r="S186"/>
  <c r="T186"/>
  <c r="U186"/>
  <c r="V186"/>
  <c r="P203"/>
  <c r="P186" s="1"/>
  <c r="B214"/>
  <c r="B216"/>
  <c r="E216"/>
  <c r="J8" s="1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F221"/>
  <c r="F216" s="1"/>
  <c r="B246"/>
  <c r="B248"/>
  <c r="E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52"/>
  <c r="F248" s="1"/>
  <c r="A275"/>
  <c r="B278"/>
  <c r="B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E286"/>
  <c r="E280" s="1"/>
  <c r="E296"/>
  <c r="B311"/>
  <c r="O313"/>
  <c r="H314"/>
  <c r="K315"/>
  <c r="B316"/>
  <c r="F316"/>
  <c r="G316"/>
  <c r="H316"/>
  <c r="I316"/>
  <c r="J316"/>
  <c r="K316"/>
  <c r="L316"/>
  <c r="M316"/>
  <c r="N316"/>
  <c r="O316"/>
  <c r="P316"/>
  <c r="R316"/>
  <c r="S316"/>
  <c r="T316"/>
  <c r="U316"/>
  <c r="V316"/>
  <c r="W316"/>
  <c r="X316"/>
  <c r="Q322"/>
  <c r="Q329"/>
  <c r="E335"/>
  <c r="E336"/>
  <c r="E337"/>
  <c r="E338"/>
  <c r="E339"/>
  <c r="E340"/>
  <c r="B341"/>
  <c r="B343"/>
  <c r="E343"/>
  <c r="F343"/>
  <c r="G343"/>
  <c r="H343"/>
  <c r="K343"/>
  <c r="L343"/>
  <c r="M343"/>
  <c r="N343"/>
  <c r="O343"/>
  <c r="P343"/>
  <c r="Q343"/>
  <c r="S343"/>
  <c r="T343"/>
  <c r="U343"/>
  <c r="V343"/>
  <c r="W343"/>
  <c r="X343"/>
  <c r="I354"/>
  <c r="I343" s="1"/>
  <c r="J354"/>
  <c r="J343" s="1"/>
  <c r="R358"/>
  <c r="R343" s="1"/>
  <c r="A367"/>
  <c r="B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E372"/>
  <c r="E370" s="1"/>
  <c r="B374"/>
  <c r="I374"/>
  <c r="J374"/>
  <c r="L374"/>
  <c r="P374"/>
  <c r="R374"/>
  <c r="S374"/>
  <c r="T374"/>
  <c r="W374"/>
  <c r="X374"/>
  <c r="F375"/>
  <c r="E375" s="1"/>
  <c r="F376"/>
  <c r="E376" s="1"/>
  <c r="E377"/>
  <c r="U378"/>
  <c r="U374" s="1"/>
  <c r="G379"/>
  <c r="G374" s="1"/>
  <c r="E380"/>
  <c r="E381"/>
  <c r="E382"/>
  <c r="V383"/>
  <c r="V374" s="1"/>
  <c r="F384"/>
  <c r="E384" s="1"/>
  <c r="E385"/>
  <c r="E386"/>
  <c r="N387"/>
  <c r="N374" s="1"/>
  <c r="E388"/>
  <c r="E389"/>
  <c r="Q390"/>
  <c r="E390" s="1"/>
  <c r="Q391"/>
  <c r="E391" s="1"/>
  <c r="E395"/>
  <c r="K400"/>
  <c r="H401"/>
  <c r="E401" s="1"/>
  <c r="K402"/>
  <c r="K403"/>
  <c r="E403" s="1"/>
  <c r="H404"/>
  <c r="M404"/>
  <c r="M374" s="1"/>
  <c r="E405"/>
  <c r="O374"/>
  <c r="B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E396"/>
  <c r="E407" s="1"/>
  <c r="E397"/>
  <c r="D2" i="1"/>
  <c r="E2"/>
  <c r="F2"/>
  <c r="G2"/>
  <c r="H2"/>
  <c r="I2"/>
  <c r="J2"/>
  <c r="K2"/>
  <c r="L2"/>
  <c r="M2"/>
  <c r="N2"/>
  <c r="O2"/>
  <c r="Q2"/>
  <c r="R2" s="1"/>
  <c r="D3"/>
  <c r="F3"/>
  <c r="G3"/>
  <c r="H3"/>
  <c r="I3"/>
  <c r="J3"/>
  <c r="K3"/>
  <c r="L3"/>
  <c r="M3"/>
  <c r="N3"/>
  <c r="O3"/>
  <c r="T4"/>
  <c r="D4" s="1"/>
  <c r="Q4" s="1"/>
  <c r="R4" s="1"/>
  <c r="D5"/>
  <c r="E5"/>
  <c r="F5"/>
  <c r="G5"/>
  <c r="H5"/>
  <c r="I5"/>
  <c r="J5"/>
  <c r="K5"/>
  <c r="L5"/>
  <c r="M5"/>
  <c r="N5"/>
  <c r="O5"/>
  <c r="Q5"/>
  <c r="R5" s="1"/>
  <c r="V5"/>
  <c r="AA5"/>
  <c r="E3" s="1"/>
  <c r="A8"/>
  <c r="AF8"/>
  <c r="AG8"/>
  <c r="AI8"/>
  <c r="Z11"/>
  <c r="AE11"/>
  <c r="AF11"/>
  <c r="AH11"/>
  <c r="AJ11"/>
  <c r="AK11"/>
  <c r="AL11"/>
  <c r="AM11"/>
  <c r="AN11"/>
  <c r="AB8"/>
  <c r="AJ8"/>
  <c r="AM12"/>
  <c r="AN12"/>
  <c r="E15"/>
  <c r="AD15"/>
  <c r="AC15" s="1"/>
  <c r="B18"/>
  <c r="G18"/>
  <c r="H18"/>
  <c r="I18"/>
  <c r="J18"/>
  <c r="L18"/>
  <c r="M18"/>
  <c r="N18"/>
  <c r="O18"/>
  <c r="Q18"/>
  <c r="R18"/>
  <c r="S18"/>
  <c r="U18"/>
  <c r="V18"/>
  <c r="K18"/>
  <c r="K53" s="1"/>
  <c r="B50"/>
  <c r="E21"/>
  <c r="F25"/>
  <c r="F24"/>
  <c r="E31"/>
  <c r="O50"/>
  <c r="F53"/>
  <c r="G53"/>
  <c r="I53"/>
  <c r="J53"/>
  <c r="L53"/>
  <c r="M53"/>
  <c r="N53"/>
  <c r="O53"/>
  <c r="P53"/>
  <c r="Q53"/>
  <c r="R53"/>
  <c r="S53"/>
  <c r="T53"/>
  <c r="U53"/>
  <c r="V53"/>
  <c r="W53"/>
  <c r="B55"/>
  <c r="G55"/>
  <c r="H55"/>
  <c r="I55"/>
  <c r="J55"/>
  <c r="K55"/>
  <c r="K93" s="1"/>
  <c r="L55"/>
  <c r="M55"/>
  <c r="N55"/>
  <c r="O55"/>
  <c r="Q55"/>
  <c r="R55"/>
  <c r="S55"/>
  <c r="U55"/>
  <c r="B91"/>
  <c r="T91"/>
  <c r="F93"/>
  <c r="G93"/>
  <c r="I93"/>
  <c r="J93"/>
  <c r="L93"/>
  <c r="M93"/>
  <c r="N93"/>
  <c r="O93"/>
  <c r="P93"/>
  <c r="Q93"/>
  <c r="R93"/>
  <c r="S93"/>
  <c r="T93"/>
  <c r="U93"/>
  <c r="V93"/>
  <c r="W93"/>
  <c r="B95"/>
  <c r="G95"/>
  <c r="H95"/>
  <c r="I95"/>
  <c r="J95"/>
  <c r="K95"/>
  <c r="L95"/>
  <c r="N95"/>
  <c r="Q95"/>
  <c r="R95"/>
  <c r="S95"/>
  <c r="U95"/>
  <c r="V95"/>
  <c r="W95"/>
  <c r="B132"/>
  <c r="T95"/>
  <c r="F112"/>
  <c r="F113"/>
  <c r="E113" s="1"/>
  <c r="P104"/>
  <c r="F135"/>
  <c r="G135"/>
  <c r="I135"/>
  <c r="J135"/>
  <c r="K135"/>
  <c r="L135"/>
  <c r="M135"/>
  <c r="N135"/>
  <c r="O135"/>
  <c r="P135"/>
  <c r="Q135"/>
  <c r="R135"/>
  <c r="S135"/>
  <c r="T135"/>
  <c r="U135"/>
  <c r="V135"/>
  <c r="W135"/>
  <c r="W132" s="1"/>
  <c r="B137"/>
  <c r="G137"/>
  <c r="H137"/>
  <c r="I137"/>
  <c r="J137"/>
  <c r="K137"/>
  <c r="L137"/>
  <c r="N137"/>
  <c r="P137"/>
  <c r="Q137"/>
  <c r="R137"/>
  <c r="S137"/>
  <c r="T137"/>
  <c r="U137"/>
  <c r="V137"/>
  <c r="B165"/>
  <c r="E138"/>
  <c r="M137"/>
  <c r="F167"/>
  <c r="G167"/>
  <c r="I167"/>
  <c r="J167"/>
  <c r="K167"/>
  <c r="L167"/>
  <c r="M167"/>
  <c r="N167"/>
  <c r="O167"/>
  <c r="P167"/>
  <c r="Q167"/>
  <c r="R167"/>
  <c r="S167"/>
  <c r="T167"/>
  <c r="U167"/>
  <c r="V167"/>
  <c r="W167"/>
  <c r="B169"/>
  <c r="G169"/>
  <c r="H169"/>
  <c r="I169"/>
  <c r="J169"/>
  <c r="K169"/>
  <c r="L169"/>
  <c r="M169"/>
  <c r="N169"/>
  <c r="Q169"/>
  <c r="R169"/>
  <c r="S169"/>
  <c r="U169"/>
  <c r="B202"/>
  <c r="E170"/>
  <c r="E171"/>
  <c r="E172"/>
  <c r="F183"/>
  <c r="E183" s="1"/>
  <c r="E177"/>
  <c r="F204"/>
  <c r="G204"/>
  <c r="I204"/>
  <c r="J204"/>
  <c r="K204"/>
  <c r="L204"/>
  <c r="M204"/>
  <c r="N204"/>
  <c r="O204"/>
  <c r="P204"/>
  <c r="Q204"/>
  <c r="R204"/>
  <c r="S204"/>
  <c r="T204"/>
  <c r="U204"/>
  <c r="V204"/>
  <c r="V202" s="1"/>
  <c r="W204"/>
  <c r="W202" s="1"/>
  <c r="B207"/>
  <c r="G207"/>
  <c r="H207"/>
  <c r="I207"/>
  <c r="J207"/>
  <c r="K207"/>
  <c r="L207"/>
  <c r="M207"/>
  <c r="N207"/>
  <c r="Q207"/>
  <c r="R207"/>
  <c r="S207"/>
  <c r="T207"/>
  <c r="U207"/>
  <c r="E208"/>
  <c r="E209"/>
  <c r="E210"/>
  <c r="E213"/>
  <c r="E216"/>
  <c r="E224"/>
  <c r="E223"/>
  <c r="F237"/>
  <c r="G237"/>
  <c r="I237"/>
  <c r="J237"/>
  <c r="K237"/>
  <c r="L237"/>
  <c r="M237"/>
  <c r="N237"/>
  <c r="O237"/>
  <c r="P237"/>
  <c r="Q237"/>
  <c r="R237"/>
  <c r="S237"/>
  <c r="T237"/>
  <c r="U237"/>
  <c r="V237"/>
  <c r="W237"/>
  <c r="W234" s="1"/>
  <c r="B240"/>
  <c r="G240"/>
  <c r="H240"/>
  <c r="I240"/>
  <c r="J240"/>
  <c r="K240"/>
  <c r="L240"/>
  <c r="N240"/>
  <c r="Q240"/>
  <c r="R240"/>
  <c r="S240"/>
  <c r="T240"/>
  <c r="U240"/>
  <c r="V240"/>
  <c r="B270"/>
  <c r="E241"/>
  <c r="E242"/>
  <c r="E243"/>
  <c r="T270"/>
  <c r="M270"/>
  <c r="E258"/>
  <c r="V270"/>
  <c r="E247"/>
  <c r="F273"/>
  <c r="G273"/>
  <c r="I273"/>
  <c r="J273"/>
  <c r="K273"/>
  <c r="L273"/>
  <c r="M273"/>
  <c r="N273"/>
  <c r="O273"/>
  <c r="P273"/>
  <c r="Q273"/>
  <c r="R273"/>
  <c r="S273"/>
  <c r="T273"/>
  <c r="U273"/>
  <c r="V273"/>
  <c r="W273"/>
  <c r="B275"/>
  <c r="G275"/>
  <c r="H275"/>
  <c r="I275"/>
  <c r="J275"/>
  <c r="K275"/>
  <c r="L275"/>
  <c r="M275"/>
  <c r="N275"/>
  <c r="O275"/>
  <c r="Q275"/>
  <c r="R275"/>
  <c r="S275"/>
  <c r="T275"/>
  <c r="U275"/>
  <c r="V275"/>
  <c r="W275"/>
  <c r="B302"/>
  <c r="F280"/>
  <c r="F288"/>
  <c r="F305"/>
  <c r="G305"/>
  <c r="I305"/>
  <c r="J305"/>
  <c r="K305"/>
  <c r="L305"/>
  <c r="M305"/>
  <c r="N305"/>
  <c r="O305"/>
  <c r="P305"/>
  <c r="Q305"/>
  <c r="R305"/>
  <c r="S305"/>
  <c r="T305"/>
  <c r="U305"/>
  <c r="V305"/>
  <c r="W305"/>
  <c r="B307"/>
  <c r="F307"/>
  <c r="G307"/>
  <c r="H307"/>
  <c r="I307"/>
  <c r="J307"/>
  <c r="K307"/>
  <c r="L307"/>
  <c r="M307"/>
  <c r="N307"/>
  <c r="O307"/>
  <c r="Q307"/>
  <c r="R307"/>
  <c r="S307"/>
  <c r="T307"/>
  <c r="U307"/>
  <c r="B336"/>
  <c r="T336"/>
  <c r="E338"/>
  <c r="F339"/>
  <c r="G339"/>
  <c r="I339"/>
  <c r="J339"/>
  <c r="K339"/>
  <c r="L339"/>
  <c r="M339"/>
  <c r="N339"/>
  <c r="O339"/>
  <c r="P339"/>
  <c r="Q339"/>
  <c r="R339"/>
  <c r="S339"/>
  <c r="T339"/>
  <c r="U339"/>
  <c r="V339"/>
  <c r="W339"/>
  <c r="B342"/>
  <c r="B371"/>
  <c r="T371"/>
  <c r="E354"/>
  <c r="V371"/>
  <c r="P352"/>
  <c r="F374"/>
  <c r="G374"/>
  <c r="I374"/>
  <c r="J374"/>
  <c r="K374"/>
  <c r="L374"/>
  <c r="M374"/>
  <c r="N374"/>
  <c r="O374"/>
  <c r="P374"/>
  <c r="Q374"/>
  <c r="R374"/>
  <c r="S374"/>
  <c r="T374"/>
  <c r="U374"/>
  <c r="V374"/>
  <c r="W374"/>
  <c r="B376"/>
  <c r="G376"/>
  <c r="H376"/>
  <c r="I376"/>
  <c r="J376"/>
  <c r="K376"/>
  <c r="L376"/>
  <c r="M376"/>
  <c r="N376"/>
  <c r="O376"/>
  <c r="P376"/>
  <c r="Q376"/>
  <c r="R376"/>
  <c r="S376"/>
  <c r="T376"/>
  <c r="U376"/>
  <c r="B409"/>
  <c r="T409"/>
  <c r="F390"/>
  <c r="E390" s="1"/>
  <c r="B412"/>
  <c r="G412"/>
  <c r="H412"/>
  <c r="I412"/>
  <c r="J412"/>
  <c r="K412"/>
  <c r="L412"/>
  <c r="M412"/>
  <c r="N412"/>
  <c r="O412"/>
  <c r="P412"/>
  <c r="Q412"/>
  <c r="R412"/>
  <c r="S412"/>
  <c r="T412"/>
  <c r="U412"/>
  <c r="B436"/>
  <c r="T436"/>
  <c r="M420"/>
  <c r="F426"/>
  <c r="F412" s="1"/>
  <c r="F438"/>
  <c r="F442"/>
  <c r="G442"/>
  <c r="I442"/>
  <c r="J442"/>
  <c r="K442"/>
  <c r="L442"/>
  <c r="M442"/>
  <c r="N442"/>
  <c r="O442"/>
  <c r="P442"/>
  <c r="Q442"/>
  <c r="S442"/>
  <c r="T442"/>
  <c r="U442"/>
  <c r="V442"/>
  <c r="W442"/>
  <c r="R445"/>
  <c r="R446"/>
  <c r="R449"/>
  <c r="R450"/>
  <c r="R451"/>
  <c r="D454"/>
  <c r="D461"/>
  <c r="D456" s="1"/>
  <c r="F376" l="1"/>
  <c r="Q10" i="3"/>
  <c r="R10" s="1"/>
  <c r="P10" i="4"/>
  <c r="Q10" s="1"/>
  <c r="S45" i="5"/>
  <c r="I52" i="11"/>
  <c r="D7" s="1"/>
  <c r="L52"/>
  <c r="D10" s="1"/>
  <c r="G663" i="3"/>
  <c r="Q14"/>
  <c r="R14" s="1"/>
  <c r="O35" i="4"/>
  <c r="P14"/>
  <c r="Q14" s="1"/>
  <c r="V701" i="5"/>
  <c r="V678" s="1"/>
  <c r="U266" i="6"/>
  <c r="U265"/>
  <c r="R2" i="7"/>
  <c r="M436" i="1"/>
  <c r="E54"/>
  <c r="E24"/>
  <c r="F275"/>
  <c r="H2" i="12"/>
  <c r="F240" i="1"/>
  <c r="M240"/>
  <c r="M234" s="1"/>
  <c r="P240"/>
  <c r="Q13" i="3"/>
  <c r="R13" s="1"/>
  <c r="P30" i="4"/>
  <c r="Q30" s="1"/>
  <c r="P18"/>
  <c r="Q18" s="1"/>
  <c r="P11"/>
  <c r="Q11" s="1"/>
  <c r="F9" i="5"/>
  <c r="F39" s="1"/>
  <c r="U264" i="6"/>
  <c r="J173" i="8"/>
  <c r="O528" i="10"/>
  <c r="Q17" i="3"/>
  <c r="R17" s="1"/>
  <c r="Q11"/>
  <c r="R11" s="1"/>
  <c r="P13" i="4"/>
  <c r="Q13" s="1"/>
  <c r="F8"/>
  <c r="P9"/>
  <c r="Q9" s="1"/>
  <c r="T226" i="5"/>
  <c r="O6"/>
  <c r="P6" s="1"/>
  <c r="R25" i="7"/>
  <c r="J13" i="11"/>
  <c r="C8" s="1"/>
  <c r="T234" i="1"/>
  <c r="G234"/>
  <c r="V234"/>
  <c r="R234"/>
  <c r="N234"/>
  <c r="L234"/>
  <c r="J234"/>
  <c r="U234"/>
  <c r="S234"/>
  <c r="Q234"/>
  <c r="K234"/>
  <c r="I234"/>
  <c r="D6" i="4"/>
  <c r="D682"/>
  <c r="D803"/>
  <c r="E383" i="2"/>
  <c r="M663" i="3"/>
  <c r="G547"/>
  <c r="E513"/>
  <c r="E479"/>
  <c r="H433"/>
  <c r="S176"/>
  <c r="E176"/>
  <c r="N41"/>
  <c r="N39" s="1"/>
  <c r="L41"/>
  <c r="L39" s="1"/>
  <c r="O8"/>
  <c r="M8"/>
  <c r="K8"/>
  <c r="I8"/>
  <c r="G8"/>
  <c r="E8"/>
  <c r="Q7"/>
  <c r="R7" s="1"/>
  <c r="D800" i="4"/>
  <c r="T798"/>
  <c r="O798"/>
  <c r="M798"/>
  <c r="E798"/>
  <c r="O679"/>
  <c r="D679"/>
  <c r="D524"/>
  <c r="P296"/>
  <c r="G28" s="1"/>
  <c r="E296"/>
  <c r="M225"/>
  <c r="E227"/>
  <c r="E225" s="1"/>
  <c r="T225"/>
  <c r="R225"/>
  <c r="D225"/>
  <c r="O165"/>
  <c r="S38"/>
  <c r="N35"/>
  <c r="L8"/>
  <c r="N36" i="5"/>
  <c r="N9" s="1"/>
  <c r="Q678"/>
  <c r="P678"/>
  <c r="D608"/>
  <c r="W44"/>
  <c r="O527"/>
  <c r="I9"/>
  <c r="I39" s="1"/>
  <c r="E458"/>
  <c r="P375"/>
  <c r="P291"/>
  <c r="E291"/>
  <c r="R226"/>
  <c r="P226"/>
  <c r="O226"/>
  <c r="S145"/>
  <c r="N45"/>
  <c r="U44"/>
  <c r="L44"/>
  <c r="J44"/>
  <c r="U263" i="6"/>
  <c r="P2" i="7"/>
  <c r="E13" i="8"/>
  <c r="E12"/>
  <c r="E11"/>
  <c r="E8"/>
  <c r="H2"/>
  <c r="D4" i="9"/>
  <c r="D3"/>
  <c r="N526" i="10"/>
  <c r="M526"/>
  <c r="K526"/>
  <c r="F526"/>
  <c r="E453"/>
  <c r="M3" s="1"/>
  <c r="E424"/>
  <c r="L3" s="1"/>
  <c r="E385"/>
  <c r="K3" s="1"/>
  <c r="E334"/>
  <c r="J3" s="1"/>
  <c r="E234"/>
  <c r="H3" s="1"/>
  <c r="E66"/>
  <c r="D3" s="1"/>
  <c r="E13" i="11"/>
  <c r="C3" s="1"/>
  <c r="G271" i="12"/>
  <c r="K5" s="1"/>
  <c r="H271"/>
  <c r="K6" s="1"/>
  <c r="G237"/>
  <c r="J5" s="1"/>
  <c r="I2"/>
  <c r="G176"/>
  <c r="I5" s="1"/>
  <c r="G103"/>
  <c r="G5" s="1"/>
  <c r="I78"/>
  <c r="F7" s="1"/>
  <c r="I374" i="13"/>
  <c r="I13" s="1"/>
  <c r="H263" i="8" s="1"/>
  <c r="I11" i="13"/>
  <c r="H217" i="8" s="1"/>
  <c r="H201" s="1"/>
  <c r="I8" i="13"/>
  <c r="H143" i="8" s="1"/>
  <c r="H123" s="1"/>
  <c r="D7" s="1"/>
  <c r="I7" i="13"/>
  <c r="H116" i="8" s="1"/>
  <c r="I6" i="13"/>
  <c r="H89" i="8" s="1"/>
  <c r="H67" s="1"/>
  <c r="I5" i="13"/>
  <c r="H60" i="8" s="1"/>
  <c r="I4" i="13"/>
  <c r="H2"/>
  <c r="F2"/>
  <c r="H12" i="14"/>
  <c r="G11"/>
  <c r="H663" i="3"/>
  <c r="E663"/>
  <c r="S623"/>
  <c r="E623"/>
  <c r="E585"/>
  <c r="E547"/>
  <c r="E433"/>
  <c r="E351"/>
  <c r="E109"/>
  <c r="T41"/>
  <c r="T39" s="1"/>
  <c r="W41"/>
  <c r="W39" s="1"/>
  <c r="P36"/>
  <c r="O36" s="1"/>
  <c r="O37" s="1"/>
  <c r="Q9"/>
  <c r="R9" s="1"/>
  <c r="N8"/>
  <c r="L8"/>
  <c r="J8"/>
  <c r="H8"/>
  <c r="F8"/>
  <c r="D8"/>
  <c r="R892" i="4"/>
  <c r="U798"/>
  <c r="S798"/>
  <c r="Q798"/>
  <c r="N798"/>
  <c r="H798"/>
  <c r="P524"/>
  <c r="J28" s="1"/>
  <c r="E444"/>
  <c r="T370"/>
  <c r="E370"/>
  <c r="P370"/>
  <c r="H28" s="1"/>
  <c r="P227"/>
  <c r="U225"/>
  <c r="S225"/>
  <c r="O225"/>
  <c r="J38"/>
  <c r="H38"/>
  <c r="P7"/>
  <c r="Q7" s="1"/>
  <c r="P749" i="5"/>
  <c r="O678"/>
  <c r="E678"/>
  <c r="P608"/>
  <c r="P527"/>
  <c r="D458"/>
  <c r="P458"/>
  <c r="O375"/>
  <c r="Q291"/>
  <c r="S226"/>
  <c r="E9"/>
  <c r="E39" s="1"/>
  <c r="R145"/>
  <c r="P145"/>
  <c r="K44"/>
  <c r="G44"/>
  <c r="M2"/>
  <c r="E10" i="8"/>
  <c r="E9"/>
  <c r="I123"/>
  <c r="E7" s="1"/>
  <c r="H96"/>
  <c r="D6" s="1"/>
  <c r="D5"/>
  <c r="H42"/>
  <c r="E3"/>
  <c r="D12" i="9"/>
  <c r="D5"/>
  <c r="L526" i="10"/>
  <c r="J526"/>
  <c r="I526"/>
  <c r="H526"/>
  <c r="G526"/>
  <c r="E526"/>
  <c r="D526"/>
  <c r="C526"/>
  <c r="O527"/>
  <c r="O525"/>
  <c r="E495"/>
  <c r="N3" s="1"/>
  <c r="E284"/>
  <c r="I3" s="1"/>
  <c r="E192"/>
  <c r="G3" s="1"/>
  <c r="E135"/>
  <c r="F3" s="1"/>
  <c r="E102"/>
  <c r="E3" s="1"/>
  <c r="E22"/>
  <c r="C3" s="1"/>
  <c r="J52" i="11"/>
  <c r="D8" s="1"/>
  <c r="G52"/>
  <c r="D5" s="1"/>
  <c r="J237" i="12"/>
  <c r="J8" s="1"/>
  <c r="P8" s="1"/>
  <c r="G148"/>
  <c r="H5" s="1"/>
  <c r="G78"/>
  <c r="F5" s="1"/>
  <c r="G12"/>
  <c r="D5" s="1"/>
  <c r="F33" i="7" s="1"/>
  <c r="I15" i="13"/>
  <c r="H300" i="8" s="1"/>
  <c r="M300" s="1"/>
  <c r="M304" s="1"/>
  <c r="I14" i="13"/>
  <c r="H281" i="8" s="1"/>
  <c r="H267" s="1"/>
  <c r="D13" s="1"/>
  <c r="F13" s="1"/>
  <c r="I12" i="13"/>
  <c r="H241" i="8" s="1"/>
  <c r="H223" s="1"/>
  <c r="D11" s="1"/>
  <c r="F11" s="1"/>
  <c r="I10" i="13"/>
  <c r="H195" i="8" s="1"/>
  <c r="H173" s="1"/>
  <c r="D9" s="1"/>
  <c r="F9" s="1"/>
  <c r="I9" i="13"/>
  <c r="H167" i="8" s="1"/>
  <c r="H148" s="1"/>
  <c r="D8" s="1"/>
  <c r="F8" s="1"/>
  <c r="G2" i="13"/>
  <c r="E2"/>
  <c r="G13" i="14"/>
  <c r="H11"/>
  <c r="H258" i="8" s="1"/>
  <c r="H248" s="1"/>
  <c r="D12" s="1"/>
  <c r="F12" s="1"/>
  <c r="F207" i="1"/>
  <c r="U202"/>
  <c r="U165" s="1"/>
  <c r="S202"/>
  <c r="S165" s="1"/>
  <c r="Q202"/>
  <c r="Q165" s="1"/>
  <c r="M202"/>
  <c r="M165" s="1"/>
  <c r="K202"/>
  <c r="K165" s="1"/>
  <c r="I202"/>
  <c r="I165" s="1"/>
  <c r="V165"/>
  <c r="T202"/>
  <c r="R202"/>
  <c r="R165" s="1"/>
  <c r="N202"/>
  <c r="N165" s="1"/>
  <c r="L202"/>
  <c r="L165" s="1"/>
  <c r="J202"/>
  <c r="J165" s="1"/>
  <c r="G202"/>
  <c r="G165" s="1"/>
  <c r="W165"/>
  <c r="E188"/>
  <c r="F169"/>
  <c r="P169"/>
  <c r="O395"/>
  <c r="O169"/>
  <c r="O137"/>
  <c r="T169"/>
  <c r="F137"/>
  <c r="E142"/>
  <c r="E146"/>
  <c r="E157"/>
  <c r="U132"/>
  <c r="S132"/>
  <c r="Q132"/>
  <c r="K132"/>
  <c r="I132"/>
  <c r="T132"/>
  <c r="R132"/>
  <c r="N132"/>
  <c r="L132"/>
  <c r="J132"/>
  <c r="G132"/>
  <c r="O95"/>
  <c r="M132"/>
  <c r="M95"/>
  <c r="E246"/>
  <c r="F55"/>
  <c r="T55"/>
  <c r="E389"/>
  <c r="P316"/>
  <c r="E187"/>
  <c r="E29"/>
  <c r="M409"/>
  <c r="E181"/>
  <c r="E117"/>
  <c r="E34"/>
  <c r="F50"/>
  <c r="E49" s="1"/>
  <c r="M371"/>
  <c r="M336"/>
  <c r="O91"/>
  <c r="F91"/>
  <c r="P18"/>
  <c r="P55"/>
  <c r="F18"/>
  <c r="E35"/>
  <c r="E25"/>
  <c r="T18"/>
  <c r="J188" i="3"/>
  <c r="J176" s="1"/>
  <c r="J41" s="1"/>
  <c r="J39" s="1"/>
  <c r="J40" s="1"/>
  <c r="E387" i="2"/>
  <c r="Q316"/>
  <c r="E402"/>
  <c r="K374"/>
  <c r="W17"/>
  <c r="U17"/>
  <c r="S17"/>
  <c r="Q17"/>
  <c r="O17"/>
  <c r="M17"/>
  <c r="I17"/>
  <c r="G17"/>
  <c r="E89"/>
  <c r="F8" s="1"/>
  <c r="W16"/>
  <c r="S16"/>
  <c r="O4"/>
  <c r="K4"/>
  <c r="G4"/>
  <c r="H374"/>
  <c r="Q374"/>
  <c r="Q16" s="1"/>
  <c r="X17"/>
  <c r="V17"/>
  <c r="T17"/>
  <c r="R17"/>
  <c r="P17"/>
  <c r="N17"/>
  <c r="L17"/>
  <c r="J17"/>
  <c r="H17"/>
  <c r="F17"/>
  <c r="E316"/>
  <c r="E54"/>
  <c r="E8" s="1"/>
  <c r="E19"/>
  <c r="D8" s="1"/>
  <c r="T16"/>
  <c r="L16"/>
  <c r="AF12"/>
  <c r="M4"/>
  <c r="I4"/>
  <c r="E4"/>
  <c r="O767" i="5"/>
  <c r="O749" s="1"/>
  <c r="D291"/>
  <c r="B314" i="2"/>
  <c r="N40" i="3"/>
  <c r="L40"/>
  <c r="A7" i="2"/>
  <c r="P349" i="1"/>
  <c r="P342" s="1"/>
  <c r="F95"/>
  <c r="Q3"/>
  <c r="R3" s="1"/>
  <c r="R442"/>
  <c r="K15"/>
  <c r="U15"/>
  <c r="S15"/>
  <c r="Q15"/>
  <c r="I15"/>
  <c r="G15"/>
  <c r="E174"/>
  <c r="W15"/>
  <c r="V15"/>
  <c r="R15"/>
  <c r="N15"/>
  <c r="L15"/>
  <c r="J15"/>
  <c r="H15"/>
  <c r="H16" s="1"/>
  <c r="X16" i="2"/>
  <c r="C8" i="4"/>
  <c r="E2" i="12"/>
  <c r="O2"/>
  <c r="P2" s="1"/>
  <c r="G2"/>
  <c r="O11" i="11"/>
  <c r="O9"/>
  <c r="O5"/>
  <c r="O2"/>
  <c r="F103" i="12"/>
  <c r="G4" s="1"/>
  <c r="P5"/>
  <c r="P7"/>
  <c r="P3"/>
  <c r="I2" i="13"/>
  <c r="I3"/>
  <c r="M241" i="8" s="1"/>
  <c r="O7" i="11"/>
  <c r="O8"/>
  <c r="O3"/>
  <c r="O10"/>
  <c r="O6"/>
  <c r="O4"/>
  <c r="P10" i="12"/>
  <c r="P9"/>
  <c r="P6"/>
  <c r="D2" i="13"/>
  <c r="D14" i="14"/>
  <c r="F150" i="12"/>
  <c r="F148" s="1"/>
  <c r="H4" s="1"/>
  <c r="F2"/>
  <c r="D2"/>
  <c r="H3" i="13"/>
  <c r="F3"/>
  <c r="M242" i="8" s="1"/>
  <c r="D413" i="12"/>
  <c r="F187"/>
  <c r="F176" s="1"/>
  <c r="I4" s="1"/>
  <c r="G3" i="13"/>
  <c r="E3"/>
  <c r="M243" i="8" s="1"/>
  <c r="A7" i="1"/>
  <c r="T40" i="3"/>
  <c r="W40"/>
  <c r="F29" i="4"/>
  <c r="Q225"/>
  <c r="W35"/>
  <c r="V35" s="1"/>
  <c r="N36"/>
  <c r="U16" i="2"/>
  <c r="S15"/>
  <c r="S13" s="1"/>
  <c r="S14" s="1"/>
  <c r="O16"/>
  <c r="M16"/>
  <c r="K16"/>
  <c r="K14" s="1"/>
  <c r="I16"/>
  <c r="G16"/>
  <c r="G15" s="1"/>
  <c r="G13" s="1"/>
  <c r="G14" s="1"/>
  <c r="U41" i="3"/>
  <c r="U39" s="1"/>
  <c r="U40" s="1"/>
  <c r="R41"/>
  <c r="R39" s="1"/>
  <c r="R40" s="1"/>
  <c r="P41"/>
  <c r="P39" s="1"/>
  <c r="P40" s="1"/>
  <c r="H41"/>
  <c r="H39" s="1"/>
  <c r="H40" s="1"/>
  <c r="F41"/>
  <c r="F39" s="1"/>
  <c r="F40" s="1"/>
  <c r="V41"/>
  <c r="V39" s="1"/>
  <c r="V40" s="1"/>
  <c r="D798" i="4"/>
  <c r="R798"/>
  <c r="M38"/>
  <c r="E38"/>
  <c r="M34" i="3"/>
  <c r="J34"/>
  <c r="M28" i="4"/>
  <c r="P798"/>
  <c r="F28"/>
  <c r="P225"/>
  <c r="V16" i="2"/>
  <c r="P16"/>
  <c r="N16"/>
  <c r="J16"/>
  <c r="H16"/>
  <c r="H14" s="1"/>
  <c r="O9"/>
  <c r="Q623" i="3"/>
  <c r="S41"/>
  <c r="S39" s="1"/>
  <c r="S40" s="1"/>
  <c r="O41"/>
  <c r="O39" s="1"/>
  <c r="O40" s="1"/>
  <c r="M41"/>
  <c r="M39" s="1"/>
  <c r="M40" s="1"/>
  <c r="K41"/>
  <c r="K39" s="1"/>
  <c r="K40" s="1"/>
  <c r="I41"/>
  <c r="I39" s="1"/>
  <c r="I40" s="1"/>
  <c r="G41"/>
  <c r="G39" s="1"/>
  <c r="G40" s="1"/>
  <c r="R38" i="4"/>
  <c r="M21"/>
  <c r="M23"/>
  <c r="L23"/>
  <c r="L21"/>
  <c r="J23"/>
  <c r="J21"/>
  <c r="J8" s="1"/>
  <c r="I21"/>
  <c r="I23"/>
  <c r="H23"/>
  <c r="H21"/>
  <c r="D5"/>
  <c r="F5"/>
  <c r="H5"/>
  <c r="J5"/>
  <c r="L5"/>
  <c r="N5"/>
  <c r="C5"/>
  <c r="E5"/>
  <c r="G5"/>
  <c r="I5"/>
  <c r="K5"/>
  <c r="M5"/>
  <c r="M9" i="5"/>
  <c r="P10"/>
  <c r="E426" i="1"/>
  <c r="E255"/>
  <c r="E249"/>
  <c r="E252"/>
  <c r="E256"/>
  <c r="E218"/>
  <c r="E211"/>
  <c r="E219"/>
  <c r="E176"/>
  <c r="E112"/>
  <c r="O4"/>
  <c r="M4"/>
  <c r="K4"/>
  <c r="I4"/>
  <c r="G4"/>
  <c r="E4"/>
  <c r="E400" i="2"/>
  <c r="E379"/>
  <c r="E378"/>
  <c r="F374"/>
  <c r="F16" s="1"/>
  <c r="F15" s="1"/>
  <c r="F13" s="1"/>
  <c r="F14" s="1"/>
  <c r="R153"/>
  <c r="R16" s="1"/>
  <c r="AI12"/>
  <c r="AG12"/>
  <c r="AF10"/>
  <c r="AF8"/>
  <c r="N4"/>
  <c r="L4"/>
  <c r="J4"/>
  <c r="H4"/>
  <c r="F4"/>
  <c r="N2"/>
  <c r="L2"/>
  <c r="J2"/>
  <c r="H2"/>
  <c r="F2"/>
  <c r="D2"/>
  <c r="Q444" i="3"/>
  <c r="Q433" s="1"/>
  <c r="Q41" s="1"/>
  <c r="Q39" s="1"/>
  <c r="Q40" s="1"/>
  <c r="N6"/>
  <c r="L6"/>
  <c r="J6"/>
  <c r="H6"/>
  <c r="F6"/>
  <c r="D6"/>
  <c r="O4"/>
  <c r="M4"/>
  <c r="K4"/>
  <c r="I4"/>
  <c r="G4"/>
  <c r="E4"/>
  <c r="E3" s="1"/>
  <c r="E33" s="1"/>
  <c r="K798" i="4"/>
  <c r="I798"/>
  <c r="G798"/>
  <c r="N225"/>
  <c r="L225"/>
  <c r="J225"/>
  <c r="H225"/>
  <c r="F225"/>
  <c r="P28"/>
  <c r="Q28" s="1"/>
  <c r="P26"/>
  <c r="Q26" s="1"/>
  <c r="P25"/>
  <c r="Q25" s="1"/>
  <c r="P19"/>
  <c r="Q19" s="1"/>
  <c r="T38"/>
  <c r="P38"/>
  <c r="N38"/>
  <c r="L38"/>
  <c r="F38"/>
  <c r="N32"/>
  <c r="L32"/>
  <c r="J32"/>
  <c r="H32"/>
  <c r="F32"/>
  <c r="D32"/>
  <c r="N31"/>
  <c r="L31"/>
  <c r="J31"/>
  <c r="H31"/>
  <c r="F31"/>
  <c r="D31"/>
  <c r="H8"/>
  <c r="D8"/>
  <c r="E1002" i="5"/>
  <c r="D9"/>
  <c r="V44"/>
  <c r="T44"/>
  <c r="P44"/>
  <c r="P26"/>
  <c r="Q26" s="1"/>
  <c r="K9"/>
  <c r="K39" s="1"/>
  <c r="M39"/>
  <c r="U278" i="6"/>
  <c r="N23" i="4"/>
  <c r="N21"/>
  <c r="N8" s="1"/>
  <c r="K21"/>
  <c r="K23"/>
  <c r="K8" s="1"/>
  <c r="G21"/>
  <c r="G23"/>
  <c r="H29"/>
  <c r="J29"/>
  <c r="L29"/>
  <c r="N29"/>
  <c r="C29"/>
  <c r="I29"/>
  <c r="K29"/>
  <c r="M29"/>
  <c r="F27"/>
  <c r="H27"/>
  <c r="J27"/>
  <c r="L27"/>
  <c r="N27"/>
  <c r="C27"/>
  <c r="E27"/>
  <c r="G27"/>
  <c r="I27"/>
  <c r="K27"/>
  <c r="M27"/>
  <c r="O1020" i="5"/>
  <c r="O1021" s="1"/>
  <c r="O1019"/>
  <c r="N1016"/>
  <c r="N1017"/>
  <c r="N1018" s="1"/>
  <c r="D2"/>
  <c r="D39" s="1"/>
  <c r="O7"/>
  <c r="P7" s="1"/>
  <c r="C9"/>
  <c r="C39" s="1"/>
  <c r="P25"/>
  <c r="Q25" s="1"/>
  <c r="E214" i="1"/>
  <c r="AI11"/>
  <c r="N4"/>
  <c r="L4"/>
  <c r="J4"/>
  <c r="H4"/>
  <c r="F4"/>
  <c r="E406" i="2"/>
  <c r="E404"/>
  <c r="AI10"/>
  <c r="AG10"/>
  <c r="O2"/>
  <c r="M2"/>
  <c r="K2"/>
  <c r="I2"/>
  <c r="G2"/>
  <c r="O6" i="3"/>
  <c r="M6"/>
  <c r="K6"/>
  <c r="I6"/>
  <c r="G6"/>
  <c r="N4"/>
  <c r="N3" s="1"/>
  <c r="N33" s="1"/>
  <c r="L4"/>
  <c r="L3" s="1"/>
  <c r="L33" s="1"/>
  <c r="J4"/>
  <c r="J3" s="1"/>
  <c r="J33" s="1"/>
  <c r="H4"/>
  <c r="H3" s="1"/>
  <c r="H33" s="1"/>
  <c r="F4"/>
  <c r="F3" s="1"/>
  <c r="F33" s="1"/>
  <c r="L798" i="4"/>
  <c r="J798"/>
  <c r="F798"/>
  <c r="K225"/>
  <c r="I225"/>
  <c r="G225"/>
  <c r="P21"/>
  <c r="Q21" s="1"/>
  <c r="P24"/>
  <c r="Q24" s="1"/>
  <c r="P22"/>
  <c r="Q22" s="1"/>
  <c r="P20"/>
  <c r="Q20" s="1"/>
  <c r="U38"/>
  <c r="Q38"/>
  <c r="O38"/>
  <c r="K38"/>
  <c r="I38"/>
  <c r="G38"/>
  <c r="M32"/>
  <c r="K32"/>
  <c r="I32"/>
  <c r="G32"/>
  <c r="E32"/>
  <c r="M31"/>
  <c r="K31"/>
  <c r="I31"/>
  <c r="G31"/>
  <c r="G8" s="1"/>
  <c r="E31"/>
  <c r="M8"/>
  <c r="I8"/>
  <c r="E8"/>
  <c r="D3"/>
  <c r="D33" s="1"/>
  <c r="P36" i="5"/>
  <c r="Q36" s="1"/>
  <c r="R44"/>
  <c r="S44"/>
  <c r="N44"/>
  <c r="Q44"/>
  <c r="O44"/>
  <c r="F44"/>
  <c r="D44"/>
  <c r="N39"/>
  <c r="T278" i="6"/>
  <c r="E2"/>
  <c r="N2" i="10"/>
  <c r="H257" i="6"/>
  <c r="N28" i="7"/>
  <c r="M32"/>
  <c r="H239" i="6"/>
  <c r="L32" i="7"/>
  <c r="H220" i="6"/>
  <c r="K32" i="7"/>
  <c r="H199" i="6"/>
  <c r="J32" i="7"/>
  <c r="H178" i="6"/>
  <c r="I28" i="7"/>
  <c r="H154" i="6"/>
  <c r="I2" i="10"/>
  <c r="I31" i="7"/>
  <c r="H155" i="6"/>
  <c r="H135"/>
  <c r="H32" i="7"/>
  <c r="G28"/>
  <c r="G2" i="10"/>
  <c r="H114" i="6"/>
  <c r="G31" i="7"/>
  <c r="H115" i="6"/>
  <c r="F2" i="10"/>
  <c r="H94" i="6"/>
  <c r="F28" i="7"/>
  <c r="F31"/>
  <c r="H95" i="6"/>
  <c r="E28" i="7"/>
  <c r="E2" i="10"/>
  <c r="H73" i="6"/>
  <c r="E31" i="7"/>
  <c r="H74" i="6"/>
  <c r="D32" i="7"/>
  <c r="H54" i="6"/>
  <c r="P3" i="10"/>
  <c r="C28" i="7"/>
  <c r="C2" i="10"/>
  <c r="O3"/>
  <c r="H32" i="6"/>
  <c r="P8" i="10"/>
  <c r="O8"/>
  <c r="P6"/>
  <c r="C29" i="7"/>
  <c r="O6" i="10"/>
  <c r="P4"/>
  <c r="C31" i="7"/>
  <c r="H33" i="6"/>
  <c r="O4" i="10"/>
  <c r="M6" i="4"/>
  <c r="M3" s="1"/>
  <c r="K6"/>
  <c r="K3" s="1"/>
  <c r="I6"/>
  <c r="I3" s="1"/>
  <c r="G6"/>
  <c r="G3" s="1"/>
  <c r="E6"/>
  <c r="E3" s="1"/>
  <c r="E33" s="1"/>
  <c r="C6"/>
  <c r="E547" i="5"/>
  <c r="E527" s="1"/>
  <c r="I44"/>
  <c r="D241" i="6"/>
  <c r="D4" i="8"/>
  <c r="O526" i="10"/>
  <c r="P7" i="7"/>
  <c r="R7"/>
  <c r="M28"/>
  <c r="H237" i="6"/>
  <c r="M2" i="10"/>
  <c r="M31" i="7"/>
  <c r="M27" s="1"/>
  <c r="M34" s="1"/>
  <c r="M36" s="1"/>
  <c r="H238" i="6"/>
  <c r="L2" i="10"/>
  <c r="L28" i="7"/>
  <c r="H218" i="6"/>
  <c r="H219"/>
  <c r="L31" i="7"/>
  <c r="K28"/>
  <c r="K2" i="10"/>
  <c r="H197" i="6"/>
  <c r="K31" i="7"/>
  <c r="K27" s="1"/>
  <c r="K34" s="1"/>
  <c r="K36" s="1"/>
  <c r="H198" i="6"/>
  <c r="J2" i="10"/>
  <c r="J28" i="7"/>
  <c r="H176" i="6"/>
  <c r="H177"/>
  <c r="J31" i="7"/>
  <c r="I32"/>
  <c r="H156" i="6"/>
  <c r="H2" i="10"/>
  <c r="H133" i="6" s="1"/>
  <c r="H28" i="7"/>
  <c r="H31"/>
  <c r="H134" i="6"/>
  <c r="G32" i="7"/>
  <c r="H116" i="6"/>
  <c r="H96"/>
  <c r="F32" i="7"/>
  <c r="E32"/>
  <c r="H75" i="6"/>
  <c r="D75"/>
  <c r="D56" s="1"/>
  <c r="D2" i="10"/>
  <c r="D28" i="7"/>
  <c r="H52" i="6"/>
  <c r="H53"/>
  <c r="D31" i="7"/>
  <c r="P7" i="10"/>
  <c r="C30" i="7"/>
  <c r="O7" i="10"/>
  <c r="P5"/>
  <c r="C32" i="7"/>
  <c r="O5" i="10"/>
  <c r="D34" i="6"/>
  <c r="D15" s="1"/>
  <c r="N6" i="4"/>
  <c r="N3" s="1"/>
  <c r="N33" s="1"/>
  <c r="L6"/>
  <c r="L3" s="1"/>
  <c r="L33" s="1"/>
  <c r="J6"/>
  <c r="J3" s="1"/>
  <c r="H6"/>
  <c r="H3" s="1"/>
  <c r="H33" s="1"/>
  <c r="F6"/>
  <c r="F3" s="1"/>
  <c r="F33" s="1"/>
  <c r="E617" i="5"/>
  <c r="E608" s="1"/>
  <c r="M310"/>
  <c r="M291" s="1"/>
  <c r="M44" s="1"/>
  <c r="H44"/>
  <c r="P15"/>
  <c r="Q15" s="1"/>
  <c r="F279" i="6"/>
  <c r="D10" i="8"/>
  <c r="F10" s="1"/>
  <c r="E6"/>
  <c r="E5"/>
  <c r="E4"/>
  <c r="D3"/>
  <c r="G14"/>
  <c r="D14" i="9"/>
  <c r="P25" i="7"/>
  <c r="G535" i="10"/>
  <c r="E20"/>
  <c r="F14"/>
  <c r="G13"/>
  <c r="F12"/>
  <c r="G11"/>
  <c r="F10"/>
  <c r="F20"/>
  <c r="E316" i="1" l="1"/>
  <c r="P307"/>
  <c r="E206"/>
  <c r="P275"/>
  <c r="H27" i="7"/>
  <c r="H34" s="1"/>
  <c r="H36" s="1"/>
  <c r="J27"/>
  <c r="J34" s="1"/>
  <c r="J36" s="1"/>
  <c r="M15" i="1"/>
  <c r="E261"/>
  <c r="O240"/>
  <c r="E239" s="1"/>
  <c r="K33" i="4"/>
  <c r="J33"/>
  <c r="H158" i="6"/>
  <c r="D10" s="1"/>
  <c r="F10" s="1"/>
  <c r="H201"/>
  <c r="D12" s="1"/>
  <c r="F12" s="1"/>
  <c r="I33" i="4"/>
  <c r="M33"/>
  <c r="H222" i="6"/>
  <c r="D13" s="1"/>
  <c r="F13" s="1"/>
  <c r="F5" i="8"/>
  <c r="D27" i="7"/>
  <c r="D34" s="1"/>
  <c r="D36" s="1"/>
  <c r="D37" s="1"/>
  <c r="L27"/>
  <c r="L34" s="1"/>
  <c r="L36" s="1"/>
  <c r="F4" i="8"/>
  <c r="E225" i="1"/>
  <c r="O207"/>
  <c r="L37" i="8"/>
  <c r="L60"/>
  <c r="L89"/>
  <c r="L116"/>
  <c r="L167"/>
  <c r="L143"/>
  <c r="L195"/>
  <c r="L39"/>
  <c r="L62"/>
  <c r="L91"/>
  <c r="L118"/>
  <c r="L169"/>
  <c r="L145"/>
  <c r="L197"/>
  <c r="E44" i="5"/>
  <c r="P31" i="4"/>
  <c r="Q31" s="1"/>
  <c r="P32"/>
  <c r="Q32" s="1"/>
  <c r="L38" i="8"/>
  <c r="L61"/>
  <c r="L90"/>
  <c r="L117"/>
  <c r="L168"/>
  <c r="L144"/>
  <c r="L196"/>
  <c r="M217"/>
  <c r="N217" s="1"/>
  <c r="L263"/>
  <c r="L281"/>
  <c r="L300"/>
  <c r="H37"/>
  <c r="G33" i="4"/>
  <c r="H285" i="8"/>
  <c r="D14" s="1"/>
  <c r="F14" s="1"/>
  <c r="E222" i="1"/>
  <c r="P207"/>
  <c r="O270"/>
  <c r="O336"/>
  <c r="T165"/>
  <c r="O371"/>
  <c r="O202"/>
  <c r="F336"/>
  <c r="E335" s="1"/>
  <c r="F15"/>
  <c r="E116"/>
  <c r="P95"/>
  <c r="P270"/>
  <c r="P234" s="1"/>
  <c r="P202" s="1"/>
  <c r="P165" s="1"/>
  <c r="T15"/>
  <c r="P409"/>
  <c r="E18"/>
  <c r="P336"/>
  <c r="P436"/>
  <c r="F270"/>
  <c r="F436"/>
  <c r="E91"/>
  <c r="P91"/>
  <c r="F409"/>
  <c r="P132"/>
  <c r="P371"/>
  <c r="F371"/>
  <c r="O409"/>
  <c r="E374" i="2"/>
  <c r="O436" i="1"/>
  <c r="P4" i="12"/>
  <c r="O1" i="8"/>
  <c r="O31"/>
  <c r="F280" i="6"/>
  <c r="H280" s="1"/>
  <c r="F283"/>
  <c r="F284" s="1"/>
  <c r="G284" s="1"/>
  <c r="H284" s="1"/>
  <c r="P32" i="7"/>
  <c r="R32"/>
  <c r="P29"/>
  <c r="R29"/>
  <c r="P2" i="10"/>
  <c r="O2"/>
  <c r="O1017" i="5"/>
  <c r="O1018" s="1"/>
  <c r="O1016" s="1"/>
  <c r="K17" i="2"/>
  <c r="H180" i="6"/>
  <c r="D11" s="1"/>
  <c r="F11" s="1"/>
  <c r="F3" i="8"/>
  <c r="G27" i="7"/>
  <c r="G34" s="1"/>
  <c r="G36" s="1"/>
  <c r="P27" i="4"/>
  <c r="Q27" s="1"/>
  <c r="I3" i="3"/>
  <c r="I33" s="1"/>
  <c r="M3"/>
  <c r="M33" s="1"/>
  <c r="Q6"/>
  <c r="R6" s="1"/>
  <c r="P5" i="4"/>
  <c r="Q5" s="1"/>
  <c r="D3" i="3"/>
  <c r="P30" i="7"/>
  <c r="R30"/>
  <c r="P31"/>
  <c r="R31"/>
  <c r="P28"/>
  <c r="R28"/>
  <c r="Q10" i="5"/>
  <c r="Q39" s="1"/>
  <c r="P39"/>
  <c r="H15" i="2"/>
  <c r="H13" s="1"/>
  <c r="F7" i="8"/>
  <c r="P6" i="4"/>
  <c r="Q6" s="1"/>
  <c r="F27" i="7"/>
  <c r="F34" s="1"/>
  <c r="F36" s="1"/>
  <c r="H137" i="6"/>
  <c r="D9" s="1"/>
  <c r="F9" s="1"/>
  <c r="P29" i="4"/>
  <c r="Q29" s="1"/>
  <c r="C3"/>
  <c r="G3" i="3"/>
  <c r="G33" s="1"/>
  <c r="K3"/>
  <c r="K33" s="1"/>
  <c r="O3"/>
  <c r="O33" s="1"/>
  <c r="Q2" i="2"/>
  <c r="R2" s="1"/>
  <c r="Q4" i="3"/>
  <c r="R4" s="1"/>
  <c r="E408" i="1" l="1"/>
  <c r="E376" s="1"/>
  <c r="F234"/>
  <c r="F202" s="1"/>
  <c r="E269"/>
  <c r="E240" s="1"/>
  <c r="E435"/>
  <c r="E370"/>
  <c r="E275"/>
  <c r="O234"/>
  <c r="O15"/>
  <c r="P15"/>
  <c r="F132"/>
  <c r="O132"/>
  <c r="O165"/>
  <c r="E55"/>
  <c r="AV8"/>
  <c r="O3" i="4"/>
  <c r="Q3" s="1"/>
  <c r="C33"/>
  <c r="O33" s="1"/>
  <c r="Q33" s="1"/>
  <c r="AO8" i="2"/>
  <c r="P3" i="3"/>
  <c r="R3" s="1"/>
  <c r="D33"/>
  <c r="P33" s="1"/>
  <c r="R33" s="1"/>
  <c r="I284" i="6"/>
  <c r="K284" s="1"/>
  <c r="L284" s="1"/>
  <c r="M284" s="1"/>
  <c r="N284" s="1"/>
  <c r="O284" s="1"/>
  <c r="P284" s="1"/>
  <c r="Q284" s="1"/>
  <c r="R284" s="1"/>
  <c r="J284"/>
  <c r="F165" i="1" l="1"/>
  <c r="E238"/>
  <c r="E237" s="1"/>
  <c r="H204"/>
  <c r="H202" s="1"/>
  <c r="E201" s="1"/>
  <c r="E169" s="1"/>
  <c r="H374"/>
  <c r="E371" s="1"/>
  <c r="H305"/>
  <c r="H340"/>
  <c r="E340" s="1"/>
  <c r="E339" s="1"/>
  <c r="E273"/>
  <c r="H93"/>
  <c r="E136"/>
  <c r="E135" s="1"/>
  <c r="H53"/>
  <c r="E52" s="1"/>
  <c r="E50" s="1"/>
  <c r="E342" l="1"/>
  <c r="E164"/>
  <c r="E137" s="1"/>
  <c r="E168"/>
  <c r="E167" s="1"/>
  <c r="E205"/>
  <c r="E204" s="1"/>
  <c r="E202" s="1"/>
  <c r="H237"/>
  <c r="E305"/>
  <c r="H167"/>
  <c r="H165" s="1"/>
  <c r="H135"/>
  <c r="H339"/>
  <c r="E93"/>
  <c r="E374"/>
  <c r="E53"/>
  <c r="H273"/>
  <c r="E272" s="1"/>
  <c r="E270" s="1"/>
  <c r="E336" l="1"/>
  <c r="E307"/>
  <c r="K6"/>
  <c r="H132"/>
  <c r="E131" s="1"/>
  <c r="E95" s="1"/>
  <c r="E134"/>
  <c r="H234"/>
  <c r="E233" s="1"/>
  <c r="E207" s="1"/>
  <c r="E236"/>
  <c r="E234" s="1"/>
  <c r="E33" i="7"/>
  <c r="E27" s="1"/>
  <c r="E34" s="1"/>
  <c r="E36" s="1"/>
  <c r="E37" s="1"/>
  <c r="F37" s="1"/>
  <c r="G37" s="1"/>
  <c r="H37" s="1"/>
  <c r="H117" i="6" l="1"/>
  <c r="H98" s="1"/>
  <c r="D7" s="1"/>
  <c r="H55"/>
  <c r="H36" s="1"/>
  <c r="D4" s="1"/>
  <c r="F4" s="1"/>
  <c r="J281" l="1"/>
  <c r="J285" s="1"/>
  <c r="F7"/>
  <c r="N33" i="7" l="1"/>
  <c r="N27" s="1"/>
  <c r="N34" s="1"/>
  <c r="N36" s="1"/>
  <c r="H260" i="6"/>
  <c r="H241" s="1"/>
  <c r="D14" s="1"/>
  <c r="F14" s="1"/>
  <c r="H76" l="1"/>
  <c r="H56" s="1"/>
  <c r="D5" s="1"/>
  <c r="F5" s="1"/>
  <c r="H136" l="1"/>
  <c r="H118" s="1"/>
  <c r="D8" s="1"/>
  <c r="F8" s="1"/>
  <c r="H97" l="1"/>
  <c r="H77" s="1"/>
  <c r="D6" s="1"/>
  <c r="F6" s="1"/>
  <c r="C33" i="7" l="1"/>
  <c r="H35" i="6"/>
  <c r="H15" s="1"/>
  <c r="D3" s="1"/>
  <c r="I33" i="7"/>
  <c r="I27" s="1"/>
  <c r="I34" s="1"/>
  <c r="I36" s="1"/>
  <c r="I37" s="1"/>
  <c r="J37" s="1"/>
  <c r="K37" s="1"/>
  <c r="L37" s="1"/>
  <c r="M37" s="1"/>
  <c r="N37" s="1"/>
  <c r="P33" l="1"/>
  <c r="R33"/>
  <c r="D2" i="6"/>
  <c r="F3"/>
  <c r="F2" s="1"/>
  <c r="K7"/>
  <c r="K9" s="1"/>
  <c r="V132" i="1" l="1"/>
  <c r="E132" l="1"/>
  <c r="E165"/>
  <c r="M16" l="1"/>
  <c r="M14" s="1"/>
  <c r="M12" s="1"/>
  <c r="V16"/>
  <c r="V14" s="1"/>
  <c r="V12" s="1"/>
  <c r="V13" s="1"/>
  <c r="K16"/>
  <c r="K14" s="1"/>
  <c r="K12" s="1"/>
  <c r="S16"/>
  <c r="S14" s="1"/>
  <c r="S12" s="1"/>
  <c r="S13" s="1"/>
  <c r="T16"/>
  <c r="T14" s="1"/>
  <c r="T12" s="1"/>
  <c r="T13" s="1"/>
  <c r="O16"/>
  <c r="O14" s="1"/>
  <c r="O12" s="1"/>
  <c r="O13" s="1"/>
  <c r="W16"/>
  <c r="W14" s="1"/>
  <c r="W12" s="1"/>
  <c r="L16"/>
  <c r="L14" s="1"/>
  <c r="L12" s="1"/>
  <c r="L13" s="1"/>
  <c r="F16"/>
  <c r="F14" s="1"/>
  <c r="F12" s="1"/>
  <c r="F13" s="1"/>
  <c r="U16"/>
  <c r="U14" s="1"/>
  <c r="U12" s="1"/>
  <c r="U13" s="1"/>
  <c r="I16"/>
  <c r="I14" s="1"/>
  <c r="I12" s="1"/>
  <c r="I13" s="1"/>
  <c r="P16"/>
  <c r="P14" s="1"/>
  <c r="P12" s="1"/>
  <c r="P13" s="1"/>
  <c r="N16"/>
  <c r="N14" s="1"/>
  <c r="N12" s="1"/>
  <c r="N13" s="1"/>
  <c r="R16"/>
  <c r="R14" s="1"/>
  <c r="R12" s="1"/>
  <c r="R13" s="1"/>
  <c r="Q16"/>
  <c r="Q14" s="1"/>
  <c r="Q12" s="1"/>
  <c r="Q13" s="1"/>
  <c r="J16"/>
  <c r="J14" s="1"/>
  <c r="J12" s="1"/>
  <c r="J13" s="1"/>
  <c r="G14" l="1"/>
  <c r="G12" s="1"/>
  <c r="G13" s="1"/>
  <c r="N425" i="18"/>
  <c r="M424" s="1"/>
  <c r="N424" l="1"/>
  <c r="M423" s="1"/>
  <c r="N426"/>
  <c r="M427" s="1"/>
  <c r="N423" l="1"/>
  <c r="M422" s="1"/>
  <c r="N422" s="1"/>
  <c r="M421" s="1"/>
  <c r="N421" s="1"/>
  <c r="N427"/>
  <c r="M428" s="1"/>
  <c r="N428" l="1"/>
  <c r="N429" l="1"/>
  <c r="M430" s="1"/>
  <c r="N430" l="1"/>
  <c r="M431" l="1"/>
  <c r="N432" l="1"/>
  <c r="N433" l="1"/>
  <c r="M434" l="1"/>
  <c r="N434" s="1"/>
  <c r="M435" s="1"/>
  <c r="N435" l="1"/>
  <c r="M436" s="1"/>
  <c r="N436" l="1"/>
  <c r="M437" s="1"/>
  <c r="N437" l="1"/>
  <c r="N438" l="1"/>
  <c r="N439" l="1"/>
  <c r="M440" s="1"/>
  <c r="N440" l="1"/>
  <c r="N441" l="1"/>
  <c r="M442" s="1"/>
  <c r="N442" l="1"/>
  <c r="M443" s="1"/>
  <c r="N443" l="1"/>
  <c r="M444" l="1"/>
  <c r="M445" s="1"/>
  <c r="N445" l="1"/>
  <c r="M446" s="1"/>
  <c r="N446" l="1"/>
  <c r="M447" s="1"/>
  <c r="N447" l="1"/>
  <c r="M448" s="1"/>
  <c r="N448" l="1"/>
  <c r="M449" s="1"/>
  <c r="N449" l="1"/>
  <c r="N450" s="1"/>
  <c r="E409" i="1"/>
  <c r="D6" l="1"/>
  <c r="I6" s="1"/>
  <c r="E23" i="29"/>
  <c r="E2" s="1"/>
  <c r="E24" s="1"/>
  <c r="F23"/>
  <c r="F2" s="1"/>
  <c r="F24" s="1"/>
  <c r="G23"/>
  <c r="G2" s="1"/>
  <c r="G24" s="1"/>
  <c r="I23"/>
  <c r="I2" s="1"/>
  <c r="I24" s="1"/>
  <c r="J23"/>
  <c r="J2" s="1"/>
  <c r="J24" s="1"/>
  <c r="L23"/>
  <c r="L2" s="1"/>
  <c r="L24" s="1"/>
  <c r="M23"/>
  <c r="M2" s="1"/>
  <c r="M24" s="1"/>
  <c r="N23"/>
  <c r="N2" s="1"/>
  <c r="N24" s="1"/>
  <c r="P23"/>
  <c r="P2" s="1"/>
  <c r="P24" s="1"/>
  <c r="Q23"/>
  <c r="Q2" s="1"/>
  <c r="Q24" s="1"/>
  <c r="H23"/>
  <c r="H2" s="1"/>
  <c r="H24" s="1"/>
  <c r="D21"/>
  <c r="D23" s="1"/>
  <c r="D2" s="1"/>
  <c r="D24" s="1"/>
  <c r="R21"/>
  <c r="R23" s="1"/>
  <c r="R2" s="1"/>
  <c r="R1" s="1"/>
  <c r="O23"/>
  <c r="O2" s="1"/>
  <c r="O24" s="1"/>
  <c r="R24" l="1"/>
  <c r="H14" i="1"/>
  <c r="V5" i="27" l="1"/>
  <c r="H13" i="1"/>
  <c r="AP8" s="1"/>
  <c r="H12"/>
  <c r="H442" l="1"/>
  <c r="E443"/>
  <c r="E442" s="1"/>
  <c r="E436" l="1"/>
  <c r="O8" s="1"/>
  <c r="E412"/>
  <c r="O9"/>
  <c r="O10" s="1"/>
  <c r="H148" i="27" l="1"/>
  <c r="E185"/>
  <c r="E155" s="1"/>
  <c r="G4" s="1"/>
  <c r="E147"/>
  <c r="E116" s="1"/>
  <c r="F4" l="1"/>
  <c r="E109"/>
  <c r="E148"/>
  <c r="H1" l="1"/>
  <c r="P20" l="1"/>
  <c r="P11" s="1"/>
  <c r="O20"/>
  <c r="O11" s="1"/>
  <c r="N20"/>
  <c r="N11" s="1"/>
  <c r="S20"/>
  <c r="S10" s="1"/>
  <c r="H20"/>
  <c r="W20"/>
  <c r="W11" s="1"/>
  <c r="I20"/>
  <c r="I11" s="1"/>
  <c r="M20"/>
  <c r="M11" s="1"/>
  <c r="T20"/>
  <c r="T11" s="1"/>
  <c r="L20"/>
  <c r="L11" s="1"/>
  <c r="Q20"/>
  <c r="Q11" s="1"/>
  <c r="F20"/>
  <c r="F11" s="1"/>
  <c r="V20"/>
  <c r="V11" s="1"/>
  <c r="G20"/>
  <c r="G11" s="1"/>
  <c r="K20"/>
  <c r="K11" s="1"/>
  <c r="U20"/>
  <c r="U11" s="1"/>
  <c r="R20"/>
  <c r="R11" s="1"/>
  <c r="J20"/>
  <c r="J11" s="1"/>
  <c r="H105" l="1"/>
  <c r="E104" l="1"/>
  <c r="E65" s="1"/>
  <c r="E105"/>
  <c r="E4" l="1"/>
  <c r="E58"/>
  <c r="H11"/>
  <c r="E57"/>
  <c r="E55" s="1"/>
  <c r="BM9" i="28" l="1"/>
  <c r="BJ16" s="1"/>
  <c r="BO9" s="1"/>
  <c r="AS7" s="1"/>
  <c r="BN9" l="1"/>
  <c r="AS8" l="1"/>
  <c r="BN10"/>
  <c r="BO24" l="1"/>
  <c r="BO25"/>
  <c r="BO26" l="1"/>
  <c r="BO29" s="1"/>
  <c r="BN29" l="1"/>
  <c r="BM29" l="1"/>
  <c r="BL29"/>
  <c r="H256" i="27"/>
  <c r="E273"/>
  <c r="E256" s="1"/>
  <c r="I6" l="1"/>
  <c r="I7" s="1"/>
  <c r="E238"/>
  <c r="E11" s="1"/>
  <c r="BI11" i="28"/>
  <c r="BM11" l="1"/>
  <c r="BI14"/>
  <c r="BM14" l="1"/>
  <c r="BO11"/>
  <c r="BO14" l="1"/>
  <c r="BN14" s="1"/>
  <c r="BN11"/>
  <c r="AZ44"/>
  <c r="AZ43" l="1"/>
  <c r="BA43" l="1"/>
  <c r="AZ37" l="1"/>
  <c r="BB37" s="1"/>
  <c r="N411" i="1"/>
  <c r="H411"/>
  <c r="M411"/>
  <c r="F411"/>
  <c r="Q411"/>
  <c r="V411"/>
  <c r="K411"/>
  <c r="W411"/>
  <c r="R411"/>
  <c r="J411"/>
  <c r="U411"/>
  <c r="P411"/>
  <c r="T411"/>
  <c r="L411"/>
  <c r="I411"/>
  <c r="S411"/>
</calcChain>
</file>

<file path=xl/sharedStrings.xml><?xml version="1.0" encoding="utf-8"?>
<sst xmlns="http://schemas.openxmlformats.org/spreadsheetml/2006/main" count="13357" uniqueCount="1709">
  <si>
    <t>netto D</t>
  </si>
  <si>
    <t>skat</t>
  </si>
  <si>
    <t>fradrag</t>
  </si>
  <si>
    <t>pension D</t>
  </si>
  <si>
    <t>indtægter D</t>
  </si>
  <si>
    <t>netto K</t>
  </si>
  <si>
    <t>pension K</t>
  </si>
  <si>
    <t>gave Nicolai</t>
  </si>
  <si>
    <t>gave Filip</t>
  </si>
  <si>
    <t>gave Emma</t>
  </si>
  <si>
    <t>gave Eddie</t>
  </si>
  <si>
    <t>gave Allan</t>
  </si>
  <si>
    <t>gave Carina</t>
  </si>
  <si>
    <t>gave Alexander</t>
  </si>
  <si>
    <t>tobak</t>
  </si>
  <si>
    <t>husholdning</t>
  </si>
  <si>
    <t>Klarup Depot</t>
  </si>
  <si>
    <t>L</t>
  </si>
  <si>
    <t>forsikring CV66378</t>
  </si>
  <si>
    <t>c</t>
  </si>
  <si>
    <t>Indboforsikring</t>
  </si>
  <si>
    <t>Oister K</t>
  </si>
  <si>
    <t>Oister D</t>
  </si>
  <si>
    <t>Danske Spil</t>
  </si>
  <si>
    <t>DK Hostmaster Pari.dk</t>
  </si>
  <si>
    <t>OK diesel</t>
  </si>
  <si>
    <t>OK el</t>
  </si>
  <si>
    <t>Allente</t>
  </si>
  <si>
    <t>Alektum</t>
  </si>
  <si>
    <t>Lunar</t>
  </si>
  <si>
    <t>husleje</t>
  </si>
  <si>
    <t>boligstøtte</t>
  </si>
  <si>
    <t>Allan Opbevaring</t>
  </si>
  <si>
    <t>ATP</t>
  </si>
  <si>
    <t>Pension K</t>
  </si>
  <si>
    <t>Pension D</t>
  </si>
  <si>
    <t>budget</t>
  </si>
  <si>
    <t>diverse</t>
  </si>
  <si>
    <t>meny</t>
  </si>
  <si>
    <t>lidl</t>
  </si>
  <si>
    <t>fakta</t>
  </si>
  <si>
    <t>netto</t>
  </si>
  <si>
    <t>rema1000</t>
  </si>
  <si>
    <t>ejerafgift Mondeo</t>
  </si>
  <si>
    <t>juni</t>
  </si>
  <si>
    <t>=</t>
  </si>
  <si>
    <t>Indskud</t>
  </si>
  <si>
    <t>ældrecheck</t>
  </si>
  <si>
    <t>brænde</t>
  </si>
  <si>
    <t>Ejerafgift</t>
  </si>
  <si>
    <t>restbudget 2023</t>
  </si>
  <si>
    <t>brugt 2023</t>
  </si>
  <si>
    <t>I alt 2023</t>
  </si>
  <si>
    <t>1 md.</t>
  </si>
  <si>
    <t>budget 2022</t>
  </si>
  <si>
    <t>3 mdr.</t>
  </si>
  <si>
    <t>El</t>
  </si>
  <si>
    <t>Carina</t>
  </si>
  <si>
    <t>Allan</t>
  </si>
  <si>
    <t>Villum Data</t>
  </si>
  <si>
    <t>Gaver</t>
  </si>
  <si>
    <t>Spil</t>
  </si>
  <si>
    <t>Telefon/TV</t>
  </si>
  <si>
    <t>Bil</t>
  </si>
  <si>
    <t>Brænde</t>
  </si>
  <si>
    <t>Husleje</t>
  </si>
  <si>
    <t>Slik</t>
  </si>
  <si>
    <t>Kat</t>
  </si>
  <si>
    <t>Tobak</t>
  </si>
  <si>
    <t>Medicin K</t>
  </si>
  <si>
    <t>Medicin D</t>
  </si>
  <si>
    <t>Husholdning</t>
  </si>
  <si>
    <t>Diverse</t>
  </si>
  <si>
    <t>Faste</t>
  </si>
  <si>
    <t>Budget 2023</t>
  </si>
  <si>
    <t>½ år</t>
  </si>
  <si>
    <t>RÅDIGHED</t>
  </si>
  <si>
    <t>år</t>
  </si>
  <si>
    <t>BALANCE</t>
  </si>
  <si>
    <t>BD47954</t>
  </si>
  <si>
    <t>CV66378</t>
  </si>
  <si>
    <t>AL</t>
  </si>
  <si>
    <t>Coop</t>
  </si>
  <si>
    <t>December</t>
  </si>
  <si>
    <t>November</t>
  </si>
  <si>
    <t>Oktober</t>
  </si>
  <si>
    <t>September</t>
  </si>
  <si>
    <t>August</t>
  </si>
  <si>
    <t>Juli</t>
  </si>
  <si>
    <t>Juni</t>
  </si>
  <si>
    <t>Maj</t>
  </si>
  <si>
    <t>April</t>
  </si>
  <si>
    <t>Marts</t>
  </si>
  <si>
    <t>Februar</t>
  </si>
  <si>
    <t>Januar</t>
  </si>
  <si>
    <t>opbevaring</t>
  </si>
  <si>
    <t>TV2 play</t>
  </si>
  <si>
    <t>bilforsikring</t>
  </si>
  <si>
    <t>gaver</t>
  </si>
  <si>
    <t>Vand</t>
  </si>
  <si>
    <t>OK El</t>
  </si>
  <si>
    <t>Mønter</t>
  </si>
  <si>
    <t>Sedler</t>
  </si>
  <si>
    <t>DORTHE</t>
  </si>
  <si>
    <t>KURT</t>
  </si>
  <si>
    <t>Beholdning</t>
  </si>
  <si>
    <t>trækpct.</t>
  </si>
  <si>
    <t>fradrag md.</t>
  </si>
  <si>
    <t>pension</t>
  </si>
  <si>
    <t>sats</t>
  </si>
  <si>
    <t>mdl.</t>
  </si>
  <si>
    <t>2020</t>
  </si>
  <si>
    <t>december</t>
  </si>
  <si>
    <t>november</t>
  </si>
  <si>
    <t>oktober</t>
  </si>
  <si>
    <t>september</t>
  </si>
  <si>
    <t>august</t>
  </si>
  <si>
    <t>juli</t>
  </si>
  <si>
    <t>maj</t>
  </si>
  <si>
    <t>april</t>
  </si>
  <si>
    <t>marts</t>
  </si>
  <si>
    <t>februar</t>
  </si>
  <si>
    <t>januar</t>
  </si>
  <si>
    <t>spar</t>
  </si>
  <si>
    <t>apotek</t>
  </si>
  <si>
    <t>Klasselotteriet</t>
  </si>
  <si>
    <t>klasselotteriet</t>
  </si>
  <si>
    <t>frisør Dorthe</t>
  </si>
  <si>
    <t>Danske spil</t>
  </si>
  <si>
    <t>m</t>
  </si>
  <si>
    <t>Klarup El-Service</t>
  </si>
  <si>
    <t>DK Hostmaster</t>
  </si>
  <si>
    <t>TV2-play</t>
  </si>
  <si>
    <t>Netflix</t>
  </si>
  <si>
    <t>Alm.Brand</t>
  </si>
  <si>
    <t>Gasovn Bilka</t>
  </si>
  <si>
    <t xml:space="preserve">TV Bilka </t>
  </si>
  <si>
    <t>one.com</t>
  </si>
  <si>
    <t>Skovtur</t>
  </si>
  <si>
    <t>PartnerAds</t>
  </si>
  <si>
    <t>tandlæge</t>
  </si>
  <si>
    <t>Shell, jem&amp;fix, PostNord, Capida</t>
  </si>
  <si>
    <t>Klarup El Service</t>
  </si>
  <si>
    <t>rejsekort</t>
  </si>
  <si>
    <t>vand</t>
  </si>
  <si>
    <t>C</t>
  </si>
  <si>
    <t>Marineforening, Ur, Matas, jem&amp;fix, genbrug</t>
  </si>
  <si>
    <t>Erstatning</t>
  </si>
  <si>
    <t>Apotek</t>
  </si>
  <si>
    <t>Hiper</t>
  </si>
  <si>
    <t>Alexander konfirmation</t>
  </si>
  <si>
    <t>Gave Allan</t>
  </si>
  <si>
    <t>Gave Nicolai</t>
  </si>
  <si>
    <t>Power</t>
  </si>
  <si>
    <t>BC Auto</t>
  </si>
  <si>
    <t>Kaj Mynster</t>
  </si>
  <si>
    <t>Eurolotto</t>
  </si>
  <si>
    <t>frisør D</t>
  </si>
  <si>
    <t>Gave Fillip</t>
  </si>
  <si>
    <t>Gave Alexander</t>
  </si>
  <si>
    <t>P-bøde</t>
  </si>
  <si>
    <t>Gave Carina</t>
  </si>
  <si>
    <t>jem&amp;fix</t>
  </si>
  <si>
    <t>frisør K</t>
  </si>
  <si>
    <t>Marineforeningen</t>
  </si>
  <si>
    <t>Gør det selv</t>
  </si>
  <si>
    <t>vaskemaskine</t>
  </si>
  <si>
    <t>frisør</t>
  </si>
  <si>
    <t>PostNord (Fastspeed)</t>
  </si>
  <si>
    <t>Kaffekapslen</t>
  </si>
  <si>
    <t>forsikring BD47954</t>
  </si>
  <si>
    <t>restbudget 2022</t>
  </si>
  <si>
    <t>brugt 2022</t>
  </si>
  <si>
    <t>I alt 2022</t>
  </si>
  <si>
    <t>El2</t>
  </si>
  <si>
    <t>Budget 2022</t>
  </si>
  <si>
    <t>Budget</t>
  </si>
  <si>
    <t>skrotningspræmie</t>
  </si>
  <si>
    <t>gave Dorthe</t>
  </si>
  <si>
    <t>byVillum.dk</t>
  </si>
  <si>
    <t>forsikring CH64598</t>
  </si>
  <si>
    <t>Elgrossisten</t>
  </si>
  <si>
    <t>Leasy</t>
  </si>
  <si>
    <t>CanalDigital</t>
  </si>
  <si>
    <t>Fodterapi</t>
  </si>
  <si>
    <t>varmepumpe</t>
  </si>
  <si>
    <t>lotto</t>
  </si>
  <si>
    <t>ejerafgift CV 66 378</t>
  </si>
  <si>
    <t>Lasse</t>
  </si>
  <si>
    <t>*</t>
  </si>
  <si>
    <t>DSB</t>
  </si>
  <si>
    <t>BD 47 954</t>
  </si>
  <si>
    <t>føtex</t>
  </si>
  <si>
    <t>salg af fælge</t>
  </si>
  <si>
    <t>syn</t>
  </si>
  <si>
    <t>Matas</t>
  </si>
  <si>
    <t>varelotteriet</t>
  </si>
  <si>
    <t>fastspeed</t>
  </si>
  <si>
    <t>elgiganten</t>
  </si>
  <si>
    <t>jem&amp;fix/harald nyborg</t>
  </si>
  <si>
    <t>Allan Opbevaring mm</t>
  </si>
  <si>
    <t>autodoc</t>
  </si>
  <si>
    <t>H&amp;M</t>
  </si>
  <si>
    <t>foto - garn</t>
  </si>
  <si>
    <t>Genbrug</t>
  </si>
  <si>
    <t>Buddha</t>
  </si>
  <si>
    <t>eurolotto</t>
  </si>
  <si>
    <t>G pris</t>
  </si>
  <si>
    <t>bilvask</t>
  </si>
  <si>
    <t>pari.dk</t>
  </si>
  <si>
    <t>øl</t>
  </si>
  <si>
    <t>taxi</t>
  </si>
  <si>
    <t>Allan Telmore</t>
  </si>
  <si>
    <t>Jyske Bank</t>
  </si>
  <si>
    <t>Eurojackpot</t>
  </si>
  <si>
    <t>marineforeningen</t>
  </si>
  <si>
    <t>harald nyborg</t>
  </si>
  <si>
    <t>pølser</t>
  </si>
  <si>
    <t>fjordbyen</t>
  </si>
  <si>
    <t>Danmission - stol</t>
  </si>
  <si>
    <t>Irene</t>
  </si>
  <si>
    <t>Vaffelhuset  - Hou</t>
  </si>
  <si>
    <t>washworld</t>
  </si>
  <si>
    <t>bilka</t>
  </si>
  <si>
    <t>spar vestbjerg</t>
  </si>
  <si>
    <t>fragt</t>
  </si>
  <si>
    <t>gpris</t>
  </si>
  <si>
    <t>ejerafgift CH64598</t>
  </si>
  <si>
    <t>ejerafgift BJ18283</t>
  </si>
  <si>
    <t>matas</t>
  </si>
  <si>
    <t>CBB</t>
  </si>
  <si>
    <t>kjole</t>
  </si>
  <si>
    <t>spar Doravej</t>
  </si>
  <si>
    <t>MF</t>
  </si>
  <si>
    <t>kage D</t>
  </si>
  <si>
    <t>genbrug</t>
  </si>
  <si>
    <t>gave Irene</t>
  </si>
  <si>
    <t>spar Visse</t>
  </si>
  <si>
    <t>vask</t>
  </si>
  <si>
    <t>Landbrugslotteriet</t>
  </si>
  <si>
    <t>Borgen Kloak</t>
  </si>
  <si>
    <t>fisk</t>
  </si>
  <si>
    <t>Vagn</t>
  </si>
  <si>
    <t>Jackie</t>
  </si>
  <si>
    <t>7-eleven</t>
  </si>
  <si>
    <t>Normal</t>
  </si>
  <si>
    <t>VeroModa</t>
  </si>
  <si>
    <t>HM</t>
  </si>
  <si>
    <t>Gpris</t>
  </si>
  <si>
    <t>blæk</t>
  </si>
  <si>
    <t>Gpris Carina</t>
  </si>
  <si>
    <t>P-bøde Allan</t>
  </si>
  <si>
    <t>luftpuder jysk</t>
  </si>
  <si>
    <t>tape</t>
  </si>
  <si>
    <t>Dorthe</t>
  </si>
  <si>
    <t>gavekort</t>
  </si>
  <si>
    <t>internetvejviser.dk</t>
  </si>
  <si>
    <t>Anders Jensen</t>
  </si>
  <si>
    <t>klipning Carina</t>
  </si>
  <si>
    <t>potteskjuler</t>
  </si>
  <si>
    <t>aldi</t>
  </si>
  <si>
    <t>One.com (byvillum.dk9</t>
  </si>
  <si>
    <t>bøde</t>
  </si>
  <si>
    <t>Brugt 2021</t>
  </si>
  <si>
    <t>Basis Bank</t>
  </si>
  <si>
    <t>Ekspres Bank</t>
  </si>
  <si>
    <t>Carina (U)</t>
  </si>
  <si>
    <t>Allan (T)</t>
  </si>
  <si>
    <t>gaver (R)</t>
  </si>
  <si>
    <t>spil (Q)</t>
  </si>
  <si>
    <t>telefon (P)</t>
  </si>
  <si>
    <t>bil (O)</t>
  </si>
  <si>
    <t>brænde (N)</t>
  </si>
  <si>
    <t>slik (L)</t>
  </si>
  <si>
    <t>kat (K)</t>
  </si>
  <si>
    <t>tobak (J)</t>
  </si>
  <si>
    <t>medicin K (I)</t>
  </si>
  <si>
    <t>medicin D (H)</t>
  </si>
  <si>
    <t>spil</t>
  </si>
  <si>
    <t>husholdning (G)</t>
  </si>
  <si>
    <t>telefon</t>
  </si>
  <si>
    <t>diverse (F)</t>
  </si>
  <si>
    <t>bil</t>
  </si>
  <si>
    <t>Ejerafgift BJ18283</t>
  </si>
  <si>
    <t>slik</t>
  </si>
  <si>
    <t>Forsikring BJ18283</t>
  </si>
  <si>
    <t>kat</t>
  </si>
  <si>
    <t>medicin K</t>
  </si>
  <si>
    <t>medicin D</t>
  </si>
  <si>
    <t>UDGIFTER</t>
  </si>
  <si>
    <t>INDTÆGTER</t>
  </si>
  <si>
    <t>Danske Bank K</t>
  </si>
  <si>
    <t>Dansk Bank D</t>
  </si>
  <si>
    <t>SparNord D</t>
  </si>
  <si>
    <t>Jyske Bank K</t>
  </si>
  <si>
    <t>Jyske Bank D</t>
  </si>
  <si>
    <t>Ferratum D</t>
  </si>
  <si>
    <t>apoteket</t>
  </si>
  <si>
    <t>vinterdæk+fælge</t>
  </si>
  <si>
    <t>pølsevogn</t>
  </si>
  <si>
    <t>toilet</t>
  </si>
  <si>
    <t>nisser</t>
  </si>
  <si>
    <t>Shippii</t>
  </si>
  <si>
    <t>Netpris.dk</t>
  </si>
  <si>
    <t>skoringen</t>
  </si>
  <si>
    <t>gravemaskine</t>
  </si>
  <si>
    <t>OK benzin</t>
  </si>
  <si>
    <t>tempo</t>
  </si>
  <si>
    <t>gl.aalborg</t>
  </si>
  <si>
    <t>buddha</t>
  </si>
  <si>
    <t>taxa</t>
  </si>
  <si>
    <t>Emma, Filip og Carina</t>
  </si>
  <si>
    <t>mf</t>
  </si>
  <si>
    <t>jem&amp;fix - støvsuger</t>
  </si>
  <si>
    <t>superbrugsen</t>
  </si>
  <si>
    <t>campingtoilet</t>
  </si>
  <si>
    <t>Dealhunter</t>
  </si>
  <si>
    <t>Irene -rema1000</t>
  </si>
  <si>
    <t>wamando</t>
  </si>
  <si>
    <t>fontænen</t>
  </si>
  <si>
    <t>marneforeningen</t>
  </si>
  <si>
    <t>tøj og sko Dorthe</t>
  </si>
  <si>
    <t>visir</t>
  </si>
  <si>
    <t>køleskab</t>
  </si>
  <si>
    <t>forsikring BJ18283</t>
  </si>
  <si>
    <t>rema 1000</t>
  </si>
  <si>
    <t>spar Vejgaard</t>
  </si>
  <si>
    <t>Wamando</t>
  </si>
  <si>
    <t>ikea</t>
  </si>
  <si>
    <t>brugsen</t>
  </si>
  <si>
    <t>ejerafgift CV66378</t>
  </si>
  <si>
    <t>fartbøde Allan</t>
  </si>
  <si>
    <t>Jakke Dorthe</t>
  </si>
  <si>
    <t>Gl. Aalborg</t>
  </si>
  <si>
    <t>Sanya</t>
  </si>
  <si>
    <t>køkkenholder</t>
  </si>
  <si>
    <t>Sejlflod apotek</t>
  </si>
  <si>
    <t>klipning</t>
  </si>
  <si>
    <t>Carina (Allans lån)</t>
  </si>
  <si>
    <t>P&amp;P</t>
  </si>
  <si>
    <t>kvickly</t>
  </si>
  <si>
    <t>afmeldt BJ18283</t>
  </si>
  <si>
    <t>Carina labelmaskine</t>
  </si>
  <si>
    <t>stol</t>
  </si>
  <si>
    <t>komfur</t>
  </si>
  <si>
    <t>Mondeo CV66378</t>
  </si>
  <si>
    <t>nummerplader</t>
  </si>
  <si>
    <t>Corona</t>
  </si>
  <si>
    <t>Pension D ratepension</t>
  </si>
  <si>
    <t>Pension D aldersopsparing</t>
  </si>
  <si>
    <t>h&amp;m</t>
  </si>
  <si>
    <t>vero moda</t>
  </si>
  <si>
    <t>normal</t>
  </si>
  <si>
    <t>gina tricot</t>
  </si>
  <si>
    <t>buskort</t>
  </si>
  <si>
    <t>BP39032</t>
  </si>
  <si>
    <t>danmission</t>
  </si>
  <si>
    <t>depositum Mondeo</t>
  </si>
  <si>
    <t>foto</t>
  </si>
  <si>
    <t>jem&amp;fix - skruer</t>
  </si>
  <si>
    <t>ejerafgift</t>
  </si>
  <si>
    <t>plader</t>
  </si>
  <si>
    <t>biltema - løvsuger</t>
  </si>
  <si>
    <t>benzin</t>
  </si>
  <si>
    <t>biltema-hjulleje</t>
  </si>
  <si>
    <t>bj trading</t>
  </si>
  <si>
    <t>wish</t>
  </si>
  <si>
    <t>Brugsen Mou</t>
  </si>
  <si>
    <t>klipning D</t>
  </si>
  <si>
    <t>autodoc - hjulleje</t>
  </si>
  <si>
    <t>konfirmation Frederik</t>
  </si>
  <si>
    <t>Ladbrugslotteriet</t>
  </si>
  <si>
    <t>Gl. Aalborg-Fjordbyen</t>
  </si>
  <si>
    <t>Carina nisser</t>
  </si>
  <si>
    <t>MÅRSPRAY</t>
  </si>
  <si>
    <t>B J Trading</t>
  </si>
  <si>
    <t>jem&amp;fix - køletaske</t>
  </si>
  <si>
    <t>harddiske</t>
  </si>
  <si>
    <t>Eddie</t>
  </si>
  <si>
    <t>Emma</t>
  </si>
  <si>
    <t>jem&amp;fix - havevogn</t>
  </si>
  <si>
    <t>benzin Allan</t>
  </si>
  <si>
    <t>thansen-fluesmækker</t>
  </si>
  <si>
    <t>hn-garn</t>
  </si>
  <si>
    <t>medicin</t>
  </si>
  <si>
    <t>TV</t>
  </si>
  <si>
    <t>matas - bind</t>
  </si>
  <si>
    <t>jysk - persienner</t>
  </si>
  <si>
    <t>PC</t>
  </si>
  <si>
    <t xml:space="preserve"> </t>
  </si>
  <si>
    <t>jem&amp;fix - Carina</t>
  </si>
  <si>
    <t>Fontænen</t>
  </si>
  <si>
    <t>Fjordbyen</t>
  </si>
  <si>
    <t>kørekort</t>
  </si>
  <si>
    <t>klipning Dorthe</t>
  </si>
  <si>
    <t>genbrug (borde)</t>
  </si>
  <si>
    <t>Nicolai</t>
  </si>
  <si>
    <t>bind</t>
  </si>
  <si>
    <t>BC Auto - dæk</t>
  </si>
  <si>
    <t>DK-hostmaster</t>
  </si>
  <si>
    <t>Filip + påskeæg</t>
  </si>
  <si>
    <t>Mona-Per</t>
  </si>
  <si>
    <t>printerpatroner</t>
  </si>
  <si>
    <t>Alexander</t>
  </si>
  <si>
    <t>alexander</t>
  </si>
  <si>
    <t>Bonnier</t>
  </si>
  <si>
    <t>Friture</t>
  </si>
  <si>
    <t>Gl.Aalborg</t>
  </si>
  <si>
    <t>Sany</t>
  </si>
  <si>
    <t>kattekurv</t>
  </si>
  <si>
    <t>bærbar</t>
  </si>
  <si>
    <t>one-internetvejviser.dk</t>
  </si>
  <si>
    <t>Kiko printer</t>
  </si>
  <si>
    <t>fakta (varmeblæser)</t>
  </si>
  <si>
    <t>støvsugerposer</t>
  </si>
  <si>
    <t>Ialt 2020</t>
  </si>
  <si>
    <t>faste</t>
  </si>
  <si>
    <t>disponibel</t>
  </si>
  <si>
    <t>gn.snit</t>
  </si>
  <si>
    <t>kontant D</t>
  </si>
  <si>
    <t>bank D</t>
  </si>
  <si>
    <t>mønter</t>
  </si>
  <si>
    <t>sedler</t>
  </si>
  <si>
    <t>bank K</t>
  </si>
  <si>
    <t>beholdning</t>
  </si>
  <si>
    <t>antal gaver</t>
  </si>
  <si>
    <t>måned</t>
  </si>
  <si>
    <t>Kurt</t>
  </si>
  <si>
    <t>udligning</t>
  </si>
  <si>
    <t>bager</t>
  </si>
  <si>
    <t>batterier</t>
  </si>
  <si>
    <t>gave Sarah</t>
  </si>
  <si>
    <t>rengøring</t>
  </si>
  <si>
    <t>klipning K</t>
  </si>
  <si>
    <t>radiator</t>
  </si>
  <si>
    <t>promenaden</t>
  </si>
  <si>
    <t>50418590</t>
  </si>
  <si>
    <t>starter (autodoc)</t>
  </si>
  <si>
    <t>oister Kurt</t>
  </si>
  <si>
    <t>cover</t>
  </si>
  <si>
    <t>telefon Dorthe</t>
  </si>
  <si>
    <t>Danmission</t>
  </si>
  <si>
    <t>vaccination</t>
  </si>
  <si>
    <t>deahunter</t>
  </si>
  <si>
    <t>varmeblæser</t>
  </si>
  <si>
    <t>blindes jul</t>
  </si>
  <si>
    <t>julenisser</t>
  </si>
  <si>
    <t>julefrokost</t>
  </si>
  <si>
    <t>Pari.dk</t>
  </si>
  <si>
    <t>marinestuen</t>
  </si>
  <si>
    <t>Dyreklinik</t>
  </si>
  <si>
    <t>Rema1000</t>
  </si>
  <si>
    <t>el</t>
  </si>
  <si>
    <t>blækpatroner</t>
  </si>
  <si>
    <t>bluse</t>
  </si>
  <si>
    <t>BJ Trading</t>
  </si>
  <si>
    <t>lamper</t>
  </si>
  <si>
    <t>one (pari.dk)</t>
  </si>
  <si>
    <t>Rema 1000</t>
  </si>
  <si>
    <t>Dorthe Mou</t>
  </si>
  <si>
    <t>Mogens</t>
  </si>
  <si>
    <t>NCR</t>
  </si>
  <si>
    <t>jem &amp; fix</t>
  </si>
  <si>
    <t>pude</t>
  </si>
  <si>
    <t>WashWorld</t>
  </si>
  <si>
    <t>Apoteket</t>
  </si>
  <si>
    <t>Meny</t>
  </si>
  <si>
    <t>mf - fjordbyen</t>
  </si>
  <si>
    <t>Allan vinduer</t>
  </si>
  <si>
    <t>Lidl</t>
  </si>
  <si>
    <t>Autodoc</t>
  </si>
  <si>
    <t>Bell benzin additiv</t>
  </si>
  <si>
    <t>DER</t>
  </si>
  <si>
    <t>blomster</t>
  </si>
  <si>
    <t>Promenaden</t>
  </si>
  <si>
    <t>Mou</t>
  </si>
  <si>
    <t>Auto KC</t>
  </si>
  <si>
    <t>sparboks</t>
  </si>
  <si>
    <t>baglygte</t>
  </si>
  <si>
    <t>Tøj D</t>
  </si>
  <si>
    <t>Bind</t>
  </si>
  <si>
    <t>Salling</t>
  </si>
  <si>
    <t>AutoDoc</t>
  </si>
  <si>
    <t>elartikler</t>
  </si>
  <si>
    <t>Is</t>
  </si>
  <si>
    <t>wd40</t>
  </si>
  <si>
    <t>sko K</t>
  </si>
  <si>
    <t>rejsekort K</t>
  </si>
  <si>
    <t>strømper</t>
  </si>
  <si>
    <t>tasker</t>
  </si>
  <si>
    <t>Spar</t>
  </si>
  <si>
    <t>stiftelsesfest</t>
  </si>
  <si>
    <t>bukser D</t>
  </si>
  <si>
    <t>mastercard</t>
  </si>
  <si>
    <t>limpistol-sko</t>
  </si>
  <si>
    <t>gave Bibs</t>
  </si>
  <si>
    <t>Brugsen</t>
  </si>
  <si>
    <t>Oister</t>
  </si>
  <si>
    <t>kattedør</t>
  </si>
  <si>
    <t>Lotto1010</t>
  </si>
  <si>
    <t>sparboks uge 10 K</t>
  </si>
  <si>
    <t>sparboks uge 10 D</t>
  </si>
  <si>
    <t>brødrister-viskestykker</t>
  </si>
  <si>
    <t>kager Mou</t>
  </si>
  <si>
    <t>Capida</t>
  </si>
  <si>
    <t>sparboks uge 9 K</t>
  </si>
  <si>
    <t>sparboks uge 9 D</t>
  </si>
  <si>
    <t>Louis Nielsen</t>
  </si>
  <si>
    <t>sparboks uge 8 K</t>
  </si>
  <si>
    <t>sparboks uge 8 D</t>
  </si>
  <si>
    <t>Tempo</t>
  </si>
  <si>
    <t>sparboks uge 6 K</t>
  </si>
  <si>
    <t>sparboks uge 6 D</t>
  </si>
  <si>
    <t xml:space="preserve">SIM kort 50 52 89 50 </t>
  </si>
  <si>
    <t>SIM kort 60 61 85 50</t>
  </si>
  <si>
    <t>Fregatten mm</t>
  </si>
  <si>
    <t>sparboks uge 5 K</t>
  </si>
  <si>
    <t>sparboks uge 5 D</t>
  </si>
  <si>
    <t>klasselotteri</t>
  </si>
  <si>
    <t>tørrestativ</t>
  </si>
  <si>
    <t>rejsekort D</t>
  </si>
  <si>
    <t>plaster mm</t>
  </si>
  <si>
    <t xml:space="preserve">OK El </t>
  </si>
  <si>
    <t>OK Elaftale</t>
  </si>
  <si>
    <t>ialt kroge - lim</t>
  </si>
  <si>
    <t>nattøj</t>
  </si>
  <si>
    <t>vejsalt</t>
  </si>
  <si>
    <t>elpærer</t>
  </si>
  <si>
    <t>støvler</t>
  </si>
  <si>
    <t>one</t>
  </si>
  <si>
    <t>sneskraber</t>
  </si>
  <si>
    <t>mus</t>
  </si>
  <si>
    <t>spånplader</t>
  </si>
  <si>
    <t>sparboks uge 4 K</t>
  </si>
  <si>
    <t>sparboks uge 4 D</t>
  </si>
  <si>
    <t>jakke</t>
  </si>
  <si>
    <t>VVS</t>
  </si>
  <si>
    <t>Partner-ads</t>
  </si>
  <si>
    <t>Cigaretter</t>
  </si>
  <si>
    <t>Mønthuset</t>
  </si>
  <si>
    <t>bukser</t>
  </si>
  <si>
    <t>skimmelfjerner</t>
  </si>
  <si>
    <t>moppe</t>
  </si>
  <si>
    <t>hjemmesko</t>
  </si>
  <si>
    <t>undertøj</t>
  </si>
  <si>
    <t>Dantaxi</t>
  </si>
  <si>
    <t>sparboks uge 2 K</t>
  </si>
  <si>
    <t>OK benzin Allan</t>
  </si>
  <si>
    <t>sparboks uge 1 K</t>
  </si>
  <si>
    <t>Halls</t>
  </si>
  <si>
    <t>2019</t>
  </si>
  <si>
    <t>sparboks K</t>
  </si>
  <si>
    <t>sparboks D</t>
  </si>
  <si>
    <t>overskud</t>
  </si>
  <si>
    <t>Carina (W)</t>
  </si>
  <si>
    <t>Allan (V)</t>
  </si>
  <si>
    <t>gaver (T)</t>
  </si>
  <si>
    <t>spareboks K</t>
  </si>
  <si>
    <t>spareboks D</t>
  </si>
  <si>
    <t xml:space="preserve">bilforsikring </t>
  </si>
  <si>
    <t>indboforsikring</t>
  </si>
  <si>
    <t>kunder</t>
  </si>
  <si>
    <t>rådighed</t>
  </si>
  <si>
    <t>saldo budgetkonto</t>
  </si>
  <si>
    <t>udbetaling budgetkonto</t>
  </si>
  <si>
    <t>indbetaling budgetkonto</t>
  </si>
  <si>
    <t>indtægter</t>
  </si>
  <si>
    <t>total</t>
  </si>
  <si>
    <t>pr. måned</t>
  </si>
  <si>
    <t>Ejerafgift BP39032</t>
  </si>
  <si>
    <t>Forsikring BP39032</t>
  </si>
  <si>
    <t>BUDGETKONTO</t>
  </si>
  <si>
    <t>BS</t>
  </si>
  <si>
    <t>K</t>
  </si>
  <si>
    <t>D</t>
  </si>
  <si>
    <t>GN.SNIT</t>
  </si>
  <si>
    <t>DECEMBER</t>
  </si>
  <si>
    <t>NOVEMBER</t>
  </si>
  <si>
    <t>Lotto</t>
  </si>
  <si>
    <t>OKTOBER</t>
  </si>
  <si>
    <t>SEPTEMBER</t>
  </si>
  <si>
    <t>skabsleje</t>
  </si>
  <si>
    <t>one - pari.dk</t>
  </si>
  <si>
    <t>Varelotteriet</t>
  </si>
  <si>
    <t>AUGUST</t>
  </si>
  <si>
    <t>vandværk</t>
  </si>
  <si>
    <t>JULI</t>
  </si>
  <si>
    <t>JUNI</t>
  </si>
  <si>
    <t>MAJ</t>
  </si>
  <si>
    <t>IK</t>
  </si>
  <si>
    <t>APRIL</t>
  </si>
  <si>
    <t>MIDDEL(a1:a2)</t>
  </si>
  <si>
    <t>MARTS</t>
  </si>
  <si>
    <t>FEBRUAR</t>
  </si>
  <si>
    <t>JANUAR</t>
  </si>
  <si>
    <t>OK Allan</t>
  </si>
  <si>
    <t>indtægter K</t>
  </si>
  <si>
    <t>= antal posteringer D3-D14</t>
  </si>
  <si>
    <t>kontant K</t>
  </si>
  <si>
    <t>balance</t>
  </si>
  <si>
    <t>udgifter</t>
  </si>
  <si>
    <t>landbrugslotteriet</t>
  </si>
  <si>
    <t>Sparboks D</t>
  </si>
  <si>
    <t>Sparboks K</t>
  </si>
  <si>
    <t>Sparboks i alt</t>
  </si>
  <si>
    <t>Bank D</t>
  </si>
  <si>
    <t>Bank K</t>
  </si>
  <si>
    <t>Kassebeholdning</t>
  </si>
  <si>
    <t>akkumuleret</t>
  </si>
  <si>
    <t>Rådighedsbeløb</t>
  </si>
  <si>
    <t>Udgifter løse</t>
  </si>
  <si>
    <t>Udgifter faste</t>
  </si>
  <si>
    <t>Indtægter</t>
  </si>
  <si>
    <t>2018</t>
  </si>
  <si>
    <t>varme</t>
  </si>
  <si>
    <t>bowling</t>
  </si>
  <si>
    <t>= antal felter M219-M222</t>
  </si>
  <si>
    <t>OK</t>
  </si>
  <si>
    <t>ejerafgift BP39032</t>
  </si>
  <si>
    <t>annoncer</t>
  </si>
  <si>
    <t>forsikring</t>
  </si>
  <si>
    <t>= antal felter D3-D9</t>
  </si>
  <si>
    <t>=heltal</t>
  </si>
  <si>
    <t>Kommende betalinger</t>
  </si>
  <si>
    <t>habitjakke D</t>
  </si>
  <si>
    <t>julegaver Carina-Claes</t>
  </si>
  <si>
    <t>Dorthe Kniv og Gaffel</t>
  </si>
  <si>
    <t>julegaver Allan-Sarah</t>
  </si>
  <si>
    <t>Emma-Filip</t>
  </si>
  <si>
    <t>Pari</t>
  </si>
  <si>
    <t>trøje</t>
  </si>
  <si>
    <t>Føtex</t>
  </si>
  <si>
    <t>Vindstød</t>
  </si>
  <si>
    <t>andespil</t>
  </si>
  <si>
    <t>bog&amp;idé</t>
  </si>
  <si>
    <t>udstødning</t>
  </si>
  <si>
    <t>Hjemmet</t>
  </si>
  <si>
    <t>3</t>
  </si>
  <si>
    <t>læsebriller</t>
  </si>
  <si>
    <t>mascara</t>
  </si>
  <si>
    <t>dækpunktering</t>
  </si>
  <si>
    <t>polo</t>
  </si>
  <si>
    <t>bilovertræk</t>
  </si>
  <si>
    <t>elektroder</t>
  </si>
  <si>
    <t>Mazda</t>
  </si>
  <si>
    <t>Skipper</t>
  </si>
  <si>
    <t>sko mm</t>
  </si>
  <si>
    <t>afmelding nummerplade</t>
  </si>
  <si>
    <t>Komputer for alle</t>
  </si>
  <si>
    <t>Matas (bind)</t>
  </si>
  <si>
    <t>kompressor</t>
  </si>
  <si>
    <t>Fregatskydning</t>
  </si>
  <si>
    <t>parkering</t>
  </si>
  <si>
    <t>tøj D</t>
  </si>
  <si>
    <t>maleri</t>
  </si>
  <si>
    <t>T Hansen</t>
  </si>
  <si>
    <t>reservedele</t>
  </si>
  <si>
    <t>Frisør D</t>
  </si>
  <si>
    <t>svupper</t>
  </si>
  <si>
    <t>Allan (Dorthe)</t>
  </si>
  <si>
    <t>bremseklodser</t>
  </si>
  <si>
    <t>krøllejern</t>
  </si>
  <si>
    <t>Tøj K</t>
  </si>
  <si>
    <t>Hjulnav</t>
  </si>
  <si>
    <t>bind-parfume</t>
  </si>
  <si>
    <t>vinduer</t>
  </si>
  <si>
    <t>øl-Mentos</t>
  </si>
  <si>
    <t>SIM kort</t>
  </si>
  <si>
    <t>møbler</t>
  </si>
  <si>
    <t>P skive</t>
  </si>
  <si>
    <t>bluse D</t>
  </si>
  <si>
    <t>skovtur</t>
  </si>
  <si>
    <t>Gave Sarah</t>
  </si>
  <si>
    <t>Nutella</t>
  </si>
  <si>
    <t>Polo mm</t>
  </si>
  <si>
    <t>Harald Nyborg</t>
  </si>
  <si>
    <t>nano</t>
  </si>
  <si>
    <t>Skagen</t>
  </si>
  <si>
    <t>batterilader</t>
  </si>
  <si>
    <t>batterier mm</t>
  </si>
  <si>
    <t>Conrad</t>
  </si>
  <si>
    <t>bremsevæske</t>
  </si>
  <si>
    <t>Kørsel Inger</t>
  </si>
  <si>
    <t>Motorolie</t>
  </si>
  <si>
    <t>Hjulleje</t>
  </si>
  <si>
    <t>Batteri</t>
  </si>
  <si>
    <t>tøj K</t>
  </si>
  <si>
    <t>Frants</t>
  </si>
  <si>
    <t>briller</t>
  </si>
  <si>
    <t>Poul S</t>
  </si>
  <si>
    <t>Gistrup</t>
  </si>
  <si>
    <t xml:space="preserve">Forsikring </t>
  </si>
  <si>
    <t>ProTerapi</t>
  </si>
  <si>
    <t>Taxa</t>
  </si>
  <si>
    <t>Bauhaus</t>
  </si>
  <si>
    <t>Marianne-Kjell</t>
  </si>
  <si>
    <t>bus</t>
  </si>
  <si>
    <t>Trøjer D</t>
  </si>
  <si>
    <t>Jakker K</t>
  </si>
  <si>
    <t>Isolering</t>
  </si>
  <si>
    <t>Parfume</t>
  </si>
  <si>
    <t>Bukser K</t>
  </si>
  <si>
    <t>Blaser D</t>
  </si>
  <si>
    <t>quizonaut</t>
  </si>
  <si>
    <t>pointworld</t>
  </si>
  <si>
    <t>JCR</t>
  </si>
  <si>
    <t>2016</t>
  </si>
  <si>
    <t>januar 2016</t>
  </si>
  <si>
    <t>kr</t>
  </si>
  <si>
    <t>beløb</t>
  </si>
  <si>
    <t>v</t>
  </si>
  <si>
    <t>isbar</t>
  </si>
  <si>
    <t>deo</t>
  </si>
  <si>
    <t>affaldsposer</t>
  </si>
  <si>
    <t>Spar Vejgaard</t>
  </si>
  <si>
    <t>hn</t>
  </si>
  <si>
    <t>Bilka</t>
  </si>
  <si>
    <t>Aldi</t>
  </si>
  <si>
    <t>Allis - cig.</t>
  </si>
  <si>
    <t>7/11</t>
  </si>
  <si>
    <t>dyrlæge</t>
  </si>
  <si>
    <t>Frederiksberg</t>
  </si>
  <si>
    <t>Fakta</t>
  </si>
  <si>
    <t>toiletpapir</t>
  </si>
  <si>
    <t>spareboks</t>
  </si>
  <si>
    <t>gave Thomas</t>
  </si>
  <si>
    <t>gave</t>
  </si>
  <si>
    <t>gave Sophie</t>
  </si>
  <si>
    <t>gave Villads</t>
  </si>
  <si>
    <t>gave Adam</t>
  </si>
  <si>
    <t>gave Astrid</t>
  </si>
  <si>
    <t>sparboks uge 49 K</t>
  </si>
  <si>
    <t>sparboks uge 49 D</t>
  </si>
  <si>
    <t>sparboks uge 48 K</t>
  </si>
  <si>
    <t>sparboks uge 48 D</t>
  </si>
  <si>
    <t>sparboks uge 47 K</t>
  </si>
  <si>
    <t>sparboks uge 47 D</t>
  </si>
  <si>
    <t>sparboks uge 46 K</t>
  </si>
  <si>
    <t>sparboks uge 46 D</t>
  </si>
  <si>
    <t>sparboks uge 45 K</t>
  </si>
  <si>
    <t>sparboks uge 45 D</t>
  </si>
  <si>
    <t>sparboks uge 44 K</t>
  </si>
  <si>
    <t>sparboks uge 44 D</t>
  </si>
  <si>
    <t>sparboks uge 43 K</t>
  </si>
  <si>
    <t>sparboks uge 43 D</t>
  </si>
  <si>
    <t>sparboks uge 42 K</t>
  </si>
  <si>
    <t>sparboks uge 42 D</t>
  </si>
  <si>
    <t>sparboks uge 41 K</t>
  </si>
  <si>
    <t>sparboks uge 41 D</t>
  </si>
  <si>
    <t>sparboks uge 40 K</t>
  </si>
  <si>
    <t>sparboks uge 40 D</t>
  </si>
  <si>
    <t>Sophie</t>
  </si>
  <si>
    <t>sparboks uge 39 K</t>
  </si>
  <si>
    <t>sparboks uge 39 D</t>
  </si>
  <si>
    <t>sparboks uge 38 K</t>
  </si>
  <si>
    <t>sparboks uge 38 D</t>
  </si>
  <si>
    <t>sparboks uge 37 K</t>
  </si>
  <si>
    <t>sparboks uge 37 D</t>
  </si>
  <si>
    <t>sparboks uge 36 K</t>
  </si>
  <si>
    <t>sparboks uge 36 D</t>
  </si>
  <si>
    <t>sparboks uge 35 K</t>
  </si>
  <si>
    <t>sparboks uge 35 D</t>
  </si>
  <si>
    <t>sparboks uge 34 K</t>
  </si>
  <si>
    <t>sparboks uge 34 D</t>
  </si>
  <si>
    <t>sparboks uge 33 K</t>
  </si>
  <si>
    <t>sparboks uge 33 D</t>
  </si>
  <si>
    <t>sparboks uge 32 K</t>
  </si>
  <si>
    <t>sparboks uge 32 D</t>
  </si>
  <si>
    <t>sparboks uge 31 K</t>
  </si>
  <si>
    <t>sparboks uge 31 D</t>
  </si>
  <si>
    <t>sparboks uge 30 K</t>
  </si>
  <si>
    <t>sparboks uge 30 D</t>
  </si>
  <si>
    <t>sparboks uge 29 K</t>
  </si>
  <si>
    <t>sparboks uge 29 D</t>
  </si>
  <si>
    <t>sparboks uge 28 K</t>
  </si>
  <si>
    <t>sparboks uge 28 D</t>
  </si>
  <si>
    <t>sparboks uge 27 K</t>
  </si>
  <si>
    <t>sparboks uge 27 D</t>
  </si>
  <si>
    <t>sparboks uge 26 K</t>
  </si>
  <si>
    <t>sparboks uge 26 D</t>
  </si>
  <si>
    <t>sparboks uge 25 K</t>
  </si>
  <si>
    <t>sparboks uge 25 D</t>
  </si>
  <si>
    <t>sparboks uge 24 K</t>
  </si>
  <si>
    <t>sparboks uge 24 D</t>
  </si>
  <si>
    <t>sparboks uge 23 K</t>
  </si>
  <si>
    <t>sparboks uge 23 D</t>
  </si>
  <si>
    <t>Sarah</t>
  </si>
  <si>
    <t>sparboks uge 22 K</t>
  </si>
  <si>
    <t>sparboks uge 22 D</t>
  </si>
  <si>
    <t>sparboks uge 21 K</t>
  </si>
  <si>
    <t>sparboks uge 21 D</t>
  </si>
  <si>
    <t>sparboks uge 20 K</t>
  </si>
  <si>
    <t>sparboks uge 20 D</t>
  </si>
  <si>
    <t>sparboks uge 19 K</t>
  </si>
  <si>
    <t>sparboks uge 19 D</t>
  </si>
  <si>
    <t>sparboks uge 18 K</t>
  </si>
  <si>
    <t>sparboks uge 18 D</t>
  </si>
  <si>
    <t>sparboks uge 17 K</t>
  </si>
  <si>
    <t>sparboks uge 17 D</t>
  </si>
  <si>
    <t>sparboks uge 16 K</t>
  </si>
  <si>
    <t>sparboks uge 16 D</t>
  </si>
  <si>
    <t>sparboks uge 15 K</t>
  </si>
  <si>
    <t>sparboks uge 15 D</t>
  </si>
  <si>
    <t>sparboks uge 14 K</t>
  </si>
  <si>
    <t>sparboks uge 14 D</t>
  </si>
  <si>
    <t>Filip</t>
  </si>
  <si>
    <t>sparboks uge 13 K</t>
  </si>
  <si>
    <t>sparboks uge 13 D</t>
  </si>
  <si>
    <t>sparboks uge 12 K</t>
  </si>
  <si>
    <t>sparboks uge 12 D</t>
  </si>
  <si>
    <t>sparboks uge 11 K</t>
  </si>
  <si>
    <t>sparboks uge 11 D</t>
  </si>
  <si>
    <t>sparboks uge 7 K</t>
  </si>
  <si>
    <t>sparboks uge 7 D</t>
  </si>
  <si>
    <t>snesialt kraber</t>
  </si>
  <si>
    <t>ialt kr</t>
  </si>
  <si>
    <t>boks</t>
  </si>
  <si>
    <t>marts 19</t>
  </si>
  <si>
    <t>februar 19</t>
  </si>
  <si>
    <t>'februar 19</t>
  </si>
  <si>
    <t>januar 19</t>
  </si>
  <si>
    <t>batteri</t>
  </si>
  <si>
    <t>boks ugebøde</t>
  </si>
  <si>
    <t>boks uge</t>
  </si>
  <si>
    <t>sparboks uge D</t>
  </si>
  <si>
    <t>olie</t>
  </si>
  <si>
    <t>boks uge 47</t>
  </si>
  <si>
    <t>boks uge 46</t>
  </si>
  <si>
    <t>netkort</t>
  </si>
  <si>
    <t>Charley 75</t>
  </si>
  <si>
    <t>boks uge 45</t>
  </si>
  <si>
    <t>parfume</t>
  </si>
  <si>
    <t>bluser</t>
  </si>
  <si>
    <t>boks uge 44</t>
  </si>
  <si>
    <t xml:space="preserve"> bind</t>
  </si>
  <si>
    <t>digtalpc.com\33-9751-80252</t>
  </si>
  <si>
    <t>tøj</t>
  </si>
  <si>
    <t>pærer</t>
  </si>
  <si>
    <t>komputer for alle</t>
  </si>
  <si>
    <t>boks uge 43(22-28)</t>
  </si>
  <si>
    <t>Astrid</t>
  </si>
  <si>
    <t>boks uge 42(15-21)</t>
  </si>
  <si>
    <t>boks uge 41(8-14)</t>
  </si>
  <si>
    <t>boks uge 40(1/7)</t>
  </si>
  <si>
    <t>bøjler</t>
  </si>
  <si>
    <t>lampe</t>
  </si>
  <si>
    <t>boks uge 39(26-2)</t>
  </si>
  <si>
    <t>lysstofrør</t>
  </si>
  <si>
    <t>overtræk mm</t>
  </si>
  <si>
    <t>boks uge 38(19-25)</t>
  </si>
  <si>
    <t>elskinne</t>
  </si>
  <si>
    <t>boks uge 37</t>
  </si>
  <si>
    <t>Allis</t>
  </si>
  <si>
    <t>boks uge 36</t>
  </si>
  <si>
    <t>paraply</t>
  </si>
  <si>
    <t>boks Allis (13)</t>
  </si>
  <si>
    <t>boks uge 35</t>
  </si>
  <si>
    <t>CBB K</t>
  </si>
  <si>
    <t>paletkniv</t>
  </si>
  <si>
    <t>presenning</t>
  </si>
  <si>
    <t>bus D</t>
  </si>
  <si>
    <t>bus K</t>
  </si>
  <si>
    <t>gave Bjarne</t>
  </si>
  <si>
    <t>katteskål</t>
  </si>
  <si>
    <t>boks uge 34 (21-26)</t>
  </si>
  <si>
    <t>burretape</t>
  </si>
  <si>
    <t>stegespade</t>
  </si>
  <si>
    <t>Max Spalla</t>
  </si>
  <si>
    <t>boks uge 33 (14-19)</t>
  </si>
  <si>
    <t>sko D</t>
  </si>
  <si>
    <t>Villads</t>
  </si>
  <si>
    <t>skab</t>
  </si>
  <si>
    <t>boks uge (8-14)</t>
  </si>
  <si>
    <t>tusser</t>
  </si>
  <si>
    <t>planter</t>
  </si>
  <si>
    <t>opbevaringsboks ugee</t>
  </si>
  <si>
    <t>natbukser</t>
  </si>
  <si>
    <t>brillerens</t>
  </si>
  <si>
    <t>batterier-beskærersakse</t>
  </si>
  <si>
    <t>Allis boks uge 13</t>
  </si>
  <si>
    <t>tandbørster</t>
  </si>
  <si>
    <t>barsel</t>
  </si>
  <si>
    <t>boks uge (1-7)</t>
  </si>
  <si>
    <t>batterier-spartelsæt</t>
  </si>
  <si>
    <t>boks uge (24-30)</t>
  </si>
  <si>
    <t>skærebræt</t>
  </si>
  <si>
    <t>pallekrave</t>
  </si>
  <si>
    <t>boks uge (17-23)</t>
  </si>
  <si>
    <t>boks uge  (10-16)</t>
  </si>
  <si>
    <t>udendørslampe</t>
  </si>
  <si>
    <t>laminatgulv</t>
  </si>
  <si>
    <t>gave barsel</t>
  </si>
  <si>
    <t>thuja</t>
  </si>
  <si>
    <t>boks uge (3-9)</t>
  </si>
  <si>
    <t>tennisbolde</t>
  </si>
  <si>
    <t>køkken</t>
  </si>
  <si>
    <t>skruer</t>
  </si>
  <si>
    <t>kølervæske</t>
  </si>
  <si>
    <t>boks uge 26 (26-2)</t>
  </si>
  <si>
    <t>kosttilskud</t>
  </si>
  <si>
    <t>forsikring BP39023</t>
  </si>
  <si>
    <t>kædesav</t>
  </si>
  <si>
    <t>boks uge 25 (19-25)</t>
  </si>
  <si>
    <t>stern</t>
  </si>
  <si>
    <t>dørstopper</t>
  </si>
  <si>
    <t>gave Klaus</t>
  </si>
  <si>
    <t>badedragt</t>
  </si>
  <si>
    <t>boks uge 24 (12-18)</t>
  </si>
  <si>
    <t>savklinger</t>
  </si>
  <si>
    <t>malerulle</t>
  </si>
  <si>
    <t>hårtørrer</t>
  </si>
  <si>
    <t>grisefest</t>
  </si>
  <si>
    <t>boks uge 23</t>
  </si>
  <si>
    <t>sternkapsel</t>
  </si>
  <si>
    <t>maling</t>
  </si>
  <si>
    <t>træbeskyttelse etc</t>
  </si>
  <si>
    <t>boks uge uge 22</t>
  </si>
  <si>
    <t>træbor</t>
  </si>
  <si>
    <t>murersnor</t>
  </si>
  <si>
    <t>multiklipper</t>
  </si>
  <si>
    <t>boks uge uge 21</t>
  </si>
  <si>
    <t>spartel</t>
  </si>
  <si>
    <t>hulsavsæt</t>
  </si>
  <si>
    <t>boks uge uge 20</t>
  </si>
  <si>
    <t>boks uge uge 19</t>
  </si>
  <si>
    <t>gave Oliver</t>
  </si>
  <si>
    <t>DanMission</t>
  </si>
  <si>
    <t>boks uge uge 18</t>
  </si>
  <si>
    <t>pude Sarah</t>
  </si>
  <si>
    <t>boks uge uge 17</t>
  </si>
  <si>
    <t>stiftelsesfest mm</t>
  </si>
  <si>
    <t>boks uge uge 16</t>
  </si>
  <si>
    <t>bajonetsav</t>
  </si>
  <si>
    <t>boks uge uge 15</t>
  </si>
  <si>
    <t>ølkort</t>
  </si>
  <si>
    <t>hjulrens</t>
  </si>
  <si>
    <t>leggins</t>
  </si>
  <si>
    <t>ginatricot</t>
  </si>
  <si>
    <t>boks uge uge 14</t>
  </si>
  <si>
    <t>bremserens</t>
  </si>
  <si>
    <t>pattesalve</t>
  </si>
  <si>
    <t>boks uge uge 13</t>
  </si>
  <si>
    <t>Arbejdsbænk</t>
  </si>
  <si>
    <t>Bildeleshop kalibre</t>
  </si>
  <si>
    <t>boks uge uge 12</t>
  </si>
  <si>
    <t>boks uge uge 11</t>
  </si>
  <si>
    <t>boks uge uge 10</t>
  </si>
  <si>
    <t>boks uge uge 9</t>
  </si>
  <si>
    <t>boks uge uge 8</t>
  </si>
  <si>
    <t>jysk</t>
  </si>
  <si>
    <t>Bildeleshop</t>
  </si>
  <si>
    <t>boks uge uge 7</t>
  </si>
  <si>
    <t>blomst</t>
  </si>
  <si>
    <t>gave Lasse</t>
  </si>
  <si>
    <t>PC salg</t>
  </si>
  <si>
    <t>Partner-Ads</t>
  </si>
  <si>
    <t>gave Villy</t>
  </si>
  <si>
    <t>ONE</t>
  </si>
  <si>
    <t>skjorte D</t>
  </si>
  <si>
    <t>klinker</t>
  </si>
  <si>
    <t>skæreskive</t>
  </si>
  <si>
    <t>tastatur+mus</t>
  </si>
  <si>
    <t>undertrøjer D</t>
  </si>
  <si>
    <t>flisecement</t>
  </si>
  <si>
    <t>fliseskærer</t>
  </si>
  <si>
    <t>Bjarne</t>
  </si>
  <si>
    <t>æggekoger mm</t>
  </si>
  <si>
    <t>REMA1000</t>
  </si>
  <si>
    <t>MENY</t>
  </si>
  <si>
    <t>Netto</t>
  </si>
  <si>
    <t>Negle&amp;M&amp;M</t>
  </si>
  <si>
    <t>kage</t>
  </si>
  <si>
    <t>grønsager</t>
  </si>
  <si>
    <t>jordbær</t>
  </si>
  <si>
    <t>Apotek D</t>
  </si>
  <si>
    <t>Apotek K</t>
  </si>
  <si>
    <t>udgift</t>
  </si>
  <si>
    <t>tekst</t>
  </si>
  <si>
    <t>1917</t>
  </si>
  <si>
    <t>Euroadds</t>
  </si>
  <si>
    <t>Mona</t>
  </si>
  <si>
    <t>klodskassereol</t>
  </si>
  <si>
    <t>gave Emma-Filip</t>
  </si>
  <si>
    <t>dug</t>
  </si>
  <si>
    <t>hjemmesko D</t>
  </si>
  <si>
    <t>Styrolitplader (jem&amp;fix)</t>
  </si>
  <si>
    <t>gave Alexander (Coolshop)</t>
  </si>
  <si>
    <t>gave Nicolai (Kids)</t>
  </si>
  <si>
    <t>gave Sarah (Skoringen)</t>
  </si>
  <si>
    <t>Olie</t>
  </si>
  <si>
    <t>computere</t>
  </si>
  <si>
    <t>støvsuger</t>
  </si>
  <si>
    <t>gave Allan (matas)</t>
  </si>
  <si>
    <t>gebyr kort</t>
  </si>
  <si>
    <t>Silvan</t>
  </si>
  <si>
    <t>oddset</t>
  </si>
  <si>
    <t>julekalendere</t>
  </si>
  <si>
    <t>vikinglotto</t>
  </si>
  <si>
    <t>bruser</t>
  </si>
  <si>
    <t>Charley</t>
  </si>
  <si>
    <t>Gorm Rosholm</t>
  </si>
  <si>
    <t>brænde hn</t>
  </si>
  <si>
    <t>PU skum</t>
  </si>
  <si>
    <t>natbukser D</t>
  </si>
  <si>
    <t>harddisk</t>
  </si>
  <si>
    <t>pyjamas D</t>
  </si>
  <si>
    <t>pyjamas K</t>
  </si>
  <si>
    <t>Trykluftsrør</t>
  </si>
  <si>
    <t>eurojackpot</t>
  </si>
  <si>
    <t>tæpperens</t>
  </si>
  <si>
    <t>forstøver</t>
  </si>
  <si>
    <t>lim</t>
  </si>
  <si>
    <t>Jazzfrokost</t>
  </si>
  <si>
    <t>brænde Bilka</t>
  </si>
  <si>
    <t>Blomst Mona</t>
  </si>
  <si>
    <t>webhotel</t>
  </si>
  <si>
    <t>maling mm</t>
  </si>
  <si>
    <t>bord</t>
  </si>
  <si>
    <t>armatur</t>
  </si>
  <si>
    <t>blomster mm</t>
  </si>
  <si>
    <t>færge</t>
  </si>
  <si>
    <t>bukser K</t>
  </si>
  <si>
    <t>fade</t>
  </si>
  <si>
    <t>Rexona</t>
  </si>
  <si>
    <t>Michael BJ18283</t>
  </si>
  <si>
    <t>syn BJ18283</t>
  </si>
  <si>
    <t>sækkevogn</t>
  </si>
  <si>
    <t>P-skive</t>
  </si>
  <si>
    <t>Carina (Tyskland)</t>
  </si>
  <si>
    <t>alufælge</t>
  </si>
  <si>
    <t>Klarup Autoservice BJ18283</t>
  </si>
  <si>
    <t>dæk</t>
  </si>
  <si>
    <t>Rejsekort</t>
  </si>
  <si>
    <t>Brdr. Hosbond BJ18283</t>
  </si>
  <si>
    <t>Mondeo BP39032</t>
  </si>
  <si>
    <t>skorstenshætte</t>
  </si>
  <si>
    <t>tryksprøjte</t>
  </si>
  <si>
    <t>bauhaus kurv</t>
  </si>
  <si>
    <t>TupperWare</t>
  </si>
  <si>
    <t>LED-lampe</t>
  </si>
  <si>
    <t>pasfoto</t>
  </si>
  <si>
    <t>P-kort</t>
  </si>
  <si>
    <t>bil - Michael</t>
  </si>
  <si>
    <t>borde</t>
  </si>
  <si>
    <t>smertecenter</t>
  </si>
  <si>
    <t>trusser</t>
  </si>
  <si>
    <t>krediteret</t>
  </si>
  <si>
    <t>presenninger</t>
  </si>
  <si>
    <t>mister auto</t>
  </si>
  <si>
    <t>reservedele Allan</t>
  </si>
  <si>
    <t>spånpladeskruer</t>
  </si>
  <si>
    <t>Thomas Gede</t>
  </si>
  <si>
    <t>bilglas</t>
  </si>
  <si>
    <t>lactulose</t>
  </si>
  <si>
    <t>Genbrug D</t>
  </si>
  <si>
    <t>Genbrug K</t>
  </si>
  <si>
    <t>Thuja</t>
  </si>
  <si>
    <t>Søstrene Grene</t>
  </si>
  <si>
    <t>frontrude</t>
  </si>
  <si>
    <t>grensaks</t>
  </si>
  <si>
    <t>spændebånd</t>
  </si>
  <si>
    <t>Dorte brød</t>
  </si>
  <si>
    <t>Rejsekort K</t>
  </si>
  <si>
    <t>Batteriskift</t>
  </si>
  <si>
    <t>tågelygte</t>
  </si>
  <si>
    <t>Hyndepose</t>
  </si>
  <si>
    <t>Vandingstilbehør</t>
  </si>
  <si>
    <t>Matiné</t>
  </si>
  <si>
    <t>Jbu</t>
  </si>
  <si>
    <t>spraylim</t>
  </si>
  <si>
    <t>AutoDOC</t>
  </si>
  <si>
    <t>lysskinne</t>
  </si>
  <si>
    <t>bukser mm K</t>
  </si>
  <si>
    <t>penne</t>
  </si>
  <si>
    <t>rustopløser</t>
  </si>
  <si>
    <t>måtter</t>
  </si>
  <si>
    <t>Krøllejern</t>
  </si>
  <si>
    <t>Hårtrimmer</t>
  </si>
  <si>
    <t>Tage</t>
  </si>
  <si>
    <t>router</t>
  </si>
  <si>
    <t>pande</t>
  </si>
  <si>
    <t>Omega</t>
  </si>
  <si>
    <t>tætningsliste</t>
  </si>
  <si>
    <t>Touch penne</t>
  </si>
  <si>
    <t>Loddestation</t>
  </si>
  <si>
    <t>Brdr. Hosbond</t>
  </si>
  <si>
    <t>pandelampe</t>
  </si>
  <si>
    <t>generalforsamling</t>
  </si>
  <si>
    <t>knæstrømper</t>
  </si>
  <si>
    <t>Chrysler</t>
  </si>
  <si>
    <t>rustbeskyttelse</t>
  </si>
  <si>
    <t>Blæk Skipper</t>
  </si>
  <si>
    <t>bukser mm D</t>
  </si>
  <si>
    <t>lim - bits</t>
  </si>
  <si>
    <t>Mondeo</t>
  </si>
  <si>
    <t>startkabler</t>
  </si>
  <si>
    <t>håndledsbind</t>
  </si>
  <si>
    <t>PT elektroder</t>
  </si>
  <si>
    <t>værktøj</t>
  </si>
  <si>
    <t>underbukser</t>
  </si>
  <si>
    <t>januar 2017</t>
  </si>
  <si>
    <t>2017</t>
  </si>
  <si>
    <t>diesel</t>
  </si>
  <si>
    <t>Ejerafgift CV66378</t>
  </si>
  <si>
    <t>Nordisk Film</t>
  </si>
  <si>
    <t>UniKalk Forte</t>
  </si>
  <si>
    <t>Zaditen 0,25 mg/ml</t>
  </si>
  <si>
    <t>Dermovat 0,5 mg/g</t>
  </si>
  <si>
    <t>Vagifem 10 mg</t>
  </si>
  <si>
    <t>Viscotears 2 mg/g</t>
  </si>
  <si>
    <t>Buventol Easyhaler 200 mg/dosis</t>
  </si>
  <si>
    <t>Prometazin 25 mg</t>
  </si>
  <si>
    <t>Ferro Duretter 100mg</t>
  </si>
  <si>
    <t>pris</t>
  </si>
  <si>
    <t>dato</t>
  </si>
  <si>
    <t>recepter</t>
  </si>
  <si>
    <t>tilskud</t>
  </si>
  <si>
    <t>tilskudssatser</t>
  </si>
  <si>
    <t>Salbutamol</t>
  </si>
  <si>
    <t>Selexid</t>
  </si>
  <si>
    <t>budget2</t>
  </si>
  <si>
    <t>kattemad</t>
  </si>
  <si>
    <t>BALANCE 1</t>
  </si>
  <si>
    <t>BALANCE 2</t>
  </si>
  <si>
    <t/>
  </si>
  <si>
    <t>husleje februar</t>
  </si>
  <si>
    <t>til indefrysning:</t>
  </si>
  <si>
    <t>normal forbrug:</t>
  </si>
  <si>
    <t>lørdag</t>
  </si>
  <si>
    <t>bad</t>
  </si>
  <si>
    <t>fredag</t>
  </si>
  <si>
    <t>onsdag</t>
  </si>
  <si>
    <t>vask/tør</t>
  </si>
  <si>
    <t>Bad</t>
  </si>
  <si>
    <t>opvask</t>
  </si>
  <si>
    <t>vask/vand</t>
  </si>
  <si>
    <t>torsdag</t>
  </si>
  <si>
    <t>tirsdag</t>
  </si>
  <si>
    <t>mandag</t>
  </si>
  <si>
    <t>søndag</t>
  </si>
  <si>
    <t>mandag d. 24.</t>
  </si>
  <si>
    <t>søndag d. 23.</t>
  </si>
  <si>
    <t>tør</t>
  </si>
  <si>
    <t xml:space="preserve">søndag </t>
  </si>
  <si>
    <t>til indefrysning</t>
  </si>
  <si>
    <t>timepris</t>
  </si>
  <si>
    <t>kr/kWh</t>
  </si>
  <si>
    <t>kWh</t>
  </si>
  <si>
    <t>ren kWh-pris</t>
  </si>
  <si>
    <t>lør</t>
  </si>
  <si>
    <t>fre</t>
  </si>
  <si>
    <t>tor</t>
  </si>
  <si>
    <t>ons</t>
  </si>
  <si>
    <t>tir</t>
  </si>
  <si>
    <t>man</t>
  </si>
  <si>
    <t>søn</t>
  </si>
  <si>
    <t>elvarme</t>
  </si>
  <si>
    <t>tørretumbler</t>
  </si>
  <si>
    <t>19.00</t>
  </si>
  <si>
    <t>vask + tør</t>
  </si>
  <si>
    <t>kr/dag</t>
  </si>
  <si>
    <t>kr. i alt</t>
  </si>
  <si>
    <t>kWh/dag</t>
  </si>
  <si>
    <t>kWh i alt</t>
  </si>
  <si>
    <t>kr. dag</t>
  </si>
  <si>
    <t>kr. pr. kWh</t>
  </si>
  <si>
    <t>kWh time</t>
  </si>
  <si>
    <t>kWh dag</t>
  </si>
  <si>
    <t>EL</t>
  </si>
  <si>
    <t>forventet</t>
  </si>
  <si>
    <t>aconto i alt</t>
  </si>
  <si>
    <t>ny aconto</t>
  </si>
  <si>
    <t>at betale</t>
  </si>
  <si>
    <t>betalt aconto</t>
  </si>
  <si>
    <t>moms</t>
  </si>
  <si>
    <t>målerafgift</t>
  </si>
  <si>
    <t>fast afgift</t>
  </si>
  <si>
    <t>drikkevand</t>
  </si>
  <si>
    <t>grøn afgift</t>
  </si>
  <si>
    <t>vandforbrug</t>
  </si>
  <si>
    <t>2022 total</t>
  </si>
  <si>
    <t>2022 1. halvår</t>
  </si>
  <si>
    <t>At betale</t>
  </si>
  <si>
    <t>kreditnota</t>
  </si>
  <si>
    <t>2021</t>
  </si>
  <si>
    <t>i alt</t>
  </si>
  <si>
    <t>dag</t>
  </si>
  <si>
    <t>pr. år</t>
  </si>
  <si>
    <t>pr dag</t>
  </si>
  <si>
    <t>liter</t>
  </si>
  <si>
    <t>slut</t>
  </si>
  <si>
    <t>start</t>
  </si>
  <si>
    <t>dage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</si>
  <si>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</si>
  <si>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</si>
  <si>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</si>
  <si>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</si>
  <si>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</si>
  <si>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</si>
  <si>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</si>
  <si>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</si>
  <si>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</si>
  <si>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</si>
  <si>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</si>
  <si>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</si>
  <si>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</si>
  <si>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2022</t>
  </si>
  <si>
    <t>liter pr dag</t>
  </si>
  <si>
    <t>% af 50 kbm</t>
  </si>
  <si>
    <t>gennemsnit</t>
  </si>
  <si>
    <t>forbrug</t>
  </si>
  <si>
    <t>antal</t>
  </si>
  <si>
    <t>VAND</t>
  </si>
  <si>
    <t>Klarup</t>
  </si>
  <si>
    <t>Skalborg</t>
  </si>
  <si>
    <t>Storvorde</t>
  </si>
  <si>
    <t>Kærby</t>
  </si>
  <si>
    <t>bremser</t>
  </si>
  <si>
    <t>Håndbremsekabler</t>
  </si>
  <si>
    <t>Færdselsstyrelsen anmoder politiet om nummerpladeindragelse.</t>
  </si>
  <si>
    <t>Bødeforlæg for manglende afmelding af køretøjet sendes ud.</t>
  </si>
  <si>
    <r>
      <t xml:space="preserve">Frist for afmelding eller godkendelse ved syn </t>
    </r>
    <r>
      <rPr>
        <sz val="10"/>
        <rFont val="Arial"/>
        <family val="2"/>
      </rPr>
      <t>(overskrides fristen, udstedes der et bødeforelæg ugen efter).</t>
    </r>
  </si>
  <si>
    <t>Påbud om at få køretøjet godkendt eller afmeldt sendes ud.</t>
  </si>
  <si>
    <t>Biltema</t>
  </si>
  <si>
    <r>
      <t xml:space="preserve">Frist for påmindelse om manglende syn </t>
    </r>
    <r>
      <rPr>
        <sz val="10"/>
        <rFont val="Arial"/>
        <family val="2"/>
      </rPr>
      <t>(overskrides fristen, udstedes der et bødeforelæg ugen efter).</t>
    </r>
  </si>
  <si>
    <t>vinterdæk</t>
  </si>
  <si>
    <t>Påmindelse for manglende syn sendes ud.</t>
  </si>
  <si>
    <t>CH 64.598</t>
  </si>
  <si>
    <t>Næste faktura</t>
  </si>
  <si>
    <t>CV 66.378</t>
  </si>
  <si>
    <t>kr/km</t>
  </si>
  <si>
    <t>km/liter</t>
  </si>
  <si>
    <t>km</t>
  </si>
  <si>
    <t>faktura</t>
  </si>
  <si>
    <t>REPARATION mm</t>
  </si>
  <si>
    <t>BENZIN</t>
  </si>
  <si>
    <t>regning</t>
  </si>
  <si>
    <t>2023</t>
  </si>
  <si>
    <t>BIL</t>
  </si>
  <si>
    <t>bremseklodser bag</t>
  </si>
  <si>
    <t>82B0018</t>
  </si>
  <si>
    <t>bremseskive bag</t>
  </si>
  <si>
    <t>13046072282N-SET-MS</t>
  </si>
  <si>
    <t>bremseklodser for</t>
  </si>
  <si>
    <t>82B0027</t>
  </si>
  <si>
    <t>bremseskive for</t>
  </si>
  <si>
    <t>8776</t>
  </si>
  <si>
    <t>bremsesæt</t>
  </si>
  <si>
    <t>78B0114</t>
  </si>
  <si>
    <t>bremsekaliber bag</t>
  </si>
  <si>
    <t>78B0158</t>
  </si>
  <si>
    <t>bremsekaliber for H</t>
  </si>
  <si>
    <t>78B0145</t>
  </si>
  <si>
    <t>bremsekaliber for V</t>
  </si>
  <si>
    <t>fjeder</t>
  </si>
  <si>
    <t>Golf</t>
  </si>
  <si>
    <t>stænkskærm</t>
  </si>
  <si>
    <t>lejebøsning, stabilisator</t>
  </si>
  <si>
    <t>V10-1908</t>
  </si>
  <si>
    <t>bremserør bag højre</t>
  </si>
  <si>
    <t>PHD945</t>
  </si>
  <si>
    <t>V10-1907</t>
  </si>
  <si>
    <t>bremserør bag venstre</t>
  </si>
  <si>
    <t>999600902775</t>
  </si>
  <si>
    <t>999600803664</t>
  </si>
  <si>
    <t>C3W016ABE</t>
  </si>
  <si>
    <t>bremseskiver for</t>
  </si>
  <si>
    <t>varenummer</t>
  </si>
  <si>
    <t>emne</t>
  </si>
  <si>
    <t>mister auto / skruvat</t>
  </si>
  <si>
    <t>Passat</t>
  </si>
  <si>
    <t>82 15 6601</t>
  </si>
  <si>
    <t>monteringssæt</t>
  </si>
  <si>
    <t>601818002120</t>
  </si>
  <si>
    <t>344487</t>
  </si>
  <si>
    <t>Manifold udstødningssystem</t>
  </si>
  <si>
    <t>601818002100</t>
  </si>
  <si>
    <t>703-123</t>
  </si>
  <si>
    <t>udstødning forrør (flex)</t>
  </si>
  <si>
    <t>350-200</t>
  </si>
  <si>
    <t>flexrør</t>
  </si>
  <si>
    <t>3922L0225</t>
  </si>
  <si>
    <t>lambdasonde</t>
  </si>
  <si>
    <t>katalysator</t>
  </si>
  <si>
    <t>6505-06-2555011P</t>
  </si>
  <si>
    <t>panel</t>
  </si>
  <si>
    <t>40059</t>
  </si>
  <si>
    <t>8GD 004 772-121</t>
  </si>
  <si>
    <t>baglygtepære</t>
  </si>
  <si>
    <t>E51/BE1</t>
  </si>
  <si>
    <t>viskerblad 500mm</t>
  </si>
  <si>
    <t>26550</t>
  </si>
  <si>
    <t>viskerblad 550mm</t>
  </si>
  <si>
    <t>601818001101</t>
  </si>
  <si>
    <t>61601</t>
  </si>
  <si>
    <t>oliefilter</t>
  </si>
  <si>
    <t>WK730/05</t>
  </si>
  <si>
    <t>601818</t>
  </si>
  <si>
    <t>V25-0115</t>
  </si>
  <si>
    <t>brændstoffilter</t>
  </si>
  <si>
    <t>1551400400</t>
  </si>
  <si>
    <t>hjulnav bag</t>
  </si>
  <si>
    <t>10-1019</t>
  </si>
  <si>
    <t>hjulnav for</t>
  </si>
  <si>
    <t>82B0175</t>
  </si>
  <si>
    <t>https://www.autodoc.dk/ridex/7999006</t>
  </si>
  <si>
    <t>bremseskiver bag</t>
  </si>
  <si>
    <t>402B0065</t>
  </si>
  <si>
    <t>https://www.autodoc.dk/ridex/7999041</t>
  </si>
  <si>
    <t>82B0164</t>
  </si>
  <si>
    <t>https://www.autodoc.dk/ridex/7998981</t>
  </si>
  <si>
    <t>402B0052</t>
  </si>
  <si>
    <t>https://www.autodoc.dk/ridex/7999125</t>
  </si>
  <si>
    <t>https://www.autodoc.dk/gsp/8379768</t>
  </si>
  <si>
    <t>https://www.autodoc.dk/gsp/8379692</t>
  </si>
  <si>
    <t>CV66.378:</t>
  </si>
  <si>
    <t>støddæmper bag</t>
  </si>
  <si>
    <t>støddæmper for</t>
  </si>
  <si>
    <t>601800506682</t>
  </si>
  <si>
    <t>SKCPB-1050014</t>
  </si>
  <si>
    <t>håndbremsekabel bag</t>
  </si>
  <si>
    <t>601818006640</t>
  </si>
  <si>
    <t>K17631</t>
  </si>
  <si>
    <t>håndbremsekabel for</t>
  </si>
  <si>
    <t>999600903270</t>
  </si>
  <si>
    <t>402B0025</t>
  </si>
  <si>
    <t>SKFO-1024</t>
  </si>
  <si>
    <t>999600803662</t>
  </si>
  <si>
    <t>82B00175</t>
  </si>
  <si>
    <t>17116</t>
  </si>
  <si>
    <t>47670</t>
  </si>
  <si>
    <t>999602600702</t>
  </si>
  <si>
    <t>78B0075</t>
  </si>
  <si>
    <t>bremsekaliber bag H</t>
  </si>
  <si>
    <t>999602600701</t>
  </si>
  <si>
    <t>78B0094</t>
  </si>
  <si>
    <t>bremsekaliber bag V</t>
  </si>
  <si>
    <t>999600903269</t>
  </si>
  <si>
    <t>402B0018</t>
  </si>
  <si>
    <t>999600803660</t>
  </si>
  <si>
    <t>DF4147</t>
  </si>
  <si>
    <t>999602600590</t>
  </si>
  <si>
    <t>78B0210</t>
  </si>
  <si>
    <t>999602600589</t>
  </si>
  <si>
    <t>78B0270</t>
  </si>
  <si>
    <t>lyddæmper</t>
  </si>
  <si>
    <t>Viaplay</t>
  </si>
  <si>
    <t>tilgode</t>
  </si>
  <si>
    <t>coop</t>
  </si>
  <si>
    <t>rente</t>
  </si>
  <si>
    <t>bolgstøtte</t>
  </si>
  <si>
    <t>opvaskemaskine</t>
  </si>
  <si>
    <t>Varme</t>
  </si>
  <si>
    <t>Klarup Vandværk</t>
  </si>
  <si>
    <t>TV2PLAY</t>
  </si>
  <si>
    <t>Ældrecheck</t>
  </si>
  <si>
    <t>Allan 39</t>
  </si>
  <si>
    <t>tæller</t>
  </si>
  <si>
    <t>diff</t>
  </si>
  <si>
    <t>diff. Total</t>
  </si>
  <si>
    <t>Tandlæge</t>
  </si>
  <si>
    <t>TV2 Play</t>
  </si>
  <si>
    <t>0,10 kr.</t>
  </si>
  <si>
    <t>0,16 kr.</t>
  </si>
  <si>
    <t>0,15 kr.</t>
  </si>
  <si>
    <t>0,13 kr.</t>
  </si>
  <si>
    <t>0,14 kr.</t>
  </si>
  <si>
    <t>0,21 kr.</t>
  </si>
  <si>
    <t>0,31 kr.</t>
  </si>
  <si>
    <t>0,29 kr.</t>
  </si>
  <si>
    <t>0,32 kr.</t>
  </si>
  <si>
    <t>0,25 kr.</t>
  </si>
  <si>
    <t>0,46 kr.</t>
  </si>
  <si>
    <t>0,47 kr.</t>
  </si>
  <si>
    <t>0,33 kr.</t>
  </si>
  <si>
    <t>0,30 kr.</t>
  </si>
  <si>
    <t>0,35 kr.</t>
  </si>
  <si>
    <t>1,12 kr.</t>
  </si>
  <si>
    <t>0,39 kr.</t>
  </si>
  <si>
    <t>0,41 kr.</t>
  </si>
  <si>
    <t>0,22 kr.</t>
  </si>
  <si>
    <t>0,17 kr.</t>
  </si>
  <si>
    <t>0,12 kr.</t>
  </si>
  <si>
    <t>0,18 kr.</t>
  </si>
  <si>
    <t>0,34 kr.</t>
  </si>
  <si>
    <t>0,43 kr.</t>
  </si>
  <si>
    <t>0,44 kr.</t>
  </si>
  <si>
    <t>0,28 kr.</t>
  </si>
  <si>
    <t>0,48 kr.</t>
  </si>
  <si>
    <t>0,69 kr.</t>
  </si>
  <si>
    <t>0,65 kr.</t>
  </si>
  <si>
    <t>0,82 kr.</t>
  </si>
  <si>
    <t>0,26 kr.</t>
  </si>
  <si>
    <t>0,24 kr.</t>
  </si>
  <si>
    <t>0,20 kr.</t>
  </si>
  <si>
    <t>0,61 kr.</t>
  </si>
  <si>
    <t>0,66 kr.</t>
  </si>
  <si>
    <t>1,29 kr.</t>
  </si>
  <si>
    <t>0,19 kr.</t>
  </si>
  <si>
    <t>0,70 kr.</t>
  </si>
  <si>
    <t>1,81 kr.</t>
  </si>
  <si>
    <t>1,51 kr.</t>
  </si>
  <si>
    <t>0,85 kr.</t>
  </si>
  <si>
    <t>0,77 kr.</t>
  </si>
  <si>
    <t>0,49 kr.</t>
  </si>
  <si>
    <t>0,23 kr.</t>
  </si>
  <si>
    <t>0,81 kr.</t>
  </si>
  <si>
    <t>0,55 kr.</t>
  </si>
  <si>
    <t>0,51 kr.</t>
  </si>
  <si>
    <t>0,56 kr.</t>
  </si>
  <si>
    <t>0,80 kr.</t>
  </si>
  <si>
    <t>0,96 kr.</t>
  </si>
  <si>
    <t>0,45 kr.</t>
  </si>
  <si>
    <t>0,54 kr.</t>
  </si>
  <si>
    <t>0,91 kr.</t>
  </si>
  <si>
    <t>0,60 kr.</t>
  </si>
  <si>
    <t>0,68 kr.</t>
  </si>
  <si>
    <t>1,61 kr.</t>
  </si>
  <si>
    <t>0,53 kr.</t>
  </si>
  <si>
    <t>0,36 kr.</t>
  </si>
  <si>
    <t>2,29 kr.</t>
  </si>
  <si>
    <t>0,75 kr.</t>
  </si>
  <si>
    <t>0,72 kr.</t>
  </si>
  <si>
    <t>0,78 kr.</t>
  </si>
  <si>
    <t>0,71 kr.</t>
  </si>
  <si>
    <t>1,50 kr.</t>
  </si>
  <si>
    <t>0,38 kr.</t>
  </si>
  <si>
    <t>0,59 kr.</t>
  </si>
  <si>
    <t>0,58 kr.</t>
  </si>
  <si>
    <t>0,62 kr.</t>
  </si>
  <si>
    <t>2,46 kr.</t>
  </si>
  <si>
    <t>0,57 kr.</t>
  </si>
  <si>
    <t>0,63 kr.</t>
  </si>
  <si>
    <t>1,19 kr.</t>
  </si>
  <si>
    <t>1,13 kr.</t>
  </si>
  <si>
    <t>0,40 kr.</t>
  </si>
  <si>
    <t>1,90 kr.</t>
  </si>
  <si>
    <t>0,64 kr.</t>
  </si>
  <si>
    <t>0,37 kr.</t>
  </si>
  <si>
    <t>0,79 kr.</t>
  </si>
  <si>
    <t>0,74 kr.</t>
  </si>
  <si>
    <t>0,92 kr.</t>
  </si>
  <si>
    <t>0,27 kr.</t>
  </si>
  <si>
    <t>0,52 kr.</t>
  </si>
  <si>
    <t>1,83 kr.</t>
  </si>
  <si>
    <t>1,58 kr.</t>
  </si>
  <si>
    <t>1,78 kr.</t>
  </si>
  <si>
    <t>0,09 kr.</t>
  </si>
  <si>
    <t>1,73 kr.</t>
  </si>
  <si>
    <t>1,88 kr.</t>
  </si>
  <si>
    <t>0,83 kr.</t>
  </si>
  <si>
    <t>0,05 kr.</t>
  </si>
  <si>
    <t>1,97 kr.</t>
  </si>
  <si>
    <t>1,65 kr.</t>
  </si>
  <si>
    <t>0,50 kr.</t>
  </si>
  <si>
    <t>1,33 kr.</t>
  </si>
  <si>
    <t>1,85 kr.</t>
  </si>
  <si>
    <t>0,67 kr.</t>
  </si>
  <si>
    <t>0,73 kr.</t>
  </si>
  <si>
    <t>1,31 kr.</t>
  </si>
  <si>
    <t>2,88 kr.</t>
  </si>
  <si>
    <t>2,34 kr.</t>
  </si>
  <si>
    <t>0,89 kr.</t>
  </si>
  <si>
    <t>0,90 kr.</t>
  </si>
  <si>
    <t>vand-varme Nygårdshave 13</t>
  </si>
  <si>
    <t>*12</t>
  </si>
  <si>
    <t>Klarup Opbevaring</t>
  </si>
  <si>
    <t>Gudumholm</t>
  </si>
  <si>
    <t>pr.mdr.</t>
  </si>
  <si>
    <t>Tildato</t>
  </si>
  <si>
    <t>Forbrug i kroner</t>
  </si>
  <si>
    <t>MAJ 2023</t>
  </si>
  <si>
    <t>JUNI 2023</t>
  </si>
  <si>
    <t>APRIL 2023</t>
  </si>
  <si>
    <t>MARTS 2023</t>
  </si>
  <si>
    <t>JANUAR 2023</t>
  </si>
  <si>
    <t>FEBRUAR 2023</t>
  </si>
  <si>
    <t>Regning</t>
  </si>
  <si>
    <t>17 - 18</t>
  </si>
  <si>
    <t>18 - 19</t>
  </si>
  <si>
    <t>0,98 kr.</t>
  </si>
  <si>
    <t>elafgift</t>
  </si>
  <si>
    <t>Magasin Blodtrykmåler</t>
  </si>
  <si>
    <t>JULI 2023</t>
  </si>
  <si>
    <t>tv2 play</t>
  </si>
  <si>
    <t>spar/spar</t>
  </si>
  <si>
    <t>Tandrem (AutoDoc)</t>
  </si>
  <si>
    <t>Airfryar (Spar)</t>
  </si>
  <si>
    <t>AUGUST 2023</t>
  </si>
  <si>
    <t>Bukser (Teeshoppen)</t>
  </si>
  <si>
    <t>tandrem</t>
  </si>
  <si>
    <t>DK Hostmester</t>
  </si>
  <si>
    <t>flytteopgørelse</t>
  </si>
  <si>
    <t>thansen</t>
  </si>
  <si>
    <t>Nordjysk Autocenter</t>
  </si>
  <si>
    <t>Next forsikring</t>
  </si>
  <si>
    <t>YouTube premium</t>
  </si>
  <si>
    <t>0,87 kr.</t>
  </si>
  <si>
    <t>1,05 kr.</t>
  </si>
  <si>
    <t>0,86 kr.</t>
  </si>
  <si>
    <t>1,26 kr.</t>
  </si>
  <si>
    <t>0,95 kr.</t>
  </si>
  <si>
    <t>0,97 kr.</t>
  </si>
  <si>
    <t>0,84 kr.</t>
  </si>
  <si>
    <t>0,88 kr.</t>
  </si>
  <si>
    <t>0,99 kr.</t>
  </si>
  <si>
    <t>1,24 kr.</t>
  </si>
  <si>
    <t>1,69 kr.</t>
  </si>
  <si>
    <t>1,06 kr.</t>
  </si>
  <si>
    <t>1,08 kr.</t>
  </si>
  <si>
    <t>1,03 kr.</t>
  </si>
  <si>
    <t>1,15 kr.</t>
  </si>
  <si>
    <t>1,01 kr.</t>
  </si>
  <si>
    <t>0,93 kr.</t>
  </si>
  <si>
    <t>0,76 kr.</t>
  </si>
  <si>
    <t>0,42 kr.</t>
  </si>
  <si>
    <t>1,02 kr.</t>
  </si>
  <si>
    <t>1,14 kr.</t>
  </si>
  <si>
    <t>2,22 kr.</t>
  </si>
  <si>
    <t>1,11 kr.</t>
  </si>
  <si>
    <t>1,00 kr.</t>
  </si>
  <si>
    <t>1,17 kr.</t>
  </si>
  <si>
    <t>1,34 kr.</t>
  </si>
  <si>
    <t>0,94 kr.</t>
  </si>
  <si>
    <t>1,07 kr.</t>
  </si>
  <si>
    <t>1,09 kr.</t>
  </si>
  <si>
    <t>1,04 kr.</t>
  </si>
  <si>
    <t>1,46 kr.</t>
  </si>
  <si>
    <t>1,40 kr.</t>
  </si>
  <si>
    <t>1,75 kr.</t>
  </si>
  <si>
    <t>1,37 kr.</t>
  </si>
  <si>
    <t>1,66 kr.</t>
  </si>
  <si>
    <t>1,41 kr.</t>
  </si>
  <si>
    <t>1,23 kr.</t>
  </si>
  <si>
    <t>1,32 kr.</t>
  </si>
  <si>
    <t>2,65 kr.</t>
  </si>
  <si>
    <t>1,43 kr.</t>
  </si>
  <si>
    <t>Fradato</t>
  </si>
  <si>
    <t>Forbrug i kWh</t>
  </si>
  <si>
    <t>Varme november</t>
  </si>
  <si>
    <t>Varme december</t>
  </si>
  <si>
    <t>udgifter i alt</t>
  </si>
  <si>
    <t>indtægter i alt</t>
  </si>
  <si>
    <t>rådighedsbeløb</t>
  </si>
  <si>
    <t>andre udgifter i alt</t>
  </si>
  <si>
    <t>rådighedsbeløb 2</t>
  </si>
  <si>
    <t>YouTube</t>
  </si>
  <si>
    <t>Ultibro Breezhaler 85 + 43 mg 1 stk morgen</t>
  </si>
  <si>
    <t>nettopris</t>
  </si>
  <si>
    <t>Amplodipin 10 mg 1 stk daglig</t>
  </si>
  <si>
    <t>Atorvastatin 40 mg 1 stk daglig</t>
  </si>
  <si>
    <t>Clopidogrel 75 mg 1 stk daglig</t>
  </si>
  <si>
    <t>Gabapenstad 400 mg 4 stk daglig</t>
  </si>
  <si>
    <t>Lansoprazol 30 mg 1 stk daglig</t>
  </si>
  <si>
    <t>Magnesia 2 stk daglig</t>
  </si>
  <si>
    <t>Metoprololsuccinat 25mg 1 stk daglig</t>
  </si>
  <si>
    <t>Kaleorid 2 stk daglig</t>
  </si>
  <si>
    <t>Ramipril 5 mg 1 stk daglig</t>
  </si>
  <si>
    <t>Hjertemagnyl 75 mg 1 stk daglig</t>
  </si>
  <si>
    <t>Bendroza 2,5*573 mg 1 stk efter behov</t>
  </si>
  <si>
    <t>Betolvex 1mg 1 stk daglig</t>
  </si>
  <si>
    <t>Ezetimib 10mg 1 stk daglig</t>
  </si>
  <si>
    <t>Hjertemagnyl 75mg 1 stk daglig</t>
  </si>
  <si>
    <t>Lercandipine 20mg 1 stk daglig</t>
  </si>
  <si>
    <t>Metoprololsuccinat 50mg 1 stk daglig</t>
  </si>
  <si>
    <t>Ramipril 10mg 1 stk daglig</t>
  </si>
  <si>
    <t>Rosuvastatin 40mg 1 stk daglig</t>
  </si>
  <si>
    <t>OxyContin 10 mg 2x2 stk daglig</t>
  </si>
  <si>
    <t>Pamol 500 mg 8 stk daglig</t>
  </si>
  <si>
    <t>Trimopan</t>
  </si>
  <si>
    <t>Penomax</t>
  </si>
  <si>
    <t>udløbsdato:</t>
  </si>
  <si>
    <t>saldo:</t>
  </si>
  <si>
    <t>antal pr pk</t>
  </si>
  <si>
    <t>stk pr dag</t>
  </si>
  <si>
    <t>indkøbspris</t>
  </si>
  <si>
    <t>køb antal</t>
  </si>
  <si>
    <t>Alendronat ”Aurobindo” 70 mg  1 stk om ugen</t>
  </si>
  <si>
    <t>Medicin</t>
  </si>
  <si>
    <t>Furix 40mg 2 stk daglig</t>
  </si>
  <si>
    <t>m3 afgift</t>
  </si>
  <si>
    <t>prognose</t>
  </si>
  <si>
    <t>arealafgift</t>
  </si>
  <si>
    <t>solvarme</t>
  </si>
  <si>
    <t>målerleje</t>
  </si>
  <si>
    <t>58091715</t>
  </si>
  <si>
    <t>inkl. Moms</t>
  </si>
  <si>
    <t>M3*TF</t>
  </si>
  <si>
    <t>Timer</t>
  </si>
  <si>
    <t>KWh</t>
  </si>
  <si>
    <t>Flytteafl.</t>
  </si>
  <si>
    <t>Fejlkode</t>
  </si>
  <si>
    <t>koder</t>
  </si>
  <si>
    <t>grænsetemp.</t>
  </si>
  <si>
    <t>returtemp.</t>
  </si>
  <si>
    <t>Afkøling</t>
  </si>
  <si>
    <t>temperatur</t>
  </si>
  <si>
    <t>Enhed</t>
  </si>
  <si>
    <t>returløb</t>
  </si>
  <si>
    <t>fremløb</t>
  </si>
  <si>
    <t>enhed</t>
  </si>
  <si>
    <t>aflæsning</t>
  </si>
  <si>
    <t>type</t>
  </si>
  <si>
    <t>nummer</t>
  </si>
  <si>
    <t xml:space="preserve">                 </t>
  </si>
  <si>
    <t>Hændelses-</t>
  </si>
  <si>
    <t>Nedre</t>
  </si>
  <si>
    <t>Øvre</t>
  </si>
  <si>
    <t>Forventet</t>
  </si>
  <si>
    <t>Gns. retur</t>
  </si>
  <si>
    <t>Gns. frem</t>
  </si>
  <si>
    <t>Akk.</t>
  </si>
  <si>
    <t>Tids-</t>
  </si>
  <si>
    <t>Tids</t>
  </si>
  <si>
    <t>Energi</t>
  </si>
  <si>
    <t>Energi-</t>
  </si>
  <si>
    <t>Aflæsnings-</t>
  </si>
  <si>
    <t>Måler-</t>
  </si>
  <si>
    <t>m3</t>
  </si>
  <si>
    <t>2,06 kr.</t>
  </si>
  <si>
    <t>2,27 kr.</t>
  </si>
  <si>
    <t>4,38 kr.</t>
  </si>
  <si>
    <t>1,89 kr.</t>
  </si>
  <si>
    <t>2,07 kr.</t>
  </si>
  <si>
    <t>1,10 kr.</t>
  </si>
  <si>
    <t>1,22 kr.</t>
  </si>
  <si>
    <t>2,10 kr.</t>
  </si>
  <si>
    <t>2,56 kr.</t>
  </si>
  <si>
    <t>2,08 kr.</t>
  </si>
  <si>
    <t>1,80 kr.</t>
  </si>
  <si>
    <t>3,81 kr.</t>
  </si>
  <si>
    <t>4,88 kr.</t>
  </si>
  <si>
    <t>1,18 kr.</t>
  </si>
  <si>
    <t>1,59 kr.</t>
  </si>
  <si>
    <t>1,99 kr.</t>
  </si>
  <si>
    <t>2,02 kr.</t>
  </si>
  <si>
    <t>2,09 kr.</t>
  </si>
  <si>
    <t>2,37 kr.</t>
  </si>
  <si>
    <t>vandpumpe</t>
  </si>
  <si>
    <t>DECEMBER:</t>
  </si>
  <si>
    <t>TOTAL:</t>
  </si>
  <si>
    <t>Kolonne1</t>
  </si>
  <si>
    <t>Kolonne2</t>
  </si>
  <si>
    <t>Kolonne3</t>
  </si>
  <si>
    <t>fra kl.</t>
  </si>
  <si>
    <t>til kl.</t>
  </si>
  <si>
    <t>Saphe</t>
  </si>
  <si>
    <t>KOMMENDE UDGIFTER</t>
  </si>
  <si>
    <t>printerblæk</t>
  </si>
  <si>
    <t>Udgifter</t>
  </si>
  <si>
    <t>Duloxetin 60 mg 2 stk daglig</t>
  </si>
  <si>
    <t>YuoTube premium</t>
  </si>
  <si>
    <t>computer</t>
  </si>
  <si>
    <t>Danske  Spil</t>
  </si>
  <si>
    <t>gasovn</t>
  </si>
  <si>
    <t>Danske Spil Lotto</t>
  </si>
  <si>
    <t>Danske Spil Eurojackpot</t>
  </si>
  <si>
    <t>sko</t>
  </si>
  <si>
    <t>BS 61 544</t>
  </si>
  <si>
    <t>kWh pr. time</t>
  </si>
  <si>
    <t>Omregistrering</t>
  </si>
  <si>
    <t>Dekra (bilsyn)</t>
  </si>
  <si>
    <t>omsyn</t>
  </si>
  <si>
    <t>Harald Nyborg Svejser</t>
  </si>
  <si>
    <t>BS61544</t>
  </si>
  <si>
    <t xml:space="preserve">forventet restbetaling: </t>
  </si>
  <si>
    <t>Ejerafgift BS61544</t>
  </si>
  <si>
    <t>Mou vandværk</t>
  </si>
  <si>
    <t>Varme/vand</t>
  </si>
  <si>
    <t>kr i alt</t>
  </si>
  <si>
    <t>Kommende udgifter</t>
  </si>
  <si>
    <t>Balance</t>
  </si>
  <si>
    <t>varme + el</t>
  </si>
  <si>
    <t>VARME</t>
  </si>
  <si>
    <t>Paneler - Becker</t>
  </si>
  <si>
    <t>kr pr dag</t>
  </si>
  <si>
    <t>for lidt betalt:</t>
  </si>
  <si>
    <t>Forsikring</t>
  </si>
  <si>
    <t>Indbo</t>
  </si>
  <si>
    <t>Opbevaring</t>
  </si>
  <si>
    <t>Gældsstyrelsen</t>
  </si>
  <si>
    <t>kWh pr dag</t>
  </si>
  <si>
    <t>I dag:</t>
  </si>
  <si>
    <t>Varme nu:</t>
  </si>
  <si>
    <t>El nu:</t>
  </si>
  <si>
    <t>kr pr kWh</t>
  </si>
  <si>
    <t>kr pr måned</t>
  </si>
  <si>
    <t>Punktum.dk</t>
  </si>
  <si>
    <t>aconto</t>
  </si>
  <si>
    <t>rem</t>
  </si>
  <si>
    <t>arbejdsløn</t>
  </si>
  <si>
    <t>generator</t>
  </si>
  <si>
    <t>paneler</t>
  </si>
  <si>
    <t>Faktiske udgifter</t>
  </si>
  <si>
    <t>normalpris</t>
  </si>
  <si>
    <t>2,,78</t>
  </si>
  <si>
    <t>Streg det nye panel op på det gamle så du har noget at skære efter.</t>
  </si>
  <si>
    <t>Skær det gamle panel af.</t>
  </si>
  <si>
    <t>Så på med det nye.</t>
  </si>
  <si>
    <t>Huller i nederste kant til punktsvejs og punktsvejs på panel foroven.</t>
  </si>
  <si>
    <t>Derefter slibes det til med vinkelsliber.</t>
  </si>
  <si>
    <t>Så spartles der for så at grunde og male det.</t>
  </si>
  <si>
    <t>Hvis der er rust i inderpanel hvor du skal svejse panel fast må det repareres.</t>
  </si>
  <si>
    <t>Autoophuggeren</t>
  </si>
  <si>
    <t>Rådighed efter faste udgifter</t>
  </si>
  <si>
    <t>Opsparing</t>
  </si>
  <si>
    <t>Vinduespudser</t>
  </si>
  <si>
    <t>ur</t>
  </si>
  <si>
    <t>køleskab slået fra</t>
  </si>
</sst>
</file>

<file path=xl/styles.xml><?xml version="1.0" encoding="utf-8"?>
<styleSheet xmlns="http://schemas.openxmlformats.org/spreadsheetml/2006/main">
  <numFmts count="71">
    <numFmt numFmtId="43" formatCode="_ * #,##0.00_ ;_ * \-#,##0.00_ ;_ * &quot;-&quot;??_ ;_ @_ "/>
    <numFmt numFmtId="164" formatCode="[$-406]d\.\ mmmm\ yyyy;@"/>
    <numFmt numFmtId="165" formatCode="dd\.mm\.yyyy;@"/>
    <numFmt numFmtId="166" formatCode="#,##0_ ;[Red]\-#,##0\ "/>
    <numFmt numFmtId="167" formatCode="&quot;  &quot;##,##0&quot; mdl. &quot;\ "/>
    <numFmt numFmtId="168" formatCode="&quot;  &quot;##,##0&quot; kr md&quot;\ "/>
    <numFmt numFmtId="169" formatCode="&quot;  &quot;##,##0&quot; ,- md&quot;\ "/>
    <numFmt numFmtId="170" formatCode="&quot;  &quot;##,##0&quot; kr dag&quot;\ "/>
    <numFmt numFmtId="171" formatCode="&quot;  &quot;##,##0&quot; &quot;\ "/>
    <numFmt numFmtId="172" formatCode="#,##0;[Red]\-##,#0#&quot; kr&quot;"/>
    <numFmt numFmtId="173" formatCode="&quot;  &quot;##,##0&quot; dage&quot;\ "/>
    <numFmt numFmtId="174" formatCode="\ &quot; Rådighedbeløb:   &quot;##,###&quot; kr&quot;"/>
    <numFmt numFmtId="175" formatCode="0.0"/>
    <numFmt numFmtId="176" formatCode="&quot;kr&quot;\ #,##0.00"/>
    <numFmt numFmtId="177" formatCode="#,##0.000"/>
    <numFmt numFmtId="178" formatCode="&quot;  &quot;##,##0&quot; dage tilbage&quot;\ "/>
    <numFmt numFmtId="179" formatCode="&quot;  &quot;##,##0&quot; md&quot;\ "/>
    <numFmt numFmtId="180" formatCode="&quot;  &quot;##,##0&quot; dgl&quot;\ "/>
    <numFmt numFmtId="181" formatCode="\ &quot; Rådighedsbeløb:   &quot;#,##0\ &quot; kr.&quot;"/>
    <numFmt numFmtId="182" formatCode="&quot;   ( aktuelt:  &quot;###,##0.00&quot; )&quot;\ "/>
    <numFmt numFmtId="183" formatCode="\ &quot; Rådighedbeløb:   &quot;#,##0.00"/>
    <numFmt numFmtId="184" formatCode="#,##0.00_ ;[Red]\-#,##0.00\ "/>
    <numFmt numFmtId="185" formatCode="#,##0.00_ ;\-#,##0.00\ "/>
    <numFmt numFmtId="186" formatCode="&quot;  &quot;##,##0&quot; dag&quot;\ "/>
    <numFmt numFmtId="187" formatCode="&quot;kr.&quot;\ #,##0.00"/>
    <numFmt numFmtId="188" formatCode="&quot;+ &quot;##&quot; uger =&quot;\ "/>
    <numFmt numFmtId="189" formatCode="#,##0.00&quot;  kr/kWh&quot;"/>
    <numFmt numFmtId="190" formatCode="&quot;kr&quot;\ #00.00"/>
    <numFmt numFmtId="191" formatCode="#,##0.00&quot; kWh&quot;"/>
    <numFmt numFmtId="192" formatCode="&quot;kr&quot;\ ##0.00"/>
    <numFmt numFmtId="193" formatCode="#,##0.00&quot;  kr.&quot;"/>
    <numFmt numFmtId="194" formatCode="#,##0.00&quot;  kr/time&quot;"/>
    <numFmt numFmtId="195" formatCode="#,##0.00&quot; kWh/time&quot;"/>
    <numFmt numFmtId="196" formatCode="&quot;kr&quot;\ ##,##0.00"/>
    <numFmt numFmtId="197" formatCode="#,##0.00&quot; kW&quot;"/>
    <numFmt numFmtId="198" formatCode="[$-406]mmmmm;@"/>
    <numFmt numFmtId="199" formatCode="#,##0&quot; kbm&quot;"/>
    <numFmt numFmtId="200" formatCode="#,##0.00&quot; km/l&quot;"/>
    <numFmt numFmtId="201" formatCode="###,##0&quot; km&quot;"/>
    <numFmt numFmtId="202" formatCode="##&quot; dage&quot;\ "/>
    <numFmt numFmtId="203" formatCode="&quot;  &quot;##,##0&quot; kr pr dag&quot;\ "/>
    <numFmt numFmtId="204" formatCode="&quot;Rådighedsbeløb netto:   &quot;##,##0&quot; kr&quot;\ \ ;[Red]&quot;Rådighedsbeløb netto:   &quot;\-#,##0.00\ "/>
    <numFmt numFmtId="205" formatCode="##,##0.00&quot; m3&quot;"/>
    <numFmt numFmtId="206" formatCode="#,##0&quot; m2&quot;"/>
    <numFmt numFmtId="207" formatCode="[$-406]d\.\ mmmm\ ;@"/>
    <numFmt numFmtId="208" formatCode="&quot;Beholdning ialt:   &quot;###,##0&quot; kr&quot;"/>
    <numFmt numFmtId="209" formatCode="&quot; Januar &quot;"/>
    <numFmt numFmtId="210" formatCode="&quot; Februar &quot;"/>
    <numFmt numFmtId="211" formatCode="&quot; Marts &quot;"/>
    <numFmt numFmtId="212" formatCode="&quot; April &quot;"/>
    <numFmt numFmtId="213" formatCode="&quot; Maj &quot;"/>
    <numFmt numFmtId="214" formatCode="&quot; Juni &quot;"/>
    <numFmt numFmtId="215" formatCode="&quot; Juli &quot;"/>
    <numFmt numFmtId="216" formatCode="&quot; August &quot;"/>
    <numFmt numFmtId="217" formatCode="&quot; September &quot;"/>
    <numFmt numFmtId="218" formatCode="&quot; Oktober &quot;"/>
    <numFmt numFmtId="219" formatCode="&quot; November &quot;"/>
    <numFmt numFmtId="220" formatCode="&quot; December &quot;"/>
    <numFmt numFmtId="221" formatCode="&quot;Mønter:   &quot;##,##0.00&quot; kr&quot;"/>
    <numFmt numFmtId="222" formatCode="&quot;Sedler:   &quot;##,##0.00&quot; kr&quot;"/>
    <numFmt numFmtId="223" formatCode="&quot;Lunar K:   &quot;##,##0.00&quot; kr&quot;"/>
    <numFmt numFmtId="224" formatCode="&quot;Lunar D:   &quot;##,##0.00&quot; kr&quot;"/>
    <numFmt numFmtId="225" formatCode="&quot;COOP:   &quot;##,##0.00&quot; kr&quot;"/>
    <numFmt numFmtId="226" formatCode="&quot;AL:   &quot;##,##0.00&quot; kr&quot;"/>
    <numFmt numFmtId="227" formatCode="&quot; &quot;###,##0&quot; kr&quot;\ "/>
    <numFmt numFmtId="228" formatCode="&quot;kWh x 0,324&quot;"/>
    <numFmt numFmtId="229" formatCode="&quot; Maj&quot;"/>
    <numFmt numFmtId="230" formatCode="&quot;varmekonto:   &quot;##,##0.00&quot; kr&quot;"/>
    <numFmt numFmtId="231" formatCode="&quot;Fælleskonto: &quot;##,##0.00&quot; kr&quot;"/>
    <numFmt numFmtId="232" formatCode="&quot;bilkonto:   &quot;##,##0.00&quot; kr&quot;"/>
    <numFmt numFmtId="233" formatCode="&quot;Rådighedsbeløb: &quot;##,##0&quot; kr&quot;"/>
  </numFmts>
  <fonts count="14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4" tint="-0.499984740745262"/>
      <name val="Arial"/>
      <family val="2"/>
    </font>
    <font>
      <b/>
      <i/>
      <sz val="10"/>
      <color theme="4" tint="-0.499984740745262"/>
      <name val="Arial"/>
      <family val="2"/>
    </font>
    <font>
      <sz val="10"/>
      <name val="Calibri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Arial"/>
      <family val="2"/>
    </font>
    <font>
      <b/>
      <sz val="10"/>
      <name val="Calibri"/>
      <family val="2"/>
      <scheme val="minor"/>
    </font>
    <font>
      <b/>
      <i/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A5D6E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0"/>
      <color rgb="FFA5D6E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b/>
      <sz val="10"/>
      <color rgb="FF83DD94"/>
      <name val="Calibri"/>
      <family val="2"/>
      <scheme val="minor"/>
    </font>
    <font>
      <i/>
      <sz val="10"/>
      <color theme="4" tint="-0.499984740745262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i/>
      <sz val="10"/>
      <color theme="1" tint="4.9989318521683403E-2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i/>
      <sz val="12"/>
      <color theme="4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3" tint="-0.249977111117893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i/>
      <sz val="10"/>
      <name val="Arial"/>
      <family val="2"/>
    </font>
    <font>
      <i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i/>
      <sz val="11"/>
      <name val="Arial"/>
      <family val="2"/>
    </font>
    <font>
      <sz val="9"/>
      <color theme="0"/>
      <name val="Arial"/>
      <family val="2"/>
    </font>
    <font>
      <b/>
      <i/>
      <sz val="10"/>
      <name val="Arial"/>
      <family val="2"/>
    </font>
    <font>
      <b/>
      <sz val="9"/>
      <color theme="0"/>
      <name val="Arial"/>
      <family val="2"/>
    </font>
    <font>
      <b/>
      <sz val="11"/>
      <color theme="8" tint="0.3999755851924192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u/>
      <sz val="10"/>
      <color theme="1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10"/>
      <name val="Arial"/>
      <family val="2"/>
    </font>
    <font>
      <sz val="14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1"/>
      <color rgb="FF4F81BD"/>
      <name val="Calibri"/>
      <family val="2"/>
      <scheme val="minor"/>
    </font>
    <font>
      <b/>
      <sz val="11"/>
      <color theme="8" tint="0.59999389629810485"/>
      <name val="Calibri"/>
      <family val="2"/>
      <scheme val="minor"/>
    </font>
    <font>
      <b/>
      <i/>
      <sz val="9"/>
      <color theme="0"/>
      <name val="Arial"/>
      <family val="2"/>
    </font>
    <font>
      <i/>
      <sz val="11"/>
      <color theme="0"/>
      <name val="Calibri"/>
      <family val="2"/>
      <scheme val="minor"/>
    </font>
    <font>
      <b/>
      <i/>
      <sz val="8"/>
      <name val="Calibri"/>
      <family val="2"/>
      <scheme val="minor"/>
    </font>
    <font>
      <i/>
      <sz val="8"/>
      <name val="Arial"/>
      <family val="2"/>
    </font>
    <font>
      <b/>
      <i/>
      <sz val="8"/>
      <name val="Arial"/>
      <family val="2"/>
    </font>
    <font>
      <b/>
      <i/>
      <sz val="11"/>
      <color theme="8" tint="0.3999755851924192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0"/>
      <name val="Calibri"/>
      <family val="2"/>
    </font>
    <font>
      <sz val="14"/>
      <color theme="0"/>
      <name val="Calibri"/>
      <family val="2"/>
    </font>
    <font>
      <b/>
      <sz val="12"/>
      <color theme="0"/>
      <name val="Calibri"/>
      <family val="2"/>
    </font>
    <font>
      <i/>
      <sz val="9"/>
      <name val="Calibri"/>
      <family val="2"/>
      <scheme val="minor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0"/>
      <color theme="3" tint="-0.249977111117893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0"/>
      <name val="Calibri"/>
      <family val="2"/>
    </font>
    <font>
      <i/>
      <sz val="9"/>
      <color theme="0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9"/>
      <color rgb="FF333333"/>
      <name val="Arial"/>
      <family val="2"/>
    </font>
    <font>
      <sz val="14"/>
      <color rgb="FF333333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D6E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83DD9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rgb="FF3E4D1F"/>
        <bgColor indexed="64"/>
      </patternFill>
    </fill>
    <fill>
      <patternFill patternType="solid">
        <fgColor rgb="FF2C4D7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424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/>
      <right style="thin">
        <color theme="0"/>
      </right>
      <top style="hair">
        <color theme="0"/>
      </top>
      <bottom style="thin">
        <color indexed="64"/>
      </bottom>
      <diagonal/>
    </border>
    <border>
      <left style="thin">
        <color theme="0"/>
      </left>
      <right/>
      <top style="hair">
        <color theme="0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hair">
        <color theme="0"/>
      </top>
      <bottom/>
      <diagonal/>
    </border>
    <border>
      <left/>
      <right style="thin">
        <color theme="0" tint="-4.9989318521683403E-2"/>
      </right>
      <top style="hair">
        <color theme="0"/>
      </top>
      <bottom/>
      <diagonal/>
    </border>
    <border>
      <left style="thin">
        <color theme="0" tint="-4.9989318521683403E-2"/>
      </left>
      <right/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/>
      <right style="thin">
        <color rgb="FF00B0F0"/>
      </right>
      <top/>
      <bottom style="thin">
        <color indexed="64"/>
      </bottom>
      <diagonal/>
    </border>
    <border>
      <left/>
      <right style="thin">
        <color rgb="FF00B0F0"/>
      </right>
      <top style="thin">
        <color theme="8"/>
      </top>
      <bottom style="thin">
        <color theme="8"/>
      </bottom>
      <diagonal/>
    </border>
    <border>
      <left/>
      <right style="thin">
        <color rgb="FF00B0F0"/>
      </right>
      <top/>
      <bottom style="thin">
        <color theme="8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hair">
        <color theme="0"/>
      </top>
      <bottom style="hair">
        <color theme="0"/>
      </bottom>
      <diagonal/>
    </border>
    <border>
      <left style="thin">
        <color theme="0" tint="-4.9989318521683403E-2"/>
      </left>
      <right/>
      <top style="hair">
        <color theme="0"/>
      </top>
      <bottom style="hair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 tint="-4.9989318521683403E-2"/>
      </left>
      <right/>
      <top style="medium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hair">
        <color theme="0"/>
      </top>
      <bottom style="hair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 style="hair">
        <color theme="0"/>
      </top>
      <bottom style="hair">
        <color theme="0"/>
      </bottom>
      <diagonal/>
    </border>
    <border>
      <left style="thin">
        <color theme="0"/>
      </left>
      <right/>
      <top style="hair">
        <color theme="0"/>
      </top>
      <bottom style="hair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hair">
        <color theme="0"/>
      </bottom>
      <diagonal/>
    </border>
    <border>
      <left/>
      <right style="thin">
        <color theme="0"/>
      </right>
      <top style="thin">
        <color indexed="64"/>
      </top>
      <bottom style="hair">
        <color theme="0"/>
      </bottom>
      <diagonal/>
    </border>
    <border>
      <left style="thin">
        <color theme="0"/>
      </left>
      <right/>
      <top style="thin">
        <color indexed="64"/>
      </top>
      <bottom style="hair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rgb="FF00B0F0"/>
      </left>
      <right style="thin">
        <color theme="0"/>
      </right>
      <top style="thin">
        <color indexed="64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indexed="64"/>
      </top>
      <bottom style="thin">
        <color rgb="FF00B0F0"/>
      </bottom>
      <diagonal/>
    </border>
    <border>
      <left/>
      <right/>
      <top style="thin">
        <color indexed="64"/>
      </top>
      <bottom style="thin">
        <color theme="8"/>
      </bottom>
      <diagonal/>
    </border>
    <border>
      <left style="thin">
        <color theme="0"/>
      </left>
      <right/>
      <top style="thin">
        <color indexed="64"/>
      </top>
      <bottom style="thin">
        <color theme="8"/>
      </bottom>
      <diagonal/>
    </border>
    <border>
      <left style="thin">
        <color rgb="FF00B0F0"/>
      </left>
      <right style="thin">
        <color rgb="FF00B0F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/>
      <bottom style="thin">
        <color theme="8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 tint="-4.9989318521683403E-2"/>
      </right>
      <top style="hair">
        <color auto="1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 style="medium">
        <color theme="0"/>
      </top>
      <bottom style="thin">
        <color theme="0" tint="-4.9989318521683403E-2"/>
      </bottom>
      <diagonal/>
    </border>
    <border>
      <left/>
      <right/>
      <top style="medium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medium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hair">
        <color theme="0"/>
      </bottom>
      <diagonal/>
    </border>
    <border>
      <left style="thin">
        <color theme="0"/>
      </left>
      <right/>
      <top style="hair">
        <color theme="0"/>
      </top>
      <bottom/>
      <diagonal/>
    </border>
    <border>
      <left/>
      <right style="thin">
        <color theme="0"/>
      </right>
      <top style="hair">
        <color theme="0"/>
      </top>
      <bottom/>
      <diagonal/>
    </border>
    <border>
      <left/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/>
      <top style="hair">
        <color auto="1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/>
      <bottom style="hair">
        <color auto="1"/>
      </bottom>
      <diagonal/>
    </border>
    <border>
      <left/>
      <right style="medium">
        <color theme="0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hair">
        <color indexed="64"/>
      </bottom>
      <diagonal/>
    </border>
    <border>
      <left/>
      <right style="medium">
        <color theme="0"/>
      </right>
      <top style="thin">
        <color indexed="64"/>
      </top>
      <bottom style="hair">
        <color indexed="64"/>
      </bottom>
      <diagonal/>
    </border>
    <border>
      <left style="hair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theme="0"/>
      </left>
      <right style="hair">
        <color theme="0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hair">
        <color theme="0"/>
      </right>
      <top style="thin">
        <color theme="1"/>
      </top>
      <bottom style="thin">
        <color theme="1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/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theme="3"/>
      </top>
      <bottom style="hair">
        <color theme="3"/>
      </bottom>
      <diagonal/>
    </border>
    <border>
      <left style="thin">
        <color indexed="64"/>
      </left>
      <right/>
      <top style="hair">
        <color theme="3"/>
      </top>
      <bottom style="hair">
        <color theme="3"/>
      </bottom>
      <diagonal/>
    </border>
    <border>
      <left/>
      <right/>
      <top style="hair">
        <color auto="1"/>
      </top>
      <bottom style="hair">
        <color theme="3"/>
      </bottom>
      <diagonal/>
    </border>
    <border>
      <left style="thin">
        <color indexed="64"/>
      </left>
      <right/>
      <top style="hair">
        <color auto="1"/>
      </top>
      <bottom style="hair">
        <color theme="3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hair">
        <color theme="0"/>
      </top>
      <bottom style="thin">
        <color theme="0"/>
      </bottom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theme="0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92D050"/>
      </right>
      <top/>
      <bottom/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/>
      <top style="thin">
        <color theme="6"/>
      </top>
      <bottom/>
      <diagonal/>
    </border>
    <border>
      <left style="thin">
        <color rgb="FF00B0F0"/>
      </left>
      <right style="thin">
        <color rgb="FF00B0F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F0"/>
      </right>
      <top style="thin">
        <color rgb="FF00B050"/>
      </top>
      <bottom style="thin">
        <color rgb="FF00B050"/>
      </bottom>
      <diagonal/>
    </border>
    <border>
      <left style="thin">
        <color rgb="FF00B0F0"/>
      </left>
      <right style="thin">
        <color rgb="FF00B0F0"/>
      </right>
      <top/>
      <bottom style="thin">
        <color rgb="FF00B050"/>
      </bottom>
      <diagonal/>
    </border>
    <border>
      <left style="thin">
        <color rgb="FF00B050"/>
      </left>
      <right style="thin">
        <color rgb="FF00B0F0"/>
      </right>
      <top/>
      <bottom style="thin">
        <color rgb="FF00B050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50"/>
      </top>
      <bottom style="medium">
        <color rgb="FF00B0F0"/>
      </bottom>
      <diagonal/>
    </border>
    <border>
      <left style="thin">
        <color rgb="FF00B050"/>
      </left>
      <right style="thin">
        <color rgb="FF00B0F0"/>
      </right>
      <top style="thin">
        <color rgb="FF00B05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/>
      <right style="thin">
        <color rgb="FF00B0F0"/>
      </right>
      <top style="thin">
        <color rgb="FF00B050"/>
      </top>
      <bottom style="medium">
        <color rgb="FF00B0F0"/>
      </bottom>
      <diagonal/>
    </border>
    <border>
      <left/>
      <right style="thin">
        <color rgb="FF00B0F0"/>
      </right>
      <top style="thin">
        <color rgb="FF00B050"/>
      </top>
      <bottom style="thin">
        <color rgb="FF00B050"/>
      </bottom>
      <diagonal/>
    </border>
    <border>
      <left/>
      <right/>
      <top/>
      <bottom style="thin">
        <color theme="6"/>
      </bottom>
      <diagonal/>
    </border>
    <border>
      <left/>
      <right/>
      <top style="thin">
        <color rgb="FF00B0F0"/>
      </top>
      <bottom style="medium">
        <color indexed="64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rgb="FF00B0F0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/>
      <top style="double">
        <color indexed="64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double">
        <color indexed="64"/>
      </bottom>
      <diagonal/>
    </border>
    <border>
      <left/>
      <right style="thin">
        <color rgb="FF00B0F0"/>
      </right>
      <top style="thin">
        <color rgb="FF00B0F0"/>
      </top>
      <bottom style="double">
        <color indexed="64"/>
      </bottom>
      <diagonal/>
    </border>
    <border>
      <left style="thin">
        <color theme="0"/>
      </left>
      <right/>
      <top/>
      <bottom style="thick">
        <color theme="8" tint="0.79998168889431442"/>
      </bottom>
      <diagonal/>
    </border>
    <border>
      <left style="thin">
        <color theme="0"/>
      </left>
      <right style="thin">
        <color theme="0"/>
      </right>
      <top/>
      <bottom style="thick">
        <color theme="8" tint="0.79998168889431442"/>
      </bottom>
      <diagonal/>
    </border>
    <border>
      <left/>
      <right style="thin">
        <color theme="0"/>
      </right>
      <top/>
      <bottom style="thick">
        <color theme="8" tint="0.7999816888943144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8" tint="0.7999816888943144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 style="medium">
        <color theme="0"/>
      </top>
      <bottom style="thin">
        <color theme="6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6"/>
      </bottom>
      <diagonal/>
    </border>
    <border>
      <left/>
      <right/>
      <top style="thin">
        <color indexed="64"/>
      </top>
      <bottom style="thin">
        <color theme="6"/>
      </bottom>
      <diagonal/>
    </border>
    <border>
      <left/>
      <right style="thin">
        <color indexed="64"/>
      </right>
      <top style="thin">
        <color indexed="64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/>
      <right style="thin">
        <color indexed="64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/>
      <top style="thin">
        <color theme="6"/>
      </top>
      <bottom style="thin">
        <color indexed="64"/>
      </bottom>
      <diagonal/>
    </border>
    <border>
      <left/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/>
      <diagonal/>
    </border>
    <border>
      <left/>
      <right style="thin">
        <color indexed="64"/>
      </right>
      <top style="thin">
        <color theme="6"/>
      </top>
      <bottom/>
      <diagonal/>
    </border>
    <border>
      <left style="thin">
        <color indexed="64"/>
      </left>
      <right/>
      <top/>
      <bottom style="thin">
        <color theme="6"/>
      </bottom>
      <diagonal/>
    </border>
    <border>
      <left/>
      <right style="thin">
        <color indexed="64"/>
      </right>
      <top/>
      <bottom style="thin">
        <color theme="6"/>
      </bottom>
      <diagonal/>
    </border>
    <border>
      <left/>
      <right/>
      <top style="medium">
        <color indexed="64"/>
      </top>
      <bottom style="thin">
        <color theme="6"/>
      </bottom>
      <diagonal/>
    </border>
    <border>
      <left style="medium">
        <color indexed="64"/>
      </left>
      <right/>
      <top style="thin">
        <color theme="6"/>
      </top>
      <bottom style="medium">
        <color indexed="64"/>
      </bottom>
      <diagonal/>
    </border>
    <border>
      <left/>
      <right/>
      <top style="thin">
        <color theme="6"/>
      </top>
      <bottom style="medium">
        <color indexed="64"/>
      </bottom>
      <diagonal/>
    </border>
    <border>
      <left/>
      <right style="medium">
        <color indexed="64"/>
      </right>
      <top style="thin">
        <color theme="6"/>
      </top>
      <bottom style="medium">
        <color indexed="64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thin">
        <color theme="8" tint="0.39991454817346722"/>
      </top>
      <bottom style="thin">
        <color theme="8" tint="0.39991454817346722"/>
      </bottom>
      <diagonal/>
    </border>
    <border>
      <left/>
      <right/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/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0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8" tint="0.79995117038483843"/>
      </left>
      <right/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5117038483843"/>
      </right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0" tint="-0.14996795556505021"/>
      </left>
      <right/>
      <top style="thick">
        <color theme="0" tint="-0.14996795556505021"/>
      </top>
      <bottom/>
      <diagonal/>
    </border>
    <border>
      <left/>
      <right/>
      <top style="thick">
        <color theme="0" tint="-0.14996795556505021"/>
      </top>
      <bottom/>
      <diagonal/>
    </border>
    <border>
      <left style="thick">
        <color theme="0" tint="-0.14996795556505021"/>
      </left>
      <right/>
      <top/>
      <bottom/>
      <diagonal/>
    </border>
    <border>
      <left style="thick">
        <color theme="0" tint="-0.14996795556505021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/>
      <right style="thin">
        <color theme="3" tint="0.39994506668294322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 style="thick">
        <color theme="0" tint="-0.1499679555650502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ck">
        <color theme="0" tint="-0.14996795556505021"/>
      </bottom>
      <diagonal/>
    </border>
    <border>
      <left style="thin">
        <color theme="4" tint="-0.24994659260841701"/>
      </left>
      <right style="thick">
        <color theme="0" tint="-0.14996795556505021"/>
      </right>
      <top/>
      <bottom style="thick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 tint="-0.14996795556505021"/>
      </left>
      <right/>
      <top style="medium">
        <color theme="0"/>
      </top>
      <bottom/>
      <diagonal/>
    </border>
    <border>
      <left/>
      <right/>
      <top style="thin">
        <color theme="8" tint="0.79998168889431442"/>
      </top>
      <bottom/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 tint="-0.1499679555650502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ck">
        <color theme="0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ck">
        <color theme="0" tint="-0.24994659260841701"/>
      </bottom>
      <diagonal/>
    </border>
    <border>
      <left/>
      <right/>
      <top style="thin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ck">
        <color theme="0"/>
      </right>
      <top style="thin">
        <color theme="0"/>
      </top>
      <bottom style="thin">
        <color indexed="64"/>
      </bottom>
      <diagonal/>
    </border>
    <border>
      <left style="thick">
        <color theme="0"/>
      </left>
      <right/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ck">
        <color theme="0" tint="-0.14996795556505021"/>
      </right>
      <top/>
      <bottom/>
      <diagonal/>
    </border>
    <border>
      <left style="thick">
        <color theme="0" tint="-0.149876400036622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0" tint="-0.149876400036622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1498764000366222"/>
      </left>
      <right/>
      <top style="thin">
        <color theme="0" tint="-0.499984740745262"/>
      </top>
      <bottom style="thick">
        <color theme="0" tint="-0.1498764000366222"/>
      </bottom>
      <diagonal/>
    </border>
    <border>
      <left/>
      <right style="thick">
        <color theme="0" tint="-0.1498764000366222"/>
      </right>
      <top style="thin">
        <color theme="0" tint="-0.499984740745262"/>
      </top>
      <bottom style="thick">
        <color theme="0" tint="-0.1498764000366222"/>
      </bottom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 style="thin">
        <color theme="0"/>
      </top>
      <bottom style="thick">
        <color theme="0"/>
      </bottom>
      <diagonal/>
    </border>
    <border>
      <left/>
      <right style="thick">
        <color theme="0" tint="-0.24994659260841701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n">
        <color theme="0"/>
      </bottom>
      <diagonal/>
    </border>
    <border>
      <left style="thick">
        <color theme="0" tint="-0.24994659260841701"/>
      </left>
      <right/>
      <top style="thin">
        <color theme="0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n">
        <color theme="0"/>
      </top>
      <bottom style="thick">
        <color theme="0" tint="-0.24994659260841701"/>
      </bottom>
      <diagonal/>
    </border>
    <border>
      <left/>
      <right/>
      <top/>
      <bottom style="thick">
        <color theme="0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/>
      </bottom>
      <diagonal/>
    </border>
    <border>
      <left/>
      <right/>
      <top style="thick">
        <color theme="0" tint="-0.24994659260841701"/>
      </top>
      <bottom style="thick">
        <color theme="0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/>
      </bottom>
      <diagonal/>
    </border>
    <border>
      <left/>
      <right style="thin">
        <color theme="0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 tint="-0.24994659260841701"/>
      </right>
      <top style="thick">
        <color theme="0"/>
      </top>
      <bottom style="thick">
        <color theme="0"/>
      </bottom>
      <diagonal/>
    </border>
    <border>
      <left style="thick">
        <color theme="0" tint="-0.24994659260841701"/>
      </left>
      <right/>
      <top style="thick">
        <color theme="0"/>
      </top>
      <bottom style="thick">
        <color theme="0" tint="-0.24994659260841701"/>
      </bottom>
      <diagonal/>
    </border>
    <border>
      <left/>
      <right/>
      <top style="thick">
        <color theme="0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/>
      </top>
      <bottom style="thick">
        <color theme="0" tint="-0.24994659260841701"/>
      </bottom>
      <diagonal/>
    </border>
    <border>
      <left style="thick">
        <color theme="0" tint="-0.24994659260841701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ck">
        <color theme="0" tint="-0.24994659260841701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ck">
        <color theme="0" tint="-0.24994659260841701"/>
      </right>
      <top style="thick">
        <color theme="0"/>
      </top>
      <bottom style="thin">
        <color theme="0"/>
      </bottom>
      <diagonal/>
    </border>
    <border>
      <left style="thick">
        <color theme="0" tint="-0.24994659260841701"/>
      </left>
      <right/>
      <top style="thick">
        <color theme="0"/>
      </top>
      <bottom style="thin">
        <color theme="0"/>
      </bottom>
      <diagonal/>
    </border>
    <border>
      <left style="thick">
        <color theme="0" tint="-0.24994659260841701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ck">
        <color theme="0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ck">
        <color theme="0"/>
      </bottom>
      <diagonal/>
    </border>
    <border>
      <left/>
      <right/>
      <top style="thin">
        <color theme="0" tint="-0.24994659260841701"/>
      </top>
      <bottom style="thick">
        <color theme="0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/>
      <diagonal/>
    </border>
    <border>
      <left/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ck">
        <color theme="0" tint="-0.1498764000366222"/>
      </right>
      <top/>
      <bottom style="thin">
        <color theme="0" tint="-0.499984740745262"/>
      </bottom>
      <diagonal/>
    </border>
    <border>
      <left style="thick">
        <color theme="0" tint="-0.24994659260841701"/>
      </left>
      <right/>
      <top/>
      <bottom style="thick">
        <color theme="0"/>
      </bottom>
      <diagonal/>
    </border>
    <border>
      <left style="thick">
        <color theme="0" tint="-0.24994659260841701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 tint="-0.24994659260841701"/>
      </right>
      <top style="thick">
        <color theme="0"/>
      </top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/>
      <right/>
      <top style="thick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/>
      </bottom>
      <diagonal/>
    </border>
  </borders>
  <cellStyleXfs count="63">
    <xf numFmtId="164" fontId="0" fillId="0" borderId="0"/>
    <xf numFmtId="0" fontId="14" fillId="2" borderId="0" applyNumberFormat="0" applyBorder="0" applyAlignment="0" applyProtection="0"/>
    <xf numFmtId="0" fontId="13" fillId="3" borderId="0" applyNumberFormat="0" applyBorder="0" applyAlignment="0" applyProtection="0"/>
    <xf numFmtId="164" fontId="16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75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64" fontId="48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0" fontId="13" fillId="0" borderId="0"/>
    <xf numFmtId="164" fontId="16" fillId="0" borderId="0"/>
    <xf numFmtId="0" fontId="16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 applyBorder="0"/>
    <xf numFmtId="0" fontId="13" fillId="0" borderId="0"/>
    <xf numFmtId="164" fontId="13" fillId="0" borderId="0"/>
    <xf numFmtId="17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5" fontId="16" fillId="0" borderId="0"/>
    <xf numFmtId="177" fontId="12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11" fillId="34" borderId="0" applyNumberFormat="0" applyBorder="0" applyAlignment="0" applyProtection="0"/>
    <xf numFmtId="0" fontId="83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77" fontId="10" fillId="0" borderId="0"/>
    <xf numFmtId="0" fontId="10" fillId="0" borderId="0"/>
    <xf numFmtId="0" fontId="9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086">
    <xf numFmtId="164" fontId="0" fillId="0" borderId="0" xfId="0"/>
    <xf numFmtId="40" fontId="0" fillId="0" borderId="0" xfId="0" applyNumberFormat="1" applyAlignment="1">
      <alignment horizontal="right"/>
    </xf>
    <xf numFmtId="40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40" fontId="0" fillId="4" borderId="0" xfId="0" applyNumberFormat="1" applyFill="1" applyBorder="1" applyAlignment="1">
      <alignment horizontal="right"/>
    </xf>
    <xf numFmtId="40" fontId="17" fillId="0" borderId="0" xfId="0" applyNumberFormat="1" applyFont="1" applyAlignment="1">
      <alignment horizontal="right"/>
    </xf>
    <xf numFmtId="40" fontId="17" fillId="0" borderId="0" xfId="0" applyNumberFormat="1" applyFont="1" applyFill="1" applyAlignment="1">
      <alignment horizontal="right"/>
    </xf>
    <xf numFmtId="40" fontId="18" fillId="0" borderId="0" xfId="0" applyNumberFormat="1" applyFont="1" applyFill="1" applyAlignment="1">
      <alignment horizontal="right"/>
    </xf>
    <xf numFmtId="40" fontId="19" fillId="0" borderId="0" xfId="0" applyNumberFormat="1" applyFont="1" applyFill="1" applyBorder="1" applyAlignment="1">
      <alignment horizontal="right" vertical="center"/>
    </xf>
    <xf numFmtId="40" fontId="20" fillId="0" borderId="0" xfId="0" applyNumberFormat="1" applyFont="1" applyAlignment="1">
      <alignment horizontal="right"/>
    </xf>
    <xf numFmtId="40" fontId="21" fillId="0" borderId="0" xfId="0" applyNumberFormat="1" applyFont="1" applyAlignment="1">
      <alignment horizontal="right"/>
    </xf>
    <xf numFmtId="40" fontId="22" fillId="0" borderId="2" xfId="0" applyNumberFormat="1" applyFont="1" applyFill="1" applyBorder="1" applyAlignment="1">
      <alignment horizontal="right" vertical="center"/>
    </xf>
    <xf numFmtId="40" fontId="19" fillId="4" borderId="3" xfId="0" applyNumberFormat="1" applyFont="1" applyFill="1" applyBorder="1" applyAlignment="1" applyProtection="1">
      <alignment horizontal="right" vertical="center" indent="1"/>
      <protection locked="0"/>
    </xf>
    <xf numFmtId="40" fontId="19" fillId="0" borderId="4" xfId="0" applyNumberFormat="1" applyFont="1" applyBorder="1" applyAlignment="1" applyProtection="1">
      <alignment horizontal="right" vertical="center" indent="1"/>
      <protection locked="0"/>
    </xf>
    <xf numFmtId="40" fontId="19" fillId="0" borderId="1" xfId="0" applyNumberFormat="1" applyFont="1" applyBorder="1" applyAlignment="1" applyProtection="1">
      <alignment horizontal="right" vertical="center" indent="1"/>
      <protection locked="0"/>
    </xf>
    <xf numFmtId="40" fontId="22" fillId="0" borderId="1" xfId="0" applyNumberFormat="1" applyFont="1" applyBorder="1" applyAlignment="1" applyProtection="1">
      <alignment horizontal="left" vertical="center" indent="1"/>
      <protection locked="0"/>
    </xf>
    <xf numFmtId="165" fontId="22" fillId="0" borderId="0" xfId="0" applyNumberFormat="1" applyFont="1" applyAlignment="1" applyProtection="1">
      <alignment horizontal="center" vertical="center"/>
      <protection locked="0"/>
    </xf>
    <xf numFmtId="40" fontId="19" fillId="5" borderId="5" xfId="0" applyNumberFormat="1" applyFont="1" applyFill="1" applyBorder="1" applyAlignment="1" applyProtection="1">
      <alignment horizontal="right" vertical="center" indent="1"/>
      <protection locked="0"/>
    </xf>
    <xf numFmtId="40" fontId="22" fillId="5" borderId="5" xfId="0" applyNumberFormat="1" applyFont="1" applyFill="1" applyBorder="1" applyAlignment="1" applyProtection="1">
      <alignment horizontal="left" vertical="center" indent="1"/>
      <protection locked="0"/>
    </xf>
    <xf numFmtId="165" fontId="22" fillId="5" borderId="6" xfId="0" applyNumberFormat="1" applyFont="1" applyFill="1" applyBorder="1" applyAlignment="1" applyProtection="1">
      <alignment horizontal="center" vertical="center"/>
      <protection locked="0"/>
    </xf>
    <xf numFmtId="40" fontId="19" fillId="5" borderId="7" xfId="0" applyNumberFormat="1" applyFont="1" applyFill="1" applyBorder="1" applyAlignment="1" applyProtection="1">
      <alignment horizontal="right" vertical="center" indent="1"/>
      <protection locked="0"/>
    </xf>
    <xf numFmtId="40" fontId="22" fillId="5" borderId="7" xfId="0" applyNumberFormat="1" applyFont="1" applyFill="1" applyBorder="1" applyAlignment="1" applyProtection="1">
      <alignment horizontal="left" vertical="center" indent="1"/>
      <protection locked="0"/>
    </xf>
    <xf numFmtId="165" fontId="22" fillId="5" borderId="8" xfId="0" applyNumberFormat="1" applyFont="1" applyFill="1" applyBorder="1" applyAlignment="1" applyProtection="1">
      <alignment horizontal="center" vertical="center"/>
      <protection locked="0"/>
    </xf>
    <xf numFmtId="14" fontId="20" fillId="0" borderId="0" xfId="0" applyNumberFormat="1" applyFont="1" applyAlignment="1">
      <alignment horizontal="right"/>
    </xf>
    <xf numFmtId="40" fontId="25" fillId="4" borderId="0" xfId="0" applyNumberFormat="1" applyFont="1" applyFill="1" applyBorder="1" applyAlignment="1">
      <alignment horizontal="right" vertical="center"/>
    </xf>
    <xf numFmtId="40" fontId="19" fillId="0" borderId="0" xfId="0" applyNumberFormat="1" applyFont="1" applyAlignment="1">
      <alignment horizontal="right" vertical="center"/>
    </xf>
    <xf numFmtId="38" fontId="26" fillId="8" borderId="10" xfId="0" applyNumberFormat="1" applyFont="1" applyFill="1" applyBorder="1" applyAlignment="1">
      <alignment horizontal="right" vertical="center"/>
    </xf>
    <xf numFmtId="165" fontId="26" fillId="8" borderId="10" xfId="0" applyNumberFormat="1" applyFont="1" applyFill="1" applyBorder="1" applyAlignment="1">
      <alignment horizontal="center" vertical="center"/>
    </xf>
    <xf numFmtId="40" fontId="27" fillId="4" borderId="0" xfId="0" quotePrefix="1" applyNumberFormat="1" applyFont="1" applyFill="1" applyBorder="1" applyAlignment="1">
      <alignment horizontal="right" vertical="center"/>
    </xf>
    <xf numFmtId="40" fontId="22" fillId="0" borderId="0" xfId="0" applyNumberFormat="1" applyFont="1" applyFill="1" applyBorder="1" applyAlignment="1">
      <alignment horizontal="right" vertical="center"/>
    </xf>
    <xf numFmtId="166" fontId="25" fillId="9" borderId="9" xfId="0" applyNumberFormat="1" applyFont="1" applyFill="1" applyBorder="1" applyAlignment="1">
      <alignment horizontal="right" vertical="center"/>
    </xf>
    <xf numFmtId="40" fontId="25" fillId="9" borderId="9" xfId="0" applyNumberFormat="1" applyFont="1" applyFill="1" applyBorder="1" applyAlignment="1">
      <alignment horizontal="right" vertical="center"/>
    </xf>
    <xf numFmtId="40" fontId="25" fillId="9" borderId="9" xfId="0" applyNumberFormat="1" applyFont="1" applyFill="1" applyBorder="1" applyAlignment="1">
      <alignment horizontal="left" vertical="center"/>
    </xf>
    <xf numFmtId="165" fontId="25" fillId="9" borderId="9" xfId="0" applyNumberFormat="1" applyFont="1" applyFill="1" applyBorder="1" applyAlignment="1">
      <alignment horizontal="center" vertical="center"/>
    </xf>
    <xf numFmtId="40" fontId="22" fillId="0" borderId="2" xfId="0" applyNumberFormat="1" applyFont="1" applyBorder="1" applyAlignment="1">
      <alignment horizontal="right" vertical="center"/>
    </xf>
    <xf numFmtId="40" fontId="22" fillId="10" borderId="19" xfId="0" applyNumberFormat="1" applyFont="1" applyFill="1" applyBorder="1" applyAlignment="1" applyProtection="1">
      <alignment horizontal="right" vertical="center"/>
      <protection locked="0"/>
    </xf>
    <xf numFmtId="165" fontId="22" fillId="10" borderId="21" xfId="0" applyNumberFormat="1" applyFont="1" applyFill="1" applyBorder="1" applyAlignment="1" applyProtection="1">
      <alignment horizontal="center" vertical="center"/>
      <protection locked="0"/>
    </xf>
    <xf numFmtId="165" fontId="22" fillId="10" borderId="22" xfId="0" applyNumberFormat="1" applyFont="1" applyFill="1" applyBorder="1" applyAlignment="1" applyProtection="1">
      <alignment horizontal="center" vertical="center"/>
      <protection locked="0"/>
    </xf>
    <xf numFmtId="40" fontId="22" fillId="0" borderId="23" xfId="0" applyNumberFormat="1" applyFont="1" applyFill="1" applyBorder="1" applyAlignment="1">
      <alignment horizontal="right" vertical="center"/>
    </xf>
    <xf numFmtId="166" fontId="22" fillId="10" borderId="19" xfId="0" applyNumberFormat="1" applyFont="1" applyFill="1" applyBorder="1" applyAlignment="1" applyProtection="1">
      <alignment horizontal="right" vertical="center"/>
      <protection locked="0"/>
    </xf>
    <xf numFmtId="40" fontId="30" fillId="11" borderId="24" xfId="0" applyNumberFormat="1" applyFont="1" applyFill="1" applyBorder="1" applyAlignment="1">
      <alignment horizontal="right" vertical="center"/>
    </xf>
    <xf numFmtId="40" fontId="30" fillId="11" borderId="16" xfId="0" applyNumberFormat="1" applyFont="1" applyFill="1" applyBorder="1" applyAlignment="1">
      <alignment horizontal="right" vertical="center"/>
    </xf>
    <xf numFmtId="40" fontId="17" fillId="0" borderId="0" xfId="0" applyNumberFormat="1" applyFont="1" applyFill="1" applyAlignment="1">
      <alignment horizontal="center"/>
    </xf>
    <xf numFmtId="3" fontId="24" fillId="12" borderId="25" xfId="0" applyNumberFormat="1" applyFont="1" applyFill="1" applyBorder="1" applyAlignment="1">
      <alignment horizontal="center" vertical="center"/>
    </xf>
    <xf numFmtId="40" fontId="24" fillId="0" borderId="0" xfId="0" applyNumberFormat="1" applyFont="1" applyFill="1" applyBorder="1" applyAlignment="1">
      <alignment horizontal="center" vertical="center"/>
    </xf>
    <xf numFmtId="40" fontId="17" fillId="0" borderId="0" xfId="0" applyNumberFormat="1" applyFont="1" applyAlignment="1">
      <alignment horizontal="center"/>
    </xf>
    <xf numFmtId="3" fontId="24" fillId="12" borderId="26" xfId="0" applyNumberFormat="1" applyFont="1" applyFill="1" applyBorder="1" applyAlignment="1">
      <alignment horizontal="center" vertical="center"/>
    </xf>
    <xf numFmtId="40" fontId="24" fillId="4" borderId="0" xfId="0" applyNumberFormat="1" applyFont="1" applyFill="1" applyBorder="1" applyAlignment="1">
      <alignment horizontal="center" vertical="center"/>
    </xf>
    <xf numFmtId="3" fontId="28" fillId="8" borderId="28" xfId="0" applyNumberFormat="1" applyFont="1" applyFill="1" applyBorder="1" applyAlignment="1">
      <alignment horizontal="center" vertical="center"/>
    </xf>
    <xf numFmtId="40" fontId="19" fillId="0" borderId="0" xfId="0" applyNumberFormat="1" applyFont="1" applyAlignment="1">
      <alignment horizontal="center" vertical="center"/>
    </xf>
    <xf numFmtId="40" fontId="30" fillId="11" borderId="0" xfId="0" applyNumberFormat="1" applyFont="1" applyFill="1" applyBorder="1" applyAlignment="1">
      <alignment horizontal="center" vertical="center"/>
    </xf>
    <xf numFmtId="40" fontId="30" fillId="11" borderId="16" xfId="0" applyNumberFormat="1" applyFont="1" applyFill="1" applyBorder="1" applyAlignment="1">
      <alignment horizontal="center" vertical="center"/>
    </xf>
    <xf numFmtId="167" fontId="31" fillId="8" borderId="29" xfId="0" applyNumberFormat="1" applyFont="1" applyFill="1" applyBorder="1" applyAlignment="1">
      <alignment horizontal="center" vertical="center"/>
    </xf>
    <xf numFmtId="168" fontId="32" fillId="12" borderId="25" xfId="0" applyNumberFormat="1" applyFont="1" applyFill="1" applyBorder="1" applyAlignment="1">
      <alignment horizontal="center" vertical="center"/>
    </xf>
    <xf numFmtId="169" fontId="32" fillId="12" borderId="25" xfId="0" applyNumberFormat="1" applyFont="1" applyFill="1" applyBorder="1" applyAlignment="1">
      <alignment horizontal="center" vertical="center"/>
    </xf>
    <xf numFmtId="170" fontId="32" fillId="12" borderId="25" xfId="0" applyNumberFormat="1" applyFont="1" applyFill="1" applyBorder="1" applyAlignment="1">
      <alignment horizontal="center" vertical="center"/>
    </xf>
    <xf numFmtId="40" fontId="30" fillId="4" borderId="0" xfId="0" quotePrefix="1" applyNumberFormat="1" applyFont="1" applyFill="1" applyBorder="1" applyAlignment="1">
      <alignment horizontal="center" vertical="center"/>
    </xf>
    <xf numFmtId="171" fontId="34" fillId="8" borderId="30" xfId="0" applyNumberFormat="1" applyFont="1" applyFill="1" applyBorder="1" applyAlignment="1">
      <alignment horizontal="center" vertical="center"/>
    </xf>
    <xf numFmtId="171" fontId="27" fillId="12" borderId="25" xfId="0" applyNumberFormat="1" applyFont="1" applyFill="1" applyBorder="1" applyAlignment="1">
      <alignment horizontal="center" vertical="center"/>
    </xf>
    <xf numFmtId="40" fontId="27" fillId="4" borderId="0" xfId="0" quotePrefix="1" applyNumberFormat="1" applyFont="1" applyFill="1" applyBorder="1" applyAlignment="1">
      <alignment horizontal="center" vertical="center"/>
    </xf>
    <xf numFmtId="40" fontId="35" fillId="0" borderId="2" xfId="1" applyNumberFormat="1" applyFont="1" applyFill="1" applyBorder="1" applyAlignment="1">
      <alignment horizontal="center" vertical="center"/>
    </xf>
    <xf numFmtId="40" fontId="28" fillId="8" borderId="31" xfId="0" applyNumberFormat="1" applyFont="1" applyFill="1" applyBorder="1" applyAlignment="1">
      <alignment horizontal="center" vertical="center"/>
    </xf>
    <xf numFmtId="40" fontId="28" fillId="8" borderId="25" xfId="0" applyNumberFormat="1" applyFont="1" applyFill="1" applyBorder="1" applyAlignment="1">
      <alignment horizontal="center" vertical="center"/>
    </xf>
    <xf numFmtId="40" fontId="35" fillId="0" borderId="32" xfId="1" applyNumberFormat="1" applyFont="1" applyFill="1" applyBorder="1" applyAlignment="1">
      <alignment horizontal="center" vertical="center"/>
    </xf>
    <xf numFmtId="38" fontId="37" fillId="13" borderId="33" xfId="1" applyNumberFormat="1" applyFont="1" applyFill="1" applyBorder="1" applyAlignment="1" applyProtection="1">
      <alignment horizontal="center" vertical="center"/>
      <protection locked="0"/>
    </xf>
    <xf numFmtId="40" fontId="30" fillId="11" borderId="24" xfId="0" applyNumberFormat="1" applyFont="1" applyFill="1" applyBorder="1" applyAlignment="1">
      <alignment horizontal="center" vertical="center"/>
    </xf>
    <xf numFmtId="40" fontId="30" fillId="11" borderId="17" xfId="0" applyNumberFormat="1" applyFont="1" applyFill="1" applyBorder="1" applyAlignment="1">
      <alignment horizontal="center" vertical="center"/>
    </xf>
    <xf numFmtId="172" fontId="38" fillId="12" borderId="9" xfId="0" applyNumberFormat="1" applyFont="1" applyFill="1" applyBorder="1" applyAlignment="1">
      <alignment horizontal="center" vertical="center"/>
    </xf>
    <xf numFmtId="40" fontId="39" fillId="0" borderId="2" xfId="0" applyNumberFormat="1" applyFont="1" applyBorder="1" applyAlignment="1">
      <alignment horizontal="center" vertical="center"/>
    </xf>
    <xf numFmtId="40" fontId="39" fillId="0" borderId="2" xfId="0" applyNumberFormat="1" applyFont="1" applyFill="1" applyBorder="1" applyAlignment="1">
      <alignment horizontal="center" vertical="center"/>
    </xf>
    <xf numFmtId="40" fontId="39" fillId="0" borderId="23" xfId="0" applyNumberFormat="1" applyFont="1" applyFill="1" applyBorder="1" applyAlignment="1">
      <alignment horizontal="center" vertical="center"/>
    </xf>
    <xf numFmtId="40" fontId="19" fillId="0" borderId="0" xfId="0" applyNumberFormat="1" applyFont="1" applyFill="1" applyBorder="1" applyAlignment="1">
      <alignment horizontal="center" vertical="center"/>
    </xf>
    <xf numFmtId="40" fontId="42" fillId="8" borderId="36" xfId="0" applyNumberFormat="1" applyFont="1" applyFill="1" applyBorder="1" applyAlignment="1" applyProtection="1">
      <alignment horizontal="center" vertical="center"/>
      <protection locked="0"/>
    </xf>
    <xf numFmtId="40" fontId="28" fillId="8" borderId="38" xfId="0" applyNumberFormat="1" applyFont="1" applyFill="1" applyBorder="1" applyAlignment="1">
      <alignment horizontal="center" vertical="center"/>
    </xf>
    <xf numFmtId="40" fontId="28" fillId="8" borderId="39" xfId="0" applyNumberFormat="1" applyFont="1" applyFill="1" applyBorder="1" applyAlignment="1">
      <alignment horizontal="center" vertical="center"/>
    </xf>
    <xf numFmtId="164" fontId="28" fillId="8" borderId="14" xfId="0" applyNumberFormat="1" applyFont="1" applyFill="1" applyBorder="1" applyAlignment="1">
      <alignment horizontal="center" vertical="center"/>
    </xf>
    <xf numFmtId="173" fontId="44" fillId="8" borderId="0" xfId="0" applyNumberFormat="1" applyFont="1" applyFill="1" applyBorder="1" applyAlignment="1">
      <alignment horizontal="center" vertical="center"/>
    </xf>
    <xf numFmtId="40" fontId="41" fillId="11" borderId="16" xfId="0" applyNumberFormat="1" applyFont="1" applyFill="1" applyBorder="1" applyAlignment="1">
      <alignment horizontal="center" vertical="center"/>
    </xf>
    <xf numFmtId="164" fontId="43" fillId="8" borderId="50" xfId="0" applyNumberFormat="1" applyFont="1" applyFill="1" applyBorder="1" applyAlignment="1">
      <alignment horizontal="center" vertical="center"/>
    </xf>
    <xf numFmtId="164" fontId="43" fillId="8" borderId="51" xfId="0" applyNumberFormat="1" applyFont="1" applyFill="1" applyBorder="1" applyAlignment="1">
      <alignment horizontal="center" vertical="center"/>
    </xf>
    <xf numFmtId="40" fontId="29" fillId="12" borderId="2" xfId="2" applyNumberFormat="1" applyFont="1" applyFill="1" applyBorder="1" applyAlignment="1">
      <alignment horizontal="right" vertical="center"/>
    </xf>
    <xf numFmtId="40" fontId="41" fillId="11" borderId="52" xfId="0" applyNumberFormat="1" applyFont="1" applyFill="1" applyBorder="1" applyAlignment="1">
      <alignment horizontal="right" vertical="center"/>
    </xf>
    <xf numFmtId="40" fontId="22" fillId="12" borderId="53" xfId="0" applyNumberFormat="1" applyFont="1" applyFill="1" applyBorder="1" applyAlignment="1">
      <alignment horizontal="right" vertical="center"/>
    </xf>
    <xf numFmtId="40" fontId="22" fillId="12" borderId="54" xfId="0" applyNumberFormat="1" applyFont="1" applyFill="1" applyBorder="1" applyAlignment="1">
      <alignment horizontal="right" vertical="center"/>
    </xf>
    <xf numFmtId="40" fontId="19" fillId="12" borderId="55" xfId="0" applyNumberFormat="1" applyFont="1" applyFill="1" applyBorder="1" applyAlignment="1">
      <alignment horizontal="right" vertical="center"/>
    </xf>
    <xf numFmtId="40" fontId="29" fillId="12" borderId="2" xfId="2" applyNumberFormat="1" applyFont="1" applyFill="1" applyBorder="1" applyAlignment="1">
      <alignment horizontal="left" vertical="center"/>
    </xf>
    <xf numFmtId="40" fontId="22" fillId="12" borderId="2" xfId="2" applyNumberFormat="1" applyFont="1" applyFill="1" applyBorder="1" applyAlignment="1">
      <alignment horizontal="center" vertical="center"/>
    </xf>
    <xf numFmtId="40" fontId="27" fillId="4" borderId="0" xfId="0" applyNumberFormat="1" applyFont="1" applyFill="1" applyBorder="1" applyAlignment="1">
      <alignment horizontal="right" vertical="center"/>
    </xf>
    <xf numFmtId="40" fontId="22" fillId="12" borderId="56" xfId="0" applyNumberFormat="1" applyFont="1" applyFill="1" applyBorder="1" applyAlignment="1">
      <alignment horizontal="right" vertical="center"/>
    </xf>
    <xf numFmtId="40" fontId="46" fillId="0" borderId="0" xfId="0" applyNumberFormat="1" applyFont="1" applyAlignment="1">
      <alignment horizontal="right"/>
    </xf>
    <xf numFmtId="40" fontId="28" fillId="14" borderId="0" xfId="0" applyNumberFormat="1" applyFont="1" applyFill="1" applyBorder="1" applyAlignment="1">
      <alignment horizontal="right" vertical="center"/>
    </xf>
    <xf numFmtId="40" fontId="28" fillId="14" borderId="59" xfId="0" quotePrefix="1" applyNumberFormat="1" applyFont="1" applyFill="1" applyBorder="1" applyAlignment="1">
      <alignment horizontal="right" vertical="center"/>
    </xf>
    <xf numFmtId="40" fontId="22" fillId="15" borderId="60" xfId="0" applyNumberFormat="1" applyFont="1" applyFill="1" applyBorder="1" applyAlignment="1">
      <alignment horizontal="right" vertical="center"/>
    </xf>
    <xf numFmtId="40" fontId="28" fillId="8" borderId="35" xfId="0" quotePrefix="1" applyNumberFormat="1" applyFont="1" applyFill="1" applyBorder="1" applyAlignment="1">
      <alignment horizontal="right" vertical="center"/>
    </xf>
    <xf numFmtId="40" fontId="28" fillId="8" borderId="35" xfId="0" quotePrefix="1" applyNumberFormat="1" applyFont="1" applyFill="1" applyBorder="1" applyAlignment="1">
      <alignment horizontal="left" vertical="center"/>
    </xf>
    <xf numFmtId="40" fontId="28" fillId="8" borderId="35" xfId="0" quotePrefix="1" applyNumberFormat="1" applyFont="1" applyFill="1" applyBorder="1" applyAlignment="1">
      <alignment horizontal="center" vertical="center"/>
    </xf>
    <xf numFmtId="40" fontId="0" fillId="0" borderId="0" xfId="0" applyNumberFormat="1" applyAlignment="1"/>
    <xf numFmtId="40" fontId="0" fillId="0" borderId="0" xfId="0" applyNumberFormat="1" applyAlignment="1">
      <alignment horizontal="center"/>
    </xf>
    <xf numFmtId="40" fontId="0" fillId="0" borderId="1" xfId="0" applyNumberFormat="1" applyBorder="1" applyAlignment="1"/>
    <xf numFmtId="165" fontId="0" fillId="0" borderId="1" xfId="0" applyNumberFormat="1" applyBorder="1" applyAlignment="1"/>
    <xf numFmtId="40" fontId="0" fillId="4" borderId="0" xfId="0" applyNumberFormat="1" applyFill="1" applyBorder="1" applyAlignment="1"/>
    <xf numFmtId="40" fontId="17" fillId="0" borderId="0" xfId="0" applyNumberFormat="1" applyFont="1" applyAlignment="1"/>
    <xf numFmtId="40" fontId="17" fillId="0" borderId="0" xfId="0" applyNumberFormat="1" applyFont="1" applyFill="1" applyAlignment="1"/>
    <xf numFmtId="40" fontId="18" fillId="0" borderId="0" xfId="0" applyNumberFormat="1" applyFont="1" applyFill="1" applyAlignment="1"/>
    <xf numFmtId="40" fontId="19" fillId="0" borderId="0" xfId="0" applyNumberFormat="1" applyFont="1" applyFill="1" applyBorder="1" applyAlignment="1">
      <alignment vertical="center"/>
    </xf>
    <xf numFmtId="40" fontId="20" fillId="0" borderId="0" xfId="0" applyNumberFormat="1" applyFont="1" applyAlignment="1"/>
    <xf numFmtId="40" fontId="21" fillId="0" borderId="0" xfId="0" applyNumberFormat="1" applyFont="1" applyAlignment="1"/>
    <xf numFmtId="40" fontId="22" fillId="0" borderId="2" xfId="0" applyNumberFormat="1" applyFont="1" applyFill="1" applyBorder="1" applyAlignment="1">
      <alignment vertical="center"/>
    </xf>
    <xf numFmtId="40" fontId="22" fillId="0" borderId="1" xfId="0" applyNumberFormat="1" applyFont="1" applyBorder="1" applyAlignment="1" applyProtection="1">
      <alignment horizontal="right" vertical="center" indent="1"/>
      <protection locked="0"/>
    </xf>
    <xf numFmtId="165" fontId="22" fillId="0" borderId="0" xfId="0" applyNumberFormat="1" applyFont="1" applyAlignment="1" applyProtection="1">
      <alignment vertical="center"/>
      <protection locked="0"/>
    </xf>
    <xf numFmtId="40" fontId="18" fillId="0" borderId="0" xfId="0" applyNumberFormat="1" applyFont="1" applyAlignment="1"/>
    <xf numFmtId="40" fontId="29" fillId="0" borderId="2" xfId="0" applyNumberFormat="1" applyFont="1" applyFill="1" applyBorder="1" applyAlignment="1">
      <alignment vertical="center"/>
    </xf>
    <xf numFmtId="40" fontId="18" fillId="0" borderId="0" xfId="0" applyNumberFormat="1" applyFont="1" applyAlignment="1">
      <alignment horizontal="center"/>
    </xf>
    <xf numFmtId="166" fontId="23" fillId="13" borderId="61" xfId="0" applyNumberFormat="1" applyFont="1" applyFill="1" applyBorder="1" applyAlignment="1">
      <alignment horizontal="right" vertical="center"/>
    </xf>
    <xf numFmtId="40" fontId="23" fillId="4" borderId="0" xfId="0" applyNumberFormat="1" applyFont="1" applyFill="1" applyBorder="1" applyAlignment="1">
      <alignment horizontal="left" vertical="center"/>
    </xf>
    <xf numFmtId="166" fontId="23" fillId="13" borderId="9" xfId="0" applyNumberFormat="1" applyFont="1" applyFill="1" applyBorder="1" applyAlignment="1">
      <alignment horizontal="right" vertical="center"/>
    </xf>
    <xf numFmtId="40" fontId="29" fillId="0" borderId="0" xfId="0" applyNumberFormat="1" applyFont="1" applyFill="1" applyBorder="1" applyAlignment="1">
      <alignment vertical="center"/>
    </xf>
    <xf numFmtId="40" fontId="29" fillId="0" borderId="0" xfId="0" applyNumberFormat="1" applyFont="1" applyFill="1" applyBorder="1" applyAlignment="1">
      <alignment horizontal="center" vertical="center"/>
    </xf>
    <xf numFmtId="40" fontId="23" fillId="13" borderId="9" xfId="0" applyNumberFormat="1" applyFont="1" applyFill="1" applyBorder="1" applyAlignment="1">
      <alignment horizontal="right" vertical="center"/>
    </xf>
    <xf numFmtId="40" fontId="19" fillId="0" borderId="0" xfId="0" applyNumberFormat="1" applyFont="1" applyAlignment="1">
      <alignment vertical="center"/>
    </xf>
    <xf numFmtId="40" fontId="24" fillId="4" borderId="0" xfId="0" applyNumberFormat="1" applyFont="1" applyFill="1" applyBorder="1" applyAlignment="1">
      <alignment horizontal="left" vertical="center"/>
    </xf>
    <xf numFmtId="40" fontId="20" fillId="0" borderId="0" xfId="0" applyNumberFormat="1" applyFont="1" applyAlignment="1">
      <alignment horizontal="center"/>
    </xf>
    <xf numFmtId="38" fontId="25" fillId="9" borderId="9" xfId="0" applyNumberFormat="1" applyFont="1" applyFill="1" applyBorder="1" applyAlignment="1">
      <alignment horizontal="right" vertical="center"/>
    </xf>
    <xf numFmtId="40" fontId="25" fillId="9" borderId="9" xfId="0" applyNumberFormat="1" applyFont="1" applyFill="1" applyBorder="1" applyAlignment="1">
      <alignment vertical="center"/>
    </xf>
    <xf numFmtId="40" fontId="25" fillId="4" borderId="0" xfId="0" applyNumberFormat="1" applyFont="1" applyFill="1" applyBorder="1" applyAlignment="1">
      <alignment horizontal="left" vertical="center"/>
    </xf>
    <xf numFmtId="40" fontId="22" fillId="0" borderId="2" xfId="0" applyNumberFormat="1" applyFont="1" applyBorder="1" applyAlignment="1">
      <alignment vertical="center"/>
    </xf>
    <xf numFmtId="38" fontId="22" fillId="10" borderId="19" xfId="0" applyNumberFormat="1" applyFont="1" applyFill="1" applyBorder="1" applyAlignment="1" applyProtection="1">
      <alignment horizontal="right" vertical="center"/>
      <protection locked="0"/>
    </xf>
    <xf numFmtId="165" fontId="22" fillId="10" borderId="20" xfId="0" applyNumberFormat="1" applyFont="1" applyFill="1" applyBorder="1" applyAlignment="1" applyProtection="1">
      <alignment horizontal="center" vertical="center"/>
      <protection locked="0"/>
    </xf>
    <xf numFmtId="38" fontId="25" fillId="9" borderId="0" xfId="0" applyNumberFormat="1" applyFont="1" applyFill="1" applyBorder="1" applyAlignment="1">
      <alignment horizontal="right" vertical="center"/>
    </xf>
    <xf numFmtId="38" fontId="25" fillId="9" borderId="9" xfId="0" applyNumberFormat="1" applyFont="1" applyFill="1" applyBorder="1" applyAlignment="1">
      <alignment horizontal="left" vertical="center"/>
    </xf>
    <xf numFmtId="40" fontId="23" fillId="13" borderId="61" xfId="0" applyNumberFormat="1" applyFont="1" applyFill="1" applyBorder="1" applyAlignment="1">
      <alignment horizontal="right" vertical="center"/>
    </xf>
    <xf numFmtId="40" fontId="23" fillId="13" borderId="66" xfId="0" applyNumberFormat="1" applyFont="1" applyFill="1" applyBorder="1" applyAlignment="1">
      <alignment horizontal="right" vertical="center"/>
    </xf>
    <xf numFmtId="165" fontId="23" fillId="13" borderId="66" xfId="0" applyNumberFormat="1" applyFont="1" applyFill="1" applyBorder="1" applyAlignment="1">
      <alignment horizontal="center" vertical="center"/>
    </xf>
    <xf numFmtId="40" fontId="22" fillId="0" borderId="0" xfId="0" applyNumberFormat="1" applyFont="1" applyFill="1" applyBorder="1" applyAlignment="1">
      <alignment vertical="center"/>
    </xf>
    <xf numFmtId="40" fontId="22" fillId="0" borderId="0" xfId="0" applyNumberFormat="1" applyFont="1" applyFill="1" applyBorder="1" applyAlignment="1">
      <alignment horizontal="center" vertical="center"/>
    </xf>
    <xf numFmtId="165" fontId="50" fillId="10" borderId="21" xfId="0" applyNumberFormat="1" applyFont="1" applyFill="1" applyBorder="1" applyAlignment="1" applyProtection="1">
      <alignment horizontal="center" vertical="center"/>
      <protection locked="0"/>
    </xf>
    <xf numFmtId="40" fontId="25" fillId="9" borderId="63" xfId="0" applyNumberFormat="1" applyFont="1" applyFill="1" applyBorder="1" applyAlignment="1">
      <alignment vertical="center"/>
    </xf>
    <xf numFmtId="165" fontId="25" fillId="9" borderId="64" xfId="0" applyNumberFormat="1" applyFont="1" applyFill="1" applyBorder="1" applyAlignment="1">
      <alignment horizontal="center" vertical="center"/>
    </xf>
    <xf numFmtId="40" fontId="51" fillId="9" borderId="9" xfId="0" applyNumberFormat="1" applyFont="1" applyFill="1" applyBorder="1" applyAlignment="1">
      <alignment horizontal="right" vertical="center"/>
    </xf>
    <xf numFmtId="40" fontId="51" fillId="9" borderId="9" xfId="0" applyNumberFormat="1" applyFont="1" applyFill="1" applyBorder="1" applyAlignment="1">
      <alignment vertical="center"/>
    </xf>
    <xf numFmtId="165" fontId="51" fillId="9" borderId="9" xfId="0" applyNumberFormat="1" applyFont="1" applyFill="1" applyBorder="1" applyAlignment="1">
      <alignment horizontal="center" vertical="center"/>
    </xf>
    <xf numFmtId="40" fontId="51" fillId="4" borderId="0" xfId="0" applyNumberFormat="1" applyFont="1" applyFill="1" applyBorder="1" applyAlignment="1">
      <alignment horizontal="left" vertical="center"/>
    </xf>
    <xf numFmtId="40" fontId="14" fillId="2" borderId="9" xfId="1" applyNumberFormat="1" applyBorder="1" applyAlignment="1">
      <alignment horizontal="right" vertical="center"/>
    </xf>
    <xf numFmtId="165" fontId="25" fillId="9" borderId="9" xfId="0" applyNumberFormat="1" applyFont="1" applyFill="1" applyBorder="1" applyAlignment="1">
      <alignment horizontal="left" vertical="center"/>
    </xf>
    <xf numFmtId="1" fontId="25" fillId="9" borderId="9" xfId="0" applyNumberFormat="1" applyFont="1" applyFill="1" applyBorder="1" applyAlignment="1">
      <alignment horizontal="center" vertical="center"/>
    </xf>
    <xf numFmtId="40" fontId="22" fillId="0" borderId="2" xfId="0" applyNumberFormat="1" applyFont="1" applyFill="1" applyBorder="1" applyAlignment="1">
      <alignment horizontal="center" vertical="center"/>
    </xf>
    <xf numFmtId="40" fontId="30" fillId="11" borderId="24" xfId="0" applyNumberFormat="1" applyFont="1" applyFill="1" applyBorder="1" applyAlignment="1">
      <alignment vertical="center"/>
    </xf>
    <xf numFmtId="40" fontId="30" fillId="11" borderId="16" xfId="0" applyNumberFormat="1" applyFont="1" applyFill="1" applyBorder="1" applyAlignment="1">
      <alignment vertical="center"/>
    </xf>
    <xf numFmtId="40" fontId="24" fillId="0" borderId="0" xfId="0" applyNumberFormat="1" applyFont="1" applyFill="1" applyBorder="1" applyAlignment="1">
      <alignment horizontal="left" vertical="center"/>
    </xf>
    <xf numFmtId="179" fontId="32" fillId="12" borderId="25" xfId="0" applyNumberFormat="1" applyFont="1" applyFill="1" applyBorder="1" applyAlignment="1">
      <alignment horizontal="center" vertical="center"/>
    </xf>
    <xf numFmtId="180" fontId="32" fillId="12" borderId="25" xfId="0" applyNumberFormat="1" applyFont="1" applyFill="1" applyBorder="1" applyAlignment="1">
      <alignment horizontal="center" vertical="center"/>
    </xf>
    <xf numFmtId="40" fontId="35" fillId="0" borderId="2" xfId="1" applyNumberFormat="1" applyFont="1" applyFill="1" applyBorder="1" applyAlignment="1">
      <alignment vertical="center"/>
    </xf>
    <xf numFmtId="40" fontId="35" fillId="0" borderId="32" xfId="1" applyNumberFormat="1" applyFont="1" applyFill="1" applyBorder="1" applyAlignment="1">
      <alignment horizontal="right" vertical="center"/>
    </xf>
    <xf numFmtId="40" fontId="30" fillId="11" borderId="0" xfId="0" applyNumberFormat="1" applyFont="1" applyFill="1" applyBorder="1" applyAlignment="1">
      <alignment vertical="center"/>
    </xf>
    <xf numFmtId="40" fontId="35" fillId="0" borderId="23" xfId="1" applyNumberFormat="1" applyFont="1" applyFill="1" applyBorder="1" applyAlignment="1">
      <alignment horizontal="right" vertical="center"/>
    </xf>
    <xf numFmtId="40" fontId="39" fillId="0" borderId="2" xfId="0" applyNumberFormat="1" applyFont="1" applyBorder="1" applyAlignment="1">
      <alignment vertical="center"/>
    </xf>
    <xf numFmtId="40" fontId="39" fillId="0" borderId="2" xfId="0" applyNumberFormat="1" applyFont="1" applyFill="1" applyBorder="1" applyAlignment="1">
      <alignment vertical="center"/>
    </xf>
    <xf numFmtId="40" fontId="39" fillId="0" borderId="23" xfId="0" applyNumberFormat="1" applyFont="1" applyFill="1" applyBorder="1" applyAlignment="1">
      <alignment horizontal="right" vertical="center"/>
    </xf>
    <xf numFmtId="172" fontId="36" fillId="12" borderId="9" xfId="0" applyNumberFormat="1" applyFont="1" applyFill="1" applyBorder="1" applyAlignment="1">
      <alignment horizontal="center" vertical="center"/>
    </xf>
    <xf numFmtId="164" fontId="52" fillId="8" borderId="50" xfId="0" applyNumberFormat="1" applyFont="1" applyFill="1" applyBorder="1" applyAlignment="1">
      <alignment horizontal="center" vertical="center"/>
    </xf>
    <xf numFmtId="40" fontId="29" fillId="12" borderId="2" xfId="2" applyNumberFormat="1" applyFont="1" applyFill="1" applyBorder="1" applyAlignment="1">
      <alignment vertical="center"/>
    </xf>
    <xf numFmtId="40" fontId="41" fillId="11" borderId="52" xfId="0" applyNumberFormat="1" applyFont="1" applyFill="1" applyBorder="1" applyAlignment="1">
      <alignment vertical="center"/>
    </xf>
    <xf numFmtId="40" fontId="41" fillId="11" borderId="52" xfId="0" applyNumberFormat="1" applyFont="1" applyFill="1" applyBorder="1" applyAlignment="1">
      <alignment horizontal="center" vertical="center"/>
    </xf>
    <xf numFmtId="40" fontId="22" fillId="12" borderId="2" xfId="2" applyNumberFormat="1" applyFont="1" applyFill="1" applyBorder="1" applyAlignment="1">
      <alignment vertical="center"/>
    </xf>
    <xf numFmtId="40" fontId="27" fillId="4" borderId="0" xfId="0" applyNumberFormat="1" applyFont="1" applyFill="1" applyBorder="1" applyAlignment="1">
      <alignment horizontal="left" vertical="center"/>
    </xf>
    <xf numFmtId="40" fontId="46" fillId="0" borderId="0" xfId="0" applyNumberFormat="1" applyFont="1" applyAlignment="1"/>
    <xf numFmtId="40" fontId="19" fillId="0" borderId="0" xfId="0" applyNumberFormat="1" applyFont="1" applyBorder="1" applyAlignment="1">
      <alignment vertical="center"/>
    </xf>
    <xf numFmtId="40" fontId="22" fillId="0" borderId="0" xfId="0" applyNumberFormat="1" applyFont="1" applyBorder="1" applyAlignment="1">
      <alignment vertical="center"/>
    </xf>
    <xf numFmtId="40" fontId="53" fillId="10" borderId="66" xfId="0" applyNumberFormat="1" applyFont="1" applyFill="1" applyBorder="1" applyAlignment="1">
      <alignment vertical="center"/>
    </xf>
    <xf numFmtId="40" fontId="54" fillId="10" borderId="66" xfId="0" applyNumberFormat="1" applyFont="1" applyFill="1" applyBorder="1" applyAlignment="1">
      <alignment vertical="center"/>
    </xf>
    <xf numFmtId="40" fontId="25" fillId="9" borderId="9" xfId="0" quotePrefix="1" applyNumberFormat="1" applyFont="1" applyFill="1" applyBorder="1" applyAlignment="1">
      <alignment vertical="center"/>
    </xf>
    <xf numFmtId="40" fontId="24" fillId="9" borderId="9" xfId="0" applyNumberFormat="1" applyFont="1" applyFill="1" applyBorder="1" applyAlignment="1">
      <alignment vertical="center"/>
    </xf>
    <xf numFmtId="40" fontId="22" fillId="10" borderId="35" xfId="0" applyNumberFormat="1" applyFont="1" applyFill="1" applyBorder="1" applyAlignment="1" applyProtection="1">
      <alignment horizontal="right" vertical="center"/>
      <protection locked="0"/>
    </xf>
    <xf numFmtId="165" fontId="22" fillId="10" borderId="37" xfId="0" applyNumberFormat="1" applyFont="1" applyFill="1" applyBorder="1" applyAlignment="1" applyProtection="1">
      <alignment horizontal="center" vertical="center"/>
      <protection locked="0"/>
    </xf>
    <xf numFmtId="165" fontId="22" fillId="10" borderId="75" xfId="0" applyNumberFormat="1" applyFont="1" applyFill="1" applyBorder="1" applyAlignment="1" applyProtection="1">
      <alignment horizontal="center" vertical="center"/>
      <protection locked="0"/>
    </xf>
    <xf numFmtId="165" fontId="22" fillId="10" borderId="36" xfId="0" applyNumberFormat="1" applyFont="1" applyFill="1" applyBorder="1" applyAlignment="1" applyProtection="1">
      <alignment horizontal="center" vertical="center"/>
      <protection locked="0"/>
    </xf>
    <xf numFmtId="40" fontId="0" fillId="0" borderId="0" xfId="0" applyNumberFormat="1" applyFill="1" applyBorder="1" applyAlignment="1"/>
    <xf numFmtId="40" fontId="54" fillId="10" borderId="79" xfId="0" applyNumberFormat="1" applyFont="1" applyFill="1" applyBorder="1" applyAlignment="1">
      <alignment vertical="center"/>
    </xf>
    <xf numFmtId="40" fontId="54" fillId="10" borderId="80" xfId="0" applyNumberFormat="1" applyFont="1" applyFill="1" applyBorder="1" applyAlignment="1">
      <alignment vertical="center"/>
    </xf>
    <xf numFmtId="167" fontId="31" fillId="8" borderId="83" xfId="0" applyNumberFormat="1" applyFont="1" applyFill="1" applyBorder="1" applyAlignment="1">
      <alignment horizontal="center" vertical="center"/>
    </xf>
    <xf numFmtId="171" fontId="34" fillId="8" borderId="85" xfId="0" applyNumberFormat="1" applyFont="1" applyFill="1" applyBorder="1" applyAlignment="1">
      <alignment horizontal="center" vertical="center"/>
    </xf>
    <xf numFmtId="40" fontId="28" fillId="8" borderId="87" xfId="0" applyNumberFormat="1" applyFont="1" applyFill="1" applyBorder="1" applyAlignment="1">
      <alignment horizontal="center" vertical="center"/>
    </xf>
    <xf numFmtId="40" fontId="37" fillId="9" borderId="33" xfId="1" applyNumberFormat="1" applyFont="1" applyFill="1" applyBorder="1" applyAlignment="1" applyProtection="1">
      <alignment horizontal="right" vertical="center"/>
      <protection locked="0"/>
    </xf>
    <xf numFmtId="40" fontId="55" fillId="9" borderId="33" xfId="1" applyNumberFormat="1" applyFont="1" applyFill="1" applyBorder="1" applyAlignment="1" applyProtection="1">
      <alignment horizontal="right" vertical="center"/>
      <protection locked="0"/>
    </xf>
    <xf numFmtId="40" fontId="40" fillId="9" borderId="33" xfId="1" applyNumberFormat="1" applyFont="1" applyFill="1" applyBorder="1" applyAlignment="1" applyProtection="1">
      <alignment horizontal="right" vertical="center"/>
      <protection locked="0"/>
    </xf>
    <xf numFmtId="165" fontId="36" fillId="9" borderId="71" xfId="1" applyNumberFormat="1" applyFont="1" applyFill="1" applyBorder="1" applyAlignment="1" applyProtection="1">
      <alignment horizontal="center" vertical="center"/>
      <protection locked="0"/>
    </xf>
    <xf numFmtId="165" fontId="36" fillId="9" borderId="55" xfId="1" applyNumberFormat="1" applyFont="1" applyFill="1" applyBorder="1" applyAlignment="1" applyProtection="1">
      <alignment horizontal="center" vertical="center"/>
      <protection locked="0"/>
    </xf>
    <xf numFmtId="40" fontId="38" fillId="9" borderId="9" xfId="0" applyNumberFormat="1" applyFont="1" applyFill="1" applyBorder="1" applyAlignment="1">
      <alignment vertical="center"/>
    </xf>
    <xf numFmtId="40" fontId="36" fillId="9" borderId="9" xfId="0" applyNumberFormat="1" applyFont="1" applyFill="1" applyBorder="1" applyAlignment="1">
      <alignment vertical="center"/>
    </xf>
    <xf numFmtId="40" fontId="40" fillId="9" borderId="71" xfId="1" applyNumberFormat="1" applyFont="1" applyFill="1" applyBorder="1" applyAlignment="1" applyProtection="1">
      <alignment horizontal="right" vertical="center"/>
      <protection locked="0"/>
    </xf>
    <xf numFmtId="40" fontId="40" fillId="9" borderId="55" xfId="1" applyNumberFormat="1" applyFont="1" applyFill="1" applyBorder="1" applyAlignment="1" applyProtection="1">
      <alignment horizontal="center" vertical="center"/>
      <protection locked="0"/>
    </xf>
    <xf numFmtId="40" fontId="19" fillId="8" borderId="0" xfId="0" applyNumberFormat="1" applyFont="1" applyFill="1" applyAlignment="1">
      <alignment horizontal="center" vertical="center"/>
    </xf>
    <xf numFmtId="40" fontId="22" fillId="15" borderId="93" xfId="0" quotePrefix="1" applyNumberFormat="1" applyFont="1" applyFill="1" applyBorder="1" applyAlignment="1">
      <alignment horizontal="center" vertical="center"/>
    </xf>
    <xf numFmtId="40" fontId="22" fillId="15" borderId="94" xfId="0" quotePrefix="1" applyNumberFormat="1" applyFont="1" applyFill="1" applyBorder="1" applyAlignment="1">
      <alignment horizontal="center" vertical="center"/>
    </xf>
    <xf numFmtId="40" fontId="22" fillId="15" borderId="95" xfId="0" quotePrefix="1" applyNumberFormat="1" applyFont="1" applyFill="1" applyBorder="1" applyAlignment="1">
      <alignment horizontal="center" vertical="center"/>
    </xf>
    <xf numFmtId="40" fontId="22" fillId="15" borderId="96" xfId="0" quotePrefix="1" applyNumberFormat="1" applyFont="1" applyFill="1" applyBorder="1" applyAlignment="1">
      <alignment horizontal="right" vertical="center"/>
    </xf>
    <xf numFmtId="40" fontId="36" fillId="15" borderId="42" xfId="0" applyNumberFormat="1" applyFont="1" applyFill="1" applyBorder="1" applyAlignment="1">
      <alignment vertical="center"/>
    </xf>
    <xf numFmtId="165" fontId="36" fillId="15" borderId="42" xfId="0" applyNumberFormat="1" applyFont="1" applyFill="1" applyBorder="1" applyAlignment="1">
      <alignment horizontal="center" vertical="center"/>
    </xf>
    <xf numFmtId="40" fontId="19" fillId="12" borderId="23" xfId="0" applyNumberFormat="1" applyFont="1" applyFill="1" applyBorder="1" applyAlignment="1">
      <alignment horizontal="right" vertical="center"/>
    </xf>
    <xf numFmtId="166" fontId="57" fillId="12" borderId="56" xfId="0" applyNumberFormat="1" applyFont="1" applyFill="1" applyBorder="1" applyAlignment="1">
      <alignment horizontal="center" vertical="center"/>
    </xf>
    <xf numFmtId="40" fontId="19" fillId="12" borderId="0" xfId="0" applyNumberFormat="1" applyFont="1" applyFill="1" applyBorder="1" applyAlignment="1">
      <alignment horizontal="right" vertical="center"/>
    </xf>
    <xf numFmtId="40" fontId="19" fillId="12" borderId="4" xfId="0" applyNumberFormat="1" applyFont="1" applyFill="1" applyBorder="1" applyAlignment="1">
      <alignment horizontal="right" vertical="center"/>
    </xf>
    <xf numFmtId="40" fontId="22" fillId="12" borderId="53" xfId="0" applyNumberFormat="1" applyFont="1" applyFill="1" applyBorder="1" applyAlignment="1">
      <alignment vertical="center"/>
    </xf>
    <xf numFmtId="40" fontId="22" fillId="12" borderId="56" xfId="0" applyNumberFormat="1" applyFont="1" applyFill="1" applyBorder="1" applyAlignment="1">
      <alignment vertical="center"/>
    </xf>
    <xf numFmtId="40" fontId="19" fillId="12" borderId="97" xfId="0" applyNumberFormat="1" applyFont="1" applyFill="1" applyBorder="1" applyAlignment="1">
      <alignment vertical="center"/>
    </xf>
    <xf numFmtId="40" fontId="58" fillId="7" borderId="2" xfId="1" applyNumberFormat="1" applyFont="1" applyFill="1" applyBorder="1" applyAlignment="1">
      <alignment vertical="center"/>
    </xf>
    <xf numFmtId="165" fontId="22" fillId="7" borderId="33" xfId="1" applyNumberFormat="1" applyFont="1" applyFill="1" applyBorder="1" applyAlignment="1">
      <alignment horizontal="left" vertical="center"/>
    </xf>
    <xf numFmtId="40" fontId="19" fillId="12" borderId="32" xfId="0" applyNumberFormat="1" applyFont="1" applyFill="1" applyBorder="1" applyAlignment="1">
      <alignment horizontal="right" vertical="center"/>
    </xf>
    <xf numFmtId="40" fontId="19" fillId="12" borderId="4" xfId="0" applyNumberFormat="1" applyFont="1" applyFill="1" applyBorder="1" applyAlignment="1">
      <alignment vertical="center"/>
    </xf>
    <xf numFmtId="165" fontId="22" fillId="7" borderId="2" xfId="1" quotePrefix="1" applyNumberFormat="1" applyFont="1" applyFill="1" applyBorder="1" applyAlignment="1">
      <alignment horizontal="left" vertical="center"/>
    </xf>
    <xf numFmtId="165" fontId="22" fillId="7" borderId="2" xfId="1" applyNumberFormat="1" applyFont="1" applyFill="1" applyBorder="1" applyAlignment="1">
      <alignment horizontal="left" vertical="center"/>
    </xf>
    <xf numFmtId="40" fontId="19" fillId="12" borderId="52" xfId="0" applyNumberFormat="1" applyFont="1" applyFill="1" applyBorder="1" applyAlignment="1">
      <alignment horizontal="right" vertical="center"/>
    </xf>
    <xf numFmtId="40" fontId="58" fillId="6" borderId="2" xfId="1" applyNumberFormat="1" applyFont="1" applyFill="1" applyBorder="1" applyAlignment="1">
      <alignment vertical="center"/>
    </xf>
    <xf numFmtId="165" fontId="22" fillId="6" borderId="2" xfId="1" applyNumberFormat="1" applyFont="1" applyFill="1" applyBorder="1" applyAlignment="1">
      <alignment horizontal="left" vertical="center"/>
    </xf>
    <xf numFmtId="40" fontId="22" fillId="12" borderId="98" xfId="0" applyNumberFormat="1" applyFont="1" applyFill="1" applyBorder="1" applyAlignment="1">
      <alignment vertical="center"/>
    </xf>
    <xf numFmtId="40" fontId="19" fillId="12" borderId="55" xfId="0" applyNumberFormat="1" applyFont="1" applyFill="1" applyBorder="1" applyAlignment="1">
      <alignment vertical="center"/>
    </xf>
    <xf numFmtId="40" fontId="22" fillId="15" borderId="99" xfId="0" quotePrefix="1" applyNumberFormat="1" applyFont="1" applyFill="1" applyBorder="1" applyAlignment="1">
      <alignment horizontal="center" vertical="center"/>
    </xf>
    <xf numFmtId="40" fontId="22" fillId="15" borderId="100" xfId="0" quotePrefix="1" applyNumberFormat="1" applyFont="1" applyFill="1" applyBorder="1" applyAlignment="1">
      <alignment horizontal="center" vertical="center"/>
    </xf>
    <xf numFmtId="40" fontId="22" fillId="15" borderId="32" xfId="0" quotePrefix="1" applyNumberFormat="1" applyFont="1" applyFill="1" applyBorder="1" applyAlignment="1">
      <alignment horizontal="right" vertical="center"/>
    </xf>
    <xf numFmtId="40" fontId="22" fillId="15" borderId="53" xfId="0" quotePrefix="1" applyNumberFormat="1" applyFont="1" applyFill="1" applyBorder="1" applyAlignment="1">
      <alignment horizontal="right" vertical="center"/>
    </xf>
    <xf numFmtId="40" fontId="22" fillId="15" borderId="60" xfId="0" applyNumberFormat="1" applyFont="1" applyFill="1" applyBorder="1" applyAlignment="1">
      <alignment horizontal="center" vertical="center"/>
    </xf>
    <xf numFmtId="184" fontId="59" fillId="15" borderId="2" xfId="0" applyNumberFormat="1" applyFont="1" applyFill="1" applyBorder="1" applyAlignment="1">
      <alignment horizontal="right" vertical="center"/>
    </xf>
    <xf numFmtId="165" fontId="37" fillId="15" borderId="2" xfId="0" applyNumberFormat="1" applyFont="1" applyFill="1" applyBorder="1" applyAlignment="1">
      <alignment horizontal="center" vertical="center"/>
    </xf>
    <xf numFmtId="40" fontId="22" fillId="4" borderId="0" xfId="0" applyNumberFormat="1" applyFont="1" applyFill="1" applyBorder="1" applyAlignment="1">
      <alignment horizontal="left" vertical="center"/>
    </xf>
    <xf numFmtId="40" fontId="22" fillId="12" borderId="54" xfId="0" applyNumberFormat="1" applyFont="1" applyFill="1" applyBorder="1" applyAlignment="1">
      <alignment vertical="center"/>
    </xf>
    <xf numFmtId="40" fontId="22" fillId="15" borderId="53" xfId="0" quotePrefix="1" applyNumberFormat="1" applyFont="1" applyFill="1" applyBorder="1" applyAlignment="1">
      <alignment horizontal="center" vertical="center"/>
    </xf>
    <xf numFmtId="40" fontId="28" fillId="14" borderId="0" xfId="0" applyNumberFormat="1" applyFont="1" applyFill="1" applyBorder="1" applyAlignment="1">
      <alignment horizontal="center" vertical="center"/>
    </xf>
    <xf numFmtId="40" fontId="28" fillId="14" borderId="59" xfId="0" quotePrefix="1" applyNumberFormat="1" applyFont="1" applyFill="1" applyBorder="1" applyAlignment="1">
      <alignment horizontal="center" vertical="center"/>
    </xf>
    <xf numFmtId="40" fontId="30" fillId="15" borderId="0" xfId="0" applyNumberFormat="1" applyFont="1" applyFill="1" applyBorder="1" applyAlignment="1">
      <alignment vertical="center"/>
    </xf>
    <xf numFmtId="40" fontId="30" fillId="15" borderId="75" xfId="0" applyNumberFormat="1" applyFont="1" applyFill="1" applyBorder="1" applyAlignment="1">
      <alignment vertical="center"/>
    </xf>
    <xf numFmtId="40" fontId="30" fillId="15" borderId="36" xfId="0" applyNumberFormat="1" applyFont="1" applyFill="1" applyBorder="1" applyAlignment="1">
      <alignment vertical="center"/>
    </xf>
    <xf numFmtId="166" fontId="22" fillId="15" borderId="2" xfId="0" applyNumberFormat="1" applyFont="1" applyFill="1" applyBorder="1" applyAlignment="1">
      <alignment horizontal="center" vertical="center"/>
    </xf>
    <xf numFmtId="165" fontId="22" fillId="15" borderId="2" xfId="1" applyNumberFormat="1" applyFont="1" applyFill="1" applyBorder="1" applyAlignment="1">
      <alignment horizontal="left" vertical="center"/>
    </xf>
    <xf numFmtId="40" fontId="22" fillId="5" borderId="7" xfId="0" applyNumberFormat="1" applyFont="1" applyFill="1" applyBorder="1" applyAlignment="1" applyProtection="1">
      <alignment horizontal="right" vertical="center" indent="1"/>
      <protection locked="0"/>
    </xf>
    <xf numFmtId="40" fontId="60" fillId="0" borderId="7" xfId="0" applyNumberFormat="1" applyFont="1" applyFill="1" applyBorder="1" applyAlignment="1" applyProtection="1">
      <alignment horizontal="right" vertical="center" indent="1"/>
      <protection locked="0"/>
    </xf>
    <xf numFmtId="165" fontId="22" fillId="5" borderId="8" xfId="0" applyNumberFormat="1" applyFont="1" applyFill="1" applyBorder="1" applyAlignment="1" applyProtection="1">
      <alignment vertical="center"/>
      <protection locked="0"/>
    </xf>
    <xf numFmtId="14" fontId="20" fillId="0" borderId="0" xfId="0" applyNumberFormat="1" applyFont="1" applyAlignment="1"/>
    <xf numFmtId="40" fontId="60" fillId="0" borderId="102" xfId="0" applyNumberFormat="1" applyFont="1" applyFill="1" applyBorder="1" applyAlignment="1" applyProtection="1">
      <alignment horizontal="right" vertical="center" indent="1"/>
      <protection locked="0"/>
    </xf>
    <xf numFmtId="40" fontId="22" fillId="5" borderId="102" xfId="0" applyNumberFormat="1" applyFont="1" applyFill="1" applyBorder="1" applyAlignment="1" applyProtection="1">
      <alignment horizontal="right" vertical="center" indent="1"/>
      <protection locked="0"/>
    </xf>
    <xf numFmtId="165" fontId="22" fillId="5" borderId="103" xfId="0" applyNumberFormat="1" applyFont="1" applyFill="1" applyBorder="1" applyAlignment="1" applyProtection="1">
      <alignment vertical="center"/>
      <protection locked="0"/>
    </xf>
    <xf numFmtId="40" fontId="22" fillId="5" borderId="5" xfId="0" applyNumberFormat="1" applyFont="1" applyFill="1" applyBorder="1" applyAlignment="1" applyProtection="1">
      <alignment horizontal="right" vertical="center" indent="1"/>
      <protection locked="0"/>
    </xf>
    <xf numFmtId="165" fontId="22" fillId="5" borderId="6" xfId="0" applyNumberFormat="1" applyFont="1" applyFill="1" applyBorder="1" applyAlignment="1" applyProtection="1">
      <alignment vertical="center"/>
      <protection locked="0"/>
    </xf>
    <xf numFmtId="40" fontId="19" fillId="4" borderId="0" xfId="0" applyNumberFormat="1" applyFont="1" applyFill="1" applyBorder="1" applyAlignment="1" applyProtection="1">
      <alignment horizontal="right" vertical="center" indent="1"/>
      <protection locked="0"/>
    </xf>
    <xf numFmtId="40" fontId="25" fillId="16" borderId="9" xfId="0" applyNumberFormat="1" applyFont="1" applyFill="1" applyBorder="1" applyAlignment="1">
      <alignment vertical="center"/>
    </xf>
    <xf numFmtId="40" fontId="51" fillId="16" borderId="9" xfId="0" applyNumberFormat="1" applyFont="1" applyFill="1" applyBorder="1" applyAlignment="1">
      <alignment vertical="center"/>
    </xf>
    <xf numFmtId="165" fontId="25" fillId="16" borderId="9" xfId="0" applyNumberFormat="1" applyFont="1" applyFill="1" applyBorder="1" applyAlignment="1">
      <alignment horizontal="center" vertical="center"/>
    </xf>
    <xf numFmtId="40" fontId="28" fillId="8" borderId="13" xfId="0" quotePrefix="1" applyNumberFormat="1" applyFont="1" applyFill="1" applyBorder="1" applyAlignment="1">
      <alignment horizontal="center" vertical="center"/>
    </xf>
    <xf numFmtId="165" fontId="28" fillId="8" borderId="13" xfId="0" quotePrefix="1" applyNumberFormat="1" applyFont="1" applyFill="1" applyBorder="1" applyAlignment="1">
      <alignment horizontal="center" vertical="center"/>
    </xf>
    <xf numFmtId="40" fontId="22" fillId="10" borderId="2" xfId="0" applyNumberFormat="1" applyFont="1" applyFill="1" applyBorder="1" applyAlignment="1" applyProtection="1">
      <alignment horizontal="right" vertical="center"/>
      <protection locked="0"/>
    </xf>
    <xf numFmtId="40" fontId="28" fillId="8" borderId="89" xfId="0" quotePrefix="1" applyNumberFormat="1" applyFont="1" applyFill="1" applyBorder="1" applyAlignment="1">
      <alignment horizontal="center" vertical="center"/>
    </xf>
    <xf numFmtId="165" fontId="22" fillId="10" borderId="23" xfId="0" applyNumberFormat="1" applyFont="1" applyFill="1" applyBorder="1" applyAlignment="1" applyProtection="1">
      <alignment horizontal="center" vertical="center"/>
      <protection locked="0"/>
    </xf>
    <xf numFmtId="165" fontId="22" fillId="10" borderId="104" xfId="0" applyNumberFormat="1" applyFont="1" applyFill="1" applyBorder="1" applyAlignment="1" applyProtection="1">
      <alignment horizontal="center" vertical="center"/>
      <protection locked="0"/>
    </xf>
    <xf numFmtId="165" fontId="22" fillId="10" borderId="32" xfId="0" applyNumberFormat="1" applyFont="1" applyFill="1" applyBorder="1" applyAlignment="1" applyProtection="1">
      <alignment horizontal="left" vertical="center"/>
      <protection locked="0"/>
    </xf>
    <xf numFmtId="165" fontId="36" fillId="10" borderId="33" xfId="1" quotePrefix="1" applyNumberFormat="1" applyFont="1" applyFill="1" applyBorder="1" applyAlignment="1" applyProtection="1">
      <alignment horizontal="center" vertical="center"/>
      <protection locked="0"/>
    </xf>
    <xf numFmtId="40" fontId="28" fillId="17" borderId="13" xfId="0" quotePrefix="1" applyNumberFormat="1" applyFont="1" applyFill="1" applyBorder="1" applyAlignment="1">
      <alignment horizontal="center" vertical="center"/>
    </xf>
    <xf numFmtId="40" fontId="28" fillId="17" borderId="13" xfId="0" applyNumberFormat="1" applyFont="1" applyFill="1" applyBorder="1" applyAlignment="1">
      <alignment horizontal="center" vertical="center"/>
    </xf>
    <xf numFmtId="165" fontId="28" fillId="17" borderId="13" xfId="0" quotePrefix="1" applyNumberFormat="1" applyFont="1" applyFill="1" applyBorder="1" applyAlignment="1">
      <alignment horizontal="center" vertical="center"/>
    </xf>
    <xf numFmtId="40" fontId="36" fillId="12" borderId="9" xfId="0" applyNumberFormat="1" applyFont="1" applyFill="1" applyBorder="1" applyAlignment="1">
      <alignment vertical="center"/>
    </xf>
    <xf numFmtId="165" fontId="36" fillId="12" borderId="9" xfId="0" applyNumberFormat="1" applyFont="1" applyFill="1" applyBorder="1" applyAlignment="1">
      <alignment horizontal="center" vertical="center"/>
    </xf>
    <xf numFmtId="166" fontId="36" fillId="12" borderId="9" xfId="0" applyNumberFormat="1" applyFont="1" applyFill="1" applyBorder="1" applyAlignment="1">
      <alignment horizontal="center" vertical="center"/>
    </xf>
    <xf numFmtId="40" fontId="61" fillId="12" borderId="9" xfId="0" applyNumberFormat="1" applyFont="1" applyFill="1" applyBorder="1" applyAlignment="1">
      <alignment vertical="center"/>
    </xf>
    <xf numFmtId="40" fontId="62" fillId="12" borderId="9" xfId="0" applyNumberFormat="1" applyFont="1" applyFill="1" applyBorder="1" applyAlignment="1">
      <alignment vertical="center"/>
    </xf>
    <xf numFmtId="40" fontId="63" fillId="12" borderId="9" xfId="0" applyNumberFormat="1" applyFont="1" applyFill="1" applyBorder="1" applyAlignment="1">
      <alignment vertical="center"/>
    </xf>
    <xf numFmtId="40" fontId="38" fillId="12" borderId="9" xfId="0" applyNumberFormat="1" applyFont="1" applyFill="1" applyBorder="1" applyAlignment="1">
      <alignment vertical="center"/>
    </xf>
    <xf numFmtId="40" fontId="28" fillId="8" borderId="13" xfId="0" applyNumberFormat="1" applyFont="1" applyFill="1" applyBorder="1" applyAlignment="1">
      <alignment horizontal="center" vertical="center"/>
    </xf>
    <xf numFmtId="40" fontId="36" fillId="15" borderId="96" xfId="0" applyNumberFormat="1" applyFont="1" applyFill="1" applyBorder="1" applyAlignment="1">
      <alignment vertical="center"/>
    </xf>
    <xf numFmtId="165" fontId="36" fillId="15" borderId="96" xfId="0" applyNumberFormat="1" applyFont="1" applyFill="1" applyBorder="1" applyAlignment="1">
      <alignment horizontal="center" vertical="center"/>
    </xf>
    <xf numFmtId="40" fontId="19" fillId="12" borderId="3" xfId="0" applyNumberFormat="1" applyFont="1" applyFill="1" applyBorder="1" applyAlignment="1">
      <alignment horizontal="right" vertical="center"/>
    </xf>
    <xf numFmtId="166" fontId="22" fillId="12" borderId="56" xfId="0" applyNumberFormat="1" applyFont="1" applyFill="1" applyBorder="1" applyAlignment="1">
      <alignment horizontal="center" vertical="center"/>
    </xf>
    <xf numFmtId="166" fontId="22" fillId="12" borderId="53" xfId="0" applyNumberFormat="1" applyFont="1" applyFill="1" applyBorder="1" applyAlignment="1">
      <alignment horizontal="center" vertical="center"/>
    </xf>
    <xf numFmtId="40" fontId="57" fillId="15" borderId="32" xfId="0" quotePrefix="1" applyNumberFormat="1" applyFont="1" applyFill="1" applyBorder="1" applyAlignment="1">
      <alignment horizontal="right" vertical="center"/>
    </xf>
    <xf numFmtId="40" fontId="57" fillId="15" borderId="53" xfId="0" quotePrefix="1" applyNumberFormat="1" applyFont="1" applyFill="1" applyBorder="1" applyAlignment="1">
      <alignment horizontal="center" vertical="center"/>
    </xf>
    <xf numFmtId="40" fontId="0" fillId="0" borderId="0" xfId="0" applyNumberFormat="1" applyAlignment="1" applyProtection="1">
      <protection locked="0"/>
    </xf>
    <xf numFmtId="40" fontId="0" fillId="0" borderId="1" xfId="0" applyNumberFormat="1" applyBorder="1" applyAlignment="1" applyProtection="1">
      <protection locked="0"/>
    </xf>
    <xf numFmtId="165" fontId="0" fillId="0" borderId="1" xfId="0" applyNumberFormat="1" applyBorder="1" applyAlignment="1" applyProtection="1">
      <protection locked="0"/>
    </xf>
    <xf numFmtId="40" fontId="0" fillId="4" borderId="0" xfId="0" applyNumberFormat="1" applyFill="1" applyBorder="1" applyAlignment="1" applyProtection="1">
      <protection locked="0"/>
    </xf>
    <xf numFmtId="40" fontId="64" fillId="0" borderId="0" xfId="0" applyNumberFormat="1" applyFont="1" applyAlignment="1" applyProtection="1">
      <protection locked="0"/>
    </xf>
    <xf numFmtId="40" fontId="65" fillId="4" borderId="3" xfId="0" applyNumberFormat="1" applyFont="1" applyFill="1" applyBorder="1" applyAlignment="1" applyProtection="1">
      <alignment horizontal="right" vertical="center" indent="1"/>
      <protection locked="0"/>
    </xf>
    <xf numFmtId="40" fontId="65" fillId="0" borderId="107" xfId="0" applyNumberFormat="1" applyFont="1" applyFill="1" applyBorder="1" applyAlignment="1" applyProtection="1">
      <alignment horizontal="right" vertical="center" indent="1"/>
      <protection locked="0"/>
    </xf>
    <xf numFmtId="40" fontId="65" fillId="5" borderId="107" xfId="0" applyNumberFormat="1" applyFont="1" applyFill="1" applyBorder="1" applyAlignment="1" applyProtection="1">
      <alignment horizontal="right" vertical="center" indent="1"/>
      <protection locked="0"/>
    </xf>
    <xf numFmtId="165" fontId="65" fillId="5" borderId="108" xfId="0" applyNumberFormat="1" applyFont="1" applyFill="1" applyBorder="1" applyAlignment="1" applyProtection="1">
      <alignment vertical="center"/>
      <protection locked="0"/>
    </xf>
    <xf numFmtId="40" fontId="65" fillId="0" borderId="7" xfId="0" applyNumberFormat="1" applyFont="1" applyFill="1" applyBorder="1" applyAlignment="1" applyProtection="1">
      <alignment horizontal="right" vertical="center" indent="1"/>
      <protection locked="0"/>
    </xf>
    <xf numFmtId="40" fontId="65" fillId="5" borderId="7" xfId="0" applyNumberFormat="1" applyFont="1" applyFill="1" applyBorder="1" applyAlignment="1" applyProtection="1">
      <alignment horizontal="right" vertical="center" indent="1"/>
      <protection locked="0"/>
    </xf>
    <xf numFmtId="165" fontId="65" fillId="5" borderId="8" xfId="0" applyNumberFormat="1" applyFont="1" applyFill="1" applyBorder="1" applyAlignment="1" applyProtection="1">
      <alignment vertical="center"/>
      <protection locked="0"/>
    </xf>
    <xf numFmtId="40" fontId="19" fillId="0" borderId="0" xfId="0" applyNumberFormat="1" applyFont="1" applyAlignment="1" applyProtection="1">
      <alignment vertical="center"/>
      <protection locked="0"/>
    </xf>
    <xf numFmtId="40" fontId="19" fillId="0" borderId="0" xfId="0" applyNumberFormat="1" applyFont="1" applyFill="1" applyBorder="1" applyAlignment="1" applyProtection="1">
      <alignment vertical="center"/>
      <protection locked="0"/>
    </xf>
    <xf numFmtId="40" fontId="28" fillId="8" borderId="13" xfId="0" quotePrefix="1" applyNumberFormat="1" applyFont="1" applyFill="1" applyBorder="1" applyAlignment="1" applyProtection="1">
      <alignment horizontal="center" vertical="center"/>
      <protection locked="0"/>
    </xf>
    <xf numFmtId="165" fontId="28" fillId="8" borderId="13" xfId="0" quotePrefix="1" applyNumberFormat="1" applyFont="1" applyFill="1" applyBorder="1" applyAlignment="1" applyProtection="1">
      <alignment horizontal="center" vertical="center"/>
      <protection locked="0"/>
    </xf>
    <xf numFmtId="40" fontId="27" fillId="4" borderId="0" xfId="0" quotePrefix="1" applyNumberFormat="1" applyFont="1" applyFill="1" applyBorder="1" applyAlignment="1" applyProtection="1">
      <alignment horizontal="center" vertical="center"/>
      <protection locked="0"/>
    </xf>
    <xf numFmtId="40" fontId="22" fillId="0" borderId="2" xfId="0" applyNumberFormat="1" applyFont="1" applyBorder="1" applyAlignment="1" applyProtection="1">
      <alignment vertical="center"/>
    </xf>
    <xf numFmtId="40" fontId="22" fillId="0" borderId="2" xfId="0" applyNumberFormat="1" applyFont="1" applyFill="1" applyBorder="1" applyAlignment="1" applyProtection="1">
      <alignment vertical="center"/>
    </xf>
    <xf numFmtId="40" fontId="22" fillId="10" borderId="19" xfId="0" applyNumberFormat="1" applyFont="1" applyFill="1" applyBorder="1" applyAlignment="1" applyProtection="1">
      <alignment horizontal="right" vertical="center"/>
    </xf>
    <xf numFmtId="40" fontId="22" fillId="0" borderId="23" xfId="0" applyNumberFormat="1" applyFont="1" applyFill="1" applyBorder="1" applyAlignment="1" applyProtection="1">
      <alignment horizontal="right" vertical="center"/>
    </xf>
    <xf numFmtId="40" fontId="14" fillId="2" borderId="35" xfId="1" applyNumberFormat="1" applyBorder="1" applyAlignment="1" applyProtection="1">
      <alignment horizontal="right" vertical="center"/>
      <protection locked="0"/>
    </xf>
    <xf numFmtId="40" fontId="14" fillId="2" borderId="35" xfId="1" applyNumberFormat="1" applyBorder="1" applyAlignment="1" applyProtection="1">
      <alignment horizontal="left" vertical="center"/>
      <protection locked="0"/>
    </xf>
    <xf numFmtId="165" fontId="14" fillId="2" borderId="35" xfId="1" applyNumberFormat="1" applyBorder="1" applyAlignment="1" applyProtection="1">
      <alignment horizontal="center" vertical="center"/>
      <protection locked="0"/>
    </xf>
    <xf numFmtId="40" fontId="19" fillId="0" borderId="0" xfId="0" applyNumberFormat="1" applyFont="1" applyFill="1" applyAlignment="1" applyProtection="1">
      <alignment horizontal="right" vertical="center"/>
      <protection locked="0"/>
    </xf>
    <xf numFmtId="40" fontId="14" fillId="2" borderId="35" xfId="1" quotePrefix="1" applyNumberFormat="1" applyBorder="1" applyAlignment="1" applyProtection="1">
      <alignment horizontal="left" vertical="center"/>
      <protection locked="0"/>
    </xf>
    <xf numFmtId="40" fontId="22" fillId="0" borderId="2" xfId="0" applyNumberFormat="1" applyFont="1" applyBorder="1" applyAlignment="1" applyProtection="1">
      <alignment vertical="center"/>
      <protection locked="0"/>
    </xf>
    <xf numFmtId="40" fontId="22" fillId="0" borderId="2" xfId="0" applyNumberFormat="1" applyFont="1" applyFill="1" applyBorder="1" applyAlignment="1" applyProtection="1">
      <alignment vertical="center"/>
      <protection locked="0"/>
    </xf>
    <xf numFmtId="40" fontId="22" fillId="0" borderId="23" xfId="0" applyNumberFormat="1" applyFont="1" applyFill="1" applyBorder="1" applyAlignment="1" applyProtection="1">
      <alignment horizontal="right" vertical="center"/>
      <protection locked="0"/>
    </xf>
    <xf numFmtId="40" fontId="20" fillId="0" borderId="0" xfId="0" applyNumberFormat="1" applyFont="1" applyAlignment="1" applyProtection="1">
      <protection locked="0"/>
    </xf>
    <xf numFmtId="40" fontId="25" fillId="18" borderId="9" xfId="0" applyNumberFormat="1" applyFont="1" applyFill="1" applyBorder="1" applyAlignment="1" applyProtection="1">
      <alignment vertical="center"/>
      <protection locked="0"/>
    </xf>
    <xf numFmtId="40" fontId="25" fillId="12" borderId="9" xfId="0" applyNumberFormat="1" applyFont="1" applyFill="1" applyBorder="1" applyAlignment="1" applyProtection="1">
      <alignment vertical="center"/>
      <protection locked="0"/>
    </xf>
    <xf numFmtId="165" fontId="25" fillId="12" borderId="9" xfId="0" applyNumberFormat="1" applyFont="1" applyFill="1" applyBorder="1" applyAlignment="1" applyProtection="1">
      <alignment horizontal="center" vertical="center"/>
      <protection locked="0"/>
    </xf>
    <xf numFmtId="40" fontId="25" fillId="4" borderId="0" xfId="0" applyNumberFormat="1" applyFont="1" applyFill="1" applyBorder="1" applyAlignment="1" applyProtection="1">
      <alignment horizontal="left" vertical="center"/>
      <protection locked="0"/>
    </xf>
    <xf numFmtId="165" fontId="14" fillId="2" borderId="36" xfId="1" applyNumberFormat="1" applyBorder="1" applyAlignment="1" applyProtection="1">
      <alignment horizontal="center" vertical="center"/>
      <protection locked="0"/>
    </xf>
    <xf numFmtId="40" fontId="19" fillId="4" borderId="0" xfId="0" applyNumberFormat="1" applyFont="1" applyFill="1" applyBorder="1" applyAlignment="1" applyProtection="1">
      <alignment vertical="center"/>
      <protection locked="0"/>
    </xf>
    <xf numFmtId="40" fontId="22" fillId="4" borderId="2" xfId="0" applyNumberFormat="1" applyFont="1" applyFill="1" applyBorder="1" applyAlignment="1" applyProtection="1">
      <alignment vertical="center"/>
    </xf>
    <xf numFmtId="40" fontId="22" fillId="10" borderId="2" xfId="0" applyNumberFormat="1" applyFont="1" applyFill="1" applyBorder="1" applyAlignment="1" applyProtection="1">
      <alignment horizontal="right" vertical="center"/>
    </xf>
    <xf numFmtId="40" fontId="14" fillId="2" borderId="0" xfId="1" applyNumberFormat="1" applyAlignment="1" applyProtection="1">
      <alignment vertical="center"/>
      <protection locked="0"/>
    </xf>
    <xf numFmtId="40" fontId="14" fillId="2" borderId="0" xfId="1" applyNumberFormat="1" applyBorder="1" applyAlignment="1" applyProtection="1">
      <alignment vertical="center"/>
      <protection locked="0"/>
    </xf>
    <xf numFmtId="40" fontId="14" fillId="4" borderId="0" xfId="1" applyNumberFormat="1" applyFill="1" applyBorder="1" applyAlignment="1" applyProtection="1">
      <alignment vertical="center"/>
      <protection locked="0"/>
    </xf>
    <xf numFmtId="40" fontId="14" fillId="2" borderId="0" xfId="1" applyNumberFormat="1" applyAlignment="1" applyProtection="1">
      <alignment horizontal="right" vertical="center"/>
      <protection locked="0"/>
    </xf>
    <xf numFmtId="40" fontId="14" fillId="2" borderId="19" xfId="1" applyNumberFormat="1" applyBorder="1" applyAlignment="1" applyProtection="1">
      <alignment horizontal="right" vertical="center"/>
      <protection locked="0"/>
    </xf>
    <xf numFmtId="40" fontId="14" fillId="2" borderId="19" xfId="1" applyNumberFormat="1" applyBorder="1" applyAlignment="1" applyProtection="1">
      <alignment horizontal="left" vertical="center"/>
      <protection locked="0"/>
    </xf>
    <xf numFmtId="165" fontId="14" fillId="2" borderId="19" xfId="1" applyNumberFormat="1" applyBorder="1" applyAlignment="1" applyProtection="1">
      <alignment horizontal="center" vertical="center"/>
      <protection locked="0"/>
    </xf>
    <xf numFmtId="166" fontId="22" fillId="4" borderId="53" xfId="0" applyNumberFormat="1" applyFont="1" applyFill="1" applyBorder="1" applyAlignment="1" applyProtection="1">
      <alignment horizontal="center" vertical="center"/>
      <protection locked="0"/>
    </xf>
    <xf numFmtId="166" fontId="22" fillId="4" borderId="56" xfId="0" applyNumberFormat="1" applyFont="1" applyFill="1" applyBorder="1" applyAlignment="1" applyProtection="1">
      <alignment horizontal="center" vertical="center"/>
      <protection locked="0"/>
    </xf>
    <xf numFmtId="40" fontId="28" fillId="4" borderId="13" xfId="0" quotePrefix="1" applyNumberFormat="1" applyFont="1" applyFill="1" applyBorder="1" applyAlignment="1" applyProtection="1">
      <alignment horizontal="center" vertical="center"/>
      <protection locked="0"/>
    </xf>
    <xf numFmtId="40" fontId="28" fillId="4" borderId="13" xfId="0" applyNumberFormat="1" applyFont="1" applyFill="1" applyBorder="1" applyAlignment="1" applyProtection="1">
      <alignment horizontal="center" vertical="center"/>
      <protection locked="0"/>
    </xf>
    <xf numFmtId="40" fontId="22" fillId="4" borderId="2" xfId="0" applyNumberFormat="1" applyFont="1" applyFill="1" applyBorder="1" applyAlignment="1" applyProtection="1">
      <alignment vertical="center"/>
      <protection locked="0"/>
    </xf>
    <xf numFmtId="40" fontId="57" fillId="4" borderId="32" xfId="0" quotePrefix="1" applyNumberFormat="1" applyFont="1" applyFill="1" applyBorder="1" applyAlignment="1" applyProtection="1">
      <alignment horizontal="right" vertical="center"/>
      <protection locked="0"/>
    </xf>
    <xf numFmtId="40" fontId="57" fillId="4" borderId="53" xfId="0" quotePrefix="1" applyNumberFormat="1" applyFont="1" applyFill="1" applyBorder="1" applyAlignment="1" applyProtection="1">
      <alignment horizontal="center" vertical="center"/>
      <protection locked="0"/>
    </xf>
    <xf numFmtId="40" fontId="22" fillId="9" borderId="2" xfId="0" applyNumberFormat="1" applyFont="1" applyFill="1" applyBorder="1" applyAlignment="1" applyProtection="1">
      <alignment horizontal="right" vertical="center"/>
    </xf>
    <xf numFmtId="165" fontId="22" fillId="9" borderId="32" xfId="0" applyNumberFormat="1" applyFont="1" applyFill="1" applyBorder="1" applyAlignment="1" applyProtection="1">
      <alignment horizontal="left" vertical="center"/>
      <protection locked="0"/>
    </xf>
    <xf numFmtId="165" fontId="36" fillId="9" borderId="33" xfId="1" applyNumberFormat="1" applyFont="1" applyFill="1" applyBorder="1" applyAlignment="1" applyProtection="1">
      <alignment horizontal="left" vertical="center"/>
      <protection locked="0"/>
    </xf>
    <xf numFmtId="40" fontId="19" fillId="0" borderId="0" xfId="0" applyNumberFormat="1" applyFont="1" applyAlignment="1" applyProtection="1">
      <alignment vertical="center"/>
    </xf>
    <xf numFmtId="40" fontId="19" fillId="0" borderId="0" xfId="0" applyNumberFormat="1" applyFont="1" applyFill="1" applyBorder="1" applyAlignment="1" applyProtection="1">
      <alignment vertical="center"/>
    </xf>
    <xf numFmtId="40" fontId="19" fillId="4" borderId="0" xfId="0" applyNumberFormat="1" applyFont="1" applyFill="1" applyBorder="1" applyAlignment="1" applyProtection="1">
      <alignment vertical="center"/>
    </xf>
    <xf numFmtId="40" fontId="28" fillId="17" borderId="39" xfId="0" quotePrefix="1" applyNumberFormat="1" applyFont="1" applyFill="1" applyBorder="1" applyAlignment="1" applyProtection="1">
      <alignment horizontal="center" vertical="center"/>
    </xf>
    <xf numFmtId="40" fontId="28" fillId="17" borderId="13" xfId="0" quotePrefix="1" applyNumberFormat="1" applyFont="1" applyFill="1" applyBorder="1" applyAlignment="1" applyProtection="1">
      <alignment horizontal="center" vertical="center"/>
    </xf>
    <xf numFmtId="40" fontId="28" fillId="17" borderId="13" xfId="0" applyNumberFormat="1" applyFont="1" applyFill="1" applyBorder="1" applyAlignment="1" applyProtection="1">
      <alignment horizontal="center" vertical="center"/>
    </xf>
    <xf numFmtId="165" fontId="28" fillId="17" borderId="13" xfId="0" quotePrefix="1" applyNumberFormat="1" applyFont="1" applyFill="1" applyBorder="1" applyAlignment="1" applyProtection="1">
      <alignment horizontal="center" vertical="center"/>
    </xf>
    <xf numFmtId="40" fontId="27" fillId="4" borderId="0" xfId="0" quotePrefix="1" applyNumberFormat="1" applyFont="1" applyFill="1" applyBorder="1" applyAlignment="1" applyProtection="1">
      <alignment horizontal="center" vertical="center"/>
    </xf>
    <xf numFmtId="40" fontId="35" fillId="0" borderId="2" xfId="1" applyNumberFormat="1" applyFont="1" applyFill="1" applyBorder="1" applyAlignment="1" applyProtection="1">
      <alignment vertical="center"/>
      <protection locked="0"/>
    </xf>
    <xf numFmtId="40" fontId="35" fillId="4" borderId="2" xfId="1" applyNumberFormat="1" applyFont="1" applyFill="1" applyBorder="1" applyAlignment="1" applyProtection="1">
      <alignment vertical="center"/>
      <protection locked="0"/>
    </xf>
    <xf numFmtId="184" fontId="38" fillId="12" borderId="13" xfId="0" quotePrefix="1" applyNumberFormat="1" applyFont="1" applyFill="1" applyBorder="1" applyAlignment="1" applyProtection="1">
      <alignment horizontal="right" vertical="center"/>
      <protection locked="0"/>
    </xf>
    <xf numFmtId="184" fontId="36" fillId="12" borderId="13" xfId="0" quotePrefix="1" applyNumberFormat="1" applyFont="1" applyFill="1" applyBorder="1" applyAlignment="1" applyProtection="1">
      <alignment horizontal="right" vertical="center"/>
      <protection locked="0"/>
    </xf>
    <xf numFmtId="184" fontId="36" fillId="12" borderId="13" xfId="0" quotePrefix="1" applyNumberFormat="1" applyFont="1" applyFill="1" applyBorder="1" applyAlignment="1" applyProtection="1">
      <alignment horizontal="center" vertical="center"/>
      <protection locked="0"/>
    </xf>
    <xf numFmtId="184" fontId="40" fillId="12" borderId="33" xfId="1" applyNumberFormat="1" applyFont="1" applyFill="1" applyBorder="1" applyAlignment="1" applyProtection="1">
      <alignment horizontal="right" vertical="center"/>
      <protection locked="0"/>
    </xf>
    <xf numFmtId="165" fontId="36" fillId="12" borderId="33" xfId="1" applyNumberFormat="1" applyFont="1" applyFill="1" applyBorder="1" applyAlignment="1" applyProtection="1">
      <alignment horizontal="center" vertical="center"/>
      <protection locked="0"/>
    </xf>
    <xf numFmtId="40" fontId="35" fillId="0" borderId="23" xfId="1" applyNumberFormat="1" applyFont="1" applyFill="1" applyBorder="1" applyAlignment="1" applyProtection="1">
      <alignment horizontal="right" vertical="center"/>
      <protection locked="0"/>
    </xf>
    <xf numFmtId="40" fontId="39" fillId="0" borderId="2" xfId="0" applyNumberFormat="1" applyFont="1" applyBorder="1" applyAlignment="1" applyProtection="1">
      <alignment vertical="center"/>
      <protection locked="0"/>
    </xf>
    <xf numFmtId="40" fontId="39" fillId="0" borderId="2" xfId="0" applyNumberFormat="1" applyFont="1" applyFill="1" applyBorder="1" applyAlignment="1" applyProtection="1">
      <alignment vertical="center"/>
      <protection locked="0"/>
    </xf>
    <xf numFmtId="40" fontId="39" fillId="4" borderId="2" xfId="0" applyNumberFormat="1" applyFont="1" applyFill="1" applyBorder="1" applyAlignment="1" applyProtection="1">
      <alignment vertical="center"/>
      <protection locked="0"/>
    </xf>
    <xf numFmtId="184" fontId="66" fillId="12" borderId="13" xfId="0" quotePrefix="1" applyNumberFormat="1" applyFont="1" applyFill="1" applyBorder="1" applyAlignment="1" applyProtection="1">
      <alignment horizontal="right" vertical="center"/>
    </xf>
    <xf numFmtId="184" fontId="66" fillId="12" borderId="13" xfId="0" quotePrefix="1" applyNumberFormat="1" applyFont="1" applyFill="1" applyBorder="1" applyAlignment="1" applyProtection="1">
      <alignment horizontal="right" vertical="center"/>
      <protection locked="0"/>
    </xf>
    <xf numFmtId="184" fontId="66" fillId="12" borderId="13" xfId="0" quotePrefix="1" applyNumberFormat="1" applyFont="1" applyFill="1" applyBorder="1" applyAlignment="1" applyProtection="1">
      <alignment horizontal="center" vertical="center"/>
      <protection locked="0"/>
    </xf>
    <xf numFmtId="184" fontId="36" fillId="12" borderId="9" xfId="0" applyNumberFormat="1" applyFont="1" applyFill="1" applyBorder="1" applyAlignment="1" applyProtection="1">
      <alignment vertical="center"/>
      <protection locked="0"/>
    </xf>
    <xf numFmtId="165" fontId="36" fillId="12" borderId="9" xfId="0" applyNumberFormat="1" applyFont="1" applyFill="1" applyBorder="1" applyAlignment="1" applyProtection="1">
      <alignment horizontal="center" vertical="center"/>
      <protection locked="0"/>
    </xf>
    <xf numFmtId="40" fontId="39" fillId="0" borderId="23" xfId="0" applyNumberFormat="1" applyFont="1" applyFill="1" applyBorder="1" applyAlignment="1" applyProtection="1">
      <alignment horizontal="right" vertical="center"/>
      <protection locked="0"/>
    </xf>
    <xf numFmtId="40" fontId="42" fillId="8" borderId="104" xfId="0" applyNumberFormat="1" applyFont="1" applyFill="1" applyBorder="1" applyAlignment="1" applyProtection="1">
      <alignment horizontal="center" vertical="center"/>
    </xf>
    <xf numFmtId="40" fontId="42" fillId="8" borderId="36" xfId="0" applyNumberFormat="1" applyFont="1" applyFill="1" applyBorder="1" applyAlignment="1" applyProtection="1">
      <alignment horizontal="center" vertical="center"/>
    </xf>
    <xf numFmtId="40" fontId="28" fillId="8" borderId="13" xfId="0" quotePrefix="1" applyNumberFormat="1" applyFont="1" applyFill="1" applyBorder="1" applyAlignment="1" applyProtection="1">
      <alignment horizontal="center" vertical="center"/>
    </xf>
    <xf numFmtId="165" fontId="28" fillId="8" borderId="13" xfId="0" quotePrefix="1" applyNumberFormat="1" applyFont="1" applyFill="1" applyBorder="1" applyAlignment="1" applyProtection="1">
      <alignment horizontal="center" vertical="center"/>
    </xf>
    <xf numFmtId="40" fontId="46" fillId="0" borderId="0" xfId="0" applyNumberFormat="1" applyFont="1" applyAlignment="1" applyProtection="1">
      <protection locked="0"/>
    </xf>
    <xf numFmtId="40" fontId="46" fillId="4" borderId="0" xfId="0" applyNumberFormat="1" applyFont="1" applyFill="1" applyAlignment="1" applyProtection="1">
      <protection locked="0"/>
    </xf>
    <xf numFmtId="40" fontId="28" fillId="15" borderId="109" xfId="0" quotePrefix="1" applyNumberFormat="1" applyFont="1" applyFill="1" applyBorder="1" applyAlignment="1" applyProtection="1">
      <alignment horizontal="center" vertical="center"/>
      <protection locked="0"/>
    </xf>
    <xf numFmtId="166" fontId="28" fillId="15" borderId="109" xfId="0" quotePrefix="1" applyNumberFormat="1" applyFont="1" applyFill="1" applyBorder="1" applyAlignment="1" applyProtection="1">
      <alignment horizontal="center" vertical="center"/>
      <protection locked="0"/>
    </xf>
    <xf numFmtId="40" fontId="22" fillId="15" borderId="110" xfId="0" quotePrefix="1" applyNumberFormat="1" applyFont="1" applyFill="1" applyBorder="1" applyAlignment="1" applyProtection="1">
      <alignment horizontal="right" vertical="center"/>
      <protection locked="0"/>
    </xf>
    <xf numFmtId="40" fontId="22" fillId="15" borderId="111" xfId="0" quotePrefix="1" applyNumberFormat="1" applyFont="1" applyFill="1" applyBorder="1" applyAlignment="1" applyProtection="1">
      <alignment horizontal="right" vertical="center"/>
      <protection locked="0"/>
    </xf>
    <xf numFmtId="40" fontId="22" fillId="15" borderId="112" xfId="0" quotePrefix="1" applyNumberFormat="1" applyFont="1" applyFill="1" applyBorder="1" applyAlignment="1" applyProtection="1">
      <alignment horizontal="right" vertical="center"/>
      <protection locked="0"/>
    </xf>
    <xf numFmtId="40" fontId="22" fillId="15" borderId="111" xfId="0" quotePrefix="1" applyNumberFormat="1" applyFont="1" applyFill="1" applyBorder="1" applyAlignment="1" applyProtection="1">
      <alignment horizontal="center" vertical="center"/>
      <protection locked="0"/>
    </xf>
    <xf numFmtId="184" fontId="36" fillId="15" borderId="113" xfId="0" applyNumberFormat="1" applyFont="1" applyFill="1" applyBorder="1" applyAlignment="1" applyProtection="1">
      <alignment vertical="center"/>
      <protection locked="0"/>
    </xf>
    <xf numFmtId="165" fontId="36" fillId="15" borderId="113" xfId="0" applyNumberFormat="1" applyFont="1" applyFill="1" applyBorder="1" applyAlignment="1" applyProtection="1">
      <alignment horizontal="center" vertical="center"/>
      <protection locked="0"/>
    </xf>
    <xf numFmtId="40" fontId="27" fillId="4" borderId="0" xfId="0" applyNumberFormat="1" applyFont="1" applyFill="1" applyBorder="1" applyAlignment="1" applyProtection="1">
      <alignment horizontal="left" vertical="center"/>
      <protection locked="0"/>
    </xf>
    <xf numFmtId="40" fontId="30" fillId="12" borderId="3" xfId="0" applyNumberFormat="1" applyFont="1" applyFill="1" applyBorder="1" applyAlignment="1" applyProtection="1">
      <alignment vertical="center"/>
      <protection locked="0"/>
    </xf>
    <xf numFmtId="166" fontId="30" fillId="12" borderId="3" xfId="0" applyNumberFormat="1" applyFont="1" applyFill="1" applyBorder="1" applyAlignment="1" applyProtection="1">
      <alignment vertical="center"/>
      <protection locked="0"/>
    </xf>
    <xf numFmtId="40" fontId="19" fillId="12" borderId="17" xfId="0" applyNumberFormat="1" applyFont="1" applyFill="1" applyBorder="1" applyAlignment="1" applyProtection="1">
      <alignment vertical="center"/>
      <protection locked="0"/>
    </xf>
    <xf numFmtId="40" fontId="22" fillId="12" borderId="53" xfId="0" applyNumberFormat="1" applyFont="1" applyFill="1" applyBorder="1" applyAlignment="1" applyProtection="1">
      <alignment vertical="center"/>
      <protection locked="0"/>
    </xf>
    <xf numFmtId="40" fontId="22" fillId="12" borderId="17" xfId="0" applyNumberFormat="1" applyFont="1" applyFill="1" applyBorder="1" applyAlignment="1" applyProtection="1">
      <alignment vertical="center"/>
      <protection locked="0"/>
    </xf>
    <xf numFmtId="40" fontId="19" fillId="12" borderId="114" xfId="0" applyNumberFormat="1" applyFont="1" applyFill="1" applyBorder="1" applyAlignment="1" applyProtection="1">
      <alignment vertical="center"/>
      <protection locked="0"/>
    </xf>
    <xf numFmtId="185" fontId="60" fillId="7" borderId="33" xfId="1" applyNumberFormat="1" applyFont="1" applyFill="1" applyBorder="1" applyAlignment="1" applyProtection="1">
      <alignment vertical="center"/>
      <protection locked="0"/>
    </xf>
    <xf numFmtId="185" fontId="22" fillId="7" borderId="33" xfId="1" applyNumberFormat="1" applyFont="1" applyFill="1" applyBorder="1" applyAlignment="1" applyProtection="1">
      <alignment vertical="center"/>
      <protection locked="0"/>
    </xf>
    <xf numFmtId="165" fontId="22" fillId="7" borderId="33" xfId="1" applyNumberFormat="1" applyFont="1" applyFill="1" applyBorder="1" applyAlignment="1" applyProtection="1">
      <alignment horizontal="left" vertical="center"/>
      <protection locked="0"/>
    </xf>
    <xf numFmtId="40" fontId="19" fillId="12" borderId="115" xfId="0" applyNumberFormat="1" applyFont="1" applyFill="1" applyBorder="1" applyAlignment="1" applyProtection="1">
      <alignment vertical="center"/>
      <protection locked="0"/>
    </xf>
    <xf numFmtId="185" fontId="58" fillId="7" borderId="33" xfId="1" applyNumberFormat="1" applyFont="1" applyFill="1" applyBorder="1" applyAlignment="1" applyProtection="1">
      <alignment vertical="center"/>
      <protection locked="0"/>
    </xf>
    <xf numFmtId="40" fontId="19" fillId="12" borderId="63" xfId="0" applyNumberFormat="1" applyFont="1" applyFill="1" applyBorder="1" applyAlignment="1" applyProtection="1">
      <alignment vertical="center"/>
      <protection locked="0"/>
    </xf>
    <xf numFmtId="40" fontId="22" fillId="12" borderId="40" xfId="0" applyNumberFormat="1" applyFont="1" applyFill="1" applyBorder="1" applyAlignment="1" applyProtection="1">
      <alignment vertical="center"/>
      <protection locked="0"/>
    </xf>
    <xf numFmtId="40" fontId="19" fillId="12" borderId="64" xfId="0" applyNumberFormat="1" applyFont="1" applyFill="1" applyBorder="1" applyAlignment="1" applyProtection="1">
      <alignment vertical="center"/>
      <protection locked="0"/>
    </xf>
    <xf numFmtId="185" fontId="58" fillId="7" borderId="2" xfId="2" applyNumberFormat="1" applyFont="1" applyFill="1" applyBorder="1" applyAlignment="1" applyProtection="1">
      <alignment vertical="center"/>
      <protection locked="0"/>
    </xf>
    <xf numFmtId="185" fontId="60" fillId="7" borderId="2" xfId="1" applyNumberFormat="1" applyFont="1" applyFill="1" applyBorder="1" applyAlignment="1" applyProtection="1">
      <alignment vertical="center"/>
      <protection locked="0"/>
    </xf>
    <xf numFmtId="185" fontId="22" fillId="7" borderId="2" xfId="1" applyNumberFormat="1" applyFont="1" applyFill="1" applyBorder="1" applyAlignment="1" applyProtection="1">
      <alignment vertical="center"/>
      <protection locked="0"/>
    </xf>
    <xf numFmtId="165" fontId="22" fillId="7" borderId="2" xfId="1" applyNumberFormat="1" applyFont="1" applyFill="1" applyBorder="1" applyAlignment="1" applyProtection="1">
      <alignment horizontal="left" vertical="center"/>
      <protection locked="0"/>
    </xf>
    <xf numFmtId="40" fontId="22" fillId="12" borderId="41" xfId="0" applyNumberFormat="1" applyFont="1" applyFill="1" applyBorder="1" applyAlignment="1" applyProtection="1">
      <alignment vertical="center"/>
      <protection locked="0"/>
    </xf>
    <xf numFmtId="185" fontId="58" fillId="7" borderId="2" xfId="1" applyNumberFormat="1" applyFont="1" applyFill="1" applyBorder="1" applyAlignment="1" applyProtection="1">
      <alignment vertical="center"/>
      <protection locked="0"/>
    </xf>
    <xf numFmtId="166" fontId="22" fillId="12" borderId="53" xfId="0" applyNumberFormat="1" applyFont="1" applyFill="1" applyBorder="1" applyAlignment="1" applyProtection="1">
      <alignment horizontal="center" vertical="center"/>
      <protection locked="0"/>
    </xf>
    <xf numFmtId="166" fontId="22" fillId="12" borderId="56" xfId="0" applyNumberFormat="1" applyFont="1" applyFill="1" applyBorder="1" applyAlignment="1" applyProtection="1">
      <alignment horizontal="center" vertical="center"/>
      <protection locked="0"/>
    </xf>
    <xf numFmtId="40" fontId="19" fillId="12" borderId="23" xfId="0" applyNumberFormat="1" applyFont="1" applyFill="1" applyBorder="1" applyAlignment="1" applyProtection="1">
      <alignment vertical="center"/>
      <protection locked="0"/>
    </xf>
    <xf numFmtId="40" fontId="22" fillId="12" borderId="56" xfId="0" applyNumberFormat="1" applyFont="1" applyFill="1" applyBorder="1" applyAlignment="1" applyProtection="1">
      <alignment vertical="center"/>
      <protection locked="0"/>
    </xf>
    <xf numFmtId="40" fontId="19" fillId="12" borderId="104" xfId="0" applyNumberFormat="1" applyFont="1" applyFill="1" applyBorder="1" applyAlignment="1" applyProtection="1">
      <alignment vertical="center"/>
      <protection locked="0"/>
    </xf>
    <xf numFmtId="40" fontId="19" fillId="12" borderId="116" xfId="0" applyNumberFormat="1" applyFont="1" applyFill="1" applyBorder="1" applyAlignment="1" applyProtection="1">
      <alignment vertical="center"/>
      <protection locked="0"/>
    </xf>
    <xf numFmtId="40" fontId="19" fillId="12" borderId="117" xfId="0" applyNumberFormat="1" applyFont="1" applyFill="1" applyBorder="1" applyAlignment="1" applyProtection="1">
      <alignment vertical="center"/>
      <protection locked="0"/>
    </xf>
    <xf numFmtId="185" fontId="58" fillId="6" borderId="2" xfId="1" applyNumberFormat="1" applyFont="1" applyFill="1" applyBorder="1" applyAlignment="1" applyProtection="1">
      <alignment vertical="center"/>
      <protection locked="0"/>
    </xf>
    <xf numFmtId="185" fontId="19" fillId="6" borderId="2" xfId="1" applyNumberFormat="1" applyFont="1" applyFill="1" applyBorder="1" applyAlignment="1" applyProtection="1">
      <alignment vertical="center"/>
      <protection locked="0"/>
    </xf>
    <xf numFmtId="185" fontId="22" fillId="6" borderId="2" xfId="1" applyNumberFormat="1" applyFont="1" applyFill="1" applyBorder="1" applyAlignment="1" applyProtection="1">
      <alignment vertical="center"/>
      <protection locked="0"/>
    </xf>
    <xf numFmtId="165" fontId="22" fillId="6" borderId="2" xfId="1" applyNumberFormat="1" applyFont="1" applyFill="1" applyBorder="1" applyAlignment="1" applyProtection="1">
      <alignment horizontal="left" vertical="center"/>
      <protection locked="0"/>
    </xf>
    <xf numFmtId="185" fontId="60" fillId="6" borderId="2" xfId="1" applyNumberFormat="1" applyFont="1" applyFill="1" applyBorder="1" applyAlignment="1" applyProtection="1">
      <alignment vertical="center"/>
      <protection locked="0"/>
    </xf>
    <xf numFmtId="40" fontId="28" fillId="8" borderId="13" xfId="0" applyNumberFormat="1" applyFont="1" applyFill="1" applyBorder="1" applyAlignment="1" applyProtection="1">
      <alignment horizontal="center" vertical="center"/>
      <protection locked="0"/>
    </xf>
    <xf numFmtId="40" fontId="19" fillId="12" borderId="118" xfId="0" applyNumberFormat="1" applyFont="1" applyFill="1" applyBorder="1" applyAlignment="1" applyProtection="1">
      <alignment vertical="center"/>
      <protection locked="0"/>
    </xf>
    <xf numFmtId="40" fontId="19" fillId="12" borderId="119" xfId="0" applyNumberFormat="1" applyFont="1" applyFill="1" applyBorder="1" applyAlignment="1" applyProtection="1">
      <alignment vertical="center"/>
      <protection locked="0"/>
    </xf>
    <xf numFmtId="40" fontId="22" fillId="15" borderId="50" xfId="0" quotePrefix="1" applyNumberFormat="1" applyFont="1" applyFill="1" applyBorder="1" applyAlignment="1" applyProtection="1">
      <alignment horizontal="center" vertical="center"/>
      <protection locked="0"/>
    </xf>
    <xf numFmtId="40" fontId="22" fillId="15" borderId="99" xfId="0" quotePrefix="1" applyNumberFormat="1" applyFont="1" applyFill="1" applyBorder="1" applyAlignment="1" applyProtection="1">
      <alignment horizontal="center" vertical="center"/>
      <protection locked="0"/>
    </xf>
    <xf numFmtId="40" fontId="22" fillId="15" borderId="32" xfId="0" quotePrefix="1" applyNumberFormat="1" applyFont="1" applyFill="1" applyBorder="1" applyAlignment="1" applyProtection="1">
      <alignment horizontal="right" vertical="center"/>
      <protection locked="0"/>
    </xf>
    <xf numFmtId="40" fontId="22" fillId="15" borderId="53" xfId="0" quotePrefix="1" applyNumberFormat="1" applyFont="1" applyFill="1" applyBorder="1" applyAlignment="1" applyProtection="1">
      <alignment horizontal="right" vertical="center"/>
      <protection locked="0"/>
    </xf>
    <xf numFmtId="40" fontId="22" fillId="15" borderId="60" xfId="0" applyNumberFormat="1" applyFont="1" applyFill="1" applyBorder="1" applyAlignment="1" applyProtection="1">
      <alignment horizontal="center" vertical="center"/>
      <protection locked="0"/>
    </xf>
    <xf numFmtId="184" fontId="59" fillId="15" borderId="2" xfId="0" applyNumberFormat="1" applyFont="1" applyFill="1" applyBorder="1" applyAlignment="1" applyProtection="1">
      <alignment horizontal="center" vertical="center"/>
      <protection locked="0"/>
    </xf>
    <xf numFmtId="165" fontId="37" fillId="15" borderId="2" xfId="0" applyNumberFormat="1" applyFont="1" applyFill="1" applyBorder="1" applyAlignment="1" applyProtection="1">
      <alignment horizontal="center" vertical="center"/>
      <protection locked="0"/>
    </xf>
    <xf numFmtId="40" fontId="22" fillId="4" borderId="0" xfId="0" applyNumberFormat="1" applyFont="1" applyFill="1" applyBorder="1" applyAlignment="1" applyProtection="1">
      <alignment horizontal="left" vertical="center"/>
      <protection locked="0"/>
    </xf>
    <xf numFmtId="40" fontId="57" fillId="15" borderId="32" xfId="0" quotePrefix="1" applyNumberFormat="1" applyFont="1" applyFill="1" applyBorder="1" applyAlignment="1" applyProtection="1">
      <alignment horizontal="right" vertical="center"/>
      <protection locked="0"/>
    </xf>
    <xf numFmtId="40" fontId="57" fillId="15" borderId="53" xfId="0" quotePrefix="1" applyNumberFormat="1" applyFont="1" applyFill="1" applyBorder="1" applyAlignment="1" applyProtection="1">
      <alignment horizontal="center" vertical="center"/>
      <protection locked="0"/>
    </xf>
    <xf numFmtId="40" fontId="30" fillId="15" borderId="0" xfId="0" applyNumberFormat="1" applyFont="1" applyFill="1" applyBorder="1" applyAlignment="1" applyProtection="1">
      <alignment vertical="center"/>
      <protection locked="0"/>
    </xf>
    <xf numFmtId="40" fontId="30" fillId="15" borderId="75" xfId="0" applyNumberFormat="1" applyFont="1" applyFill="1" applyBorder="1" applyAlignment="1" applyProtection="1">
      <alignment vertical="center"/>
      <protection locked="0"/>
    </xf>
    <xf numFmtId="40" fontId="30" fillId="15" borderId="36" xfId="0" applyNumberFormat="1" applyFont="1" applyFill="1" applyBorder="1" applyAlignment="1" applyProtection="1">
      <alignment vertical="center"/>
      <protection locked="0"/>
    </xf>
    <xf numFmtId="166" fontId="22" fillId="15" borderId="2" xfId="0" applyNumberFormat="1" applyFont="1" applyFill="1" applyBorder="1" applyAlignment="1" applyProtection="1">
      <alignment horizontal="center" vertical="center"/>
      <protection locked="0"/>
    </xf>
    <xf numFmtId="165" fontId="22" fillId="15" borderId="2" xfId="1" applyNumberFormat="1" applyFont="1" applyFill="1" applyBorder="1" applyAlignment="1" applyProtection="1">
      <alignment horizontal="left" vertical="center"/>
      <protection locked="0"/>
    </xf>
    <xf numFmtId="40" fontId="30" fillId="11" borderId="17" xfId="0" applyNumberFormat="1" applyFont="1" applyFill="1" applyBorder="1" applyAlignment="1" applyProtection="1">
      <alignment vertical="center"/>
      <protection locked="0"/>
    </xf>
    <xf numFmtId="40" fontId="30" fillId="11" borderId="16" xfId="0" applyNumberFormat="1" applyFont="1" applyFill="1" applyBorder="1" applyAlignment="1" applyProtection="1">
      <alignment vertical="center"/>
      <protection locked="0"/>
    </xf>
    <xf numFmtId="185" fontId="30" fillId="11" borderId="16" xfId="0" applyNumberFormat="1" applyFont="1" applyFill="1" applyBorder="1" applyAlignment="1" applyProtection="1">
      <alignment vertical="center"/>
      <protection locked="0"/>
    </xf>
    <xf numFmtId="185" fontId="30" fillId="11" borderId="17" xfId="0" applyNumberFormat="1" applyFont="1" applyFill="1" applyBorder="1" applyAlignment="1" applyProtection="1">
      <alignment vertical="center"/>
      <protection locked="0"/>
    </xf>
    <xf numFmtId="185" fontId="29" fillId="12" borderId="2" xfId="1" applyNumberFormat="1" applyFont="1" applyFill="1" applyBorder="1" applyAlignment="1" applyProtection="1">
      <alignment vertical="center"/>
      <protection locked="0"/>
    </xf>
    <xf numFmtId="185" fontId="22" fillId="12" borderId="2" xfId="1" applyNumberFormat="1" applyFont="1" applyFill="1" applyBorder="1" applyAlignment="1" applyProtection="1">
      <alignment vertical="center"/>
      <protection locked="0"/>
    </xf>
    <xf numFmtId="165" fontId="22" fillId="12" borderId="2" xfId="1" applyNumberFormat="1" applyFont="1" applyFill="1" applyBorder="1" applyAlignment="1" applyProtection="1">
      <alignment horizontal="left" vertical="center"/>
      <protection locked="0"/>
    </xf>
    <xf numFmtId="40" fontId="30" fillId="11" borderId="40" xfId="0" applyNumberFormat="1" applyFont="1" applyFill="1" applyBorder="1" applyAlignment="1" applyProtection="1">
      <alignment vertical="center"/>
      <protection locked="0"/>
    </xf>
    <xf numFmtId="40" fontId="30" fillId="11" borderId="24" xfId="0" applyNumberFormat="1" applyFont="1" applyFill="1" applyBorder="1" applyAlignment="1" applyProtection="1">
      <alignment vertical="center"/>
      <protection locked="0"/>
    </xf>
    <xf numFmtId="185" fontId="30" fillId="11" borderId="24" xfId="0" applyNumberFormat="1" applyFont="1" applyFill="1" applyBorder="1" applyAlignment="1" applyProtection="1">
      <alignment vertical="center"/>
      <protection locked="0"/>
    </xf>
    <xf numFmtId="185" fontId="30" fillId="11" borderId="40" xfId="0" applyNumberFormat="1" applyFont="1" applyFill="1" applyBorder="1" applyAlignment="1" applyProtection="1">
      <alignment vertical="center"/>
      <protection locked="0"/>
    </xf>
    <xf numFmtId="40" fontId="28" fillId="19" borderId="56" xfId="0" quotePrefix="1" applyNumberFormat="1" applyFont="1" applyFill="1" applyBorder="1" applyAlignment="1" applyProtection="1">
      <alignment horizontal="right" vertical="center"/>
      <protection locked="0"/>
    </xf>
    <xf numFmtId="40" fontId="28" fillId="19" borderId="60" xfId="0" quotePrefix="1" applyNumberFormat="1" applyFont="1" applyFill="1" applyBorder="1" applyAlignment="1" applyProtection="1">
      <alignment horizontal="right" vertical="center"/>
      <protection locked="0"/>
    </xf>
    <xf numFmtId="40" fontId="22" fillId="19" borderId="60" xfId="0" quotePrefix="1" applyNumberFormat="1" applyFont="1" applyFill="1" applyBorder="1" applyAlignment="1" applyProtection="1">
      <alignment horizontal="right" vertical="center"/>
      <protection locked="0"/>
    </xf>
    <xf numFmtId="185" fontId="28" fillId="19" borderId="60" xfId="0" quotePrefix="1" applyNumberFormat="1" applyFont="1" applyFill="1" applyBorder="1" applyAlignment="1" applyProtection="1">
      <alignment horizontal="right" vertical="center"/>
      <protection locked="0"/>
    </xf>
    <xf numFmtId="185" fontId="28" fillId="19" borderId="56" xfId="0" quotePrefix="1" applyNumberFormat="1" applyFont="1" applyFill="1" applyBorder="1" applyAlignment="1" applyProtection="1">
      <alignment horizontal="right" vertical="center"/>
      <protection locked="0"/>
    </xf>
    <xf numFmtId="185" fontId="67" fillId="15" borderId="2" xfId="0" applyNumberFormat="1" applyFont="1" applyFill="1" applyBorder="1" applyAlignment="1" applyProtection="1">
      <alignment horizontal="center" vertical="center"/>
      <protection locked="0"/>
    </xf>
    <xf numFmtId="185" fontId="15" fillId="15" borderId="2" xfId="0" applyNumberFormat="1" applyFont="1" applyFill="1" applyBorder="1" applyAlignment="1" applyProtection="1">
      <alignment horizontal="center" vertical="center"/>
      <protection locked="0"/>
    </xf>
    <xf numFmtId="165" fontId="39" fillId="15" borderId="2" xfId="0" applyNumberFormat="1" applyFont="1" applyFill="1" applyBorder="1" applyAlignment="1" applyProtection="1">
      <alignment horizontal="center" vertical="center"/>
      <protection locked="0"/>
    </xf>
    <xf numFmtId="40" fontId="28" fillId="8" borderId="35" xfId="0" quotePrefix="1" applyNumberFormat="1" applyFont="1" applyFill="1" applyBorder="1" applyAlignment="1" applyProtection="1">
      <alignment horizontal="center" vertical="center"/>
      <protection locked="0"/>
    </xf>
    <xf numFmtId="165" fontId="28" fillId="8" borderId="35" xfId="0" quotePrefix="1" applyNumberFormat="1" applyFont="1" applyFill="1" applyBorder="1" applyAlignment="1" applyProtection="1">
      <alignment horizontal="center" vertical="center"/>
      <protection locked="0"/>
    </xf>
    <xf numFmtId="164" fontId="19" fillId="0" borderId="0" xfId="0" applyFont="1" applyAlignment="1" applyProtection="1">
      <alignment vertical="center"/>
      <protection locked="0"/>
    </xf>
    <xf numFmtId="164" fontId="19" fillId="0" borderId="0" xfId="0" applyFont="1" applyFill="1" applyAlignment="1" applyProtection="1">
      <alignment vertical="center"/>
      <protection locked="0"/>
    </xf>
    <xf numFmtId="164" fontId="19" fillId="0" borderId="0" xfId="0" applyFont="1" applyFill="1" applyAlignment="1" applyProtection="1">
      <alignment horizontal="right" vertical="center" indent="1"/>
      <protection locked="0"/>
    </xf>
    <xf numFmtId="4" fontId="19" fillId="0" borderId="0" xfId="0" applyNumberFormat="1" applyFont="1" applyFill="1" applyAlignment="1" applyProtection="1">
      <alignment horizontal="right" vertical="center" indent="1"/>
      <protection locked="0"/>
    </xf>
    <xf numFmtId="4" fontId="19" fillId="0" borderId="0" xfId="0" applyNumberFormat="1" applyFont="1" applyAlignment="1" applyProtection="1">
      <alignment horizontal="right" vertical="center" indent="1"/>
      <protection locked="0"/>
    </xf>
    <xf numFmtId="4" fontId="19" fillId="0" borderId="0" xfId="0" applyNumberFormat="1" applyFont="1" applyAlignment="1" applyProtection="1">
      <alignment vertical="center"/>
      <protection locked="0"/>
    </xf>
    <xf numFmtId="14" fontId="19" fillId="0" borderId="0" xfId="0" applyNumberFormat="1" applyFont="1" applyAlignment="1" applyProtection="1">
      <alignment horizontal="center" vertical="center"/>
      <protection locked="0"/>
    </xf>
    <xf numFmtId="164" fontId="22" fillId="0" borderId="0" xfId="0" applyFont="1" applyAlignment="1" applyProtection="1">
      <alignment vertical="center"/>
      <protection locked="0"/>
    </xf>
    <xf numFmtId="164" fontId="22" fillId="0" borderId="0" xfId="0" applyFont="1" applyFill="1" applyAlignment="1" applyProtection="1">
      <alignment vertical="center"/>
      <protection locked="0"/>
    </xf>
    <xf numFmtId="164" fontId="22" fillId="0" borderId="0" xfId="0" applyFont="1" applyFill="1" applyBorder="1" applyAlignment="1" applyProtection="1">
      <alignment horizontal="right" vertical="center" indent="1"/>
      <protection locked="0"/>
    </xf>
    <xf numFmtId="4" fontId="22" fillId="20" borderId="120" xfId="0" applyNumberFormat="1" applyFont="1" applyFill="1" applyBorder="1" applyAlignment="1" applyProtection="1">
      <alignment horizontal="right" vertical="center" indent="1"/>
      <protection locked="0"/>
    </xf>
    <xf numFmtId="14" fontId="22" fillId="0" borderId="0" xfId="0" applyNumberFormat="1" applyFont="1" applyAlignment="1" applyProtection="1">
      <alignment horizontal="center" vertical="center"/>
      <protection locked="0"/>
    </xf>
    <xf numFmtId="164" fontId="19" fillId="0" borderId="0" xfId="0" applyFont="1" applyFill="1" applyBorder="1" applyAlignment="1" applyProtection="1">
      <alignment horizontal="right" vertical="center" indent="1"/>
      <protection locked="0"/>
    </xf>
    <xf numFmtId="4" fontId="19" fillId="20" borderId="0" xfId="0" applyNumberFormat="1" applyFont="1" applyFill="1" applyBorder="1" applyAlignment="1" applyProtection="1">
      <alignment horizontal="right" vertical="center" indent="1"/>
      <protection locked="0"/>
    </xf>
    <xf numFmtId="4" fontId="19" fillId="20" borderId="120" xfId="0" applyNumberFormat="1" applyFont="1" applyFill="1" applyBorder="1" applyAlignment="1" applyProtection="1">
      <alignment horizontal="right" vertical="center" indent="1"/>
      <protection locked="0"/>
    </xf>
    <xf numFmtId="4" fontId="19" fillId="0" borderId="120" xfId="0" applyNumberFormat="1" applyFont="1" applyBorder="1" applyAlignment="1" applyProtection="1">
      <alignment horizontal="right" vertical="center" indent="1"/>
      <protection locked="0"/>
    </xf>
    <xf numFmtId="4" fontId="22" fillId="20" borderId="121" xfId="0" applyNumberFormat="1" applyFont="1" applyFill="1" applyBorder="1" applyAlignment="1" applyProtection="1">
      <alignment horizontal="right" vertical="center" indent="1"/>
      <protection locked="0"/>
    </xf>
    <xf numFmtId="4" fontId="68" fillId="0" borderId="120" xfId="0" applyNumberFormat="1" applyFont="1" applyBorder="1" applyAlignment="1" applyProtection="1">
      <alignment horizontal="right" vertical="center" indent="1"/>
      <protection locked="0"/>
    </xf>
    <xf numFmtId="4" fontId="19" fillId="0" borderId="120" xfId="0" applyNumberFormat="1" applyFont="1" applyBorder="1" applyAlignment="1" applyProtection="1">
      <alignment vertical="center"/>
      <protection locked="0"/>
    </xf>
    <xf numFmtId="4" fontId="68" fillId="0" borderId="122" xfId="0" applyNumberFormat="1" applyFont="1" applyBorder="1" applyAlignment="1" applyProtection="1">
      <alignment horizontal="right" vertical="center" indent="1"/>
      <protection locked="0"/>
    </xf>
    <xf numFmtId="4" fontId="68" fillId="0" borderId="123" xfId="0" applyNumberFormat="1" applyFont="1" applyBorder="1" applyAlignment="1" applyProtection="1">
      <alignment horizontal="right" vertical="center" indent="1"/>
      <protection locked="0"/>
    </xf>
    <xf numFmtId="4" fontId="19" fillId="0" borderId="8" xfId="0" applyNumberFormat="1" applyFont="1" applyBorder="1" applyAlignment="1" applyProtection="1">
      <alignment horizontal="right" vertical="center" indent="1"/>
      <protection locked="0"/>
    </xf>
    <xf numFmtId="4" fontId="19" fillId="4" borderId="123" xfId="0" applyNumberFormat="1" applyFont="1" applyFill="1" applyBorder="1" applyAlignment="1" applyProtection="1">
      <alignment horizontal="right" vertical="center" indent="1"/>
      <protection locked="0"/>
    </xf>
    <xf numFmtId="4" fontId="19" fillId="4" borderId="123" xfId="0" applyNumberFormat="1" applyFont="1" applyFill="1" applyBorder="1" applyAlignment="1" applyProtection="1">
      <alignment vertical="center"/>
      <protection locked="0"/>
    </xf>
    <xf numFmtId="4" fontId="68" fillId="0" borderId="8" xfId="0" applyNumberFormat="1" applyFont="1" applyBorder="1" applyAlignment="1" applyProtection="1">
      <alignment horizontal="right" vertical="center" indent="1"/>
      <protection locked="0"/>
    </xf>
    <xf numFmtId="4" fontId="19" fillId="4" borderId="8" xfId="0" applyNumberFormat="1" applyFont="1" applyFill="1" applyBorder="1" applyAlignment="1" applyProtection="1">
      <alignment horizontal="right" vertical="center" indent="1"/>
      <protection locked="0"/>
    </xf>
    <xf numFmtId="4" fontId="19" fillId="4" borderId="8" xfId="0" applyNumberFormat="1" applyFont="1" applyFill="1" applyBorder="1" applyAlignment="1" applyProtection="1">
      <alignment vertical="center"/>
      <protection locked="0"/>
    </xf>
    <xf numFmtId="4" fontId="19" fillId="20" borderId="8" xfId="0" applyNumberFormat="1" applyFont="1" applyFill="1" applyBorder="1" applyAlignment="1" applyProtection="1">
      <alignment horizontal="right" vertical="center" indent="1"/>
      <protection locked="0"/>
    </xf>
    <xf numFmtId="4" fontId="19" fillId="0" borderId="8" xfId="0" applyNumberFormat="1" applyFont="1" applyFill="1" applyBorder="1" applyAlignment="1" applyProtection="1">
      <alignment horizontal="right" vertical="center" indent="1"/>
      <protection locked="0"/>
    </xf>
    <xf numFmtId="164" fontId="19" fillId="0" borderId="0" xfId="0" applyFont="1" applyAlignment="1" applyProtection="1">
      <alignment horizontal="center" vertical="center"/>
      <protection locked="0"/>
    </xf>
    <xf numFmtId="164" fontId="19" fillId="0" borderId="0" xfId="0" applyFont="1" applyFill="1" applyAlignment="1" applyProtection="1">
      <alignment horizontal="center" vertical="center"/>
      <protection locked="0"/>
    </xf>
    <xf numFmtId="164" fontId="19" fillId="0" borderId="120" xfId="0" applyFont="1" applyFill="1" applyBorder="1" applyAlignment="1" applyProtection="1">
      <alignment horizontal="center" vertical="center"/>
      <protection locked="0"/>
    </xf>
    <xf numFmtId="164" fontId="26" fillId="21" borderId="120" xfId="0" applyFont="1" applyFill="1" applyBorder="1" applyAlignment="1" applyProtection="1">
      <alignment horizontal="center" vertical="center"/>
      <protection locked="0"/>
    </xf>
    <xf numFmtId="4" fontId="26" fillId="21" borderId="120" xfId="0" applyNumberFormat="1" applyFont="1" applyFill="1" applyBorder="1" applyAlignment="1" applyProtection="1">
      <alignment horizontal="center" vertical="center"/>
      <protection locked="0"/>
    </xf>
    <xf numFmtId="14" fontId="19" fillId="0" borderId="120" xfId="0" applyNumberFormat="1" applyFont="1" applyBorder="1" applyAlignment="1" applyProtection="1">
      <alignment horizontal="center" vertical="center"/>
      <protection locked="0"/>
    </xf>
    <xf numFmtId="164" fontId="19" fillId="4" borderId="123" xfId="0" applyFont="1" applyFill="1" applyBorder="1" applyAlignment="1" applyProtection="1">
      <alignment horizontal="right" vertical="center" indent="1"/>
      <protection locked="0"/>
    </xf>
    <xf numFmtId="4" fontId="19" fillId="20" borderId="123" xfId="0" applyNumberFormat="1" applyFont="1" applyFill="1" applyBorder="1" applyAlignment="1" applyProtection="1">
      <alignment horizontal="right" vertical="center" indent="1"/>
      <protection locked="0"/>
    </xf>
    <xf numFmtId="4" fontId="19" fillId="4" borderId="124" xfId="0" applyNumberFormat="1" applyFont="1" applyFill="1" applyBorder="1" applyAlignment="1" applyProtection="1">
      <alignment horizontal="right" vertical="center" indent="1"/>
      <protection locked="0"/>
    </xf>
    <xf numFmtId="14" fontId="19" fillId="4" borderId="123" xfId="0" applyNumberFormat="1" applyFont="1" applyFill="1" applyBorder="1" applyAlignment="1" applyProtection="1">
      <alignment horizontal="center" vertical="center"/>
      <protection locked="0"/>
    </xf>
    <xf numFmtId="164" fontId="19" fillId="4" borderId="8" xfId="0" applyFont="1" applyFill="1" applyBorder="1" applyAlignment="1" applyProtection="1">
      <alignment horizontal="right" vertical="center" indent="1"/>
      <protection locked="0"/>
    </xf>
    <xf numFmtId="4" fontId="19" fillId="4" borderId="125" xfId="0" applyNumberFormat="1" applyFont="1" applyFill="1" applyBorder="1" applyAlignment="1" applyProtection="1">
      <alignment horizontal="right" vertical="center" indent="1"/>
      <protection locked="0"/>
    </xf>
    <xf numFmtId="14" fontId="19" fillId="4" borderId="8" xfId="0" applyNumberFormat="1" applyFont="1" applyFill="1" applyBorder="1" applyAlignment="1" applyProtection="1">
      <alignment horizontal="center" vertical="center"/>
      <protection locked="0"/>
    </xf>
    <xf numFmtId="164" fontId="19" fillId="4" borderId="0" xfId="0" applyFont="1" applyFill="1" applyAlignment="1" applyProtection="1">
      <alignment vertical="center"/>
      <protection locked="0"/>
    </xf>
    <xf numFmtId="4" fontId="22" fillId="20" borderId="122" xfId="0" applyNumberFormat="1" applyFont="1" applyFill="1" applyBorder="1" applyAlignment="1" applyProtection="1">
      <alignment horizontal="right" vertical="center" indent="1"/>
      <protection locked="0"/>
    </xf>
    <xf numFmtId="4" fontId="22" fillId="22" borderId="122" xfId="0" applyNumberFormat="1" applyFont="1" applyFill="1" applyBorder="1" applyAlignment="1" applyProtection="1">
      <alignment horizontal="right" vertical="center" indent="1"/>
      <protection locked="0"/>
    </xf>
    <xf numFmtId="4" fontId="22" fillId="22" borderId="126" xfId="0" applyNumberFormat="1" applyFont="1" applyFill="1" applyBorder="1" applyAlignment="1" applyProtection="1">
      <alignment horizontal="right" vertical="center" indent="1"/>
      <protection locked="0"/>
    </xf>
    <xf numFmtId="4" fontId="22" fillId="22" borderId="122" xfId="0" applyNumberFormat="1" applyFont="1" applyFill="1" applyBorder="1" applyAlignment="1" applyProtection="1">
      <alignment vertical="center"/>
      <protection locked="0"/>
    </xf>
    <xf numFmtId="14" fontId="22" fillId="22" borderId="122" xfId="0" applyNumberFormat="1" applyFont="1" applyFill="1" applyBorder="1" applyAlignment="1" applyProtection="1">
      <alignment horizontal="center" vertical="center"/>
      <protection locked="0"/>
    </xf>
    <xf numFmtId="4" fontId="19" fillId="5" borderId="8" xfId="0" applyNumberFormat="1" applyFont="1" applyFill="1" applyBorder="1" applyAlignment="1" applyProtection="1">
      <alignment horizontal="right" vertical="center" indent="1"/>
      <protection locked="0"/>
    </xf>
    <xf numFmtId="14" fontId="19" fillId="0" borderId="8" xfId="0" applyNumberFormat="1" applyFont="1" applyFill="1" applyBorder="1" applyAlignment="1" applyProtection="1">
      <alignment horizontal="center" vertical="center"/>
      <protection locked="0"/>
    </xf>
    <xf numFmtId="4" fontId="19" fillId="5" borderId="125" xfId="0" applyNumberFormat="1" applyFont="1" applyFill="1" applyBorder="1" applyAlignment="1" applyProtection="1">
      <alignment horizontal="right" vertical="center" indent="1"/>
      <protection locked="0"/>
    </xf>
    <xf numFmtId="4" fontId="19" fillId="4" borderId="103" xfId="0" applyNumberFormat="1" applyFont="1" applyFill="1" applyBorder="1" applyAlignment="1" applyProtection="1">
      <alignment horizontal="right" vertical="center" indent="1"/>
      <protection locked="0"/>
    </xf>
    <xf numFmtId="4" fontId="19" fillId="4" borderId="127" xfId="0" applyNumberFormat="1" applyFont="1" applyFill="1" applyBorder="1" applyAlignment="1" applyProtection="1">
      <alignment horizontal="right" vertical="center" indent="1"/>
      <protection locked="0"/>
    </xf>
    <xf numFmtId="164" fontId="26" fillId="0" borderId="8" xfId="0" applyFont="1" applyFill="1" applyBorder="1" applyAlignment="1" applyProtection="1">
      <alignment vertical="center"/>
      <protection locked="0"/>
    </xf>
    <xf numFmtId="4" fontId="19" fillId="4" borderId="0" xfId="0" applyNumberFormat="1" applyFont="1" applyFill="1" applyBorder="1" applyAlignment="1" applyProtection="1">
      <alignment horizontal="right" vertical="center" indent="1"/>
      <protection locked="0"/>
    </xf>
    <xf numFmtId="164" fontId="19" fillId="4" borderId="0" xfId="0" applyFont="1" applyFill="1" applyAlignment="1" applyProtection="1">
      <alignment horizontal="center" vertical="center"/>
      <protection locked="0"/>
    </xf>
    <xf numFmtId="4" fontId="19" fillId="4" borderId="121" xfId="0" applyNumberFormat="1" applyFont="1" applyFill="1" applyBorder="1" applyAlignment="1" applyProtection="1">
      <alignment horizontal="right" vertical="center" indent="1"/>
      <protection locked="0"/>
    </xf>
    <xf numFmtId="184" fontId="19" fillId="20" borderId="125" xfId="0" applyNumberFormat="1" applyFont="1" applyFill="1" applyBorder="1" applyAlignment="1" applyProtection="1">
      <alignment horizontal="right" vertical="center" indent="1"/>
      <protection locked="0"/>
    </xf>
    <xf numFmtId="184" fontId="19" fillId="20" borderId="8" xfId="0" applyNumberFormat="1" applyFont="1" applyFill="1" applyBorder="1" applyAlignment="1" applyProtection="1">
      <alignment horizontal="right" vertical="center" indent="1"/>
      <protection locked="0"/>
    </xf>
    <xf numFmtId="14" fontId="19" fillId="20" borderId="8" xfId="0" applyNumberFormat="1" applyFont="1" applyFill="1" applyBorder="1" applyAlignment="1" applyProtection="1">
      <alignment horizontal="left" vertical="center" indent="1"/>
      <protection locked="0"/>
    </xf>
    <xf numFmtId="4" fontId="69" fillId="4" borderId="0" xfId="0" applyNumberFormat="1" applyFont="1" applyFill="1" applyBorder="1" applyAlignment="1" applyProtection="1">
      <alignment horizontal="right" vertical="center" indent="1"/>
      <protection locked="0"/>
    </xf>
    <xf numFmtId="4" fontId="29" fillId="20" borderId="0" xfId="0" applyNumberFormat="1" applyFont="1" applyFill="1" applyAlignment="1" applyProtection="1">
      <alignment horizontal="right" vertical="center" indent="1"/>
      <protection locked="0"/>
    </xf>
    <xf numFmtId="4" fontId="22" fillId="20" borderId="8" xfId="0" applyNumberFormat="1" applyFont="1" applyFill="1" applyBorder="1" applyAlignment="1" applyProtection="1">
      <alignment horizontal="right" vertical="center" indent="1"/>
      <protection locked="0"/>
    </xf>
    <xf numFmtId="4" fontId="29" fillId="4" borderId="0" xfId="0" applyNumberFormat="1" applyFont="1" applyFill="1" applyBorder="1" applyAlignment="1" applyProtection="1">
      <alignment horizontal="right" vertical="center" indent="1"/>
      <protection locked="0"/>
    </xf>
    <xf numFmtId="4" fontId="69" fillId="20" borderId="120" xfId="0" applyNumberFormat="1" applyFont="1" applyFill="1" applyBorder="1" applyAlignment="1" applyProtection="1">
      <alignment horizontal="center" vertical="center"/>
      <protection locked="0"/>
    </xf>
    <xf numFmtId="164" fontId="22" fillId="0" borderId="0" xfId="0" applyFont="1" applyAlignment="1" applyProtection="1">
      <alignment horizontal="center" vertical="center"/>
      <protection locked="0"/>
    </xf>
    <xf numFmtId="164" fontId="22" fillId="0" borderId="0" xfId="0" applyFont="1" applyFill="1" applyAlignment="1" applyProtection="1">
      <alignment horizontal="center" vertical="center"/>
      <protection locked="0"/>
    </xf>
    <xf numFmtId="4" fontId="22" fillId="4" borderId="0" xfId="0" applyNumberFormat="1" applyFont="1" applyFill="1" applyBorder="1" applyAlignment="1" applyProtection="1">
      <alignment horizontal="right" vertical="center" indent="1"/>
      <protection locked="0"/>
    </xf>
    <xf numFmtId="164" fontId="22" fillId="4" borderId="0" xfId="0" applyFont="1" applyFill="1" applyAlignment="1" applyProtection="1">
      <alignment horizontal="center" vertical="center"/>
      <protection locked="0"/>
    </xf>
    <xf numFmtId="4" fontId="69" fillId="4" borderId="0" xfId="0" applyNumberFormat="1" applyFont="1" applyFill="1" applyBorder="1" applyAlignment="1" applyProtection="1">
      <alignment horizontal="center" vertical="center"/>
      <protection locked="0"/>
    </xf>
    <xf numFmtId="4" fontId="69" fillId="20" borderId="121" xfId="0" applyNumberFormat="1" applyFont="1" applyFill="1" applyBorder="1" applyAlignment="1" applyProtection="1">
      <alignment horizontal="right" vertical="center" indent="1"/>
      <protection locked="0"/>
    </xf>
    <xf numFmtId="4" fontId="69" fillId="20" borderId="0" xfId="0" applyNumberFormat="1" applyFont="1" applyFill="1" applyBorder="1" applyAlignment="1" applyProtection="1">
      <alignment horizontal="right" vertical="center" indent="1"/>
      <protection locked="0"/>
    </xf>
    <xf numFmtId="4" fontId="69" fillId="20" borderId="120" xfId="0" applyNumberFormat="1" applyFont="1" applyFill="1" applyBorder="1" applyAlignment="1" applyProtection="1">
      <alignment horizontal="right" vertical="center" indent="1"/>
      <protection locked="0"/>
    </xf>
    <xf numFmtId="4" fontId="29" fillId="4" borderId="0" xfId="0" applyNumberFormat="1" applyFont="1" applyFill="1" applyAlignment="1" applyProtection="1">
      <alignment horizontal="right" vertical="center" indent="1"/>
      <protection locked="0"/>
    </xf>
    <xf numFmtId="4" fontId="69" fillId="22" borderId="0" xfId="0" applyNumberFormat="1" applyFont="1" applyFill="1" applyAlignment="1" applyProtection="1">
      <alignment horizontal="right" vertical="center" indent="1"/>
      <protection locked="0"/>
    </xf>
    <xf numFmtId="184" fontId="22" fillId="20" borderId="125" xfId="0" applyNumberFormat="1" applyFont="1" applyFill="1" applyBorder="1" applyAlignment="1" applyProtection="1">
      <alignment horizontal="right" vertical="center" indent="1"/>
      <protection locked="0"/>
    </xf>
    <xf numFmtId="184" fontId="22" fillId="20" borderId="103" xfId="0" applyNumberFormat="1" applyFont="1" applyFill="1" applyBorder="1" applyAlignment="1" applyProtection="1">
      <alignment horizontal="right" vertical="center" indent="1"/>
      <protection locked="0"/>
    </xf>
    <xf numFmtId="14" fontId="22" fillId="20" borderId="8" xfId="0" applyNumberFormat="1" applyFont="1" applyFill="1" applyBorder="1" applyAlignment="1" applyProtection="1">
      <alignment horizontal="left" vertical="center" indent="1"/>
      <protection locked="0"/>
    </xf>
    <xf numFmtId="4" fontId="22" fillId="22" borderId="84" xfId="0" applyNumberFormat="1" applyFont="1" applyFill="1" applyBorder="1" applyAlignment="1" applyProtection="1">
      <alignment horizontal="right" vertical="center" indent="1"/>
      <protection locked="0"/>
    </xf>
    <xf numFmtId="1" fontId="22" fillId="22" borderId="84" xfId="0" applyNumberFormat="1" applyFont="1" applyFill="1" applyBorder="1" applyAlignment="1" applyProtection="1">
      <alignment horizontal="right" vertical="center" indent="1"/>
      <protection locked="0"/>
    </xf>
    <xf numFmtId="184" fontId="19" fillId="20" borderId="108" xfId="0" applyNumberFormat="1" applyFont="1" applyFill="1" applyBorder="1" applyAlignment="1" applyProtection="1">
      <alignment horizontal="right" vertical="center" indent="1"/>
      <protection locked="0"/>
    </xf>
    <xf numFmtId="4" fontId="22" fillId="20" borderId="84" xfId="0" applyNumberFormat="1" applyFont="1" applyFill="1" applyBorder="1" applyAlignment="1" applyProtection="1">
      <alignment horizontal="right" vertical="center" indent="1"/>
      <protection locked="0"/>
    </xf>
    <xf numFmtId="164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Font="1" applyFill="1" applyBorder="1" applyAlignment="1" applyProtection="1">
      <alignment horizontal="center" vertical="center"/>
      <protection locked="0"/>
    </xf>
    <xf numFmtId="164" fontId="22" fillId="20" borderId="0" xfId="0" applyFont="1" applyFill="1" applyBorder="1" applyAlignment="1" applyProtection="1">
      <alignment horizontal="center" vertical="center"/>
      <protection locked="0"/>
    </xf>
    <xf numFmtId="0" fontId="22" fillId="20" borderId="0" xfId="0" applyNumberFormat="1" applyFont="1" applyFill="1" applyBorder="1" applyAlignment="1" applyProtection="1">
      <alignment horizontal="center" vertical="center"/>
      <protection locked="0"/>
    </xf>
    <xf numFmtId="4" fontId="22" fillId="20" borderId="0" xfId="0" applyNumberFormat="1" applyFont="1" applyFill="1" applyBorder="1" applyAlignment="1" applyProtection="1">
      <alignment horizontal="center" vertical="center"/>
      <protection locked="0"/>
    </xf>
    <xf numFmtId="164" fontId="22" fillId="20" borderId="0" xfId="0" quotePrefix="1" applyFont="1" applyFill="1" applyBorder="1" applyAlignment="1" applyProtection="1">
      <alignment horizontal="center" vertical="center"/>
      <protection locked="0"/>
    </xf>
    <xf numFmtId="4" fontId="22" fillId="20" borderId="128" xfId="0" applyNumberFormat="1" applyFont="1" applyFill="1" applyBorder="1" applyAlignment="1" applyProtection="1">
      <alignment horizontal="center" vertical="center"/>
      <protection locked="0"/>
    </xf>
    <xf numFmtId="14" fontId="22" fillId="20" borderId="0" xfId="0" applyNumberFormat="1" applyFont="1" applyFill="1" applyBorder="1" applyAlignment="1" applyProtection="1">
      <alignment horizontal="center" vertical="center"/>
      <protection locked="0"/>
    </xf>
    <xf numFmtId="184" fontId="19" fillId="0" borderId="0" xfId="0" applyNumberFormat="1" applyFont="1" applyAlignment="1" applyProtection="1">
      <alignment vertical="center"/>
      <protection locked="0"/>
    </xf>
    <xf numFmtId="184" fontId="19" fillId="0" borderId="0" xfId="0" applyNumberFormat="1" applyFont="1" applyFill="1" applyAlignment="1" applyProtection="1">
      <alignment vertical="center"/>
      <protection locked="0"/>
    </xf>
    <xf numFmtId="184" fontId="19" fillId="4" borderId="0" xfId="0" applyNumberFormat="1" applyFont="1" applyFill="1" applyBorder="1" applyAlignment="1" applyProtection="1">
      <alignment horizontal="right" vertical="center" indent="1"/>
      <protection locked="0"/>
    </xf>
    <xf numFmtId="184" fontId="19" fillId="0" borderId="3" xfId="0" applyNumberFormat="1" applyFont="1" applyBorder="1" applyAlignment="1" applyProtection="1">
      <alignment horizontal="right" vertical="center" indent="1"/>
      <protection locked="0"/>
    </xf>
    <xf numFmtId="184" fontId="19" fillId="0" borderId="4" xfId="0" applyNumberFormat="1" applyFont="1" applyBorder="1" applyAlignment="1" applyProtection="1">
      <alignment horizontal="right" vertical="center" indent="1"/>
      <protection locked="0"/>
    </xf>
    <xf numFmtId="184" fontId="19" fillId="0" borderId="1" xfId="0" applyNumberFormat="1" applyFont="1" applyBorder="1" applyAlignment="1" applyProtection="1">
      <alignment horizontal="right" vertical="center" indent="1"/>
      <protection locked="0"/>
    </xf>
    <xf numFmtId="184" fontId="22" fillId="0" borderId="1" xfId="0" applyNumberFormat="1" applyFont="1" applyBorder="1" applyAlignment="1" applyProtection="1">
      <alignment horizontal="right" vertical="center" indent="1"/>
      <protection locked="0"/>
    </xf>
    <xf numFmtId="184" fontId="19" fillId="0" borderId="0" xfId="0" applyNumberFormat="1" applyFont="1" applyAlignment="1" applyProtection="1">
      <alignment horizontal="center" vertical="center"/>
      <protection locked="0"/>
    </xf>
    <xf numFmtId="184" fontId="19" fillId="5" borderId="7" xfId="0" applyNumberFormat="1" applyFont="1" applyFill="1" applyBorder="1" applyAlignment="1" applyProtection="1">
      <alignment horizontal="right" vertical="center" indent="1"/>
      <protection locked="0"/>
    </xf>
    <xf numFmtId="184" fontId="22" fillId="5" borderId="7" xfId="0" applyNumberFormat="1" applyFont="1" applyFill="1" applyBorder="1" applyAlignment="1" applyProtection="1">
      <alignment horizontal="right" vertical="center" indent="1"/>
      <protection locked="0"/>
    </xf>
    <xf numFmtId="184" fontId="22" fillId="5" borderId="8" xfId="0" applyNumberFormat="1" applyFont="1" applyFill="1" applyBorder="1" applyAlignment="1" applyProtection="1">
      <alignment vertical="center"/>
      <protection locked="0"/>
    </xf>
    <xf numFmtId="184" fontId="19" fillId="5" borderId="0" xfId="0" applyNumberFormat="1" applyFont="1" applyFill="1" applyAlignment="1" applyProtection="1">
      <alignment horizontal="center" vertical="center"/>
      <protection locked="0"/>
    </xf>
    <xf numFmtId="184" fontId="22" fillId="20" borderId="7" xfId="0" applyNumberFormat="1" applyFont="1" applyFill="1" applyBorder="1" applyAlignment="1" applyProtection="1">
      <alignment horizontal="right" vertical="center" indent="1"/>
      <protection locked="0"/>
    </xf>
    <xf numFmtId="184" fontId="19" fillId="5" borderId="5" xfId="0" applyNumberFormat="1" applyFont="1" applyFill="1" applyBorder="1" applyAlignment="1" applyProtection="1">
      <alignment horizontal="right" vertical="center" indent="1"/>
      <protection locked="0"/>
    </xf>
    <xf numFmtId="184" fontId="22" fillId="5" borderId="5" xfId="0" applyNumberFormat="1" applyFont="1" applyFill="1" applyBorder="1" applyAlignment="1" applyProtection="1">
      <alignment horizontal="right" vertical="center" indent="1"/>
      <protection locked="0"/>
    </xf>
    <xf numFmtId="184" fontId="22" fillId="5" borderId="6" xfId="0" applyNumberFormat="1" applyFont="1" applyFill="1" applyBorder="1" applyAlignment="1" applyProtection="1">
      <alignment vertical="center"/>
      <protection locked="0"/>
    </xf>
    <xf numFmtId="184" fontId="19" fillId="5" borderId="3" xfId="0" applyNumberFormat="1" applyFont="1" applyFill="1" applyBorder="1" applyAlignment="1" applyProtection="1">
      <alignment horizontal="right" vertical="center" indent="1"/>
      <protection locked="0"/>
    </xf>
    <xf numFmtId="184" fontId="19" fillId="5" borderId="4" xfId="0" applyNumberFormat="1" applyFont="1" applyFill="1" applyBorder="1" applyAlignment="1" applyProtection="1">
      <alignment horizontal="right" vertical="center" indent="1"/>
      <protection locked="0"/>
    </xf>
    <xf numFmtId="184" fontId="19" fillId="5" borderId="1" xfId="0" applyNumberFormat="1" applyFont="1" applyFill="1" applyBorder="1" applyAlignment="1" applyProtection="1">
      <alignment horizontal="right" vertical="center" indent="1"/>
      <protection locked="0"/>
    </xf>
    <xf numFmtId="184" fontId="22" fillId="5" borderId="1" xfId="0" applyNumberFormat="1" applyFont="1" applyFill="1" applyBorder="1" applyAlignment="1" applyProtection="1">
      <alignment horizontal="right" vertical="center" indent="1"/>
      <protection locked="0"/>
    </xf>
    <xf numFmtId="184" fontId="19" fillId="5" borderId="0" xfId="0" applyNumberFormat="1" applyFont="1" applyFill="1" applyAlignment="1" applyProtection="1">
      <alignment vertical="center"/>
      <protection locked="0"/>
    </xf>
    <xf numFmtId="184" fontId="22" fillId="0" borderId="0" xfId="0" applyNumberFormat="1" applyFont="1" applyFill="1" applyAlignment="1" applyProtection="1">
      <alignment vertical="center"/>
      <protection locked="0"/>
    </xf>
    <xf numFmtId="184" fontId="22" fillId="4" borderId="0" xfId="0" applyNumberFormat="1" applyFont="1" applyFill="1" applyBorder="1" applyAlignment="1" applyProtection="1">
      <alignment horizontal="right" vertical="center" indent="1"/>
      <protection locked="0"/>
    </xf>
    <xf numFmtId="184" fontId="22" fillId="4" borderId="7" xfId="0" applyNumberFormat="1" applyFont="1" applyFill="1" applyBorder="1" applyAlignment="1" applyProtection="1">
      <alignment horizontal="right" vertical="center" indent="1"/>
      <protection locked="0"/>
    </xf>
    <xf numFmtId="184" fontId="22" fillId="4" borderId="8" xfId="0" applyNumberFormat="1" applyFont="1" applyFill="1" applyBorder="1" applyAlignment="1" applyProtection="1">
      <alignment vertical="center"/>
      <protection locked="0"/>
    </xf>
    <xf numFmtId="184" fontId="22" fillId="4" borderId="8" xfId="0" applyNumberFormat="1" applyFont="1" applyFill="1" applyBorder="1" applyAlignment="1" applyProtection="1">
      <alignment horizontal="center" vertical="center"/>
      <protection locked="0"/>
    </xf>
    <xf numFmtId="184" fontId="22" fillId="13" borderId="129" xfId="0" applyNumberFormat="1" applyFont="1" applyFill="1" applyBorder="1" applyAlignment="1" applyProtection="1">
      <alignment horizontal="right" vertical="center" indent="1"/>
      <protection locked="0"/>
    </xf>
    <xf numFmtId="184" fontId="22" fillId="13" borderId="7" xfId="0" applyNumberFormat="1" applyFont="1" applyFill="1" applyBorder="1" applyAlignment="1" applyProtection="1">
      <alignment horizontal="right" vertical="center" indent="1"/>
      <protection locked="0"/>
    </xf>
    <xf numFmtId="184" fontId="28" fillId="4" borderId="0" xfId="0" applyNumberFormat="1" applyFont="1" applyFill="1" applyBorder="1" applyAlignment="1" applyProtection="1">
      <alignment horizontal="right" vertical="center" indent="1"/>
      <protection locked="0"/>
    </xf>
    <xf numFmtId="184" fontId="22" fillId="16" borderId="21" xfId="0" applyNumberFormat="1" applyFont="1" applyFill="1" applyBorder="1" applyAlignment="1" applyProtection="1">
      <alignment horizontal="right" vertical="center" indent="1"/>
      <protection locked="0"/>
    </xf>
    <xf numFmtId="184" fontId="28" fillId="4" borderId="21" xfId="0" applyNumberFormat="1" applyFont="1" applyFill="1" applyBorder="1" applyAlignment="1" applyProtection="1">
      <alignment horizontal="right" vertical="center" indent="1"/>
      <protection locked="0"/>
    </xf>
    <xf numFmtId="184" fontId="28" fillId="4" borderId="32" xfId="0" applyNumberFormat="1" applyFont="1" applyFill="1" applyBorder="1" applyAlignment="1" applyProtection="1">
      <alignment horizontal="right" vertical="center" indent="1"/>
      <protection locked="0"/>
    </xf>
    <xf numFmtId="184" fontId="22" fillId="11" borderId="21" xfId="0" applyNumberFormat="1" applyFont="1" applyFill="1" applyBorder="1" applyAlignment="1" applyProtection="1">
      <alignment horizontal="right" vertical="center" indent="1"/>
      <protection locked="0"/>
    </xf>
    <xf numFmtId="184" fontId="22" fillId="0" borderId="130" xfId="0" applyNumberFormat="1" applyFont="1" applyFill="1" applyBorder="1" applyAlignment="1" applyProtection="1">
      <alignment horizontal="right" vertical="center" indent="1"/>
      <protection locked="0"/>
    </xf>
    <xf numFmtId="184" fontId="22" fillId="0" borderId="7" xfId="0" applyNumberFormat="1" applyFont="1" applyFill="1" applyBorder="1" applyAlignment="1" applyProtection="1">
      <alignment horizontal="right" vertical="center" indent="1"/>
      <protection locked="0"/>
    </xf>
    <xf numFmtId="184" fontId="22" fillId="0" borderId="102" xfId="0" applyNumberFormat="1" applyFont="1" applyFill="1" applyBorder="1" applyAlignment="1" applyProtection="1">
      <alignment horizontal="right" vertical="center" indent="1"/>
      <protection locked="0"/>
    </xf>
    <xf numFmtId="184" fontId="37" fillId="0" borderId="0" xfId="0" applyNumberFormat="1" applyFont="1" applyFill="1" applyAlignment="1" applyProtection="1">
      <alignment vertical="center"/>
      <protection locked="0"/>
    </xf>
    <xf numFmtId="184" fontId="37" fillId="4" borderId="0" xfId="0" applyNumberFormat="1" applyFont="1" applyFill="1" applyAlignment="1" applyProtection="1">
      <alignment vertical="center"/>
      <protection locked="0"/>
    </xf>
    <xf numFmtId="184" fontId="39" fillId="4" borderId="0" xfId="0" applyNumberFormat="1" applyFont="1" applyFill="1" applyBorder="1" applyAlignment="1" applyProtection="1">
      <alignment horizontal="right" vertical="center" indent="1"/>
      <protection locked="0"/>
    </xf>
    <xf numFmtId="184" fontId="37" fillId="4" borderId="0" xfId="0" applyNumberFormat="1" applyFont="1" applyFill="1" applyBorder="1" applyAlignment="1" applyProtection="1">
      <alignment horizontal="right" vertical="center" indent="1"/>
      <protection locked="0"/>
    </xf>
    <xf numFmtId="184" fontId="39" fillId="4" borderId="32" xfId="0" applyNumberFormat="1" applyFont="1" applyFill="1" applyBorder="1" applyAlignment="1" applyProtection="1">
      <alignment horizontal="right" vertical="center" indent="1"/>
      <protection locked="0"/>
    </xf>
    <xf numFmtId="184" fontId="37" fillId="11" borderId="21" xfId="0" applyNumberFormat="1" applyFont="1" applyFill="1" applyBorder="1" applyAlignment="1" applyProtection="1">
      <alignment horizontal="right" vertical="center" indent="1"/>
      <protection locked="0"/>
    </xf>
    <xf numFmtId="184" fontId="39" fillId="23" borderId="32" xfId="0" applyNumberFormat="1" applyFont="1" applyFill="1" applyBorder="1" applyAlignment="1" applyProtection="1">
      <alignment horizontal="right" vertical="center" indent="1"/>
      <protection locked="0"/>
    </xf>
    <xf numFmtId="184" fontId="19" fillId="13" borderId="131" xfId="0" applyNumberFormat="1" applyFont="1" applyFill="1" applyBorder="1" applyAlignment="1" applyProtection="1">
      <alignment horizontal="right" vertical="center" indent="1"/>
      <protection locked="0"/>
    </xf>
    <xf numFmtId="184" fontId="19" fillId="18" borderId="7" xfId="0" applyNumberFormat="1" applyFont="1" applyFill="1" applyBorder="1" applyAlignment="1" applyProtection="1">
      <alignment horizontal="right" vertical="center" indent="1"/>
      <protection locked="0"/>
    </xf>
    <xf numFmtId="184" fontId="19" fillId="18" borderId="8" xfId="0" applyNumberFormat="1" applyFont="1" applyFill="1" applyBorder="1" applyAlignment="1" applyProtection="1">
      <alignment vertical="center"/>
      <protection locked="0"/>
    </xf>
    <xf numFmtId="184" fontId="19" fillId="18" borderId="8" xfId="0" applyNumberFormat="1" applyFont="1" applyFill="1" applyBorder="1" applyAlignment="1" applyProtection="1">
      <alignment horizontal="center" vertical="center"/>
      <protection locked="0"/>
    </xf>
    <xf numFmtId="184" fontId="22" fillId="24" borderId="21" xfId="0" applyNumberFormat="1" applyFont="1" applyFill="1" applyBorder="1" applyAlignment="1" applyProtection="1">
      <alignment horizontal="right" vertical="center" indent="1"/>
      <protection locked="0"/>
    </xf>
    <xf numFmtId="184" fontId="70" fillId="18" borderId="8" xfId="0" applyNumberFormat="1" applyFont="1" applyFill="1" applyBorder="1" applyAlignment="1" applyProtection="1">
      <alignment vertical="center"/>
      <protection locked="0"/>
    </xf>
    <xf numFmtId="4" fontId="19" fillId="25" borderId="8" xfId="0" applyNumberFormat="1" applyFont="1" applyFill="1" applyBorder="1" applyAlignment="1" applyProtection="1">
      <alignment horizontal="right" vertical="center" indent="1"/>
      <protection locked="0"/>
    </xf>
    <xf numFmtId="184" fontId="19" fillId="25" borderId="8" xfId="0" applyNumberFormat="1" applyFont="1" applyFill="1" applyBorder="1" applyAlignment="1" applyProtection="1">
      <alignment vertical="center"/>
      <protection locked="0"/>
    </xf>
    <xf numFmtId="184" fontId="19" fillId="25" borderId="8" xfId="0" applyNumberFormat="1" applyFont="1" applyFill="1" applyBorder="1" applyAlignment="1" applyProtection="1">
      <alignment horizontal="center" vertical="center"/>
      <protection locked="0"/>
    </xf>
    <xf numFmtId="184" fontId="22" fillId="7" borderId="21" xfId="0" applyNumberFormat="1" applyFont="1" applyFill="1" applyBorder="1" applyAlignment="1" applyProtection="1">
      <alignment horizontal="right" vertical="center" indent="1"/>
      <protection locked="0"/>
    </xf>
    <xf numFmtId="184" fontId="28" fillId="4" borderId="0" xfId="0" applyNumberFormat="1" applyFont="1" applyFill="1" applyBorder="1" applyAlignment="1" applyProtection="1">
      <alignment horizontal="center" vertical="center"/>
      <protection locked="0"/>
    </xf>
    <xf numFmtId="184" fontId="28" fillId="23" borderId="122" xfId="0" applyNumberFormat="1" applyFont="1" applyFill="1" applyBorder="1" applyAlignment="1" applyProtection="1">
      <alignment horizontal="center" vertical="center"/>
      <protection locked="0"/>
    </xf>
    <xf numFmtId="2" fontId="19" fillId="0" borderId="0" xfId="0" applyNumberFormat="1" applyFont="1" applyAlignment="1" applyProtection="1">
      <alignment horizontal="center" vertical="center"/>
      <protection locked="0"/>
    </xf>
    <xf numFmtId="4" fontId="22" fillId="20" borderId="122" xfId="0" applyNumberFormat="1" applyFont="1" applyFill="1" applyBorder="1" applyAlignment="1" applyProtection="1">
      <alignment horizontal="right" vertical="center" indent="1"/>
    </xf>
    <xf numFmtId="2" fontId="22" fillId="4" borderId="8" xfId="0" applyNumberFormat="1" applyFont="1" applyFill="1" applyBorder="1" applyAlignment="1" applyProtection="1">
      <alignment horizontal="center" vertical="center"/>
      <protection locked="0"/>
    </xf>
    <xf numFmtId="4" fontId="22" fillId="20" borderId="8" xfId="0" applyNumberFormat="1" applyFont="1" applyFill="1" applyBorder="1" applyAlignment="1" applyProtection="1">
      <alignment horizontal="right" vertical="center" indent="1"/>
    </xf>
    <xf numFmtId="4" fontId="22" fillId="4" borderId="8" xfId="0" applyNumberFormat="1" applyFont="1" applyFill="1" applyBorder="1" applyAlignment="1" applyProtection="1">
      <alignment horizontal="right" vertical="center" indent="1"/>
      <protection locked="0"/>
    </xf>
    <xf numFmtId="164" fontId="22" fillId="4" borderId="8" xfId="0" applyFont="1" applyFill="1" applyBorder="1" applyAlignment="1" applyProtection="1">
      <alignment horizontal="right" vertical="center" indent="1"/>
      <protection locked="0"/>
    </xf>
    <xf numFmtId="4" fontId="22" fillId="4" borderId="125" xfId="0" applyNumberFormat="1" applyFont="1" applyFill="1" applyBorder="1" applyAlignment="1" applyProtection="1">
      <alignment horizontal="right" vertical="center" indent="1"/>
      <protection locked="0"/>
    </xf>
    <xf numFmtId="4" fontId="22" fillId="4" borderId="8" xfId="0" applyNumberFormat="1" applyFont="1" applyFill="1" applyBorder="1" applyAlignment="1" applyProtection="1">
      <alignment vertical="center"/>
      <protection locked="0"/>
    </xf>
    <xf numFmtId="14" fontId="22" fillId="4" borderId="8" xfId="0" applyNumberFormat="1" applyFont="1" applyFill="1" applyBorder="1" applyAlignment="1" applyProtection="1">
      <alignment horizontal="center" vertical="center"/>
      <protection locked="0"/>
    </xf>
    <xf numFmtId="2" fontId="19" fillId="4" borderId="8" xfId="0" applyNumberFormat="1" applyFont="1" applyFill="1" applyBorder="1" applyAlignment="1" applyProtection="1">
      <alignment horizontal="center" vertical="center"/>
      <protection locked="0"/>
    </xf>
    <xf numFmtId="4" fontId="19" fillId="20" borderId="8" xfId="0" applyNumberFormat="1" applyFont="1" applyFill="1" applyBorder="1" applyAlignment="1" applyProtection="1">
      <alignment horizontal="right" vertical="center" indent="1"/>
    </xf>
    <xf numFmtId="4" fontId="19" fillId="4" borderId="125" xfId="0" applyNumberFormat="1" applyFont="1" applyFill="1" applyBorder="1" applyAlignment="1" applyProtection="1">
      <alignment horizontal="right" vertical="center" indent="1"/>
    </xf>
    <xf numFmtId="4" fontId="19" fillId="4" borderId="8" xfId="0" applyNumberFormat="1" applyFont="1" applyFill="1" applyBorder="1" applyAlignment="1" applyProtection="1">
      <alignment horizontal="right" vertical="center" indent="1"/>
    </xf>
    <xf numFmtId="0" fontId="22" fillId="20" borderId="8" xfId="0" applyNumberFormat="1" applyFont="1" applyFill="1" applyBorder="1" applyAlignment="1" applyProtection="1">
      <alignment horizontal="center" vertical="center"/>
      <protection locked="0"/>
    </xf>
    <xf numFmtId="4" fontId="19" fillId="20" borderId="0" xfId="0" applyNumberFormat="1" applyFont="1" applyFill="1" applyBorder="1" applyAlignment="1" applyProtection="1">
      <alignment horizontal="center" vertical="center"/>
      <protection locked="0"/>
    </xf>
    <xf numFmtId="4" fontId="22" fillId="20" borderId="126" xfId="0" applyNumberFormat="1" applyFont="1" applyFill="1" applyBorder="1" applyAlignment="1" applyProtection="1">
      <alignment horizontal="right" vertical="center" indent="1"/>
      <protection locked="0"/>
    </xf>
    <xf numFmtId="4" fontId="22" fillId="20" borderId="122" xfId="0" applyNumberFormat="1" applyFont="1" applyFill="1" applyBorder="1" applyAlignment="1" applyProtection="1">
      <alignment vertical="center"/>
      <protection locked="0"/>
    </xf>
    <xf numFmtId="14" fontId="22" fillId="20" borderId="122" xfId="0" applyNumberFormat="1" applyFont="1" applyFill="1" applyBorder="1" applyAlignment="1" applyProtection="1">
      <alignment horizontal="center" vertical="center"/>
      <protection locked="0"/>
    </xf>
    <xf numFmtId="4" fontId="19" fillId="4" borderId="132" xfId="0" applyNumberFormat="1" applyFont="1" applyFill="1" applyBorder="1" applyAlignment="1" applyProtection="1">
      <alignment horizontal="right" vertical="center" indent="1"/>
      <protection locked="0"/>
    </xf>
    <xf numFmtId="164" fontId="19" fillId="0" borderId="0" xfId="0" applyFont="1" applyFill="1" applyAlignment="1" applyProtection="1">
      <alignment vertical="center"/>
    </xf>
    <xf numFmtId="4" fontId="71" fillId="20" borderId="122" xfId="0" applyNumberFormat="1" applyFont="1" applyFill="1" applyBorder="1" applyAlignment="1" applyProtection="1">
      <alignment horizontal="right" vertical="center" indent="1"/>
    </xf>
    <xf numFmtId="4" fontId="19" fillId="4" borderId="127" xfId="0" applyNumberFormat="1" applyFont="1" applyFill="1" applyBorder="1" applyAlignment="1" applyProtection="1">
      <alignment horizontal="right" vertical="center" indent="1"/>
    </xf>
    <xf numFmtId="4" fontId="22" fillId="20" borderId="133" xfId="0" applyNumberFormat="1" applyFont="1" applyFill="1" applyBorder="1" applyAlignment="1" applyProtection="1">
      <alignment horizontal="right" vertical="center" indent="1"/>
    </xf>
    <xf numFmtId="164" fontId="19" fillId="4" borderId="8" xfId="0" applyFont="1" applyFill="1" applyBorder="1" applyAlignment="1" applyProtection="1">
      <alignment horizontal="right" vertical="center" indent="1"/>
    </xf>
    <xf numFmtId="2" fontId="19" fillId="4" borderId="123" xfId="0" applyNumberFormat="1" applyFont="1" applyFill="1" applyBorder="1" applyAlignment="1" applyProtection="1">
      <alignment horizontal="center" vertical="center"/>
      <protection locked="0"/>
    </xf>
    <xf numFmtId="4" fontId="19" fillId="20" borderId="123" xfId="0" applyNumberFormat="1" applyFont="1" applyFill="1" applyBorder="1" applyAlignment="1" applyProtection="1">
      <alignment horizontal="right" vertical="center" indent="1"/>
    </xf>
    <xf numFmtId="4" fontId="19" fillId="0" borderId="123" xfId="0" applyNumberFormat="1" applyFont="1" applyFill="1" applyBorder="1" applyAlignment="1" applyProtection="1">
      <alignment horizontal="right" vertical="center" indent="1"/>
      <protection locked="0"/>
    </xf>
    <xf numFmtId="0" fontId="19" fillId="20" borderId="8" xfId="0" quotePrefix="1" applyNumberFormat="1" applyFont="1" applyFill="1" applyBorder="1" applyAlignment="1" applyProtection="1">
      <alignment horizontal="left" vertical="center"/>
      <protection locked="0"/>
    </xf>
    <xf numFmtId="0" fontId="22" fillId="20" borderId="8" xfId="0" applyNumberFormat="1" applyFont="1" applyFill="1" applyBorder="1" applyAlignment="1" applyProtection="1">
      <alignment horizontal="center" vertical="center"/>
    </xf>
    <xf numFmtId="0" fontId="22" fillId="0" borderId="8" xfId="0" applyNumberFormat="1" applyFont="1" applyFill="1" applyBorder="1" applyAlignment="1" applyProtection="1">
      <alignment horizontal="center" vertical="center"/>
      <protection locked="0"/>
    </xf>
    <xf numFmtId="1" fontId="22" fillId="4" borderId="8" xfId="0" applyNumberFormat="1" applyFont="1" applyFill="1" applyBorder="1" applyAlignment="1" applyProtection="1">
      <alignment horizontal="center" vertical="center"/>
      <protection locked="0"/>
    </xf>
    <xf numFmtId="0" fontId="19" fillId="0" borderId="8" xfId="0" applyNumberFormat="1" applyFont="1" applyFill="1" applyBorder="1" applyAlignment="1" applyProtection="1">
      <alignment horizontal="center" vertical="center"/>
      <protection locked="0"/>
    </xf>
    <xf numFmtId="1" fontId="19" fillId="4" borderId="8" xfId="0" applyNumberFormat="1" applyFont="1" applyFill="1" applyBorder="1" applyAlignment="1" applyProtection="1">
      <alignment horizontal="center" vertical="center"/>
      <protection locked="0"/>
    </xf>
    <xf numFmtId="4" fontId="22" fillId="20" borderId="103" xfId="0" applyNumberFormat="1" applyFont="1" applyFill="1" applyBorder="1" applyAlignment="1" applyProtection="1">
      <alignment horizontal="right" vertical="center" indent="1"/>
      <protection locked="0"/>
    </xf>
    <xf numFmtId="4" fontId="22" fillId="20" borderId="103" xfId="0" applyNumberFormat="1" applyFont="1" applyFill="1" applyBorder="1" applyAlignment="1" applyProtection="1">
      <alignment horizontal="right" vertical="center" indent="1"/>
    </xf>
    <xf numFmtId="4" fontId="22" fillId="20" borderId="134" xfId="0" applyNumberFormat="1" applyFont="1" applyFill="1" applyBorder="1" applyAlignment="1" applyProtection="1">
      <alignment horizontal="right" vertical="center" indent="1"/>
      <protection locked="0"/>
    </xf>
    <xf numFmtId="4" fontId="22" fillId="20" borderId="103" xfId="0" applyNumberFormat="1" applyFont="1" applyFill="1" applyBorder="1" applyAlignment="1" applyProtection="1">
      <alignment vertical="center"/>
      <protection locked="0"/>
    </xf>
    <xf numFmtId="14" fontId="22" fillId="20" borderId="103" xfId="0" applyNumberFormat="1" applyFont="1" applyFill="1" applyBorder="1" applyAlignment="1" applyProtection="1">
      <alignment horizontal="center" vertical="center"/>
      <protection locked="0"/>
    </xf>
    <xf numFmtId="14" fontId="22" fillId="20" borderId="103" xfId="0" quotePrefix="1" applyNumberFormat="1" applyFont="1" applyFill="1" applyBorder="1" applyAlignment="1" applyProtection="1">
      <alignment horizontal="center" vertical="center"/>
      <protection locked="0"/>
    </xf>
    <xf numFmtId="184" fontId="22" fillId="20" borderId="8" xfId="0" applyNumberFormat="1" applyFont="1" applyFill="1" applyBorder="1" applyAlignment="1" applyProtection="1">
      <alignment horizontal="right" vertical="center" indent="1"/>
    </xf>
    <xf numFmtId="184" fontId="22" fillId="20" borderId="108" xfId="0" applyNumberFormat="1" applyFont="1" applyFill="1" applyBorder="1" applyAlignment="1" applyProtection="1">
      <alignment horizontal="right" vertical="center" indent="1"/>
    </xf>
    <xf numFmtId="4" fontId="22" fillId="20" borderId="108" xfId="0" applyNumberFormat="1" applyFont="1" applyFill="1" applyBorder="1" applyAlignment="1" applyProtection="1">
      <alignment horizontal="right" vertical="center" indent="1"/>
    </xf>
    <xf numFmtId="14" fontId="22" fillId="20" borderId="108" xfId="0" applyNumberFormat="1" applyFont="1" applyFill="1" applyBorder="1" applyAlignment="1" applyProtection="1">
      <alignment horizontal="left" vertical="center" indent="1"/>
      <protection locked="0"/>
    </xf>
    <xf numFmtId="184" fontId="19" fillId="20" borderId="8" xfId="0" applyNumberFormat="1" applyFont="1" applyFill="1" applyBorder="1" applyAlignment="1" applyProtection="1">
      <alignment horizontal="right" vertical="center" indent="1"/>
    </xf>
    <xf numFmtId="0" fontId="19" fillId="4" borderId="8" xfId="0" applyNumberFormat="1" applyFont="1" applyFill="1" applyBorder="1" applyAlignment="1" applyProtection="1">
      <alignment horizontal="center" vertical="center"/>
      <protection locked="0"/>
    </xf>
    <xf numFmtId="164" fontId="22" fillId="4" borderId="0" xfId="0" applyFont="1" applyFill="1" applyAlignment="1" applyProtection="1">
      <alignment horizontal="right" vertical="center" indent="1"/>
      <protection locked="0"/>
    </xf>
    <xf numFmtId="2" fontId="19" fillId="0" borderId="8" xfId="0" applyNumberFormat="1" applyFont="1" applyFill="1" applyBorder="1" applyAlignment="1" applyProtection="1">
      <alignment horizontal="center" vertical="center"/>
      <protection locked="0"/>
    </xf>
    <xf numFmtId="14" fontId="19" fillId="20" borderId="8" xfId="0" applyNumberFormat="1" applyFont="1" applyFill="1" applyBorder="1" applyAlignment="1" applyProtection="1">
      <alignment horizontal="left" vertical="center" indent="1"/>
    </xf>
    <xf numFmtId="1" fontId="19" fillId="4" borderId="8" xfId="0" quotePrefix="1" applyNumberFormat="1" applyFont="1" applyFill="1" applyBorder="1" applyAlignment="1" applyProtection="1">
      <alignment horizontal="left" vertical="center"/>
      <protection locked="0"/>
    </xf>
    <xf numFmtId="4" fontId="22" fillId="4" borderId="0" xfId="0" applyNumberFormat="1" applyFont="1" applyFill="1" applyAlignment="1" applyProtection="1">
      <alignment horizontal="right" vertical="center" indent="1"/>
      <protection locked="0"/>
    </xf>
    <xf numFmtId="184" fontId="19" fillId="20" borderId="0" xfId="0" applyNumberFormat="1" applyFont="1" applyFill="1" applyBorder="1" applyAlignment="1" applyProtection="1">
      <alignment horizontal="right" vertical="center" indent="1"/>
      <protection locked="0"/>
    </xf>
    <xf numFmtId="184" fontId="19" fillId="20" borderId="122" xfId="0" applyNumberFormat="1" applyFont="1" applyFill="1" applyBorder="1" applyAlignment="1" applyProtection="1">
      <alignment horizontal="right" vertical="center" indent="1"/>
    </xf>
    <xf numFmtId="4" fontId="19" fillId="20" borderId="122" xfId="0" applyNumberFormat="1" applyFont="1" applyFill="1" applyBorder="1" applyAlignment="1" applyProtection="1">
      <alignment horizontal="right" vertical="center" indent="1"/>
    </xf>
    <xf numFmtId="14" fontId="19" fillId="20" borderId="122" xfId="0" applyNumberFormat="1" applyFont="1" applyFill="1" applyBorder="1" applyAlignment="1" applyProtection="1">
      <alignment horizontal="left" vertical="center" indent="1"/>
      <protection locked="0"/>
    </xf>
    <xf numFmtId="14" fontId="19" fillId="20" borderId="122" xfId="0" applyNumberFormat="1" applyFont="1" applyFill="1" applyBorder="1" applyAlignment="1" applyProtection="1">
      <alignment horizontal="left" vertical="center" indent="1"/>
    </xf>
    <xf numFmtId="164" fontId="19" fillId="0" borderId="0" xfId="0" quotePrefix="1" applyFont="1" applyFill="1" applyAlignment="1" applyProtection="1">
      <alignment vertical="center"/>
      <protection locked="0"/>
    </xf>
    <xf numFmtId="0" fontId="19" fillId="4" borderId="8" xfId="0" applyNumberFormat="1" applyFont="1" applyFill="1" applyBorder="1" applyAlignment="1" applyProtection="1">
      <alignment horizontal="center" vertical="center"/>
    </xf>
    <xf numFmtId="1" fontId="19" fillId="4" borderId="8" xfId="0" applyNumberFormat="1" applyFont="1" applyFill="1" applyBorder="1" applyAlignment="1" applyProtection="1">
      <alignment horizontal="center" vertical="center"/>
    </xf>
    <xf numFmtId="4" fontId="22" fillId="26" borderId="84" xfId="0" applyNumberFormat="1" applyFont="1" applyFill="1" applyBorder="1" applyAlignment="1" applyProtection="1">
      <alignment horizontal="right" vertical="center" indent="1"/>
      <protection locked="0"/>
    </xf>
    <xf numFmtId="4" fontId="22" fillId="26" borderId="84" xfId="0" applyNumberFormat="1" applyFont="1" applyFill="1" applyBorder="1" applyAlignment="1" applyProtection="1">
      <alignment horizontal="right" vertical="center" indent="1"/>
    </xf>
    <xf numFmtId="184" fontId="22" fillId="20" borderId="84" xfId="0" applyNumberFormat="1" applyFont="1" applyFill="1" applyBorder="1" applyAlignment="1" applyProtection="1">
      <alignment horizontal="right" vertical="center" indent="1"/>
      <protection locked="0"/>
    </xf>
    <xf numFmtId="0" fontId="19" fillId="0" borderId="8" xfId="0" quotePrefix="1" applyNumberFormat="1" applyFont="1" applyFill="1" applyBorder="1" applyAlignment="1" applyProtection="1">
      <alignment horizontal="left" vertical="center"/>
      <protection locked="0"/>
    </xf>
    <xf numFmtId="3" fontId="19" fillId="0" borderId="8" xfId="0" applyNumberFormat="1" applyFont="1" applyFill="1" applyBorder="1" applyAlignment="1" applyProtection="1">
      <alignment horizontal="center" vertical="center"/>
    </xf>
    <xf numFmtId="164" fontId="19" fillId="20" borderId="0" xfId="0" applyFont="1" applyFill="1" applyBorder="1" applyAlignment="1" applyProtection="1">
      <alignment horizontal="center" vertical="center"/>
      <protection locked="0"/>
    </xf>
    <xf numFmtId="164" fontId="19" fillId="0" borderId="0" xfId="0" applyFont="1" applyAlignment="1">
      <alignment vertical="center"/>
    </xf>
    <xf numFmtId="164" fontId="19" fillId="0" borderId="0" xfId="0" applyFont="1" applyFill="1" applyBorder="1" applyAlignment="1">
      <alignment vertical="center"/>
    </xf>
    <xf numFmtId="4" fontId="19" fillId="0" borderId="0" xfId="0" applyNumberFormat="1" applyFont="1" applyAlignment="1">
      <alignment horizontal="right" vertical="center" indent="1"/>
    </xf>
    <xf numFmtId="164" fontId="19" fillId="0" borderId="0" xfId="0" applyFont="1" applyBorder="1" applyAlignment="1">
      <alignment horizontal="right" vertical="center" indent="1"/>
    </xf>
    <xf numFmtId="165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164" fontId="19" fillId="0" borderId="0" xfId="0" applyFont="1" applyFill="1" applyAlignment="1">
      <alignment horizontal="right" vertical="center" indent="1"/>
    </xf>
    <xf numFmtId="4" fontId="19" fillId="0" borderId="108" xfId="0" applyNumberFormat="1" applyFont="1" applyBorder="1" applyAlignment="1" applyProtection="1">
      <alignment horizontal="right" vertical="center" indent="1"/>
      <protection locked="0"/>
    </xf>
    <xf numFmtId="4" fontId="19" fillId="0" borderId="132" xfId="0" applyNumberFormat="1" applyFont="1" applyBorder="1" applyAlignment="1" applyProtection="1">
      <alignment horizontal="right" vertical="center" indent="1"/>
      <protection locked="0"/>
    </xf>
    <xf numFmtId="4" fontId="19" fillId="0" borderId="108" xfId="0" applyNumberFormat="1" applyFont="1" applyBorder="1" applyAlignment="1" applyProtection="1">
      <alignment horizontal="left" vertical="center" indent="1"/>
      <protection locked="0"/>
    </xf>
    <xf numFmtId="14" fontId="19" fillId="0" borderId="135" xfId="0" applyNumberFormat="1" applyFont="1" applyBorder="1" applyAlignment="1" applyProtection="1">
      <alignment horizontal="center" vertical="center"/>
      <protection locked="0"/>
    </xf>
    <xf numFmtId="4" fontId="19" fillId="0" borderId="125" xfId="0" applyNumberFormat="1" applyFont="1" applyBorder="1" applyAlignment="1" applyProtection="1">
      <alignment horizontal="right" vertical="center" indent="1"/>
      <protection locked="0"/>
    </xf>
    <xf numFmtId="4" fontId="19" fillId="0" borderId="8" xfId="0" applyNumberFormat="1" applyFont="1" applyBorder="1" applyAlignment="1" applyProtection="1">
      <alignment horizontal="left" vertical="center" indent="1"/>
      <protection locked="0"/>
    </xf>
    <xf numFmtId="14" fontId="19" fillId="0" borderId="127" xfId="0" applyNumberFormat="1" applyFont="1" applyBorder="1" applyAlignment="1" applyProtection="1">
      <alignment horizontal="center" vertical="center"/>
      <protection locked="0"/>
    </xf>
    <xf numFmtId="164" fontId="22" fillId="0" borderId="0" xfId="0" applyFont="1" applyBorder="1" applyAlignment="1">
      <alignment vertical="center"/>
    </xf>
    <xf numFmtId="164" fontId="22" fillId="0" borderId="0" xfId="0" applyFont="1" applyFill="1" applyBorder="1" applyAlignment="1">
      <alignment vertical="center"/>
    </xf>
    <xf numFmtId="4" fontId="22" fillId="27" borderId="103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34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03" xfId="0" applyNumberFormat="1" applyFont="1" applyFill="1" applyBorder="1" applyAlignment="1" applyProtection="1">
      <alignment horizontal="center" vertical="center"/>
      <protection locked="0"/>
    </xf>
    <xf numFmtId="14" fontId="22" fillId="27" borderId="136" xfId="0" quotePrefix="1" applyNumberFormat="1" applyFont="1" applyFill="1" applyBorder="1" applyAlignment="1" applyProtection="1">
      <alignment horizontal="center" vertical="center"/>
      <protection locked="0"/>
    </xf>
    <xf numFmtId="164" fontId="19" fillId="0" borderId="0" xfId="0" applyFont="1" applyFill="1" applyBorder="1" applyAlignment="1">
      <alignment horizontal="right" vertical="center" indent="1"/>
    </xf>
    <xf numFmtId="4" fontId="19" fillId="0" borderId="8" xfId="0" quotePrefix="1" applyNumberFormat="1" applyFont="1" applyBorder="1" applyAlignment="1" applyProtection="1">
      <alignment horizontal="left" vertical="center" indent="1"/>
      <protection locked="0"/>
    </xf>
    <xf numFmtId="164" fontId="22" fillId="0" borderId="0" xfId="0" applyFont="1" applyAlignment="1">
      <alignment vertical="center"/>
    </xf>
    <xf numFmtId="4" fontId="22" fillId="0" borderId="108" xfId="0" applyNumberFormat="1" applyFont="1" applyBorder="1" applyAlignment="1" applyProtection="1">
      <alignment horizontal="right" vertical="center" indent="1"/>
      <protection locked="0"/>
    </xf>
    <xf numFmtId="4" fontId="22" fillId="0" borderId="132" xfId="0" applyNumberFormat="1" applyFont="1" applyBorder="1" applyAlignment="1" applyProtection="1">
      <alignment horizontal="right" vertical="center" indent="1"/>
      <protection locked="0"/>
    </xf>
    <xf numFmtId="4" fontId="22" fillId="0" borderId="108" xfId="0" applyNumberFormat="1" applyFont="1" applyBorder="1" applyAlignment="1" applyProtection="1">
      <alignment horizontal="left" vertical="center" indent="1"/>
      <protection locked="0"/>
    </xf>
    <xf numFmtId="14" fontId="22" fillId="0" borderId="135" xfId="0" applyNumberFormat="1" applyFont="1" applyBorder="1" applyAlignment="1" applyProtection="1">
      <alignment horizontal="center" vertical="center"/>
      <protection locked="0"/>
    </xf>
    <xf numFmtId="164" fontId="22" fillId="0" borderId="0" xfId="0" applyFont="1" applyFill="1" applyAlignment="1">
      <alignment horizontal="right" vertical="center" indent="1"/>
    </xf>
    <xf numFmtId="4" fontId="22" fillId="0" borderId="8" xfId="0" applyNumberFormat="1" applyFont="1" applyBorder="1" applyAlignment="1" applyProtection="1">
      <alignment horizontal="right" vertical="center" indent="1"/>
      <protection locked="0"/>
    </xf>
    <xf numFmtId="4" fontId="22" fillId="0" borderId="125" xfId="0" applyNumberFormat="1" applyFont="1" applyBorder="1" applyAlignment="1" applyProtection="1">
      <alignment horizontal="right" vertical="center" indent="1"/>
      <protection locked="0"/>
    </xf>
    <xf numFmtId="4" fontId="22" fillId="0" borderId="8" xfId="0" applyNumberFormat="1" applyFont="1" applyBorder="1" applyAlignment="1" applyProtection="1">
      <alignment horizontal="left" vertical="center" indent="1"/>
      <protection locked="0"/>
    </xf>
    <xf numFmtId="14" fontId="22" fillId="0" borderId="127" xfId="0" applyNumberFormat="1" applyFont="1" applyBorder="1" applyAlignment="1" applyProtection="1">
      <alignment horizontal="center" vertical="center"/>
      <protection locked="0"/>
    </xf>
    <xf numFmtId="164" fontId="19" fillId="0" borderId="0" xfId="0" applyFont="1" applyFill="1" applyBorder="1" applyAlignment="1">
      <alignment horizontal="center" vertical="center"/>
    </xf>
    <xf numFmtId="4" fontId="19" fillId="0" borderId="108" xfId="0" applyNumberFormat="1" applyFont="1" applyFill="1" applyBorder="1" applyAlignment="1" applyProtection="1">
      <alignment horizontal="right" vertical="center" indent="1"/>
      <protection locked="0"/>
    </xf>
    <xf numFmtId="14" fontId="19" fillId="0" borderId="127" xfId="0" quotePrefix="1" applyNumberFormat="1" applyFont="1" applyBorder="1" applyAlignment="1" applyProtection="1">
      <alignment horizontal="center" vertical="center"/>
      <protection locked="0"/>
    </xf>
    <xf numFmtId="4" fontId="19" fillId="0" borderId="0" xfId="0" applyNumberFormat="1" applyFont="1" applyFill="1" applyBorder="1" applyAlignment="1">
      <alignment horizontal="right" vertical="center" indent="1"/>
    </xf>
    <xf numFmtId="164" fontId="22" fillId="0" borderId="0" xfId="0" applyFont="1" applyFill="1" applyBorder="1" applyAlignment="1">
      <alignment horizontal="right" vertical="center" indent="1"/>
    </xf>
    <xf numFmtId="164" fontId="19" fillId="0" borderId="0" xfId="0" applyFont="1" applyFill="1" applyAlignment="1">
      <alignment horizontal="center" vertical="center"/>
    </xf>
    <xf numFmtId="165" fontId="19" fillId="0" borderId="0" xfId="0" quotePrefix="1" applyNumberFormat="1" applyFont="1" applyBorder="1" applyAlignment="1">
      <alignment horizontal="center" vertical="center"/>
    </xf>
    <xf numFmtId="4" fontId="19" fillId="0" borderId="103" xfId="0" applyNumberFormat="1" applyFont="1" applyBorder="1" applyAlignment="1" applyProtection="1">
      <alignment horizontal="right" vertical="center" indent="1"/>
      <protection locked="0"/>
    </xf>
    <xf numFmtId="4" fontId="19" fillId="0" borderId="134" xfId="0" applyNumberFormat="1" applyFont="1" applyBorder="1" applyAlignment="1" applyProtection="1">
      <alignment horizontal="right" vertical="center" indent="1"/>
      <protection locked="0"/>
    </xf>
    <xf numFmtId="4" fontId="19" fillId="0" borderId="103" xfId="0" applyNumberFormat="1" applyFont="1" applyBorder="1" applyAlignment="1" applyProtection="1">
      <alignment horizontal="left" vertical="center" indent="1"/>
      <protection locked="0"/>
    </xf>
    <xf numFmtId="14" fontId="19" fillId="0" borderId="136" xfId="0" applyNumberFormat="1" applyFont="1" applyBorder="1" applyAlignment="1" applyProtection="1">
      <alignment horizontal="center" vertical="center"/>
      <protection locked="0"/>
    </xf>
    <xf numFmtId="4" fontId="22" fillId="27" borderId="0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37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0" xfId="0" applyNumberFormat="1" applyFont="1" applyFill="1" applyBorder="1" applyAlignment="1" applyProtection="1">
      <alignment horizontal="center" vertical="center"/>
      <protection locked="0"/>
    </xf>
    <xf numFmtId="164" fontId="22" fillId="0" borderId="0" xfId="0" applyFont="1" applyFill="1" applyAlignment="1">
      <alignment horizontal="center" vertical="center"/>
    </xf>
    <xf numFmtId="164" fontId="22" fillId="0" borderId="0" xfId="0" applyFont="1" applyFill="1" applyBorder="1" applyAlignment="1">
      <alignment horizontal="center" vertical="center"/>
    </xf>
    <xf numFmtId="4" fontId="27" fillId="19" borderId="108" xfId="0" applyNumberFormat="1" applyFont="1" applyFill="1" applyBorder="1" applyAlignment="1">
      <alignment horizontal="right" vertical="center" indent="1"/>
    </xf>
    <xf numFmtId="4" fontId="27" fillId="19" borderId="132" xfId="0" applyNumberFormat="1" applyFont="1" applyFill="1" applyBorder="1" applyAlignment="1">
      <alignment horizontal="right" vertical="center" indent="1"/>
    </xf>
    <xf numFmtId="165" fontId="27" fillId="19" borderId="108" xfId="0" quotePrefix="1" applyNumberFormat="1" applyFont="1" applyFill="1" applyBorder="1" applyAlignment="1">
      <alignment horizontal="center" vertical="center"/>
    </xf>
    <xf numFmtId="14" fontId="27" fillId="19" borderId="135" xfId="0" quotePrefix="1" applyNumberFormat="1" applyFont="1" applyFill="1" applyBorder="1" applyAlignment="1">
      <alignment horizontal="center" vertical="center"/>
    </xf>
    <xf numFmtId="164" fontId="22" fillId="0" borderId="75" xfId="0" applyFont="1" applyFill="1" applyBorder="1" applyAlignment="1">
      <alignment horizontal="center" vertical="center"/>
    </xf>
    <xf numFmtId="164" fontId="30" fillId="0" borderId="0" xfId="0" applyFont="1" applyFill="1" applyAlignment="1">
      <alignment horizontal="center" vertical="center"/>
    </xf>
    <xf numFmtId="164" fontId="30" fillId="0" borderId="0" xfId="0" applyFont="1" applyFill="1" applyBorder="1" applyAlignment="1">
      <alignment horizontal="center" vertical="center"/>
    </xf>
    <xf numFmtId="4" fontId="30" fillId="20" borderId="8" xfId="0" applyNumberFormat="1" applyFont="1" applyFill="1" applyBorder="1" applyAlignment="1">
      <alignment horizontal="right" vertical="center" indent="1"/>
    </xf>
    <xf numFmtId="4" fontId="30" fillId="20" borderId="125" xfId="0" applyNumberFormat="1" applyFont="1" applyFill="1" applyBorder="1" applyAlignment="1">
      <alignment horizontal="right" vertical="center" indent="1"/>
    </xf>
    <xf numFmtId="165" fontId="30" fillId="20" borderId="8" xfId="0" quotePrefix="1" applyNumberFormat="1" applyFont="1" applyFill="1" applyBorder="1" applyAlignment="1">
      <alignment horizontal="center" vertical="center"/>
    </xf>
    <xf numFmtId="4" fontId="30" fillId="20" borderId="127" xfId="0" applyNumberFormat="1" applyFont="1" applyFill="1" applyBorder="1" applyAlignment="1" applyProtection="1">
      <alignment horizontal="left" vertical="center" indent="1"/>
      <protection locked="0"/>
    </xf>
    <xf numFmtId="164" fontId="30" fillId="0" borderId="75" xfId="0" applyFont="1" applyFill="1" applyBorder="1" applyAlignment="1">
      <alignment horizontal="center" vertical="center"/>
    </xf>
    <xf numFmtId="165" fontId="30" fillId="20" borderId="8" xfId="0" applyNumberFormat="1" applyFont="1" applyFill="1" applyBorder="1" applyAlignment="1">
      <alignment horizontal="center" vertical="center"/>
    </xf>
    <xf numFmtId="164" fontId="30" fillId="0" borderId="0" xfId="0" applyFont="1" applyFill="1" applyAlignment="1">
      <alignment horizontal="right" vertical="center" indent="1"/>
    </xf>
    <xf numFmtId="4" fontId="30" fillId="20" borderId="103" xfId="0" applyNumberFormat="1" applyFont="1" applyFill="1" applyBorder="1" applyAlignment="1">
      <alignment horizontal="right" vertical="center" indent="1"/>
    </xf>
    <xf numFmtId="4" fontId="30" fillId="20" borderId="134" xfId="0" applyNumberFormat="1" applyFont="1" applyFill="1" applyBorder="1" applyAlignment="1">
      <alignment horizontal="right" vertical="center" indent="1"/>
    </xf>
    <xf numFmtId="165" fontId="30" fillId="20" borderId="103" xfId="0" applyNumberFormat="1" applyFont="1" applyFill="1" applyBorder="1" applyAlignment="1">
      <alignment horizontal="center" vertical="center"/>
    </xf>
    <xf numFmtId="4" fontId="30" fillId="20" borderId="136" xfId="0" applyNumberFormat="1" applyFont="1" applyFill="1" applyBorder="1" applyAlignment="1" applyProtection="1">
      <alignment horizontal="left" vertical="center" indent="1"/>
      <protection locked="0"/>
    </xf>
    <xf numFmtId="4" fontId="27" fillId="19" borderId="138" xfId="0" applyNumberFormat="1" applyFont="1" applyFill="1" applyBorder="1" applyAlignment="1">
      <alignment horizontal="center" vertical="center"/>
    </xf>
    <xf numFmtId="4" fontId="27" fillId="19" borderId="139" xfId="0" applyNumberFormat="1" applyFont="1" applyFill="1" applyBorder="1" applyAlignment="1">
      <alignment horizontal="center" vertical="center"/>
    </xf>
    <xf numFmtId="165" fontId="27" fillId="19" borderId="138" xfId="0" quotePrefix="1" applyNumberFormat="1" applyFont="1" applyFill="1" applyBorder="1" applyAlignment="1">
      <alignment horizontal="center" vertical="center"/>
    </xf>
    <xf numFmtId="14" fontId="27" fillId="19" borderId="140" xfId="0" quotePrefix="1" applyNumberFormat="1" applyFont="1" applyFill="1" applyBorder="1" applyAlignment="1">
      <alignment horizontal="center" vertical="center"/>
    </xf>
    <xf numFmtId="164" fontId="19" fillId="0" borderId="0" xfId="0" applyFont="1" applyAlignment="1"/>
    <xf numFmtId="4" fontId="19" fillId="0" borderId="1" xfId="0" applyNumberFormat="1" applyFont="1" applyBorder="1" applyAlignment="1">
      <alignment horizontal="right" vertical="center"/>
    </xf>
    <xf numFmtId="164" fontId="19" fillId="0" borderId="1" xfId="0" applyFont="1" applyBorder="1" applyAlignment="1">
      <alignment horizontal="left" vertical="center"/>
    </xf>
    <xf numFmtId="165" fontId="19" fillId="0" borderId="1" xfId="0" applyNumberFormat="1" applyFont="1" applyBorder="1" applyAlignment="1">
      <alignment horizontal="center" vertical="center"/>
    </xf>
    <xf numFmtId="164" fontId="19" fillId="4" borderId="0" xfId="0" applyFont="1" applyFill="1" applyAlignment="1">
      <alignment vertical="center"/>
    </xf>
    <xf numFmtId="4" fontId="19" fillId="18" borderId="9" xfId="0" applyNumberFormat="1" applyFont="1" applyFill="1" applyBorder="1" applyAlignment="1">
      <alignment horizontal="right" vertical="center"/>
    </xf>
    <xf numFmtId="4" fontId="19" fillId="18" borderId="9" xfId="0" applyNumberFormat="1" applyFont="1" applyFill="1" applyBorder="1" applyAlignment="1">
      <alignment horizontal="left" vertical="center"/>
    </xf>
    <xf numFmtId="165" fontId="30" fillId="18" borderId="9" xfId="0" applyNumberFormat="1" applyFont="1" applyFill="1" applyBorder="1" applyAlignment="1">
      <alignment horizontal="left" vertical="center"/>
    </xf>
    <xf numFmtId="164" fontId="19" fillId="4" borderId="0" xfId="0" applyFont="1" applyFill="1" applyAlignment="1">
      <alignment horizontal="right" vertical="center"/>
    </xf>
    <xf numFmtId="4" fontId="27" fillId="24" borderId="141" xfId="0" applyNumberFormat="1" applyFont="1" applyFill="1" applyBorder="1" applyAlignment="1">
      <alignment horizontal="center" vertical="center"/>
    </xf>
    <xf numFmtId="164" fontId="19" fillId="4" borderId="0" xfId="0" applyFont="1" applyFill="1" applyBorder="1" applyAlignment="1">
      <alignment vertical="center"/>
    </xf>
    <xf numFmtId="4" fontId="19" fillId="18" borderId="7" xfId="0" applyNumberFormat="1" applyFont="1" applyFill="1" applyBorder="1" applyAlignment="1">
      <alignment horizontal="right" vertical="center"/>
    </xf>
    <xf numFmtId="164" fontId="19" fillId="18" borderId="7" xfId="0" applyFont="1" applyFill="1" applyBorder="1" applyAlignment="1">
      <alignment horizontal="left" vertical="center"/>
    </xf>
    <xf numFmtId="165" fontId="19" fillId="18" borderId="7" xfId="0" applyNumberFormat="1" applyFont="1" applyFill="1" applyBorder="1" applyAlignment="1">
      <alignment horizontal="center" vertical="center"/>
    </xf>
    <xf numFmtId="4" fontId="19" fillId="20" borderId="65" xfId="0" applyNumberFormat="1" applyFont="1" applyFill="1" applyBorder="1" applyAlignment="1">
      <alignment horizontal="right" vertical="center"/>
    </xf>
    <xf numFmtId="4" fontId="27" fillId="20" borderId="65" xfId="0" applyNumberFormat="1" applyFont="1" applyFill="1" applyBorder="1" applyAlignment="1">
      <alignment horizontal="left" vertical="center"/>
    </xf>
    <xf numFmtId="164" fontId="19" fillId="0" borderId="0" xfId="0" applyFont="1" applyFill="1" applyAlignment="1">
      <alignment horizontal="right" vertical="center"/>
    </xf>
    <xf numFmtId="4" fontId="19" fillId="20" borderId="9" xfId="0" applyNumberFormat="1" applyFont="1" applyFill="1" applyBorder="1" applyAlignment="1">
      <alignment horizontal="right" vertical="center"/>
    </xf>
    <xf numFmtId="4" fontId="27" fillId="20" borderId="9" xfId="0" applyNumberFormat="1" applyFont="1" applyFill="1" applyBorder="1" applyAlignment="1">
      <alignment horizontal="left" vertical="center"/>
    </xf>
    <xf numFmtId="4" fontId="19" fillId="20" borderId="66" xfId="0" applyNumberFormat="1" applyFont="1" applyFill="1" applyBorder="1" applyAlignment="1">
      <alignment horizontal="right" vertical="center"/>
    </xf>
    <xf numFmtId="4" fontId="27" fillId="20" borderId="66" xfId="0" applyNumberFormat="1" applyFont="1" applyFill="1" applyBorder="1" applyAlignment="1">
      <alignment horizontal="left" vertical="center"/>
    </xf>
    <xf numFmtId="4" fontId="19" fillId="11" borderId="62" xfId="0" applyNumberFormat="1" applyFont="1" applyFill="1" applyBorder="1" applyAlignment="1">
      <alignment horizontal="right" vertical="center"/>
    </xf>
    <xf numFmtId="4" fontId="27" fillId="11" borderId="62" xfId="0" applyNumberFormat="1" applyFont="1" applyFill="1" applyBorder="1" applyAlignment="1">
      <alignment horizontal="left" vertical="center"/>
    </xf>
    <xf numFmtId="4" fontId="27" fillId="19" borderId="1" xfId="0" applyNumberFormat="1" applyFont="1" applyFill="1" applyBorder="1" applyAlignment="1">
      <alignment horizontal="center" vertical="center"/>
    </xf>
    <xf numFmtId="4" fontId="27" fillId="19" borderId="1" xfId="0" quotePrefix="1" applyNumberFormat="1" applyFont="1" applyFill="1" applyBorder="1" applyAlignment="1">
      <alignment horizontal="center" vertical="center"/>
    </xf>
    <xf numFmtId="40" fontId="30" fillId="18" borderId="9" xfId="0" applyNumberFormat="1" applyFont="1" applyFill="1" applyBorder="1" applyAlignment="1">
      <alignment vertical="center"/>
    </xf>
    <xf numFmtId="164" fontId="22" fillId="0" borderId="0" xfId="0" applyFont="1" applyAlignment="1">
      <alignment horizontal="center" vertical="center"/>
    </xf>
    <xf numFmtId="40" fontId="27" fillId="24" borderId="141" xfId="0" applyNumberFormat="1" applyFont="1" applyFill="1" applyBorder="1" applyAlignment="1">
      <alignment vertical="center"/>
    </xf>
    <xf numFmtId="4" fontId="27" fillId="24" borderId="141" xfId="0" applyNumberFormat="1" applyFont="1" applyFill="1" applyBorder="1" applyAlignment="1">
      <alignment horizontal="right" vertical="center"/>
    </xf>
    <xf numFmtId="165" fontId="27" fillId="24" borderId="141" xfId="0" quotePrefix="1" applyNumberFormat="1" applyFont="1" applyFill="1" applyBorder="1" applyAlignment="1">
      <alignment horizontal="center" vertical="center"/>
    </xf>
    <xf numFmtId="14" fontId="27" fillId="24" borderId="141" xfId="0" applyNumberFormat="1" applyFont="1" applyFill="1" applyBorder="1" applyAlignment="1">
      <alignment horizontal="center" vertical="center"/>
    </xf>
    <xf numFmtId="164" fontId="22" fillId="4" borderId="0" xfId="0" applyFont="1" applyFill="1" applyBorder="1" applyAlignment="1">
      <alignment horizontal="center" vertical="center"/>
    </xf>
    <xf numFmtId="40" fontId="27" fillId="18" borderId="9" xfId="0" applyNumberFormat="1" applyFont="1" applyFill="1" applyBorder="1" applyAlignment="1">
      <alignment vertical="center"/>
    </xf>
    <xf numFmtId="4" fontId="27" fillId="15" borderId="102" xfId="0" applyNumberFormat="1" applyFont="1" applyFill="1" applyBorder="1" applyAlignment="1">
      <alignment horizontal="center" vertical="center"/>
    </xf>
    <xf numFmtId="4" fontId="27" fillId="13" borderId="9" xfId="0" applyNumberFormat="1" applyFont="1" applyFill="1" applyBorder="1" applyAlignment="1">
      <alignment vertical="center"/>
    </xf>
    <xf numFmtId="164" fontId="0" fillId="0" borderId="0" xfId="0" applyAlignment="1"/>
    <xf numFmtId="4" fontId="27" fillId="16" borderId="142" xfId="0" applyNumberFormat="1" applyFont="1" applyFill="1" applyBorder="1" applyAlignment="1">
      <alignment vertical="center"/>
    </xf>
    <xf numFmtId="40" fontId="27" fillId="11" borderId="142" xfId="0" applyNumberFormat="1" applyFont="1" applyFill="1" applyBorder="1" applyAlignment="1">
      <alignment vertical="center"/>
    </xf>
    <xf numFmtId="4" fontId="27" fillId="11" borderId="142" xfId="0" applyNumberFormat="1" applyFont="1" applyFill="1" applyBorder="1" applyAlignment="1">
      <alignment vertical="center"/>
    </xf>
    <xf numFmtId="4" fontId="27" fillId="11" borderId="142" xfId="0" applyNumberFormat="1" applyFont="1" applyFill="1" applyBorder="1" applyAlignment="1">
      <alignment horizontal="left" vertical="center"/>
    </xf>
    <xf numFmtId="4" fontId="27" fillId="4" borderId="0" xfId="0" applyNumberFormat="1" applyFont="1" applyFill="1" applyBorder="1" applyAlignment="1">
      <alignment horizontal="left" vertical="center"/>
    </xf>
    <xf numFmtId="40" fontId="27" fillId="13" borderId="9" xfId="0" applyNumberFormat="1" applyFont="1" applyFill="1" applyBorder="1" applyAlignment="1">
      <alignment vertical="center"/>
    </xf>
    <xf numFmtId="40" fontId="27" fillId="13" borderId="65" xfId="0" applyNumberFormat="1" applyFont="1" applyFill="1" applyBorder="1" applyAlignment="1">
      <alignment vertical="center"/>
    </xf>
    <xf numFmtId="4" fontId="19" fillId="20" borderId="143" xfId="0" applyNumberFormat="1" applyFont="1" applyFill="1" applyBorder="1" applyAlignment="1">
      <alignment horizontal="right" vertical="center"/>
    </xf>
    <xf numFmtId="40" fontId="27" fillId="16" borderId="142" xfId="0" applyNumberFormat="1" applyFont="1" applyFill="1" applyBorder="1" applyAlignment="1">
      <alignment vertical="center"/>
    </xf>
    <xf numFmtId="40" fontId="27" fillId="28" borderId="1" xfId="0" quotePrefix="1" applyNumberFormat="1" applyFont="1" applyFill="1" applyBorder="1" applyAlignment="1">
      <alignment horizontal="center" vertical="center"/>
    </xf>
    <xf numFmtId="40" fontId="41" fillId="11" borderId="16" xfId="0" applyNumberFormat="1" applyFont="1" applyFill="1" applyBorder="1" applyAlignment="1">
      <alignment horizontal="center" vertical="center"/>
    </xf>
    <xf numFmtId="4" fontId="19" fillId="0" borderId="144" xfId="0" applyNumberFormat="1" applyFont="1" applyBorder="1" applyAlignment="1">
      <alignment horizontal="right" vertical="center" indent="1"/>
    </xf>
    <xf numFmtId="4" fontId="19" fillId="0" borderId="145" xfId="0" applyNumberFormat="1" applyFont="1" applyBorder="1" applyAlignment="1">
      <alignment horizontal="right" vertical="center" indent="1"/>
    </xf>
    <xf numFmtId="4" fontId="19" fillId="4" borderId="0" xfId="0" applyNumberFormat="1" applyFont="1" applyFill="1" applyAlignment="1">
      <alignment horizontal="right" vertical="center" indent="1"/>
    </xf>
    <xf numFmtId="4" fontId="22" fillId="0" borderId="146" xfId="0" applyNumberFormat="1" applyFont="1" applyBorder="1" applyAlignment="1" applyProtection="1">
      <alignment horizontal="right" vertical="center" indent="1"/>
      <protection locked="0"/>
    </xf>
    <xf numFmtId="4" fontId="22" fillId="0" borderId="103" xfId="0" applyNumberFormat="1" applyFont="1" applyBorder="1" applyAlignment="1" applyProtection="1">
      <alignment horizontal="right" vertical="center" indent="1"/>
      <protection locked="0"/>
    </xf>
    <xf numFmtId="4" fontId="22" fillId="0" borderId="147" xfId="0" applyNumberFormat="1" applyFont="1" applyBorder="1" applyAlignment="1" applyProtection="1">
      <alignment horizontal="right" vertical="center" indent="1"/>
      <protection locked="0"/>
    </xf>
    <xf numFmtId="4" fontId="22" fillId="0" borderId="148" xfId="0" applyNumberFormat="1" applyFont="1" applyBorder="1" applyAlignment="1" applyProtection="1">
      <alignment horizontal="right" vertical="center" indent="1"/>
      <protection locked="0"/>
    </xf>
    <xf numFmtId="4" fontId="22" fillId="4" borderId="103" xfId="0" applyNumberFormat="1" applyFont="1" applyFill="1" applyBorder="1" applyAlignment="1" applyProtection="1">
      <alignment horizontal="right" vertical="center" indent="1"/>
      <protection locked="0"/>
    </xf>
    <xf numFmtId="4" fontId="22" fillId="0" borderId="124" xfId="0" applyNumberFormat="1" applyFont="1" applyBorder="1" applyAlignment="1" applyProtection="1">
      <alignment horizontal="right" vertical="center" indent="1"/>
      <protection locked="0"/>
    </xf>
    <xf numFmtId="4" fontId="22" fillId="0" borderId="123" xfId="0" applyNumberFormat="1" applyFont="1" applyBorder="1" applyAlignment="1" applyProtection="1">
      <alignment horizontal="left" vertical="center" indent="1"/>
      <protection locked="0"/>
    </xf>
    <xf numFmtId="14" fontId="22" fillId="0" borderId="149" xfId="0" applyNumberFormat="1" applyFont="1" applyBorder="1" applyAlignment="1" applyProtection="1">
      <alignment horizontal="center" vertical="center"/>
      <protection locked="0"/>
    </xf>
    <xf numFmtId="14" fontId="22" fillId="0" borderId="136" xfId="0" applyNumberFormat="1" applyFont="1" applyBorder="1" applyAlignment="1" applyProtection="1">
      <alignment horizontal="center" vertical="center"/>
      <protection locked="0"/>
    </xf>
    <xf numFmtId="4" fontId="22" fillId="13" borderId="35" xfId="0" applyNumberFormat="1" applyFont="1" applyFill="1" applyBorder="1" applyAlignment="1" applyProtection="1">
      <alignment horizontal="right" vertical="center" indent="1"/>
      <protection locked="0"/>
    </xf>
    <xf numFmtId="4" fontId="22" fillId="13" borderId="35" xfId="0" applyNumberFormat="1" applyFont="1" applyFill="1" applyBorder="1" applyAlignment="1" applyProtection="1">
      <alignment horizontal="left" vertical="center" indent="1"/>
      <protection locked="0"/>
    </xf>
    <xf numFmtId="14" fontId="22" fillId="13" borderId="35" xfId="0" applyNumberFormat="1" applyFont="1" applyFill="1" applyBorder="1" applyAlignment="1" applyProtection="1">
      <alignment horizontal="center" vertical="center"/>
      <protection locked="0"/>
    </xf>
    <xf numFmtId="164" fontId="22" fillId="0" borderId="2" xfId="0" applyFont="1" applyBorder="1" applyAlignment="1">
      <alignment vertical="center"/>
    </xf>
    <xf numFmtId="164" fontId="22" fillId="0" borderId="2" xfId="0" applyFont="1" applyFill="1" applyBorder="1" applyAlignment="1">
      <alignment vertical="center"/>
    </xf>
    <xf numFmtId="4" fontId="22" fillId="16" borderId="2" xfId="0" applyNumberFormat="1" applyFont="1" applyFill="1" applyBorder="1" applyAlignment="1" applyProtection="1">
      <alignment horizontal="right" vertical="center" indent="1"/>
      <protection locked="0"/>
    </xf>
    <xf numFmtId="4" fontId="22" fillId="16" borderId="2" xfId="0" applyNumberFormat="1" applyFont="1" applyFill="1" applyBorder="1" applyAlignment="1" applyProtection="1">
      <alignment horizontal="left" vertical="center" indent="1"/>
      <protection locked="0"/>
    </xf>
    <xf numFmtId="14" fontId="22" fillId="16" borderId="2" xfId="0" applyNumberFormat="1" applyFont="1" applyFill="1" applyBorder="1" applyAlignment="1" applyProtection="1">
      <alignment horizontal="center" vertical="center"/>
      <protection locked="0"/>
    </xf>
    <xf numFmtId="164" fontId="22" fillId="0" borderId="23" xfId="0" applyFont="1" applyFill="1" applyBorder="1" applyAlignment="1">
      <alignment horizontal="right" vertical="center" indent="1"/>
    </xf>
    <xf numFmtId="4" fontId="22" fillId="29" borderId="150" xfId="0" applyNumberFormat="1" applyFont="1" applyFill="1" applyBorder="1" applyAlignment="1">
      <alignment horizontal="center" vertical="center"/>
    </xf>
    <xf numFmtId="165" fontId="22" fillId="29" borderId="150" xfId="0" quotePrefix="1" applyNumberFormat="1" applyFont="1" applyFill="1" applyBorder="1" applyAlignment="1">
      <alignment horizontal="center" vertical="center"/>
    </xf>
    <xf numFmtId="14" fontId="22" fillId="29" borderId="150" xfId="0" quotePrefix="1" applyNumberFormat="1" applyFont="1" applyFill="1" applyBorder="1" applyAlignment="1">
      <alignment horizontal="center" vertical="center"/>
    </xf>
    <xf numFmtId="4" fontId="19" fillId="12" borderId="26" xfId="0" applyNumberFormat="1" applyFont="1" applyFill="1" applyBorder="1" applyAlignment="1">
      <alignment horizontal="right" vertical="center" indent="1"/>
    </xf>
    <xf numFmtId="4" fontId="19" fillId="12" borderId="26" xfId="0" applyNumberFormat="1" applyFont="1" applyFill="1" applyBorder="1" applyAlignment="1">
      <alignment horizontal="left" vertical="center"/>
    </xf>
    <xf numFmtId="165" fontId="30" fillId="12" borderId="26" xfId="0" applyNumberFormat="1" applyFont="1" applyFill="1" applyBorder="1" applyAlignment="1">
      <alignment horizontal="left" vertical="center" indent="1"/>
    </xf>
    <xf numFmtId="4" fontId="22" fillId="13" borderId="2" xfId="0" applyNumberFormat="1" applyFont="1" applyFill="1" applyBorder="1" applyAlignment="1" applyProtection="1">
      <alignment horizontal="right" vertical="center" indent="1"/>
      <protection locked="0"/>
    </xf>
    <xf numFmtId="4" fontId="22" fillId="13" borderId="2" xfId="0" applyNumberFormat="1" applyFont="1" applyFill="1" applyBorder="1" applyAlignment="1" applyProtection="1">
      <alignment horizontal="left" vertical="center" indent="1"/>
      <protection locked="0"/>
    </xf>
    <xf numFmtId="14" fontId="22" fillId="13" borderId="2" xfId="0" applyNumberFormat="1" applyFont="1" applyFill="1" applyBorder="1" applyAlignment="1" applyProtection="1">
      <alignment horizontal="center" vertical="center"/>
      <protection locked="0"/>
    </xf>
    <xf numFmtId="4" fontId="72" fillId="20" borderId="151" xfId="0" applyNumberFormat="1" applyFont="1" applyFill="1" applyBorder="1" applyAlignment="1">
      <alignment horizontal="right" vertical="center" indent="1"/>
    </xf>
    <xf numFmtId="4" fontId="22" fillId="20" borderId="151" xfId="0" applyNumberFormat="1" applyFont="1" applyFill="1" applyBorder="1" applyAlignment="1">
      <alignment horizontal="right" vertical="center" indent="1"/>
    </xf>
    <xf numFmtId="4" fontId="27" fillId="20" borderId="151" xfId="0" applyNumberFormat="1" applyFont="1" applyFill="1" applyBorder="1" applyAlignment="1">
      <alignment horizontal="left" vertical="center" indent="1"/>
    </xf>
    <xf numFmtId="4" fontId="72" fillId="20" borderId="25" xfId="0" applyNumberFormat="1" applyFont="1" applyFill="1" applyBorder="1" applyAlignment="1">
      <alignment horizontal="right" vertical="center" indent="1"/>
    </xf>
    <xf numFmtId="4" fontId="22" fillId="20" borderId="25" xfId="0" applyNumberFormat="1" applyFont="1" applyFill="1" applyBorder="1" applyAlignment="1">
      <alignment horizontal="right" vertical="center" indent="1"/>
    </xf>
    <xf numFmtId="4" fontId="27" fillId="20" borderId="25" xfId="0" applyNumberFormat="1" applyFont="1" applyFill="1" applyBorder="1" applyAlignment="1">
      <alignment horizontal="left" vertical="center" indent="1"/>
    </xf>
    <xf numFmtId="4" fontId="27" fillId="19" borderId="27" xfId="0" applyNumberFormat="1" applyFont="1" applyFill="1" applyBorder="1" applyAlignment="1">
      <alignment horizontal="center" vertical="center"/>
    </xf>
    <xf numFmtId="4" fontId="27" fillId="19" borderId="27" xfId="0" quotePrefix="1" applyNumberFormat="1" applyFont="1" applyFill="1" applyBorder="1" applyAlignment="1">
      <alignment horizontal="center" vertical="center"/>
    </xf>
    <xf numFmtId="4" fontId="19" fillId="0" borderId="0" xfId="0" applyNumberFormat="1" applyFont="1" applyBorder="1" applyAlignment="1">
      <alignment horizontal="right" vertical="center" indent="1"/>
    </xf>
    <xf numFmtId="4" fontId="22" fillId="0" borderId="152" xfId="0" applyNumberFormat="1" applyFont="1" applyBorder="1" applyAlignment="1" applyProtection="1">
      <alignment horizontal="right" vertical="center" indent="1"/>
      <protection locked="0"/>
    </xf>
    <xf numFmtId="4" fontId="22" fillId="26" borderId="126" xfId="0" applyNumberFormat="1" applyFont="1" applyFill="1" applyBorder="1" applyAlignment="1" applyProtection="1">
      <alignment horizontal="right" vertical="center" indent="1"/>
      <protection locked="0"/>
    </xf>
    <xf numFmtId="4" fontId="22" fillId="26" borderId="122" xfId="0" applyNumberFormat="1" applyFont="1" applyFill="1" applyBorder="1" applyAlignment="1" applyProtection="1">
      <alignment horizontal="left" vertical="center" indent="1"/>
      <protection locked="0"/>
    </xf>
    <xf numFmtId="14" fontId="22" fillId="26" borderId="133" xfId="0" quotePrefix="1" applyNumberFormat="1" applyFont="1" applyFill="1" applyBorder="1" applyAlignment="1" applyProtection="1">
      <alignment horizontal="center" vertical="center"/>
      <protection locked="0"/>
    </xf>
    <xf numFmtId="4" fontId="22" fillId="27" borderId="122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53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54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26" xfId="0" applyNumberFormat="1" applyFont="1" applyFill="1" applyBorder="1" applyAlignment="1" applyProtection="1">
      <alignment horizontal="right" vertical="center" indent="1"/>
      <protection locked="0"/>
    </xf>
    <xf numFmtId="4" fontId="22" fillId="27" borderId="122" xfId="0" applyNumberFormat="1" applyFont="1" applyFill="1" applyBorder="1" applyAlignment="1" applyProtection="1">
      <alignment horizontal="center" vertical="center"/>
      <protection locked="0"/>
    </xf>
    <xf numFmtId="14" fontId="22" fillId="27" borderId="133" xfId="0" quotePrefix="1" applyNumberFormat="1" applyFont="1" applyFill="1" applyBorder="1" applyAlignment="1" applyProtection="1">
      <alignment horizontal="center" vertical="center"/>
      <protection locked="0"/>
    </xf>
    <xf numFmtId="4" fontId="22" fillId="26" borderId="155" xfId="0" applyNumberFormat="1" applyFont="1" applyFill="1" applyBorder="1" applyAlignment="1">
      <alignment horizontal="right" vertical="center" indent="1"/>
    </xf>
    <xf numFmtId="4" fontId="22" fillId="26" borderId="156" xfId="0" applyNumberFormat="1" applyFont="1" applyFill="1" applyBorder="1" applyAlignment="1">
      <alignment horizontal="right" vertical="center" indent="1"/>
    </xf>
    <xf numFmtId="4" fontId="22" fillId="26" borderId="156" xfId="0" applyNumberFormat="1" applyFont="1" applyFill="1" applyBorder="1" applyAlignment="1">
      <alignment horizontal="left" vertical="center"/>
    </xf>
    <xf numFmtId="165" fontId="27" fillId="26" borderId="157" xfId="0" applyNumberFormat="1" applyFont="1" applyFill="1" applyBorder="1" applyAlignment="1">
      <alignment horizontal="center" vertical="center"/>
    </xf>
    <xf numFmtId="4" fontId="19" fillId="12" borderId="28" xfId="0" applyNumberFormat="1" applyFont="1" applyFill="1" applyBorder="1" applyAlignment="1">
      <alignment horizontal="right" vertical="center" indent="1"/>
    </xf>
    <xf numFmtId="4" fontId="19" fillId="12" borderId="28" xfId="0" applyNumberFormat="1" applyFont="1" applyFill="1" applyBorder="1" applyAlignment="1">
      <alignment horizontal="left" vertical="center"/>
    </xf>
    <xf numFmtId="165" fontId="30" fillId="12" borderId="28" xfId="0" applyNumberFormat="1" applyFont="1" applyFill="1" applyBorder="1" applyAlignment="1">
      <alignment horizontal="left" vertical="center" indent="1"/>
    </xf>
    <xf numFmtId="4" fontId="19" fillId="12" borderId="25" xfId="0" applyNumberFormat="1" applyFont="1" applyFill="1" applyBorder="1" applyAlignment="1">
      <alignment horizontal="right" vertical="center" indent="1"/>
    </xf>
    <xf numFmtId="4" fontId="19" fillId="12" borderId="25" xfId="0" applyNumberFormat="1" applyFont="1" applyFill="1" applyBorder="1" applyAlignment="1">
      <alignment horizontal="left" vertical="center"/>
    </xf>
    <xf numFmtId="165" fontId="30" fillId="12" borderId="25" xfId="0" applyNumberFormat="1" applyFont="1" applyFill="1" applyBorder="1" applyAlignment="1">
      <alignment horizontal="left" vertical="center" indent="1"/>
    </xf>
    <xf numFmtId="4" fontId="22" fillId="29" borderId="158" xfId="0" applyNumberFormat="1" applyFont="1" applyFill="1" applyBorder="1" applyAlignment="1">
      <alignment horizontal="center" vertical="center"/>
    </xf>
    <xf numFmtId="4" fontId="22" fillId="29" borderId="159" xfId="0" applyNumberFormat="1" applyFont="1" applyFill="1" applyBorder="1" applyAlignment="1">
      <alignment horizontal="center" vertical="center"/>
    </xf>
    <xf numFmtId="4" fontId="22" fillId="29" borderId="160" xfId="0" applyNumberFormat="1" applyFont="1" applyFill="1" applyBorder="1" applyAlignment="1">
      <alignment horizontal="center" vertical="center"/>
    </xf>
    <xf numFmtId="165" fontId="22" fillId="29" borderId="158" xfId="0" quotePrefix="1" applyNumberFormat="1" applyFont="1" applyFill="1" applyBorder="1" applyAlignment="1">
      <alignment horizontal="center" vertical="center"/>
    </xf>
    <xf numFmtId="14" fontId="22" fillId="29" borderId="158" xfId="0" quotePrefix="1" applyNumberFormat="1" applyFont="1" applyFill="1" applyBorder="1" applyAlignment="1">
      <alignment horizontal="center" vertical="center"/>
    </xf>
    <xf numFmtId="4" fontId="19" fillId="20" borderId="25" xfId="0" applyNumberFormat="1" applyFont="1" applyFill="1" applyBorder="1" applyAlignment="1">
      <alignment horizontal="right" vertical="center" indent="1"/>
    </xf>
    <xf numFmtId="4" fontId="19" fillId="11" borderId="161" xfId="0" applyNumberFormat="1" applyFont="1" applyFill="1" applyBorder="1" applyAlignment="1">
      <alignment horizontal="right" vertical="center" indent="1"/>
    </xf>
    <xf numFmtId="4" fontId="22" fillId="11" borderId="161" xfId="0" applyNumberFormat="1" applyFont="1" applyFill="1" applyBorder="1" applyAlignment="1" applyProtection="1">
      <alignment horizontal="right" vertical="center" indent="1"/>
      <protection locked="0"/>
    </xf>
    <xf numFmtId="4" fontId="19" fillId="11" borderId="84" xfId="0" applyNumberFormat="1" applyFont="1" applyFill="1" applyBorder="1" applyAlignment="1">
      <alignment horizontal="right" vertical="center" indent="1"/>
    </xf>
    <xf numFmtId="4" fontId="27" fillId="11" borderId="161" xfId="0" applyNumberFormat="1" applyFont="1" applyFill="1" applyBorder="1" applyAlignment="1">
      <alignment horizontal="left" vertical="center" indent="1"/>
    </xf>
    <xf numFmtId="164" fontId="19" fillId="4" borderId="0" xfId="0" applyFont="1" applyFill="1" applyAlignment="1">
      <alignment horizontal="right" vertical="center" indent="1"/>
    </xf>
    <xf numFmtId="164" fontId="19" fillId="0" borderId="0" xfId="0" applyFont="1"/>
    <xf numFmtId="4" fontId="19" fillId="0" borderId="149" xfId="0" applyNumberFormat="1" applyFont="1" applyBorder="1" applyAlignment="1">
      <alignment horizontal="right" vertical="center" indent="1"/>
    </xf>
    <xf numFmtId="164" fontId="19" fillId="0" borderId="0" xfId="0" applyFont="1" applyAlignment="1">
      <alignment horizontal="left" vertical="center"/>
    </xf>
    <xf numFmtId="4" fontId="19" fillId="0" borderId="84" xfId="0" applyNumberFormat="1" applyFont="1" applyBorder="1" applyAlignment="1">
      <alignment horizontal="right" vertical="center" indent="1"/>
    </xf>
    <xf numFmtId="4" fontId="19" fillId="0" borderId="162" xfId="0" applyNumberFormat="1" applyFont="1" applyBorder="1" applyAlignment="1">
      <alignment horizontal="right" vertical="center" indent="1"/>
    </xf>
    <xf numFmtId="164" fontId="19" fillId="0" borderId="84" xfId="0" applyFont="1" applyBorder="1" applyAlignment="1">
      <alignment horizontal="left" vertical="center"/>
    </xf>
    <xf numFmtId="165" fontId="19" fillId="0" borderId="84" xfId="0" applyNumberFormat="1" applyFont="1" applyBorder="1" applyAlignment="1">
      <alignment horizontal="center" vertical="center"/>
    </xf>
    <xf numFmtId="164" fontId="19" fillId="0" borderId="84" xfId="0" applyFont="1" applyBorder="1" applyAlignment="1">
      <alignment vertical="center"/>
    </xf>
    <xf numFmtId="164" fontId="22" fillId="0" borderId="0" xfId="0" applyFont="1"/>
    <xf numFmtId="4" fontId="22" fillId="30" borderId="8" xfId="0" applyNumberFormat="1" applyFont="1" applyFill="1" applyBorder="1" applyAlignment="1">
      <alignment horizontal="right" vertical="center" indent="1"/>
    </xf>
    <xf numFmtId="4" fontId="22" fillId="30" borderId="127" xfId="0" applyNumberFormat="1" applyFont="1" applyFill="1" applyBorder="1" applyAlignment="1">
      <alignment horizontal="right" vertical="center" indent="1"/>
    </xf>
    <xf numFmtId="164" fontId="22" fillId="30" borderId="8" xfId="0" applyFont="1" applyFill="1" applyBorder="1" applyAlignment="1">
      <alignment horizontal="left" vertical="center"/>
    </xf>
    <xf numFmtId="165" fontId="22" fillId="30" borderId="8" xfId="0" applyNumberFormat="1" applyFont="1" applyFill="1" applyBorder="1" applyAlignment="1">
      <alignment horizontal="center" vertical="center"/>
    </xf>
    <xf numFmtId="4" fontId="22" fillId="30" borderId="103" xfId="0" applyNumberFormat="1" applyFont="1" applyFill="1" applyBorder="1" applyAlignment="1">
      <alignment horizontal="right" vertical="center" indent="1"/>
    </xf>
    <xf numFmtId="4" fontId="22" fillId="30" borderId="136" xfId="0" applyNumberFormat="1" applyFont="1" applyFill="1" applyBorder="1" applyAlignment="1">
      <alignment horizontal="right" vertical="center" indent="1"/>
    </xf>
    <xf numFmtId="164" fontId="22" fillId="30" borderId="103" xfId="0" applyFont="1" applyFill="1" applyBorder="1" applyAlignment="1">
      <alignment horizontal="left" vertical="center"/>
    </xf>
    <xf numFmtId="165" fontId="22" fillId="30" borderId="103" xfId="0" applyNumberFormat="1" applyFont="1" applyFill="1" applyBorder="1" applyAlignment="1">
      <alignment horizontal="center" vertical="center"/>
    </xf>
    <xf numFmtId="4" fontId="22" fillId="30" borderId="122" xfId="0" applyNumberFormat="1" applyFont="1" applyFill="1" applyBorder="1" applyAlignment="1">
      <alignment horizontal="right" vertical="center" indent="1"/>
    </xf>
    <xf numFmtId="4" fontId="22" fillId="30" borderId="133" xfId="0" applyNumberFormat="1" applyFont="1" applyFill="1" applyBorder="1" applyAlignment="1">
      <alignment horizontal="right" vertical="center" indent="1"/>
    </xf>
    <xf numFmtId="164" fontId="22" fillId="30" borderId="122" xfId="0" applyFont="1" applyFill="1" applyBorder="1" applyAlignment="1">
      <alignment horizontal="left" vertical="center"/>
    </xf>
    <xf numFmtId="165" fontId="22" fillId="30" borderId="122" xfId="0" applyNumberFormat="1" applyFont="1" applyFill="1" applyBorder="1" applyAlignment="1">
      <alignment horizontal="center" vertical="center"/>
    </xf>
    <xf numFmtId="4" fontId="22" fillId="31" borderId="8" xfId="0" applyNumberFormat="1" applyFont="1" applyFill="1" applyBorder="1" applyAlignment="1">
      <alignment horizontal="right" vertical="center" indent="1"/>
    </xf>
    <xf numFmtId="4" fontId="22" fillId="31" borderId="108" xfId="0" applyNumberFormat="1" applyFont="1" applyFill="1" applyBorder="1" applyAlignment="1">
      <alignment horizontal="right" vertical="center" indent="1"/>
    </xf>
    <xf numFmtId="4" fontId="22" fillId="31" borderId="127" xfId="0" applyNumberFormat="1" applyFont="1" applyFill="1" applyBorder="1" applyAlignment="1">
      <alignment horizontal="right" vertical="center" indent="1"/>
    </xf>
    <xf numFmtId="164" fontId="22" fillId="31" borderId="8" xfId="0" applyFont="1" applyFill="1" applyBorder="1" applyAlignment="1">
      <alignment horizontal="left" vertical="center"/>
    </xf>
    <xf numFmtId="165" fontId="22" fillId="31" borderId="8" xfId="0" applyNumberFormat="1" applyFont="1" applyFill="1" applyBorder="1" applyAlignment="1">
      <alignment horizontal="center" vertical="center"/>
    </xf>
    <xf numFmtId="4" fontId="22" fillId="31" borderId="122" xfId="0" applyNumberFormat="1" applyFont="1" applyFill="1" applyBorder="1" applyAlignment="1">
      <alignment horizontal="right" vertical="center" indent="1"/>
    </xf>
    <xf numFmtId="4" fontId="22" fillId="31" borderId="103" xfId="0" applyNumberFormat="1" applyFont="1" applyFill="1" applyBorder="1" applyAlignment="1">
      <alignment horizontal="right" vertical="center" indent="1"/>
    </xf>
    <xf numFmtId="4" fontId="22" fillId="31" borderId="133" xfId="0" applyNumberFormat="1" applyFont="1" applyFill="1" applyBorder="1" applyAlignment="1">
      <alignment horizontal="right" vertical="center" indent="1"/>
    </xf>
    <xf numFmtId="164" fontId="22" fillId="31" borderId="122" xfId="0" applyFont="1" applyFill="1" applyBorder="1" applyAlignment="1">
      <alignment horizontal="left" vertical="center"/>
    </xf>
    <xf numFmtId="165" fontId="22" fillId="31" borderId="122" xfId="0" applyNumberFormat="1" applyFont="1" applyFill="1" applyBorder="1" applyAlignment="1">
      <alignment horizontal="center" vertical="center"/>
    </xf>
    <xf numFmtId="4" fontId="19" fillId="30" borderId="8" xfId="0" applyNumberFormat="1" applyFont="1" applyFill="1" applyBorder="1" applyAlignment="1">
      <alignment horizontal="right" vertical="center" indent="1"/>
    </xf>
    <xf numFmtId="4" fontId="19" fillId="30" borderId="127" xfId="0" applyNumberFormat="1" applyFont="1" applyFill="1" applyBorder="1" applyAlignment="1">
      <alignment horizontal="right" vertical="center" indent="1"/>
    </xf>
    <xf numFmtId="164" fontId="19" fillId="30" borderId="8" xfId="0" applyFont="1" applyFill="1" applyBorder="1" applyAlignment="1">
      <alignment horizontal="left" vertical="center"/>
    </xf>
    <xf numFmtId="165" fontId="19" fillId="30" borderId="8" xfId="0" applyNumberFormat="1" applyFont="1" applyFill="1" applyBorder="1" applyAlignment="1">
      <alignment horizontal="center" vertical="center"/>
    </xf>
    <xf numFmtId="4" fontId="19" fillId="30" borderId="103" xfId="0" applyNumberFormat="1" applyFont="1" applyFill="1" applyBorder="1" applyAlignment="1">
      <alignment horizontal="right" vertical="center" indent="1"/>
    </xf>
    <xf numFmtId="4" fontId="19" fillId="30" borderId="136" xfId="0" applyNumberFormat="1" applyFont="1" applyFill="1" applyBorder="1" applyAlignment="1">
      <alignment horizontal="right" vertical="center" indent="1"/>
    </xf>
    <xf numFmtId="164" fontId="19" fillId="30" borderId="103" xfId="0" applyFont="1" applyFill="1" applyBorder="1" applyAlignment="1">
      <alignment horizontal="left" vertical="center"/>
    </xf>
    <xf numFmtId="165" fontId="19" fillId="30" borderId="103" xfId="0" applyNumberFormat="1" applyFont="1" applyFill="1" applyBorder="1" applyAlignment="1">
      <alignment horizontal="center" vertical="center"/>
    </xf>
    <xf numFmtId="4" fontId="19" fillId="31" borderId="108" xfId="0" applyNumberFormat="1" applyFont="1" applyFill="1" applyBorder="1" applyAlignment="1">
      <alignment horizontal="right" vertical="center" indent="1"/>
    </xf>
    <xf numFmtId="4" fontId="19" fillId="31" borderId="135" xfId="0" applyNumberFormat="1" applyFont="1" applyFill="1" applyBorder="1" applyAlignment="1">
      <alignment horizontal="right" vertical="center" indent="1"/>
    </xf>
    <xf numFmtId="164" fontId="19" fillId="31" borderId="108" xfId="0" applyFont="1" applyFill="1" applyBorder="1" applyAlignment="1">
      <alignment horizontal="left" vertical="center"/>
    </xf>
    <xf numFmtId="165" fontId="19" fillId="31" borderId="108" xfId="0" applyNumberFormat="1" applyFont="1" applyFill="1" applyBorder="1" applyAlignment="1">
      <alignment horizontal="center" vertical="center"/>
    </xf>
    <xf numFmtId="4" fontId="19" fillId="31" borderId="8" xfId="0" applyNumberFormat="1" applyFont="1" applyFill="1" applyBorder="1" applyAlignment="1">
      <alignment horizontal="right" vertical="center" indent="1"/>
    </xf>
    <xf numFmtId="4" fontId="19" fillId="31" borderId="127" xfId="0" applyNumberFormat="1" applyFont="1" applyFill="1" applyBorder="1" applyAlignment="1">
      <alignment horizontal="right" vertical="center" indent="1"/>
    </xf>
    <xf numFmtId="164" fontId="19" fillId="31" borderId="8" xfId="0" applyFont="1" applyFill="1" applyBorder="1" applyAlignment="1">
      <alignment horizontal="left" vertical="center"/>
    </xf>
    <xf numFmtId="165" fontId="19" fillId="31" borderId="8" xfId="0" applyNumberFormat="1" applyFont="1" applyFill="1" applyBorder="1" applyAlignment="1">
      <alignment horizontal="center" vertical="center"/>
    </xf>
    <xf numFmtId="165" fontId="19" fillId="31" borderId="103" xfId="0" applyNumberFormat="1" applyFont="1" applyFill="1" applyBorder="1" applyAlignment="1">
      <alignment horizontal="center" vertical="center"/>
    </xf>
    <xf numFmtId="4" fontId="19" fillId="31" borderId="103" xfId="0" applyNumberFormat="1" applyFont="1" applyFill="1" applyBorder="1" applyAlignment="1">
      <alignment horizontal="right" vertical="center" indent="1"/>
    </xf>
    <xf numFmtId="4" fontId="19" fillId="31" borderId="136" xfId="0" applyNumberFormat="1" applyFont="1" applyFill="1" applyBorder="1" applyAlignment="1">
      <alignment horizontal="right" vertical="center" indent="1"/>
    </xf>
    <xf numFmtId="164" fontId="19" fillId="31" borderId="103" xfId="0" applyFont="1" applyFill="1" applyBorder="1" applyAlignment="1">
      <alignment horizontal="left" vertical="center"/>
    </xf>
    <xf numFmtId="4" fontId="19" fillId="31" borderId="122" xfId="0" applyNumberFormat="1" applyFont="1" applyFill="1" applyBorder="1" applyAlignment="1">
      <alignment horizontal="right" vertical="center" indent="1"/>
    </xf>
    <xf numFmtId="4" fontId="19" fillId="31" borderId="133" xfId="0" applyNumberFormat="1" applyFont="1" applyFill="1" applyBorder="1" applyAlignment="1">
      <alignment horizontal="right" vertical="center" indent="1"/>
    </xf>
    <xf numFmtId="164" fontId="19" fillId="31" borderId="122" xfId="0" applyFont="1" applyFill="1" applyBorder="1" applyAlignment="1">
      <alignment horizontal="left" vertical="center"/>
    </xf>
    <xf numFmtId="165" fontId="19" fillId="31" borderId="122" xfId="0" applyNumberFormat="1" applyFont="1" applyFill="1" applyBorder="1" applyAlignment="1">
      <alignment horizontal="center" vertical="center"/>
    </xf>
    <xf numFmtId="4" fontId="19" fillId="30" borderId="108" xfId="0" applyNumberFormat="1" applyFont="1" applyFill="1" applyBorder="1" applyAlignment="1">
      <alignment horizontal="right" vertical="center" indent="1"/>
    </xf>
    <xf numFmtId="4" fontId="19" fillId="30" borderId="122" xfId="0" applyNumberFormat="1" applyFont="1" applyFill="1" applyBorder="1" applyAlignment="1">
      <alignment horizontal="right" vertical="center" indent="1"/>
    </xf>
    <xf numFmtId="4" fontId="19" fillId="30" borderId="133" xfId="0" applyNumberFormat="1" applyFont="1" applyFill="1" applyBorder="1" applyAlignment="1">
      <alignment horizontal="right" vertical="center" indent="1"/>
    </xf>
    <xf numFmtId="164" fontId="19" fillId="30" borderId="122" xfId="0" applyFont="1" applyFill="1" applyBorder="1" applyAlignment="1">
      <alignment horizontal="left" vertical="center"/>
    </xf>
    <xf numFmtId="165" fontId="19" fillId="30" borderId="122" xfId="0" applyNumberFormat="1" applyFont="1" applyFill="1" applyBorder="1" applyAlignment="1">
      <alignment horizontal="center" vertical="center"/>
    </xf>
    <xf numFmtId="4" fontId="19" fillId="31" borderId="123" xfId="0" applyNumberFormat="1" applyFont="1" applyFill="1" applyBorder="1" applyAlignment="1">
      <alignment horizontal="right" vertical="center" indent="1"/>
    </xf>
    <xf numFmtId="4" fontId="19" fillId="30" borderId="123" xfId="0" applyNumberFormat="1" applyFont="1" applyFill="1" applyBorder="1" applyAlignment="1">
      <alignment horizontal="right" vertical="center" indent="1"/>
    </xf>
    <xf numFmtId="4" fontId="22" fillId="30" borderId="108" xfId="0" applyNumberFormat="1" applyFont="1" applyFill="1" applyBorder="1" applyAlignment="1">
      <alignment horizontal="right" vertical="center" indent="1"/>
    </xf>
    <xf numFmtId="4" fontId="19" fillId="30" borderId="163" xfId="0" applyNumberFormat="1" applyFont="1" applyFill="1" applyBorder="1" applyAlignment="1">
      <alignment horizontal="right" vertical="center" indent="1"/>
    </xf>
    <xf numFmtId="164" fontId="19" fillId="30" borderId="123" xfId="0" applyFont="1" applyFill="1" applyBorder="1" applyAlignment="1">
      <alignment horizontal="left" vertical="center"/>
    </xf>
    <xf numFmtId="165" fontId="19" fillId="30" borderId="123" xfId="0" applyNumberFormat="1" applyFont="1" applyFill="1" applyBorder="1" applyAlignment="1">
      <alignment horizontal="center" vertical="center"/>
    </xf>
    <xf numFmtId="4" fontId="19" fillId="30" borderId="135" xfId="0" applyNumberFormat="1" applyFont="1" applyFill="1" applyBorder="1" applyAlignment="1">
      <alignment horizontal="right" vertical="center" indent="1"/>
    </xf>
    <xf numFmtId="164" fontId="19" fillId="30" borderId="108" xfId="0" applyFont="1" applyFill="1" applyBorder="1" applyAlignment="1">
      <alignment horizontal="left" vertical="center"/>
    </xf>
    <xf numFmtId="165" fontId="19" fillId="30" borderId="108" xfId="0" applyNumberFormat="1" applyFont="1" applyFill="1" applyBorder="1" applyAlignment="1">
      <alignment horizontal="center" vertical="center"/>
    </xf>
    <xf numFmtId="4" fontId="19" fillId="0" borderId="123" xfId="0" applyNumberFormat="1" applyFont="1" applyFill="1" applyBorder="1" applyAlignment="1">
      <alignment horizontal="right" vertical="center" indent="1"/>
    </xf>
    <xf numFmtId="4" fontId="19" fillId="0" borderId="163" xfId="0" applyNumberFormat="1" applyFont="1" applyFill="1" applyBorder="1" applyAlignment="1">
      <alignment horizontal="right" vertical="center" indent="1"/>
    </xf>
    <xf numFmtId="164" fontId="19" fillId="0" borderId="123" xfId="0" applyFont="1" applyFill="1" applyBorder="1" applyAlignment="1">
      <alignment horizontal="left" vertical="center"/>
    </xf>
    <xf numFmtId="165" fontId="19" fillId="0" borderId="123" xfId="0" applyNumberFormat="1" applyFont="1" applyFill="1" applyBorder="1" applyAlignment="1">
      <alignment horizontal="center" vertical="center"/>
    </xf>
    <xf numFmtId="4" fontId="19" fillId="0" borderId="8" xfId="0" applyNumberFormat="1" applyFont="1" applyFill="1" applyBorder="1" applyAlignment="1">
      <alignment horizontal="right" vertical="center" indent="1"/>
    </xf>
    <xf numFmtId="4" fontId="19" fillId="0" borderId="127" xfId="0" applyNumberFormat="1" applyFont="1" applyFill="1" applyBorder="1" applyAlignment="1">
      <alignment horizontal="right" vertical="center" indent="1"/>
    </xf>
    <xf numFmtId="164" fontId="19" fillId="0" borderId="8" xfId="0" applyFont="1" applyFill="1" applyBorder="1" applyAlignment="1">
      <alignment horizontal="left" vertical="center"/>
    </xf>
    <xf numFmtId="165" fontId="19" fillId="0" borderId="8" xfId="0" applyNumberFormat="1" applyFont="1" applyFill="1" applyBorder="1" applyAlignment="1">
      <alignment horizontal="center" vertical="center"/>
    </xf>
    <xf numFmtId="4" fontId="19" fillId="4" borderId="8" xfId="0" applyNumberFormat="1" applyFont="1" applyFill="1" applyBorder="1" applyAlignment="1">
      <alignment horizontal="right" vertical="center" indent="1"/>
    </xf>
    <xf numFmtId="4" fontId="19" fillId="4" borderId="127" xfId="0" applyNumberFormat="1" applyFont="1" applyFill="1" applyBorder="1" applyAlignment="1">
      <alignment horizontal="right" vertical="center" indent="1"/>
    </xf>
    <xf numFmtId="164" fontId="19" fillId="4" borderId="8" xfId="0" applyFont="1" applyFill="1" applyBorder="1" applyAlignment="1">
      <alignment horizontal="left" vertical="center"/>
    </xf>
    <xf numFmtId="165" fontId="19" fillId="4" borderId="8" xfId="0" applyNumberFormat="1" applyFont="1" applyFill="1" applyBorder="1" applyAlignment="1">
      <alignment horizontal="center" vertical="center"/>
    </xf>
    <xf numFmtId="165" fontId="19" fillId="4" borderId="8" xfId="0" quotePrefix="1" applyNumberFormat="1" applyFont="1" applyFill="1" applyBorder="1" applyAlignment="1">
      <alignment horizontal="center" vertical="center"/>
    </xf>
    <xf numFmtId="4" fontId="19" fillId="4" borderId="103" xfId="0" applyNumberFormat="1" applyFont="1" applyFill="1" applyBorder="1" applyAlignment="1">
      <alignment horizontal="right" vertical="center" indent="1"/>
    </xf>
    <xf numFmtId="4" fontId="19" fillId="4" borderId="136" xfId="0" applyNumberFormat="1" applyFont="1" applyFill="1" applyBorder="1" applyAlignment="1">
      <alignment horizontal="right" vertical="center" indent="1"/>
    </xf>
    <xf numFmtId="164" fontId="19" fillId="4" borderId="103" xfId="0" applyFont="1" applyFill="1" applyBorder="1" applyAlignment="1">
      <alignment horizontal="left" vertical="center"/>
    </xf>
    <xf numFmtId="165" fontId="19" fillId="4" borderId="103" xfId="0" quotePrefix="1" applyNumberFormat="1" applyFont="1" applyFill="1" applyBorder="1" applyAlignment="1">
      <alignment horizontal="center" vertical="center"/>
    </xf>
    <xf numFmtId="164" fontId="19" fillId="0" borderId="0" xfId="0" applyFont="1" applyFill="1" applyAlignment="1">
      <alignment vertical="center"/>
    </xf>
    <xf numFmtId="164" fontId="28" fillId="0" borderId="0" xfId="0" applyFont="1"/>
    <xf numFmtId="4" fontId="27" fillId="20" borderId="164" xfId="0" applyNumberFormat="1" applyFont="1" applyFill="1" applyBorder="1" applyAlignment="1">
      <alignment horizontal="right" vertical="center" indent="1"/>
    </xf>
    <xf numFmtId="4" fontId="27" fillId="20" borderId="165" xfId="0" applyNumberFormat="1" applyFont="1" applyFill="1" applyBorder="1" applyAlignment="1">
      <alignment horizontal="right" vertical="center" indent="1"/>
    </xf>
    <xf numFmtId="164" fontId="27" fillId="20" borderId="164" xfId="0" applyFont="1" applyFill="1" applyBorder="1" applyAlignment="1">
      <alignment horizontal="left" vertical="center"/>
    </xf>
    <xf numFmtId="165" fontId="27" fillId="20" borderId="164" xfId="0" quotePrefix="1" applyNumberFormat="1" applyFont="1" applyFill="1" applyBorder="1" applyAlignment="1">
      <alignment horizontal="left" vertical="center"/>
    </xf>
    <xf numFmtId="164" fontId="28" fillId="0" borderId="0" xfId="0" applyFont="1" applyAlignment="1">
      <alignment horizontal="center" vertical="center"/>
    </xf>
    <xf numFmtId="164" fontId="26" fillId="0" borderId="0" xfId="0" applyFont="1"/>
    <xf numFmtId="4" fontId="30" fillId="20" borderId="164" xfId="0" applyNumberFormat="1" applyFont="1" applyFill="1" applyBorder="1" applyAlignment="1">
      <alignment horizontal="right" vertical="center" indent="1"/>
    </xf>
    <xf numFmtId="4" fontId="30" fillId="20" borderId="165" xfId="0" applyNumberFormat="1" applyFont="1" applyFill="1" applyBorder="1" applyAlignment="1">
      <alignment horizontal="right" vertical="center" indent="1"/>
    </xf>
    <xf numFmtId="164" fontId="30" fillId="20" borderId="164" xfId="0" applyFont="1" applyFill="1" applyBorder="1" applyAlignment="1">
      <alignment horizontal="left" vertical="center"/>
    </xf>
    <xf numFmtId="165" fontId="30" fillId="20" borderId="164" xfId="0" quotePrefix="1" applyNumberFormat="1" applyFont="1" applyFill="1" applyBorder="1" applyAlignment="1">
      <alignment horizontal="left" vertical="center"/>
    </xf>
    <xf numFmtId="164" fontId="26" fillId="0" borderId="0" xfId="0" applyFont="1" applyAlignment="1">
      <alignment horizontal="center" vertical="center"/>
    </xf>
    <xf numFmtId="4" fontId="30" fillId="20" borderId="166" xfId="0" applyNumberFormat="1" applyFont="1" applyFill="1" applyBorder="1" applyAlignment="1">
      <alignment horizontal="right" vertical="center" indent="1"/>
    </xf>
    <xf numFmtId="4" fontId="30" fillId="20" borderId="167" xfId="0" applyNumberFormat="1" applyFont="1" applyFill="1" applyBorder="1" applyAlignment="1">
      <alignment horizontal="right" vertical="center" indent="1"/>
    </xf>
    <xf numFmtId="164" fontId="30" fillId="20" borderId="166" xfId="0" applyFont="1" applyFill="1" applyBorder="1" applyAlignment="1">
      <alignment horizontal="left" vertical="center"/>
    </xf>
    <xf numFmtId="165" fontId="30" fillId="20" borderId="166" xfId="0" quotePrefix="1" applyNumberFormat="1" applyFont="1" applyFill="1" applyBorder="1" applyAlignment="1">
      <alignment horizontal="left" vertical="center"/>
    </xf>
    <xf numFmtId="4" fontId="27" fillId="11" borderId="0" xfId="0" applyNumberFormat="1" applyFont="1" applyFill="1" applyBorder="1" applyAlignment="1">
      <alignment horizontal="center" vertical="center"/>
    </xf>
    <xf numFmtId="4" fontId="27" fillId="11" borderId="0" xfId="0" applyNumberFormat="1" applyFont="1" applyFill="1" applyBorder="1" applyAlignment="1">
      <alignment horizontal="right" vertical="center" indent="1"/>
    </xf>
    <xf numFmtId="4" fontId="27" fillId="11" borderId="149" xfId="0" applyNumberFormat="1" applyFont="1" applyFill="1" applyBorder="1" applyAlignment="1">
      <alignment horizontal="right" vertical="center" indent="1"/>
    </xf>
    <xf numFmtId="165" fontId="27" fillId="11" borderId="0" xfId="0" quotePrefix="1" applyNumberFormat="1" applyFont="1" applyFill="1" applyBorder="1" applyAlignment="1">
      <alignment horizontal="center" vertical="center"/>
    </xf>
    <xf numFmtId="14" fontId="27" fillId="11" borderId="0" xfId="0" applyNumberFormat="1" applyFont="1" applyFill="1" applyBorder="1" applyAlignment="1">
      <alignment horizontal="center" vertical="center"/>
    </xf>
    <xf numFmtId="4" fontId="27" fillId="11" borderId="149" xfId="0" applyNumberFormat="1" applyFont="1" applyFill="1" applyBorder="1" applyAlignment="1">
      <alignment horizontal="center" vertical="center"/>
    </xf>
    <xf numFmtId="164" fontId="22" fillId="19" borderId="84" xfId="0" applyFont="1" applyFill="1" applyBorder="1" applyAlignment="1">
      <alignment horizontal="center" vertical="center"/>
    </xf>
    <xf numFmtId="4" fontId="27" fillId="19" borderId="84" xfId="0" applyNumberFormat="1" applyFont="1" applyFill="1" applyBorder="1" applyAlignment="1">
      <alignment horizontal="center" vertical="center"/>
    </xf>
    <xf numFmtId="4" fontId="27" fillId="19" borderId="162" xfId="0" applyNumberFormat="1" applyFont="1" applyFill="1" applyBorder="1" applyAlignment="1">
      <alignment horizontal="right" vertical="center" indent="1"/>
    </xf>
    <xf numFmtId="165" fontId="27" fillId="19" borderId="84" xfId="0" quotePrefix="1" applyNumberFormat="1" applyFont="1" applyFill="1" applyBorder="1" applyAlignment="1">
      <alignment horizontal="center" vertical="center"/>
    </xf>
    <xf numFmtId="14" fontId="27" fillId="19" borderId="168" xfId="0" quotePrefix="1" applyNumberFormat="1" applyFont="1" applyFill="1" applyBorder="1" applyAlignment="1">
      <alignment horizontal="center" vertical="center"/>
    </xf>
    <xf numFmtId="14" fontId="22" fillId="26" borderId="133" xfId="0" applyNumberFormat="1" applyFont="1" applyFill="1" applyBorder="1" applyAlignment="1" applyProtection="1">
      <alignment horizontal="center" vertical="center"/>
      <protection locked="0"/>
    </xf>
    <xf numFmtId="14" fontId="22" fillId="0" borderId="163" xfId="0" applyNumberFormat="1" applyFont="1" applyBorder="1" applyAlignment="1" applyProtection="1">
      <alignment horizontal="center" vertical="center"/>
      <protection locked="0"/>
    </xf>
    <xf numFmtId="14" fontId="22" fillId="27" borderId="133" xfId="0" applyNumberFormat="1" applyFont="1" applyFill="1" applyBorder="1" applyAlignment="1" applyProtection="1">
      <alignment horizontal="center" vertical="center"/>
      <protection locked="0"/>
    </xf>
    <xf numFmtId="4" fontId="22" fillId="26" borderId="169" xfId="0" applyNumberFormat="1" applyFont="1" applyFill="1" applyBorder="1" applyAlignment="1" applyProtection="1">
      <alignment horizontal="right" vertical="center" indent="1"/>
      <protection locked="0"/>
    </xf>
    <xf numFmtId="4" fontId="22" fillId="26" borderId="108" xfId="0" applyNumberFormat="1" applyFont="1" applyFill="1" applyBorder="1" applyAlignment="1" applyProtection="1">
      <alignment horizontal="left" vertical="center" indent="1"/>
      <protection locked="0"/>
    </xf>
    <xf numFmtId="14" fontId="22" fillId="26" borderId="135" xfId="0" applyNumberFormat="1" applyFont="1" applyFill="1" applyBorder="1" applyAlignment="1" applyProtection="1">
      <alignment horizontal="center" vertical="center"/>
      <protection locked="0"/>
    </xf>
    <xf numFmtId="164" fontId="27" fillId="0" borderId="0" xfId="0" applyFont="1" applyFill="1" applyAlignment="1">
      <alignment vertical="center"/>
    </xf>
    <xf numFmtId="164" fontId="27" fillId="0" borderId="0" xfId="0" applyFont="1" applyFill="1" applyBorder="1" applyAlignment="1">
      <alignment vertical="center"/>
    </xf>
    <xf numFmtId="4" fontId="27" fillId="20" borderId="8" xfId="0" applyNumberFormat="1" applyFont="1" applyFill="1" applyBorder="1" applyAlignment="1">
      <alignment horizontal="right" vertical="center" indent="1"/>
    </xf>
    <xf numFmtId="4" fontId="27" fillId="20" borderId="125" xfId="0" applyNumberFormat="1" applyFont="1" applyFill="1" applyBorder="1" applyAlignment="1">
      <alignment horizontal="right" vertical="center" indent="1"/>
    </xf>
    <xf numFmtId="165" fontId="27" fillId="20" borderId="8" xfId="0" applyNumberFormat="1" applyFont="1" applyFill="1" applyBorder="1" applyAlignment="1">
      <alignment horizontal="center" vertical="center"/>
    </xf>
    <xf numFmtId="4" fontId="27" fillId="20" borderId="127" xfId="0" applyNumberFormat="1" applyFont="1" applyFill="1" applyBorder="1" applyAlignment="1" applyProtection="1">
      <alignment horizontal="left" vertical="center" indent="1"/>
      <protection locked="0"/>
    </xf>
    <xf numFmtId="164" fontId="27" fillId="0" borderId="0" xfId="0" applyFont="1" applyFill="1" applyAlignment="1">
      <alignment horizontal="right" vertical="center" indent="1"/>
    </xf>
    <xf numFmtId="164" fontId="30" fillId="0" borderId="0" xfId="0" applyFont="1" applyFill="1" applyAlignment="1">
      <alignment vertical="center"/>
    </xf>
    <xf numFmtId="164" fontId="30" fillId="0" borderId="0" xfId="0" applyFont="1" applyFill="1" applyBorder="1" applyAlignment="1">
      <alignment vertical="center"/>
    </xf>
    <xf numFmtId="165" fontId="30" fillId="20" borderId="103" xfId="0" quotePrefix="1" applyNumberFormat="1" applyFont="1" applyFill="1" applyBorder="1" applyAlignment="1">
      <alignment horizontal="center" vertical="center"/>
    </xf>
    <xf numFmtId="40" fontId="41" fillId="11" borderId="16" xfId="0" applyNumberFormat="1" applyFont="1" applyFill="1" applyBorder="1" applyAlignment="1">
      <alignment horizontal="center" vertical="center"/>
    </xf>
    <xf numFmtId="186" fontId="32" fillId="12" borderId="25" xfId="0" applyNumberFormat="1" applyFont="1" applyFill="1" applyBorder="1" applyAlignment="1">
      <alignment horizontal="center" vertical="center"/>
    </xf>
    <xf numFmtId="164" fontId="74" fillId="0" borderId="0" xfId="46" applyNumberFormat="1" applyFont="1" applyAlignment="1">
      <alignment vertical="center"/>
    </xf>
    <xf numFmtId="165" fontId="74" fillId="4" borderId="0" xfId="46" applyNumberFormat="1" applyFont="1" applyFill="1" applyBorder="1" applyAlignment="1">
      <alignment horizontal="center" vertical="center"/>
    </xf>
    <xf numFmtId="165" fontId="74" fillId="0" borderId="170" xfId="46" applyNumberFormat="1" applyFont="1" applyBorder="1" applyAlignment="1">
      <alignment horizontal="center" vertical="center"/>
    </xf>
    <xf numFmtId="165" fontId="74" fillId="0" borderId="171" xfId="46" applyNumberFormat="1" applyFont="1" applyBorder="1" applyAlignment="1">
      <alignment horizontal="center" vertical="center"/>
    </xf>
    <xf numFmtId="165" fontId="74" fillId="0" borderId="172" xfId="46" applyNumberFormat="1" applyFont="1" applyBorder="1" applyAlignment="1">
      <alignment horizontal="center" vertical="center"/>
    </xf>
    <xf numFmtId="164" fontId="74" fillId="4" borderId="0" xfId="46" applyNumberFormat="1" applyFont="1" applyFill="1" applyBorder="1" applyAlignment="1">
      <alignment vertical="center"/>
    </xf>
    <xf numFmtId="40" fontId="22" fillId="4" borderId="0" xfId="0" applyNumberFormat="1" applyFont="1" applyFill="1" applyBorder="1" applyAlignment="1">
      <alignment horizontal="right" vertical="center"/>
    </xf>
    <xf numFmtId="165" fontId="22" fillId="13" borderId="9" xfId="0" applyNumberFormat="1" applyFont="1" applyFill="1" applyBorder="1" applyAlignment="1">
      <alignment horizontal="center" vertical="center"/>
    </xf>
    <xf numFmtId="40" fontId="22" fillId="13" borderId="9" xfId="0" applyNumberFormat="1" applyFont="1" applyFill="1" applyBorder="1" applyAlignment="1">
      <alignment horizontal="left" vertical="center"/>
    </xf>
    <xf numFmtId="166" fontId="22" fillId="13" borderId="9" xfId="0" applyNumberFormat="1" applyFont="1" applyFill="1" applyBorder="1" applyAlignment="1">
      <alignment horizontal="right" vertical="center"/>
    </xf>
    <xf numFmtId="165" fontId="22" fillId="13" borderId="176" xfId="0" applyNumberFormat="1" applyFont="1" applyFill="1" applyBorder="1" applyAlignment="1">
      <alignment horizontal="center" vertical="center"/>
    </xf>
    <xf numFmtId="40" fontId="22" fillId="13" borderId="176" xfId="0" applyNumberFormat="1" applyFont="1" applyFill="1" applyBorder="1" applyAlignment="1">
      <alignment horizontal="left" vertical="center"/>
    </xf>
    <xf numFmtId="165" fontId="28" fillId="8" borderId="22" xfId="0" applyNumberFormat="1" applyFont="1" applyFill="1" applyBorder="1" applyAlignment="1" applyProtection="1">
      <alignment horizontal="center" vertical="center"/>
      <protection locked="0"/>
    </xf>
    <xf numFmtId="165" fontId="28" fillId="8" borderId="21" xfId="0" applyNumberFormat="1" applyFont="1" applyFill="1" applyBorder="1" applyAlignment="1" applyProtection="1">
      <alignment horizontal="center" vertical="center"/>
      <protection locked="0"/>
    </xf>
    <xf numFmtId="165" fontId="28" fillId="8" borderId="20" xfId="0" applyNumberFormat="1" applyFont="1" applyFill="1" applyBorder="1" applyAlignment="1" applyProtection="1">
      <alignment horizontal="left" vertical="center"/>
      <protection locked="0"/>
    </xf>
    <xf numFmtId="37" fontId="28" fillId="8" borderId="19" xfId="0" applyNumberFormat="1" applyFont="1" applyFill="1" applyBorder="1" applyAlignment="1" applyProtection="1">
      <alignment horizontal="right" vertical="center"/>
      <protection locked="0"/>
    </xf>
    <xf numFmtId="37" fontId="28" fillId="8" borderId="35" xfId="0" quotePrefix="1" applyNumberFormat="1" applyFont="1" applyFill="1" applyBorder="1" applyAlignment="1">
      <alignment horizontal="right" vertical="center"/>
    </xf>
    <xf numFmtId="37" fontId="29" fillId="12" borderId="2" xfId="2" applyNumberFormat="1" applyFont="1" applyFill="1" applyBorder="1" applyAlignment="1">
      <alignment horizontal="right" vertical="center"/>
    </xf>
    <xf numFmtId="37" fontId="28" fillId="8" borderId="39" xfId="0" applyNumberFormat="1" applyFont="1" applyFill="1" applyBorder="1" applyAlignment="1">
      <alignment horizontal="center" vertical="center"/>
    </xf>
    <xf numFmtId="37" fontId="0" fillId="0" borderId="1" xfId="0" applyNumberFormat="1" applyBorder="1" applyAlignment="1">
      <alignment horizontal="right"/>
    </xf>
    <xf numFmtId="37" fontId="19" fillId="5" borderId="7" xfId="0" applyNumberFormat="1" applyFont="1" applyFill="1" applyBorder="1" applyAlignment="1" applyProtection="1">
      <alignment horizontal="right" vertical="center" indent="1"/>
      <protection locked="0"/>
    </xf>
    <xf numFmtId="37" fontId="19" fillId="5" borderId="5" xfId="0" applyNumberFormat="1" applyFont="1" applyFill="1" applyBorder="1" applyAlignment="1" applyProtection="1">
      <alignment horizontal="right" vertical="center" indent="1"/>
      <protection locked="0"/>
    </xf>
    <xf numFmtId="37" fontId="19" fillId="0" borderId="1" xfId="0" applyNumberFormat="1" applyFont="1" applyBorder="1" applyAlignment="1" applyProtection="1">
      <alignment horizontal="right" vertical="center" indent="1"/>
      <protection locked="0"/>
    </xf>
    <xf numFmtId="37" fontId="0" fillId="0" borderId="0" xfId="0" applyNumberFormat="1" applyAlignment="1">
      <alignment horizontal="right"/>
    </xf>
    <xf numFmtId="40" fontId="80" fillId="4" borderId="0" xfId="0" applyNumberFormat="1" applyFont="1" applyFill="1" applyBorder="1" applyAlignment="1">
      <alignment horizontal="right" vertical="center"/>
    </xf>
    <xf numFmtId="165" fontId="80" fillId="12" borderId="9" xfId="0" applyNumberFormat="1" applyFont="1" applyFill="1" applyBorder="1" applyAlignment="1">
      <alignment horizontal="center" vertical="center"/>
    </xf>
    <xf numFmtId="40" fontId="80" fillId="12" borderId="9" xfId="0" applyNumberFormat="1" applyFont="1" applyFill="1" applyBorder="1" applyAlignment="1">
      <alignment horizontal="left" vertical="center"/>
    </xf>
    <xf numFmtId="166" fontId="80" fillId="12" borderId="9" xfId="0" applyNumberFormat="1" applyFont="1" applyFill="1" applyBorder="1" applyAlignment="1">
      <alignment horizontal="right" vertical="center"/>
    </xf>
    <xf numFmtId="40" fontId="81" fillId="0" borderId="0" xfId="0" applyNumberFormat="1" applyFont="1" applyAlignment="1">
      <alignment horizontal="right"/>
    </xf>
    <xf numFmtId="40" fontId="80" fillId="0" borderId="0" xfId="0" applyNumberFormat="1" applyFont="1" applyFill="1" applyBorder="1" applyAlignment="1">
      <alignment horizontal="right" vertical="center"/>
    </xf>
    <xf numFmtId="165" fontId="80" fillId="7" borderId="9" xfId="0" applyNumberFormat="1" applyFont="1" applyFill="1" applyBorder="1" applyAlignment="1">
      <alignment horizontal="center" vertical="center"/>
    </xf>
    <xf numFmtId="40" fontId="80" fillId="7" borderId="9" xfId="0" applyNumberFormat="1" applyFont="1" applyFill="1" applyBorder="1" applyAlignment="1">
      <alignment horizontal="left" vertical="center"/>
    </xf>
    <xf numFmtId="166" fontId="80" fillId="7" borderId="9" xfId="0" applyNumberFormat="1" applyFont="1" applyFill="1" applyBorder="1" applyAlignment="1">
      <alignment horizontal="right" vertical="center"/>
    </xf>
    <xf numFmtId="40" fontId="19" fillId="4" borderId="0" xfId="0" applyNumberFormat="1" applyFont="1" applyFill="1" applyBorder="1" applyAlignment="1">
      <alignment horizontal="right" vertical="center"/>
    </xf>
    <xf numFmtId="40" fontId="0" fillId="0" borderId="0" xfId="0" applyNumberFormat="1" applyFont="1" applyAlignment="1">
      <alignment horizontal="right"/>
    </xf>
    <xf numFmtId="40" fontId="28" fillId="4" borderId="0" xfId="0" quotePrefix="1" applyNumberFormat="1" applyFont="1" applyFill="1" applyBorder="1" applyAlignment="1">
      <alignment horizontal="right" vertical="center"/>
    </xf>
    <xf numFmtId="40" fontId="28" fillId="0" borderId="0" xfId="0" applyNumberFormat="1" applyFont="1" applyFill="1" applyBorder="1" applyAlignment="1">
      <alignment horizontal="right" vertical="center"/>
    </xf>
    <xf numFmtId="40" fontId="82" fillId="0" borderId="0" xfId="0" applyNumberFormat="1" applyFont="1" applyAlignment="1">
      <alignment horizontal="right"/>
    </xf>
    <xf numFmtId="40" fontId="28" fillId="0" borderId="0" xfId="0" applyNumberFormat="1" applyFont="1" applyAlignment="1">
      <alignment horizontal="right" vertical="center"/>
    </xf>
    <xf numFmtId="165" fontId="19" fillId="9" borderId="9" xfId="0" applyNumberFormat="1" applyFont="1" applyFill="1" applyBorder="1" applyAlignment="1">
      <alignment horizontal="center" vertical="center"/>
    </xf>
    <xf numFmtId="40" fontId="19" fillId="9" borderId="9" xfId="0" applyNumberFormat="1" applyFont="1" applyFill="1" applyBorder="1" applyAlignment="1">
      <alignment horizontal="left" vertical="center"/>
    </xf>
    <xf numFmtId="166" fontId="19" fillId="9" borderId="9" xfId="0" applyNumberFormat="1" applyFont="1" applyFill="1" applyBorder="1" applyAlignment="1">
      <alignment horizontal="right" vertical="center"/>
    </xf>
    <xf numFmtId="165" fontId="28" fillId="33" borderId="10" xfId="0" applyNumberFormat="1" applyFont="1" applyFill="1" applyBorder="1" applyAlignment="1">
      <alignment horizontal="center" vertical="center"/>
    </xf>
    <xf numFmtId="38" fontId="39" fillId="32" borderId="33" xfId="1" applyNumberFormat="1" applyFont="1" applyFill="1" applyBorder="1" applyAlignment="1" applyProtection="1">
      <alignment horizontal="center" vertical="center"/>
      <protection locked="0"/>
    </xf>
    <xf numFmtId="38" fontId="39" fillId="33" borderId="33" xfId="1" applyNumberFormat="1" applyFont="1" applyFill="1" applyBorder="1" applyAlignment="1" applyProtection="1">
      <alignment horizontal="center" vertical="center"/>
      <protection locked="0"/>
    </xf>
    <xf numFmtId="38" fontId="28" fillId="33" borderId="10" xfId="0" applyNumberFormat="1" applyFont="1" applyFill="1" applyBorder="1" applyAlignment="1">
      <alignment horizontal="right" vertical="center"/>
    </xf>
    <xf numFmtId="165" fontId="28" fillId="32" borderId="17" xfId="0" quotePrefix="1" applyNumberFormat="1" applyFont="1" applyFill="1" applyBorder="1" applyAlignment="1">
      <alignment horizontal="center" vertical="center"/>
    </xf>
    <xf numFmtId="165" fontId="28" fillId="32" borderId="14" xfId="0" quotePrefix="1" applyNumberFormat="1" applyFont="1" applyFill="1" applyBorder="1" applyAlignment="1">
      <alignment horizontal="center" vertical="center"/>
    </xf>
    <xf numFmtId="165" fontId="19" fillId="9" borderId="10" xfId="0" applyNumberFormat="1" applyFont="1" applyFill="1" applyBorder="1" applyAlignment="1">
      <alignment horizontal="center" vertical="center"/>
    </xf>
    <xf numFmtId="40" fontId="19" fillId="9" borderId="10" xfId="0" applyNumberFormat="1" applyFont="1" applyFill="1" applyBorder="1" applyAlignment="1">
      <alignment horizontal="left" vertical="center"/>
    </xf>
    <xf numFmtId="0" fontId="30" fillId="0" borderId="0" xfId="50" applyFont="1" applyAlignment="1">
      <alignment vertical="center"/>
    </xf>
    <xf numFmtId="164" fontId="16" fillId="36" borderId="0" xfId="17" applyFont="1" applyFill="1" applyBorder="1"/>
    <xf numFmtId="0" fontId="27" fillId="0" borderId="0" xfId="50" applyFont="1" applyAlignment="1">
      <alignment vertical="center"/>
    </xf>
    <xf numFmtId="189" fontId="88" fillId="0" borderId="190" xfId="50" applyNumberFormat="1" applyFont="1" applyBorder="1" applyAlignment="1">
      <alignment vertical="center"/>
    </xf>
    <xf numFmtId="190" fontId="27" fillId="0" borderId="191" xfId="50" applyNumberFormat="1" applyFont="1" applyBorder="1" applyAlignment="1">
      <alignment horizontal="center" vertical="center"/>
    </xf>
    <xf numFmtId="191" fontId="88" fillId="0" borderId="0" xfId="50" applyNumberFormat="1" applyFont="1" applyBorder="1" applyAlignment="1">
      <alignment vertical="center"/>
    </xf>
    <xf numFmtId="191" fontId="27" fillId="0" borderId="192" xfId="50" applyNumberFormat="1" applyFont="1" applyBorder="1" applyAlignment="1">
      <alignment vertical="center"/>
    </xf>
    <xf numFmtId="0" fontId="27" fillId="0" borderId="0" xfId="50" applyFont="1" applyBorder="1" applyAlignment="1">
      <alignment vertical="center"/>
    </xf>
    <xf numFmtId="164" fontId="16" fillId="13" borderId="0" xfId="17" applyFont="1" applyFill="1" applyBorder="1"/>
    <xf numFmtId="192" fontId="27" fillId="0" borderId="191" xfId="50" applyNumberFormat="1" applyFont="1" applyBorder="1" applyAlignment="1">
      <alignment vertical="center"/>
    </xf>
    <xf numFmtId="0" fontId="30" fillId="0" borderId="0" xfId="50" applyFont="1" applyBorder="1" applyAlignment="1">
      <alignment vertical="center"/>
    </xf>
    <xf numFmtId="189" fontId="27" fillId="0" borderId="0" xfId="50" applyNumberFormat="1" applyFont="1" applyAlignment="1">
      <alignment vertical="center"/>
    </xf>
    <xf numFmtId="192" fontId="30" fillId="0" borderId="0" xfId="50" applyNumberFormat="1" applyFont="1" applyBorder="1" applyAlignment="1">
      <alignment horizontal="center" vertical="center"/>
    </xf>
    <xf numFmtId="191" fontId="27" fillId="0" borderId="0" xfId="50" applyNumberFormat="1" applyFont="1" applyBorder="1" applyAlignment="1">
      <alignment horizontal="center" vertical="center"/>
    </xf>
    <xf numFmtId="2" fontId="27" fillId="0" borderId="0" xfId="50" applyNumberFormat="1" applyFont="1" applyBorder="1" applyAlignment="1">
      <alignment vertical="center"/>
    </xf>
    <xf numFmtId="0" fontId="88" fillId="0" borderId="0" xfId="50" applyFont="1" applyAlignment="1">
      <alignment vertical="center"/>
    </xf>
    <xf numFmtId="190" fontId="27" fillId="0" borderId="0" xfId="50" applyNumberFormat="1" applyFont="1" applyAlignment="1">
      <alignment horizontal="center" vertical="center"/>
    </xf>
    <xf numFmtId="0" fontId="88" fillId="0" borderId="0" xfId="50" applyFont="1" applyBorder="1" applyAlignment="1">
      <alignment vertical="center"/>
    </xf>
    <xf numFmtId="0" fontId="27" fillId="0" borderId="192" xfId="50" applyFont="1" applyBorder="1" applyAlignment="1">
      <alignment vertical="center"/>
    </xf>
    <xf numFmtId="0" fontId="89" fillId="23" borderId="0" xfId="18" applyFont="1" applyFill="1" applyBorder="1" applyAlignment="1">
      <alignment vertical="center"/>
    </xf>
    <xf numFmtId="192" fontId="26" fillId="37" borderId="193" xfId="49" applyNumberFormat="1" applyFont="1" applyFill="1" applyBorder="1" applyAlignment="1">
      <alignment horizontal="center" vertical="center"/>
    </xf>
    <xf numFmtId="192" fontId="28" fillId="37" borderId="193" xfId="49" applyNumberFormat="1" applyFont="1" applyFill="1" applyBorder="1" applyAlignment="1">
      <alignment horizontal="center" vertical="center"/>
    </xf>
    <xf numFmtId="189" fontId="90" fillId="37" borderId="194" xfId="51" applyNumberFormat="1" applyFont="1" applyFill="1" applyBorder="1" applyAlignment="1">
      <alignment horizontal="center" vertical="center"/>
    </xf>
    <xf numFmtId="190" fontId="28" fillId="37" borderId="194" xfId="51" applyNumberFormat="1" applyFont="1" applyFill="1" applyBorder="1" applyAlignment="1">
      <alignment horizontal="center" vertical="center"/>
    </xf>
    <xf numFmtId="191" fontId="90" fillId="37" borderId="0" xfId="51" applyNumberFormat="1" applyFont="1" applyFill="1" applyBorder="1" applyAlignment="1">
      <alignment horizontal="center" vertical="center"/>
    </xf>
    <xf numFmtId="191" fontId="28" fillId="37" borderId="195" xfId="51" applyNumberFormat="1" applyFont="1" applyFill="1" applyBorder="1" applyAlignment="1">
      <alignment horizontal="center" vertical="center"/>
    </xf>
    <xf numFmtId="164" fontId="28" fillId="37" borderId="195" xfId="51" applyNumberFormat="1" applyFont="1" applyFill="1" applyBorder="1" applyAlignment="1">
      <alignment horizontal="center" vertical="center"/>
    </xf>
    <xf numFmtId="187" fontId="28" fillId="37" borderId="196" xfId="49" applyNumberFormat="1" applyFont="1" applyFill="1" applyBorder="1" applyAlignment="1">
      <alignment horizontal="center" vertical="center"/>
    </xf>
    <xf numFmtId="192" fontId="28" fillId="37" borderId="194" xfId="51" applyNumberFormat="1" applyFont="1" applyFill="1" applyBorder="1" applyAlignment="1">
      <alignment horizontal="center" vertical="center"/>
    </xf>
    <xf numFmtId="164" fontId="26" fillId="37" borderId="195" xfId="51" applyNumberFormat="1" applyFont="1" applyFill="1" applyBorder="1" applyAlignment="1">
      <alignment horizontal="center" vertical="center"/>
    </xf>
    <xf numFmtId="189" fontId="28" fillId="37" borderId="195" xfId="51" applyNumberFormat="1" applyFont="1" applyFill="1" applyBorder="1" applyAlignment="1">
      <alignment horizontal="center" vertical="center"/>
    </xf>
    <xf numFmtId="192" fontId="28" fillId="37" borderId="195" xfId="49" applyNumberFormat="1" applyFont="1" applyFill="1" applyBorder="1" applyAlignment="1">
      <alignment horizontal="center" vertical="center"/>
    </xf>
    <xf numFmtId="164" fontId="16" fillId="23" borderId="0" xfId="17" applyFont="1" applyFill="1" applyBorder="1"/>
    <xf numFmtId="187" fontId="19" fillId="7" borderId="194" xfId="49" applyNumberFormat="1" applyFont="1" applyFill="1" applyBorder="1" applyAlignment="1">
      <alignment horizontal="center" vertical="center"/>
    </xf>
    <xf numFmtId="187" fontId="22" fillId="7" borderId="194" xfId="49" applyNumberFormat="1" applyFont="1" applyFill="1" applyBorder="1" applyAlignment="1">
      <alignment horizontal="center" vertical="center"/>
    </xf>
    <xf numFmtId="189" fontId="69" fillId="7" borderId="190" xfId="49" applyNumberFormat="1" applyFont="1" applyFill="1" applyBorder="1" applyAlignment="1">
      <alignment horizontal="center" vertical="center"/>
    </xf>
    <xf numFmtId="190" fontId="73" fillId="0" borderId="194" xfId="52" applyNumberFormat="1" applyFont="1" applyFill="1" applyBorder="1" applyAlignment="1">
      <alignment horizontal="center" vertical="center"/>
    </xf>
    <xf numFmtId="190" fontId="91" fillId="25" borderId="194" xfId="52" applyNumberFormat="1" applyFont="1" applyFill="1" applyBorder="1" applyAlignment="1">
      <alignment horizontal="center" vertical="center"/>
    </xf>
    <xf numFmtId="191" fontId="22" fillId="13" borderId="197" xfId="51" applyNumberFormat="1" applyFont="1" applyFill="1" applyBorder="1" applyAlignment="1">
      <alignment horizontal="center" vertical="center"/>
    </xf>
    <xf numFmtId="2" fontId="19" fillId="13" borderId="197" xfId="51" applyNumberFormat="1" applyFont="1" applyFill="1" applyBorder="1" applyAlignment="1">
      <alignment horizontal="center" vertical="center"/>
    </xf>
    <xf numFmtId="2" fontId="19" fillId="13" borderId="198" xfId="51" applyNumberFormat="1" applyFont="1" applyFill="1" applyBorder="1" applyAlignment="1">
      <alignment horizontal="center" vertical="center"/>
    </xf>
    <xf numFmtId="193" fontId="28" fillId="37" borderId="0" xfId="49" applyNumberFormat="1" applyFont="1" applyFill="1" applyBorder="1" applyAlignment="1">
      <alignment horizontal="center" vertical="center"/>
    </xf>
    <xf numFmtId="187" fontId="73" fillId="7" borderId="190" xfId="52" applyNumberFormat="1" applyFont="1" applyFill="1" applyBorder="1" applyAlignment="1">
      <alignment horizontal="center" vertical="center"/>
    </xf>
    <xf numFmtId="0" fontId="89" fillId="37" borderId="0" xfId="18" applyFont="1" applyFill="1" applyBorder="1" applyAlignment="1">
      <alignment vertical="center"/>
    </xf>
    <xf numFmtId="189" fontId="19" fillId="7" borderId="190" xfId="49" applyNumberFormat="1" applyFont="1" applyFill="1" applyBorder="1" applyAlignment="1">
      <alignment horizontal="center" vertical="center"/>
    </xf>
    <xf numFmtId="187" fontId="11" fillId="7" borderId="190" xfId="52" applyNumberFormat="1" applyFont="1" applyFill="1" applyBorder="1" applyAlignment="1">
      <alignment horizontal="center" vertical="center"/>
    </xf>
    <xf numFmtId="191" fontId="19" fillId="13" borderId="197" xfId="51" applyNumberFormat="1" applyFont="1" applyFill="1" applyBorder="1" applyAlignment="1">
      <alignment horizontal="center" vertical="center"/>
    </xf>
    <xf numFmtId="190" fontId="73" fillId="0" borderId="194" xfId="52" applyNumberFormat="1" applyFont="1" applyBorder="1" applyAlignment="1">
      <alignment horizontal="center" vertical="center"/>
    </xf>
    <xf numFmtId="187" fontId="22" fillId="7" borderId="193" xfId="49" applyNumberFormat="1" applyFont="1" applyFill="1" applyBorder="1" applyAlignment="1">
      <alignment horizontal="center" vertical="center"/>
    </xf>
    <xf numFmtId="191" fontId="22" fillId="13" borderId="199" xfId="51" applyNumberFormat="1" applyFont="1" applyFill="1" applyBorder="1" applyAlignment="1">
      <alignment horizontal="center" vertical="center"/>
    </xf>
    <xf numFmtId="2" fontId="19" fillId="13" borderId="199" xfId="51" applyNumberFormat="1" applyFont="1" applyFill="1" applyBorder="1" applyAlignment="1">
      <alignment horizontal="center" vertical="center"/>
    </xf>
    <xf numFmtId="2" fontId="19" fillId="13" borderId="200" xfId="51" applyNumberFormat="1" applyFont="1" applyFill="1" applyBorder="1" applyAlignment="1">
      <alignment horizontal="center" vertical="center"/>
    </xf>
    <xf numFmtId="189" fontId="69" fillId="7" borderId="201" xfId="49" applyNumberFormat="1" applyFont="1" applyFill="1" applyBorder="1" applyAlignment="1">
      <alignment horizontal="center" vertical="center"/>
    </xf>
    <xf numFmtId="187" fontId="73" fillId="7" borderId="201" xfId="52" applyNumberFormat="1" applyFont="1" applyFill="1" applyBorder="1" applyAlignment="1">
      <alignment horizontal="center" vertical="center"/>
    </xf>
    <xf numFmtId="189" fontId="19" fillId="7" borderId="201" xfId="49" applyNumberFormat="1" applyFont="1" applyFill="1" applyBorder="1" applyAlignment="1">
      <alignment horizontal="center" vertical="center"/>
    </xf>
    <xf numFmtId="187" fontId="11" fillId="7" borderId="201" xfId="52" applyNumberFormat="1" applyFont="1" applyFill="1" applyBorder="1" applyAlignment="1">
      <alignment horizontal="center" vertical="center"/>
    </xf>
    <xf numFmtId="191" fontId="19" fillId="13" borderId="199" xfId="51" applyNumberFormat="1" applyFont="1" applyFill="1" applyBorder="1" applyAlignment="1">
      <alignment horizontal="center" vertical="center"/>
    </xf>
    <xf numFmtId="187" fontId="22" fillId="7" borderId="202" xfId="49" applyNumberFormat="1" applyFont="1" applyFill="1" applyBorder="1" applyAlignment="1">
      <alignment horizontal="center" vertical="center"/>
    </xf>
    <xf numFmtId="191" fontId="22" fillId="16" borderId="203" xfId="51" applyNumberFormat="1" applyFont="1" applyFill="1" applyBorder="1" applyAlignment="1">
      <alignment horizontal="center" vertical="center"/>
    </xf>
    <xf numFmtId="2" fontId="19" fillId="16" borderId="203" xfId="51" applyNumberFormat="1" applyFont="1" applyFill="1" applyBorder="1" applyAlignment="1">
      <alignment horizontal="center" vertical="center"/>
    </xf>
    <xf numFmtId="2" fontId="19" fillId="16" borderId="204" xfId="51" applyNumberFormat="1" applyFont="1" applyFill="1" applyBorder="1" applyAlignment="1">
      <alignment horizontal="center" vertical="center"/>
    </xf>
    <xf numFmtId="193" fontId="28" fillId="37" borderId="75" xfId="49" applyNumberFormat="1" applyFont="1" applyFill="1" applyBorder="1" applyAlignment="1">
      <alignment horizontal="center" vertical="center"/>
    </xf>
    <xf numFmtId="189" fontId="69" fillId="38" borderId="205" xfId="49" applyNumberFormat="1" applyFont="1" applyFill="1" applyBorder="1" applyAlignment="1">
      <alignment horizontal="center" vertical="center"/>
    </xf>
    <xf numFmtId="187" fontId="73" fillId="38" borderId="205" xfId="52" applyNumberFormat="1" applyFont="1" applyFill="1" applyBorder="1" applyAlignment="1">
      <alignment horizontal="center" vertical="center"/>
    </xf>
    <xf numFmtId="189" fontId="19" fillId="38" borderId="205" xfId="49" applyNumberFormat="1" applyFont="1" applyFill="1" applyBorder="1" applyAlignment="1">
      <alignment horizontal="center" vertical="center"/>
    </xf>
    <xf numFmtId="187" fontId="11" fillId="38" borderId="205" xfId="52" applyNumberFormat="1" applyFont="1" applyFill="1" applyBorder="1" applyAlignment="1">
      <alignment horizontal="center" vertical="center"/>
    </xf>
    <xf numFmtId="191" fontId="19" fillId="16" borderId="203" xfId="51" applyNumberFormat="1" applyFont="1" applyFill="1" applyBorder="1" applyAlignment="1">
      <alignment horizontal="center" vertical="center"/>
    </xf>
    <xf numFmtId="191" fontId="22" fillId="16" borderId="197" xfId="51" applyNumberFormat="1" applyFont="1" applyFill="1" applyBorder="1" applyAlignment="1">
      <alignment horizontal="center" vertical="center"/>
    </xf>
    <xf numFmtId="2" fontId="19" fillId="16" borderId="197" xfId="51" applyNumberFormat="1" applyFont="1" applyFill="1" applyBorder="1" applyAlignment="1">
      <alignment horizontal="center" vertical="center"/>
    </xf>
    <xf numFmtId="2" fontId="19" fillId="16" borderId="198" xfId="51" applyNumberFormat="1" applyFont="1" applyFill="1" applyBorder="1" applyAlignment="1">
      <alignment horizontal="center" vertical="center"/>
    </xf>
    <xf numFmtId="189" fontId="69" fillId="38" borderId="190" xfId="49" applyNumberFormat="1" applyFont="1" applyFill="1" applyBorder="1" applyAlignment="1">
      <alignment horizontal="center" vertical="center"/>
    </xf>
    <xf numFmtId="187" fontId="73" fillId="38" borderId="190" xfId="52" applyNumberFormat="1" applyFont="1" applyFill="1" applyBorder="1" applyAlignment="1">
      <alignment horizontal="center" vertical="center"/>
    </xf>
    <xf numFmtId="189" fontId="19" fillId="38" borderId="190" xfId="49" applyNumberFormat="1" applyFont="1" applyFill="1" applyBorder="1" applyAlignment="1">
      <alignment horizontal="center" vertical="center"/>
    </xf>
    <xf numFmtId="187" fontId="11" fillId="38" borderId="190" xfId="52" applyNumberFormat="1" applyFont="1" applyFill="1" applyBorder="1" applyAlignment="1">
      <alignment horizontal="center" vertical="center"/>
    </xf>
    <xf numFmtId="191" fontId="19" fillId="16" borderId="197" xfId="51" applyNumberFormat="1" applyFont="1" applyFill="1" applyBorder="1" applyAlignment="1">
      <alignment horizontal="center" vertical="center"/>
    </xf>
    <xf numFmtId="193" fontId="28" fillId="37" borderId="72" xfId="49" applyNumberFormat="1" applyFont="1" applyFill="1" applyBorder="1" applyAlignment="1">
      <alignment horizontal="center" vertical="center"/>
    </xf>
    <xf numFmtId="189" fontId="26" fillId="37" borderId="0" xfId="49" applyNumberFormat="1" applyFont="1" applyFill="1" applyBorder="1" applyAlignment="1">
      <alignment horizontal="center" vertical="center"/>
    </xf>
    <xf numFmtId="2" fontId="19" fillId="39" borderId="197" xfId="51" applyNumberFormat="1" applyFont="1" applyFill="1" applyBorder="1" applyAlignment="1">
      <alignment horizontal="center" vertical="center"/>
    </xf>
    <xf numFmtId="193" fontId="26" fillId="37" borderId="0" xfId="51" applyNumberFormat="1" applyFont="1" applyFill="1" applyBorder="1" applyAlignment="1">
      <alignment horizontal="center" vertical="center"/>
    </xf>
    <xf numFmtId="194" fontId="26" fillId="37" borderId="0" xfId="49" applyNumberFormat="1" applyFont="1" applyFill="1" applyBorder="1" applyAlignment="1">
      <alignment horizontal="center" vertical="center"/>
    </xf>
    <xf numFmtId="194" fontId="28" fillId="37" borderId="0" xfId="49" applyNumberFormat="1" applyFont="1" applyFill="1" applyBorder="1" applyAlignment="1">
      <alignment horizontal="center" vertical="center"/>
    </xf>
    <xf numFmtId="191" fontId="22" fillId="16" borderId="199" xfId="51" applyNumberFormat="1" applyFont="1" applyFill="1" applyBorder="1" applyAlignment="1">
      <alignment horizontal="center" vertical="center"/>
    </xf>
    <xf numFmtId="2" fontId="19" fillId="16" borderId="199" xfId="51" applyNumberFormat="1" applyFont="1" applyFill="1" applyBorder="1" applyAlignment="1">
      <alignment horizontal="center" vertical="center"/>
    </xf>
    <xf numFmtId="2" fontId="19" fillId="16" borderId="200" xfId="51" applyNumberFormat="1" applyFont="1" applyFill="1" applyBorder="1" applyAlignment="1">
      <alignment horizontal="center" vertical="center"/>
    </xf>
    <xf numFmtId="187" fontId="26" fillId="37" borderId="0" xfId="49" applyNumberFormat="1" applyFont="1" applyFill="1" applyBorder="1" applyAlignment="1">
      <alignment horizontal="center" vertical="center"/>
    </xf>
    <xf numFmtId="189" fontId="69" fillId="38" borderId="201" xfId="49" applyNumberFormat="1" applyFont="1" applyFill="1" applyBorder="1" applyAlignment="1">
      <alignment horizontal="center" vertical="center"/>
    </xf>
    <xf numFmtId="187" fontId="73" fillId="38" borderId="201" xfId="52" applyNumberFormat="1" applyFont="1" applyFill="1" applyBorder="1" applyAlignment="1">
      <alignment horizontal="center" vertical="center"/>
    </xf>
    <xf numFmtId="187" fontId="28" fillId="37" borderId="0" xfId="49" applyNumberFormat="1" applyFont="1" applyFill="1" applyBorder="1" applyAlignment="1">
      <alignment horizontal="center" vertical="center"/>
    </xf>
    <xf numFmtId="189" fontId="19" fillId="38" borderId="201" xfId="49" applyNumberFormat="1" applyFont="1" applyFill="1" applyBorder="1" applyAlignment="1">
      <alignment horizontal="center" vertical="center"/>
    </xf>
    <xf numFmtId="187" fontId="11" fillId="38" borderId="201" xfId="52" applyNumberFormat="1" applyFont="1" applyFill="1" applyBorder="1" applyAlignment="1">
      <alignment horizontal="center" vertical="center"/>
    </xf>
    <xf numFmtId="191" fontId="19" fillId="16" borderId="199" xfId="51" applyNumberFormat="1" applyFont="1" applyFill="1" applyBorder="1" applyAlignment="1">
      <alignment horizontal="center" vertical="center"/>
    </xf>
    <xf numFmtId="187" fontId="22" fillId="38" borderId="193" xfId="49" applyNumberFormat="1" applyFont="1" applyFill="1" applyBorder="1" applyAlignment="1">
      <alignment horizontal="center" vertical="center"/>
    </xf>
    <xf numFmtId="191" fontId="22" fillId="13" borderId="203" xfId="51" applyNumberFormat="1" applyFont="1" applyFill="1" applyBorder="1" applyAlignment="1">
      <alignment horizontal="center" vertical="center"/>
    </xf>
    <xf numFmtId="2" fontId="19" fillId="13" borderId="203" xfId="51" applyNumberFormat="1" applyFont="1" applyFill="1" applyBorder="1" applyAlignment="1">
      <alignment horizontal="center" vertical="center"/>
    </xf>
    <xf numFmtId="2" fontId="19" fillId="13" borderId="204" xfId="51" applyNumberFormat="1" applyFont="1" applyFill="1" applyBorder="1" applyAlignment="1">
      <alignment horizontal="center" vertical="center"/>
    </xf>
    <xf numFmtId="193" fontId="26" fillId="37" borderId="0" xfId="49" applyNumberFormat="1" applyFont="1" applyFill="1" applyBorder="1" applyAlignment="1">
      <alignment horizontal="center" vertical="center"/>
    </xf>
    <xf numFmtId="189" fontId="69" fillId="7" borderId="205" xfId="49" applyNumberFormat="1" applyFont="1" applyFill="1" applyBorder="1" applyAlignment="1">
      <alignment horizontal="center" vertical="center"/>
    </xf>
    <xf numFmtId="187" fontId="73" fillId="7" borderId="205" xfId="52" applyNumberFormat="1" applyFont="1" applyFill="1" applyBorder="1" applyAlignment="1">
      <alignment horizontal="center" vertical="center"/>
    </xf>
    <xf numFmtId="189" fontId="19" fillId="7" borderId="205" xfId="49" applyNumberFormat="1" applyFont="1" applyFill="1" applyBorder="1" applyAlignment="1">
      <alignment horizontal="center" vertical="center"/>
    </xf>
    <xf numFmtId="187" fontId="11" fillId="7" borderId="205" xfId="52" applyNumberFormat="1" applyFont="1" applyFill="1" applyBorder="1" applyAlignment="1">
      <alignment horizontal="center" vertical="center"/>
    </xf>
    <xf numFmtId="191" fontId="19" fillId="13" borderId="203" xfId="51" applyNumberFormat="1" applyFont="1" applyFill="1" applyBorder="1" applyAlignment="1">
      <alignment horizontal="center" vertical="center"/>
    </xf>
    <xf numFmtId="192" fontId="26" fillId="37" borderId="0" xfId="49" applyNumberFormat="1" applyFont="1" applyFill="1" applyBorder="1" applyAlignment="1">
      <alignment horizontal="center" vertical="center"/>
    </xf>
    <xf numFmtId="192" fontId="28" fillId="37" borderId="0" xfId="49" applyNumberFormat="1" applyFont="1" applyFill="1" applyBorder="1" applyAlignment="1">
      <alignment horizontal="center" vertical="center"/>
    </xf>
    <xf numFmtId="195" fontId="26" fillId="37" borderId="0" xfId="51" applyNumberFormat="1" applyFont="1" applyFill="1" applyBorder="1" applyAlignment="1">
      <alignment horizontal="center" vertical="center"/>
    </xf>
    <xf numFmtId="191" fontId="26" fillId="37" borderId="0" xfId="51" applyNumberFormat="1" applyFont="1" applyFill="1" applyBorder="1" applyAlignment="1">
      <alignment horizontal="center" vertical="center"/>
    </xf>
    <xf numFmtId="191" fontId="28" fillId="37" borderId="0" xfId="51" applyNumberFormat="1" applyFont="1" applyFill="1" applyBorder="1" applyAlignment="1">
      <alignment horizontal="center" vertical="center"/>
    </xf>
    <xf numFmtId="191" fontId="26" fillId="37" borderId="0" xfId="49" applyNumberFormat="1" applyFont="1" applyFill="1" applyBorder="1" applyAlignment="1">
      <alignment horizontal="center" vertical="center"/>
    </xf>
    <xf numFmtId="191" fontId="28" fillId="37" borderId="0" xfId="49" applyNumberFormat="1" applyFont="1" applyFill="1" applyBorder="1" applyAlignment="1">
      <alignment horizontal="center" vertical="center"/>
    </xf>
    <xf numFmtId="164" fontId="26" fillId="37" borderId="0" xfId="51" applyNumberFormat="1" applyFont="1" applyFill="1" applyBorder="1" applyAlignment="1">
      <alignment horizontal="center" vertical="center"/>
    </xf>
    <xf numFmtId="164" fontId="28" fillId="37" borderId="0" xfId="51" applyNumberFormat="1" applyFont="1" applyFill="1" applyBorder="1" applyAlignment="1">
      <alignment horizontal="center" vertical="center"/>
    </xf>
    <xf numFmtId="193" fontId="26" fillId="37" borderId="194" xfId="51" applyNumberFormat="1" applyFont="1" applyFill="1" applyBorder="1" applyAlignment="1">
      <alignment horizontal="center" vertical="center"/>
    </xf>
    <xf numFmtId="190" fontId="90" fillId="37" borderId="194" xfId="51" applyNumberFormat="1" applyFont="1" applyFill="1" applyBorder="1" applyAlignment="1">
      <alignment horizontal="center" vertical="center"/>
    </xf>
    <xf numFmtId="195" fontId="28" fillId="37" borderId="194" xfId="51" applyNumberFormat="1" applyFont="1" applyFill="1" applyBorder="1" applyAlignment="1">
      <alignment horizontal="center" vertical="center"/>
    </xf>
    <xf numFmtId="187" fontId="26" fillId="37" borderId="196" xfId="49" applyNumberFormat="1" applyFont="1" applyFill="1" applyBorder="1" applyAlignment="1">
      <alignment horizontal="center" vertical="center"/>
    </xf>
    <xf numFmtId="193" fontId="28" fillId="37" borderId="194" xfId="51" applyNumberFormat="1" applyFont="1" applyFill="1" applyBorder="1" applyAlignment="1">
      <alignment horizontal="center" vertical="center"/>
    </xf>
    <xf numFmtId="189" fontId="28" fillId="37" borderId="207" xfId="51" applyNumberFormat="1" applyFont="1" applyFill="1" applyBorder="1" applyAlignment="1">
      <alignment horizontal="center" vertical="center"/>
    </xf>
    <xf numFmtId="192" fontId="28" fillId="37" borderId="207" xfId="49" applyNumberFormat="1" applyFont="1" applyFill="1" applyBorder="1" applyAlignment="1">
      <alignment horizontal="center" vertical="center"/>
    </xf>
    <xf numFmtId="191" fontId="28" fillId="37" borderId="207" xfId="51" applyNumberFormat="1" applyFont="1" applyFill="1" applyBorder="1" applyAlignment="1">
      <alignment horizontal="center" vertical="center"/>
    </xf>
    <xf numFmtId="164" fontId="28" fillId="37" borderId="207" xfId="51" applyNumberFormat="1" applyFont="1" applyFill="1" applyBorder="1" applyAlignment="1">
      <alignment horizontal="center" vertical="center"/>
    </xf>
    <xf numFmtId="190" fontId="73" fillId="7" borderId="190" xfId="52" applyNumberFormat="1" applyFont="1" applyFill="1" applyBorder="1" applyAlignment="1">
      <alignment horizontal="center" vertical="center"/>
    </xf>
    <xf numFmtId="190" fontId="91" fillId="7" borderId="190" xfId="52" applyNumberFormat="1" applyFont="1" applyFill="1" applyBorder="1" applyAlignment="1">
      <alignment horizontal="center" vertical="center"/>
    </xf>
    <xf numFmtId="190" fontId="73" fillId="7" borderId="201" xfId="52" applyNumberFormat="1" applyFont="1" applyFill="1" applyBorder="1" applyAlignment="1">
      <alignment horizontal="center" vertical="center"/>
    </xf>
    <xf numFmtId="190" fontId="91" fillId="7" borderId="201" xfId="52" applyNumberFormat="1" applyFont="1" applyFill="1" applyBorder="1" applyAlignment="1">
      <alignment horizontal="center" vertical="center"/>
    </xf>
    <xf numFmtId="190" fontId="73" fillId="38" borderId="205" xfId="52" applyNumberFormat="1" applyFont="1" applyFill="1" applyBorder="1" applyAlignment="1">
      <alignment horizontal="center" vertical="center"/>
    </xf>
    <xf numFmtId="190" fontId="91" fillId="38" borderId="205" xfId="52" applyNumberFormat="1" applyFont="1" applyFill="1" applyBorder="1" applyAlignment="1">
      <alignment horizontal="center" vertical="center"/>
    </xf>
    <xf numFmtId="190" fontId="73" fillId="38" borderId="190" xfId="52" applyNumberFormat="1" applyFont="1" applyFill="1" applyBorder="1" applyAlignment="1">
      <alignment horizontal="center" vertical="center"/>
    </xf>
    <xf numFmtId="190" fontId="91" fillId="38" borderId="190" xfId="52" applyNumberFormat="1" applyFont="1" applyFill="1" applyBorder="1" applyAlignment="1">
      <alignment horizontal="center" vertical="center"/>
    </xf>
    <xf numFmtId="190" fontId="73" fillId="38" borderId="201" xfId="52" applyNumberFormat="1" applyFont="1" applyFill="1" applyBorder="1" applyAlignment="1">
      <alignment horizontal="center" vertical="center"/>
    </xf>
    <xf numFmtId="190" fontId="91" fillId="38" borderId="201" xfId="52" applyNumberFormat="1" applyFont="1" applyFill="1" applyBorder="1" applyAlignment="1">
      <alignment horizontal="center" vertical="center"/>
    </xf>
    <xf numFmtId="190" fontId="73" fillId="7" borderId="205" xfId="52" applyNumberFormat="1" applyFont="1" applyFill="1" applyBorder="1" applyAlignment="1">
      <alignment horizontal="center" vertical="center"/>
    </xf>
    <xf numFmtId="190" fontId="91" fillId="7" borderId="205" xfId="52" applyNumberFormat="1" applyFont="1" applyFill="1" applyBorder="1" applyAlignment="1">
      <alignment horizontal="center" vertical="center"/>
    </xf>
    <xf numFmtId="190" fontId="73" fillId="25" borderId="194" xfId="52" applyNumberFormat="1" applyFont="1" applyFill="1" applyBorder="1" applyAlignment="1">
      <alignment horizontal="center" vertical="center"/>
    </xf>
    <xf numFmtId="2" fontId="19" fillId="16" borderId="209" xfId="51" applyNumberFormat="1" applyFont="1" applyFill="1" applyBorder="1" applyAlignment="1">
      <alignment horizontal="center" vertical="center"/>
    </xf>
    <xf numFmtId="2" fontId="19" fillId="16" borderId="210" xfId="51" applyNumberFormat="1" applyFont="1" applyFill="1" applyBorder="1" applyAlignment="1">
      <alignment horizontal="center" vertical="center"/>
    </xf>
    <xf numFmtId="190" fontId="91" fillId="25" borderId="193" xfId="52" applyNumberFormat="1" applyFont="1" applyFill="1" applyBorder="1" applyAlignment="1">
      <alignment horizontal="center" vertical="center"/>
    </xf>
    <xf numFmtId="187" fontId="19" fillId="38" borderId="194" xfId="49" applyNumberFormat="1" applyFont="1" applyFill="1" applyBorder="1" applyAlignment="1">
      <alignment horizontal="center" vertical="center"/>
    </xf>
    <xf numFmtId="190" fontId="91" fillId="25" borderId="202" xfId="52" applyNumberFormat="1" applyFont="1" applyFill="1" applyBorder="1" applyAlignment="1">
      <alignment horizontal="center" vertical="center"/>
    </xf>
    <xf numFmtId="189" fontId="90" fillId="23" borderId="194" xfId="51" applyNumberFormat="1" applyFont="1" applyFill="1" applyBorder="1" applyAlignment="1">
      <alignment horizontal="center" vertical="center"/>
    </xf>
    <xf numFmtId="190" fontId="28" fillId="23" borderId="194" xfId="51" applyNumberFormat="1" applyFont="1" applyFill="1" applyBorder="1" applyAlignment="1">
      <alignment horizontal="center" vertical="center"/>
    </xf>
    <xf numFmtId="190" fontId="90" fillId="23" borderId="194" xfId="51" applyNumberFormat="1" applyFont="1" applyFill="1" applyBorder="1" applyAlignment="1">
      <alignment horizontal="center" vertical="center"/>
    </xf>
    <xf numFmtId="195" fontId="28" fillId="23" borderId="194" xfId="51" applyNumberFormat="1" applyFont="1" applyFill="1" applyBorder="1" applyAlignment="1">
      <alignment horizontal="center" vertical="center"/>
    </xf>
    <xf numFmtId="187" fontId="19" fillId="7" borderId="193" xfId="49" applyNumberFormat="1" applyFont="1" applyFill="1" applyBorder="1" applyAlignment="1">
      <alignment horizontal="center" vertical="center"/>
    </xf>
    <xf numFmtId="187" fontId="19" fillId="7" borderId="202" xfId="49" applyNumberFormat="1" applyFont="1" applyFill="1" applyBorder="1" applyAlignment="1">
      <alignment horizontal="center" vertical="center"/>
    </xf>
    <xf numFmtId="0" fontId="26" fillId="0" borderId="0" xfId="50" applyFont="1" applyFill="1" applyBorder="1" applyAlignment="1">
      <alignment horizontal="center" vertical="center"/>
    </xf>
    <xf numFmtId="2" fontId="26" fillId="37" borderId="0" xfId="50" applyNumberFormat="1" applyFont="1" applyFill="1" applyBorder="1" applyAlignment="1">
      <alignment horizontal="center" vertical="center"/>
    </xf>
    <xf numFmtId="2" fontId="28" fillId="37" borderId="0" xfId="50" applyNumberFormat="1" applyFont="1" applyFill="1" applyBorder="1" applyAlignment="1">
      <alignment horizontal="center" vertical="center"/>
    </xf>
    <xf numFmtId="189" fontId="90" fillId="37" borderId="0" xfId="48" applyNumberFormat="1" applyFont="1" applyFill="1" applyBorder="1" applyAlignment="1" applyProtection="1">
      <alignment horizontal="center" vertical="center"/>
    </xf>
    <xf numFmtId="190" fontId="28" fillId="37" borderId="0" xfId="48" applyNumberFormat="1" applyFont="1" applyFill="1" applyBorder="1" applyAlignment="1" applyProtection="1">
      <alignment horizontal="center" vertical="center"/>
    </xf>
    <xf numFmtId="191" fontId="90" fillId="37" borderId="0" xfId="48" applyNumberFormat="1" applyFont="1" applyFill="1" applyBorder="1" applyAlignment="1" applyProtection="1">
      <alignment horizontal="center" vertical="center"/>
    </xf>
    <xf numFmtId="191" fontId="28" fillId="37" borderId="0" xfId="48" applyNumberFormat="1" applyFont="1" applyFill="1" applyBorder="1" applyAlignment="1" applyProtection="1">
      <alignment horizontal="center" vertical="center"/>
    </xf>
    <xf numFmtId="164" fontId="16" fillId="37" borderId="211" xfId="17" applyFont="1" applyFill="1" applyBorder="1"/>
    <xf numFmtId="192" fontId="28" fillId="37" borderId="0" xfId="48" applyNumberFormat="1" applyFont="1" applyFill="1" applyBorder="1" applyAlignment="1" applyProtection="1">
      <alignment horizontal="center" vertical="center"/>
    </xf>
    <xf numFmtId="189" fontId="28" fillId="37" borderId="0" xfId="48" applyNumberFormat="1" applyFont="1" applyFill="1" applyBorder="1" applyAlignment="1" applyProtection="1">
      <alignment horizontal="center" vertical="center"/>
    </xf>
    <xf numFmtId="2" fontId="28" fillId="37" borderId="0" xfId="49" applyNumberFormat="1" applyFont="1" applyFill="1" applyBorder="1" applyAlignment="1">
      <alignment horizontal="center" vertical="center"/>
    </xf>
    <xf numFmtId="164" fontId="16" fillId="37" borderId="0" xfId="17" applyFont="1" applyFill="1" applyBorder="1"/>
    <xf numFmtId="189" fontId="90" fillId="37" borderId="0" xfId="51" applyNumberFormat="1" applyFont="1" applyFill="1" applyBorder="1" applyAlignment="1">
      <alignment horizontal="center" vertical="center"/>
    </xf>
    <xf numFmtId="190" fontId="28" fillId="37" borderId="0" xfId="51" applyNumberFormat="1" applyFont="1" applyFill="1" applyBorder="1" applyAlignment="1">
      <alignment horizontal="center" vertical="center"/>
    </xf>
    <xf numFmtId="192" fontId="28" fillId="37" borderId="0" xfId="51" applyNumberFormat="1" applyFont="1" applyFill="1" applyBorder="1" applyAlignment="1">
      <alignment horizontal="center" vertical="center"/>
    </xf>
    <xf numFmtId="189" fontId="28" fillId="37" borderId="0" xfId="51" applyNumberFormat="1" applyFont="1" applyFill="1" applyBorder="1" applyAlignment="1">
      <alignment horizontal="center" vertical="center"/>
    </xf>
    <xf numFmtId="0" fontId="16" fillId="0" borderId="32" xfId="18" applyFont="1" applyBorder="1" applyAlignment="1">
      <alignment vertical="center"/>
    </xf>
    <xf numFmtId="164" fontId="16" fillId="11" borderId="0" xfId="17" applyFill="1" applyBorder="1" applyAlignment="1">
      <alignment vertical="center"/>
    </xf>
    <xf numFmtId="187" fontId="92" fillId="0" borderId="32" xfId="18" applyNumberFormat="1" applyFont="1" applyBorder="1" applyAlignment="1">
      <alignment horizontal="right" vertical="center"/>
    </xf>
    <xf numFmtId="2" fontId="92" fillId="0" borderId="32" xfId="18" applyNumberFormat="1" applyFont="1" applyBorder="1" applyAlignment="1" applyProtection="1">
      <alignment horizontal="right" vertical="center"/>
    </xf>
    <xf numFmtId="2" fontId="92" fillId="0" borderId="32" xfId="18" applyNumberFormat="1" applyFont="1" applyBorder="1" applyAlignment="1">
      <alignment horizontal="center" vertical="center"/>
    </xf>
    <xf numFmtId="1" fontId="93" fillId="0" borderId="32" xfId="18" applyNumberFormat="1" applyFont="1" applyBorder="1" applyAlignment="1">
      <alignment horizontal="center" vertical="center"/>
    </xf>
    <xf numFmtId="165" fontId="93" fillId="0" borderId="32" xfId="18" applyNumberFormat="1" applyFont="1" applyBorder="1" applyAlignment="1">
      <alignment horizontal="center" vertical="center"/>
    </xf>
    <xf numFmtId="187" fontId="94" fillId="0" borderId="32" xfId="18" applyNumberFormat="1" applyFont="1" applyBorder="1" applyAlignment="1">
      <alignment horizontal="right" vertical="center"/>
    </xf>
    <xf numFmtId="0" fontId="46" fillId="0" borderId="32" xfId="18" applyFont="1" applyBorder="1" applyAlignment="1">
      <alignment vertical="center"/>
    </xf>
    <xf numFmtId="0" fontId="89" fillId="11" borderId="0" xfId="18" applyFont="1" applyFill="1" applyBorder="1" applyAlignment="1">
      <alignment vertical="center"/>
    </xf>
    <xf numFmtId="0" fontId="89" fillId="0" borderId="32" xfId="18" applyFont="1" applyBorder="1" applyAlignment="1">
      <alignment vertical="center"/>
    </xf>
    <xf numFmtId="0" fontId="89" fillId="20" borderId="0" xfId="18" applyFont="1" applyFill="1" applyBorder="1" applyAlignment="1">
      <alignment vertical="center"/>
    </xf>
    <xf numFmtId="0" fontId="59" fillId="7" borderId="191" xfId="48" applyNumberFormat="1" applyFont="1" applyFill="1" applyBorder="1" applyAlignment="1">
      <alignment horizontal="center" vertical="center"/>
    </xf>
    <xf numFmtId="2" fontId="85" fillId="7" borderId="194" xfId="48" applyNumberFormat="1" applyFont="1" applyFill="1" applyBorder="1" applyAlignment="1">
      <alignment horizontal="center" vertical="center"/>
    </xf>
    <xf numFmtId="187" fontId="86" fillId="7" borderId="193" xfId="49" applyNumberFormat="1" applyFont="1" applyFill="1" applyBorder="1" applyAlignment="1">
      <alignment horizontal="center" vertical="center"/>
    </xf>
    <xf numFmtId="187" fontId="86" fillId="7" borderId="194" xfId="49" applyNumberFormat="1" applyFont="1" applyFill="1" applyBorder="1" applyAlignment="1">
      <alignment horizontal="center" vertical="center"/>
    </xf>
    <xf numFmtId="191" fontId="86" fillId="13" borderId="194" xfId="49" applyNumberFormat="1" applyFont="1" applyFill="1" applyBorder="1" applyAlignment="1">
      <alignment horizontal="center" vertical="center"/>
    </xf>
    <xf numFmtId="187" fontId="59" fillId="7" borderId="193" xfId="49" applyNumberFormat="1" applyFont="1" applyFill="1" applyBorder="1" applyAlignment="1">
      <alignment horizontal="center" vertical="center"/>
    </xf>
    <xf numFmtId="189" fontId="86" fillId="7" borderId="193" xfId="49" applyNumberFormat="1" applyFont="1" applyFill="1" applyBorder="1" applyAlignment="1">
      <alignment horizontal="center" vertical="center"/>
    </xf>
    <xf numFmtId="2" fontId="59" fillId="38" borderId="193" xfId="48" applyNumberFormat="1" applyFont="1" applyFill="1" applyBorder="1" applyAlignment="1">
      <alignment horizontal="center" vertical="center"/>
    </xf>
    <xf numFmtId="0" fontId="46" fillId="11" borderId="0" xfId="18" applyFont="1" applyFill="1" applyBorder="1" applyAlignment="1">
      <alignment vertical="center"/>
    </xf>
    <xf numFmtId="0" fontId="46" fillId="20" borderId="0" xfId="18" applyFont="1" applyFill="1" applyBorder="1" applyAlignment="1">
      <alignment vertical="center"/>
    </xf>
    <xf numFmtId="2" fontId="59" fillId="7" borderId="212" xfId="48" applyNumberFormat="1" applyFont="1" applyFill="1" applyBorder="1" applyAlignment="1">
      <alignment horizontal="center" vertical="center"/>
    </xf>
    <xf numFmtId="187" fontId="86" fillId="7" borderId="212" xfId="49" applyNumberFormat="1" applyFont="1" applyFill="1" applyBorder="1" applyAlignment="1">
      <alignment horizontal="center" vertical="center"/>
    </xf>
    <xf numFmtId="187" fontId="59" fillId="7" borderId="212" xfId="49" applyNumberFormat="1" applyFont="1" applyFill="1" applyBorder="1" applyAlignment="1">
      <alignment horizontal="center" vertical="center"/>
    </xf>
    <xf numFmtId="191" fontId="86" fillId="13" borderId="212" xfId="49" applyNumberFormat="1" applyFont="1" applyFill="1" applyBorder="1" applyAlignment="1">
      <alignment horizontal="center" vertical="center"/>
    </xf>
    <xf numFmtId="191" fontId="59" fillId="13" borderId="212" xfId="49" applyNumberFormat="1" applyFont="1" applyFill="1" applyBorder="1" applyAlignment="1">
      <alignment horizontal="center" vertical="center"/>
    </xf>
    <xf numFmtId="189" fontId="86" fillId="7" borderId="212" xfId="49" applyNumberFormat="1" applyFont="1" applyFill="1" applyBorder="1" applyAlignment="1">
      <alignment horizontal="center" vertical="center"/>
    </xf>
    <xf numFmtId="191" fontId="59" fillId="13" borderId="212" xfId="48" applyNumberFormat="1" applyFont="1" applyFill="1" applyBorder="1" applyAlignment="1" applyProtection="1">
      <alignment horizontal="center" vertical="center"/>
    </xf>
    <xf numFmtId="173" fontId="76" fillId="13" borderId="212" xfId="17" applyNumberFormat="1" applyFont="1" applyFill="1" applyBorder="1" applyAlignment="1">
      <alignment horizontal="center" vertical="center"/>
    </xf>
    <xf numFmtId="165" fontId="59" fillId="13" borderId="212" xfId="49" applyNumberFormat="1" applyFont="1" applyFill="1" applyBorder="1" applyAlignment="1">
      <alignment horizontal="center" vertical="center"/>
    </xf>
    <xf numFmtId="2" fontId="59" fillId="13" borderId="215" xfId="48" applyNumberFormat="1" applyFont="1" applyFill="1" applyBorder="1" applyAlignment="1">
      <alignment horizontal="center" vertical="center"/>
    </xf>
    <xf numFmtId="2" fontId="59" fillId="7" borderId="194" xfId="48" applyNumberFormat="1" applyFont="1" applyFill="1" applyBorder="1" applyAlignment="1">
      <alignment horizontal="center" vertical="center"/>
    </xf>
    <xf numFmtId="187" fontId="59" fillId="7" borderId="194" xfId="49" applyNumberFormat="1" applyFont="1" applyFill="1" applyBorder="1" applyAlignment="1">
      <alignment horizontal="center" vertical="center"/>
    </xf>
    <xf numFmtId="191" fontId="59" fillId="13" borderId="194" xfId="49" applyNumberFormat="1" applyFont="1" applyFill="1" applyBorder="1" applyAlignment="1">
      <alignment horizontal="center" vertical="center"/>
    </xf>
    <xf numFmtId="191" fontId="59" fillId="13" borderId="194" xfId="48" applyNumberFormat="1" applyFont="1" applyFill="1" applyBorder="1" applyAlignment="1" applyProtection="1">
      <alignment horizontal="center" vertical="center"/>
    </xf>
    <xf numFmtId="173" fontId="76" fillId="13" borderId="194" xfId="17" applyNumberFormat="1" applyFont="1" applyFill="1" applyBorder="1" applyAlignment="1">
      <alignment horizontal="center" vertical="center"/>
    </xf>
    <xf numFmtId="165" fontId="59" fillId="13" borderId="194" xfId="49" applyNumberFormat="1" applyFont="1" applyFill="1" applyBorder="1" applyAlignment="1">
      <alignment horizontal="center" vertical="center"/>
    </xf>
    <xf numFmtId="2" fontId="59" fillId="13" borderId="213" xfId="48" applyNumberFormat="1" applyFont="1" applyFill="1" applyBorder="1" applyAlignment="1">
      <alignment horizontal="center" vertical="center"/>
    </xf>
    <xf numFmtId="2" fontId="59" fillId="7" borderId="193" xfId="48" applyNumberFormat="1" applyFont="1" applyFill="1" applyBorder="1" applyAlignment="1">
      <alignment horizontal="center" vertical="center"/>
    </xf>
    <xf numFmtId="191" fontId="59" fillId="13" borderId="193" xfId="49" applyNumberFormat="1" applyFont="1" applyFill="1" applyBorder="1" applyAlignment="1">
      <alignment horizontal="center" vertical="center"/>
    </xf>
    <xf numFmtId="191" fontId="86" fillId="13" borderId="193" xfId="49" applyNumberFormat="1" applyFont="1" applyFill="1" applyBorder="1" applyAlignment="1">
      <alignment horizontal="center" vertical="center"/>
    </xf>
    <xf numFmtId="191" fontId="59" fillId="13" borderId="216" xfId="49" applyNumberFormat="1" applyFont="1" applyFill="1" applyBorder="1" applyAlignment="1">
      <alignment horizontal="center" vertical="center"/>
    </xf>
    <xf numFmtId="173" fontId="76" fillId="13" borderId="193" xfId="17" applyNumberFormat="1" applyFont="1" applyFill="1" applyBorder="1" applyAlignment="1">
      <alignment horizontal="center" vertical="center"/>
    </xf>
    <xf numFmtId="165" fontId="59" fillId="13" borderId="193" xfId="49" applyNumberFormat="1" applyFont="1" applyFill="1" applyBorder="1" applyAlignment="1">
      <alignment horizontal="center" vertical="center"/>
    </xf>
    <xf numFmtId="2" fontId="59" fillId="13" borderId="214" xfId="48" applyNumberFormat="1" applyFont="1" applyFill="1" applyBorder="1" applyAlignment="1">
      <alignment horizontal="center" vertical="center"/>
    </xf>
    <xf numFmtId="0" fontId="97" fillId="0" borderId="32" xfId="18" applyFont="1" applyBorder="1" applyAlignment="1">
      <alignment vertical="center"/>
    </xf>
    <xf numFmtId="173" fontId="59" fillId="13" borderId="212" xfId="17" applyNumberFormat="1" applyFont="1" applyFill="1" applyBorder="1" applyAlignment="1">
      <alignment horizontal="center" vertical="center"/>
    </xf>
    <xf numFmtId="0" fontId="97" fillId="20" borderId="0" xfId="18" applyFont="1" applyFill="1" applyBorder="1" applyAlignment="1">
      <alignment vertical="center"/>
    </xf>
    <xf numFmtId="173" fontId="59" fillId="13" borderId="194" xfId="17" applyNumberFormat="1" applyFont="1" applyFill="1" applyBorder="1" applyAlignment="1">
      <alignment horizontal="center" vertical="center"/>
    </xf>
    <xf numFmtId="2" fontId="59" fillId="7" borderId="216" xfId="48" applyNumberFormat="1" applyFont="1" applyFill="1" applyBorder="1" applyAlignment="1">
      <alignment horizontal="center" vertical="center"/>
    </xf>
    <xf numFmtId="187" fontId="59" fillId="7" borderId="216" xfId="49" applyNumberFormat="1" applyFont="1" applyFill="1" applyBorder="1" applyAlignment="1">
      <alignment horizontal="center" vertical="center"/>
    </xf>
    <xf numFmtId="173" fontId="59" fillId="13" borderId="216" xfId="17" applyNumberFormat="1" applyFont="1" applyFill="1" applyBorder="1" applyAlignment="1">
      <alignment horizontal="center" vertical="center"/>
    </xf>
    <xf numFmtId="165" fontId="59" fillId="13" borderId="216" xfId="49" applyNumberFormat="1" applyFont="1" applyFill="1" applyBorder="1" applyAlignment="1">
      <alignment horizontal="center" vertical="center"/>
    </xf>
    <xf numFmtId="2" fontId="59" fillId="13" borderId="220" xfId="48" applyNumberFormat="1" applyFont="1" applyFill="1" applyBorder="1" applyAlignment="1">
      <alignment horizontal="center" vertical="center"/>
    </xf>
    <xf numFmtId="2" fontId="59" fillId="7" borderId="221" xfId="48" applyNumberFormat="1" applyFont="1" applyFill="1" applyBorder="1" applyAlignment="1">
      <alignment horizontal="center" vertical="center"/>
    </xf>
    <xf numFmtId="187" fontId="59" fillId="7" borderId="221" xfId="49" applyNumberFormat="1" applyFont="1" applyFill="1" applyBorder="1" applyAlignment="1">
      <alignment horizontal="center" vertical="center"/>
    </xf>
    <xf numFmtId="191" fontId="59" fillId="13" borderId="222" xfId="49" applyNumberFormat="1" applyFont="1" applyFill="1" applyBorder="1" applyAlignment="1">
      <alignment horizontal="center" vertical="center"/>
    </xf>
    <xf numFmtId="191" fontId="59" fillId="13" borderId="221" xfId="49" applyNumberFormat="1" applyFont="1" applyFill="1" applyBorder="1" applyAlignment="1">
      <alignment horizontal="center" vertical="center"/>
    </xf>
    <xf numFmtId="173" fontId="59" fillId="13" borderId="221" xfId="48" applyNumberFormat="1" applyFont="1" applyFill="1" applyBorder="1" applyAlignment="1">
      <alignment horizontal="center" vertical="center"/>
    </xf>
    <xf numFmtId="165" fontId="59" fillId="13" borderId="221" xfId="48" applyNumberFormat="1" applyFont="1" applyFill="1" applyBorder="1" applyAlignment="1">
      <alignment horizontal="center" vertical="center"/>
    </xf>
    <xf numFmtId="2" fontId="59" fillId="13" borderId="221" xfId="48" applyNumberFormat="1" applyFont="1" applyFill="1" applyBorder="1" applyAlignment="1">
      <alignment horizontal="center" vertical="center"/>
    </xf>
    <xf numFmtId="2" fontId="59" fillId="7" borderId="190" xfId="48" applyNumberFormat="1" applyFont="1" applyFill="1" applyBorder="1" applyAlignment="1">
      <alignment horizontal="center" vertical="center"/>
    </xf>
    <xf numFmtId="187" fontId="59" fillId="7" borderId="190" xfId="49" applyNumberFormat="1" applyFont="1" applyFill="1" applyBorder="1" applyAlignment="1">
      <alignment horizontal="center" vertical="center"/>
    </xf>
    <xf numFmtId="191" fontId="59" fillId="13" borderId="191" xfId="49" applyNumberFormat="1" applyFont="1" applyFill="1" applyBorder="1" applyAlignment="1">
      <alignment horizontal="center" vertical="center"/>
    </xf>
    <xf numFmtId="191" fontId="59" fillId="13" borderId="190" xfId="49" applyNumberFormat="1" applyFont="1" applyFill="1" applyBorder="1" applyAlignment="1">
      <alignment horizontal="center" vertical="center"/>
    </xf>
    <xf numFmtId="173" fontId="59" fillId="13" borderId="190" xfId="48" applyNumberFormat="1" applyFont="1" applyFill="1" applyBorder="1" applyAlignment="1">
      <alignment horizontal="center" vertical="center"/>
    </xf>
    <xf numFmtId="165" fontId="59" fillId="13" borderId="190" xfId="48" applyNumberFormat="1" applyFont="1" applyFill="1" applyBorder="1" applyAlignment="1">
      <alignment horizontal="center" vertical="center"/>
    </xf>
    <xf numFmtId="2" fontId="59" fillId="13" borderId="190" xfId="48" applyNumberFormat="1" applyFont="1" applyFill="1" applyBorder="1" applyAlignment="1">
      <alignment horizontal="center" vertical="center"/>
    </xf>
    <xf numFmtId="0" fontId="82" fillId="0" borderId="32" xfId="18" applyFont="1" applyBorder="1" applyAlignment="1">
      <alignment vertical="center"/>
    </xf>
    <xf numFmtId="0" fontId="82" fillId="11" borderId="0" xfId="18" applyFont="1" applyFill="1" applyBorder="1" applyAlignment="1">
      <alignment vertical="center"/>
    </xf>
    <xf numFmtId="2" fontId="15" fillId="33" borderId="224" xfId="48" applyNumberFormat="1" applyFont="1" applyFill="1" applyBorder="1" applyAlignment="1">
      <alignment horizontal="center" vertical="center"/>
    </xf>
    <xf numFmtId="187" fontId="15" fillId="33" borderId="224" xfId="49" applyNumberFormat="1" applyFont="1" applyFill="1" applyBorder="1" applyAlignment="1">
      <alignment horizontal="center" vertical="center"/>
    </xf>
    <xf numFmtId="191" fontId="15" fillId="33" borderId="225" xfId="48" applyNumberFormat="1" applyFont="1" applyFill="1" applyBorder="1" applyAlignment="1" applyProtection="1">
      <alignment horizontal="center" vertical="center"/>
    </xf>
    <xf numFmtId="191" fontId="15" fillId="33" borderId="224" xfId="48" applyNumberFormat="1" applyFont="1" applyFill="1" applyBorder="1" applyAlignment="1" applyProtection="1">
      <alignment horizontal="center" vertical="center"/>
    </xf>
    <xf numFmtId="173" fontId="44" fillId="33" borderId="226" xfId="17" applyNumberFormat="1" applyFont="1" applyFill="1" applyBorder="1" applyAlignment="1">
      <alignment horizontal="center" vertical="center"/>
    </xf>
    <xf numFmtId="165" fontId="15" fillId="33" borderId="225" xfId="49" applyNumberFormat="1" applyFont="1" applyFill="1" applyBorder="1" applyAlignment="1">
      <alignment horizontal="center" vertical="center"/>
    </xf>
    <xf numFmtId="2" fontId="15" fillId="33" borderId="223" xfId="48" applyNumberFormat="1" applyFont="1" applyFill="1" applyBorder="1" applyAlignment="1">
      <alignment horizontal="center" vertical="center"/>
    </xf>
    <xf numFmtId="2" fontId="15" fillId="33" borderId="35" xfId="48" applyNumberFormat="1" applyFont="1" applyFill="1" applyBorder="1" applyAlignment="1">
      <alignment horizontal="center" vertical="center"/>
    </xf>
    <xf numFmtId="187" fontId="99" fillId="33" borderId="35" xfId="49" applyNumberFormat="1" applyFont="1" applyFill="1" applyBorder="1" applyAlignment="1">
      <alignment horizontal="center" vertical="center"/>
    </xf>
    <xf numFmtId="191" fontId="15" fillId="33" borderId="37" xfId="48" applyNumberFormat="1" applyFont="1" applyFill="1" applyBorder="1" applyAlignment="1" applyProtection="1">
      <alignment horizontal="center" vertical="center"/>
    </xf>
    <xf numFmtId="187" fontId="15" fillId="33" borderId="35" xfId="49" applyNumberFormat="1" applyFont="1" applyFill="1" applyBorder="1" applyAlignment="1">
      <alignment horizontal="center" vertical="center"/>
    </xf>
    <xf numFmtId="191" fontId="15" fillId="33" borderId="35" xfId="48" applyNumberFormat="1" applyFont="1" applyFill="1" applyBorder="1" applyAlignment="1" applyProtection="1">
      <alignment horizontal="center" vertical="center"/>
    </xf>
    <xf numFmtId="173" fontId="44" fillId="33" borderId="227" xfId="17" applyNumberFormat="1" applyFont="1" applyFill="1" applyBorder="1" applyAlignment="1">
      <alignment horizontal="center" vertical="center"/>
    </xf>
    <xf numFmtId="165" fontId="15" fillId="33" borderId="37" xfId="49" applyNumberFormat="1" applyFont="1" applyFill="1" applyBorder="1" applyAlignment="1">
      <alignment horizontal="center" vertical="center"/>
    </xf>
    <xf numFmtId="2" fontId="15" fillId="33" borderId="36" xfId="48" applyNumberFormat="1" applyFont="1" applyFill="1" applyBorder="1" applyAlignment="1">
      <alignment horizontal="center" vertical="center"/>
    </xf>
    <xf numFmtId="2" fontId="83" fillId="33" borderId="35" xfId="48" applyNumberFormat="1" applyFont="1" applyFill="1" applyBorder="1" applyAlignment="1">
      <alignment horizontal="center" vertical="center"/>
    </xf>
    <xf numFmtId="2" fontId="83" fillId="33" borderId="36" xfId="48" applyNumberFormat="1" applyFont="1" applyFill="1" applyBorder="1" applyAlignment="1">
      <alignment horizontal="center" vertical="center"/>
    </xf>
    <xf numFmtId="2" fontId="15" fillId="33" borderId="62" xfId="48" applyNumberFormat="1" applyFont="1" applyFill="1" applyBorder="1" applyAlignment="1">
      <alignment horizontal="center" vertical="center"/>
    </xf>
    <xf numFmtId="187" fontId="15" fillId="33" borderId="62" xfId="49" applyNumberFormat="1" applyFont="1" applyFill="1" applyBorder="1" applyAlignment="1">
      <alignment horizontal="center" vertical="center"/>
    </xf>
    <xf numFmtId="173" fontId="44" fillId="33" borderId="229" xfId="17" applyNumberFormat="1" applyFont="1" applyFill="1" applyBorder="1" applyAlignment="1">
      <alignment horizontal="center" vertical="center"/>
    </xf>
    <xf numFmtId="165" fontId="15" fillId="33" borderId="230" xfId="49" applyNumberFormat="1" applyFont="1" applyFill="1" applyBorder="1" applyAlignment="1">
      <alignment horizontal="center" vertical="center"/>
    </xf>
    <xf numFmtId="2" fontId="15" fillId="33" borderId="228" xfId="48" applyNumberFormat="1" applyFont="1" applyFill="1" applyBorder="1" applyAlignment="1">
      <alignment horizontal="center" vertical="center"/>
    </xf>
    <xf numFmtId="187" fontId="99" fillId="33" borderId="2" xfId="49" applyNumberFormat="1" applyFont="1" applyFill="1" applyBorder="1" applyAlignment="1">
      <alignment horizontal="center" vertical="center"/>
    </xf>
    <xf numFmtId="173" fontId="44" fillId="33" borderId="59" xfId="17" applyNumberFormat="1" applyFont="1" applyFill="1" applyBorder="1" applyAlignment="1">
      <alignment horizontal="center" vertical="center"/>
    </xf>
    <xf numFmtId="165" fontId="15" fillId="33" borderId="23" xfId="49" applyNumberFormat="1" applyFont="1" applyFill="1" applyBorder="1" applyAlignment="1">
      <alignment horizontal="center" vertical="center"/>
    </xf>
    <xf numFmtId="165" fontId="15" fillId="33" borderId="231" xfId="49" applyNumberFormat="1" applyFont="1" applyFill="1" applyBorder="1" applyAlignment="1">
      <alignment horizontal="center" vertical="center"/>
    </xf>
    <xf numFmtId="187" fontId="83" fillId="33" borderId="2" xfId="49" applyNumberFormat="1" applyFont="1" applyFill="1" applyBorder="1" applyAlignment="1">
      <alignment horizontal="center" vertical="center"/>
    </xf>
    <xf numFmtId="187" fontId="83" fillId="33" borderId="104" xfId="49" applyNumberFormat="1" applyFont="1" applyFill="1" applyBorder="1" applyAlignment="1">
      <alignment horizontal="center" vertical="center"/>
    </xf>
    <xf numFmtId="187" fontId="15" fillId="33" borderId="2" xfId="49" applyNumberFormat="1" applyFont="1" applyFill="1" applyBorder="1" applyAlignment="1">
      <alignment horizontal="center" vertical="center"/>
    </xf>
    <xf numFmtId="187" fontId="15" fillId="33" borderId="104" xfId="49" applyNumberFormat="1" applyFont="1" applyFill="1" applyBorder="1" applyAlignment="1">
      <alignment horizontal="center" vertical="center"/>
    </xf>
    <xf numFmtId="187" fontId="99" fillId="33" borderId="62" xfId="49" applyNumberFormat="1" applyFont="1" applyFill="1" applyBorder="1" applyAlignment="1">
      <alignment horizontal="center" vertical="center"/>
    </xf>
    <xf numFmtId="191" fontId="59" fillId="38" borderId="37" xfId="48" applyNumberFormat="1" applyFont="1" applyFill="1" applyBorder="1" applyAlignment="1" applyProtection="1">
      <alignment horizontal="center" vertical="center"/>
    </xf>
    <xf numFmtId="191" fontId="59" fillId="38" borderId="35" xfId="48" applyNumberFormat="1" applyFont="1" applyFill="1" applyBorder="1" applyAlignment="1" applyProtection="1">
      <alignment horizontal="center" vertical="center"/>
    </xf>
    <xf numFmtId="187" fontId="59" fillId="38" borderId="2" xfId="49" applyNumberFormat="1" applyFont="1" applyFill="1" applyBorder="1" applyAlignment="1">
      <alignment horizontal="center" vertical="center"/>
    </xf>
    <xf numFmtId="173" fontId="74" fillId="38" borderId="59" xfId="17" applyNumberFormat="1" applyFont="1" applyFill="1" applyBorder="1" applyAlignment="1">
      <alignment horizontal="center" vertical="center"/>
    </xf>
    <xf numFmtId="165" fontId="59" fillId="38" borderId="23" xfId="49" applyNumberFormat="1" applyFont="1" applyFill="1" applyBorder="1" applyAlignment="1">
      <alignment horizontal="center" vertical="center"/>
    </xf>
    <xf numFmtId="187" fontId="15" fillId="38" borderId="104" xfId="49" applyNumberFormat="1" applyFont="1" applyFill="1" applyBorder="1" applyAlignment="1">
      <alignment horizontal="center" vertical="center"/>
    </xf>
    <xf numFmtId="191" fontId="59" fillId="38" borderId="232" xfId="48" applyNumberFormat="1" applyFont="1" applyFill="1" applyBorder="1" applyAlignment="1" applyProtection="1">
      <alignment horizontal="center" vertical="center"/>
    </xf>
    <xf numFmtId="191" fontId="59" fillId="38" borderId="233" xfId="48" applyNumberFormat="1" applyFont="1" applyFill="1" applyBorder="1" applyAlignment="1" applyProtection="1">
      <alignment horizontal="center" vertical="center"/>
    </xf>
    <xf numFmtId="187" fontId="59" fillId="38" borderId="35" xfId="49" applyNumberFormat="1" applyFont="1" applyFill="1" applyBorder="1" applyAlignment="1">
      <alignment horizontal="center" vertical="center"/>
    </xf>
    <xf numFmtId="173" fontId="74" fillId="38" borderId="227" xfId="17" applyNumberFormat="1" applyFont="1" applyFill="1" applyBorder="1" applyAlignment="1">
      <alignment horizontal="center" vertical="center"/>
    </xf>
    <xf numFmtId="165" fontId="59" fillId="38" borderId="37" xfId="49" applyNumberFormat="1" applyFont="1" applyFill="1" applyBorder="1" applyAlignment="1">
      <alignment horizontal="center" vertical="center"/>
    </xf>
    <xf numFmtId="187" fontId="15" fillId="38" borderId="36" xfId="49" applyNumberFormat="1" applyFont="1" applyFill="1" applyBorder="1" applyAlignment="1">
      <alignment horizontal="center" vertical="center"/>
    </xf>
    <xf numFmtId="187" fontId="59" fillId="38" borderId="233" xfId="49" applyNumberFormat="1" applyFont="1" applyFill="1" applyBorder="1" applyAlignment="1">
      <alignment horizontal="center" vertical="center"/>
    </xf>
    <xf numFmtId="173" fontId="74" fillId="38" borderId="235" xfId="17" applyNumberFormat="1" applyFont="1" applyFill="1" applyBorder="1" applyAlignment="1">
      <alignment horizontal="center" vertical="center"/>
    </xf>
    <xf numFmtId="165" fontId="59" fillId="38" borderId="232" xfId="49" applyNumberFormat="1" applyFont="1" applyFill="1" applyBorder="1" applyAlignment="1">
      <alignment horizontal="center" vertical="center"/>
    </xf>
    <xf numFmtId="187" fontId="15" fillId="38" borderId="234" xfId="49" applyNumberFormat="1" applyFont="1" applyFill="1" applyBorder="1" applyAlignment="1">
      <alignment horizontal="center" vertical="center"/>
    </xf>
    <xf numFmtId="191" fontId="59" fillId="7" borderId="37" xfId="48" applyNumberFormat="1" applyFont="1" applyFill="1" applyBorder="1" applyAlignment="1" applyProtection="1">
      <alignment horizontal="center" vertical="center"/>
    </xf>
    <xf numFmtId="191" fontId="59" fillId="7" borderId="35" xfId="48" applyNumberFormat="1" applyFont="1" applyFill="1" applyBorder="1" applyAlignment="1" applyProtection="1">
      <alignment horizontal="center" vertical="center"/>
    </xf>
    <xf numFmtId="187" fontId="59" fillId="7" borderId="2" xfId="48" applyNumberFormat="1" applyFont="1" applyFill="1" applyBorder="1" applyAlignment="1">
      <alignment horizontal="center" vertical="center"/>
    </xf>
    <xf numFmtId="173" fontId="74" fillId="7" borderId="59" xfId="17" applyNumberFormat="1" applyFont="1" applyFill="1" applyBorder="1" applyAlignment="1">
      <alignment horizontal="center" vertical="center"/>
    </xf>
    <xf numFmtId="165" fontId="59" fillId="7" borderId="23" xfId="49" applyNumberFormat="1" applyFont="1" applyFill="1" applyBorder="1" applyAlignment="1">
      <alignment horizontal="center" vertical="center"/>
    </xf>
    <xf numFmtId="187" fontId="15" fillId="7" borderId="104" xfId="48" applyNumberFormat="1" applyFont="1" applyFill="1" applyBorder="1" applyAlignment="1">
      <alignment horizontal="center" vertical="center"/>
    </xf>
    <xf numFmtId="187" fontId="98" fillId="8" borderId="4" xfId="18" applyNumberFormat="1" applyFont="1" applyFill="1" applyBorder="1" applyAlignment="1">
      <alignment horizontal="center" vertical="center"/>
    </xf>
    <xf numFmtId="1" fontId="45" fillId="8" borderId="0" xfId="18" applyNumberFormat="1" applyFont="1" applyFill="1" applyBorder="1" applyAlignment="1" applyProtection="1">
      <alignment horizontal="center" vertical="center"/>
    </xf>
    <xf numFmtId="164" fontId="25" fillId="0" borderId="0" xfId="17" applyFont="1" applyAlignment="1">
      <alignment horizontal="center" vertical="center"/>
    </xf>
    <xf numFmtId="4" fontId="25" fillId="0" borderId="0" xfId="17" applyNumberFormat="1" applyFont="1" applyAlignment="1">
      <alignment horizontal="center" vertical="center"/>
    </xf>
    <xf numFmtId="3" fontId="25" fillId="0" borderId="0" xfId="17" applyNumberFormat="1" applyFont="1" applyAlignment="1">
      <alignment horizontal="center" vertical="center"/>
    </xf>
    <xf numFmtId="164" fontId="25" fillId="0" borderId="0" xfId="17" applyFont="1" applyAlignment="1">
      <alignment horizontal="left" vertical="center"/>
    </xf>
    <xf numFmtId="3" fontId="25" fillId="0" borderId="3" xfId="17" applyNumberFormat="1" applyFont="1" applyBorder="1" applyAlignment="1">
      <alignment horizontal="center" vertical="center"/>
    </xf>
    <xf numFmtId="1" fontId="25" fillId="0" borderId="0" xfId="17" applyNumberFormat="1" applyFont="1" applyAlignment="1">
      <alignment horizontal="center" vertical="center"/>
    </xf>
    <xf numFmtId="3" fontId="25" fillId="0" borderId="3" xfId="17" applyNumberFormat="1" applyFont="1" applyBorder="1" applyAlignment="1">
      <alignment horizontal="right" vertical="center"/>
    </xf>
    <xf numFmtId="3" fontId="25" fillId="25" borderId="194" xfId="17" applyNumberFormat="1" applyFont="1" applyFill="1" applyBorder="1" applyAlignment="1">
      <alignment horizontal="center" vertical="center"/>
    </xf>
    <xf numFmtId="4" fontId="25" fillId="25" borderId="194" xfId="17" applyNumberFormat="1" applyFont="1" applyFill="1" applyBorder="1" applyAlignment="1">
      <alignment horizontal="center" vertical="center"/>
    </xf>
    <xf numFmtId="1" fontId="25" fillId="25" borderId="194" xfId="17" applyNumberFormat="1" applyFont="1" applyFill="1" applyBorder="1" applyAlignment="1">
      <alignment horizontal="center" vertical="center"/>
    </xf>
    <xf numFmtId="164" fontId="61" fillId="25" borderId="194" xfId="17" applyFont="1" applyFill="1" applyBorder="1" applyAlignment="1" applyProtection="1">
      <alignment horizontal="center" vertical="center"/>
    </xf>
    <xf numFmtId="3" fontId="25" fillId="25" borderId="194" xfId="17" applyNumberFormat="1" applyFont="1" applyFill="1" applyBorder="1" applyAlignment="1">
      <alignment horizontal="right" vertical="center"/>
    </xf>
    <xf numFmtId="3" fontId="61" fillId="25" borderId="194" xfId="17" applyNumberFormat="1" applyFont="1" applyFill="1" applyBorder="1" applyAlignment="1" applyProtection="1">
      <alignment horizontal="center" vertical="center"/>
      <protection locked="0"/>
    </xf>
    <xf numFmtId="3" fontId="61" fillId="20" borderId="194" xfId="17" applyNumberFormat="1" applyFont="1" applyFill="1" applyBorder="1" applyAlignment="1" applyProtection="1">
      <alignment horizontal="center" vertical="center"/>
      <protection locked="0"/>
    </xf>
    <xf numFmtId="3" fontId="61" fillId="25" borderId="194" xfId="17" applyNumberFormat="1" applyFont="1" applyFill="1" applyBorder="1" applyAlignment="1" applyProtection="1">
      <alignment horizontal="right" vertical="center"/>
    </xf>
    <xf numFmtId="3" fontId="61" fillId="25" borderId="194" xfId="17" applyNumberFormat="1" applyFont="1" applyFill="1" applyBorder="1" applyAlignment="1" applyProtection="1">
      <alignment horizontal="center" vertical="center"/>
    </xf>
    <xf numFmtId="10" fontId="61" fillId="25" borderId="194" xfId="17" applyNumberFormat="1" applyFont="1" applyFill="1" applyBorder="1" applyAlignment="1" applyProtection="1">
      <alignment horizontal="center" vertical="center"/>
    </xf>
    <xf numFmtId="9" fontId="61" fillId="25" borderId="194" xfId="17" applyNumberFormat="1" applyFont="1" applyFill="1" applyBorder="1" applyAlignment="1" applyProtection="1">
      <alignment horizontal="center" vertical="center"/>
    </xf>
    <xf numFmtId="1" fontId="61" fillId="25" borderId="194" xfId="17" applyNumberFormat="1" applyFont="1" applyFill="1" applyBorder="1" applyAlignment="1" applyProtection="1">
      <alignment horizontal="center" vertical="center"/>
    </xf>
    <xf numFmtId="198" fontId="61" fillId="25" borderId="194" xfId="17" applyNumberFormat="1" applyFont="1" applyFill="1" applyBorder="1" applyAlignment="1" applyProtection="1">
      <alignment horizontal="right" vertical="center"/>
    </xf>
    <xf numFmtId="3" fontId="36" fillId="7" borderId="194" xfId="17" applyNumberFormat="1" applyFont="1" applyFill="1" applyBorder="1" applyAlignment="1" applyProtection="1">
      <alignment horizontal="center" vertical="center"/>
    </xf>
    <xf numFmtId="3" fontId="38" fillId="7" borderId="194" xfId="17" applyNumberFormat="1" applyFont="1" applyFill="1" applyBorder="1" applyAlignment="1" applyProtection="1">
      <alignment horizontal="center" vertical="center"/>
    </xf>
    <xf numFmtId="9" fontId="38" fillId="7" borderId="194" xfId="17" applyNumberFormat="1" applyFont="1" applyFill="1" applyBorder="1" applyAlignment="1" applyProtection="1">
      <alignment horizontal="center" vertical="center"/>
    </xf>
    <xf numFmtId="3" fontId="36" fillId="7" borderId="194" xfId="17" applyNumberFormat="1" applyFont="1" applyFill="1" applyBorder="1" applyAlignment="1" applyProtection="1">
      <alignment horizontal="center" vertical="center"/>
      <protection locked="0"/>
    </xf>
    <xf numFmtId="1" fontId="38" fillId="7" borderId="194" xfId="17" applyNumberFormat="1" applyFont="1" applyFill="1" applyBorder="1" applyAlignment="1" applyProtection="1">
      <alignment horizontal="center" vertical="center"/>
    </xf>
    <xf numFmtId="164" fontId="38" fillId="7" borderId="194" xfId="17" applyFont="1" applyFill="1" applyBorder="1" applyAlignment="1" applyProtection="1">
      <alignment horizontal="center" vertical="center"/>
    </xf>
    <xf numFmtId="3" fontId="38" fillId="7" borderId="194" xfId="17" applyNumberFormat="1" applyFont="1" applyFill="1" applyBorder="1" applyAlignment="1" applyProtection="1">
      <alignment horizontal="right" vertical="center"/>
    </xf>
    <xf numFmtId="4" fontId="51" fillId="0" borderId="0" xfId="17" applyNumberFormat="1" applyFont="1" applyAlignment="1">
      <alignment horizontal="center" vertical="center"/>
    </xf>
    <xf numFmtId="3" fontId="51" fillId="0" borderId="0" xfId="17" applyNumberFormat="1" applyFont="1" applyAlignment="1">
      <alignment horizontal="center" vertical="center"/>
    </xf>
    <xf numFmtId="164" fontId="51" fillId="0" borderId="0" xfId="17" applyFont="1" applyAlignment="1">
      <alignment horizontal="left" vertical="center"/>
    </xf>
    <xf numFmtId="164" fontId="51" fillId="0" borderId="0" xfId="17" applyFont="1" applyAlignment="1">
      <alignment horizontal="center" vertical="center"/>
    </xf>
    <xf numFmtId="3" fontId="61" fillId="7" borderId="194" xfId="17" applyNumberFormat="1" applyFont="1" applyFill="1" applyBorder="1" applyAlignment="1" applyProtection="1">
      <alignment horizontal="center" vertical="center"/>
    </xf>
    <xf numFmtId="9" fontId="61" fillId="7" borderId="194" xfId="17" applyNumberFormat="1" applyFont="1" applyFill="1" applyBorder="1" applyAlignment="1" applyProtection="1">
      <alignment horizontal="center" vertical="center"/>
    </xf>
    <xf numFmtId="3" fontId="61" fillId="7" borderId="194" xfId="17" applyNumberFormat="1" applyFont="1" applyFill="1" applyBorder="1" applyAlignment="1" applyProtection="1">
      <alignment horizontal="center" vertical="center"/>
      <protection locked="0"/>
    </xf>
    <xf numFmtId="1" fontId="61" fillId="7" borderId="194" xfId="17" applyNumberFormat="1" applyFont="1" applyFill="1" applyBorder="1" applyAlignment="1" applyProtection="1">
      <alignment horizontal="center" vertical="center"/>
    </xf>
    <xf numFmtId="164" fontId="61" fillId="7" borderId="194" xfId="17" applyFont="1" applyFill="1" applyBorder="1" applyAlignment="1" applyProtection="1">
      <alignment horizontal="center" vertical="center"/>
    </xf>
    <xf numFmtId="10" fontId="38" fillId="7" borderId="194" xfId="17" applyNumberFormat="1" applyFont="1" applyFill="1" applyBorder="1" applyAlignment="1" applyProtection="1">
      <alignment horizontal="center" vertical="center"/>
    </xf>
    <xf numFmtId="10" fontId="61" fillId="7" borderId="194" xfId="17" applyNumberFormat="1" applyFont="1" applyFill="1" applyBorder="1" applyAlignment="1" applyProtection="1">
      <alignment horizontal="center" vertical="center"/>
    </xf>
    <xf numFmtId="4" fontId="38" fillId="7" borderId="194" xfId="17" applyNumberFormat="1" applyFont="1" applyFill="1" applyBorder="1" applyAlignment="1" applyProtection="1">
      <alignment horizontal="center" vertical="center"/>
    </xf>
    <xf numFmtId="4" fontId="24" fillId="40" borderId="32" xfId="17" applyNumberFormat="1" applyFont="1" applyFill="1" applyBorder="1" applyAlignment="1">
      <alignment horizontal="center" vertical="center"/>
    </xf>
    <xf numFmtId="3" fontId="24" fillId="40" borderId="32" xfId="17" applyNumberFormat="1" applyFont="1" applyFill="1" applyBorder="1" applyAlignment="1">
      <alignment horizontal="center" vertical="center"/>
    </xf>
    <xf numFmtId="164" fontId="24" fillId="40" borderId="32" xfId="17" applyFont="1" applyFill="1" applyBorder="1" applyAlignment="1">
      <alignment horizontal="left" vertical="center"/>
    </xf>
    <xf numFmtId="4" fontId="24" fillId="41" borderId="32" xfId="17" applyNumberFormat="1" applyFont="1" applyFill="1" applyBorder="1" applyAlignment="1">
      <alignment horizontal="center" vertical="center"/>
    </xf>
    <xf numFmtId="3" fontId="24" fillId="41" borderId="32" xfId="17" applyNumberFormat="1" applyFont="1" applyFill="1" applyBorder="1" applyAlignment="1">
      <alignment horizontal="center" vertical="center"/>
    </xf>
    <xf numFmtId="164" fontId="24" fillId="41" borderId="32" xfId="17" applyFont="1" applyFill="1" applyBorder="1" applyAlignment="1">
      <alignment horizontal="left" vertical="center"/>
    </xf>
    <xf numFmtId="164" fontId="24" fillId="40" borderId="32" xfId="17" quotePrefix="1" applyFont="1" applyFill="1" applyBorder="1" applyAlignment="1">
      <alignment horizontal="left" vertical="center"/>
    </xf>
    <xf numFmtId="4" fontId="24" fillId="40" borderId="236" xfId="17" applyNumberFormat="1" applyFont="1" applyFill="1" applyBorder="1" applyAlignment="1">
      <alignment horizontal="center" vertical="center"/>
    </xf>
    <xf numFmtId="3" fontId="24" fillId="40" borderId="236" xfId="17" applyNumberFormat="1" applyFont="1" applyFill="1" applyBorder="1" applyAlignment="1">
      <alignment horizontal="center" vertical="center"/>
    </xf>
    <xf numFmtId="164" fontId="24" fillId="40" borderId="236" xfId="17" applyFont="1" applyFill="1" applyBorder="1" applyAlignment="1">
      <alignment horizontal="left" vertical="center"/>
    </xf>
    <xf numFmtId="164" fontId="24" fillId="40" borderId="104" xfId="17" quotePrefix="1" applyFont="1" applyFill="1" applyBorder="1" applyAlignment="1">
      <alignment horizontal="left" vertical="center"/>
    </xf>
    <xf numFmtId="4" fontId="24" fillId="40" borderId="33" xfId="17" applyNumberFormat="1" applyFont="1" applyFill="1" applyBorder="1" applyAlignment="1">
      <alignment horizontal="center" vertical="center"/>
    </xf>
    <xf numFmtId="4" fontId="23" fillId="40" borderId="71" xfId="17" applyNumberFormat="1" applyFont="1" applyFill="1" applyBorder="1" applyAlignment="1">
      <alignment horizontal="center" vertical="center"/>
    </xf>
    <xf numFmtId="3" fontId="24" fillId="20" borderId="194" xfId="17" applyNumberFormat="1" applyFont="1" applyFill="1" applyBorder="1" applyAlignment="1">
      <alignment horizontal="center" vertical="center"/>
    </xf>
    <xf numFmtId="3" fontId="25" fillId="20" borderId="194" xfId="17" applyNumberFormat="1" applyFont="1" applyFill="1" applyBorder="1" applyAlignment="1">
      <alignment horizontal="center" vertical="center"/>
    </xf>
    <xf numFmtId="4" fontId="25" fillId="20" borderId="194" xfId="17" applyNumberFormat="1" applyFont="1" applyFill="1" applyBorder="1" applyAlignment="1">
      <alignment horizontal="center" vertical="center"/>
    </xf>
    <xf numFmtId="1" fontId="25" fillId="20" borderId="194" xfId="17" applyNumberFormat="1" applyFont="1" applyFill="1" applyBorder="1" applyAlignment="1">
      <alignment horizontal="center" vertical="center"/>
    </xf>
    <xf numFmtId="164" fontId="25" fillId="20" borderId="194" xfId="17" applyFont="1" applyFill="1" applyBorder="1" applyAlignment="1">
      <alignment horizontal="center" vertical="center"/>
    </xf>
    <xf numFmtId="3" fontId="25" fillId="20" borderId="194" xfId="17" applyNumberFormat="1" applyFont="1" applyFill="1" applyBorder="1" applyAlignment="1">
      <alignment horizontal="right" vertical="center"/>
    </xf>
    <xf numFmtId="164" fontId="24" fillId="0" borderId="0" xfId="17" applyFont="1" applyAlignment="1">
      <alignment horizontal="center" vertical="center"/>
    </xf>
    <xf numFmtId="3" fontId="24" fillId="41" borderId="2" xfId="17" applyNumberFormat="1" applyFont="1" applyFill="1" applyBorder="1" applyAlignment="1">
      <alignment horizontal="center" vertical="center"/>
    </xf>
    <xf numFmtId="4" fontId="25" fillId="41" borderId="2" xfId="17" applyNumberFormat="1" applyFont="1" applyFill="1" applyBorder="1" applyAlignment="1">
      <alignment horizontal="center" vertical="center"/>
    </xf>
    <xf numFmtId="4" fontId="25" fillId="41" borderId="23" xfId="17" applyNumberFormat="1" applyFont="1" applyFill="1" applyBorder="1" applyAlignment="1">
      <alignment horizontal="center" vertical="center"/>
    </xf>
    <xf numFmtId="4" fontId="24" fillId="20" borderId="194" xfId="17" applyNumberFormat="1" applyFont="1" applyFill="1" applyBorder="1" applyAlignment="1">
      <alignment horizontal="center" vertical="center"/>
    </xf>
    <xf numFmtId="2" fontId="25" fillId="20" borderId="194" xfId="17" applyNumberFormat="1" applyFont="1" applyFill="1" applyBorder="1" applyAlignment="1">
      <alignment horizontal="center" vertical="center"/>
    </xf>
    <xf numFmtId="199" fontId="24" fillId="41" borderId="2" xfId="17" applyNumberFormat="1" applyFont="1" applyFill="1" applyBorder="1" applyAlignment="1">
      <alignment horizontal="center" vertical="center"/>
    </xf>
    <xf numFmtId="199" fontId="24" fillId="41" borderId="23" xfId="17" applyNumberFormat="1" applyFont="1" applyFill="1" applyBorder="1" applyAlignment="1">
      <alignment horizontal="center" vertical="center"/>
    </xf>
    <xf numFmtId="164" fontId="24" fillId="40" borderId="35" xfId="17" quotePrefix="1" applyFont="1" applyFill="1" applyBorder="1" applyAlignment="1">
      <alignment horizontal="center" vertical="center"/>
    </xf>
    <xf numFmtId="4" fontId="24" fillId="40" borderId="35" xfId="17" quotePrefix="1" applyNumberFormat="1" applyFont="1" applyFill="1" applyBorder="1" applyAlignment="1">
      <alignment horizontal="center" vertical="center"/>
    </xf>
    <xf numFmtId="3" fontId="24" fillId="40" borderId="35" xfId="17" quotePrefix="1" applyNumberFormat="1" applyFont="1" applyFill="1" applyBorder="1" applyAlignment="1">
      <alignment horizontal="center" vertical="center"/>
    </xf>
    <xf numFmtId="164" fontId="24" fillId="40" borderId="37" xfId="17" quotePrefix="1" applyFont="1" applyFill="1" applyBorder="1" applyAlignment="1">
      <alignment horizontal="center" vertical="center"/>
    </xf>
    <xf numFmtId="164" fontId="25" fillId="8" borderId="0" xfId="17" applyFont="1" applyFill="1" applyAlignment="1">
      <alignment horizontal="center" vertical="center"/>
    </xf>
    <xf numFmtId="4" fontId="25" fillId="8" borderId="0" xfId="17" applyNumberFormat="1" applyFont="1" applyFill="1" applyAlignment="1">
      <alignment horizontal="center" vertical="center"/>
    </xf>
    <xf numFmtId="3" fontId="25" fillId="8" borderId="0" xfId="17" applyNumberFormat="1" applyFont="1" applyFill="1" applyAlignment="1">
      <alignment horizontal="center" vertical="center"/>
    </xf>
    <xf numFmtId="164" fontId="25" fillId="8" borderId="0" xfId="17" applyFont="1" applyFill="1" applyAlignment="1">
      <alignment horizontal="left" vertical="center"/>
    </xf>
    <xf numFmtId="164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165" fontId="0" fillId="0" borderId="0" xfId="0" applyNumberFormat="1" applyAlignment="1">
      <alignment horizontal="center" vertical="center"/>
    </xf>
    <xf numFmtId="164" fontId="0" fillId="0" borderId="0" xfId="0" applyFill="1" applyAlignment="1">
      <alignment horizontal="right" vertical="center" indent="1"/>
    </xf>
    <xf numFmtId="4" fontId="0" fillId="0" borderId="0" xfId="0" applyNumberFormat="1" applyAlignment="1">
      <alignment horizontal="right" vertical="center" indent="1"/>
    </xf>
    <xf numFmtId="164" fontId="0" fillId="0" borderId="0" xfId="0" applyAlignment="1">
      <alignment horizontal="left" vertical="center" indent="1"/>
    </xf>
    <xf numFmtId="164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Fill="1" applyAlignment="1">
      <alignment vertical="center"/>
    </xf>
    <xf numFmtId="164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4" fontId="0" fillId="0" borderId="0" xfId="0" applyNumberFormat="1" applyAlignment="1">
      <alignment vertical="center"/>
    </xf>
    <xf numFmtId="4" fontId="0" fillId="0" borderId="0" xfId="0" applyNumberFormat="1" applyAlignment="1">
      <alignment horizontal="center" vertical="center"/>
    </xf>
    <xf numFmtId="4" fontId="0" fillId="0" borderId="237" xfId="0" applyNumberFormat="1" applyBorder="1" applyAlignment="1">
      <alignment horizontal="right" vertical="center" indent="1"/>
    </xf>
    <xf numFmtId="164" fontId="0" fillId="0" borderId="84" xfId="0" applyBorder="1" applyAlignment="1">
      <alignment vertical="center"/>
    </xf>
    <xf numFmtId="164" fontId="0" fillId="0" borderId="84" xfId="0" applyBorder="1" applyAlignment="1">
      <alignment horizontal="center" vertical="center"/>
    </xf>
    <xf numFmtId="2" fontId="0" fillId="0" borderId="84" xfId="0" applyNumberFormat="1" applyBorder="1" applyAlignment="1">
      <alignment horizontal="center" vertical="center"/>
    </xf>
    <xf numFmtId="165" fontId="0" fillId="0" borderId="84" xfId="0" applyNumberFormat="1" applyBorder="1" applyAlignment="1">
      <alignment horizontal="center" vertical="center"/>
    </xf>
    <xf numFmtId="165" fontId="0" fillId="0" borderId="162" xfId="0" applyNumberFormat="1" applyBorder="1" applyAlignment="1">
      <alignment horizontal="center" vertical="center"/>
    </xf>
    <xf numFmtId="4" fontId="0" fillId="0" borderId="137" xfId="0" applyNumberFormat="1" applyBorder="1" applyAlignment="1">
      <alignment horizontal="right" vertical="center" indent="1"/>
    </xf>
    <xf numFmtId="164" fontId="0" fillId="0" borderId="0" xfId="0" applyBorder="1" applyAlignment="1">
      <alignment vertical="center"/>
    </xf>
    <xf numFmtId="164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0" fillId="0" borderId="149" xfId="0" applyNumberFormat="1" applyBorder="1" applyAlignment="1">
      <alignment horizontal="center" vertical="center"/>
    </xf>
    <xf numFmtId="4" fontId="0" fillId="0" borderId="128" xfId="0" applyNumberFormat="1" applyBorder="1" applyAlignment="1">
      <alignment horizontal="right" vertical="center" indent="1"/>
    </xf>
    <xf numFmtId="165" fontId="46" fillId="0" borderId="120" xfId="0" applyNumberFormat="1" applyFont="1" applyBorder="1" applyAlignment="1">
      <alignment vertical="center"/>
    </xf>
    <xf numFmtId="165" fontId="46" fillId="0" borderId="120" xfId="0" applyNumberFormat="1" applyFont="1" applyBorder="1" applyAlignment="1">
      <alignment horizontal="center" vertical="center"/>
    </xf>
    <xf numFmtId="2" fontId="46" fillId="0" borderId="120" xfId="0" applyNumberFormat="1" applyFont="1" applyBorder="1" applyAlignment="1">
      <alignment horizontal="center" vertical="center"/>
    </xf>
    <xf numFmtId="165" fontId="46" fillId="0" borderId="238" xfId="0" applyNumberFormat="1" applyFont="1" applyBorder="1" applyAlignment="1">
      <alignment horizontal="center" vertical="center"/>
    </xf>
    <xf numFmtId="165" fontId="46" fillId="0" borderId="128" xfId="0" applyNumberFormat="1" applyFont="1" applyBorder="1" applyAlignment="1">
      <alignment horizontal="center" vertical="center"/>
    </xf>
    <xf numFmtId="4" fontId="0" fillId="0" borderId="0" xfId="0" applyNumberFormat="1" applyFill="1" applyBorder="1" applyAlignment="1">
      <alignment horizontal="right" vertical="center" indent="1"/>
    </xf>
    <xf numFmtId="164" fontId="0" fillId="0" borderId="0" xfId="0" applyFill="1" applyBorder="1" applyAlignment="1">
      <alignment vertical="center"/>
    </xf>
    <xf numFmtId="164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4" fontId="0" fillId="0" borderId="237" xfId="0" applyNumberFormat="1" applyFill="1" applyBorder="1" applyAlignment="1">
      <alignment horizontal="right" vertical="center" indent="1"/>
    </xf>
    <xf numFmtId="164" fontId="16" fillId="0" borderId="84" xfId="0" applyFont="1" applyFill="1" applyBorder="1" applyAlignment="1">
      <alignment vertical="center"/>
    </xf>
    <xf numFmtId="164" fontId="16" fillId="0" borderId="84" xfId="0" applyFont="1" applyFill="1" applyBorder="1" applyAlignment="1">
      <alignment horizontal="center" vertical="center"/>
    </xf>
    <xf numFmtId="2" fontId="16" fillId="0" borderId="84" xfId="0" applyNumberFormat="1" applyFont="1" applyFill="1" applyBorder="1" applyAlignment="1">
      <alignment horizontal="center" vertical="center"/>
    </xf>
    <xf numFmtId="165" fontId="0" fillId="0" borderId="84" xfId="0" applyNumberFormat="1" applyFill="1" applyBorder="1" applyAlignment="1">
      <alignment horizontal="center" vertical="center"/>
    </xf>
    <xf numFmtId="165" fontId="0" fillId="0" borderId="162" xfId="0" applyNumberFormat="1" applyFill="1" applyBorder="1" applyAlignment="1">
      <alignment horizontal="center" vertical="center"/>
    </xf>
    <xf numFmtId="4" fontId="16" fillId="0" borderId="125" xfId="0" applyNumberFormat="1" applyFont="1" applyBorder="1" applyAlignment="1">
      <alignment horizontal="right" vertical="center" indent="1"/>
    </xf>
    <xf numFmtId="4" fontId="16" fillId="0" borderId="8" xfId="0" applyNumberFormat="1" applyFont="1" applyBorder="1" applyAlignment="1">
      <alignment horizontal="right" vertical="center" indent="1"/>
    </xf>
    <xf numFmtId="2" fontId="0" fillId="0" borderId="8" xfId="0" applyNumberFormat="1" applyBorder="1" applyAlignment="1">
      <alignment horizontal="center" vertical="center"/>
    </xf>
    <xf numFmtId="164" fontId="16" fillId="0" borderId="8" xfId="0" applyFont="1" applyBorder="1" applyAlignment="1">
      <alignment horizontal="center" vertical="center"/>
    </xf>
    <xf numFmtId="165" fontId="16" fillId="0" borderId="8" xfId="0" quotePrefix="1" applyNumberFormat="1" applyFont="1" applyBorder="1" applyAlignment="1">
      <alignment horizontal="center" vertical="center"/>
    </xf>
    <xf numFmtId="165" fontId="16" fillId="0" borderId="127" xfId="0" quotePrefix="1" applyNumberFormat="1" applyFont="1" applyBorder="1" applyAlignment="1">
      <alignment horizontal="center" vertical="center"/>
    </xf>
    <xf numFmtId="4" fontId="0" fillId="0" borderId="121" xfId="0" applyNumberFormat="1" applyBorder="1" applyAlignment="1">
      <alignment horizontal="right" vertical="center" indent="1"/>
    </xf>
    <xf numFmtId="165" fontId="16" fillId="0" borderId="0" xfId="0" quotePrefix="1" applyNumberFormat="1" applyFont="1" applyBorder="1" applyAlignment="1">
      <alignment horizontal="center" vertical="center"/>
    </xf>
    <xf numFmtId="165" fontId="16" fillId="0" borderId="121" xfId="0" quotePrefix="1" applyNumberFormat="1" applyFont="1" applyBorder="1" applyAlignment="1">
      <alignment horizontal="center" vertical="center"/>
    </xf>
    <xf numFmtId="165" fontId="16" fillId="0" borderId="84" xfId="0" quotePrefix="1" applyNumberFormat="1" applyFont="1" applyBorder="1" applyAlignment="1">
      <alignment horizontal="center" vertical="center"/>
    </xf>
    <xf numFmtId="165" fontId="16" fillId="0" borderId="162" xfId="0" quotePrefix="1" applyNumberFormat="1" applyFont="1" applyBorder="1" applyAlignment="1">
      <alignment horizontal="center" vertical="center"/>
    </xf>
    <xf numFmtId="4" fontId="16" fillId="0" borderId="128" xfId="0" applyNumberFormat="1" applyFont="1" applyBorder="1" applyAlignment="1">
      <alignment horizontal="right" vertical="center" indent="1"/>
    </xf>
    <xf numFmtId="164" fontId="0" fillId="0" borderId="120" xfId="0" applyBorder="1" applyAlignment="1">
      <alignment vertical="center"/>
    </xf>
    <xf numFmtId="164" fontId="0" fillId="0" borderId="120" xfId="0" applyBorder="1" applyAlignment="1">
      <alignment horizontal="center" vertical="center"/>
    </xf>
    <xf numFmtId="2" fontId="0" fillId="0" borderId="120" xfId="0" applyNumberFormat="1" applyBorder="1" applyAlignment="1">
      <alignment horizontal="center" vertical="center"/>
    </xf>
    <xf numFmtId="165" fontId="16" fillId="0" borderId="120" xfId="0" quotePrefix="1" applyNumberFormat="1" applyFont="1" applyBorder="1" applyAlignment="1">
      <alignment horizontal="center" vertical="center"/>
    </xf>
    <xf numFmtId="165" fontId="16" fillId="0" borderId="238" xfId="0" quotePrefix="1" applyNumberFormat="1" applyFont="1" applyBorder="1" applyAlignment="1">
      <alignment horizontal="center" vertical="center"/>
    </xf>
    <xf numFmtId="4" fontId="0" fillId="0" borderId="0" xfId="0" applyNumberFormat="1" applyBorder="1" applyAlignment="1">
      <alignment horizontal="right" vertical="center" indent="1"/>
    </xf>
    <xf numFmtId="4" fontId="16" fillId="0" borderId="132" xfId="0" applyNumberFormat="1" applyFont="1" applyBorder="1" applyAlignment="1">
      <alignment horizontal="right" vertical="center" indent="1"/>
    </xf>
    <xf numFmtId="4" fontId="16" fillId="0" borderId="108" xfId="0" applyNumberFormat="1" applyFont="1" applyBorder="1" applyAlignment="1">
      <alignment horizontal="right" vertical="center" indent="1"/>
    </xf>
    <xf numFmtId="2" fontId="0" fillId="0" borderId="108" xfId="0" applyNumberFormat="1" applyBorder="1" applyAlignment="1">
      <alignment horizontal="center" vertical="center"/>
    </xf>
    <xf numFmtId="164" fontId="16" fillId="0" borderId="108" xfId="0" applyFont="1" applyBorder="1" applyAlignment="1">
      <alignment horizontal="center" vertical="center"/>
    </xf>
    <xf numFmtId="165" fontId="16" fillId="0" borderId="108" xfId="0" quotePrefix="1" applyNumberFormat="1" applyFont="1" applyBorder="1" applyAlignment="1">
      <alignment horizontal="center" vertical="center"/>
    </xf>
    <xf numFmtId="165" fontId="16" fillId="0" borderId="135" xfId="0" quotePrefix="1" applyNumberFormat="1" applyFont="1" applyBorder="1" applyAlignment="1">
      <alignment horizontal="center" vertical="center"/>
    </xf>
    <xf numFmtId="2" fontId="46" fillId="0" borderId="0" xfId="0" applyNumberFormat="1" applyFont="1" applyFill="1" applyAlignment="1">
      <alignment vertical="center"/>
    </xf>
    <xf numFmtId="2" fontId="46" fillId="0" borderId="0" xfId="0" applyNumberFormat="1" applyFont="1" applyFill="1" applyBorder="1" applyAlignment="1">
      <alignment vertical="center"/>
    </xf>
    <xf numFmtId="4" fontId="0" fillId="0" borderId="137" xfId="0" applyNumberFormat="1" applyFill="1" applyBorder="1" applyAlignment="1">
      <alignment horizontal="right" vertical="center" indent="1"/>
    </xf>
    <xf numFmtId="164" fontId="16" fillId="0" borderId="0" xfId="0" applyFont="1" applyBorder="1" applyAlignment="1">
      <alignment vertical="center"/>
    </xf>
    <xf numFmtId="164" fontId="16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/>
    </xf>
    <xf numFmtId="165" fontId="0" fillId="0" borderId="149" xfId="0" applyNumberFormat="1" applyFill="1" applyBorder="1" applyAlignment="1">
      <alignment horizontal="center" vertical="center"/>
    </xf>
    <xf numFmtId="4" fontId="19" fillId="0" borderId="137" xfId="0" applyNumberFormat="1" applyFont="1" applyBorder="1" applyAlignment="1">
      <alignment horizontal="right" vertical="center" indent="1"/>
    </xf>
    <xf numFmtId="165" fontId="16" fillId="0" borderId="149" xfId="0" quotePrefix="1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4" fontId="16" fillId="0" borderId="137" xfId="0" applyNumberFormat="1" applyFont="1" applyBorder="1" applyAlignment="1">
      <alignment horizontal="right" vertical="center" indent="1"/>
    </xf>
    <xf numFmtId="2" fontId="0" fillId="0" borderId="0" xfId="0" applyNumberFormat="1" applyFill="1" applyAlignment="1">
      <alignment vertical="center"/>
    </xf>
    <xf numFmtId="164" fontId="0" fillId="0" borderId="8" xfId="0" applyBorder="1" applyAlignment="1">
      <alignment horizontal="center" vertical="center"/>
    </xf>
    <xf numFmtId="4" fontId="16" fillId="0" borderId="237" xfId="0" applyNumberFormat="1" applyFont="1" applyBorder="1" applyAlignment="1">
      <alignment horizontal="right" vertical="center" indent="1"/>
    </xf>
    <xf numFmtId="4" fontId="16" fillId="0" borderId="84" xfId="0" applyNumberFormat="1" applyFont="1" applyBorder="1" applyAlignment="1">
      <alignment horizontal="right" vertical="center" indent="1"/>
    </xf>
    <xf numFmtId="164" fontId="16" fillId="0" borderId="84" xfId="0" applyFont="1" applyBorder="1" applyAlignment="1">
      <alignment horizontal="center" vertical="center"/>
    </xf>
    <xf numFmtId="2" fontId="46" fillId="0" borderId="0" xfId="0" applyNumberFormat="1" applyFont="1" applyBorder="1" applyAlignment="1">
      <alignment vertical="center"/>
    </xf>
    <xf numFmtId="2" fontId="46" fillId="0" borderId="0" xfId="0" applyNumberFormat="1" applyFont="1" applyAlignment="1">
      <alignment vertical="center"/>
    </xf>
    <xf numFmtId="1" fontId="0" fillId="0" borderId="8" xfId="0" applyNumberFormat="1" applyBorder="1" applyAlignment="1">
      <alignment horizontal="center" vertical="center"/>
    </xf>
    <xf numFmtId="165" fontId="19" fillId="4" borderId="127" xfId="0" quotePrefix="1" applyNumberFormat="1" applyFont="1" applyFill="1" applyBorder="1" applyAlignment="1">
      <alignment horizontal="center" vertical="center"/>
    </xf>
    <xf numFmtId="164" fontId="16" fillId="0" borderId="0" xfId="0" applyFont="1" applyFill="1" applyAlignment="1">
      <alignment horizontal="right" vertical="center" indent="1"/>
    </xf>
    <xf numFmtId="165" fontId="0" fillId="0" borderId="0" xfId="0" applyNumberFormat="1" applyAlignment="1">
      <alignment vertical="center"/>
    </xf>
    <xf numFmtId="2" fontId="46" fillId="0" borderId="120" xfId="0" applyNumberFormat="1" applyFont="1" applyFill="1" applyBorder="1" applyAlignment="1">
      <alignment vertical="center"/>
    </xf>
    <xf numFmtId="14" fontId="46" fillId="0" borderId="0" xfId="0" applyNumberFormat="1" applyFont="1" applyAlignment="1">
      <alignment vertical="center"/>
    </xf>
    <xf numFmtId="165" fontId="82" fillId="14" borderId="0" xfId="0" quotePrefix="1" applyNumberFormat="1" applyFont="1" applyFill="1" applyBorder="1" applyAlignment="1">
      <alignment horizontal="center" vertical="center"/>
    </xf>
    <xf numFmtId="164" fontId="0" fillId="0" borderId="84" xfId="0" applyBorder="1" applyAlignment="1">
      <alignment horizontal="left" vertical="center" indent="1"/>
    </xf>
    <xf numFmtId="164" fontId="0" fillId="0" borderId="0" xfId="0" applyBorder="1" applyAlignment="1">
      <alignment horizontal="left" vertical="center" indent="1"/>
    </xf>
    <xf numFmtId="165" fontId="82" fillId="14" borderId="169" xfId="0" quotePrefix="1" applyNumberFormat="1" applyFont="1" applyFill="1" applyBorder="1" applyAlignment="1">
      <alignment horizontal="center" vertical="center"/>
    </xf>
    <xf numFmtId="165" fontId="82" fillId="14" borderId="121" xfId="0" applyNumberFormat="1" applyFont="1" applyFill="1" applyBorder="1" applyAlignment="1">
      <alignment horizontal="center" vertical="center"/>
    </xf>
    <xf numFmtId="165" fontId="82" fillId="14" borderId="239" xfId="0" quotePrefix="1" applyNumberFormat="1" applyFont="1" applyFill="1" applyBorder="1" applyAlignment="1">
      <alignment horizontal="center" vertical="center"/>
    </xf>
    <xf numFmtId="4" fontId="16" fillId="0" borderId="0" xfId="0" applyNumberFormat="1" applyFont="1" applyBorder="1" applyAlignment="1">
      <alignment horizontal="right" vertical="center" indent="1"/>
    </xf>
    <xf numFmtId="165" fontId="19" fillId="4" borderId="0" xfId="0" quotePrefix="1" applyNumberFormat="1" applyFont="1" applyFill="1" applyBorder="1" applyAlignment="1">
      <alignment horizontal="center" vertical="center"/>
    </xf>
    <xf numFmtId="165" fontId="19" fillId="4" borderId="163" xfId="0" quotePrefix="1" applyNumberFormat="1" applyFont="1" applyFill="1" applyBorder="1" applyAlignment="1">
      <alignment horizontal="center" vertical="center"/>
    </xf>
    <xf numFmtId="165" fontId="101" fillId="0" borderId="0" xfId="0" applyNumberFormat="1" applyFont="1" applyBorder="1" applyAlignment="1">
      <alignment horizontal="center" vertical="center"/>
    </xf>
    <xf numFmtId="164" fontId="0" fillId="0" borderId="84" xfId="0" applyBorder="1" applyAlignment="1">
      <alignment horizontal="left" vertical="center"/>
    </xf>
    <xf numFmtId="164" fontId="0" fillId="0" borderId="8" xfId="0" applyBorder="1" applyAlignment="1">
      <alignment horizontal="left" vertical="center"/>
    </xf>
    <xf numFmtId="165" fontId="0" fillId="0" borderId="127" xfId="0" applyNumberFormat="1" applyBorder="1" applyAlignment="1">
      <alignment horizontal="center" vertical="center"/>
    </xf>
    <xf numFmtId="164" fontId="16" fillId="0" borderId="8" xfId="0" applyFont="1" applyBorder="1" applyAlignment="1">
      <alignment horizontal="left" vertical="center"/>
    </xf>
    <xf numFmtId="165" fontId="16" fillId="0" borderId="127" xfId="0" applyNumberFormat="1" applyFont="1" applyBorder="1" applyAlignment="1">
      <alignment horizontal="center" vertical="center"/>
    </xf>
    <xf numFmtId="4" fontId="16" fillId="0" borderId="134" xfId="0" applyNumberFormat="1" applyFont="1" applyBorder="1" applyAlignment="1">
      <alignment horizontal="right" vertical="center" indent="1"/>
    </xf>
    <xf numFmtId="4" fontId="16" fillId="0" borderId="103" xfId="0" applyNumberFormat="1" applyFont="1" applyBorder="1" applyAlignment="1">
      <alignment horizontal="right" vertical="center" indent="1"/>
    </xf>
    <xf numFmtId="2" fontId="0" fillId="0" borderId="103" xfId="0" applyNumberFormat="1" applyBorder="1" applyAlignment="1">
      <alignment horizontal="center" vertical="center"/>
    </xf>
    <xf numFmtId="1" fontId="0" fillId="0" borderId="103" xfId="0" applyNumberFormat="1" applyBorder="1" applyAlignment="1">
      <alignment horizontal="center" vertical="center"/>
    </xf>
    <xf numFmtId="165" fontId="16" fillId="0" borderId="103" xfId="0" quotePrefix="1" applyNumberFormat="1" applyFont="1" applyBorder="1" applyAlignment="1">
      <alignment horizontal="center" vertical="center"/>
    </xf>
    <xf numFmtId="165" fontId="16" fillId="0" borderId="136" xfId="0" quotePrefix="1" applyNumberFormat="1" applyFont="1" applyBorder="1" applyAlignment="1">
      <alignment horizontal="center" vertical="center"/>
    </xf>
    <xf numFmtId="4" fontId="46" fillId="25" borderId="125" xfId="0" applyNumberFormat="1" applyFont="1" applyFill="1" applyBorder="1" applyAlignment="1">
      <alignment horizontal="right" vertical="center" indent="1"/>
    </xf>
    <xf numFmtId="4" fontId="46" fillId="25" borderId="8" xfId="0" applyNumberFormat="1" applyFont="1" applyFill="1" applyBorder="1" applyAlignment="1">
      <alignment horizontal="right" vertical="center" indent="1"/>
    </xf>
    <xf numFmtId="200" fontId="46" fillId="25" borderId="8" xfId="0" applyNumberFormat="1" applyFont="1" applyFill="1" applyBorder="1" applyAlignment="1">
      <alignment horizontal="right" vertical="center" indent="1"/>
    </xf>
    <xf numFmtId="2" fontId="46" fillId="25" borderId="8" xfId="0" applyNumberFormat="1" applyFont="1" applyFill="1" applyBorder="1" applyAlignment="1">
      <alignment horizontal="center" vertical="center"/>
    </xf>
    <xf numFmtId="1" fontId="46" fillId="25" borderId="8" xfId="0" applyNumberFormat="1" applyFont="1" applyFill="1" applyBorder="1" applyAlignment="1">
      <alignment horizontal="center" vertical="center"/>
    </xf>
    <xf numFmtId="201" fontId="46" fillId="25" borderId="8" xfId="0" applyNumberFormat="1" applyFont="1" applyFill="1" applyBorder="1" applyAlignment="1">
      <alignment horizontal="center" vertical="center"/>
    </xf>
    <xf numFmtId="165" fontId="46" fillId="25" borderId="8" xfId="0" quotePrefix="1" applyNumberFormat="1" applyFont="1" applyFill="1" applyBorder="1" applyAlignment="1">
      <alignment horizontal="center" vertical="center"/>
    </xf>
    <xf numFmtId="165" fontId="46" fillId="25" borderId="127" xfId="0" quotePrefix="1" applyNumberFormat="1" applyFont="1" applyFill="1" applyBorder="1" applyAlignment="1">
      <alignment horizontal="center" vertical="center"/>
    </xf>
    <xf numFmtId="4" fontId="16" fillId="25" borderId="8" xfId="0" applyNumberFormat="1" applyFont="1" applyFill="1" applyBorder="1" applyAlignment="1">
      <alignment horizontal="right" vertical="center" indent="1"/>
    </xf>
    <xf numFmtId="164" fontId="0" fillId="25" borderId="8" xfId="0" applyFill="1" applyBorder="1"/>
    <xf numFmtId="165" fontId="59" fillId="25" borderId="8" xfId="54" applyNumberFormat="1" applyFont="1" applyFill="1" applyBorder="1" applyAlignment="1">
      <alignment horizontal="center" vertical="center"/>
    </xf>
    <xf numFmtId="188" fontId="59" fillId="25" borderId="8" xfId="54" applyNumberFormat="1" applyFont="1" applyFill="1" applyBorder="1" applyAlignment="1">
      <alignment horizontal="center" vertical="center"/>
    </xf>
    <xf numFmtId="165" fontId="59" fillId="25" borderId="127" xfId="54" applyNumberFormat="1" applyFont="1" applyFill="1" applyBorder="1" applyAlignment="1">
      <alignment horizontal="center" vertical="center"/>
    </xf>
    <xf numFmtId="4" fontId="89" fillId="25" borderId="125" xfId="0" applyNumberFormat="1" applyFont="1" applyFill="1" applyBorder="1" applyAlignment="1">
      <alignment horizontal="right" vertical="center" indent="1"/>
    </xf>
    <xf numFmtId="4" fontId="16" fillId="9" borderId="8" xfId="0" applyNumberFormat="1" applyFont="1" applyFill="1" applyBorder="1" applyAlignment="1">
      <alignment horizontal="right" vertical="center" indent="1"/>
    </xf>
    <xf numFmtId="164" fontId="0" fillId="9" borderId="8" xfId="0" applyFill="1" applyBorder="1"/>
    <xf numFmtId="165" fontId="59" fillId="9" borderId="8" xfId="54" applyNumberFormat="1" applyFont="1" applyFill="1" applyBorder="1" applyAlignment="1">
      <alignment horizontal="center" vertical="center"/>
    </xf>
    <xf numFmtId="188" fontId="59" fillId="9" borderId="8" xfId="54" applyNumberFormat="1" applyFont="1" applyFill="1" applyBorder="1" applyAlignment="1">
      <alignment horizontal="center" vertical="center"/>
    </xf>
    <xf numFmtId="2" fontId="46" fillId="0" borderId="237" xfId="0" applyNumberFormat="1" applyFont="1" applyBorder="1" applyAlignment="1">
      <alignment vertical="center"/>
    </xf>
    <xf numFmtId="165" fontId="46" fillId="0" borderId="162" xfId="0" applyNumberFormat="1" applyFont="1" applyBorder="1" applyAlignment="1">
      <alignment horizontal="center" vertical="center"/>
    </xf>
    <xf numFmtId="2" fontId="82" fillId="23" borderId="169" xfId="0" applyNumberFormat="1" applyFont="1" applyFill="1" applyBorder="1" applyAlignment="1">
      <alignment vertical="center"/>
    </xf>
    <xf numFmtId="165" fontId="82" fillId="23" borderId="238" xfId="0" applyNumberFormat="1" applyFont="1" applyFill="1" applyBorder="1" applyAlignment="1">
      <alignment horizontal="center" vertical="center"/>
    </xf>
    <xf numFmtId="1" fontId="46" fillId="26" borderId="8" xfId="0" applyNumberFormat="1" applyFont="1" applyFill="1" applyBorder="1" applyAlignment="1">
      <alignment horizontal="center" vertical="center"/>
    </xf>
    <xf numFmtId="4" fontId="16" fillId="30" borderId="125" xfId="0" applyNumberFormat="1" applyFont="1" applyFill="1" applyBorder="1" applyAlignment="1">
      <alignment horizontal="right" vertical="center" indent="1"/>
    </xf>
    <xf numFmtId="4" fontId="16" fillId="30" borderId="8" xfId="0" applyNumberFormat="1" applyFont="1" applyFill="1" applyBorder="1" applyAlignment="1">
      <alignment horizontal="right" vertical="center" indent="1"/>
    </xf>
    <xf numFmtId="2" fontId="0" fillId="30" borderId="8" xfId="0" applyNumberFormat="1" applyFill="1" applyBorder="1" applyAlignment="1">
      <alignment horizontal="center" vertical="center"/>
    </xf>
    <xf numFmtId="1" fontId="0" fillId="30" borderId="8" xfId="0" applyNumberFormat="1" applyFill="1" applyBorder="1" applyAlignment="1">
      <alignment horizontal="center" vertical="center"/>
    </xf>
    <xf numFmtId="165" fontId="16" fillId="30" borderId="127" xfId="0" quotePrefix="1" applyNumberFormat="1" applyFont="1" applyFill="1" applyBorder="1" applyAlignment="1">
      <alignment horizontal="center" vertical="center"/>
    </xf>
    <xf numFmtId="164" fontId="0" fillId="0" borderId="103" xfId="0" applyBorder="1" applyAlignment="1">
      <alignment horizontal="left" vertical="center"/>
    </xf>
    <xf numFmtId="164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/>
    </xf>
    <xf numFmtId="4" fontId="46" fillId="11" borderId="137" xfId="0" applyNumberFormat="1" applyFont="1" applyFill="1" applyBorder="1" applyAlignment="1">
      <alignment horizontal="right" vertical="center" indent="1"/>
    </xf>
    <xf numFmtId="1" fontId="46" fillId="11" borderId="149" xfId="0" applyNumberFormat="1" applyFont="1" applyFill="1" applyBorder="1" applyAlignment="1">
      <alignment horizontal="center" vertical="center"/>
    </xf>
    <xf numFmtId="4" fontId="46" fillId="11" borderId="137" xfId="0" applyNumberFormat="1" applyFont="1" applyFill="1" applyBorder="1" applyAlignment="1">
      <alignment horizontal="center" vertical="center"/>
    </xf>
    <xf numFmtId="1" fontId="0" fillId="11" borderId="0" xfId="0" applyNumberFormat="1" applyFill="1" applyBorder="1" applyAlignment="1">
      <alignment horizontal="center" vertical="center"/>
    </xf>
    <xf numFmtId="165" fontId="82" fillId="14" borderId="137" xfId="0" quotePrefix="1" applyNumberFormat="1" applyFont="1" applyFill="1" applyBorder="1" applyAlignment="1">
      <alignment horizontal="center" vertical="center"/>
    </xf>
    <xf numFmtId="2" fontId="82" fillId="14" borderId="0" xfId="0" applyNumberFormat="1" applyFont="1" applyFill="1" applyBorder="1" applyAlignment="1">
      <alignment horizontal="center" vertical="center"/>
    </xf>
    <xf numFmtId="165" fontId="82" fillId="14" borderId="0" xfId="0" applyNumberFormat="1" applyFont="1" applyFill="1" applyBorder="1" applyAlignment="1">
      <alignment horizontal="center" vertical="center"/>
    </xf>
    <xf numFmtId="165" fontId="82" fillId="14" borderId="149" xfId="0" applyNumberFormat="1" applyFont="1" applyFill="1" applyBorder="1" applyAlignment="1">
      <alignment horizontal="center" vertical="center"/>
    </xf>
    <xf numFmtId="165" fontId="102" fillId="23" borderId="121" xfId="0" applyNumberFormat="1" applyFont="1" applyFill="1" applyBorder="1" applyAlignment="1">
      <alignment horizontal="center" vertical="center"/>
    </xf>
    <xf numFmtId="2" fontId="82" fillId="23" borderId="121" xfId="0" applyNumberFormat="1" applyFont="1" applyFill="1" applyBorder="1" applyAlignment="1">
      <alignment vertical="center"/>
    </xf>
    <xf numFmtId="165" fontId="82" fillId="14" borderId="149" xfId="0" quotePrefix="1" applyNumberFormat="1" applyFont="1" applyFill="1" applyBorder="1" applyAlignment="1">
      <alignment horizontal="center" vertical="center"/>
    </xf>
    <xf numFmtId="4" fontId="46" fillId="20" borderId="240" xfId="0" applyNumberFormat="1" applyFont="1" applyFill="1" applyBorder="1" applyAlignment="1">
      <alignment horizontal="right" vertical="center" indent="1"/>
    </xf>
    <xf numFmtId="4" fontId="46" fillId="20" borderId="240" xfId="0" applyNumberFormat="1" applyFont="1" applyFill="1" applyBorder="1" applyAlignment="1">
      <alignment horizontal="center" vertical="center"/>
    </xf>
    <xf numFmtId="3" fontId="46" fillId="20" borderId="240" xfId="0" applyNumberFormat="1" applyFont="1" applyFill="1" applyBorder="1" applyAlignment="1">
      <alignment horizontal="right" vertical="center" indent="1"/>
    </xf>
    <xf numFmtId="1" fontId="46" fillId="20" borderId="32" xfId="0" applyNumberFormat="1" applyFont="1" applyFill="1" applyBorder="1" applyAlignment="1">
      <alignment horizontal="center" vertical="center"/>
    </xf>
    <xf numFmtId="1" fontId="46" fillId="20" borderId="241" xfId="0" quotePrefix="1" applyNumberFormat="1" applyFont="1" applyFill="1" applyBorder="1" applyAlignment="1">
      <alignment horizontal="center" vertical="center"/>
    </xf>
    <xf numFmtId="165" fontId="101" fillId="0" borderId="84" xfId="0" applyNumberFormat="1" applyFont="1" applyBorder="1" applyAlignment="1">
      <alignment horizontal="center" vertical="center"/>
    </xf>
    <xf numFmtId="165" fontId="16" fillId="0" borderId="84" xfId="0" applyNumberFormat="1" applyFont="1" applyBorder="1" applyAlignment="1">
      <alignment horizontal="center" vertical="center"/>
    </xf>
    <xf numFmtId="165" fontId="46" fillId="0" borderId="0" xfId="0" applyNumberFormat="1" applyFont="1" applyBorder="1" applyAlignment="1">
      <alignment horizontal="center" vertical="center"/>
    </xf>
    <xf numFmtId="4" fontId="102" fillId="0" borderId="0" xfId="0" applyNumberFormat="1" applyFont="1" applyFill="1" applyAlignment="1">
      <alignment horizontal="right" vertical="center" indent="1"/>
    </xf>
    <xf numFmtId="164" fontId="102" fillId="0" borderId="0" xfId="0" applyFont="1" applyFill="1" applyAlignment="1">
      <alignment horizontal="center" vertical="center"/>
    </xf>
    <xf numFmtId="165" fontId="102" fillId="0" borderId="0" xfId="0" quotePrefix="1" applyNumberFormat="1" applyFont="1" applyFill="1" applyAlignment="1">
      <alignment horizontal="center" vertical="center"/>
    </xf>
    <xf numFmtId="164" fontId="102" fillId="0" borderId="0" xfId="0" applyFont="1" applyFill="1" applyAlignment="1">
      <alignment vertical="center"/>
    </xf>
    <xf numFmtId="2" fontId="102" fillId="0" borderId="0" xfId="0" applyNumberFormat="1" applyFont="1" applyFill="1" applyAlignment="1">
      <alignment horizontal="center" vertical="center"/>
    </xf>
    <xf numFmtId="4" fontId="102" fillId="23" borderId="0" xfId="0" applyNumberFormat="1" applyFont="1" applyFill="1" applyAlignment="1">
      <alignment horizontal="right" vertical="center" indent="1"/>
    </xf>
    <xf numFmtId="165" fontId="102" fillId="23" borderId="0" xfId="0" quotePrefix="1" applyNumberFormat="1" applyFont="1" applyFill="1" applyAlignment="1">
      <alignment horizontal="center" vertical="center"/>
    </xf>
    <xf numFmtId="164" fontId="102" fillId="23" borderId="0" xfId="0" applyFont="1" applyFill="1" applyAlignment="1">
      <alignment horizontal="center" vertical="center"/>
    </xf>
    <xf numFmtId="164" fontId="102" fillId="23" borderId="0" xfId="0" applyFont="1" applyFill="1" applyAlignment="1">
      <alignment vertical="center"/>
    </xf>
    <xf numFmtId="2" fontId="102" fillId="23" borderId="0" xfId="0" applyNumberFormat="1" applyFont="1" applyFill="1" applyAlignment="1">
      <alignment horizontal="center" vertical="center"/>
    </xf>
    <xf numFmtId="4" fontId="102" fillId="23" borderId="0" xfId="0" applyNumberFormat="1" applyFont="1" applyFill="1" applyBorder="1" applyAlignment="1">
      <alignment horizontal="right" vertical="center" indent="1"/>
    </xf>
    <xf numFmtId="165" fontId="102" fillId="23" borderId="0" xfId="0" quotePrefix="1" applyNumberFormat="1" applyFont="1" applyFill="1" applyBorder="1" applyAlignment="1">
      <alignment horizontal="center" vertical="center"/>
    </xf>
    <xf numFmtId="4" fontId="102" fillId="23" borderId="0" xfId="0" applyNumberFormat="1" applyFont="1" applyFill="1" applyBorder="1" applyAlignment="1">
      <alignment horizontal="center" vertical="center"/>
    </xf>
    <xf numFmtId="164" fontId="102" fillId="23" borderId="0" xfId="0" applyFont="1" applyFill="1" applyBorder="1" applyAlignment="1">
      <alignment horizontal="center" vertical="center"/>
    </xf>
    <xf numFmtId="164" fontId="102" fillId="23" borderId="0" xfId="0" applyFont="1" applyFill="1" applyBorder="1" applyAlignment="1">
      <alignment vertical="center"/>
    </xf>
    <xf numFmtId="2" fontId="102" fillId="23" borderId="0" xfId="0" applyNumberFormat="1" applyFont="1" applyFill="1" applyBorder="1" applyAlignment="1">
      <alignment horizontal="center" vertical="center"/>
    </xf>
    <xf numFmtId="4" fontId="102" fillId="23" borderId="75" xfId="0" applyNumberFormat="1" applyFont="1" applyFill="1" applyBorder="1" applyAlignment="1">
      <alignment horizontal="center" vertical="center"/>
    </xf>
    <xf numFmtId="165" fontId="102" fillId="23" borderId="75" xfId="0" applyNumberFormat="1" applyFont="1" applyFill="1" applyBorder="1" applyAlignment="1">
      <alignment horizontal="center" vertical="center"/>
    </xf>
    <xf numFmtId="164" fontId="0" fillId="0" borderId="75" xfId="0" applyFill="1" applyBorder="1" applyAlignment="1">
      <alignment horizontal="center" vertical="center"/>
    </xf>
    <xf numFmtId="164" fontId="102" fillId="23" borderId="75" xfId="0" applyFont="1" applyFill="1" applyBorder="1" applyAlignment="1">
      <alignment horizontal="center" vertical="center"/>
    </xf>
    <xf numFmtId="164" fontId="102" fillId="23" borderId="75" xfId="0" applyFont="1" applyFill="1" applyBorder="1" applyAlignment="1">
      <alignment vertical="center"/>
    </xf>
    <xf numFmtId="2" fontId="102" fillId="23" borderId="75" xfId="0" applyNumberFormat="1" applyFont="1" applyFill="1" applyBorder="1" applyAlignment="1">
      <alignment horizontal="center" vertical="center"/>
    </xf>
    <xf numFmtId="165" fontId="102" fillId="23" borderId="0" xfId="0" applyNumberFormat="1" applyFont="1" applyFill="1" applyBorder="1" applyAlignment="1">
      <alignment horizontal="center" vertical="center"/>
    </xf>
    <xf numFmtId="4" fontId="30" fillId="0" borderId="0" xfId="55" applyNumberFormat="1" applyFont="1" applyAlignment="1">
      <alignment vertical="center"/>
    </xf>
    <xf numFmtId="164" fontId="16" fillId="0" borderId="0" xfId="45" applyNumberFormat="1" applyFont="1"/>
    <xf numFmtId="4" fontId="30" fillId="0" borderId="0" xfId="55" applyNumberFormat="1" applyFont="1" applyAlignment="1">
      <alignment horizontal="right" vertical="center"/>
    </xf>
    <xf numFmtId="3" fontId="30" fillId="0" borderId="0" xfId="55" applyNumberFormat="1" applyFont="1" applyAlignment="1">
      <alignment vertical="center"/>
    </xf>
    <xf numFmtId="0" fontId="30" fillId="0" borderId="0" xfId="55" applyNumberFormat="1" applyFont="1" applyAlignment="1">
      <alignment horizontal="right" vertical="center"/>
    </xf>
    <xf numFmtId="3" fontId="30" fillId="0" borderId="0" xfId="55" applyNumberFormat="1" applyFont="1" applyAlignment="1">
      <alignment horizontal="left" vertical="center"/>
    </xf>
    <xf numFmtId="4" fontId="30" fillId="0" borderId="0" xfId="55" applyNumberFormat="1" applyFont="1" applyFill="1" applyAlignment="1">
      <alignment vertical="center"/>
    </xf>
    <xf numFmtId="4" fontId="30" fillId="4" borderId="0" xfId="55" applyNumberFormat="1" applyFont="1" applyFill="1" applyAlignment="1">
      <alignment vertical="center"/>
    </xf>
    <xf numFmtId="43" fontId="30" fillId="0" borderId="180" xfId="55" applyNumberFormat="1" applyFont="1" applyFill="1" applyBorder="1" applyAlignment="1">
      <alignment horizontal="right" vertical="center"/>
    </xf>
    <xf numFmtId="43" fontId="30" fillId="0" borderId="125" xfId="55" applyNumberFormat="1" applyFont="1" applyFill="1" applyBorder="1" applyAlignment="1">
      <alignment horizontal="right" vertical="center"/>
    </xf>
    <xf numFmtId="43" fontId="30" fillId="0" borderId="8" xfId="55" applyNumberFormat="1" applyFont="1" applyFill="1" applyBorder="1" applyAlignment="1">
      <alignment horizontal="right" vertical="center"/>
    </xf>
    <xf numFmtId="3" fontId="30" fillId="0" borderId="8" xfId="55" applyNumberFormat="1" applyFont="1" applyFill="1" applyBorder="1" applyAlignment="1">
      <alignment horizontal="center" vertical="center"/>
    </xf>
    <xf numFmtId="0" fontId="103" fillId="0" borderId="8" xfId="7" applyNumberFormat="1" applyFont="1" applyFill="1" applyBorder="1" applyAlignment="1" applyProtection="1">
      <alignment horizontal="center" vertical="center"/>
    </xf>
    <xf numFmtId="0" fontId="103" fillId="0" borderId="8" xfId="7" quotePrefix="1" applyNumberFormat="1" applyFont="1" applyFill="1" applyBorder="1" applyAlignment="1" applyProtection="1">
      <alignment horizontal="center" vertical="center"/>
    </xf>
    <xf numFmtId="1" fontId="30" fillId="0" borderId="8" xfId="55" applyNumberFormat="1" applyFont="1" applyFill="1" applyBorder="1" applyAlignment="1">
      <alignment horizontal="center" vertical="center"/>
    </xf>
    <xf numFmtId="0" fontId="48" fillId="0" borderId="127" xfId="5" applyNumberFormat="1" applyFont="1" applyFill="1" applyBorder="1" applyAlignment="1" applyProtection="1">
      <alignment horizontal="left" vertical="center"/>
    </xf>
    <xf numFmtId="164" fontId="16" fillId="0" borderId="242" xfId="45" applyNumberFormat="1" applyFont="1" applyFill="1" applyBorder="1" applyAlignment="1">
      <alignment vertical="center"/>
    </xf>
    <xf numFmtId="0" fontId="48" fillId="0" borderId="127" xfId="5" quotePrefix="1" applyNumberFormat="1" applyFont="1" applyFill="1" applyBorder="1" applyAlignment="1" applyProtection="1">
      <alignment horizontal="left" vertical="center"/>
    </xf>
    <xf numFmtId="164" fontId="48" fillId="0" borderId="243" xfId="5" applyNumberFormat="1" applyFont="1" applyFill="1" applyBorder="1" applyAlignment="1" applyProtection="1">
      <alignment vertical="center"/>
    </xf>
    <xf numFmtId="164" fontId="16" fillId="4" borderId="0" xfId="45" applyNumberFormat="1" applyFont="1" applyFill="1"/>
    <xf numFmtId="4" fontId="30" fillId="11" borderId="182" xfId="55" applyNumberFormat="1" applyFont="1" applyFill="1" applyBorder="1" applyAlignment="1">
      <alignment horizontal="center" vertical="center"/>
    </xf>
    <xf numFmtId="3" fontId="30" fillId="11" borderId="183" xfId="55" applyNumberFormat="1" applyFont="1" applyFill="1" applyBorder="1" applyAlignment="1">
      <alignment horizontal="center" vertical="center"/>
    </xf>
    <xf numFmtId="4" fontId="30" fillId="11" borderId="185" xfId="55" applyNumberFormat="1" applyFont="1" applyFill="1" applyBorder="1" applyAlignment="1">
      <alignment horizontal="center" vertical="center"/>
    </xf>
    <xf numFmtId="4" fontId="30" fillId="4" borderId="0" xfId="55" applyNumberFormat="1" applyFont="1" applyFill="1" applyAlignment="1">
      <alignment horizontal="right" vertical="center"/>
    </xf>
    <xf numFmtId="3" fontId="30" fillId="4" borderId="0" xfId="55" applyNumberFormat="1" applyFont="1" applyFill="1" applyAlignment="1">
      <alignment vertical="center"/>
    </xf>
    <xf numFmtId="0" fontId="30" fillId="4" borderId="0" xfId="55" applyNumberFormat="1" applyFont="1" applyFill="1" applyAlignment="1">
      <alignment horizontal="right" vertical="center"/>
    </xf>
    <xf numFmtId="3" fontId="30" fillId="4" borderId="0" xfId="55" applyNumberFormat="1" applyFont="1" applyFill="1" applyAlignment="1">
      <alignment horizontal="left" vertical="center"/>
    </xf>
    <xf numFmtId="43" fontId="30" fillId="11" borderId="177" xfId="55" applyNumberFormat="1" applyFont="1" applyFill="1" applyBorder="1" applyAlignment="1">
      <alignment horizontal="right" vertical="center"/>
    </xf>
    <xf numFmtId="43" fontId="30" fillId="11" borderId="246" xfId="55" applyNumberFormat="1" applyFont="1" applyFill="1" applyBorder="1" applyAlignment="1">
      <alignment horizontal="right" vertical="center"/>
    </xf>
    <xf numFmtId="4" fontId="30" fillId="11" borderId="178" xfId="55" applyNumberFormat="1" applyFont="1" applyFill="1" applyBorder="1" applyAlignment="1">
      <alignment horizontal="right" vertical="center"/>
    </xf>
    <xf numFmtId="3" fontId="30" fillId="11" borderId="178" xfId="55" applyNumberFormat="1" applyFont="1" applyFill="1" applyBorder="1" applyAlignment="1">
      <alignment vertical="center"/>
    </xf>
    <xf numFmtId="0" fontId="30" fillId="11" borderId="178" xfId="55" applyNumberFormat="1" applyFont="1" applyFill="1" applyBorder="1" applyAlignment="1">
      <alignment horizontal="right" vertical="center"/>
    </xf>
    <xf numFmtId="43" fontId="30" fillId="11" borderId="178" xfId="55" applyNumberFormat="1" applyFont="1" applyFill="1" applyBorder="1" applyAlignment="1">
      <alignment horizontal="right" vertical="center"/>
    </xf>
    <xf numFmtId="3" fontId="30" fillId="11" borderId="178" xfId="55" applyNumberFormat="1" applyFont="1" applyFill="1" applyBorder="1" applyAlignment="1">
      <alignment horizontal="left" vertical="center"/>
    </xf>
    <xf numFmtId="4" fontId="30" fillId="11" borderId="179" xfId="55" applyNumberFormat="1" applyFont="1" applyFill="1" applyBorder="1" applyAlignment="1">
      <alignment horizontal="center" vertical="center"/>
    </xf>
    <xf numFmtId="0" fontId="30" fillId="0" borderId="8" xfId="55" applyNumberFormat="1" applyFont="1" applyFill="1" applyBorder="1" applyAlignment="1">
      <alignment horizontal="right" vertical="center"/>
    </xf>
    <xf numFmtId="1" fontId="30" fillId="0" borderId="103" xfId="55" applyNumberFormat="1" applyFont="1" applyFill="1" applyBorder="1" applyAlignment="1">
      <alignment horizontal="center" vertical="center"/>
    </xf>
    <xf numFmtId="0" fontId="103" fillId="0" borderId="8" xfId="7" applyNumberFormat="1" applyFont="1" applyFill="1" applyBorder="1" applyAlignment="1" applyProtection="1">
      <alignment horizontal="left" vertical="center"/>
    </xf>
    <xf numFmtId="164" fontId="16" fillId="0" borderId="243" xfId="45" applyNumberFormat="1" applyFont="1" applyFill="1" applyBorder="1"/>
    <xf numFmtId="43" fontId="30" fillId="20" borderId="247" xfId="55" applyNumberFormat="1" applyFont="1" applyFill="1" applyBorder="1" applyAlignment="1">
      <alignment horizontal="right" vertical="center"/>
    </xf>
    <xf numFmtId="43" fontId="30" fillId="20" borderId="132" xfId="55" applyNumberFormat="1" applyFont="1" applyFill="1" applyBorder="1" applyAlignment="1">
      <alignment horizontal="center" vertical="center"/>
    </xf>
    <xf numFmtId="43" fontId="30" fillId="20" borderId="108" xfId="55" applyNumberFormat="1" applyFont="1" applyFill="1" applyBorder="1" applyAlignment="1">
      <alignment horizontal="center" vertical="center"/>
    </xf>
    <xf numFmtId="3" fontId="30" fillId="20" borderId="108" xfId="55" applyNumberFormat="1" applyFont="1" applyFill="1" applyBorder="1" applyAlignment="1">
      <alignment horizontal="center" vertical="center"/>
    </xf>
    <xf numFmtId="3" fontId="30" fillId="20" borderId="108" xfId="55" applyNumberFormat="1" applyFont="1" applyFill="1" applyBorder="1" applyAlignment="1">
      <alignment horizontal="left" vertical="center"/>
    </xf>
    <xf numFmtId="3" fontId="30" fillId="20" borderId="242" xfId="55" applyNumberFormat="1" applyFont="1" applyFill="1" applyBorder="1" applyAlignment="1">
      <alignment horizontal="center" vertical="center"/>
    </xf>
    <xf numFmtId="4" fontId="30" fillId="11" borderId="246" xfId="55" applyNumberFormat="1" applyFont="1" applyFill="1" applyBorder="1" applyAlignment="1">
      <alignment horizontal="right" vertical="center"/>
    </xf>
    <xf numFmtId="164" fontId="16" fillId="0" borderId="0" xfId="45" applyNumberFormat="1" applyFont="1" applyAlignment="1">
      <alignment vertical="center"/>
    </xf>
    <xf numFmtId="164" fontId="16" fillId="4" borderId="0" xfId="45" applyNumberFormat="1" applyFont="1" applyFill="1" applyAlignment="1">
      <alignment vertical="center"/>
    </xf>
    <xf numFmtId="43" fontId="30" fillId="0" borderId="188" xfId="55" applyNumberFormat="1" applyFont="1" applyFill="1" applyBorder="1" applyAlignment="1">
      <alignment horizontal="right" vertical="center"/>
    </xf>
    <xf numFmtId="43" fontId="30" fillId="0" borderId="134" xfId="55" applyNumberFormat="1" applyFont="1" applyFill="1" applyBorder="1" applyAlignment="1">
      <alignment horizontal="right" vertical="center"/>
    </xf>
    <xf numFmtId="43" fontId="30" fillId="0" borderId="103" xfId="55" applyNumberFormat="1" applyFont="1" applyFill="1" applyBorder="1" applyAlignment="1">
      <alignment horizontal="right" vertical="center"/>
    </xf>
    <xf numFmtId="3" fontId="30" fillId="0" borderId="103" xfId="55" applyNumberFormat="1" applyFont="1" applyFill="1" applyBorder="1" applyAlignment="1">
      <alignment horizontal="center" vertical="center"/>
    </xf>
    <xf numFmtId="0" fontId="30" fillId="0" borderId="103" xfId="55" applyNumberFormat="1" applyFont="1" applyFill="1" applyBorder="1" applyAlignment="1">
      <alignment horizontal="center" vertical="center"/>
    </xf>
    <xf numFmtId="0" fontId="103" fillId="36" borderId="127" xfId="5" quotePrefix="1" applyNumberFormat="1" applyFont="1" applyFill="1" applyBorder="1" applyAlignment="1" applyProtection="1">
      <alignment horizontal="center" vertical="center"/>
    </xf>
    <xf numFmtId="3" fontId="103" fillId="0" borderId="136" xfId="7" quotePrefix="1" applyNumberFormat="1" applyFont="1" applyFill="1" applyBorder="1" applyAlignment="1" applyProtection="1">
      <alignment horizontal="left" vertical="center"/>
    </xf>
    <xf numFmtId="164" fontId="16" fillId="0" borderId="248" xfId="45" applyNumberFormat="1" applyFont="1" applyFill="1" applyBorder="1" applyAlignment="1">
      <alignment vertical="center"/>
    </xf>
    <xf numFmtId="43" fontId="30" fillId="0" borderId="247" xfId="55" applyNumberFormat="1" applyFont="1" applyFill="1" applyBorder="1" applyAlignment="1">
      <alignment horizontal="right" vertical="center"/>
    </xf>
    <xf numFmtId="43" fontId="30" fillId="0" borderId="132" xfId="55" applyNumberFormat="1" applyFont="1" applyFill="1" applyBorder="1" applyAlignment="1">
      <alignment horizontal="right" vertical="center"/>
    </xf>
    <xf numFmtId="43" fontId="30" fillId="0" borderId="108" xfId="55" applyNumberFormat="1" applyFont="1" applyFill="1" applyBorder="1" applyAlignment="1">
      <alignment horizontal="right" vertical="center"/>
    </xf>
    <xf numFmtId="3" fontId="30" fillId="0" borderId="108" xfId="55" applyNumberFormat="1" applyFont="1" applyFill="1" applyBorder="1" applyAlignment="1">
      <alignment horizontal="center" vertical="center"/>
    </xf>
    <xf numFmtId="0" fontId="30" fillId="0" borderId="108" xfId="55" applyNumberFormat="1" applyFont="1" applyFill="1" applyBorder="1" applyAlignment="1">
      <alignment horizontal="center" vertical="center"/>
    </xf>
    <xf numFmtId="1" fontId="30" fillId="0" borderId="108" xfId="55" applyNumberFormat="1" applyFont="1" applyFill="1" applyBorder="1" applyAlignment="1">
      <alignment horizontal="center" vertical="center"/>
    </xf>
    <xf numFmtId="0" fontId="48" fillId="0" borderId="135" xfId="5" quotePrefix="1" applyNumberFormat="1" applyFont="1" applyFill="1" applyBorder="1" applyAlignment="1" applyProtection="1">
      <alignment horizontal="left" vertical="center"/>
    </xf>
    <xf numFmtId="3" fontId="30" fillId="0" borderId="123" xfId="55" applyNumberFormat="1" applyFont="1" applyFill="1" applyBorder="1" applyAlignment="1">
      <alignment horizontal="center" vertical="center"/>
    </xf>
    <xf numFmtId="0" fontId="30" fillId="0" borderId="123" xfId="55" applyNumberFormat="1" applyFont="1" applyFill="1" applyBorder="1" applyAlignment="1">
      <alignment horizontal="center" vertical="center"/>
    </xf>
    <xf numFmtId="0" fontId="103" fillId="36" borderId="8" xfId="5" quotePrefix="1" applyNumberFormat="1" applyFont="1" applyFill="1" applyBorder="1" applyAlignment="1" applyProtection="1">
      <alignment horizontal="center" vertical="center"/>
    </xf>
    <xf numFmtId="1" fontId="30" fillId="0" borderId="123" xfId="55" applyNumberFormat="1" applyFont="1" applyFill="1" applyBorder="1" applyAlignment="1">
      <alignment horizontal="center" vertical="center"/>
    </xf>
    <xf numFmtId="0" fontId="103" fillId="0" borderId="123" xfId="7" applyNumberFormat="1" applyFont="1" applyFill="1" applyBorder="1" applyAlignment="1" applyProtection="1">
      <alignment horizontal="center" vertical="center"/>
    </xf>
    <xf numFmtId="164" fontId="48" fillId="0" borderId="248" xfId="5" applyNumberFormat="1" applyFont="1" applyFill="1" applyBorder="1" applyAlignment="1" applyProtection="1">
      <alignment vertical="center"/>
    </xf>
    <xf numFmtId="0" fontId="30" fillId="0" borderId="8" xfId="55" applyNumberFormat="1" applyFont="1" applyFill="1" applyBorder="1" applyAlignment="1">
      <alignment horizontal="center" vertical="center"/>
    </xf>
    <xf numFmtId="43" fontId="30" fillId="36" borderId="125" xfId="55" applyNumberFormat="1" applyFont="1" applyFill="1" applyBorder="1" applyAlignment="1">
      <alignment horizontal="right" vertical="center"/>
    </xf>
    <xf numFmtId="43" fontId="30" fillId="36" borderId="8" xfId="55" applyNumberFormat="1" applyFont="1" applyFill="1" applyBorder="1" applyAlignment="1">
      <alignment horizontal="right" vertical="center"/>
    </xf>
    <xf numFmtId="3" fontId="30" fillId="36" borderId="8" xfId="55" applyNumberFormat="1" applyFont="1" applyFill="1" applyBorder="1" applyAlignment="1">
      <alignment horizontal="center" vertical="center"/>
    </xf>
    <xf numFmtId="164" fontId="16" fillId="0" borderId="243" xfId="45" applyNumberFormat="1" applyFont="1" applyFill="1" applyBorder="1" applyAlignment="1">
      <alignment vertical="center"/>
    </xf>
    <xf numFmtId="0" fontId="30" fillId="36" borderId="8" xfId="55" applyNumberFormat="1" applyFont="1" applyFill="1" applyBorder="1" applyAlignment="1">
      <alignment horizontal="center" vertical="center"/>
    </xf>
    <xf numFmtId="0" fontId="103" fillId="0" borderId="103" xfId="7" applyNumberFormat="1" applyFont="1" applyFill="1" applyBorder="1" applyAlignment="1" applyProtection="1">
      <alignment horizontal="center" vertical="center"/>
    </xf>
    <xf numFmtId="0" fontId="103" fillId="0" borderId="103" xfId="7" quotePrefix="1" applyNumberFormat="1" applyFont="1" applyFill="1" applyBorder="1" applyAlignment="1" applyProtection="1">
      <alignment horizontal="center" vertical="center"/>
    </xf>
    <xf numFmtId="0" fontId="48" fillId="0" borderId="136" xfId="5" quotePrefix="1" applyNumberFormat="1" applyFont="1" applyFill="1" applyBorder="1" applyAlignment="1" applyProtection="1">
      <alignment horizontal="left" vertical="center"/>
    </xf>
    <xf numFmtId="0" fontId="103" fillId="0" borderId="108" xfId="7" quotePrefix="1" applyNumberFormat="1" applyFont="1" applyFill="1" applyBorder="1" applyAlignment="1" applyProtection="1">
      <alignment horizontal="center" vertical="center"/>
    </xf>
    <xf numFmtId="0" fontId="103" fillId="36" borderId="136" xfId="5" quotePrefix="1" applyNumberFormat="1" applyFont="1" applyFill="1" applyBorder="1" applyAlignment="1" applyProtection="1">
      <alignment horizontal="center" vertical="center"/>
    </xf>
    <xf numFmtId="4" fontId="30" fillId="0" borderId="0" xfId="55" applyNumberFormat="1" applyFont="1" applyBorder="1" applyAlignment="1">
      <alignment vertical="center"/>
    </xf>
    <xf numFmtId="164" fontId="16" fillId="0" borderId="0" xfId="45" applyNumberFormat="1" applyFont="1" applyBorder="1" applyAlignment="1">
      <alignment vertical="center"/>
    </xf>
    <xf numFmtId="164" fontId="16" fillId="4" borderId="0" xfId="45" applyNumberFormat="1" applyFont="1" applyFill="1" applyBorder="1" applyAlignment="1">
      <alignment vertical="center"/>
    </xf>
    <xf numFmtId="43" fontId="30" fillId="0" borderId="84" xfId="55" applyNumberFormat="1" applyFont="1" applyFill="1" applyBorder="1" applyAlignment="1">
      <alignment horizontal="right" vertical="center"/>
    </xf>
    <xf numFmtId="0" fontId="48" fillId="0" borderId="108" xfId="5" quotePrefix="1" applyNumberFormat="1" applyFont="1" applyFill="1" applyBorder="1" applyAlignment="1" applyProtection="1">
      <alignment horizontal="left" vertical="center"/>
    </xf>
    <xf numFmtId="164" fontId="16" fillId="0" borderId="108" xfId="45" applyNumberFormat="1" applyFont="1" applyFill="1" applyBorder="1" applyAlignment="1">
      <alignment vertical="center"/>
    </xf>
    <xf numFmtId="4" fontId="30" fillId="4" borderId="0" xfId="55" applyNumberFormat="1" applyFont="1" applyFill="1" applyBorder="1" applyAlignment="1">
      <alignment vertical="center"/>
    </xf>
    <xf numFmtId="4" fontId="27" fillId="0" borderId="0" xfId="55" applyNumberFormat="1" applyFont="1" applyAlignment="1">
      <alignment vertical="center"/>
    </xf>
    <xf numFmtId="164" fontId="46" fillId="0" borderId="0" xfId="45" applyNumberFormat="1" applyFont="1" applyAlignment="1">
      <alignment vertical="center"/>
    </xf>
    <xf numFmtId="164" fontId="46" fillId="4" borderId="0" xfId="45" applyNumberFormat="1" applyFont="1" applyFill="1" applyAlignment="1">
      <alignment vertical="center"/>
    </xf>
    <xf numFmtId="43" fontId="27" fillId="31" borderId="247" xfId="55" applyNumberFormat="1" applyFont="1" applyFill="1" applyBorder="1" applyAlignment="1">
      <alignment horizontal="right" vertical="center"/>
    </xf>
    <xf numFmtId="43" fontId="27" fillId="31" borderId="132" xfId="55" applyNumberFormat="1" applyFont="1" applyFill="1" applyBorder="1" applyAlignment="1">
      <alignment horizontal="right" vertical="center"/>
    </xf>
    <xf numFmtId="43" fontId="27" fillId="31" borderId="108" xfId="55" applyNumberFormat="1" applyFont="1" applyFill="1" applyBorder="1" applyAlignment="1">
      <alignment horizontal="right" vertical="center"/>
    </xf>
    <xf numFmtId="3" fontId="27" fillId="31" borderId="108" xfId="55" applyNumberFormat="1" applyFont="1" applyFill="1" applyBorder="1" applyAlignment="1">
      <alignment horizontal="center" vertical="center"/>
    </xf>
    <xf numFmtId="0" fontId="27" fillId="31" borderId="108" xfId="55" applyNumberFormat="1" applyFont="1" applyFill="1" applyBorder="1" applyAlignment="1">
      <alignment horizontal="center" vertical="center"/>
    </xf>
    <xf numFmtId="0" fontId="104" fillId="31" borderId="135" xfId="5" quotePrefix="1" applyNumberFormat="1" applyFont="1" applyFill="1" applyBorder="1" applyAlignment="1" applyProtection="1">
      <alignment horizontal="center" vertical="center"/>
    </xf>
    <xf numFmtId="1" fontId="27" fillId="31" borderId="108" xfId="55" applyNumberFormat="1" applyFont="1" applyFill="1" applyBorder="1" applyAlignment="1">
      <alignment horizontal="center" vertical="center"/>
    </xf>
    <xf numFmtId="0" fontId="87" fillId="31" borderId="135" xfId="5" applyNumberFormat="1" applyFont="1" applyFill="1" applyBorder="1" applyAlignment="1" applyProtection="1">
      <alignment horizontal="left" vertical="center"/>
    </xf>
    <xf numFmtId="164" fontId="46" fillId="31" borderId="242" xfId="45" applyNumberFormat="1" applyFont="1" applyFill="1" applyBorder="1" applyAlignment="1">
      <alignment vertical="center"/>
    </xf>
    <xf numFmtId="4" fontId="27" fillId="4" borderId="0" xfId="55" applyNumberFormat="1" applyFont="1" applyFill="1" applyAlignment="1">
      <alignment vertical="center"/>
    </xf>
    <xf numFmtId="43" fontId="27" fillId="31" borderId="188" xfId="55" applyNumberFormat="1" applyFont="1" applyFill="1" applyBorder="1" applyAlignment="1">
      <alignment horizontal="right" vertical="center"/>
    </xf>
    <xf numFmtId="43" fontId="27" fillId="31" borderId="134" xfId="55" applyNumberFormat="1" applyFont="1" applyFill="1" applyBorder="1" applyAlignment="1">
      <alignment horizontal="right" vertical="center"/>
    </xf>
    <xf numFmtId="43" fontId="27" fillId="31" borderId="103" xfId="55" applyNumberFormat="1" applyFont="1" applyFill="1" applyBorder="1" applyAlignment="1">
      <alignment horizontal="right" vertical="center"/>
    </xf>
    <xf numFmtId="3" fontId="27" fillId="31" borderId="103" xfId="55" applyNumberFormat="1" applyFont="1" applyFill="1" applyBorder="1" applyAlignment="1">
      <alignment horizontal="center" vertical="center"/>
    </xf>
    <xf numFmtId="0" fontId="87" fillId="31" borderId="103" xfId="5" applyNumberFormat="1" applyFont="1" applyFill="1" applyBorder="1" applyAlignment="1" applyProtection="1">
      <alignment horizontal="center" vertical="center"/>
    </xf>
    <xf numFmtId="0" fontId="104" fillId="31" borderId="127" xfId="5" quotePrefix="1" applyNumberFormat="1" applyFont="1" applyFill="1" applyBorder="1" applyAlignment="1" applyProtection="1">
      <alignment horizontal="center" vertical="center"/>
    </xf>
    <xf numFmtId="1" fontId="27" fillId="31" borderId="103" xfId="55" applyNumberFormat="1" applyFont="1" applyFill="1" applyBorder="1" applyAlignment="1">
      <alignment horizontal="center" vertical="center"/>
    </xf>
    <xf numFmtId="0" fontId="87" fillId="31" borderId="136" xfId="5" applyNumberFormat="1" applyFont="1" applyFill="1" applyBorder="1" applyAlignment="1" applyProtection="1">
      <alignment horizontal="left" vertical="center"/>
    </xf>
    <xf numFmtId="164" fontId="46" fillId="31" borderId="248" xfId="45" applyNumberFormat="1" applyFont="1" applyFill="1" applyBorder="1" applyAlignment="1">
      <alignment vertical="center"/>
    </xf>
    <xf numFmtId="0" fontId="27" fillId="31" borderId="103" xfId="55" applyNumberFormat="1" applyFont="1" applyFill="1" applyBorder="1" applyAlignment="1">
      <alignment horizontal="center" vertical="center"/>
    </xf>
    <xf numFmtId="0" fontId="48" fillId="31" borderId="136" xfId="5" applyNumberFormat="1" applyFill="1" applyBorder="1" applyAlignment="1" applyProtection="1">
      <alignment horizontal="left" vertical="center"/>
    </xf>
    <xf numFmtId="43" fontId="30" fillId="31" borderId="247" xfId="55" applyNumberFormat="1" applyFont="1" applyFill="1" applyBorder="1" applyAlignment="1">
      <alignment horizontal="right" vertical="center"/>
    </xf>
    <xf numFmtId="43" fontId="30" fillId="31" borderId="132" xfId="55" applyNumberFormat="1" applyFont="1" applyFill="1" applyBorder="1" applyAlignment="1">
      <alignment horizontal="right" vertical="center"/>
    </xf>
    <xf numFmtId="43" fontId="30" fillId="31" borderId="108" xfId="55" applyNumberFormat="1" applyFont="1" applyFill="1" applyBorder="1" applyAlignment="1">
      <alignment horizontal="right" vertical="center"/>
    </xf>
    <xf numFmtId="3" fontId="30" fillId="31" borderId="108" xfId="55" applyNumberFormat="1" applyFont="1" applyFill="1" applyBorder="1" applyAlignment="1">
      <alignment horizontal="center" vertical="center"/>
    </xf>
    <xf numFmtId="0" fontId="30" fillId="31" borderId="108" xfId="55" applyNumberFormat="1" applyFont="1" applyFill="1" applyBorder="1" applyAlignment="1">
      <alignment horizontal="center" vertical="center"/>
    </xf>
    <xf numFmtId="0" fontId="103" fillId="31" borderId="108" xfId="7" quotePrefix="1" applyNumberFormat="1" applyFont="1" applyFill="1" applyBorder="1" applyAlignment="1" applyProtection="1">
      <alignment horizontal="center" vertical="center"/>
    </xf>
    <xf numFmtId="1" fontId="30" fillId="31" borderId="108" xfId="55" applyNumberFormat="1" applyFont="1" applyFill="1" applyBorder="1" applyAlignment="1">
      <alignment horizontal="center" vertical="center"/>
    </xf>
    <xf numFmtId="0" fontId="48" fillId="31" borderId="135" xfId="5" applyNumberFormat="1" applyFont="1" applyFill="1" applyBorder="1" applyAlignment="1" applyProtection="1">
      <alignment horizontal="left" vertical="center"/>
    </xf>
    <xf numFmtId="164" fontId="16" fillId="31" borderId="242" xfId="45" applyNumberFormat="1" applyFont="1" applyFill="1" applyBorder="1" applyAlignment="1">
      <alignment vertical="center"/>
    </xf>
    <xf numFmtId="43" fontId="30" fillId="31" borderId="188" xfId="55" applyNumberFormat="1" applyFont="1" applyFill="1" applyBorder="1" applyAlignment="1">
      <alignment horizontal="right" vertical="center"/>
    </xf>
    <xf numFmtId="43" fontId="30" fillId="31" borderId="134" xfId="55" applyNumberFormat="1" applyFont="1" applyFill="1" applyBorder="1" applyAlignment="1">
      <alignment horizontal="right" vertical="center"/>
    </xf>
    <xf numFmtId="43" fontId="30" fillId="31" borderId="103" xfId="55" applyNumberFormat="1" applyFont="1" applyFill="1" applyBorder="1" applyAlignment="1">
      <alignment horizontal="right" vertical="center"/>
    </xf>
    <xf numFmtId="3" fontId="30" fillId="31" borderId="103" xfId="55" applyNumberFormat="1" applyFont="1" applyFill="1" applyBorder="1" applyAlignment="1">
      <alignment horizontal="center" vertical="center"/>
    </xf>
    <xf numFmtId="0" fontId="30" fillId="31" borderId="103" xfId="55" applyNumberFormat="1" applyFont="1" applyFill="1" applyBorder="1" applyAlignment="1">
      <alignment horizontal="center" vertical="center"/>
    </xf>
    <xf numFmtId="0" fontId="103" fillId="31" borderId="127" xfId="5" quotePrefix="1" applyNumberFormat="1" applyFont="1" applyFill="1" applyBorder="1" applyAlignment="1" applyProtection="1">
      <alignment horizontal="center" vertical="center"/>
    </xf>
    <xf numFmtId="1" fontId="30" fillId="31" borderId="103" xfId="55" applyNumberFormat="1" applyFont="1" applyFill="1" applyBorder="1" applyAlignment="1">
      <alignment horizontal="center" vertical="center"/>
    </xf>
    <xf numFmtId="0" fontId="48" fillId="31" borderId="136" xfId="5" applyNumberFormat="1" applyFont="1" applyFill="1" applyBorder="1" applyAlignment="1" applyProtection="1">
      <alignment horizontal="left" vertical="center"/>
    </xf>
    <xf numFmtId="164" fontId="16" fillId="31" borderId="248" xfId="45" applyNumberFormat="1" applyFont="1" applyFill="1" applyBorder="1" applyAlignment="1">
      <alignment vertical="center"/>
    </xf>
    <xf numFmtId="43" fontId="30" fillId="16" borderId="249" xfId="55" applyNumberFormat="1" applyFont="1" applyFill="1" applyBorder="1" applyAlignment="1">
      <alignment horizontal="right" vertical="center"/>
    </xf>
    <xf numFmtId="43" fontId="30" fillId="16" borderId="126" xfId="55" applyNumberFormat="1" applyFont="1" applyFill="1" applyBorder="1" applyAlignment="1">
      <alignment horizontal="right" vertical="center"/>
    </xf>
    <xf numFmtId="43" fontId="30" fillId="16" borderId="122" xfId="55" applyNumberFormat="1" applyFont="1" applyFill="1" applyBorder="1" applyAlignment="1">
      <alignment horizontal="right" vertical="center"/>
    </xf>
    <xf numFmtId="3" fontId="30" fillId="16" borderId="122" xfId="55" applyNumberFormat="1" applyFont="1" applyFill="1" applyBorder="1" applyAlignment="1">
      <alignment horizontal="center" vertical="center"/>
    </xf>
    <xf numFmtId="0" fontId="30" fillId="16" borderId="122" xfId="55" applyNumberFormat="1" applyFont="1" applyFill="1" applyBorder="1" applyAlignment="1">
      <alignment horizontal="center" vertical="center"/>
    </xf>
    <xf numFmtId="0" fontId="103" fillId="16" borderId="133" xfId="5" quotePrefix="1" applyNumberFormat="1" applyFont="1" applyFill="1" applyBorder="1" applyAlignment="1" applyProtection="1">
      <alignment horizontal="center" vertical="center"/>
    </xf>
    <xf numFmtId="1" fontId="30" fillId="16" borderId="122" xfId="55" applyNumberFormat="1" applyFont="1" applyFill="1" applyBorder="1" applyAlignment="1">
      <alignment horizontal="center" vertical="center"/>
    </xf>
    <xf numFmtId="0" fontId="48" fillId="16" borderId="133" xfId="5" quotePrefix="1" applyNumberFormat="1" applyFont="1" applyFill="1" applyBorder="1" applyAlignment="1" applyProtection="1">
      <alignment horizontal="left" vertical="center"/>
    </xf>
    <xf numFmtId="164" fontId="48" fillId="16" borderId="250" xfId="5" applyNumberFormat="1" applyFont="1" applyFill="1" applyBorder="1" applyAlignment="1" applyProtection="1">
      <alignment vertical="center"/>
    </xf>
    <xf numFmtId="43" fontId="30" fillId="0" borderId="251" xfId="55" applyNumberFormat="1" applyFont="1" applyFill="1" applyBorder="1" applyAlignment="1">
      <alignment horizontal="right" vertical="center"/>
    </xf>
    <xf numFmtId="43" fontId="30" fillId="0" borderId="137" xfId="55" applyNumberFormat="1" applyFont="1" applyFill="1" applyBorder="1" applyAlignment="1">
      <alignment horizontal="right" vertical="center"/>
    </xf>
    <xf numFmtId="43" fontId="30" fillId="0" borderId="0" xfId="55" applyNumberFormat="1" applyFont="1" applyFill="1" applyBorder="1" applyAlignment="1">
      <alignment horizontal="right" vertical="center"/>
    </xf>
    <xf numFmtId="3" fontId="30" fillId="0" borderId="0" xfId="55" applyNumberFormat="1" applyFont="1" applyFill="1" applyBorder="1" applyAlignment="1">
      <alignment horizontal="center" vertical="center"/>
    </xf>
    <xf numFmtId="0" fontId="30" fillId="0" borderId="0" xfId="55" applyNumberFormat="1" applyFont="1" applyFill="1" applyBorder="1" applyAlignment="1">
      <alignment horizontal="center" vertical="center"/>
    </xf>
    <xf numFmtId="0" fontId="103" fillId="36" borderId="163" xfId="5" quotePrefix="1" applyNumberFormat="1" applyFont="1" applyFill="1" applyBorder="1" applyAlignment="1" applyProtection="1">
      <alignment horizontal="center" vertical="center"/>
    </xf>
    <xf numFmtId="1" fontId="30" fillId="0" borderId="0" xfId="55" applyNumberFormat="1" applyFont="1" applyFill="1" applyBorder="1" applyAlignment="1">
      <alignment horizontal="center" vertical="center"/>
    </xf>
    <xf numFmtId="0" fontId="48" fillId="0" borderId="149" xfId="5" quotePrefix="1" applyNumberFormat="1" applyFont="1" applyFill="1" applyBorder="1" applyAlignment="1" applyProtection="1">
      <alignment horizontal="left" vertical="center"/>
    </xf>
    <xf numFmtId="164" fontId="16" fillId="0" borderId="252" xfId="45" applyNumberFormat="1" applyFont="1" applyFill="1" applyBorder="1" applyAlignment="1">
      <alignment vertical="center"/>
    </xf>
    <xf numFmtId="0" fontId="103" fillId="0" borderId="108" xfId="7" applyNumberFormat="1" applyFont="1" applyFill="1" applyBorder="1" applyAlignment="1" applyProtection="1">
      <alignment horizontal="center" vertical="center"/>
    </xf>
    <xf numFmtId="43" fontId="14" fillId="2" borderId="108" xfId="1" applyNumberFormat="1" applyFont="1" applyBorder="1" applyAlignment="1">
      <alignment horizontal="right" vertical="center"/>
    </xf>
    <xf numFmtId="43" fontId="14" fillId="2" borderId="132" xfId="1" applyNumberFormat="1" applyFont="1" applyBorder="1" applyAlignment="1">
      <alignment horizontal="right" vertical="center"/>
    </xf>
    <xf numFmtId="1" fontId="14" fillId="2" borderId="108" xfId="1" applyNumberFormat="1" applyFont="1" applyBorder="1" applyAlignment="1">
      <alignment horizontal="center" vertical="center"/>
    </xf>
    <xf numFmtId="0" fontId="14" fillId="2" borderId="135" xfId="1" quotePrefix="1" applyNumberFormat="1" applyFont="1" applyBorder="1" applyAlignment="1" applyProtection="1">
      <alignment horizontal="left" vertical="center"/>
    </xf>
    <xf numFmtId="164" fontId="14" fillId="2" borderId="242" xfId="1" applyNumberFormat="1" applyFont="1" applyBorder="1" applyAlignment="1" applyProtection="1">
      <alignment vertical="center"/>
    </xf>
    <xf numFmtId="164" fontId="48" fillId="0" borderId="0" xfId="5" quotePrefix="1" applyNumberFormat="1" applyFont="1" applyAlignment="1" applyProtection="1"/>
    <xf numFmtId="4" fontId="30" fillId="4" borderId="0" xfId="55" quotePrefix="1" applyNumberFormat="1" applyFont="1" applyFill="1" applyAlignment="1">
      <alignment vertical="center"/>
    </xf>
    <xf numFmtId="43" fontId="30" fillId="26" borderId="8" xfId="55" applyNumberFormat="1" applyFont="1" applyFill="1" applyBorder="1" applyAlignment="1">
      <alignment horizontal="right" vertical="center"/>
    </xf>
    <xf numFmtId="43" fontId="30" fillId="26" borderId="125" xfId="55" applyNumberFormat="1" applyFont="1" applyFill="1" applyBorder="1" applyAlignment="1">
      <alignment horizontal="right" vertical="center"/>
    </xf>
    <xf numFmtId="1" fontId="30" fillId="26" borderId="8" xfId="55" applyNumberFormat="1" applyFont="1" applyFill="1" applyBorder="1" applyAlignment="1">
      <alignment horizontal="center" vertical="center"/>
    </xf>
    <xf numFmtId="0" fontId="48" fillId="26" borderId="127" xfId="5" quotePrefix="1" applyNumberFormat="1" applyFont="1" applyFill="1" applyBorder="1" applyAlignment="1" applyProtection="1">
      <alignment horizontal="left" vertical="center"/>
    </xf>
    <xf numFmtId="164" fontId="48" fillId="26" borderId="243" xfId="5" applyNumberFormat="1" applyFont="1" applyFill="1" applyBorder="1" applyAlignment="1" applyProtection="1">
      <alignment vertical="center"/>
    </xf>
    <xf numFmtId="164" fontId="105" fillId="0" borderId="242" xfId="5" applyNumberFormat="1" applyFont="1" applyFill="1" applyBorder="1" applyAlignment="1" applyProtection="1">
      <alignment vertical="center"/>
    </xf>
    <xf numFmtId="0" fontId="0" fillId="0" borderId="0" xfId="0" applyNumberFormat="1"/>
    <xf numFmtId="38" fontId="80" fillId="7" borderId="9" xfId="0" applyNumberFormat="1" applyFont="1" applyFill="1" applyBorder="1" applyAlignment="1">
      <alignment horizontal="right" vertical="center"/>
    </xf>
    <xf numFmtId="38" fontId="28" fillId="33" borderId="9" xfId="0" applyNumberFormat="1" applyFont="1" applyFill="1" applyBorder="1" applyAlignment="1">
      <alignment horizontal="right" vertical="center"/>
    </xf>
    <xf numFmtId="38" fontId="28" fillId="8" borderId="9" xfId="0" applyNumberFormat="1" applyFont="1" applyFill="1" applyBorder="1" applyAlignment="1">
      <alignment horizontal="right" vertical="center"/>
    </xf>
    <xf numFmtId="187" fontId="25" fillId="0" borderId="0" xfId="17" applyNumberFormat="1" applyFont="1" applyAlignment="1">
      <alignment horizontal="center" vertical="center"/>
    </xf>
    <xf numFmtId="187" fontId="25" fillId="0" borderId="0" xfId="17" applyNumberFormat="1" applyFont="1" applyAlignment="1">
      <alignment horizontal="right" vertical="center"/>
    </xf>
    <xf numFmtId="187" fontId="25" fillId="0" borderId="120" xfId="17" applyNumberFormat="1" applyFont="1" applyBorder="1" applyAlignment="1">
      <alignment horizontal="right" vertical="center"/>
    </xf>
    <xf numFmtId="187" fontId="25" fillId="0" borderId="253" xfId="17" applyNumberFormat="1" applyFont="1" applyBorder="1" applyAlignment="1">
      <alignment horizontal="right" vertical="center"/>
    </xf>
    <xf numFmtId="164" fontId="25" fillId="0" borderId="0" xfId="17" applyFont="1" applyAlignment="1">
      <alignment vertical="center"/>
    </xf>
    <xf numFmtId="196" fontId="90" fillId="37" borderId="0" xfId="51" applyNumberFormat="1" applyFont="1" applyFill="1" applyBorder="1" applyAlignment="1">
      <alignment horizontal="center" vertical="center"/>
    </xf>
    <xf numFmtId="196" fontId="28" fillId="37" borderId="0" xfId="51" applyNumberFormat="1" applyFont="1" applyFill="1" applyBorder="1" applyAlignment="1">
      <alignment horizontal="center" vertical="center"/>
    </xf>
    <xf numFmtId="196" fontId="90" fillId="37" borderId="0" xfId="48" applyNumberFormat="1" applyFont="1" applyFill="1" applyBorder="1" applyAlignment="1" applyProtection="1">
      <alignment horizontal="center" vertical="center"/>
    </xf>
    <xf numFmtId="196" fontId="28" fillId="37" borderId="0" xfId="48" applyNumberFormat="1" applyFont="1" applyFill="1" applyBorder="1" applyAlignment="1" applyProtection="1">
      <alignment horizontal="center" vertical="center"/>
    </xf>
    <xf numFmtId="196" fontId="90" fillId="37" borderId="194" xfId="51" applyNumberFormat="1" applyFont="1" applyFill="1" applyBorder="1" applyAlignment="1">
      <alignment horizontal="center" vertical="center"/>
    </xf>
    <xf numFmtId="196" fontId="28" fillId="37" borderId="194" xfId="51" applyNumberFormat="1" applyFont="1" applyFill="1" applyBorder="1" applyAlignment="1">
      <alignment horizontal="center" vertical="center"/>
    </xf>
    <xf numFmtId="196" fontId="91" fillId="25" borderId="194" xfId="52" applyNumberFormat="1" applyFont="1" applyFill="1" applyBorder="1" applyAlignment="1">
      <alignment horizontal="center" vertical="center"/>
    </xf>
    <xf numFmtId="196" fontId="73" fillId="7" borderId="190" xfId="52" applyNumberFormat="1" applyFont="1" applyFill="1" applyBorder="1" applyAlignment="1">
      <alignment horizontal="center" vertical="center"/>
    </xf>
    <xf numFmtId="196" fontId="91" fillId="25" borderId="202" xfId="52" applyNumberFormat="1" applyFont="1" applyFill="1" applyBorder="1" applyAlignment="1">
      <alignment horizontal="center" vertical="center"/>
    </xf>
    <xf numFmtId="196" fontId="73" fillId="7" borderId="205" xfId="52" applyNumberFormat="1" applyFont="1" applyFill="1" applyBorder="1" applyAlignment="1">
      <alignment horizontal="center" vertical="center"/>
    </xf>
    <xf numFmtId="196" fontId="91" fillId="25" borderId="193" xfId="52" applyNumberFormat="1" applyFont="1" applyFill="1" applyBorder="1" applyAlignment="1">
      <alignment horizontal="center" vertical="center"/>
    </xf>
    <xf numFmtId="196" fontId="73" fillId="38" borderId="201" xfId="52" applyNumberFormat="1" applyFont="1" applyFill="1" applyBorder="1" applyAlignment="1">
      <alignment horizontal="center" vertical="center"/>
    </xf>
    <xf numFmtId="196" fontId="73" fillId="38" borderId="190" xfId="52" applyNumberFormat="1" applyFont="1" applyFill="1" applyBorder="1" applyAlignment="1">
      <alignment horizontal="center" vertical="center"/>
    </xf>
    <xf numFmtId="196" fontId="73" fillId="38" borderId="205" xfId="52" applyNumberFormat="1" applyFont="1" applyFill="1" applyBorder="1" applyAlignment="1">
      <alignment horizontal="center" vertical="center"/>
    </xf>
    <xf numFmtId="196" fontId="73" fillId="7" borderId="201" xfId="52" applyNumberFormat="1" applyFont="1" applyFill="1" applyBorder="1" applyAlignment="1">
      <alignment horizontal="center" vertical="center"/>
    </xf>
    <xf numFmtId="196" fontId="91" fillId="7" borderId="190" xfId="52" applyNumberFormat="1" applyFont="1" applyFill="1" applyBorder="1" applyAlignment="1">
      <alignment horizontal="center" vertical="center"/>
    </xf>
    <xf numFmtId="196" fontId="91" fillId="7" borderId="205" xfId="52" applyNumberFormat="1" applyFont="1" applyFill="1" applyBorder="1" applyAlignment="1">
      <alignment horizontal="center" vertical="center"/>
    </xf>
    <xf numFmtId="196" fontId="91" fillId="38" borderId="201" xfId="52" applyNumberFormat="1" applyFont="1" applyFill="1" applyBorder="1" applyAlignment="1">
      <alignment horizontal="center" vertical="center"/>
    </xf>
    <xf numFmtId="196" fontId="91" fillId="38" borderId="190" xfId="52" applyNumberFormat="1" applyFont="1" applyFill="1" applyBorder="1" applyAlignment="1">
      <alignment horizontal="center" vertical="center"/>
    </xf>
    <xf numFmtId="196" fontId="91" fillId="38" borderId="205" xfId="52" applyNumberFormat="1" applyFont="1" applyFill="1" applyBorder="1" applyAlignment="1">
      <alignment horizontal="center" vertical="center"/>
    </xf>
    <xf numFmtId="196" fontId="91" fillId="7" borderId="201" xfId="52" applyNumberFormat="1" applyFont="1" applyFill="1" applyBorder="1" applyAlignment="1">
      <alignment horizontal="center" vertical="center"/>
    </xf>
    <xf numFmtId="196" fontId="0" fillId="0" borderId="0" xfId="0" applyNumberFormat="1"/>
    <xf numFmtId="196" fontId="88" fillId="0" borderId="0" xfId="50" applyNumberFormat="1" applyFont="1" applyBorder="1" applyAlignment="1">
      <alignment vertical="center"/>
    </xf>
    <xf numFmtId="196" fontId="27" fillId="0" borderId="0" xfId="50" applyNumberFormat="1" applyFont="1" applyAlignment="1">
      <alignment horizontal="center" vertical="center"/>
    </xf>
    <xf numFmtId="196" fontId="27" fillId="0" borderId="191" xfId="50" applyNumberFormat="1" applyFont="1" applyBorder="1" applyAlignment="1">
      <alignment horizontal="center" vertical="center"/>
    </xf>
    <xf numFmtId="192" fontId="27" fillId="0" borderId="0" xfId="50" applyNumberFormat="1" applyFont="1" applyAlignment="1">
      <alignment horizontal="center" vertical="center"/>
    </xf>
    <xf numFmtId="192" fontId="27" fillId="0" borderId="191" xfId="50" applyNumberFormat="1" applyFont="1" applyBorder="1" applyAlignment="1">
      <alignment horizontal="center" vertical="center"/>
    </xf>
    <xf numFmtId="40" fontId="48" fillId="9" borderId="9" xfId="47" applyNumberFormat="1" applyFill="1" applyBorder="1" applyAlignment="1" applyProtection="1">
      <alignment horizontal="left" vertical="center"/>
    </xf>
    <xf numFmtId="187" fontId="59" fillId="25" borderId="193" xfId="49" applyNumberFormat="1" applyFont="1" applyFill="1" applyBorder="1" applyAlignment="1">
      <alignment horizontal="center" vertical="center"/>
    </xf>
    <xf numFmtId="166" fontId="48" fillId="7" borderId="9" xfId="47" applyNumberFormat="1" applyFill="1" applyBorder="1" applyAlignment="1" applyProtection="1">
      <alignment horizontal="right" vertical="center"/>
    </xf>
    <xf numFmtId="166" fontId="20" fillId="0" borderId="0" xfId="0" applyNumberFormat="1" applyFont="1" applyAlignment="1">
      <alignment horizontal="right"/>
    </xf>
    <xf numFmtId="1" fontId="0" fillId="0" borderId="0" xfId="0" applyNumberFormat="1" applyAlignment="1">
      <alignment horizontal="center" vertical="center"/>
    </xf>
    <xf numFmtId="164" fontId="106" fillId="0" borderId="181" xfId="0" applyFont="1" applyBorder="1" applyAlignment="1">
      <alignment horizontal="center" vertical="center"/>
    </xf>
    <xf numFmtId="1" fontId="106" fillId="0" borderId="180" xfId="0" applyNumberFormat="1" applyFont="1" applyBorder="1" applyAlignment="1">
      <alignment horizontal="center" vertical="center"/>
    </xf>
    <xf numFmtId="164" fontId="106" fillId="0" borderId="179" xfId="0" applyFont="1" applyBorder="1" applyAlignment="1">
      <alignment horizontal="center" vertical="center"/>
    </xf>
    <xf numFmtId="1" fontId="106" fillId="0" borderId="177" xfId="0" applyNumberFormat="1" applyFont="1" applyBorder="1" applyAlignment="1">
      <alignment horizontal="center" vertical="center"/>
    </xf>
    <xf numFmtId="40" fontId="41" fillId="11" borderId="16" xfId="0" applyNumberFormat="1" applyFont="1" applyFill="1" applyBorder="1" applyAlignment="1">
      <alignment horizontal="center" vertical="center"/>
    </xf>
    <xf numFmtId="166" fontId="48" fillId="7" borderId="9" xfId="47" applyNumberFormat="1" applyFill="1" applyBorder="1" applyAlignment="1" applyProtection="1">
      <alignment horizontal="left" vertical="center"/>
    </xf>
    <xf numFmtId="40" fontId="24" fillId="4" borderId="0" xfId="0" applyNumberFormat="1" applyFont="1" applyFill="1" applyBorder="1" applyAlignment="1">
      <alignment horizontal="right" vertical="center"/>
    </xf>
    <xf numFmtId="165" fontId="24" fillId="9" borderId="9" xfId="0" applyNumberFormat="1" applyFont="1" applyFill="1" applyBorder="1" applyAlignment="1">
      <alignment horizontal="center" vertical="center"/>
    </xf>
    <xf numFmtId="40" fontId="24" fillId="9" borderId="9" xfId="0" applyNumberFormat="1" applyFont="1" applyFill="1" applyBorder="1" applyAlignment="1">
      <alignment horizontal="left" vertical="center"/>
    </xf>
    <xf numFmtId="166" fontId="24" fillId="9" borderId="9" xfId="0" applyNumberFormat="1" applyFont="1" applyFill="1" applyBorder="1" applyAlignment="1">
      <alignment horizontal="right" vertical="center"/>
    </xf>
    <xf numFmtId="164" fontId="43" fillId="8" borderId="14" xfId="0" applyNumberFormat="1" applyFont="1" applyFill="1" applyBorder="1" applyAlignment="1">
      <alignment horizontal="center" vertical="center"/>
    </xf>
    <xf numFmtId="164" fontId="74" fillId="0" borderId="0" xfId="46" applyNumberFormat="1" applyFont="1" applyBorder="1" applyAlignment="1">
      <alignment vertical="center"/>
    </xf>
    <xf numFmtId="38" fontId="80" fillId="13" borderId="9" xfId="0" applyNumberFormat="1" applyFont="1" applyFill="1" applyBorder="1" applyAlignment="1">
      <alignment horizontal="right" vertical="center"/>
    </xf>
    <xf numFmtId="38" fontId="80" fillId="9" borderId="9" xfId="0" applyNumberFormat="1" applyFont="1" applyFill="1" applyBorder="1" applyAlignment="1">
      <alignment horizontal="right" vertical="center"/>
    </xf>
    <xf numFmtId="165" fontId="24" fillId="13" borderId="9" xfId="0" applyNumberFormat="1" applyFont="1" applyFill="1" applyBorder="1" applyAlignment="1">
      <alignment horizontal="center" vertical="center"/>
    </xf>
    <xf numFmtId="40" fontId="24" fillId="13" borderId="9" xfId="0" applyNumberFormat="1" applyFont="1" applyFill="1" applyBorder="1" applyAlignment="1">
      <alignment horizontal="left" vertical="center"/>
    </xf>
    <xf numFmtId="166" fontId="24" fillId="13" borderId="9" xfId="0" applyNumberFormat="1" applyFont="1" applyFill="1" applyBorder="1" applyAlignment="1">
      <alignment horizontal="right" vertical="center"/>
    </xf>
    <xf numFmtId="38" fontId="80" fillId="16" borderId="9" xfId="0" applyNumberFormat="1" applyFont="1" applyFill="1" applyBorder="1" applyAlignment="1">
      <alignment horizontal="right" vertical="center"/>
    </xf>
    <xf numFmtId="165" fontId="80" fillId="16" borderId="9" xfId="0" applyNumberFormat="1" applyFont="1" applyFill="1" applyBorder="1" applyAlignment="1">
      <alignment horizontal="center" vertical="center"/>
    </xf>
    <xf numFmtId="40" fontId="80" fillId="16" borderId="9" xfId="0" applyNumberFormat="1" applyFont="1" applyFill="1" applyBorder="1" applyAlignment="1">
      <alignment horizontal="left" vertical="center"/>
    </xf>
    <xf numFmtId="166" fontId="80" fillId="16" borderId="9" xfId="0" applyNumberFormat="1" applyFont="1" applyFill="1" applyBorder="1" applyAlignment="1">
      <alignment horizontal="right" vertical="center"/>
    </xf>
    <xf numFmtId="0" fontId="9" fillId="0" borderId="0" xfId="56"/>
    <xf numFmtId="0" fontId="9" fillId="0" borderId="0" xfId="56" applyAlignment="1">
      <alignment horizontal="center" vertical="center"/>
    </xf>
    <xf numFmtId="0" fontId="9" fillId="0" borderId="0" xfId="56" applyAlignment="1">
      <alignment vertical="center"/>
    </xf>
    <xf numFmtId="193" fontId="9" fillId="0" borderId="0" xfId="56" applyNumberFormat="1" applyBorder="1" applyAlignment="1">
      <alignment vertical="center"/>
    </xf>
    <xf numFmtId="38" fontId="108" fillId="33" borderId="33" xfId="1" applyNumberFormat="1" applyFont="1" applyFill="1" applyBorder="1" applyAlignment="1" applyProtection="1">
      <alignment horizontal="center" vertical="center"/>
      <protection locked="0"/>
    </xf>
    <xf numFmtId="0" fontId="9" fillId="0" borderId="0" xfId="56" applyBorder="1" applyAlignment="1">
      <alignment vertical="center"/>
    </xf>
    <xf numFmtId="193" fontId="73" fillId="20" borderId="255" xfId="56" applyNumberFormat="1" applyFont="1" applyFill="1" applyBorder="1" applyAlignment="1">
      <alignment vertical="center"/>
    </xf>
    <xf numFmtId="193" fontId="15" fillId="14" borderId="186" xfId="56" applyNumberFormat="1" applyFont="1" applyFill="1" applyBorder="1" applyAlignment="1">
      <alignment horizontal="center" vertical="center"/>
    </xf>
    <xf numFmtId="164" fontId="73" fillId="20" borderId="255" xfId="56" applyNumberFormat="1" applyFont="1" applyFill="1" applyBorder="1" applyAlignment="1">
      <alignment horizontal="center" vertical="center"/>
    </xf>
    <xf numFmtId="164" fontId="73" fillId="20" borderId="255" xfId="56" applyNumberFormat="1" applyFont="1" applyFill="1" applyBorder="1" applyAlignment="1">
      <alignment horizontal="center" vertical="center"/>
    </xf>
    <xf numFmtId="193" fontId="9" fillId="0" borderId="0" xfId="56" applyNumberFormat="1" applyFill="1" applyBorder="1" applyAlignment="1">
      <alignment vertical="center"/>
    </xf>
    <xf numFmtId="0" fontId="9" fillId="0" borderId="84" xfId="56" applyBorder="1" applyAlignment="1">
      <alignment vertical="center"/>
    </xf>
    <xf numFmtId="0" fontId="9" fillId="0" borderId="238" xfId="56" applyBorder="1" applyAlignment="1">
      <alignment vertical="center"/>
    </xf>
    <xf numFmtId="0" fontId="9" fillId="0" borderId="120" xfId="56" applyBorder="1" applyAlignment="1">
      <alignment vertical="center"/>
    </xf>
    <xf numFmtId="193" fontId="9" fillId="0" borderId="128" xfId="56" applyNumberFormat="1" applyBorder="1" applyAlignment="1">
      <alignment vertical="center"/>
    </xf>
    <xf numFmtId="0" fontId="9" fillId="0" borderId="149" xfId="56" applyBorder="1" applyAlignment="1">
      <alignment vertical="center"/>
    </xf>
    <xf numFmtId="193" fontId="9" fillId="0" borderId="137" xfId="56" applyNumberFormat="1" applyBorder="1" applyAlignment="1">
      <alignment vertical="center"/>
    </xf>
    <xf numFmtId="0" fontId="9" fillId="0" borderId="162" xfId="56" applyBorder="1" applyAlignment="1">
      <alignment vertical="center"/>
    </xf>
    <xf numFmtId="193" fontId="9" fillId="0" borderId="237" xfId="56" applyNumberFormat="1" applyBorder="1" applyAlignment="1">
      <alignment vertical="center"/>
    </xf>
    <xf numFmtId="193" fontId="73" fillId="0" borderId="0" xfId="56" applyNumberFormat="1" applyFont="1" applyFill="1" applyBorder="1" applyAlignment="1">
      <alignment vertical="center"/>
    </xf>
    <xf numFmtId="193" fontId="15" fillId="0" borderId="0" xfId="56" applyNumberFormat="1" applyFont="1" applyFill="1" applyBorder="1" applyAlignment="1">
      <alignment horizontal="center" vertical="center"/>
    </xf>
    <xf numFmtId="193" fontId="0" fillId="0" borderId="0" xfId="0" applyNumberFormat="1" applyFill="1" applyBorder="1"/>
    <xf numFmtId="164" fontId="16" fillId="0" borderId="0" xfId="17" applyFill="1" applyBorder="1" applyAlignment="1">
      <alignment vertical="center"/>
    </xf>
    <xf numFmtId="0" fontId="16" fillId="0" borderId="32" xfId="18" applyFont="1" applyFill="1" applyBorder="1" applyAlignment="1">
      <alignment vertical="center"/>
    </xf>
    <xf numFmtId="0" fontId="46" fillId="0" borderId="0" xfId="18" applyFont="1" applyFill="1" applyBorder="1" applyAlignment="1">
      <alignment vertical="center"/>
    </xf>
    <xf numFmtId="0" fontId="82" fillId="0" borderId="0" xfId="18" applyFont="1" applyFill="1" applyBorder="1" applyAlignment="1">
      <alignment vertical="center"/>
    </xf>
    <xf numFmtId="0" fontId="89" fillId="0" borderId="0" xfId="18" applyFont="1" applyFill="1" applyBorder="1" applyAlignment="1">
      <alignment vertical="center"/>
    </xf>
    <xf numFmtId="0" fontId="16" fillId="0" borderId="0" xfId="18" applyFont="1" applyFill="1" applyBorder="1" applyAlignment="1">
      <alignment vertical="center"/>
    </xf>
    <xf numFmtId="0" fontId="95" fillId="0" borderId="0" xfId="18" applyFont="1" applyFill="1" applyBorder="1" applyAlignment="1">
      <alignment vertical="center"/>
    </xf>
    <xf numFmtId="187" fontId="98" fillId="8" borderId="0" xfId="18" applyNumberFormat="1" applyFont="1" applyFill="1" applyBorder="1" applyAlignment="1">
      <alignment horizontal="center" vertical="center"/>
    </xf>
    <xf numFmtId="2" fontId="96" fillId="8" borderId="0" xfId="18" quotePrefix="1" applyNumberFormat="1" applyFont="1" applyFill="1" applyBorder="1" applyAlignment="1">
      <alignment horizontal="center" vertical="center"/>
    </xf>
    <xf numFmtId="2" fontId="98" fillId="8" borderId="0" xfId="18" quotePrefix="1" applyNumberFormat="1" applyFont="1" applyFill="1" applyBorder="1" applyAlignment="1">
      <alignment horizontal="center" vertical="center"/>
    </xf>
    <xf numFmtId="164" fontId="19" fillId="0" borderId="0" xfId="17" applyFont="1" applyFill="1" applyBorder="1" applyAlignment="1">
      <alignment vertical="center"/>
    </xf>
    <xf numFmtId="0" fontId="19" fillId="0" borderId="32" xfId="18" applyFont="1" applyBorder="1" applyAlignment="1">
      <alignment vertical="center"/>
    </xf>
    <xf numFmtId="187" fontId="77" fillId="0" borderId="32" xfId="18" applyNumberFormat="1" applyFont="1" applyBorder="1" applyAlignment="1">
      <alignment horizontal="right" vertical="center"/>
    </xf>
    <xf numFmtId="0" fontId="19" fillId="0" borderId="0" xfId="18" applyFont="1" applyFill="1" applyBorder="1" applyAlignment="1">
      <alignment vertical="center"/>
    </xf>
    <xf numFmtId="165" fontId="57" fillId="0" borderId="32" xfId="18" applyNumberFormat="1" applyFont="1" applyBorder="1" applyAlignment="1">
      <alignment horizontal="center" vertical="center"/>
    </xf>
    <xf numFmtId="2" fontId="77" fillId="0" borderId="32" xfId="18" applyNumberFormat="1" applyFont="1" applyBorder="1" applyAlignment="1">
      <alignment horizontal="center" vertical="center"/>
    </xf>
    <xf numFmtId="2" fontId="57" fillId="0" borderId="32" xfId="18" applyNumberFormat="1" applyFont="1" applyBorder="1" applyAlignment="1">
      <alignment horizontal="center" vertical="center"/>
    </xf>
    <xf numFmtId="189" fontId="57" fillId="0" borderId="32" xfId="18" applyNumberFormat="1" applyFont="1" applyBorder="1" applyAlignment="1" applyProtection="1">
      <alignment horizontal="right" vertical="center"/>
    </xf>
    <xf numFmtId="187" fontId="57" fillId="0" borderId="32" xfId="18" applyNumberFormat="1" applyFont="1" applyBorder="1" applyAlignment="1">
      <alignment horizontal="right" vertical="center"/>
    </xf>
    <xf numFmtId="197" fontId="79" fillId="45" borderId="0" xfId="49" applyNumberFormat="1" applyFont="1" applyFill="1" applyBorder="1" applyAlignment="1">
      <alignment horizontal="center" vertical="center"/>
    </xf>
    <xf numFmtId="2" fontId="79" fillId="45" borderId="0" xfId="18" applyNumberFormat="1" applyFont="1" applyFill="1" applyBorder="1" applyAlignment="1" applyProtection="1">
      <alignment horizontal="center" vertical="center"/>
    </xf>
    <xf numFmtId="187" fontId="59" fillId="25" borderId="0" xfId="49" applyNumberFormat="1" applyFont="1" applyFill="1" applyBorder="1" applyAlignment="1">
      <alignment horizontal="center" vertical="center"/>
    </xf>
    <xf numFmtId="0" fontId="16" fillId="8" borderId="138" xfId="18" applyFont="1" applyFill="1" applyBorder="1" applyAlignment="1">
      <alignment vertical="center"/>
    </xf>
    <xf numFmtId="0" fontId="46" fillId="8" borderId="45" xfId="18" applyFont="1" applyFill="1" applyBorder="1" applyAlignment="1">
      <alignment vertical="center"/>
    </xf>
    <xf numFmtId="0" fontId="16" fillId="43" borderId="138" xfId="18" applyFont="1" applyFill="1" applyBorder="1" applyAlignment="1">
      <alignment vertical="center"/>
    </xf>
    <xf numFmtId="0" fontId="109" fillId="43" borderId="138" xfId="49" applyNumberFormat="1" applyFont="1" applyFill="1" applyBorder="1" applyAlignment="1">
      <alignment horizontal="center" vertical="center"/>
    </xf>
    <xf numFmtId="173" fontId="110" fillId="43" borderId="138" xfId="17" applyNumberFormat="1" applyFont="1" applyFill="1" applyBorder="1" applyAlignment="1">
      <alignment horizontal="center" vertical="center"/>
    </xf>
    <xf numFmtId="0" fontId="16" fillId="0" borderId="138" xfId="18" applyFont="1" applyFill="1" applyBorder="1" applyAlignment="1">
      <alignment vertical="center"/>
    </xf>
    <xf numFmtId="197" fontId="15" fillId="17" borderId="138" xfId="49" applyNumberFormat="1" applyFont="1" applyFill="1" applyBorder="1" applyAlignment="1">
      <alignment horizontal="center" vertical="center"/>
    </xf>
    <xf numFmtId="187" fontId="15" fillId="8" borderId="138" xfId="49" applyNumberFormat="1" applyFont="1" applyFill="1" applyBorder="1" applyAlignment="1">
      <alignment horizontal="center" vertical="center"/>
    </xf>
    <xf numFmtId="197" fontId="15" fillId="8" borderId="138" xfId="49" applyNumberFormat="1" applyFont="1" applyFill="1" applyBorder="1" applyAlignment="1">
      <alignment horizontal="center" vertical="center"/>
    </xf>
    <xf numFmtId="187" fontId="83" fillId="8" borderId="138" xfId="49" applyNumberFormat="1" applyFont="1" applyFill="1" applyBorder="1" applyAlignment="1">
      <alignment horizontal="center" vertical="center"/>
    </xf>
    <xf numFmtId="197" fontId="15" fillId="17" borderId="259" xfId="49" applyNumberFormat="1" applyFont="1" applyFill="1" applyBorder="1" applyAlignment="1">
      <alignment horizontal="center" vertical="center"/>
    </xf>
    <xf numFmtId="0" fontId="15" fillId="43" borderId="138" xfId="49" applyNumberFormat="1" applyFont="1" applyFill="1" applyBorder="1" applyAlignment="1">
      <alignment horizontal="center" vertical="center"/>
    </xf>
    <xf numFmtId="187" fontId="102" fillId="8" borderId="138" xfId="18" applyNumberFormat="1" applyFont="1" applyFill="1" applyBorder="1" applyAlignment="1">
      <alignment vertical="center"/>
    </xf>
    <xf numFmtId="197" fontId="22" fillId="44" borderId="257" xfId="49" applyNumberFormat="1" applyFont="1" applyFill="1" applyBorder="1" applyAlignment="1">
      <alignment horizontal="center" vertical="center"/>
    </xf>
    <xf numFmtId="197" fontId="22" fillId="17" borderId="257" xfId="49" applyNumberFormat="1" applyFont="1" applyFill="1" applyBorder="1" applyAlignment="1">
      <alignment horizontal="center" vertical="center"/>
    </xf>
    <xf numFmtId="197" fontId="22" fillId="31" borderId="257" xfId="49" applyNumberFormat="1" applyFont="1" applyFill="1" applyBorder="1" applyAlignment="1">
      <alignment horizontal="center" vertical="center"/>
    </xf>
    <xf numFmtId="189" fontId="85" fillId="25" borderId="193" xfId="49" applyNumberFormat="1" applyFont="1" applyFill="1" applyBorder="1" applyAlignment="1">
      <alignment horizontal="center" vertical="center"/>
    </xf>
    <xf numFmtId="189" fontId="85" fillId="25" borderId="194" xfId="49" applyNumberFormat="1" applyFont="1" applyFill="1" applyBorder="1" applyAlignment="1">
      <alignment horizontal="center" vertical="center"/>
    </xf>
    <xf numFmtId="2" fontId="59" fillId="31" borderId="214" xfId="48" applyNumberFormat="1" applyFont="1" applyFill="1" applyBorder="1" applyAlignment="1">
      <alignment horizontal="center" vertical="center"/>
    </xf>
    <xf numFmtId="165" fontId="59" fillId="31" borderId="193" xfId="49" applyNumberFormat="1" applyFont="1" applyFill="1" applyBorder="1" applyAlignment="1">
      <alignment horizontal="center" vertical="center"/>
    </xf>
    <xf numFmtId="173" fontId="59" fillId="31" borderId="193" xfId="17" applyNumberFormat="1" applyFont="1" applyFill="1" applyBorder="1" applyAlignment="1">
      <alignment horizontal="center" vertical="center"/>
    </xf>
    <xf numFmtId="2" fontId="59" fillId="31" borderId="213" xfId="48" applyNumberFormat="1" applyFont="1" applyFill="1" applyBorder="1" applyAlignment="1">
      <alignment horizontal="center" vertical="center"/>
    </xf>
    <xf numFmtId="0" fontId="16" fillId="0" borderId="72" xfId="18" applyFont="1" applyBorder="1" applyAlignment="1">
      <alignment vertical="center"/>
    </xf>
    <xf numFmtId="0" fontId="46" fillId="0" borderId="75" xfId="18" applyFont="1" applyBorder="1" applyAlignment="1">
      <alignment vertical="center"/>
    </xf>
    <xf numFmtId="0" fontId="46" fillId="4" borderId="0" xfId="18" applyFont="1" applyFill="1" applyBorder="1" applyAlignment="1">
      <alignment vertical="center"/>
    </xf>
    <xf numFmtId="0" fontId="16" fillId="4" borderId="0" xfId="18" applyFont="1" applyFill="1" applyBorder="1" applyAlignment="1">
      <alignment vertical="center"/>
    </xf>
    <xf numFmtId="0" fontId="19" fillId="0" borderId="72" xfId="18" applyFont="1" applyBorder="1" applyAlignment="1">
      <alignment vertical="center"/>
    </xf>
    <xf numFmtId="17" fontId="76" fillId="31" borderId="258" xfId="49" quotePrefix="1" applyNumberFormat="1" applyFont="1" applyFill="1" applyBorder="1" applyAlignment="1">
      <alignment horizontal="center" vertical="center"/>
    </xf>
    <xf numFmtId="187" fontId="79" fillId="21" borderId="0" xfId="18" applyNumberFormat="1" applyFont="1" applyFill="1" applyBorder="1" applyAlignment="1">
      <alignment horizontal="center" vertical="center"/>
    </xf>
    <xf numFmtId="189" fontId="79" fillId="21" borderId="0" xfId="18" applyNumberFormat="1" applyFont="1" applyFill="1" applyBorder="1" applyAlignment="1" applyProtection="1">
      <alignment horizontal="center" vertical="center"/>
    </xf>
    <xf numFmtId="197" fontId="15" fillId="17" borderId="75" xfId="49" applyNumberFormat="1" applyFont="1" applyFill="1" applyBorder="1" applyAlignment="1">
      <alignment horizontal="center" vertical="center"/>
    </xf>
    <xf numFmtId="187" fontId="15" fillId="21" borderId="0" xfId="18" applyNumberFormat="1" applyFont="1" applyFill="1" applyBorder="1" applyAlignment="1">
      <alignment horizontal="center" vertical="center"/>
    </xf>
    <xf numFmtId="189" fontId="15" fillId="21" borderId="0" xfId="49" applyNumberFormat="1" applyFont="1" applyFill="1" applyBorder="1" applyAlignment="1">
      <alignment horizontal="center" vertical="center"/>
    </xf>
    <xf numFmtId="187" fontId="59" fillId="47" borderId="193" xfId="49" applyNumberFormat="1" applyFont="1" applyFill="1" applyBorder="1" applyAlignment="1">
      <alignment horizontal="center" vertical="center"/>
    </xf>
    <xf numFmtId="197" fontId="22" fillId="47" borderId="257" xfId="49" applyNumberFormat="1" applyFont="1" applyFill="1" applyBorder="1" applyAlignment="1">
      <alignment horizontal="center" vertical="center"/>
    </xf>
    <xf numFmtId="197" fontId="19" fillId="31" borderId="257" xfId="49" applyNumberFormat="1" applyFont="1" applyFill="1" applyBorder="1" applyAlignment="1">
      <alignment horizontal="center" vertical="center"/>
    </xf>
    <xf numFmtId="197" fontId="19" fillId="16" borderId="257" xfId="49" applyNumberFormat="1" applyFont="1" applyFill="1" applyBorder="1" applyAlignment="1">
      <alignment horizontal="center" vertical="center"/>
    </xf>
    <xf numFmtId="197" fontId="19" fillId="13" borderId="257" xfId="49" applyNumberFormat="1" applyFont="1" applyFill="1" applyBorder="1" applyAlignment="1">
      <alignment horizontal="center" vertical="center"/>
    </xf>
    <xf numFmtId="187" fontId="84" fillId="25" borderId="193" xfId="49" applyNumberFormat="1" applyFont="1" applyFill="1" applyBorder="1" applyAlignment="1">
      <alignment horizontal="center" vertical="center"/>
    </xf>
    <xf numFmtId="187" fontId="98" fillId="46" borderId="0" xfId="18" applyNumberFormat="1" applyFont="1" applyFill="1" applyBorder="1" applyAlignment="1">
      <alignment horizontal="center" vertical="center"/>
    </xf>
    <xf numFmtId="2" fontId="98" fillId="45" borderId="0" xfId="18" applyNumberFormat="1" applyFont="1" applyFill="1" applyBorder="1" applyAlignment="1" applyProtection="1">
      <alignment horizontal="center" vertical="center"/>
    </xf>
    <xf numFmtId="187" fontId="98" fillId="46" borderId="0" xfId="49" applyNumberFormat="1" applyFont="1" applyFill="1" applyBorder="1" applyAlignment="1">
      <alignment horizontal="center" vertical="center"/>
    </xf>
    <xf numFmtId="187" fontId="98" fillId="46" borderId="256" xfId="49" applyNumberFormat="1" applyFont="1" applyFill="1" applyBorder="1" applyAlignment="1">
      <alignment horizontal="center" vertical="center"/>
    </xf>
    <xf numFmtId="187" fontId="59" fillId="25" borderId="193" xfId="49" applyNumberFormat="1" applyFont="1" applyFill="1" applyBorder="1" applyAlignment="1">
      <alignment horizontal="center" vertical="center"/>
    </xf>
    <xf numFmtId="2" fontId="19" fillId="31" borderId="257" xfId="51" applyNumberFormat="1" applyFont="1" applyFill="1" applyBorder="1" applyAlignment="1">
      <alignment horizontal="center" vertical="center"/>
    </xf>
    <xf numFmtId="2" fontId="19" fillId="13" borderId="257" xfId="51" applyNumberFormat="1" applyFont="1" applyFill="1" applyBorder="1" applyAlignment="1">
      <alignment horizontal="center" vertical="center"/>
    </xf>
    <xf numFmtId="2" fontId="19" fillId="16" borderId="257" xfId="51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27" fillId="0" borderId="192" xfId="50" applyFont="1" applyBorder="1" applyAlignment="1">
      <alignment horizontal="center" vertical="center"/>
    </xf>
    <xf numFmtId="191" fontId="27" fillId="0" borderId="192" xfId="50" applyNumberFormat="1" applyFont="1" applyBorder="1" applyAlignment="1">
      <alignment horizontal="center" vertical="center"/>
    </xf>
    <xf numFmtId="191" fontId="15" fillId="23" borderId="184" xfId="56" applyNumberFormat="1" applyFont="1" applyFill="1" applyBorder="1" applyAlignment="1">
      <alignment horizontal="center" vertical="center"/>
    </xf>
    <xf numFmtId="192" fontId="15" fillId="23" borderId="184" xfId="56" applyNumberFormat="1" applyFont="1" applyFill="1" applyBorder="1" applyAlignment="1">
      <alignment horizontal="center" vertical="center"/>
    </xf>
    <xf numFmtId="2" fontId="19" fillId="31" borderId="260" xfId="51" applyNumberFormat="1" applyFont="1" applyFill="1" applyBorder="1" applyAlignment="1">
      <alignment horizontal="center" vertical="center"/>
    </xf>
    <xf numFmtId="2" fontId="19" fillId="31" borderId="261" xfId="51" applyNumberFormat="1" applyFont="1" applyFill="1" applyBorder="1" applyAlignment="1">
      <alignment horizontal="center" vertical="center"/>
    </xf>
    <xf numFmtId="197" fontId="19" fillId="31" borderId="261" xfId="49" applyNumberFormat="1" applyFont="1" applyFill="1" applyBorder="1" applyAlignment="1">
      <alignment horizontal="center" vertical="center"/>
    </xf>
    <xf numFmtId="187" fontId="84" fillId="25" borderId="262" xfId="49" applyNumberFormat="1" applyFont="1" applyFill="1" applyBorder="1" applyAlignment="1">
      <alignment horizontal="center" vertical="center"/>
    </xf>
    <xf numFmtId="2" fontId="19" fillId="31" borderId="263" xfId="51" applyNumberFormat="1" applyFont="1" applyFill="1" applyBorder="1" applyAlignment="1">
      <alignment horizontal="center" vertical="center"/>
    </xf>
    <xf numFmtId="187" fontId="84" fillId="25" borderId="264" xfId="49" applyNumberFormat="1" applyFont="1" applyFill="1" applyBorder="1" applyAlignment="1">
      <alignment horizontal="center" vertical="center"/>
    </xf>
    <xf numFmtId="2" fontId="19" fillId="31" borderId="265" xfId="51" applyNumberFormat="1" applyFont="1" applyFill="1" applyBorder="1" applyAlignment="1">
      <alignment horizontal="center" vertical="center"/>
    </xf>
    <xf numFmtId="2" fontId="19" fillId="31" borderId="266" xfId="51" applyNumberFormat="1" applyFont="1" applyFill="1" applyBorder="1" applyAlignment="1">
      <alignment horizontal="center" vertical="center"/>
    </xf>
    <xf numFmtId="197" fontId="19" fillId="31" borderId="266" xfId="49" applyNumberFormat="1" applyFont="1" applyFill="1" applyBorder="1" applyAlignment="1">
      <alignment horizontal="center" vertical="center"/>
    </xf>
    <xf numFmtId="187" fontId="84" fillId="25" borderId="267" xfId="49" applyNumberFormat="1" applyFont="1" applyFill="1" applyBorder="1" applyAlignment="1">
      <alignment horizontal="center" vertical="center"/>
    </xf>
    <xf numFmtId="2" fontId="19" fillId="16" borderId="211" xfId="51" applyNumberFormat="1" applyFont="1" applyFill="1" applyBorder="1" applyAlignment="1">
      <alignment horizontal="center" vertical="center"/>
    </xf>
    <xf numFmtId="2" fontId="19" fillId="13" borderId="260" xfId="51" applyNumberFormat="1" applyFont="1" applyFill="1" applyBorder="1" applyAlignment="1">
      <alignment horizontal="center" vertical="center"/>
    </xf>
    <xf numFmtId="2" fontId="19" fillId="13" borderId="261" xfId="51" applyNumberFormat="1" applyFont="1" applyFill="1" applyBorder="1" applyAlignment="1">
      <alignment horizontal="center" vertical="center"/>
    </xf>
    <xf numFmtId="197" fontId="19" fillId="13" borderId="261" xfId="49" applyNumberFormat="1" applyFont="1" applyFill="1" applyBorder="1" applyAlignment="1">
      <alignment horizontal="center" vertical="center"/>
    </xf>
    <xf numFmtId="2" fontId="19" fillId="13" borderId="263" xfId="51" applyNumberFormat="1" applyFont="1" applyFill="1" applyBorder="1" applyAlignment="1">
      <alignment horizontal="center" vertical="center"/>
    </xf>
    <xf numFmtId="2" fontId="19" fillId="13" borderId="265" xfId="51" applyNumberFormat="1" applyFont="1" applyFill="1" applyBorder="1" applyAlignment="1">
      <alignment horizontal="center" vertical="center"/>
    </xf>
    <xf numFmtId="2" fontId="19" fillId="13" borderId="266" xfId="51" applyNumberFormat="1" applyFont="1" applyFill="1" applyBorder="1" applyAlignment="1">
      <alignment horizontal="center" vertical="center"/>
    </xf>
    <xf numFmtId="197" fontId="19" fillId="13" borderId="266" xfId="49" applyNumberFormat="1" applyFont="1" applyFill="1" applyBorder="1" applyAlignment="1">
      <alignment horizontal="center" vertical="center"/>
    </xf>
    <xf numFmtId="191" fontId="15" fillId="23" borderId="0" xfId="56" applyNumberFormat="1" applyFont="1" applyFill="1" applyBorder="1" applyAlignment="1">
      <alignment horizontal="center" vertical="center"/>
    </xf>
    <xf numFmtId="192" fontId="15" fillId="23" borderId="0" xfId="56" applyNumberFormat="1" applyFont="1" applyFill="1" applyBorder="1" applyAlignment="1">
      <alignment horizontal="center" vertical="center"/>
    </xf>
    <xf numFmtId="2" fontId="19" fillId="16" borderId="260" xfId="51" applyNumberFormat="1" applyFont="1" applyFill="1" applyBorder="1" applyAlignment="1">
      <alignment horizontal="center" vertical="center"/>
    </xf>
    <xf numFmtId="2" fontId="19" fillId="16" borderId="261" xfId="51" applyNumberFormat="1" applyFont="1" applyFill="1" applyBorder="1" applyAlignment="1">
      <alignment horizontal="center" vertical="center"/>
    </xf>
    <xf numFmtId="197" fontId="19" fillId="16" borderId="261" xfId="49" applyNumberFormat="1" applyFont="1" applyFill="1" applyBorder="1" applyAlignment="1">
      <alignment horizontal="center" vertical="center"/>
    </xf>
    <xf numFmtId="2" fontId="19" fillId="16" borderId="263" xfId="51" applyNumberFormat="1" applyFont="1" applyFill="1" applyBorder="1" applyAlignment="1">
      <alignment horizontal="center" vertical="center"/>
    </xf>
    <xf numFmtId="2" fontId="19" fillId="16" borderId="265" xfId="51" applyNumberFormat="1" applyFont="1" applyFill="1" applyBorder="1" applyAlignment="1">
      <alignment horizontal="center" vertical="center"/>
    </xf>
    <xf numFmtId="2" fontId="19" fillId="16" borderId="266" xfId="51" applyNumberFormat="1" applyFont="1" applyFill="1" applyBorder="1" applyAlignment="1">
      <alignment horizontal="center" vertical="center"/>
    </xf>
    <xf numFmtId="197" fontId="19" fillId="16" borderId="266" xfId="49" applyNumberFormat="1" applyFont="1" applyFill="1" applyBorder="1" applyAlignment="1">
      <alignment horizontal="center" vertical="center"/>
    </xf>
    <xf numFmtId="2" fontId="19" fillId="0" borderId="0" xfId="51" applyNumberFormat="1" applyFont="1" applyFill="1" applyBorder="1" applyAlignment="1">
      <alignment horizontal="center" vertical="center"/>
    </xf>
    <xf numFmtId="196" fontId="91" fillId="0" borderId="0" xfId="52" applyNumberFormat="1" applyFont="1" applyFill="1" applyBorder="1" applyAlignment="1">
      <alignment horizontal="center" vertical="center"/>
    </xf>
    <xf numFmtId="2" fontId="19" fillId="31" borderId="268" xfId="51" applyNumberFormat="1" applyFont="1" applyFill="1" applyBorder="1" applyAlignment="1">
      <alignment horizontal="center" vertical="center"/>
    </xf>
    <xf numFmtId="2" fontId="19" fillId="31" borderId="196" xfId="51" applyNumberFormat="1" applyFont="1" applyFill="1" applyBorder="1" applyAlignment="1">
      <alignment horizontal="center" vertical="center"/>
    </xf>
    <xf numFmtId="2" fontId="19" fillId="16" borderId="270" xfId="51" applyNumberFormat="1" applyFont="1" applyFill="1" applyBorder="1" applyAlignment="1">
      <alignment horizontal="center" vertical="center"/>
    </xf>
    <xf numFmtId="196" fontId="91" fillId="16" borderId="271" xfId="52" applyNumberFormat="1" applyFont="1" applyFill="1" applyBorder="1" applyAlignment="1">
      <alignment horizontal="center" vertical="center"/>
    </xf>
    <xf numFmtId="196" fontId="91" fillId="16" borderId="264" xfId="52" applyNumberFormat="1" applyFont="1" applyFill="1" applyBorder="1" applyAlignment="1">
      <alignment horizontal="center" vertical="center"/>
    </xf>
    <xf numFmtId="196" fontId="91" fillId="31" borderId="264" xfId="52" applyNumberFormat="1" applyFont="1" applyFill="1" applyBorder="1" applyAlignment="1">
      <alignment horizontal="center" vertical="center"/>
    </xf>
    <xf numFmtId="196" fontId="91" fillId="13" borderId="262" xfId="52" applyNumberFormat="1" applyFont="1" applyFill="1" applyBorder="1" applyAlignment="1">
      <alignment horizontal="center" vertical="center"/>
    </xf>
    <xf numFmtId="196" fontId="91" fillId="13" borderId="264" xfId="52" applyNumberFormat="1" applyFont="1" applyFill="1" applyBorder="1" applyAlignment="1">
      <alignment horizontal="center" vertical="center"/>
    </xf>
    <xf numFmtId="196" fontId="91" fillId="13" borderId="267" xfId="52" applyNumberFormat="1" applyFont="1" applyFill="1" applyBorder="1" applyAlignment="1">
      <alignment horizontal="center" vertical="center"/>
    </xf>
    <xf numFmtId="196" fontId="91" fillId="31" borderId="269" xfId="52" applyNumberFormat="1" applyFont="1" applyFill="1" applyBorder="1" applyAlignment="1">
      <alignment horizontal="center" vertical="center"/>
    </xf>
    <xf numFmtId="0" fontId="8" fillId="0" borderId="0" xfId="56" applyFont="1" applyFill="1" applyBorder="1" applyAlignment="1">
      <alignment vertical="center"/>
    </xf>
    <xf numFmtId="0" fontId="8" fillId="0" borderId="0" xfId="56" applyFont="1" applyAlignment="1">
      <alignment vertical="center"/>
    </xf>
    <xf numFmtId="191" fontId="26" fillId="37" borderId="0" xfId="48" applyNumberFormat="1" applyFont="1" applyFill="1" applyBorder="1" applyAlignment="1" applyProtection="1">
      <alignment horizontal="center" vertical="center"/>
    </xf>
    <xf numFmtId="192" fontId="26" fillId="37" borderId="0" xfId="48" applyNumberFormat="1" applyFont="1" applyFill="1" applyBorder="1" applyAlignment="1" applyProtection="1">
      <alignment horizontal="center" vertical="center"/>
    </xf>
    <xf numFmtId="191" fontId="83" fillId="23" borderId="184" xfId="56" applyNumberFormat="1" applyFont="1" applyFill="1" applyBorder="1" applyAlignment="1">
      <alignment horizontal="center" vertical="center"/>
    </xf>
    <xf numFmtId="192" fontId="83" fillId="23" borderId="184" xfId="56" applyNumberFormat="1" applyFont="1" applyFill="1" applyBorder="1" applyAlignment="1">
      <alignment horizontal="center" vertical="center"/>
    </xf>
    <xf numFmtId="191" fontId="83" fillId="23" borderId="0" xfId="56" applyNumberFormat="1" applyFont="1" applyFill="1" applyBorder="1" applyAlignment="1">
      <alignment vertical="center"/>
    </xf>
    <xf numFmtId="193" fontId="83" fillId="23" borderId="0" xfId="56" applyNumberFormat="1" applyFont="1" applyFill="1" applyBorder="1" applyAlignment="1">
      <alignment vertical="center"/>
    </xf>
    <xf numFmtId="191" fontId="19" fillId="31" borderId="257" xfId="51" applyNumberFormat="1" applyFont="1" applyFill="1" applyBorder="1" applyAlignment="1">
      <alignment horizontal="center" vertical="center"/>
    </xf>
    <xf numFmtId="0" fontId="8" fillId="31" borderId="0" xfId="56" applyFont="1" applyFill="1" applyBorder="1" applyAlignment="1">
      <alignment vertical="center"/>
    </xf>
    <xf numFmtId="191" fontId="19" fillId="31" borderId="196" xfId="51" applyNumberFormat="1" applyFont="1" applyFill="1" applyBorder="1" applyAlignment="1">
      <alignment horizontal="center" vertical="center"/>
    </xf>
    <xf numFmtId="191" fontId="19" fillId="13" borderId="261" xfId="51" applyNumberFormat="1" applyFont="1" applyFill="1" applyBorder="1" applyAlignment="1">
      <alignment horizontal="center" vertical="center"/>
    </xf>
    <xf numFmtId="0" fontId="8" fillId="13" borderId="0" xfId="56" applyFont="1" applyFill="1" applyBorder="1" applyAlignment="1">
      <alignment vertical="center"/>
    </xf>
    <xf numFmtId="191" fontId="19" fillId="13" borderId="257" xfId="51" applyNumberFormat="1" applyFont="1" applyFill="1" applyBorder="1" applyAlignment="1">
      <alignment horizontal="center" vertical="center"/>
    </xf>
    <xf numFmtId="191" fontId="19" fillId="13" borderId="266" xfId="51" applyNumberFormat="1" applyFont="1" applyFill="1" applyBorder="1" applyAlignment="1">
      <alignment horizontal="center" vertical="center"/>
    </xf>
    <xf numFmtId="191" fontId="19" fillId="16" borderId="211" xfId="51" applyNumberFormat="1" applyFont="1" applyFill="1" applyBorder="1" applyAlignment="1">
      <alignment horizontal="center" vertical="center"/>
    </xf>
    <xf numFmtId="0" fontId="8" fillId="16" borderId="0" xfId="56" applyFont="1" applyFill="1" applyBorder="1" applyAlignment="1">
      <alignment vertical="center"/>
    </xf>
    <xf numFmtId="191" fontId="19" fillId="16" borderId="257" xfId="51" applyNumberFormat="1" applyFont="1" applyFill="1" applyBorder="1" applyAlignment="1">
      <alignment horizontal="center" vertical="center"/>
    </xf>
    <xf numFmtId="191" fontId="83" fillId="23" borderId="0" xfId="56" applyNumberFormat="1" applyFont="1" applyFill="1" applyBorder="1" applyAlignment="1">
      <alignment horizontal="center" vertical="center"/>
    </xf>
    <xf numFmtId="192" fontId="83" fillId="23" borderId="0" xfId="56" applyNumberFormat="1" applyFont="1" applyFill="1" applyBorder="1" applyAlignment="1">
      <alignment horizontal="center" vertical="center"/>
    </xf>
    <xf numFmtId="191" fontId="83" fillId="0" borderId="0" xfId="56" applyNumberFormat="1" applyFont="1" applyFill="1" applyBorder="1" applyAlignment="1">
      <alignment horizontal="center" vertical="center"/>
    </xf>
    <xf numFmtId="192" fontId="83" fillId="0" borderId="0" xfId="56" applyNumberFormat="1" applyFont="1" applyFill="1" applyBorder="1" applyAlignment="1">
      <alignment horizontal="center" vertical="center"/>
    </xf>
    <xf numFmtId="191" fontId="19" fillId="0" borderId="0" xfId="51" applyNumberFormat="1" applyFont="1" applyFill="1" applyBorder="1" applyAlignment="1">
      <alignment horizontal="center" vertical="center"/>
    </xf>
    <xf numFmtId="0" fontId="30" fillId="0" borderId="192" xfId="50" applyFont="1" applyBorder="1" applyAlignment="1">
      <alignment horizontal="center" vertical="center"/>
    </xf>
    <xf numFmtId="192" fontId="30" fillId="0" borderId="0" xfId="50" applyNumberFormat="1" applyFont="1" applyAlignment="1">
      <alignment horizontal="center" vertical="center"/>
    </xf>
    <xf numFmtId="2" fontId="8" fillId="0" borderId="0" xfId="56" applyNumberFormat="1" applyFont="1" applyBorder="1" applyAlignment="1">
      <alignment vertical="center"/>
    </xf>
    <xf numFmtId="193" fontId="8" fillId="0" borderId="0" xfId="56" applyNumberFormat="1" applyFont="1" applyBorder="1" applyAlignment="1">
      <alignment vertical="center"/>
    </xf>
    <xf numFmtId="0" fontId="0" fillId="20" borderId="255" xfId="0" applyNumberFormat="1" applyFont="1" applyFill="1" applyBorder="1" applyAlignment="1">
      <alignment vertical="center"/>
    </xf>
    <xf numFmtId="2" fontId="8" fillId="20" borderId="255" xfId="56" applyNumberFormat="1" applyFont="1" applyFill="1" applyBorder="1" applyAlignment="1">
      <alignment vertical="center"/>
    </xf>
    <xf numFmtId="2" fontId="8" fillId="20" borderId="0" xfId="56" applyNumberFormat="1" applyFont="1" applyFill="1" applyBorder="1" applyAlignment="1">
      <alignment vertical="center"/>
    </xf>
    <xf numFmtId="191" fontId="30" fillId="0" borderId="192" xfId="50" applyNumberFormat="1" applyFont="1" applyBorder="1" applyAlignment="1">
      <alignment horizontal="center" vertical="center"/>
    </xf>
    <xf numFmtId="192" fontId="30" fillId="0" borderId="191" xfId="50" applyNumberFormat="1" applyFont="1" applyBorder="1" applyAlignment="1">
      <alignment horizontal="center" vertical="center"/>
    </xf>
    <xf numFmtId="17" fontId="15" fillId="43" borderId="138" xfId="49" quotePrefix="1" applyNumberFormat="1" applyFont="1" applyFill="1" applyBorder="1" applyAlignment="1">
      <alignment horizontal="center" vertical="center"/>
    </xf>
    <xf numFmtId="197" fontId="19" fillId="17" borderId="257" xfId="49" applyNumberFormat="1" applyFont="1" applyFill="1" applyBorder="1" applyAlignment="1">
      <alignment horizontal="center" vertical="center"/>
    </xf>
    <xf numFmtId="191" fontId="19" fillId="31" borderId="260" xfId="51" applyNumberFormat="1" applyFont="1" applyFill="1" applyBorder="1" applyAlignment="1">
      <alignment horizontal="center" vertical="center"/>
    </xf>
    <xf numFmtId="191" fontId="19" fillId="31" borderId="261" xfId="51" applyNumberFormat="1" applyFont="1" applyFill="1" applyBorder="1" applyAlignment="1">
      <alignment horizontal="center" vertical="center"/>
    </xf>
    <xf numFmtId="191" fontId="19" fillId="31" borderId="262" xfId="51" applyNumberFormat="1" applyFont="1" applyFill="1" applyBorder="1" applyAlignment="1">
      <alignment horizontal="center" vertical="center"/>
    </xf>
    <xf numFmtId="191" fontId="19" fillId="31" borderId="263" xfId="51" applyNumberFormat="1" applyFont="1" applyFill="1" applyBorder="1" applyAlignment="1">
      <alignment horizontal="center" vertical="center"/>
    </xf>
    <xf numFmtId="191" fontId="19" fillId="31" borderId="264" xfId="51" applyNumberFormat="1" applyFont="1" applyFill="1" applyBorder="1" applyAlignment="1">
      <alignment horizontal="center" vertical="center"/>
    </xf>
    <xf numFmtId="191" fontId="19" fillId="31" borderId="265" xfId="51" applyNumberFormat="1" applyFont="1" applyFill="1" applyBorder="1" applyAlignment="1">
      <alignment horizontal="center" vertical="center"/>
    </xf>
    <xf numFmtId="191" fontId="19" fillId="31" borderId="266" xfId="51" applyNumberFormat="1" applyFont="1" applyFill="1" applyBorder="1" applyAlignment="1">
      <alignment horizontal="center" vertical="center"/>
    </xf>
    <xf numFmtId="191" fontId="19" fillId="31" borderId="267" xfId="51" applyNumberFormat="1" applyFont="1" applyFill="1" applyBorder="1" applyAlignment="1">
      <alignment horizontal="center" vertical="center"/>
    </xf>
    <xf numFmtId="0" fontId="8" fillId="0" borderId="0" xfId="56" applyFont="1" applyAlignment="1">
      <alignment horizontal="center" vertical="center"/>
    </xf>
    <xf numFmtId="191" fontId="8" fillId="0" borderId="0" xfId="56" applyNumberFormat="1" applyFont="1" applyAlignment="1">
      <alignment horizontal="center" vertical="center"/>
    </xf>
    <xf numFmtId="191" fontId="7" fillId="0" borderId="0" xfId="56" quotePrefix="1" applyNumberFormat="1" applyFont="1" applyAlignment="1">
      <alignment horizontal="center" vertical="center"/>
    </xf>
    <xf numFmtId="191" fontId="8" fillId="0" borderId="238" xfId="56" applyNumberFormat="1" applyFont="1" applyBorder="1" applyAlignment="1">
      <alignment horizontal="center" vertical="center"/>
    </xf>
    <xf numFmtId="191" fontId="8" fillId="0" borderId="120" xfId="56" applyNumberFormat="1" applyFont="1" applyBorder="1" applyAlignment="1">
      <alignment horizontal="center" vertical="center"/>
    </xf>
    <xf numFmtId="191" fontId="8" fillId="0" borderId="128" xfId="56" applyNumberFormat="1" applyFont="1" applyBorder="1" applyAlignment="1">
      <alignment horizontal="center" vertical="center"/>
    </xf>
    <xf numFmtId="191" fontId="8" fillId="0" borderId="149" xfId="56" applyNumberFormat="1" applyFont="1" applyBorder="1" applyAlignment="1">
      <alignment horizontal="center" vertical="center"/>
    </xf>
    <xf numFmtId="191" fontId="8" fillId="0" borderId="0" xfId="56" applyNumberFormat="1" applyFont="1" applyBorder="1" applyAlignment="1">
      <alignment horizontal="center" vertical="center"/>
    </xf>
    <xf numFmtId="191" fontId="8" fillId="0" borderId="137" xfId="56" applyNumberFormat="1" applyFont="1" applyBorder="1" applyAlignment="1">
      <alignment horizontal="center" vertical="center"/>
    </xf>
    <xf numFmtId="191" fontId="8" fillId="0" borderId="162" xfId="56" applyNumberFormat="1" applyFont="1" applyBorder="1" applyAlignment="1">
      <alignment horizontal="center" vertical="center"/>
    </xf>
    <xf numFmtId="191" fontId="8" fillId="0" borderId="84" xfId="56" applyNumberFormat="1" applyFont="1" applyBorder="1" applyAlignment="1">
      <alignment horizontal="center" vertical="center"/>
    </xf>
    <xf numFmtId="191" fontId="8" fillId="0" borderId="237" xfId="56" applyNumberFormat="1" applyFont="1" applyBorder="1" applyAlignment="1">
      <alignment horizontal="center" vertical="center"/>
    </xf>
    <xf numFmtId="0" fontId="83" fillId="23" borderId="0" xfId="56" applyFont="1" applyFill="1" applyAlignment="1">
      <alignment horizontal="center" vertical="center"/>
    </xf>
    <xf numFmtId="0" fontId="83" fillId="23" borderId="186" xfId="56" applyFont="1" applyFill="1" applyBorder="1" applyAlignment="1">
      <alignment horizontal="center" vertical="center"/>
    </xf>
    <xf numFmtId="187" fontId="59" fillId="25" borderId="193" xfId="49" applyNumberFormat="1" applyFont="1" applyFill="1" applyBorder="1" applyAlignment="1">
      <alignment horizontal="center" vertical="center"/>
    </xf>
    <xf numFmtId="187" fontId="15" fillId="33" borderId="193" xfId="49" applyNumberFormat="1" applyFont="1" applyFill="1" applyBorder="1" applyAlignment="1">
      <alignment horizontal="center" vertical="center"/>
    </xf>
    <xf numFmtId="187" fontId="98" fillId="8" borderId="33" xfId="18" applyNumberFormat="1" applyFont="1" applyFill="1" applyBorder="1" applyAlignment="1">
      <alignment horizontal="center" vertical="center"/>
    </xf>
    <xf numFmtId="187" fontId="98" fillId="8" borderId="1" xfId="18" applyNumberFormat="1" applyFont="1" applyFill="1" applyBorder="1" applyAlignment="1">
      <alignment horizontal="center" vertical="center"/>
    </xf>
    <xf numFmtId="187" fontId="98" fillId="8" borderId="35" xfId="18" applyNumberFormat="1" applyFont="1" applyFill="1" applyBorder="1" applyAlignment="1">
      <alignment horizontal="center" vertical="center"/>
    </xf>
    <xf numFmtId="191" fontId="84" fillId="31" borderId="257" xfId="56" applyNumberFormat="1" applyFont="1" applyFill="1" applyBorder="1" applyAlignment="1">
      <alignment horizontal="center" vertical="center"/>
    </xf>
    <xf numFmtId="0" fontId="84" fillId="31" borderId="257" xfId="56" applyFont="1" applyFill="1" applyBorder="1" applyAlignment="1">
      <alignment vertical="center"/>
    </xf>
    <xf numFmtId="191" fontId="84" fillId="31" borderId="196" xfId="56" applyNumberFormat="1" applyFont="1" applyFill="1" applyBorder="1" applyAlignment="1">
      <alignment horizontal="center" vertical="center"/>
    </xf>
    <xf numFmtId="0" fontId="84" fillId="31" borderId="196" xfId="56" applyFont="1" applyFill="1" applyBorder="1" applyAlignment="1">
      <alignment vertical="center"/>
    </xf>
    <xf numFmtId="193" fontId="84" fillId="31" borderId="257" xfId="56" applyNumberFormat="1" applyFont="1" applyFill="1" applyBorder="1" applyAlignment="1">
      <alignment horizontal="center" vertical="center"/>
    </xf>
    <xf numFmtId="191" fontId="84" fillId="13" borderId="257" xfId="56" applyNumberFormat="1" applyFont="1" applyFill="1" applyBorder="1" applyAlignment="1">
      <alignment horizontal="center" vertical="center"/>
    </xf>
    <xf numFmtId="191" fontId="84" fillId="13" borderId="196" xfId="56" applyNumberFormat="1" applyFont="1" applyFill="1" applyBorder="1" applyAlignment="1">
      <alignment horizontal="center" vertical="center"/>
    </xf>
    <xf numFmtId="193" fontId="84" fillId="7" borderId="257" xfId="56" applyNumberFormat="1" applyFont="1" applyFill="1" applyBorder="1" applyAlignment="1">
      <alignment horizontal="center" vertical="center"/>
    </xf>
    <xf numFmtId="191" fontId="84" fillId="7" borderId="196" xfId="56" applyNumberFormat="1" applyFont="1" applyFill="1" applyBorder="1" applyAlignment="1">
      <alignment horizontal="center" vertical="center"/>
    </xf>
    <xf numFmtId="164" fontId="84" fillId="13" borderId="189" xfId="56" applyNumberFormat="1" applyFont="1" applyFill="1" applyBorder="1" applyAlignment="1">
      <alignment horizontal="center" vertical="center"/>
    </xf>
    <xf numFmtId="164" fontId="84" fillId="13" borderId="184" xfId="56" applyNumberFormat="1" applyFont="1" applyFill="1" applyBorder="1" applyAlignment="1">
      <alignment horizontal="center" vertical="center"/>
    </xf>
    <xf numFmtId="191" fontId="84" fillId="13" borderId="272" xfId="56" applyNumberFormat="1" applyFont="1" applyFill="1" applyBorder="1" applyAlignment="1">
      <alignment horizontal="center" vertical="center"/>
    </xf>
    <xf numFmtId="191" fontId="84" fillId="13" borderId="184" xfId="56" applyNumberFormat="1" applyFont="1" applyFill="1" applyBorder="1" applyAlignment="1">
      <alignment horizontal="center" vertical="center"/>
    </xf>
    <xf numFmtId="0" fontId="84" fillId="13" borderId="184" xfId="56" applyFont="1" applyFill="1" applyBorder="1" applyAlignment="1">
      <alignment vertical="center"/>
    </xf>
    <xf numFmtId="191" fontId="84" fillId="13" borderId="272" xfId="56" applyNumberFormat="1" applyFont="1" applyFill="1" applyBorder="1" applyAlignment="1">
      <alignment vertical="center"/>
    </xf>
    <xf numFmtId="191" fontId="84" fillId="13" borderId="187" xfId="56" applyNumberFormat="1" applyFont="1" applyFill="1" applyBorder="1" applyAlignment="1">
      <alignment horizontal="center" vertical="center"/>
    </xf>
    <xf numFmtId="0" fontId="84" fillId="7" borderId="186" xfId="56" applyFont="1" applyFill="1" applyBorder="1" applyAlignment="1">
      <alignment vertical="center"/>
    </xf>
    <xf numFmtId="192" fontId="84" fillId="7" borderId="274" xfId="56" applyNumberFormat="1" applyFont="1" applyFill="1" applyBorder="1" applyAlignment="1">
      <alignment horizontal="center" vertical="center"/>
    </xf>
    <xf numFmtId="0" fontId="84" fillId="7" borderId="274" xfId="56" applyFont="1" applyFill="1" applyBorder="1" applyAlignment="1">
      <alignment vertical="center"/>
    </xf>
    <xf numFmtId="193" fontId="84" fillId="7" borderId="274" xfId="56" applyNumberFormat="1" applyFont="1" applyFill="1" applyBorder="1" applyAlignment="1">
      <alignment vertical="center"/>
    </xf>
    <xf numFmtId="192" fontId="84" fillId="7" borderId="275" xfId="56" applyNumberFormat="1" applyFont="1" applyFill="1" applyBorder="1" applyAlignment="1">
      <alignment horizontal="center" vertical="center"/>
    </xf>
    <xf numFmtId="2" fontId="111" fillId="45" borderId="0" xfId="18" applyNumberFormat="1" applyFont="1" applyFill="1" applyBorder="1" applyAlignment="1" applyProtection="1">
      <alignment horizontal="center" vertical="center"/>
    </xf>
    <xf numFmtId="189" fontId="111" fillId="46" borderId="0" xfId="18" applyNumberFormat="1" applyFont="1" applyFill="1" applyBorder="1" applyAlignment="1" applyProtection="1">
      <alignment horizontal="center" vertical="center"/>
    </xf>
    <xf numFmtId="197" fontId="69" fillId="17" borderId="257" xfId="49" applyNumberFormat="1" applyFont="1" applyFill="1" applyBorder="1" applyAlignment="1">
      <alignment horizontal="center" vertical="center"/>
    </xf>
    <xf numFmtId="187" fontId="86" fillId="25" borderId="193" xfId="49" applyNumberFormat="1" applyFont="1" applyFill="1" applyBorder="1" applyAlignment="1">
      <alignment horizontal="center" vertical="center"/>
    </xf>
    <xf numFmtId="0" fontId="97" fillId="4" borderId="0" xfId="18" applyFont="1" applyFill="1" applyBorder="1" applyAlignment="1">
      <alignment vertical="center"/>
    </xf>
    <xf numFmtId="191" fontId="85" fillId="38" borderId="35" xfId="48" applyNumberFormat="1" applyFont="1" applyFill="1" applyBorder="1" applyAlignment="1" applyProtection="1">
      <alignment horizontal="center" vertical="center"/>
    </xf>
    <xf numFmtId="189" fontId="85" fillId="38" borderId="35" xfId="49" applyNumberFormat="1" applyFont="1" applyFill="1" applyBorder="1" applyAlignment="1" applyProtection="1">
      <alignment horizontal="center" vertical="center"/>
    </xf>
    <xf numFmtId="189" fontId="85" fillId="38" borderId="2" xfId="49" applyNumberFormat="1" applyFont="1" applyFill="1" applyBorder="1" applyAlignment="1" applyProtection="1">
      <alignment horizontal="center" vertical="center"/>
    </xf>
    <xf numFmtId="191" fontId="85" fillId="7" borderId="35" xfId="48" applyNumberFormat="1" applyFont="1" applyFill="1" applyBorder="1" applyAlignment="1" applyProtection="1">
      <alignment horizontal="center" vertical="center"/>
    </xf>
    <xf numFmtId="189" fontId="85" fillId="7" borderId="2" xfId="49" applyNumberFormat="1" applyFont="1" applyFill="1" applyBorder="1" applyAlignment="1" applyProtection="1">
      <alignment horizontal="center" vertical="center"/>
    </xf>
    <xf numFmtId="189" fontId="85" fillId="38" borderId="33" xfId="49" applyNumberFormat="1" applyFont="1" applyFill="1" applyBorder="1" applyAlignment="1" applyProtection="1">
      <alignment horizontal="center" vertical="center"/>
    </xf>
    <xf numFmtId="191" fontId="85" fillId="38" borderId="233" xfId="48" applyNumberFormat="1" applyFont="1" applyFill="1" applyBorder="1" applyAlignment="1" applyProtection="1">
      <alignment horizontal="center" vertical="center"/>
    </xf>
    <xf numFmtId="191" fontId="112" fillId="33" borderId="35" xfId="48" applyNumberFormat="1" applyFont="1" applyFill="1" applyBorder="1" applyAlignment="1" applyProtection="1">
      <alignment horizontal="center" vertical="center"/>
    </xf>
    <xf numFmtId="189" fontId="112" fillId="33" borderId="35" xfId="49" applyNumberFormat="1" applyFont="1" applyFill="1" applyBorder="1" applyAlignment="1" applyProtection="1">
      <alignment horizontal="center" vertical="center"/>
    </xf>
    <xf numFmtId="189" fontId="112" fillId="33" borderId="1" xfId="49" applyNumberFormat="1" applyFont="1" applyFill="1" applyBorder="1" applyAlignment="1" applyProtection="1">
      <alignment horizontal="center" vertical="center"/>
    </xf>
    <xf numFmtId="191" fontId="112" fillId="33" borderId="224" xfId="48" applyNumberFormat="1" applyFont="1" applyFill="1" applyBorder="1" applyAlignment="1" applyProtection="1">
      <alignment horizontal="center" vertical="center"/>
    </xf>
    <xf numFmtId="189" fontId="112" fillId="33" borderId="224" xfId="49" applyNumberFormat="1" applyFont="1" applyFill="1" applyBorder="1" applyAlignment="1" applyProtection="1">
      <alignment horizontal="center" vertical="center"/>
    </xf>
    <xf numFmtId="191" fontId="86" fillId="13" borderId="190" xfId="49" applyNumberFormat="1" applyFont="1" applyFill="1" applyBorder="1" applyAlignment="1">
      <alignment horizontal="center" vertical="center"/>
    </xf>
    <xf numFmtId="189" fontId="113" fillId="7" borderId="190" xfId="49" applyNumberFormat="1" applyFont="1" applyFill="1" applyBorder="1" applyAlignment="1">
      <alignment horizontal="center" vertical="center"/>
    </xf>
    <xf numFmtId="189" fontId="86" fillId="7" borderId="190" xfId="49" applyNumberFormat="1" applyFont="1" applyFill="1" applyBorder="1" applyAlignment="1">
      <alignment horizontal="center" vertical="center"/>
    </xf>
    <xf numFmtId="191" fontId="86" fillId="13" borderId="221" xfId="49" applyNumberFormat="1" applyFont="1" applyFill="1" applyBorder="1" applyAlignment="1">
      <alignment horizontal="center" vertical="center"/>
    </xf>
    <xf numFmtId="189" fontId="86" fillId="7" borderId="221" xfId="49" applyNumberFormat="1" applyFont="1" applyFill="1" applyBorder="1" applyAlignment="1">
      <alignment horizontal="center" vertical="center"/>
    </xf>
    <xf numFmtId="189" fontId="86" fillId="7" borderId="194" xfId="49" applyNumberFormat="1" applyFont="1" applyFill="1" applyBorder="1" applyAlignment="1">
      <alignment horizontal="center" vertical="center"/>
    </xf>
    <xf numFmtId="191" fontId="86" fillId="13" borderId="216" xfId="49" applyNumberFormat="1" applyFont="1" applyFill="1" applyBorder="1" applyAlignment="1">
      <alignment horizontal="center" vertical="center"/>
    </xf>
    <xf numFmtId="189" fontId="86" fillId="7" borderId="216" xfId="49" applyNumberFormat="1" applyFont="1" applyFill="1" applyBorder="1" applyAlignment="1">
      <alignment horizontal="center" vertical="center"/>
    </xf>
    <xf numFmtId="191" fontId="86" fillId="13" borderId="194" xfId="48" applyNumberFormat="1" applyFont="1" applyFill="1" applyBorder="1" applyAlignment="1" applyProtection="1">
      <alignment horizontal="center" vertical="center"/>
    </xf>
    <xf numFmtId="191" fontId="86" fillId="13" borderId="212" xfId="48" applyNumberFormat="1" applyFont="1" applyFill="1" applyBorder="1" applyAlignment="1" applyProtection="1">
      <alignment horizontal="center" vertical="center"/>
    </xf>
    <xf numFmtId="0" fontId="69" fillId="0" borderId="32" xfId="18" applyFont="1" applyBorder="1" applyAlignment="1">
      <alignment vertical="center"/>
    </xf>
    <xf numFmtId="0" fontId="69" fillId="0" borderId="0" xfId="18" applyFont="1" applyFill="1" applyBorder="1" applyAlignment="1">
      <alignment vertical="center"/>
    </xf>
    <xf numFmtId="197" fontId="67" fillId="17" borderId="259" xfId="49" applyNumberFormat="1" applyFont="1" applyFill="1" applyBorder="1" applyAlignment="1">
      <alignment horizontal="center" vertical="center"/>
    </xf>
    <xf numFmtId="189" fontId="67" fillId="8" borderId="138" xfId="49" applyNumberFormat="1" applyFont="1" applyFill="1" applyBorder="1" applyAlignment="1">
      <alignment horizontal="center" vertical="center"/>
    </xf>
    <xf numFmtId="187" fontId="112" fillId="8" borderId="138" xfId="49" applyNumberFormat="1" applyFont="1" applyFill="1" applyBorder="1" applyAlignment="1">
      <alignment horizontal="center" vertical="center"/>
    </xf>
    <xf numFmtId="197" fontId="29" fillId="44" borderId="257" xfId="49" applyNumberFormat="1" applyFont="1" applyFill="1" applyBorder="1" applyAlignment="1">
      <alignment horizontal="center" vertical="center"/>
    </xf>
    <xf numFmtId="187" fontId="85" fillId="25" borderId="193" xfId="49" applyNumberFormat="1" applyFont="1" applyFill="1" applyBorder="1" applyAlignment="1">
      <alignment horizontal="center" vertical="center"/>
    </xf>
    <xf numFmtId="197" fontId="29" fillId="17" borderId="257" xfId="49" applyNumberFormat="1" applyFont="1" applyFill="1" applyBorder="1" applyAlignment="1">
      <alignment horizontal="center" vertical="center"/>
    </xf>
    <xf numFmtId="197" fontId="69" fillId="31" borderId="257" xfId="49" applyNumberFormat="1" applyFont="1" applyFill="1" applyBorder="1" applyAlignment="1">
      <alignment horizontal="center" vertical="center"/>
    </xf>
    <xf numFmtId="197" fontId="69" fillId="13" borderId="257" xfId="49" applyNumberFormat="1" applyFont="1" applyFill="1" applyBorder="1" applyAlignment="1">
      <alignment horizontal="center" vertical="center"/>
    </xf>
    <xf numFmtId="197" fontId="69" fillId="16" borderId="257" xfId="49" applyNumberFormat="1" applyFont="1" applyFill="1" applyBorder="1" applyAlignment="1">
      <alignment horizontal="center" vertical="center"/>
    </xf>
    <xf numFmtId="0" fontId="89" fillId="0" borderId="32" xfId="18" applyFont="1" applyFill="1" applyBorder="1" applyAlignment="1">
      <alignment vertical="center"/>
    </xf>
    <xf numFmtId="2" fontId="114" fillId="0" borderId="32" xfId="18" applyNumberFormat="1" applyFont="1" applyBorder="1" applyAlignment="1">
      <alignment horizontal="center" vertical="center"/>
    </xf>
    <xf numFmtId="189" fontId="114" fillId="0" borderId="32" xfId="18" applyNumberFormat="1" applyFont="1" applyBorder="1" applyAlignment="1" applyProtection="1">
      <alignment horizontal="right" vertical="center"/>
    </xf>
    <xf numFmtId="197" fontId="67" fillId="45" borderId="0" xfId="49" applyNumberFormat="1" applyFont="1" applyFill="1" applyBorder="1" applyAlignment="1">
      <alignment horizontal="center" vertical="center"/>
    </xf>
    <xf numFmtId="191" fontId="86" fillId="38" borderId="37" xfId="48" applyNumberFormat="1" applyFont="1" applyFill="1" applyBorder="1" applyAlignment="1" applyProtection="1">
      <alignment horizontal="center" vertical="center"/>
    </xf>
    <xf numFmtId="191" fontId="86" fillId="7" borderId="37" xfId="48" applyNumberFormat="1" applyFont="1" applyFill="1" applyBorder="1" applyAlignment="1" applyProtection="1">
      <alignment horizontal="center" vertical="center"/>
    </xf>
    <xf numFmtId="191" fontId="86" fillId="38" borderId="3" xfId="48" applyNumberFormat="1" applyFont="1" applyFill="1" applyBorder="1" applyAlignment="1" applyProtection="1">
      <alignment horizontal="center" vertical="center"/>
    </xf>
    <xf numFmtId="191" fontId="86" fillId="38" borderId="71" xfId="48" applyNumberFormat="1" applyFont="1" applyFill="1" applyBorder="1" applyAlignment="1" applyProtection="1">
      <alignment horizontal="center" vertical="center"/>
    </xf>
    <xf numFmtId="191" fontId="67" fillId="33" borderId="37" xfId="48" applyNumberFormat="1" applyFont="1" applyFill="1" applyBorder="1" applyAlignment="1" applyProtection="1">
      <alignment horizontal="center" vertical="center"/>
    </xf>
    <xf numFmtId="191" fontId="67" fillId="33" borderId="3" xfId="48" applyNumberFormat="1" applyFont="1" applyFill="1" applyBorder="1" applyAlignment="1" applyProtection="1">
      <alignment horizontal="center" vertical="center"/>
    </xf>
    <xf numFmtId="191" fontId="67" fillId="33" borderId="225" xfId="48" applyNumberFormat="1" applyFont="1" applyFill="1" applyBorder="1" applyAlignment="1" applyProtection="1">
      <alignment horizontal="center" vertical="center"/>
    </xf>
    <xf numFmtId="191" fontId="86" fillId="13" borderId="191" xfId="49" applyNumberFormat="1" applyFont="1" applyFill="1" applyBorder="1" applyAlignment="1">
      <alignment horizontal="center" vertical="center"/>
    </xf>
    <xf numFmtId="191" fontId="86" fillId="13" borderId="222" xfId="49" applyNumberFormat="1" applyFont="1" applyFill="1" applyBorder="1" applyAlignment="1">
      <alignment horizontal="center" vertical="center"/>
    </xf>
    <xf numFmtId="197" fontId="29" fillId="31" borderId="257" xfId="49" applyNumberFormat="1" applyFont="1" applyFill="1" applyBorder="1" applyAlignment="1">
      <alignment horizontal="center" vertical="center"/>
    </xf>
    <xf numFmtId="197" fontId="67" fillId="17" borderId="138" xfId="49" applyNumberFormat="1" applyFont="1" applyFill="1" applyBorder="1" applyAlignment="1">
      <alignment horizontal="center" vertical="center"/>
    </xf>
    <xf numFmtId="2" fontId="115" fillId="0" borderId="32" xfId="18" applyNumberFormat="1" applyFont="1" applyBorder="1" applyAlignment="1" applyProtection="1">
      <alignment horizontal="right" vertical="center"/>
    </xf>
    <xf numFmtId="187" fontId="67" fillId="33" borderId="193" xfId="49" applyNumberFormat="1" applyFont="1" applyFill="1" applyBorder="1" applyAlignment="1">
      <alignment horizontal="center" vertical="center"/>
    </xf>
    <xf numFmtId="187" fontId="86" fillId="38" borderId="35" xfId="48" applyNumberFormat="1" applyFont="1" applyFill="1" applyBorder="1" applyAlignment="1">
      <alignment horizontal="center" vertical="center"/>
    </xf>
    <xf numFmtId="187" fontId="86" fillId="38" borderId="2" xfId="48" applyNumberFormat="1" applyFont="1" applyFill="1" applyBorder="1" applyAlignment="1">
      <alignment horizontal="center" vertical="center"/>
    </xf>
    <xf numFmtId="187" fontId="86" fillId="7" borderId="2" xfId="48" applyNumberFormat="1" applyFont="1" applyFill="1" applyBorder="1" applyAlignment="1">
      <alignment horizontal="center" vertical="center"/>
    </xf>
    <xf numFmtId="187" fontId="86" fillId="38" borderId="233" xfId="48" applyNumberFormat="1" applyFont="1" applyFill="1" applyBorder="1" applyAlignment="1">
      <alignment horizontal="center" vertical="center"/>
    </xf>
    <xf numFmtId="187" fontId="67" fillId="33" borderId="2" xfId="48" applyNumberFormat="1" applyFont="1" applyFill="1" applyBorder="1" applyAlignment="1">
      <alignment horizontal="center" vertical="center"/>
    </xf>
    <xf numFmtId="187" fontId="116" fillId="33" borderId="2" xfId="48" applyNumberFormat="1" applyFont="1" applyFill="1" applyBorder="1" applyAlignment="1">
      <alignment horizontal="center" vertical="center"/>
    </xf>
    <xf numFmtId="187" fontId="116" fillId="33" borderId="62" xfId="48" applyNumberFormat="1" applyFont="1" applyFill="1" applyBorder="1" applyAlignment="1">
      <alignment horizontal="center" vertical="center"/>
    </xf>
    <xf numFmtId="187" fontId="116" fillId="33" borderId="35" xfId="48" applyNumberFormat="1" applyFont="1" applyFill="1" applyBorder="1" applyAlignment="1">
      <alignment horizontal="center" vertical="center"/>
    </xf>
    <xf numFmtId="187" fontId="116" fillId="33" borderId="224" xfId="48" applyNumberFormat="1" applyFont="1" applyFill="1" applyBorder="1" applyAlignment="1">
      <alignment horizontal="center" vertical="center"/>
    </xf>
    <xf numFmtId="187" fontId="86" fillId="7" borderId="190" xfId="49" applyNumberFormat="1" applyFont="1" applyFill="1" applyBorder="1" applyAlignment="1">
      <alignment horizontal="center" vertical="center"/>
    </xf>
    <xf numFmtId="187" fontId="86" fillId="7" borderId="221" xfId="49" applyNumberFormat="1" applyFont="1" applyFill="1" applyBorder="1" applyAlignment="1">
      <alignment horizontal="center" vertical="center"/>
    </xf>
    <xf numFmtId="187" fontId="86" fillId="7" borderId="216" xfId="49" applyNumberFormat="1" applyFont="1" applyFill="1" applyBorder="1" applyAlignment="1">
      <alignment horizontal="center" vertical="center"/>
    </xf>
    <xf numFmtId="0" fontId="89" fillId="8" borderId="138" xfId="18" applyFont="1" applyFill="1" applyBorder="1" applyAlignment="1">
      <alignment vertical="center"/>
    </xf>
    <xf numFmtId="187" fontId="115" fillId="0" borderId="32" xfId="18" applyNumberFormat="1" applyFont="1" applyBorder="1" applyAlignment="1">
      <alignment horizontal="right" vertical="center"/>
    </xf>
    <xf numFmtId="0" fontId="0" fillId="0" borderId="32" xfId="18" applyFont="1" applyBorder="1" applyAlignment="1">
      <alignment vertical="center"/>
    </xf>
    <xf numFmtId="197" fontId="22" fillId="0" borderId="257" xfId="49" applyNumberFormat="1" applyFont="1" applyFill="1" applyBorder="1" applyAlignment="1">
      <alignment horizontal="center" vertical="center"/>
    </xf>
    <xf numFmtId="187" fontId="16" fillId="0" borderId="72" xfId="18" applyNumberFormat="1" applyFont="1" applyBorder="1" applyAlignment="1">
      <alignment vertical="center"/>
    </xf>
    <xf numFmtId="187" fontId="59" fillId="25" borderId="193" xfId="49" applyNumberFormat="1" applyFont="1" applyFill="1" applyBorder="1" applyAlignment="1">
      <alignment horizontal="center" vertical="center"/>
    </xf>
    <xf numFmtId="191" fontId="19" fillId="31" borderId="238" xfId="51" applyNumberFormat="1" applyFont="1" applyFill="1" applyBorder="1" applyAlignment="1">
      <alignment horizontal="center" vertical="center"/>
    </xf>
    <xf numFmtId="191" fontId="19" fillId="31" borderId="120" xfId="51" applyNumberFormat="1" applyFont="1" applyFill="1" applyBorder="1" applyAlignment="1">
      <alignment horizontal="center" vertical="center"/>
    </xf>
    <xf numFmtId="191" fontId="19" fillId="31" borderId="149" xfId="51" applyNumberFormat="1" applyFont="1" applyFill="1" applyBorder="1" applyAlignment="1">
      <alignment horizontal="center" vertical="center"/>
    </xf>
    <xf numFmtId="191" fontId="19" fillId="31" borderId="0" xfId="51" applyNumberFormat="1" applyFont="1" applyFill="1" applyBorder="1" applyAlignment="1">
      <alignment horizontal="center" vertical="center"/>
    </xf>
    <xf numFmtId="191" fontId="19" fillId="31" borderId="162" xfId="51" applyNumberFormat="1" applyFont="1" applyFill="1" applyBorder="1" applyAlignment="1">
      <alignment horizontal="center" vertical="center"/>
    </xf>
    <xf numFmtId="191" fontId="19" fillId="31" borderId="84" xfId="51" applyNumberFormat="1" applyFont="1" applyFill="1" applyBorder="1" applyAlignment="1">
      <alignment horizontal="center" vertical="center"/>
    </xf>
    <xf numFmtId="0" fontId="83" fillId="23" borderId="0" xfId="56" applyFont="1" applyFill="1" applyBorder="1" applyAlignment="1">
      <alignment horizontal="center" vertical="center"/>
    </xf>
    <xf numFmtId="187" fontId="59" fillId="25" borderId="193" xfId="49" applyNumberFormat="1" applyFont="1" applyFill="1" applyBorder="1" applyAlignment="1">
      <alignment horizontal="center" vertical="center"/>
    </xf>
    <xf numFmtId="0" fontId="8" fillId="0" borderId="0" xfId="56" applyFont="1" applyBorder="1" applyAlignment="1">
      <alignment horizontal="center" vertical="center"/>
    </xf>
    <xf numFmtId="0" fontId="8" fillId="23" borderId="0" xfId="56" applyFont="1" applyFill="1" applyAlignment="1">
      <alignment horizontal="center" vertical="center"/>
    </xf>
    <xf numFmtId="0" fontId="8" fillId="23" borderId="0" xfId="56" applyFont="1" applyFill="1" applyBorder="1" applyAlignment="1">
      <alignment horizontal="center" vertical="center"/>
    </xf>
    <xf numFmtId="187" fontId="59" fillId="25" borderId="193" xfId="49" quotePrefix="1" applyNumberFormat="1" applyFont="1" applyFill="1" applyBorder="1" applyAlignment="1">
      <alignment horizontal="center" vertical="center"/>
    </xf>
    <xf numFmtId="187" fontId="84" fillId="25" borderId="276" xfId="49" applyNumberFormat="1" applyFont="1" applyFill="1" applyBorder="1" applyAlignment="1">
      <alignment horizontal="center" vertical="center"/>
    </xf>
    <xf numFmtId="187" fontId="85" fillId="25" borderId="276" xfId="49" applyNumberFormat="1" applyFont="1" applyFill="1" applyBorder="1" applyAlignment="1">
      <alignment horizontal="center" vertical="center"/>
    </xf>
    <xf numFmtId="187" fontId="84" fillId="25" borderId="277" xfId="49" applyNumberFormat="1" applyFont="1" applyFill="1" applyBorder="1" applyAlignment="1">
      <alignment horizontal="center" vertical="center"/>
    </xf>
    <xf numFmtId="187" fontId="59" fillId="25" borderId="193" xfId="49" applyNumberFormat="1" applyFont="1" applyFill="1" applyBorder="1" applyAlignment="1">
      <alignment horizontal="center" vertical="center"/>
    </xf>
    <xf numFmtId="0" fontId="83" fillId="23" borderId="0" xfId="56" applyFont="1" applyFill="1" applyBorder="1" applyAlignment="1">
      <alignment horizontal="center" vertical="center"/>
    </xf>
    <xf numFmtId="38" fontId="117" fillId="33" borderId="33" xfId="1" applyNumberFormat="1" applyFont="1" applyFill="1" applyBorder="1" applyAlignment="1" applyProtection="1">
      <alignment horizontal="center" vertical="center"/>
      <protection locked="0"/>
    </xf>
    <xf numFmtId="40" fontId="27" fillId="4" borderId="0" xfId="0" quotePrefix="1" applyNumberFormat="1" applyFont="1" applyFill="1" applyBorder="1" applyAlignment="1">
      <alignment vertical="center"/>
    </xf>
    <xf numFmtId="40" fontId="28" fillId="14" borderId="0" xfId="0" applyNumberFormat="1" applyFont="1" applyFill="1" applyBorder="1" applyAlignment="1">
      <alignment vertical="center"/>
    </xf>
    <xf numFmtId="40" fontId="35" fillId="0" borderId="32" xfId="1" applyNumberFormat="1" applyFont="1" applyFill="1" applyBorder="1" applyAlignment="1">
      <alignment vertical="center"/>
    </xf>
    <xf numFmtId="40" fontId="24" fillId="0" borderId="0" xfId="0" applyNumberFormat="1" applyFont="1" applyFill="1" applyBorder="1" applyAlignment="1">
      <alignment vertical="center"/>
    </xf>
    <xf numFmtId="40" fontId="22" fillId="4" borderId="0" xfId="0" applyNumberFormat="1" applyFont="1" applyFill="1" applyBorder="1" applyAlignment="1">
      <alignment vertical="center"/>
    </xf>
    <xf numFmtId="40" fontId="22" fillId="13" borderId="176" xfId="0" applyNumberFormat="1" applyFont="1" applyFill="1" applyBorder="1" applyAlignment="1">
      <alignment vertical="center"/>
    </xf>
    <xf numFmtId="40" fontId="28" fillId="4" borderId="0" xfId="0" quotePrefix="1" applyNumberFormat="1" applyFont="1" applyFill="1" applyBorder="1" applyAlignment="1">
      <alignment vertical="center"/>
    </xf>
    <xf numFmtId="40" fontId="22" fillId="13" borderId="9" xfId="0" applyNumberFormat="1" applyFont="1" applyFill="1" applyBorder="1" applyAlignment="1">
      <alignment vertical="center"/>
    </xf>
    <xf numFmtId="40" fontId="22" fillId="5" borderId="7" xfId="0" applyNumberFormat="1" applyFont="1" applyFill="1" applyBorder="1" applyAlignment="1" applyProtection="1">
      <alignment vertical="center"/>
      <protection locked="0"/>
    </xf>
    <xf numFmtId="40" fontId="22" fillId="5" borderId="5" xfId="0" applyNumberFormat="1" applyFont="1" applyFill="1" applyBorder="1" applyAlignment="1" applyProtection="1">
      <alignment vertical="center"/>
      <protection locked="0"/>
    </xf>
    <xf numFmtId="40" fontId="22" fillId="0" borderId="1" xfId="0" applyNumberFormat="1" applyFont="1" applyBorder="1" applyAlignment="1" applyProtection="1">
      <alignment vertical="center"/>
      <protection locked="0"/>
    </xf>
    <xf numFmtId="40" fontId="102" fillId="0" borderId="0" xfId="0" applyNumberFormat="1" applyFont="1" applyAlignment="1"/>
    <xf numFmtId="40" fontId="26" fillId="0" borderId="0" xfId="0" applyNumberFormat="1" applyFont="1" applyAlignment="1">
      <alignment vertical="center"/>
    </xf>
    <xf numFmtId="165" fontId="46" fillId="25" borderId="123" xfId="0" quotePrefix="1" applyNumberFormat="1" applyFont="1" applyFill="1" applyBorder="1" applyAlignment="1">
      <alignment horizontal="center" vertical="center"/>
    </xf>
    <xf numFmtId="201" fontId="46" fillId="25" borderId="123" xfId="0" applyNumberFormat="1" applyFont="1" applyFill="1" applyBorder="1" applyAlignment="1">
      <alignment horizontal="center" vertical="center"/>
    </xf>
    <xf numFmtId="1" fontId="46" fillId="25" borderId="123" xfId="0" applyNumberFormat="1" applyFont="1" applyFill="1" applyBorder="1" applyAlignment="1">
      <alignment horizontal="center" vertical="center"/>
    </xf>
    <xf numFmtId="2" fontId="46" fillId="25" borderId="123" xfId="0" applyNumberFormat="1" applyFont="1" applyFill="1" applyBorder="1" applyAlignment="1">
      <alignment horizontal="center" vertical="center"/>
    </xf>
    <xf numFmtId="200" fontId="46" fillId="25" borderId="123" xfId="0" applyNumberFormat="1" applyFont="1" applyFill="1" applyBorder="1" applyAlignment="1">
      <alignment horizontal="right" vertical="center" indent="1"/>
    </xf>
    <xf numFmtId="4" fontId="46" fillId="25" borderId="123" xfId="0" applyNumberFormat="1" applyFont="1" applyFill="1" applyBorder="1" applyAlignment="1">
      <alignment horizontal="right" vertical="center" indent="1"/>
    </xf>
    <xf numFmtId="4" fontId="46" fillId="25" borderId="124" xfId="0" applyNumberFormat="1" applyFont="1" applyFill="1" applyBorder="1" applyAlignment="1">
      <alignment horizontal="right" vertical="center" indent="1"/>
    </xf>
    <xf numFmtId="165" fontId="46" fillId="25" borderId="133" xfId="0" quotePrefix="1" applyNumberFormat="1" applyFont="1" applyFill="1" applyBorder="1" applyAlignment="1">
      <alignment horizontal="center" vertical="center"/>
    </xf>
    <xf numFmtId="165" fontId="46" fillId="25" borderId="122" xfId="0" quotePrefix="1" applyNumberFormat="1" applyFont="1" applyFill="1" applyBorder="1" applyAlignment="1">
      <alignment horizontal="center" vertical="center"/>
    </xf>
    <xf numFmtId="201" fontId="46" fillId="25" borderId="122" xfId="0" applyNumberFormat="1" applyFont="1" applyFill="1" applyBorder="1" applyAlignment="1">
      <alignment horizontal="center" vertical="center"/>
    </xf>
    <xf numFmtId="1" fontId="46" fillId="25" borderId="122" xfId="0" applyNumberFormat="1" applyFont="1" applyFill="1" applyBorder="1" applyAlignment="1">
      <alignment horizontal="center" vertical="center"/>
    </xf>
    <xf numFmtId="2" fontId="46" fillId="25" borderId="122" xfId="0" applyNumberFormat="1" applyFont="1" applyFill="1" applyBorder="1" applyAlignment="1">
      <alignment horizontal="center" vertical="center"/>
    </xf>
    <xf numFmtId="200" fontId="46" fillId="25" borderId="122" xfId="0" applyNumberFormat="1" applyFont="1" applyFill="1" applyBorder="1" applyAlignment="1">
      <alignment horizontal="right" vertical="center" indent="1"/>
    </xf>
    <xf numFmtId="4" fontId="46" fillId="25" borderId="122" xfId="0" applyNumberFormat="1" applyFont="1" applyFill="1" applyBorder="1" applyAlignment="1">
      <alignment horizontal="right" vertical="center" indent="1"/>
    </xf>
    <xf numFmtId="4" fontId="46" fillId="25" borderId="126" xfId="0" applyNumberFormat="1" applyFont="1" applyFill="1" applyBorder="1" applyAlignment="1">
      <alignment horizontal="right" vertical="center" indent="1"/>
    </xf>
    <xf numFmtId="165" fontId="46" fillId="25" borderId="136" xfId="0" quotePrefix="1" applyNumberFormat="1" applyFont="1" applyFill="1" applyBorder="1" applyAlignment="1">
      <alignment horizontal="center" vertical="center"/>
    </xf>
    <xf numFmtId="165" fontId="46" fillId="25" borderId="103" xfId="0" quotePrefix="1" applyNumberFormat="1" applyFont="1" applyFill="1" applyBorder="1" applyAlignment="1">
      <alignment horizontal="center" vertical="center"/>
    </xf>
    <xf numFmtId="201" fontId="46" fillId="25" borderId="103" xfId="0" applyNumberFormat="1" applyFont="1" applyFill="1" applyBorder="1" applyAlignment="1">
      <alignment horizontal="center" vertical="center"/>
    </xf>
    <xf numFmtId="1" fontId="46" fillId="25" borderId="103" xfId="0" applyNumberFormat="1" applyFont="1" applyFill="1" applyBorder="1" applyAlignment="1">
      <alignment horizontal="center" vertical="center"/>
    </xf>
    <xf numFmtId="2" fontId="46" fillId="25" borderId="103" xfId="0" applyNumberFormat="1" applyFont="1" applyFill="1" applyBorder="1" applyAlignment="1">
      <alignment horizontal="center" vertical="center"/>
    </xf>
    <xf numFmtId="200" fontId="46" fillId="25" borderId="103" xfId="0" applyNumberFormat="1" applyFont="1" applyFill="1" applyBorder="1" applyAlignment="1">
      <alignment horizontal="right" vertical="center" indent="1"/>
    </xf>
    <xf numFmtId="4" fontId="46" fillId="25" borderId="103" xfId="0" applyNumberFormat="1" applyFont="1" applyFill="1" applyBorder="1" applyAlignment="1">
      <alignment horizontal="right" vertical="center" indent="1"/>
    </xf>
    <xf numFmtId="4" fontId="46" fillId="25" borderId="134" xfId="0" applyNumberFormat="1" applyFont="1" applyFill="1" applyBorder="1" applyAlignment="1">
      <alignment horizontal="right" vertical="center" indent="1"/>
    </xf>
    <xf numFmtId="165" fontId="46" fillId="25" borderId="135" xfId="0" quotePrefix="1" applyNumberFormat="1" applyFont="1" applyFill="1" applyBorder="1" applyAlignment="1">
      <alignment horizontal="center" vertical="center"/>
    </xf>
    <xf numFmtId="165" fontId="46" fillId="25" borderId="108" xfId="0" quotePrefix="1" applyNumberFormat="1" applyFont="1" applyFill="1" applyBorder="1" applyAlignment="1">
      <alignment horizontal="center" vertical="center"/>
    </xf>
    <xf numFmtId="201" fontId="46" fillId="25" borderId="108" xfId="0" applyNumberFormat="1" applyFont="1" applyFill="1" applyBorder="1" applyAlignment="1">
      <alignment horizontal="center" vertical="center"/>
    </xf>
    <xf numFmtId="1" fontId="46" fillId="25" borderId="108" xfId="0" applyNumberFormat="1" applyFont="1" applyFill="1" applyBorder="1" applyAlignment="1">
      <alignment horizontal="center" vertical="center"/>
    </xf>
    <xf numFmtId="2" fontId="46" fillId="25" borderId="108" xfId="0" applyNumberFormat="1" applyFont="1" applyFill="1" applyBorder="1" applyAlignment="1">
      <alignment horizontal="center" vertical="center"/>
    </xf>
    <xf numFmtId="200" fontId="46" fillId="25" borderId="108" xfId="0" applyNumberFormat="1" applyFont="1" applyFill="1" applyBorder="1" applyAlignment="1">
      <alignment horizontal="right" vertical="center" indent="1"/>
    </xf>
    <xf numFmtId="4" fontId="46" fillId="25" borderId="108" xfId="0" applyNumberFormat="1" applyFont="1" applyFill="1" applyBorder="1" applyAlignment="1">
      <alignment horizontal="right" vertical="center" indent="1"/>
    </xf>
    <xf numFmtId="4" fontId="46" fillId="25" borderId="132" xfId="0" applyNumberFormat="1" applyFont="1" applyFill="1" applyBorder="1" applyAlignment="1">
      <alignment horizontal="right" vertical="center" indent="1"/>
    </xf>
    <xf numFmtId="165" fontId="46" fillId="25" borderId="163" xfId="0" applyNumberFormat="1" applyFont="1" applyFill="1" applyBorder="1" applyAlignment="1">
      <alignment horizontal="center" vertical="center"/>
    </xf>
    <xf numFmtId="40" fontId="84" fillId="4" borderId="0" xfId="0" applyNumberFormat="1" applyFont="1" applyFill="1" applyBorder="1" applyAlignment="1">
      <alignment horizontal="right"/>
    </xf>
    <xf numFmtId="165" fontId="84" fillId="0" borderId="1" xfId="0" applyNumberFormat="1" applyFont="1" applyBorder="1" applyAlignment="1">
      <alignment horizontal="center"/>
    </xf>
    <xf numFmtId="40" fontId="84" fillId="0" borderId="1" xfId="0" applyNumberFormat="1" applyFont="1" applyBorder="1" applyAlignment="1">
      <alignment horizontal="left"/>
    </xf>
    <xf numFmtId="40" fontId="84" fillId="0" borderId="1" xfId="0" applyNumberFormat="1" applyFont="1" applyBorder="1" applyAlignment="1">
      <alignment horizontal="right"/>
    </xf>
    <xf numFmtId="40" fontId="84" fillId="0" borderId="0" xfId="0" applyNumberFormat="1" applyFont="1" applyAlignment="1">
      <alignment horizontal="right"/>
    </xf>
    <xf numFmtId="40" fontId="73" fillId="4" borderId="0" xfId="0" quotePrefix="1" applyNumberFormat="1" applyFont="1" applyFill="1" applyBorder="1" applyAlignment="1">
      <alignment horizontal="right" vertical="center"/>
    </xf>
    <xf numFmtId="40" fontId="84" fillId="0" borderId="0" xfId="0" applyNumberFormat="1" applyFont="1" applyAlignment="1">
      <alignment horizontal="right" vertical="center"/>
    </xf>
    <xf numFmtId="40" fontId="118" fillId="4" borderId="0" xfId="0" applyNumberFormat="1" applyFont="1" applyFill="1" applyBorder="1" applyAlignment="1">
      <alignment horizontal="right" vertical="center"/>
    </xf>
    <xf numFmtId="165" fontId="118" fillId="13" borderId="9" xfId="0" applyNumberFormat="1" applyFont="1" applyFill="1" applyBorder="1" applyAlignment="1">
      <alignment horizontal="center" vertical="center"/>
    </xf>
    <xf numFmtId="40" fontId="118" fillId="13" borderId="9" xfId="0" applyNumberFormat="1" applyFont="1" applyFill="1" applyBorder="1" applyAlignment="1">
      <alignment horizontal="left" vertical="center"/>
    </xf>
    <xf numFmtId="38" fontId="118" fillId="13" borderId="9" xfId="0" applyNumberFormat="1" applyFont="1" applyFill="1" applyBorder="1" applyAlignment="1">
      <alignment horizontal="right" vertical="center"/>
    </xf>
    <xf numFmtId="166" fontId="118" fillId="13" borderId="9" xfId="0" applyNumberFormat="1" applyFont="1" applyFill="1" applyBorder="1" applyAlignment="1">
      <alignment horizontal="right" vertical="center"/>
    </xf>
    <xf numFmtId="40" fontId="118" fillId="0" borderId="0" xfId="0" applyNumberFormat="1" applyFont="1" applyAlignment="1">
      <alignment horizontal="right"/>
    </xf>
    <xf numFmtId="165" fontId="118" fillId="16" borderId="9" xfId="0" applyNumberFormat="1" applyFont="1" applyFill="1" applyBorder="1" applyAlignment="1">
      <alignment horizontal="center" vertical="center"/>
    </xf>
    <xf numFmtId="38" fontId="118" fillId="16" borderId="9" xfId="0" applyNumberFormat="1" applyFont="1" applyFill="1" applyBorder="1" applyAlignment="1">
      <alignment horizontal="right" vertical="center"/>
    </xf>
    <xf numFmtId="166" fontId="118" fillId="16" borderId="9" xfId="0" applyNumberFormat="1" applyFont="1" applyFill="1" applyBorder="1" applyAlignment="1">
      <alignment horizontal="right" vertical="center"/>
    </xf>
    <xf numFmtId="165" fontId="118" fillId="7" borderId="9" xfId="0" applyNumberFormat="1" applyFont="1" applyFill="1" applyBorder="1" applyAlignment="1">
      <alignment horizontal="center" vertical="center"/>
    </xf>
    <xf numFmtId="40" fontId="118" fillId="7" borderId="9" xfId="0" applyNumberFormat="1" applyFont="1" applyFill="1" applyBorder="1" applyAlignment="1">
      <alignment horizontal="left" vertical="center"/>
    </xf>
    <xf numFmtId="38" fontId="118" fillId="7" borderId="9" xfId="0" applyNumberFormat="1" applyFont="1" applyFill="1" applyBorder="1" applyAlignment="1">
      <alignment horizontal="right" vertical="center"/>
    </xf>
    <xf numFmtId="166" fontId="118" fillId="7" borderId="9" xfId="0" applyNumberFormat="1" applyFont="1" applyFill="1" applyBorder="1" applyAlignment="1">
      <alignment horizontal="right" vertical="center"/>
    </xf>
    <xf numFmtId="165" fontId="118" fillId="38" borderId="10" xfId="0" applyNumberFormat="1" applyFont="1" applyFill="1" applyBorder="1" applyAlignment="1">
      <alignment horizontal="center" vertical="center"/>
    </xf>
    <xf numFmtId="38" fontId="118" fillId="38" borderId="9" xfId="0" applyNumberFormat="1" applyFont="1" applyFill="1" applyBorder="1" applyAlignment="1">
      <alignment horizontal="right" vertical="center"/>
    </xf>
    <xf numFmtId="166" fontId="118" fillId="38" borderId="10" xfId="0" applyNumberFormat="1" applyFont="1" applyFill="1" applyBorder="1" applyAlignment="1">
      <alignment horizontal="right" vertical="center"/>
    </xf>
    <xf numFmtId="40" fontId="59" fillId="4" borderId="0" xfId="0" applyNumberFormat="1" applyFont="1" applyFill="1" applyBorder="1" applyAlignment="1">
      <alignment horizontal="right" vertical="center"/>
    </xf>
    <xf numFmtId="40" fontId="59" fillId="0" borderId="0" xfId="0" applyNumberFormat="1" applyFont="1" applyAlignment="1">
      <alignment horizontal="right"/>
    </xf>
    <xf numFmtId="165" fontId="59" fillId="5" borderId="8" xfId="0" applyNumberFormat="1" applyFont="1" applyFill="1" applyBorder="1" applyAlignment="1" applyProtection="1">
      <alignment horizontal="center" vertical="center"/>
      <protection locked="0"/>
    </xf>
    <xf numFmtId="40" fontId="59" fillId="5" borderId="7" xfId="0" applyNumberFormat="1" applyFont="1" applyFill="1" applyBorder="1" applyAlignment="1" applyProtection="1">
      <alignment horizontal="left" vertical="center" indent="1"/>
      <protection locked="0"/>
    </xf>
    <xf numFmtId="40" fontId="84" fillId="5" borderId="7" xfId="0" applyNumberFormat="1" applyFont="1" applyFill="1" applyBorder="1" applyAlignment="1" applyProtection="1">
      <alignment horizontal="right" vertical="center" indent="1"/>
      <protection locked="0"/>
    </xf>
    <xf numFmtId="40" fontId="119" fillId="0" borderId="0" xfId="0" applyNumberFormat="1" applyFont="1" applyAlignment="1">
      <alignment horizontal="right"/>
    </xf>
    <xf numFmtId="14" fontId="119" fillId="0" borderId="0" xfId="0" applyNumberFormat="1" applyFont="1" applyAlignment="1">
      <alignment horizontal="right"/>
    </xf>
    <xf numFmtId="40" fontId="84" fillId="4" borderId="3" xfId="0" applyNumberFormat="1" applyFont="1" applyFill="1" applyBorder="1" applyAlignment="1" applyProtection="1">
      <alignment horizontal="right" vertical="center" indent="1"/>
      <protection locked="0"/>
    </xf>
    <xf numFmtId="165" fontId="59" fillId="5" borderId="6" xfId="0" applyNumberFormat="1" applyFont="1" applyFill="1" applyBorder="1" applyAlignment="1" applyProtection="1">
      <alignment horizontal="center" vertical="center"/>
      <protection locked="0"/>
    </xf>
    <xf numFmtId="40" fontId="59" fillId="5" borderId="5" xfId="0" applyNumberFormat="1" applyFont="1" applyFill="1" applyBorder="1" applyAlignment="1" applyProtection="1">
      <alignment horizontal="left" vertical="center" indent="1"/>
      <protection locked="0"/>
    </xf>
    <xf numFmtId="40" fontId="84" fillId="5" borderId="5" xfId="0" applyNumberFormat="1" applyFont="1" applyFill="1" applyBorder="1" applyAlignment="1" applyProtection="1">
      <alignment horizontal="right" vertical="center" indent="1"/>
      <protection locked="0"/>
    </xf>
    <xf numFmtId="165" fontId="59" fillId="0" borderId="0" xfId="0" applyNumberFormat="1" applyFont="1" applyAlignment="1" applyProtection="1">
      <alignment horizontal="center" vertical="center"/>
      <protection locked="0"/>
    </xf>
    <xf numFmtId="40" fontId="59" fillId="0" borderId="1" xfId="0" applyNumberFormat="1" applyFont="1" applyBorder="1" applyAlignment="1" applyProtection="1">
      <alignment horizontal="left" vertical="center" indent="1"/>
      <protection locked="0"/>
    </xf>
    <xf numFmtId="40" fontId="84" fillId="0" borderId="1" xfId="0" applyNumberFormat="1" applyFont="1" applyBorder="1" applyAlignment="1" applyProtection="1">
      <alignment horizontal="right" vertical="center" indent="1"/>
      <protection locked="0"/>
    </xf>
    <xf numFmtId="40" fontId="84" fillId="0" borderId="4" xfId="0" applyNumberFormat="1" applyFont="1" applyBorder="1" applyAlignment="1" applyProtection="1">
      <alignment horizontal="right" vertical="center" indent="1"/>
      <protection locked="0"/>
    </xf>
    <xf numFmtId="165" fontId="15" fillId="28" borderId="9" xfId="0" applyNumberFormat="1" applyFont="1" applyFill="1" applyBorder="1" applyAlignment="1">
      <alignment horizontal="center" vertical="center"/>
    </xf>
    <xf numFmtId="38" fontId="15" fillId="28" borderId="9" xfId="0" applyNumberFormat="1" applyFont="1" applyFill="1" applyBorder="1" applyAlignment="1">
      <alignment horizontal="right" vertical="center"/>
    </xf>
    <xf numFmtId="165" fontId="15" fillId="32" borderId="18" xfId="0" quotePrefix="1" applyNumberFormat="1" applyFont="1" applyFill="1" applyBorder="1" applyAlignment="1">
      <alignment horizontal="center" vertical="center"/>
    </xf>
    <xf numFmtId="40" fontId="15" fillId="32" borderId="16" xfId="0" quotePrefix="1" applyNumberFormat="1" applyFont="1" applyFill="1" applyBorder="1" applyAlignment="1">
      <alignment horizontal="center" vertical="center"/>
    </xf>
    <xf numFmtId="37" fontId="15" fillId="32" borderId="16" xfId="0" applyNumberFormat="1" applyFont="1" applyFill="1" applyBorder="1" applyAlignment="1">
      <alignment horizontal="center" vertical="center"/>
    </xf>
    <xf numFmtId="38" fontId="118" fillId="32" borderId="16" xfId="0" applyNumberFormat="1" applyFont="1" applyFill="1" applyBorder="1" applyAlignment="1">
      <alignment horizontal="right" vertical="center"/>
    </xf>
    <xf numFmtId="165" fontId="59" fillId="13" borderId="0" xfId="0" applyNumberFormat="1" applyFont="1" applyFill="1" applyBorder="1" applyAlignment="1">
      <alignment horizontal="center" vertical="center"/>
    </xf>
    <xf numFmtId="40" fontId="59" fillId="13" borderId="1" xfId="0" applyNumberFormat="1" applyFont="1" applyFill="1" applyBorder="1" applyAlignment="1">
      <alignment horizontal="left" vertical="center"/>
    </xf>
    <xf numFmtId="166" fontId="59" fillId="13" borderId="1" xfId="0" applyNumberFormat="1" applyFont="1" applyFill="1" applyBorder="1" applyAlignment="1">
      <alignment horizontal="right" vertical="center"/>
    </xf>
    <xf numFmtId="166" fontId="59" fillId="13" borderId="0" xfId="0" applyNumberFormat="1" applyFont="1" applyFill="1" applyBorder="1" applyAlignment="1">
      <alignment horizontal="right" vertical="center"/>
    </xf>
    <xf numFmtId="165" fontId="118" fillId="25" borderId="9" xfId="0" applyNumberFormat="1" applyFont="1" applyFill="1" applyBorder="1" applyAlignment="1">
      <alignment horizontal="center" vertical="center"/>
    </xf>
    <xf numFmtId="40" fontId="118" fillId="25" borderId="9" xfId="0" applyNumberFormat="1" applyFont="1" applyFill="1" applyBorder="1" applyAlignment="1">
      <alignment horizontal="left" vertical="center"/>
    </xf>
    <xf numFmtId="38" fontId="118" fillId="25" borderId="9" xfId="0" applyNumberFormat="1" applyFont="1" applyFill="1" applyBorder="1" applyAlignment="1">
      <alignment horizontal="right" vertical="center"/>
    </xf>
    <xf numFmtId="166" fontId="118" fillId="25" borderId="9" xfId="0" applyNumberFormat="1" applyFont="1" applyFill="1" applyBorder="1" applyAlignment="1">
      <alignment horizontal="right" vertical="center"/>
    </xf>
    <xf numFmtId="40" fontId="15" fillId="28" borderId="9" xfId="0" applyNumberFormat="1" applyFont="1" applyFill="1" applyBorder="1" applyAlignment="1">
      <alignment horizontal="center" vertical="center"/>
    </xf>
    <xf numFmtId="40" fontId="118" fillId="16" borderId="9" xfId="0" applyNumberFormat="1" applyFont="1" applyFill="1" applyBorder="1" applyAlignment="1">
      <alignment horizontal="center" vertical="center"/>
    </xf>
    <xf numFmtId="40" fontId="118" fillId="38" borderId="115" xfId="0" applyNumberFormat="1" applyFont="1" applyFill="1" applyBorder="1" applyAlignment="1">
      <alignment horizontal="center" vertical="center"/>
    </xf>
    <xf numFmtId="165" fontId="80" fillId="0" borderId="9" xfId="0" applyNumberFormat="1" applyFont="1" applyFill="1" applyBorder="1" applyAlignment="1">
      <alignment horizontal="center" vertical="center"/>
    </xf>
    <xf numFmtId="165" fontId="80" fillId="0" borderId="10" xfId="0" applyNumberFormat="1" applyFont="1" applyFill="1" applyBorder="1" applyAlignment="1">
      <alignment horizontal="center" vertical="center"/>
    </xf>
    <xf numFmtId="40" fontId="80" fillId="0" borderId="10" xfId="0" applyNumberFormat="1" applyFont="1" applyFill="1" applyBorder="1" applyAlignment="1">
      <alignment horizontal="left" vertical="center"/>
    </xf>
    <xf numFmtId="40" fontId="81" fillId="0" borderId="0" xfId="0" applyNumberFormat="1" applyFont="1" applyFill="1" applyAlignment="1">
      <alignment horizontal="right"/>
    </xf>
    <xf numFmtId="164" fontId="121" fillId="4" borderId="0" xfId="46" applyNumberFormat="1" applyFont="1" applyFill="1" applyBorder="1" applyAlignment="1">
      <alignment vertical="center"/>
    </xf>
    <xf numFmtId="164" fontId="41" fillId="4" borderId="0" xfId="46" applyNumberFormat="1" applyFont="1" applyFill="1" applyBorder="1" applyAlignment="1">
      <alignment horizontal="center" vertical="center"/>
    </xf>
    <xf numFmtId="4" fontId="107" fillId="4" borderId="281" xfId="46" applyNumberFormat="1" applyFont="1" applyFill="1" applyBorder="1" applyAlignment="1">
      <alignment horizontal="center" vertical="center"/>
    </xf>
    <xf numFmtId="4" fontId="27" fillId="4" borderId="281" xfId="46" applyNumberFormat="1" applyFont="1" applyFill="1" applyBorder="1" applyAlignment="1">
      <alignment horizontal="right" vertical="center"/>
    </xf>
    <xf numFmtId="4" fontId="120" fillId="4" borderId="281" xfId="46" applyNumberFormat="1" applyFont="1" applyFill="1" applyBorder="1" applyAlignment="1">
      <alignment horizontal="right" vertical="center"/>
    </xf>
    <xf numFmtId="9" fontId="43" fillId="4" borderId="0" xfId="46" applyNumberFormat="1" applyFont="1" applyFill="1" applyBorder="1" applyAlignment="1">
      <alignment horizontal="center" vertical="center"/>
    </xf>
    <xf numFmtId="4" fontId="30" fillId="4" borderId="0" xfId="46" applyNumberFormat="1" applyFont="1" applyFill="1" applyBorder="1" applyAlignment="1">
      <alignment horizontal="right" vertical="center"/>
    </xf>
    <xf numFmtId="164" fontId="123" fillId="4" borderId="0" xfId="0" applyFont="1" applyFill="1" applyBorder="1" applyAlignment="1">
      <alignment horizontal="left" vertical="center"/>
    </xf>
    <xf numFmtId="164" fontId="44" fillId="4" borderId="0" xfId="46" applyNumberFormat="1" applyFont="1" applyFill="1" applyBorder="1" applyAlignment="1">
      <alignment vertical="center"/>
    </xf>
    <xf numFmtId="176" fontId="76" fillId="38" borderId="173" xfId="46" applyNumberFormat="1" applyFont="1" applyFill="1" applyBorder="1" applyAlignment="1">
      <alignment horizontal="center" vertical="center"/>
    </xf>
    <xf numFmtId="176" fontId="76" fillId="38" borderId="2" xfId="46" applyNumberFormat="1" applyFont="1" applyFill="1" applyBorder="1" applyAlignment="1">
      <alignment horizontal="center" vertical="center"/>
    </xf>
    <xf numFmtId="165" fontId="78" fillId="38" borderId="279" xfId="46" applyNumberFormat="1" applyFont="1" applyFill="1" applyBorder="1" applyAlignment="1">
      <alignment horizontal="center" vertical="center"/>
    </xf>
    <xf numFmtId="165" fontId="125" fillId="38" borderId="279" xfId="46" applyNumberFormat="1" applyFont="1" applyFill="1" applyBorder="1" applyAlignment="1">
      <alignment horizontal="center" vertical="center"/>
    </xf>
    <xf numFmtId="164" fontId="44" fillId="48" borderId="0" xfId="46" applyNumberFormat="1" applyFont="1" applyFill="1" applyBorder="1" applyAlignment="1">
      <alignment vertical="center"/>
    </xf>
    <xf numFmtId="164" fontId="107" fillId="48" borderId="52" xfId="46" applyNumberFormat="1" applyFont="1" applyFill="1" applyBorder="1" applyAlignment="1">
      <alignment horizontal="right" vertical="center"/>
    </xf>
    <xf numFmtId="4" fontId="43" fillId="48" borderId="52" xfId="46" applyNumberFormat="1" applyFont="1" applyFill="1" applyBorder="1" applyAlignment="1">
      <alignment horizontal="center" vertical="center"/>
    </xf>
    <xf numFmtId="164" fontId="122" fillId="48" borderId="52" xfId="0" applyFont="1" applyFill="1" applyBorder="1" applyAlignment="1">
      <alignment horizontal="right" vertical="center"/>
    </xf>
    <xf numFmtId="165" fontId="43" fillId="48" borderId="52" xfId="46" applyNumberFormat="1" applyFont="1" applyFill="1" applyBorder="1" applyAlignment="1">
      <alignment horizontal="center" vertical="center"/>
    </xf>
    <xf numFmtId="1" fontId="43" fillId="48" borderId="52" xfId="46" applyNumberFormat="1" applyFont="1" applyFill="1" applyBorder="1" applyAlignment="1">
      <alignment horizontal="center" vertical="center"/>
    </xf>
    <xf numFmtId="9" fontId="43" fillId="48" borderId="52" xfId="46" applyNumberFormat="1" applyFont="1" applyFill="1" applyBorder="1" applyAlignment="1">
      <alignment horizontal="center" vertical="center"/>
    </xf>
    <xf numFmtId="165" fontId="43" fillId="48" borderId="279" xfId="46" applyNumberFormat="1" applyFont="1" applyFill="1" applyBorder="1" applyAlignment="1">
      <alignment horizontal="center" vertical="center"/>
    </xf>
    <xf numFmtId="164" fontId="123" fillId="48" borderId="0" xfId="0" applyFont="1" applyFill="1" applyBorder="1" applyAlignment="1">
      <alignment horizontal="left" vertical="center"/>
    </xf>
    <xf numFmtId="164" fontId="107" fillId="48" borderId="70" xfId="46" applyNumberFormat="1" applyFont="1" applyFill="1" applyBorder="1" applyAlignment="1">
      <alignment horizontal="right" vertical="center"/>
    </xf>
    <xf numFmtId="4" fontId="43" fillId="48" borderId="70" xfId="46" applyNumberFormat="1" applyFont="1" applyFill="1" applyBorder="1" applyAlignment="1">
      <alignment horizontal="left" vertical="center"/>
    </xf>
    <xf numFmtId="164" fontId="122" fillId="48" borderId="70" xfId="0" applyFont="1" applyFill="1" applyBorder="1" applyAlignment="1">
      <alignment horizontal="right" vertical="center"/>
    </xf>
    <xf numFmtId="165" fontId="44" fillId="48" borderId="70" xfId="46" applyNumberFormat="1" applyFont="1" applyFill="1" applyBorder="1" applyAlignment="1">
      <alignment horizontal="center" vertical="center"/>
    </xf>
    <xf numFmtId="165" fontId="43" fillId="48" borderId="70" xfId="46" applyNumberFormat="1" applyFont="1" applyFill="1" applyBorder="1" applyAlignment="1">
      <alignment horizontal="left" vertical="center"/>
    </xf>
    <xf numFmtId="1" fontId="43" fillId="48" borderId="70" xfId="46" applyNumberFormat="1" applyFont="1" applyFill="1" applyBorder="1" applyAlignment="1">
      <alignment horizontal="center" vertical="center"/>
    </xf>
    <xf numFmtId="9" fontId="43" fillId="48" borderId="70" xfId="46" applyNumberFormat="1" applyFont="1" applyFill="1" applyBorder="1" applyAlignment="1">
      <alignment horizontal="center" vertical="center"/>
    </xf>
    <xf numFmtId="1" fontId="44" fillId="48" borderId="0" xfId="46" applyNumberFormat="1" applyFont="1" applyFill="1" applyBorder="1" applyAlignment="1">
      <alignment vertical="center"/>
    </xf>
    <xf numFmtId="165" fontId="43" fillId="48" borderId="0" xfId="46" applyNumberFormat="1" applyFont="1" applyFill="1" applyBorder="1" applyAlignment="1">
      <alignment horizontal="center" vertical="center"/>
    </xf>
    <xf numFmtId="40" fontId="43" fillId="48" borderId="35" xfId="0" applyNumberFormat="1" applyFont="1" applyFill="1" applyBorder="1" applyAlignment="1">
      <alignment horizontal="center" vertical="center"/>
    </xf>
    <xf numFmtId="37" fontId="43" fillId="48" borderId="35" xfId="0" applyNumberFormat="1" applyFont="1" applyFill="1" applyBorder="1" applyAlignment="1">
      <alignment horizontal="center" vertical="center"/>
    </xf>
    <xf numFmtId="40" fontId="43" fillId="48" borderId="2" xfId="0" applyNumberFormat="1" applyFont="1" applyFill="1" applyBorder="1" applyAlignment="1">
      <alignment horizontal="center" vertical="center"/>
    </xf>
    <xf numFmtId="176" fontId="43" fillId="48" borderId="2" xfId="46" applyNumberFormat="1" applyFont="1" applyFill="1" applyBorder="1" applyAlignment="1">
      <alignment horizontal="center" vertical="center"/>
    </xf>
    <xf numFmtId="165" fontId="44" fillId="48" borderId="2" xfId="46" applyNumberFormat="1" applyFont="1" applyFill="1" applyBorder="1" applyAlignment="1">
      <alignment horizontal="center" vertical="center"/>
    </xf>
    <xf numFmtId="1" fontId="107" fillId="48" borderId="52" xfId="46" applyNumberFormat="1" applyFont="1" applyFill="1" applyBorder="1" applyAlignment="1">
      <alignment horizontal="center" vertical="center"/>
    </xf>
    <xf numFmtId="4" fontId="107" fillId="48" borderId="52" xfId="46" applyNumberFormat="1" applyFont="1" applyFill="1" applyBorder="1" applyAlignment="1">
      <alignment horizontal="center" vertical="center"/>
    </xf>
    <xf numFmtId="1" fontId="19" fillId="38" borderId="70" xfId="46" applyNumberFormat="1" applyFont="1" applyFill="1" applyBorder="1" applyAlignment="1">
      <alignment horizontal="center" vertical="center"/>
    </xf>
    <xf numFmtId="1" fontId="19" fillId="38" borderId="52" xfId="46" applyNumberFormat="1" applyFont="1" applyFill="1" applyBorder="1" applyAlignment="1">
      <alignment horizontal="center" vertical="center"/>
    </xf>
    <xf numFmtId="1" fontId="22" fillId="38" borderId="52" xfId="46" applyNumberFormat="1" applyFont="1" applyFill="1" applyBorder="1" applyAlignment="1">
      <alignment horizontal="center" vertical="center"/>
    </xf>
    <xf numFmtId="176" fontId="76" fillId="38" borderId="32" xfId="46" applyNumberFormat="1" applyFont="1" applyFill="1" applyBorder="1" applyAlignment="1">
      <alignment horizontal="center" vertical="center"/>
    </xf>
    <xf numFmtId="176" fontId="76" fillId="38" borderId="23" xfId="46" applyNumberFormat="1" applyFont="1" applyFill="1" applyBorder="1" applyAlignment="1">
      <alignment horizontal="center" vertical="center"/>
    </xf>
    <xf numFmtId="2" fontId="19" fillId="38" borderId="70" xfId="46" applyNumberFormat="1" applyFont="1" applyFill="1" applyBorder="1" applyAlignment="1">
      <alignment horizontal="center" vertical="center"/>
    </xf>
    <xf numFmtId="165" fontId="78" fillId="38" borderId="52" xfId="46" applyNumberFormat="1" applyFont="1" applyFill="1" applyBorder="1" applyAlignment="1">
      <alignment horizontal="center" vertical="center"/>
    </xf>
    <xf numFmtId="165" fontId="125" fillId="38" borderId="52" xfId="46" applyNumberFormat="1" applyFont="1" applyFill="1" applyBorder="1" applyAlignment="1">
      <alignment horizontal="center" vertical="center"/>
    </xf>
    <xf numFmtId="176" fontId="43" fillId="48" borderId="33" xfId="46" applyNumberFormat="1" applyFont="1" applyFill="1" applyBorder="1" applyAlignment="1">
      <alignment horizontal="center" vertical="center"/>
    </xf>
    <xf numFmtId="164" fontId="123" fillId="48" borderId="1" xfId="0" applyFont="1" applyFill="1" applyBorder="1" applyAlignment="1">
      <alignment horizontal="center" vertical="center"/>
    </xf>
    <xf numFmtId="176" fontId="43" fillId="48" borderId="1" xfId="46" applyNumberFormat="1" applyFont="1" applyFill="1" applyBorder="1" applyAlignment="1">
      <alignment horizontal="center" vertical="center"/>
    </xf>
    <xf numFmtId="176" fontId="43" fillId="48" borderId="35" xfId="46" applyNumberFormat="1" applyFont="1" applyFill="1" applyBorder="1" applyAlignment="1">
      <alignment horizontal="center" vertical="center"/>
    </xf>
    <xf numFmtId="1" fontId="22" fillId="38" borderId="52" xfId="46" applyNumberFormat="1" applyFont="1" applyFill="1" applyBorder="1" applyAlignment="1">
      <alignment horizontal="left" vertical="center"/>
    </xf>
    <xf numFmtId="165" fontId="76" fillId="20" borderId="279" xfId="46" applyNumberFormat="1" applyFont="1" applyFill="1" applyBorder="1" applyAlignment="1">
      <alignment horizontal="center" vertical="center"/>
    </xf>
    <xf numFmtId="164" fontId="32" fillId="0" borderId="0" xfId="46" applyNumberFormat="1" applyFont="1" applyAlignment="1">
      <alignment vertical="center"/>
    </xf>
    <xf numFmtId="1" fontId="22" fillId="20" borderId="52" xfId="46" applyNumberFormat="1" applyFont="1" applyFill="1" applyBorder="1" applyAlignment="1">
      <alignment horizontal="center" vertical="center"/>
    </xf>
    <xf numFmtId="0" fontId="41" fillId="0" borderId="0" xfId="57" applyFont="1" applyAlignment="1">
      <alignment horizontal="center" vertical="center"/>
    </xf>
    <xf numFmtId="0" fontId="74" fillId="0" borderId="0" xfId="57" applyFont="1" applyAlignment="1">
      <alignment horizontal="center" vertical="center"/>
    </xf>
    <xf numFmtId="164" fontId="126" fillId="0" borderId="0" xfId="0" applyFont="1" applyFill="1" applyBorder="1" applyAlignment="1">
      <alignment horizontal="center" vertical="center"/>
    </xf>
    <xf numFmtId="196" fontId="121" fillId="0" borderId="32" xfId="52" applyNumberFormat="1" applyFont="1" applyFill="1" applyBorder="1" applyAlignment="1">
      <alignment horizontal="center" vertical="center"/>
    </xf>
    <xf numFmtId="196" fontId="121" fillId="0" borderId="72" xfId="52" applyNumberFormat="1" applyFont="1" applyFill="1" applyBorder="1" applyAlignment="1">
      <alignment horizontal="center" vertical="center"/>
    </xf>
    <xf numFmtId="196" fontId="43" fillId="0" borderId="283" xfId="52" applyNumberFormat="1" applyFont="1" applyFill="1" applyBorder="1" applyAlignment="1">
      <alignment horizontal="center" vertical="center"/>
    </xf>
    <xf numFmtId="0" fontId="5" fillId="0" borderId="0" xfId="58"/>
    <xf numFmtId="191" fontId="76" fillId="16" borderId="23" xfId="51" applyNumberFormat="1" applyFont="1" applyFill="1" applyBorder="1" applyAlignment="1">
      <alignment horizontal="center" vertical="center"/>
    </xf>
    <xf numFmtId="191" fontId="76" fillId="16" borderId="284" xfId="51" applyNumberFormat="1" applyFont="1" applyFill="1" applyBorder="1" applyAlignment="1">
      <alignment horizontal="center" vertical="center"/>
    </xf>
    <xf numFmtId="191" fontId="76" fillId="16" borderId="285" xfId="51" applyNumberFormat="1" applyFont="1" applyFill="1" applyBorder="1" applyAlignment="1">
      <alignment horizontal="center" vertical="center"/>
    </xf>
    <xf numFmtId="191" fontId="76" fillId="16" borderId="287" xfId="51" applyNumberFormat="1" applyFont="1" applyFill="1" applyBorder="1" applyAlignment="1">
      <alignment horizontal="center" vertical="center"/>
    </xf>
    <xf numFmtId="191" fontId="76" fillId="16" borderId="282" xfId="51" applyNumberFormat="1" applyFont="1" applyFill="1" applyBorder="1" applyAlignment="1">
      <alignment horizontal="center" vertical="center"/>
    </xf>
    <xf numFmtId="191" fontId="76" fillId="16" borderId="286" xfId="51" applyNumberFormat="1" applyFont="1" applyFill="1" applyBorder="1" applyAlignment="1">
      <alignment horizontal="center" vertical="center"/>
    </xf>
    <xf numFmtId="191" fontId="76" fillId="16" borderId="240" xfId="51" applyNumberFormat="1" applyFont="1" applyFill="1" applyBorder="1" applyAlignment="1">
      <alignment horizontal="center" vertical="center"/>
    </xf>
    <xf numFmtId="191" fontId="76" fillId="16" borderId="290" xfId="51" applyNumberFormat="1" applyFont="1" applyFill="1" applyBorder="1" applyAlignment="1">
      <alignment horizontal="center" vertical="center"/>
    </xf>
    <xf numFmtId="191" fontId="76" fillId="16" borderId="291" xfId="51" applyNumberFormat="1" applyFont="1" applyFill="1" applyBorder="1" applyAlignment="1">
      <alignment horizontal="center" vertical="center"/>
    </xf>
    <xf numFmtId="191" fontId="76" fillId="16" borderId="292" xfId="51" applyNumberFormat="1" applyFont="1" applyFill="1" applyBorder="1" applyAlignment="1">
      <alignment horizontal="center" vertical="center"/>
    </xf>
    <xf numFmtId="191" fontId="76" fillId="16" borderId="293" xfId="51" applyNumberFormat="1" applyFont="1" applyFill="1" applyBorder="1" applyAlignment="1">
      <alignment horizontal="center" vertical="center"/>
    </xf>
    <xf numFmtId="191" fontId="76" fillId="16" borderId="294" xfId="51" applyNumberFormat="1" applyFont="1" applyFill="1" applyBorder="1" applyAlignment="1">
      <alignment horizontal="center" vertical="center"/>
    </xf>
    <xf numFmtId="164" fontId="57" fillId="20" borderId="189" xfId="0" applyFont="1" applyFill="1" applyBorder="1" applyAlignment="1">
      <alignment horizontal="center" vertical="center"/>
    </xf>
    <xf numFmtId="1" fontId="57" fillId="20" borderId="187" xfId="0" applyNumberFormat="1" applyFont="1" applyFill="1" applyBorder="1" applyAlignment="1">
      <alignment horizontal="center" vertical="center"/>
    </xf>
    <xf numFmtId="1" fontId="57" fillId="20" borderId="189" xfId="0" applyNumberFormat="1" applyFont="1" applyFill="1" applyBorder="1" applyAlignment="1">
      <alignment horizontal="center" vertical="center"/>
    </xf>
    <xf numFmtId="1" fontId="57" fillId="20" borderId="288" xfId="0" applyNumberFormat="1" applyFont="1" applyFill="1" applyBorder="1" applyAlignment="1">
      <alignment horizontal="center" vertical="center"/>
    </xf>
    <xf numFmtId="1" fontId="57" fillId="20" borderId="184" xfId="0" applyNumberFormat="1" applyFont="1" applyFill="1" applyBorder="1" applyAlignment="1">
      <alignment horizontal="center" vertical="center"/>
    </xf>
    <xf numFmtId="164" fontId="57" fillId="0" borderId="0" xfId="0" applyFont="1" applyAlignment="1">
      <alignment horizontal="center" vertical="center"/>
    </xf>
    <xf numFmtId="191" fontId="76" fillId="16" borderId="32" xfId="51" applyNumberFormat="1" applyFont="1" applyFill="1" applyBorder="1" applyAlignment="1">
      <alignment horizontal="center" vertical="center"/>
    </xf>
    <xf numFmtId="191" fontId="76" fillId="16" borderId="295" xfId="51" applyNumberFormat="1" applyFont="1" applyFill="1" applyBorder="1" applyAlignment="1">
      <alignment horizontal="center" vertical="center"/>
    </xf>
    <xf numFmtId="0" fontId="4" fillId="0" borderId="0" xfId="59"/>
    <xf numFmtId="2" fontId="5" fillId="0" borderId="0" xfId="58" applyNumberFormat="1"/>
    <xf numFmtId="191" fontId="0" fillId="0" borderId="0" xfId="0" applyNumberFormat="1"/>
    <xf numFmtId="0" fontId="0" fillId="0" borderId="84" xfId="0" applyNumberFormat="1" applyBorder="1" applyAlignment="1">
      <alignment vertical="center"/>
    </xf>
    <xf numFmtId="0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0" fontId="0" fillId="0" borderId="0" xfId="0" applyNumberFormat="1" applyAlignment="1">
      <alignment horizontal="right" vertical="center"/>
    </xf>
    <xf numFmtId="191" fontId="0" fillId="0" borderId="84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0" fontId="0" fillId="30" borderId="298" xfId="0" applyNumberFormat="1" applyFill="1" applyBorder="1" applyAlignment="1">
      <alignment horizontal="right" vertical="center"/>
    </xf>
    <xf numFmtId="207" fontId="0" fillId="30" borderId="299" xfId="0" applyNumberFormat="1" applyFill="1" applyBorder="1" applyAlignment="1">
      <alignment horizontal="right" vertical="center"/>
    </xf>
    <xf numFmtId="191" fontId="0" fillId="30" borderId="300" xfId="0" applyNumberFormat="1" applyFill="1" applyBorder="1" applyAlignment="1">
      <alignment vertical="center"/>
    </xf>
    <xf numFmtId="0" fontId="0" fillId="30" borderId="301" xfId="0" applyNumberFormat="1" applyFill="1" applyBorder="1" applyAlignment="1">
      <alignment horizontal="right" vertical="center"/>
    </xf>
    <xf numFmtId="207" fontId="0" fillId="30" borderId="302" xfId="0" applyNumberFormat="1" applyFill="1" applyBorder="1" applyAlignment="1">
      <alignment horizontal="right" vertical="center"/>
    </xf>
    <xf numFmtId="191" fontId="0" fillId="30" borderId="303" xfId="0" applyNumberFormat="1" applyFill="1" applyBorder="1" applyAlignment="1">
      <alignment vertical="center"/>
    </xf>
    <xf numFmtId="0" fontId="0" fillId="30" borderId="296" xfId="0" applyNumberFormat="1" applyFill="1" applyBorder="1" applyAlignment="1">
      <alignment horizontal="right" vertical="center"/>
    </xf>
    <xf numFmtId="207" fontId="0" fillId="30" borderId="84" xfId="0" applyNumberFormat="1" applyFill="1" applyBorder="1" applyAlignment="1">
      <alignment horizontal="right" vertical="center"/>
    </xf>
    <xf numFmtId="191" fontId="0" fillId="30" borderId="297" xfId="0" applyNumberFormat="1" applyFill="1" applyBorder="1" applyAlignment="1">
      <alignment vertical="center"/>
    </xf>
    <xf numFmtId="0" fontId="0" fillId="30" borderId="304" xfId="0" applyNumberFormat="1" applyFill="1" applyBorder="1" applyAlignment="1">
      <alignment horizontal="right" vertical="center"/>
    </xf>
    <xf numFmtId="207" fontId="0" fillId="30" borderId="305" xfId="0" applyNumberFormat="1" applyFill="1" applyBorder="1" applyAlignment="1">
      <alignment horizontal="right" vertical="center"/>
    </xf>
    <xf numFmtId="191" fontId="0" fillId="30" borderId="306" xfId="0" applyNumberFormat="1" applyFill="1" applyBorder="1" applyAlignment="1">
      <alignment vertical="center"/>
    </xf>
    <xf numFmtId="0" fontId="0" fillId="30" borderId="307" xfId="0" applyNumberFormat="1" applyFill="1" applyBorder="1" applyAlignment="1">
      <alignment horizontal="right" vertical="center"/>
    </xf>
    <xf numFmtId="207" fontId="0" fillId="30" borderId="308" xfId="0" applyNumberFormat="1" applyFill="1" applyBorder="1" applyAlignment="1">
      <alignment horizontal="right" vertical="center"/>
    </xf>
    <xf numFmtId="191" fontId="0" fillId="30" borderId="309" xfId="0" applyNumberFormat="1" applyFill="1" applyBorder="1" applyAlignment="1">
      <alignment vertical="center"/>
    </xf>
    <xf numFmtId="187" fontId="4" fillId="0" borderId="0" xfId="59" applyNumberFormat="1"/>
    <xf numFmtId="196" fontId="43" fillId="0" borderId="0" xfId="52" applyNumberFormat="1" applyFont="1" applyFill="1" applyBorder="1" applyAlignment="1">
      <alignment horizontal="center" vertical="center"/>
    </xf>
    <xf numFmtId="0" fontId="46" fillId="0" borderId="0" xfId="0" applyNumberFormat="1" applyFont="1" applyAlignment="1">
      <alignment vertical="center"/>
    </xf>
    <xf numFmtId="191" fontId="46" fillId="0" borderId="0" xfId="0" applyNumberFormat="1" applyFont="1" applyAlignment="1">
      <alignment vertical="center"/>
    </xf>
    <xf numFmtId="0" fontId="46" fillId="0" borderId="0" xfId="0" applyNumberFormat="1" applyFont="1" applyBorder="1" applyAlignment="1">
      <alignment vertical="center"/>
    </xf>
    <xf numFmtId="0" fontId="46" fillId="0" borderId="0" xfId="0" applyNumberFormat="1" applyFont="1" applyAlignment="1">
      <alignment horizontal="right" vertical="center"/>
    </xf>
    <xf numFmtId="1" fontId="19" fillId="38" borderId="52" xfId="46" applyNumberFormat="1" applyFont="1" applyFill="1" applyBorder="1" applyAlignment="1">
      <alignment horizontal="left" vertical="center"/>
    </xf>
    <xf numFmtId="1" fontId="19" fillId="20" borderId="52" xfId="46" applyNumberFormat="1" applyFont="1" applyFill="1" applyBorder="1" applyAlignment="1">
      <alignment horizontal="center" vertical="center"/>
    </xf>
    <xf numFmtId="176" fontId="78" fillId="38" borderId="32" xfId="46" applyNumberFormat="1" applyFont="1" applyFill="1" applyBorder="1" applyAlignment="1">
      <alignment horizontal="center" vertical="center"/>
    </xf>
    <xf numFmtId="176" fontId="78" fillId="38" borderId="23" xfId="46" applyNumberFormat="1" applyFont="1" applyFill="1" applyBorder="1" applyAlignment="1">
      <alignment horizontal="center" vertical="center"/>
    </xf>
    <xf numFmtId="1" fontId="69" fillId="20" borderId="52" xfId="46" applyNumberFormat="1" applyFont="1" applyFill="1" applyBorder="1" applyAlignment="1">
      <alignment horizontal="center" vertical="center"/>
    </xf>
    <xf numFmtId="1" fontId="22" fillId="38" borderId="70" xfId="46" applyNumberFormat="1" applyFont="1" applyFill="1" applyBorder="1" applyAlignment="1">
      <alignment horizontal="center" vertical="center"/>
    </xf>
    <xf numFmtId="40" fontId="39" fillId="0" borderId="32" xfId="0" applyNumberFormat="1" applyFont="1" applyFill="1" applyBorder="1" applyAlignment="1">
      <alignment vertical="center"/>
    </xf>
    <xf numFmtId="40" fontId="29" fillId="12" borderId="33" xfId="2" applyNumberFormat="1" applyFont="1" applyFill="1" applyBorder="1" applyAlignment="1">
      <alignment vertical="center"/>
    </xf>
    <xf numFmtId="40" fontId="35" fillId="0" borderId="72" xfId="1" applyNumberFormat="1" applyFont="1" applyFill="1" applyBorder="1" applyAlignment="1">
      <alignment vertical="center"/>
    </xf>
    <xf numFmtId="40" fontId="35" fillId="0" borderId="33" xfId="1" applyNumberFormat="1" applyFont="1" applyFill="1" applyBorder="1" applyAlignment="1">
      <alignment vertical="center"/>
    </xf>
    <xf numFmtId="40" fontId="17" fillId="0" borderId="0" xfId="0" applyNumberFormat="1" applyFont="1" applyFill="1" applyBorder="1" applyAlignment="1"/>
    <xf numFmtId="40" fontId="26" fillId="4" borderId="0" xfId="0" quotePrefix="1" applyNumberFormat="1" applyFont="1" applyFill="1" applyBorder="1" applyAlignment="1">
      <alignment vertical="center"/>
    </xf>
    <xf numFmtId="40" fontId="128" fillId="0" borderId="0" xfId="0" applyNumberFormat="1" applyFont="1" applyFill="1" applyBorder="1" applyAlignment="1">
      <alignment horizontal="right" vertical="center"/>
    </xf>
    <xf numFmtId="165" fontId="80" fillId="40" borderId="315" xfId="0" applyNumberFormat="1" applyFont="1" applyFill="1" applyBorder="1" applyAlignment="1">
      <alignment horizontal="center" vertical="center"/>
    </xf>
    <xf numFmtId="40" fontId="80" fillId="40" borderId="315" xfId="0" applyNumberFormat="1" applyFont="1" applyFill="1" applyBorder="1" applyAlignment="1">
      <alignment horizontal="left" vertical="center"/>
    </xf>
    <xf numFmtId="165" fontId="80" fillId="16" borderId="316" xfId="0" applyNumberFormat="1" applyFont="1" applyFill="1" applyBorder="1" applyAlignment="1">
      <alignment horizontal="center" vertical="center"/>
    </xf>
    <xf numFmtId="0" fontId="127" fillId="0" borderId="310" xfId="0" applyNumberFormat="1" applyFont="1" applyBorder="1" applyAlignment="1">
      <alignment vertical="center"/>
    </xf>
    <xf numFmtId="40" fontId="39" fillId="0" borderId="32" xfId="0" applyNumberFormat="1" applyFont="1" applyFill="1" applyBorder="1" applyAlignment="1">
      <alignment horizontal="center" vertical="center"/>
    </xf>
    <xf numFmtId="164" fontId="124" fillId="48" borderId="70" xfId="0" applyFont="1" applyFill="1" applyBorder="1" applyAlignment="1">
      <alignment horizontal="center" vertical="center"/>
    </xf>
    <xf numFmtId="40" fontId="41" fillId="11" borderId="52" xfId="0" applyNumberFormat="1" applyFont="1" applyFill="1" applyBorder="1" applyAlignment="1">
      <alignment horizontal="center" vertical="center"/>
    </xf>
    <xf numFmtId="164" fontId="28" fillId="8" borderId="0" xfId="0" applyNumberFormat="1" applyFont="1" applyFill="1" applyBorder="1" applyAlignment="1">
      <alignment horizontal="center" vertical="center"/>
    </xf>
    <xf numFmtId="209" fontId="28" fillId="8" borderId="0" xfId="0" applyNumberFormat="1" applyFont="1" applyFill="1" applyBorder="1" applyAlignment="1">
      <alignment horizontal="center" vertical="center"/>
    </xf>
    <xf numFmtId="210" fontId="28" fillId="8" borderId="0" xfId="0" applyNumberFormat="1" applyFont="1" applyFill="1" applyBorder="1" applyAlignment="1">
      <alignment horizontal="center" vertical="center"/>
    </xf>
    <xf numFmtId="211" fontId="28" fillId="8" borderId="0" xfId="0" applyNumberFormat="1" applyFont="1" applyFill="1" applyBorder="1" applyAlignment="1">
      <alignment horizontal="center" vertical="center"/>
    </xf>
    <xf numFmtId="212" fontId="28" fillId="8" borderId="0" xfId="0" applyNumberFormat="1" applyFont="1" applyFill="1" applyBorder="1" applyAlignment="1">
      <alignment horizontal="center" vertical="center"/>
    </xf>
    <xf numFmtId="213" fontId="28" fillId="8" borderId="0" xfId="0" applyNumberFormat="1" applyFont="1" applyFill="1" applyBorder="1" applyAlignment="1">
      <alignment horizontal="center" vertical="center"/>
    </xf>
    <xf numFmtId="40" fontId="28" fillId="8" borderId="0" xfId="0" applyNumberFormat="1" applyFont="1" applyFill="1" applyBorder="1" applyAlignment="1">
      <alignment horizontal="center" vertical="center"/>
    </xf>
    <xf numFmtId="214" fontId="28" fillId="8" borderId="0" xfId="0" applyNumberFormat="1" applyFont="1" applyFill="1" applyBorder="1" applyAlignment="1">
      <alignment horizontal="center" vertical="center"/>
    </xf>
    <xf numFmtId="215" fontId="28" fillId="8" borderId="0" xfId="0" applyNumberFormat="1" applyFont="1" applyFill="1" applyBorder="1" applyAlignment="1">
      <alignment horizontal="center" vertical="center"/>
    </xf>
    <xf numFmtId="218" fontId="28" fillId="8" borderId="0" xfId="0" applyNumberFormat="1" applyFont="1" applyFill="1" applyBorder="1" applyAlignment="1">
      <alignment horizontal="center" vertical="center"/>
    </xf>
    <xf numFmtId="219" fontId="28" fillId="8" borderId="0" xfId="0" applyNumberFormat="1" applyFont="1" applyFill="1" applyBorder="1" applyAlignment="1">
      <alignment horizontal="center" vertical="center"/>
    </xf>
    <xf numFmtId="220" fontId="28" fillId="8" borderId="0" xfId="0" applyNumberFormat="1" applyFont="1" applyFill="1" applyBorder="1" applyAlignment="1">
      <alignment horizontal="center" vertical="center"/>
    </xf>
    <xf numFmtId="0" fontId="129" fillId="0" borderId="318" xfId="0" applyNumberFormat="1" applyFont="1" applyBorder="1" applyAlignment="1">
      <alignment vertical="center"/>
    </xf>
    <xf numFmtId="0" fontId="129" fillId="0" borderId="319" xfId="0" applyNumberFormat="1" applyFont="1" applyBorder="1" applyAlignment="1">
      <alignment vertical="center"/>
    </xf>
    <xf numFmtId="191" fontId="129" fillId="0" borderId="319" xfId="0" applyNumberFormat="1" applyFont="1" applyBorder="1" applyAlignment="1">
      <alignment vertical="center"/>
    </xf>
    <xf numFmtId="40" fontId="29" fillId="12" borderId="2" xfId="2" applyNumberFormat="1" applyFont="1" applyFill="1" applyBorder="1" applyAlignment="1">
      <alignment horizontal="center" vertical="center"/>
    </xf>
    <xf numFmtId="40" fontId="29" fillId="12" borderId="33" xfId="2" applyNumberFormat="1" applyFont="1" applyFill="1" applyBorder="1" applyAlignment="1">
      <alignment horizontal="center" vertical="center"/>
    </xf>
    <xf numFmtId="38" fontId="26" fillId="8" borderId="317" xfId="0" applyNumberFormat="1" applyFont="1" applyFill="1" applyBorder="1" applyAlignment="1">
      <alignment horizontal="center" vertical="center"/>
    </xf>
    <xf numFmtId="38" fontId="80" fillId="0" borderId="9" xfId="0" applyNumberFormat="1" applyFont="1" applyFill="1" applyBorder="1" applyAlignment="1">
      <alignment horizontal="center" vertical="center"/>
    </xf>
    <xf numFmtId="166" fontId="80" fillId="0" borderId="9" xfId="0" applyNumberFormat="1" applyFont="1" applyFill="1" applyBorder="1" applyAlignment="1">
      <alignment horizontal="center" vertical="center"/>
    </xf>
    <xf numFmtId="38" fontId="80" fillId="13" borderId="9" xfId="0" applyNumberFormat="1" applyFont="1" applyFill="1" applyBorder="1" applyAlignment="1">
      <alignment horizontal="center" vertical="center"/>
    </xf>
    <xf numFmtId="166" fontId="22" fillId="13" borderId="9" xfId="0" applyNumberFormat="1" applyFont="1" applyFill="1" applyBorder="1" applyAlignment="1">
      <alignment horizontal="center" vertical="center"/>
    </xf>
    <xf numFmtId="37" fontId="19" fillId="5" borderId="7" xfId="0" applyNumberFormat="1" applyFont="1" applyFill="1" applyBorder="1" applyAlignment="1" applyProtection="1">
      <alignment horizontal="center" vertical="center"/>
      <protection locked="0"/>
    </xf>
    <xf numFmtId="40" fontId="19" fillId="5" borderId="7" xfId="0" applyNumberFormat="1" applyFont="1" applyFill="1" applyBorder="1" applyAlignment="1" applyProtection="1">
      <alignment horizontal="center" vertical="center"/>
      <protection locked="0"/>
    </xf>
    <xf numFmtId="40" fontId="19" fillId="4" borderId="3" xfId="0" applyNumberFormat="1" applyFont="1" applyFill="1" applyBorder="1" applyAlignment="1" applyProtection="1">
      <alignment horizontal="center" vertical="center"/>
      <protection locked="0"/>
    </xf>
    <xf numFmtId="37" fontId="19" fillId="5" borderId="5" xfId="0" applyNumberFormat="1" applyFont="1" applyFill="1" applyBorder="1" applyAlignment="1" applyProtection="1">
      <alignment horizontal="center" vertical="center"/>
      <protection locked="0"/>
    </xf>
    <xf numFmtId="40" fontId="19" fillId="5" borderId="5" xfId="0" applyNumberFormat="1" applyFont="1" applyFill="1" applyBorder="1" applyAlignment="1" applyProtection="1">
      <alignment horizontal="center" vertical="center"/>
      <protection locked="0"/>
    </xf>
    <xf numFmtId="37" fontId="19" fillId="0" borderId="1" xfId="0" applyNumberFormat="1" applyFont="1" applyBorder="1" applyAlignment="1" applyProtection="1">
      <alignment horizontal="center" vertical="center"/>
      <protection locked="0"/>
    </xf>
    <xf numFmtId="40" fontId="19" fillId="0" borderId="1" xfId="0" applyNumberFormat="1" applyFont="1" applyBorder="1" applyAlignment="1" applyProtection="1">
      <alignment horizontal="center" vertical="center"/>
      <protection locked="0"/>
    </xf>
    <xf numFmtId="40" fontId="19" fillId="0" borderId="4" xfId="0" applyNumberFormat="1" applyFont="1" applyBorder="1" applyAlignment="1" applyProtection="1">
      <alignment horizontal="center" vertical="center"/>
      <protection locked="0"/>
    </xf>
    <xf numFmtId="40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40" fontId="0" fillId="0" borderId="1" xfId="0" applyNumberFormat="1" applyBorder="1" applyAlignment="1">
      <alignment horizontal="center" vertical="center"/>
    </xf>
    <xf numFmtId="40" fontId="0" fillId="0" borderId="0" xfId="0" applyNumberFormat="1" applyAlignment="1">
      <alignment horizontal="center" vertical="center"/>
    </xf>
    <xf numFmtId="37" fontId="0" fillId="0" borderId="1" xfId="0" applyNumberFormat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40" fontId="41" fillId="11" borderId="278" xfId="0" applyNumberFormat="1" applyFont="1" applyFill="1" applyBorder="1" applyAlignment="1">
      <alignment horizontal="center" vertical="center"/>
    </xf>
    <xf numFmtId="166" fontId="80" fillId="0" borderId="0" xfId="0" applyNumberFormat="1" applyFont="1" applyFill="1" applyBorder="1" applyAlignment="1">
      <alignment horizontal="center" vertical="center"/>
    </xf>
    <xf numFmtId="40" fontId="80" fillId="0" borderId="0" xfId="0" applyNumberFormat="1" applyFont="1" applyFill="1" applyBorder="1" applyAlignment="1">
      <alignment horizontal="center" vertical="center"/>
    </xf>
    <xf numFmtId="40" fontId="46" fillId="0" borderId="0" xfId="0" applyNumberFormat="1" applyFont="1" applyAlignment="1">
      <alignment horizontal="center" vertical="center"/>
    </xf>
    <xf numFmtId="40" fontId="17" fillId="0" borderId="0" xfId="0" applyNumberFormat="1" applyFont="1" applyAlignment="1">
      <alignment horizontal="center" vertical="center"/>
    </xf>
    <xf numFmtId="227" fontId="19" fillId="16" borderId="0" xfId="0" applyNumberFormat="1" applyFont="1" applyFill="1" applyBorder="1" applyAlignment="1">
      <alignment horizontal="right" vertical="center"/>
    </xf>
    <xf numFmtId="227" fontId="19" fillId="40" borderId="0" xfId="0" applyNumberFormat="1" applyFont="1" applyFill="1" applyBorder="1" applyAlignment="1">
      <alignment horizontal="right" vertical="center"/>
    </xf>
    <xf numFmtId="227" fontId="80" fillId="16" borderId="316" xfId="0" applyNumberFormat="1" applyFont="1" applyFill="1" applyBorder="1" applyAlignment="1">
      <alignment horizontal="right" vertical="center"/>
    </xf>
    <xf numFmtId="227" fontId="80" fillId="40" borderId="315" xfId="0" applyNumberFormat="1" applyFont="1" applyFill="1" applyBorder="1" applyAlignment="1">
      <alignment horizontal="right" vertical="center"/>
    </xf>
    <xf numFmtId="227" fontId="80" fillId="0" borderId="9" xfId="0" applyNumberFormat="1" applyFont="1" applyFill="1" applyBorder="1" applyAlignment="1">
      <alignment horizontal="right" vertical="center"/>
    </xf>
    <xf numFmtId="227" fontId="26" fillId="8" borderId="317" xfId="0" applyNumberFormat="1" applyFont="1" applyFill="1" applyBorder="1" applyAlignment="1">
      <alignment horizontal="right" vertical="center"/>
    </xf>
    <xf numFmtId="227" fontId="22" fillId="38" borderId="320" xfId="0" applyNumberFormat="1" applyFont="1" applyFill="1" applyBorder="1" applyAlignment="1">
      <alignment horizontal="right" vertical="center"/>
    </xf>
    <xf numFmtId="227" fontId="80" fillId="38" borderId="320" xfId="0" applyNumberFormat="1" applyFont="1" applyFill="1" applyBorder="1" applyAlignment="1">
      <alignment horizontal="right" vertical="center"/>
    </xf>
    <xf numFmtId="40" fontId="22" fillId="38" borderId="321" xfId="0" applyNumberFormat="1" applyFont="1" applyFill="1" applyBorder="1" applyAlignment="1">
      <alignment vertical="center"/>
    </xf>
    <xf numFmtId="165" fontId="22" fillId="38" borderId="323" xfId="0" applyNumberFormat="1" applyFont="1" applyFill="1" applyBorder="1" applyAlignment="1">
      <alignment horizontal="center" vertical="center"/>
    </xf>
    <xf numFmtId="165" fontId="22" fillId="38" borderId="322" xfId="0" applyNumberFormat="1" applyFont="1" applyFill="1" applyBorder="1" applyAlignment="1">
      <alignment horizontal="center" vertical="center"/>
    </xf>
    <xf numFmtId="40" fontId="80" fillId="16" borderId="325" xfId="0" applyNumberFormat="1" applyFont="1" applyFill="1" applyBorder="1" applyAlignment="1">
      <alignment horizontal="left" vertical="center"/>
    </xf>
    <xf numFmtId="165" fontId="80" fillId="16" borderId="324" xfId="0" applyNumberFormat="1" applyFont="1" applyFill="1" applyBorder="1" applyAlignment="1">
      <alignment horizontal="center" vertical="center"/>
    </xf>
    <xf numFmtId="165" fontId="43" fillId="49" borderId="279" xfId="46" applyNumberFormat="1" applyFont="1" applyFill="1" applyBorder="1" applyAlignment="1">
      <alignment horizontal="center" vertical="center"/>
    </xf>
    <xf numFmtId="165" fontId="76" fillId="38" borderId="279" xfId="46" applyNumberFormat="1" applyFont="1" applyFill="1" applyBorder="1" applyAlignment="1">
      <alignment horizontal="center" vertical="center"/>
    </xf>
    <xf numFmtId="165" fontId="76" fillId="38" borderId="52" xfId="46" applyNumberFormat="1" applyFont="1" applyFill="1" applyBorder="1" applyAlignment="1">
      <alignment horizontal="center" vertical="center"/>
    </xf>
    <xf numFmtId="164" fontId="32" fillId="4" borderId="0" xfId="46" applyNumberFormat="1" applyFont="1" applyFill="1" applyBorder="1" applyAlignment="1">
      <alignment vertical="center"/>
    </xf>
    <xf numFmtId="0" fontId="0" fillId="0" borderId="0" xfId="0" applyNumberFormat="1" applyBorder="1"/>
    <xf numFmtId="164" fontId="52" fillId="8" borderId="327" xfId="0" applyNumberFormat="1" applyFont="1" applyFill="1" applyBorder="1" applyAlignment="1">
      <alignment horizontal="center" vertical="center"/>
    </xf>
    <xf numFmtId="173" fontId="26" fillId="8" borderId="327" xfId="0" applyNumberFormat="1" applyFont="1" applyFill="1" applyBorder="1" applyAlignment="1">
      <alignment horizontal="center" vertical="center"/>
    </xf>
    <xf numFmtId="40" fontId="26" fillId="8" borderId="328" xfId="0" applyNumberFormat="1" applyFont="1" applyFill="1" applyBorder="1" applyAlignment="1">
      <alignment vertical="center"/>
    </xf>
    <xf numFmtId="40" fontId="22" fillId="38" borderId="326" xfId="0" applyNumberFormat="1" applyFont="1" applyFill="1" applyBorder="1" applyAlignment="1">
      <alignment horizontal="center" vertical="center"/>
    </xf>
    <xf numFmtId="40" fontId="22" fillId="38" borderId="327" xfId="0" applyNumberFormat="1" applyFont="1" applyFill="1" applyBorder="1" applyAlignment="1">
      <alignment horizontal="center" vertical="center"/>
    </xf>
    <xf numFmtId="40" fontId="22" fillId="38" borderId="332" xfId="0" applyNumberFormat="1" applyFont="1" applyFill="1" applyBorder="1" applyAlignment="1">
      <alignment horizontal="center" vertical="center"/>
    </xf>
    <xf numFmtId="227" fontId="19" fillId="38" borderId="333" xfId="0" applyNumberFormat="1" applyFont="1" applyFill="1" applyBorder="1" applyAlignment="1">
      <alignment horizontal="center" vertical="center"/>
    </xf>
    <xf numFmtId="227" fontId="19" fillId="38" borderId="334" xfId="0" applyNumberFormat="1" applyFont="1" applyFill="1" applyBorder="1" applyAlignment="1">
      <alignment horizontal="center" vertical="center"/>
    </xf>
    <xf numFmtId="176" fontId="78" fillId="38" borderId="2" xfId="46" applyNumberFormat="1" applyFont="1" applyFill="1" applyBorder="1" applyAlignment="1">
      <alignment horizontal="center" vertical="center"/>
    </xf>
    <xf numFmtId="176" fontId="131" fillId="48" borderId="36" xfId="46" applyNumberFormat="1" applyFont="1" applyFill="1" applyBorder="1" applyAlignment="1">
      <alignment horizontal="right" vertical="center"/>
    </xf>
    <xf numFmtId="9" fontId="131" fillId="48" borderId="37" xfId="46" applyNumberFormat="1" applyFont="1" applyFill="1" applyBorder="1" applyAlignment="1">
      <alignment horizontal="center" vertical="center"/>
    </xf>
    <xf numFmtId="0" fontId="3" fillId="0" borderId="0" xfId="60" applyAlignment="1">
      <alignment vertical="center"/>
    </xf>
    <xf numFmtId="174" fontId="26" fillId="8" borderId="327" xfId="1" applyNumberFormat="1" applyFont="1" applyFill="1" applyBorder="1" applyAlignment="1" applyProtection="1">
      <alignment horizontal="center" vertical="center"/>
      <protection locked="0"/>
    </xf>
    <xf numFmtId="165" fontId="80" fillId="41" borderId="315" xfId="0" applyNumberFormat="1" applyFont="1" applyFill="1" applyBorder="1" applyAlignment="1">
      <alignment horizontal="center" vertical="center"/>
    </xf>
    <xf numFmtId="40" fontId="80" fillId="41" borderId="315" xfId="0" applyNumberFormat="1" applyFont="1" applyFill="1" applyBorder="1" applyAlignment="1">
      <alignment horizontal="left" vertical="center"/>
    </xf>
    <xf numFmtId="227" fontId="80" fillId="41" borderId="315" xfId="0" applyNumberFormat="1" applyFont="1" applyFill="1" applyBorder="1" applyAlignment="1">
      <alignment horizontal="right" vertical="center"/>
    </xf>
    <xf numFmtId="0" fontId="0" fillId="31" borderId="0" xfId="0" applyNumberFormat="1" applyFill="1"/>
    <xf numFmtId="14" fontId="0" fillId="31" borderId="0" xfId="0" applyNumberFormat="1" applyFill="1"/>
    <xf numFmtId="2" fontId="0" fillId="31" borderId="0" xfId="0" applyNumberFormat="1" applyFill="1"/>
    <xf numFmtId="0" fontId="5" fillId="31" borderId="0" xfId="58" applyFill="1"/>
    <xf numFmtId="2" fontId="5" fillId="31" borderId="0" xfId="58" applyNumberFormat="1" applyFill="1"/>
    <xf numFmtId="0" fontId="0" fillId="13" borderId="0" xfId="0" applyNumberFormat="1" applyFill="1"/>
    <xf numFmtId="14" fontId="0" fillId="13" borderId="0" xfId="0" applyNumberFormat="1" applyFill="1"/>
    <xf numFmtId="2" fontId="0" fillId="13" borderId="0" xfId="0" applyNumberFormat="1" applyFill="1"/>
    <xf numFmtId="0" fontId="83" fillId="23" borderId="0" xfId="58" applyFont="1" applyFill="1"/>
    <xf numFmtId="14" fontId="83" fillId="23" borderId="0" xfId="58" applyNumberFormat="1" applyFont="1" applyFill="1"/>
    <xf numFmtId="0" fontId="15" fillId="23" borderId="0" xfId="58" applyFont="1" applyFill="1"/>
    <xf numFmtId="2" fontId="43" fillId="23" borderId="0" xfId="58" applyNumberFormat="1" applyFont="1" applyFill="1"/>
    <xf numFmtId="2" fontId="102" fillId="23" borderId="0" xfId="0" applyNumberFormat="1" applyFont="1" applyFill="1"/>
    <xf numFmtId="0" fontId="83" fillId="14" borderId="0" xfId="58" applyFont="1" applyFill="1"/>
    <xf numFmtId="2" fontId="43" fillId="14" borderId="0" xfId="58" applyNumberFormat="1" applyFont="1" applyFill="1"/>
    <xf numFmtId="0" fontId="15" fillId="14" borderId="0" xfId="58" applyFont="1" applyFill="1"/>
    <xf numFmtId="2" fontId="102" fillId="14" borderId="0" xfId="0" applyNumberFormat="1" applyFont="1" applyFill="1"/>
    <xf numFmtId="2" fontId="83" fillId="14" borderId="0" xfId="58" applyNumberFormat="1" applyFont="1" applyFill="1"/>
    <xf numFmtId="0" fontId="74" fillId="0" borderId="0" xfId="57" applyFont="1" applyBorder="1" applyAlignment="1">
      <alignment horizontal="center" vertical="center"/>
    </xf>
    <xf numFmtId="0" fontId="74" fillId="0" borderId="0" xfId="57" applyFont="1" applyFill="1" applyAlignment="1">
      <alignment vertical="center"/>
    </xf>
    <xf numFmtId="0" fontId="74" fillId="0" borderId="0" xfId="57" applyFont="1" applyAlignment="1">
      <alignment vertical="center"/>
    </xf>
    <xf numFmtId="0" fontId="132" fillId="0" borderId="0" xfId="57" applyFont="1" applyAlignment="1">
      <alignment horizontal="center" vertical="center"/>
    </xf>
    <xf numFmtId="0" fontId="134" fillId="0" borderId="0" xfId="57" applyFont="1" applyAlignment="1">
      <alignment horizontal="center" vertical="center"/>
    </xf>
    <xf numFmtId="0" fontId="32" fillId="0" borderId="0" xfId="57" applyFont="1" applyAlignment="1">
      <alignment horizontal="center" vertical="center"/>
    </xf>
    <xf numFmtId="0" fontId="121" fillId="0" borderId="0" xfId="57" applyFont="1" applyAlignment="1">
      <alignment horizontal="center" vertical="center"/>
    </xf>
    <xf numFmtId="227" fontId="83" fillId="8" borderId="0" xfId="1" applyNumberFormat="1" applyFont="1" applyFill="1" applyBorder="1" applyAlignment="1" applyProtection="1">
      <alignment horizontal="right" vertical="center"/>
      <protection locked="0"/>
    </xf>
    <xf numFmtId="227" fontId="15" fillId="8" borderId="0" xfId="1" applyNumberFormat="1" applyFont="1" applyFill="1" applyBorder="1" applyAlignment="1" applyProtection="1">
      <alignment horizontal="right" vertical="center"/>
      <protection locked="0"/>
    </xf>
    <xf numFmtId="227" fontId="90" fillId="8" borderId="330" xfId="1" applyNumberFormat="1" applyFont="1" applyFill="1" applyBorder="1" applyAlignment="1" applyProtection="1">
      <alignment horizontal="right" vertical="center"/>
      <protection locked="0"/>
    </xf>
    <xf numFmtId="227" fontId="26" fillId="8" borderId="138" xfId="0" applyNumberFormat="1" applyFont="1" applyFill="1" applyBorder="1" applyAlignment="1">
      <alignment horizontal="right" vertical="center"/>
    </xf>
    <xf numFmtId="0" fontId="74" fillId="4" borderId="0" xfId="57" applyFont="1" applyFill="1" applyAlignment="1">
      <alignment vertical="center"/>
    </xf>
    <xf numFmtId="191" fontId="57" fillId="16" borderId="23" xfId="51" applyNumberFormat="1" applyFont="1" applyFill="1" applyBorder="1" applyAlignment="1">
      <alignment horizontal="center" vertical="center"/>
    </xf>
    <xf numFmtId="196" fontId="134" fillId="7" borderId="2" xfId="52" applyNumberFormat="1" applyFont="1" applyFill="1" applyBorder="1" applyAlignment="1">
      <alignment horizontal="right" vertical="center"/>
    </xf>
    <xf numFmtId="191" fontId="57" fillId="16" borderId="2" xfId="51" applyNumberFormat="1" applyFont="1" applyFill="1" applyBorder="1" applyAlignment="1">
      <alignment horizontal="center" vertical="center"/>
    </xf>
    <xf numFmtId="0" fontId="41" fillId="16" borderId="104" xfId="57" applyFont="1" applyFill="1" applyBorder="1" applyAlignment="1">
      <alignment vertical="center"/>
    </xf>
    <xf numFmtId="191" fontId="57" fillId="16" borderId="232" xfId="51" applyNumberFormat="1" applyFont="1" applyFill="1" applyBorder="1" applyAlignment="1">
      <alignment horizontal="center" vertical="center"/>
    </xf>
    <xf numFmtId="196" fontId="134" fillId="7" borderId="233" xfId="52" applyNumberFormat="1" applyFont="1" applyFill="1" applyBorder="1" applyAlignment="1">
      <alignment horizontal="right" vertical="center"/>
    </xf>
    <xf numFmtId="191" fontId="57" fillId="16" borderId="233" xfId="51" applyNumberFormat="1" applyFont="1" applyFill="1" applyBorder="1" applyAlignment="1">
      <alignment horizontal="center" vertical="center"/>
    </xf>
    <xf numFmtId="191" fontId="57" fillId="16" borderId="37" xfId="51" applyNumberFormat="1" applyFont="1" applyFill="1" applyBorder="1" applyAlignment="1">
      <alignment horizontal="center" vertical="center"/>
    </xf>
    <xf numFmtId="196" fontId="134" fillId="7" borderId="35" xfId="52" applyNumberFormat="1" applyFont="1" applyFill="1" applyBorder="1" applyAlignment="1">
      <alignment horizontal="right" vertical="center"/>
    </xf>
    <xf numFmtId="191" fontId="57" fillId="16" borderId="35" xfId="51" applyNumberFormat="1" applyFont="1" applyFill="1" applyBorder="1" applyAlignment="1">
      <alignment horizontal="center" vertical="center"/>
    </xf>
    <xf numFmtId="205" fontId="57" fillId="16" borderId="23" xfId="51" applyNumberFormat="1" applyFont="1" applyFill="1" applyBorder="1" applyAlignment="1">
      <alignment horizontal="center" vertical="center"/>
    </xf>
    <xf numFmtId="205" fontId="57" fillId="16" borderId="2" xfId="51" applyNumberFormat="1" applyFont="1" applyFill="1" applyBorder="1" applyAlignment="1">
      <alignment horizontal="center" vertical="center"/>
    </xf>
    <xf numFmtId="206" fontId="57" fillId="16" borderId="23" xfId="51" quotePrefix="1" applyNumberFormat="1" applyFont="1" applyFill="1" applyBorder="1" applyAlignment="1">
      <alignment horizontal="center" vertical="center"/>
    </xf>
    <xf numFmtId="206" fontId="57" fillId="16" borderId="2" xfId="51" quotePrefix="1" applyNumberFormat="1" applyFont="1" applyFill="1" applyBorder="1" applyAlignment="1">
      <alignment horizontal="center" vertical="center"/>
    </xf>
    <xf numFmtId="196" fontId="139" fillId="7" borderId="2" xfId="52" applyNumberFormat="1" applyFont="1" applyFill="1" applyBorder="1" applyAlignment="1">
      <alignment horizontal="right" vertical="center"/>
    </xf>
    <xf numFmtId="0" fontId="74" fillId="4" borderId="0" xfId="57" applyFont="1" applyFill="1" applyAlignment="1">
      <alignment horizontal="center" vertical="center"/>
    </xf>
    <xf numFmtId="0" fontId="41" fillId="4" borderId="0" xfId="57" applyFont="1" applyFill="1" applyBorder="1" applyAlignment="1">
      <alignment vertical="center"/>
    </xf>
    <xf numFmtId="191" fontId="57" fillId="4" borderId="0" xfId="51" applyNumberFormat="1" applyFont="1" applyFill="1" applyBorder="1" applyAlignment="1">
      <alignment horizontal="center" vertical="center"/>
    </xf>
    <xf numFmtId="196" fontId="134" fillId="4" borderId="0" xfId="52" applyNumberFormat="1" applyFont="1" applyFill="1" applyBorder="1" applyAlignment="1">
      <alignment horizontal="right" vertical="center"/>
    </xf>
    <xf numFmtId="196" fontId="139" fillId="4" borderId="0" xfId="52" applyNumberFormat="1" applyFont="1" applyFill="1" applyBorder="1" applyAlignment="1">
      <alignment horizontal="right" vertical="center"/>
    </xf>
    <xf numFmtId="0" fontId="83" fillId="14" borderId="0" xfId="58" applyFont="1" applyFill="1" applyAlignment="1">
      <alignment horizontal="center"/>
    </xf>
    <xf numFmtId="40" fontId="80" fillId="0" borderId="0" xfId="0" applyNumberFormat="1" applyFont="1" applyFill="1" applyBorder="1" applyAlignment="1">
      <alignment vertical="center"/>
    </xf>
    <xf numFmtId="40" fontId="81" fillId="0" borderId="0" xfId="0" applyNumberFormat="1" applyFont="1" applyAlignment="1"/>
    <xf numFmtId="40" fontId="128" fillId="0" borderId="0" xfId="0" applyNumberFormat="1" applyFont="1" applyFill="1" applyBorder="1" applyAlignment="1">
      <alignment vertical="center"/>
    </xf>
    <xf numFmtId="40" fontId="75" fillId="15" borderId="343" xfId="0" applyNumberFormat="1" applyFont="1" applyFill="1" applyBorder="1" applyAlignment="1">
      <alignment vertical="center"/>
    </xf>
    <xf numFmtId="227" fontId="27" fillId="24" borderId="32" xfId="0" applyNumberFormat="1" applyFont="1" applyFill="1" applyBorder="1" applyAlignment="1">
      <alignment horizontal="center" vertical="center"/>
    </xf>
    <xf numFmtId="40" fontId="75" fillId="15" borderId="32" xfId="0" applyNumberFormat="1" applyFont="1" applyFill="1" applyBorder="1" applyAlignment="1">
      <alignment vertical="center"/>
    </xf>
    <xf numFmtId="40" fontId="75" fillId="15" borderId="53" xfId="0" applyNumberFormat="1" applyFont="1" applyFill="1" applyBorder="1" applyAlignment="1">
      <alignment vertical="center"/>
    </xf>
    <xf numFmtId="40" fontId="30" fillId="15" borderId="32" xfId="0" applyNumberFormat="1" applyFont="1" applyFill="1" applyBorder="1" applyAlignment="1">
      <alignment horizontal="center" vertical="center"/>
    </xf>
    <xf numFmtId="0" fontId="107" fillId="28" borderId="344" xfId="52" applyNumberFormat="1" applyFont="1" applyFill="1" applyBorder="1" applyAlignment="1">
      <alignment horizontal="center" vertical="center"/>
    </xf>
    <xf numFmtId="196" fontId="44" fillId="28" borderId="344" xfId="52" applyNumberFormat="1" applyFont="1" applyFill="1" applyBorder="1" applyAlignment="1">
      <alignment horizontal="center" vertical="center"/>
    </xf>
    <xf numFmtId="0" fontId="41" fillId="16" borderId="32" xfId="57" quotePrefix="1" applyFont="1" applyFill="1" applyBorder="1" applyAlignment="1">
      <alignment vertical="center"/>
    </xf>
    <xf numFmtId="0" fontId="41" fillId="0" borderId="0" xfId="57" applyNumberFormat="1" applyFont="1" applyAlignment="1">
      <alignment horizontal="center" vertical="center"/>
    </xf>
    <xf numFmtId="191" fontId="78" fillId="0" borderId="0" xfId="0" applyNumberFormat="1" applyFont="1" applyFill="1" applyBorder="1" applyAlignment="1">
      <alignment horizontal="center" vertical="center"/>
    </xf>
    <xf numFmtId="191" fontId="76" fillId="0" borderId="0" xfId="0" applyNumberFormat="1" applyFont="1" applyFill="1" applyBorder="1" applyAlignment="1">
      <alignment horizontal="center" vertical="center"/>
    </xf>
    <xf numFmtId="0" fontId="74" fillId="0" borderId="0" xfId="57" applyFont="1" applyFill="1" applyAlignment="1">
      <alignment horizontal="center" vertical="center"/>
    </xf>
    <xf numFmtId="205" fontId="78" fillId="0" borderId="0" xfId="0" applyNumberFormat="1" applyFont="1" applyFill="1" applyBorder="1" applyAlignment="1">
      <alignment horizontal="center" vertical="center"/>
    </xf>
    <xf numFmtId="0" fontId="78" fillId="0" borderId="0" xfId="0" applyNumberFormat="1" applyFont="1" applyFill="1" applyBorder="1" applyAlignment="1">
      <alignment horizontal="right" vertical="center"/>
    </xf>
    <xf numFmtId="207" fontId="78" fillId="0" borderId="0" xfId="0" applyNumberFormat="1" applyFont="1" applyFill="1" applyBorder="1" applyAlignment="1">
      <alignment horizontal="center" vertical="center"/>
    </xf>
    <xf numFmtId="196" fontId="131" fillId="8" borderId="347" xfId="52" applyNumberFormat="1" applyFont="1" applyFill="1" applyBorder="1" applyAlignment="1">
      <alignment horizontal="center" vertical="center"/>
    </xf>
    <xf numFmtId="0" fontId="125" fillId="4" borderId="0" xfId="52" applyNumberFormat="1" applyFont="1" applyFill="1" applyBorder="1" applyAlignment="1">
      <alignment horizontal="center" vertical="center"/>
    </xf>
    <xf numFmtId="191" fontId="125" fillId="0" borderId="0" xfId="0" applyNumberFormat="1" applyFont="1" applyFill="1" applyBorder="1" applyAlignment="1">
      <alignment horizontal="center" vertical="center"/>
    </xf>
    <xf numFmtId="196" fontId="78" fillId="0" borderId="0" xfId="52" applyNumberFormat="1" applyFont="1" applyFill="1" applyBorder="1" applyAlignment="1">
      <alignment horizontal="center" vertical="center"/>
    </xf>
    <xf numFmtId="196" fontId="125" fillId="0" borderId="0" xfId="52" applyNumberFormat="1" applyFont="1" applyFill="1" applyBorder="1" applyAlignment="1">
      <alignment horizontal="center" vertical="center"/>
    </xf>
    <xf numFmtId="0" fontId="125" fillId="0" borderId="0" xfId="52" applyNumberFormat="1" applyFont="1" applyFill="1" applyBorder="1" applyAlignment="1">
      <alignment horizontal="center" vertical="center"/>
    </xf>
    <xf numFmtId="191" fontId="76" fillId="31" borderId="351" xfId="0" applyNumberFormat="1" applyFont="1" applyFill="1" applyBorder="1" applyAlignment="1">
      <alignment horizontal="center" vertical="center"/>
    </xf>
    <xf numFmtId="205" fontId="76" fillId="30" borderId="351" xfId="0" applyNumberFormat="1" applyFont="1" applyFill="1" applyBorder="1" applyAlignment="1">
      <alignment horizontal="center" vertical="center"/>
    </xf>
    <xf numFmtId="205" fontId="76" fillId="30" borderId="352" xfId="0" applyNumberFormat="1" applyFont="1" applyFill="1" applyBorder="1" applyAlignment="1">
      <alignment horizontal="center" vertical="center"/>
    </xf>
    <xf numFmtId="0" fontId="76" fillId="31" borderId="353" xfId="0" applyNumberFormat="1" applyFont="1" applyFill="1" applyBorder="1" applyAlignment="1">
      <alignment horizontal="right" vertical="center"/>
    </xf>
    <xf numFmtId="207" fontId="76" fillId="31" borderId="345" xfId="0" applyNumberFormat="1" applyFont="1" applyFill="1" applyBorder="1" applyAlignment="1">
      <alignment horizontal="center" vertical="center"/>
    </xf>
    <xf numFmtId="191" fontId="138" fillId="31" borderId="345" xfId="0" applyNumberFormat="1" applyFont="1" applyFill="1" applyBorder="1" applyAlignment="1">
      <alignment horizontal="center" vertical="center"/>
    </xf>
    <xf numFmtId="196" fontId="76" fillId="7" borderId="345" xfId="52" applyNumberFormat="1" applyFont="1" applyFill="1" applyBorder="1" applyAlignment="1">
      <alignment horizontal="center" vertical="center"/>
    </xf>
    <xf numFmtId="196" fontId="138" fillId="25" borderId="345" xfId="52" applyNumberFormat="1" applyFont="1" applyFill="1" applyBorder="1" applyAlignment="1">
      <alignment horizontal="center" vertical="center"/>
    </xf>
    <xf numFmtId="196" fontId="76" fillId="25" borderId="345" xfId="52" applyNumberFormat="1" applyFont="1" applyFill="1" applyBorder="1" applyAlignment="1">
      <alignment horizontal="center" vertical="center"/>
    </xf>
    <xf numFmtId="191" fontId="76" fillId="31" borderId="345" xfId="0" applyNumberFormat="1" applyFont="1" applyFill="1" applyBorder="1" applyAlignment="1">
      <alignment horizontal="center" vertical="center"/>
    </xf>
    <xf numFmtId="205" fontId="76" fillId="30" borderId="345" xfId="0" applyNumberFormat="1" applyFont="1" applyFill="1" applyBorder="1" applyAlignment="1">
      <alignment horizontal="center" vertical="center"/>
    </xf>
    <xf numFmtId="205" fontId="76" fillId="30" borderId="354" xfId="0" applyNumberFormat="1" applyFont="1" applyFill="1" applyBorder="1" applyAlignment="1">
      <alignment horizontal="center" vertical="center"/>
    </xf>
    <xf numFmtId="0" fontId="78" fillId="31" borderId="353" xfId="0" applyNumberFormat="1" applyFont="1" applyFill="1" applyBorder="1" applyAlignment="1">
      <alignment horizontal="right" vertical="center"/>
    </xf>
    <xf numFmtId="207" fontId="78" fillId="31" borderId="345" xfId="0" applyNumberFormat="1" applyFont="1" applyFill="1" applyBorder="1" applyAlignment="1">
      <alignment horizontal="center" vertical="center"/>
    </xf>
    <xf numFmtId="191" fontId="78" fillId="31" borderId="345" xfId="0" applyNumberFormat="1" applyFont="1" applyFill="1" applyBorder="1" applyAlignment="1">
      <alignment horizontal="center" vertical="center"/>
    </xf>
    <xf numFmtId="0" fontId="78" fillId="31" borderId="355" xfId="0" applyNumberFormat="1" applyFont="1" applyFill="1" applyBorder="1" applyAlignment="1">
      <alignment horizontal="right" vertical="center"/>
    </xf>
    <xf numFmtId="207" fontId="78" fillId="31" borderId="356" xfId="0" applyNumberFormat="1" applyFont="1" applyFill="1" applyBorder="1" applyAlignment="1">
      <alignment horizontal="center" vertical="center"/>
    </xf>
    <xf numFmtId="196" fontId="76" fillId="25" borderId="356" xfId="52" applyNumberFormat="1" applyFont="1" applyFill="1" applyBorder="1" applyAlignment="1">
      <alignment horizontal="center" vertical="center"/>
    </xf>
    <xf numFmtId="191" fontId="78" fillId="31" borderId="356" xfId="0" applyNumberFormat="1" applyFont="1" applyFill="1" applyBorder="1" applyAlignment="1">
      <alignment horizontal="center" vertical="center"/>
    </xf>
    <xf numFmtId="205" fontId="78" fillId="30" borderId="356" xfId="0" applyNumberFormat="1" applyFont="1" applyFill="1" applyBorder="1" applyAlignment="1">
      <alignment horizontal="center" vertical="center"/>
    </xf>
    <xf numFmtId="205" fontId="76" fillId="30" borderId="357" xfId="0" applyNumberFormat="1" applyFont="1" applyFill="1" applyBorder="1" applyAlignment="1">
      <alignment horizontal="center" vertical="center"/>
    </xf>
    <xf numFmtId="191" fontId="76" fillId="31" borderId="356" xfId="0" applyNumberFormat="1" applyFont="1" applyFill="1" applyBorder="1" applyAlignment="1">
      <alignment horizontal="center" vertical="center"/>
    </xf>
    <xf numFmtId="205" fontId="76" fillId="30" borderId="356" xfId="0" applyNumberFormat="1" applyFont="1" applyFill="1" applyBorder="1" applyAlignment="1">
      <alignment horizontal="center" vertical="center"/>
    </xf>
    <xf numFmtId="209" fontId="28" fillId="8" borderId="351" xfId="0" applyNumberFormat="1" applyFont="1" applyFill="1" applyBorder="1" applyAlignment="1">
      <alignment horizontal="center" vertical="center"/>
    </xf>
    <xf numFmtId="191" fontId="44" fillId="28" borderId="344" xfId="52" applyNumberFormat="1" applyFont="1" applyFill="1" applyBorder="1" applyAlignment="1">
      <alignment horizontal="center" vertical="center"/>
    </xf>
    <xf numFmtId="196" fontId="76" fillId="25" borderId="354" xfId="52" applyNumberFormat="1" applyFont="1" applyFill="1" applyBorder="1" applyAlignment="1">
      <alignment horizontal="center" vertical="center"/>
    </xf>
    <xf numFmtId="196" fontId="76" fillId="25" borderId="357" xfId="52" applyNumberFormat="1" applyFont="1" applyFill="1" applyBorder="1" applyAlignment="1">
      <alignment horizontal="center" vertical="center"/>
    </xf>
    <xf numFmtId="0" fontId="76" fillId="25" borderId="354" xfId="0" applyNumberFormat="1" applyFont="1" applyFill="1" applyBorder="1" applyAlignment="1">
      <alignment horizontal="center" vertical="center"/>
    </xf>
    <xf numFmtId="227" fontId="19" fillId="38" borderId="341" xfId="0" applyNumberFormat="1" applyFont="1" applyFill="1" applyBorder="1" applyAlignment="1">
      <alignment horizontal="center" vertical="center"/>
    </xf>
    <xf numFmtId="227" fontId="19" fillId="38" borderId="341" xfId="0" applyNumberFormat="1" applyFont="1" applyFill="1" applyBorder="1" applyAlignment="1">
      <alignment horizontal="right" vertical="center"/>
    </xf>
    <xf numFmtId="0" fontId="3" fillId="0" borderId="84" xfId="60" applyBorder="1" applyAlignment="1">
      <alignment vertical="center"/>
    </xf>
    <xf numFmtId="176" fontId="75" fillId="0" borderId="335" xfId="60" applyNumberFormat="1" applyFont="1" applyBorder="1" applyAlignment="1">
      <alignment horizontal="center" vertical="center"/>
    </xf>
    <xf numFmtId="0" fontId="93" fillId="13" borderId="0" xfId="0" applyNumberFormat="1" applyFont="1" applyFill="1" applyAlignment="1">
      <alignment horizontal="center" vertical="center"/>
    </xf>
    <xf numFmtId="0" fontId="93" fillId="13" borderId="84" xfId="0" applyNumberFormat="1" applyFont="1" applyFill="1" applyBorder="1" applyAlignment="1">
      <alignment horizontal="center" vertical="center"/>
    </xf>
    <xf numFmtId="0" fontId="73" fillId="0" borderId="84" xfId="60" applyFont="1" applyBorder="1" applyAlignment="1">
      <alignment vertical="center"/>
    </xf>
    <xf numFmtId="0" fontId="41" fillId="0" borderId="0" xfId="60" applyFont="1" applyAlignment="1">
      <alignment vertical="center"/>
    </xf>
    <xf numFmtId="191" fontId="32" fillId="0" borderId="173" xfId="60" applyNumberFormat="1" applyFont="1" applyBorder="1" applyAlignment="1">
      <alignment horizontal="center" vertical="center"/>
    </xf>
    <xf numFmtId="191" fontId="32" fillId="0" borderId="335" xfId="60" applyNumberFormat="1" applyFont="1" applyBorder="1" applyAlignment="1">
      <alignment horizontal="center" vertical="center"/>
    </xf>
    <xf numFmtId="191" fontId="78" fillId="0" borderId="359" xfId="0" applyNumberFormat="1" applyFont="1" applyBorder="1" applyAlignment="1">
      <alignment horizontal="center" vertical="center"/>
    </xf>
    <xf numFmtId="176" fontId="79" fillId="21" borderId="336" xfId="60" applyNumberFormat="1" applyFont="1" applyFill="1" applyBorder="1" applyAlignment="1">
      <alignment horizontal="center" vertical="center"/>
    </xf>
    <xf numFmtId="0" fontId="44" fillId="21" borderId="337" xfId="0" applyNumberFormat="1" applyFont="1" applyFill="1" applyBorder="1" applyAlignment="1">
      <alignment horizontal="center" vertical="center"/>
    </xf>
    <xf numFmtId="191" fontId="78" fillId="0" borderId="337" xfId="0" applyNumberFormat="1" applyFont="1" applyBorder="1" applyAlignment="1">
      <alignment horizontal="center" vertical="center"/>
    </xf>
    <xf numFmtId="0" fontId="93" fillId="13" borderId="360" xfId="0" applyNumberFormat="1" applyFont="1" applyFill="1" applyBorder="1" applyAlignment="1">
      <alignment horizontal="center" vertical="center"/>
    </xf>
    <xf numFmtId="0" fontId="93" fillId="31" borderId="360" xfId="0" applyNumberFormat="1" applyFont="1" applyFill="1" applyBorder="1" applyAlignment="1">
      <alignment horizontal="center" vertical="center"/>
    </xf>
    <xf numFmtId="0" fontId="93" fillId="31" borderId="361" xfId="0" applyNumberFormat="1" applyFont="1" applyFill="1" applyBorder="1" applyAlignment="1">
      <alignment horizontal="center" vertical="center"/>
    </xf>
    <xf numFmtId="191" fontId="78" fillId="0" borderId="362" xfId="0" applyNumberFormat="1" applyFont="1" applyBorder="1" applyAlignment="1">
      <alignment horizontal="center" vertical="center"/>
    </xf>
    <xf numFmtId="0" fontId="93" fillId="31" borderId="363" xfId="0" applyNumberFormat="1" applyFont="1" applyFill="1" applyBorder="1" applyAlignment="1">
      <alignment horizontal="center" vertical="center"/>
    </xf>
    <xf numFmtId="191" fontId="78" fillId="0" borderId="364" xfId="0" applyNumberFormat="1" applyFont="1" applyBorder="1" applyAlignment="1">
      <alignment horizontal="center" vertical="center"/>
    </xf>
    <xf numFmtId="191" fontId="74" fillId="13" borderId="359" xfId="61" applyNumberFormat="1" applyFont="1" applyFill="1" applyBorder="1" applyAlignment="1">
      <alignment horizontal="center" vertical="center"/>
    </xf>
    <xf numFmtId="191" fontId="32" fillId="13" borderId="359" xfId="61" applyNumberFormat="1" applyFont="1" applyFill="1" applyBorder="1" applyAlignment="1">
      <alignment horizontal="center" vertical="center"/>
    </xf>
    <xf numFmtId="191" fontId="32" fillId="31" borderId="359" xfId="61" applyNumberFormat="1" applyFont="1" applyFill="1" applyBorder="1" applyAlignment="1">
      <alignment horizontal="center" vertical="center"/>
    </xf>
    <xf numFmtId="191" fontId="32" fillId="31" borderId="362" xfId="61" applyNumberFormat="1" applyFont="1" applyFill="1" applyBorder="1" applyAlignment="1">
      <alignment horizontal="center" vertical="center"/>
    </xf>
    <xf numFmtId="0" fontId="93" fillId="13" borderId="363" xfId="0" applyNumberFormat="1" applyFont="1" applyFill="1" applyBorder="1" applyAlignment="1">
      <alignment horizontal="center" vertical="center"/>
    </xf>
    <xf numFmtId="0" fontId="93" fillId="13" borderId="361" xfId="0" applyNumberFormat="1" applyFont="1" applyFill="1" applyBorder="1" applyAlignment="1">
      <alignment horizontal="center" vertical="center"/>
    </xf>
    <xf numFmtId="191" fontId="74" fillId="13" borderId="364" xfId="61" applyNumberFormat="1" applyFont="1" applyFill="1" applyBorder="1" applyAlignment="1">
      <alignment horizontal="center" vertical="center"/>
    </xf>
    <xf numFmtId="191" fontId="74" fillId="13" borderId="362" xfId="61" applyNumberFormat="1" applyFont="1" applyFill="1" applyBorder="1" applyAlignment="1">
      <alignment horizontal="center" vertical="center"/>
    </xf>
    <xf numFmtId="0" fontId="92" fillId="31" borderId="361" xfId="0" applyNumberFormat="1" applyFont="1" applyFill="1" applyBorder="1" applyAlignment="1">
      <alignment horizontal="center" vertical="center"/>
    </xf>
    <xf numFmtId="191" fontId="32" fillId="13" borderId="362" xfId="61" applyNumberFormat="1" applyFont="1" applyFill="1" applyBorder="1" applyAlignment="1">
      <alignment horizontal="center" vertical="center"/>
    </xf>
    <xf numFmtId="191" fontId="32" fillId="13" borderId="364" xfId="61" applyNumberFormat="1" applyFont="1" applyFill="1" applyBorder="1" applyAlignment="1">
      <alignment horizontal="center" vertical="center"/>
    </xf>
    <xf numFmtId="191" fontId="32" fillId="31" borderId="364" xfId="61" applyNumberFormat="1" applyFont="1" applyFill="1" applyBorder="1" applyAlignment="1">
      <alignment horizontal="center" vertical="center"/>
    </xf>
    <xf numFmtId="191" fontId="133" fillId="8" borderId="0" xfId="57" applyNumberFormat="1" applyFont="1" applyFill="1" applyBorder="1" applyAlignment="1">
      <alignment horizontal="center" vertical="center"/>
    </xf>
    <xf numFmtId="196" fontId="131" fillId="8" borderId="0" xfId="52" applyNumberFormat="1" applyFont="1" applyFill="1" applyBorder="1" applyAlignment="1">
      <alignment horizontal="center" vertical="center"/>
    </xf>
    <xf numFmtId="196" fontId="131" fillId="8" borderId="350" xfId="52" applyNumberFormat="1" applyFont="1" applyFill="1" applyBorder="1" applyAlignment="1">
      <alignment horizontal="center" vertical="center"/>
    </xf>
    <xf numFmtId="205" fontId="133" fillId="8" borderId="0" xfId="57" applyNumberFormat="1" applyFont="1" applyFill="1" applyBorder="1" applyAlignment="1">
      <alignment horizontal="center" vertical="center"/>
    </xf>
    <xf numFmtId="205" fontId="133" fillId="8" borderId="350" xfId="57" applyNumberFormat="1" applyFont="1" applyFill="1" applyBorder="1" applyAlignment="1">
      <alignment horizontal="center" vertical="center"/>
    </xf>
    <xf numFmtId="191" fontId="133" fillId="8" borderId="349" xfId="57" applyNumberFormat="1" applyFont="1" applyFill="1" applyBorder="1" applyAlignment="1">
      <alignment horizontal="center" vertical="center"/>
    </xf>
    <xf numFmtId="191" fontId="76" fillId="13" borderId="353" xfId="0" applyNumberFormat="1" applyFont="1" applyFill="1" applyBorder="1" applyAlignment="1">
      <alignment horizontal="center" vertical="center"/>
    </xf>
    <xf numFmtId="209" fontId="28" fillId="8" borderId="349" xfId="0" applyNumberFormat="1" applyFont="1" applyFill="1" applyBorder="1" applyAlignment="1">
      <alignment horizontal="center" vertical="center"/>
    </xf>
    <xf numFmtId="209" fontId="28" fillId="8" borderId="358" xfId="0" applyNumberFormat="1" applyFont="1" applyFill="1" applyBorder="1" applyAlignment="1">
      <alignment horizontal="center" vertical="center"/>
    </xf>
    <xf numFmtId="0" fontId="76" fillId="31" borderId="358" xfId="0" applyNumberFormat="1" applyFont="1" applyFill="1" applyBorder="1" applyAlignment="1">
      <alignment horizontal="right" vertical="center"/>
    </xf>
    <xf numFmtId="207" fontId="76" fillId="31" borderId="351" xfId="0" applyNumberFormat="1" applyFont="1" applyFill="1" applyBorder="1" applyAlignment="1">
      <alignment horizontal="center" vertical="center"/>
    </xf>
    <xf numFmtId="191" fontId="76" fillId="13" borderId="358" xfId="0" applyNumberFormat="1" applyFont="1" applyFill="1" applyBorder="1" applyAlignment="1">
      <alignment horizontal="center" vertical="center"/>
    </xf>
    <xf numFmtId="191" fontId="138" fillId="31" borderId="351" xfId="0" applyNumberFormat="1" applyFont="1" applyFill="1" applyBorder="1" applyAlignment="1">
      <alignment horizontal="center" vertical="center"/>
    </xf>
    <xf numFmtId="196" fontId="76" fillId="7" borderId="351" xfId="52" applyNumberFormat="1" applyFont="1" applyFill="1" applyBorder="1" applyAlignment="1">
      <alignment horizontal="center" vertical="center"/>
    </xf>
    <xf numFmtId="196" fontId="138" fillId="25" borderId="351" xfId="52" applyNumberFormat="1" applyFont="1" applyFill="1" applyBorder="1" applyAlignment="1">
      <alignment horizontal="center" vertical="center"/>
    </xf>
    <xf numFmtId="196" fontId="76" fillId="25" borderId="352" xfId="52" applyNumberFormat="1" applyFont="1" applyFill="1" applyBorder="1" applyAlignment="1">
      <alignment horizontal="center" vertical="center"/>
    </xf>
    <xf numFmtId="191" fontId="133" fillId="8" borderId="353" xfId="57" applyNumberFormat="1" applyFont="1" applyFill="1" applyBorder="1" applyAlignment="1">
      <alignment horizontal="center" vertical="center"/>
    </xf>
    <xf numFmtId="196" fontId="131" fillId="8" borderId="345" xfId="52" applyNumberFormat="1" applyFont="1" applyFill="1" applyBorder="1" applyAlignment="1">
      <alignment horizontal="center" vertical="center"/>
    </xf>
    <xf numFmtId="191" fontId="133" fillId="8" borderId="345" xfId="57" applyNumberFormat="1" applyFont="1" applyFill="1" applyBorder="1" applyAlignment="1">
      <alignment horizontal="center" vertical="center"/>
    </xf>
    <xf numFmtId="196" fontId="131" fillId="8" borderId="354" xfId="52" applyNumberFormat="1" applyFont="1" applyFill="1" applyBorder="1" applyAlignment="1">
      <alignment horizontal="center" vertical="center"/>
    </xf>
    <xf numFmtId="205" fontId="133" fillId="8" borderId="345" xfId="57" applyNumberFormat="1" applyFont="1" applyFill="1" applyBorder="1" applyAlignment="1">
      <alignment horizontal="center" vertical="center"/>
    </xf>
    <xf numFmtId="205" fontId="133" fillId="8" borderId="354" xfId="57" applyNumberFormat="1" applyFont="1" applyFill="1" applyBorder="1" applyAlignment="1">
      <alignment horizontal="center" vertical="center"/>
    </xf>
    <xf numFmtId="191" fontId="133" fillId="8" borderId="358" xfId="57" applyNumberFormat="1" applyFont="1" applyFill="1" applyBorder="1" applyAlignment="1">
      <alignment horizontal="center" vertical="center"/>
    </xf>
    <xf numFmtId="209" fontId="135" fillId="8" borderId="351" xfId="0" applyNumberFormat="1" applyFont="1" applyFill="1" applyBorder="1" applyAlignment="1">
      <alignment horizontal="center" vertical="center"/>
    </xf>
    <xf numFmtId="196" fontId="131" fillId="8" borderId="351" xfId="52" applyNumberFormat="1" applyFont="1" applyFill="1" applyBorder="1" applyAlignment="1">
      <alignment horizontal="center" vertical="center"/>
    </xf>
    <xf numFmtId="191" fontId="133" fillId="8" borderId="351" xfId="57" applyNumberFormat="1" applyFont="1" applyFill="1" applyBorder="1" applyAlignment="1">
      <alignment horizontal="center" vertical="center"/>
    </xf>
    <xf numFmtId="196" fontId="131" fillId="8" borderId="352" xfId="52" applyNumberFormat="1" applyFont="1" applyFill="1" applyBorder="1" applyAlignment="1">
      <alignment horizontal="center" vertical="center"/>
    </xf>
    <xf numFmtId="205" fontId="133" fillId="8" borderId="351" xfId="57" applyNumberFormat="1" applyFont="1" applyFill="1" applyBorder="1" applyAlignment="1">
      <alignment horizontal="center" vertical="center"/>
    </xf>
    <xf numFmtId="205" fontId="133" fillId="8" borderId="352" xfId="57" applyNumberFormat="1" applyFont="1" applyFill="1" applyBorder="1" applyAlignment="1">
      <alignment horizontal="center" vertical="center"/>
    </xf>
    <xf numFmtId="191" fontId="79" fillId="8" borderId="353" xfId="57" applyNumberFormat="1" applyFont="1" applyFill="1" applyBorder="1" applyAlignment="1">
      <alignment horizontal="center" vertical="center"/>
    </xf>
    <xf numFmtId="191" fontId="79" fillId="8" borderId="345" xfId="57" applyNumberFormat="1" applyFont="1" applyFill="1" applyBorder="1" applyAlignment="1">
      <alignment horizontal="center" vertical="center"/>
    </xf>
    <xf numFmtId="196" fontId="43" fillId="8" borderId="345" xfId="52" applyNumberFormat="1" applyFont="1" applyFill="1" applyBorder="1" applyAlignment="1">
      <alignment horizontal="center" vertical="center"/>
    </xf>
    <xf numFmtId="196" fontId="43" fillId="8" borderId="354" xfId="52" applyNumberFormat="1" applyFont="1" applyFill="1" applyBorder="1" applyAlignment="1">
      <alignment horizontal="center" vertical="center"/>
    </xf>
    <xf numFmtId="205" fontId="79" fillId="8" borderId="345" xfId="57" applyNumberFormat="1" applyFont="1" applyFill="1" applyBorder="1" applyAlignment="1">
      <alignment horizontal="center" vertical="center"/>
    </xf>
    <xf numFmtId="205" fontId="79" fillId="8" borderId="354" xfId="57" applyNumberFormat="1" applyFont="1" applyFill="1" applyBorder="1" applyAlignment="1">
      <alignment horizontal="center" vertical="center"/>
    </xf>
    <xf numFmtId="209" fontId="28" fillId="8" borderId="350" xfId="0" applyNumberFormat="1" applyFont="1" applyFill="1" applyBorder="1" applyAlignment="1">
      <alignment horizontal="center" vertical="center"/>
    </xf>
    <xf numFmtId="205" fontId="76" fillId="0" borderId="0" xfId="0" applyNumberFormat="1" applyFont="1" applyFill="1" applyBorder="1" applyAlignment="1">
      <alignment horizontal="center" vertical="center"/>
    </xf>
    <xf numFmtId="209" fontId="28" fillId="48" borderId="347" xfId="0" applyNumberFormat="1" applyFont="1" applyFill="1" applyBorder="1" applyAlignment="1">
      <alignment horizontal="center" vertical="center"/>
    </xf>
    <xf numFmtId="209" fontId="28" fillId="48" borderId="346" xfId="0" applyNumberFormat="1" applyFont="1" applyFill="1" applyBorder="1" applyAlignment="1">
      <alignment horizontal="center" vertical="center"/>
    </xf>
    <xf numFmtId="209" fontId="28" fillId="48" borderId="348" xfId="0" applyNumberFormat="1" applyFont="1" applyFill="1" applyBorder="1" applyAlignment="1">
      <alignment horizontal="center" vertical="center"/>
    </xf>
    <xf numFmtId="191" fontId="76" fillId="31" borderId="353" xfId="0" applyNumberFormat="1" applyFont="1" applyFill="1" applyBorder="1" applyAlignment="1">
      <alignment horizontal="center" vertical="center"/>
    </xf>
    <xf numFmtId="0" fontId="76" fillId="25" borderId="345" xfId="0" applyNumberFormat="1" applyFont="1" applyFill="1" applyBorder="1" applyAlignment="1">
      <alignment horizontal="right" vertical="center"/>
    </xf>
    <xf numFmtId="191" fontId="76" fillId="31" borderId="355" xfId="0" applyNumberFormat="1" applyFont="1" applyFill="1" applyBorder="1" applyAlignment="1">
      <alignment horizontal="center" vertical="center"/>
    </xf>
    <xf numFmtId="233" fontId="39" fillId="8" borderId="0" xfId="1" applyNumberFormat="1" applyFont="1" applyFill="1" applyBorder="1" applyAlignment="1" applyProtection="1">
      <alignment horizontal="center" vertical="center"/>
      <protection locked="0"/>
    </xf>
    <xf numFmtId="164" fontId="78" fillId="0" borderId="0" xfId="0" applyFont="1"/>
    <xf numFmtId="209" fontId="28" fillId="23" borderId="347" xfId="0" applyNumberFormat="1" applyFont="1" applyFill="1" applyBorder="1" applyAlignment="1">
      <alignment horizontal="center" vertical="center"/>
    </xf>
    <xf numFmtId="164" fontId="0" fillId="0" borderId="0" xfId="0" applyBorder="1"/>
    <xf numFmtId="164" fontId="0" fillId="0" borderId="251" xfId="0" applyFill="1" applyBorder="1"/>
    <xf numFmtId="196" fontId="76" fillId="0" borderId="251" xfId="52" applyNumberFormat="1" applyFont="1" applyFill="1" applyBorder="1" applyAlignment="1">
      <alignment horizontal="center" vertical="center"/>
    </xf>
    <xf numFmtId="164" fontId="78" fillId="0" borderId="0" xfId="0" applyFont="1" applyBorder="1"/>
    <xf numFmtId="196" fontId="76" fillId="4" borderId="188" xfId="52" applyNumberFormat="1" applyFont="1" applyFill="1" applyBorder="1" applyAlignment="1">
      <alignment horizontal="center" vertical="center"/>
    </xf>
    <xf numFmtId="164" fontId="46" fillId="4" borderId="369" xfId="0" applyFont="1" applyFill="1" applyBorder="1" applyAlignment="1">
      <alignment horizontal="center" vertical="center"/>
    </xf>
    <xf numFmtId="164" fontId="76" fillId="4" borderId="365" xfId="0" applyFont="1" applyFill="1" applyBorder="1"/>
    <xf numFmtId="164" fontId="76" fillId="4" borderId="370" xfId="0" applyFont="1" applyFill="1" applyBorder="1"/>
    <xf numFmtId="196" fontId="76" fillId="4" borderId="247" xfId="52" applyNumberFormat="1" applyFont="1" applyFill="1" applyBorder="1" applyAlignment="1">
      <alignment horizontal="center" vertical="center"/>
    </xf>
    <xf numFmtId="164" fontId="76" fillId="4" borderId="247" xfId="0" applyFont="1" applyFill="1" applyBorder="1"/>
    <xf numFmtId="196" fontId="76" fillId="4" borderId="180" xfId="52" applyNumberFormat="1" applyFont="1" applyFill="1" applyBorder="1" applyAlignment="1">
      <alignment horizontal="center" vertical="center"/>
    </xf>
    <xf numFmtId="164" fontId="76" fillId="4" borderId="181" xfId="0" applyFont="1" applyFill="1" applyBorder="1"/>
    <xf numFmtId="164" fontId="76" fillId="4" borderId="180" xfId="0" applyFont="1" applyFill="1" applyBorder="1"/>
    <xf numFmtId="164" fontId="76" fillId="4" borderId="366" xfId="0" applyFont="1" applyFill="1" applyBorder="1"/>
    <xf numFmtId="196" fontId="76" fillId="4" borderId="367" xfId="52" applyNumberFormat="1" applyFont="1" applyFill="1" applyBorder="1" applyAlignment="1">
      <alignment horizontal="center" vertical="center"/>
    </xf>
    <xf numFmtId="164" fontId="76" fillId="4" borderId="367" xfId="0" applyFont="1" applyFill="1" applyBorder="1"/>
    <xf numFmtId="40" fontId="22" fillId="38" borderId="371" xfId="0" applyNumberFormat="1" applyFont="1" applyFill="1" applyBorder="1" applyAlignment="1">
      <alignment horizontal="center" vertical="center"/>
    </xf>
    <xf numFmtId="40" fontId="22" fillId="38" borderId="372" xfId="0" applyNumberFormat="1" applyFont="1" applyFill="1" applyBorder="1" applyAlignment="1">
      <alignment horizontal="center" vertical="center"/>
    </xf>
    <xf numFmtId="0" fontId="76" fillId="31" borderId="355" xfId="0" applyNumberFormat="1" applyFont="1" applyFill="1" applyBorder="1" applyAlignment="1">
      <alignment horizontal="right" vertical="center"/>
    </xf>
    <xf numFmtId="207" fontId="76" fillId="31" borderId="356" xfId="0" applyNumberFormat="1" applyFont="1" applyFill="1" applyBorder="1" applyAlignment="1">
      <alignment horizontal="center" vertical="center"/>
    </xf>
    <xf numFmtId="191" fontId="76" fillId="13" borderId="355" xfId="0" applyNumberFormat="1" applyFont="1" applyFill="1" applyBorder="1" applyAlignment="1">
      <alignment horizontal="center" vertical="center"/>
    </xf>
    <xf numFmtId="191" fontId="138" fillId="31" borderId="356" xfId="0" applyNumberFormat="1" applyFont="1" applyFill="1" applyBorder="1" applyAlignment="1">
      <alignment horizontal="center" vertical="center"/>
    </xf>
    <xf numFmtId="196" fontId="76" fillId="7" borderId="356" xfId="52" applyNumberFormat="1" applyFont="1" applyFill="1" applyBorder="1" applyAlignment="1">
      <alignment horizontal="center" vertical="center"/>
    </xf>
    <xf numFmtId="196" fontId="138" fillId="25" borderId="356" xfId="52" applyNumberFormat="1" applyFont="1" applyFill="1" applyBorder="1" applyAlignment="1">
      <alignment horizontal="center" vertical="center"/>
    </xf>
    <xf numFmtId="196" fontId="43" fillId="8" borderId="379" xfId="52" applyNumberFormat="1" applyFont="1" applyFill="1" applyBorder="1" applyAlignment="1">
      <alignment horizontal="center" vertical="center"/>
    </xf>
    <xf numFmtId="196" fontId="43" fillId="8" borderId="346" xfId="52" applyNumberFormat="1" applyFont="1" applyFill="1" applyBorder="1" applyAlignment="1">
      <alignment horizontal="center" vertical="center"/>
    </xf>
    <xf numFmtId="0" fontId="107" fillId="8" borderId="347" xfId="52" applyNumberFormat="1" applyFont="1" applyFill="1" applyBorder="1" applyAlignment="1">
      <alignment horizontal="center" vertical="center"/>
    </xf>
    <xf numFmtId="196" fontId="133" fillId="8" borderId="347" xfId="52" applyNumberFormat="1" applyFont="1" applyFill="1" applyBorder="1" applyAlignment="1">
      <alignment horizontal="center" vertical="center"/>
    </xf>
    <xf numFmtId="0" fontId="43" fillId="28" borderId="381" xfId="52" applyNumberFormat="1" applyFont="1" applyFill="1" applyBorder="1" applyAlignment="1">
      <alignment horizontal="center" vertical="center"/>
    </xf>
    <xf numFmtId="196" fontId="44" fillId="28" borderId="382" xfId="52" applyNumberFormat="1" applyFont="1" applyFill="1" applyBorder="1" applyAlignment="1">
      <alignment horizontal="center" vertical="center"/>
    </xf>
    <xf numFmtId="196" fontId="44" fillId="8" borderId="384" xfId="52" applyNumberFormat="1" applyFont="1" applyFill="1" applyBorder="1" applyAlignment="1">
      <alignment horizontal="center" vertical="center"/>
    </xf>
    <xf numFmtId="0" fontId="43" fillId="28" borderId="385" xfId="52" applyNumberFormat="1" applyFont="1" applyFill="1" applyBorder="1" applyAlignment="1">
      <alignment horizontal="center" vertical="center"/>
    </xf>
    <xf numFmtId="0" fontId="107" fillId="28" borderId="383" xfId="52" applyNumberFormat="1" applyFont="1" applyFill="1" applyBorder="1" applyAlignment="1">
      <alignment horizontal="center" vertical="center"/>
    </xf>
    <xf numFmtId="191" fontId="44" fillId="28" borderId="383" xfId="52" applyNumberFormat="1" applyFont="1" applyFill="1" applyBorder="1" applyAlignment="1">
      <alignment horizontal="center" vertical="center"/>
    </xf>
    <xf numFmtId="196" fontId="44" fillId="28" borderId="383" xfId="52" applyNumberFormat="1" applyFont="1" applyFill="1" applyBorder="1" applyAlignment="1">
      <alignment horizontal="center" vertical="center"/>
    </xf>
    <xf numFmtId="196" fontId="44" fillId="28" borderId="386" xfId="52" applyNumberFormat="1" applyFont="1" applyFill="1" applyBorder="1" applyAlignment="1">
      <alignment horizontal="center" vertical="center"/>
    </xf>
    <xf numFmtId="191" fontId="79" fillId="8" borderId="355" xfId="57" applyNumberFormat="1" applyFont="1" applyFill="1" applyBorder="1" applyAlignment="1">
      <alignment horizontal="center" vertical="center"/>
    </xf>
    <xf numFmtId="205" fontId="79" fillId="8" borderId="356" xfId="57" applyNumberFormat="1" applyFont="1" applyFill="1" applyBorder="1" applyAlignment="1">
      <alignment horizontal="center" vertical="center"/>
    </xf>
    <xf numFmtId="205" fontId="79" fillId="8" borderId="357" xfId="57" applyNumberFormat="1" applyFont="1" applyFill="1" applyBorder="1" applyAlignment="1">
      <alignment horizontal="center" vertical="center"/>
    </xf>
    <xf numFmtId="0" fontId="74" fillId="13" borderId="378" xfId="57" applyFont="1" applyFill="1" applyBorder="1" applyAlignment="1">
      <alignment horizontal="right" vertical="center"/>
    </xf>
    <xf numFmtId="196" fontId="76" fillId="4" borderId="0" xfId="52" applyNumberFormat="1" applyFont="1" applyFill="1" applyBorder="1" applyAlignment="1">
      <alignment horizontal="center" vertical="center"/>
    </xf>
    <xf numFmtId="196" fontId="78" fillId="4" borderId="0" xfId="52" applyNumberFormat="1" applyFont="1" applyFill="1" applyBorder="1" applyAlignment="1">
      <alignment horizontal="center" vertical="center"/>
    </xf>
    <xf numFmtId="196" fontId="44" fillId="4" borderId="0" xfId="52" applyNumberFormat="1" applyFont="1" applyFill="1" applyBorder="1" applyAlignment="1">
      <alignment horizontal="center" vertical="center"/>
    </xf>
    <xf numFmtId="196" fontId="43" fillId="23" borderId="346" xfId="52" applyNumberFormat="1" applyFont="1" applyFill="1" applyBorder="1" applyAlignment="1">
      <alignment horizontal="right" vertical="center"/>
    </xf>
    <xf numFmtId="0" fontId="43" fillId="23" borderId="347" xfId="52" applyNumberFormat="1" applyFont="1" applyFill="1" applyBorder="1" applyAlignment="1">
      <alignment horizontal="center" vertical="center"/>
    </xf>
    <xf numFmtId="165" fontId="79" fillId="23" borderId="347" xfId="52" applyNumberFormat="1" applyFont="1" applyFill="1" applyBorder="1" applyAlignment="1">
      <alignment horizontal="left" vertical="center"/>
    </xf>
    <xf numFmtId="196" fontId="43" fillId="23" borderId="347" xfId="52" applyNumberFormat="1" applyFont="1" applyFill="1" applyBorder="1" applyAlignment="1">
      <alignment horizontal="center" vertical="center"/>
    </xf>
    <xf numFmtId="165" fontId="79" fillId="23" borderId="348" xfId="52" applyNumberFormat="1" applyFont="1" applyFill="1" applyBorder="1" applyAlignment="1">
      <alignment horizontal="left" vertical="center"/>
    </xf>
    <xf numFmtId="173" fontId="57" fillId="13" borderId="378" xfId="52" applyNumberFormat="1" applyFont="1" applyFill="1" applyBorder="1" applyAlignment="1">
      <alignment horizontal="center" vertical="center"/>
    </xf>
    <xf numFmtId="196" fontId="76" fillId="47" borderId="391" xfId="52" applyNumberFormat="1" applyFont="1" applyFill="1" applyBorder="1" applyAlignment="1">
      <alignment horizontal="center" vertical="center"/>
    </xf>
    <xf numFmtId="196" fontId="76" fillId="7" borderId="380" xfId="52" applyNumberFormat="1" applyFont="1" applyFill="1" applyBorder="1" applyAlignment="1">
      <alignment horizontal="center" vertical="center"/>
    </xf>
    <xf numFmtId="0" fontId="43" fillId="28" borderId="392" xfId="52" applyNumberFormat="1" applyFont="1" applyFill="1" applyBorder="1" applyAlignment="1">
      <alignment horizontal="center" vertical="center"/>
    </xf>
    <xf numFmtId="0" fontId="107" fillId="28" borderId="393" xfId="52" applyNumberFormat="1" applyFont="1" applyFill="1" applyBorder="1" applyAlignment="1">
      <alignment horizontal="center" vertical="center"/>
    </xf>
    <xf numFmtId="196" fontId="76" fillId="7" borderId="393" xfId="52" applyNumberFormat="1" applyFont="1" applyFill="1" applyBorder="1" applyAlignment="1">
      <alignment horizontal="center" vertical="center"/>
    </xf>
    <xf numFmtId="196" fontId="44" fillId="28" borderId="393" xfId="52" applyNumberFormat="1" applyFont="1" applyFill="1" applyBorder="1" applyAlignment="1">
      <alignment horizontal="center" vertical="center"/>
    </xf>
    <xf numFmtId="196" fontId="76" fillId="25" borderId="393" xfId="52" applyNumberFormat="1" applyFont="1" applyFill="1" applyBorder="1" applyAlignment="1">
      <alignment horizontal="center" vertical="center"/>
    </xf>
    <xf numFmtId="165" fontId="44" fillId="28" borderId="393" xfId="0" applyNumberFormat="1" applyFont="1" applyFill="1" applyBorder="1" applyAlignment="1">
      <alignment horizontal="center" vertical="center"/>
    </xf>
    <xf numFmtId="196" fontId="44" fillId="28" borderId="394" xfId="52" applyNumberFormat="1" applyFont="1" applyFill="1" applyBorder="1" applyAlignment="1">
      <alignment horizontal="center" vertical="center"/>
    </xf>
    <xf numFmtId="196" fontId="76" fillId="7" borderId="389" xfId="52" applyNumberFormat="1" applyFont="1" applyFill="1" applyBorder="1" applyAlignment="1">
      <alignment horizontal="center" vertical="center"/>
    </xf>
    <xf numFmtId="205" fontId="76" fillId="30" borderId="389" xfId="0" applyNumberFormat="1" applyFont="1" applyFill="1" applyBorder="1" applyAlignment="1">
      <alignment horizontal="center" vertical="center"/>
    </xf>
    <xf numFmtId="205" fontId="76" fillId="30" borderId="390" xfId="0" applyNumberFormat="1" applyFont="1" applyFill="1" applyBorder="1" applyAlignment="1">
      <alignment horizontal="center" vertical="center"/>
    </xf>
    <xf numFmtId="0" fontId="76" fillId="20" borderId="395" xfId="0" applyNumberFormat="1" applyFont="1" applyFill="1" applyBorder="1" applyAlignment="1">
      <alignment horizontal="right" vertical="center"/>
    </xf>
    <xf numFmtId="207" fontId="76" fillId="20" borderId="283" xfId="0" applyNumberFormat="1" applyFont="1" applyFill="1" applyBorder="1" applyAlignment="1">
      <alignment horizontal="center" vertical="center"/>
    </xf>
    <xf numFmtId="191" fontId="76" fillId="31" borderId="395" xfId="0" applyNumberFormat="1" applyFont="1" applyFill="1" applyBorder="1" applyAlignment="1">
      <alignment horizontal="center" vertical="center"/>
    </xf>
    <xf numFmtId="196" fontId="76" fillId="7" borderId="283" xfId="52" applyNumberFormat="1" applyFont="1" applyFill="1" applyBorder="1" applyAlignment="1">
      <alignment horizontal="center" vertical="center"/>
    </xf>
    <xf numFmtId="196" fontId="138" fillId="25" borderId="283" xfId="52" applyNumberFormat="1" applyFont="1" applyFill="1" applyBorder="1" applyAlignment="1">
      <alignment horizontal="center" vertical="center"/>
    </xf>
    <xf numFmtId="196" fontId="76" fillId="25" borderId="396" xfId="52" applyNumberFormat="1" applyFont="1" applyFill="1" applyBorder="1" applyAlignment="1">
      <alignment horizontal="center" vertical="center"/>
    </xf>
    <xf numFmtId="205" fontId="76" fillId="30" borderId="283" xfId="0" applyNumberFormat="1" applyFont="1" applyFill="1" applyBorder="1" applyAlignment="1">
      <alignment horizontal="center" vertical="center"/>
    </xf>
    <xf numFmtId="205" fontId="76" fillId="30" borderId="396" xfId="0" applyNumberFormat="1" applyFont="1" applyFill="1" applyBorder="1" applyAlignment="1">
      <alignment horizontal="center" vertical="center"/>
    </xf>
    <xf numFmtId="196" fontId="43" fillId="8" borderId="388" xfId="52" applyNumberFormat="1" applyFont="1" applyFill="1" applyBorder="1" applyAlignment="1">
      <alignment horizontal="center" vertical="center"/>
    </xf>
    <xf numFmtId="0" fontId="107" fillId="8" borderId="389" xfId="52" applyNumberFormat="1" applyFont="1" applyFill="1" applyBorder="1" applyAlignment="1">
      <alignment horizontal="center" vertical="center"/>
    </xf>
    <xf numFmtId="228" fontId="107" fillId="8" borderId="389" xfId="52" quotePrefix="1" applyNumberFormat="1" applyFont="1" applyFill="1" applyBorder="1" applyAlignment="1">
      <alignment horizontal="center" vertical="center"/>
    </xf>
    <xf numFmtId="196" fontId="107" fillId="8" borderId="389" xfId="52" quotePrefix="1" applyNumberFormat="1" applyFont="1" applyFill="1" applyBorder="1" applyAlignment="1">
      <alignment horizontal="center" vertical="center"/>
    </xf>
    <xf numFmtId="196" fontId="107" fillId="8" borderId="389" xfId="52" applyNumberFormat="1" applyFont="1" applyFill="1" applyBorder="1" applyAlignment="1">
      <alignment horizontal="center" vertical="center"/>
    </xf>
    <xf numFmtId="196" fontId="133" fillId="8" borderId="389" xfId="52" applyNumberFormat="1" applyFont="1" applyFill="1" applyBorder="1" applyAlignment="1">
      <alignment horizontal="center" vertical="center"/>
    </xf>
    <xf numFmtId="196" fontId="133" fillId="8" borderId="390" xfId="52" applyNumberFormat="1" applyFont="1" applyFill="1" applyBorder="1" applyAlignment="1">
      <alignment horizontal="center" vertical="center"/>
    </xf>
    <xf numFmtId="218" fontId="78" fillId="20" borderId="400" xfId="0" applyNumberFormat="1" applyFont="1" applyFill="1" applyBorder="1" applyAlignment="1">
      <alignment horizontal="center" vertical="center"/>
    </xf>
    <xf numFmtId="0" fontId="57" fillId="20" borderId="283" xfId="52" applyNumberFormat="1" applyFont="1" applyFill="1" applyBorder="1" applyAlignment="1">
      <alignment horizontal="center" vertical="center"/>
    </xf>
    <xf numFmtId="196" fontId="78" fillId="25" borderId="283" xfId="52" applyNumberFormat="1" applyFont="1" applyFill="1" applyBorder="1" applyAlignment="1">
      <alignment horizontal="center" vertical="center"/>
    </xf>
    <xf numFmtId="219" fontId="78" fillId="20" borderId="400" xfId="0" applyNumberFormat="1" applyFont="1" applyFill="1" applyBorder="1" applyAlignment="1">
      <alignment horizontal="center" vertical="center"/>
    </xf>
    <xf numFmtId="220" fontId="78" fillId="20" borderId="401" xfId="0" applyNumberFormat="1" applyFont="1" applyFill="1" applyBorder="1" applyAlignment="1">
      <alignment horizontal="center" vertical="center"/>
    </xf>
    <xf numFmtId="0" fontId="57" fillId="20" borderId="342" xfId="52" applyNumberFormat="1" applyFont="1" applyFill="1" applyBorder="1" applyAlignment="1">
      <alignment horizontal="center" vertical="center"/>
    </xf>
    <xf numFmtId="196" fontId="78" fillId="7" borderId="342" xfId="52" applyNumberFormat="1" applyFont="1" applyFill="1" applyBorder="1" applyAlignment="1">
      <alignment horizontal="center" vertical="center"/>
    </xf>
    <xf numFmtId="196" fontId="78" fillId="25" borderId="342" xfId="52" applyNumberFormat="1" applyFont="1" applyFill="1" applyBorder="1" applyAlignment="1">
      <alignment horizontal="center" vertical="center"/>
    </xf>
    <xf numFmtId="196" fontId="76" fillId="25" borderId="402" xfId="52" applyNumberFormat="1" applyFont="1" applyFill="1" applyBorder="1" applyAlignment="1">
      <alignment horizontal="center" vertical="center"/>
    </xf>
    <xf numFmtId="209" fontId="76" fillId="20" borderId="395" xfId="52" applyNumberFormat="1" applyFont="1" applyFill="1" applyBorder="1" applyAlignment="1">
      <alignment horizontal="center" vertical="center"/>
    </xf>
    <xf numFmtId="196" fontId="78" fillId="7" borderId="283" xfId="52" applyNumberFormat="1" applyFont="1" applyFill="1" applyBorder="1" applyAlignment="1">
      <alignment horizontal="center" vertical="center"/>
    </xf>
    <xf numFmtId="196" fontId="76" fillId="7" borderId="396" xfId="52" applyNumberFormat="1" applyFont="1" applyFill="1" applyBorder="1" applyAlignment="1">
      <alignment horizontal="center" vertical="center"/>
    </xf>
    <xf numFmtId="210" fontId="74" fillId="20" borderId="395" xfId="57" applyNumberFormat="1" applyFont="1" applyFill="1" applyBorder="1" applyAlignment="1">
      <alignment horizontal="center" vertical="center"/>
    </xf>
    <xf numFmtId="211" fontId="78" fillId="20" borderId="395" xfId="52" applyNumberFormat="1" applyFont="1" applyFill="1" applyBorder="1" applyAlignment="1">
      <alignment horizontal="center" vertical="center"/>
    </xf>
    <xf numFmtId="212" fontId="78" fillId="20" borderId="395" xfId="52" applyNumberFormat="1" applyFont="1" applyFill="1" applyBorder="1" applyAlignment="1">
      <alignment horizontal="center" vertical="center"/>
    </xf>
    <xf numFmtId="196" fontId="78" fillId="7" borderId="396" xfId="52" applyNumberFormat="1" applyFont="1" applyFill="1" applyBorder="1" applyAlignment="1">
      <alignment horizontal="center" vertical="center"/>
    </xf>
    <xf numFmtId="229" fontId="78" fillId="20" borderId="395" xfId="52" applyNumberFormat="1" applyFont="1" applyFill="1" applyBorder="1" applyAlignment="1">
      <alignment horizontal="center" vertical="center"/>
    </xf>
    <xf numFmtId="214" fontId="78" fillId="20" borderId="403" xfId="52" applyNumberFormat="1" applyFont="1" applyFill="1" applyBorder="1" applyAlignment="1">
      <alignment horizontal="center" vertical="center"/>
    </xf>
    <xf numFmtId="196" fontId="78" fillId="7" borderId="402" xfId="52" applyNumberFormat="1" applyFont="1" applyFill="1" applyBorder="1" applyAlignment="1">
      <alignment horizontal="center" vertical="center"/>
    </xf>
    <xf numFmtId="218" fontId="78" fillId="20" borderId="404" xfId="0" applyNumberFormat="1" applyFont="1" applyFill="1" applyBorder="1" applyAlignment="1">
      <alignment horizontal="center" vertical="center"/>
    </xf>
    <xf numFmtId="0" fontId="57" fillId="20" borderId="387" xfId="52" applyNumberFormat="1" applyFont="1" applyFill="1" applyBorder="1" applyAlignment="1">
      <alignment horizontal="center" vertical="center"/>
    </xf>
    <xf numFmtId="191" fontId="76" fillId="31" borderId="405" xfId="51" applyNumberFormat="1" applyFont="1" applyFill="1" applyBorder="1" applyAlignment="1">
      <alignment horizontal="center" vertical="center"/>
    </xf>
    <xf numFmtId="196" fontId="76" fillId="7" borderId="344" xfId="52" applyNumberFormat="1" applyFont="1" applyFill="1" applyBorder="1" applyAlignment="1">
      <alignment horizontal="center" vertical="center"/>
    </xf>
    <xf numFmtId="196" fontId="76" fillId="7" borderId="382" xfId="52" applyNumberFormat="1" applyFont="1" applyFill="1" applyBorder="1" applyAlignment="1">
      <alignment horizontal="center" vertical="center"/>
    </xf>
    <xf numFmtId="191" fontId="76" fillId="31" borderId="406" xfId="51" applyNumberFormat="1" applyFont="1" applyFill="1" applyBorder="1" applyAlignment="1">
      <alignment horizontal="center" vertical="center"/>
    </xf>
    <xf numFmtId="191" fontId="76" fillId="31" borderId="407" xfId="51" applyNumberFormat="1" applyFont="1" applyFill="1" applyBorder="1" applyAlignment="1">
      <alignment horizontal="center" vertical="center"/>
    </xf>
    <xf numFmtId="196" fontId="76" fillId="7" borderId="342" xfId="52" applyNumberFormat="1" applyFont="1" applyFill="1" applyBorder="1" applyAlignment="1">
      <alignment horizontal="center" vertical="center"/>
    </xf>
    <xf numFmtId="196" fontId="76" fillId="7" borderId="402" xfId="52" applyNumberFormat="1" applyFont="1" applyFill="1" applyBorder="1" applyAlignment="1">
      <alignment horizontal="center" vertical="center"/>
    </xf>
    <xf numFmtId="191" fontId="76" fillId="13" borderId="406" xfId="51" applyNumberFormat="1" applyFont="1" applyFill="1" applyBorder="1" applyAlignment="1">
      <alignment horizontal="center" vertical="center"/>
    </xf>
    <xf numFmtId="191" fontId="78" fillId="13" borderId="283" xfId="51" applyNumberFormat="1" applyFont="1" applyFill="1" applyBorder="1" applyAlignment="1">
      <alignment horizontal="center" vertical="center"/>
    </xf>
    <xf numFmtId="191" fontId="78" fillId="13" borderId="342" xfId="51" applyNumberFormat="1" applyFont="1" applyFill="1" applyBorder="1" applyAlignment="1">
      <alignment horizontal="center" vertical="center"/>
    </xf>
    <xf numFmtId="191" fontId="138" fillId="13" borderId="283" xfId="0" applyNumberFormat="1" applyFont="1" applyFill="1" applyBorder="1" applyAlignment="1">
      <alignment horizontal="center" vertical="center"/>
    </xf>
    <xf numFmtId="196" fontId="138" fillId="7" borderId="283" xfId="52" applyNumberFormat="1" applyFont="1" applyFill="1" applyBorder="1" applyAlignment="1">
      <alignment horizontal="center" vertical="center"/>
    </xf>
    <xf numFmtId="191" fontId="76" fillId="13" borderId="388" xfId="0" applyNumberFormat="1" applyFont="1" applyFill="1" applyBorder="1" applyAlignment="1">
      <alignment horizontal="center" vertical="center"/>
    </xf>
    <xf numFmtId="191" fontId="76" fillId="13" borderId="395" xfId="0" applyNumberFormat="1" applyFont="1" applyFill="1" applyBorder="1" applyAlignment="1">
      <alignment horizontal="center" vertical="center"/>
    </xf>
    <xf numFmtId="196" fontId="43" fillId="8" borderId="409" xfId="52" applyNumberFormat="1" applyFont="1" applyFill="1" applyBorder="1" applyAlignment="1">
      <alignment horizontal="center" vertical="center"/>
    </xf>
    <xf numFmtId="0" fontId="78" fillId="20" borderId="395" xfId="0" applyNumberFormat="1" applyFont="1" applyFill="1" applyBorder="1" applyAlignment="1">
      <alignment horizontal="right" vertical="center"/>
    </xf>
    <xf numFmtId="207" fontId="78" fillId="20" borderId="283" xfId="0" applyNumberFormat="1" applyFont="1" applyFill="1" applyBorder="1" applyAlignment="1">
      <alignment horizontal="center" vertical="center"/>
    </xf>
    <xf numFmtId="196" fontId="125" fillId="25" borderId="283" xfId="52" applyNumberFormat="1" applyFont="1" applyFill="1" applyBorder="1" applyAlignment="1">
      <alignment horizontal="center" vertical="center"/>
    </xf>
    <xf numFmtId="196" fontId="78" fillId="25" borderId="396" xfId="52" applyNumberFormat="1" applyFont="1" applyFill="1" applyBorder="1" applyAlignment="1">
      <alignment horizontal="center" vertical="center"/>
    </xf>
    <xf numFmtId="191" fontId="78" fillId="13" borderId="395" xfId="0" applyNumberFormat="1" applyFont="1" applyFill="1" applyBorder="1" applyAlignment="1">
      <alignment horizontal="center" vertical="center"/>
    </xf>
    <xf numFmtId="205" fontId="78" fillId="30" borderId="283" xfId="0" applyNumberFormat="1" applyFont="1" applyFill="1" applyBorder="1" applyAlignment="1">
      <alignment horizontal="center" vertical="center"/>
    </xf>
    <xf numFmtId="196" fontId="125" fillId="25" borderId="398" xfId="52" applyNumberFormat="1" applyFont="1" applyFill="1" applyBorder="1" applyAlignment="1">
      <alignment horizontal="center" vertical="center"/>
    </xf>
    <xf numFmtId="191" fontId="78" fillId="13" borderId="397" xfId="0" applyNumberFormat="1" applyFont="1" applyFill="1" applyBorder="1" applyAlignment="1">
      <alignment horizontal="center" vertical="center"/>
    </xf>
    <xf numFmtId="205" fontId="78" fillId="30" borderId="398" xfId="0" applyNumberFormat="1" applyFont="1" applyFill="1" applyBorder="1" applyAlignment="1">
      <alignment horizontal="center" vertical="center"/>
    </xf>
    <xf numFmtId="196" fontId="137" fillId="8" borderId="410" xfId="52" applyNumberFormat="1" applyFont="1" applyFill="1" applyBorder="1" applyAlignment="1">
      <alignment horizontal="center" vertical="center"/>
    </xf>
    <xf numFmtId="164" fontId="140" fillId="0" borderId="0" xfId="0" applyFont="1"/>
    <xf numFmtId="0" fontId="141" fillId="0" borderId="0" xfId="0" applyNumberFormat="1" applyFont="1"/>
    <xf numFmtId="164" fontId="106" fillId="0" borderId="0" xfId="0" applyFont="1"/>
    <xf numFmtId="164" fontId="141" fillId="0" borderId="0" xfId="0" applyFont="1"/>
    <xf numFmtId="187" fontId="77" fillId="20" borderId="0" xfId="1" applyNumberFormat="1" applyFont="1" applyFill="1" applyBorder="1" applyAlignment="1" applyProtection="1">
      <alignment horizontal="right" vertical="center"/>
      <protection locked="0"/>
    </xf>
    <xf numFmtId="165" fontId="28" fillId="8" borderId="323" xfId="0" applyNumberFormat="1" applyFont="1" applyFill="1" applyBorder="1" applyAlignment="1">
      <alignment horizontal="center" vertical="center"/>
    </xf>
    <xf numFmtId="165" fontId="80" fillId="16" borderId="0" xfId="0" applyNumberFormat="1" applyFont="1" applyFill="1" applyBorder="1" applyAlignment="1">
      <alignment horizontal="center" vertical="center"/>
    </xf>
    <xf numFmtId="40" fontId="80" fillId="16" borderId="0" xfId="0" applyNumberFormat="1" applyFont="1" applyFill="1" applyBorder="1" applyAlignment="1">
      <alignment horizontal="left" vertical="center"/>
    </xf>
    <xf numFmtId="227" fontId="80" fillId="16" borderId="0" xfId="0" applyNumberFormat="1" applyFont="1" applyFill="1" applyBorder="1" applyAlignment="1">
      <alignment horizontal="right" vertical="center"/>
    </xf>
    <xf numFmtId="191" fontId="107" fillId="8" borderId="345" xfId="57" applyNumberFormat="1" applyFont="1" applyFill="1" applyBorder="1" applyAlignment="1">
      <alignment horizontal="center" vertical="center"/>
    </xf>
    <xf numFmtId="205" fontId="79" fillId="8" borderId="379" xfId="57" applyNumberFormat="1" applyFont="1" applyFill="1" applyBorder="1" applyAlignment="1">
      <alignment horizontal="center" vertical="center"/>
    </xf>
    <xf numFmtId="205" fontId="79" fillId="8" borderId="412" xfId="57" applyNumberFormat="1" applyFont="1" applyFill="1" applyBorder="1" applyAlignment="1">
      <alignment horizontal="center" vertical="center"/>
    </xf>
    <xf numFmtId="191" fontId="78" fillId="31" borderId="283" xfId="0" applyNumberFormat="1" applyFont="1" applyFill="1" applyBorder="1" applyAlignment="1">
      <alignment horizontal="center" vertical="center"/>
    </xf>
    <xf numFmtId="191" fontId="78" fillId="31" borderId="398" xfId="0" applyNumberFormat="1" applyFont="1" applyFill="1" applyBorder="1" applyAlignment="1">
      <alignment horizontal="center" vertical="center"/>
    </xf>
    <xf numFmtId="205" fontId="78" fillId="25" borderId="396" xfId="0" applyNumberFormat="1" applyFont="1" applyFill="1" applyBorder="1" applyAlignment="1">
      <alignment horizontal="center" vertical="center"/>
    </xf>
    <xf numFmtId="205" fontId="78" fillId="25" borderId="399" xfId="0" applyNumberFormat="1" applyFont="1" applyFill="1" applyBorder="1" applyAlignment="1">
      <alignment horizontal="center" vertical="center"/>
    </xf>
    <xf numFmtId="227" fontId="19" fillId="40" borderId="0" xfId="0" applyNumberFormat="1" applyFont="1" applyFill="1" applyBorder="1" applyAlignment="1">
      <alignment horizontal="center" vertical="center"/>
    </xf>
    <xf numFmtId="227" fontId="90" fillId="8" borderId="0" xfId="1" applyNumberFormat="1" applyFont="1" applyFill="1" applyBorder="1" applyAlignment="1" applyProtection="1">
      <alignment horizontal="center" vertical="center"/>
      <protection locked="0"/>
    </xf>
    <xf numFmtId="227" fontId="136" fillId="8" borderId="0" xfId="1" applyNumberFormat="1" applyFont="1" applyFill="1" applyBorder="1" applyAlignment="1" applyProtection="1">
      <alignment horizontal="right" vertical="center"/>
      <protection locked="0"/>
    </xf>
    <xf numFmtId="191" fontId="125" fillId="20" borderId="283" xfId="0" applyNumberFormat="1" applyFont="1" applyFill="1" applyBorder="1" applyAlignment="1">
      <alignment horizontal="center" vertical="center"/>
    </xf>
    <xf numFmtId="191" fontId="125" fillId="20" borderId="398" xfId="0" applyNumberFormat="1" applyFont="1" applyFill="1" applyBorder="1" applyAlignment="1">
      <alignment horizontal="center" vertical="center"/>
    </xf>
    <xf numFmtId="196" fontId="125" fillId="20" borderId="283" xfId="52" applyNumberFormat="1" applyFont="1" applyFill="1" applyBorder="1" applyAlignment="1">
      <alignment horizontal="center" vertical="center"/>
    </xf>
    <xf numFmtId="196" fontId="125" fillId="20" borderId="398" xfId="52" applyNumberFormat="1" applyFont="1" applyFill="1" applyBorder="1" applyAlignment="1">
      <alignment horizontal="center" vertical="center"/>
    </xf>
    <xf numFmtId="0" fontId="76" fillId="31" borderId="395" xfId="0" applyNumberFormat="1" applyFont="1" applyFill="1" applyBorder="1" applyAlignment="1">
      <alignment horizontal="right" vertical="center"/>
    </xf>
    <xf numFmtId="207" fontId="76" fillId="31" borderId="283" xfId="0" applyNumberFormat="1" applyFont="1" applyFill="1" applyBorder="1" applyAlignment="1">
      <alignment horizontal="center" vertical="center"/>
    </xf>
    <xf numFmtId="207" fontId="76" fillId="31" borderId="398" xfId="0" applyNumberFormat="1" applyFont="1" applyFill="1" applyBorder="1" applyAlignment="1">
      <alignment horizontal="center" vertical="center"/>
    </xf>
    <xf numFmtId="196" fontId="78" fillId="25" borderId="398" xfId="52" applyNumberFormat="1" applyFont="1" applyFill="1" applyBorder="1" applyAlignment="1">
      <alignment horizontal="center" vertical="center"/>
    </xf>
    <xf numFmtId="196" fontId="43" fillId="8" borderId="410" xfId="52" applyNumberFormat="1" applyFont="1" applyFill="1" applyBorder="1" applyAlignment="1">
      <alignment horizontal="center" vertical="center"/>
    </xf>
    <xf numFmtId="191" fontId="79" fillId="8" borderId="411" xfId="57" applyNumberFormat="1" applyFont="1" applyFill="1" applyBorder="1" applyAlignment="1">
      <alignment horizontal="center" vertical="center"/>
    </xf>
    <xf numFmtId="174" fontId="26" fillId="8" borderId="0" xfId="1" applyNumberFormat="1" applyFont="1" applyFill="1" applyBorder="1" applyAlignment="1" applyProtection="1">
      <alignment horizontal="center" vertical="center"/>
      <protection locked="0"/>
    </xf>
    <xf numFmtId="176" fontId="15" fillId="21" borderId="338" xfId="60" applyNumberFormat="1" applyFont="1" applyFill="1" applyBorder="1" applyAlignment="1">
      <alignment horizontal="center" vertical="center"/>
    </xf>
    <xf numFmtId="176" fontId="15" fillId="21" borderId="339" xfId="60" applyNumberFormat="1" applyFont="1" applyFill="1" applyBorder="1" applyAlignment="1">
      <alignment horizontal="center" vertical="center"/>
    </xf>
    <xf numFmtId="196" fontId="43" fillId="8" borderId="410" xfId="52" applyNumberFormat="1" applyFont="1" applyFill="1" applyBorder="1" applyAlignment="1">
      <alignment horizontal="center" vertical="center"/>
    </xf>
    <xf numFmtId="227" fontId="90" fillId="8" borderId="0" xfId="1" applyNumberFormat="1" applyFont="1" applyFill="1" applyBorder="1" applyAlignment="1" applyProtection="1">
      <alignment horizontal="right" vertical="center"/>
      <protection locked="0"/>
    </xf>
    <xf numFmtId="231" fontId="77" fillId="20" borderId="415" xfId="1" applyNumberFormat="1" applyFont="1" applyFill="1" applyBorder="1" applyAlignment="1" applyProtection="1">
      <alignment horizontal="right" vertical="center"/>
      <protection locked="0"/>
    </xf>
    <xf numFmtId="227" fontId="19" fillId="38" borderId="0" xfId="0" applyNumberFormat="1" applyFont="1" applyFill="1" applyBorder="1" applyAlignment="1">
      <alignment horizontal="center" vertical="center"/>
    </xf>
    <xf numFmtId="228" fontId="107" fillId="8" borderId="389" xfId="52" applyNumberFormat="1" applyFont="1" applyFill="1" applyBorder="1" applyAlignment="1">
      <alignment horizontal="center" vertical="center"/>
    </xf>
    <xf numFmtId="212" fontId="76" fillId="20" borderId="395" xfId="52" applyNumberFormat="1" applyFont="1" applyFill="1" applyBorder="1" applyAlignment="1">
      <alignment horizontal="center" vertical="center"/>
    </xf>
    <xf numFmtId="0" fontId="77" fillId="20" borderId="283" xfId="52" applyNumberFormat="1" applyFont="1" applyFill="1" applyBorder="1" applyAlignment="1">
      <alignment horizontal="center" vertical="center"/>
    </xf>
    <xf numFmtId="210" fontId="32" fillId="20" borderId="395" xfId="57" applyNumberFormat="1" applyFont="1" applyFill="1" applyBorder="1" applyAlignment="1">
      <alignment horizontal="center" vertical="center"/>
    </xf>
    <xf numFmtId="211" fontId="76" fillId="20" borderId="395" xfId="52" applyNumberFormat="1" applyFont="1" applyFill="1" applyBorder="1" applyAlignment="1">
      <alignment horizontal="center" vertical="center"/>
    </xf>
    <xf numFmtId="205" fontId="78" fillId="7" borderId="283" xfId="52" applyNumberFormat="1" applyFont="1" applyFill="1" applyBorder="1" applyAlignment="1">
      <alignment horizontal="center" vertical="center"/>
    </xf>
    <xf numFmtId="3" fontId="30" fillId="11" borderId="245" xfId="55" applyNumberFormat="1" applyFont="1" applyFill="1" applyBorder="1" applyAlignment="1">
      <alignment horizontal="center" vertical="center"/>
    </xf>
    <xf numFmtId="3" fontId="30" fillId="11" borderId="183" xfId="55" applyNumberFormat="1" applyFont="1" applyFill="1" applyBorder="1" applyAlignment="1">
      <alignment horizontal="center" vertical="center"/>
    </xf>
    <xf numFmtId="3" fontId="30" fillId="11" borderId="244" xfId="55" applyNumberFormat="1" applyFont="1" applyFill="1" applyBorder="1" applyAlignment="1">
      <alignment horizontal="center" vertical="center"/>
    </xf>
    <xf numFmtId="0" fontId="30" fillId="11" borderId="245" xfId="55" applyNumberFormat="1" applyFont="1" applyFill="1" applyBorder="1" applyAlignment="1">
      <alignment horizontal="center" vertical="center"/>
    </xf>
    <xf numFmtId="0" fontId="30" fillId="11" borderId="183" xfId="55" applyNumberFormat="1" applyFont="1" applyFill="1" applyBorder="1" applyAlignment="1">
      <alignment horizontal="center" vertical="center"/>
    </xf>
    <xf numFmtId="0" fontId="30" fillId="11" borderId="244" xfId="55" applyNumberFormat="1" applyFont="1" applyFill="1" applyBorder="1" applyAlignment="1">
      <alignment horizontal="center" vertical="center"/>
    </xf>
    <xf numFmtId="4" fontId="25" fillId="20" borderId="194" xfId="17" quotePrefix="1" applyNumberFormat="1" applyFont="1" applyFill="1" applyBorder="1" applyAlignment="1">
      <alignment horizontal="center" vertical="center"/>
    </xf>
    <xf numFmtId="3" fontId="24" fillId="20" borderId="194" xfId="17" applyNumberFormat="1" applyFont="1" applyFill="1" applyBorder="1" applyAlignment="1">
      <alignment horizontal="center" vertical="center"/>
    </xf>
    <xf numFmtId="164" fontId="100" fillId="8" borderId="0" xfId="17" applyFont="1" applyFill="1" applyBorder="1" applyAlignment="1">
      <alignment horizontal="center" vertical="center"/>
    </xf>
    <xf numFmtId="164" fontId="100" fillId="8" borderId="3" xfId="17" applyFont="1" applyFill="1" applyBorder="1" applyAlignment="1">
      <alignment horizontal="center" vertical="center"/>
    </xf>
    <xf numFmtId="164" fontId="15" fillId="23" borderId="0" xfId="56" applyNumberFormat="1" applyFont="1" applyFill="1" applyBorder="1" applyAlignment="1">
      <alignment horizontal="center" vertical="center"/>
    </xf>
    <xf numFmtId="164" fontId="26" fillId="37" borderId="0" xfId="50" applyNumberFormat="1" applyFont="1" applyFill="1" applyBorder="1" applyAlignment="1">
      <alignment horizontal="center" vertical="center"/>
    </xf>
    <xf numFmtId="164" fontId="28" fillId="37" borderId="0" xfId="50" applyNumberFormat="1" applyFont="1" applyFill="1" applyBorder="1" applyAlignment="1">
      <alignment horizontal="center" vertical="center"/>
    </xf>
    <xf numFmtId="2" fontId="19" fillId="39" borderId="206" xfId="51" applyNumberFormat="1" applyFont="1" applyFill="1" applyBorder="1" applyAlignment="1">
      <alignment horizontal="center" vertical="center"/>
    </xf>
    <xf numFmtId="2" fontId="19" fillId="39" borderId="208" xfId="51" applyNumberFormat="1" applyFont="1" applyFill="1" applyBorder="1" applyAlignment="1">
      <alignment horizontal="center" vertical="center"/>
    </xf>
    <xf numFmtId="2" fontId="19" fillId="39" borderId="199" xfId="51" applyNumberFormat="1" applyFont="1" applyFill="1" applyBorder="1" applyAlignment="1">
      <alignment horizontal="center" vertical="center"/>
    </xf>
    <xf numFmtId="164" fontId="28" fillId="37" borderId="254" xfId="50" applyNumberFormat="1" applyFont="1" applyFill="1" applyBorder="1" applyAlignment="1">
      <alignment horizontal="center" vertical="center"/>
    </xf>
    <xf numFmtId="164" fontId="15" fillId="23" borderId="255" xfId="56" applyNumberFormat="1" applyFont="1" applyFill="1" applyBorder="1" applyAlignment="1">
      <alignment horizontal="center" vertical="center"/>
    </xf>
    <xf numFmtId="164" fontId="73" fillId="20" borderId="255" xfId="56" applyNumberFormat="1" applyFont="1" applyFill="1" applyBorder="1" applyAlignment="1">
      <alignment horizontal="center" vertical="center"/>
    </xf>
    <xf numFmtId="164" fontId="83" fillId="23" borderId="255" xfId="56" applyNumberFormat="1" applyFont="1" applyFill="1" applyBorder="1" applyAlignment="1">
      <alignment horizontal="center" vertical="center"/>
    </xf>
    <xf numFmtId="164" fontId="83" fillId="23" borderId="0" xfId="56" applyNumberFormat="1" applyFont="1" applyFill="1" applyBorder="1" applyAlignment="1">
      <alignment horizontal="center" vertical="center"/>
    </xf>
    <xf numFmtId="0" fontId="83" fillId="23" borderId="186" xfId="56" applyFont="1" applyFill="1" applyBorder="1" applyAlignment="1">
      <alignment horizontal="center" vertical="center"/>
    </xf>
    <xf numFmtId="0" fontId="83" fillId="23" borderId="0" xfId="56" applyFont="1" applyFill="1" applyBorder="1" applyAlignment="1">
      <alignment horizontal="center" vertical="center"/>
    </xf>
    <xf numFmtId="164" fontId="83" fillId="0" borderId="196" xfId="56" applyNumberFormat="1" applyFont="1" applyFill="1" applyBorder="1" applyAlignment="1">
      <alignment horizontal="center" vertical="center"/>
    </xf>
    <xf numFmtId="164" fontId="83" fillId="0" borderId="0" xfId="56" applyNumberFormat="1" applyFont="1" applyFill="1" applyBorder="1" applyAlignment="1">
      <alignment horizontal="center" vertical="center"/>
    </xf>
    <xf numFmtId="164" fontId="26" fillId="37" borderId="186" xfId="50" applyNumberFormat="1" applyFont="1" applyFill="1" applyBorder="1" applyAlignment="1">
      <alignment horizontal="center" vertical="center"/>
    </xf>
    <xf numFmtId="164" fontId="83" fillId="23" borderId="272" xfId="56" applyNumberFormat="1" applyFont="1" applyFill="1" applyBorder="1" applyAlignment="1">
      <alignment horizontal="center" vertical="center"/>
    </xf>
    <xf numFmtId="164" fontId="83" fillId="23" borderId="257" xfId="56" applyNumberFormat="1" applyFont="1" applyFill="1" applyBorder="1" applyAlignment="1">
      <alignment horizontal="center" vertical="center"/>
    </xf>
    <xf numFmtId="164" fontId="83" fillId="23" borderId="195" xfId="56" applyNumberFormat="1" applyFont="1" applyFill="1" applyBorder="1" applyAlignment="1">
      <alignment horizontal="center" vertical="center"/>
    </xf>
    <xf numFmtId="164" fontId="84" fillId="13" borderId="257" xfId="56" applyNumberFormat="1" applyFont="1" applyFill="1" applyBorder="1" applyAlignment="1">
      <alignment horizontal="center" vertical="center"/>
    </xf>
    <xf numFmtId="164" fontId="84" fillId="13" borderId="196" xfId="56" applyNumberFormat="1" applyFont="1" applyFill="1" applyBorder="1" applyAlignment="1">
      <alignment horizontal="center" vertical="center"/>
    </xf>
    <xf numFmtId="164" fontId="84" fillId="7" borderId="273" xfId="56" applyNumberFormat="1" applyFont="1" applyFill="1" applyBorder="1" applyAlignment="1">
      <alignment horizontal="center" vertical="center"/>
    </xf>
    <xf numFmtId="164" fontId="84" fillId="7" borderId="274" xfId="56" applyNumberFormat="1" applyFont="1" applyFill="1" applyBorder="1" applyAlignment="1">
      <alignment horizontal="center" vertical="center"/>
    </xf>
    <xf numFmtId="1" fontId="57" fillId="20" borderId="289" xfId="0" applyNumberFormat="1" applyFont="1" applyFill="1" applyBorder="1" applyAlignment="1">
      <alignment horizontal="center" vertical="center"/>
    </xf>
    <xf numFmtId="1" fontId="57" fillId="20" borderId="288" xfId="0" applyNumberFormat="1" applyFont="1" applyFill="1" applyBorder="1" applyAlignment="1">
      <alignment horizontal="center" vertical="center"/>
    </xf>
    <xf numFmtId="1" fontId="57" fillId="20" borderId="184" xfId="0" applyNumberFormat="1" applyFont="1" applyFill="1" applyBorder="1" applyAlignment="1">
      <alignment horizontal="center" vertical="center"/>
    </xf>
    <xf numFmtId="1" fontId="57" fillId="20" borderId="187" xfId="0" applyNumberFormat="1" applyFont="1" applyFill="1" applyBorder="1" applyAlignment="1">
      <alignment horizontal="center" vertical="center"/>
    </xf>
    <xf numFmtId="1" fontId="39" fillId="21" borderId="72" xfId="18" applyNumberFormat="1" applyFont="1" applyFill="1" applyBorder="1" applyAlignment="1" applyProtection="1">
      <alignment horizontal="center" vertical="center"/>
    </xf>
    <xf numFmtId="1" fontId="39" fillId="21" borderId="0" xfId="18" applyNumberFormat="1" applyFont="1" applyFill="1" applyBorder="1" applyAlignment="1" applyProtection="1">
      <alignment horizontal="center" vertical="center"/>
    </xf>
    <xf numFmtId="1" fontId="39" fillId="21" borderId="217" xfId="18" applyNumberFormat="1" applyFont="1" applyFill="1" applyBorder="1" applyAlignment="1" applyProtection="1">
      <alignment horizontal="center" vertical="center"/>
    </xf>
    <xf numFmtId="187" fontId="59" fillId="25" borderId="0" xfId="49" applyNumberFormat="1" applyFont="1" applyFill="1" applyBorder="1" applyAlignment="1">
      <alignment horizontal="center" vertical="center"/>
    </xf>
    <xf numFmtId="187" fontId="59" fillId="25" borderId="193" xfId="49" applyNumberFormat="1" applyFont="1" applyFill="1" applyBorder="1" applyAlignment="1">
      <alignment horizontal="center" vertical="center"/>
    </xf>
    <xf numFmtId="187" fontId="59" fillId="25" borderId="219" xfId="49" applyNumberFormat="1" applyFont="1" applyFill="1" applyBorder="1" applyAlignment="1">
      <alignment horizontal="center" vertical="center"/>
    </xf>
    <xf numFmtId="187" fontId="79" fillId="21" borderId="0" xfId="18" applyNumberFormat="1" applyFont="1" applyFill="1" applyBorder="1" applyAlignment="1">
      <alignment horizontal="center" vertical="center"/>
    </xf>
    <xf numFmtId="2" fontId="79" fillId="17" borderId="0" xfId="18" applyNumberFormat="1" applyFont="1" applyFill="1" applyBorder="1" applyAlignment="1" applyProtection="1">
      <alignment horizontal="center" vertical="center"/>
    </xf>
    <xf numFmtId="187" fontId="59" fillId="25" borderId="218" xfId="49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46" fillId="4" borderId="163" xfId="0" applyNumberFormat="1" applyFont="1" applyFill="1" applyBorder="1" applyAlignment="1">
      <alignment horizontal="center" vertical="center"/>
    </xf>
    <xf numFmtId="165" fontId="46" fillId="4" borderId="123" xfId="0" applyNumberFormat="1" applyFont="1" applyFill="1" applyBorder="1" applyAlignment="1">
      <alignment horizontal="center" vertical="center"/>
    </xf>
    <xf numFmtId="165" fontId="46" fillId="4" borderId="136" xfId="0" applyNumberFormat="1" applyFont="1" applyFill="1" applyBorder="1" applyAlignment="1">
      <alignment horizontal="center" vertical="center"/>
    </xf>
    <xf numFmtId="165" fontId="46" fillId="4" borderId="103" xfId="0" applyNumberFormat="1" applyFont="1" applyFill="1" applyBorder="1" applyAlignment="1">
      <alignment horizontal="center" vertical="center"/>
    </xf>
    <xf numFmtId="165" fontId="82" fillId="14" borderId="239" xfId="0" applyNumberFormat="1" applyFont="1" applyFill="1" applyBorder="1" applyAlignment="1">
      <alignment horizontal="center" vertical="center"/>
    </xf>
    <xf numFmtId="165" fontId="82" fillId="14" borderId="121" xfId="0" applyNumberFormat="1" applyFont="1" applyFill="1" applyBorder="1" applyAlignment="1">
      <alignment horizontal="center" vertical="center"/>
    </xf>
    <xf numFmtId="165" fontId="82" fillId="14" borderId="169" xfId="0" applyNumberFormat="1" applyFont="1" applyFill="1" applyBorder="1" applyAlignment="1">
      <alignment horizontal="center" vertical="center"/>
    </xf>
    <xf numFmtId="165" fontId="82" fillId="14" borderId="121" xfId="0" quotePrefix="1" applyNumberFormat="1" applyFont="1" applyFill="1" applyBorder="1" applyAlignment="1">
      <alignment horizontal="center" vertical="center"/>
    </xf>
    <xf numFmtId="165" fontId="82" fillId="14" borderId="169" xfId="0" quotePrefix="1" applyNumberFormat="1" applyFont="1" applyFill="1" applyBorder="1" applyAlignment="1">
      <alignment horizontal="center" vertical="center"/>
    </xf>
    <xf numFmtId="1" fontId="46" fillId="11" borderId="0" xfId="0" applyNumberFormat="1" applyFont="1" applyFill="1" applyBorder="1" applyAlignment="1">
      <alignment horizontal="center" vertical="center"/>
    </xf>
    <xf numFmtId="1" fontId="46" fillId="11" borderId="137" xfId="0" applyNumberFormat="1" applyFont="1" applyFill="1" applyBorder="1" applyAlignment="1">
      <alignment horizontal="center" vertical="center"/>
    </xf>
    <xf numFmtId="164" fontId="46" fillId="4" borderId="368" xfId="0" applyFont="1" applyFill="1" applyBorder="1" applyAlignment="1">
      <alignment horizontal="center" vertical="center"/>
    </xf>
    <xf numFmtId="164" fontId="46" fillId="4" borderId="369" xfId="0" applyFont="1" applyFill="1" applyBorder="1" applyAlignment="1">
      <alignment horizontal="center" vertical="center"/>
    </xf>
    <xf numFmtId="164" fontId="124" fillId="48" borderId="280" xfId="0" applyFont="1" applyFill="1" applyBorder="1" applyAlignment="1">
      <alignment horizontal="center" vertical="center"/>
    </xf>
    <xf numFmtId="164" fontId="124" fillId="48" borderId="70" xfId="0" applyFont="1" applyFill="1" applyBorder="1" applyAlignment="1">
      <alignment horizontal="center" vertical="center"/>
    </xf>
    <xf numFmtId="164" fontId="130" fillId="48" borderId="55" xfId="0" applyFont="1" applyFill="1" applyBorder="1" applyAlignment="1">
      <alignment horizontal="center" vertical="center"/>
    </xf>
    <xf numFmtId="164" fontId="130" fillId="48" borderId="72" xfId="0" applyFont="1" applyFill="1" applyBorder="1" applyAlignment="1">
      <alignment horizontal="center" vertical="center"/>
    </xf>
    <xf numFmtId="164" fontId="130" fillId="48" borderId="71" xfId="0" applyFont="1" applyFill="1" applyBorder="1" applyAlignment="1">
      <alignment horizontal="center" vertical="center"/>
    </xf>
    <xf numFmtId="176" fontId="15" fillId="21" borderId="338" xfId="60" applyNumberFormat="1" applyFont="1" applyFill="1" applyBorder="1" applyAlignment="1">
      <alignment horizontal="center" vertical="center"/>
    </xf>
    <xf numFmtId="176" fontId="15" fillId="21" borderId="339" xfId="60" applyNumberFormat="1" applyFont="1" applyFill="1" applyBorder="1" applyAlignment="1">
      <alignment horizontal="center" vertical="center"/>
    </xf>
    <xf numFmtId="209" fontId="28" fillId="8" borderId="408" xfId="0" applyNumberFormat="1" applyFont="1" applyFill="1" applyBorder="1" applyAlignment="1">
      <alignment horizontal="center" vertical="center"/>
    </xf>
    <xf numFmtId="209" fontId="28" fillId="8" borderId="409" xfId="0" applyNumberFormat="1" applyFont="1" applyFill="1" applyBorder="1" applyAlignment="1">
      <alignment horizontal="center" vertical="center"/>
    </xf>
    <xf numFmtId="191" fontId="79" fillId="8" borderId="408" xfId="57" applyNumberFormat="1" applyFont="1" applyFill="1" applyBorder="1" applyAlignment="1">
      <alignment horizontal="center" vertical="center"/>
    </xf>
    <xf numFmtId="191" fontId="79" fillId="8" borderId="410" xfId="57" applyNumberFormat="1" applyFont="1" applyFill="1" applyBorder="1" applyAlignment="1">
      <alignment horizontal="center" vertical="center"/>
    </xf>
    <xf numFmtId="196" fontId="43" fillId="8" borderId="410" xfId="52" applyNumberFormat="1" applyFont="1" applyFill="1" applyBorder="1" applyAlignment="1">
      <alignment horizontal="center" vertical="center"/>
    </xf>
    <xf numFmtId="209" fontId="28" fillId="8" borderId="353" xfId="0" applyNumberFormat="1" applyFont="1" applyFill="1" applyBorder="1" applyAlignment="1">
      <alignment horizontal="center" vertical="center"/>
    </xf>
    <xf numFmtId="209" fontId="28" fillId="8" borderId="354" xfId="0" applyNumberFormat="1" applyFont="1" applyFill="1" applyBorder="1" applyAlignment="1">
      <alignment horizontal="center" vertical="center"/>
    </xf>
    <xf numFmtId="0" fontId="76" fillId="13" borderId="377" xfId="57" applyFont="1" applyFill="1" applyBorder="1" applyAlignment="1">
      <alignment horizontal="center" vertical="center"/>
    </xf>
    <xf numFmtId="0" fontId="76" fillId="13" borderId="378" xfId="57" applyFont="1" applyFill="1" applyBorder="1" applyAlignment="1">
      <alignment horizontal="center" vertical="center"/>
    </xf>
    <xf numFmtId="191" fontId="79" fillId="23" borderId="346" xfId="57" applyNumberFormat="1" applyFont="1" applyFill="1" applyBorder="1" applyAlignment="1">
      <alignment horizontal="center" vertical="center"/>
    </xf>
    <xf numFmtId="191" fontId="79" fillId="23" borderId="347" xfId="57" applyNumberFormat="1" applyFont="1" applyFill="1" applyBorder="1" applyAlignment="1">
      <alignment horizontal="center" vertical="center"/>
    </xf>
    <xf numFmtId="191" fontId="79" fillId="23" borderId="348" xfId="57" applyNumberFormat="1" applyFont="1" applyFill="1" applyBorder="1" applyAlignment="1">
      <alignment horizontal="center" vertical="center"/>
    </xf>
    <xf numFmtId="209" fontId="131" fillId="8" borderId="353" xfId="0" applyNumberFormat="1" applyFont="1" applyFill="1" applyBorder="1" applyAlignment="1">
      <alignment horizontal="center" vertical="center"/>
    </xf>
    <xf numFmtId="209" fontId="131" fillId="8" borderId="354" xfId="0" applyNumberFormat="1" applyFont="1" applyFill="1" applyBorder="1" applyAlignment="1">
      <alignment horizontal="center" vertical="center"/>
    </xf>
    <xf numFmtId="191" fontId="133" fillId="48" borderId="346" xfId="57" applyNumberFormat="1" applyFont="1" applyFill="1" applyBorder="1" applyAlignment="1">
      <alignment horizontal="center" vertical="center"/>
    </xf>
    <xf numFmtId="191" fontId="133" fillId="48" borderId="347" xfId="57" applyNumberFormat="1" applyFont="1" applyFill="1" applyBorder="1" applyAlignment="1">
      <alignment horizontal="center" vertical="center"/>
    </xf>
    <xf numFmtId="191" fontId="133" fillId="48" borderId="348" xfId="57" applyNumberFormat="1" applyFont="1" applyFill="1" applyBorder="1" applyAlignment="1">
      <alignment horizontal="center" vertical="center"/>
    </xf>
    <xf numFmtId="231" fontId="77" fillId="20" borderId="414" xfId="1" applyNumberFormat="1" applyFont="1" applyFill="1" applyBorder="1" applyAlignment="1" applyProtection="1">
      <alignment horizontal="right" vertical="center"/>
      <protection locked="0"/>
    </xf>
    <xf numFmtId="233" fontId="39" fillId="8" borderId="0" xfId="1" applyNumberFormat="1" applyFont="1" applyFill="1" applyBorder="1" applyAlignment="1" applyProtection="1">
      <alignment horizontal="center" vertical="center"/>
      <protection locked="0"/>
    </xf>
    <xf numFmtId="49" fontId="19" fillId="40" borderId="328" xfId="0" applyNumberFormat="1" applyFont="1" applyFill="1" applyBorder="1" applyAlignment="1">
      <alignment horizontal="center" vertical="center"/>
    </xf>
    <xf numFmtId="49" fontId="19" fillId="40" borderId="0" xfId="0" applyNumberFormat="1" applyFont="1" applyFill="1" applyBorder="1" applyAlignment="1">
      <alignment horizontal="center" vertical="center"/>
    </xf>
    <xf numFmtId="40" fontId="83" fillId="8" borderId="0" xfId="1" applyNumberFormat="1" applyFont="1" applyFill="1" applyBorder="1" applyAlignment="1" applyProtection="1">
      <alignment horizontal="left" vertical="center"/>
      <protection locked="0"/>
    </xf>
    <xf numFmtId="40" fontId="112" fillId="8" borderId="0" xfId="1" applyNumberFormat="1" applyFont="1" applyFill="1" applyBorder="1" applyAlignment="1" applyProtection="1">
      <alignment horizontal="left" vertical="center"/>
      <protection locked="0"/>
    </xf>
    <xf numFmtId="232" fontId="77" fillId="20" borderId="375" xfId="1" applyNumberFormat="1" applyFont="1" applyFill="1" applyBorder="1" applyAlignment="1" applyProtection="1">
      <alignment horizontal="right" vertical="center"/>
      <protection locked="0"/>
    </xf>
    <xf numFmtId="232" fontId="77" fillId="20" borderId="376" xfId="1" applyNumberFormat="1" applyFont="1" applyFill="1" applyBorder="1" applyAlignment="1" applyProtection="1">
      <alignment horizontal="right" vertical="center"/>
      <protection locked="0"/>
    </xf>
    <xf numFmtId="227" fontId="28" fillId="32" borderId="312" xfId="0" applyNumberFormat="1" applyFont="1" applyFill="1" applyBorder="1" applyAlignment="1">
      <alignment horizontal="right" vertical="center"/>
    </xf>
    <xf numFmtId="227" fontId="28" fillId="32" borderId="313" xfId="0" applyNumberFormat="1" applyFont="1" applyFill="1" applyBorder="1" applyAlignment="1">
      <alignment horizontal="right" vertical="center"/>
    </xf>
    <xf numFmtId="40" fontId="22" fillId="38" borderId="329" xfId="0" applyNumberFormat="1" applyFont="1" applyFill="1" applyBorder="1" applyAlignment="1">
      <alignment horizontal="center" vertical="center"/>
    </xf>
    <xf numFmtId="40" fontId="22" fillId="38" borderId="330" xfId="0" applyNumberFormat="1" applyFont="1" applyFill="1" applyBorder="1" applyAlignment="1">
      <alignment horizontal="center" vertical="center"/>
    </xf>
    <xf numFmtId="208" fontId="39" fillId="8" borderId="327" xfId="1" applyNumberFormat="1" applyFont="1" applyFill="1" applyBorder="1" applyAlignment="1" applyProtection="1">
      <alignment horizontal="center" vertical="center"/>
      <protection locked="0"/>
    </xf>
    <xf numFmtId="224" fontId="77" fillId="20" borderId="373" xfId="1" applyNumberFormat="1" applyFont="1" applyFill="1" applyBorder="1" applyAlignment="1" applyProtection="1">
      <alignment horizontal="right" vertical="center"/>
      <protection locked="0"/>
    </xf>
    <xf numFmtId="224" fontId="77" fillId="20" borderId="374" xfId="1" applyNumberFormat="1" applyFont="1" applyFill="1" applyBorder="1" applyAlignment="1" applyProtection="1">
      <alignment horizontal="right" vertical="center"/>
      <protection locked="0"/>
    </xf>
    <xf numFmtId="226" fontId="77" fillId="20" borderId="373" xfId="1" applyNumberFormat="1" applyFont="1" applyFill="1" applyBorder="1" applyAlignment="1" applyProtection="1">
      <alignment horizontal="right" vertical="center"/>
      <protection locked="0"/>
    </xf>
    <xf numFmtId="226" fontId="77" fillId="20" borderId="374" xfId="1" applyNumberFormat="1" applyFont="1" applyFill="1" applyBorder="1" applyAlignment="1" applyProtection="1">
      <alignment horizontal="right" vertical="center"/>
      <protection locked="0"/>
    </xf>
    <xf numFmtId="227" fontId="28" fillId="17" borderId="311" xfId="0" applyNumberFormat="1" applyFont="1" applyFill="1" applyBorder="1" applyAlignment="1">
      <alignment horizontal="right" vertical="center"/>
    </xf>
    <xf numFmtId="227" fontId="28" fillId="42" borderId="314" xfId="0" applyNumberFormat="1" applyFont="1" applyFill="1" applyBorder="1" applyAlignment="1">
      <alignment horizontal="right" vertical="center"/>
    </xf>
    <xf numFmtId="223" fontId="77" fillId="20" borderId="373" xfId="1" applyNumberFormat="1" applyFont="1" applyFill="1" applyBorder="1" applyAlignment="1" applyProtection="1">
      <alignment horizontal="right" vertical="center"/>
      <protection locked="0"/>
    </xf>
    <xf numFmtId="223" fontId="77" fillId="20" borderId="374" xfId="1" applyNumberFormat="1" applyFont="1" applyFill="1" applyBorder="1" applyAlignment="1" applyProtection="1">
      <alignment horizontal="right" vertical="center"/>
      <protection locked="0"/>
    </xf>
    <xf numFmtId="221" fontId="77" fillId="20" borderId="373" xfId="1" applyNumberFormat="1" applyFont="1" applyFill="1" applyBorder="1" applyAlignment="1" applyProtection="1">
      <alignment horizontal="right" vertical="center"/>
      <protection locked="0"/>
    </xf>
    <xf numFmtId="221" fontId="77" fillId="20" borderId="374" xfId="1" applyNumberFormat="1" applyFont="1" applyFill="1" applyBorder="1" applyAlignment="1" applyProtection="1">
      <alignment horizontal="right" vertical="center"/>
      <protection locked="0"/>
    </xf>
    <xf numFmtId="40" fontId="28" fillId="42" borderId="314" xfId="0" applyNumberFormat="1" applyFont="1" applyFill="1" applyBorder="1" applyAlignment="1">
      <alignment horizontal="center" vertical="center"/>
    </xf>
    <xf numFmtId="40" fontId="90" fillId="8" borderId="329" xfId="1" applyNumberFormat="1" applyFont="1" applyFill="1" applyBorder="1" applyAlignment="1" applyProtection="1">
      <alignment horizontal="left" vertical="center"/>
      <protection locked="0"/>
    </xf>
    <xf numFmtId="40" fontId="90" fillId="8" borderId="330" xfId="1" applyNumberFormat="1" applyFont="1" applyFill="1" applyBorder="1" applyAlignment="1" applyProtection="1">
      <alignment horizontal="left" vertical="center"/>
      <protection locked="0"/>
    </xf>
    <xf numFmtId="40" fontId="28" fillId="17" borderId="311" xfId="0" applyNumberFormat="1" applyFont="1" applyFill="1" applyBorder="1" applyAlignment="1">
      <alignment horizontal="center" vertical="center"/>
    </xf>
    <xf numFmtId="220" fontId="26" fillId="8" borderId="317" xfId="0" applyNumberFormat="1" applyFont="1" applyFill="1" applyBorder="1" applyAlignment="1">
      <alignment horizontal="center" vertical="center"/>
    </xf>
    <xf numFmtId="38" fontId="26" fillId="8" borderId="340" xfId="0" applyNumberFormat="1" applyFont="1" applyFill="1" applyBorder="1" applyAlignment="1">
      <alignment horizontal="center" vertical="center"/>
    </xf>
    <xf numFmtId="38" fontId="26" fillId="8" borderId="138" xfId="0" applyNumberFormat="1" applyFont="1" applyFill="1" applyBorder="1" applyAlignment="1">
      <alignment horizontal="center" vertical="center"/>
    </xf>
    <xf numFmtId="38" fontId="19" fillId="16" borderId="328" xfId="0" applyNumberFormat="1" applyFont="1" applyFill="1" applyBorder="1" applyAlignment="1">
      <alignment horizontal="center" vertical="center"/>
    </xf>
    <xf numFmtId="38" fontId="19" fillId="16" borderId="0" xfId="0" applyNumberFormat="1" applyFont="1" applyFill="1" applyBorder="1" applyAlignment="1">
      <alignment horizontal="center" vertical="center"/>
    </xf>
    <xf numFmtId="212" fontId="26" fillId="8" borderId="317" xfId="0" applyNumberFormat="1" applyFont="1" applyFill="1" applyBorder="1" applyAlignment="1">
      <alignment horizontal="center" vertical="center"/>
    </xf>
    <xf numFmtId="40" fontId="28" fillId="32" borderId="313" xfId="0" applyNumberFormat="1" applyFont="1" applyFill="1" applyBorder="1" applyAlignment="1">
      <alignment horizontal="center" vertical="center"/>
    </xf>
    <xf numFmtId="209" fontId="26" fillId="8" borderId="317" xfId="0" applyNumberFormat="1" applyFont="1" applyFill="1" applyBorder="1" applyAlignment="1">
      <alignment horizontal="center" vertical="center"/>
    </xf>
    <xf numFmtId="209" fontId="26" fillId="8" borderId="0" xfId="0" applyNumberFormat="1" applyFont="1" applyFill="1" applyBorder="1" applyAlignment="1">
      <alignment horizontal="center" vertical="center"/>
    </xf>
    <xf numFmtId="209" fontId="26" fillId="8" borderId="331" xfId="0" applyNumberFormat="1" applyFont="1" applyFill="1" applyBorder="1" applyAlignment="1">
      <alignment horizontal="center" vertical="center"/>
    </xf>
    <xf numFmtId="40" fontId="28" fillId="32" borderId="312" xfId="0" applyNumberFormat="1" applyFont="1" applyFill="1" applyBorder="1" applyAlignment="1">
      <alignment horizontal="center" vertical="center"/>
    </xf>
    <xf numFmtId="211" fontId="26" fillId="8" borderId="317" xfId="0" applyNumberFormat="1" applyFont="1" applyFill="1" applyBorder="1" applyAlignment="1">
      <alignment horizontal="center" vertical="center"/>
    </xf>
    <xf numFmtId="214" fontId="26" fillId="8" borderId="317" xfId="0" applyNumberFormat="1" applyFont="1" applyFill="1" applyBorder="1" applyAlignment="1">
      <alignment horizontal="center" vertical="center"/>
    </xf>
    <xf numFmtId="217" fontId="26" fillId="8" borderId="317" xfId="0" applyNumberFormat="1" applyFont="1" applyFill="1" applyBorder="1" applyAlignment="1">
      <alignment horizontal="center" vertical="center"/>
    </xf>
    <xf numFmtId="215" fontId="26" fillId="8" borderId="317" xfId="0" applyNumberFormat="1" applyFont="1" applyFill="1" applyBorder="1" applyAlignment="1">
      <alignment horizontal="center" vertical="center"/>
    </xf>
    <xf numFmtId="218" fontId="26" fillId="8" borderId="317" xfId="0" applyNumberFormat="1" applyFont="1" applyFill="1" applyBorder="1" applyAlignment="1">
      <alignment horizontal="center" vertical="center"/>
    </xf>
    <xf numFmtId="210" fontId="26" fillId="8" borderId="317" xfId="0" applyNumberFormat="1" applyFont="1" applyFill="1" applyBorder="1" applyAlignment="1">
      <alignment horizontal="center" vertical="center"/>
    </xf>
    <xf numFmtId="213" fontId="26" fillId="8" borderId="317" xfId="0" applyNumberFormat="1" applyFont="1" applyFill="1" applyBorder="1" applyAlignment="1">
      <alignment horizontal="center" vertical="center"/>
    </xf>
    <xf numFmtId="216" fontId="26" fillId="8" borderId="317" xfId="0" applyNumberFormat="1" applyFont="1" applyFill="1" applyBorder="1" applyAlignment="1">
      <alignment horizontal="center" vertical="center"/>
    </xf>
    <xf numFmtId="219" fontId="26" fillId="8" borderId="317" xfId="0" applyNumberFormat="1" applyFont="1" applyFill="1" applyBorder="1" applyAlignment="1">
      <alignment horizontal="center" vertical="center"/>
    </xf>
    <xf numFmtId="222" fontId="77" fillId="20" borderId="373" xfId="1" applyNumberFormat="1" applyFont="1" applyFill="1" applyBorder="1" applyAlignment="1" applyProtection="1">
      <alignment horizontal="right" vertical="center"/>
      <protection locked="0"/>
    </xf>
    <xf numFmtId="222" fontId="77" fillId="20" borderId="374" xfId="1" applyNumberFormat="1" applyFont="1" applyFill="1" applyBorder="1" applyAlignment="1" applyProtection="1">
      <alignment horizontal="right" vertical="center"/>
      <protection locked="0"/>
    </xf>
    <xf numFmtId="225" fontId="77" fillId="20" borderId="373" xfId="1" applyNumberFormat="1" applyFont="1" applyFill="1" applyBorder="1" applyAlignment="1" applyProtection="1">
      <alignment horizontal="right" vertical="center"/>
      <protection locked="0"/>
    </xf>
    <xf numFmtId="225" fontId="77" fillId="20" borderId="374" xfId="1" applyNumberFormat="1" applyFont="1" applyFill="1" applyBorder="1" applyAlignment="1" applyProtection="1">
      <alignment horizontal="right" vertical="center"/>
      <protection locked="0"/>
    </xf>
    <xf numFmtId="230" fontId="77" fillId="20" borderId="413" xfId="1" applyNumberFormat="1" applyFont="1" applyFill="1" applyBorder="1" applyAlignment="1" applyProtection="1">
      <alignment horizontal="right" vertical="center"/>
      <protection locked="0"/>
    </xf>
    <xf numFmtId="230" fontId="77" fillId="20" borderId="374" xfId="1" applyNumberFormat="1" applyFont="1" applyFill="1" applyBorder="1" applyAlignment="1" applyProtection="1">
      <alignment horizontal="right" vertical="center"/>
      <protection locked="0"/>
    </xf>
    <xf numFmtId="204" fontId="45" fillId="8" borderId="48" xfId="1" applyNumberFormat="1" applyFont="1" applyFill="1" applyBorder="1" applyAlignment="1" applyProtection="1">
      <alignment horizontal="center" vertical="center"/>
      <protection locked="0"/>
    </xf>
    <xf numFmtId="204" fontId="45" fillId="8" borderId="47" xfId="1" applyNumberFormat="1" applyFont="1" applyFill="1" applyBorder="1" applyAlignment="1" applyProtection="1">
      <alignment horizontal="center" vertical="center"/>
      <protection locked="0"/>
    </xf>
    <xf numFmtId="174" fontId="45" fillId="8" borderId="49" xfId="1" applyNumberFormat="1" applyFont="1" applyFill="1" applyBorder="1" applyAlignment="1" applyProtection="1">
      <alignment horizontal="center" vertical="center"/>
      <protection locked="0"/>
    </xf>
    <xf numFmtId="174" fontId="45" fillId="8" borderId="48" xfId="1" applyNumberFormat="1" applyFont="1" applyFill="1" applyBorder="1" applyAlignment="1" applyProtection="1">
      <alignment horizontal="center" vertical="center"/>
      <protection locked="0"/>
    </xf>
    <xf numFmtId="202" fontId="45" fillId="8" borderId="48" xfId="1" applyNumberFormat="1" applyFont="1" applyFill="1" applyBorder="1" applyAlignment="1" applyProtection="1">
      <alignment horizontal="center" vertical="center"/>
      <protection locked="0"/>
    </xf>
    <xf numFmtId="203" fontId="45" fillId="8" borderId="48" xfId="1" applyNumberFormat="1" applyFont="1" applyFill="1" applyBorder="1" applyAlignment="1" applyProtection="1">
      <alignment horizontal="center" vertical="center"/>
      <protection locked="0"/>
    </xf>
    <xf numFmtId="165" fontId="28" fillId="32" borderId="18" xfId="0" quotePrefix="1" applyNumberFormat="1" applyFont="1" applyFill="1" applyBorder="1" applyAlignment="1">
      <alignment horizontal="center" vertical="center"/>
    </xf>
    <xf numFmtId="165" fontId="28" fillId="32" borderId="15" xfId="0" quotePrefix="1" applyNumberFormat="1" applyFont="1" applyFill="1" applyBorder="1" applyAlignment="1">
      <alignment horizontal="center" vertical="center"/>
    </xf>
    <xf numFmtId="37" fontId="28" fillId="32" borderId="16" xfId="0" quotePrefix="1" applyNumberFormat="1" applyFont="1" applyFill="1" applyBorder="1" applyAlignment="1">
      <alignment horizontal="right" vertical="center"/>
    </xf>
    <xf numFmtId="37" fontId="28" fillId="32" borderId="13" xfId="0" quotePrefix="1" applyNumberFormat="1" applyFont="1" applyFill="1" applyBorder="1" applyAlignment="1">
      <alignment horizontal="right" vertical="center"/>
    </xf>
    <xf numFmtId="165" fontId="28" fillId="33" borderId="174" xfId="0" applyNumberFormat="1" applyFont="1" applyFill="1" applyBorder="1" applyAlignment="1">
      <alignment horizontal="center" vertical="center"/>
    </xf>
    <xf numFmtId="165" fontId="28" fillId="33" borderId="175" xfId="0" applyNumberFormat="1" applyFont="1" applyFill="1" applyBorder="1" applyAlignment="1">
      <alignment horizontal="center" vertical="center"/>
    </xf>
    <xf numFmtId="40" fontId="28" fillId="32" borderId="16" xfId="0" quotePrefix="1" applyNumberFormat="1" applyFont="1" applyFill="1" applyBorder="1" applyAlignment="1">
      <alignment horizontal="center" vertical="center"/>
    </xf>
    <xf numFmtId="40" fontId="28" fillId="32" borderId="13" xfId="0" quotePrefix="1" applyNumberFormat="1" applyFont="1" applyFill="1" applyBorder="1" applyAlignment="1">
      <alignment horizontal="center" vertical="center"/>
    </xf>
    <xf numFmtId="38" fontId="28" fillId="32" borderId="16" xfId="0" applyNumberFormat="1" applyFont="1" applyFill="1" applyBorder="1" applyAlignment="1">
      <alignment horizontal="right" vertical="center"/>
    </xf>
    <xf numFmtId="38" fontId="28" fillId="32" borderId="34" xfId="0" applyNumberFormat="1" applyFont="1" applyFill="1" applyBorder="1" applyAlignment="1">
      <alignment horizontal="right" vertical="center"/>
    </xf>
    <xf numFmtId="38" fontId="80" fillId="32" borderId="16" xfId="0" applyNumberFormat="1" applyFont="1" applyFill="1" applyBorder="1" applyAlignment="1">
      <alignment horizontal="right" vertical="center"/>
    </xf>
    <xf numFmtId="38" fontId="80" fillId="32" borderId="34" xfId="0" applyNumberFormat="1" applyFont="1" applyFill="1" applyBorder="1" applyAlignment="1">
      <alignment horizontal="right" vertical="center"/>
    </xf>
    <xf numFmtId="40" fontId="41" fillId="11" borderId="41" xfId="0" applyNumberFormat="1" applyFont="1" applyFill="1" applyBorder="1" applyAlignment="1">
      <alignment horizontal="center" vertical="center"/>
    </xf>
    <xf numFmtId="40" fontId="41" fillId="11" borderId="40" xfId="0" applyNumberFormat="1" applyFont="1" applyFill="1" applyBorder="1" applyAlignment="1">
      <alignment horizontal="center" vertical="center"/>
    </xf>
    <xf numFmtId="40" fontId="41" fillId="11" borderId="16" xfId="0" applyNumberFormat="1" applyFont="1" applyFill="1" applyBorder="1" applyAlignment="1">
      <alignment horizontal="center" vertical="center"/>
    </xf>
    <xf numFmtId="40" fontId="41" fillId="11" borderId="34" xfId="0" applyNumberFormat="1" applyFont="1" applyFill="1" applyBorder="1" applyAlignment="1">
      <alignment horizontal="center" vertical="center"/>
    </xf>
    <xf numFmtId="40" fontId="22" fillId="15" borderId="49" xfId="0" quotePrefix="1" applyNumberFormat="1" applyFont="1" applyFill="1" applyBorder="1" applyAlignment="1">
      <alignment horizontal="right" vertical="center"/>
    </xf>
    <xf numFmtId="40" fontId="22" fillId="15" borderId="47" xfId="0" quotePrefix="1" applyNumberFormat="1" applyFont="1" applyFill="1" applyBorder="1" applyAlignment="1">
      <alignment horizontal="right" vertical="center"/>
    </xf>
    <xf numFmtId="40" fontId="28" fillId="14" borderId="58" xfId="0" applyNumberFormat="1" applyFont="1" applyFill="1" applyBorder="1" applyAlignment="1">
      <alignment horizontal="right" vertical="center"/>
    </xf>
    <xf numFmtId="40" fontId="28" fillId="14" borderId="57" xfId="0" applyNumberFormat="1" applyFont="1" applyFill="1" applyBorder="1" applyAlignment="1">
      <alignment horizontal="right" vertical="center"/>
    </xf>
    <xf numFmtId="40" fontId="42" fillId="8" borderId="42" xfId="0" applyNumberFormat="1" applyFont="1" applyFill="1" applyBorder="1" applyAlignment="1" applyProtection="1">
      <alignment horizontal="center" vertical="center"/>
      <protection locked="0"/>
    </xf>
    <xf numFmtId="40" fontId="42" fillId="8" borderId="35" xfId="0" applyNumberFormat="1" applyFont="1" applyFill="1" applyBorder="1" applyAlignment="1" applyProtection="1">
      <alignment horizontal="center" vertical="center"/>
      <protection locked="0"/>
    </xf>
    <xf numFmtId="40" fontId="42" fillId="8" borderId="44" xfId="0" applyNumberFormat="1" applyFont="1" applyFill="1" applyBorder="1" applyAlignment="1" applyProtection="1">
      <alignment horizontal="center" vertical="center"/>
      <protection locked="0"/>
    </xf>
    <xf numFmtId="40" fontId="42" fillId="8" borderId="43" xfId="0" applyNumberFormat="1" applyFont="1" applyFill="1" applyBorder="1" applyAlignment="1" applyProtection="1">
      <alignment horizontal="center" vertical="center"/>
      <protection locked="0"/>
    </xf>
    <xf numFmtId="164" fontId="43" fillId="8" borderId="15" xfId="0" applyNumberFormat="1" applyFont="1" applyFill="1" applyBorder="1" applyAlignment="1">
      <alignment horizontal="center" vertical="center"/>
    </xf>
    <xf numFmtId="164" fontId="43" fillId="8" borderId="37" xfId="0" applyNumberFormat="1" applyFont="1" applyFill="1" applyBorder="1" applyAlignment="1">
      <alignment horizontal="center" vertical="center"/>
    </xf>
    <xf numFmtId="40" fontId="42" fillId="8" borderId="46" xfId="0" applyNumberFormat="1" applyFont="1" applyFill="1" applyBorder="1" applyAlignment="1" applyProtection="1">
      <alignment horizontal="center" vertical="center"/>
      <protection locked="0"/>
    </xf>
    <xf numFmtId="40" fontId="42" fillId="8" borderId="45" xfId="0" applyNumberFormat="1" applyFont="1" applyFill="1" applyBorder="1" applyAlignment="1" applyProtection="1">
      <alignment horizontal="center" vertical="center"/>
      <protection locked="0"/>
    </xf>
    <xf numFmtId="4" fontId="36" fillId="12" borderId="33" xfId="1" applyNumberFormat="1" applyFont="1" applyFill="1" applyBorder="1" applyAlignment="1" applyProtection="1">
      <alignment horizontal="center" vertical="center"/>
      <protection locked="0"/>
    </xf>
    <xf numFmtId="4" fontId="36" fillId="12" borderId="1" xfId="1" applyNumberFormat="1" applyFont="1" applyFill="1" applyBorder="1" applyAlignment="1" applyProtection="1">
      <alignment horizontal="center" vertical="center"/>
      <protection locked="0"/>
    </xf>
    <xf numFmtId="4" fontId="36" fillId="12" borderId="10" xfId="1" applyNumberFormat="1" applyFont="1" applyFill="1" applyBorder="1" applyAlignment="1" applyProtection="1">
      <alignment horizontal="center" vertical="center"/>
      <protection locked="0"/>
    </xf>
    <xf numFmtId="165" fontId="33" fillId="8" borderId="25" xfId="0" applyNumberFormat="1" applyFont="1" applyFill="1" applyBorder="1" applyAlignment="1">
      <alignment horizontal="center" vertical="center"/>
    </xf>
    <xf numFmtId="165" fontId="15" fillId="8" borderId="28" xfId="0" applyNumberFormat="1" applyFont="1" applyFill="1" applyBorder="1" applyAlignment="1">
      <alignment horizontal="center" vertical="center"/>
    </xf>
    <xf numFmtId="165" fontId="28" fillId="8" borderId="27" xfId="0" applyNumberFormat="1" applyFont="1" applyFill="1" applyBorder="1" applyAlignment="1">
      <alignment horizontal="center" vertical="center"/>
    </xf>
    <xf numFmtId="165" fontId="28" fillId="8" borderId="26" xfId="0" applyNumberFormat="1" applyFont="1" applyFill="1" applyBorder="1" applyAlignment="1">
      <alignment horizontal="center" vertical="center"/>
    </xf>
    <xf numFmtId="38" fontId="28" fillId="32" borderId="16" xfId="0" quotePrefix="1" applyNumberFormat="1" applyFont="1" applyFill="1" applyBorder="1" applyAlignment="1">
      <alignment horizontal="right" vertical="center"/>
    </xf>
    <xf numFmtId="38" fontId="28" fillId="32" borderId="13" xfId="0" quotePrefix="1" applyNumberFormat="1" applyFont="1" applyFill="1" applyBorder="1" applyAlignment="1">
      <alignment horizontal="right" vertical="center"/>
    </xf>
    <xf numFmtId="40" fontId="39" fillId="32" borderId="104" xfId="1" applyNumberFormat="1" applyFont="1" applyFill="1" applyBorder="1" applyAlignment="1" applyProtection="1">
      <alignment horizontal="center" vertical="center"/>
      <protection locked="0"/>
    </xf>
    <xf numFmtId="40" fontId="39" fillId="32" borderId="23" xfId="1" applyNumberFormat="1" applyFont="1" applyFill="1" applyBorder="1" applyAlignment="1" applyProtection="1">
      <alignment horizontal="center" vertical="center"/>
      <protection locked="0"/>
    </xf>
    <xf numFmtId="40" fontId="39" fillId="33" borderId="104" xfId="1" applyNumberFormat="1" applyFont="1" applyFill="1" applyBorder="1" applyAlignment="1" applyProtection="1">
      <alignment horizontal="center" vertical="center"/>
      <protection locked="0"/>
    </xf>
    <xf numFmtId="40" fontId="39" fillId="33" borderId="23" xfId="1" applyNumberFormat="1" applyFont="1" applyFill="1" applyBorder="1" applyAlignment="1" applyProtection="1">
      <alignment horizontal="center" vertical="center"/>
      <protection locked="0"/>
    </xf>
    <xf numFmtId="165" fontId="28" fillId="8" borderId="18" xfId="0" quotePrefix="1" applyNumberFormat="1" applyFont="1" applyFill="1" applyBorder="1" applyAlignment="1">
      <alignment horizontal="center" vertical="center"/>
    </xf>
    <xf numFmtId="165" fontId="28" fillId="8" borderId="17" xfId="0" quotePrefix="1" applyNumberFormat="1" applyFont="1" applyFill="1" applyBorder="1" applyAlignment="1">
      <alignment horizontal="center" vertical="center"/>
    </xf>
    <xf numFmtId="165" fontId="28" fillId="8" borderId="15" xfId="0" quotePrefix="1" applyNumberFormat="1" applyFont="1" applyFill="1" applyBorder="1" applyAlignment="1">
      <alignment horizontal="center" vertical="center"/>
    </xf>
    <xf numFmtId="165" fontId="28" fillId="8" borderId="14" xfId="0" quotePrefix="1" applyNumberFormat="1" applyFont="1" applyFill="1" applyBorder="1" applyAlignment="1">
      <alignment horizontal="center" vertical="center"/>
    </xf>
    <xf numFmtId="40" fontId="28" fillId="8" borderId="16" xfId="0" quotePrefix="1" applyNumberFormat="1" applyFont="1" applyFill="1" applyBorder="1" applyAlignment="1">
      <alignment horizontal="center" vertical="center"/>
    </xf>
    <xf numFmtId="40" fontId="28" fillId="8" borderId="13" xfId="0" quotePrefix="1" applyNumberFormat="1" applyFont="1" applyFill="1" applyBorder="1" applyAlignment="1">
      <alignment horizontal="center" vertical="center"/>
    </xf>
    <xf numFmtId="166" fontId="28" fillId="8" borderId="16" xfId="0" quotePrefix="1" applyNumberFormat="1" applyFont="1" applyFill="1" applyBorder="1" applyAlignment="1">
      <alignment horizontal="right" vertical="center"/>
    </xf>
    <xf numFmtId="166" fontId="28" fillId="8" borderId="13" xfId="0" quotePrefix="1" applyNumberFormat="1" applyFont="1" applyFill="1" applyBorder="1" applyAlignment="1">
      <alignment horizontal="right" vertical="center"/>
    </xf>
    <xf numFmtId="40" fontId="23" fillId="13" borderId="12" xfId="0" applyNumberFormat="1" applyFont="1" applyFill="1" applyBorder="1" applyAlignment="1">
      <alignment vertical="center"/>
    </xf>
    <xf numFmtId="40" fontId="23" fillId="13" borderId="11" xfId="0" applyNumberFormat="1" applyFont="1" applyFill="1" applyBorder="1" applyAlignment="1">
      <alignment vertical="center"/>
    </xf>
    <xf numFmtId="40" fontId="23" fillId="13" borderId="64" xfId="0" applyNumberFormat="1" applyFont="1" applyFill="1" applyBorder="1" applyAlignment="1">
      <alignment vertical="center"/>
    </xf>
    <xf numFmtId="40" fontId="23" fillId="13" borderId="63" xfId="0" applyNumberFormat="1" applyFont="1" applyFill="1" applyBorder="1" applyAlignment="1">
      <alignment vertical="center"/>
    </xf>
    <xf numFmtId="178" fontId="23" fillId="13" borderId="65" xfId="0" applyNumberFormat="1" applyFont="1" applyFill="1" applyBorder="1" applyAlignment="1">
      <alignment vertical="center"/>
    </xf>
    <xf numFmtId="178" fontId="23" fillId="13" borderId="62" xfId="0" applyNumberFormat="1" applyFont="1" applyFill="1" applyBorder="1" applyAlignment="1">
      <alignment vertical="center"/>
    </xf>
    <xf numFmtId="40" fontId="23" fillId="13" borderId="68" xfId="0" applyNumberFormat="1" applyFont="1" applyFill="1" applyBorder="1" applyAlignment="1">
      <alignment vertical="center"/>
    </xf>
    <xf numFmtId="40" fontId="23" fillId="13" borderId="67" xfId="0" applyNumberFormat="1" applyFont="1" applyFill="1" applyBorder="1" applyAlignment="1">
      <alignment vertical="center"/>
    </xf>
    <xf numFmtId="40" fontId="25" fillId="9" borderId="64" xfId="0" applyNumberFormat="1" applyFont="1" applyFill="1" applyBorder="1" applyAlignment="1">
      <alignment vertical="center"/>
    </xf>
    <xf numFmtId="40" fontId="25" fillId="9" borderId="63" xfId="0" applyNumberFormat="1" applyFont="1" applyFill="1" applyBorder="1" applyAlignment="1">
      <alignment vertical="center"/>
    </xf>
    <xf numFmtId="165" fontId="22" fillId="10" borderId="22" xfId="0" applyNumberFormat="1" applyFont="1" applyFill="1" applyBorder="1" applyAlignment="1" applyProtection="1">
      <alignment horizontal="center" vertical="center"/>
      <protection locked="0"/>
    </xf>
    <xf numFmtId="165" fontId="22" fillId="10" borderId="21" xfId="0" applyNumberFormat="1" applyFont="1" applyFill="1" applyBorder="1" applyAlignment="1" applyProtection="1">
      <alignment horizontal="center" vertical="center"/>
      <protection locked="0"/>
    </xf>
    <xf numFmtId="181" fontId="45" fillId="8" borderId="49" xfId="1" applyNumberFormat="1" applyFont="1" applyFill="1" applyBorder="1" applyAlignment="1" applyProtection="1">
      <alignment horizontal="center" vertical="center"/>
      <protection locked="0"/>
    </xf>
    <xf numFmtId="181" fontId="45" fillId="8" borderId="48" xfId="1" applyNumberFormat="1" applyFont="1" applyFill="1" applyBorder="1" applyAlignment="1" applyProtection="1">
      <alignment horizontal="center" vertical="center"/>
      <protection locked="0"/>
    </xf>
    <xf numFmtId="181" fontId="45" fillId="8" borderId="47" xfId="1" applyNumberFormat="1" applyFont="1" applyFill="1" applyBorder="1" applyAlignment="1" applyProtection="1">
      <alignment horizontal="center" vertical="center"/>
      <protection locked="0"/>
    </xf>
    <xf numFmtId="165" fontId="26" fillId="8" borderId="12" xfId="0" applyNumberFormat="1" applyFont="1" applyFill="1" applyBorder="1" applyAlignment="1">
      <alignment horizontal="center" vertical="center"/>
    </xf>
    <xf numFmtId="165" fontId="26" fillId="8" borderId="11" xfId="0" applyNumberFormat="1" applyFont="1" applyFill="1" applyBorder="1" applyAlignment="1">
      <alignment horizontal="center" vertical="center"/>
    </xf>
    <xf numFmtId="165" fontId="36" fillId="12" borderId="72" xfId="1" applyNumberFormat="1" applyFont="1" applyFill="1" applyBorder="1" applyAlignment="1" applyProtection="1">
      <alignment horizontal="center" vertical="center"/>
      <protection locked="0"/>
    </xf>
    <xf numFmtId="165" fontId="36" fillId="12" borderId="71" xfId="1" applyNumberFormat="1" applyFont="1" applyFill="1" applyBorder="1" applyAlignment="1" applyProtection="1">
      <alignment horizontal="center" vertical="center"/>
      <protection locked="0"/>
    </xf>
    <xf numFmtId="165" fontId="36" fillId="12" borderId="70" xfId="1" applyNumberFormat="1" applyFont="1" applyFill="1" applyBorder="1" applyAlignment="1" applyProtection="1">
      <alignment horizontal="center" vertical="center"/>
      <protection locked="0"/>
    </xf>
    <xf numFmtId="165" fontId="36" fillId="12" borderId="69" xfId="1" applyNumberFormat="1" applyFont="1" applyFill="1" applyBorder="1" applyAlignment="1" applyProtection="1">
      <alignment horizontal="center" vertical="center"/>
      <protection locked="0"/>
    </xf>
    <xf numFmtId="40" fontId="40" fillId="12" borderId="4" xfId="1" applyNumberFormat="1" applyFont="1" applyFill="1" applyBorder="1" applyAlignment="1" applyProtection="1">
      <alignment horizontal="center" vertical="center"/>
      <protection locked="0"/>
    </xf>
    <xf numFmtId="40" fontId="40" fillId="12" borderId="3" xfId="1" applyNumberFormat="1" applyFont="1" applyFill="1" applyBorder="1" applyAlignment="1" applyProtection="1">
      <alignment horizontal="center" vertical="center"/>
      <protection locked="0"/>
    </xf>
    <xf numFmtId="40" fontId="40" fillId="12" borderId="36" xfId="1" applyNumberFormat="1" applyFont="1" applyFill="1" applyBorder="1" applyAlignment="1" applyProtection="1">
      <alignment horizontal="center" vertical="center"/>
      <protection locked="0"/>
    </xf>
    <xf numFmtId="40" fontId="40" fillId="12" borderId="37" xfId="1" applyNumberFormat="1" applyFont="1" applyFill="1" applyBorder="1" applyAlignment="1" applyProtection="1">
      <alignment horizontal="center" vertical="center"/>
      <protection locked="0"/>
    </xf>
    <xf numFmtId="165" fontId="54" fillId="10" borderId="82" xfId="0" applyNumberFormat="1" applyFont="1" applyFill="1" applyBorder="1" applyAlignment="1">
      <alignment horizontal="center" vertical="center"/>
    </xf>
    <xf numFmtId="165" fontId="54" fillId="10" borderId="81" xfId="0" applyNumberFormat="1" applyFont="1" applyFill="1" applyBorder="1" applyAlignment="1">
      <alignment horizontal="center" vertical="center"/>
    </xf>
    <xf numFmtId="40" fontId="28" fillId="8" borderId="76" xfId="0" quotePrefix="1" applyNumberFormat="1" applyFont="1" applyFill="1" applyBorder="1" applyAlignment="1">
      <alignment horizontal="center" vertical="center"/>
    </xf>
    <xf numFmtId="40" fontId="28" fillId="8" borderId="16" xfId="0" applyNumberFormat="1" applyFont="1" applyFill="1" applyBorder="1" applyAlignment="1">
      <alignment horizontal="center" vertical="center"/>
    </xf>
    <xf numFmtId="40" fontId="22" fillId="15" borderId="78" xfId="0" quotePrefix="1" applyNumberFormat="1" applyFont="1" applyFill="1" applyBorder="1" applyAlignment="1">
      <alignment horizontal="center" vertical="center"/>
    </xf>
    <xf numFmtId="40" fontId="22" fillId="15" borderId="77" xfId="0" quotePrefix="1" applyNumberFormat="1" applyFont="1" applyFill="1" applyBorder="1" applyAlignment="1">
      <alignment horizontal="center" vertical="center"/>
    </xf>
    <xf numFmtId="40" fontId="28" fillId="14" borderId="59" xfId="0" applyNumberFormat="1" applyFont="1" applyFill="1" applyBorder="1" applyAlignment="1">
      <alignment horizontal="center" vertical="center"/>
    </xf>
    <xf numFmtId="40" fontId="28" fillId="14" borderId="101" xfId="0" applyNumberFormat="1" applyFont="1" applyFill="1" applyBorder="1" applyAlignment="1">
      <alignment horizontal="center" vertical="center"/>
    </xf>
    <xf numFmtId="40" fontId="22" fillId="15" borderId="38" xfId="0" quotePrefix="1" applyNumberFormat="1" applyFont="1" applyFill="1" applyBorder="1" applyAlignment="1">
      <alignment horizontal="center" vertical="center"/>
    </xf>
    <xf numFmtId="40" fontId="22" fillId="15" borderId="99" xfId="0" quotePrefix="1" applyNumberFormat="1" applyFont="1" applyFill="1" applyBorder="1" applyAlignment="1">
      <alignment horizontal="center" vertical="center"/>
    </xf>
    <xf numFmtId="40" fontId="22" fillId="15" borderId="100" xfId="0" quotePrefix="1" applyNumberFormat="1" applyFont="1" applyFill="1" applyBorder="1" applyAlignment="1">
      <alignment horizontal="center" vertical="center"/>
    </xf>
    <xf numFmtId="4" fontId="36" fillId="12" borderId="88" xfId="1" applyNumberFormat="1" applyFont="1" applyFill="1" applyBorder="1" applyAlignment="1" applyProtection="1">
      <alignment horizontal="center" vertical="center"/>
      <protection locked="0"/>
    </xf>
    <xf numFmtId="4" fontId="36" fillId="12" borderId="78" xfId="1" applyNumberFormat="1" applyFont="1" applyFill="1" applyBorder="1" applyAlignment="1" applyProtection="1">
      <alignment horizontal="center" vertical="center"/>
      <protection locked="0"/>
    </xf>
    <xf numFmtId="40" fontId="22" fillId="15" borderId="95" xfId="0" quotePrefix="1" applyNumberFormat="1" applyFont="1" applyFill="1" applyBorder="1" applyAlignment="1">
      <alignment horizontal="right" vertical="center"/>
    </xf>
    <xf numFmtId="40" fontId="22" fillId="15" borderId="93" xfId="0" quotePrefix="1" applyNumberFormat="1" applyFont="1" applyFill="1" applyBorder="1" applyAlignment="1">
      <alignment horizontal="right" vertical="center"/>
    </xf>
    <xf numFmtId="4" fontId="36" fillId="12" borderId="71" xfId="1" applyNumberFormat="1" applyFont="1" applyFill="1" applyBorder="1" applyAlignment="1" applyProtection="1">
      <alignment horizontal="center" vertical="center"/>
      <protection locked="0"/>
    </xf>
    <xf numFmtId="4" fontId="36" fillId="12" borderId="3" xfId="1" applyNumberFormat="1" applyFont="1" applyFill="1" applyBorder="1" applyAlignment="1" applyProtection="1">
      <alignment horizontal="center" vertical="center"/>
      <protection locked="0"/>
    </xf>
    <xf numFmtId="4" fontId="36" fillId="12" borderId="89" xfId="1" applyNumberFormat="1" applyFont="1" applyFill="1" applyBorder="1" applyAlignment="1" applyProtection="1">
      <alignment horizontal="center" vertical="center"/>
      <protection locked="0"/>
    </xf>
    <xf numFmtId="4" fontId="36" fillId="12" borderId="76" xfId="1" applyNumberFormat="1" applyFont="1" applyFill="1" applyBorder="1" applyAlignment="1" applyProtection="1">
      <alignment horizontal="center" vertical="center"/>
      <protection locked="0"/>
    </xf>
    <xf numFmtId="182" fontId="56" fillId="8" borderId="92" xfId="1" applyNumberFormat="1" applyFont="1" applyFill="1" applyBorder="1" applyAlignment="1" applyProtection="1">
      <alignment horizontal="left" vertical="center"/>
      <protection locked="0"/>
    </xf>
    <xf numFmtId="182" fontId="56" fillId="8" borderId="91" xfId="1" applyNumberFormat="1" applyFont="1" applyFill="1" applyBorder="1" applyAlignment="1" applyProtection="1">
      <alignment horizontal="left" vertical="center"/>
      <protection locked="0"/>
    </xf>
    <xf numFmtId="183" fontId="45" fillId="8" borderId="92" xfId="1" applyNumberFormat="1" applyFont="1" applyFill="1" applyBorder="1" applyAlignment="1" applyProtection="1">
      <alignment horizontal="center" vertical="center"/>
      <protection locked="0"/>
    </xf>
    <xf numFmtId="40" fontId="42" fillId="8" borderId="90" xfId="0" applyNumberFormat="1" applyFont="1" applyFill="1" applyBorder="1" applyAlignment="1" applyProtection="1">
      <alignment horizontal="center" vertical="center"/>
      <protection locked="0"/>
    </xf>
    <xf numFmtId="40" fontId="42" fillId="8" borderId="36" xfId="0" applyNumberFormat="1" applyFont="1" applyFill="1" applyBorder="1" applyAlignment="1" applyProtection="1">
      <alignment horizontal="center" vertical="center"/>
      <protection locked="0"/>
    </xf>
    <xf numFmtId="40" fontId="42" fillId="8" borderId="37" xfId="0" applyNumberFormat="1" applyFont="1" applyFill="1" applyBorder="1" applyAlignment="1" applyProtection="1">
      <alignment horizontal="center" vertical="center"/>
      <protection locked="0"/>
    </xf>
    <xf numFmtId="165" fontId="54" fillId="10" borderId="68" xfId="0" applyNumberFormat="1" applyFont="1" applyFill="1" applyBorder="1" applyAlignment="1">
      <alignment horizontal="center" vertical="center"/>
    </xf>
    <xf numFmtId="165" fontId="54" fillId="10" borderId="67" xfId="0" applyNumberFormat="1" applyFont="1" applyFill="1" applyBorder="1" applyAlignment="1">
      <alignment horizontal="center" vertical="center"/>
    </xf>
    <xf numFmtId="40" fontId="41" fillId="11" borderId="52" xfId="0" applyNumberFormat="1" applyFont="1" applyFill="1" applyBorder="1" applyAlignment="1">
      <alignment horizontal="center" vertical="center"/>
    </xf>
    <xf numFmtId="164" fontId="28" fillId="8" borderId="51" xfId="0" applyNumberFormat="1" applyFont="1" applyFill="1" applyBorder="1" applyAlignment="1">
      <alignment horizontal="center" vertical="center"/>
    </xf>
    <xf numFmtId="164" fontId="28" fillId="8" borderId="50" xfId="0" applyNumberFormat="1" applyFont="1" applyFill="1" applyBorder="1" applyAlignment="1">
      <alignment horizontal="center" vertical="center"/>
    </xf>
    <xf numFmtId="164" fontId="28" fillId="8" borderId="15" xfId="0" applyNumberFormat="1" applyFont="1" applyFill="1" applyBorder="1" applyAlignment="1">
      <alignment horizontal="center" vertical="center"/>
    </xf>
    <xf numFmtId="164" fontId="28" fillId="8" borderId="14" xfId="0" applyNumberFormat="1" applyFont="1" applyFill="1" applyBorder="1" applyAlignment="1">
      <alignment horizontal="center" vertical="center"/>
    </xf>
    <xf numFmtId="0" fontId="33" fillId="8" borderId="0" xfId="0" applyNumberFormat="1" applyFont="1" applyFill="1" applyBorder="1" applyAlignment="1">
      <alignment horizontal="center" vertical="center"/>
    </xf>
    <xf numFmtId="0" fontId="33" fillId="8" borderId="86" xfId="0" applyNumberFormat="1" applyFont="1" applyFill="1" applyBorder="1" applyAlignment="1">
      <alignment horizontal="center" vertical="center"/>
    </xf>
    <xf numFmtId="0" fontId="33" fillId="8" borderId="84" xfId="0" applyNumberFormat="1" applyFont="1" applyFill="1" applyBorder="1" applyAlignment="1">
      <alignment horizontal="center" vertical="center"/>
    </xf>
    <xf numFmtId="0" fontId="33" fillId="8" borderId="29" xfId="0" applyNumberFormat="1" applyFont="1" applyFill="1" applyBorder="1" applyAlignment="1">
      <alignment horizontal="center" vertical="center"/>
    </xf>
    <xf numFmtId="165" fontId="28" fillId="8" borderId="74" xfId="0" quotePrefix="1" applyNumberFormat="1" applyFont="1" applyFill="1" applyBorder="1" applyAlignment="1">
      <alignment horizontal="center" vertical="center"/>
    </xf>
    <xf numFmtId="165" fontId="28" fillId="8" borderId="73" xfId="0" quotePrefix="1" applyNumberFormat="1" applyFont="1" applyFill="1" applyBorder="1" applyAlignment="1">
      <alignment horizontal="center" vertical="center"/>
    </xf>
    <xf numFmtId="165" fontId="28" fillId="8" borderId="78" xfId="0" quotePrefix="1" applyNumberFormat="1" applyFont="1" applyFill="1" applyBorder="1" applyAlignment="1">
      <alignment horizontal="center" vertical="center"/>
    </xf>
    <xf numFmtId="165" fontId="28" fillId="8" borderId="77" xfId="0" quotePrefix="1" applyNumberFormat="1" applyFont="1" applyFill="1" applyBorder="1" applyAlignment="1">
      <alignment horizontal="center" vertical="center"/>
    </xf>
    <xf numFmtId="165" fontId="22" fillId="10" borderId="20" xfId="0" applyNumberFormat="1" applyFont="1" applyFill="1" applyBorder="1" applyAlignment="1" applyProtection="1">
      <alignment horizontal="center" vertical="center"/>
      <protection locked="0"/>
    </xf>
    <xf numFmtId="40" fontId="42" fillId="8" borderId="15" xfId="0" applyNumberFormat="1" applyFont="1" applyFill="1" applyBorder="1" applyAlignment="1" applyProtection="1">
      <alignment horizontal="center" vertical="center"/>
      <protection locked="0"/>
    </xf>
    <xf numFmtId="40" fontId="36" fillId="12" borderId="33" xfId="1" applyNumberFormat="1" applyFont="1" applyFill="1" applyBorder="1" applyAlignment="1" applyProtection="1">
      <alignment horizontal="center" vertical="center"/>
      <protection locked="0"/>
    </xf>
    <xf numFmtId="40" fontId="36" fillId="12" borderId="105" xfId="1" applyNumberFormat="1" applyFont="1" applyFill="1" applyBorder="1" applyAlignment="1" applyProtection="1">
      <alignment horizontal="center" vertical="center"/>
      <protection locked="0"/>
    </xf>
    <xf numFmtId="165" fontId="22" fillId="10" borderId="104" xfId="0" applyNumberFormat="1" applyFont="1" applyFill="1" applyBorder="1" applyAlignment="1" applyProtection="1">
      <alignment horizontal="center" vertical="center"/>
      <protection locked="0"/>
    </xf>
    <xf numFmtId="165" fontId="22" fillId="10" borderId="23" xfId="0" applyNumberFormat="1" applyFont="1" applyFill="1" applyBorder="1" applyAlignment="1" applyProtection="1">
      <alignment horizontal="center" vertical="center"/>
      <protection locked="0"/>
    </xf>
    <xf numFmtId="165" fontId="28" fillId="8" borderId="89" xfId="0" quotePrefix="1" applyNumberFormat="1" applyFont="1" applyFill="1" applyBorder="1" applyAlignment="1">
      <alignment horizontal="center" vertical="center"/>
    </xf>
    <xf numFmtId="165" fontId="28" fillId="8" borderId="13" xfId="0" quotePrefix="1" applyNumberFormat="1" applyFont="1" applyFill="1" applyBorder="1" applyAlignment="1">
      <alignment horizontal="center" vertical="center"/>
    </xf>
    <xf numFmtId="40" fontId="28" fillId="8" borderId="89" xfId="0" quotePrefix="1" applyNumberFormat="1" applyFont="1" applyFill="1" applyBorder="1" applyAlignment="1">
      <alignment horizontal="center" vertical="center"/>
    </xf>
    <xf numFmtId="40" fontId="36" fillId="12" borderId="55" xfId="1" applyNumberFormat="1" applyFont="1" applyFill="1" applyBorder="1" applyAlignment="1" applyProtection="1">
      <alignment horizontal="center" vertical="center"/>
      <protection locked="0"/>
    </xf>
    <xf numFmtId="40" fontId="36" fillId="12" borderId="71" xfId="1" applyNumberFormat="1" applyFont="1" applyFill="1" applyBorder="1" applyAlignment="1" applyProtection="1">
      <alignment horizontal="center" vertical="center"/>
      <protection locked="0"/>
    </xf>
    <xf numFmtId="40" fontId="36" fillId="12" borderId="106" xfId="1" applyNumberFormat="1" applyFont="1" applyFill="1" applyBorder="1" applyAlignment="1" applyProtection="1">
      <alignment horizontal="center" vertical="center"/>
      <protection locked="0"/>
    </xf>
    <xf numFmtId="40" fontId="36" fillId="12" borderId="91" xfId="1" applyNumberFormat="1" applyFont="1" applyFill="1" applyBorder="1" applyAlignment="1" applyProtection="1">
      <alignment horizontal="center" vertical="center"/>
      <protection locked="0"/>
    </xf>
    <xf numFmtId="184" fontId="36" fillId="12" borderId="33" xfId="1" applyNumberFormat="1" applyFont="1" applyFill="1" applyBorder="1" applyAlignment="1" applyProtection="1">
      <alignment horizontal="center" vertical="center"/>
      <protection locked="0"/>
    </xf>
    <xf numFmtId="40" fontId="19" fillId="12" borderId="55" xfId="0" applyNumberFormat="1" applyFont="1" applyFill="1" applyBorder="1" applyAlignment="1" applyProtection="1">
      <alignment horizontal="right" vertical="center"/>
      <protection locked="0"/>
    </xf>
    <xf numFmtId="40" fontId="19" fillId="12" borderId="72" xfId="0" applyNumberFormat="1" applyFont="1" applyFill="1" applyBorder="1" applyAlignment="1" applyProtection="1">
      <alignment horizontal="right" vertical="center"/>
      <protection locked="0"/>
    </xf>
    <xf numFmtId="40" fontId="19" fillId="12" borderId="104" xfId="0" applyNumberFormat="1" applyFont="1" applyFill="1" applyBorder="1" applyAlignment="1" applyProtection="1">
      <alignment horizontal="right" vertical="center"/>
      <protection locked="0"/>
    </xf>
    <xf numFmtId="40" fontId="19" fillId="12" borderId="32" xfId="0" applyNumberFormat="1" applyFont="1" applyFill="1" applyBorder="1" applyAlignment="1" applyProtection="1">
      <alignment horizontal="right" vertical="center"/>
      <protection locked="0"/>
    </xf>
    <xf numFmtId="40" fontId="22" fillId="15" borderId="78" xfId="0" quotePrefix="1" applyNumberFormat="1" applyFont="1" applyFill="1" applyBorder="1" applyAlignment="1" applyProtection="1">
      <alignment horizontal="center" vertical="center"/>
      <protection locked="0"/>
    </xf>
    <xf numFmtId="40" fontId="22" fillId="15" borderId="77" xfId="0" quotePrefix="1" applyNumberFormat="1" applyFont="1" applyFill="1" applyBorder="1" applyAlignment="1" applyProtection="1">
      <alignment horizontal="center" vertical="center"/>
      <protection locked="0"/>
    </xf>
    <xf numFmtId="165" fontId="22" fillId="10" borderId="22" xfId="0" applyNumberFormat="1" applyFont="1" applyFill="1" applyBorder="1" applyAlignment="1" applyProtection="1">
      <alignment horizontal="center" vertical="center"/>
    </xf>
    <xf numFmtId="165" fontId="22" fillId="10" borderId="20" xfId="0" applyNumberFormat="1" applyFont="1" applyFill="1" applyBorder="1" applyAlignment="1" applyProtection="1">
      <alignment horizontal="center" vertical="center"/>
    </xf>
    <xf numFmtId="40" fontId="36" fillId="12" borderId="1" xfId="1" applyNumberFormat="1" applyFont="1" applyFill="1" applyBorder="1" applyAlignment="1" applyProtection="1">
      <alignment horizontal="center" vertical="center"/>
      <protection locked="0"/>
    </xf>
    <xf numFmtId="40" fontId="42" fillId="8" borderId="15" xfId="0" applyNumberFormat="1" applyFont="1" applyFill="1" applyBorder="1" applyAlignment="1" applyProtection="1">
      <alignment horizontal="center" vertical="center"/>
    </xf>
    <xf numFmtId="40" fontId="42" fillId="8" borderId="37" xfId="0" applyNumberFormat="1" applyFont="1" applyFill="1" applyBorder="1" applyAlignment="1" applyProtection="1">
      <alignment horizontal="center" vertical="center"/>
    </xf>
    <xf numFmtId="184" fontId="36" fillId="12" borderId="88" xfId="1" applyNumberFormat="1" applyFont="1" applyFill="1" applyBorder="1" applyAlignment="1" applyProtection="1">
      <alignment horizontal="center" vertical="center"/>
    </xf>
    <xf numFmtId="184" fontId="36" fillId="12" borderId="71" xfId="1" applyNumberFormat="1" applyFont="1" applyFill="1" applyBorder="1" applyAlignment="1" applyProtection="1">
      <alignment horizontal="center" vertical="center"/>
    </xf>
    <xf numFmtId="184" fontId="36" fillId="12" borderId="78" xfId="1" applyNumberFormat="1" applyFont="1" applyFill="1" applyBorder="1" applyAlignment="1" applyProtection="1">
      <alignment horizontal="center" vertical="center"/>
    </xf>
    <xf numFmtId="184" fontId="36" fillId="12" borderId="3" xfId="1" applyNumberFormat="1" applyFont="1" applyFill="1" applyBorder="1" applyAlignment="1" applyProtection="1">
      <alignment horizontal="center" vertical="center"/>
    </xf>
    <xf numFmtId="165" fontId="22" fillId="10" borderId="104" xfId="0" applyNumberFormat="1" applyFont="1" applyFill="1" applyBorder="1" applyAlignment="1" applyProtection="1">
      <alignment horizontal="center" vertical="center"/>
    </xf>
    <xf numFmtId="165" fontId="22" fillId="10" borderId="23" xfId="0" applyNumberFormat="1" applyFont="1" applyFill="1" applyBorder="1" applyAlignment="1" applyProtection="1">
      <alignment horizontal="center" vertical="center"/>
    </xf>
    <xf numFmtId="14" fontId="22" fillId="20" borderId="0" xfId="0" applyNumberFormat="1" applyFont="1" applyFill="1" applyBorder="1" applyAlignment="1" applyProtection="1">
      <alignment horizontal="left" vertical="center" indent="1"/>
      <protection locked="0"/>
    </xf>
    <xf numFmtId="164" fontId="22" fillId="20" borderId="84" xfId="0" applyNumberFormat="1" applyFont="1" applyFill="1" applyBorder="1" applyAlignment="1" applyProtection="1">
      <alignment horizontal="left" vertical="center" indent="1"/>
      <protection locked="0"/>
    </xf>
    <xf numFmtId="4" fontId="22" fillId="0" borderId="120" xfId="0" applyNumberFormat="1" applyFont="1" applyBorder="1" applyAlignment="1" applyProtection="1">
      <alignment horizontal="right" vertical="center"/>
      <protection locked="0"/>
    </xf>
    <xf numFmtId="4" fontId="22" fillId="0" borderId="121" xfId="0" applyNumberFormat="1" applyFont="1" applyBorder="1" applyAlignment="1" applyProtection="1">
      <alignment horizontal="right" vertical="center"/>
      <protection locked="0"/>
    </xf>
    <xf numFmtId="4" fontId="19" fillId="0" borderId="120" xfId="0" applyNumberFormat="1" applyFont="1" applyBorder="1" applyAlignment="1" applyProtection="1">
      <alignment horizontal="right" vertical="center"/>
      <protection locked="0"/>
    </xf>
    <xf numFmtId="4" fontId="19" fillId="0" borderId="84" xfId="0" applyNumberFormat="1" applyFont="1" applyBorder="1" applyAlignment="1" applyProtection="1">
      <alignment horizontal="right" vertical="center"/>
      <protection locked="0"/>
    </xf>
    <xf numFmtId="184" fontId="37" fillId="11" borderId="21" xfId="0" applyNumberFormat="1" applyFont="1" applyFill="1" applyBorder="1" applyAlignment="1" applyProtection="1">
      <alignment horizontal="left" vertical="center" indent="1"/>
      <protection locked="0"/>
    </xf>
    <xf numFmtId="184" fontId="39" fillId="23" borderId="75" xfId="0" applyNumberFormat="1" applyFont="1" applyFill="1" applyBorder="1" applyAlignment="1" applyProtection="1">
      <alignment horizontal="left" vertical="center" indent="1"/>
      <protection locked="0"/>
    </xf>
    <xf numFmtId="184" fontId="22" fillId="11" borderId="21" xfId="0" applyNumberFormat="1" applyFont="1" applyFill="1" applyBorder="1" applyAlignment="1" applyProtection="1">
      <alignment horizontal="left" vertical="center" indent="1"/>
      <protection locked="0"/>
    </xf>
    <xf numFmtId="184" fontId="45" fillId="23" borderId="122" xfId="0" quotePrefix="1" applyNumberFormat="1" applyFont="1" applyFill="1" applyBorder="1" applyAlignment="1" applyProtection="1">
      <alignment horizontal="center" vertical="center"/>
      <protection locked="0"/>
    </xf>
    <xf numFmtId="184" fontId="22" fillId="7" borderId="21" xfId="0" applyNumberFormat="1" applyFont="1" applyFill="1" applyBorder="1" applyAlignment="1" applyProtection="1">
      <alignment horizontal="left" vertical="center" indent="1"/>
      <protection locked="0"/>
    </xf>
    <xf numFmtId="184" fontId="22" fillId="24" borderId="21" xfId="0" applyNumberFormat="1" applyFont="1" applyFill="1" applyBorder="1" applyAlignment="1" applyProtection="1">
      <alignment horizontal="left" vertical="center" indent="1"/>
      <protection locked="0"/>
    </xf>
    <xf numFmtId="164" fontId="22" fillId="20" borderId="84" xfId="0" applyNumberFormat="1" applyFont="1" applyFill="1" applyBorder="1" applyAlignment="1" applyProtection="1">
      <alignment horizontal="left" vertical="center" indent="1"/>
    </xf>
    <xf numFmtId="4" fontId="22" fillId="27" borderId="103" xfId="0" applyNumberFormat="1" applyFont="1" applyFill="1" applyBorder="1" applyAlignment="1" applyProtection="1">
      <alignment horizontal="center" vertical="center"/>
      <protection locked="0"/>
    </xf>
    <xf numFmtId="4" fontId="27" fillId="19" borderId="138" xfId="0" applyNumberFormat="1" applyFont="1" applyFill="1" applyBorder="1" applyAlignment="1">
      <alignment horizontal="center" vertical="center"/>
    </xf>
    <xf numFmtId="4" fontId="27" fillId="19" borderId="108" xfId="0" applyNumberFormat="1" applyFont="1" applyFill="1" applyBorder="1" applyAlignment="1">
      <alignment horizontal="center" vertical="center"/>
    </xf>
    <xf numFmtId="4" fontId="22" fillId="27" borderId="0" xfId="0" applyNumberFormat="1" applyFont="1" applyFill="1" applyBorder="1" applyAlignment="1" applyProtection="1">
      <alignment horizontal="center" vertical="center"/>
      <protection locked="0"/>
    </xf>
    <xf numFmtId="4" fontId="27" fillId="19" borderId="84" xfId="0" applyNumberFormat="1" applyFont="1" applyFill="1" applyBorder="1" applyAlignment="1">
      <alignment horizontal="center" vertical="center"/>
    </xf>
    <xf numFmtId="4" fontId="22" fillId="27" borderId="122" xfId="0" applyNumberFormat="1" applyFont="1" applyFill="1" applyBorder="1" applyAlignment="1" applyProtection="1">
      <alignment horizontal="center" vertical="center"/>
      <protection locked="0"/>
    </xf>
    <xf numFmtId="0" fontId="76" fillId="31" borderId="417" xfId="0" applyNumberFormat="1" applyFont="1" applyFill="1" applyBorder="1" applyAlignment="1">
      <alignment horizontal="right" vertical="center"/>
    </xf>
    <xf numFmtId="207" fontId="76" fillId="31" borderId="418" xfId="0" applyNumberFormat="1" applyFont="1" applyFill="1" applyBorder="1" applyAlignment="1">
      <alignment horizontal="center" vertical="center"/>
    </xf>
    <xf numFmtId="191" fontId="78" fillId="31" borderId="418" xfId="0" applyNumberFormat="1" applyFont="1" applyFill="1" applyBorder="1" applyAlignment="1">
      <alignment horizontal="center" vertical="center"/>
    </xf>
    <xf numFmtId="191" fontId="125" fillId="20" borderId="418" xfId="0" applyNumberFormat="1" applyFont="1" applyFill="1" applyBorder="1" applyAlignment="1">
      <alignment horizontal="center" vertical="center"/>
    </xf>
    <xf numFmtId="196" fontId="78" fillId="25" borderId="418" xfId="52" applyNumberFormat="1" applyFont="1" applyFill="1" applyBorder="1" applyAlignment="1">
      <alignment horizontal="center" vertical="center"/>
    </xf>
    <xf numFmtId="196" fontId="125" fillId="20" borderId="418" xfId="52" applyNumberFormat="1" applyFont="1" applyFill="1" applyBorder="1" applyAlignment="1">
      <alignment horizontal="center" vertical="center"/>
    </xf>
    <xf numFmtId="196" fontId="125" fillId="25" borderId="418" xfId="52" applyNumberFormat="1" applyFont="1" applyFill="1" applyBorder="1" applyAlignment="1">
      <alignment horizontal="center" vertical="center"/>
    </xf>
    <xf numFmtId="205" fontId="78" fillId="25" borderId="419" xfId="0" applyNumberFormat="1" applyFont="1" applyFill="1" applyBorder="1" applyAlignment="1">
      <alignment horizontal="center" vertical="center"/>
    </xf>
    <xf numFmtId="191" fontId="133" fillId="8" borderId="420" xfId="57" applyNumberFormat="1" applyFont="1" applyFill="1" applyBorder="1" applyAlignment="1">
      <alignment horizontal="center" vertical="center"/>
    </xf>
    <xf numFmtId="209" fontId="135" fillId="8" borderId="421" xfId="0" applyNumberFormat="1" applyFont="1" applyFill="1" applyBorder="1" applyAlignment="1">
      <alignment horizontal="center" vertical="center"/>
    </xf>
    <xf numFmtId="196" fontId="131" fillId="8" borderId="421" xfId="52" applyNumberFormat="1" applyFont="1" applyFill="1" applyBorder="1" applyAlignment="1">
      <alignment horizontal="center" vertical="center"/>
    </xf>
    <xf numFmtId="191" fontId="133" fillId="8" borderId="421" xfId="57" applyNumberFormat="1" applyFont="1" applyFill="1" applyBorder="1" applyAlignment="1">
      <alignment horizontal="center" vertical="center"/>
    </xf>
    <xf numFmtId="205" fontId="133" fillId="8" borderId="421" xfId="57" applyNumberFormat="1" applyFont="1" applyFill="1" applyBorder="1" applyAlignment="1">
      <alignment horizontal="center" vertical="center"/>
    </xf>
    <xf numFmtId="205" fontId="133" fillId="8" borderId="422" xfId="57" applyNumberFormat="1" applyFont="1" applyFill="1" applyBorder="1" applyAlignment="1">
      <alignment horizontal="center" vertical="center"/>
    </xf>
    <xf numFmtId="0" fontId="76" fillId="31" borderId="397" xfId="0" applyNumberFormat="1" applyFont="1" applyFill="1" applyBorder="1" applyAlignment="1">
      <alignment horizontal="right" vertical="center"/>
    </xf>
    <xf numFmtId="191" fontId="79" fillId="23" borderId="393" xfId="57" applyNumberFormat="1" applyFont="1" applyFill="1" applyBorder="1" applyAlignment="1">
      <alignment horizontal="center" vertical="center"/>
    </xf>
    <xf numFmtId="209" fontId="28" fillId="8" borderId="346" xfId="0" applyNumberFormat="1" applyFont="1" applyFill="1" applyBorder="1" applyAlignment="1">
      <alignment horizontal="center" vertical="center"/>
    </xf>
    <xf numFmtId="209" fontId="28" fillId="8" borderId="347" xfId="0" applyNumberFormat="1" applyFont="1" applyFill="1" applyBorder="1" applyAlignment="1">
      <alignment horizontal="center" vertical="center"/>
    </xf>
    <xf numFmtId="209" fontId="28" fillId="8" borderId="416" xfId="0" applyNumberFormat="1" applyFont="1" applyFill="1" applyBorder="1" applyAlignment="1">
      <alignment horizontal="center" vertical="center"/>
    </xf>
    <xf numFmtId="209" fontId="28" fillId="8" borderId="387" xfId="0" applyNumberFormat="1" applyFont="1" applyFill="1" applyBorder="1" applyAlignment="1">
      <alignment horizontal="center" vertical="center"/>
    </xf>
    <xf numFmtId="209" fontId="28" fillId="8" borderId="348" xfId="0" applyNumberFormat="1" applyFont="1" applyFill="1" applyBorder="1" applyAlignment="1">
      <alignment horizontal="center" vertical="center"/>
    </xf>
    <xf numFmtId="209" fontId="28" fillId="8" borderId="423" xfId="0" applyNumberFormat="1" applyFont="1" applyFill="1" applyBorder="1" applyAlignment="1">
      <alignment horizontal="center" vertical="center"/>
    </xf>
    <xf numFmtId="191" fontId="78" fillId="31" borderId="395" xfId="0" applyNumberFormat="1" applyFont="1" applyFill="1" applyBorder="1" applyAlignment="1">
      <alignment horizontal="center" vertical="center"/>
    </xf>
    <xf numFmtId="205" fontId="78" fillId="31" borderId="283" xfId="0" applyNumberFormat="1" applyFont="1" applyFill="1" applyBorder="1" applyAlignment="1">
      <alignment horizontal="center" vertical="center"/>
    </xf>
    <xf numFmtId="196" fontId="76" fillId="13" borderId="391" xfId="52" applyNumberFormat="1" applyFont="1" applyFill="1" applyBorder="1" applyAlignment="1">
      <alignment horizontal="center" vertical="center"/>
    </xf>
    <xf numFmtId="0" fontId="44" fillId="23" borderId="0" xfId="57" applyFont="1" applyFill="1" applyAlignment="1">
      <alignment horizontal="center" vertical="center"/>
    </xf>
    <xf numFmtId="205" fontId="78" fillId="0" borderId="395" xfId="0" applyNumberFormat="1" applyFont="1" applyFill="1" applyBorder="1" applyAlignment="1">
      <alignment horizontal="center" vertical="center"/>
    </xf>
    <xf numFmtId="191" fontId="125" fillId="31" borderId="283" xfId="0" applyNumberFormat="1" applyFont="1" applyFill="1" applyBorder="1" applyAlignment="1">
      <alignment horizontal="center" vertical="center"/>
    </xf>
    <xf numFmtId="196" fontId="78" fillId="31" borderId="283" xfId="52" applyNumberFormat="1" applyFont="1" applyFill="1" applyBorder="1" applyAlignment="1">
      <alignment horizontal="center" vertical="center"/>
    </xf>
    <xf numFmtId="196" fontId="125" fillId="31" borderId="283" xfId="52" applyNumberFormat="1" applyFont="1" applyFill="1" applyBorder="1" applyAlignment="1">
      <alignment horizontal="center" vertical="center"/>
    </xf>
    <xf numFmtId="205" fontId="78" fillId="31" borderId="396" xfId="0" applyNumberFormat="1" applyFont="1" applyFill="1" applyBorder="1" applyAlignment="1">
      <alignment horizontal="center" vertical="center"/>
    </xf>
    <xf numFmtId="1" fontId="22" fillId="38" borderId="0" xfId="46" applyNumberFormat="1" applyFont="1" applyFill="1" applyBorder="1" applyAlignment="1">
      <alignment horizontal="center" vertical="center"/>
    </xf>
    <xf numFmtId="1" fontId="22" fillId="38" borderId="278" xfId="46" applyNumberFormat="1" applyFont="1" applyFill="1" applyBorder="1" applyAlignment="1">
      <alignment horizontal="center" vertical="center"/>
    </xf>
  </cellXfs>
  <cellStyles count="63">
    <cellStyle name="20 % - Markeringsfarve1 2" xfId="2"/>
    <cellStyle name="40 % - Markeringsfarve1" xfId="48" builtinId="31"/>
    <cellStyle name="60 % - Markeringsfarve1" xfId="49" builtinId="32"/>
    <cellStyle name="Euro" xfId="3"/>
    <cellStyle name="God" xfId="1" builtinId="26"/>
    <cellStyle name="Hyperlink" xfId="47" builtinId="8"/>
    <cellStyle name="Hyperlink 2" xfId="4"/>
    <cellStyle name="Hyperlink 3" xfId="5"/>
    <cellStyle name="Hyperlink 3 2" xfId="6"/>
    <cellStyle name="Hyperlink 3 2 2" xfId="7"/>
    <cellStyle name="Hyperlink 4" xfId="8"/>
    <cellStyle name="Normal" xfId="0" builtinId="0"/>
    <cellStyle name="Normal 10" xfId="9"/>
    <cellStyle name="Normal 10 2" xfId="10"/>
    <cellStyle name="Normal 11" xfId="11"/>
    <cellStyle name="Normal 12" xfId="12"/>
    <cellStyle name="Normal 13" xfId="13"/>
    <cellStyle name="Normal 14" xfId="14"/>
    <cellStyle name="Normal 15" xfId="15"/>
    <cellStyle name="Normal 16" xfId="16"/>
    <cellStyle name="Normal 16 2" xfId="17"/>
    <cellStyle name="Normal 17" xfId="18"/>
    <cellStyle name="Normal 18" xfId="19"/>
    <cellStyle name="Normal 19" xfId="20"/>
    <cellStyle name="Normal 2" xfId="2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28"/>
    <cellStyle name="Normal 26 2" xfId="53"/>
    <cellStyle name="Normal 27" xfId="29"/>
    <cellStyle name="Normal 27 2" xfId="51"/>
    <cellStyle name="Normal 28" xfId="30"/>
    <cellStyle name="Normal 29" xfId="31"/>
    <cellStyle name="Normal 3" xfId="32"/>
    <cellStyle name="Normal 3 2" xfId="33"/>
    <cellStyle name="Normal 3 2 2" xfId="46"/>
    <cellStyle name="Normal 3 2 3" xfId="54"/>
    <cellStyle name="Normal 30" xfId="34"/>
    <cellStyle name="Normal 30 2" xfId="50"/>
    <cellStyle name="Normal 31" xfId="35"/>
    <cellStyle name="Normal 32" xfId="36"/>
    <cellStyle name="Normal 32 2" xfId="52"/>
    <cellStyle name="Normal 33" xfId="56"/>
    <cellStyle name="Normal 34" xfId="57"/>
    <cellStyle name="Normal 35" xfId="58"/>
    <cellStyle name="Normal 36" xfId="59"/>
    <cellStyle name="Normal 37" xfId="60"/>
    <cellStyle name="Normal 38" xfId="61"/>
    <cellStyle name="Normal 39" xfId="62"/>
    <cellStyle name="Normal 4" xfId="37"/>
    <cellStyle name="Normal 5" xfId="38"/>
    <cellStyle name="Normal 6" xfId="39"/>
    <cellStyle name="Normal 7" xfId="40"/>
    <cellStyle name="Normal 8" xfId="41"/>
    <cellStyle name="Normal 8 2" xfId="42"/>
    <cellStyle name="Normal 8 2 2" xfId="43"/>
    <cellStyle name="Normal 8 2 2 2" xfId="44"/>
    <cellStyle name="Normal 8 2 2 2 2" xfId="55"/>
    <cellStyle name="Normal 9" xfId="45"/>
  </cellStyles>
  <dxfs count="208"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medium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general" vertical="center" textRotation="0" wrapText="0" indent="0" relativeIndent="0" justifyLastLine="0" shrinkToFit="0" mergeCell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1" formatCode="#,##0.00&quot; kWh&quot;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191" formatCode="#,##0.00&quot; kWh&quot;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</dxf>
    <dxf>
      <numFmt numFmtId="191" formatCode="#,##0.00&quot; kWh&quot;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</dxf>
    <dxf>
      <numFmt numFmtId="0" formatCode="General"/>
    </dxf>
    <dxf>
      <numFmt numFmtId="0" formatCode="General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91" formatCode="#,##0.00&quot; kWh&quot;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border outline="0">
        <bottom style="thin">
          <color indexed="64"/>
        </bottom>
      </border>
    </dxf>
    <dxf>
      <alignment horizontal="general" vertical="center" textRotation="0" wrapText="0" indent="0" relativeIndent="0" justifyLastLine="0" shrinkToFit="0" mergeCell="0" readingOrder="0"/>
    </dxf>
    <dxf>
      <numFmt numFmtId="0" formatCode="General"/>
      <alignment horizontal="general" vertical="center" textRotation="0" wrapText="0" indent="0" relativeIndent="0" justifyLastLine="0" shrinkToFit="0" mergeCell="0" readingOrder="0"/>
    </dxf>
    <dxf>
      <numFmt numFmtId="187" formatCode="&quot;kr.&quot;\ #,##0.00"/>
    </dxf>
  </dxfs>
  <tableStyles count="0" defaultTableStyle="TableStyleMedium9" defaultPivotStyle="PivotStyleLight16"/>
  <colors>
    <mruColors>
      <color rgb="FFD8E6C0"/>
      <color rgb="FFDAE7C3"/>
      <color rgb="FFD0E0B2"/>
      <color rgb="FFE0EBCD"/>
      <color rgb="FFE2ECD0"/>
      <color rgb="FFDFEACC"/>
      <color rgb="FFDEE9C9"/>
      <color rgb="FFDCE8C6"/>
      <color rgb="FF2C4D76"/>
      <color rgb="FF43542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72</xdr:row>
      <xdr:rowOff>0</xdr:rowOff>
    </xdr:from>
    <xdr:to>
      <xdr:col>15</xdr:col>
      <xdr:colOff>247650</xdr:colOff>
      <xdr:row>95</xdr:row>
      <xdr:rowOff>28575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1658600"/>
          <a:ext cx="8172450" cy="3752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12</xdr:row>
      <xdr:rowOff>22860</xdr:rowOff>
    </xdr:from>
    <xdr:to>
      <xdr:col>6</xdr:col>
      <xdr:colOff>7620</xdr:colOff>
      <xdr:row>48</xdr:row>
      <xdr:rowOff>83820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2057400"/>
          <a:ext cx="424434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53340</xdr:colOff>
      <xdr:row>49</xdr:row>
      <xdr:rowOff>22860</xdr:rowOff>
    </xdr:from>
    <xdr:to>
      <xdr:col>5</xdr:col>
      <xdr:colOff>868680</xdr:colOff>
      <xdr:row>85</xdr:row>
      <xdr:rowOff>68580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" y="8260080"/>
          <a:ext cx="4320540" cy="608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76200</xdr:colOff>
      <xdr:row>7</xdr:row>
      <xdr:rowOff>175260</xdr:rowOff>
    </xdr:from>
    <xdr:to>
      <xdr:col>85</xdr:col>
      <xdr:colOff>495300</xdr:colOff>
      <xdr:row>41</xdr:row>
      <xdr:rowOff>60960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56460" y="1440180"/>
          <a:ext cx="69723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104775</xdr:colOff>
      <xdr:row>17</xdr:row>
      <xdr:rowOff>28575</xdr:rowOff>
    </xdr:from>
    <xdr:to>
      <xdr:col>31</xdr:col>
      <xdr:colOff>9526</xdr:colOff>
      <xdr:row>38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73550" y="3381375"/>
          <a:ext cx="4981575" cy="3390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15</xdr:row>
      <xdr:rowOff>171450</xdr:rowOff>
    </xdr:from>
    <xdr:to>
      <xdr:col>39</xdr:col>
      <xdr:colOff>47625</xdr:colOff>
      <xdr:row>24</xdr:row>
      <xdr:rowOff>28575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0" y="3305175"/>
          <a:ext cx="5000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nskab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/Mappe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l-van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egnskab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oder"/>
      <sheetName val="El-"/>
      <sheetName val="elforbrug_0626"/>
      <sheetName val="okt1-nov5"/>
      <sheetName val="El2"/>
      <sheetName val="El"/>
      <sheetName val="vand"/>
      <sheetName val="2023"/>
      <sheetName val="2022"/>
      <sheetName val="medicin"/>
      <sheetName val="bil"/>
      <sheetName val="reservedele"/>
      <sheetName val="2021"/>
      <sheetName val="2020"/>
      <sheetName val="2019"/>
      <sheetName val="2018-"/>
      <sheetName val="2018"/>
      <sheetName val="2017"/>
      <sheetName val="Allan"/>
      <sheetName val="OK Allan"/>
      <sheetName val="div16"/>
      <sheetName val="husleje"/>
      <sheetName val="div19"/>
      <sheetName val="hush18"/>
      <sheetName val="div18"/>
      <sheetName val="hush17"/>
      <sheetName val="div1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2">
          <cell r="L342">
            <v>16.684000000000001</v>
          </cell>
        </row>
        <row r="368">
          <cell r="L368">
            <v>24.833000000000002</v>
          </cell>
        </row>
        <row r="394">
          <cell r="L394">
            <v>41.672999999999988</v>
          </cell>
        </row>
        <row r="420">
          <cell r="L420">
            <v>39.832000000000001</v>
          </cell>
        </row>
        <row r="446">
          <cell r="L446">
            <v>39.468999999999994</v>
          </cell>
        </row>
        <row r="472">
          <cell r="L472">
            <v>41.655000000000001</v>
          </cell>
        </row>
      </sheetData>
      <sheetData sheetId="5" refreshError="1"/>
      <sheetData sheetId="6">
        <row r="51">
          <cell r="R51">
            <v>1881.7357413461539</v>
          </cell>
        </row>
      </sheetData>
      <sheetData sheetId="7" refreshError="1"/>
      <sheetData sheetId="8" refreshError="1"/>
      <sheetData sheetId="9" refreshError="1"/>
      <sheetData sheetId="10">
        <row r="14">
          <cell r="I14">
            <v>630.03090909090906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23"/>
      <sheetName val="2022"/>
      <sheetName val="2021"/>
      <sheetName val="2020"/>
      <sheetName val="2019"/>
      <sheetName val="2018-"/>
      <sheetName val="2018"/>
      <sheetName val="2017"/>
      <sheetName val="div16"/>
      <sheetName val="hush18"/>
    </sheetNames>
    <sheetDataSet>
      <sheetData sheetId="0" refreshError="1"/>
      <sheetData sheetId="1" refreshError="1"/>
      <sheetData sheetId="2">
        <row r="74">
          <cell r="D74" t="str">
            <v>forsikring CH64598</v>
          </cell>
        </row>
        <row r="589">
          <cell r="P589">
            <v>762.61</v>
          </cell>
        </row>
      </sheetData>
      <sheetData sheetId="3">
        <row r="393">
          <cell r="D393">
            <v>977.86</v>
          </cell>
        </row>
      </sheetData>
      <sheetData sheetId="4" refreshError="1"/>
      <sheetData sheetId="5">
        <row r="27">
          <cell r="J27">
            <v>602.37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il"/>
      <sheetName val="reservedele"/>
    </sheetNames>
    <sheetDataSet>
      <sheetData sheetId="0">
        <row r="4">
          <cell r="D4">
            <v>630.8225000000001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g"/>
      <sheetName val="total"/>
      <sheetName val="4.kvt.2022"/>
      <sheetName val="vand"/>
      <sheetName val="El-"/>
      <sheetName val="elforbrug_05-08"/>
      <sheetName val="E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riture"/>
      <sheetName val="Ark1"/>
      <sheetName val="Ark2"/>
      <sheetName val="Covid-19"/>
      <sheetName val="nøgletal"/>
      <sheetName val="kamin"/>
      <sheetName val="Sheet1 (2)"/>
      <sheetName val="Sheet1"/>
      <sheetName val="Sheet1 (3)"/>
      <sheetName val="månedsbudget"/>
      <sheetName val="sygehus"/>
      <sheetName val="moms"/>
      <sheetName val="fryser"/>
      <sheetName val="El-2017 "/>
      <sheetName val="budget gl"/>
      <sheetName val="budget2018"/>
      <sheetName val="hush20"/>
      <sheetName val="div20"/>
      <sheetName val="2019gl"/>
      <sheetName val="2019-1"/>
      <sheetName val="diske"/>
      <sheetName val="Aftaler"/>
      <sheetName val="jan20"/>
      <sheetName val="feb20"/>
      <sheetName val="uge7"/>
      <sheetName val="uge8"/>
      <sheetName val="uge9"/>
      <sheetName val="Gpris"/>
      <sheetName val="byvillum.dk"/>
      <sheetName val="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5">
          <cell r="C65">
            <v>7474</v>
          </cell>
        </row>
        <row r="67">
          <cell r="C67">
            <v>602.4</v>
          </cell>
        </row>
        <row r="68">
          <cell r="C68">
            <v>523</v>
          </cell>
        </row>
        <row r="69">
          <cell r="C69">
            <v>284</v>
          </cell>
        </row>
        <row r="70">
          <cell r="C70">
            <v>245</v>
          </cell>
        </row>
        <row r="71">
          <cell r="C71">
            <v>215</v>
          </cell>
        </row>
        <row r="72">
          <cell r="C72">
            <v>458.75</v>
          </cell>
        </row>
        <row r="73">
          <cell r="C73">
            <v>73</v>
          </cell>
        </row>
        <row r="76">
          <cell r="C76">
            <v>150</v>
          </cell>
        </row>
        <row r="79">
          <cell r="C79">
            <v>182.48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ables/table1.xml><?xml version="1.0" encoding="utf-8"?>
<table xmlns="http://schemas.openxmlformats.org/spreadsheetml/2006/main" id="2" name="Tabel2" displayName="Tabel2" ref="A1:C362" totalsRowShown="0">
  <autoFilter ref="A1:C362"/>
  <tableColumns count="3">
    <tableColumn id="1" name="Kolonne1" dataCellStyle="Normal 36"/>
    <tableColumn id="2" name="Kolonne2" dataCellStyle="Normal 36"/>
    <tableColumn id="3" name="Kolonne3" dataDxfId="207" dataCellStyle="Normal 36"/>
  </tableColumns>
  <tableStyleInfo name="TableStyleMedium13" showFirstColumn="0" showLastColumn="0" showRowStripes="1" showColumnStripes="0"/>
</table>
</file>

<file path=xl/tables/table10.xml><?xml version="1.0" encoding="utf-8"?>
<table xmlns="http://schemas.openxmlformats.org/spreadsheetml/2006/main" id="17" name="Tabel17" displayName="Tabel17" ref="A202:D226" totalsRowShown="0" headerRowDxfId="150" dataDxfId="149" tableBorderDxfId="148">
  <autoFilter ref="A202:D226"/>
  <tableColumns count="4">
    <tableColumn id="1" name="fra kl." dataDxfId="147"/>
    <tableColumn id="2" name="til kl." dataDxfId="146"/>
    <tableColumn id="3" name="kWh" dataDxfId="145"/>
    <tableColumn id="4" name="total" dataDxfId="144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8" name="Tabel18" displayName="Tabel18" ref="A227:D251" totalsRowShown="0" headerRowDxfId="143" dataDxfId="142" tableBorderDxfId="141">
  <autoFilter ref="A227:D251"/>
  <tableColumns count="4">
    <tableColumn id="1" name="fra kl." dataDxfId="140"/>
    <tableColumn id="2" name="til kl." dataDxfId="139"/>
    <tableColumn id="3" name="kWh" dataDxfId="138"/>
    <tableColumn id="4" name="total" dataDxfId="137"/>
  </tableColumns>
  <tableStyleInfo name="TableStyleLight20" showFirstColumn="0" showLastColumn="0" showRowStripes="1" showColumnStripes="0"/>
</table>
</file>

<file path=xl/tables/table12.xml><?xml version="1.0" encoding="utf-8"?>
<table xmlns="http://schemas.openxmlformats.org/spreadsheetml/2006/main" id="19" name="Tabel19" displayName="Tabel19" ref="A252:D276" totalsRowShown="0" headerRowDxfId="136" dataDxfId="135" tableBorderDxfId="134">
  <autoFilter ref="A252:D276"/>
  <tableColumns count="4">
    <tableColumn id="1" name="fra kl." dataDxfId="133"/>
    <tableColumn id="2" name="til kl." dataDxfId="132"/>
    <tableColumn id="3" name="kWh" dataDxfId="131"/>
    <tableColumn id="4" name="total" dataDxfId="130"/>
  </tableColumns>
  <tableStyleInfo name="TableStyleLight20" showFirstColumn="0" showLastColumn="0" showRowStripes="1" showColumnStripes="0"/>
</table>
</file>

<file path=xl/tables/table13.xml><?xml version="1.0" encoding="utf-8"?>
<table xmlns="http://schemas.openxmlformats.org/spreadsheetml/2006/main" id="20" name="Tabel20" displayName="Tabel20" ref="A277:D301" totalsRowShown="0" headerRowDxfId="129" dataDxfId="128" tableBorderDxfId="127">
  <autoFilter ref="A277:D301"/>
  <tableColumns count="4">
    <tableColumn id="1" name="fra kl." dataDxfId="126"/>
    <tableColumn id="2" name="til kl." dataDxfId="125"/>
    <tableColumn id="3" name="kWh" dataDxfId="124"/>
    <tableColumn id="4" name="total" dataDxfId="123"/>
  </tableColumns>
  <tableStyleInfo name="TableStyleLight20" showFirstColumn="0" showLastColumn="0" showRowStripes="1" showColumnStripes="0"/>
</table>
</file>

<file path=xl/tables/table14.xml><?xml version="1.0" encoding="utf-8"?>
<table xmlns="http://schemas.openxmlformats.org/spreadsheetml/2006/main" id="21" name="Tabel21" displayName="Tabel21" ref="A302:D326" totalsRowShown="0" headerRowDxfId="122" dataDxfId="121" tableBorderDxfId="120">
  <autoFilter ref="A302:D326"/>
  <tableColumns count="4">
    <tableColumn id="1" name="fra kl." dataDxfId="119"/>
    <tableColumn id="2" name="til kl." dataDxfId="118"/>
    <tableColumn id="3" name="kWh" dataDxfId="117"/>
    <tableColumn id="4" name="total" dataDxfId="116"/>
  </tableColumns>
  <tableStyleInfo name="TableStyleLight20" showFirstColumn="0" showLastColumn="0" showRowStripes="1" showColumnStripes="0"/>
</table>
</file>

<file path=xl/tables/table15.xml><?xml version="1.0" encoding="utf-8"?>
<table xmlns="http://schemas.openxmlformats.org/spreadsheetml/2006/main" id="22" name="Tabel22" displayName="Tabel22" ref="A327:D351" totalsRowShown="0" headerRowDxfId="115" dataDxfId="114" tableBorderDxfId="113">
  <autoFilter ref="A327:D351"/>
  <tableColumns count="4">
    <tableColumn id="1" name="fra kl." dataDxfId="112"/>
    <tableColumn id="2" name="til kl." dataDxfId="111"/>
    <tableColumn id="3" name="kWh" dataDxfId="110"/>
    <tableColumn id="4" name="total" dataDxfId="109"/>
  </tableColumns>
  <tableStyleInfo name="TableStyleLight20" showFirstColumn="0" showLastColumn="0" showRowStripes="1" showColumnStripes="0"/>
</table>
</file>

<file path=xl/tables/table16.xml><?xml version="1.0" encoding="utf-8"?>
<table xmlns="http://schemas.openxmlformats.org/spreadsheetml/2006/main" id="23" name="Tabel23" displayName="Tabel23" ref="A352:D376" totalsRowShown="0" headerRowDxfId="108" dataDxfId="107" tableBorderDxfId="106">
  <autoFilter ref="A352:D376"/>
  <tableColumns count="4">
    <tableColumn id="1" name="fra kl." dataDxfId="105"/>
    <tableColumn id="2" name="til kl." dataDxfId="104"/>
    <tableColumn id="3" name="kWh" dataDxfId="103"/>
    <tableColumn id="4" name="total" dataDxfId="102"/>
  </tableColumns>
  <tableStyleInfo name="TableStyleLight20" showFirstColumn="0" showLastColumn="0" showRowStripes="1" showColumnStripes="0"/>
</table>
</file>

<file path=xl/tables/table17.xml><?xml version="1.0" encoding="utf-8"?>
<table xmlns="http://schemas.openxmlformats.org/spreadsheetml/2006/main" id="24" name="Tabel24" displayName="Tabel24" ref="A377:D401" totalsRowShown="0" headerRowDxfId="101" dataDxfId="100" tableBorderDxfId="99">
  <autoFilter ref="A377:D401"/>
  <tableColumns count="4">
    <tableColumn id="1" name="fra kl." dataDxfId="98"/>
    <tableColumn id="2" name="til kl." dataDxfId="97"/>
    <tableColumn id="3" name="kWh" dataDxfId="96"/>
    <tableColumn id="4" name="total" dataDxfId="95"/>
  </tableColumns>
  <tableStyleInfo name="TableStyleLight20" showFirstColumn="0" showLastColumn="0" showRowStripes="1" showColumnStripes="0"/>
</table>
</file>

<file path=xl/tables/table18.xml><?xml version="1.0" encoding="utf-8"?>
<table xmlns="http://schemas.openxmlformats.org/spreadsheetml/2006/main" id="25" name="Tabel25" displayName="Tabel25" ref="A402:D426" totalsRowShown="0" headerRowDxfId="94" dataDxfId="93" tableBorderDxfId="92">
  <autoFilter ref="A402:D426"/>
  <tableColumns count="4">
    <tableColumn id="1" name="fra kl." dataDxfId="91"/>
    <tableColumn id="2" name="til kl." dataDxfId="90"/>
    <tableColumn id="3" name="kWh" dataDxfId="89"/>
    <tableColumn id="4" name="total" dataDxfId="88"/>
  </tableColumns>
  <tableStyleInfo name="TableStyleLight20" showFirstColumn="0" showLastColumn="0" showRowStripes="1" showColumnStripes="0"/>
</table>
</file>

<file path=xl/tables/table19.xml><?xml version="1.0" encoding="utf-8"?>
<table xmlns="http://schemas.openxmlformats.org/spreadsheetml/2006/main" id="26" name="Tabel26" displayName="Tabel26" ref="A427:D451" totalsRowShown="0" headerRowDxfId="87" dataDxfId="86">
  <autoFilter ref="A427:D451"/>
  <tableColumns count="4">
    <tableColumn id="1" name="fra kl." dataDxfId="85"/>
    <tableColumn id="2" name="til kl." dataDxfId="84"/>
    <tableColumn id="3" name="kWh" dataDxfId="83"/>
    <tableColumn id="4" name="total" dataDxfId="8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9" name="Tabel9" displayName="Tabel9" ref="A2:D26" totalsRowShown="0" headerRowDxfId="206" dataDxfId="205" tableBorderDxfId="204">
  <autoFilter ref="A2:D26"/>
  <tableColumns count="4">
    <tableColumn id="1" name="fra kl." dataDxfId="203"/>
    <tableColumn id="2" name="til kl." dataDxfId="202"/>
    <tableColumn id="3" name="kWh" dataDxfId="201"/>
    <tableColumn id="4" name="total" dataDxfId="200"/>
  </tableColumns>
  <tableStyleInfo name="TableStyleLight20" showFirstColumn="0" showLastColumn="0" showRowStripes="1" showColumnStripes="0"/>
</table>
</file>

<file path=xl/tables/table20.xml><?xml version="1.0" encoding="utf-8"?>
<table xmlns="http://schemas.openxmlformats.org/spreadsheetml/2006/main" id="27" name="Tabel27" displayName="Tabel27" ref="A452:D476" totalsRowShown="0" headerRowDxfId="81" dataDxfId="80">
  <autoFilter ref="A452:D476"/>
  <tableColumns count="4">
    <tableColumn id="1" name="fra kl." dataDxfId="79"/>
    <tableColumn id="2" name="til kl." dataDxfId="78"/>
    <tableColumn id="3" name="kWh" dataDxfId="77"/>
    <tableColumn id="4" name="total" dataDxfId="76"/>
  </tableColumns>
  <tableStyleInfo name="TableStyleLight20" showFirstColumn="0" showLastColumn="0" showRowStripes="1" showColumnStripes="0"/>
</table>
</file>

<file path=xl/tables/table21.xml><?xml version="1.0" encoding="utf-8"?>
<table xmlns="http://schemas.openxmlformats.org/spreadsheetml/2006/main" id="28" name="Tabel28" displayName="Tabel28" ref="A477:D501" totalsRowShown="0" headerRowDxfId="75" dataDxfId="74">
  <autoFilter ref="A477:D501"/>
  <tableColumns count="4">
    <tableColumn id="1" name="fra kl." dataDxfId="73"/>
    <tableColumn id="2" name="til kl." dataDxfId="72"/>
    <tableColumn id="3" name="kWh" dataDxfId="71"/>
    <tableColumn id="4" name="total" dataDxfId="70"/>
  </tableColumns>
  <tableStyleInfo name="TableStyleLight20" showFirstColumn="0" showLastColumn="0" showRowStripes="1" showColumnStripes="0"/>
</table>
</file>

<file path=xl/tables/table22.xml><?xml version="1.0" encoding="utf-8"?>
<table xmlns="http://schemas.openxmlformats.org/spreadsheetml/2006/main" id="29" name="Tabel29" displayName="Tabel29" ref="A502:D526" totalsRowShown="0" headerRowDxfId="69">
  <autoFilter ref="A502:D526"/>
  <tableColumns count="4">
    <tableColumn id="1" name="fra kl." dataDxfId="68"/>
    <tableColumn id="2" name="til kl." dataDxfId="67"/>
    <tableColumn id="3" name="kWh" dataDxfId="66"/>
    <tableColumn id="4" name="total" dataDxfId="65"/>
  </tableColumns>
  <tableStyleInfo name="TableStyleLight20" showFirstColumn="0" showLastColumn="0" showRowStripes="1" showColumnStripes="0"/>
</table>
</file>

<file path=xl/tables/table23.xml><?xml version="1.0" encoding="utf-8"?>
<table xmlns="http://schemas.openxmlformats.org/spreadsheetml/2006/main" id="30" name="Tabel30" displayName="Tabel30" ref="A527:D551" totalsRowShown="0" headerRowDxfId="64">
  <autoFilter ref="A527:D551"/>
  <tableColumns count="4">
    <tableColumn id="1" name="fra kl." dataDxfId="63"/>
    <tableColumn id="2" name="til kl." dataDxfId="62"/>
    <tableColumn id="3" name="kWh" dataDxfId="61"/>
    <tableColumn id="4" name="total" dataDxfId="60"/>
  </tableColumns>
  <tableStyleInfo name="TableStyleLight20" showFirstColumn="0" showLastColumn="0" showRowStripes="1" showColumnStripes="0"/>
</table>
</file>

<file path=xl/tables/table24.xml><?xml version="1.0" encoding="utf-8"?>
<table xmlns="http://schemas.openxmlformats.org/spreadsheetml/2006/main" id="1" name="Tabel1" displayName="Tabel1" ref="A552:D576" totalsRowShown="0" headerRowDxfId="59">
  <autoFilter ref="A552:D576">
    <filterColumn colId="3"/>
  </autoFilter>
  <tableColumns count="4">
    <tableColumn id="1" name="fra kl." dataDxfId="58"/>
    <tableColumn id="2" name="til kl." dataDxfId="57"/>
    <tableColumn id="3" name="kWh" dataDxfId="56"/>
    <tableColumn id="4" name="total" dataDxfId="55">
      <calculatedColumnFormula>SUM(C530:C553)</calculatedColumnFormula>
    </tableColumn>
  </tableColumns>
  <tableStyleInfo name="TableStyleLight20" showFirstColumn="0" showLastColumn="0" showRowStripes="1" showColumnStripes="0"/>
</table>
</file>

<file path=xl/tables/table25.xml><?xml version="1.0" encoding="utf-8"?>
<table xmlns="http://schemas.openxmlformats.org/spreadsheetml/2006/main" id="3" name="Tabel3" displayName="Tabel3" ref="A577:D601" totalsRowShown="0" headerRowDxfId="54">
  <autoFilter ref="A577:D601">
    <filterColumn colId="3"/>
  </autoFilter>
  <tableColumns count="4">
    <tableColumn id="1" name="fra kl." dataDxfId="53"/>
    <tableColumn id="2" name="til kl." dataDxfId="52"/>
    <tableColumn id="3" name="kWh" dataDxfId="51"/>
    <tableColumn id="4" name="total" dataDxfId="50">
      <calculatedColumnFormula>SUM(C555:C578)</calculatedColumnFormula>
    </tableColumn>
  </tableColumns>
  <tableStyleInfo name="TableStyleLight20" showFirstColumn="0" showLastColumn="0" showRowStripes="1" showColumnStripes="0"/>
</table>
</file>

<file path=xl/tables/table26.xml><?xml version="1.0" encoding="utf-8"?>
<table xmlns="http://schemas.openxmlformats.org/spreadsheetml/2006/main" id="4" name="Tabel4" displayName="Tabel4" ref="A602:D651" totalsRowShown="0" headerRowDxfId="49">
  <autoFilter ref="A602:D651">
    <filterColumn colId="3"/>
  </autoFilter>
  <tableColumns count="4">
    <tableColumn id="1" name="fra kl." dataDxfId="48"/>
    <tableColumn id="2" name="til kl." dataDxfId="47"/>
    <tableColumn id="3" name="kWh" dataDxfId="46"/>
    <tableColumn id="4" name="total" dataDxfId="45">
      <calculatedColumnFormula>SUM(C580:C603)</calculatedColumnFormula>
    </tableColumn>
  </tableColumns>
  <tableStyleInfo name="TableStyleLight20" showFirstColumn="0" showLastColumn="0" showRowStripes="1" showColumnStripes="0"/>
</table>
</file>

<file path=xl/tables/table27.xml><?xml version="1.0" encoding="utf-8"?>
<table xmlns="http://schemas.openxmlformats.org/spreadsheetml/2006/main" id="33" name="Tabel33" displayName="Tabel33" ref="A653:D676" headerRowCount="0" totalsRowShown="0" headerRowDxfId="44">
  <tableColumns count="4">
    <tableColumn id="1" name="Kolonne1" headerRowDxfId="43" dataDxfId="42"/>
    <tableColumn id="2" name="Kolonne2" headerRowDxfId="41" dataDxfId="40"/>
    <tableColumn id="3" name="Kolonne3" headerRowDxfId="39" dataDxfId="38"/>
    <tableColumn id="4" name="Kolonne4" headerRowDxfId="37" dataDxfId="36"/>
  </tableColumns>
  <tableStyleInfo name="TableStyleLight20" showFirstColumn="0" showLastColumn="0" showRowStripes="1" showColumnStripes="0"/>
</table>
</file>

<file path=xl/tables/table28.xml><?xml version="1.0" encoding="utf-8"?>
<table xmlns="http://schemas.openxmlformats.org/spreadsheetml/2006/main" id="34" name="Tabel34" displayName="Tabel34" ref="A677:D701" totalsRowShown="0" headerRowDxfId="35">
  <autoFilter ref="A677:D701"/>
  <tableColumns count="4">
    <tableColumn id="1" name="fra kl." dataDxfId="34"/>
    <tableColumn id="2" name="til kl." dataDxfId="33"/>
    <tableColumn id="3" name="kWh" dataDxfId="32"/>
    <tableColumn id="4" name="total" dataDxfId="31"/>
  </tableColumns>
  <tableStyleInfo name="TableStyleLight20" showFirstColumn="0" showLastColumn="0" showRowStripes="1" showColumnStripes="0"/>
</table>
</file>

<file path=xl/tables/table29.xml><?xml version="1.0" encoding="utf-8"?>
<table xmlns="http://schemas.openxmlformats.org/spreadsheetml/2006/main" id="35" name="Tabel35" displayName="Tabel35" ref="A702:D726" totalsRowShown="0" headerRowDxfId="30">
  <autoFilter ref="A702:D726"/>
  <tableColumns count="4">
    <tableColumn id="1" name="fra kl." dataDxfId="29"/>
    <tableColumn id="2" name="til kl." dataDxfId="28"/>
    <tableColumn id="3" name="kWh" dataDxfId="27"/>
    <tableColumn id="4" name="total" dataDxfId="26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10" name="Tabel10" displayName="Tabel10" ref="A27:D51" totalsRowShown="0" headerRowDxfId="199" dataDxfId="198" tableBorderDxfId="197">
  <autoFilter ref="A27:D51"/>
  <tableColumns count="4">
    <tableColumn id="1" name="fra kl." dataDxfId="196"/>
    <tableColumn id="2" name="til kl." dataDxfId="195"/>
    <tableColumn id="3" name="kWh" dataDxfId="194"/>
    <tableColumn id="4" name="total" dataDxfId="193"/>
  </tableColumns>
  <tableStyleInfo name="TableStyleLight20" showFirstColumn="0" showLastColumn="0" showRowStripes="1" showColumnStripes="0"/>
</table>
</file>

<file path=xl/tables/table30.xml><?xml version="1.0" encoding="utf-8"?>
<table xmlns="http://schemas.openxmlformats.org/spreadsheetml/2006/main" id="36" name="Tabel36" displayName="Tabel36" ref="A727:D751" totalsRowShown="0" headerRowDxfId="25">
  <autoFilter ref="A727:D751"/>
  <tableColumns count="4">
    <tableColumn id="1" name="fra kl." dataDxfId="24"/>
    <tableColumn id="2" name="til kl." dataDxfId="23"/>
    <tableColumn id="3" name="kWh" dataDxfId="22"/>
    <tableColumn id="4" name="total" dataDxfId="21"/>
  </tableColumns>
  <tableStyleInfo name="TableStyleLight20" showFirstColumn="0" showLastColumn="0" showRowStripes="1" showColumnStripes="0"/>
</table>
</file>

<file path=xl/tables/table31.xml><?xml version="1.0" encoding="utf-8"?>
<table xmlns="http://schemas.openxmlformats.org/spreadsheetml/2006/main" id="37" name="Tabel37" displayName="Tabel37" ref="A752:D776" totalsRowShown="0" headerRowDxfId="20">
  <autoFilter ref="A752:D776"/>
  <tableColumns count="4">
    <tableColumn id="1" name="fra kl." dataDxfId="19"/>
    <tableColumn id="2" name="til kl." dataDxfId="18"/>
    <tableColumn id="3" name="kWh" dataDxfId="17"/>
    <tableColumn id="4" name="total" dataDxfId="16"/>
  </tableColumns>
  <tableStyleInfo name="TableStyleLight20" showFirstColumn="0" showLastColumn="0" showRowStripes="1" showColumnStripes="0"/>
</table>
</file>

<file path=xl/tables/table32.xml><?xml version="1.0" encoding="utf-8"?>
<table xmlns="http://schemas.openxmlformats.org/spreadsheetml/2006/main" id="5" name="Tabel5" displayName="Tabel5" ref="F2:I26" totalsRowShown="0" headerRowDxfId="15" headerRowBorderDxfId="14">
  <autoFilter ref="F2:I26"/>
  <tableColumns count="4">
    <tableColumn id="1" name="fra kl." dataDxfId="13"/>
    <tableColumn id="2" name="til kl." dataDxfId="12"/>
    <tableColumn id="3" name="kWh" dataDxfId="11"/>
    <tableColumn id="4" name="total" dataDxfId="10"/>
  </tableColumns>
  <tableStyleInfo name="TableStyleLight20" showFirstColumn="0" showLastColumn="0" showRowStripes="1" showColumnStripes="0"/>
</table>
</file>

<file path=xl/tables/table33.xml><?xml version="1.0" encoding="utf-8"?>
<table xmlns="http://schemas.openxmlformats.org/spreadsheetml/2006/main" id="6" name="Tabel6" displayName="Tabel6" ref="F27:I51" totalsRowShown="0" headerRowDxfId="9">
  <autoFilter ref="F27:I51"/>
  <tableColumns count="4">
    <tableColumn id="1" name="fra kl." dataDxfId="8"/>
    <tableColumn id="2" name="til kl." dataDxfId="7"/>
    <tableColumn id="3" name="kWh" dataDxfId="6"/>
    <tableColumn id="4" name="total" dataDxfId="5"/>
  </tableColumns>
  <tableStyleInfo name="TableStyleLight20" showFirstColumn="0" showLastColumn="0" showRowStripes="1" showColumnStripes="0"/>
</table>
</file>

<file path=xl/tables/table34.xml><?xml version="1.0" encoding="utf-8"?>
<table xmlns="http://schemas.openxmlformats.org/spreadsheetml/2006/main" id="7" name="Tabel7" displayName="Tabel7" ref="F52:I476" totalsRowShown="0" headerRowDxfId="4">
  <autoFilter ref="F52:I476"/>
  <tableColumns count="4">
    <tableColumn id="1" name="fra kl." dataDxfId="3"/>
    <tableColumn id="2" name="til kl." dataDxfId="2"/>
    <tableColumn id="3" name="kWh" dataDxfId="1"/>
    <tableColumn id="4" name="total" dataDxfId="0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11" name="Tabel11" displayName="Tabel11" ref="A52:D76" totalsRowShown="0" headerRowDxfId="192" dataDxfId="191" tableBorderDxfId="190">
  <autoFilter ref="A52:D76"/>
  <tableColumns count="4">
    <tableColumn id="1" name="fra kl." dataDxfId="189"/>
    <tableColumn id="2" name="til kl." dataDxfId="188"/>
    <tableColumn id="3" name="kWh" dataDxfId="187"/>
    <tableColumn id="4" name="total" dataDxfId="18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12" name="Tabel12" displayName="Tabel12" ref="A77:D101" totalsRowShown="0" headerRowDxfId="185" dataDxfId="184" tableBorderDxfId="183">
  <autoFilter ref="A77:D101"/>
  <tableColumns count="4">
    <tableColumn id="1" name="fra kl." dataDxfId="182"/>
    <tableColumn id="2" name="til kl." dataDxfId="181"/>
    <tableColumn id="3" name="kWh" dataDxfId="180"/>
    <tableColumn id="4" name="total" dataDxfId="179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13" name="Tabel13" displayName="Tabel13" ref="A102:D126" totalsRowShown="0" headerRowDxfId="178" dataDxfId="177" tableBorderDxfId="176">
  <autoFilter ref="A102:D126"/>
  <tableColumns count="4">
    <tableColumn id="1" name="fra kl." dataDxfId="175"/>
    <tableColumn id="2" name="til kl." dataDxfId="174"/>
    <tableColumn id="3" name="kWh" dataDxfId="173"/>
    <tableColumn id="4" name="total" dataDxfId="172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14" name="Tabel14" displayName="Tabel14" ref="A127:D151" totalsRowShown="0" headerRowDxfId="171" dataDxfId="170" tableBorderDxfId="169">
  <autoFilter ref="A127:D151"/>
  <tableColumns count="4">
    <tableColumn id="1" name="fra kl." dataDxfId="168"/>
    <tableColumn id="2" name="til kl." dataDxfId="167"/>
    <tableColumn id="3" name="kWh" dataDxfId="166"/>
    <tableColumn id="4" name="total" dataDxfId="165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15" name="Tabel15" displayName="Tabel15" ref="A152:D176" totalsRowShown="0" headerRowDxfId="164" dataDxfId="163" tableBorderDxfId="162">
  <autoFilter ref="A152:D176"/>
  <tableColumns count="4">
    <tableColumn id="1" name="fra kl." dataDxfId="161"/>
    <tableColumn id="2" name="til kl." dataDxfId="160"/>
    <tableColumn id="3" name="kWh" dataDxfId="159"/>
    <tableColumn id="4" name="total" dataDxfId="158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16" name="Tabel16" displayName="Tabel16" ref="A177:D201" totalsRowShown="0" headerRowDxfId="157" dataDxfId="156" tableBorderDxfId="155">
  <autoFilter ref="A177:D201"/>
  <tableColumns count="4">
    <tableColumn id="1" name="fra kl." dataDxfId="154"/>
    <tableColumn id="2" name="til kl." dataDxfId="153"/>
    <tableColumn id="3" name="kWh" dataDxfId="152"/>
    <tableColumn id="4" name="total" dataDxfId="151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ildeleshop.dk/blic/7180718" TargetMode="External"/><Relationship Id="rId21" Type="http://schemas.openxmlformats.org/officeDocument/2006/relationships/hyperlink" Target="http://www.thansen.dk/product.asp?pn=-244773703&amp;n=453903350&amp;regnr=BJ18283&amp;RegNrRecID=13076215&amp;tid=15487&amp;group=3200&amp;refloc=2" TargetMode="External"/><Relationship Id="rId42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47" Type="http://schemas.openxmlformats.org/officeDocument/2006/relationships/hyperlink" Target="https://www.bildeleshop.dk/search?keyword=hjulnav&amp;maker_id=36&amp;model_id=4726&amp;car_id=15487&amp;kbaStr%5B0%5D=bj18283" TargetMode="External"/><Relationship Id="rId63" Type="http://schemas.openxmlformats.org/officeDocument/2006/relationships/hyperlink" Target="https://www.autodoc.dk/search?keyword=e51%2Fbe1" TargetMode="External"/><Relationship Id="rId68" Type="http://schemas.openxmlformats.org/officeDocument/2006/relationships/hyperlink" Target="https://www.autodoc.dk/reservedele/stoeddaemper-10221/ford/mondeo/mondeo-iii-kombi-bwy/15487-2-0-16v?filter_generic=854&amp;parameter%5B100%5D=HA" TargetMode="External"/><Relationship Id="rId84" Type="http://schemas.openxmlformats.org/officeDocument/2006/relationships/hyperlink" Target="https://www.autodoc.dk/gsp/8379692" TargetMode="External"/><Relationship Id="rId89" Type="http://schemas.openxmlformats.org/officeDocument/2006/relationships/hyperlink" Target="https://www.autodoc.dk/ridex/7998954" TargetMode="External"/><Relationship Id="rId7" Type="http://schemas.openxmlformats.org/officeDocument/2006/relationships/hyperlink" Target="https://www.bildeleshop.dk/ashika/7999790" TargetMode="External"/><Relationship Id="rId71" Type="http://schemas.openxmlformats.org/officeDocument/2006/relationships/hyperlink" Target="https://www.autodoc.dk/search?keyword=402b0025" TargetMode="External"/><Relationship Id="rId92" Type="http://schemas.openxmlformats.org/officeDocument/2006/relationships/hyperlink" Target="https://www.autodoc.dk/ridex/7998926" TargetMode="External"/><Relationship Id="rId2" Type="http://schemas.openxmlformats.org/officeDocument/2006/relationships/hyperlink" Target="https://www.bildeleshop.dk/vw/passat-variant-3b6/15416" TargetMode="External"/><Relationship Id="rId16" Type="http://schemas.openxmlformats.org/officeDocument/2006/relationships/hyperlink" Target="https://www.bildeleshop.dk/vw/passat-variant-3b6/15416/10136/bremseroer" TargetMode="External"/><Relationship Id="rId29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11" Type="http://schemas.openxmlformats.org/officeDocument/2006/relationships/hyperlink" Target="http://www.mister-auto.dk/da/brandstoffilter/mann-filter-wk-730-5_g9_a004WK!730~5.html" TargetMode="External"/><Relationship Id="rId24" Type="http://schemas.openxmlformats.org/officeDocument/2006/relationships/hyperlink" Target="https://www.bildeleshop.dk/ernst/7938395" TargetMode="External"/><Relationship Id="rId32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37" Type="http://schemas.openxmlformats.org/officeDocument/2006/relationships/hyperlink" Target="http://www.krogslund.dk/reservedele/ford/mondeo/mondeo-3-2.0-16v-st.car-1000-307/bremser/c-23/c-362065/c-4" TargetMode="External"/><Relationship Id="rId40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45" Type="http://schemas.openxmlformats.org/officeDocument/2006/relationships/hyperlink" Target="https://www.bildeleshop.dk/search?keyword=bremsekaliper&amp;maker_id=36&amp;model_id=4726&amp;car_id=15487&amp;kbaStr%5B0%5D=bj18283https://www.bildeleshop.dk/abs/7716057" TargetMode="External"/><Relationship Id="rId53" Type="http://schemas.openxmlformats.org/officeDocument/2006/relationships/hyperlink" Target="https://www.autodoc.dk/reservedele/bremseskive-10132/ford/mondeo/mondeo-iii-kombi-bwy/15487-2-0-16v?parameter%5B100%5D=VA" TargetMode="External"/><Relationship Id="rId58" Type="http://schemas.openxmlformats.org/officeDocument/2006/relationships/hyperlink" Target="https://www.autodoc.dk/reservedele/bremseklodser-10130/ford/mondeo/mondeo-iii-kombi-bwy/15487-2-0-16v" TargetMode="External"/><Relationship Id="rId66" Type="http://schemas.openxmlformats.org/officeDocument/2006/relationships/hyperlink" Target="https://www.bildeleshop.dk/ford/mondeo-iii-kombi-bwy/15487/10147/katalysator" TargetMode="External"/><Relationship Id="rId74" Type="http://schemas.openxmlformats.org/officeDocument/2006/relationships/hyperlink" Target="https://www.autodoc.dk/search?keyword=skfo-1024" TargetMode="External"/><Relationship Id="rId79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87" Type="http://schemas.openxmlformats.org/officeDocument/2006/relationships/hyperlink" Target="https://www.autodoc.dk/reservedele/bremsesaet-12344/ford/mondeo/mondeo-iii-kombi-bwy/15487-2-0-16v" TargetMode="External"/><Relationship Id="rId102" Type="http://schemas.openxmlformats.org/officeDocument/2006/relationships/printerSettings" Target="../printerSettings/printerSettings1.bin"/><Relationship Id="rId5" Type="http://schemas.openxmlformats.org/officeDocument/2006/relationships/hyperlink" Target="https://www.bildeleshop.dk/vw/passat-variant-3b6/15416/10130/bremseklodser?criteria%5B100%5D=40561" TargetMode="External"/><Relationship Id="rId61" Type="http://schemas.openxmlformats.org/officeDocument/2006/relationships/hyperlink" Target="https://www.autodoc.dk/reservedele/bremsesaet-12344/ford/mondeo/mondeo-iii-kombi-bwy/15487-2-0-16v" TargetMode="External"/><Relationship Id="rId82" Type="http://schemas.openxmlformats.org/officeDocument/2006/relationships/hyperlink" Target="https://www.autodoc.dk/ridex/7999006" TargetMode="External"/><Relationship Id="rId90" Type="http://schemas.openxmlformats.org/officeDocument/2006/relationships/hyperlink" Target="https://www.autodoc.dk/tomex-brakes/13760163" TargetMode="External"/><Relationship Id="rId95" Type="http://schemas.openxmlformats.org/officeDocument/2006/relationships/hyperlink" Target="https://www.autodoc.dk/ridex/8100043" TargetMode="External"/><Relationship Id="rId19" Type="http://schemas.openxmlformats.org/officeDocument/2006/relationships/hyperlink" Target="https://www.bildeleshop.dk/vw/passat-variant-3b6/15416/10130/bremseklodser?criteria%5B100%5D=40561" TargetMode="External"/><Relationship Id="rId14" Type="http://schemas.openxmlformats.org/officeDocument/2006/relationships/hyperlink" Target="https://www.autodeleshop.dk/suche.html?keyword=SKCPB-1050014" TargetMode="External"/><Relationship Id="rId22" Type="http://schemas.openxmlformats.org/officeDocument/2006/relationships/hyperlink" Target="http://www.thansen.dk/product.asp?pn=-241673959&amp;n=-241939822&amp;regnr=AZ41198&amp;RegNrRecID=12653413&amp;tid=15416&amp;group=1600&amp;refloc=2" TargetMode="External"/><Relationship Id="rId27" Type="http://schemas.openxmlformats.org/officeDocument/2006/relationships/hyperlink" Target="http://www.thansen.dk/product.asp?pn=-241958139&amp;n=-241942213&amp;regnr=AZ41198&amp;RegNrRecID=12653413&amp;tid=15416&amp;group=1600&amp;refloc=2" TargetMode="External"/><Relationship Id="rId30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35" Type="http://schemas.openxmlformats.org/officeDocument/2006/relationships/hyperlink" Target="http://www.thansen.dk/product.asp?pn=-733109066&amp;n=453903336&amp;regnr=BJ18283&amp;RegNrRecID=13076215&amp;tid=15487&amp;group=3200&amp;refloc=2" TargetMode="External"/><Relationship Id="rId43" Type="http://schemas.openxmlformats.org/officeDocument/2006/relationships/hyperlink" Target="https://www.bildeleshop.dk/search?keyword=bremsekaliper&amp;maker_id=36&amp;model_id=4726&amp;car_id=15487&amp;kbaStr%5B0%5D=bj18283https://www.bildeleshop.dk/abs/7716057" TargetMode="External"/><Relationship Id="rId48" Type="http://schemas.openxmlformats.org/officeDocument/2006/relationships/hyperlink" Target="https://www.bildeleshop.dk/search?keyword=hjulnav&amp;maker_id=36&amp;model_id=4726&amp;car_id=15487&amp;kbaStr%5B0%5D=bj18283" TargetMode="External"/><Relationship Id="rId56" Type="http://schemas.openxmlformats.org/officeDocument/2006/relationships/hyperlink" Target="https://www.autodoc.dk/reservedele/bremsekaliber-10907/ford/mondeo/mondeo-iii-kombi-bwy/15487-2-0-16v" TargetMode="External"/><Relationship Id="rId64" Type="http://schemas.openxmlformats.org/officeDocument/2006/relationships/hyperlink" Target="https://www.autodoc.dk/search?keyword=e51%2Fbe1" TargetMode="External"/><Relationship Id="rId69" Type="http://schemas.openxmlformats.org/officeDocument/2006/relationships/hyperlink" Target="https://www.autodoc.dk/search?keyword=Lambdasonde" TargetMode="External"/><Relationship Id="rId77" Type="http://schemas.openxmlformats.org/officeDocument/2006/relationships/hyperlink" Target="https://www.autodoc.dk/reservedele/bremseklodser-10130/ford/mondeo/mondeo-iii-kombi-bwy/15487-2-0-16v" TargetMode="External"/><Relationship Id="rId100" Type="http://schemas.openxmlformats.org/officeDocument/2006/relationships/hyperlink" Target="https://www.autodoc.dk/search?keyword=17116" TargetMode="External"/><Relationship Id="rId8" Type="http://schemas.openxmlformats.org/officeDocument/2006/relationships/hyperlink" Target="https://www.bildeleshop.dk/van-wezel/7164909" TargetMode="External"/><Relationship Id="rId51" Type="http://schemas.openxmlformats.org/officeDocument/2006/relationships/hyperlink" Target="https://www.bildeleshop.dk/hjs/1946313" TargetMode="External"/><Relationship Id="rId72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80" Type="http://schemas.openxmlformats.org/officeDocument/2006/relationships/hyperlink" Target="https://www.autodoc.dk/master-sport/8946735" TargetMode="External"/><Relationship Id="rId85" Type="http://schemas.openxmlformats.org/officeDocument/2006/relationships/hyperlink" Target="https://www.autodoc.dk/gsp/8379768" TargetMode="External"/><Relationship Id="rId93" Type="http://schemas.openxmlformats.org/officeDocument/2006/relationships/hyperlink" Target="https://www.bildeleshop.dk/vw/passat-variant-3b6/15416" TargetMode="External"/><Relationship Id="rId98" Type="http://schemas.openxmlformats.org/officeDocument/2006/relationships/hyperlink" Target="https://www.autodoc.dk/reservedele/bremseskive-10132/ford/mondeo/mondeo-iii-kombi-bwy/15487-2-0-16v?parameter%5B100%5D=HA" TargetMode="External"/><Relationship Id="rId3" Type="http://schemas.openxmlformats.org/officeDocument/2006/relationships/hyperlink" Target="https://www.bildeleshop.dk/blic/7180718" TargetMode="External"/><Relationship Id="rId12" Type="http://schemas.openxmlformats.org/officeDocument/2006/relationships/hyperlink" Target="https://www.skruvat.dk/show.aspx?k=375866" TargetMode="External"/><Relationship Id="rId17" Type="http://schemas.openxmlformats.org/officeDocument/2006/relationships/hyperlink" Target="http://www.mister-auto.dk/da/bremseslange/trw-phd945_g83_a161PHD945.html" TargetMode="External"/><Relationship Id="rId25" Type="http://schemas.openxmlformats.org/officeDocument/2006/relationships/hyperlink" Target="https://www.bildeleshop.dk/abs/7718324" TargetMode="External"/><Relationship Id="rId33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38" Type="http://schemas.openxmlformats.org/officeDocument/2006/relationships/hyperlink" Target="http://www.krogslund.dk/reservedele/ford/mondeo/mondeo-3-2.0-16v-st.car-1000-307/bremser/c-23/c-362065/c-4" TargetMode="External"/><Relationship Id="rId46" Type="http://schemas.openxmlformats.org/officeDocument/2006/relationships/hyperlink" Target="https://www.bildeleshop.dk/search?keyword=bremsekaliper&amp;maker_id=36&amp;model_id=4726&amp;car_id=15487&amp;kbaStr%5B0%5D=bj18283https://www.bildeleshop.dk/abs/7716057" TargetMode="External"/><Relationship Id="rId59" Type="http://schemas.openxmlformats.org/officeDocument/2006/relationships/hyperlink" Target="https://www.autodoc.dk/search?keyword=402b0025" TargetMode="External"/><Relationship Id="rId67" Type="http://schemas.openxmlformats.org/officeDocument/2006/relationships/hyperlink" Target="https://www.autodoc.dk/reservedele/stoeddaemper-10221/ford/mondeo/mondeo-iii-kombi-bwy/15487-2-0-16v?filter_generic=854&amp;parameter%5B100%5D=VA" TargetMode="External"/><Relationship Id="rId103" Type="http://schemas.openxmlformats.org/officeDocument/2006/relationships/drawing" Target="../drawings/drawing1.xml"/><Relationship Id="rId20" Type="http://schemas.openxmlformats.org/officeDocument/2006/relationships/hyperlink" Target="https://www.bildeleshop.dk/vw/passat-variant-3b6/15416/10132/bremseskive?criteria%5B100%5D=40561" TargetMode="External"/><Relationship Id="rId41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54" Type="http://schemas.openxmlformats.org/officeDocument/2006/relationships/hyperlink" Target="https://www.autodoc.dk/reservedele/bremsekaliber-10907/ford/mondeo/mondeo-iii-kombi-bwy/15487-2-0-16v" TargetMode="External"/><Relationship Id="rId62" Type="http://schemas.openxmlformats.org/officeDocument/2006/relationships/hyperlink" Target="https://www.autodoc.dk/roadhouse/10363369" TargetMode="External"/><Relationship Id="rId70" Type="http://schemas.openxmlformats.org/officeDocument/2006/relationships/hyperlink" Target="https://www.autodoc.dk/search?keyword=Lambdasonde" TargetMode="External"/><Relationship Id="rId75" Type="http://schemas.openxmlformats.org/officeDocument/2006/relationships/hyperlink" Target="https://www.autodoc.dk/reservedele/flexror-udstodning-12975/ford/mondeo/mondeo-iii-kombi-bwy/15487-2-0-16v" TargetMode="External"/><Relationship Id="rId83" Type="http://schemas.openxmlformats.org/officeDocument/2006/relationships/hyperlink" Target="https://www.autodoc.dk/ridex/7998981" TargetMode="External"/><Relationship Id="rId88" Type="http://schemas.openxmlformats.org/officeDocument/2006/relationships/hyperlink" Target="https://www.autodoc.dk/roadhouse/10363369" TargetMode="External"/><Relationship Id="rId91" Type="http://schemas.openxmlformats.org/officeDocument/2006/relationships/hyperlink" Target="https://www.autodoc.dk/ridex/7998906" TargetMode="External"/><Relationship Id="rId96" Type="http://schemas.openxmlformats.org/officeDocument/2006/relationships/hyperlink" Target="https://www.autodoc.dk/ridex/8099972" TargetMode="External"/><Relationship Id="rId1" Type="http://schemas.openxmlformats.org/officeDocument/2006/relationships/hyperlink" Target="https://www.bildeleshop.dk/ford/mondeo-iii-kombi-bwy/15487" TargetMode="External"/><Relationship Id="rId6" Type="http://schemas.openxmlformats.org/officeDocument/2006/relationships/hyperlink" Target="https://www.bildeleshop.dk/vw/passat-variant-3b6/15416/10136/bremseroer" TargetMode="External"/><Relationship Id="rId15" Type="http://schemas.openxmlformats.org/officeDocument/2006/relationships/hyperlink" Target="https://www.bildeleshop.dk/search?keyword=8GD+004+772-121" TargetMode="External"/><Relationship Id="rId23" Type="http://schemas.openxmlformats.org/officeDocument/2006/relationships/hyperlink" Target="https://www.bildeleshop.dk/ford/mondeo-iii-kombi-bwy/15487/10353/braendstoffilter-hus" TargetMode="External"/><Relationship Id="rId28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36" Type="http://schemas.openxmlformats.org/officeDocument/2006/relationships/hyperlink" Target="https://www.bildeleshop.dk/search?keyword=61601" TargetMode="External"/><Relationship Id="rId49" Type="http://schemas.openxmlformats.org/officeDocument/2006/relationships/hyperlink" Target="http://www.thansen.dk/bil/autoreservedele/n360195032/?regnr=BJ18283&amp;tid=15487&amp;refloc=1&amp;regnrrecid=13076215&amp;group=1200&amp;refloc=3" TargetMode="External"/><Relationship Id="rId57" Type="http://schemas.openxmlformats.org/officeDocument/2006/relationships/hyperlink" Target="https://www.autodoc.dk/reservedele/bremsekaliber-10907/ford/mondeo/mondeo-iii-kombi-bwy/15487-2-0-16v" TargetMode="External"/><Relationship Id="rId10" Type="http://schemas.openxmlformats.org/officeDocument/2006/relationships/hyperlink" Target="https://www.autodoc.dk/search?keyword=402b0018" TargetMode="External"/><Relationship Id="rId31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44" Type="http://schemas.openxmlformats.org/officeDocument/2006/relationships/hyperlink" Target="https://www.bildeleshop.dk/search?keyword=bremsekaliper&amp;maker_id=36&amp;model_id=4726&amp;car_id=15487&amp;kbaStr%5B0%5D=bj18283" TargetMode="External"/><Relationship Id="rId52" Type="http://schemas.openxmlformats.org/officeDocument/2006/relationships/hyperlink" Target="https://www.autodoc.dk/reservedele/bremseskive-10132/ford/mondeo/mondeo-iii-kombi-bwy/15487-2-0-16v?parameter%5B100%5D=HA" TargetMode="External"/><Relationship Id="rId60" Type="http://schemas.openxmlformats.org/officeDocument/2006/relationships/hyperlink" Target="https://www.autodoc.dk/reservedele/bremsesaet-12344/ford/mondeo/mondeo-iii-kombi-bwy/15487-2-0-16v" TargetMode="External"/><Relationship Id="rId65" Type="http://schemas.openxmlformats.org/officeDocument/2006/relationships/hyperlink" Target="https://www.autodoc.dk/search?keyword=Katalysator" TargetMode="External"/><Relationship Id="rId73" Type="http://schemas.openxmlformats.org/officeDocument/2006/relationships/hyperlink" Target="https://www.autodoc.dk/reservedele/bremseklodser-10130/ford/mondeo/mondeo-iii-kombi-bwy/15487-2-0-16v" TargetMode="External"/><Relationship Id="rId78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81" Type="http://schemas.openxmlformats.org/officeDocument/2006/relationships/hyperlink" Target="https://www.autodoc.dk/stark/7306515?search=STARK%20Bremseklodser%20%20(SKFO-1024)" TargetMode="External"/><Relationship Id="rId86" Type="http://schemas.openxmlformats.org/officeDocument/2006/relationships/hyperlink" Target="https://www.autodoc.dk/reservedele" TargetMode="External"/><Relationship Id="rId94" Type="http://schemas.openxmlformats.org/officeDocument/2006/relationships/hyperlink" Target="https://www.autodoc.dk/ridex/8099984" TargetMode="External"/><Relationship Id="rId99" Type="http://schemas.openxmlformats.org/officeDocument/2006/relationships/hyperlink" Target="https://www.autodoc.dk/reservedele/bremseskive-10132/ford/mondeo/mondeo-iv-turnier-ba7/32389-1-8-tdci" TargetMode="External"/><Relationship Id="rId101" Type="http://schemas.openxmlformats.org/officeDocument/2006/relationships/hyperlink" Target="https://www.autodoc.dk/ridex/7999125" TargetMode="External"/><Relationship Id="rId4" Type="http://schemas.openxmlformats.org/officeDocument/2006/relationships/hyperlink" Target="https://www.bildeleshop.dk/vw/passat-variant-3b6/15416/10132/bremseskive?criteria%5B100%5D=40561" TargetMode="External"/><Relationship Id="rId9" Type="http://schemas.openxmlformats.org/officeDocument/2006/relationships/hyperlink" Target="https://www.autodoc.dk/search?keyword=df4147" TargetMode="External"/><Relationship Id="rId13" Type="http://schemas.openxmlformats.org/officeDocument/2006/relationships/hyperlink" Target="https://www.bildeleshop.dk/vaico/866949" TargetMode="External"/><Relationship Id="rId18" Type="http://schemas.openxmlformats.org/officeDocument/2006/relationships/hyperlink" Target="https://www.bildeleshop.dk/vaico/866948" TargetMode="External"/><Relationship Id="rId39" Type="http://schemas.openxmlformats.org/officeDocument/2006/relationships/hyperlink" Target="http://www.thansen.dk/bil/autoreservedele/n360195032/?regnr=BJ18283&amp;tid=15487&amp;refloc=1&amp;regnrrecid=13076215&amp;group=1600&amp;refloc=3" TargetMode="External"/><Relationship Id="rId34" Type="http://schemas.openxmlformats.org/officeDocument/2006/relationships/hyperlink" Target="http://www.thansen.dk/product.asp?pn=-2110869987&amp;n=-2103483978&amp;regnr=BJ18283&amp;RegNrRecID=13076215&amp;tid=15487&amp;group=3100&amp;refloc=2" TargetMode="External"/><Relationship Id="rId50" Type="http://schemas.openxmlformats.org/officeDocument/2006/relationships/hyperlink" Target="https://www.bildeleshop.dk/bosal/1339058" TargetMode="External"/><Relationship Id="rId55" Type="http://schemas.openxmlformats.org/officeDocument/2006/relationships/hyperlink" Target="https://www.autodoc.dk/reservedele/bremsekaliber-10907/ford/mondeo/mondeo-iii-kombi-bwy/15487-2-0-16v" TargetMode="External"/><Relationship Id="rId76" Type="http://schemas.openxmlformats.org/officeDocument/2006/relationships/hyperlink" Target="https://www.autodoc.dk/fa1/2969070" TargetMode="External"/><Relationship Id="rId97" Type="http://schemas.openxmlformats.org/officeDocument/2006/relationships/hyperlink" Target="http://www.thansen.dk/bil/autoreservedele/n360195032/?regnr=BJ18283&amp;tid=15487&amp;refloc=1&amp;regnrrecid=13076215&amp;group=1600&amp;refloc=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../../DOKUMENTER/T/tandl&#230;ge/230329.pdf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../../DOKUMENTER/T/tandl&#230;ge/230329.pdf" TargetMode="External"/><Relationship Id="rId7" Type="http://schemas.openxmlformats.org/officeDocument/2006/relationships/hyperlink" Target="../../DOKUMENTER/T/tandl&#230;ge/230329.pdf" TargetMode="External"/><Relationship Id="rId12" Type="http://schemas.openxmlformats.org/officeDocument/2006/relationships/printerSettings" Target="../printerSettings/printerSettings17.bin"/><Relationship Id="rId2" Type="http://schemas.openxmlformats.org/officeDocument/2006/relationships/hyperlink" Target="../../DOKUMENTER/K/kvitteringer/Rema%201000" TargetMode="External"/><Relationship Id="rId1" Type="http://schemas.openxmlformats.org/officeDocument/2006/relationships/hyperlink" Target="../../DOKUMENTER/K/kvitteringer/Netto" TargetMode="External"/><Relationship Id="rId6" Type="http://schemas.openxmlformats.org/officeDocument/2006/relationships/hyperlink" Target="../../DOKUMENTER/T/tandl&#230;ge/230329.pdf" TargetMode="External"/><Relationship Id="rId11" Type="http://schemas.openxmlformats.org/officeDocument/2006/relationships/hyperlink" Target="../../DOKUMENTER/BILER/CV66.378%20Ford%20Mondeo%20mkIV%202007/Ejerafgift%202023-1.pdf" TargetMode="External"/><Relationship Id="rId5" Type="http://schemas.openxmlformats.org/officeDocument/2006/relationships/hyperlink" Target="../../DOKUMENTER/V/Vandv&#230;rk" TargetMode="External"/><Relationship Id="rId10" Type="http://schemas.openxmlformats.org/officeDocument/2006/relationships/hyperlink" Target="../../DOKUMENTER/T/tandl&#230;ge/230329.pdf" TargetMode="External"/><Relationship Id="rId4" Type="http://schemas.openxmlformats.org/officeDocument/2006/relationships/hyperlink" Target="../../DOKUMENTER/V/Vandv&#230;rk/230410%20Faktura75098.pdf" TargetMode="External"/><Relationship Id="rId9" Type="http://schemas.openxmlformats.org/officeDocument/2006/relationships/hyperlink" Target="../../DOKUMENTER/T/tandl&#230;ge/230329.pdf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3"/>
  <sheetViews>
    <sheetView topLeftCell="A34" workbookViewId="0">
      <selection activeCell="C43" sqref="C43"/>
    </sheetView>
  </sheetViews>
  <sheetFormatPr defaultColWidth="9.109375" defaultRowHeight="13.8"/>
  <cols>
    <col min="1" max="1" width="1.6640625" style="1560" customWidth="1"/>
    <col min="2" max="2" width="24.6640625" style="1560" customWidth="1"/>
    <col min="3" max="3" width="39.33203125" style="1565" customWidth="1"/>
    <col min="4" max="4" width="7.109375" style="1563" customWidth="1"/>
    <col min="5" max="5" width="8.6640625" style="1562" customWidth="1"/>
    <col min="6" max="7" width="10.6640625" style="1562" customWidth="1"/>
    <col min="8" max="8" width="16.6640625" style="1564" customWidth="1"/>
    <col min="9" max="9" width="5.6640625" style="1563" customWidth="1"/>
    <col min="10" max="10" width="8.6640625" style="1562" customWidth="1"/>
    <col min="11" max="11" width="10.6640625" style="1563" customWidth="1"/>
    <col min="12" max="12" width="16.6640625" style="1564" customWidth="1"/>
    <col min="13" max="13" width="5.6640625" style="1563" customWidth="1"/>
    <col min="14" max="14" width="8.6640625" style="1562" customWidth="1"/>
    <col min="15" max="16" width="10.6640625" style="1562" customWidth="1"/>
    <col min="17" max="17" width="1.6640625" style="1561" customWidth="1"/>
    <col min="18" max="21" width="9.109375" style="1561"/>
    <col min="22" max="16384" width="9.109375" style="1560"/>
  </cols>
  <sheetData>
    <row r="1" spans="1:17" s="1567" customFormat="1" ht="14.4" thickBot="1">
      <c r="C1" s="1586"/>
      <c r="D1" s="1584"/>
      <c r="E1" s="1583"/>
      <c r="F1" s="1583"/>
      <c r="G1" s="1583"/>
      <c r="H1" s="1585"/>
      <c r="I1" s="1584"/>
      <c r="J1" s="1583"/>
      <c r="K1" s="1584"/>
      <c r="L1" s="1585"/>
      <c r="M1" s="1584"/>
      <c r="N1" s="1583"/>
      <c r="O1" s="1583"/>
      <c r="P1" s="1583"/>
    </row>
    <row r="2" spans="1:17" s="1560" customFormat="1">
      <c r="A2" s="1567"/>
      <c r="B2" s="1582" t="s">
        <v>1094</v>
      </c>
      <c r="C2" s="2746" t="s">
        <v>950</v>
      </c>
      <c r="D2" s="2747"/>
      <c r="E2" s="2747"/>
      <c r="F2" s="2748"/>
      <c r="G2" s="1581"/>
      <c r="H2" s="2749" t="s">
        <v>655</v>
      </c>
      <c r="I2" s="2750"/>
      <c r="J2" s="2750"/>
      <c r="K2" s="2751"/>
      <c r="L2" s="2749" t="s">
        <v>1269</v>
      </c>
      <c r="M2" s="2750"/>
      <c r="N2" s="2750"/>
      <c r="O2" s="2751"/>
      <c r="P2" s="1580" t="s">
        <v>567</v>
      </c>
      <c r="Q2" s="1579"/>
    </row>
    <row r="3" spans="1:17" s="1566" customFormat="1">
      <c r="A3" s="1567"/>
      <c r="B3" s="1604" t="s">
        <v>1268</v>
      </c>
      <c r="C3" s="1603" t="s">
        <v>1267</v>
      </c>
      <c r="D3" s="1602" t="s">
        <v>1211</v>
      </c>
      <c r="E3" s="1601" t="s">
        <v>708</v>
      </c>
      <c r="F3" s="1600" t="s">
        <v>1185</v>
      </c>
      <c r="G3" s="1601"/>
      <c r="H3" s="1602" t="s">
        <v>1267</v>
      </c>
      <c r="I3" s="1602" t="s">
        <v>1211</v>
      </c>
      <c r="J3" s="1601" t="s">
        <v>708</v>
      </c>
      <c r="K3" s="1600" t="s">
        <v>1185</v>
      </c>
      <c r="L3" s="1602" t="s">
        <v>1267</v>
      </c>
      <c r="M3" s="1602" t="s">
        <v>1211</v>
      </c>
      <c r="N3" s="1601" t="s">
        <v>708</v>
      </c>
      <c r="O3" s="1600" t="s">
        <v>1185</v>
      </c>
      <c r="P3" s="1599"/>
      <c r="Q3" s="1567"/>
    </row>
    <row r="4" spans="1:17" s="1566" customFormat="1" ht="16.5" customHeight="1">
      <c r="A4" s="1567"/>
      <c r="B4" s="1628" t="s">
        <v>1345</v>
      </c>
      <c r="C4" s="1577"/>
      <c r="D4" s="1596"/>
      <c r="E4" s="1610"/>
      <c r="F4" s="1609"/>
      <c r="G4" s="1610"/>
      <c r="H4" s="1636"/>
      <c r="I4" s="1611"/>
      <c r="J4" s="1610"/>
      <c r="K4" s="1569"/>
      <c r="L4" s="1635"/>
      <c r="M4" s="1611"/>
      <c r="N4" s="1610"/>
      <c r="O4" s="1569"/>
      <c r="P4" s="1568"/>
      <c r="Q4" s="1567"/>
    </row>
    <row r="5" spans="1:17" s="1566" customFormat="1" ht="16.5" customHeight="1">
      <c r="A5" s="1567"/>
      <c r="B5" s="1628" t="s">
        <v>1253</v>
      </c>
      <c r="C5" s="1577" t="s">
        <v>1344</v>
      </c>
      <c r="D5" s="1596"/>
      <c r="E5" s="1610">
        <v>527.91999999999996</v>
      </c>
      <c r="F5" s="1609">
        <f>E5*D5</f>
        <v>0</v>
      </c>
      <c r="G5" s="1610"/>
      <c r="H5" s="1636" t="s">
        <v>1343</v>
      </c>
      <c r="I5" s="1611"/>
      <c r="J5" s="1610">
        <v>899</v>
      </c>
      <c r="K5" s="1569">
        <f>I5*J5</f>
        <v>0</v>
      </c>
      <c r="L5" s="1635"/>
      <c r="M5" s="1611"/>
      <c r="N5" s="1610">
        <v>0</v>
      </c>
      <c r="O5" s="1569">
        <f>M5*N5</f>
        <v>0</v>
      </c>
      <c r="P5" s="1568">
        <f>F5+K5+O5</f>
        <v>0</v>
      </c>
      <c r="Q5" s="1567"/>
    </row>
    <row r="6" spans="1:17" s="1566" customFormat="1" ht="16.5" customHeight="1">
      <c r="A6" s="1567"/>
      <c r="B6" s="1578" t="s">
        <v>1251</v>
      </c>
      <c r="C6" s="1577" t="s">
        <v>1342</v>
      </c>
      <c r="D6" s="1574"/>
      <c r="E6" s="1570">
        <v>527.85</v>
      </c>
      <c r="F6" s="1569">
        <f>E6*D6</f>
        <v>0</v>
      </c>
      <c r="G6" s="1570"/>
      <c r="H6" s="1573" t="s">
        <v>1341</v>
      </c>
      <c r="I6" s="1571"/>
      <c r="J6" s="1570">
        <v>899</v>
      </c>
      <c r="K6" s="1569">
        <f>I6*J6</f>
        <v>0</v>
      </c>
      <c r="L6" s="1572"/>
      <c r="M6" s="1571"/>
      <c r="N6" s="1570">
        <v>0</v>
      </c>
      <c r="O6" s="1569">
        <f>M6*N6</f>
        <v>0</v>
      </c>
      <c r="P6" s="1568">
        <f>F6+K6+O6</f>
        <v>0</v>
      </c>
      <c r="Q6" s="1567"/>
    </row>
    <row r="7" spans="1:17" s="1566" customFormat="1" ht="16.5" customHeight="1">
      <c r="A7" s="1567"/>
      <c r="B7" s="1578" t="s">
        <v>1247</v>
      </c>
      <c r="C7" s="1577" t="s">
        <v>1246</v>
      </c>
      <c r="D7" s="1574"/>
      <c r="E7" s="1570">
        <v>656.1</v>
      </c>
      <c r="F7" s="1569">
        <f>E7*D7</f>
        <v>0</v>
      </c>
      <c r="G7" s="1570"/>
      <c r="H7" s="1573"/>
      <c r="I7" s="1571"/>
      <c r="J7" s="1570"/>
      <c r="K7" s="1569">
        <f>I7*J7</f>
        <v>0</v>
      </c>
      <c r="L7" s="1572"/>
      <c r="M7" s="1571"/>
      <c r="N7" s="1570">
        <v>0</v>
      </c>
      <c r="O7" s="1569">
        <f>M7*N7</f>
        <v>0</v>
      </c>
      <c r="P7" s="1568">
        <f>F16+K7+O7</f>
        <v>0</v>
      </c>
      <c r="Q7" s="1567"/>
    </row>
    <row r="8" spans="1:17" s="1566" customFormat="1" ht="16.5" customHeight="1">
      <c r="A8" s="1567"/>
      <c r="B8" s="1720" t="s">
        <v>1245</v>
      </c>
      <c r="C8" s="1575" t="s">
        <v>1309</v>
      </c>
      <c r="D8" s="1574"/>
      <c r="E8" s="1570">
        <v>232.21</v>
      </c>
      <c r="F8" s="1569"/>
      <c r="G8" s="1570"/>
      <c r="H8" s="1573"/>
      <c r="I8" s="1571"/>
      <c r="J8" s="1570"/>
      <c r="K8" s="1569"/>
      <c r="L8" s="1572"/>
      <c r="M8" s="1571"/>
      <c r="N8" s="1570"/>
      <c r="O8" s="1569"/>
      <c r="P8" s="1568"/>
      <c r="Q8" s="1567"/>
    </row>
    <row r="9" spans="1:17" s="1566" customFormat="1" ht="16.5" customHeight="1">
      <c r="A9" s="1567"/>
      <c r="B9" s="1720" t="s">
        <v>1243</v>
      </c>
      <c r="C9" s="1575" t="s">
        <v>1242</v>
      </c>
      <c r="D9" s="1574"/>
      <c r="E9" s="1570">
        <v>143.80000000000001</v>
      </c>
      <c r="F9" s="1569"/>
      <c r="G9" s="1570"/>
      <c r="H9" s="1573"/>
      <c r="I9" s="1571"/>
      <c r="J9" s="1570"/>
      <c r="K9" s="1569"/>
      <c r="L9" s="1572"/>
      <c r="M9" s="1571"/>
      <c r="N9" s="1570"/>
      <c r="O9" s="1569"/>
      <c r="P9" s="1568"/>
      <c r="Q9" s="1567"/>
    </row>
    <row r="10" spans="1:17" s="1566" customFormat="1" ht="16.5" customHeight="1">
      <c r="A10" s="1567"/>
      <c r="B10" s="1720" t="s">
        <v>1241</v>
      </c>
      <c r="C10" s="1575" t="s">
        <v>1304</v>
      </c>
      <c r="D10" s="1574"/>
      <c r="E10" s="1570">
        <v>154.61000000000001</v>
      </c>
      <c r="F10" s="1569">
        <f t="shared" ref="F10:F22" si="0">E10*D10</f>
        <v>0</v>
      </c>
      <c r="G10" s="1570"/>
      <c r="H10" s="1573" t="s">
        <v>1327</v>
      </c>
      <c r="I10" s="1571"/>
      <c r="J10" s="1570">
        <v>299</v>
      </c>
      <c r="K10" s="1569">
        <f t="shared" ref="K10:K22" si="1">I10*J10</f>
        <v>0</v>
      </c>
      <c r="L10" s="1572"/>
      <c r="M10" s="1571"/>
      <c r="N10" s="1570">
        <v>0</v>
      </c>
      <c r="O10" s="1569">
        <f t="shared" ref="O10:O22" si="2">M10*N10</f>
        <v>0</v>
      </c>
      <c r="P10" s="1568">
        <f t="shared" ref="P10:P15" si="3">F10+K10+O10</f>
        <v>0</v>
      </c>
      <c r="Q10" s="1567"/>
    </row>
    <row r="11" spans="1:17" s="1566" customFormat="1" ht="16.5" customHeight="1">
      <c r="A11" s="1567"/>
      <c r="B11" s="1720" t="s">
        <v>1239</v>
      </c>
      <c r="C11" s="1575" t="s">
        <v>1326</v>
      </c>
      <c r="D11" s="1574">
        <v>1</v>
      </c>
      <c r="E11" s="1570">
        <v>271.7</v>
      </c>
      <c r="F11" s="1569">
        <f t="shared" si="0"/>
        <v>271.7</v>
      </c>
      <c r="G11" s="1570"/>
      <c r="H11" s="1573" t="s">
        <v>1324</v>
      </c>
      <c r="I11" s="1571"/>
      <c r="J11" s="1570">
        <v>299</v>
      </c>
      <c r="K11" s="1569">
        <f t="shared" si="1"/>
        <v>0</v>
      </c>
      <c r="L11" s="1572"/>
      <c r="M11" s="1571"/>
      <c r="N11" s="1570">
        <v>0</v>
      </c>
      <c r="O11" s="1569">
        <f t="shared" si="2"/>
        <v>0</v>
      </c>
      <c r="P11" s="1568">
        <f t="shared" si="3"/>
        <v>271.7</v>
      </c>
      <c r="Q11" s="1567"/>
    </row>
    <row r="12" spans="1:17" s="1566" customFormat="1" ht="16.5" customHeight="1">
      <c r="A12" s="1567"/>
      <c r="B12" s="1719" t="s">
        <v>1245</v>
      </c>
      <c r="C12" s="1718" t="s">
        <v>1340</v>
      </c>
      <c r="D12" s="1717">
        <v>2</v>
      </c>
      <c r="E12" s="1715">
        <v>238.13</v>
      </c>
      <c r="F12" s="1716">
        <f t="shared" si="0"/>
        <v>476.26</v>
      </c>
      <c r="G12" s="1715"/>
      <c r="H12" s="1573" t="s">
        <v>1339</v>
      </c>
      <c r="I12" s="1571"/>
      <c r="J12" s="1570">
        <v>379</v>
      </c>
      <c r="K12" s="1569">
        <f t="shared" si="1"/>
        <v>0</v>
      </c>
      <c r="L12" s="1572"/>
      <c r="M12" s="1571"/>
      <c r="N12" s="1570">
        <v>0</v>
      </c>
      <c r="O12" s="1569">
        <f t="shared" si="2"/>
        <v>0</v>
      </c>
      <c r="P12" s="1568">
        <f t="shared" si="3"/>
        <v>476.26</v>
      </c>
      <c r="Q12" s="1567"/>
    </row>
    <row r="13" spans="1:17" s="1566" customFormat="1" ht="16.5" customHeight="1">
      <c r="A13" s="1567"/>
      <c r="B13" s="1712" t="s">
        <v>1243</v>
      </c>
      <c r="C13" s="1711" t="s">
        <v>1338</v>
      </c>
      <c r="D13" s="1710">
        <v>1</v>
      </c>
      <c r="E13" s="1708">
        <v>156.58000000000001</v>
      </c>
      <c r="F13" s="1709">
        <f t="shared" si="0"/>
        <v>156.58000000000001</v>
      </c>
      <c r="G13" s="1708"/>
      <c r="H13" s="1638" t="s">
        <v>1337</v>
      </c>
      <c r="I13" s="1619"/>
      <c r="J13" s="1618">
        <v>249</v>
      </c>
      <c r="K13" s="1617">
        <f t="shared" si="1"/>
        <v>0</v>
      </c>
      <c r="L13" s="1707"/>
      <c r="M13" s="1619"/>
      <c r="N13" s="1618">
        <v>0</v>
      </c>
      <c r="O13" s="1617">
        <f t="shared" si="2"/>
        <v>0</v>
      </c>
      <c r="P13" s="1616">
        <f t="shared" si="3"/>
        <v>156.58000000000001</v>
      </c>
      <c r="Q13" s="1567"/>
    </row>
    <row r="14" spans="1:17" s="1566" customFormat="1" ht="16.5" customHeight="1">
      <c r="A14" s="1714" t="s">
        <v>1124</v>
      </c>
      <c r="B14" s="1578" t="s">
        <v>1336</v>
      </c>
      <c r="C14" s="1637" t="s">
        <v>1335</v>
      </c>
      <c r="D14" s="1574"/>
      <c r="E14" s="1570">
        <v>527.91999999999996</v>
      </c>
      <c r="F14" s="1569">
        <f t="shared" si="0"/>
        <v>0</v>
      </c>
      <c r="G14" s="1570"/>
      <c r="H14" s="1573" t="s">
        <v>1334</v>
      </c>
      <c r="I14" s="1571"/>
      <c r="J14" s="1570">
        <v>1549</v>
      </c>
      <c r="K14" s="1569">
        <f t="shared" si="1"/>
        <v>0</v>
      </c>
      <c r="L14" s="1572"/>
      <c r="M14" s="1571"/>
      <c r="N14" s="1570">
        <v>0</v>
      </c>
      <c r="O14" s="1569">
        <f t="shared" si="2"/>
        <v>0</v>
      </c>
      <c r="P14" s="1568">
        <f t="shared" si="3"/>
        <v>0</v>
      </c>
      <c r="Q14" s="1567"/>
    </row>
    <row r="15" spans="1:17" s="1566" customFormat="1" ht="16.5" customHeight="1">
      <c r="A15" s="1567"/>
      <c r="B15" s="1578" t="s">
        <v>1333</v>
      </c>
      <c r="C15" s="1577" t="s">
        <v>1332</v>
      </c>
      <c r="D15" s="1574"/>
      <c r="E15" s="1570">
        <v>527.91999999999996</v>
      </c>
      <c r="F15" s="1569">
        <f t="shared" si="0"/>
        <v>0</v>
      </c>
      <c r="G15" s="1570"/>
      <c r="H15" s="1573" t="s">
        <v>1331</v>
      </c>
      <c r="I15" s="1571"/>
      <c r="J15" s="1570">
        <v>1549</v>
      </c>
      <c r="K15" s="1569">
        <f t="shared" si="1"/>
        <v>0</v>
      </c>
      <c r="L15" s="1572"/>
      <c r="M15" s="1571"/>
      <c r="N15" s="1570">
        <v>0</v>
      </c>
      <c r="O15" s="1569">
        <f t="shared" si="2"/>
        <v>0</v>
      </c>
      <c r="P15" s="1568">
        <f t="shared" si="3"/>
        <v>0</v>
      </c>
      <c r="Q15" s="1567"/>
    </row>
    <row r="16" spans="1:17" s="1566" customFormat="1" ht="16.5" customHeight="1">
      <c r="A16" s="1567"/>
      <c r="B16" s="1578" t="s">
        <v>1247</v>
      </c>
      <c r="C16" s="1577" t="s">
        <v>1330</v>
      </c>
      <c r="D16" s="1574"/>
      <c r="E16" s="1570">
        <v>450.55</v>
      </c>
      <c r="F16" s="1569">
        <f t="shared" si="0"/>
        <v>0</v>
      </c>
      <c r="G16" s="1570"/>
      <c r="H16" s="1573"/>
      <c r="I16" s="1571"/>
      <c r="J16" s="1570"/>
      <c r="K16" s="1569">
        <f t="shared" si="1"/>
        <v>0</v>
      </c>
      <c r="L16" s="1572"/>
      <c r="M16" s="1571"/>
      <c r="N16" s="1570">
        <v>0</v>
      </c>
      <c r="O16" s="1569">
        <f t="shared" si="2"/>
        <v>0</v>
      </c>
      <c r="P16" s="1568">
        <f>F7+K16+O16</f>
        <v>0</v>
      </c>
      <c r="Q16" s="1567"/>
    </row>
    <row r="17" spans="1:21" s="1566" customFormat="1" ht="16.5" customHeight="1">
      <c r="A17" s="1567"/>
      <c r="B17" s="1578" t="s">
        <v>1241</v>
      </c>
      <c r="C17" s="1713" t="s">
        <v>1329</v>
      </c>
      <c r="D17" s="1574">
        <v>2</v>
      </c>
      <c r="E17" s="1570">
        <v>114.57</v>
      </c>
      <c r="F17" s="1569">
        <f t="shared" si="0"/>
        <v>229.14</v>
      </c>
      <c r="G17" s="1570"/>
      <c r="H17" s="1573" t="s">
        <v>1327</v>
      </c>
      <c r="I17" s="1571"/>
      <c r="J17" s="1570">
        <v>299</v>
      </c>
      <c r="K17" s="1569">
        <f t="shared" si="1"/>
        <v>0</v>
      </c>
      <c r="L17" s="1572"/>
      <c r="M17" s="1571"/>
      <c r="N17" s="1570">
        <v>0</v>
      </c>
      <c r="O17" s="1569">
        <f t="shared" si="2"/>
        <v>0</v>
      </c>
      <c r="P17" s="1568">
        <f t="shared" ref="P17:P22" si="4">F17+K17+O17</f>
        <v>229.14</v>
      </c>
      <c r="Q17" s="1567"/>
    </row>
    <row r="18" spans="1:21" s="1566" customFormat="1" ht="16.5" customHeight="1">
      <c r="A18" s="1567"/>
      <c r="B18" s="1578" t="s">
        <v>1241</v>
      </c>
      <c r="C18" s="1713" t="s">
        <v>1328</v>
      </c>
      <c r="D18" s="1574"/>
      <c r="E18" s="1570">
        <v>198.7</v>
      </c>
      <c r="F18" s="1569">
        <f t="shared" si="0"/>
        <v>0</v>
      </c>
      <c r="G18" s="1570"/>
      <c r="H18" s="1573" t="s">
        <v>1327</v>
      </c>
      <c r="I18" s="1571"/>
      <c r="J18" s="1570">
        <v>299</v>
      </c>
      <c r="K18" s="1569">
        <f t="shared" si="1"/>
        <v>0</v>
      </c>
      <c r="L18" s="1572"/>
      <c r="M18" s="1571"/>
      <c r="N18" s="1570">
        <v>0</v>
      </c>
      <c r="O18" s="1569">
        <f t="shared" si="2"/>
        <v>0</v>
      </c>
      <c r="P18" s="1568">
        <f t="shared" si="4"/>
        <v>0</v>
      </c>
      <c r="Q18" s="1567"/>
    </row>
    <row r="19" spans="1:21" s="1566" customFormat="1" ht="16.5" customHeight="1">
      <c r="A19" s="1567"/>
      <c r="B19" s="1712" t="s">
        <v>1239</v>
      </c>
      <c r="C19" s="1711" t="s">
        <v>1326</v>
      </c>
      <c r="D19" s="1710">
        <v>1</v>
      </c>
      <c r="E19" s="1708">
        <v>224.14</v>
      </c>
      <c r="F19" s="1709">
        <f t="shared" si="0"/>
        <v>224.14</v>
      </c>
      <c r="G19" s="1708"/>
      <c r="H19" s="1638" t="s">
        <v>1324</v>
      </c>
      <c r="I19" s="1619"/>
      <c r="J19" s="1618">
        <v>299</v>
      </c>
      <c r="K19" s="1617">
        <f t="shared" si="1"/>
        <v>0</v>
      </c>
      <c r="L19" s="1707"/>
      <c r="M19" s="1619"/>
      <c r="N19" s="1618">
        <v>0</v>
      </c>
      <c r="O19" s="1617">
        <f t="shared" si="2"/>
        <v>0</v>
      </c>
      <c r="P19" s="1616">
        <f t="shared" si="4"/>
        <v>224.14</v>
      </c>
      <c r="Q19" s="1567"/>
    </row>
    <row r="20" spans="1:21" s="1566" customFormat="1" ht="16.5" customHeight="1">
      <c r="A20" s="1567"/>
      <c r="B20" s="1712" t="s">
        <v>1239</v>
      </c>
      <c r="C20" s="1711" t="s">
        <v>1325</v>
      </c>
      <c r="D20" s="1710">
        <v>1</v>
      </c>
      <c r="E20" s="1708">
        <v>141.47999999999999</v>
      </c>
      <c r="F20" s="1709">
        <f t="shared" si="0"/>
        <v>141.47999999999999</v>
      </c>
      <c r="G20" s="1708"/>
      <c r="H20" s="1638" t="s">
        <v>1324</v>
      </c>
      <c r="I20" s="1619"/>
      <c r="J20" s="1618">
        <v>299</v>
      </c>
      <c r="K20" s="1617">
        <f t="shared" si="1"/>
        <v>0</v>
      </c>
      <c r="L20" s="1707"/>
      <c r="M20" s="1619"/>
      <c r="N20" s="1618">
        <v>0</v>
      </c>
      <c r="O20" s="1617">
        <f t="shared" si="2"/>
        <v>0</v>
      </c>
      <c r="P20" s="1616">
        <f t="shared" si="4"/>
        <v>141.47999999999999</v>
      </c>
      <c r="Q20" s="1567"/>
    </row>
    <row r="21" spans="1:21" ht="16.5" customHeight="1">
      <c r="A21" s="1567"/>
      <c r="B21" s="1615" t="s">
        <v>1323</v>
      </c>
      <c r="C21" s="1637" t="s">
        <v>1322</v>
      </c>
      <c r="D21" s="1596"/>
      <c r="E21" s="1610">
        <v>81.88</v>
      </c>
      <c r="F21" s="1609">
        <f t="shared" si="0"/>
        <v>0</v>
      </c>
      <c r="G21" s="1610"/>
      <c r="H21" s="1613" t="s">
        <v>1321</v>
      </c>
      <c r="I21" s="1611"/>
      <c r="J21" s="1610">
        <v>199</v>
      </c>
      <c r="K21" s="1609">
        <f t="shared" si="1"/>
        <v>0</v>
      </c>
      <c r="L21" s="1612"/>
      <c r="M21" s="1611"/>
      <c r="N21" s="1610">
        <v>0</v>
      </c>
      <c r="O21" s="1609">
        <f t="shared" si="2"/>
        <v>0</v>
      </c>
      <c r="P21" s="1608">
        <f t="shared" si="4"/>
        <v>0</v>
      </c>
      <c r="Q21" s="1607"/>
      <c r="R21" s="1606"/>
      <c r="S21" s="1606"/>
      <c r="T21" s="1606"/>
      <c r="U21" s="1606"/>
    </row>
    <row r="22" spans="1:21" ht="16.5" customHeight="1">
      <c r="A22" s="1567"/>
      <c r="B22" s="1576" t="s">
        <v>1320</v>
      </c>
      <c r="C22" s="1622" t="s">
        <v>1319</v>
      </c>
      <c r="D22" s="1621">
        <v>2</v>
      </c>
      <c r="E22" s="1618">
        <v>72.23</v>
      </c>
      <c r="F22" s="1617">
        <f t="shared" si="0"/>
        <v>144.46</v>
      </c>
      <c r="G22" s="1618"/>
      <c r="H22" s="1638" t="s">
        <v>1318</v>
      </c>
      <c r="I22" s="1619"/>
      <c r="J22" s="1618">
        <v>269</v>
      </c>
      <c r="K22" s="1617">
        <f t="shared" si="1"/>
        <v>0</v>
      </c>
      <c r="L22" s="1620"/>
      <c r="M22" s="1619"/>
      <c r="N22" s="1618">
        <v>0</v>
      </c>
      <c r="O22" s="1617">
        <f t="shared" si="2"/>
        <v>0</v>
      </c>
      <c r="P22" s="1616">
        <f t="shared" si="4"/>
        <v>144.46</v>
      </c>
      <c r="Q22" s="1607"/>
      <c r="R22" s="1606"/>
      <c r="S22" s="1606"/>
      <c r="T22" s="1606"/>
      <c r="U22" s="1606"/>
    </row>
    <row r="23" spans="1:21" s="1640" customFormat="1" ht="16.5" customHeight="1">
      <c r="A23" s="1646"/>
      <c r="B23" s="1645"/>
      <c r="C23" s="1644"/>
      <c r="D23" s="1621"/>
      <c r="E23" s="1618"/>
      <c r="F23" s="1618"/>
      <c r="G23" s="1618"/>
      <c r="H23" s="1638"/>
      <c r="I23" s="1619"/>
      <c r="J23" s="1618"/>
      <c r="K23" s="1618"/>
      <c r="L23" s="1620"/>
      <c r="M23" s="1619"/>
      <c r="N23" s="1618"/>
      <c r="O23" s="1618"/>
      <c r="P23" s="1618"/>
      <c r="Q23" s="1642"/>
      <c r="R23" s="1641"/>
      <c r="S23" s="1641"/>
      <c r="T23" s="1641"/>
      <c r="U23" s="1641"/>
    </row>
    <row r="24" spans="1:21" ht="16.5" customHeight="1">
      <c r="A24" s="1567"/>
      <c r="B24" s="1615" t="s">
        <v>1317</v>
      </c>
      <c r="C24" s="1637"/>
      <c r="D24" s="1596"/>
      <c r="E24" s="1610">
        <v>280</v>
      </c>
      <c r="F24" s="1609"/>
      <c r="G24" s="1610"/>
      <c r="H24" s="1613"/>
      <c r="I24" s="1611"/>
      <c r="J24" s="1610"/>
      <c r="K24" s="1609"/>
      <c r="L24" s="1612"/>
      <c r="M24" s="1611"/>
      <c r="N24" s="1610"/>
      <c r="O24" s="1609"/>
      <c r="P24" s="1608"/>
      <c r="Q24" s="1607"/>
      <c r="R24" s="1606"/>
      <c r="S24" s="1606"/>
      <c r="T24" s="1606"/>
      <c r="U24" s="1606"/>
    </row>
    <row r="25" spans="1:21" ht="16.5" customHeight="1">
      <c r="A25" s="1567"/>
      <c r="B25" s="1706" t="s">
        <v>1316</v>
      </c>
      <c r="C25" s="1705"/>
      <c r="D25" s="1704"/>
      <c r="E25" s="1700">
        <v>170</v>
      </c>
      <c r="F25" s="1699"/>
      <c r="G25" s="1700"/>
      <c r="H25" s="1703"/>
      <c r="I25" s="1701"/>
      <c r="J25" s="1700"/>
      <c r="K25" s="1699"/>
      <c r="L25" s="1702"/>
      <c r="M25" s="1701"/>
      <c r="N25" s="1700"/>
      <c r="O25" s="1699"/>
      <c r="P25" s="1698"/>
      <c r="Q25" s="1607"/>
      <c r="R25" s="1606"/>
      <c r="S25" s="1606"/>
      <c r="T25" s="1606"/>
      <c r="U25" s="1606"/>
    </row>
    <row r="26" spans="1:21" ht="16.5" customHeight="1">
      <c r="A26" s="1567"/>
      <c r="B26" s="1697" t="s">
        <v>1315</v>
      </c>
      <c r="C26" s="1696"/>
      <c r="D26" s="1695"/>
      <c r="E26" s="1691"/>
      <c r="F26" s="1690"/>
      <c r="G26" s="1691"/>
      <c r="H26" s="1694"/>
      <c r="I26" s="1692"/>
      <c r="J26" s="1691"/>
      <c r="K26" s="1690"/>
      <c r="L26" s="1693"/>
      <c r="M26" s="1692"/>
      <c r="N26" s="1691"/>
      <c r="O26" s="1690"/>
      <c r="P26" s="1689"/>
      <c r="Q26" s="1607"/>
      <c r="R26" s="1606"/>
      <c r="S26" s="1606"/>
      <c r="T26" s="1606"/>
      <c r="U26" s="1606"/>
    </row>
    <row r="27" spans="1:21" ht="16.5" customHeight="1">
      <c r="A27" s="1567"/>
      <c r="B27" s="1688" t="s">
        <v>1303</v>
      </c>
      <c r="C27" s="1687" t="s">
        <v>1314</v>
      </c>
      <c r="D27" s="1686"/>
      <c r="E27" s="1682">
        <v>369.36</v>
      </c>
      <c r="F27" s="1681">
        <f>E27*D27</f>
        <v>0</v>
      </c>
      <c r="G27" s="1682"/>
      <c r="H27" s="1685"/>
      <c r="I27" s="1683"/>
      <c r="J27" s="1682"/>
      <c r="K27" s="1681">
        <f>I27*J27</f>
        <v>0</v>
      </c>
      <c r="L27" s="1684"/>
      <c r="M27" s="1683"/>
      <c r="N27" s="1682">
        <f>L27*M27</f>
        <v>0</v>
      </c>
      <c r="O27" s="1681">
        <f>M27*N27</f>
        <v>0</v>
      </c>
      <c r="P27" s="1680">
        <f>F27+K27+O27</f>
        <v>0</v>
      </c>
      <c r="Q27" s="1607"/>
      <c r="R27" s="1606"/>
      <c r="S27" s="1606"/>
      <c r="T27" s="1606"/>
      <c r="U27" s="1606"/>
    </row>
    <row r="28" spans="1:21" ht="16.5" customHeight="1">
      <c r="A28" s="1567"/>
      <c r="B28" s="1679" t="s">
        <v>1301</v>
      </c>
      <c r="C28" s="1678" t="s">
        <v>1313</v>
      </c>
      <c r="D28" s="1677"/>
      <c r="E28" s="1673">
        <v>388.68</v>
      </c>
      <c r="F28" s="1672">
        <f>E28*D28</f>
        <v>0</v>
      </c>
      <c r="G28" s="1673"/>
      <c r="H28" s="1676"/>
      <c r="I28" s="1674"/>
      <c r="J28" s="1673"/>
      <c r="K28" s="1672">
        <f>I28*J28</f>
        <v>0</v>
      </c>
      <c r="L28" s="1675"/>
      <c r="M28" s="1674"/>
      <c r="N28" s="1673">
        <f>L28*M28</f>
        <v>0</v>
      </c>
      <c r="O28" s="1672">
        <f>M28*N28</f>
        <v>0</v>
      </c>
      <c r="P28" s="1671">
        <f>F28+K28+O28</f>
        <v>0</v>
      </c>
      <c r="Q28" s="1607"/>
      <c r="R28" s="1606"/>
      <c r="S28" s="1606"/>
      <c r="T28" s="1606"/>
      <c r="U28" s="1606"/>
    </row>
    <row r="29" spans="1:21" s="1640" customFormat="1" ht="16.5" customHeight="1">
      <c r="A29" s="1646"/>
      <c r="B29" s="1645"/>
      <c r="C29" s="1644"/>
      <c r="D29" s="1621"/>
      <c r="E29" s="1618"/>
      <c r="F29" s="1618"/>
      <c r="G29" s="1618"/>
      <c r="H29" s="1638"/>
      <c r="I29" s="1619"/>
      <c r="J29" s="1618"/>
      <c r="K29" s="1618"/>
      <c r="L29" s="1620"/>
      <c r="M29" s="1619"/>
      <c r="N29" s="1618"/>
      <c r="O29" s="1618"/>
      <c r="P29" s="1618"/>
      <c r="Q29" s="1642"/>
      <c r="R29" s="1641"/>
      <c r="S29" s="1641"/>
      <c r="T29" s="1641"/>
      <c r="U29" s="1641"/>
    </row>
    <row r="30" spans="1:21" s="1647" customFormat="1" ht="16.5" customHeight="1">
      <c r="A30" s="1659"/>
      <c r="B30" s="1668" t="s">
        <v>1243</v>
      </c>
      <c r="C30" s="1670" t="s">
        <v>1312</v>
      </c>
      <c r="D30" s="1666">
        <v>2</v>
      </c>
      <c r="E30" s="1662">
        <v>131.75</v>
      </c>
      <c r="F30" s="1661">
        <f>D30*E30</f>
        <v>263.5</v>
      </c>
      <c r="G30" s="1662" t="s">
        <v>1311</v>
      </c>
      <c r="H30" s="1665"/>
      <c r="I30" s="1663"/>
      <c r="J30" s="1662"/>
      <c r="K30" s="1661"/>
      <c r="L30" s="1669"/>
      <c r="M30" s="1663"/>
      <c r="N30" s="1662"/>
      <c r="O30" s="1661"/>
      <c r="P30" s="1660"/>
      <c r="Q30" s="1649"/>
      <c r="R30" s="1648"/>
      <c r="S30" s="1648"/>
      <c r="T30" s="1648"/>
      <c r="U30" s="1648"/>
    </row>
    <row r="31" spans="1:21" s="1647" customFormat="1" ht="16.5" customHeight="1">
      <c r="A31" s="1659"/>
      <c r="B31" s="1668" t="s">
        <v>1266</v>
      </c>
      <c r="C31" s="1667" t="s">
        <v>1310</v>
      </c>
      <c r="D31" s="1666">
        <v>4</v>
      </c>
      <c r="E31" s="1662">
        <v>224.91</v>
      </c>
      <c r="F31" s="1661">
        <f>D31*E31</f>
        <v>899.64</v>
      </c>
      <c r="G31" s="1662" t="s">
        <v>1309</v>
      </c>
      <c r="H31" s="1665"/>
      <c r="I31" s="1663"/>
      <c r="J31" s="1662"/>
      <c r="K31" s="1661"/>
      <c r="L31" s="1669"/>
      <c r="M31" s="1663"/>
      <c r="N31" s="1662"/>
      <c r="O31" s="1661"/>
      <c r="P31" s="1660"/>
      <c r="Q31" s="1649"/>
      <c r="R31" s="1648"/>
      <c r="S31" s="1648"/>
      <c r="T31" s="1648"/>
      <c r="U31" s="1648"/>
    </row>
    <row r="32" spans="1:21" s="1647" customFormat="1" ht="16.5" customHeight="1">
      <c r="A32" s="1659"/>
      <c r="B32" s="1668" t="s">
        <v>1239</v>
      </c>
      <c r="C32" s="1667" t="s">
        <v>1308</v>
      </c>
      <c r="D32" s="1666">
        <v>2</v>
      </c>
      <c r="E32" s="1662">
        <v>124.49</v>
      </c>
      <c r="F32" s="1661">
        <f>D32*E32</f>
        <v>248.98</v>
      </c>
      <c r="G32" s="1662" t="s">
        <v>1307</v>
      </c>
      <c r="H32" s="1665"/>
      <c r="I32" s="1663"/>
      <c r="J32" s="1662"/>
      <c r="K32" s="1661"/>
      <c r="L32" s="1664"/>
      <c r="M32" s="1663"/>
      <c r="N32" s="1662"/>
      <c r="O32" s="1661"/>
      <c r="P32" s="1660"/>
      <c r="Q32" s="1649"/>
      <c r="R32" s="1648"/>
      <c r="S32" s="1648"/>
      <c r="T32" s="1648"/>
      <c r="U32" s="1648"/>
    </row>
    <row r="33" spans="1:21" s="1647" customFormat="1" ht="16.5" customHeight="1">
      <c r="A33" s="1659"/>
      <c r="B33" s="1658" t="s">
        <v>1306</v>
      </c>
      <c r="C33" s="1657" t="s">
        <v>1305</v>
      </c>
      <c r="D33" s="1656">
        <v>4</v>
      </c>
      <c r="E33" s="1652">
        <v>157.43</v>
      </c>
      <c r="F33" s="1651">
        <f>D33*E33</f>
        <v>629.72</v>
      </c>
      <c r="G33" s="1652" t="s">
        <v>1304</v>
      </c>
      <c r="H33" s="1655"/>
      <c r="I33" s="1653"/>
      <c r="J33" s="1652"/>
      <c r="K33" s="1651"/>
      <c r="L33" s="1654"/>
      <c r="M33" s="1653"/>
      <c r="N33" s="1652"/>
      <c r="O33" s="1651"/>
      <c r="P33" s="1650"/>
      <c r="Q33" s="1649"/>
      <c r="R33" s="1648"/>
      <c r="S33" s="1648"/>
      <c r="T33" s="1648"/>
      <c r="U33" s="1648"/>
    </row>
    <row r="34" spans="1:21" s="1640" customFormat="1" ht="16.5" customHeight="1">
      <c r="A34" s="1646"/>
      <c r="B34" s="1645"/>
      <c r="C34" s="1644"/>
      <c r="D34" s="1621"/>
      <c r="E34" s="1618"/>
      <c r="F34" s="1643"/>
      <c r="G34" s="1643"/>
      <c r="H34" s="1638"/>
      <c r="I34" s="1619"/>
      <c r="J34" s="1618"/>
      <c r="K34" s="1618"/>
      <c r="L34" s="1620"/>
      <c r="M34" s="1619"/>
      <c r="N34" s="1618"/>
      <c r="O34" s="1618"/>
      <c r="P34" s="1618"/>
      <c r="Q34" s="1642"/>
      <c r="R34" s="1641"/>
      <c r="S34" s="1641"/>
      <c r="T34" s="1641"/>
      <c r="U34" s="1641"/>
    </row>
    <row r="35" spans="1:21" ht="16.5" customHeight="1">
      <c r="A35" s="1567"/>
      <c r="B35" s="1615" t="s">
        <v>1303</v>
      </c>
      <c r="C35" s="1637" t="s">
        <v>1302</v>
      </c>
      <c r="D35" s="1596"/>
      <c r="E35" s="1610">
        <v>186.1</v>
      </c>
      <c r="F35" s="1609">
        <f t="shared" ref="F35:F44" si="5">E35*D35</f>
        <v>0</v>
      </c>
      <c r="G35" s="1610"/>
      <c r="H35" s="1639"/>
      <c r="I35" s="1611"/>
      <c r="J35" s="1610"/>
      <c r="K35" s="1609">
        <f t="shared" ref="K35:K42" si="6">I35*J35</f>
        <v>0</v>
      </c>
      <c r="L35" s="1612"/>
      <c r="M35" s="1611"/>
      <c r="N35" s="1610">
        <f>L35*M35</f>
        <v>0</v>
      </c>
      <c r="O35" s="1609">
        <f>M35*N35</f>
        <v>0</v>
      </c>
      <c r="P35" s="1608">
        <f t="shared" ref="P35:P42" si="7">F35+K35+O35</f>
        <v>0</v>
      </c>
      <c r="Q35" s="1607"/>
      <c r="R35" s="1606"/>
      <c r="S35" s="1606"/>
      <c r="T35" s="1606"/>
      <c r="U35" s="1606"/>
    </row>
    <row r="36" spans="1:21" ht="16.5" customHeight="1">
      <c r="A36" s="1567"/>
      <c r="B36" s="1576" t="s">
        <v>1301</v>
      </c>
      <c r="C36" s="1622" t="s">
        <v>1300</v>
      </c>
      <c r="D36" s="1621"/>
      <c r="E36" s="1618">
        <v>516.58000000000004</v>
      </c>
      <c r="F36" s="1617">
        <f t="shared" si="5"/>
        <v>0</v>
      </c>
      <c r="G36" s="1618"/>
      <c r="H36" s="1638"/>
      <c r="I36" s="1619"/>
      <c r="J36" s="1618"/>
      <c r="K36" s="1617">
        <f t="shared" si="6"/>
        <v>0</v>
      </c>
      <c r="L36" s="1620"/>
      <c r="M36" s="1619"/>
      <c r="N36" s="1618">
        <f>L36*M36</f>
        <v>0</v>
      </c>
      <c r="O36" s="1617">
        <f>M36*N36</f>
        <v>0</v>
      </c>
      <c r="P36" s="1616">
        <f t="shared" si="7"/>
        <v>0</v>
      </c>
      <c r="Q36" s="1607"/>
      <c r="R36" s="1606"/>
      <c r="S36" s="1606"/>
      <c r="T36" s="1606"/>
      <c r="U36" s="1606"/>
    </row>
    <row r="37" spans="1:21" s="1566" customFormat="1" ht="16.5" customHeight="1">
      <c r="A37" s="1567"/>
      <c r="B37" s="1615" t="s">
        <v>1299</v>
      </c>
      <c r="C37" s="1637" t="s">
        <v>1298</v>
      </c>
      <c r="D37" s="1596"/>
      <c r="E37" s="1610">
        <v>72.86</v>
      </c>
      <c r="F37" s="1609">
        <f t="shared" si="5"/>
        <v>0</v>
      </c>
      <c r="G37" s="1610"/>
      <c r="H37" s="1636" t="s">
        <v>1297</v>
      </c>
      <c r="I37" s="1611"/>
      <c r="J37" s="1610">
        <v>149</v>
      </c>
      <c r="K37" s="1609">
        <f t="shared" si="6"/>
        <v>0</v>
      </c>
      <c r="L37" s="1635" t="s">
        <v>1296</v>
      </c>
      <c r="M37" s="1611"/>
      <c r="N37" s="1610">
        <v>155</v>
      </c>
      <c r="O37" s="1609">
        <f t="shared" ref="O37:O42" si="8">M37*N37</f>
        <v>0</v>
      </c>
      <c r="P37" s="1608">
        <f t="shared" si="7"/>
        <v>0</v>
      </c>
      <c r="Q37" s="1567"/>
    </row>
    <row r="38" spans="1:21" ht="16.5" customHeight="1">
      <c r="A38" s="1567"/>
      <c r="B38" s="1633" t="s">
        <v>1295</v>
      </c>
      <c r="C38" s="1577" t="s">
        <v>1294</v>
      </c>
      <c r="D38" s="1574"/>
      <c r="E38" s="1570">
        <v>28.62</v>
      </c>
      <c r="F38" s="1569">
        <f t="shared" si="5"/>
        <v>0</v>
      </c>
      <c r="G38" s="1570"/>
      <c r="H38" s="1613" t="s">
        <v>1293</v>
      </c>
      <c r="I38" s="1632"/>
      <c r="J38" s="1631">
        <v>89.95</v>
      </c>
      <c r="K38" s="1630">
        <f t="shared" si="6"/>
        <v>0</v>
      </c>
      <c r="L38" s="1629"/>
      <c r="M38" s="1571"/>
      <c r="N38" s="1570">
        <v>0</v>
      </c>
      <c r="O38" s="1569">
        <f t="shared" si="8"/>
        <v>0</v>
      </c>
      <c r="P38" s="1568">
        <f t="shared" si="7"/>
        <v>0</v>
      </c>
      <c r="Q38" s="1607"/>
      <c r="R38" s="1606"/>
      <c r="S38" s="1606"/>
      <c r="T38" s="1606"/>
      <c r="U38" s="1606"/>
    </row>
    <row r="39" spans="1:21" ht="16.5" customHeight="1">
      <c r="A39" s="1567"/>
      <c r="B39" s="1633" t="s">
        <v>1292</v>
      </c>
      <c r="C39" s="1577" t="s">
        <v>1291</v>
      </c>
      <c r="D39" s="1574"/>
      <c r="E39" s="1570">
        <v>21.39</v>
      </c>
      <c r="F39" s="1569">
        <f t="shared" si="5"/>
        <v>0</v>
      </c>
      <c r="G39" s="1570"/>
      <c r="H39" s="1634"/>
      <c r="I39" s="1632"/>
      <c r="J39" s="1631">
        <v>0</v>
      </c>
      <c r="K39" s="1630">
        <f t="shared" si="6"/>
        <v>0</v>
      </c>
      <c r="L39" s="1629"/>
      <c r="M39" s="1571"/>
      <c r="N39" s="1570">
        <v>0</v>
      </c>
      <c r="O39" s="1569">
        <f t="shared" si="8"/>
        <v>0</v>
      </c>
      <c r="P39" s="1568">
        <f t="shared" si="7"/>
        <v>0</v>
      </c>
      <c r="Q39" s="1607"/>
      <c r="R39" s="1606"/>
      <c r="S39" s="1606"/>
      <c r="T39" s="1606"/>
      <c r="U39" s="1606"/>
    </row>
    <row r="40" spans="1:21" ht="16.5" customHeight="1">
      <c r="A40" s="1567"/>
      <c r="B40" s="1633" t="s">
        <v>1290</v>
      </c>
      <c r="C40" s="1577" t="s">
        <v>1289</v>
      </c>
      <c r="D40" s="1574"/>
      <c r="E40" s="1570">
        <v>20.94</v>
      </c>
      <c r="F40" s="1569">
        <f t="shared" si="5"/>
        <v>0</v>
      </c>
      <c r="G40" s="1570"/>
      <c r="H40" s="1634"/>
      <c r="I40" s="1632"/>
      <c r="J40" s="1631">
        <v>0</v>
      </c>
      <c r="K40" s="1630">
        <f t="shared" si="6"/>
        <v>0</v>
      </c>
      <c r="L40" s="1629"/>
      <c r="M40" s="1571"/>
      <c r="N40" s="1570">
        <v>0</v>
      </c>
      <c r="O40" s="1569">
        <f t="shared" si="8"/>
        <v>0</v>
      </c>
      <c r="P40" s="1568">
        <f t="shared" si="7"/>
        <v>0</v>
      </c>
      <c r="Q40" s="1607"/>
      <c r="R40" s="1606"/>
      <c r="S40" s="1606"/>
      <c r="T40" s="1606"/>
      <c r="U40" s="1606"/>
    </row>
    <row r="41" spans="1:21" ht="16.5" customHeight="1">
      <c r="A41" s="1567"/>
      <c r="B41" s="1633" t="s">
        <v>1288</v>
      </c>
      <c r="C41" s="1577" t="s">
        <v>1287</v>
      </c>
      <c r="D41" s="1574">
        <v>1</v>
      </c>
      <c r="E41" s="1570">
        <v>8.48</v>
      </c>
      <c r="F41" s="1569">
        <f t="shared" si="5"/>
        <v>8.48</v>
      </c>
      <c r="G41" s="1570"/>
      <c r="H41" s="1625" t="s">
        <v>1286</v>
      </c>
      <c r="I41" s="1632"/>
      <c r="J41" s="1631">
        <v>29.975000000000001</v>
      </c>
      <c r="K41" s="1630">
        <f t="shared" si="6"/>
        <v>0</v>
      </c>
      <c r="L41" s="1629"/>
      <c r="M41" s="1571"/>
      <c r="N41" s="1570">
        <v>0</v>
      </c>
      <c r="O41" s="1569">
        <f t="shared" si="8"/>
        <v>0</v>
      </c>
      <c r="P41" s="1568">
        <f t="shared" si="7"/>
        <v>8.48</v>
      </c>
      <c r="Q41" s="1607"/>
      <c r="R41" s="1606"/>
      <c r="S41" s="1606"/>
      <c r="T41" s="1606"/>
      <c r="U41" s="1606"/>
    </row>
    <row r="42" spans="1:21" ht="16.5" customHeight="1">
      <c r="A42" s="1567"/>
      <c r="B42" s="1615" t="s">
        <v>1285</v>
      </c>
      <c r="C42" s="1577" t="s">
        <v>1284</v>
      </c>
      <c r="D42" s="1596"/>
      <c r="E42" s="1610">
        <v>253.78</v>
      </c>
      <c r="F42" s="1609">
        <f t="shared" si="5"/>
        <v>0</v>
      </c>
      <c r="G42" s="1610"/>
      <c r="H42" s="1612"/>
      <c r="I42" s="1611"/>
      <c r="J42" s="1610">
        <v>0</v>
      </c>
      <c r="K42" s="1609">
        <f t="shared" si="6"/>
        <v>0</v>
      </c>
      <c r="L42" s="1612"/>
      <c r="M42" s="1611"/>
      <c r="N42" s="1610">
        <v>0</v>
      </c>
      <c r="O42" s="1609">
        <f t="shared" si="8"/>
        <v>0</v>
      </c>
      <c r="P42" s="1608">
        <f t="shared" si="7"/>
        <v>0</v>
      </c>
      <c r="Q42" s="1607"/>
      <c r="R42" s="1606"/>
      <c r="S42" s="1606"/>
      <c r="T42" s="1606"/>
      <c r="U42" s="1606"/>
    </row>
    <row r="43" spans="1:21" s="1566" customFormat="1" ht="16.5" customHeight="1">
      <c r="A43" s="1567"/>
      <c r="B43" s="1578" t="s">
        <v>1283</v>
      </c>
      <c r="C43" s="1577">
        <v>20776</v>
      </c>
      <c r="D43" s="1574"/>
      <c r="E43" s="1570">
        <v>1574.18</v>
      </c>
      <c r="F43" s="1569">
        <f t="shared" si="5"/>
        <v>0</v>
      </c>
      <c r="G43" s="1570"/>
      <c r="H43" s="1573"/>
      <c r="I43" s="1571"/>
      <c r="J43" s="1570"/>
      <c r="K43" s="1569"/>
      <c r="L43" s="1572"/>
      <c r="M43" s="1571"/>
      <c r="N43" s="1570"/>
      <c r="O43" s="1569"/>
      <c r="P43" s="1568"/>
      <c r="Q43" s="1567"/>
    </row>
    <row r="44" spans="1:21" s="1566" customFormat="1" ht="16.5" customHeight="1">
      <c r="A44" s="1567"/>
      <c r="B44" s="1578" t="s">
        <v>1282</v>
      </c>
      <c r="C44" s="1577" t="s">
        <v>1281</v>
      </c>
      <c r="D44" s="1574"/>
      <c r="E44" s="1570">
        <v>238.21</v>
      </c>
      <c r="F44" s="1569">
        <f t="shared" si="5"/>
        <v>0</v>
      </c>
      <c r="G44" s="1570"/>
      <c r="H44" s="1573"/>
      <c r="I44" s="1571"/>
      <c r="J44" s="1570"/>
      <c r="K44" s="1569"/>
      <c r="L44" s="1572"/>
      <c r="M44" s="1571"/>
      <c r="N44" s="1570"/>
      <c r="O44" s="1569"/>
      <c r="P44" s="1568"/>
      <c r="Q44" s="1567"/>
    </row>
    <row r="45" spans="1:21" s="1566" customFormat="1" ht="16.5" customHeight="1">
      <c r="A45" s="1567"/>
      <c r="B45" s="1628" t="s">
        <v>1280</v>
      </c>
      <c r="C45" s="1575" t="s">
        <v>1279</v>
      </c>
      <c r="D45" s="1626"/>
      <c r="E45" s="1570"/>
      <c r="F45" s="1569"/>
      <c r="G45" s="1570"/>
      <c r="H45" s="1573"/>
      <c r="I45" s="1623"/>
      <c r="J45" s="1570"/>
      <c r="K45" s="1569"/>
      <c r="L45" s="1627"/>
      <c r="M45" s="1623"/>
      <c r="N45" s="1570"/>
      <c r="O45" s="1569"/>
      <c r="P45" s="1568"/>
      <c r="Q45" s="1567"/>
    </row>
    <row r="46" spans="1:21" ht="16.5" customHeight="1">
      <c r="A46" s="1567"/>
      <c r="B46" s="1615" t="s">
        <v>1278</v>
      </c>
      <c r="C46" s="1577" t="s">
        <v>1277</v>
      </c>
      <c r="D46" s="1626"/>
      <c r="E46" s="1570">
        <v>617.9</v>
      </c>
      <c r="F46" s="1569">
        <f>E46*D46</f>
        <v>0</v>
      </c>
      <c r="G46" s="1570"/>
      <c r="H46" s="1625" t="s">
        <v>1276</v>
      </c>
      <c r="I46" s="1623"/>
      <c r="J46" s="1570">
        <v>599</v>
      </c>
      <c r="K46" s="1569">
        <f>I46*J46</f>
        <v>0</v>
      </c>
      <c r="L46" s="1624"/>
      <c r="M46" s="1623"/>
      <c r="N46" s="1570">
        <v>0</v>
      </c>
      <c r="O46" s="1569">
        <f>M46*N46</f>
        <v>0</v>
      </c>
      <c r="P46" s="1568">
        <f>F46+K46+O46</f>
        <v>0</v>
      </c>
      <c r="Q46" s="1607"/>
      <c r="R46" s="1606"/>
      <c r="S46" s="1606"/>
      <c r="T46" s="1606"/>
      <c r="U46" s="1606"/>
    </row>
    <row r="47" spans="1:21" ht="16.5" customHeight="1">
      <c r="A47" s="1567"/>
      <c r="B47" s="1615" t="s">
        <v>1275</v>
      </c>
      <c r="C47" s="1577" t="s">
        <v>1274</v>
      </c>
      <c r="D47" s="1596"/>
      <c r="E47" s="1610">
        <v>1367.98</v>
      </c>
      <c r="F47" s="1609">
        <f>E47*D47</f>
        <v>0</v>
      </c>
      <c r="G47" s="1610"/>
      <c r="H47" s="1613" t="s">
        <v>1273</v>
      </c>
      <c r="I47" s="1611"/>
      <c r="J47" s="1610">
        <v>6299</v>
      </c>
      <c r="K47" s="1609">
        <f>I47*J47</f>
        <v>0</v>
      </c>
      <c r="L47" s="1612"/>
      <c r="M47" s="1611"/>
      <c r="N47" s="1610">
        <v>0</v>
      </c>
      <c r="O47" s="1609">
        <f>M47*N47</f>
        <v>0</v>
      </c>
      <c r="P47" s="1608">
        <f>F47+K47+O47</f>
        <v>0</v>
      </c>
      <c r="Q47" s="1607"/>
      <c r="R47" s="1606"/>
      <c r="S47" s="1606"/>
      <c r="T47" s="1606"/>
      <c r="U47" s="1606"/>
    </row>
    <row r="48" spans="1:21" ht="16.5" customHeight="1">
      <c r="A48" s="1567"/>
      <c r="B48" s="1576" t="s">
        <v>1272</v>
      </c>
      <c r="C48" s="1622" t="s">
        <v>1271</v>
      </c>
      <c r="D48" s="1621"/>
      <c r="E48" s="1618">
        <v>107.08</v>
      </c>
      <c r="F48" s="1617">
        <f>E48*D48</f>
        <v>0</v>
      </c>
      <c r="G48" s="1618"/>
      <c r="H48" s="1620"/>
      <c r="I48" s="1619"/>
      <c r="J48" s="1618">
        <v>0</v>
      </c>
      <c r="K48" s="1617">
        <f>I48*J48</f>
        <v>0</v>
      </c>
      <c r="L48" s="1620"/>
      <c r="M48" s="1619"/>
      <c r="N48" s="1618">
        <v>0</v>
      </c>
      <c r="O48" s="1617">
        <f>M48*N48</f>
        <v>0</v>
      </c>
      <c r="P48" s="1616">
        <f>F48+K48+O48</f>
        <v>0</v>
      </c>
      <c r="Q48" s="1606"/>
      <c r="R48" s="1606"/>
      <c r="S48" s="1606"/>
      <c r="T48" s="1606"/>
      <c r="U48" s="1606"/>
    </row>
    <row r="49" spans="1:21" ht="16.5" customHeight="1">
      <c r="A49" s="1567"/>
      <c r="B49" s="1615"/>
      <c r="C49" s="1614"/>
      <c r="D49" s="1596"/>
      <c r="E49" s="1610"/>
      <c r="F49" s="1609"/>
      <c r="G49" s="1610"/>
      <c r="H49" s="1613"/>
      <c r="I49" s="1611"/>
      <c r="J49" s="1610"/>
      <c r="K49" s="1609"/>
      <c r="L49" s="1612"/>
      <c r="M49" s="1611"/>
      <c r="N49" s="1610"/>
      <c r="O49" s="1609"/>
      <c r="P49" s="1608"/>
      <c r="Q49" s="1607"/>
      <c r="R49" s="1606"/>
      <c r="S49" s="1606"/>
      <c r="T49" s="1606"/>
      <c r="U49" s="1606"/>
    </row>
    <row r="50" spans="1:21" ht="14.4" thickBot="1">
      <c r="A50" s="1567"/>
      <c r="B50" s="1594"/>
      <c r="C50" s="1593"/>
      <c r="D50" s="1590"/>
      <c r="E50" s="1589"/>
      <c r="F50" s="1588">
        <f>SUM(F17:F48)</f>
        <v>2789.5400000000004</v>
      </c>
      <c r="G50" s="1592"/>
      <c r="H50" s="1591"/>
      <c r="I50" s="1590"/>
      <c r="J50" s="1589"/>
      <c r="K50" s="1588">
        <f>SUM(K17:K48)</f>
        <v>0</v>
      </c>
      <c r="L50" s="1591"/>
      <c r="M50" s="1590"/>
      <c r="N50" s="1589"/>
      <c r="O50" s="1605"/>
      <c r="P50" s="1587">
        <f>SUM(P17:P48)</f>
        <v>747.7</v>
      </c>
      <c r="Q50" s="1567"/>
      <c r="R50" s="1560"/>
      <c r="S50" s="1560"/>
      <c r="T50" s="1560"/>
      <c r="U50" s="1560"/>
    </row>
    <row r="51" spans="1:21" ht="14.4" thickBot="1">
      <c r="A51" s="1567"/>
      <c r="B51" s="1567"/>
      <c r="C51" s="1586"/>
      <c r="D51" s="1584"/>
      <c r="E51" s="1583"/>
      <c r="F51" s="1583"/>
      <c r="G51" s="1583"/>
      <c r="H51" s="1585"/>
      <c r="I51" s="1584"/>
      <c r="J51" s="1583"/>
      <c r="K51" s="1584"/>
      <c r="L51" s="1585"/>
      <c r="M51" s="1584"/>
      <c r="N51" s="1583"/>
      <c r="O51" s="1583"/>
      <c r="P51" s="1583"/>
      <c r="Q51" s="1579"/>
    </row>
    <row r="52" spans="1:21">
      <c r="A52" s="1567"/>
      <c r="B52" s="1582" t="s">
        <v>1270</v>
      </c>
      <c r="C52" s="2746" t="s">
        <v>950</v>
      </c>
      <c r="D52" s="2747"/>
      <c r="E52" s="2747"/>
      <c r="F52" s="2748"/>
      <c r="G52" s="1581"/>
      <c r="H52" s="2749" t="s">
        <v>655</v>
      </c>
      <c r="I52" s="2750"/>
      <c r="J52" s="2750"/>
      <c r="K52" s="2751"/>
      <c r="L52" s="2749" t="s">
        <v>1269</v>
      </c>
      <c r="M52" s="2750"/>
      <c r="N52" s="2750"/>
      <c r="O52" s="2751"/>
      <c r="P52" s="1580" t="s">
        <v>567</v>
      </c>
      <c r="Q52" s="1579"/>
    </row>
    <row r="53" spans="1:21" s="1566" customFormat="1">
      <c r="A53" s="1567"/>
      <c r="B53" s="1604" t="s">
        <v>1268</v>
      </c>
      <c r="C53" s="1603" t="s">
        <v>1267</v>
      </c>
      <c r="D53" s="1602" t="s">
        <v>1211</v>
      </c>
      <c r="E53" s="1601" t="s">
        <v>708</v>
      </c>
      <c r="F53" s="1600" t="s">
        <v>1185</v>
      </c>
      <c r="G53" s="1601"/>
      <c r="H53" s="1602" t="s">
        <v>1267</v>
      </c>
      <c r="I53" s="1602" t="s">
        <v>1211</v>
      </c>
      <c r="J53" s="1601" t="s">
        <v>708</v>
      </c>
      <c r="K53" s="1600" t="s">
        <v>1185</v>
      </c>
      <c r="L53" s="1602" t="s">
        <v>1267</v>
      </c>
      <c r="M53" s="1602" t="s">
        <v>1211</v>
      </c>
      <c r="N53" s="1601" t="s">
        <v>708</v>
      </c>
      <c r="O53" s="1600" t="s">
        <v>1185</v>
      </c>
      <c r="P53" s="1599"/>
      <c r="Q53" s="1567"/>
    </row>
    <row r="54" spans="1:21" s="1566" customFormat="1">
      <c r="A54" s="1567"/>
      <c r="B54" s="1598" t="s">
        <v>1266</v>
      </c>
      <c r="C54" s="1597" t="s">
        <v>1265</v>
      </c>
      <c r="D54" s="1596"/>
      <c r="E54" s="1570">
        <v>172.46</v>
      </c>
      <c r="F54" s="1569">
        <f t="shared" ref="F54:F59" si="9">E54*D54</f>
        <v>0</v>
      </c>
      <c r="G54" s="1570"/>
      <c r="H54" s="1573" t="s">
        <v>1264</v>
      </c>
      <c r="I54" s="1571"/>
      <c r="J54" s="1570">
        <v>269</v>
      </c>
      <c r="K54" s="1569">
        <f t="shared" ref="K54:K59" si="10">I54*J54</f>
        <v>0</v>
      </c>
      <c r="L54" s="1572">
        <v>375866</v>
      </c>
      <c r="M54" s="1571">
        <v>2</v>
      </c>
      <c r="N54" s="1570">
        <v>252.5</v>
      </c>
      <c r="O54" s="1569">
        <f t="shared" ref="O54:O59" si="11">M54*N54</f>
        <v>505</v>
      </c>
      <c r="P54" s="1568">
        <f t="shared" ref="P54:P59" si="12">F54+K54+O54</f>
        <v>505</v>
      </c>
      <c r="Q54" s="1567"/>
    </row>
    <row r="55" spans="1:21" s="1566" customFormat="1">
      <c r="A55" s="1567"/>
      <c r="B55" s="1598" t="s">
        <v>1243</v>
      </c>
      <c r="C55" s="1597">
        <v>37156</v>
      </c>
      <c r="D55" s="1596">
        <v>1</v>
      </c>
      <c r="E55" s="1570">
        <v>111.33</v>
      </c>
      <c r="F55" s="1569">
        <f t="shared" si="9"/>
        <v>111.33</v>
      </c>
      <c r="G55" s="1570"/>
      <c r="H55" s="1573" t="s">
        <v>1263</v>
      </c>
      <c r="I55" s="1571"/>
      <c r="J55" s="1570">
        <v>299</v>
      </c>
      <c r="K55" s="1569">
        <f t="shared" si="10"/>
        <v>0</v>
      </c>
      <c r="L55" s="1595"/>
      <c r="M55" s="1571"/>
      <c r="N55" s="1570">
        <v>0</v>
      </c>
      <c r="O55" s="1569">
        <f t="shared" si="11"/>
        <v>0</v>
      </c>
      <c r="P55" s="1568">
        <f t="shared" si="12"/>
        <v>111.33</v>
      </c>
      <c r="Q55" s="1567"/>
    </row>
    <row r="56" spans="1:21" s="1566" customFormat="1">
      <c r="A56" s="1567"/>
      <c r="B56" s="1598" t="s">
        <v>1262</v>
      </c>
      <c r="C56" s="1597" t="s">
        <v>1261</v>
      </c>
      <c r="D56" s="1596"/>
      <c r="E56" s="1570">
        <v>169.83</v>
      </c>
      <c r="F56" s="1569">
        <f t="shared" si="9"/>
        <v>0</v>
      </c>
      <c r="G56" s="1570"/>
      <c r="H56" s="1573"/>
      <c r="I56" s="1571"/>
      <c r="J56" s="1570">
        <v>0</v>
      </c>
      <c r="K56" s="1569">
        <f t="shared" si="10"/>
        <v>0</v>
      </c>
      <c r="L56" s="1572" t="s">
        <v>1260</v>
      </c>
      <c r="M56" s="1571">
        <v>1</v>
      </c>
      <c r="N56" s="1570">
        <v>179</v>
      </c>
      <c r="O56" s="1569">
        <f t="shared" si="11"/>
        <v>179</v>
      </c>
      <c r="P56" s="1568">
        <f t="shared" si="12"/>
        <v>179</v>
      </c>
      <c r="Q56" s="1567"/>
    </row>
    <row r="57" spans="1:21">
      <c r="A57" s="1567"/>
      <c r="B57" s="1598" t="s">
        <v>1259</v>
      </c>
      <c r="C57" s="1597" t="s">
        <v>1258</v>
      </c>
      <c r="D57" s="1596">
        <v>1</v>
      </c>
      <c r="E57" s="1570">
        <v>169.99</v>
      </c>
      <c r="F57" s="1569">
        <f t="shared" si="9"/>
        <v>169.99</v>
      </c>
      <c r="G57" s="1570"/>
      <c r="H57" s="1572"/>
      <c r="I57" s="1571"/>
      <c r="J57" s="1570">
        <v>0</v>
      </c>
      <c r="K57" s="1569">
        <f t="shared" si="10"/>
        <v>0</v>
      </c>
      <c r="L57" s="1572"/>
      <c r="M57" s="1571"/>
      <c r="N57" s="1570">
        <v>0</v>
      </c>
      <c r="O57" s="1569">
        <f t="shared" si="11"/>
        <v>0</v>
      </c>
      <c r="P57" s="1568">
        <f t="shared" si="12"/>
        <v>169.99</v>
      </c>
      <c r="Q57" s="1579"/>
    </row>
    <row r="58" spans="1:21">
      <c r="A58" s="1567"/>
      <c r="B58" s="1598" t="s">
        <v>1257</v>
      </c>
      <c r="C58" s="1597">
        <v>270452</v>
      </c>
      <c r="D58" s="1596">
        <v>2</v>
      </c>
      <c r="E58" s="1570">
        <v>41.63</v>
      </c>
      <c r="F58" s="1569">
        <f t="shared" si="9"/>
        <v>83.26</v>
      </c>
      <c r="G58" s="1570"/>
      <c r="H58" s="1595"/>
      <c r="I58" s="1571"/>
      <c r="J58" s="1570">
        <v>0</v>
      </c>
      <c r="K58" s="1569">
        <f t="shared" si="10"/>
        <v>0</v>
      </c>
      <c r="L58" s="1595"/>
      <c r="M58" s="1571"/>
      <c r="N58" s="1570">
        <v>0</v>
      </c>
      <c r="O58" s="1569">
        <f t="shared" si="11"/>
        <v>0</v>
      </c>
      <c r="P58" s="1568">
        <f t="shared" si="12"/>
        <v>83.26</v>
      </c>
      <c r="Q58" s="1579"/>
    </row>
    <row r="59" spans="1:21">
      <c r="A59" s="1567"/>
      <c r="B59" s="1598" t="s">
        <v>1256</v>
      </c>
      <c r="C59" s="1597">
        <v>5888374</v>
      </c>
      <c r="D59" s="1596">
        <v>1</v>
      </c>
      <c r="E59" s="1570">
        <v>58.63</v>
      </c>
      <c r="F59" s="1569">
        <f t="shared" si="9"/>
        <v>58.63</v>
      </c>
      <c r="G59" s="1570"/>
      <c r="H59" s="1595"/>
      <c r="I59" s="1571"/>
      <c r="J59" s="1570">
        <v>0</v>
      </c>
      <c r="K59" s="1569">
        <f t="shared" si="10"/>
        <v>0</v>
      </c>
      <c r="L59" s="1595"/>
      <c r="M59" s="1571"/>
      <c r="N59" s="1570">
        <v>0</v>
      </c>
      <c r="O59" s="1569">
        <f t="shared" si="11"/>
        <v>0</v>
      </c>
      <c r="P59" s="1568">
        <f t="shared" si="12"/>
        <v>58.63</v>
      </c>
      <c r="Q59" s="1579"/>
    </row>
    <row r="60" spans="1:21" ht="14.4" thickBot="1">
      <c r="A60" s="1567"/>
      <c r="B60" s="1594"/>
      <c r="C60" s="1593"/>
      <c r="D60" s="1590"/>
      <c r="E60" s="1589"/>
      <c r="F60" s="1588">
        <f>SUM(F54:F59)</f>
        <v>423.21</v>
      </c>
      <c r="G60" s="1592"/>
      <c r="H60" s="1591"/>
      <c r="I60" s="1590"/>
      <c r="J60" s="1589"/>
      <c r="K60" s="1588">
        <f>SUM(K54:K59)</f>
        <v>0</v>
      </c>
      <c r="L60" s="1591"/>
      <c r="M60" s="1590"/>
      <c r="N60" s="1589"/>
      <c r="O60" s="1588">
        <f>SUM(O54:O59)</f>
        <v>684</v>
      </c>
      <c r="P60" s="1587">
        <f>SUM(P54:P59)</f>
        <v>1107.2100000000003</v>
      </c>
      <c r="Q60" s="1567"/>
      <c r="R60" s="1560"/>
      <c r="S60" s="1560"/>
      <c r="T60" s="1560"/>
      <c r="U60" s="1560"/>
    </row>
    <row r="61" spans="1:21" ht="14.4" thickBot="1">
      <c r="A61" s="1567"/>
      <c r="B61" s="1567"/>
      <c r="C61" s="1586"/>
      <c r="D61" s="1584"/>
      <c r="E61" s="1583"/>
      <c r="F61" s="1583"/>
      <c r="G61" s="1583"/>
      <c r="H61" s="1585"/>
      <c r="I61" s="1584"/>
      <c r="J61" s="1583"/>
      <c r="K61" s="1584"/>
      <c r="L61" s="1585"/>
      <c r="M61" s="1584"/>
      <c r="N61" s="1583"/>
      <c r="O61" s="1583"/>
      <c r="P61" s="1583"/>
      <c r="Q61" s="1579"/>
    </row>
    <row r="62" spans="1:21">
      <c r="A62" s="1567"/>
      <c r="B62" s="1582" t="s">
        <v>1255</v>
      </c>
      <c r="C62" s="2746" t="s">
        <v>482</v>
      </c>
      <c r="D62" s="2747"/>
      <c r="E62" s="2747"/>
      <c r="F62" s="2748"/>
      <c r="G62" s="1581"/>
      <c r="H62" s="2749"/>
      <c r="I62" s="2750"/>
      <c r="J62" s="2750"/>
      <c r="K62" s="2751"/>
      <c r="L62" s="2749"/>
      <c r="M62" s="2750"/>
      <c r="N62" s="2750"/>
      <c r="O62" s="2751"/>
      <c r="P62" s="1580"/>
      <c r="Q62" s="1579"/>
    </row>
    <row r="63" spans="1:21" s="1566" customFormat="1" ht="16.5" customHeight="1">
      <c r="A63" s="1567"/>
      <c r="B63" s="1576" t="s">
        <v>1254</v>
      </c>
      <c r="C63" s="1575"/>
      <c r="D63" s="1574">
        <v>1</v>
      </c>
      <c r="E63" s="1570"/>
      <c r="F63" s="1569"/>
      <c r="G63" s="1570"/>
      <c r="H63" s="1573"/>
      <c r="I63" s="1571"/>
      <c r="J63" s="1570"/>
      <c r="K63" s="1569"/>
      <c r="L63" s="1572"/>
      <c r="M63" s="1571"/>
      <c r="N63" s="1570"/>
      <c r="O63" s="1569"/>
      <c r="P63" s="1568"/>
      <c r="Q63" s="1567"/>
    </row>
    <row r="64" spans="1:21" s="1566" customFormat="1" ht="16.5" customHeight="1">
      <c r="A64" s="1567"/>
      <c r="B64" s="1576" t="s">
        <v>1253</v>
      </c>
      <c r="C64" s="1575" t="s">
        <v>1252</v>
      </c>
      <c r="D64" s="1574">
        <v>1</v>
      </c>
      <c r="E64" s="1570">
        <v>250.67</v>
      </c>
      <c r="F64" s="1569">
        <f t="shared" ref="F64:F71" si="13">E64*D64</f>
        <v>250.67</v>
      </c>
      <c r="G64" s="1570"/>
      <c r="H64" s="1573"/>
      <c r="I64" s="1571"/>
      <c r="J64" s="1570"/>
      <c r="K64" s="1569"/>
      <c r="L64" s="1572"/>
      <c r="M64" s="1571"/>
      <c r="N64" s="1570"/>
      <c r="O64" s="1569"/>
      <c r="P64" s="1568"/>
      <c r="Q64" s="1567"/>
    </row>
    <row r="65" spans="1:17" s="1566" customFormat="1" ht="16.5" customHeight="1">
      <c r="A65" s="1567"/>
      <c r="B65" s="1576" t="s">
        <v>1251</v>
      </c>
      <c r="C65" s="1575" t="s">
        <v>1250</v>
      </c>
      <c r="D65" s="1574">
        <v>1</v>
      </c>
      <c r="E65" s="1570">
        <v>272.87</v>
      </c>
      <c r="F65" s="1569">
        <f t="shared" si="13"/>
        <v>272.87</v>
      </c>
      <c r="G65" s="1570"/>
      <c r="H65" s="1573"/>
      <c r="I65" s="1571"/>
      <c r="J65" s="1570"/>
      <c r="K65" s="1569"/>
      <c r="L65" s="1572"/>
      <c r="M65" s="1571"/>
      <c r="N65" s="1570"/>
      <c r="O65" s="1569"/>
      <c r="P65" s="1568"/>
      <c r="Q65" s="1567"/>
    </row>
    <row r="66" spans="1:17" s="1566" customFormat="1" ht="16.5" customHeight="1">
      <c r="A66" s="1567"/>
      <c r="B66" s="1576" t="s">
        <v>1249</v>
      </c>
      <c r="C66" s="1575" t="s">
        <v>1248</v>
      </c>
      <c r="D66" s="1574">
        <v>2</v>
      </c>
      <c r="E66" s="1570">
        <v>381.91</v>
      </c>
      <c r="F66" s="1569">
        <f t="shared" si="13"/>
        <v>763.82</v>
      </c>
      <c r="G66" s="1570"/>
      <c r="H66" s="1573"/>
      <c r="I66" s="1571"/>
      <c r="J66" s="1570"/>
      <c r="K66" s="1569"/>
      <c r="L66" s="1572"/>
      <c r="M66" s="1571"/>
      <c r="N66" s="1570"/>
      <c r="O66" s="1569"/>
      <c r="P66" s="1568"/>
      <c r="Q66" s="1567"/>
    </row>
    <row r="67" spans="1:17" s="1566" customFormat="1" ht="16.5" customHeight="1">
      <c r="A67" s="1567"/>
      <c r="B67" s="1578" t="s">
        <v>1247</v>
      </c>
      <c r="C67" s="1577" t="s">
        <v>1246</v>
      </c>
      <c r="D67" s="1574"/>
      <c r="E67" s="1570"/>
      <c r="F67" s="1569">
        <f t="shared" si="13"/>
        <v>0</v>
      </c>
      <c r="G67" s="1570"/>
      <c r="H67" s="1573"/>
      <c r="I67" s="1571"/>
      <c r="J67" s="1570"/>
      <c r="K67" s="1569"/>
      <c r="L67" s="1572"/>
      <c r="M67" s="1571"/>
      <c r="N67" s="1570"/>
      <c r="O67" s="1569"/>
      <c r="P67" s="1568"/>
      <c r="Q67" s="1567"/>
    </row>
    <row r="68" spans="1:17" s="1566" customFormat="1" ht="16.5" customHeight="1">
      <c r="A68" s="1567"/>
      <c r="B68" s="1576" t="s">
        <v>1245</v>
      </c>
      <c r="C68" s="1575" t="s">
        <v>1244</v>
      </c>
      <c r="D68" s="1574">
        <v>2</v>
      </c>
      <c r="E68" s="1570">
        <v>126.3</v>
      </c>
      <c r="F68" s="1569">
        <f t="shared" si="13"/>
        <v>252.6</v>
      </c>
      <c r="G68" s="1570"/>
      <c r="H68" s="1573"/>
      <c r="I68" s="1571"/>
      <c r="J68" s="1570"/>
      <c r="K68" s="1569"/>
      <c r="L68" s="1572"/>
      <c r="M68" s="1571"/>
      <c r="N68" s="1570"/>
      <c r="O68" s="1569"/>
      <c r="P68" s="1568"/>
      <c r="Q68" s="1567"/>
    </row>
    <row r="69" spans="1:17" s="1566" customFormat="1" ht="16.5" customHeight="1">
      <c r="A69" s="1567"/>
      <c r="B69" s="1576" t="s">
        <v>1243</v>
      </c>
      <c r="C69" s="1575" t="s">
        <v>1242</v>
      </c>
      <c r="D69" s="1574">
        <v>1</v>
      </c>
      <c r="E69" s="1570">
        <v>98.02</v>
      </c>
      <c r="F69" s="1569">
        <f t="shared" si="13"/>
        <v>98.02</v>
      </c>
      <c r="G69" s="1570"/>
      <c r="H69" s="1573"/>
      <c r="I69" s="1571"/>
      <c r="J69" s="1570"/>
      <c r="K69" s="1569"/>
      <c r="L69" s="1572"/>
      <c r="M69" s="1571"/>
      <c r="N69" s="1570"/>
      <c r="O69" s="1569"/>
      <c r="P69" s="1568"/>
      <c r="Q69" s="1567"/>
    </row>
    <row r="70" spans="1:17" s="1566" customFormat="1" ht="16.5" customHeight="1">
      <c r="A70" s="1567"/>
      <c r="B70" s="1576" t="s">
        <v>1241</v>
      </c>
      <c r="C70" s="1575" t="s">
        <v>1240</v>
      </c>
      <c r="D70" s="1574">
        <v>2</v>
      </c>
      <c r="E70" s="1570">
        <v>67.91</v>
      </c>
      <c r="F70" s="1569">
        <f t="shared" si="13"/>
        <v>135.82</v>
      </c>
      <c r="G70" s="1570"/>
      <c r="H70" s="1573"/>
      <c r="I70" s="1571"/>
      <c r="J70" s="1570"/>
      <c r="K70" s="1569"/>
      <c r="L70" s="1572"/>
      <c r="M70" s="1571"/>
      <c r="N70" s="1570"/>
      <c r="O70" s="1569"/>
      <c r="P70" s="1568"/>
      <c r="Q70" s="1567"/>
    </row>
    <row r="71" spans="1:17" s="1566" customFormat="1" ht="16.5" customHeight="1">
      <c r="A71" s="1567"/>
      <c r="B71" s="1576" t="s">
        <v>1239</v>
      </c>
      <c r="C71" s="1575">
        <v>10787</v>
      </c>
      <c r="D71" s="1574">
        <v>1</v>
      </c>
      <c r="E71" s="1570">
        <v>104.4</v>
      </c>
      <c r="F71" s="1569">
        <f t="shared" si="13"/>
        <v>104.4</v>
      </c>
      <c r="G71" s="1570"/>
      <c r="H71" s="1573"/>
      <c r="I71" s="1571"/>
      <c r="J71" s="1570"/>
      <c r="K71" s="1569"/>
      <c r="L71" s="1572"/>
      <c r="M71" s="1571"/>
      <c r="N71" s="1570"/>
      <c r="O71" s="1569"/>
      <c r="P71" s="1568"/>
      <c r="Q71" s="1567"/>
    </row>
    <row r="72" spans="1:17" s="1560" customFormat="1">
      <c r="C72" s="1565"/>
      <c r="D72" s="1563"/>
      <c r="E72" s="1562"/>
      <c r="F72" s="1562">
        <f>SUM(F64:F71)</f>
        <v>1878.2</v>
      </c>
      <c r="G72" s="1562"/>
      <c r="H72" s="1564"/>
      <c r="I72" s="1563"/>
      <c r="J72" s="1562"/>
      <c r="K72" s="1563"/>
      <c r="L72" s="1564"/>
      <c r="M72" s="1563"/>
      <c r="N72" s="1562"/>
      <c r="O72" s="1562"/>
      <c r="P72" s="1562"/>
      <c r="Q72" s="1561"/>
    </row>
    <row r="73" spans="1:17" s="1560" customFormat="1" ht="409.5" customHeight="1">
      <c r="C73" s="1565"/>
      <c r="D73" s="1563"/>
      <c r="E73" s="1562"/>
      <c r="F73" s="1562"/>
      <c r="G73" s="1562"/>
      <c r="H73" s="1564"/>
      <c r="I73" s="1563"/>
      <c r="J73" s="1562"/>
      <c r="K73" s="1563"/>
      <c r="L73" s="1564"/>
      <c r="M73" s="1563"/>
      <c r="N73" s="1562"/>
      <c r="O73" s="1562"/>
      <c r="P73" s="1562"/>
      <c r="Q73" s="1561"/>
    </row>
  </sheetData>
  <mergeCells count="9">
    <mergeCell ref="C62:F62"/>
    <mergeCell ref="H62:K62"/>
    <mergeCell ref="L62:O62"/>
    <mergeCell ref="C2:F2"/>
    <mergeCell ref="H2:K2"/>
    <mergeCell ref="L2:O2"/>
    <mergeCell ref="C52:F52"/>
    <mergeCell ref="H52:K52"/>
    <mergeCell ref="L52:O52"/>
  </mergeCells>
  <hyperlinks>
    <hyperlink ref="B2" r:id="rId1" display="AutoDOC"/>
    <hyperlink ref="B52" r:id="rId2"/>
    <hyperlink ref="E42" r:id="rId3" display="https://www.bildeleshop.dk/blic/7180718"/>
    <hyperlink ref="B54" r:id="rId4" display="skiver for"/>
    <hyperlink ref="B55" r:id="rId5" display="klodser for"/>
    <hyperlink ref="B57" r:id="rId6" display="bremserør"/>
    <hyperlink ref="B58" r:id="rId7" display="stabilisator"/>
    <hyperlink ref="B59" r:id="rId8"/>
    <hyperlink ref="C12" r:id="rId9" display="82B0011"/>
    <hyperlink ref="C13" r:id="rId10" display="SKFO-1017"/>
    <hyperlink ref="L37" r:id="rId11"/>
    <hyperlink ref="L54" r:id="rId12" display="https://www.skruvat.dk/show.aspx?k=375866"/>
    <hyperlink ref="C57" r:id="rId13"/>
    <hyperlink ref="C22" r:id="rId14"/>
    <hyperlink ref="C41" r:id="rId15"/>
    <hyperlink ref="B56" r:id="rId16" display="bremserør"/>
    <hyperlink ref="L56" r:id="rId17"/>
    <hyperlink ref="C56" r:id="rId18"/>
    <hyperlink ref="C55" r:id="rId19" display="https://www.bildeleshop.dk/vw/passat-variant-3b6/15416/10130/bremseklodser?criteria%5B100%5D=40561"/>
    <hyperlink ref="C54" r:id="rId20"/>
    <hyperlink ref="H37" r:id="rId21" display="http://www.thansen.dk/product.asp?pn=-244773703&amp;n=453903350&amp;regnr=BJ18283&amp;RegNrRecID=13076215&amp;tid=15487&amp;group=3200&amp;refloc=2"/>
    <hyperlink ref="H54" r:id="rId22" display="http://www.thansen.dk/product.asp?pn=-241673959&amp;n=-241939822&amp;regnr=AZ41198&amp;RegNrRecID=12653413&amp;tid=15416&amp;group=1600&amp;refloc=2"/>
    <hyperlink ref="C37" r:id="rId23"/>
    <hyperlink ref="C47" r:id="rId24" display="https://www.bildeleshop.dk/ernst/7938395"/>
    <hyperlink ref="C21" r:id="rId25"/>
    <hyperlink ref="C42" r:id="rId26"/>
    <hyperlink ref="H55" r:id="rId27"/>
    <hyperlink ref="H12" r:id="rId28" location="Skivebremser foran"/>
    <hyperlink ref="H13" r:id="rId29" location="Skivebremser foran"/>
    <hyperlink ref="H17" r:id="rId30" location="Skivebremser bag"/>
    <hyperlink ref="H20" r:id="rId31" location="Skivebremser bag"/>
    <hyperlink ref="H21" r:id="rId32" location="Håndbremse system"/>
    <hyperlink ref="H22" r:id="rId33" location="Håndbremse system"/>
    <hyperlink ref="H41" r:id="rId34"/>
    <hyperlink ref="H38" r:id="rId35"/>
    <hyperlink ref="C38" r:id="rId36" display="https://www.bildeleshop.dk/search?keyword=61601"/>
    <hyperlink ref="F14" r:id="rId37" display="http://www.krogslund.dk/reservedele/ford/mondeo/mondeo-3-2.0-16v-st.car-1000-307/bremser/c-23/c-362065/c-4"/>
    <hyperlink ref="F15" r:id="rId38" display="http://www.krogslund.dk/reservedele/ford/mondeo/mondeo-3-2.0-16v-st.car-1000-307/bremser/c-23/c-362065/c-4"/>
    <hyperlink ref="H5" r:id="rId39" location="Bremsecaliper"/>
    <hyperlink ref="H6" r:id="rId40" location="Bremsecaliper" display="999602600589"/>
    <hyperlink ref="H14" r:id="rId41" location="Bremsecaliper"/>
    <hyperlink ref="H15" r:id="rId42" location="Bremsecaliper" display="999602600701"/>
    <hyperlink ref="C14" r:id="rId43" display="630061"/>
    <hyperlink ref="C15" r:id="rId44" display="630062"/>
    <hyperlink ref="C5" r:id="rId45" display="77.0488"/>
    <hyperlink ref="C6" r:id="rId46" display="77.0489"/>
    <hyperlink ref="C35" r:id="rId47" display="04-P287"/>
    <hyperlink ref="C36" r:id="rId48"/>
    <hyperlink ref="H47" r:id="rId49" location="Manifold"/>
    <hyperlink ref="C46" r:id="rId50"/>
    <hyperlink ref="C48" r:id="rId51"/>
    <hyperlink ref="B17" r:id="rId52" display="bremseskiver bag"/>
    <hyperlink ref="B12" r:id="rId53" display="bremseskiver for"/>
    <hyperlink ref="B5" r:id="rId54"/>
    <hyperlink ref="B14" r:id="rId55"/>
    <hyperlink ref="B6" r:id="rId56"/>
    <hyperlink ref="B15" r:id="rId57"/>
    <hyperlink ref="B13" r:id="rId58"/>
    <hyperlink ref="B20" r:id="rId59"/>
    <hyperlink ref="B7" r:id="rId60"/>
    <hyperlink ref="B16" r:id="rId61"/>
    <hyperlink ref="C7" r:id="rId62" display="47670"/>
    <hyperlink ref="C40" r:id="rId63" display="3 397 004 672"/>
    <hyperlink ref="C39" r:id="rId64"/>
    <hyperlink ref="B43" r:id="rId65"/>
    <hyperlink ref="C43" r:id="rId66" display="https://www.bildeleshop.dk/ford/mondeo-iii-kombi-bwy/15487/10147/katalysator"/>
    <hyperlink ref="B24" r:id="rId67"/>
    <hyperlink ref="B25" r:id="rId68"/>
    <hyperlink ref="B44" r:id="rId69"/>
    <hyperlink ref="C44" r:id="rId70"/>
    <hyperlink ref="C20" r:id="rId71"/>
    <hyperlink ref="H19" r:id="rId72" location="Skivebremser bag"/>
    <hyperlink ref="B19" r:id="rId73"/>
    <hyperlink ref="C19" r:id="rId74"/>
    <hyperlink ref="B45" r:id="rId75"/>
    <hyperlink ref="C45" r:id="rId76"/>
    <hyperlink ref="B9" r:id="rId77"/>
    <hyperlink ref="H10" r:id="rId78" location="Skivebremser bag"/>
    <hyperlink ref="H11" r:id="rId79" location="Skivebremser bag"/>
    <hyperlink ref="C9" r:id="rId80" display="https://www.autodoc.dk/master-sport/8946735"/>
    <hyperlink ref="C11" r:id="rId81"/>
    <hyperlink ref="C10" r:id="rId82"/>
    <hyperlink ref="C8" r:id="rId83"/>
    <hyperlink ref="C27" r:id="rId84"/>
    <hyperlink ref="C28" r:id="rId85"/>
    <hyperlink ref="B26" r:id="rId86"/>
    <hyperlink ref="B67" r:id="rId87"/>
    <hyperlink ref="C67" r:id="rId88" display="47670"/>
    <hyperlink ref="C69" r:id="rId89"/>
    <hyperlink ref="C71" r:id="rId90" display="https://www.autodoc.dk/tomex-brakes/13760163"/>
    <hyperlink ref="C70" r:id="rId91"/>
    <hyperlink ref="C68" r:id="rId92" display="82B0164"/>
    <hyperlink ref="B62" r:id="rId93" display="Passat"/>
    <hyperlink ref="C64" r:id="rId94" display="78B0270"/>
    <hyperlink ref="C66" r:id="rId95"/>
    <hyperlink ref="C65" r:id="rId96" display="78B0210"/>
    <hyperlink ref="H18" r:id="rId97" location="Skivebremser bag"/>
    <hyperlink ref="B18" r:id="rId98" display="bremseskiver bag"/>
    <hyperlink ref="C18" r:id="rId99"/>
    <hyperlink ref="C17" r:id="rId100"/>
    <hyperlink ref="C30" r:id="rId101"/>
  </hyperlinks>
  <pageMargins left="0.7" right="0.7" top="0.75" bottom="0.75" header="0.3" footer="0.3"/>
  <pageSetup paperSize="9" orientation="portrait" r:id="rId102"/>
  <drawing r:id="rId10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T264"/>
  <sheetViews>
    <sheetView workbookViewId="0">
      <pane ySplit="13" topLeftCell="A14" activePane="bottomLeft" state="frozen"/>
      <selection activeCell="I29" sqref="I29"/>
      <selection pane="bottomLeft" activeCell="I18" sqref="I18"/>
    </sheetView>
  </sheetViews>
  <sheetFormatPr defaultColWidth="9.109375" defaultRowHeight="13.2"/>
  <cols>
    <col min="1" max="1" width="1.6640625" style="1379" customWidth="1"/>
    <col min="2" max="3" width="10.6640625" style="1378" customWidth="1"/>
    <col min="4" max="4" width="10.6640625" style="1382" customWidth="1"/>
    <col min="5" max="5" width="10.109375" style="1382" customWidth="1"/>
    <col min="6" max="6" width="7.6640625" style="1383" customWidth="1"/>
    <col min="7" max="7" width="13.109375" style="1382" customWidth="1"/>
    <col min="8" max="8" width="10.44140625" style="1376" customWidth="1"/>
    <col min="9" max="9" width="10.6640625" style="1380" customWidth="1"/>
    <col min="10" max="10" width="1.6640625" style="1379" customWidth="1"/>
    <col min="11" max="11" width="10.6640625" style="1378" customWidth="1"/>
    <col min="12" max="13" width="7.6640625" style="1382" customWidth="1"/>
    <col min="14" max="14" width="7.6640625" style="1383" customWidth="1"/>
    <col min="15" max="15" width="7.6640625" style="1382" customWidth="1"/>
    <col min="16" max="16" width="10.44140625" style="1376" customWidth="1"/>
    <col min="17" max="17" width="10.6640625" style="1380" customWidth="1"/>
    <col min="18" max="18" width="1.6640625" style="1379" customWidth="1"/>
    <col min="19" max="19" width="10.6640625" style="1378" customWidth="1"/>
    <col min="20" max="20" width="10.6640625" style="1381" customWidth="1"/>
    <col min="21" max="22" width="11" style="1380" customWidth="1"/>
    <col min="23" max="23" width="12" style="1380" customWidth="1"/>
    <col min="24" max="26" width="11" style="1380" customWidth="1"/>
    <col min="27" max="27" width="68.33203125" style="1380" customWidth="1"/>
    <col min="28" max="28" width="1.6640625" style="1379" customWidth="1"/>
    <col min="29" max="45" width="11.44140625" style="1378" customWidth="1"/>
    <col min="46" max="84" width="10.6640625" style="1377" customWidth="1"/>
    <col min="85" max="16384" width="9.109375" style="1376"/>
  </cols>
  <sheetData>
    <row r="1" spans="1:98">
      <c r="B1" s="2792" t="s">
        <v>1238</v>
      </c>
      <c r="C1" s="2792"/>
      <c r="D1" s="2792"/>
      <c r="E1" s="2792"/>
      <c r="F1" s="2792"/>
      <c r="G1" s="2792"/>
      <c r="H1" s="2792"/>
      <c r="I1" s="2792"/>
      <c r="K1" s="2792" t="s">
        <v>1238</v>
      </c>
      <c r="L1" s="2792"/>
      <c r="M1" s="2792"/>
      <c r="N1" s="2792"/>
      <c r="O1" s="2792"/>
      <c r="P1" s="2792"/>
      <c r="Q1" s="2792"/>
      <c r="S1" s="2792"/>
      <c r="T1" s="2792"/>
      <c r="U1" s="2792"/>
      <c r="V1" s="1378"/>
      <c r="W1" s="1378"/>
      <c r="X1" s="1378"/>
      <c r="Y1" s="1378"/>
      <c r="Z1" s="1378"/>
      <c r="AA1" s="1378"/>
    </row>
    <row r="2" spans="1:98" s="1382" customFormat="1">
      <c r="A2" s="1555"/>
      <c r="B2" s="1559" t="s">
        <v>1114</v>
      </c>
      <c r="C2" s="1559"/>
      <c r="D2" s="1550" t="s">
        <v>977</v>
      </c>
      <c r="E2" s="1550" t="s">
        <v>1232</v>
      </c>
      <c r="F2" s="1523" t="s">
        <v>1189</v>
      </c>
      <c r="G2" s="1466" t="s">
        <v>1231</v>
      </c>
      <c r="H2" s="1466" t="s">
        <v>1230</v>
      </c>
      <c r="I2" s="1522" t="s">
        <v>708</v>
      </c>
      <c r="J2" s="1555"/>
      <c r="K2" s="1554" t="s">
        <v>1114</v>
      </c>
      <c r="L2" s="1556" t="s">
        <v>977</v>
      </c>
      <c r="M2" s="1556"/>
      <c r="N2" s="1558"/>
      <c r="O2" s="1556"/>
      <c r="P2" s="1557"/>
      <c r="Q2" s="1553" t="s">
        <v>708</v>
      </c>
      <c r="R2" s="1555"/>
      <c r="S2" s="1554" t="s">
        <v>1114</v>
      </c>
      <c r="T2" s="1556" t="s">
        <v>977</v>
      </c>
      <c r="U2" s="1553" t="s">
        <v>708</v>
      </c>
      <c r="V2" s="1553"/>
      <c r="W2" s="1553"/>
      <c r="X2" s="1553"/>
      <c r="Y2" s="1553"/>
      <c r="Z2" s="1553"/>
      <c r="AA2" s="1553"/>
      <c r="AB2" s="1555"/>
      <c r="AC2" s="1554" t="s">
        <v>567</v>
      </c>
      <c r="AD2" s="1554"/>
      <c r="AE2" s="1554"/>
      <c r="AF2" s="1554"/>
      <c r="AG2" s="1554"/>
      <c r="AH2" s="1554"/>
      <c r="AI2" s="1554"/>
      <c r="AJ2" s="1554"/>
      <c r="AK2" s="1554"/>
      <c r="AL2" s="1554"/>
      <c r="AM2" s="1554"/>
      <c r="AN2" s="1554"/>
      <c r="AO2" s="1554"/>
      <c r="AP2" s="1554"/>
      <c r="AQ2" s="1553" t="s">
        <v>118</v>
      </c>
      <c r="AR2" s="1553" t="s">
        <v>119</v>
      </c>
      <c r="AS2" s="1553" t="s">
        <v>120</v>
      </c>
      <c r="AT2" s="1553" t="s">
        <v>121</v>
      </c>
      <c r="AU2" s="1553" t="s">
        <v>122</v>
      </c>
      <c r="AV2" s="1553" t="s">
        <v>112</v>
      </c>
      <c r="AW2" s="1553" t="s">
        <v>113</v>
      </c>
      <c r="AX2" s="1553" t="s">
        <v>114</v>
      </c>
      <c r="AY2" s="1553" t="s">
        <v>115</v>
      </c>
      <c r="AZ2" s="1553" t="s">
        <v>116</v>
      </c>
      <c r="BA2" s="1553" t="s">
        <v>117</v>
      </c>
      <c r="BB2" s="1553" t="s">
        <v>44</v>
      </c>
      <c r="BC2" s="1553" t="s">
        <v>118</v>
      </c>
      <c r="BD2" s="1553" t="s">
        <v>119</v>
      </c>
      <c r="BE2" s="1553" t="s">
        <v>120</v>
      </c>
      <c r="BF2" s="1553" t="s">
        <v>121</v>
      </c>
      <c r="BG2" s="1553" t="s">
        <v>122</v>
      </c>
      <c r="BH2" s="1553" t="s">
        <v>112</v>
      </c>
      <c r="BI2" s="1553" t="s">
        <v>113</v>
      </c>
      <c r="BJ2" s="1553" t="s">
        <v>114</v>
      </c>
      <c r="BK2" s="1553" t="s">
        <v>115</v>
      </c>
      <c r="BL2" s="1553" t="s">
        <v>116</v>
      </c>
      <c r="BM2" s="1553" t="s">
        <v>117</v>
      </c>
      <c r="BN2" s="1553" t="s">
        <v>44</v>
      </c>
      <c r="BO2" s="1553" t="s">
        <v>118</v>
      </c>
      <c r="BP2" s="1553" t="s">
        <v>119</v>
      </c>
      <c r="BQ2" s="1553" t="s">
        <v>120</v>
      </c>
      <c r="BR2" s="1553" t="s">
        <v>121</v>
      </c>
      <c r="BS2" s="1553" t="s">
        <v>122</v>
      </c>
      <c r="BT2" s="1553" t="s">
        <v>112</v>
      </c>
      <c r="BU2" s="1553" t="s">
        <v>113</v>
      </c>
      <c r="BV2" s="1553" t="s">
        <v>114</v>
      </c>
      <c r="BW2" s="1553" t="s">
        <v>115</v>
      </c>
      <c r="BX2" s="1553" t="s">
        <v>116</v>
      </c>
      <c r="BY2" s="1553" t="s">
        <v>117</v>
      </c>
      <c r="BZ2" s="1553" t="s">
        <v>44</v>
      </c>
      <c r="CA2" s="1553" t="s">
        <v>118</v>
      </c>
      <c r="CB2" s="1553" t="s">
        <v>119</v>
      </c>
      <c r="CC2" s="1553" t="s">
        <v>120</v>
      </c>
      <c r="CD2" s="1553" t="s">
        <v>121</v>
      </c>
      <c r="CE2" s="1553" t="s">
        <v>122</v>
      </c>
      <c r="CF2" s="1553"/>
    </row>
    <row r="3" spans="1:98" s="1382" customFormat="1">
      <c r="A3" s="1409"/>
      <c r="B3" s="1533" t="s">
        <v>1237</v>
      </c>
      <c r="C3" s="1532"/>
      <c r="D3" s="1529"/>
      <c r="E3" s="1531">
        <f>SUM(E34:E46)</f>
        <v>9992</v>
      </c>
      <c r="F3" s="1531">
        <f>SUM(F34:F46)</f>
        <v>592.19999999999993</v>
      </c>
      <c r="G3" s="1530">
        <f>E3/F3</f>
        <v>16.872678149273895</v>
      </c>
      <c r="H3" s="1529">
        <f>I3/E3</f>
        <v>0.82848378702962366</v>
      </c>
      <c r="I3" s="1529">
        <f>SUM(I34:I46)</f>
        <v>8278.2099999999991</v>
      </c>
      <c r="J3" s="1409"/>
      <c r="K3" s="1548" t="s">
        <v>111</v>
      </c>
      <c r="L3" s="1550"/>
      <c r="M3" s="1550"/>
      <c r="N3" s="1552"/>
      <c r="O3" s="1550"/>
      <c r="P3" s="1551"/>
      <c r="Q3" s="1549"/>
      <c r="R3" s="1409"/>
      <c r="S3" s="1548" t="s">
        <v>111</v>
      </c>
      <c r="T3" s="1550"/>
      <c r="U3" s="1549"/>
      <c r="V3" s="1549"/>
      <c r="W3" s="1549"/>
      <c r="X3" s="1549"/>
      <c r="Y3" s="1549"/>
      <c r="Z3" s="1549"/>
      <c r="AA3" s="1549"/>
      <c r="AB3" s="1409"/>
      <c r="AC3" s="1548" t="s">
        <v>111</v>
      </c>
      <c r="AD3" s="1548"/>
      <c r="AE3" s="1548"/>
      <c r="AF3" s="1548"/>
      <c r="AG3" s="1548"/>
      <c r="AH3" s="1548"/>
      <c r="AI3" s="1548"/>
      <c r="AJ3" s="1548"/>
      <c r="AK3" s="1548"/>
      <c r="AL3" s="1548"/>
      <c r="AM3" s="1548"/>
      <c r="AN3" s="1548"/>
      <c r="AO3" s="1548"/>
      <c r="AP3" s="1548"/>
      <c r="AQ3" s="1548"/>
      <c r="AR3" s="1548"/>
      <c r="AS3" s="1548"/>
      <c r="AT3" s="1549"/>
      <c r="AU3" s="1549"/>
      <c r="AV3" s="1549"/>
      <c r="AW3" s="1549"/>
      <c r="AX3" s="1549"/>
      <c r="AY3" s="1549"/>
      <c r="AZ3" s="1549"/>
      <c r="BA3" s="1549"/>
      <c r="BB3" s="1549"/>
      <c r="BC3" s="1549"/>
      <c r="BD3" s="1549"/>
      <c r="BE3" s="1549"/>
      <c r="BF3" s="1549"/>
      <c r="BG3" s="1549"/>
      <c r="BH3" s="1549"/>
      <c r="BI3" s="1549"/>
      <c r="BJ3" s="1549"/>
      <c r="BK3" s="1549"/>
      <c r="BL3" s="1549"/>
      <c r="BM3" s="1549"/>
      <c r="BN3" s="1549"/>
      <c r="BO3" s="1549"/>
      <c r="BP3" s="1549"/>
      <c r="BQ3" s="1549"/>
      <c r="BR3" s="1549"/>
      <c r="BS3" s="1549"/>
      <c r="BT3" s="1549"/>
      <c r="BU3" s="1549"/>
      <c r="BV3" s="1549"/>
      <c r="BW3" s="1549"/>
      <c r="BX3" s="1549"/>
      <c r="BY3" s="1549"/>
      <c r="BZ3" s="1549"/>
      <c r="CA3" s="1549"/>
      <c r="CB3" s="1549"/>
      <c r="CC3" s="1549"/>
      <c r="CD3" s="1549"/>
      <c r="CE3" s="1549"/>
      <c r="CF3" s="1549"/>
    </row>
    <row r="4" spans="1:98" s="1382" customFormat="1">
      <c r="A4" s="1409"/>
      <c r="B4" s="1533" t="s">
        <v>1206</v>
      </c>
      <c r="C4" s="1532"/>
      <c r="D4" s="1529">
        <f>AVERAGE(I47:I58)</f>
        <v>630.8225000000001</v>
      </c>
      <c r="E4" s="1531">
        <f>SUM(E47:E59)</f>
        <v>5933</v>
      </c>
      <c r="F4" s="1531">
        <f>SUM(F47:F59)</f>
        <v>576.39</v>
      </c>
      <c r="G4" s="1530">
        <f>E4/F4</f>
        <v>10.293377747705547</v>
      </c>
      <c r="H4" s="1529">
        <f>I4/E4</f>
        <v>1.6742929378054947</v>
      </c>
      <c r="I4" s="1529">
        <f>SUM(I46:I59)</f>
        <v>9933.58</v>
      </c>
      <c r="J4" s="1409"/>
      <c r="K4" s="1548" t="s">
        <v>550</v>
      </c>
      <c r="L4" s="1550"/>
      <c r="M4" s="1550"/>
      <c r="N4" s="1552"/>
      <c r="O4" s="1550"/>
      <c r="P4" s="1551"/>
      <c r="Q4" s="1549">
        <f>SUM(Q49:Q78)</f>
        <v>0</v>
      </c>
      <c r="R4" s="1409"/>
      <c r="S4" s="1548" t="s">
        <v>550</v>
      </c>
      <c r="T4" s="1550"/>
      <c r="U4" s="1549">
        <f>SUM(U29:U44)</f>
        <v>11504.390000000001</v>
      </c>
      <c r="V4" s="1549"/>
      <c r="W4" s="1549"/>
      <c r="X4" s="1549"/>
      <c r="Y4" s="1549"/>
      <c r="Z4" s="1549"/>
      <c r="AA4" s="1549"/>
      <c r="AB4" s="1409"/>
      <c r="AC4" s="1548" t="s">
        <v>550</v>
      </c>
      <c r="AD4" s="1548"/>
      <c r="AE4" s="1548"/>
      <c r="AF4" s="1548"/>
      <c r="AG4" s="1548"/>
      <c r="AH4" s="1548"/>
      <c r="AI4" s="1548"/>
      <c r="AJ4" s="1548"/>
      <c r="AK4" s="1548"/>
      <c r="AL4" s="1548"/>
      <c r="AM4" s="1548"/>
      <c r="AN4" s="1548"/>
      <c r="AO4" s="1548"/>
      <c r="AP4" s="1548"/>
      <c r="AQ4" s="1548"/>
      <c r="AR4" s="1548"/>
      <c r="AS4" s="1548"/>
      <c r="AT4" s="1549"/>
      <c r="AU4" s="1549"/>
      <c r="AV4" s="1549"/>
      <c r="AW4" s="1549"/>
      <c r="AX4" s="1549"/>
      <c r="AY4" s="1549"/>
      <c r="AZ4" s="1549"/>
      <c r="BA4" s="1549"/>
      <c r="BB4" s="1549"/>
      <c r="BC4" s="1549"/>
      <c r="BD4" s="1549"/>
      <c r="BE4" s="1549"/>
      <c r="BF4" s="1549"/>
      <c r="BG4" s="1549"/>
      <c r="BH4" s="1549"/>
      <c r="BI4" s="1549"/>
      <c r="BJ4" s="1549"/>
      <c r="BK4" s="1549"/>
      <c r="BL4" s="1549"/>
      <c r="BM4" s="1549"/>
      <c r="BN4" s="1549"/>
      <c r="BO4" s="1549"/>
      <c r="BP4" s="1549"/>
      <c r="BQ4" s="1549"/>
      <c r="BR4" s="1549"/>
      <c r="BS4" s="1549"/>
      <c r="BT4" s="1549"/>
      <c r="BU4" s="1549"/>
      <c r="BV4" s="1549"/>
      <c r="BW4" s="1549"/>
      <c r="BX4" s="1549"/>
      <c r="BY4" s="1549"/>
      <c r="BZ4" s="1549"/>
      <c r="CA4" s="1549"/>
      <c r="CB4" s="1549"/>
      <c r="CC4" s="1549"/>
      <c r="CD4" s="1549"/>
      <c r="CE4" s="1549"/>
      <c r="CF4" s="1549"/>
    </row>
    <row r="5" spans="1:98" s="1382" customFormat="1">
      <c r="A5" s="1409"/>
      <c r="B5" s="1533" t="s">
        <v>1184</v>
      </c>
      <c r="C5" s="1532"/>
      <c r="D5" s="1529"/>
      <c r="E5" s="1531">
        <f>SUM(E60:E74)</f>
        <v>9156</v>
      </c>
      <c r="F5" s="1531">
        <f>SUM(F60:F74)</f>
        <v>665.62</v>
      </c>
      <c r="G5" s="1530">
        <f>E5/F5</f>
        <v>13.755596286169286</v>
      </c>
      <c r="H5" s="1529">
        <f>I5/E5</f>
        <v>0.74514853647881174</v>
      </c>
      <c r="I5" s="1529">
        <f>SUM(I60:I74)</f>
        <v>6822.58</v>
      </c>
      <c r="J5" s="1409"/>
      <c r="K5" s="1548" t="s">
        <v>613</v>
      </c>
      <c r="L5" s="1550"/>
      <c r="M5" s="1550"/>
      <c r="N5" s="1552"/>
      <c r="O5" s="1550"/>
      <c r="P5" s="1551"/>
      <c r="Q5" s="1549">
        <f>SUM(Q80:Q110)</f>
        <v>0</v>
      </c>
      <c r="R5" s="1409"/>
      <c r="S5" s="1548" t="s">
        <v>613</v>
      </c>
      <c r="T5" s="1550"/>
      <c r="U5" s="1549">
        <f>SUM(U44:U52)</f>
        <v>1911.3500000000001</v>
      </c>
      <c r="V5" s="1549"/>
      <c r="W5" s="1549"/>
      <c r="X5" s="1549"/>
      <c r="Y5" s="1549"/>
      <c r="Z5" s="1549"/>
      <c r="AA5" s="1549"/>
      <c r="AB5" s="1409"/>
      <c r="AC5" s="1548" t="s">
        <v>613</v>
      </c>
      <c r="AD5" s="1548"/>
      <c r="AE5" s="1548"/>
      <c r="AF5" s="1548"/>
      <c r="AG5" s="1548"/>
      <c r="AH5" s="1548"/>
      <c r="AI5" s="1548"/>
      <c r="AJ5" s="1548"/>
      <c r="AK5" s="1548"/>
      <c r="AL5" s="1548"/>
      <c r="AM5" s="1548"/>
      <c r="AN5" s="1548"/>
      <c r="AO5" s="1548"/>
      <c r="AP5" s="1548"/>
      <c r="AQ5" s="1548"/>
      <c r="AR5" s="1548"/>
      <c r="AS5" s="1548"/>
      <c r="AT5" s="1549"/>
      <c r="AU5" s="1549"/>
      <c r="AV5" s="1549"/>
      <c r="AW5" s="1549"/>
      <c r="AX5" s="1549"/>
      <c r="AY5" s="1549"/>
      <c r="AZ5" s="1549"/>
      <c r="BA5" s="1549"/>
      <c r="BB5" s="1549"/>
      <c r="BC5" s="1549"/>
      <c r="BD5" s="1549"/>
      <c r="BE5" s="1549"/>
      <c r="BF5" s="1549"/>
      <c r="BG5" s="1549"/>
      <c r="BH5" s="1549"/>
      <c r="BI5" s="1549"/>
      <c r="BJ5" s="1549"/>
      <c r="BK5" s="1549"/>
      <c r="BL5" s="1549"/>
      <c r="BM5" s="1549"/>
      <c r="BN5" s="1549"/>
      <c r="BO5" s="1549"/>
      <c r="BP5" s="1549"/>
      <c r="BQ5" s="1549"/>
      <c r="BR5" s="1549"/>
      <c r="BS5" s="1549"/>
      <c r="BT5" s="1549"/>
      <c r="BU5" s="1549"/>
      <c r="BV5" s="1549"/>
      <c r="BW5" s="1549"/>
      <c r="BX5" s="1549"/>
      <c r="BY5" s="1549"/>
      <c r="BZ5" s="1549"/>
      <c r="CA5" s="1549"/>
      <c r="CB5" s="1549"/>
      <c r="CC5" s="1549"/>
      <c r="CD5" s="1549"/>
      <c r="CE5" s="1549"/>
      <c r="CF5" s="1549"/>
    </row>
    <row r="6" spans="1:98" s="1382" customFormat="1">
      <c r="A6" s="1409"/>
      <c r="B6" s="1533" t="s">
        <v>111</v>
      </c>
      <c r="C6" s="1532"/>
      <c r="D6" s="1529"/>
      <c r="E6" s="1531">
        <f>SUM(E75:E95)</f>
        <v>8386</v>
      </c>
      <c r="F6" s="1531">
        <f>SUM(F75:F95)</f>
        <v>750.29000000000019</v>
      </c>
      <c r="G6" s="1530">
        <f>E6/F6</f>
        <v>11.177011555531859</v>
      </c>
      <c r="H6" s="1529">
        <f>I6/E6</f>
        <v>0.89105056045790609</v>
      </c>
      <c r="I6" s="1529">
        <f>SUM(I75:I95)</f>
        <v>7472.35</v>
      </c>
      <c r="J6" s="1409"/>
      <c r="K6" s="1548" t="s">
        <v>1101</v>
      </c>
      <c r="L6" s="1550"/>
      <c r="M6" s="1550"/>
      <c r="N6" s="1552"/>
      <c r="O6" s="1550"/>
      <c r="P6" s="1551"/>
      <c r="Q6" s="1542">
        <f>SUM(Q111:Q142)</f>
        <v>0</v>
      </c>
      <c r="R6" s="1409"/>
      <c r="S6" s="1548" t="s">
        <v>1101</v>
      </c>
      <c r="T6" s="1550"/>
      <c r="U6" s="1549">
        <f>SUM(U53:U61)</f>
        <v>4378.04</v>
      </c>
      <c r="V6" s="1549"/>
      <c r="W6" s="1549"/>
      <c r="X6" s="1549"/>
      <c r="Y6" s="1549"/>
      <c r="Z6" s="1549"/>
      <c r="AA6" s="1549"/>
      <c r="AB6" s="1409"/>
      <c r="AC6" s="1548" t="s">
        <v>1101</v>
      </c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7"/>
      <c r="AU6" s="1547"/>
      <c r="AV6" s="1547"/>
      <c r="AW6" s="1547"/>
      <c r="AX6" s="1547"/>
      <c r="AY6" s="1547"/>
      <c r="AZ6" s="1547"/>
      <c r="BA6" s="1547"/>
      <c r="BB6" s="1547"/>
      <c r="BC6" s="1547"/>
      <c r="BD6" s="1547"/>
      <c r="BE6" s="1547"/>
      <c r="BF6" s="1547"/>
      <c r="BG6" s="1547"/>
      <c r="BH6" s="1547"/>
      <c r="BI6" s="1547"/>
      <c r="BJ6" s="1547"/>
      <c r="BK6" s="1547"/>
      <c r="BL6" s="1547"/>
      <c r="BM6" s="1547"/>
      <c r="BN6" s="1547"/>
      <c r="BO6" s="1547"/>
      <c r="BP6" s="1547"/>
      <c r="BQ6" s="1547"/>
      <c r="BR6" s="1547"/>
      <c r="BS6" s="1547"/>
      <c r="BT6" s="1547"/>
      <c r="BU6" s="1547"/>
      <c r="BV6" s="1547"/>
      <c r="BW6" s="1547"/>
      <c r="BX6" s="1547"/>
      <c r="BY6" s="1547"/>
      <c r="BZ6" s="1547"/>
      <c r="CA6" s="1547"/>
      <c r="CB6" s="1547"/>
      <c r="CC6" s="1547"/>
      <c r="CD6" s="1547"/>
      <c r="CE6" s="1547"/>
      <c r="CF6" s="1547"/>
    </row>
    <row r="7" spans="1:98" s="1382" customFormat="1">
      <c r="A7" s="1385"/>
      <c r="B7" s="1533" t="s">
        <v>550</v>
      </c>
      <c r="C7" s="1532"/>
      <c r="D7" s="1529"/>
      <c r="E7" s="1531"/>
      <c r="F7" s="1531"/>
      <c r="G7" s="1530"/>
      <c r="H7" s="1529"/>
      <c r="I7" s="1529">
        <f>SUM(I94:I123)</f>
        <v>9070.1</v>
      </c>
      <c r="J7" s="1385"/>
      <c r="K7" s="1543" t="s">
        <v>706</v>
      </c>
      <c r="L7" s="1544"/>
      <c r="M7" s="1544"/>
      <c r="N7" s="1546"/>
      <c r="O7" s="1544"/>
      <c r="P7" s="1545"/>
      <c r="Q7" s="1542">
        <f>SUM(Q144:Q161)</f>
        <v>0</v>
      </c>
      <c r="R7" s="1385"/>
      <c r="S7" s="1543" t="s">
        <v>706</v>
      </c>
      <c r="T7" s="1544"/>
      <c r="U7" s="1542">
        <f>SUM(U12:U61)</f>
        <v>24302.340000000004</v>
      </c>
      <c r="V7" s="1542"/>
      <c r="W7" s="1542"/>
      <c r="X7" s="1542"/>
      <c r="Y7" s="1542"/>
      <c r="Z7" s="1542"/>
      <c r="AA7" s="1542"/>
      <c r="AB7" s="1385"/>
      <c r="AC7" s="1543" t="s">
        <v>706</v>
      </c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2"/>
      <c r="AU7" s="1542"/>
      <c r="AV7" s="1542"/>
      <c r="AW7" s="1542"/>
      <c r="AX7" s="1542"/>
      <c r="AY7" s="1542"/>
      <c r="AZ7" s="1542"/>
      <c r="BA7" s="1542"/>
      <c r="BB7" s="1542"/>
      <c r="BC7" s="1542"/>
      <c r="BD7" s="1542"/>
      <c r="BE7" s="1542"/>
      <c r="BF7" s="1542"/>
      <c r="BG7" s="1542"/>
      <c r="BH7" s="1542"/>
      <c r="BI7" s="1542"/>
      <c r="BJ7" s="1542"/>
      <c r="BK7" s="1542"/>
      <c r="BL7" s="1542"/>
      <c r="BM7" s="1542"/>
      <c r="BN7" s="1542"/>
      <c r="BO7" s="1542"/>
      <c r="BP7" s="1542"/>
      <c r="BQ7" s="1542"/>
      <c r="BR7" s="1542"/>
      <c r="BS7" s="1542"/>
      <c r="BT7" s="1542"/>
      <c r="BU7" s="1542"/>
      <c r="BV7" s="1542"/>
      <c r="BW7" s="1542"/>
      <c r="BX7" s="1542"/>
      <c r="BY7" s="1542"/>
      <c r="BZ7" s="1542"/>
      <c r="CA7" s="1542"/>
      <c r="CB7" s="1542"/>
      <c r="CC7" s="1542"/>
      <c r="CD7" s="1542"/>
      <c r="CE7" s="1542"/>
      <c r="CF7" s="1542"/>
    </row>
    <row r="8" spans="1:98" s="1382" customFormat="1">
      <c r="A8" s="1385"/>
      <c r="B8" s="1533" t="s">
        <v>613</v>
      </c>
      <c r="C8" s="1532"/>
      <c r="D8" s="1529"/>
      <c r="E8" s="1531"/>
      <c r="F8" s="1531"/>
      <c r="G8" s="1530"/>
      <c r="H8" s="1529"/>
      <c r="I8" s="1529">
        <f>SUM(I125:I155)</f>
        <v>8918.0300000000007</v>
      </c>
      <c r="J8" s="1385"/>
      <c r="K8" s="1543" t="s">
        <v>1205</v>
      </c>
      <c r="L8" s="1544"/>
      <c r="M8" s="1544"/>
      <c r="N8" s="1546"/>
      <c r="O8" s="1544"/>
      <c r="P8" s="1545"/>
      <c r="Q8" s="1542">
        <f>SUM(Q163:Q165)</f>
        <v>0</v>
      </c>
      <c r="R8" s="1385"/>
      <c r="S8" s="1543" t="s">
        <v>1205</v>
      </c>
      <c r="T8" s="1544"/>
      <c r="U8" s="1542">
        <f>SUM(U67:U69)</f>
        <v>0</v>
      </c>
      <c r="V8" s="1542"/>
      <c r="W8" s="1542"/>
      <c r="X8" s="1542"/>
      <c r="Y8" s="1542"/>
      <c r="Z8" s="1542"/>
      <c r="AA8" s="1542"/>
      <c r="AB8" s="1385"/>
      <c r="AC8" s="1543" t="s">
        <v>1205</v>
      </c>
      <c r="AD8" s="1543"/>
      <c r="AE8" s="1543"/>
      <c r="AF8" s="1543"/>
      <c r="AG8" s="1543"/>
      <c r="AH8" s="1543"/>
      <c r="AI8" s="1543"/>
      <c r="AJ8" s="1543"/>
      <c r="AK8" s="1543"/>
      <c r="AL8" s="1543"/>
      <c r="AM8" s="1543"/>
      <c r="AN8" s="1543"/>
      <c r="AO8" s="1543"/>
      <c r="AP8" s="1543"/>
      <c r="AQ8" s="1543"/>
      <c r="AR8" s="1543"/>
      <c r="AS8" s="1543"/>
      <c r="AT8" s="1542"/>
      <c r="AU8" s="1542"/>
      <c r="AV8" s="1542"/>
      <c r="AW8" s="1542"/>
      <c r="AX8" s="1542"/>
      <c r="AY8" s="1542"/>
      <c r="AZ8" s="1542"/>
      <c r="BA8" s="1542"/>
      <c r="BB8" s="1542"/>
      <c r="BC8" s="1542"/>
      <c r="BD8" s="1542"/>
      <c r="BE8" s="1542"/>
      <c r="BF8" s="1542"/>
      <c r="BG8" s="1542"/>
      <c r="BH8" s="1542"/>
      <c r="BI8" s="1542"/>
      <c r="BJ8" s="1542"/>
      <c r="BK8" s="1542"/>
      <c r="BL8" s="1542"/>
      <c r="BM8" s="1542"/>
      <c r="BN8" s="1542"/>
      <c r="BO8" s="1542"/>
      <c r="BP8" s="1542"/>
      <c r="BQ8" s="1542"/>
      <c r="BR8" s="1542"/>
      <c r="BS8" s="1542"/>
      <c r="BT8" s="1542"/>
      <c r="BU8" s="1542"/>
      <c r="BV8" s="1542"/>
      <c r="BW8" s="1542"/>
      <c r="BX8" s="1542"/>
      <c r="BY8" s="1542"/>
      <c r="BZ8" s="1542"/>
      <c r="CA8" s="1542"/>
      <c r="CB8" s="1542"/>
      <c r="CC8" s="1542"/>
      <c r="CD8" s="1542"/>
      <c r="CE8" s="1542"/>
      <c r="CF8" s="1542"/>
    </row>
    <row r="9" spans="1:98" s="1382" customFormat="1">
      <c r="A9" s="1385"/>
      <c r="B9" s="1533" t="s">
        <v>1101</v>
      </c>
      <c r="C9" s="1532"/>
      <c r="D9" s="1529"/>
      <c r="E9" s="1531"/>
      <c r="F9" s="1531"/>
      <c r="G9" s="1530"/>
      <c r="H9" s="1529"/>
      <c r="I9" s="1529">
        <f>SUM(I156:I187)</f>
        <v>9715.44</v>
      </c>
      <c r="J9" s="1385"/>
      <c r="K9" s="1543" t="s">
        <v>1204</v>
      </c>
      <c r="L9" s="1544"/>
      <c r="M9" s="1544"/>
      <c r="N9" s="1546"/>
      <c r="O9" s="1544"/>
      <c r="P9" s="1545"/>
      <c r="Q9" s="1542">
        <f>SUM(Q168:Q182)</f>
        <v>0</v>
      </c>
      <c r="R9" s="1385"/>
      <c r="S9" s="1543" t="s">
        <v>1204</v>
      </c>
      <c r="T9" s="1544"/>
      <c r="U9" s="1542"/>
      <c r="V9" s="1542"/>
      <c r="W9" s="1542"/>
      <c r="X9" s="1542"/>
      <c r="Y9" s="1542"/>
      <c r="Z9" s="1542"/>
      <c r="AA9" s="1542"/>
      <c r="AB9" s="1385"/>
      <c r="AC9" s="1543" t="s">
        <v>1204</v>
      </c>
      <c r="AD9" s="1543"/>
      <c r="AE9" s="1543"/>
      <c r="AF9" s="1543"/>
      <c r="AG9" s="1543"/>
      <c r="AH9" s="1543"/>
      <c r="AI9" s="1543"/>
      <c r="AJ9" s="1543"/>
      <c r="AK9" s="1543"/>
      <c r="AL9" s="1543"/>
      <c r="AM9" s="1543"/>
      <c r="AN9" s="1543"/>
      <c r="AO9" s="1543"/>
      <c r="AP9" s="1543"/>
      <c r="AQ9" s="1543"/>
      <c r="AR9" s="1543"/>
      <c r="AS9" s="1543"/>
      <c r="AT9" s="1542"/>
      <c r="AU9" s="1542"/>
      <c r="AV9" s="1542"/>
      <c r="AW9" s="1542"/>
      <c r="AX9" s="1542"/>
      <c r="AY9" s="1542"/>
      <c r="AZ9" s="1542"/>
      <c r="BA9" s="1542"/>
      <c r="BB9" s="1542"/>
      <c r="BC9" s="1542"/>
      <c r="BD9" s="1542"/>
      <c r="BE9" s="1542"/>
      <c r="BF9" s="1542"/>
      <c r="BG9" s="1542"/>
      <c r="BH9" s="1542"/>
      <c r="BI9" s="1542"/>
      <c r="BJ9" s="1542"/>
      <c r="BK9" s="1542"/>
      <c r="BL9" s="1542"/>
      <c r="BM9" s="1542"/>
      <c r="BN9" s="1542"/>
      <c r="BO9" s="1542"/>
      <c r="BP9" s="1542"/>
      <c r="BQ9" s="1542"/>
      <c r="BR9" s="1542"/>
      <c r="BS9" s="1542"/>
      <c r="BT9" s="1542"/>
      <c r="BU9" s="1542"/>
      <c r="BV9" s="1542"/>
      <c r="BW9" s="1542"/>
      <c r="BX9" s="1542"/>
      <c r="BY9" s="1542"/>
      <c r="BZ9" s="1542"/>
      <c r="CA9" s="1542"/>
      <c r="CB9" s="1542"/>
      <c r="CC9" s="1542"/>
      <c r="CD9" s="1542"/>
      <c r="CE9" s="1542"/>
      <c r="CF9" s="1542"/>
    </row>
    <row r="10" spans="1:98" s="1382" customFormat="1">
      <c r="A10" s="1385"/>
      <c r="B10" s="1533" t="s">
        <v>706</v>
      </c>
      <c r="C10" s="1532"/>
      <c r="D10" s="1529"/>
      <c r="E10" s="1531"/>
      <c r="F10" s="1531"/>
      <c r="G10" s="1530"/>
      <c r="H10" s="1529"/>
      <c r="I10" s="1529">
        <f>SUM(I189:I206)</f>
        <v>5479.4500000000007</v>
      </c>
      <c r="J10" s="1385"/>
      <c r="K10" s="1543" t="s">
        <v>1203</v>
      </c>
      <c r="L10" s="1544"/>
      <c r="M10" s="1544"/>
      <c r="N10" s="1546"/>
      <c r="O10" s="1544"/>
      <c r="P10" s="1545"/>
      <c r="Q10" s="1542">
        <f>SUM(Q185:Q187)</f>
        <v>0</v>
      </c>
      <c r="R10" s="1385"/>
      <c r="S10" s="1543" t="s">
        <v>1203</v>
      </c>
      <c r="T10" s="1544"/>
      <c r="U10" s="1542"/>
      <c r="V10" s="1542"/>
      <c r="W10" s="1542"/>
      <c r="X10" s="1542"/>
      <c r="Y10" s="1542"/>
      <c r="Z10" s="1542"/>
      <c r="AA10" s="1542"/>
      <c r="AB10" s="1385"/>
      <c r="AC10" s="1543" t="s">
        <v>1203</v>
      </c>
      <c r="AD10" s="1543"/>
      <c r="AE10" s="1543"/>
      <c r="AF10" s="1543"/>
      <c r="AG10" s="1543"/>
      <c r="AH10" s="1543"/>
      <c r="AI10" s="1543"/>
      <c r="AJ10" s="1543"/>
      <c r="AK10" s="1543"/>
      <c r="AL10" s="1543"/>
      <c r="AM10" s="1543"/>
      <c r="AN10" s="1543"/>
      <c r="AO10" s="1543"/>
      <c r="AP10" s="1543"/>
      <c r="AQ10" s="1543"/>
      <c r="AR10" s="1543"/>
      <c r="AS10" s="1543"/>
      <c r="AT10" s="1542"/>
      <c r="AU10" s="1542"/>
      <c r="AV10" s="1542"/>
      <c r="AW10" s="1542"/>
      <c r="AX10" s="1542"/>
      <c r="AY10" s="1542"/>
      <c r="AZ10" s="1542"/>
      <c r="BA10" s="1542"/>
      <c r="BB10" s="1542"/>
      <c r="BC10" s="1542"/>
      <c r="BD10" s="1542"/>
      <c r="BE10" s="1542"/>
      <c r="BF10" s="1542"/>
      <c r="BG10" s="1542"/>
      <c r="BH10" s="1542"/>
      <c r="BI10" s="1542"/>
      <c r="BJ10" s="1542"/>
      <c r="BK10" s="1542"/>
      <c r="BL10" s="1542"/>
      <c r="BM10" s="1542"/>
      <c r="BN10" s="1542"/>
      <c r="BO10" s="1542"/>
      <c r="BP10" s="1542"/>
      <c r="BQ10" s="1542"/>
      <c r="BR10" s="1542"/>
      <c r="BS10" s="1542"/>
      <c r="BT10" s="1542"/>
      <c r="BU10" s="1542"/>
      <c r="BV10" s="1542"/>
      <c r="BW10" s="1542"/>
      <c r="BX10" s="1542"/>
      <c r="BY10" s="1542"/>
      <c r="BZ10" s="1542"/>
      <c r="CA10" s="1542"/>
      <c r="CB10" s="1542"/>
      <c r="CC10" s="1542"/>
      <c r="CD10" s="1542"/>
      <c r="CE10" s="1542"/>
      <c r="CF10" s="1542"/>
    </row>
    <row r="11" spans="1:98" s="1384" customFormat="1">
      <c r="A11" s="1379"/>
      <c r="B11" s="1533" t="s">
        <v>1205</v>
      </c>
      <c r="C11" s="1532"/>
      <c r="D11" s="1529"/>
      <c r="E11" s="1531"/>
      <c r="F11" s="1531"/>
      <c r="G11" s="1530"/>
      <c r="H11" s="1529"/>
      <c r="I11" s="1529">
        <f>SUM(I208:I210)</f>
        <v>656.63</v>
      </c>
      <c r="J11" s="1379"/>
      <c r="K11" s="1539"/>
      <c r="L11" s="1538"/>
      <c r="M11" s="1538"/>
      <c r="N11" s="1541"/>
      <c r="O11" s="1538"/>
      <c r="P11" s="1540"/>
      <c r="Q11" s="1537"/>
      <c r="R11" s="1379"/>
      <c r="S11" s="1539"/>
      <c r="T11" s="1538"/>
      <c r="U11" s="1537"/>
      <c r="V11" s="1537"/>
      <c r="W11" s="1537"/>
      <c r="X11" s="1537"/>
      <c r="Y11" s="1537"/>
      <c r="Z11" s="1537"/>
      <c r="AA11" s="1537"/>
      <c r="AB11" s="1379"/>
      <c r="AC11" s="1399" t="s">
        <v>1236</v>
      </c>
      <c r="AH11" s="1536">
        <v>44197</v>
      </c>
      <c r="AI11" s="1536">
        <v>44166</v>
      </c>
      <c r="AJ11" s="1536">
        <v>44166</v>
      </c>
      <c r="AK11" s="1536">
        <v>44136</v>
      </c>
      <c r="AL11" s="1536">
        <v>44105</v>
      </c>
      <c r="AM11" s="1536">
        <v>44075</v>
      </c>
      <c r="AN11" s="1536">
        <v>44044</v>
      </c>
      <c r="AO11" s="1536">
        <v>44013</v>
      </c>
      <c r="AP11" s="1536">
        <v>43983</v>
      </c>
      <c r="AQ11" s="1536">
        <v>43952</v>
      </c>
      <c r="AR11" s="1536">
        <v>43922</v>
      </c>
      <c r="AS11" s="1536">
        <v>43891</v>
      </c>
      <c r="AT11" s="1536">
        <v>43862</v>
      </c>
      <c r="AU11" s="1536">
        <v>43831</v>
      </c>
      <c r="AV11" s="1536">
        <v>43800</v>
      </c>
      <c r="AW11" s="1536">
        <v>43770</v>
      </c>
      <c r="AX11" s="1536">
        <v>43739</v>
      </c>
      <c r="AY11" s="1536">
        <v>43709</v>
      </c>
      <c r="AZ11" s="1536">
        <v>43678</v>
      </c>
      <c r="BA11" s="1536">
        <v>43647</v>
      </c>
      <c r="BB11" s="1536">
        <v>43617</v>
      </c>
      <c r="BC11" s="1536">
        <v>43586</v>
      </c>
      <c r="BD11" s="1536">
        <v>43556</v>
      </c>
      <c r="BE11" s="1536">
        <v>43525</v>
      </c>
      <c r="BF11" s="1536">
        <v>43497</v>
      </c>
      <c r="BG11" s="1536">
        <v>43466</v>
      </c>
      <c r="BH11" s="1536">
        <v>43435</v>
      </c>
      <c r="BI11" s="1536">
        <v>43405</v>
      </c>
      <c r="BJ11" s="1536">
        <v>43374</v>
      </c>
      <c r="BK11" s="1536">
        <v>43344</v>
      </c>
      <c r="BL11" s="1536">
        <v>43313</v>
      </c>
      <c r="BM11" s="1536">
        <v>43282</v>
      </c>
      <c r="BN11" s="1536">
        <v>43252</v>
      </c>
      <c r="BO11" s="1536">
        <v>43221</v>
      </c>
      <c r="BP11" s="1536">
        <v>43191</v>
      </c>
      <c r="BQ11" s="1536">
        <v>43160</v>
      </c>
      <c r="BR11" s="1536">
        <v>43132</v>
      </c>
      <c r="BS11" s="1536">
        <v>43101</v>
      </c>
      <c r="BT11" s="1536">
        <v>43070</v>
      </c>
      <c r="BU11" s="1536">
        <v>43040</v>
      </c>
      <c r="BV11" s="1536">
        <v>43009</v>
      </c>
      <c r="BW11" s="1536">
        <v>42979</v>
      </c>
      <c r="BX11" s="1536">
        <v>42948</v>
      </c>
      <c r="BY11" s="1536">
        <v>42917</v>
      </c>
      <c r="BZ11" s="1536">
        <v>42887</v>
      </c>
      <c r="CA11" s="1536">
        <v>42856</v>
      </c>
      <c r="CB11" s="1536">
        <v>42826</v>
      </c>
      <c r="CC11" s="1536">
        <v>42795</v>
      </c>
      <c r="CD11" s="1536">
        <v>42767</v>
      </c>
      <c r="CE11" s="1536">
        <v>42736</v>
      </c>
      <c r="CF11" s="1536">
        <v>42705</v>
      </c>
    </row>
    <row r="12" spans="1:98">
      <c r="B12" s="1533" t="s">
        <v>1204</v>
      </c>
      <c r="C12" s="1532"/>
      <c r="D12" s="1529"/>
      <c r="E12" s="1531"/>
      <c r="F12" s="1531"/>
      <c r="G12" s="1530"/>
      <c r="H12" s="1529"/>
      <c r="I12" s="1529">
        <f>SUM(I213:I227)</f>
        <v>0</v>
      </c>
      <c r="K12" s="2797" t="s">
        <v>1235</v>
      </c>
      <c r="L12" s="2798"/>
      <c r="M12" s="2798"/>
      <c r="N12" s="2798"/>
      <c r="O12" s="2798"/>
      <c r="P12" s="2798"/>
      <c r="Q12" s="2799"/>
      <c r="S12" s="2797" t="s">
        <v>1234</v>
      </c>
      <c r="T12" s="2800"/>
      <c r="U12" s="2801"/>
      <c r="V12" s="1466"/>
      <c r="W12" s="1466"/>
      <c r="X12" s="1466"/>
      <c r="Y12" s="1466"/>
      <c r="Z12" s="1466"/>
      <c r="AA12" s="1466"/>
      <c r="AC12" s="1535">
        <v>43785</v>
      </c>
      <c r="AD12" s="1535"/>
      <c r="AE12" s="1534">
        <v>44271</v>
      </c>
      <c r="AF12" s="1534">
        <v>44243</v>
      </c>
      <c r="AG12" s="1534">
        <v>44212</v>
      </c>
      <c r="AH12" s="1534">
        <v>44181</v>
      </c>
      <c r="AI12" s="1534">
        <v>44151</v>
      </c>
      <c r="AJ12" s="1534">
        <v>44120</v>
      </c>
      <c r="AK12" s="1534">
        <v>44090</v>
      </c>
      <c r="AL12" s="1534">
        <v>44059</v>
      </c>
      <c r="AM12" s="1534">
        <v>44028</v>
      </c>
      <c r="AN12" s="1534">
        <v>43998</v>
      </c>
      <c r="AO12" s="1534">
        <v>43967</v>
      </c>
      <c r="AP12" s="1534">
        <v>43937</v>
      </c>
      <c r="AQ12" s="1534">
        <v>43906</v>
      </c>
      <c r="AR12" s="1534">
        <v>43877</v>
      </c>
      <c r="AS12" s="1534">
        <v>43846</v>
      </c>
      <c r="AT12" s="1534">
        <v>43815</v>
      </c>
      <c r="AU12" s="1534">
        <v>43785</v>
      </c>
      <c r="AV12" s="1534">
        <v>43754</v>
      </c>
      <c r="AW12" s="1534">
        <v>43724</v>
      </c>
      <c r="AX12" s="1534">
        <v>43693</v>
      </c>
      <c r="AY12" s="1534">
        <v>43662</v>
      </c>
      <c r="AZ12" s="1534">
        <v>43632</v>
      </c>
      <c r="BA12" s="1534">
        <v>43601</v>
      </c>
      <c r="BB12" s="1534">
        <v>43571</v>
      </c>
      <c r="BC12" s="1534">
        <v>43540</v>
      </c>
      <c r="BD12" s="1534">
        <v>43512</v>
      </c>
      <c r="BE12" s="1534">
        <v>43481</v>
      </c>
      <c r="BF12" s="1534">
        <v>43450</v>
      </c>
      <c r="BG12" s="1534">
        <v>43420</v>
      </c>
      <c r="BH12" s="1534">
        <v>43389</v>
      </c>
      <c r="BI12" s="1534">
        <v>43359</v>
      </c>
      <c r="BJ12" s="1534">
        <v>43328</v>
      </c>
      <c r="BK12" s="1534">
        <v>43297</v>
      </c>
      <c r="BL12" s="1534">
        <v>43267</v>
      </c>
      <c r="BM12" s="1534">
        <v>43236</v>
      </c>
      <c r="BN12" s="1534">
        <v>43206</v>
      </c>
      <c r="BO12" s="1534">
        <v>43175</v>
      </c>
      <c r="BP12" s="1534">
        <v>43147</v>
      </c>
      <c r="BQ12" s="1534">
        <v>43116</v>
      </c>
      <c r="BR12" s="1534">
        <v>43085</v>
      </c>
      <c r="BS12" s="1534">
        <v>43055</v>
      </c>
      <c r="BT12" s="1534">
        <v>43024</v>
      </c>
      <c r="BU12" s="1534">
        <v>42994</v>
      </c>
      <c r="BV12" s="1534">
        <v>42963</v>
      </c>
      <c r="BW12" s="1534">
        <v>42932</v>
      </c>
      <c r="BX12" s="1534">
        <v>42902</v>
      </c>
      <c r="BY12" s="1534">
        <v>42871</v>
      </c>
      <c r="BZ12" s="1534">
        <v>42841</v>
      </c>
      <c r="CA12" s="1534">
        <v>42810</v>
      </c>
      <c r="CB12" s="1534">
        <v>42782</v>
      </c>
      <c r="CC12" s="1534">
        <v>42751</v>
      </c>
      <c r="CD12" s="1534">
        <v>42720</v>
      </c>
      <c r="CE12" s="1534">
        <v>42690</v>
      </c>
      <c r="CF12" s="1534">
        <v>42659</v>
      </c>
    </row>
    <row r="13" spans="1:98">
      <c r="B13" s="1533" t="s">
        <v>1203</v>
      </c>
      <c r="C13" s="1532"/>
      <c r="D13" s="1529"/>
      <c r="E13" s="1531"/>
      <c r="F13" s="1531"/>
      <c r="G13" s="1530"/>
      <c r="H13" s="1529"/>
      <c r="I13" s="1529">
        <f>SUM(I230:I232)</f>
        <v>0</v>
      </c>
      <c r="K13" s="1525" t="s">
        <v>1114</v>
      </c>
      <c r="L13" s="1524" t="s">
        <v>1232</v>
      </c>
      <c r="M13" s="1524"/>
      <c r="N13" s="1523" t="s">
        <v>1189</v>
      </c>
      <c r="O13" s="1466" t="s">
        <v>1231</v>
      </c>
      <c r="P13" s="1466" t="s">
        <v>1230</v>
      </c>
      <c r="Q13" s="1522" t="s">
        <v>708</v>
      </c>
      <c r="S13" s="1528"/>
      <c r="T13" s="1524"/>
      <c r="U13" s="1522"/>
      <c r="V13" s="1466"/>
      <c r="W13" s="1466"/>
      <c r="X13" s="1466"/>
      <c r="Y13" s="1466"/>
      <c r="Z13" s="1466"/>
      <c r="AA13" s="1466"/>
      <c r="AC13" s="1526">
        <v>44348</v>
      </c>
      <c r="AD13" s="1507">
        <f>Q25</f>
        <v>0</v>
      </c>
      <c r="AH13" s="1527">
        <f t="shared" ref="AH13:AM13" si="0">SUM(AH14:AH30)</f>
        <v>419.58</v>
      </c>
      <c r="AI13" s="1527">
        <f t="shared" si="0"/>
        <v>904.42000000000007</v>
      </c>
      <c r="AJ13" s="1527">
        <f t="shared" si="0"/>
        <v>534.75</v>
      </c>
      <c r="AK13" s="1527">
        <f t="shared" si="0"/>
        <v>0</v>
      </c>
      <c r="AL13" s="1527">
        <f t="shared" si="0"/>
        <v>441.63</v>
      </c>
      <c r="AM13" s="1527">
        <f t="shared" si="0"/>
        <v>736.49</v>
      </c>
      <c r="AN13" s="1527">
        <f>SUM(AN17:AN34)</f>
        <v>0</v>
      </c>
      <c r="AO13" s="1527">
        <f>SUM(AO17:AO31)</f>
        <v>426.66</v>
      </c>
      <c r="AP13" s="1527">
        <f>SUM(AP17:AP31)</f>
        <v>536.63</v>
      </c>
      <c r="AQ13" s="1527">
        <f>SUM(AQ31:AQ33)</f>
        <v>446.05</v>
      </c>
      <c r="AR13" s="1527">
        <f>SUM(AR24:AR30)</f>
        <v>0</v>
      </c>
      <c r="AS13" s="1527">
        <f>SUM(AS24:AS39)</f>
        <v>627.34</v>
      </c>
      <c r="AT13" s="1527">
        <f>SUM(AT30:AT37)</f>
        <v>897.29</v>
      </c>
      <c r="AU13" s="1527">
        <f>SUM(AU30:AU37)</f>
        <v>944.31000000000006</v>
      </c>
      <c r="AV13" s="1527">
        <f>SUM(AV25:AV32)</f>
        <v>552.06999999999994</v>
      </c>
      <c r="AW13" s="1527">
        <f>SUM(AW25:AW33)</f>
        <v>0</v>
      </c>
      <c r="AX13" s="1527">
        <f>SUM(AX34:AX35)</f>
        <v>0</v>
      </c>
      <c r="AY13" s="1527">
        <f>SUM(AY35:AY39)</f>
        <v>0</v>
      </c>
      <c r="AZ13" s="1527">
        <f>SUM(AZ40:AZ42)</f>
        <v>549.09</v>
      </c>
      <c r="BA13" s="1527">
        <f>SUM(BA42:BA56)</f>
        <v>545.24</v>
      </c>
      <c r="BB13" s="1527">
        <f>SUM(BB42:BB56)</f>
        <v>1037.29</v>
      </c>
      <c r="BC13" s="1527">
        <f>SUM(BC44:BC54)</f>
        <v>0</v>
      </c>
      <c r="BD13" s="1527">
        <f>SUM(BD44:BD54)</f>
        <v>0</v>
      </c>
      <c r="BE13" s="1527">
        <f>SUM(BE44:BE54)</f>
        <v>0</v>
      </c>
      <c r="BF13" s="1527" t="e">
        <f>SUM(BF44:BF54)+#REF!</f>
        <v>#REF!</v>
      </c>
      <c r="BG13" s="1527">
        <f>SUM(BG44:BG56)</f>
        <v>0</v>
      </c>
      <c r="BH13" s="1527">
        <f>SUM(BH41:BH56)</f>
        <v>0</v>
      </c>
      <c r="BI13" s="1527">
        <f>SUM(BI41:BI58)</f>
        <v>0</v>
      </c>
      <c r="BJ13" s="1527">
        <f>SUM(BJ41:BJ60)</f>
        <v>0</v>
      </c>
      <c r="BK13" s="1527">
        <f>SUM(BK36:BK69)</f>
        <v>0</v>
      </c>
      <c r="BL13" s="1527">
        <f>SUM(BL36:BL69)</f>
        <v>0</v>
      </c>
      <c r="BM13" s="1527">
        <f t="shared" ref="BM13:CB13" si="1">SUM(BM33:BM66)</f>
        <v>0</v>
      </c>
      <c r="BN13" s="1527">
        <f t="shared" si="1"/>
        <v>0</v>
      </c>
      <c r="BO13" s="1527">
        <f t="shared" si="1"/>
        <v>0</v>
      </c>
      <c r="BP13" s="1527">
        <f t="shared" si="1"/>
        <v>0</v>
      </c>
      <c r="BQ13" s="1527">
        <f t="shared" si="1"/>
        <v>0</v>
      </c>
      <c r="BR13" s="1527">
        <f t="shared" si="1"/>
        <v>0</v>
      </c>
      <c r="BS13" s="1527">
        <f t="shared" si="1"/>
        <v>0</v>
      </c>
      <c r="BT13" s="1527">
        <f t="shared" si="1"/>
        <v>0</v>
      </c>
      <c r="BU13" s="1527">
        <f t="shared" si="1"/>
        <v>0</v>
      </c>
      <c r="BV13" s="1527">
        <f t="shared" si="1"/>
        <v>0</v>
      </c>
      <c r="BW13" s="1527">
        <f t="shared" si="1"/>
        <v>0</v>
      </c>
      <c r="BX13" s="1527">
        <f t="shared" si="1"/>
        <v>0</v>
      </c>
      <c r="BY13" s="1527">
        <f t="shared" si="1"/>
        <v>0</v>
      </c>
      <c r="BZ13" s="1527">
        <f t="shared" si="1"/>
        <v>0</v>
      </c>
      <c r="CA13" s="1527">
        <f t="shared" si="1"/>
        <v>0</v>
      </c>
      <c r="CB13" s="1527">
        <f t="shared" si="1"/>
        <v>0</v>
      </c>
      <c r="CC13" s="1526"/>
      <c r="CD13" s="1526"/>
      <c r="CE13" s="1526"/>
      <c r="CF13" s="1526"/>
    </row>
    <row r="14" spans="1:98" ht="16.5" customHeight="1">
      <c r="B14" s="1525" t="s">
        <v>1114</v>
      </c>
      <c r="C14" s="1524" t="s">
        <v>1233</v>
      </c>
      <c r="D14" s="1524" t="s">
        <v>1232</v>
      </c>
      <c r="E14" s="1524"/>
      <c r="F14" s="1523" t="s">
        <v>1189</v>
      </c>
      <c r="G14" s="1466" t="s">
        <v>1231</v>
      </c>
      <c r="H14" s="1466" t="s">
        <v>1230</v>
      </c>
      <c r="I14" s="1522" t="s">
        <v>708</v>
      </c>
      <c r="J14" s="1462"/>
      <c r="K14" s="1519">
        <f>COUNT(Q15:Q29)-1</f>
        <v>1</v>
      </c>
      <c r="L14" s="1521"/>
      <c r="M14" s="1520">
        <f>SUM(M15:M29)/$K$14</f>
        <v>214806</v>
      </c>
      <c r="N14" s="1520">
        <f>SUM(N15:N29)/$K$14</f>
        <v>25.01</v>
      </c>
      <c r="O14" s="1520" t="e">
        <f>SUM(O15:O29)/$K$14</f>
        <v>#DIV/0!</v>
      </c>
      <c r="P14" s="1520" t="e">
        <f>SUM(P15:P29)/$K$14</f>
        <v>#DIV/0!</v>
      </c>
      <c r="Q14" s="1518">
        <f>SUM(Q16:Q18)</f>
        <v>334.88</v>
      </c>
      <c r="R14" s="1462"/>
      <c r="S14" s="1450"/>
      <c r="T14" s="1516"/>
      <c r="U14" s="1452"/>
      <c r="V14" s="2793" t="s">
        <v>1229</v>
      </c>
      <c r="W14" s="2794"/>
      <c r="X14" s="2794"/>
      <c r="Y14" s="2794"/>
      <c r="Z14" s="2794"/>
      <c r="AA14" s="2794"/>
      <c r="AC14" s="1400"/>
      <c r="AD14" s="1399"/>
      <c r="AE14" s="1459"/>
      <c r="AF14" s="1459"/>
      <c r="AG14" s="1459"/>
      <c r="AH14" s="1459"/>
      <c r="AI14" s="1459"/>
      <c r="AJ14" s="1459"/>
      <c r="AK14" s="1459"/>
      <c r="AL14" s="1459"/>
      <c r="AM14" s="1459"/>
      <c r="AN14" s="1459"/>
      <c r="AO14" s="1459"/>
      <c r="AP14" s="1459"/>
      <c r="AQ14" s="1459"/>
      <c r="AR14" s="1459"/>
      <c r="AS14" s="1459"/>
      <c r="AT14" s="1459"/>
      <c r="AU14" s="1459"/>
      <c r="AV14" s="1459"/>
      <c r="AW14" s="1459"/>
      <c r="AX14" s="1459"/>
      <c r="AY14" s="1459"/>
      <c r="AZ14" s="1459"/>
      <c r="BA14" s="1459"/>
      <c r="BB14" s="1459"/>
      <c r="BC14" s="1459"/>
      <c r="BD14" s="1459"/>
      <c r="BE14" s="1459"/>
      <c r="BF14" s="1459"/>
      <c r="BG14" s="1459"/>
      <c r="BH14" s="1459"/>
      <c r="BI14" s="1459"/>
      <c r="BJ14" s="1459"/>
      <c r="BK14" s="1459"/>
      <c r="BL14" s="1459"/>
      <c r="BM14" s="1459"/>
      <c r="BN14" s="1459"/>
      <c r="BO14" s="1459"/>
      <c r="BP14" s="1459"/>
      <c r="BQ14" s="1459"/>
      <c r="BR14" s="1459"/>
      <c r="BS14" s="1459"/>
      <c r="BT14" s="1475"/>
      <c r="BU14" s="1475"/>
      <c r="BV14" s="1475"/>
      <c r="BW14" s="1475"/>
      <c r="BX14" s="1475"/>
      <c r="BY14" s="1475"/>
      <c r="BZ14" s="1475"/>
      <c r="CA14" s="1475"/>
      <c r="CB14" s="1475"/>
      <c r="CC14" s="1475"/>
      <c r="CD14" s="1475"/>
      <c r="CE14" s="1475"/>
      <c r="CF14" s="1475"/>
      <c r="CG14" s="1459"/>
      <c r="CH14" s="1459"/>
      <c r="CI14" s="1459"/>
      <c r="CJ14" s="1459"/>
      <c r="CK14" s="1459"/>
      <c r="CL14" s="1459"/>
      <c r="CM14" s="1459"/>
      <c r="CN14" s="1459"/>
      <c r="CO14" s="1459"/>
      <c r="CP14" s="1459"/>
      <c r="CQ14" s="1459"/>
      <c r="CR14" s="1459"/>
      <c r="CS14" s="1475"/>
      <c r="CT14" s="1475"/>
    </row>
    <row r="15" spans="1:98">
      <c r="B15" s="1494"/>
      <c r="C15" s="1493"/>
      <c r="D15" s="1492"/>
      <c r="E15" s="1491"/>
      <c r="F15" s="1490"/>
      <c r="G15" s="1489"/>
      <c r="H15" s="1488"/>
      <c r="I15" s="1487"/>
      <c r="J15" s="1462"/>
      <c r="K15" s="1519"/>
      <c r="L15" s="2802" t="s">
        <v>1228</v>
      </c>
      <c r="M15" s="2802"/>
      <c r="N15" s="2802"/>
      <c r="O15" s="2802"/>
      <c r="P15" s="2803"/>
      <c r="Q15" s="1518">
        <f>Q18</f>
        <v>334.88</v>
      </c>
      <c r="R15" s="1462"/>
      <c r="S15" s="1450"/>
      <c r="T15" s="1516"/>
      <c r="U15" s="1452"/>
      <c r="V15" s="2795"/>
      <c r="W15" s="2796"/>
      <c r="X15" s="2796"/>
      <c r="Y15" s="2796"/>
      <c r="Z15" s="2796"/>
      <c r="AA15" s="2796"/>
      <c r="AC15" s="1508">
        <v>44317</v>
      </c>
      <c r="AD15" s="1507">
        <f>Q26</f>
        <v>0</v>
      </c>
      <c r="AE15" s="1459"/>
      <c r="AF15" s="1459"/>
      <c r="AG15" s="1459"/>
      <c r="AH15" s="1459"/>
      <c r="AI15" s="1459"/>
      <c r="AJ15" s="1459"/>
      <c r="AK15" s="1459"/>
      <c r="AL15" s="1459"/>
      <c r="AM15" s="1459"/>
      <c r="AN15" s="1459"/>
      <c r="AO15" s="1459"/>
      <c r="AP15" s="1459"/>
      <c r="AQ15" s="1459"/>
      <c r="AR15" s="1459"/>
      <c r="AS15" s="1459"/>
      <c r="AT15" s="1459"/>
      <c r="AU15" s="1459"/>
      <c r="AV15" s="1459"/>
      <c r="AW15" s="1459"/>
      <c r="AX15" s="1459"/>
      <c r="AY15" s="1459"/>
      <c r="AZ15" s="1459"/>
      <c r="BA15" s="1459"/>
      <c r="BB15" s="1459"/>
      <c r="BC15" s="1459"/>
      <c r="BD15" s="1459"/>
      <c r="BE15" s="1459"/>
      <c r="BF15" s="1459"/>
      <c r="BG15" s="1459"/>
      <c r="BH15" s="1459"/>
      <c r="BI15" s="1459"/>
      <c r="BJ15" s="1459"/>
      <c r="BK15" s="1459"/>
      <c r="BL15" s="1459"/>
      <c r="BM15" s="1459"/>
      <c r="BN15" s="1459"/>
      <c r="BO15" s="1459"/>
      <c r="BP15" s="1459"/>
      <c r="BQ15" s="1459"/>
      <c r="BR15" s="1459"/>
      <c r="BS15" s="1459"/>
      <c r="BT15" s="1475"/>
      <c r="BU15" s="1475"/>
      <c r="BV15" s="1475"/>
      <c r="BW15" s="1475"/>
      <c r="BX15" s="1475"/>
      <c r="BY15" s="1475"/>
      <c r="BZ15" s="1475"/>
      <c r="CA15" s="1475"/>
      <c r="CB15" s="1475"/>
      <c r="CC15" s="1475"/>
      <c r="CD15" s="1475"/>
      <c r="CE15" s="1475"/>
      <c r="CF15" s="1475"/>
      <c r="CG15" s="1459"/>
      <c r="CH15" s="1459"/>
      <c r="CI15" s="1459"/>
      <c r="CJ15" s="1459"/>
      <c r="CK15" s="1459"/>
      <c r="CL15" s="1459"/>
      <c r="CM15" s="1459"/>
      <c r="CN15" s="1459"/>
      <c r="CO15" s="1459"/>
      <c r="CP15" s="1459"/>
      <c r="CQ15" s="1459"/>
      <c r="CR15" s="1459"/>
      <c r="CS15" s="1475"/>
      <c r="CT15" s="1475"/>
    </row>
    <row r="16" spans="1:98" ht="14.4">
      <c r="B16" s="1494"/>
      <c r="C16" s="1493"/>
      <c r="D16" s="1492"/>
      <c r="E16" s="1491"/>
      <c r="F16" s="1490"/>
      <c r="G16" s="1489"/>
      <c r="H16" s="1488"/>
      <c r="I16" s="1487"/>
      <c r="J16" s="1462"/>
      <c r="K16" s="1450"/>
      <c r="L16" s="1517"/>
      <c r="M16" s="1517"/>
      <c r="N16" s="1398"/>
      <c r="O16" s="1472"/>
      <c r="P16" s="1472"/>
      <c r="Q16" s="1452"/>
      <c r="R16" s="1462"/>
      <c r="S16" s="1450"/>
      <c r="T16" s="1516"/>
      <c r="U16" s="1452"/>
      <c r="V16" s="1499">
        <v>44474</v>
      </c>
      <c r="W16" s="1498">
        <v>4</v>
      </c>
      <c r="X16" s="1497">
        <f t="shared" ref="X16:X21" si="2">$V$16+($W16*7)</f>
        <v>44502</v>
      </c>
      <c r="Y16" s="1496" t="s">
        <v>1226</v>
      </c>
      <c r="Z16" s="1495"/>
      <c r="AA16" s="1495"/>
      <c r="AC16" s="1508"/>
      <c r="AD16" s="1507"/>
      <c r="AF16" s="1459"/>
      <c r="AG16" s="1459"/>
      <c r="AH16" s="1459"/>
      <c r="AI16" s="1459"/>
      <c r="AJ16" s="1459"/>
      <c r="AK16" s="1459"/>
      <c r="AL16" s="1459"/>
      <c r="AM16" s="1376"/>
      <c r="AN16" s="1459"/>
      <c r="AO16" s="1376"/>
      <c r="AP16" s="1376"/>
      <c r="AQ16" s="1376"/>
      <c r="AR16" s="1459"/>
      <c r="AS16" s="1459"/>
      <c r="AT16" s="1459"/>
      <c r="AU16" s="1459"/>
      <c r="AV16" s="1459"/>
      <c r="AW16" s="1459"/>
      <c r="AX16" s="1459"/>
      <c r="AY16" s="1459"/>
      <c r="AZ16" s="1459"/>
      <c r="BA16" s="1459"/>
      <c r="BB16" s="1459"/>
      <c r="BC16" s="1459"/>
      <c r="BD16" s="1459"/>
      <c r="BE16" s="1459"/>
      <c r="BF16" s="1459"/>
      <c r="BG16" s="1459"/>
      <c r="BH16" s="1459"/>
      <c r="BI16" s="1459"/>
      <c r="BJ16" s="1459"/>
      <c r="BK16" s="1459"/>
      <c r="BL16" s="1459"/>
      <c r="BM16" s="1459"/>
      <c r="BN16" s="1459"/>
      <c r="BO16" s="1459"/>
      <c r="BP16" s="1459"/>
      <c r="BQ16" s="1459"/>
      <c r="BR16" s="1459"/>
      <c r="BS16" s="1459"/>
      <c r="BT16" s="1475"/>
      <c r="BU16" s="1475"/>
      <c r="BV16" s="1475"/>
      <c r="BW16" s="1475"/>
      <c r="BX16" s="1475"/>
      <c r="BY16" s="1475"/>
      <c r="BZ16" s="1475"/>
      <c r="CA16" s="1475"/>
      <c r="CB16" s="1475"/>
      <c r="CC16" s="1475"/>
      <c r="CD16" s="1475"/>
      <c r="CE16" s="1475"/>
      <c r="CF16" s="1475"/>
      <c r="CG16" s="1459"/>
      <c r="CH16" s="1459"/>
      <c r="CI16" s="1459"/>
      <c r="CJ16" s="1459"/>
      <c r="CK16" s="1459"/>
      <c r="CL16" s="1459"/>
      <c r="CM16" s="1459"/>
      <c r="CN16" s="1459"/>
      <c r="CO16" s="1459"/>
      <c r="CP16" s="1459"/>
      <c r="CQ16" s="1459"/>
      <c r="CR16" s="1459"/>
      <c r="CS16" s="1475"/>
      <c r="CT16" s="1475"/>
    </row>
    <row r="17" spans="2:98" s="1376" customFormat="1" ht="14.4">
      <c r="B17" s="1494">
        <v>45403</v>
      </c>
      <c r="C17" s="1493">
        <v>45444</v>
      </c>
      <c r="D17" s="1492">
        <v>330993</v>
      </c>
      <c r="E17" s="1491">
        <f>D17-D19</f>
        <v>916</v>
      </c>
      <c r="F17" s="1490">
        <v>33.46</v>
      </c>
      <c r="G17" s="1489"/>
      <c r="H17" s="1488"/>
      <c r="I17" s="1487">
        <v>421.26</v>
      </c>
      <c r="J17" s="1462"/>
      <c r="K17" s="1423">
        <v>44546</v>
      </c>
      <c r="L17" s="1460">
        <v>214806</v>
      </c>
      <c r="M17" s="1460">
        <f>L17-L18</f>
        <v>0</v>
      </c>
      <c r="N17" s="1420"/>
      <c r="O17" s="1419" t="e">
        <f>(L17-L18)/N17</f>
        <v>#DIV/0!</v>
      </c>
      <c r="P17" s="1419" t="e">
        <f>Q17/M17</f>
        <v>#DIV/0!</v>
      </c>
      <c r="Q17" s="1418"/>
      <c r="R17" s="1462"/>
      <c r="S17" s="1486"/>
      <c r="T17" s="1515"/>
      <c r="U17" s="1481"/>
      <c r="V17" s="1499"/>
      <c r="W17" s="1498">
        <v>9</v>
      </c>
      <c r="X17" s="1497">
        <f t="shared" si="2"/>
        <v>44537</v>
      </c>
      <c r="Y17" s="1496" t="s">
        <v>1224</v>
      </c>
      <c r="Z17" s="1495"/>
      <c r="AA17" s="1495"/>
      <c r="AB17" s="1379"/>
      <c r="AC17" s="1508">
        <v>44287</v>
      </c>
      <c r="AD17" s="1507">
        <f>Q28+Q27</f>
        <v>0</v>
      </c>
      <c r="AE17" s="1378"/>
      <c r="AF17" s="1459"/>
      <c r="AG17" s="1459"/>
      <c r="AH17" s="1459"/>
      <c r="AI17" s="1459"/>
      <c r="AJ17" s="1459"/>
      <c r="AK17" s="1459"/>
      <c r="AL17" s="1459"/>
      <c r="AN17" s="1459"/>
      <c r="AR17" s="1459"/>
      <c r="AS17" s="1459"/>
      <c r="AT17" s="1459"/>
      <c r="AU17" s="1459"/>
      <c r="AV17" s="1459"/>
      <c r="AW17" s="1459"/>
      <c r="AX17" s="1459"/>
      <c r="AY17" s="1459"/>
      <c r="AZ17" s="1459"/>
      <c r="BA17" s="1459"/>
      <c r="BB17" s="1459"/>
      <c r="BC17" s="1459"/>
      <c r="BD17" s="1459"/>
      <c r="BE17" s="1459"/>
      <c r="BF17" s="1459"/>
      <c r="BG17" s="1459"/>
      <c r="BH17" s="1459"/>
      <c r="BI17" s="1459"/>
      <c r="BJ17" s="1459"/>
      <c r="BK17" s="1459"/>
      <c r="BL17" s="1459"/>
      <c r="BM17" s="1459"/>
      <c r="BN17" s="1459"/>
      <c r="BO17" s="1459"/>
      <c r="BP17" s="1459"/>
      <c r="BQ17" s="1459"/>
      <c r="BR17" s="1459"/>
      <c r="BS17" s="1459"/>
      <c r="BT17" s="1475"/>
      <c r="BU17" s="1475"/>
      <c r="BV17" s="1475"/>
      <c r="BW17" s="1475"/>
      <c r="BX17" s="1475"/>
      <c r="BY17" s="1475"/>
      <c r="BZ17" s="1475"/>
      <c r="CA17" s="1475"/>
      <c r="CB17" s="1475"/>
      <c r="CC17" s="1475"/>
      <c r="CD17" s="1475"/>
      <c r="CE17" s="1475"/>
      <c r="CF17" s="1475"/>
      <c r="CG17" s="1459"/>
      <c r="CH17" s="1459"/>
      <c r="CI17" s="1459"/>
      <c r="CJ17" s="1459"/>
      <c r="CK17" s="1459"/>
      <c r="CL17" s="1459"/>
      <c r="CM17" s="1459"/>
      <c r="CN17" s="1459"/>
      <c r="CO17" s="1459"/>
      <c r="CP17" s="1459"/>
      <c r="CQ17" s="1459"/>
      <c r="CR17" s="1459"/>
      <c r="CS17" s="1475"/>
      <c r="CT17" s="1475"/>
    </row>
    <row r="18" spans="2:98" s="1376" customFormat="1" ht="14.4">
      <c r="B18" s="1494">
        <v>45398</v>
      </c>
      <c r="C18" s="1493">
        <v>45444</v>
      </c>
      <c r="D18" s="1492"/>
      <c r="E18" s="1491"/>
      <c r="F18" s="1490">
        <v>23.34</v>
      </c>
      <c r="G18" s="1489"/>
      <c r="H18" s="1488"/>
      <c r="I18" s="1487">
        <v>300.85000000000002</v>
      </c>
      <c r="J18" s="1462"/>
      <c r="K18" s="1514">
        <v>44510</v>
      </c>
      <c r="L18" s="1513">
        <v>214806</v>
      </c>
      <c r="M18" s="1513">
        <f>L18-L19</f>
        <v>214806</v>
      </c>
      <c r="N18" s="1512">
        <v>25.01</v>
      </c>
      <c r="O18" s="1511">
        <f>(L18-L19)/N18</f>
        <v>8588.8044782087163</v>
      </c>
      <c r="P18" s="1511">
        <f>Q18/M18</f>
        <v>1.5589881102017634E-3</v>
      </c>
      <c r="Q18" s="1510">
        <v>334.88</v>
      </c>
      <c r="R18" s="1462"/>
      <c r="S18" s="1423"/>
      <c r="T18" s="1477"/>
      <c r="U18" s="1418"/>
      <c r="V18" s="1499"/>
      <c r="W18" s="1498">
        <v>10</v>
      </c>
      <c r="X18" s="1497">
        <f t="shared" si="2"/>
        <v>44544</v>
      </c>
      <c r="Y18" s="1496" t="s">
        <v>1222</v>
      </c>
      <c r="Z18" s="1495"/>
      <c r="AA18" s="1495"/>
      <c r="AB18" s="1379"/>
      <c r="AC18" s="1508">
        <v>44264</v>
      </c>
      <c r="AD18" s="1507">
        <v>428.3</v>
      </c>
      <c r="AE18" s="1378"/>
      <c r="AF18" s="1459"/>
      <c r="AG18" s="1459"/>
      <c r="AH18" s="1459"/>
      <c r="AI18" s="1459"/>
      <c r="AJ18" s="1459"/>
      <c r="AK18" s="1459"/>
      <c r="AL18" s="1459"/>
      <c r="AN18" s="1459"/>
      <c r="AR18" s="1459"/>
      <c r="AS18" s="1459"/>
      <c r="AT18" s="1459"/>
      <c r="AU18" s="1459"/>
      <c r="AV18" s="1459"/>
      <c r="AW18" s="1459"/>
      <c r="AX18" s="1459"/>
      <c r="AY18" s="1459"/>
      <c r="AZ18" s="1459"/>
      <c r="BA18" s="1459"/>
      <c r="BB18" s="1459"/>
      <c r="BC18" s="1459"/>
      <c r="BD18" s="1459"/>
      <c r="BE18" s="1459"/>
      <c r="BF18" s="1459"/>
      <c r="BG18" s="1459"/>
      <c r="BH18" s="1459"/>
      <c r="BI18" s="1459"/>
      <c r="BJ18" s="1459"/>
      <c r="BK18" s="1459"/>
      <c r="BL18" s="1459"/>
      <c r="BM18" s="1459"/>
      <c r="BN18" s="1459"/>
      <c r="BO18" s="1459"/>
      <c r="BP18" s="1459"/>
      <c r="BQ18" s="1459"/>
      <c r="BR18" s="1459"/>
      <c r="BS18" s="1459"/>
      <c r="BT18" s="1475"/>
      <c r="BU18" s="1475"/>
      <c r="BV18" s="1475"/>
      <c r="BW18" s="1475"/>
      <c r="BX18" s="1475"/>
      <c r="BY18" s="1475"/>
      <c r="BZ18" s="1475"/>
      <c r="CA18" s="1475"/>
      <c r="CB18" s="1475"/>
      <c r="CC18" s="1475"/>
      <c r="CD18" s="1475"/>
      <c r="CE18" s="1475"/>
      <c r="CF18" s="1475"/>
      <c r="CG18" s="1459"/>
      <c r="CH18" s="1459"/>
      <c r="CI18" s="1459"/>
      <c r="CJ18" s="1459"/>
      <c r="CK18" s="1459"/>
      <c r="CL18" s="1459"/>
      <c r="CM18" s="1459"/>
      <c r="CN18" s="1459"/>
      <c r="CO18" s="1459"/>
      <c r="CP18" s="1459"/>
      <c r="CQ18" s="1459"/>
      <c r="CR18" s="1459"/>
      <c r="CS18" s="1475"/>
      <c r="CT18" s="1475"/>
    </row>
    <row r="19" spans="2:98" s="1376" customFormat="1" ht="14.4">
      <c r="B19" s="1494">
        <v>45359</v>
      </c>
      <c r="C19" s="1493">
        <v>45383</v>
      </c>
      <c r="D19" s="1492">
        <v>330077</v>
      </c>
      <c r="E19" s="1491">
        <f>D19-D23</f>
        <v>1955</v>
      </c>
      <c r="F19" s="1490">
        <v>63.35</v>
      </c>
      <c r="G19" s="1489">
        <f>E19/137.04</f>
        <v>14.265907764156452</v>
      </c>
      <c r="H19" s="1488">
        <f>1762.33/1955</f>
        <v>0.9014475703324808</v>
      </c>
      <c r="I19" s="1487">
        <v>803.91</v>
      </c>
      <c r="J19" s="1462"/>
      <c r="K19" s="1423"/>
      <c r="L19" s="1460"/>
      <c r="M19" s="1460"/>
      <c r="N19" s="1420"/>
      <c r="O19" s="1420"/>
      <c r="P19" s="1419"/>
      <c r="Q19" s="1418"/>
      <c r="R19" s="1462"/>
      <c r="S19" s="1423">
        <v>45170</v>
      </c>
      <c r="T19" s="1477" t="s">
        <v>1490</v>
      </c>
      <c r="U19" s="1418">
        <v>467</v>
      </c>
      <c r="V19" s="1499"/>
      <c r="W19" s="1498">
        <v>13</v>
      </c>
      <c r="X19" s="1497">
        <f t="shared" si="2"/>
        <v>44565</v>
      </c>
      <c r="Y19" s="1496" t="s">
        <v>1221</v>
      </c>
      <c r="Z19" s="1495"/>
      <c r="AA19" s="1495"/>
      <c r="AB19" s="1379"/>
      <c r="AC19" s="1506">
        <v>44245</v>
      </c>
      <c r="AD19" s="1505">
        <v>490.25</v>
      </c>
      <c r="AE19" s="1378"/>
      <c r="AF19" s="1459"/>
      <c r="AG19" s="1459"/>
      <c r="AH19" s="1459"/>
      <c r="AI19" s="1459"/>
      <c r="AJ19" s="1459"/>
      <c r="AK19" s="1459"/>
      <c r="AL19" s="1459"/>
      <c r="AN19" s="1459"/>
      <c r="AR19" s="1459"/>
      <c r="AS19" s="1459"/>
      <c r="AT19" s="1459"/>
      <c r="AU19" s="1459"/>
      <c r="AV19" s="1459"/>
      <c r="AW19" s="1459"/>
      <c r="AX19" s="1459"/>
      <c r="AY19" s="1459"/>
      <c r="AZ19" s="1459"/>
      <c r="BA19" s="1459"/>
      <c r="BB19" s="1459"/>
      <c r="BC19" s="1459"/>
      <c r="BD19" s="1459"/>
      <c r="BE19" s="1459"/>
      <c r="BF19" s="1459"/>
      <c r="BG19" s="1459"/>
      <c r="BH19" s="1459"/>
      <c r="BI19" s="1459"/>
      <c r="BJ19" s="1459"/>
      <c r="BK19" s="1459"/>
      <c r="BL19" s="1459"/>
      <c r="BM19" s="1459"/>
      <c r="BN19" s="1459"/>
      <c r="BO19" s="1459"/>
      <c r="BP19" s="1459"/>
      <c r="BQ19" s="1459"/>
      <c r="BR19" s="1459"/>
      <c r="BS19" s="1459"/>
      <c r="BT19" s="1475"/>
      <c r="BU19" s="1475"/>
      <c r="BV19" s="1475"/>
      <c r="BW19" s="1475"/>
      <c r="BX19" s="1475"/>
      <c r="BY19" s="1475"/>
      <c r="BZ19" s="1475"/>
      <c r="CA19" s="1475"/>
      <c r="CB19" s="1475"/>
      <c r="CC19" s="1475"/>
      <c r="CD19" s="1475"/>
      <c r="CE19" s="1475"/>
      <c r="CF19" s="1475"/>
      <c r="CG19" s="1459"/>
      <c r="CH19" s="1459"/>
      <c r="CI19" s="1459"/>
      <c r="CJ19" s="1459"/>
      <c r="CK19" s="1459"/>
      <c r="CL19" s="1459"/>
      <c r="CM19" s="1459"/>
      <c r="CN19" s="1459"/>
      <c r="CO19" s="1459"/>
      <c r="CP19" s="1459"/>
      <c r="CQ19" s="1459"/>
      <c r="CR19" s="1459"/>
      <c r="CS19" s="1475"/>
      <c r="CT19" s="1475"/>
    </row>
    <row r="20" spans="2:98" s="1376" customFormat="1" ht="14.4">
      <c r="B20" s="1494">
        <v>45338</v>
      </c>
      <c r="C20" s="1493">
        <v>45383</v>
      </c>
      <c r="D20" s="1492"/>
      <c r="E20" s="1491"/>
      <c r="F20" s="1490">
        <v>22.62</v>
      </c>
      <c r="G20" s="1489"/>
      <c r="H20" s="1488"/>
      <c r="I20" s="1487">
        <v>302.88</v>
      </c>
      <c r="J20" s="1462"/>
      <c r="K20" s="1423">
        <v>44769</v>
      </c>
      <c r="L20" s="1509">
        <v>312690</v>
      </c>
      <c r="M20" s="1460"/>
      <c r="N20" s="1420"/>
      <c r="O20" s="1420"/>
      <c r="P20" s="1419"/>
      <c r="Q20" s="1418"/>
      <c r="R20" s="1462"/>
      <c r="S20" s="1423">
        <v>45057</v>
      </c>
      <c r="T20" s="1477" t="s">
        <v>635</v>
      </c>
      <c r="U20" s="1418">
        <v>503</v>
      </c>
      <c r="V20" s="1499"/>
      <c r="W20" s="1498">
        <v>14</v>
      </c>
      <c r="X20" s="1497">
        <f t="shared" si="2"/>
        <v>44572</v>
      </c>
      <c r="Y20" s="1496" t="s">
        <v>1220</v>
      </c>
      <c r="Z20" s="1495"/>
      <c r="AA20" s="1495"/>
      <c r="AB20" s="1379"/>
      <c r="AC20" s="1508">
        <v>44256</v>
      </c>
      <c r="AD20" s="1507">
        <f>Q29</f>
        <v>0</v>
      </c>
      <c r="AE20" s="1378"/>
      <c r="AF20" s="1459"/>
      <c r="AG20" s="1459"/>
      <c r="AH20" s="1459"/>
      <c r="AI20" s="1459"/>
      <c r="AJ20" s="1459"/>
      <c r="AK20" s="1459"/>
      <c r="AL20" s="1459"/>
      <c r="AN20" s="1459"/>
      <c r="AR20" s="1459"/>
      <c r="AS20" s="1459"/>
      <c r="AT20" s="1459"/>
      <c r="AU20" s="1459"/>
      <c r="AV20" s="1459"/>
      <c r="AW20" s="1459"/>
      <c r="AX20" s="1459"/>
      <c r="AY20" s="1459"/>
      <c r="AZ20" s="1459"/>
      <c r="BA20" s="1459"/>
      <c r="BB20" s="1459"/>
      <c r="BC20" s="1459"/>
      <c r="BD20" s="1459"/>
      <c r="BE20" s="1459"/>
      <c r="BF20" s="1459"/>
      <c r="BG20" s="1459"/>
      <c r="BH20" s="1459"/>
      <c r="BI20" s="1459"/>
      <c r="BJ20" s="1459"/>
      <c r="BK20" s="1459"/>
      <c r="BL20" s="1459"/>
      <c r="BM20" s="1459"/>
      <c r="BN20" s="1459"/>
      <c r="BO20" s="1459"/>
      <c r="BP20" s="1459"/>
      <c r="BQ20" s="1459"/>
      <c r="BR20" s="1459"/>
      <c r="BS20" s="1459"/>
      <c r="BT20" s="1475"/>
      <c r="BU20" s="1475"/>
      <c r="BV20" s="1475"/>
      <c r="BW20" s="1475"/>
      <c r="BX20" s="1475"/>
      <c r="BY20" s="1475"/>
      <c r="BZ20" s="1475"/>
      <c r="CA20" s="1475"/>
      <c r="CB20" s="1475"/>
      <c r="CC20" s="1475"/>
      <c r="CD20" s="1475"/>
      <c r="CE20" s="1475"/>
      <c r="CF20" s="1475"/>
      <c r="CG20" s="1459"/>
      <c r="CH20" s="1459"/>
      <c r="CI20" s="1459"/>
      <c r="CJ20" s="1459"/>
      <c r="CK20" s="1459"/>
      <c r="CL20" s="1459"/>
      <c r="CM20" s="1459"/>
      <c r="CN20" s="1459"/>
      <c r="CO20" s="1459"/>
      <c r="CP20" s="1459"/>
      <c r="CQ20" s="1459"/>
      <c r="CR20" s="1459"/>
      <c r="CS20" s="1475"/>
      <c r="CT20" s="1475"/>
    </row>
    <row r="21" spans="2:98" s="1376" customFormat="1" ht="14.4">
      <c r="B21" s="1494">
        <v>45324</v>
      </c>
      <c r="C21" s="1493">
        <v>45352</v>
      </c>
      <c r="D21" s="1492"/>
      <c r="E21" s="1491"/>
      <c r="F21" s="1490">
        <v>34.86</v>
      </c>
      <c r="G21" s="1489"/>
      <c r="H21" s="1488"/>
      <c r="I21" s="1487">
        <v>456.32</v>
      </c>
      <c r="J21" s="1462"/>
      <c r="K21" s="1423"/>
      <c r="L21" s="1421"/>
      <c r="M21" s="1421"/>
      <c r="N21" s="1420"/>
      <c r="O21" s="1420"/>
      <c r="P21" s="1419"/>
      <c r="Q21" s="1418"/>
      <c r="R21" s="1462"/>
      <c r="S21" s="1423">
        <v>44676</v>
      </c>
      <c r="T21" s="1477" t="s">
        <v>1217</v>
      </c>
      <c r="U21" s="1418">
        <v>1000</v>
      </c>
      <c r="V21" s="1499"/>
      <c r="W21" s="1498">
        <v>15</v>
      </c>
      <c r="X21" s="1497">
        <f t="shared" si="2"/>
        <v>44579</v>
      </c>
      <c r="Y21" s="1496" t="s">
        <v>1219</v>
      </c>
      <c r="Z21" s="1495"/>
      <c r="AA21" s="1495"/>
      <c r="AB21" s="1379"/>
      <c r="AC21" s="1506">
        <v>44218</v>
      </c>
      <c r="AD21" s="1505">
        <v>334.7</v>
      </c>
      <c r="AE21" s="1378"/>
      <c r="AF21" s="1459"/>
      <c r="AG21" s="1459"/>
      <c r="AH21" s="1459"/>
      <c r="AI21" s="1459"/>
      <c r="AJ21" s="1459"/>
      <c r="AK21" s="1459"/>
      <c r="AL21" s="1459"/>
      <c r="AN21" s="1459"/>
      <c r="AR21" s="1459"/>
      <c r="AS21" s="1459"/>
      <c r="AT21" s="1459"/>
      <c r="AU21" s="1459"/>
      <c r="AV21" s="1459"/>
      <c r="AW21" s="1459"/>
      <c r="AX21" s="1459"/>
      <c r="AY21" s="1459"/>
      <c r="AZ21" s="1459"/>
      <c r="BA21" s="1459"/>
      <c r="BB21" s="1459"/>
      <c r="BC21" s="1459"/>
      <c r="BD21" s="1459"/>
      <c r="BE21" s="1459"/>
      <c r="BF21" s="1459"/>
      <c r="BG21" s="1459"/>
      <c r="BH21" s="1459"/>
      <c r="BI21" s="1459"/>
      <c r="BJ21" s="1459"/>
      <c r="BK21" s="1459"/>
      <c r="BL21" s="1459"/>
      <c r="BM21" s="1459"/>
      <c r="BN21" s="1459"/>
      <c r="BO21" s="1459"/>
      <c r="BP21" s="1459"/>
      <c r="BQ21" s="1459"/>
      <c r="BR21" s="1459"/>
      <c r="BS21" s="1459"/>
      <c r="BT21" s="1475"/>
      <c r="BU21" s="1475"/>
      <c r="BV21" s="1475"/>
      <c r="BW21" s="1475"/>
      <c r="BX21" s="1475"/>
      <c r="BY21" s="1475"/>
      <c r="BZ21" s="1475"/>
      <c r="CA21" s="1475"/>
      <c r="CB21" s="1475"/>
      <c r="CC21" s="1475"/>
      <c r="CD21" s="1475"/>
      <c r="CE21" s="1475"/>
      <c r="CF21" s="1475"/>
      <c r="CG21" s="1459"/>
      <c r="CH21" s="1459"/>
      <c r="CI21" s="1459"/>
      <c r="CJ21" s="1459"/>
      <c r="CK21" s="1459"/>
      <c r="CL21" s="1459"/>
      <c r="CM21" s="1459"/>
      <c r="CN21" s="1459"/>
      <c r="CO21" s="1459"/>
      <c r="CP21" s="1459"/>
      <c r="CQ21" s="1459"/>
      <c r="CR21" s="1459"/>
      <c r="CS21" s="1475"/>
      <c r="CT21" s="1475"/>
    </row>
    <row r="22" spans="2:98" s="1376" customFormat="1">
      <c r="B22" s="1494">
        <v>45290</v>
      </c>
      <c r="C22" s="1493">
        <v>45323</v>
      </c>
      <c r="D22" s="1492"/>
      <c r="E22" s="1491"/>
      <c r="F22" s="1490">
        <v>16.21</v>
      </c>
      <c r="G22" s="1489"/>
      <c r="H22" s="1488"/>
      <c r="I22" s="1487">
        <v>199.22</v>
      </c>
      <c r="J22" s="1462"/>
      <c r="K22" s="1423"/>
      <c r="L22" s="1421"/>
      <c r="M22" s="1421"/>
      <c r="N22" s="1420"/>
      <c r="O22" s="1420"/>
      <c r="P22" s="1419"/>
      <c r="Q22" s="1418"/>
      <c r="R22" s="1462"/>
      <c r="S22" s="1423">
        <v>44487</v>
      </c>
      <c r="T22" s="1477" t="s">
        <v>194</v>
      </c>
      <c r="U22" s="1418">
        <v>399</v>
      </c>
      <c r="V22" s="2793" t="s">
        <v>1227</v>
      </c>
      <c r="W22" s="2794"/>
      <c r="X22" s="2794"/>
      <c r="Y22" s="2794"/>
      <c r="Z22" s="2794"/>
      <c r="AA22" s="2794"/>
      <c r="AB22" s="1379"/>
      <c r="AC22" s="1508">
        <v>44228</v>
      </c>
      <c r="AD22" s="1507">
        <f>Q30</f>
        <v>0</v>
      </c>
      <c r="AE22" s="1459"/>
      <c r="AF22" s="1378"/>
      <c r="AG22" s="1459"/>
      <c r="AH22" s="1459"/>
      <c r="AI22" s="1459"/>
      <c r="AJ22" s="1459"/>
      <c r="AK22" s="1459"/>
      <c r="AL22" s="1459"/>
      <c r="AM22" s="1459"/>
      <c r="AR22" s="1459"/>
      <c r="AS22" s="1459"/>
      <c r="AT22" s="1459"/>
      <c r="AU22" s="1459"/>
      <c r="AV22" s="1459"/>
      <c r="AW22" s="1459"/>
      <c r="AX22" s="1459"/>
      <c r="AY22" s="1459"/>
      <c r="AZ22" s="1459"/>
      <c r="BA22" s="1459"/>
      <c r="BB22" s="1459"/>
      <c r="BC22" s="1459"/>
      <c r="BD22" s="1459"/>
      <c r="BE22" s="1459"/>
      <c r="BF22" s="1459"/>
      <c r="BG22" s="1459"/>
      <c r="BH22" s="1459"/>
      <c r="BI22" s="1459"/>
      <c r="BJ22" s="1459"/>
      <c r="BK22" s="1459"/>
      <c r="BL22" s="1459"/>
      <c r="BM22" s="1459"/>
      <c r="BN22" s="1459"/>
      <c r="BO22" s="1459"/>
      <c r="BP22" s="1459"/>
      <c r="BQ22" s="1459"/>
      <c r="BR22" s="1459"/>
      <c r="BS22" s="1459"/>
      <c r="BT22" s="1475"/>
      <c r="BU22" s="1475"/>
      <c r="BV22" s="1475"/>
      <c r="BW22" s="1475"/>
      <c r="BX22" s="1475"/>
      <c r="BY22" s="1475"/>
      <c r="BZ22" s="1475"/>
      <c r="CA22" s="1475"/>
      <c r="CB22" s="1475"/>
      <c r="CC22" s="1475"/>
      <c r="CD22" s="1475"/>
      <c r="CE22" s="1475"/>
      <c r="CF22" s="1475"/>
      <c r="CG22" s="1459"/>
      <c r="CH22" s="1459"/>
      <c r="CI22" s="1459"/>
      <c r="CJ22" s="1459"/>
      <c r="CK22" s="1459"/>
      <c r="CL22" s="1459"/>
      <c r="CM22" s="1459"/>
      <c r="CN22" s="1459"/>
      <c r="CO22" s="1459"/>
      <c r="CP22" s="1459"/>
      <c r="CQ22" s="1459"/>
      <c r="CR22" s="1459"/>
      <c r="CS22" s="1475"/>
      <c r="CT22" s="1475"/>
    </row>
    <row r="23" spans="2:98" s="1376" customFormat="1">
      <c r="B23" s="1494">
        <v>45280</v>
      </c>
      <c r="C23" s="1493">
        <v>45323</v>
      </c>
      <c r="D23" s="1492">
        <v>328122</v>
      </c>
      <c r="E23" s="1491"/>
      <c r="F23" s="1490">
        <v>61.92</v>
      </c>
      <c r="G23" s="1489"/>
      <c r="H23" s="1488"/>
      <c r="I23" s="1487">
        <v>761</v>
      </c>
      <c r="J23" s="1462"/>
      <c r="K23" s="1423"/>
      <c r="L23" s="1421"/>
      <c r="M23" s="1421"/>
      <c r="N23" s="1420"/>
      <c r="O23" s="1420"/>
      <c r="P23" s="1419"/>
      <c r="Q23" s="1418"/>
      <c r="R23" s="1462"/>
      <c r="S23" s="1423">
        <v>44485</v>
      </c>
      <c r="T23" s="1477" t="s">
        <v>238</v>
      </c>
      <c r="U23" s="1418">
        <v>99</v>
      </c>
      <c r="V23" s="2795"/>
      <c r="W23" s="2796"/>
      <c r="X23" s="2796"/>
      <c r="Y23" s="2796"/>
      <c r="Z23" s="2796"/>
      <c r="AA23" s="2796"/>
      <c r="AB23" s="1379"/>
      <c r="AC23" s="1506">
        <v>44182</v>
      </c>
      <c r="AD23" s="1505">
        <v>392.53</v>
      </c>
      <c r="AE23" s="1459"/>
      <c r="AF23" s="1459"/>
      <c r="AG23" s="1378"/>
      <c r="AH23" s="1459"/>
      <c r="AI23" s="1459"/>
      <c r="AJ23" s="1459"/>
      <c r="AK23" s="1459"/>
      <c r="AL23" s="1459"/>
      <c r="AM23" s="1459"/>
      <c r="AO23" s="1459"/>
      <c r="AP23" s="1459"/>
      <c r="AQ23" s="1459"/>
      <c r="AR23" s="1459"/>
      <c r="AS23" s="1459"/>
      <c r="AT23" s="1459"/>
      <c r="AU23" s="1459"/>
      <c r="AV23" s="1459"/>
      <c r="AW23" s="1459"/>
      <c r="AX23" s="1459"/>
      <c r="AY23" s="1459"/>
      <c r="AZ23" s="1459"/>
      <c r="BA23" s="1459"/>
      <c r="BB23" s="1459"/>
      <c r="BC23" s="1459"/>
      <c r="BD23" s="1459"/>
      <c r="BE23" s="1459"/>
      <c r="BF23" s="1459"/>
      <c r="BG23" s="1459"/>
      <c r="BH23" s="1459"/>
      <c r="BI23" s="1459"/>
      <c r="BJ23" s="1459"/>
      <c r="BK23" s="1459"/>
      <c r="BL23" s="1459"/>
      <c r="BM23" s="1459"/>
      <c r="BN23" s="1459"/>
      <c r="BO23" s="1459"/>
      <c r="BP23" s="1459"/>
      <c r="BQ23" s="1459"/>
      <c r="BR23" s="1459"/>
      <c r="BS23" s="1459"/>
      <c r="BT23" s="1475"/>
      <c r="BU23" s="1475"/>
      <c r="BV23" s="1475"/>
      <c r="BW23" s="1475"/>
      <c r="BX23" s="1475"/>
      <c r="BY23" s="1475"/>
      <c r="BZ23" s="1475"/>
      <c r="CA23" s="1475"/>
      <c r="CB23" s="1475"/>
      <c r="CC23" s="1475"/>
      <c r="CD23" s="1475"/>
      <c r="CE23" s="1475"/>
      <c r="CF23" s="1475"/>
      <c r="CG23" s="1459" t="str">
        <f t="shared" ref="CG23:CG36" si="3">IF(AND($K78&gt;=BS$12,$K78&lt;BS$11),$Q78,"")</f>
        <v/>
      </c>
      <c r="CH23" s="1459" t="str">
        <f t="shared" ref="CH23:CH36" si="4">IF(AND($K78&gt;=BT$12,$K78&lt;BT$11),$Q78,"")</f>
        <v/>
      </c>
      <c r="CI23" s="1459"/>
      <c r="CJ23" s="1459"/>
      <c r="CK23" s="1459"/>
      <c r="CL23" s="1459"/>
      <c r="CM23" s="1459"/>
      <c r="CN23" s="1459"/>
      <c r="CO23" s="1459"/>
      <c r="CP23" s="1459"/>
      <c r="CQ23" s="1459"/>
      <c r="CR23" s="1459"/>
      <c r="CS23" s="1475"/>
      <c r="CT23" s="1475"/>
    </row>
    <row r="24" spans="2:98" s="1376" customFormat="1" ht="14.4">
      <c r="B24" s="2135">
        <v>45246</v>
      </c>
      <c r="C24" s="2104">
        <v>45292</v>
      </c>
      <c r="D24" s="2105"/>
      <c r="E24" s="2106"/>
      <c r="F24" s="2107">
        <v>20.22</v>
      </c>
      <c r="G24" s="2108"/>
      <c r="H24" s="2109"/>
      <c r="I24" s="2110">
        <v>254.57</v>
      </c>
      <c r="J24" s="1462"/>
      <c r="K24" s="1423"/>
      <c r="L24" s="1421"/>
      <c r="M24" s="1421"/>
      <c r="N24" s="1420"/>
      <c r="O24" s="1420"/>
      <c r="P24" s="1419"/>
      <c r="Q24" s="1418"/>
      <c r="R24" s="1462"/>
      <c r="S24" s="1423">
        <v>44469</v>
      </c>
      <c r="T24" s="1477" t="s">
        <v>482</v>
      </c>
      <c r="U24" s="1418">
        <f>'[2]2021'!P589</f>
        <v>762.61</v>
      </c>
      <c r="V24" s="1499">
        <v>44418</v>
      </c>
      <c r="W24" s="1504">
        <v>4</v>
      </c>
      <c r="X24" s="1503">
        <f t="shared" ref="X24:X29" si="5">$V$24+($W24*7)</f>
        <v>44446</v>
      </c>
      <c r="Y24" s="1502" t="s">
        <v>1226</v>
      </c>
      <c r="Z24" s="1501"/>
      <c r="AA24" s="1501"/>
      <c r="AB24" s="1379"/>
      <c r="AC24" s="1378"/>
      <c r="AD24" s="1399"/>
      <c r="AE24" s="1459"/>
      <c r="AF24" s="1459"/>
      <c r="AG24" s="1459"/>
      <c r="AH24" s="1459">
        <v>419.58</v>
      </c>
      <c r="AI24" s="1459"/>
      <c r="AJ24" s="1459"/>
      <c r="AK24" s="1459"/>
      <c r="AL24" s="1459"/>
      <c r="AM24" s="1459"/>
      <c r="AO24" s="1459"/>
      <c r="AP24" s="1459"/>
      <c r="AQ24" s="1459"/>
      <c r="AR24" s="1459"/>
      <c r="AS24" s="1459"/>
      <c r="AT24" s="1459"/>
      <c r="AU24" s="1459"/>
      <c r="AV24" s="1459"/>
      <c r="AW24" s="1459"/>
      <c r="AX24" s="1459"/>
      <c r="AY24" s="1459"/>
      <c r="AZ24" s="1459"/>
      <c r="BA24" s="1459"/>
      <c r="BB24" s="1459"/>
      <c r="BC24" s="1459"/>
      <c r="BD24" s="1459"/>
      <c r="BE24" s="1459"/>
      <c r="BF24" s="1459"/>
      <c r="BG24" s="1459"/>
      <c r="BH24" s="1459"/>
      <c r="BI24" s="1459"/>
      <c r="BJ24" s="1459"/>
      <c r="BK24" s="1459"/>
      <c r="BL24" s="1459"/>
      <c r="BM24" s="1459"/>
      <c r="BN24" s="1459"/>
      <c r="BO24" s="1459"/>
      <c r="BP24" s="1459"/>
      <c r="BQ24" s="1459"/>
      <c r="BR24" s="1459"/>
      <c r="BS24" s="1459"/>
      <c r="BT24" s="1475"/>
      <c r="BU24" s="1475"/>
      <c r="BV24" s="1475"/>
      <c r="BW24" s="1475"/>
      <c r="BX24" s="1475"/>
      <c r="BY24" s="1475"/>
      <c r="BZ24" s="1475"/>
      <c r="CA24" s="1475"/>
      <c r="CB24" s="1475"/>
      <c r="CC24" s="1475"/>
      <c r="CD24" s="1475"/>
      <c r="CE24" s="1475"/>
      <c r="CF24" s="1475"/>
      <c r="CG24" s="1459" t="str">
        <f t="shared" si="3"/>
        <v/>
      </c>
      <c r="CH24" s="1459" t="str">
        <f t="shared" si="4"/>
        <v/>
      </c>
      <c r="CI24" s="1459"/>
      <c r="CJ24" s="1459"/>
      <c r="CK24" s="1459"/>
      <c r="CL24" s="1459"/>
      <c r="CM24" s="1459"/>
      <c r="CN24" s="1459"/>
      <c r="CO24" s="1459"/>
      <c r="CP24" s="1459"/>
      <c r="CQ24" s="1459"/>
      <c r="CR24" s="1459"/>
      <c r="CS24" s="1475"/>
      <c r="CT24" s="1475"/>
    </row>
    <row r="25" spans="2:98" s="1376" customFormat="1" ht="14.4">
      <c r="B25" s="2111">
        <v>45242</v>
      </c>
      <c r="C25" s="2112">
        <v>45261</v>
      </c>
      <c r="D25" s="2113"/>
      <c r="E25" s="2114"/>
      <c r="F25" s="2115">
        <v>16.05</v>
      </c>
      <c r="G25" s="2116"/>
      <c r="H25" s="2117"/>
      <c r="I25" s="2118">
        <v>200.46</v>
      </c>
      <c r="J25" s="1462"/>
      <c r="K25" s="1423"/>
      <c r="L25" s="1421"/>
      <c r="M25" s="1421"/>
      <c r="N25" s="1420"/>
      <c r="O25" s="1420"/>
      <c r="P25" s="1419"/>
      <c r="Q25" s="1418"/>
      <c r="R25" s="1462"/>
      <c r="S25" s="1423">
        <v>44179</v>
      </c>
      <c r="T25" s="1477" t="s">
        <v>1225</v>
      </c>
      <c r="U25" s="1418">
        <v>1600</v>
      </c>
      <c r="V25" s="1499"/>
      <c r="W25" s="1504">
        <v>9</v>
      </c>
      <c r="X25" s="1503">
        <f t="shared" si="5"/>
        <v>44481</v>
      </c>
      <c r="Y25" s="1502" t="s">
        <v>1224</v>
      </c>
      <c r="Z25" s="1501"/>
      <c r="AA25" s="1501"/>
      <c r="AB25" s="1379"/>
      <c r="AC25" s="1400">
        <v>44168</v>
      </c>
      <c r="AD25" s="1399"/>
      <c r="AE25" s="1459"/>
      <c r="AF25" s="1459"/>
      <c r="AG25" s="1459"/>
      <c r="AH25" s="1459"/>
      <c r="AI25" s="1459">
        <v>476.82</v>
      </c>
      <c r="AJ25" s="1459"/>
      <c r="AK25" s="1459"/>
      <c r="AL25" s="1459"/>
      <c r="AM25" s="1459"/>
      <c r="AO25" s="1459"/>
      <c r="AP25" s="1459"/>
      <c r="AQ25" s="1459"/>
      <c r="AS25" s="1459"/>
      <c r="AT25" s="1459"/>
      <c r="AU25" s="1459"/>
      <c r="AV25" s="1459"/>
      <c r="AW25" s="1459"/>
      <c r="AX25" s="1459"/>
      <c r="AY25" s="1459"/>
      <c r="AZ25" s="1459"/>
      <c r="BA25" s="1459"/>
      <c r="BB25" s="1459"/>
      <c r="BC25" s="1459"/>
      <c r="BD25" s="1459"/>
      <c r="BE25" s="1459"/>
      <c r="BF25" s="1459"/>
      <c r="BG25" s="1459"/>
      <c r="BH25" s="1459"/>
      <c r="BI25" s="1459"/>
      <c r="BJ25" s="1459"/>
      <c r="BK25" s="1459"/>
      <c r="BL25" s="1459"/>
      <c r="BM25" s="1459"/>
      <c r="BN25" s="1459"/>
      <c r="BO25" s="1459"/>
      <c r="BP25" s="1459"/>
      <c r="BQ25" s="1459"/>
      <c r="BR25" s="1459"/>
      <c r="BS25" s="1459"/>
      <c r="BT25" s="1475"/>
      <c r="BU25" s="1475"/>
      <c r="BV25" s="1475"/>
      <c r="BW25" s="1475"/>
      <c r="BX25" s="1475"/>
      <c r="BY25" s="1475"/>
      <c r="BZ25" s="1475"/>
      <c r="CA25" s="1475"/>
      <c r="CB25" s="1475"/>
      <c r="CC25" s="1475"/>
      <c r="CD25" s="1475"/>
      <c r="CE25" s="1475"/>
      <c r="CF25" s="1475"/>
      <c r="CG25" s="1459" t="str">
        <f t="shared" si="3"/>
        <v/>
      </c>
      <c r="CH25" s="1459" t="str">
        <f t="shared" si="4"/>
        <v/>
      </c>
      <c r="CI25" s="1459"/>
      <c r="CJ25" s="1459"/>
      <c r="CK25" s="1459"/>
      <c r="CL25" s="1459"/>
      <c r="CM25" s="1459"/>
      <c r="CN25" s="1459"/>
      <c r="CO25" s="1459"/>
      <c r="CP25" s="1459"/>
      <c r="CQ25" s="1459"/>
      <c r="CR25" s="1459"/>
      <c r="CS25" s="1475"/>
      <c r="CT25" s="1475"/>
    </row>
    <row r="26" spans="2:98" s="1376" customFormat="1" ht="14.4">
      <c r="B26" s="1494">
        <v>45232</v>
      </c>
      <c r="C26" s="1493">
        <v>45261</v>
      </c>
      <c r="D26" s="1492"/>
      <c r="E26" s="1491"/>
      <c r="F26" s="1490">
        <v>23.23</v>
      </c>
      <c r="G26" s="1489"/>
      <c r="H26" s="1488"/>
      <c r="I26" s="1487">
        <v>304.08</v>
      </c>
      <c r="J26" s="1462"/>
      <c r="K26" s="1423"/>
      <c r="L26" s="1421"/>
      <c r="M26" s="1421"/>
      <c r="N26" s="1420"/>
      <c r="O26" s="1420"/>
      <c r="P26" s="1419"/>
      <c r="Q26" s="1418"/>
      <c r="R26" s="1462"/>
      <c r="S26" s="1423">
        <v>44055</v>
      </c>
      <c r="T26" s="1477" t="s">
        <v>1223</v>
      </c>
      <c r="U26" s="1418">
        <v>359</v>
      </c>
      <c r="V26" s="1499"/>
      <c r="W26" s="1504">
        <v>10</v>
      </c>
      <c r="X26" s="1503">
        <f t="shared" si="5"/>
        <v>44488</v>
      </c>
      <c r="Y26" s="1502" t="s">
        <v>1222</v>
      </c>
      <c r="Z26" s="1501"/>
      <c r="AA26" s="1501"/>
      <c r="AB26" s="1379"/>
      <c r="AC26" s="1400">
        <v>44140</v>
      </c>
      <c r="AD26" s="1399"/>
      <c r="AE26" s="1459"/>
      <c r="AF26" s="1459"/>
      <c r="AG26" s="1459"/>
      <c r="AH26" s="1459"/>
      <c r="AI26" s="1459">
        <v>427.6</v>
      </c>
      <c r="AJ26" s="1378"/>
      <c r="AK26" s="1459"/>
      <c r="AL26" s="1459"/>
      <c r="AM26" s="1459"/>
      <c r="AN26" s="1459"/>
      <c r="AO26" s="1459"/>
      <c r="AP26" s="1459"/>
      <c r="AQ26" s="1459"/>
      <c r="AR26" s="1378"/>
      <c r="AS26" s="1459"/>
      <c r="AT26" s="1459"/>
      <c r="AU26" s="1459"/>
      <c r="AV26" s="1459"/>
      <c r="AW26" s="1459"/>
      <c r="AX26" s="1459"/>
      <c r="AY26" s="1459"/>
      <c r="AZ26" s="1459"/>
      <c r="BA26" s="1459"/>
      <c r="BB26" s="1459"/>
      <c r="BC26" s="1459"/>
      <c r="BD26" s="1459"/>
      <c r="BE26" s="1459"/>
      <c r="BF26" s="1459"/>
      <c r="BG26" s="1459"/>
      <c r="BH26" s="1459"/>
      <c r="BI26" s="1459"/>
      <c r="BJ26" s="1459"/>
      <c r="BK26" s="1459"/>
      <c r="BL26" s="1459"/>
      <c r="BM26" s="1459"/>
      <c r="BN26" s="1459"/>
      <c r="BO26" s="1459"/>
      <c r="BP26" s="1459"/>
      <c r="BQ26" s="1459"/>
      <c r="BR26" s="1459"/>
      <c r="BS26" s="1459"/>
      <c r="BT26" s="1475"/>
      <c r="BU26" s="1475"/>
      <c r="BV26" s="1475"/>
      <c r="BW26" s="1475"/>
      <c r="BX26" s="1475"/>
      <c r="BY26" s="1475"/>
      <c r="BZ26" s="1475"/>
      <c r="CA26" s="1475"/>
      <c r="CB26" s="1475"/>
      <c r="CC26" s="1475"/>
      <c r="CD26" s="1475"/>
      <c r="CE26" s="1475"/>
      <c r="CF26" s="1475"/>
      <c r="CG26" s="1459" t="str">
        <f t="shared" si="3"/>
        <v/>
      </c>
      <c r="CH26" s="1459" t="str">
        <f t="shared" si="4"/>
        <v/>
      </c>
      <c r="CI26" s="1459"/>
      <c r="CJ26" s="1459"/>
      <c r="CK26" s="1459"/>
      <c r="CL26" s="1459"/>
      <c r="CM26" s="1459"/>
      <c r="CN26" s="1459"/>
      <c r="CO26" s="1459"/>
      <c r="CP26" s="1459"/>
      <c r="CQ26" s="1459"/>
      <c r="CR26" s="1459"/>
      <c r="CS26" s="1475"/>
      <c r="CT26" s="1475"/>
    </row>
    <row r="27" spans="2:98" s="1376" customFormat="1" ht="14.4">
      <c r="B27" s="1494">
        <v>45222</v>
      </c>
      <c r="C27" s="1493">
        <v>45261</v>
      </c>
      <c r="D27" s="1492"/>
      <c r="E27" s="1491"/>
      <c r="F27" s="1490">
        <v>13.49</v>
      </c>
      <c r="G27" s="1489"/>
      <c r="H27" s="1488"/>
      <c r="I27" s="1487">
        <v>302.04000000000002</v>
      </c>
      <c r="J27" s="1462"/>
      <c r="K27" s="1423"/>
      <c r="L27" s="1421"/>
      <c r="M27" s="1421"/>
      <c r="N27" s="1420"/>
      <c r="O27" s="1420"/>
      <c r="P27" s="1419"/>
      <c r="Q27" s="1418"/>
      <c r="R27" s="1462"/>
      <c r="S27" s="1423">
        <v>44047</v>
      </c>
      <c r="T27" s="1477" t="s">
        <v>482</v>
      </c>
      <c r="U27" s="1418">
        <v>167.95</v>
      </c>
      <c r="V27" s="1499"/>
      <c r="W27" s="1498">
        <v>13</v>
      </c>
      <c r="X27" s="1497">
        <f t="shared" si="5"/>
        <v>44509</v>
      </c>
      <c r="Y27" s="1496" t="s">
        <v>1221</v>
      </c>
      <c r="Z27" s="1495"/>
      <c r="AA27" s="1495"/>
      <c r="AB27" s="1379"/>
      <c r="AC27" s="1400">
        <v>44120</v>
      </c>
      <c r="AD27" s="1399"/>
      <c r="AE27" s="1459"/>
      <c r="AF27" s="1459"/>
      <c r="AG27" s="1459"/>
      <c r="AH27" s="1459"/>
      <c r="AI27" s="1459"/>
      <c r="AJ27" s="1459">
        <v>534.75</v>
      </c>
      <c r="AK27" s="1378"/>
      <c r="AL27" s="1459"/>
      <c r="AM27" s="1459"/>
      <c r="AN27" s="1459"/>
      <c r="AO27" s="1459"/>
      <c r="AP27" s="1459"/>
      <c r="AQ27" s="1459"/>
      <c r="AR27" s="1378"/>
      <c r="AS27" s="1459"/>
      <c r="AT27" s="1459"/>
      <c r="AU27" s="1459"/>
      <c r="AV27" s="1459"/>
      <c r="AW27" s="1459"/>
      <c r="AX27" s="1459"/>
      <c r="AY27" s="1459"/>
      <c r="AZ27" s="1459"/>
      <c r="BA27" s="1459"/>
      <c r="BB27" s="1459"/>
      <c r="BC27" s="1459"/>
      <c r="BD27" s="1459"/>
      <c r="BE27" s="1459"/>
      <c r="BF27" s="1459"/>
      <c r="BG27" s="1459"/>
      <c r="BH27" s="1459"/>
      <c r="BI27" s="1459"/>
      <c r="BJ27" s="1459"/>
      <c r="BK27" s="1459"/>
      <c r="BL27" s="1459"/>
      <c r="BM27" s="1459"/>
      <c r="BN27" s="1459"/>
      <c r="BO27" s="1459"/>
      <c r="BP27" s="1459"/>
      <c r="BQ27" s="1459"/>
      <c r="BR27" s="1459"/>
      <c r="BS27" s="1459"/>
      <c r="BT27" s="1475"/>
      <c r="BU27" s="1475"/>
      <c r="BV27" s="1475"/>
      <c r="BW27" s="1475"/>
      <c r="BX27" s="1475"/>
      <c r="BY27" s="1475"/>
      <c r="BZ27" s="1475"/>
      <c r="CA27" s="1475"/>
      <c r="CB27" s="1475"/>
      <c r="CC27" s="1475"/>
      <c r="CD27" s="1475"/>
      <c r="CE27" s="1475"/>
      <c r="CF27" s="1475"/>
      <c r="CG27" s="1459" t="str">
        <f t="shared" si="3"/>
        <v/>
      </c>
      <c r="CH27" s="1459" t="str">
        <f t="shared" si="4"/>
        <v/>
      </c>
      <c r="CI27" s="1459"/>
      <c r="CJ27" s="1459"/>
      <c r="CK27" s="1459"/>
      <c r="CL27" s="1459"/>
      <c r="CM27" s="1459"/>
      <c r="CN27" s="1459"/>
      <c r="CO27" s="1459"/>
      <c r="CP27" s="1459"/>
      <c r="CQ27" s="1459"/>
      <c r="CR27" s="1459"/>
      <c r="CS27" s="1475"/>
      <c r="CT27" s="1475"/>
    </row>
    <row r="28" spans="2:98" s="1376" customFormat="1" ht="14.4">
      <c r="B28" s="2127">
        <v>45216</v>
      </c>
      <c r="C28" s="2128">
        <v>45261</v>
      </c>
      <c r="D28" s="2129"/>
      <c r="E28" s="2130"/>
      <c r="F28" s="2131">
        <v>67.709999999999994</v>
      </c>
      <c r="G28" s="2132"/>
      <c r="H28" s="2133"/>
      <c r="I28" s="2134">
        <v>913.41</v>
      </c>
      <c r="J28" s="1462"/>
      <c r="K28" s="1423"/>
      <c r="L28" s="1421"/>
      <c r="M28" s="1421"/>
      <c r="N28" s="1420"/>
      <c r="O28" s="1420"/>
      <c r="P28" s="1419"/>
      <c r="Q28" s="1418"/>
      <c r="R28" s="1462"/>
      <c r="S28" s="1423">
        <v>43935</v>
      </c>
      <c r="T28" s="1477" t="s">
        <v>154</v>
      </c>
      <c r="U28" s="1418">
        <v>1280</v>
      </c>
      <c r="V28" s="1499"/>
      <c r="W28" s="1498">
        <v>14</v>
      </c>
      <c r="X28" s="1497">
        <f t="shared" si="5"/>
        <v>44516</v>
      </c>
      <c r="Y28" s="1496" t="s">
        <v>1220</v>
      </c>
      <c r="Z28" s="1495"/>
      <c r="AA28" s="1495"/>
      <c r="AB28" s="1379"/>
      <c r="AC28" s="1400">
        <v>44105</v>
      </c>
      <c r="AD28" s="1399"/>
      <c r="AE28" s="1459"/>
      <c r="AF28" s="1459"/>
      <c r="AG28" s="1459"/>
      <c r="AH28" s="1459"/>
      <c r="AI28" s="1459"/>
      <c r="AJ28" s="1459"/>
      <c r="AK28" s="1459"/>
      <c r="AL28" s="1459">
        <v>441.63</v>
      </c>
      <c r="AM28" s="1459"/>
      <c r="AN28" s="1459"/>
      <c r="AO28" s="1459"/>
      <c r="AP28" s="1459"/>
      <c r="AQ28" s="1459"/>
      <c r="AR28" s="1378"/>
      <c r="AS28" s="1459"/>
      <c r="AT28" s="1459"/>
      <c r="AU28" s="1459"/>
      <c r="AV28" s="1459"/>
      <c r="AW28" s="1459"/>
      <c r="AX28" s="1459"/>
      <c r="AY28" s="1459"/>
      <c r="AZ28" s="1459"/>
      <c r="BA28" s="1459"/>
      <c r="BB28" s="1459"/>
      <c r="BC28" s="1459"/>
      <c r="BD28" s="1459"/>
      <c r="BE28" s="1459"/>
      <c r="BF28" s="1459"/>
      <c r="BG28" s="1459"/>
      <c r="BH28" s="1459"/>
      <c r="BI28" s="1459"/>
      <c r="BJ28" s="1459"/>
      <c r="BK28" s="1459"/>
      <c r="BL28" s="1459"/>
      <c r="BM28" s="1459"/>
      <c r="BN28" s="1459"/>
      <c r="BO28" s="1459"/>
      <c r="BP28" s="1459"/>
      <c r="BQ28" s="1459"/>
      <c r="BR28" s="1459"/>
      <c r="BS28" s="1459"/>
      <c r="BT28" s="1475"/>
      <c r="BU28" s="1475"/>
      <c r="BV28" s="1475"/>
      <c r="BW28" s="1475"/>
      <c r="BX28" s="1475"/>
      <c r="BY28" s="1475"/>
      <c r="BZ28" s="1475"/>
      <c r="CA28" s="1475"/>
      <c r="CB28" s="1475"/>
      <c r="CC28" s="1475"/>
      <c r="CD28" s="1475"/>
      <c r="CE28" s="1475"/>
      <c r="CF28" s="1475"/>
      <c r="CG28" s="1459" t="str">
        <f t="shared" si="3"/>
        <v/>
      </c>
      <c r="CH28" s="1459" t="str">
        <f t="shared" si="4"/>
        <v/>
      </c>
      <c r="CI28" s="1459"/>
      <c r="CJ28" s="1459"/>
      <c r="CK28" s="1459"/>
      <c r="CL28" s="1459"/>
      <c r="CM28" s="1459"/>
      <c r="CN28" s="1459"/>
      <c r="CO28" s="1459"/>
      <c r="CP28" s="1459"/>
      <c r="CQ28" s="1459"/>
      <c r="CR28" s="1459"/>
      <c r="CS28" s="1475"/>
      <c r="CT28" s="1475"/>
    </row>
    <row r="29" spans="2:98" s="1376" customFormat="1" ht="14.4">
      <c r="B29" s="2119">
        <v>45214</v>
      </c>
      <c r="C29" s="2120">
        <v>45231</v>
      </c>
      <c r="D29" s="2121"/>
      <c r="E29" s="2122"/>
      <c r="F29" s="2123">
        <v>10.41</v>
      </c>
      <c r="G29" s="2124"/>
      <c r="H29" s="2125"/>
      <c r="I29" s="2126">
        <v>137.31</v>
      </c>
      <c r="J29" s="1462"/>
      <c r="K29" s="1423"/>
      <c r="L29" s="1421"/>
      <c r="M29" s="1421"/>
      <c r="N29" s="1420"/>
      <c r="O29" s="1420"/>
      <c r="P29" s="1419"/>
      <c r="Q29" s="1418"/>
      <c r="R29" s="1462"/>
      <c r="S29" s="1423">
        <v>44185</v>
      </c>
      <c r="T29" s="1477" t="s">
        <v>154</v>
      </c>
      <c r="U29" s="1418">
        <v>300</v>
      </c>
      <c r="V29" s="1499"/>
      <c r="W29" s="1498">
        <v>15</v>
      </c>
      <c r="X29" s="1497">
        <f t="shared" si="5"/>
        <v>44523</v>
      </c>
      <c r="Y29" s="1496" t="s">
        <v>1219</v>
      </c>
      <c r="Z29" s="1495"/>
      <c r="AA29" s="1495"/>
      <c r="AB29" s="1379"/>
      <c r="AC29" s="1400">
        <v>44074</v>
      </c>
      <c r="AD29" s="1399"/>
      <c r="AE29" s="1459"/>
      <c r="AF29" s="1459"/>
      <c r="AG29" s="1459"/>
      <c r="AH29" s="1459"/>
      <c r="AI29" s="1459"/>
      <c r="AJ29" s="1459"/>
      <c r="AK29" s="1459"/>
      <c r="AL29" s="1459"/>
      <c r="AM29" s="1459">
        <v>401.63</v>
      </c>
      <c r="AN29" s="1459"/>
      <c r="AO29" s="1459">
        <v>426.66</v>
      </c>
      <c r="AP29" s="1459"/>
      <c r="AQ29" s="1459"/>
      <c r="AR29" s="1459"/>
      <c r="AS29" s="1378"/>
      <c r="AT29" s="1459"/>
      <c r="AU29" s="1459"/>
      <c r="AV29" s="1459"/>
      <c r="AW29" s="1459"/>
      <c r="AX29" s="1459"/>
      <c r="AY29" s="1459"/>
      <c r="AZ29" s="1459"/>
      <c r="BA29" s="1459"/>
      <c r="BB29" s="1459"/>
      <c r="BC29" s="1459"/>
      <c r="BD29" s="1459"/>
      <c r="BE29" s="1459"/>
      <c r="BF29" s="1459"/>
      <c r="BG29" s="1459"/>
      <c r="BH29" s="1459"/>
      <c r="BI29" s="1459"/>
      <c r="BJ29" s="1459"/>
      <c r="BK29" s="1459"/>
      <c r="BL29" s="1459"/>
      <c r="BM29" s="1459" t="str">
        <f t="shared" ref="BM29:BQ38" si="6">IF(AND($K66&gt;=BM$12,$K66&lt;BL$12),$Q66,"")</f>
        <v/>
      </c>
      <c r="BN29" s="1459" t="str">
        <f t="shared" si="6"/>
        <v/>
      </c>
      <c r="BO29" s="1459" t="str">
        <f t="shared" si="6"/>
        <v/>
      </c>
      <c r="BP29" s="1459" t="str">
        <f t="shared" si="6"/>
        <v/>
      </c>
      <c r="BQ29" s="1459" t="str">
        <f t="shared" si="6"/>
        <v/>
      </c>
      <c r="BR29" s="1459" t="str">
        <f t="shared" ref="BR29:BS53" si="7">IF(AND($K66&gt;=BR$12,$K66&lt;BR$11),$Q66,"")</f>
        <v/>
      </c>
      <c r="BS29" s="1459" t="str">
        <f t="shared" si="7"/>
        <v/>
      </c>
      <c r="BT29" s="1475"/>
      <c r="BU29" s="1475"/>
      <c r="BV29" s="1475"/>
      <c r="BW29" s="1475"/>
      <c r="BX29" s="1475"/>
      <c r="BY29" s="1475"/>
      <c r="BZ29" s="1475"/>
      <c r="CA29" s="1475"/>
      <c r="CB29" s="1475"/>
      <c r="CC29" s="1475"/>
      <c r="CD29" s="1475"/>
      <c r="CE29" s="1475"/>
      <c r="CF29" s="1475"/>
      <c r="CG29" s="1459" t="str">
        <f t="shared" si="3"/>
        <v/>
      </c>
      <c r="CH29" s="1459" t="str">
        <f t="shared" si="4"/>
        <v/>
      </c>
      <c r="CI29" s="1459"/>
      <c r="CJ29" s="1459"/>
      <c r="CK29" s="1459"/>
      <c r="CL29" s="1459"/>
      <c r="CM29" s="1459"/>
      <c r="CN29" s="1459"/>
      <c r="CO29" s="1459"/>
      <c r="CP29" s="1459"/>
      <c r="CQ29" s="1459"/>
      <c r="CR29" s="1459"/>
      <c r="CS29" s="1475"/>
      <c r="CT29" s="1475"/>
    </row>
    <row r="30" spans="2:98" s="1376" customFormat="1">
      <c r="B30" s="1494">
        <v>45210</v>
      </c>
      <c r="C30" s="1493">
        <v>45231</v>
      </c>
      <c r="D30" s="1492"/>
      <c r="E30" s="1491"/>
      <c r="F30" s="1490">
        <v>19.95</v>
      </c>
      <c r="G30" s="1489"/>
      <c r="H30" s="1488"/>
      <c r="I30" s="1487">
        <v>263.14</v>
      </c>
      <c r="J30" s="1462"/>
      <c r="K30" s="1423"/>
      <c r="L30" s="1421"/>
      <c r="M30" s="1421"/>
      <c r="N30" s="1420"/>
      <c r="O30" s="1420"/>
      <c r="P30" s="1419"/>
      <c r="Q30" s="1418"/>
      <c r="R30" s="1462"/>
      <c r="S30" s="1423">
        <v>43810</v>
      </c>
      <c r="T30" s="1477" t="s">
        <v>482</v>
      </c>
      <c r="U30" s="1418">
        <v>506.23</v>
      </c>
      <c r="V30" s="1472"/>
      <c r="W30" s="1472"/>
      <c r="X30" s="1472"/>
      <c r="Y30" s="1472"/>
      <c r="Z30" s="1472"/>
      <c r="AA30" s="1472"/>
      <c r="AB30" s="1379"/>
      <c r="AC30" s="1400">
        <v>44048</v>
      </c>
      <c r="AD30" s="1399"/>
      <c r="AE30" s="1378"/>
      <c r="AF30" s="1459"/>
      <c r="AG30" s="1459"/>
      <c r="AH30" s="1459"/>
      <c r="AI30" s="1459"/>
      <c r="AJ30" s="1459"/>
      <c r="AK30" s="1459"/>
      <c r="AL30" s="1459"/>
      <c r="AM30" s="1459">
        <v>334.86</v>
      </c>
      <c r="AN30" s="1459"/>
      <c r="AO30" s="1399"/>
      <c r="AP30" s="1399">
        <v>379.46</v>
      </c>
      <c r="AQ30" s="1399"/>
      <c r="AR30" s="1459"/>
      <c r="AS30" s="1378"/>
      <c r="AT30" s="1459"/>
      <c r="AU30" s="1459"/>
      <c r="AV30" s="1459"/>
      <c r="AW30" s="1459"/>
      <c r="AX30" s="1459"/>
      <c r="AY30" s="1459"/>
      <c r="AZ30" s="1459"/>
      <c r="BA30" s="1459"/>
      <c r="BB30" s="1459"/>
      <c r="BC30" s="1459"/>
      <c r="BD30" s="1459"/>
      <c r="BE30" s="1459"/>
      <c r="BF30" s="1459"/>
      <c r="BG30" s="1459"/>
      <c r="BH30" s="1459"/>
      <c r="BI30" s="1459"/>
      <c r="BJ30" s="1459"/>
      <c r="BK30" s="1459"/>
      <c r="BL30" s="1459"/>
      <c r="BM30" s="1459" t="str">
        <f t="shared" si="6"/>
        <v/>
      </c>
      <c r="BN30" s="1459" t="str">
        <f t="shared" si="6"/>
        <v/>
      </c>
      <c r="BO30" s="1459" t="str">
        <f t="shared" si="6"/>
        <v/>
      </c>
      <c r="BP30" s="1459" t="str">
        <f t="shared" si="6"/>
        <v/>
      </c>
      <c r="BQ30" s="1459" t="str">
        <f t="shared" si="6"/>
        <v/>
      </c>
      <c r="BR30" s="1459" t="str">
        <f t="shared" si="7"/>
        <v/>
      </c>
      <c r="BS30" s="1459" t="str">
        <f t="shared" si="7"/>
        <v/>
      </c>
      <c r="BT30" s="1475"/>
      <c r="BU30" s="1475"/>
      <c r="BV30" s="1475"/>
      <c r="BW30" s="1475"/>
      <c r="BX30" s="1475"/>
      <c r="BY30" s="1475"/>
      <c r="BZ30" s="1475"/>
      <c r="CA30" s="1475"/>
      <c r="CB30" s="1475"/>
      <c r="CC30" s="1475"/>
      <c r="CD30" s="1475"/>
      <c r="CE30" s="1475"/>
      <c r="CF30" s="1475"/>
      <c r="CG30" s="1459" t="str">
        <f t="shared" si="3"/>
        <v/>
      </c>
      <c r="CH30" s="1459" t="str">
        <f t="shared" si="4"/>
        <v/>
      </c>
      <c r="CI30" s="1459"/>
      <c r="CJ30" s="1459"/>
      <c r="CK30" s="1459"/>
      <c r="CL30" s="1459"/>
      <c r="CM30" s="1459"/>
      <c r="CN30" s="1459"/>
      <c r="CO30" s="1459"/>
      <c r="CP30" s="1459"/>
      <c r="CQ30" s="1459"/>
      <c r="CR30" s="1459"/>
      <c r="CS30" s="1475"/>
      <c r="CT30" s="1475"/>
    </row>
    <row r="31" spans="2:98" s="1376" customFormat="1">
      <c r="B31" s="1494">
        <v>45210</v>
      </c>
      <c r="C31" s="1493">
        <v>45231</v>
      </c>
      <c r="D31" s="1492"/>
      <c r="E31" s="1491"/>
      <c r="F31" s="1490">
        <v>20.170000000000002</v>
      </c>
      <c r="G31" s="1489"/>
      <c r="H31" s="1488"/>
      <c r="I31" s="1487">
        <v>266.07</v>
      </c>
      <c r="J31" s="1462"/>
      <c r="K31" s="1423"/>
      <c r="L31" s="1421"/>
      <c r="M31" s="1421"/>
      <c r="N31" s="1420"/>
      <c r="O31" s="1420"/>
      <c r="P31" s="1419"/>
      <c r="Q31" s="1418"/>
      <c r="R31" s="1462"/>
      <c r="S31" s="1423">
        <v>43685</v>
      </c>
      <c r="T31" s="1477" t="s">
        <v>154</v>
      </c>
      <c r="U31" s="1418">
        <v>1000</v>
      </c>
      <c r="V31" s="1472"/>
      <c r="W31" s="1472"/>
      <c r="X31" s="1472"/>
      <c r="Y31" s="1472"/>
      <c r="Z31" s="1472"/>
      <c r="AA31" s="1472"/>
      <c r="AB31" s="1379"/>
      <c r="AC31" s="1400">
        <v>44030</v>
      </c>
      <c r="AD31" s="1399"/>
      <c r="AE31" s="1459"/>
      <c r="AF31" s="1459"/>
      <c r="AG31" s="1459"/>
      <c r="AH31" s="1459"/>
      <c r="AI31" s="1459"/>
      <c r="AJ31" s="1459"/>
      <c r="AK31" s="1459"/>
      <c r="AL31" s="1459"/>
      <c r="AM31" s="1459"/>
      <c r="AN31" s="1459">
        <f>Q38</f>
        <v>0</v>
      </c>
      <c r="AO31" s="1399"/>
      <c r="AP31" s="1399">
        <v>157.16999999999999</v>
      </c>
      <c r="AQ31" s="1399"/>
      <c r="AR31" s="1399"/>
      <c r="AS31" s="1399"/>
      <c r="AT31" s="1459">
        <v>493.43</v>
      </c>
      <c r="AU31" s="1459"/>
      <c r="AV31" s="1459">
        <v>200.45</v>
      </c>
      <c r="AW31" s="1459"/>
      <c r="AX31" s="1459"/>
      <c r="AY31" s="1459"/>
      <c r="AZ31" s="1459"/>
      <c r="BA31" s="1459"/>
      <c r="BB31" s="1459"/>
      <c r="BC31" s="1459"/>
      <c r="BD31" s="1459"/>
      <c r="BE31" s="1459"/>
      <c r="BF31" s="1459"/>
      <c r="BG31" s="1459"/>
      <c r="BH31" s="1459"/>
      <c r="BI31" s="1459"/>
      <c r="BJ31" s="1459"/>
      <c r="BK31" s="1459"/>
      <c r="BL31" s="1459"/>
      <c r="BM31" s="1459" t="str">
        <f t="shared" si="6"/>
        <v/>
      </c>
      <c r="BN31" s="1459" t="str">
        <f t="shared" si="6"/>
        <v/>
      </c>
      <c r="BO31" s="1459" t="str">
        <f t="shared" si="6"/>
        <v/>
      </c>
      <c r="BP31" s="1459" t="str">
        <f t="shared" si="6"/>
        <v/>
      </c>
      <c r="BQ31" s="1459" t="str">
        <f t="shared" si="6"/>
        <v/>
      </c>
      <c r="BR31" s="1459" t="str">
        <f t="shared" si="7"/>
        <v/>
      </c>
      <c r="BS31" s="1459" t="str">
        <f t="shared" si="7"/>
        <v/>
      </c>
      <c r="BT31" s="1475"/>
      <c r="BU31" s="1475"/>
      <c r="BV31" s="1475"/>
      <c r="BW31" s="1475"/>
      <c r="BX31" s="1475"/>
      <c r="BY31" s="1475"/>
      <c r="BZ31" s="1475"/>
      <c r="CA31" s="1475"/>
      <c r="CB31" s="1475"/>
      <c r="CC31" s="1475"/>
      <c r="CD31" s="1475"/>
      <c r="CE31" s="1475"/>
      <c r="CF31" s="1475"/>
      <c r="CG31" s="1459" t="str">
        <f t="shared" si="3"/>
        <v/>
      </c>
      <c r="CH31" s="1459" t="str">
        <f t="shared" si="4"/>
        <v/>
      </c>
      <c r="CI31" s="1459"/>
      <c r="CJ31" s="1459"/>
      <c r="CK31" s="1459"/>
      <c r="CL31" s="1459"/>
      <c r="CM31" s="1459"/>
      <c r="CN31" s="1459"/>
      <c r="CO31" s="1459"/>
      <c r="CP31" s="1459"/>
      <c r="CQ31" s="1459"/>
      <c r="CR31" s="1459"/>
      <c r="CS31" s="1475"/>
      <c r="CT31" s="1475"/>
    </row>
    <row r="32" spans="2:98" s="1376" customFormat="1">
      <c r="B32" s="1494">
        <v>45210</v>
      </c>
      <c r="C32" s="1493">
        <v>45231</v>
      </c>
      <c r="D32" s="1492">
        <f t="shared" ref="D32:D39" si="8">D33</f>
        <v>325438</v>
      </c>
      <c r="E32" s="1491">
        <f t="shared" ref="E32:E56" si="9">D32-D33</f>
        <v>0</v>
      </c>
      <c r="F32" s="1490">
        <v>7.65</v>
      </c>
      <c r="G32" s="1489" t="str">
        <f t="shared" ref="G32:G53" si="10">IF($E32&gt;0,$E32/$F32," ")</f>
        <v xml:space="preserve"> </v>
      </c>
      <c r="H32" s="1488" t="str">
        <f t="shared" ref="H32:H53" si="11">IF($E32&gt;0,I32/E32," ")</f>
        <v xml:space="preserve"> </v>
      </c>
      <c r="I32" s="1487">
        <v>100.9</v>
      </c>
      <c r="J32" s="1462"/>
      <c r="K32" s="1423"/>
      <c r="L32" s="1421"/>
      <c r="M32" s="1421"/>
      <c r="N32" s="1420"/>
      <c r="O32" s="1420"/>
      <c r="P32" s="1419"/>
      <c r="Q32" s="1418"/>
      <c r="R32" s="1462"/>
      <c r="S32" s="1423">
        <v>43658</v>
      </c>
      <c r="T32" s="1477" t="s">
        <v>482</v>
      </c>
      <c r="U32" s="1418">
        <v>1375.63</v>
      </c>
      <c r="V32" s="1472"/>
      <c r="W32" s="1472"/>
      <c r="X32" s="1472"/>
      <c r="Y32" s="1472"/>
      <c r="Z32" s="1472"/>
      <c r="AA32" s="1472"/>
      <c r="AB32" s="1379"/>
      <c r="AC32" s="1400">
        <v>44008</v>
      </c>
      <c r="AD32" s="1399"/>
      <c r="AE32" s="1459"/>
      <c r="AF32" s="1459"/>
      <c r="AG32" s="1459"/>
      <c r="AH32" s="1459"/>
      <c r="AI32" s="1459"/>
      <c r="AJ32" s="1459"/>
      <c r="AK32" s="1459"/>
      <c r="AL32" s="1459"/>
      <c r="AM32" s="1459"/>
      <c r="AN32" s="1459"/>
      <c r="AO32" s="1399"/>
      <c r="AP32" s="1399"/>
      <c r="AQ32" s="1399">
        <v>126.24</v>
      </c>
      <c r="AR32" s="1399"/>
      <c r="AS32" s="1399"/>
      <c r="AT32" s="1459">
        <v>403.86</v>
      </c>
      <c r="AU32" s="1459"/>
      <c r="AV32" s="1459">
        <v>351.62</v>
      </c>
      <c r="AW32" s="1377"/>
      <c r="AX32" s="1459"/>
      <c r="AY32" s="1459"/>
      <c r="AZ32" s="1459"/>
      <c r="BA32" s="1459"/>
      <c r="BB32" s="1459"/>
      <c r="BC32" s="1459"/>
      <c r="BD32" s="1459"/>
      <c r="BE32" s="1459"/>
      <c r="BF32" s="1459"/>
      <c r="BG32" s="1459"/>
      <c r="BH32" s="1459"/>
      <c r="BI32" s="1459"/>
      <c r="BJ32" s="1459"/>
      <c r="BK32" s="1459" t="str">
        <f t="shared" ref="BK32:BL51" si="12">IF(AND($K66&gt;=BK$12,$K66&lt;BJ$12),$Q66,"")</f>
        <v/>
      </c>
      <c r="BL32" s="1459" t="str">
        <f t="shared" si="12"/>
        <v/>
      </c>
      <c r="BM32" s="1459" t="str">
        <f t="shared" si="6"/>
        <v/>
      </c>
      <c r="BN32" s="1459" t="str">
        <f t="shared" si="6"/>
        <v/>
      </c>
      <c r="BO32" s="1459" t="str">
        <f t="shared" si="6"/>
        <v/>
      </c>
      <c r="BP32" s="1459" t="str">
        <f t="shared" si="6"/>
        <v/>
      </c>
      <c r="BQ32" s="1459" t="str">
        <f t="shared" si="6"/>
        <v/>
      </c>
      <c r="BR32" s="1459" t="str">
        <f t="shared" si="7"/>
        <v/>
      </c>
      <c r="BS32" s="1459" t="str">
        <f t="shared" si="7"/>
        <v/>
      </c>
      <c r="BT32" s="1475"/>
      <c r="BU32" s="1475"/>
      <c r="BV32" s="1475"/>
      <c r="BW32" s="1475"/>
      <c r="BX32" s="1475"/>
      <c r="BY32" s="1475"/>
      <c r="BZ32" s="1475"/>
      <c r="CA32" s="1475"/>
      <c r="CB32" s="1475"/>
      <c r="CC32" s="1475"/>
      <c r="CD32" s="1475"/>
      <c r="CE32" s="1475"/>
      <c r="CF32" s="1475"/>
      <c r="CG32" s="1459" t="str">
        <f t="shared" si="3"/>
        <v/>
      </c>
      <c r="CH32" s="1459" t="str">
        <f t="shared" si="4"/>
        <v/>
      </c>
      <c r="CI32" s="1459"/>
      <c r="CJ32" s="1459"/>
      <c r="CK32" s="1459"/>
      <c r="CL32" s="1459"/>
      <c r="CM32" s="1459"/>
      <c r="CN32" s="1459"/>
      <c r="CO32" s="1459"/>
      <c r="CP32" s="1459"/>
      <c r="CQ32" s="1459"/>
      <c r="CR32" s="1459"/>
      <c r="CS32" s="1475"/>
      <c r="CT32" s="1475"/>
    </row>
    <row r="33" spans="2:98" s="1376" customFormat="1">
      <c r="B33" s="1494">
        <v>45206</v>
      </c>
      <c r="C33" s="1493">
        <v>45231</v>
      </c>
      <c r="D33" s="1492">
        <f t="shared" si="8"/>
        <v>325438</v>
      </c>
      <c r="E33" s="1491">
        <f t="shared" si="9"/>
        <v>0</v>
      </c>
      <c r="F33" s="1490">
        <v>13.39</v>
      </c>
      <c r="G33" s="1489" t="str">
        <f t="shared" si="10"/>
        <v xml:space="preserve"> </v>
      </c>
      <c r="H33" s="1488" t="str">
        <f t="shared" si="11"/>
        <v xml:space="preserve"> </v>
      </c>
      <c r="I33" s="1487">
        <v>301.81</v>
      </c>
      <c r="J33" s="1462"/>
      <c r="K33" s="1423"/>
      <c r="L33" s="1421"/>
      <c r="M33" s="1421"/>
      <c r="N33" s="1420"/>
      <c r="O33" s="1420"/>
      <c r="P33" s="1419"/>
      <c r="Q33" s="1418"/>
      <c r="R33" s="1462"/>
      <c r="S33" s="1423">
        <v>43650</v>
      </c>
      <c r="T33" s="1477" t="s">
        <v>482</v>
      </c>
      <c r="U33" s="1418">
        <v>307.83</v>
      </c>
      <c r="V33" s="1472"/>
      <c r="W33" s="1472"/>
      <c r="X33" s="1472"/>
      <c r="Y33" s="1472"/>
      <c r="Z33" s="1472"/>
      <c r="AA33" s="1472"/>
      <c r="AB33" s="1379"/>
      <c r="AC33" s="1400">
        <v>43989</v>
      </c>
      <c r="AD33" s="1399"/>
      <c r="AE33" s="1399"/>
      <c r="AF33" s="1399"/>
      <c r="AG33" s="1399"/>
      <c r="AH33" s="1399"/>
      <c r="AI33" s="1399"/>
      <c r="AJ33" s="1399"/>
      <c r="AK33" s="1399"/>
      <c r="AL33" s="1399"/>
      <c r="AM33" s="1399"/>
      <c r="AN33" s="1399"/>
      <c r="AO33" s="1459"/>
      <c r="AP33" s="1459"/>
      <c r="AQ33" s="1459">
        <v>319.81</v>
      </c>
      <c r="AR33" s="1399"/>
      <c r="AS33" s="1399"/>
      <c r="AT33" s="1459"/>
      <c r="AU33" s="1459">
        <v>225.26</v>
      </c>
      <c r="AV33" s="1459" t="str">
        <f t="shared" ref="AV33:AY48" si="13">IF(AND($K57&gt;=AV$12,$K57&lt;(AV$12+31)),$Q57,"")</f>
        <v/>
      </c>
      <c r="AW33" s="1459" t="str">
        <f t="shared" si="13"/>
        <v/>
      </c>
      <c r="AX33" s="1459" t="str">
        <f t="shared" si="13"/>
        <v/>
      </c>
      <c r="AY33" s="1459" t="str">
        <f t="shared" si="13"/>
        <v/>
      </c>
      <c r="AZ33" s="1459"/>
      <c r="BA33" s="1459"/>
      <c r="BB33" s="1459"/>
      <c r="BC33" s="1459"/>
      <c r="BD33" s="1459"/>
      <c r="BE33" s="1459"/>
      <c r="BF33" s="1459"/>
      <c r="BG33" s="1459"/>
      <c r="BH33" s="1459"/>
      <c r="BI33" s="1459"/>
      <c r="BJ33" s="1459"/>
      <c r="BK33" s="1459" t="str">
        <f t="shared" si="12"/>
        <v/>
      </c>
      <c r="BL33" s="1459" t="str">
        <f t="shared" si="12"/>
        <v/>
      </c>
      <c r="BM33" s="1459" t="str">
        <f t="shared" si="6"/>
        <v/>
      </c>
      <c r="BN33" s="1459" t="str">
        <f t="shared" si="6"/>
        <v/>
      </c>
      <c r="BO33" s="1459" t="str">
        <f t="shared" si="6"/>
        <v/>
      </c>
      <c r="BP33" s="1459" t="str">
        <f t="shared" si="6"/>
        <v/>
      </c>
      <c r="BQ33" s="1459" t="str">
        <f t="shared" si="6"/>
        <v/>
      </c>
      <c r="BR33" s="1459" t="str">
        <f t="shared" si="7"/>
        <v/>
      </c>
      <c r="BS33" s="1459" t="str">
        <f t="shared" si="7"/>
        <v/>
      </c>
      <c r="BT33" s="1475"/>
      <c r="BU33" s="1475"/>
      <c r="BV33" s="1475"/>
      <c r="BW33" s="1475"/>
      <c r="BX33" s="1475"/>
      <c r="BY33" s="1475"/>
      <c r="BZ33" s="1475"/>
      <c r="CA33" s="1475"/>
      <c r="CB33" s="1475"/>
      <c r="CC33" s="1475"/>
      <c r="CD33" s="1475"/>
      <c r="CE33" s="1475"/>
      <c r="CF33" s="1475"/>
      <c r="CG33" s="1459" t="str">
        <f t="shared" si="3"/>
        <v/>
      </c>
      <c r="CH33" s="1459" t="str">
        <f t="shared" si="4"/>
        <v/>
      </c>
      <c r="CI33" s="1459"/>
      <c r="CJ33" s="1459"/>
      <c r="CK33" s="1459"/>
      <c r="CL33" s="1459"/>
      <c r="CM33" s="1459"/>
      <c r="CN33" s="1459"/>
      <c r="CO33" s="1459"/>
      <c r="CP33" s="1459"/>
      <c r="CQ33" s="1459"/>
      <c r="CR33" s="1459"/>
      <c r="CS33" s="1475"/>
      <c r="CT33" s="1475"/>
    </row>
    <row r="34" spans="2:98" s="1376" customFormat="1">
      <c r="B34" s="1494">
        <v>45204</v>
      </c>
      <c r="C34" s="1493">
        <v>45231</v>
      </c>
      <c r="D34" s="1492">
        <f t="shared" si="8"/>
        <v>325438</v>
      </c>
      <c r="E34" s="1491">
        <f t="shared" si="9"/>
        <v>0</v>
      </c>
      <c r="F34" s="1490">
        <v>29.22</v>
      </c>
      <c r="G34" s="1489" t="str">
        <f t="shared" si="10"/>
        <v xml:space="preserve"> </v>
      </c>
      <c r="H34" s="1488" t="str">
        <f t="shared" si="11"/>
        <v xml:space="preserve"> </v>
      </c>
      <c r="I34" s="1487">
        <v>400.02</v>
      </c>
      <c r="J34" s="1462"/>
      <c r="K34" s="1423"/>
      <c r="L34" s="1421"/>
      <c r="M34" s="1421"/>
      <c r="N34" s="1420"/>
      <c r="O34" s="1420"/>
      <c r="P34" s="1419"/>
      <c r="Q34" s="1418"/>
      <c r="R34" s="1462"/>
      <c r="S34" s="1423">
        <v>43649</v>
      </c>
      <c r="T34" s="1477" t="s">
        <v>154</v>
      </c>
      <c r="U34" s="1418">
        <v>500</v>
      </c>
      <c r="V34" s="1472"/>
      <c r="W34" s="1472"/>
      <c r="X34" s="1472"/>
      <c r="Y34" s="1472"/>
      <c r="Z34" s="1472"/>
      <c r="AA34" s="1472"/>
      <c r="AB34" s="1379"/>
      <c r="AC34" s="1400">
        <v>43956</v>
      </c>
      <c r="AD34" s="1399"/>
      <c r="AE34" s="1399"/>
      <c r="AF34" s="1399"/>
      <c r="AG34" s="1399"/>
      <c r="AH34" s="1399"/>
      <c r="AI34" s="1399"/>
      <c r="AJ34" s="1399"/>
      <c r="AK34" s="1399"/>
      <c r="AL34" s="1399"/>
      <c r="AM34" s="1399"/>
      <c r="AN34" s="1399"/>
      <c r="AO34" s="1459"/>
      <c r="AP34" s="1459"/>
      <c r="AQ34" s="1459"/>
      <c r="AR34" s="1459">
        <v>184.95</v>
      </c>
      <c r="AS34" s="1399"/>
      <c r="AT34" s="1459"/>
      <c r="AU34" s="1459">
        <v>317.41000000000003</v>
      </c>
      <c r="AV34" s="1459" t="str">
        <f t="shared" si="13"/>
        <v/>
      </c>
      <c r="AW34" s="1459" t="str">
        <f t="shared" si="13"/>
        <v/>
      </c>
      <c r="AX34" s="1459" t="str">
        <f t="shared" si="13"/>
        <v/>
      </c>
      <c r="AY34" s="1459" t="str">
        <f t="shared" si="13"/>
        <v/>
      </c>
      <c r="AZ34" s="1459"/>
      <c r="BA34" s="1459"/>
      <c r="BB34" s="1459"/>
      <c r="BC34" s="1459"/>
      <c r="BD34" s="1459"/>
      <c r="BE34" s="1459"/>
      <c r="BF34" s="1459"/>
      <c r="BG34" s="1459"/>
      <c r="BH34" s="1459"/>
      <c r="BI34" s="1459"/>
      <c r="BJ34" s="1459"/>
      <c r="BK34" s="1459" t="str">
        <f t="shared" si="12"/>
        <v/>
      </c>
      <c r="BL34" s="1459" t="str">
        <f t="shared" si="12"/>
        <v/>
      </c>
      <c r="BM34" s="1459" t="str">
        <f t="shared" si="6"/>
        <v/>
      </c>
      <c r="BN34" s="1459" t="str">
        <f t="shared" si="6"/>
        <v/>
      </c>
      <c r="BO34" s="1459" t="str">
        <f t="shared" si="6"/>
        <v/>
      </c>
      <c r="BP34" s="1459" t="str">
        <f t="shared" si="6"/>
        <v/>
      </c>
      <c r="BQ34" s="1459" t="str">
        <f t="shared" si="6"/>
        <v/>
      </c>
      <c r="BR34" s="1459" t="str">
        <f t="shared" si="7"/>
        <v/>
      </c>
      <c r="BS34" s="1459" t="str">
        <f t="shared" si="7"/>
        <v/>
      </c>
      <c r="BT34" s="1475"/>
      <c r="BU34" s="1475"/>
      <c r="BV34" s="1475"/>
      <c r="BW34" s="1475"/>
      <c r="BX34" s="1475"/>
      <c r="BY34" s="1475"/>
      <c r="BZ34" s="1475"/>
      <c r="CA34" s="1475"/>
      <c r="CB34" s="1475"/>
      <c r="CC34" s="1475"/>
      <c r="CD34" s="1475"/>
      <c r="CE34" s="1475"/>
      <c r="CF34" s="1475"/>
      <c r="CG34" s="1459" t="str">
        <f t="shared" si="3"/>
        <v/>
      </c>
      <c r="CH34" s="1459" t="str">
        <f t="shared" si="4"/>
        <v/>
      </c>
      <c r="CI34" s="1459"/>
      <c r="CJ34" s="1459"/>
      <c r="CK34" s="1459"/>
      <c r="CL34" s="1459"/>
      <c r="CM34" s="1459"/>
      <c r="CN34" s="1459"/>
      <c r="CO34" s="1459"/>
      <c r="CP34" s="1459"/>
      <c r="CQ34" s="1459"/>
      <c r="CR34" s="1459"/>
      <c r="CS34" s="1475"/>
      <c r="CT34" s="1475"/>
    </row>
    <row r="35" spans="2:98" s="1376" customFormat="1">
      <c r="B35" s="1494">
        <v>45201</v>
      </c>
      <c r="C35" s="1493">
        <v>45231</v>
      </c>
      <c r="D35" s="1492">
        <v>325438</v>
      </c>
      <c r="E35" s="1491">
        <f t="shared" si="9"/>
        <v>497</v>
      </c>
      <c r="F35" s="1490">
        <v>14.4</v>
      </c>
      <c r="G35" s="1489"/>
      <c r="H35" s="1488">
        <f t="shared" si="11"/>
        <v>0.40245472837022134</v>
      </c>
      <c r="I35" s="1487">
        <v>200.02</v>
      </c>
      <c r="J35" s="1462"/>
      <c r="K35" s="1423"/>
      <c r="L35" s="1421"/>
      <c r="M35" s="1421"/>
      <c r="N35" s="1420"/>
      <c r="O35" s="1420"/>
      <c r="P35" s="1419"/>
      <c r="Q35" s="1418"/>
      <c r="R35" s="1462"/>
      <c r="S35" s="1423">
        <v>43633</v>
      </c>
      <c r="T35" s="1477" t="s">
        <v>482</v>
      </c>
      <c r="U35" s="1418">
        <v>136.46</v>
      </c>
      <c r="V35" s="1472"/>
      <c r="W35" s="1472"/>
      <c r="X35" s="1472"/>
      <c r="Y35" s="1472"/>
      <c r="Z35" s="1472"/>
      <c r="AA35" s="1472"/>
      <c r="AB35" s="1379"/>
      <c r="AC35" s="1400">
        <v>43937</v>
      </c>
      <c r="AD35" s="1399"/>
      <c r="AE35" s="1399"/>
      <c r="AF35" s="1399"/>
      <c r="AG35" s="1399"/>
      <c r="AH35" s="1399"/>
      <c r="AI35" s="1399"/>
      <c r="AJ35" s="1399"/>
      <c r="AK35" s="1399"/>
      <c r="AL35" s="1399"/>
      <c r="AM35" s="1399"/>
      <c r="AN35" s="1399"/>
      <c r="AO35" s="1459"/>
      <c r="AP35" s="1459"/>
      <c r="AQ35" s="1459"/>
      <c r="AR35" s="1459">
        <v>372.07</v>
      </c>
      <c r="AS35" s="1399"/>
      <c r="AT35" s="1459"/>
      <c r="AU35" s="1459">
        <v>401.64</v>
      </c>
      <c r="AV35" s="1459" t="str">
        <f t="shared" si="13"/>
        <v/>
      </c>
      <c r="AW35" s="1459" t="str">
        <f t="shared" si="13"/>
        <v/>
      </c>
      <c r="AX35" s="1459" t="str">
        <f t="shared" si="13"/>
        <v/>
      </c>
      <c r="AY35" s="1459" t="str">
        <f t="shared" si="13"/>
        <v/>
      </c>
      <c r="AZ35" s="1459"/>
      <c r="BA35" s="1459"/>
      <c r="BB35" s="1459"/>
      <c r="BC35" s="1459"/>
      <c r="BD35" s="1459"/>
      <c r="BE35" s="1459"/>
      <c r="BF35" s="1459"/>
      <c r="BG35" s="1459"/>
      <c r="BH35" s="1459"/>
      <c r="BI35" s="1459"/>
      <c r="BJ35" s="1459"/>
      <c r="BK35" s="1459" t="str">
        <f t="shared" si="12"/>
        <v/>
      </c>
      <c r="BL35" s="1459" t="str">
        <f t="shared" si="12"/>
        <v/>
      </c>
      <c r="BM35" s="1459" t="str">
        <f t="shared" si="6"/>
        <v/>
      </c>
      <c r="BN35" s="1459" t="str">
        <f t="shared" si="6"/>
        <v/>
      </c>
      <c r="BO35" s="1459" t="str">
        <f t="shared" si="6"/>
        <v/>
      </c>
      <c r="BP35" s="1459" t="str">
        <f t="shared" si="6"/>
        <v/>
      </c>
      <c r="BQ35" s="1459" t="str">
        <f t="shared" si="6"/>
        <v/>
      </c>
      <c r="BR35" s="1459" t="str">
        <f t="shared" si="7"/>
        <v/>
      </c>
      <c r="BS35" s="1459" t="str">
        <f t="shared" si="7"/>
        <v/>
      </c>
      <c r="BT35" s="1475"/>
      <c r="BU35" s="1475"/>
      <c r="BV35" s="1475"/>
      <c r="BW35" s="1475"/>
      <c r="BX35" s="1475"/>
      <c r="BY35" s="1475"/>
      <c r="BZ35" s="1475"/>
      <c r="CA35" s="1475"/>
      <c r="CB35" s="1475"/>
      <c r="CC35" s="1475"/>
      <c r="CD35" s="1475"/>
      <c r="CE35" s="1475"/>
      <c r="CF35" s="1475"/>
      <c r="CG35" s="1459" t="str">
        <f t="shared" si="3"/>
        <v/>
      </c>
      <c r="CH35" s="1459" t="str">
        <f t="shared" si="4"/>
        <v/>
      </c>
      <c r="CI35" s="1459"/>
      <c r="CJ35" s="1459"/>
      <c r="CK35" s="1459"/>
      <c r="CL35" s="1459"/>
      <c r="CM35" s="1459"/>
      <c r="CN35" s="1459"/>
      <c r="CO35" s="1459"/>
      <c r="CP35" s="1459"/>
      <c r="CQ35" s="1459"/>
      <c r="CR35" s="1459"/>
      <c r="CS35" s="1475"/>
      <c r="CT35" s="1475"/>
    </row>
    <row r="36" spans="2:98" s="1376" customFormat="1">
      <c r="B36" s="2127">
        <v>45185</v>
      </c>
      <c r="C36" s="2128">
        <v>45231</v>
      </c>
      <c r="D36" s="2129">
        <v>324941</v>
      </c>
      <c r="E36" s="2130">
        <f t="shared" si="9"/>
        <v>941</v>
      </c>
      <c r="F36" s="2131">
        <v>56.92</v>
      </c>
      <c r="G36" s="2132">
        <f t="shared" si="10"/>
        <v>16.531974701335209</v>
      </c>
      <c r="H36" s="2133">
        <f t="shared" si="11"/>
        <v>0.85228480340063761</v>
      </c>
      <c r="I36" s="2134">
        <v>802</v>
      </c>
      <c r="J36" s="1462"/>
      <c r="K36" s="1423"/>
      <c r="L36" s="1421"/>
      <c r="M36" s="1421"/>
      <c r="N36" s="1420"/>
      <c r="O36" s="1420"/>
      <c r="P36" s="1419"/>
      <c r="Q36" s="1418"/>
      <c r="R36" s="1462"/>
      <c r="S36" s="1423">
        <v>43607</v>
      </c>
      <c r="T36" s="1477" t="s">
        <v>476</v>
      </c>
      <c r="U36" s="1418">
        <v>5843.6</v>
      </c>
      <c r="V36" s="1472"/>
      <c r="W36" s="1472"/>
      <c r="X36" s="1472"/>
      <c r="Y36" s="1472"/>
      <c r="Z36" s="1472"/>
      <c r="AA36" s="1472"/>
      <c r="AB36" s="1379"/>
      <c r="AC36" s="1400">
        <v>43922</v>
      </c>
      <c r="AD36" s="1399"/>
      <c r="AE36" s="1459"/>
      <c r="AF36" s="1459"/>
      <c r="AG36" s="1459"/>
      <c r="AH36" s="1459"/>
      <c r="AI36" s="1459"/>
      <c r="AJ36" s="1459"/>
      <c r="AK36" s="1459"/>
      <c r="AL36" s="1459"/>
      <c r="AM36" s="1459"/>
      <c r="AN36" s="1459"/>
      <c r="AO36" s="1459"/>
      <c r="AP36" s="1459"/>
      <c r="AQ36" s="1459"/>
      <c r="AR36" s="1459">
        <v>450.53</v>
      </c>
      <c r="AS36" s="1399"/>
      <c r="AT36" s="1459"/>
      <c r="AU36" s="1459"/>
      <c r="AV36" s="1459" t="str">
        <f t="shared" si="13"/>
        <v/>
      </c>
      <c r="AW36" s="1459" t="str">
        <f t="shared" si="13"/>
        <v/>
      </c>
      <c r="AX36" s="1459" t="str">
        <f t="shared" si="13"/>
        <v/>
      </c>
      <c r="AY36" s="1459" t="str">
        <f t="shared" si="13"/>
        <v/>
      </c>
      <c r="AZ36" s="1459"/>
      <c r="BA36" s="1459"/>
      <c r="BB36" s="1459"/>
      <c r="BC36" s="1459"/>
      <c r="BD36" s="1459"/>
      <c r="BE36" s="1459"/>
      <c r="BF36" s="1459"/>
      <c r="BG36" s="1459"/>
      <c r="BH36" s="1459"/>
      <c r="BI36" s="1459"/>
      <c r="BJ36" s="1459"/>
      <c r="BK36" s="1459" t="str">
        <f t="shared" si="12"/>
        <v/>
      </c>
      <c r="BL36" s="1459" t="str">
        <f t="shared" si="12"/>
        <v/>
      </c>
      <c r="BM36" s="1459" t="str">
        <f t="shared" si="6"/>
        <v/>
      </c>
      <c r="BN36" s="1459" t="str">
        <f t="shared" si="6"/>
        <v/>
      </c>
      <c r="BO36" s="1459" t="str">
        <f t="shared" si="6"/>
        <v/>
      </c>
      <c r="BP36" s="1459" t="str">
        <f t="shared" si="6"/>
        <v/>
      </c>
      <c r="BQ36" s="1459" t="str">
        <f t="shared" si="6"/>
        <v/>
      </c>
      <c r="BR36" s="1459" t="str">
        <f t="shared" si="7"/>
        <v/>
      </c>
      <c r="BS36" s="1459" t="str">
        <f t="shared" si="7"/>
        <v/>
      </c>
      <c r="BT36" s="1475"/>
      <c r="BU36" s="1475"/>
      <c r="BV36" s="1475"/>
      <c r="BW36" s="1475"/>
      <c r="BX36" s="1475"/>
      <c r="BY36" s="1475"/>
      <c r="BZ36" s="1475"/>
      <c r="CA36" s="1475"/>
      <c r="CB36" s="1475"/>
      <c r="CC36" s="1475"/>
      <c r="CD36" s="1475"/>
      <c r="CE36" s="1475"/>
      <c r="CF36" s="1475"/>
      <c r="CG36" s="1459" t="str">
        <f t="shared" si="3"/>
        <v/>
      </c>
      <c r="CH36" s="1459" t="str">
        <f t="shared" si="4"/>
        <v/>
      </c>
      <c r="CI36" s="1459"/>
      <c r="CJ36" s="1459"/>
      <c r="CK36" s="1459"/>
      <c r="CL36" s="1459"/>
      <c r="CM36" s="1459"/>
      <c r="CN36" s="1459"/>
      <c r="CO36" s="1459"/>
      <c r="CP36" s="1459"/>
      <c r="CQ36" s="1459"/>
      <c r="CR36" s="1459"/>
      <c r="CS36" s="1475"/>
      <c r="CT36" s="1475"/>
    </row>
    <row r="37" spans="2:98" s="1376" customFormat="1">
      <c r="B37" s="2119">
        <v>45174</v>
      </c>
      <c r="C37" s="2120">
        <v>45200</v>
      </c>
      <c r="D37" s="2121">
        <v>324000</v>
      </c>
      <c r="E37" s="2122">
        <f>D37-D39</f>
        <v>1680</v>
      </c>
      <c r="F37" s="2123">
        <v>23.56</v>
      </c>
      <c r="G37" s="2124">
        <f>E37/(F39+F38+F37)</f>
        <v>15.526802218114602</v>
      </c>
      <c r="H37" s="2125">
        <f>(I37+I38+I39)/E37</f>
        <v>0.83476785714285706</v>
      </c>
      <c r="I37" s="2126">
        <v>303.69</v>
      </c>
      <c r="J37" s="1462"/>
      <c r="K37" s="1423"/>
      <c r="L37" s="1421"/>
      <c r="M37" s="1421"/>
      <c r="N37" s="1420"/>
      <c r="O37" s="1420"/>
      <c r="P37" s="1419"/>
      <c r="Q37" s="1418"/>
      <c r="R37" s="1462"/>
      <c r="S37" s="1423">
        <v>43587</v>
      </c>
      <c r="T37" s="1477" t="s">
        <v>1218</v>
      </c>
      <c r="U37" s="1418">
        <v>220.9</v>
      </c>
      <c r="V37" s="1472"/>
      <c r="W37" s="1472"/>
      <c r="X37" s="1472"/>
      <c r="Y37" s="1472"/>
      <c r="Z37" s="1472"/>
      <c r="AA37" s="1472"/>
      <c r="AB37" s="1379"/>
      <c r="AC37" s="1400">
        <v>43907</v>
      </c>
      <c r="AD37" s="139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399"/>
      <c r="AP37" s="1399"/>
      <c r="AQ37" s="1459"/>
      <c r="AR37" s="1459">
        <v>100.2</v>
      </c>
      <c r="AS37" s="1399"/>
      <c r="AT37" s="1459"/>
      <c r="AU37" s="1459"/>
      <c r="AV37" s="1459" t="str">
        <f t="shared" si="13"/>
        <v/>
      </c>
      <c r="AW37" s="1459" t="str">
        <f t="shared" si="13"/>
        <v/>
      </c>
      <c r="AX37" s="1459" t="str">
        <f t="shared" si="13"/>
        <v/>
      </c>
      <c r="AY37" s="1459" t="str">
        <f t="shared" si="13"/>
        <v/>
      </c>
      <c r="AZ37" s="1459"/>
      <c r="BA37" s="1459"/>
      <c r="BB37" s="1459"/>
      <c r="BC37" s="1459"/>
      <c r="BD37" s="1459"/>
      <c r="BE37" s="1459"/>
      <c r="BF37" s="1459"/>
      <c r="BG37" s="1459"/>
      <c r="BH37" s="1459"/>
      <c r="BI37" s="1459"/>
      <c r="BJ37" s="1459" t="str">
        <f t="shared" ref="BJ37:BJ74" si="14">IF(AND($K66&gt;=BJ$12,$K66&lt;BI$12),$Q66,"")</f>
        <v/>
      </c>
      <c r="BK37" s="1459" t="str">
        <f t="shared" si="12"/>
        <v/>
      </c>
      <c r="BL37" s="1459" t="str">
        <f t="shared" si="12"/>
        <v/>
      </c>
      <c r="BM37" s="1459" t="str">
        <f t="shared" si="6"/>
        <v/>
      </c>
      <c r="BN37" s="1459" t="str">
        <f t="shared" si="6"/>
        <v/>
      </c>
      <c r="BO37" s="1459" t="str">
        <f t="shared" si="6"/>
        <v/>
      </c>
      <c r="BP37" s="1459" t="str">
        <f t="shared" si="6"/>
        <v/>
      </c>
      <c r="BQ37" s="1459" t="str">
        <f t="shared" si="6"/>
        <v/>
      </c>
      <c r="BR37" s="1459" t="str">
        <f t="shared" si="7"/>
        <v/>
      </c>
      <c r="BS37" s="1459" t="str">
        <f t="shared" si="7"/>
        <v/>
      </c>
      <c r="BT37" s="1475"/>
      <c r="BU37" s="1475"/>
      <c r="BV37" s="1475"/>
      <c r="BW37" s="1475"/>
      <c r="BX37" s="1475"/>
      <c r="BY37" s="1475"/>
      <c r="BZ37" s="1475"/>
      <c r="CA37" s="1475"/>
      <c r="CB37" s="1475"/>
      <c r="CC37" s="1475"/>
      <c r="CD37" s="1475"/>
      <c r="CE37" s="1475"/>
      <c r="CF37" s="1475"/>
      <c r="CG37" s="1459"/>
      <c r="CH37" s="1459"/>
      <c r="CI37" s="1459"/>
      <c r="CJ37" s="1459"/>
      <c r="CK37" s="1459"/>
      <c r="CL37" s="1459"/>
      <c r="CM37" s="1459"/>
      <c r="CN37" s="1459"/>
      <c r="CO37" s="1459"/>
      <c r="CP37" s="1475"/>
      <c r="CQ37" s="1475"/>
    </row>
    <row r="38" spans="2:98" s="1376" customFormat="1" ht="13.8">
      <c r="B38" s="1494">
        <v>45154</v>
      </c>
      <c r="C38" s="1493">
        <v>45200</v>
      </c>
      <c r="D38" s="1492">
        <f t="shared" si="8"/>
        <v>322320</v>
      </c>
      <c r="E38" s="1491">
        <f t="shared" ref="E38" si="15">D38-D39</f>
        <v>0</v>
      </c>
      <c r="F38" s="1490">
        <v>46.13</v>
      </c>
      <c r="G38" s="1489" t="str">
        <f t="shared" si="10"/>
        <v xml:space="preserve"> </v>
      </c>
      <c r="H38" s="1488" t="str">
        <f t="shared" ref="H38" si="16">IF($E38&gt;0,I38/E38," ")</f>
        <v xml:space="preserve"> </v>
      </c>
      <c r="I38" s="1487">
        <v>594.62</v>
      </c>
      <c r="J38" s="1462"/>
      <c r="K38" s="1423"/>
      <c r="L38" s="1421"/>
      <c r="M38" s="1421"/>
      <c r="N38" s="1420"/>
      <c r="O38" s="1420"/>
      <c r="P38" s="1419"/>
      <c r="Q38" s="1418"/>
      <c r="R38" s="1462"/>
      <c r="S38" s="1423">
        <v>43586</v>
      </c>
      <c r="T38" s="1477" t="s">
        <v>464</v>
      </c>
      <c r="U38" s="1418">
        <v>159</v>
      </c>
      <c r="V38" s="1472"/>
      <c r="W38" s="1472"/>
      <c r="X38" s="1472"/>
      <c r="Y38" s="1472"/>
      <c r="Z38" s="1472"/>
      <c r="AA38" s="1472"/>
      <c r="AB38" s="1379"/>
      <c r="AC38" s="1474">
        <v>43889</v>
      </c>
      <c r="AD38" s="1473"/>
      <c r="AE38" s="1459"/>
      <c r="AF38" s="1459"/>
      <c r="AG38" s="1459"/>
      <c r="AH38" s="1459"/>
      <c r="AI38" s="1459"/>
      <c r="AJ38" s="1459"/>
      <c r="AK38" s="1459"/>
      <c r="AL38" s="1459"/>
      <c r="AM38" s="1459"/>
      <c r="AN38" s="1459"/>
      <c r="AO38" s="1399"/>
      <c r="AP38" s="1399"/>
      <c r="AQ38" s="1459"/>
      <c r="AR38" s="1378"/>
      <c r="AS38" s="1459">
        <v>192.62</v>
      </c>
      <c r="AT38" s="1459"/>
      <c r="AU38" s="1459"/>
      <c r="AV38" s="1459" t="str">
        <f t="shared" si="13"/>
        <v/>
      </c>
      <c r="AW38" s="1459" t="str">
        <f t="shared" si="13"/>
        <v/>
      </c>
      <c r="AX38" s="1459" t="str">
        <f t="shared" si="13"/>
        <v/>
      </c>
      <c r="AY38" s="1459" t="str">
        <f t="shared" si="13"/>
        <v/>
      </c>
      <c r="AZ38" s="1459" t="str">
        <f t="shared" ref="AZ38:BA40" si="17">IF(AND($K62&gt;=AZ$12,$K62&lt;(AZ$12+31)),$Q62,"")</f>
        <v/>
      </c>
      <c r="BA38" s="1459" t="str">
        <f t="shared" si="17"/>
        <v/>
      </c>
      <c r="BB38" s="1459"/>
      <c r="BC38" s="1459"/>
      <c r="BD38" s="1459"/>
      <c r="BE38" s="1459"/>
      <c r="BF38" s="1459"/>
      <c r="BG38" s="1459"/>
      <c r="BH38" s="1459"/>
      <c r="BI38" s="1459"/>
      <c r="BJ38" s="1459" t="str">
        <f t="shared" si="14"/>
        <v/>
      </c>
      <c r="BK38" s="1459" t="str">
        <f t="shared" si="12"/>
        <v/>
      </c>
      <c r="BL38" s="1459" t="str">
        <f t="shared" si="12"/>
        <v/>
      </c>
      <c r="BM38" s="1459" t="str">
        <f t="shared" si="6"/>
        <v/>
      </c>
      <c r="BN38" s="1459" t="str">
        <f t="shared" si="6"/>
        <v/>
      </c>
      <c r="BO38" s="1459" t="str">
        <f t="shared" si="6"/>
        <v/>
      </c>
      <c r="BP38" s="1459" t="str">
        <f t="shared" si="6"/>
        <v/>
      </c>
      <c r="BQ38" s="1459" t="str">
        <f t="shared" si="6"/>
        <v/>
      </c>
      <c r="BR38" s="1459" t="str">
        <f t="shared" si="7"/>
        <v/>
      </c>
      <c r="BS38" s="1459" t="str">
        <f t="shared" si="7"/>
        <v/>
      </c>
      <c r="BT38" s="1475"/>
      <c r="BU38" s="1475"/>
      <c r="BV38" s="1475"/>
      <c r="BW38" s="1475"/>
      <c r="BX38" s="1475"/>
      <c r="BY38" s="1475"/>
      <c r="BZ38" s="1475"/>
      <c r="CA38" s="1475"/>
      <c r="CB38" s="1475"/>
      <c r="CC38" s="1475"/>
      <c r="CD38" s="1475"/>
      <c r="CE38" s="1475"/>
      <c r="CF38" s="1475"/>
      <c r="CG38" s="1459"/>
      <c r="CH38" s="1459"/>
      <c r="CI38" s="1459"/>
      <c r="CJ38" s="1459"/>
      <c r="CK38" s="1459"/>
      <c r="CL38" s="1459"/>
      <c r="CM38" s="1459"/>
      <c r="CN38" s="1459"/>
      <c r="CO38" s="1475"/>
      <c r="CP38" s="1475"/>
    </row>
    <row r="39" spans="2:98" s="1376" customFormat="1" ht="13.8">
      <c r="B39" s="1494">
        <v>45140</v>
      </c>
      <c r="C39" s="1493">
        <v>45170</v>
      </c>
      <c r="D39" s="1492">
        <f t="shared" si="8"/>
        <v>322320</v>
      </c>
      <c r="E39" s="1491">
        <f t="shared" si="9"/>
        <v>0</v>
      </c>
      <c r="F39" s="1490">
        <v>38.51</v>
      </c>
      <c r="G39" s="1489" t="str">
        <f t="shared" si="10"/>
        <v xml:space="preserve"> </v>
      </c>
      <c r="H39" s="1488" t="str">
        <f t="shared" si="11"/>
        <v xml:space="preserve"> </v>
      </c>
      <c r="I39" s="1487">
        <v>504.1</v>
      </c>
      <c r="J39" s="1462"/>
      <c r="K39" s="1423"/>
      <c r="L39" s="1421"/>
      <c r="M39" s="1421"/>
      <c r="N39" s="1420"/>
      <c r="O39" s="1420"/>
      <c r="P39" s="1419"/>
      <c r="Q39" s="1418"/>
      <c r="R39" s="1462"/>
      <c r="S39" s="1423">
        <v>43556</v>
      </c>
      <c r="T39" s="1477" t="s">
        <v>482</v>
      </c>
      <c r="U39" s="1418">
        <v>541.95000000000005</v>
      </c>
      <c r="V39" s="1472"/>
      <c r="W39" s="1472"/>
      <c r="X39" s="1472"/>
      <c r="Y39" s="1472"/>
      <c r="Z39" s="1472"/>
      <c r="AA39" s="1472"/>
      <c r="AB39" s="1379"/>
      <c r="AC39" s="1474">
        <v>43882</v>
      </c>
      <c r="AD39" s="1473"/>
      <c r="AE39" s="1459"/>
      <c r="AF39" s="1459"/>
      <c r="AG39" s="1459"/>
      <c r="AH39" s="1459"/>
      <c r="AI39" s="1459"/>
      <c r="AJ39" s="1459"/>
      <c r="AK39" s="1459"/>
      <c r="AL39" s="1459"/>
      <c r="AM39" s="1459"/>
      <c r="AN39" s="1459"/>
      <c r="AO39" s="1459"/>
      <c r="AP39" s="1459"/>
      <c r="AQ39" s="1459"/>
      <c r="AR39" s="1399"/>
      <c r="AS39" s="1459">
        <v>434.72</v>
      </c>
      <c r="AT39" s="1459"/>
      <c r="AU39" s="1459"/>
      <c r="AV39" s="1459" t="str">
        <f t="shared" si="13"/>
        <v/>
      </c>
      <c r="AW39" s="1459" t="str">
        <f t="shared" si="13"/>
        <v/>
      </c>
      <c r="AX39" s="1459" t="str">
        <f t="shared" si="13"/>
        <v/>
      </c>
      <c r="AY39" s="1459" t="str">
        <f t="shared" si="13"/>
        <v/>
      </c>
      <c r="AZ39" s="1459" t="str">
        <f t="shared" si="17"/>
        <v/>
      </c>
      <c r="BA39" s="1459" t="str">
        <f t="shared" si="17"/>
        <v/>
      </c>
      <c r="BB39" s="1459"/>
      <c r="BC39" s="1459"/>
      <c r="BD39" s="1459"/>
      <c r="BE39" s="1459"/>
      <c r="BF39" s="1459"/>
      <c r="BG39" s="1459"/>
      <c r="BH39" s="1459"/>
      <c r="BI39" s="1459"/>
      <c r="BJ39" s="1459" t="str">
        <f t="shared" si="14"/>
        <v/>
      </c>
      <c r="BK39" s="1459" t="str">
        <f t="shared" si="12"/>
        <v/>
      </c>
      <c r="BL39" s="1459" t="str">
        <f t="shared" si="12"/>
        <v/>
      </c>
      <c r="BM39" s="1459" t="str">
        <f t="shared" ref="BM39:BQ48" si="18">IF(AND($K76&gt;=BM$12,$K76&lt;BL$12),$Q76,"")</f>
        <v/>
      </c>
      <c r="BN39" s="1459" t="str">
        <f t="shared" si="18"/>
        <v/>
      </c>
      <c r="BO39" s="1459" t="str">
        <f t="shared" si="18"/>
        <v/>
      </c>
      <c r="BP39" s="1459" t="str">
        <f t="shared" si="18"/>
        <v/>
      </c>
      <c r="BQ39" s="1459" t="str">
        <f t="shared" si="18"/>
        <v/>
      </c>
      <c r="BR39" s="1459" t="str">
        <f t="shared" si="7"/>
        <v/>
      </c>
      <c r="BS39" s="1459" t="str">
        <f t="shared" si="7"/>
        <v/>
      </c>
      <c r="BT39" s="1475"/>
      <c r="BU39" s="1475"/>
      <c r="BV39" s="1475"/>
      <c r="BW39" s="1475"/>
      <c r="BX39" s="1475"/>
      <c r="BY39" s="1475"/>
      <c r="BZ39" s="1475"/>
      <c r="CA39" s="1475"/>
      <c r="CB39" s="1475"/>
      <c r="CC39" s="1475"/>
      <c r="CD39" s="1475"/>
      <c r="CE39" s="1475"/>
      <c r="CF39" s="1475"/>
    </row>
    <row r="40" spans="2:98" s="1376" customFormat="1" ht="13.8">
      <c r="B40" s="1494">
        <v>45123</v>
      </c>
      <c r="C40" s="1493">
        <v>45170</v>
      </c>
      <c r="D40" s="1492">
        <v>322320</v>
      </c>
      <c r="E40" s="1491">
        <f t="shared" si="9"/>
        <v>757</v>
      </c>
      <c r="F40" s="1490">
        <v>41.4</v>
      </c>
      <c r="G40" s="1489">
        <f t="shared" si="10"/>
        <v>18.285024154589372</v>
      </c>
      <c r="H40" s="1488">
        <f t="shared" si="11"/>
        <v>0.66120211360634074</v>
      </c>
      <c r="I40" s="1487">
        <v>500.53</v>
      </c>
      <c r="J40" s="1462"/>
      <c r="K40" s="1423"/>
      <c r="L40" s="1421"/>
      <c r="M40" s="1421"/>
      <c r="N40" s="1420"/>
      <c r="O40" s="1420"/>
      <c r="P40" s="1419"/>
      <c r="Q40" s="1418"/>
      <c r="R40" s="1462"/>
      <c r="S40" s="1423">
        <v>43556</v>
      </c>
      <c r="T40" s="1477" t="s">
        <v>464</v>
      </c>
      <c r="U40" s="1418">
        <v>159</v>
      </c>
      <c r="V40" s="1472"/>
      <c r="W40" s="1472"/>
      <c r="X40" s="1472"/>
      <c r="Y40" s="1472"/>
      <c r="Z40" s="1472"/>
      <c r="AA40" s="1472"/>
      <c r="AB40" s="1379"/>
      <c r="AC40" s="1474">
        <v>43878</v>
      </c>
      <c r="AD40" s="1473"/>
      <c r="AE40" s="1399"/>
      <c r="AF40" s="1399"/>
      <c r="AG40" s="1399"/>
      <c r="AH40" s="1399"/>
      <c r="AI40" s="1399"/>
      <c r="AJ40" s="1399"/>
      <c r="AK40" s="1399"/>
      <c r="AL40" s="1399"/>
      <c r="AM40" s="1399"/>
      <c r="AN40" s="1399"/>
      <c r="AO40" s="1459"/>
      <c r="AP40" s="1459"/>
      <c r="AQ40" s="1399"/>
      <c r="AR40" s="1399"/>
      <c r="AS40" s="1399"/>
      <c r="AT40" s="1459"/>
      <c r="AU40" s="1459"/>
      <c r="AV40" s="1459" t="str">
        <f t="shared" si="13"/>
        <v/>
      </c>
      <c r="AW40" s="1459" t="str">
        <f t="shared" si="13"/>
        <v/>
      </c>
      <c r="AX40" s="1459" t="str">
        <f t="shared" si="13"/>
        <v/>
      </c>
      <c r="AY40" s="1459" t="str">
        <f t="shared" si="13"/>
        <v/>
      </c>
      <c r="AZ40" s="1459" t="str">
        <f t="shared" si="17"/>
        <v/>
      </c>
      <c r="BA40" s="1459" t="str">
        <f t="shared" si="17"/>
        <v/>
      </c>
      <c r="BB40" s="1459"/>
      <c r="BC40" s="1459" t="str">
        <f t="shared" ref="BC40:BC47" si="19">IF(AND($K66&gt;=BC$12,$K66&lt;(BC$12+31)),$Q66,"")</f>
        <v/>
      </c>
      <c r="BD40" s="1459"/>
      <c r="BE40" s="1459"/>
      <c r="BF40" s="1459"/>
      <c r="BG40" s="1459"/>
      <c r="BH40" s="1459"/>
      <c r="BI40" s="1459"/>
      <c r="BJ40" s="1459" t="str">
        <f t="shared" si="14"/>
        <v/>
      </c>
      <c r="BK40" s="1459" t="str">
        <f t="shared" si="12"/>
        <v/>
      </c>
      <c r="BL40" s="1459" t="str">
        <f t="shared" si="12"/>
        <v/>
      </c>
      <c r="BM40" s="1459" t="str">
        <f t="shared" si="18"/>
        <v/>
      </c>
      <c r="BN40" s="1459" t="str">
        <f t="shared" si="18"/>
        <v/>
      </c>
      <c r="BO40" s="1459" t="str">
        <f t="shared" si="18"/>
        <v/>
      </c>
      <c r="BP40" s="1459" t="str">
        <f t="shared" si="18"/>
        <v/>
      </c>
      <c r="BQ40" s="1459" t="str">
        <f t="shared" si="18"/>
        <v/>
      </c>
      <c r="BR40" s="1459" t="str">
        <f t="shared" si="7"/>
        <v/>
      </c>
      <c r="BS40" s="1459" t="str">
        <f t="shared" si="7"/>
        <v/>
      </c>
      <c r="BT40" s="1475"/>
      <c r="BU40" s="1475"/>
      <c r="BV40" s="1475"/>
      <c r="BW40" s="1475"/>
      <c r="BX40" s="1475"/>
      <c r="BY40" s="1475"/>
      <c r="BZ40" s="1475"/>
      <c r="CA40" s="1475"/>
      <c r="CB40" s="1475"/>
      <c r="CC40" s="1475"/>
      <c r="CD40" s="1475"/>
      <c r="CE40" s="1475"/>
      <c r="CF40" s="1475"/>
    </row>
    <row r="41" spans="2:98" s="1376" customFormat="1" ht="13.8">
      <c r="B41" s="1494">
        <v>45083</v>
      </c>
      <c r="C41" s="1493">
        <v>45108</v>
      </c>
      <c r="D41" s="1492">
        <v>321563</v>
      </c>
      <c r="E41" s="1491">
        <f t="shared" si="9"/>
        <v>771</v>
      </c>
      <c r="F41" s="1490">
        <v>49.24</v>
      </c>
      <c r="G41" s="1489">
        <f t="shared" si="10"/>
        <v>15.65800162469537</v>
      </c>
      <c r="H41" s="1488">
        <f t="shared" si="11"/>
        <v>0.74019455252918298</v>
      </c>
      <c r="I41" s="1487">
        <v>570.69000000000005</v>
      </c>
      <c r="J41" s="1462"/>
      <c r="K41" s="1423"/>
      <c r="L41" s="1421"/>
      <c r="M41" s="1421"/>
      <c r="N41" s="1420"/>
      <c r="O41" s="1420"/>
      <c r="P41" s="1419"/>
      <c r="Q41" s="1418"/>
      <c r="R41" s="1462"/>
      <c r="S41" s="1423">
        <v>43525</v>
      </c>
      <c r="T41" s="1477" t="s">
        <v>464</v>
      </c>
      <c r="U41" s="1418">
        <v>169</v>
      </c>
      <c r="V41" s="1472"/>
      <c r="W41" s="1472"/>
      <c r="X41" s="1472"/>
      <c r="Y41" s="1472"/>
      <c r="Z41" s="1472"/>
      <c r="AA41" s="1472"/>
      <c r="AB41" s="1379"/>
      <c r="AC41" s="1474">
        <v>43877</v>
      </c>
      <c r="AD41" s="1473"/>
      <c r="AE41" s="1399"/>
      <c r="AF41" s="1399"/>
      <c r="AG41" s="1399"/>
      <c r="AH41" s="1399"/>
      <c r="AI41" s="1399"/>
      <c r="AJ41" s="1399"/>
      <c r="AK41" s="1399"/>
      <c r="AL41" s="1399"/>
      <c r="AM41" s="1399"/>
      <c r="AN41" s="1399"/>
      <c r="AO41" s="1459"/>
      <c r="AP41" s="1459"/>
      <c r="AQ41" s="1399"/>
      <c r="AR41" s="1399"/>
      <c r="AS41" s="1399"/>
      <c r="AT41" s="1459"/>
      <c r="AU41" s="1459"/>
      <c r="AV41" s="1459" t="str">
        <f t="shared" si="13"/>
        <v/>
      </c>
      <c r="AW41" s="1459" t="str">
        <f t="shared" si="13"/>
        <v/>
      </c>
      <c r="AX41" s="1459" t="str">
        <f t="shared" si="13"/>
        <v/>
      </c>
      <c r="AY41" s="1459" t="str">
        <f t="shared" si="13"/>
        <v/>
      </c>
      <c r="AZ41" s="1459" t="str">
        <f>IF(AND($K65&gt;=BA$12,$K65&lt;(BA$12+31)),$Q65,"")</f>
        <v/>
      </c>
      <c r="BA41" s="1377"/>
      <c r="BB41" s="1459"/>
      <c r="BC41" s="1459" t="str">
        <f t="shared" si="19"/>
        <v/>
      </c>
      <c r="BD41" s="1459"/>
      <c r="BE41" s="1459"/>
      <c r="BF41" s="1459"/>
      <c r="BG41" s="1459"/>
      <c r="BH41" s="1459"/>
      <c r="BI41" s="1459"/>
      <c r="BJ41" s="1459" t="str">
        <f t="shared" si="14"/>
        <v/>
      </c>
      <c r="BK41" s="1459" t="str">
        <f t="shared" si="12"/>
        <v/>
      </c>
      <c r="BL41" s="1459" t="str">
        <f t="shared" si="12"/>
        <v/>
      </c>
      <c r="BM41" s="1459" t="str">
        <f t="shared" si="18"/>
        <v/>
      </c>
      <c r="BN41" s="1459" t="str">
        <f t="shared" si="18"/>
        <v/>
      </c>
      <c r="BO41" s="1459" t="str">
        <f t="shared" si="18"/>
        <v/>
      </c>
      <c r="BP41" s="1459" t="str">
        <f t="shared" si="18"/>
        <v/>
      </c>
      <c r="BQ41" s="1459" t="str">
        <f t="shared" si="18"/>
        <v/>
      </c>
      <c r="BR41" s="1459" t="str">
        <f t="shared" si="7"/>
        <v/>
      </c>
      <c r="BS41" s="1459" t="str">
        <f t="shared" si="7"/>
        <v/>
      </c>
      <c r="BT41" s="1475"/>
      <c r="BU41" s="1475"/>
      <c r="BV41" s="1475"/>
      <c r="BW41" s="1475"/>
      <c r="BX41" s="1475"/>
      <c r="BY41" s="1475"/>
      <c r="BZ41" s="1475"/>
      <c r="CA41" s="1475"/>
      <c r="CB41" s="1475"/>
      <c r="CC41" s="1475"/>
      <c r="CD41" s="1475"/>
      <c r="CE41" s="1475"/>
      <c r="CF41" s="1475"/>
      <c r="CG41" s="1459"/>
      <c r="CH41" s="1459"/>
      <c r="CI41" s="1459"/>
      <c r="CJ41" s="1459"/>
      <c r="CK41" s="1475"/>
      <c r="CL41" s="1475"/>
    </row>
    <row r="42" spans="2:98" s="1376" customFormat="1" ht="13.8">
      <c r="B42" s="1494">
        <v>45062</v>
      </c>
      <c r="C42" s="1493">
        <v>45108</v>
      </c>
      <c r="D42" s="1492">
        <v>320792</v>
      </c>
      <c r="E42" s="1491">
        <f t="shared" si="9"/>
        <v>689</v>
      </c>
      <c r="F42" s="1490">
        <v>43.9</v>
      </c>
      <c r="G42" s="1489">
        <f t="shared" si="10"/>
        <v>15.694760820045559</v>
      </c>
      <c r="H42" s="1488">
        <f t="shared" si="11"/>
        <v>0.72568940493468792</v>
      </c>
      <c r="I42" s="1500">
        <v>500</v>
      </c>
      <c r="J42" s="1462"/>
      <c r="K42" s="1423"/>
      <c r="L42" s="1421"/>
      <c r="M42" s="1421"/>
      <c r="N42" s="1420"/>
      <c r="O42" s="1420"/>
      <c r="P42" s="1419"/>
      <c r="Q42" s="1418"/>
      <c r="R42" s="1462"/>
      <c r="S42" s="1423">
        <v>43500</v>
      </c>
      <c r="T42" s="1477" t="s">
        <v>464</v>
      </c>
      <c r="U42" s="1418">
        <v>26.79</v>
      </c>
      <c r="V42" s="1472"/>
      <c r="W42" s="1472"/>
      <c r="X42" s="1472"/>
      <c r="Y42" s="1472"/>
      <c r="Z42" s="1472"/>
      <c r="AA42" s="1472"/>
      <c r="AB42" s="1379"/>
      <c r="AC42" s="1474">
        <v>43866</v>
      </c>
      <c r="AD42" s="1473"/>
      <c r="AE42" s="1459"/>
      <c r="AF42" s="1459"/>
      <c r="AG42" s="1459"/>
      <c r="AH42" s="1459"/>
      <c r="AI42" s="1459"/>
      <c r="AJ42" s="1459"/>
      <c r="AK42" s="1459"/>
      <c r="AL42" s="1459"/>
      <c r="AM42" s="1459"/>
      <c r="AN42" s="1459"/>
      <c r="AO42" s="1459"/>
      <c r="AP42" s="1459"/>
      <c r="AQ42" s="1399"/>
      <c r="AR42" s="1399"/>
      <c r="AS42" s="1399"/>
      <c r="AT42" s="1459"/>
      <c r="AU42" s="1459"/>
      <c r="AV42" s="1459" t="str">
        <f t="shared" si="13"/>
        <v/>
      </c>
      <c r="AW42" s="1459" t="str">
        <f t="shared" si="13"/>
        <v/>
      </c>
      <c r="AX42" s="1459" t="str">
        <f t="shared" si="13"/>
        <v/>
      </c>
      <c r="AY42" s="1459" t="str">
        <f t="shared" si="13"/>
        <v/>
      </c>
      <c r="AZ42" s="1459">
        <v>549.09</v>
      </c>
      <c r="BA42" s="1459" t="str">
        <f>IF(AND($K66&gt;=BA$12,$K66&lt;(BA$12+31)),$Q66,"")</f>
        <v/>
      </c>
      <c r="BB42" s="1459" t="str">
        <f>IF(AND($K66&gt;=BB$12,$K66&lt;(BB$12+31)),$Q66,"")</f>
        <v/>
      </c>
      <c r="BC42" s="1459" t="str">
        <f t="shared" si="19"/>
        <v/>
      </c>
      <c r="BD42" s="1459"/>
      <c r="BE42" s="1459"/>
      <c r="BF42" s="1459"/>
      <c r="BG42" s="1459"/>
      <c r="BH42" s="1459"/>
      <c r="BI42" s="1459"/>
      <c r="BJ42" s="1459" t="str">
        <f t="shared" si="14"/>
        <v/>
      </c>
      <c r="BK42" s="1459" t="str">
        <f t="shared" si="12"/>
        <v/>
      </c>
      <c r="BL42" s="1459" t="str">
        <f t="shared" si="12"/>
        <v/>
      </c>
      <c r="BM42" s="1459" t="str">
        <f t="shared" si="18"/>
        <v/>
      </c>
      <c r="BN42" s="1459" t="str">
        <f t="shared" si="18"/>
        <v/>
      </c>
      <c r="BO42" s="1459" t="str">
        <f t="shared" si="18"/>
        <v/>
      </c>
      <c r="BP42" s="1459" t="str">
        <f t="shared" si="18"/>
        <v/>
      </c>
      <c r="BQ42" s="1459" t="str">
        <f t="shared" si="18"/>
        <v/>
      </c>
      <c r="BR42" s="1459" t="str">
        <f t="shared" si="7"/>
        <v/>
      </c>
      <c r="BS42" s="1459" t="str">
        <f t="shared" si="7"/>
        <v/>
      </c>
      <c r="BT42" s="1475"/>
      <c r="BU42" s="1475"/>
      <c r="BV42" s="1475"/>
      <c r="BW42" s="1475"/>
      <c r="BX42" s="1475"/>
      <c r="BY42" s="1475"/>
      <c r="BZ42" s="1475"/>
      <c r="CA42" s="1475"/>
      <c r="CB42" s="1475"/>
      <c r="CC42" s="1475"/>
      <c r="CD42" s="1475"/>
      <c r="CE42" s="1475"/>
      <c r="CF42" s="1475"/>
      <c r="CG42" s="1459"/>
      <c r="CH42" s="1459"/>
      <c r="CI42" s="1459"/>
      <c r="CJ42" s="1459"/>
      <c r="CK42" s="1475"/>
      <c r="CL42" s="1475"/>
    </row>
    <row r="43" spans="2:98" s="1376" customFormat="1" ht="13.8">
      <c r="B43" s="1494">
        <v>45049</v>
      </c>
      <c r="C43" s="1493">
        <v>45078</v>
      </c>
      <c r="D43" s="1492">
        <v>320103</v>
      </c>
      <c r="E43" s="1491">
        <f t="shared" si="9"/>
        <v>1025</v>
      </c>
      <c r="F43" s="1490">
        <f>34.71+29.07</f>
        <v>63.78</v>
      </c>
      <c r="G43" s="1489">
        <f t="shared" si="10"/>
        <v>16.070868610849796</v>
      </c>
      <c r="H43" s="1488">
        <f t="shared" si="11"/>
        <v>0.73243902439024389</v>
      </c>
      <c r="I43" s="1487">
        <f>419.64+331.11</f>
        <v>750.75</v>
      </c>
      <c r="J43" s="1462"/>
      <c r="K43" s="1423"/>
      <c r="L43" s="1421"/>
      <c r="M43" s="1421"/>
      <c r="N43" s="1420"/>
      <c r="O43" s="1420"/>
      <c r="P43" s="1419"/>
      <c r="Q43" s="1418"/>
      <c r="R43" s="1462"/>
      <c r="S43" s="1423">
        <v>43497</v>
      </c>
      <c r="T43" s="1477" t="s">
        <v>464</v>
      </c>
      <c r="U43" s="1418">
        <v>129</v>
      </c>
      <c r="V43" s="1472"/>
      <c r="W43" s="1472"/>
      <c r="X43" s="1472"/>
      <c r="Y43" s="1472"/>
      <c r="Z43" s="1472"/>
      <c r="AA43" s="1472"/>
      <c r="AB43" s="1379"/>
      <c r="AC43" s="1474">
        <v>43859</v>
      </c>
      <c r="AD43" s="1473"/>
      <c r="AE43" s="1459"/>
      <c r="AF43" s="1459"/>
      <c r="AG43" s="1459"/>
      <c r="AH43" s="1459"/>
      <c r="AI43" s="1459"/>
      <c r="AJ43" s="1459"/>
      <c r="AK43" s="1459"/>
      <c r="AL43" s="1459"/>
      <c r="AM43" s="1459"/>
      <c r="AN43" s="1459"/>
      <c r="AO43" s="1399"/>
      <c r="AP43" s="1399"/>
      <c r="AQ43" s="1459"/>
      <c r="AR43" s="1399"/>
      <c r="AS43" s="1399"/>
      <c r="AT43" s="1459"/>
      <c r="AU43" s="1459"/>
      <c r="AV43" s="1459" t="str">
        <f t="shared" si="13"/>
        <v/>
      </c>
      <c r="AW43" s="1459" t="str">
        <f t="shared" si="13"/>
        <v/>
      </c>
      <c r="AX43" s="1459" t="str">
        <f t="shared" si="13"/>
        <v/>
      </c>
      <c r="AY43" s="1459" t="str">
        <f t="shared" si="13"/>
        <v/>
      </c>
      <c r="AZ43" s="1459" t="str">
        <f t="shared" ref="AZ43:AZ48" si="20">IF(AND($K67&gt;=AZ$12,$K67&lt;(AZ$12+31)),$Q67,"")</f>
        <v/>
      </c>
      <c r="BA43" s="1459">
        <v>488.4</v>
      </c>
      <c r="BB43" s="1459" t="str">
        <f>IF(AND($K67&gt;=BB$12,$K67&lt;(BB$12+31)),$Q67,"")</f>
        <v/>
      </c>
      <c r="BC43" s="1459" t="str">
        <f t="shared" si="19"/>
        <v/>
      </c>
      <c r="BD43" s="1459"/>
      <c r="BE43" s="1459"/>
      <c r="BF43" s="1459"/>
      <c r="BG43" s="1459"/>
      <c r="BH43" s="1459"/>
      <c r="BI43" s="1459"/>
      <c r="BJ43" s="1459" t="str">
        <f t="shared" si="14"/>
        <v/>
      </c>
      <c r="BK43" s="1459" t="str">
        <f t="shared" si="12"/>
        <v/>
      </c>
      <c r="BL43" s="1459" t="str">
        <f t="shared" si="12"/>
        <v/>
      </c>
      <c r="BM43" s="1459" t="str">
        <f t="shared" si="18"/>
        <v/>
      </c>
      <c r="BN43" s="1459" t="str">
        <f t="shared" si="18"/>
        <v/>
      </c>
      <c r="BO43" s="1459" t="str">
        <f t="shared" si="18"/>
        <v/>
      </c>
      <c r="BP43" s="1459" t="str">
        <f t="shared" si="18"/>
        <v/>
      </c>
      <c r="BQ43" s="1459" t="str">
        <f t="shared" si="18"/>
        <v/>
      </c>
      <c r="BR43" s="1459" t="str">
        <f t="shared" si="7"/>
        <v/>
      </c>
      <c r="BS43" s="1459" t="str">
        <f t="shared" si="7"/>
        <v/>
      </c>
      <c r="BT43" s="1475"/>
      <c r="BU43" s="1475"/>
      <c r="BV43" s="1475"/>
      <c r="BW43" s="1475"/>
      <c r="BX43" s="1475"/>
      <c r="BY43" s="1475"/>
      <c r="BZ43" s="1475"/>
      <c r="CA43" s="1475"/>
      <c r="CB43" s="1475"/>
      <c r="CC43" s="1475"/>
      <c r="CD43" s="1475"/>
      <c r="CE43" s="1475"/>
      <c r="CF43" s="1475"/>
      <c r="CG43" s="1459"/>
      <c r="CH43" s="1459"/>
      <c r="CI43" s="1459"/>
      <c r="CJ43" s="1459"/>
      <c r="CK43" s="1475"/>
      <c r="CL43" s="1475"/>
    </row>
    <row r="44" spans="2:98" s="1376" customFormat="1" ht="13.8">
      <c r="B44" s="1494">
        <v>45001</v>
      </c>
      <c r="C44" s="1493">
        <v>45047</v>
      </c>
      <c r="D44" s="1492">
        <v>319078</v>
      </c>
      <c r="E44" s="1491">
        <f t="shared" si="9"/>
        <v>1199</v>
      </c>
      <c r="F44" s="1490">
        <f>45.4+32.61</f>
        <v>78.009999999999991</v>
      </c>
      <c r="G44" s="1489">
        <f t="shared" si="10"/>
        <v>15.369824381489554</v>
      </c>
      <c r="H44" s="1488">
        <f t="shared" si="11"/>
        <v>0.80069224353628021</v>
      </c>
      <c r="I44" s="1487">
        <f>562.51+397.52</f>
        <v>960.03</v>
      </c>
      <c r="J44" s="1462"/>
      <c r="K44" s="1423"/>
      <c r="L44" s="1421"/>
      <c r="M44" s="1421"/>
      <c r="N44" s="1420"/>
      <c r="O44" s="1420"/>
      <c r="P44" s="1419"/>
      <c r="Q44" s="1418"/>
      <c r="R44" s="1462"/>
      <c r="S44" s="1423">
        <v>43467</v>
      </c>
      <c r="T44" s="1477" t="s">
        <v>464</v>
      </c>
      <c r="U44" s="1418">
        <v>129</v>
      </c>
      <c r="V44" s="1472"/>
      <c r="W44" s="1472"/>
      <c r="X44" s="1472"/>
      <c r="Y44" s="1472"/>
      <c r="Z44" s="1472"/>
      <c r="AA44" s="1472"/>
      <c r="AB44" s="1379"/>
      <c r="AC44" s="1474">
        <v>43836</v>
      </c>
      <c r="AD44" s="1473"/>
      <c r="AE44" s="1459"/>
      <c r="AF44" s="1459"/>
      <c r="AG44" s="1459"/>
      <c r="AH44" s="1459"/>
      <c r="AI44" s="1459"/>
      <c r="AJ44" s="1459"/>
      <c r="AK44" s="1459"/>
      <c r="AL44" s="1459"/>
      <c r="AM44" s="1459"/>
      <c r="AN44" s="1459"/>
      <c r="AO44" s="1399"/>
      <c r="AP44" s="1399"/>
      <c r="AQ44" s="1459"/>
      <c r="AR44" s="1399"/>
      <c r="AS44" s="1399"/>
      <c r="AT44" s="1459"/>
      <c r="AU44" s="1459"/>
      <c r="AV44" s="1459" t="str">
        <f t="shared" si="13"/>
        <v/>
      </c>
      <c r="AW44" s="1459" t="str">
        <f t="shared" si="13"/>
        <v/>
      </c>
      <c r="AX44" s="1459" t="str">
        <f t="shared" si="13"/>
        <v/>
      </c>
      <c r="AY44" s="1459" t="str">
        <f t="shared" si="13"/>
        <v/>
      </c>
      <c r="AZ44" s="1459" t="str">
        <f t="shared" si="20"/>
        <v/>
      </c>
      <c r="BA44" s="1459">
        <v>56.84</v>
      </c>
      <c r="BB44" s="1459" t="str">
        <f>IF(AND($K68&gt;=BB$12,$K68&lt;(BB$12+31)),$Q68,"")</f>
        <v/>
      </c>
      <c r="BC44" s="1459" t="str">
        <f t="shared" si="19"/>
        <v/>
      </c>
      <c r="BD44" s="1459"/>
      <c r="BE44" s="1459"/>
      <c r="BF44" s="1459"/>
      <c r="BG44" s="1459"/>
      <c r="BH44" s="1459"/>
      <c r="BI44" s="1459"/>
      <c r="BJ44" s="1459" t="str">
        <f t="shared" si="14"/>
        <v/>
      </c>
      <c r="BK44" s="1459" t="str">
        <f t="shared" si="12"/>
        <v/>
      </c>
      <c r="BL44" s="1459" t="str">
        <f t="shared" si="12"/>
        <v/>
      </c>
      <c r="BM44" s="1459" t="str">
        <f t="shared" si="18"/>
        <v/>
      </c>
      <c r="BN44" s="1459" t="str">
        <f t="shared" si="18"/>
        <v/>
      </c>
      <c r="BO44" s="1459" t="str">
        <f t="shared" si="18"/>
        <v/>
      </c>
      <c r="BP44" s="1459" t="str">
        <f t="shared" si="18"/>
        <v/>
      </c>
      <c r="BQ44" s="1459" t="str">
        <f t="shared" si="18"/>
        <v/>
      </c>
      <c r="BR44" s="1459" t="str">
        <f t="shared" si="7"/>
        <v/>
      </c>
      <c r="BS44" s="1459" t="str">
        <f t="shared" si="7"/>
        <v/>
      </c>
      <c r="BT44" s="1475"/>
      <c r="BU44" s="1475"/>
      <c r="BV44" s="1475"/>
      <c r="BW44" s="1475"/>
      <c r="BX44" s="1475"/>
      <c r="BY44" s="1475"/>
      <c r="BZ44" s="1475"/>
      <c r="CA44" s="1475"/>
      <c r="CB44" s="1475"/>
      <c r="CC44" s="1475"/>
      <c r="CD44" s="1475"/>
      <c r="CE44" s="1475"/>
      <c r="CF44" s="1475"/>
      <c r="CG44" s="1459"/>
      <c r="CH44" s="1459"/>
      <c r="CI44" s="1459"/>
      <c r="CJ44" s="1459"/>
      <c r="CK44" s="1475"/>
      <c r="CL44" s="1475"/>
    </row>
    <row r="45" spans="2:98" s="1376" customFormat="1" ht="13.8">
      <c r="B45" s="1494">
        <v>44985</v>
      </c>
      <c r="C45" s="1493">
        <v>45017</v>
      </c>
      <c r="D45" s="1492">
        <v>317879</v>
      </c>
      <c r="E45" s="1491">
        <f t="shared" si="9"/>
        <v>1857</v>
      </c>
      <c r="F45" s="1490">
        <v>58.33</v>
      </c>
      <c r="G45" s="1489">
        <f t="shared" si="10"/>
        <v>31.836104920281159</v>
      </c>
      <c r="H45" s="1488">
        <f t="shared" si="11"/>
        <v>0.40488422186322026</v>
      </c>
      <c r="I45" s="1487">
        <v>751.87</v>
      </c>
      <c r="J45" s="1462"/>
      <c r="K45" s="1423"/>
      <c r="L45" s="1421"/>
      <c r="M45" s="1421"/>
      <c r="N45" s="1420"/>
      <c r="O45" s="1420"/>
      <c r="P45" s="1419"/>
      <c r="Q45" s="1418"/>
      <c r="R45" s="1462"/>
      <c r="S45" s="1423">
        <v>43434</v>
      </c>
      <c r="T45" s="1477" t="s">
        <v>464</v>
      </c>
      <c r="U45" s="1418">
        <v>129</v>
      </c>
      <c r="V45" s="1472"/>
      <c r="W45" s="1472"/>
      <c r="X45" s="1472"/>
      <c r="Y45" s="1472"/>
      <c r="Z45" s="1472"/>
      <c r="AA45" s="1472"/>
      <c r="AB45" s="1379"/>
      <c r="AC45" s="1474">
        <v>43816</v>
      </c>
      <c r="AD45" s="1473"/>
      <c r="AE45" s="1459"/>
      <c r="AF45" s="1459"/>
      <c r="AG45" s="1459"/>
      <c r="AH45" s="1459"/>
      <c r="AI45" s="1459"/>
      <c r="AJ45" s="1459"/>
      <c r="AK45" s="1459"/>
      <c r="AL45" s="1459"/>
      <c r="AM45" s="1459"/>
      <c r="AN45" s="1459"/>
      <c r="AO45" s="1459"/>
      <c r="AP45" s="1459"/>
      <c r="AQ45" s="1459"/>
      <c r="AR45" s="1399"/>
      <c r="AS45" s="1399"/>
      <c r="AT45" s="1459"/>
      <c r="AU45" s="1459"/>
      <c r="AV45" s="1459" t="str">
        <f t="shared" si="13"/>
        <v/>
      </c>
      <c r="AW45" s="1459" t="str">
        <f t="shared" si="13"/>
        <v/>
      </c>
      <c r="AX45" s="1459" t="str">
        <f t="shared" si="13"/>
        <v/>
      </c>
      <c r="AY45" s="1459" t="str">
        <f t="shared" si="13"/>
        <v/>
      </c>
      <c r="AZ45" s="1459" t="str">
        <f t="shared" si="20"/>
        <v/>
      </c>
      <c r="BA45" s="1459" t="str">
        <f>IF(AND($K69&gt;=BA$12,$K69&lt;(BA$12+31)),$Q69,"")</f>
        <v/>
      </c>
      <c r="BB45" s="1459">
        <v>204.28</v>
      </c>
      <c r="BC45" s="1459" t="str">
        <f t="shared" si="19"/>
        <v/>
      </c>
      <c r="BD45" s="1459"/>
      <c r="BE45" s="1459"/>
      <c r="BF45" s="1459"/>
      <c r="BG45" s="1459"/>
      <c r="BH45" s="1459"/>
      <c r="BI45" s="1459"/>
      <c r="BJ45" s="1459" t="str">
        <f t="shared" si="14"/>
        <v/>
      </c>
      <c r="BK45" s="1459" t="str">
        <f t="shared" si="12"/>
        <v/>
      </c>
      <c r="BL45" s="1459" t="str">
        <f t="shared" si="12"/>
        <v/>
      </c>
      <c r="BM45" s="1459" t="str">
        <f t="shared" si="18"/>
        <v/>
      </c>
      <c r="BN45" s="1459" t="str">
        <f t="shared" si="18"/>
        <v/>
      </c>
      <c r="BO45" s="1459" t="str">
        <f t="shared" si="18"/>
        <v/>
      </c>
      <c r="BP45" s="1459" t="str">
        <f t="shared" si="18"/>
        <v/>
      </c>
      <c r="BQ45" s="1459" t="str">
        <f t="shared" si="18"/>
        <v/>
      </c>
      <c r="BR45" s="1459" t="str">
        <f t="shared" si="7"/>
        <v/>
      </c>
      <c r="BS45" s="1459" t="str">
        <f t="shared" si="7"/>
        <v/>
      </c>
      <c r="BT45" s="1475"/>
      <c r="BU45" s="1475"/>
      <c r="BV45" s="1475"/>
      <c r="BW45" s="1475"/>
      <c r="BX45" s="1475"/>
      <c r="BY45" s="1475"/>
      <c r="BZ45" s="1459"/>
      <c r="CA45" s="1459"/>
      <c r="CB45" s="1459"/>
      <c r="CC45" s="1459"/>
      <c r="CD45" s="1459"/>
      <c r="CE45" s="1459"/>
      <c r="CF45" s="1475"/>
      <c r="CG45" s="1459"/>
      <c r="CH45" s="1459"/>
      <c r="CI45" s="1459"/>
      <c r="CJ45" s="1459"/>
      <c r="CK45" s="1475"/>
      <c r="CL45" s="1475"/>
    </row>
    <row r="46" spans="2:98" s="1376" customFormat="1" ht="13.8">
      <c r="B46" s="1494">
        <v>44954</v>
      </c>
      <c r="C46" s="1493">
        <v>44986</v>
      </c>
      <c r="D46" s="1492">
        <v>316022</v>
      </c>
      <c r="E46" s="1491">
        <f t="shared" si="9"/>
        <v>576</v>
      </c>
      <c r="F46" s="1490">
        <v>48.8</v>
      </c>
      <c r="G46" s="1489">
        <f t="shared" si="10"/>
        <v>11.803278688524591</v>
      </c>
      <c r="H46" s="1488">
        <f t="shared" si="11"/>
        <v>2.4998090277777774</v>
      </c>
      <c r="I46" s="1487">
        <f>677.83+762.06</f>
        <v>1439.8899999999999</v>
      </c>
      <c r="J46" s="1462"/>
      <c r="K46" s="1423"/>
      <c r="L46" s="1421"/>
      <c r="M46" s="1421"/>
      <c r="N46" s="1420"/>
      <c r="O46" s="1420"/>
      <c r="P46" s="1419"/>
      <c r="Q46" s="1418"/>
      <c r="R46" s="1462"/>
      <c r="S46" s="1423">
        <v>43404</v>
      </c>
      <c r="T46" s="1477" t="s">
        <v>464</v>
      </c>
      <c r="U46" s="1418">
        <v>129</v>
      </c>
      <c r="V46" s="1472"/>
      <c r="W46" s="1472"/>
      <c r="X46" s="1472"/>
      <c r="Y46" s="1472"/>
      <c r="Z46" s="1472"/>
      <c r="AA46" s="1472"/>
      <c r="AB46" s="1379"/>
      <c r="AC46" s="1474">
        <v>43804</v>
      </c>
      <c r="AD46" s="1473"/>
      <c r="AE46" s="1399"/>
      <c r="AF46" s="1399"/>
      <c r="AG46" s="1399"/>
      <c r="AH46" s="1399"/>
      <c r="AI46" s="1399"/>
      <c r="AJ46" s="1399"/>
      <c r="AK46" s="1399"/>
      <c r="AL46" s="1399"/>
      <c r="AM46" s="1399"/>
      <c r="AN46" s="1399"/>
      <c r="AO46" s="1459"/>
      <c r="AP46" s="1459"/>
      <c r="AQ46" s="1459"/>
      <c r="AR46" s="1399"/>
      <c r="AS46" s="1399"/>
      <c r="AT46" s="1459"/>
      <c r="AU46" s="1459"/>
      <c r="AV46" s="1459" t="str">
        <f t="shared" si="13"/>
        <v/>
      </c>
      <c r="AW46" s="1459" t="str">
        <f t="shared" si="13"/>
        <v/>
      </c>
      <c r="AX46" s="1459" t="str">
        <f t="shared" si="13"/>
        <v/>
      </c>
      <c r="AY46" s="1459" t="str">
        <f t="shared" si="13"/>
        <v/>
      </c>
      <c r="AZ46" s="1459" t="str">
        <f t="shared" si="20"/>
        <v/>
      </c>
      <c r="BA46" s="1459" t="str">
        <f>IF(AND($K70&gt;=BA$12,$K70&lt;(BA$12+31)),$Q70,"")</f>
        <v/>
      </c>
      <c r="BB46" s="1459">
        <v>502.65</v>
      </c>
      <c r="BC46" s="1459" t="str">
        <f t="shared" si="19"/>
        <v/>
      </c>
      <c r="BD46" s="1459"/>
      <c r="BE46" s="1459"/>
      <c r="BF46" s="1459"/>
      <c r="BG46" s="1459"/>
      <c r="BH46" s="1459"/>
      <c r="BI46" s="1459"/>
      <c r="BJ46" s="1459" t="str">
        <f t="shared" si="14"/>
        <v/>
      </c>
      <c r="BK46" s="1459" t="str">
        <f t="shared" si="12"/>
        <v/>
      </c>
      <c r="BL46" s="1459" t="str">
        <f t="shared" si="12"/>
        <v/>
      </c>
      <c r="BM46" s="1459" t="str">
        <f t="shared" si="18"/>
        <v/>
      </c>
      <c r="BN46" s="1459" t="str">
        <f t="shared" si="18"/>
        <v/>
      </c>
      <c r="BO46" s="1459" t="str">
        <f t="shared" si="18"/>
        <v/>
      </c>
      <c r="BP46" s="1459" t="str">
        <f t="shared" si="18"/>
        <v/>
      </c>
      <c r="BQ46" s="1459" t="str">
        <f t="shared" si="18"/>
        <v/>
      </c>
      <c r="BR46" s="1459" t="str">
        <f t="shared" si="7"/>
        <v/>
      </c>
      <c r="BS46" s="1459" t="str">
        <f t="shared" si="7"/>
        <v/>
      </c>
      <c r="BT46" s="1475"/>
      <c r="BU46" s="1475"/>
      <c r="BV46" s="1475"/>
      <c r="BW46" s="1475"/>
      <c r="BX46" s="1475"/>
      <c r="BY46" s="1459"/>
      <c r="BZ46" s="1459"/>
      <c r="CB46" s="1459"/>
      <c r="CC46" s="1459"/>
      <c r="CD46" s="1459"/>
      <c r="CE46" s="1475"/>
      <c r="CF46" s="1475"/>
      <c r="CG46" s="1459"/>
      <c r="CH46" s="1459"/>
      <c r="CI46" s="1459"/>
      <c r="CJ46" s="1459"/>
      <c r="CK46" s="1475"/>
      <c r="CL46" s="1475"/>
    </row>
    <row r="47" spans="2:98" s="1376" customFormat="1" ht="13.8">
      <c r="B47" s="1494">
        <v>44917</v>
      </c>
      <c r="C47" s="1493">
        <v>44958</v>
      </c>
      <c r="D47" s="1492">
        <v>315446</v>
      </c>
      <c r="E47" s="1491">
        <f t="shared" si="9"/>
        <v>638</v>
      </c>
      <c r="F47" s="1490">
        <v>49.54</v>
      </c>
      <c r="G47" s="1489">
        <f t="shared" si="10"/>
        <v>12.878482034719418</v>
      </c>
      <c r="H47" s="1488">
        <f t="shared" si="11"/>
        <v>1.0241849529780565</v>
      </c>
      <c r="I47" s="1487">
        <v>653.42999999999995</v>
      </c>
      <c r="J47" s="1462"/>
      <c r="K47" s="1423"/>
      <c r="L47" s="1421"/>
      <c r="M47" s="1421"/>
      <c r="N47" s="1420"/>
      <c r="O47" s="1420"/>
      <c r="P47" s="1419"/>
      <c r="Q47" s="1418"/>
      <c r="R47" s="1462"/>
      <c r="S47" s="1423">
        <v>43373</v>
      </c>
      <c r="T47" s="1477" t="s">
        <v>464</v>
      </c>
      <c r="U47" s="1418">
        <v>129</v>
      </c>
      <c r="V47" s="1472"/>
      <c r="W47" s="1472"/>
      <c r="X47" s="1472"/>
      <c r="Y47" s="1472"/>
      <c r="Z47" s="1472"/>
      <c r="AA47" s="1472"/>
      <c r="AB47" s="1379"/>
      <c r="AC47" s="1474">
        <v>43798</v>
      </c>
      <c r="AD47" s="1473"/>
      <c r="AE47" s="1399"/>
      <c r="AF47" s="1399"/>
      <c r="AG47" s="1399"/>
      <c r="AH47" s="1399"/>
      <c r="AI47" s="1399"/>
      <c r="AJ47" s="1399"/>
      <c r="AK47" s="1399"/>
      <c r="AL47" s="1399"/>
      <c r="AM47" s="1399"/>
      <c r="AN47" s="1399"/>
      <c r="AO47" s="1459"/>
      <c r="AP47" s="1459"/>
      <c r="AQ47" s="1459"/>
      <c r="AR47" s="1399"/>
      <c r="AS47" s="1399"/>
      <c r="AT47" s="1459"/>
      <c r="AU47" s="1459"/>
      <c r="AV47" s="1459" t="str">
        <f t="shared" si="13"/>
        <v/>
      </c>
      <c r="AW47" s="1459" t="str">
        <f t="shared" si="13"/>
        <v/>
      </c>
      <c r="AX47" s="1459" t="str">
        <f t="shared" si="13"/>
        <v/>
      </c>
      <c r="AY47" s="1459" t="str">
        <f t="shared" si="13"/>
        <v/>
      </c>
      <c r="AZ47" s="1459" t="str">
        <f t="shared" si="20"/>
        <v/>
      </c>
      <c r="BA47" s="1459" t="str">
        <f>IF(AND($K71&gt;=BA$12,$K71&lt;(BA$12+31)),$Q71,"")</f>
        <v/>
      </c>
      <c r="BB47" s="1459">
        <v>330.36</v>
      </c>
      <c r="BC47" s="1459" t="str">
        <f t="shared" si="19"/>
        <v/>
      </c>
      <c r="BD47" s="1459"/>
      <c r="BE47" s="1459"/>
      <c r="BF47" s="1459"/>
      <c r="BG47" s="1459"/>
      <c r="BH47" s="1459"/>
      <c r="BI47" s="1459"/>
      <c r="BJ47" s="1459" t="str">
        <f t="shared" si="14"/>
        <v/>
      </c>
      <c r="BK47" s="1459" t="str">
        <f t="shared" si="12"/>
        <v/>
      </c>
      <c r="BL47" s="1459" t="str">
        <f t="shared" si="12"/>
        <v/>
      </c>
      <c r="BM47" s="1459" t="str">
        <f t="shared" si="18"/>
        <v/>
      </c>
      <c r="BN47" s="1459" t="str">
        <f t="shared" si="18"/>
        <v/>
      </c>
      <c r="BO47" s="1459" t="str">
        <f t="shared" si="18"/>
        <v/>
      </c>
      <c r="BP47" s="1459" t="str">
        <f t="shared" si="18"/>
        <v/>
      </c>
      <c r="BQ47" s="1459" t="str">
        <f t="shared" si="18"/>
        <v/>
      </c>
      <c r="BR47" s="1459" t="str">
        <f t="shared" si="7"/>
        <v/>
      </c>
      <c r="BS47" s="1459" t="str">
        <f t="shared" si="7"/>
        <v/>
      </c>
      <c r="BT47" s="1475"/>
      <c r="BU47" s="1475"/>
      <c r="BV47" s="1475"/>
      <c r="BW47" s="1475"/>
      <c r="BX47" s="1475"/>
      <c r="BY47" s="1459"/>
      <c r="BZ47" s="1475"/>
      <c r="CB47" s="1475"/>
      <c r="CC47" s="1459"/>
      <c r="CD47" s="1459"/>
      <c r="CE47" s="1475"/>
      <c r="CF47" s="1475"/>
      <c r="CG47" s="1459"/>
      <c r="CH47" s="1459"/>
      <c r="CI47" s="1459"/>
      <c r="CJ47" s="1459"/>
      <c r="CK47" s="1475"/>
      <c r="CL47" s="1475"/>
    </row>
    <row r="48" spans="2:98" s="1376" customFormat="1" ht="13.8">
      <c r="B48" s="1494">
        <v>44881</v>
      </c>
      <c r="C48" s="1493">
        <v>44927</v>
      </c>
      <c r="D48" s="1492">
        <v>314808</v>
      </c>
      <c r="E48" s="1491">
        <f t="shared" si="9"/>
        <v>622</v>
      </c>
      <c r="F48" s="1490">
        <v>73.290000000000006</v>
      </c>
      <c r="G48" s="1489">
        <f t="shared" si="10"/>
        <v>8.4868331286669392</v>
      </c>
      <c r="H48" s="1488">
        <f t="shared" si="11"/>
        <v>1.4628938906752411</v>
      </c>
      <c r="I48" s="1487">
        <v>909.92</v>
      </c>
      <c r="J48" s="1462"/>
      <c r="K48" s="1423"/>
      <c r="L48" s="1421"/>
      <c r="M48" s="1421"/>
      <c r="N48" s="1420"/>
      <c r="O48" s="1420"/>
      <c r="P48" s="1419"/>
      <c r="Q48" s="1418"/>
      <c r="R48" s="1462"/>
      <c r="S48" s="1423">
        <v>43343</v>
      </c>
      <c r="T48" s="1477" t="s">
        <v>464</v>
      </c>
      <c r="U48" s="1418">
        <v>129</v>
      </c>
      <c r="V48" s="1472"/>
      <c r="W48" s="1472"/>
      <c r="X48" s="1472"/>
      <c r="Y48" s="1472"/>
      <c r="Z48" s="1472"/>
      <c r="AA48" s="1472"/>
      <c r="AB48" s="1379"/>
      <c r="AC48" s="1474">
        <v>43785</v>
      </c>
      <c r="AD48" s="1473"/>
      <c r="AE48" s="1459"/>
      <c r="AF48" s="1459"/>
      <c r="AG48" s="1459"/>
      <c r="AH48" s="1459"/>
      <c r="AI48" s="1459"/>
      <c r="AJ48" s="1459"/>
      <c r="AK48" s="1459"/>
      <c r="AL48" s="1459"/>
      <c r="AM48" s="1459"/>
      <c r="AN48" s="1459"/>
      <c r="AO48" s="1459"/>
      <c r="AP48" s="1459"/>
      <c r="AQ48" s="1459"/>
      <c r="AR48" s="1399"/>
      <c r="AS48" s="1399"/>
      <c r="AT48" s="1459"/>
      <c r="AU48" s="1459"/>
      <c r="AV48" s="1459" t="str">
        <f t="shared" si="13"/>
        <v/>
      </c>
      <c r="AW48" s="1459" t="str">
        <f t="shared" si="13"/>
        <v/>
      </c>
      <c r="AX48" s="1459" t="str">
        <f t="shared" si="13"/>
        <v/>
      </c>
      <c r="AY48" s="1459" t="str">
        <f t="shared" si="13"/>
        <v/>
      </c>
      <c r="AZ48" s="1459" t="str">
        <f t="shared" si="20"/>
        <v/>
      </c>
      <c r="BA48" s="1459" t="str">
        <f>IF(AND($K72&gt;=BA$12,$K72&lt;(BA$12+31)),$Q72,"")</f>
        <v/>
      </c>
      <c r="BB48" s="1459" t="str">
        <f>IF(AND($K72&gt;=BB$12,$K72&lt;(BB$12+31)),$Q72,"")</f>
        <v/>
      </c>
      <c r="BC48" s="1459"/>
      <c r="BD48" s="1459" t="str">
        <f>IF(AND($K74&gt;=BD$12,$K74&lt;(BD$12+31)),$Q74,"")</f>
        <v/>
      </c>
      <c r="BE48" s="1459"/>
      <c r="BF48" s="1459"/>
      <c r="BG48" s="1459"/>
      <c r="BH48" s="1459"/>
      <c r="BI48" s="1459"/>
      <c r="BJ48" s="1459" t="str">
        <f t="shared" si="14"/>
        <v/>
      </c>
      <c r="BK48" s="1459" t="str">
        <f t="shared" si="12"/>
        <v/>
      </c>
      <c r="BL48" s="1459" t="str">
        <f t="shared" si="12"/>
        <v/>
      </c>
      <c r="BM48" s="1459" t="str">
        <f t="shared" si="18"/>
        <v/>
      </c>
      <c r="BN48" s="1459" t="str">
        <f t="shared" si="18"/>
        <v/>
      </c>
      <c r="BO48" s="1459" t="str">
        <f t="shared" si="18"/>
        <v/>
      </c>
      <c r="BP48" s="1459" t="str">
        <f t="shared" si="18"/>
        <v/>
      </c>
      <c r="BQ48" s="1459" t="str">
        <f t="shared" si="18"/>
        <v/>
      </c>
      <c r="BR48" s="1459" t="str">
        <f t="shared" si="7"/>
        <v/>
      </c>
      <c r="BS48" s="1459" t="str">
        <f t="shared" si="7"/>
        <v/>
      </c>
      <c r="BT48" s="1475"/>
      <c r="BU48" s="1475"/>
      <c r="BV48" s="1475"/>
      <c r="BW48" s="1475"/>
      <c r="BX48" s="1475"/>
      <c r="BY48" s="1459"/>
      <c r="BZ48" s="1475"/>
      <c r="CB48" s="1475"/>
      <c r="CC48" s="1459"/>
      <c r="CD48" s="1459"/>
      <c r="CE48" s="1475"/>
      <c r="CF48" s="1475"/>
      <c r="CG48" s="1475"/>
    </row>
    <row r="49" spans="2:98" s="1376" customFormat="1" ht="13.8">
      <c r="B49" s="1494">
        <v>44852</v>
      </c>
      <c r="C49" s="1493">
        <v>44896</v>
      </c>
      <c r="D49" s="1492">
        <f>AVERAGE(E50:$E$55)+D50</f>
        <v>314186</v>
      </c>
      <c r="E49" s="1491">
        <f t="shared" si="9"/>
        <v>636</v>
      </c>
      <c r="F49" s="1490">
        <v>37.200000000000003</v>
      </c>
      <c r="G49" s="1489">
        <f t="shared" si="10"/>
        <v>17.096774193548384</v>
      </c>
      <c r="H49" s="1488">
        <f t="shared" si="11"/>
        <v>1.262059748427673</v>
      </c>
      <c r="I49" s="1487">
        <f>602.27+200.4</f>
        <v>802.67</v>
      </c>
      <c r="J49" s="1462"/>
      <c r="K49" s="1423"/>
      <c r="L49" s="1421"/>
      <c r="M49" s="1421"/>
      <c r="N49" s="1420"/>
      <c r="O49" s="1420"/>
      <c r="P49" s="1419"/>
      <c r="Q49" s="1418"/>
      <c r="R49" s="1462"/>
      <c r="S49" s="1423">
        <v>43317</v>
      </c>
      <c r="T49" s="1477" t="s">
        <v>238</v>
      </c>
      <c r="U49" s="1418">
        <v>112.35</v>
      </c>
      <c r="V49" s="1472"/>
      <c r="W49" s="1472"/>
      <c r="X49" s="1472"/>
      <c r="Y49" s="1472"/>
      <c r="Z49" s="1472"/>
      <c r="AA49" s="1472"/>
      <c r="AB49" s="1379"/>
      <c r="AC49" s="1474">
        <v>43762</v>
      </c>
      <c r="AD49" s="1473"/>
      <c r="AE49" s="1459"/>
      <c r="AF49" s="1459"/>
      <c r="AG49" s="1459"/>
      <c r="AH49" s="1459"/>
      <c r="AI49" s="1459"/>
      <c r="AJ49" s="1459"/>
      <c r="AK49" s="1459"/>
      <c r="AL49" s="1459"/>
      <c r="AM49" s="1459"/>
      <c r="AN49" s="1459"/>
      <c r="AO49" s="1399"/>
      <c r="AP49" s="1399"/>
      <c r="AQ49" s="1399"/>
      <c r="AR49" s="1399"/>
      <c r="AS49" s="1399"/>
      <c r="AT49" s="1459"/>
      <c r="AU49" s="1459"/>
      <c r="AV49" s="1459"/>
      <c r="AW49" s="1459"/>
      <c r="AX49" s="1459"/>
      <c r="AY49" s="1459"/>
      <c r="AZ49" s="1459"/>
      <c r="BA49" s="1459"/>
      <c r="BB49" s="1459"/>
      <c r="BC49" s="1459"/>
      <c r="BD49" s="1459" t="str">
        <f>IF(AND($K75&gt;=BD$12,$K75&lt;(BD$12+31)),$Q75,"")</f>
        <v/>
      </c>
      <c r="BE49" s="1459"/>
      <c r="BF49" s="1459"/>
      <c r="BG49" s="1459"/>
      <c r="BH49" s="1459"/>
      <c r="BI49" s="1459"/>
      <c r="BJ49" s="1459" t="str">
        <f t="shared" si="14"/>
        <v/>
      </c>
      <c r="BK49" s="1459" t="str">
        <f t="shared" si="12"/>
        <v/>
      </c>
      <c r="BL49" s="1459" t="str">
        <f t="shared" si="12"/>
        <v/>
      </c>
      <c r="BM49" s="1459" t="str">
        <f t="shared" ref="BM49:BQ55" si="21">IF(AND($K86&gt;=BM$12,$K86&lt;BL$12),$Q86,"")</f>
        <v/>
      </c>
      <c r="BN49" s="1459" t="str">
        <f t="shared" si="21"/>
        <v/>
      </c>
      <c r="BO49" s="1459" t="str">
        <f t="shared" si="21"/>
        <v/>
      </c>
      <c r="BP49" s="1459" t="str">
        <f t="shared" si="21"/>
        <v/>
      </c>
      <c r="BQ49" s="1459" t="str">
        <f t="shared" si="21"/>
        <v/>
      </c>
      <c r="BR49" s="1459" t="str">
        <f t="shared" si="7"/>
        <v/>
      </c>
      <c r="BS49" s="1459" t="str">
        <f t="shared" si="7"/>
        <v/>
      </c>
      <c r="BT49" s="1475"/>
      <c r="BU49" s="1475"/>
      <c r="BV49" s="1475"/>
      <c r="BW49" s="1475"/>
      <c r="BX49" s="1475"/>
      <c r="BY49" s="1459"/>
      <c r="BZ49" s="1475"/>
      <c r="CB49" s="1475"/>
      <c r="CC49" s="1459"/>
      <c r="CD49" s="1459"/>
      <c r="CE49" s="1475"/>
      <c r="CF49" s="1475"/>
      <c r="CG49" s="1459"/>
      <c r="CH49" s="1459"/>
      <c r="CI49" s="1475"/>
      <c r="CJ49" s="1475"/>
    </row>
    <row r="50" spans="2:98" s="1376" customFormat="1" ht="13.8">
      <c r="B50" s="1494">
        <v>44820</v>
      </c>
      <c r="C50" s="1493">
        <v>44866</v>
      </c>
      <c r="D50" s="1492">
        <v>313550</v>
      </c>
      <c r="E50" s="1491">
        <f t="shared" si="9"/>
        <v>458.5</v>
      </c>
      <c r="F50" s="1490">
        <v>34.83</v>
      </c>
      <c r="G50" s="1489">
        <f t="shared" si="10"/>
        <v>13.163939132931382</v>
      </c>
      <c r="H50" s="1488">
        <f t="shared" si="11"/>
        <v>1.1052344601962922</v>
      </c>
      <c r="I50" s="1487">
        <v>506.75</v>
      </c>
      <c r="J50" s="1462"/>
      <c r="K50" s="1423"/>
      <c r="L50" s="1421"/>
      <c r="M50" s="1421"/>
      <c r="N50" s="1420"/>
      <c r="O50" s="1420"/>
      <c r="P50" s="1419"/>
      <c r="Q50" s="1418"/>
      <c r="R50" s="1462"/>
      <c r="S50" s="1480">
        <v>43230</v>
      </c>
      <c r="T50" s="1477" t="s">
        <v>238</v>
      </c>
      <c r="U50" s="1418">
        <v>89</v>
      </c>
      <c r="V50" s="1472"/>
      <c r="W50" s="1472"/>
      <c r="X50" s="1472"/>
      <c r="Y50" s="1472"/>
      <c r="Z50" s="1472"/>
      <c r="AA50" s="1472"/>
      <c r="AB50" s="1379"/>
      <c r="AC50" s="1474">
        <v>43724</v>
      </c>
      <c r="AD50" s="1473"/>
      <c r="AE50" s="1459"/>
      <c r="AF50" s="1459"/>
      <c r="AG50" s="1459"/>
      <c r="AH50" s="1459"/>
      <c r="AI50" s="1459"/>
      <c r="AJ50" s="1459"/>
      <c r="AK50" s="1459"/>
      <c r="AL50" s="1459"/>
      <c r="AM50" s="1459"/>
      <c r="AN50" s="1459"/>
      <c r="AO50" s="1473"/>
      <c r="AP50" s="1473"/>
      <c r="AQ50" s="1399"/>
      <c r="AR50" s="1399"/>
      <c r="AS50" s="1399"/>
      <c r="AT50" s="1459"/>
      <c r="AU50" s="1459"/>
      <c r="AV50" s="1459"/>
      <c r="AW50" s="1459"/>
      <c r="AX50" s="1459"/>
      <c r="AY50" s="1459"/>
      <c r="AZ50" s="1459"/>
      <c r="BA50" s="1459"/>
      <c r="BB50" s="1459"/>
      <c r="BC50" s="1459"/>
      <c r="BD50" s="1459"/>
      <c r="BE50" s="1459" t="str">
        <f>IF(AND($K76&gt;=BE$12,$K76&lt;(BE$12+31)),$Q76,"")</f>
        <v/>
      </c>
      <c r="BF50" s="1459"/>
      <c r="BG50" s="1459"/>
      <c r="BH50" s="1459"/>
      <c r="BI50" s="1459"/>
      <c r="BJ50" s="1459" t="str">
        <f t="shared" si="14"/>
        <v/>
      </c>
      <c r="BK50" s="1459" t="str">
        <f t="shared" si="12"/>
        <v/>
      </c>
      <c r="BL50" s="1459" t="str">
        <f t="shared" si="12"/>
        <v/>
      </c>
      <c r="BM50" s="1459" t="str">
        <f t="shared" si="21"/>
        <v/>
      </c>
      <c r="BN50" s="1459" t="str">
        <f t="shared" si="21"/>
        <v/>
      </c>
      <c r="BO50" s="1459" t="str">
        <f t="shared" si="21"/>
        <v/>
      </c>
      <c r="BP50" s="1459" t="str">
        <f t="shared" si="21"/>
        <v/>
      </c>
      <c r="BQ50" s="1459" t="str">
        <f t="shared" si="21"/>
        <v/>
      </c>
      <c r="BR50" s="1459" t="str">
        <f t="shared" si="7"/>
        <v/>
      </c>
      <c r="BS50" s="1459" t="str">
        <f t="shared" si="7"/>
        <v/>
      </c>
      <c r="BT50" s="1475"/>
      <c r="BU50" s="1475"/>
      <c r="BV50" s="1475"/>
      <c r="BW50" s="1475"/>
      <c r="BX50" s="1475"/>
      <c r="BY50" s="1459"/>
      <c r="BZ50" s="1475"/>
      <c r="CA50" s="1459"/>
      <c r="CB50" s="1475"/>
      <c r="CC50" s="1459"/>
      <c r="CD50" s="1459"/>
      <c r="CE50" s="1475"/>
      <c r="CF50" s="1475"/>
      <c r="CG50" s="1459"/>
      <c r="CH50" s="1459"/>
      <c r="CI50" s="1475"/>
      <c r="CJ50" s="1475"/>
    </row>
    <row r="51" spans="2:98" s="1376" customFormat="1" ht="13.8">
      <c r="B51" s="1494">
        <v>44790</v>
      </c>
      <c r="C51" s="1493">
        <v>44835</v>
      </c>
      <c r="D51" s="1492">
        <f>AVERAGE(E52:$E$55)+D52</f>
        <v>313091.5</v>
      </c>
      <c r="E51" s="1491">
        <f t="shared" si="9"/>
        <v>671.5</v>
      </c>
      <c r="F51" s="1490">
        <v>25.22</v>
      </c>
      <c r="G51" s="1489">
        <f t="shared" si="10"/>
        <v>26.625693893735132</v>
      </c>
      <c r="H51" s="1488">
        <f t="shared" si="11"/>
        <v>0.55172002978406554</v>
      </c>
      <c r="I51" s="1487">
        <v>370.48</v>
      </c>
      <c r="J51" s="1462"/>
      <c r="K51" s="1423"/>
      <c r="L51" s="1421"/>
      <c r="M51" s="1421"/>
      <c r="N51" s="1420"/>
      <c r="O51" s="1420"/>
      <c r="P51" s="1419"/>
      <c r="Q51" s="1418"/>
      <c r="R51" s="1462"/>
      <c r="S51" s="1478">
        <v>43187</v>
      </c>
      <c r="T51" s="1477" t="s">
        <v>950</v>
      </c>
      <c r="U51" s="1418">
        <v>786.8</v>
      </c>
      <c r="V51" s="1472"/>
      <c r="W51" s="1472"/>
      <c r="X51" s="1472"/>
      <c r="Y51" s="1472"/>
      <c r="Z51" s="1472"/>
      <c r="AA51" s="1472"/>
      <c r="AB51" s="1379"/>
      <c r="AC51" s="1474">
        <v>43711</v>
      </c>
      <c r="AD51" s="1473"/>
      <c r="AE51" s="1459"/>
      <c r="AF51" s="1459"/>
      <c r="AG51" s="1459"/>
      <c r="AH51" s="1459"/>
      <c r="AI51" s="1459"/>
      <c r="AJ51" s="1459"/>
      <c r="AK51" s="1459"/>
      <c r="AL51" s="1459"/>
      <c r="AM51" s="1459"/>
      <c r="AN51" s="1459"/>
      <c r="AO51" s="1473"/>
      <c r="AP51" s="1473"/>
      <c r="AQ51" s="1399"/>
      <c r="AR51" s="1399"/>
      <c r="AS51" s="1399"/>
      <c r="AT51" s="1459"/>
      <c r="AU51" s="1459"/>
      <c r="AV51" s="1459"/>
      <c r="AW51" s="1459"/>
      <c r="AX51" s="1459"/>
      <c r="AY51" s="1459"/>
      <c r="AZ51" s="1459"/>
      <c r="BA51" s="1459"/>
      <c r="BB51" s="1459"/>
      <c r="BC51" s="1459"/>
      <c r="BD51" s="1459"/>
      <c r="BE51" s="1459" t="str">
        <f>IF(AND($K77&gt;=BE$12,$K77&lt;(BE$12+31)),$Q77,"")</f>
        <v/>
      </c>
      <c r="BF51" s="1459"/>
      <c r="BG51" s="1459"/>
      <c r="BH51" s="1459"/>
      <c r="BI51" s="1459"/>
      <c r="BJ51" s="1459" t="str">
        <f t="shared" si="14"/>
        <v/>
      </c>
      <c r="BK51" s="1459" t="str">
        <f t="shared" si="12"/>
        <v/>
      </c>
      <c r="BL51" s="1459" t="str">
        <f t="shared" si="12"/>
        <v/>
      </c>
      <c r="BM51" s="1459" t="str">
        <f t="shared" si="21"/>
        <v/>
      </c>
      <c r="BN51" s="1459" t="str">
        <f t="shared" si="21"/>
        <v/>
      </c>
      <c r="BO51" s="1459" t="str">
        <f t="shared" si="21"/>
        <v/>
      </c>
      <c r="BP51" s="1459" t="str">
        <f t="shared" si="21"/>
        <v/>
      </c>
      <c r="BQ51" s="1459" t="str">
        <f t="shared" si="21"/>
        <v/>
      </c>
      <c r="BR51" s="1459" t="str">
        <f t="shared" si="7"/>
        <v/>
      </c>
      <c r="BS51" s="1459" t="str">
        <f t="shared" si="7"/>
        <v/>
      </c>
      <c r="BT51" s="1475"/>
      <c r="BU51" s="1475"/>
      <c r="BV51" s="1475"/>
      <c r="BW51" s="1475"/>
      <c r="BX51" s="1459"/>
      <c r="BY51" s="1459"/>
      <c r="BZ51" s="1475"/>
      <c r="CA51" s="1475"/>
      <c r="CB51" s="1475"/>
      <c r="CC51" s="1459"/>
      <c r="CD51" s="1459"/>
      <c r="CE51" s="1475"/>
      <c r="CF51" s="1475"/>
      <c r="CG51" s="1459"/>
      <c r="CH51" s="1459"/>
      <c r="CI51" s="1459"/>
      <c r="CJ51" s="1459"/>
      <c r="CK51" s="1459"/>
      <c r="CL51" s="1459"/>
      <c r="CM51" s="1459"/>
      <c r="CN51" s="1459"/>
      <c r="CO51" s="1475"/>
      <c r="CP51" s="1475"/>
    </row>
    <row r="52" spans="2:98" s="1376" customFormat="1" ht="13.8">
      <c r="B52" s="1494">
        <v>44758</v>
      </c>
      <c r="C52" s="1493">
        <v>44805</v>
      </c>
      <c r="D52" s="1492">
        <v>312420</v>
      </c>
      <c r="E52" s="1491">
        <f t="shared" si="9"/>
        <v>743</v>
      </c>
      <c r="F52" s="1490">
        <v>59.79</v>
      </c>
      <c r="G52" s="1489">
        <f t="shared" si="10"/>
        <v>12.426827228633551</v>
      </c>
      <c r="H52" s="1488">
        <f t="shared" si="11"/>
        <v>1.1631090174966354</v>
      </c>
      <c r="I52" s="1487">
        <v>864.19</v>
      </c>
      <c r="J52" s="1462"/>
      <c r="K52" s="1423"/>
      <c r="L52" s="1421"/>
      <c r="M52" s="1421"/>
      <c r="N52" s="1420"/>
      <c r="O52" s="1420"/>
      <c r="P52" s="1419"/>
      <c r="Q52" s="1418"/>
      <c r="R52" s="1462"/>
      <c r="S52" s="1478">
        <v>43152</v>
      </c>
      <c r="T52" s="1477" t="s">
        <v>950</v>
      </c>
      <c r="U52" s="1418">
        <v>278.2</v>
      </c>
      <c r="V52" s="1472"/>
      <c r="W52" s="1472"/>
      <c r="X52" s="1472"/>
      <c r="Y52" s="1472"/>
      <c r="Z52" s="1472"/>
      <c r="AA52" s="1472"/>
      <c r="AB52" s="1379"/>
      <c r="AC52" s="1474">
        <v>43693</v>
      </c>
      <c r="AD52" s="1473"/>
      <c r="AE52" s="1399"/>
      <c r="AF52" s="1399"/>
      <c r="AG52" s="1399"/>
      <c r="AH52" s="1399"/>
      <c r="AI52" s="1399"/>
      <c r="AJ52" s="1399"/>
      <c r="AK52" s="1399"/>
      <c r="AL52" s="1399"/>
      <c r="AM52" s="1399"/>
      <c r="AN52" s="1399"/>
      <c r="AO52" s="1399"/>
      <c r="AP52" s="1399"/>
      <c r="AQ52" s="1399"/>
      <c r="AR52" s="1399"/>
      <c r="AS52" s="1399"/>
      <c r="AT52" s="1459"/>
      <c r="AU52" s="1459"/>
      <c r="AV52" s="1459"/>
      <c r="AW52" s="1459"/>
      <c r="AX52" s="1459"/>
      <c r="AY52" s="1459"/>
      <c r="AZ52" s="1459"/>
      <c r="BA52" s="1459"/>
      <c r="BB52" s="1459"/>
      <c r="BC52" s="1459"/>
      <c r="BD52" s="1459"/>
      <c r="BE52" s="1459"/>
      <c r="BF52" s="1459" t="str">
        <f>IF(AND($K78&gt;=$BF$12,$K78&lt;($BF$12+31)),$Q78,"")</f>
        <v/>
      </c>
      <c r="BG52" s="1459"/>
      <c r="BH52" s="1459"/>
      <c r="BI52" s="1459"/>
      <c r="BJ52" s="1459" t="str">
        <f t="shared" si="14"/>
        <v/>
      </c>
      <c r="BK52" s="1459" t="str">
        <f t="shared" ref="BK52:BL68" si="22">IF(AND($K86&gt;=BK$12,$K86&lt;BJ$12),$Q86,"")</f>
        <v/>
      </c>
      <c r="BL52" s="1459" t="str">
        <f t="shared" si="22"/>
        <v/>
      </c>
      <c r="BM52" s="1459" t="str">
        <f t="shared" si="21"/>
        <v/>
      </c>
      <c r="BN52" s="1459" t="str">
        <f t="shared" si="21"/>
        <v/>
      </c>
      <c r="BO52" s="1459" t="str">
        <f t="shared" si="21"/>
        <v/>
      </c>
      <c r="BP52" s="1459" t="str">
        <f t="shared" si="21"/>
        <v/>
      </c>
      <c r="BQ52" s="1459" t="str">
        <f t="shared" si="21"/>
        <v/>
      </c>
      <c r="BR52" s="1459" t="str">
        <f t="shared" si="7"/>
        <v/>
      </c>
      <c r="BS52" s="1459" t="str">
        <f t="shared" si="7"/>
        <v/>
      </c>
      <c r="BT52" s="1475"/>
      <c r="BU52" s="1475"/>
      <c r="BV52" s="1475"/>
      <c r="BW52" s="1475"/>
      <c r="BX52" s="1459"/>
      <c r="BY52" s="1459"/>
      <c r="BZ52" s="1475"/>
      <c r="CA52" s="1475"/>
      <c r="CB52" s="1475"/>
      <c r="CC52" s="1459"/>
      <c r="CD52" s="1459"/>
      <c r="CE52" s="1475"/>
      <c r="CF52" s="1475"/>
      <c r="CG52" s="1459"/>
      <c r="CH52" s="1459"/>
      <c r="CI52" s="1459"/>
      <c r="CJ52" s="1459"/>
      <c r="CK52" s="1459"/>
      <c r="CL52" s="1459"/>
      <c r="CM52" s="1459"/>
      <c r="CN52" s="1459"/>
      <c r="CO52" s="1475"/>
      <c r="CP52" s="1475"/>
    </row>
    <row r="53" spans="2:98" s="1376" customFormat="1" ht="13.8">
      <c r="B53" s="1494">
        <v>44703</v>
      </c>
      <c r="C53" s="1493">
        <v>44743</v>
      </c>
      <c r="D53" s="1492">
        <v>311677</v>
      </c>
      <c r="E53" s="1491">
        <f t="shared" si="9"/>
        <v>522</v>
      </c>
      <c r="F53" s="1490">
        <v>40.380000000000003</v>
      </c>
      <c r="G53" s="1489">
        <f t="shared" si="10"/>
        <v>12.927191679049033</v>
      </c>
      <c r="H53" s="1488">
        <f t="shared" si="11"/>
        <v>1.0976819923371648</v>
      </c>
      <c r="I53" s="1487">
        <v>572.99</v>
      </c>
      <c r="J53" s="1462"/>
      <c r="K53" s="1423"/>
      <c r="L53" s="1421"/>
      <c r="M53" s="1421"/>
      <c r="N53" s="1420"/>
      <c r="O53" s="1420"/>
      <c r="P53" s="1419"/>
      <c r="Q53" s="1418"/>
      <c r="R53" s="1462"/>
      <c r="S53" s="1478">
        <v>43081</v>
      </c>
      <c r="T53" s="1477" t="s">
        <v>989</v>
      </c>
      <c r="U53" s="1418">
        <v>100</v>
      </c>
      <c r="V53" s="1472"/>
      <c r="W53" s="1472"/>
      <c r="X53" s="1472"/>
      <c r="Y53" s="1472"/>
      <c r="Z53" s="1472"/>
      <c r="AA53" s="1472"/>
      <c r="AB53" s="1379"/>
      <c r="AC53" s="1474">
        <v>43690</v>
      </c>
      <c r="AD53" s="1473"/>
      <c r="AE53" s="1473"/>
      <c r="AF53" s="1473"/>
      <c r="AG53" s="1473"/>
      <c r="AH53" s="1473"/>
      <c r="AI53" s="1473"/>
      <c r="AJ53" s="1473"/>
      <c r="AK53" s="1473"/>
      <c r="AL53" s="1473"/>
      <c r="AM53" s="1473"/>
      <c r="AN53" s="1473"/>
      <c r="AO53" s="1399"/>
      <c r="AP53" s="1399"/>
      <c r="AQ53" s="1399"/>
      <c r="AR53" s="1399"/>
      <c r="AS53" s="1399"/>
      <c r="AT53" s="1459"/>
      <c r="AU53" s="1459"/>
      <c r="AV53" s="1459"/>
      <c r="AW53" s="1459"/>
      <c r="AX53" s="1459"/>
      <c r="AY53" s="1459"/>
      <c r="AZ53" s="1459"/>
      <c r="BA53" s="1459"/>
      <c r="BB53" s="1459"/>
      <c r="BC53" s="1459"/>
      <c r="BD53" s="1459"/>
      <c r="BE53" s="1459"/>
      <c r="BF53" s="1459" t="str">
        <f>IF(AND($K79&gt;=$BF$12,$K79&lt;($BF$12+31)),$Q79,"")</f>
        <v/>
      </c>
      <c r="BG53" s="1459"/>
      <c r="BH53" s="1459"/>
      <c r="BI53" s="1459"/>
      <c r="BJ53" s="1459" t="str">
        <f t="shared" si="14"/>
        <v/>
      </c>
      <c r="BK53" s="1459" t="str">
        <f t="shared" si="22"/>
        <v/>
      </c>
      <c r="BL53" s="1459" t="str">
        <f t="shared" si="22"/>
        <v/>
      </c>
      <c r="BM53" s="1459" t="str">
        <f t="shared" si="21"/>
        <v/>
      </c>
      <c r="BN53" s="1459" t="str">
        <f t="shared" si="21"/>
        <v/>
      </c>
      <c r="BO53" s="1459" t="str">
        <f t="shared" si="21"/>
        <v/>
      </c>
      <c r="BP53" s="1459" t="str">
        <f t="shared" si="21"/>
        <v/>
      </c>
      <c r="BQ53" s="1459" t="str">
        <f t="shared" si="21"/>
        <v/>
      </c>
      <c r="BR53" s="1459" t="str">
        <f t="shared" si="7"/>
        <v/>
      </c>
      <c r="BS53" s="1459" t="str">
        <f t="shared" si="7"/>
        <v/>
      </c>
      <c r="BT53" s="1475"/>
      <c r="BU53" s="1475"/>
      <c r="BV53" s="1475"/>
      <c r="BW53" s="1459"/>
      <c r="BX53" s="1459"/>
      <c r="BY53" s="1459"/>
      <c r="BZ53" s="1459"/>
      <c r="CA53" s="1475"/>
      <c r="CB53" s="1475"/>
      <c r="CC53" s="1459"/>
      <c r="CD53" s="1459"/>
      <c r="CE53" s="1475"/>
      <c r="CF53" s="1475"/>
      <c r="CG53" s="1459"/>
      <c r="CH53" s="1459"/>
      <c r="CI53" s="1459"/>
      <c r="CJ53" s="1459"/>
      <c r="CK53" s="1459"/>
      <c r="CL53" s="1459"/>
      <c r="CM53" s="1459"/>
      <c r="CN53" s="1459"/>
      <c r="CO53" s="1475"/>
      <c r="CP53" s="1475"/>
    </row>
    <row r="54" spans="2:98" s="1376" customFormat="1" ht="13.8">
      <c r="B54" s="1494">
        <v>44674</v>
      </c>
      <c r="C54" s="1493">
        <v>44713</v>
      </c>
      <c r="D54" s="1492">
        <v>311155</v>
      </c>
      <c r="E54" s="1491">
        <f t="shared" si="9"/>
        <v>720</v>
      </c>
      <c r="F54" s="1490">
        <v>52.75</v>
      </c>
      <c r="G54" s="1489">
        <f>E54/F54</f>
        <v>13.649289099526067</v>
      </c>
      <c r="H54" s="1488">
        <f>I54/E54</f>
        <v>1.0689166666666667</v>
      </c>
      <c r="I54" s="1487">
        <v>769.62</v>
      </c>
      <c r="J54" s="1462"/>
      <c r="K54" s="1423"/>
      <c r="L54" s="1421"/>
      <c r="M54" s="1421"/>
      <c r="N54" s="1420"/>
      <c r="O54" s="1420"/>
      <c r="P54" s="1419"/>
      <c r="Q54" s="1418"/>
      <c r="R54" s="1462"/>
      <c r="S54" s="1478">
        <v>42918</v>
      </c>
      <c r="T54" s="1479" t="s">
        <v>238</v>
      </c>
      <c r="U54" s="1418">
        <v>89</v>
      </c>
      <c r="V54" s="1472"/>
      <c r="W54" s="1472"/>
      <c r="X54" s="1472"/>
      <c r="Y54" s="1472"/>
      <c r="Z54" s="1472"/>
      <c r="AA54" s="1472"/>
      <c r="AB54" s="1379"/>
      <c r="AC54" s="1474">
        <v>43686</v>
      </c>
      <c r="AD54" s="1473"/>
      <c r="AE54" s="1473"/>
      <c r="AF54" s="1473"/>
      <c r="AG54" s="1473"/>
      <c r="AH54" s="1473"/>
      <c r="AI54" s="1473"/>
      <c r="AJ54" s="1473"/>
      <c r="AK54" s="1473"/>
      <c r="AL54" s="1473"/>
      <c r="AM54" s="1473"/>
      <c r="AN54" s="1473"/>
      <c r="AO54" s="1399"/>
      <c r="AP54" s="1399"/>
      <c r="AQ54" s="1399"/>
      <c r="AR54" s="1399"/>
      <c r="AS54" s="1399"/>
      <c r="AT54" s="1459"/>
      <c r="AU54" s="1459"/>
      <c r="AV54" s="1459"/>
      <c r="AW54" s="1459"/>
      <c r="AX54" s="1459"/>
      <c r="AY54" s="1459"/>
      <c r="AZ54" s="1459"/>
      <c r="BA54" s="1459"/>
      <c r="BB54" s="1459"/>
      <c r="BC54" s="1459"/>
      <c r="BD54" s="1459"/>
      <c r="BE54" s="1459"/>
      <c r="BF54" s="1459" t="str">
        <f>IF(AND($K80&gt;=$BF$12,$K80&lt;($BF$12+31)),$Q80,"")</f>
        <v/>
      </c>
      <c r="BG54" s="1459"/>
      <c r="BH54" s="1459" t="str">
        <f>IF(AND($K83&gt;=BH$12,$K83&lt;(BH$12+31)),$Q83,"")</f>
        <v/>
      </c>
      <c r="BI54" s="1459"/>
      <c r="BJ54" s="1459" t="str">
        <f t="shared" si="14"/>
        <v/>
      </c>
      <c r="BK54" s="1459" t="str">
        <f t="shared" si="22"/>
        <v/>
      </c>
      <c r="BL54" s="1459" t="str">
        <f t="shared" si="22"/>
        <v/>
      </c>
      <c r="BM54" s="1459" t="str">
        <f t="shared" si="21"/>
        <v/>
      </c>
      <c r="BN54" s="1459" t="str">
        <f t="shared" si="21"/>
        <v/>
      </c>
      <c r="BO54" s="1459" t="str">
        <f t="shared" si="21"/>
        <v/>
      </c>
      <c r="BP54" s="1459" t="str">
        <f t="shared" si="21"/>
        <v/>
      </c>
      <c r="BQ54" s="1459" t="str">
        <f t="shared" si="21"/>
        <v/>
      </c>
      <c r="BR54" s="1459" t="str">
        <f>IF(AND($K91&gt;=BR$12,$K91&lt;BR$11),$Q91,"")</f>
        <v/>
      </c>
      <c r="BS54" s="1475"/>
      <c r="BT54" s="1475"/>
      <c r="BU54" s="1475"/>
      <c r="BV54" s="1475"/>
      <c r="BW54" s="1459"/>
      <c r="BX54" s="1459"/>
      <c r="BY54" s="1459"/>
      <c r="BZ54" s="1459"/>
      <c r="CA54" s="1475"/>
      <c r="CB54" s="1459"/>
      <c r="CC54" s="1459"/>
      <c r="CD54" s="1459"/>
      <c r="CE54" s="1475"/>
      <c r="CF54" s="1475"/>
      <c r="CG54" s="1459" t="str">
        <f t="shared" ref="CG54:CH60" si="23">IF(AND($K104&gt;=BS$12,$K104&lt;BS$11),$Q104,"")</f>
        <v/>
      </c>
      <c r="CH54" s="1459" t="str">
        <f t="shared" si="23"/>
        <v/>
      </c>
      <c r="CI54" s="1459"/>
      <c r="CJ54" s="1459"/>
      <c r="CK54" s="1459"/>
      <c r="CL54" s="1459"/>
      <c r="CM54" s="1459"/>
      <c r="CN54" s="1459"/>
      <c r="CO54" s="1459"/>
      <c r="CP54" s="1459"/>
      <c r="CQ54" s="1459"/>
      <c r="CR54" s="1459"/>
      <c r="CS54" s="1475"/>
      <c r="CT54" s="1475"/>
    </row>
    <row r="55" spans="2:98" s="1376" customFormat="1" ht="13.8">
      <c r="B55" s="1494">
        <v>44645</v>
      </c>
      <c r="C55" s="1493">
        <v>44682</v>
      </c>
      <c r="D55" s="1492">
        <v>310435</v>
      </c>
      <c r="E55" s="1491">
        <f t="shared" si="9"/>
        <v>701</v>
      </c>
      <c r="F55" s="1490">
        <v>53.02</v>
      </c>
      <c r="G55" s="1489">
        <f>E55/F55</f>
        <v>13.221425877027537</v>
      </c>
      <c r="H55" s="1488">
        <f>I55/E55</f>
        <v>1.1791440798858774</v>
      </c>
      <c r="I55" s="1487">
        <v>826.58</v>
      </c>
      <c r="J55" s="1462"/>
      <c r="K55" s="1423"/>
      <c r="L55" s="1421"/>
      <c r="M55" s="1421"/>
      <c r="N55" s="1420"/>
      <c r="O55" s="1420"/>
      <c r="P55" s="1419"/>
      <c r="Q55" s="1418"/>
      <c r="R55" s="1462"/>
      <c r="S55" s="1478">
        <v>42857</v>
      </c>
      <c r="T55" s="1479" t="s">
        <v>238</v>
      </c>
      <c r="U55" s="1418">
        <v>49</v>
      </c>
      <c r="V55" s="1472"/>
      <c r="W55" s="1472"/>
      <c r="X55" s="1472"/>
      <c r="Y55" s="1472"/>
      <c r="Z55" s="1472"/>
      <c r="AA55" s="1472"/>
      <c r="AB55" s="1379"/>
      <c r="AC55" s="1474" t="str">
        <f t="shared" ref="AC55:AC86" si="24">IF(K62&gt;0,K62,"")</f>
        <v/>
      </c>
      <c r="AD55" s="1473"/>
      <c r="AE55" s="1473"/>
      <c r="AF55" s="1473"/>
      <c r="AG55" s="1473"/>
      <c r="AH55" s="1473"/>
      <c r="AI55" s="1473"/>
      <c r="AJ55" s="1473"/>
      <c r="AK55" s="1473"/>
      <c r="AL55" s="1473"/>
      <c r="AM55" s="1399"/>
      <c r="AN55" s="1399"/>
      <c r="AO55" s="1399"/>
      <c r="AP55" s="1399"/>
      <c r="AQ55" s="1399"/>
      <c r="AR55" s="1399"/>
      <c r="AS55" s="1399"/>
      <c r="AT55" s="1459"/>
      <c r="AU55" s="1459"/>
      <c r="AV55" s="1459"/>
      <c r="AW55" s="1459"/>
      <c r="AX55" s="1459"/>
      <c r="AY55" s="1459"/>
      <c r="AZ55" s="1459"/>
      <c r="BA55" s="1459"/>
      <c r="BB55" s="1459"/>
      <c r="BC55" s="1459"/>
      <c r="BD55" s="1459"/>
      <c r="BE55" s="1459"/>
      <c r="BF55" s="1459"/>
      <c r="BG55" s="1459" t="str">
        <f>IF(AND($K81&gt;=$BG$12,$K81&lt;($BG$12+30)),$Q81,"")</f>
        <v/>
      </c>
      <c r="BH55" s="1459" t="str">
        <f>IF(AND($K84&gt;=BH$12,$K84&lt;(BH$12+31)),$Q84,"")</f>
        <v/>
      </c>
      <c r="BI55" s="1459"/>
      <c r="BJ55" s="1459" t="str">
        <f t="shared" si="14"/>
        <v/>
      </c>
      <c r="BK55" s="1459" t="str">
        <f t="shared" si="22"/>
        <v/>
      </c>
      <c r="BL55" s="1459" t="str">
        <f t="shared" si="22"/>
        <v/>
      </c>
      <c r="BM55" s="1459" t="str">
        <f t="shared" si="21"/>
        <v/>
      </c>
      <c r="BN55" s="1459" t="str">
        <f t="shared" si="21"/>
        <v/>
      </c>
      <c r="BO55" s="1459" t="str">
        <f t="shared" si="21"/>
        <v/>
      </c>
      <c r="BP55" s="1459" t="str">
        <f t="shared" si="21"/>
        <v/>
      </c>
      <c r="BQ55" s="1459" t="str">
        <f t="shared" si="21"/>
        <v/>
      </c>
      <c r="BR55" s="1459" t="str">
        <f>IF(AND($K92&gt;=BR$12,$K92&lt;BR$11),$Q92,"")</f>
        <v/>
      </c>
      <c r="BS55" s="1459" t="str">
        <f t="shared" ref="BS55:BS63" si="25">IF(AND($K102&gt;=BS$12,$K102&lt;BS$11),$Q102,"")</f>
        <v/>
      </c>
      <c r="BT55" s="1475"/>
      <c r="BU55" s="1475"/>
      <c r="BV55" s="1459"/>
      <c r="BW55" s="1459"/>
      <c r="BX55" s="1459"/>
      <c r="BY55" s="1459"/>
      <c r="BZ55" s="1459"/>
      <c r="CA55" s="1475"/>
      <c r="CB55" s="1459"/>
      <c r="CC55" s="1459"/>
      <c r="CD55" s="1459"/>
      <c r="CE55" s="1475"/>
      <c r="CF55" s="1475"/>
      <c r="CG55" s="1459" t="str">
        <f t="shared" si="23"/>
        <v/>
      </c>
      <c r="CH55" s="1459" t="str">
        <f t="shared" si="23"/>
        <v/>
      </c>
      <c r="CI55" s="1459"/>
      <c r="CJ55" s="1459"/>
      <c r="CK55" s="1459"/>
      <c r="CL55" s="1459"/>
      <c r="CM55" s="1459"/>
      <c r="CN55" s="1459"/>
      <c r="CO55" s="1459"/>
      <c r="CP55" s="1459"/>
      <c r="CQ55" s="1459"/>
      <c r="CR55" s="1459"/>
      <c r="CS55" s="1475"/>
      <c r="CT55" s="1475"/>
    </row>
    <row r="56" spans="2:98" s="1376" customFormat="1" ht="13.8">
      <c r="B56" s="1494">
        <v>44617</v>
      </c>
      <c r="C56" s="1493">
        <v>44652</v>
      </c>
      <c r="D56" s="1492">
        <v>309734</v>
      </c>
      <c r="E56" s="1491">
        <f t="shared" si="9"/>
        <v>221</v>
      </c>
      <c r="F56" s="1490">
        <v>84.93</v>
      </c>
      <c r="G56" s="1489">
        <f>E56/F56</f>
        <v>2.6021429412457318</v>
      </c>
      <c r="H56" s="1488">
        <f>1026.95/E56</f>
        <v>4.6468325791855207</v>
      </c>
      <c r="I56" s="1487">
        <v>526.85</v>
      </c>
      <c r="J56" s="1462"/>
      <c r="K56" s="1423"/>
      <c r="L56" s="1421"/>
      <c r="M56" s="1421"/>
      <c r="N56" s="1420"/>
      <c r="O56" s="1420"/>
      <c r="P56" s="1419"/>
      <c r="Q56" s="1418"/>
      <c r="R56" s="1462"/>
      <c r="S56" s="1478">
        <v>42854</v>
      </c>
      <c r="T56" s="1477" t="s">
        <v>1058</v>
      </c>
      <c r="U56" s="1418">
        <v>1499</v>
      </c>
      <c r="V56" s="1472"/>
      <c r="W56" s="1472"/>
      <c r="X56" s="1472"/>
      <c r="Y56" s="1472"/>
      <c r="Z56" s="1472"/>
      <c r="AA56" s="1472"/>
      <c r="AB56" s="1379"/>
      <c r="AC56" s="1474" t="str">
        <f t="shared" si="24"/>
        <v/>
      </c>
      <c r="AD56" s="1473"/>
      <c r="AE56" s="1473"/>
      <c r="AF56" s="1473"/>
      <c r="AG56" s="1473"/>
      <c r="AH56" s="1473"/>
      <c r="AI56" s="1473"/>
      <c r="AJ56" s="1473"/>
      <c r="AK56" s="1473"/>
      <c r="AL56" s="1473"/>
      <c r="AM56" s="1399"/>
      <c r="AN56" s="1399"/>
      <c r="AO56" s="1399"/>
      <c r="AP56" s="1399"/>
      <c r="AQ56" s="1399"/>
      <c r="AR56" s="1399"/>
      <c r="AS56" s="1399"/>
      <c r="AT56" s="1459"/>
      <c r="AU56" s="1459"/>
      <c r="AV56" s="1459"/>
      <c r="AW56" s="1459"/>
      <c r="AX56" s="1459"/>
      <c r="AY56" s="1459"/>
      <c r="AZ56" s="1459"/>
      <c r="BA56" s="1459"/>
      <c r="BB56" s="1459"/>
      <c r="BC56" s="1459"/>
      <c r="BD56" s="1459"/>
      <c r="BE56" s="1459"/>
      <c r="BF56" s="1459"/>
      <c r="BG56" s="1459" t="str">
        <f>IF(AND($K82&gt;=$BG$12,$K82&lt;($BG$12+30)),$Q82,"")</f>
        <v/>
      </c>
      <c r="BH56" s="1459" t="str">
        <f>IF(AND($K85&gt;=BH$12,$K85&lt;(BH$12+31)),$Q85,"")</f>
        <v/>
      </c>
      <c r="BI56" s="1459"/>
      <c r="BJ56" s="1459" t="str">
        <f t="shared" si="14"/>
        <v/>
      </c>
      <c r="BK56" s="1459" t="str">
        <f t="shared" si="22"/>
        <v/>
      </c>
      <c r="BL56" s="1459" t="str">
        <f t="shared" si="22"/>
        <v/>
      </c>
      <c r="BM56" s="1459" t="str">
        <f t="shared" ref="BM56:BP57" si="26">IF(AND($K93&gt;=BM$12,$K93&lt;BL$12),$Q93,"")</f>
        <v/>
      </c>
      <c r="BN56" s="1459" t="str">
        <f t="shared" si="26"/>
        <v/>
      </c>
      <c r="BO56" s="1459" t="str">
        <f t="shared" si="26"/>
        <v/>
      </c>
      <c r="BP56" s="1459" t="str">
        <f t="shared" si="26"/>
        <v/>
      </c>
      <c r="BQ56" s="1459" t="str">
        <f t="shared" ref="BQ56:BQ66" si="27">IF(AND($K97&gt;=BQ$12,$K97&lt;BP$12),$Q97,"")</f>
        <v/>
      </c>
      <c r="BR56" s="1459" t="str">
        <f>IF(AND($K101&gt;=BR$12,$K101&lt;BR$11),$Q101,"")</f>
        <v/>
      </c>
      <c r="BS56" s="1459" t="str">
        <f t="shared" si="25"/>
        <v/>
      </c>
      <c r="BT56" s="1475"/>
      <c r="BU56" s="1475"/>
      <c r="BV56" s="1459"/>
      <c r="BW56" s="1459"/>
      <c r="BX56" s="1459"/>
      <c r="BY56" s="1459"/>
      <c r="BZ56" s="1459"/>
      <c r="CA56" s="1475"/>
      <c r="CB56" s="1459"/>
      <c r="CC56" s="1459"/>
      <c r="CD56" s="1459"/>
      <c r="CE56" s="1475"/>
      <c r="CF56" s="1475"/>
      <c r="CG56" s="1459" t="str">
        <f t="shared" si="23"/>
        <v/>
      </c>
      <c r="CH56" s="1459" t="str">
        <f t="shared" si="23"/>
        <v/>
      </c>
      <c r="CI56" s="1459"/>
      <c r="CJ56" s="1459"/>
      <c r="CK56" s="1459"/>
      <c r="CL56" s="1459"/>
      <c r="CM56" s="1459"/>
      <c r="CN56" s="1459"/>
      <c r="CO56" s="1459"/>
      <c r="CP56" s="1459"/>
      <c r="CQ56" s="1459"/>
      <c r="CR56" s="1459"/>
      <c r="CS56" s="1475"/>
      <c r="CT56" s="1475"/>
    </row>
    <row r="57" spans="2:98" s="1376" customFormat="1" ht="13.8">
      <c r="B57" s="1494">
        <v>44600</v>
      </c>
      <c r="C57" s="1493">
        <v>44621</v>
      </c>
      <c r="D57" s="1492">
        <v>309513</v>
      </c>
      <c r="E57" s="1491"/>
      <c r="F57" s="1490">
        <v>41.71</v>
      </c>
      <c r="G57" s="1489">
        <f>E57/F57</f>
        <v>0</v>
      </c>
      <c r="H57" s="1488"/>
      <c r="I57" s="1487">
        <v>500.1</v>
      </c>
      <c r="J57" s="1462"/>
      <c r="K57" s="1423"/>
      <c r="L57" s="1421"/>
      <c r="M57" s="1421"/>
      <c r="N57" s="1420"/>
      <c r="O57" s="1420"/>
      <c r="P57" s="1419"/>
      <c r="Q57" s="1418"/>
      <c r="R57" s="1462"/>
      <c r="S57" s="1478">
        <v>42795</v>
      </c>
      <c r="T57" s="1477" t="s">
        <v>1217</v>
      </c>
      <c r="U57" s="1418">
        <v>1143.99</v>
      </c>
      <c r="V57" s="1472"/>
      <c r="W57" s="1472"/>
      <c r="X57" s="1472"/>
      <c r="Y57" s="1472"/>
      <c r="Z57" s="1472"/>
      <c r="AA57" s="1472"/>
      <c r="AB57" s="1379"/>
      <c r="AC57" s="1474" t="str">
        <f t="shared" si="24"/>
        <v/>
      </c>
      <c r="AD57" s="1473"/>
      <c r="AE57" s="1473"/>
      <c r="AF57" s="1473"/>
      <c r="AG57" s="1473"/>
      <c r="AH57" s="1473"/>
      <c r="AI57" s="1473"/>
      <c r="AJ57" s="1473"/>
      <c r="AK57" s="1473"/>
      <c r="AL57" s="1473"/>
      <c r="AM57" s="1399"/>
      <c r="AN57" s="1399"/>
      <c r="AO57" s="1399"/>
      <c r="AP57" s="1399"/>
      <c r="AQ57" s="1399"/>
      <c r="AR57" s="1399"/>
      <c r="AS57" s="1399"/>
      <c r="AT57" s="1459"/>
      <c r="AU57" s="1459"/>
      <c r="AV57" s="1459"/>
      <c r="AW57" s="1459"/>
      <c r="AX57" s="1459"/>
      <c r="AY57" s="1459"/>
      <c r="AZ57" s="1459"/>
      <c r="BA57" s="1459"/>
      <c r="BB57" s="1459"/>
      <c r="BC57" s="1459"/>
      <c r="BD57" s="1459"/>
      <c r="BE57" s="1459"/>
      <c r="BF57" s="1459"/>
      <c r="BG57" s="1459"/>
      <c r="BH57" s="1459"/>
      <c r="BI57" s="1459" t="str">
        <f>IF(AND($K86&gt;=BI$12,$K86&lt;BH$12),$Q86,"")</f>
        <v/>
      </c>
      <c r="BJ57" s="1459" t="str">
        <f t="shared" si="14"/>
        <v/>
      </c>
      <c r="BK57" s="1459" t="str">
        <f t="shared" si="22"/>
        <v/>
      </c>
      <c r="BL57" s="1459" t="str">
        <f t="shared" si="22"/>
        <v/>
      </c>
      <c r="BM57" s="1459" t="str">
        <f t="shared" si="26"/>
        <v/>
      </c>
      <c r="BN57" s="1459" t="str">
        <f t="shared" si="26"/>
        <v/>
      </c>
      <c r="BO57" s="1459" t="str">
        <f t="shared" si="26"/>
        <v/>
      </c>
      <c r="BP57" s="1459" t="str">
        <f t="shared" si="26"/>
        <v/>
      </c>
      <c r="BQ57" s="1459" t="str">
        <f t="shared" si="27"/>
        <v/>
      </c>
      <c r="BR57" s="1459" t="str">
        <f>IF(AND($K102&gt;=BR$12,$K102&lt;BR$11),$Q102,"")</f>
        <v/>
      </c>
      <c r="BS57" s="1459" t="str">
        <f t="shared" si="25"/>
        <v/>
      </c>
      <c r="BT57" s="1475"/>
      <c r="BU57" s="1459"/>
      <c r="BV57" s="1459"/>
      <c r="BW57" s="1459"/>
      <c r="BX57" s="1459"/>
      <c r="BY57" s="1459"/>
      <c r="BZ57" s="1459"/>
      <c r="CA57" s="1475"/>
      <c r="CB57" s="1475"/>
      <c r="CC57" s="1459"/>
      <c r="CD57" s="1459"/>
      <c r="CE57" s="1475"/>
      <c r="CF57" s="1475"/>
      <c r="CG57" s="1459" t="str">
        <f t="shared" si="23"/>
        <v/>
      </c>
      <c r="CH57" s="1459" t="str">
        <f t="shared" si="23"/>
        <v/>
      </c>
      <c r="CI57" s="1459"/>
      <c r="CJ57" s="1459"/>
      <c r="CK57" s="1459"/>
      <c r="CL57" s="1459"/>
      <c r="CM57" s="1459"/>
      <c r="CN57" s="1459"/>
      <c r="CO57" s="1459"/>
      <c r="CP57" s="1459"/>
      <c r="CQ57" s="1459"/>
      <c r="CR57" s="1459"/>
      <c r="CS57" s="1475"/>
      <c r="CT57" s="1475"/>
    </row>
    <row r="58" spans="2:98" s="1376" customFormat="1" ht="13.8">
      <c r="B58" s="1494"/>
      <c r="C58" s="1493">
        <v>44593</v>
      </c>
      <c r="D58" s="1492"/>
      <c r="E58" s="1491"/>
      <c r="F58" s="1490">
        <v>23.73</v>
      </c>
      <c r="G58" s="1489"/>
      <c r="H58" s="1488"/>
      <c r="I58" s="1487">
        <v>266.29000000000002</v>
      </c>
      <c r="J58" s="1462"/>
      <c r="K58" s="1423"/>
      <c r="L58" s="1421"/>
      <c r="M58" s="1421"/>
      <c r="N58" s="1420"/>
      <c r="O58" s="1420"/>
      <c r="P58" s="1419"/>
      <c r="Q58" s="1418"/>
      <c r="R58" s="1462"/>
      <c r="S58" s="1478">
        <v>42795</v>
      </c>
      <c r="T58" s="1477" t="s">
        <v>238</v>
      </c>
      <c r="U58" s="1418">
        <v>59</v>
      </c>
      <c r="V58" s="1472"/>
      <c r="W58" s="1472"/>
      <c r="X58" s="1472"/>
      <c r="Y58" s="1472"/>
      <c r="Z58" s="1472"/>
      <c r="AA58" s="1472"/>
      <c r="AB58" s="1379"/>
      <c r="AC58" s="1474" t="str">
        <f t="shared" si="24"/>
        <v/>
      </c>
      <c r="AD58" s="1473"/>
      <c r="AE58" s="1473"/>
      <c r="AF58" s="1473"/>
      <c r="AG58" s="1473"/>
      <c r="AH58" s="1473"/>
      <c r="AI58" s="1473"/>
      <c r="AJ58" s="1473"/>
      <c r="AK58" s="1473"/>
      <c r="AL58" s="1473"/>
      <c r="AM58" s="1399"/>
      <c r="AN58" s="1399"/>
      <c r="AO58" s="1399"/>
      <c r="AP58" s="1399"/>
      <c r="AQ58" s="1399"/>
      <c r="AR58" s="1399"/>
      <c r="AS58" s="1399"/>
      <c r="AT58" s="1459"/>
      <c r="AU58" s="1459"/>
      <c r="AV58" s="1459"/>
      <c r="AW58" s="1459"/>
      <c r="AX58" s="1459"/>
      <c r="AY58" s="1459"/>
      <c r="AZ58" s="1459"/>
      <c r="BA58" s="1459"/>
      <c r="BB58" s="1459"/>
      <c r="BC58" s="1459"/>
      <c r="BD58" s="1459"/>
      <c r="BE58" s="1459"/>
      <c r="BF58" s="1459"/>
      <c r="BG58" s="1459"/>
      <c r="BH58" s="1459"/>
      <c r="BI58" s="1459" t="str">
        <f>IF(AND($K87&gt;=BI$12,$K87&lt;BH$12),$Q87,"")</f>
        <v/>
      </c>
      <c r="BJ58" s="1459" t="str">
        <f t="shared" si="14"/>
        <v/>
      </c>
      <c r="BK58" s="1459" t="str">
        <f t="shared" si="22"/>
        <v/>
      </c>
      <c r="BL58" s="1459" t="str">
        <f t="shared" si="22"/>
        <v/>
      </c>
      <c r="BM58" s="1377"/>
      <c r="BN58" s="1459" t="str">
        <f t="shared" ref="BN58:BP66" si="28">IF(AND($K95&gt;=BN$12,$K95&lt;BM$12),$Q95,"")</f>
        <v/>
      </c>
      <c r="BO58" s="1459" t="str">
        <f t="shared" si="28"/>
        <v/>
      </c>
      <c r="BP58" s="1459" t="str">
        <f t="shared" si="28"/>
        <v/>
      </c>
      <c r="BQ58" s="1459" t="str">
        <f t="shared" si="27"/>
        <v/>
      </c>
      <c r="BR58" s="1459" t="str">
        <f>IF(AND($K103&gt;=BR$12,$K103&lt;BR$11),$Q103,"")</f>
        <v/>
      </c>
      <c r="BS58" s="1459" t="str">
        <f t="shared" si="25"/>
        <v/>
      </c>
      <c r="BT58" s="1475"/>
      <c r="BU58" s="1459"/>
      <c r="BV58" s="1459"/>
      <c r="BW58" s="1459"/>
      <c r="BX58" s="1459"/>
      <c r="BY58" s="1459"/>
      <c r="BZ58" s="1459" t="str">
        <f>IF(AND($K115&gt;=CC$12,$K115&lt;AB$12),$Q115,"")</f>
        <v/>
      </c>
      <c r="CA58" s="1459"/>
      <c r="CB58" s="1475"/>
      <c r="CC58" s="1459"/>
      <c r="CD58" s="1459"/>
      <c r="CE58" s="1475"/>
      <c r="CF58" s="1475"/>
      <c r="CG58" s="1459" t="str">
        <f t="shared" si="23"/>
        <v/>
      </c>
      <c r="CH58" s="1459" t="str">
        <f t="shared" si="23"/>
        <v/>
      </c>
      <c r="CI58" s="1459"/>
      <c r="CJ58" s="1459"/>
      <c r="CK58" s="1459"/>
      <c r="CL58" s="1459"/>
      <c r="CM58" s="1459"/>
      <c r="CN58" s="1459"/>
      <c r="CO58" s="1459"/>
      <c r="CP58" s="1459"/>
      <c r="CQ58" s="1459"/>
      <c r="CR58" s="1459"/>
      <c r="CS58" s="1475"/>
      <c r="CT58" s="1475"/>
    </row>
    <row r="59" spans="2:98" s="1376" customFormat="1" ht="13.8">
      <c r="B59" s="1494"/>
      <c r="C59" s="1493">
        <v>44564</v>
      </c>
      <c r="D59" s="1492"/>
      <c r="E59" s="1491"/>
      <c r="F59" s="1490"/>
      <c r="G59" s="1489"/>
      <c r="H59" s="1488"/>
      <c r="I59" s="1487">
        <v>923.82</v>
      </c>
      <c r="J59" s="1462"/>
      <c r="K59" s="1423"/>
      <c r="L59" s="1421"/>
      <c r="M59" s="1421"/>
      <c r="N59" s="1420"/>
      <c r="O59" s="1420"/>
      <c r="P59" s="1419"/>
      <c r="Q59" s="1418"/>
      <c r="R59" s="1462"/>
      <c r="S59" s="1478">
        <v>42755</v>
      </c>
      <c r="T59" s="1479" t="s">
        <v>1217</v>
      </c>
      <c r="U59" s="1418">
        <v>493.85</v>
      </c>
      <c r="V59" s="1472"/>
      <c r="W59" s="1472"/>
      <c r="X59" s="1472"/>
      <c r="Y59" s="1472"/>
      <c r="Z59" s="1472"/>
      <c r="AA59" s="1472"/>
      <c r="AB59" s="1379"/>
      <c r="AC59" s="1474" t="str">
        <f t="shared" si="24"/>
        <v/>
      </c>
      <c r="AD59" s="1473"/>
      <c r="AE59" s="1473"/>
      <c r="AF59" s="1473"/>
      <c r="AG59" s="1473"/>
      <c r="AH59" s="1473"/>
      <c r="AI59" s="1473"/>
      <c r="AJ59" s="1473"/>
      <c r="AK59" s="1473"/>
      <c r="AL59" s="1473"/>
      <c r="AM59" s="1399"/>
      <c r="AN59" s="1399"/>
      <c r="AO59" s="1399"/>
      <c r="AP59" s="1399"/>
      <c r="AQ59" s="1399"/>
      <c r="AR59" s="1399"/>
      <c r="AS59" s="1399"/>
      <c r="AT59" s="1459"/>
      <c r="AU59" s="1459"/>
      <c r="AV59" s="1459"/>
      <c r="AW59" s="1459"/>
      <c r="AX59" s="1459"/>
      <c r="AY59" s="1459"/>
      <c r="AZ59" s="1459"/>
      <c r="BA59" s="1459"/>
      <c r="BB59" s="1459"/>
      <c r="BC59" s="1459"/>
      <c r="BD59" s="1459"/>
      <c r="BE59" s="1459"/>
      <c r="BF59" s="1459"/>
      <c r="BG59" s="1459"/>
      <c r="BH59" s="1459"/>
      <c r="BI59" s="1459"/>
      <c r="BJ59" s="1459" t="str">
        <f t="shared" si="14"/>
        <v/>
      </c>
      <c r="BK59" s="1459" t="str">
        <f t="shared" si="22"/>
        <v/>
      </c>
      <c r="BL59" s="1459" t="str">
        <f t="shared" si="22"/>
        <v/>
      </c>
      <c r="BM59" s="1459" t="str">
        <f t="shared" ref="BM59:BM66" si="29">IF(AND($K96&gt;=BM$12,$K96&lt;BL$12),$Q96,"")</f>
        <v/>
      </c>
      <c r="BN59" s="1459" t="str">
        <f t="shared" si="28"/>
        <v/>
      </c>
      <c r="BO59" s="1459" t="str">
        <f t="shared" si="28"/>
        <v/>
      </c>
      <c r="BP59" s="1459" t="str">
        <f t="shared" si="28"/>
        <v/>
      </c>
      <c r="BQ59" s="1459" t="str">
        <f t="shared" si="27"/>
        <v/>
      </c>
      <c r="BR59" s="1459" t="str">
        <f>IF(AND($K104&gt;=BR$12,$K104&lt;BR$11),$Q104,"")</f>
        <v/>
      </c>
      <c r="BS59" s="1459" t="str">
        <f t="shared" si="25"/>
        <v/>
      </c>
      <c r="BT59" s="1475"/>
      <c r="BU59" s="1459"/>
      <c r="BV59" s="1459"/>
      <c r="BW59" s="1459"/>
      <c r="BX59" s="1459"/>
      <c r="BY59" s="1459"/>
      <c r="BZ59" s="1459"/>
      <c r="CA59" s="1459"/>
      <c r="CB59" s="1475"/>
      <c r="CC59" s="1459"/>
      <c r="CD59" s="1459"/>
      <c r="CE59" s="1475"/>
      <c r="CF59" s="1475"/>
      <c r="CG59" s="1459" t="str">
        <f t="shared" si="23"/>
        <v/>
      </c>
      <c r="CH59" s="1459" t="str">
        <f t="shared" si="23"/>
        <v/>
      </c>
      <c r="CI59" s="1459"/>
      <c r="CJ59" s="1459"/>
      <c r="CK59" s="1459"/>
      <c r="CL59" s="1459"/>
      <c r="CM59" s="1459"/>
      <c r="CN59" s="1459"/>
      <c r="CO59" s="1459"/>
      <c r="CP59" s="1459"/>
      <c r="CQ59" s="1459"/>
      <c r="CR59" s="1459"/>
      <c r="CS59" s="1475"/>
      <c r="CT59" s="1475"/>
    </row>
    <row r="60" spans="2:98" s="1376" customFormat="1" ht="13.8">
      <c r="B60" s="1486">
        <v>44552</v>
      </c>
      <c r="C60" s="1485"/>
      <c r="D60" s="1484">
        <v>308651</v>
      </c>
      <c r="E60" s="1484">
        <f t="shared" ref="E60:E78" si="30">D60-D61</f>
        <v>283</v>
      </c>
      <c r="F60" s="1483">
        <v>23.73</v>
      </c>
      <c r="G60" s="1482">
        <f>E60/F60</f>
        <v>11.92583227981458</v>
      </c>
      <c r="H60" s="1482">
        <f t="shared" ref="H60:H78" si="31">I60/E60</f>
        <v>0.92151943462897534</v>
      </c>
      <c r="I60" s="1481">
        <v>260.79000000000002</v>
      </c>
      <c r="J60" s="1462"/>
      <c r="K60" s="1423"/>
      <c r="L60" s="1421"/>
      <c r="M60" s="1421"/>
      <c r="N60" s="1420"/>
      <c r="O60" s="1420"/>
      <c r="P60" s="1419"/>
      <c r="Q60" s="1418"/>
      <c r="R60" s="1462"/>
      <c r="S60" s="1478">
        <v>42753</v>
      </c>
      <c r="T60" s="1477" t="s">
        <v>238</v>
      </c>
      <c r="U60" s="1418">
        <v>69</v>
      </c>
      <c r="V60" s="1472"/>
      <c r="W60" s="1472"/>
      <c r="X60" s="1472"/>
      <c r="Y60" s="1472"/>
      <c r="Z60" s="1472"/>
      <c r="AA60" s="1472"/>
      <c r="AB60" s="1379"/>
      <c r="AC60" s="1474" t="str">
        <f t="shared" si="24"/>
        <v/>
      </c>
      <c r="AD60" s="1473"/>
      <c r="AE60" s="1473"/>
      <c r="AF60" s="1473"/>
      <c r="AG60" s="1473"/>
      <c r="AH60" s="1473"/>
      <c r="AI60" s="1473"/>
      <c r="AJ60" s="1473"/>
      <c r="AK60" s="1473"/>
      <c r="AL60" s="1473"/>
      <c r="AM60" s="1399"/>
      <c r="AN60" s="1399"/>
      <c r="AO60" s="1399"/>
      <c r="AP60" s="1399"/>
      <c r="AQ60" s="1399"/>
      <c r="AR60" s="1399"/>
      <c r="AS60" s="1399"/>
      <c r="AT60" s="1459"/>
      <c r="AU60" s="1459"/>
      <c r="AV60" s="1459"/>
      <c r="AW60" s="1459"/>
      <c r="AX60" s="1459"/>
      <c r="AY60" s="1459"/>
      <c r="AZ60" s="1459"/>
      <c r="BA60" s="1459"/>
      <c r="BB60" s="1459"/>
      <c r="BC60" s="1459"/>
      <c r="BD60" s="1459"/>
      <c r="BE60" s="1459"/>
      <c r="BF60" s="1459"/>
      <c r="BG60" s="1459"/>
      <c r="BH60" s="1459"/>
      <c r="BI60" s="1459"/>
      <c r="BJ60" s="1459" t="str">
        <f t="shared" si="14"/>
        <v/>
      </c>
      <c r="BK60" s="1459" t="str">
        <f t="shared" si="22"/>
        <v/>
      </c>
      <c r="BL60" s="1459" t="str">
        <f t="shared" si="22"/>
        <v/>
      </c>
      <c r="BM60" s="1459" t="str">
        <f t="shared" si="29"/>
        <v/>
      </c>
      <c r="BN60" s="1459" t="str">
        <f t="shared" si="28"/>
        <v/>
      </c>
      <c r="BO60" s="1459" t="str">
        <f t="shared" si="28"/>
        <v/>
      </c>
      <c r="BP60" s="1459" t="str">
        <f t="shared" si="28"/>
        <v/>
      </c>
      <c r="BQ60" s="1459" t="str">
        <f t="shared" si="27"/>
        <v/>
      </c>
      <c r="BR60" s="1459" t="str">
        <f>IF(AND($K105&gt;=BR$12,$K105&lt;BR$11),$Q105,"")</f>
        <v/>
      </c>
      <c r="BS60" s="1459" t="str">
        <f t="shared" si="25"/>
        <v/>
      </c>
      <c r="BT60" s="1459"/>
      <c r="BU60" s="1459"/>
      <c r="BV60" s="1459"/>
      <c r="BW60" s="1459"/>
      <c r="BX60" s="1459"/>
      <c r="BY60" s="1459"/>
      <c r="BZ60" s="1459"/>
      <c r="CA60" s="1459"/>
      <c r="CB60" s="1459"/>
      <c r="CC60" s="1459"/>
      <c r="CD60" s="1459"/>
      <c r="CE60" s="1475"/>
      <c r="CF60" s="1475"/>
      <c r="CG60" s="1459" t="str">
        <f t="shared" si="23"/>
        <v/>
      </c>
      <c r="CH60" s="1459" t="str">
        <f t="shared" si="23"/>
        <v/>
      </c>
      <c r="CI60" s="1459"/>
      <c r="CJ60" s="1459"/>
      <c r="CK60" s="1459"/>
      <c r="CL60" s="1459"/>
      <c r="CM60" s="1459"/>
      <c r="CN60" s="1459"/>
      <c r="CO60" s="1459"/>
      <c r="CP60" s="1459"/>
      <c r="CQ60" s="1459"/>
      <c r="CR60" s="1459"/>
      <c r="CS60" s="1475"/>
      <c r="CT60" s="1475"/>
    </row>
    <row r="61" spans="2:98" s="1376" customFormat="1" ht="13.8">
      <c r="B61" s="1423">
        <v>44536</v>
      </c>
      <c r="C61" s="1422"/>
      <c r="D61" s="1460">
        <v>308368</v>
      </c>
      <c r="E61" s="1460">
        <f t="shared" si="30"/>
        <v>427</v>
      </c>
      <c r="F61" s="1420">
        <v>35.28</v>
      </c>
      <c r="G61" s="1419">
        <f t="shared" ref="G61:G78" si="32">(D61-D62)/F61</f>
        <v>12.103174603174603</v>
      </c>
      <c r="H61" s="1419">
        <f t="shared" si="31"/>
        <v>0.90803278688524591</v>
      </c>
      <c r="I61" s="1418">
        <v>387.73</v>
      </c>
      <c r="J61" s="1462"/>
      <c r="K61" s="1423"/>
      <c r="L61" s="1421"/>
      <c r="M61" s="1421"/>
      <c r="N61" s="1420"/>
      <c r="O61" s="1420"/>
      <c r="P61" s="1419"/>
      <c r="Q61" s="1418"/>
      <c r="R61" s="1462"/>
      <c r="S61" s="1394">
        <v>42675</v>
      </c>
      <c r="T61" s="1476"/>
      <c r="U61" s="1389">
        <v>875.2</v>
      </c>
      <c r="V61" s="1472"/>
      <c r="W61" s="1472"/>
      <c r="X61" s="1472"/>
      <c r="Y61" s="1472"/>
      <c r="Z61" s="1472"/>
      <c r="AA61" s="1472"/>
      <c r="AB61" s="1379"/>
      <c r="AC61" s="1474" t="str">
        <f t="shared" si="24"/>
        <v/>
      </c>
      <c r="AD61" s="1473"/>
      <c r="AE61" s="1473"/>
      <c r="AF61" s="1473"/>
      <c r="AG61" s="1473"/>
      <c r="AH61" s="1473"/>
      <c r="AI61" s="1473"/>
      <c r="AJ61" s="1473"/>
      <c r="AK61" s="1473"/>
      <c r="AL61" s="1473"/>
      <c r="AM61" s="1399"/>
      <c r="AN61" s="1399"/>
      <c r="AO61" s="1399"/>
      <c r="AP61" s="1399"/>
      <c r="AQ61" s="1399"/>
      <c r="AR61" s="1399"/>
      <c r="AS61" s="1399"/>
      <c r="AT61" s="1459"/>
      <c r="AU61" s="1459"/>
      <c r="AV61" s="1459"/>
      <c r="AW61" s="1459"/>
      <c r="AX61" s="1459"/>
      <c r="AY61" s="1459"/>
      <c r="AZ61" s="1459"/>
      <c r="BA61" s="1459"/>
      <c r="BB61" s="1459"/>
      <c r="BC61" s="1459"/>
      <c r="BD61" s="1459"/>
      <c r="BE61" s="1459"/>
      <c r="BF61" s="1459"/>
      <c r="BG61" s="1459"/>
      <c r="BH61" s="1459"/>
      <c r="BI61" s="1459"/>
      <c r="BJ61" s="1459" t="str">
        <f t="shared" si="14"/>
        <v/>
      </c>
      <c r="BK61" s="1459" t="str">
        <f t="shared" si="22"/>
        <v/>
      </c>
      <c r="BL61" s="1459" t="str">
        <f t="shared" si="22"/>
        <v/>
      </c>
      <c r="BM61" s="1459" t="str">
        <f t="shared" si="29"/>
        <v/>
      </c>
      <c r="BN61" s="1459" t="str">
        <f t="shared" si="28"/>
        <v/>
      </c>
      <c r="BO61" s="1459" t="str">
        <f t="shared" si="28"/>
        <v/>
      </c>
      <c r="BP61" s="1459" t="str">
        <f t="shared" si="28"/>
        <v/>
      </c>
      <c r="BQ61" s="1459" t="str">
        <f t="shared" si="27"/>
        <v/>
      </c>
      <c r="BR61" s="1459"/>
      <c r="BS61" s="1459" t="str">
        <f t="shared" si="25"/>
        <v/>
      </c>
      <c r="BT61" s="1459" t="str">
        <f>IF(AND($K111&gt;=BT$12,$K111&lt;BT$11),$Q111,"")</f>
        <v/>
      </c>
      <c r="BU61" s="1459"/>
      <c r="BV61" s="1459"/>
      <c r="BW61" s="1459"/>
      <c r="BX61" s="1459"/>
      <c r="BY61" s="1459"/>
      <c r="BZ61" s="1459"/>
      <c r="CA61" s="1475"/>
      <c r="CB61" s="1459"/>
      <c r="CC61" s="1459"/>
      <c r="CD61" s="1459"/>
      <c r="CE61" s="1475"/>
      <c r="CF61" s="1475"/>
    </row>
    <row r="62" spans="2:98" s="1376" customFormat="1" ht="13.8">
      <c r="B62" s="1423">
        <v>44516</v>
      </c>
      <c r="C62" s="1422"/>
      <c r="D62" s="1460">
        <v>307941</v>
      </c>
      <c r="E62" s="1460">
        <f t="shared" si="30"/>
        <v>648</v>
      </c>
      <c r="F62" s="1420">
        <v>45.78</v>
      </c>
      <c r="G62" s="1419">
        <f t="shared" si="32"/>
        <v>14.154652686762779</v>
      </c>
      <c r="H62" s="1419">
        <f t="shared" si="31"/>
        <v>0.81881172839506178</v>
      </c>
      <c r="I62" s="1418">
        <v>530.59</v>
      </c>
      <c r="J62" s="1462"/>
      <c r="K62" s="1423"/>
      <c r="L62" s="1421"/>
      <c r="M62" s="1421"/>
      <c r="N62" s="1420"/>
      <c r="O62" s="1420"/>
      <c r="P62" s="1419"/>
      <c r="Q62" s="1418"/>
      <c r="R62" s="1462"/>
      <c r="S62" s="1378"/>
      <c r="T62" s="1381"/>
      <c r="U62" s="1380"/>
      <c r="V62" s="1472"/>
      <c r="W62" s="1472"/>
      <c r="X62" s="1472"/>
      <c r="Y62" s="1435"/>
      <c r="Z62" s="1435"/>
      <c r="AA62" s="1435"/>
      <c r="AB62" s="1379"/>
      <c r="AC62" s="1474" t="str">
        <f t="shared" si="24"/>
        <v/>
      </c>
      <c r="AD62" s="1473"/>
      <c r="AE62" s="1473"/>
      <c r="AF62" s="1473"/>
      <c r="AG62" s="1473"/>
      <c r="AH62" s="1473"/>
      <c r="AI62" s="1473"/>
      <c r="AJ62" s="1473"/>
      <c r="AK62" s="1473"/>
      <c r="AL62" s="1473"/>
      <c r="AM62" s="1399"/>
      <c r="AN62" s="1399"/>
      <c r="AO62" s="1399"/>
      <c r="AP62" s="1399"/>
      <c r="AQ62" s="1399"/>
      <c r="AR62" s="1399"/>
      <c r="AS62" s="1399"/>
      <c r="AT62" s="1459"/>
      <c r="AU62" s="1459"/>
      <c r="AV62" s="1459"/>
      <c r="AW62" s="1459"/>
      <c r="AX62" s="1459"/>
      <c r="AY62" s="1459"/>
      <c r="AZ62" s="1459"/>
      <c r="BA62" s="1459"/>
      <c r="BB62" s="1459"/>
      <c r="BC62" s="1459"/>
      <c r="BD62" s="1459"/>
      <c r="BE62" s="1459"/>
      <c r="BF62" s="1459"/>
      <c r="BG62" s="1459"/>
      <c r="BH62" s="1459"/>
      <c r="BI62" s="1459"/>
      <c r="BJ62" s="1459" t="str">
        <f t="shared" si="14"/>
        <v/>
      </c>
      <c r="BK62" s="1459" t="str">
        <f t="shared" si="22"/>
        <v/>
      </c>
      <c r="BL62" s="1459" t="str">
        <f t="shared" si="22"/>
        <v/>
      </c>
      <c r="BM62" s="1459" t="str">
        <f t="shared" si="29"/>
        <v/>
      </c>
      <c r="BN62" s="1459" t="str">
        <f t="shared" si="28"/>
        <v/>
      </c>
      <c r="BO62" s="1459" t="str">
        <f t="shared" si="28"/>
        <v/>
      </c>
      <c r="BP62" s="1459" t="str">
        <f t="shared" si="28"/>
        <v/>
      </c>
      <c r="BQ62" s="1459" t="str">
        <f t="shared" si="27"/>
        <v/>
      </c>
      <c r="BR62" s="1459"/>
      <c r="BS62" s="1459" t="str">
        <f t="shared" si="25"/>
        <v/>
      </c>
      <c r="BT62" s="1459" t="str">
        <f>IF(AND($K112&gt;=BT$12,$K112&lt;BT$11),$Q112,"")</f>
        <v/>
      </c>
      <c r="BU62" s="1459"/>
      <c r="BV62" s="1459"/>
      <c r="BW62" s="1459"/>
      <c r="BX62" s="1459" t="str">
        <f>IF(AND($K124&gt;=BX$12,$K124&lt;BX$11),$Q124,"")</f>
        <v/>
      </c>
      <c r="BY62" s="1459"/>
      <c r="BZ62" s="1459"/>
      <c r="CA62" s="1475"/>
      <c r="CB62" s="1459"/>
      <c r="CC62" s="1459"/>
      <c r="CD62" s="1459"/>
      <c r="CE62" s="1475"/>
      <c r="CF62" s="1459" t="str">
        <f>IF(AND($K142&gt;CF$12,$K142&lt;CE$12),$Q142,"")</f>
        <v/>
      </c>
    </row>
    <row r="63" spans="2:98" s="1376" customFormat="1" ht="13.8">
      <c r="B63" s="1423">
        <v>44497</v>
      </c>
      <c r="C63" s="1422"/>
      <c r="D63" s="1460">
        <v>307293</v>
      </c>
      <c r="E63" s="1460">
        <f t="shared" si="30"/>
        <v>482</v>
      </c>
      <c r="F63" s="1420">
        <v>34.79</v>
      </c>
      <c r="G63" s="1419">
        <f t="shared" si="32"/>
        <v>13.854555906869791</v>
      </c>
      <c r="H63" s="1419">
        <f t="shared" si="31"/>
        <v>0.82933609958506227</v>
      </c>
      <c r="I63" s="1418">
        <v>399.74</v>
      </c>
      <c r="J63" s="1462"/>
      <c r="K63" s="1423"/>
      <c r="L63" s="1421"/>
      <c r="M63" s="1421"/>
      <c r="N63" s="1420"/>
      <c r="O63" s="1420"/>
      <c r="P63" s="1419"/>
      <c r="Q63" s="1418"/>
      <c r="R63" s="1462"/>
      <c r="S63" s="1378"/>
      <c r="T63" s="1381"/>
      <c r="U63" s="1380"/>
      <c r="V63" s="1472"/>
      <c r="W63" s="1472"/>
      <c r="X63" s="1472"/>
      <c r="Y63" s="1380"/>
      <c r="Z63" s="1380"/>
      <c r="AA63" s="1380"/>
      <c r="AB63" s="1379"/>
      <c r="AC63" s="1474" t="str">
        <f t="shared" si="24"/>
        <v/>
      </c>
      <c r="AD63" s="1473"/>
      <c r="AE63" s="1473"/>
      <c r="AF63" s="1473"/>
      <c r="AG63" s="1473"/>
      <c r="AH63" s="1473"/>
      <c r="AI63" s="1473"/>
      <c r="AJ63" s="1473"/>
      <c r="AK63" s="1473"/>
      <c r="AL63" s="1473"/>
      <c r="AM63" s="1399"/>
      <c r="AN63" s="1399"/>
      <c r="AO63" s="1399"/>
      <c r="AP63" s="1399"/>
      <c r="AQ63" s="1399"/>
      <c r="AR63" s="1399"/>
      <c r="AS63" s="1399"/>
      <c r="AT63" s="1459"/>
      <c r="AU63" s="1459"/>
      <c r="AV63" s="1459"/>
      <c r="AW63" s="1459"/>
      <c r="AX63" s="1459"/>
      <c r="AY63" s="1459"/>
      <c r="AZ63" s="1459"/>
      <c r="BA63" s="1459"/>
      <c r="BB63" s="1459"/>
      <c r="BC63" s="1459"/>
      <c r="BD63" s="1459"/>
      <c r="BE63" s="1459"/>
      <c r="BF63" s="1459"/>
      <c r="BG63" s="1459"/>
      <c r="BH63" s="1459"/>
      <c r="BI63" s="1459"/>
      <c r="BJ63" s="1459" t="str">
        <f t="shared" si="14"/>
        <v/>
      </c>
      <c r="BK63" s="1459" t="str">
        <f t="shared" si="22"/>
        <v/>
      </c>
      <c r="BL63" s="1459" t="str">
        <f t="shared" si="22"/>
        <v/>
      </c>
      <c r="BM63" s="1459" t="str">
        <f t="shared" si="29"/>
        <v/>
      </c>
      <c r="BN63" s="1459" t="str">
        <f t="shared" si="28"/>
        <v/>
      </c>
      <c r="BO63" s="1459" t="str">
        <f t="shared" si="28"/>
        <v/>
      </c>
      <c r="BP63" s="1459" t="str">
        <f t="shared" si="28"/>
        <v/>
      </c>
      <c r="BQ63" s="1459" t="str">
        <f t="shared" si="27"/>
        <v/>
      </c>
      <c r="BR63" s="1459" t="str">
        <f>IF(AND($K108&gt;=BR$12,$K108&lt;BR$11),$Q108,"")</f>
        <v/>
      </c>
      <c r="BS63" s="1459" t="str">
        <f t="shared" si="25"/>
        <v/>
      </c>
      <c r="BT63" s="1459"/>
      <c r="BU63" s="1459"/>
      <c r="BV63" s="1459"/>
      <c r="BW63" s="1459"/>
      <c r="BX63" s="1459" t="str">
        <f>IF(AND($K125&gt;=BX$12,$K125&lt;BX$11),$Q125,"")</f>
        <v/>
      </c>
      <c r="BY63" s="1459"/>
      <c r="BZ63" s="1459"/>
      <c r="CA63" s="1459"/>
      <c r="CB63" s="1459"/>
      <c r="CC63" s="1459"/>
      <c r="CD63" s="1377"/>
      <c r="CE63" s="1475"/>
      <c r="CF63" s="1459" t="str">
        <f>IF(AND($K144&gt;CF$12,$K144&lt;CE$12),$Q144,"")</f>
        <v/>
      </c>
    </row>
    <row r="64" spans="2:98" s="1376" customFormat="1" ht="13.8">
      <c r="B64" s="1423">
        <v>44485</v>
      </c>
      <c r="C64" s="1422"/>
      <c r="D64" s="1460">
        <v>306811</v>
      </c>
      <c r="E64" s="1460">
        <f t="shared" si="30"/>
        <v>873</v>
      </c>
      <c r="F64" s="1420">
        <v>62.12</v>
      </c>
      <c r="G64" s="1419">
        <f t="shared" si="32"/>
        <v>14.053444945267225</v>
      </c>
      <c r="H64" s="1419">
        <f t="shared" si="31"/>
        <v>0.81759450171821302</v>
      </c>
      <c r="I64" s="1418">
        <v>713.76</v>
      </c>
      <c r="J64" s="1462"/>
      <c r="K64" s="1423"/>
      <c r="L64" s="1421"/>
      <c r="M64" s="1421"/>
      <c r="N64" s="1420"/>
      <c r="O64" s="1420"/>
      <c r="P64" s="1419"/>
      <c r="Q64" s="1418"/>
      <c r="R64" s="1462"/>
      <c r="S64" s="1378"/>
      <c r="T64" s="1381"/>
      <c r="U64" s="1380"/>
      <c r="V64" s="1472"/>
      <c r="W64" s="1472"/>
      <c r="X64" s="1472"/>
      <c r="Y64" s="1380"/>
      <c r="Z64" s="1380"/>
      <c r="AA64" s="1380"/>
      <c r="AB64" s="1379"/>
      <c r="AC64" s="1474" t="str">
        <f t="shared" si="24"/>
        <v/>
      </c>
      <c r="AD64" s="1473"/>
      <c r="AE64" s="1399"/>
      <c r="AF64" s="1399"/>
      <c r="AG64" s="1399"/>
      <c r="AH64" s="1399"/>
      <c r="AI64" s="1399"/>
      <c r="AJ64" s="1399"/>
      <c r="AK64" s="1399"/>
      <c r="AL64" s="1399"/>
      <c r="AM64" s="1399"/>
      <c r="AN64" s="1399"/>
      <c r="AO64" s="1399"/>
      <c r="AP64" s="1399"/>
      <c r="AQ64" s="1399"/>
      <c r="AR64" s="1399"/>
      <c r="AS64" s="1399"/>
      <c r="AT64" s="1459"/>
      <c r="AU64" s="1459"/>
      <c r="AV64" s="1459"/>
      <c r="AW64" s="1459"/>
      <c r="AX64" s="1459"/>
      <c r="AY64" s="1459"/>
      <c r="AZ64" s="1459"/>
      <c r="BA64" s="1459"/>
      <c r="BB64" s="1459"/>
      <c r="BC64" s="1459"/>
      <c r="BD64" s="1459"/>
      <c r="BE64" s="1459"/>
      <c r="BF64" s="1459"/>
      <c r="BG64" s="1459"/>
      <c r="BH64" s="1459"/>
      <c r="BI64" s="1459"/>
      <c r="BJ64" s="1459" t="str">
        <f t="shared" si="14"/>
        <v/>
      </c>
      <c r="BK64" s="1459" t="str">
        <f t="shared" si="22"/>
        <v/>
      </c>
      <c r="BL64" s="1459" t="str">
        <f t="shared" si="22"/>
        <v/>
      </c>
      <c r="BM64" s="1459" t="str">
        <f t="shared" si="29"/>
        <v/>
      </c>
      <c r="BN64" s="1459" t="str">
        <f t="shared" si="28"/>
        <v/>
      </c>
      <c r="BO64" s="1459" t="str">
        <f t="shared" si="28"/>
        <v/>
      </c>
      <c r="BP64" s="1459" t="str">
        <f t="shared" si="28"/>
        <v/>
      </c>
      <c r="BQ64" s="1459" t="str">
        <f t="shared" si="27"/>
        <v/>
      </c>
      <c r="BR64" s="1459" t="str">
        <f>IF(AND($K109&gt;=BR$12,$K109&lt;BR$11),$Q109,"")</f>
        <v/>
      </c>
      <c r="BS64" s="1459"/>
      <c r="BT64" s="1459" t="str">
        <f>IF(AND($K114&gt;=BT$12,$K114&lt;BT$11),$Q114,"")</f>
        <v/>
      </c>
      <c r="BU64" s="1459" t="str">
        <f>IF(AND($K117&gt;=BU$12,$K117&lt;BU$11),$Q117,"")</f>
        <v/>
      </c>
      <c r="BV64" s="1459"/>
      <c r="BW64" s="1459"/>
      <c r="BX64" s="1459" t="str">
        <f>IF(AND($K126&gt;=BX$12,$K126&lt;BX$11),$Q126,"")</f>
        <v/>
      </c>
      <c r="BY64" s="1459"/>
      <c r="BZ64" s="1459" t="str">
        <f>IF(AND($K131&gt;=BZ$12,$K131&lt;BZ$11),$Q131,"")</f>
        <v/>
      </c>
      <c r="CA64" s="1459"/>
      <c r="CB64" s="1459">
        <f>$Q136</f>
        <v>0</v>
      </c>
      <c r="CC64" s="1459"/>
      <c r="CD64" s="1459" t="str">
        <f>IF(AND($K141&gt;=CD$12,$K141&lt;AC$12),$Q141,"")</f>
        <v/>
      </c>
      <c r="CE64" s="1459" t="str">
        <f>IF(AND($K142&gt;=CE$12,$K142&lt;CD$12),$Q142,"")</f>
        <v/>
      </c>
      <c r="CF64" s="1459" t="str">
        <f>IF(AND($K145&gt;CF$12,$K145&lt;CE$12),$Q145,"")</f>
        <v/>
      </c>
    </row>
    <row r="65" spans="1:84">
      <c r="B65" s="1423">
        <v>44461</v>
      </c>
      <c r="C65" s="1422"/>
      <c r="D65" s="1460">
        <v>305938</v>
      </c>
      <c r="E65" s="1460">
        <f t="shared" si="30"/>
        <v>553</v>
      </c>
      <c r="F65" s="1420">
        <v>45.01</v>
      </c>
      <c r="G65" s="1419">
        <f t="shared" si="32"/>
        <v>12.286158631415242</v>
      </c>
      <c r="H65" s="1419">
        <f t="shared" si="31"/>
        <v>0.85379746835443038</v>
      </c>
      <c r="I65" s="1418">
        <v>472.15</v>
      </c>
      <c r="J65" s="1462"/>
      <c r="K65" s="1423"/>
      <c r="L65" s="1421"/>
      <c r="M65" s="1421"/>
      <c r="N65" s="1420"/>
      <c r="O65" s="1420"/>
      <c r="P65" s="1419"/>
      <c r="Q65" s="1418"/>
      <c r="R65" s="1462"/>
      <c r="V65" s="1472"/>
      <c r="W65" s="1472"/>
      <c r="X65" s="1472"/>
      <c r="AC65" s="1400" t="str">
        <f t="shared" si="24"/>
        <v/>
      </c>
      <c r="AD65" s="1399"/>
      <c r="AE65" s="1399"/>
      <c r="AF65" s="1399"/>
      <c r="AG65" s="1399"/>
      <c r="AH65" s="1399"/>
      <c r="AI65" s="1399"/>
      <c r="AJ65" s="1399"/>
      <c r="AK65" s="1399"/>
      <c r="AL65" s="1399"/>
      <c r="AM65" s="1399"/>
      <c r="AN65" s="1399"/>
      <c r="AO65" s="1399"/>
      <c r="AP65" s="1399"/>
      <c r="AQ65" s="1399"/>
      <c r="AR65" s="1399"/>
      <c r="AS65" s="1399"/>
      <c r="AT65" s="1459"/>
      <c r="AU65" s="1459"/>
      <c r="AV65" s="1459"/>
      <c r="AW65" s="1459"/>
      <c r="AX65" s="1459"/>
      <c r="AY65" s="1459"/>
      <c r="AZ65" s="1459"/>
      <c r="BA65" s="1459"/>
      <c r="BB65" s="1459"/>
      <c r="BC65" s="1465"/>
      <c r="BD65" s="1465"/>
      <c r="BE65" s="1465"/>
      <c r="BF65" s="1465"/>
      <c r="BG65" s="1459"/>
      <c r="BH65" s="1459"/>
      <c r="BI65" s="1459"/>
      <c r="BJ65" s="1459" t="str">
        <f t="shared" si="14"/>
        <v/>
      </c>
      <c r="BK65" s="1459" t="str">
        <f t="shared" si="22"/>
        <v/>
      </c>
      <c r="BL65" s="1459" t="str">
        <f t="shared" si="22"/>
        <v/>
      </c>
      <c r="BM65" s="1459" t="str">
        <f t="shared" si="29"/>
        <v/>
      </c>
      <c r="BN65" s="1459" t="str">
        <f t="shared" si="28"/>
        <v/>
      </c>
      <c r="BO65" s="1459" t="str">
        <f t="shared" si="28"/>
        <v/>
      </c>
      <c r="BP65" s="1459" t="str">
        <f t="shared" si="28"/>
        <v/>
      </c>
      <c r="BQ65" s="1459" t="str">
        <f t="shared" si="27"/>
        <v/>
      </c>
      <c r="BR65" s="1459" t="str">
        <f>IF(AND($K110&gt;=BR$12,$K110&lt;BR$11),$Q110,"")</f>
        <v/>
      </c>
      <c r="BS65" s="1459" t="str">
        <f>IF(AND($K112&gt;=BS$12,$K112&lt;BS$11),$Q112,"")</f>
        <v/>
      </c>
      <c r="BT65" s="1459" t="str">
        <f>IF(AND($K115&gt;=BT$12,$K115&lt;BT$11),$Q115,"")</f>
        <v/>
      </c>
      <c r="BU65" s="1459" t="str">
        <f>IF(AND($K118&gt;=BU$12,$K118&lt;BU$11),$Q118,"")</f>
        <v/>
      </c>
      <c r="BV65" s="1459" t="str">
        <f>IF(AND($K120&gt;=BV$12,$K120&lt;BV$11),$Q120,"")</f>
        <v/>
      </c>
      <c r="BW65" s="1459" t="str">
        <f>IF(AND($K122&gt;=BW$12,$K122&lt;BW$11),$Q122,"")</f>
        <v/>
      </c>
      <c r="BX65" s="1459" t="str">
        <f>IF(AND($K127&gt;=BX$12,$K127&lt;BX$11),$Q127,"")</f>
        <v/>
      </c>
      <c r="BY65" s="1459" t="str">
        <f>IF(AND($K129&gt;=BY$12,$K129&lt;BY$11),$Q129,"")</f>
        <v/>
      </c>
      <c r="BZ65" s="1459" t="str">
        <f>IF(AND($K132&gt;=BZ$12,$K132&lt;BZ$11),$Q132,"")</f>
        <v/>
      </c>
      <c r="CA65" s="1459" t="str">
        <f>IF(AND($K134&gt;=CA$12,$K134&lt;CA$11),$Q134,"")</f>
        <v/>
      </c>
      <c r="CB65" s="1459">
        <f>Q137</f>
        <v>0</v>
      </c>
      <c r="CC65" s="1459" t="str">
        <f>IF(AND($K139&gt;=CD$12,$K139&lt;AC$12),$Q139,"")</f>
        <v/>
      </c>
      <c r="CD65" s="1459" t="str">
        <f>IF(AND($K142&gt;=CD$12,$K142&lt;AC$12),$Q142,"")</f>
        <v/>
      </c>
      <c r="CE65" s="1459" t="str">
        <f>IF(AND($K144&gt;=CE$12,$K144&lt;CD$12),$Q144,"")</f>
        <v/>
      </c>
      <c r="CF65" s="1459" t="str">
        <f>IF(AND($K146&gt;CF$12,$K146&lt;CE$12),$Q146,"")</f>
        <v/>
      </c>
    </row>
    <row r="66" spans="1:84">
      <c r="A66" s="1425"/>
      <c r="B66" s="1423">
        <v>44425</v>
      </c>
      <c r="C66" s="1422"/>
      <c r="D66" s="1460">
        <v>305385</v>
      </c>
      <c r="E66" s="1460">
        <f t="shared" si="30"/>
        <v>748</v>
      </c>
      <c r="F66" s="1420">
        <v>48.36</v>
      </c>
      <c r="G66" s="1419">
        <f t="shared" si="32"/>
        <v>15.467328370554178</v>
      </c>
      <c r="H66" s="1419">
        <f t="shared" si="31"/>
        <v>0.65233957219251337</v>
      </c>
      <c r="I66" s="1418">
        <v>487.95</v>
      </c>
      <c r="J66" s="1462"/>
      <c r="K66" s="1423"/>
      <c r="L66" s="1421"/>
      <c r="M66" s="1421"/>
      <c r="N66" s="1420"/>
      <c r="O66" s="1420"/>
      <c r="P66" s="1419"/>
      <c r="Q66" s="1418"/>
      <c r="R66" s="1462"/>
      <c r="V66" s="1435"/>
      <c r="W66" s="1435"/>
      <c r="X66" s="1435"/>
      <c r="AC66" s="1400" t="str">
        <f t="shared" si="24"/>
        <v/>
      </c>
      <c r="AD66" s="1399"/>
      <c r="AE66" s="1399"/>
      <c r="AF66" s="1399"/>
      <c r="AG66" s="1399"/>
      <c r="AH66" s="1399"/>
      <c r="AI66" s="1399"/>
      <c r="AJ66" s="1399"/>
      <c r="AK66" s="1399"/>
      <c r="AL66" s="1399"/>
      <c r="AM66" s="1399"/>
      <c r="AN66" s="1399"/>
      <c r="AO66" s="1399"/>
      <c r="AP66" s="1399"/>
      <c r="AQ66" s="1399"/>
      <c r="AR66" s="1399"/>
      <c r="AS66" s="1399"/>
      <c r="AT66" s="1459"/>
      <c r="AU66" s="1459"/>
      <c r="AV66" s="1459"/>
      <c r="AW66" s="1459"/>
      <c r="AX66" s="1459"/>
      <c r="AY66" s="1459"/>
      <c r="AZ66" s="1459"/>
      <c r="BA66" s="1459"/>
      <c r="BB66" s="1459"/>
      <c r="BC66" s="1459"/>
      <c r="BD66" s="1459"/>
      <c r="BE66" s="1459"/>
      <c r="BF66" s="1459"/>
      <c r="BG66" s="1459"/>
      <c r="BH66" s="1459"/>
      <c r="BI66" s="1459"/>
      <c r="BJ66" s="1459" t="str">
        <f t="shared" si="14"/>
        <v/>
      </c>
      <c r="BK66" s="1459" t="str">
        <f t="shared" si="22"/>
        <v/>
      </c>
      <c r="BL66" s="1459" t="str">
        <f t="shared" si="22"/>
        <v/>
      </c>
      <c r="BM66" s="1459" t="str">
        <f t="shared" si="29"/>
        <v/>
      </c>
      <c r="BN66" s="1459" t="str">
        <f t="shared" si="28"/>
        <v/>
      </c>
      <c r="BO66" s="1459" t="str">
        <f t="shared" si="28"/>
        <v/>
      </c>
      <c r="BP66" s="1459" t="str">
        <f t="shared" si="28"/>
        <v/>
      </c>
      <c r="BQ66" s="1459" t="str">
        <f t="shared" si="27"/>
        <v/>
      </c>
      <c r="BR66" s="1459" t="str">
        <f>IF(AND($K111&gt;=BR$12,$K111&lt;BR$11),$Q111,"")</f>
        <v/>
      </c>
      <c r="BS66" s="1459" t="str">
        <f>IF(AND($K113&gt;=BS$12,$K113&lt;BS$11),$Q113,"")</f>
        <v/>
      </c>
      <c r="BT66" s="1459" t="str">
        <f>IF(AND($K116&gt;=BT$12,$K116&lt;BT$11),$Q116,"")</f>
        <v/>
      </c>
      <c r="BU66" s="1459" t="str">
        <f>IF(AND($K119&gt;=BU$12,$K119&lt;BU$11),$Q119,"")</f>
        <v/>
      </c>
      <c r="BV66" s="1459" t="str">
        <f>IF(AND($K121&gt;=BV$12,$K121&lt;BV$11),$Q121,"")</f>
        <v/>
      </c>
      <c r="BW66" s="1459" t="str">
        <f>IF(AND($K123&gt;=BW$12,$K123&lt;BW$11),$Q123,"")</f>
        <v/>
      </c>
      <c r="BX66" s="1459" t="str">
        <f>IF(AND($K128&gt;=BX$12,$K128&lt;BX$11),$Q128,"")</f>
        <v/>
      </c>
      <c r="BY66" s="1459" t="str">
        <f>IF(AND($K130&gt;=BY$12,$K130&lt;BY$11),$Q130,"")</f>
        <v/>
      </c>
      <c r="BZ66" s="1459" t="str">
        <f>IF(AND($K133&gt;=BZ$12,$K133&lt;BZ$11),$Q133,"")</f>
        <v/>
      </c>
      <c r="CA66" s="1459">
        <f>$Q135</f>
        <v>0</v>
      </c>
      <c r="CB66" s="1459">
        <f>Q138</f>
        <v>0</v>
      </c>
      <c r="CC66" s="1459" t="str">
        <f>IF(AND($K140&gt;=CD$12,$K140&lt;AC$12),$Q140,"")</f>
        <v/>
      </c>
      <c r="CD66" s="1459" t="str">
        <f>IF(AND($K144&gt;=CD$12,$K144&lt;AC$12),$Q144,"")</f>
        <v/>
      </c>
      <c r="CE66" s="1459" t="str">
        <f>IF(AND($K145&gt;=CE$12,$K145&lt;CD$12),$Q145,"")</f>
        <v/>
      </c>
      <c r="CF66" s="1459">
        <f>IF(AND($K147&gt;CF$12,$K147&lt;CE$12),$Q147,0)</f>
        <v>0</v>
      </c>
    </row>
    <row r="67" spans="1:84">
      <c r="B67" s="1423">
        <v>44393</v>
      </c>
      <c r="C67" s="1422"/>
      <c r="D67" s="1460">
        <v>304637</v>
      </c>
      <c r="E67" s="1460">
        <f t="shared" si="30"/>
        <v>750</v>
      </c>
      <c r="F67" s="1420">
        <v>54.28</v>
      </c>
      <c r="G67" s="1419">
        <f t="shared" si="32"/>
        <v>13.817243920412675</v>
      </c>
      <c r="H67" s="1419">
        <f t="shared" si="31"/>
        <v>0.73748000000000002</v>
      </c>
      <c r="I67" s="1418">
        <v>553.11</v>
      </c>
      <c r="J67" s="1462"/>
      <c r="K67" s="1423"/>
      <c r="L67" s="1421"/>
      <c r="M67" s="1421"/>
      <c r="N67" s="1420"/>
      <c r="O67" s="1420"/>
      <c r="P67" s="1419"/>
      <c r="Q67" s="1418"/>
      <c r="R67" s="1462"/>
      <c r="S67" s="1471" t="s">
        <v>1205</v>
      </c>
      <c r="T67" s="1470"/>
      <c r="U67" s="1469"/>
      <c r="AC67" s="1400" t="str">
        <f t="shared" si="24"/>
        <v/>
      </c>
      <c r="AD67" s="1399"/>
      <c r="AE67" s="1399"/>
      <c r="AF67" s="1399"/>
      <c r="AG67" s="1399"/>
      <c r="AH67" s="1399"/>
      <c r="AI67" s="1399"/>
      <c r="AJ67" s="1399"/>
      <c r="AK67" s="1399"/>
      <c r="AL67" s="1399"/>
      <c r="AM67" s="1399"/>
      <c r="AN67" s="1399"/>
      <c r="AO67" s="1399"/>
      <c r="AP67" s="1399"/>
      <c r="AQ67" s="1399"/>
      <c r="AR67" s="1399"/>
      <c r="AS67" s="1399"/>
      <c r="AT67" s="1459"/>
      <c r="AU67" s="1459"/>
      <c r="AV67" s="1465"/>
      <c r="AW67" s="1465"/>
      <c r="AX67" s="1465"/>
      <c r="AY67" s="1465"/>
      <c r="AZ67" s="1465"/>
      <c r="BA67" s="1465"/>
      <c r="BB67" s="1465"/>
      <c r="BC67" s="1459"/>
      <c r="BD67" s="1459"/>
      <c r="BE67" s="1459"/>
      <c r="BF67" s="1459"/>
      <c r="BG67" s="1459"/>
      <c r="BH67" s="1459"/>
      <c r="BI67" s="1459"/>
      <c r="BJ67" s="1459" t="str">
        <f t="shared" si="14"/>
        <v/>
      </c>
      <c r="BK67" s="1459" t="str">
        <f t="shared" si="22"/>
        <v/>
      </c>
      <c r="BL67" s="1459" t="str">
        <f t="shared" si="22"/>
        <v/>
      </c>
      <c r="BM67" s="1464">
        <f>SUM(BM56:BM66)</f>
        <v>0</v>
      </c>
      <c r="BN67" s="1464">
        <f>SUM(BN56:BN66)</f>
        <v>0</v>
      </c>
      <c r="BO67" s="1464">
        <f>SUM(BO60:BO66)</f>
        <v>0</v>
      </c>
      <c r="BP67" s="1464">
        <f>SUM(BP60:BP66)</f>
        <v>0</v>
      </c>
      <c r="BQ67" s="1464">
        <f>SUM(BQ56:BQ66)</f>
        <v>0</v>
      </c>
      <c r="BR67" s="1464">
        <f>SUM(BR56:BR66)</f>
        <v>0</v>
      </c>
      <c r="BS67" s="1464">
        <f>SUM(BS55:BS66)</f>
        <v>0</v>
      </c>
      <c r="BT67" s="1464">
        <f>SUM(BT55:BT66)</f>
        <v>0</v>
      </c>
      <c r="BU67" s="1464">
        <f>SUM(BU64:BU66)</f>
        <v>0</v>
      </c>
      <c r="BV67" s="1464">
        <f>SUM(BV65:BV66)</f>
        <v>0</v>
      </c>
      <c r="BW67" s="1464">
        <f>SUM(BW65:BW66)</f>
        <v>0</v>
      </c>
      <c r="BX67" s="1464">
        <f>SUM(BX62:BX66)</f>
        <v>0</v>
      </c>
      <c r="BY67" s="1464">
        <f>SUM(BY65:BY66)</f>
        <v>0</v>
      </c>
      <c r="BZ67" s="1464">
        <f>SUM(BZ64:BZ66)</f>
        <v>0</v>
      </c>
      <c r="CA67" s="1464">
        <f>SUM(CA65:CA66)</f>
        <v>0</v>
      </c>
      <c r="CB67" s="1464">
        <f>SUM(CB64:CB66)</f>
        <v>0</v>
      </c>
      <c r="CC67" s="1464">
        <f>SUM(CC65:CC66)</f>
        <v>0</v>
      </c>
      <c r="CD67" s="1464">
        <f>SUM(CD64:CD66)</f>
        <v>0</v>
      </c>
      <c r="CE67" s="1464">
        <f>SUM(CE66)</f>
        <v>0</v>
      </c>
      <c r="CF67" s="1464">
        <f>SUM(CF65:CF66)</f>
        <v>0</v>
      </c>
    </row>
    <row r="68" spans="1:84">
      <c r="B68" s="1423">
        <v>44363</v>
      </c>
      <c r="C68" s="1422"/>
      <c r="D68" s="1460">
        <v>303887</v>
      </c>
      <c r="E68" s="1460">
        <f t="shared" si="30"/>
        <v>718</v>
      </c>
      <c r="F68" s="1420">
        <v>52.77</v>
      </c>
      <c r="G68" s="1419">
        <f t="shared" si="32"/>
        <v>13.606215652833049</v>
      </c>
      <c r="H68" s="1419">
        <f t="shared" si="31"/>
        <v>0.72688022284122555</v>
      </c>
      <c r="I68" s="1418">
        <v>521.9</v>
      </c>
      <c r="J68" s="1462"/>
      <c r="K68" s="1423"/>
      <c r="L68" s="1421"/>
      <c r="M68" s="1421"/>
      <c r="N68" s="1420"/>
      <c r="O68" s="1420"/>
      <c r="P68" s="1419"/>
      <c r="Q68" s="1418"/>
      <c r="R68" s="1462"/>
      <c r="S68" s="1400"/>
      <c r="T68" s="1468"/>
      <c r="U68" s="1395"/>
      <c r="Y68" s="1466"/>
      <c r="Z68" s="1466"/>
      <c r="AA68" s="1466"/>
      <c r="AC68" s="1400" t="str">
        <f t="shared" si="24"/>
        <v/>
      </c>
      <c r="AD68" s="1399"/>
      <c r="AE68" s="1399"/>
      <c r="AF68" s="1399"/>
      <c r="AG68" s="1399"/>
      <c r="AH68" s="1399"/>
      <c r="AI68" s="1399"/>
      <c r="AJ68" s="1399"/>
      <c r="AK68" s="1399"/>
      <c r="AL68" s="1399"/>
      <c r="AM68" s="1399"/>
      <c r="AN68" s="1399"/>
      <c r="AO68" s="1399"/>
      <c r="AP68" s="1399"/>
      <c r="AQ68" s="1399"/>
      <c r="AR68" s="1399"/>
      <c r="AS68" s="1399"/>
      <c r="AT68" s="1459"/>
      <c r="AU68" s="1459"/>
      <c r="AV68" s="1459"/>
      <c r="AW68" s="1459"/>
      <c r="AX68" s="1459"/>
      <c r="AY68" s="1459"/>
      <c r="AZ68" s="1459"/>
      <c r="BA68" s="1459"/>
      <c r="BB68" s="1459"/>
      <c r="BC68" s="1459"/>
      <c r="BD68" s="1459"/>
      <c r="BE68" s="1459"/>
      <c r="BF68" s="1459"/>
      <c r="BG68" s="1459"/>
      <c r="BH68" s="1459"/>
      <c r="BI68" s="1459"/>
      <c r="BJ68" s="1459" t="str">
        <f t="shared" si="14"/>
        <v/>
      </c>
      <c r="BK68" s="1459" t="str">
        <f t="shared" si="22"/>
        <v/>
      </c>
      <c r="BL68" s="1459" t="str">
        <f t="shared" si="22"/>
        <v/>
      </c>
      <c r="BQ68" s="1459" t="str">
        <f>IF(AND($K109&gt;=BQ$12,$K109&lt;BQ$11),$Q109,"")</f>
        <v/>
      </c>
      <c r="BR68" s="1459"/>
      <c r="BS68" s="1459"/>
      <c r="BT68" s="1459" t="str">
        <f>IF(AND($K118&gt;=BT$12,$K118&lt;BT$11),$Q118,"")</f>
        <v/>
      </c>
      <c r="BU68" s="1459" t="str">
        <f>IF(AND($K121&gt;=BU$12,$K121&lt;BU$11),$Q121,"")</f>
        <v/>
      </c>
      <c r="BV68" s="1459" t="str">
        <f>IF(AND($K123&gt;=BV$12,$K123&lt;BV$11),$Q123,"")</f>
        <v/>
      </c>
      <c r="BW68" s="1459" t="str">
        <f t="shared" ref="BW68:BW77" si="33">IF(AND($K125&gt;=BW$12,$K125&lt;BW$11),$Q125,"")</f>
        <v/>
      </c>
      <c r="BX68" s="1459" t="str">
        <f>IF(AND($K130&gt;=BX$12,$K130&lt;BX$11),$Q130,"")</f>
        <v/>
      </c>
      <c r="BY68" s="1459" t="str">
        <f>IF(AND($K132&gt;=BY$12,$K132&lt;BY$11),$Q132,"")</f>
        <v/>
      </c>
      <c r="BZ68" s="1459"/>
      <c r="CA68" s="1459"/>
      <c r="CB68" s="1459" t="str">
        <f>IF(AND($K140&gt;=CC$12,$K140&lt;AB$12),$Q140,"")</f>
        <v/>
      </c>
      <c r="CC68" s="1459" t="str">
        <f>IF(AND($K142&gt;=CC$12,$K142&lt;AB$12),$Q142,"")</f>
        <v/>
      </c>
      <c r="CD68" s="1380"/>
      <c r="CE68" s="1459"/>
      <c r="CF68" s="1459"/>
    </row>
    <row r="69" spans="1:84">
      <c r="B69" s="1423">
        <v>44335</v>
      </c>
      <c r="C69" s="1422"/>
      <c r="D69" s="1460">
        <v>303169</v>
      </c>
      <c r="E69" s="1460">
        <f t="shared" si="30"/>
        <v>579</v>
      </c>
      <c r="F69" s="1420">
        <v>42.65</v>
      </c>
      <c r="G69" s="1419">
        <f t="shared" si="32"/>
        <v>13.575615474794843</v>
      </c>
      <c r="H69" s="1419">
        <f t="shared" si="31"/>
        <v>0.72113989637305698</v>
      </c>
      <c r="I69" s="1418">
        <v>417.54</v>
      </c>
      <c r="J69" s="1462"/>
      <c r="K69" s="1423"/>
      <c r="L69" s="1421"/>
      <c r="M69" s="1421"/>
      <c r="N69" s="1420"/>
      <c r="O69" s="1420"/>
      <c r="P69" s="1419"/>
      <c r="Q69" s="1418"/>
      <c r="R69" s="1462"/>
      <c r="S69" s="1394"/>
      <c r="T69" s="1467"/>
      <c r="U69" s="1389"/>
      <c r="Y69" s="1435"/>
      <c r="Z69" s="1435"/>
      <c r="AA69" s="1435"/>
      <c r="AC69" s="1400" t="str">
        <f t="shared" si="24"/>
        <v/>
      </c>
      <c r="AD69" s="1399"/>
      <c r="AE69" s="1399"/>
      <c r="AF69" s="1399"/>
      <c r="AG69" s="1399"/>
      <c r="AH69" s="1399"/>
      <c r="AI69" s="1399"/>
      <c r="AJ69" s="1399"/>
      <c r="AK69" s="1399"/>
      <c r="AL69" s="1399"/>
      <c r="AM69" s="1399"/>
      <c r="AN69" s="1399"/>
      <c r="AO69" s="1399"/>
      <c r="AP69" s="1399"/>
      <c r="AQ69" s="1399"/>
      <c r="AR69" s="1399"/>
      <c r="AS69" s="1399"/>
      <c r="AT69" s="1459"/>
      <c r="AU69" s="1459"/>
      <c r="AV69" s="1459"/>
      <c r="AW69" s="1459"/>
      <c r="AX69" s="1459"/>
      <c r="AY69" s="1459"/>
      <c r="AZ69" s="1459"/>
      <c r="BA69" s="1459"/>
      <c r="BB69" s="1459"/>
      <c r="BC69" s="1459"/>
      <c r="BD69" s="1459"/>
      <c r="BE69" s="1459"/>
      <c r="BF69" s="1459"/>
      <c r="BG69" s="1459"/>
      <c r="BH69" s="1459"/>
      <c r="BI69" s="1459"/>
      <c r="BJ69" s="1459" t="str">
        <f t="shared" si="14"/>
        <v/>
      </c>
      <c r="BK69" s="1459" t="str">
        <f>IF(AND($K103&gt;=BK$12,$K103&lt;BJ$12),$Q103,"")</f>
        <v/>
      </c>
      <c r="BL69" s="1459" t="str">
        <f>IF(AND($K103&gt;=BL$12,$K103&lt;BL$11),$Q103,"")</f>
        <v/>
      </c>
      <c r="BQ69" s="1459" t="str">
        <f>IF(AND($K110&gt;=BQ$12,$K110&lt;BQ$11),$Q110,"")</f>
        <v/>
      </c>
      <c r="BS69" s="1459" t="str">
        <f>IF(AND($K116&gt;=BS$12,$K116&lt;BS$11),$Q116,"")</f>
        <v/>
      </c>
      <c r="BT69" s="1459" t="str">
        <f>IF(AND($K119&gt;=BT$12,$K119&lt;BT$11),$Q119,"")</f>
        <v/>
      </c>
      <c r="BW69" s="1459" t="str">
        <f t="shared" si="33"/>
        <v/>
      </c>
      <c r="BY69" s="1459" t="str">
        <f>IF(AND($K133&gt;=BY$12,$K133&lt;BY$11),$Q133,"")</f>
        <v/>
      </c>
      <c r="BZ69" s="1380"/>
      <c r="CA69" s="1459"/>
      <c r="CB69" s="1380"/>
      <c r="CC69" s="1459" t="str">
        <f>IF(AND($K144&gt;=CC$12,$K144&lt;AB$12),$Q144,"")</f>
        <v/>
      </c>
      <c r="CD69" s="1459"/>
      <c r="CE69" s="1380"/>
      <c r="CF69" s="1459"/>
    </row>
    <row r="70" spans="1:84">
      <c r="B70" s="1423">
        <v>44309</v>
      </c>
      <c r="C70" s="1422"/>
      <c r="D70" s="1460">
        <v>302590</v>
      </c>
      <c r="E70" s="1460">
        <f t="shared" si="30"/>
        <v>541</v>
      </c>
      <c r="F70" s="1420">
        <v>42.5</v>
      </c>
      <c r="G70" s="1419">
        <f t="shared" si="32"/>
        <v>12.729411764705882</v>
      </c>
      <c r="H70" s="1419">
        <f t="shared" si="31"/>
        <v>0.73767097966728279</v>
      </c>
      <c r="I70" s="1418">
        <v>399.08</v>
      </c>
      <c r="J70" s="1462"/>
      <c r="K70" s="1423"/>
      <c r="L70" s="1421"/>
      <c r="M70" s="1421"/>
      <c r="N70" s="1420"/>
      <c r="O70" s="1420"/>
      <c r="P70" s="1419"/>
      <c r="Q70" s="1418"/>
      <c r="R70" s="1462"/>
      <c r="S70" s="1376"/>
      <c r="T70" s="1376"/>
      <c r="U70" s="1376"/>
      <c r="Y70" s="1435"/>
      <c r="Z70" s="1435"/>
      <c r="AA70" s="1435"/>
      <c r="AC70" s="1400" t="str">
        <f t="shared" si="24"/>
        <v/>
      </c>
      <c r="AD70" s="1399"/>
      <c r="AE70" s="1399"/>
      <c r="AF70" s="1399"/>
      <c r="AG70" s="1399"/>
      <c r="AH70" s="1399"/>
      <c r="AI70" s="1399"/>
      <c r="AJ70" s="1399"/>
      <c r="AK70" s="1399"/>
      <c r="AL70" s="1399"/>
      <c r="AM70" s="1399"/>
      <c r="AN70" s="1399"/>
      <c r="AO70" s="1399"/>
      <c r="AP70" s="1399"/>
      <c r="AQ70" s="1399"/>
      <c r="AR70" s="1399"/>
      <c r="AS70" s="1399"/>
      <c r="AT70" s="1459"/>
      <c r="AU70" s="1459"/>
      <c r="AV70" s="1459"/>
      <c r="AW70" s="1459"/>
      <c r="AX70" s="1459"/>
      <c r="AY70" s="1459"/>
      <c r="AZ70" s="1459"/>
      <c r="BA70" s="1459"/>
      <c r="BB70" s="1459"/>
      <c r="BC70" s="1459"/>
      <c r="BD70" s="1459"/>
      <c r="BE70" s="1459"/>
      <c r="BF70" s="1459"/>
      <c r="BG70" s="1459"/>
      <c r="BH70" s="1459"/>
      <c r="BI70" s="1459"/>
      <c r="BJ70" s="1459" t="str">
        <f t="shared" si="14"/>
        <v/>
      </c>
      <c r="BK70" s="1464">
        <f>SUM(BK53:BK57)</f>
        <v>0</v>
      </c>
      <c r="BL70" s="1464">
        <f>SUM(BL59:BL69)</f>
        <v>0</v>
      </c>
      <c r="BM70" s="1459" t="str">
        <f>IF(AND($K107&gt;=BM$12,$K107&lt;BM$11),$Q107,"")</f>
        <v/>
      </c>
      <c r="BN70" s="1459" t="str">
        <f>IF(AND($K107&gt;=BN$12,$K107&lt;BN$11),$Q107,"")</f>
        <v/>
      </c>
      <c r="BO70" s="1459" t="str">
        <f>IF(AND($K107&gt;=BO$12,$K107&lt;BO$11),$Q107,"")</f>
        <v/>
      </c>
      <c r="BP70" s="1459" t="str">
        <f>IF(AND($K107&gt;=BP$12,$K107&lt;BP$11),$Q107,"")</f>
        <v/>
      </c>
      <c r="BQ70" s="1459" t="str">
        <f>IF(AND($K111&gt;=BQ$12,$K111&lt;BQ$11),$Q111,"")</f>
        <v/>
      </c>
      <c r="BR70" s="1459"/>
      <c r="BU70" s="1459" t="str">
        <f>IF(AND($K123&gt;=BU$12,$K123&lt;BU$11),$Q123,"")</f>
        <v/>
      </c>
      <c r="BV70" s="1459" t="str">
        <f t="shared" ref="BV70:BV79" si="34">IF(AND($K125&gt;=BV$12,$K125&lt;BV$11),$Q125,"")</f>
        <v/>
      </c>
      <c r="BW70" s="1459" t="str">
        <f t="shared" si="33"/>
        <v/>
      </c>
      <c r="BX70" s="1459" t="str">
        <f>IF(AND($K132&gt;=BX$12,$K132&lt;BX$11),$Q132,"")</f>
        <v/>
      </c>
      <c r="BZ70" s="1459"/>
      <c r="CA70" s="1380"/>
      <c r="CB70" s="1459" t="str">
        <f>IF(AND($K142&gt;=CB$12,$K142&lt;U$12),$Q142,"")</f>
        <v/>
      </c>
      <c r="CC70" s="1380"/>
      <c r="CD70" s="1380"/>
      <c r="CE70" s="1459"/>
      <c r="CF70" s="1459"/>
    </row>
    <row r="71" spans="1:84">
      <c r="B71" s="1423">
        <v>44279</v>
      </c>
      <c r="C71" s="1422"/>
      <c r="D71" s="1460">
        <v>302049</v>
      </c>
      <c r="E71" s="1460">
        <f t="shared" si="30"/>
        <v>602</v>
      </c>
      <c r="F71" s="1420">
        <v>45.26</v>
      </c>
      <c r="G71" s="1419">
        <f t="shared" si="32"/>
        <v>13.300927971718957</v>
      </c>
      <c r="H71" s="1419">
        <f t="shared" si="31"/>
        <v>0.70596345514950165</v>
      </c>
      <c r="I71" s="1418">
        <v>424.99</v>
      </c>
      <c r="J71" s="1462"/>
      <c r="K71" s="1423"/>
      <c r="L71" s="1421"/>
      <c r="M71" s="1421"/>
      <c r="N71" s="1420"/>
      <c r="O71" s="1420"/>
      <c r="P71" s="1419"/>
      <c r="Q71" s="1418"/>
      <c r="R71" s="1462"/>
      <c r="S71" s="1376"/>
      <c r="T71" s="1376"/>
      <c r="U71" s="1376"/>
      <c r="Y71" s="1376"/>
      <c r="Z71" s="1376"/>
      <c r="AA71" s="1376"/>
      <c r="AC71" s="1400" t="str">
        <f t="shared" si="24"/>
        <v/>
      </c>
      <c r="AD71" s="1399"/>
      <c r="AE71" s="1399"/>
      <c r="AF71" s="1399"/>
      <c r="AG71" s="1399"/>
      <c r="AH71" s="1399"/>
      <c r="AI71" s="1399"/>
      <c r="AJ71" s="1399"/>
      <c r="AK71" s="1399"/>
      <c r="AL71" s="1399"/>
      <c r="AM71" s="1399"/>
      <c r="AN71" s="1399"/>
      <c r="AO71" s="1399"/>
      <c r="AP71" s="1399"/>
      <c r="AQ71" s="1399"/>
      <c r="AR71" s="1399"/>
      <c r="AS71" s="1399"/>
      <c r="AT71" s="1459"/>
      <c r="AU71" s="1459"/>
      <c r="AV71" s="1459"/>
      <c r="AW71" s="1459"/>
      <c r="AX71" s="1459"/>
      <c r="AY71" s="1459"/>
      <c r="AZ71" s="1459"/>
      <c r="BA71" s="1459"/>
      <c r="BB71" s="1459"/>
      <c r="BC71" s="1459"/>
      <c r="BD71" s="1459"/>
      <c r="BE71" s="1459"/>
      <c r="BF71" s="1459"/>
      <c r="BG71" s="1459"/>
      <c r="BH71" s="1459"/>
      <c r="BI71" s="1459"/>
      <c r="BJ71" s="1459" t="str">
        <f t="shared" si="14"/>
        <v/>
      </c>
      <c r="BR71" s="1459" t="str">
        <f>IF(AND($K116&gt;=BR$12,$K116&lt;BR$11),$Q116,"")</f>
        <v/>
      </c>
      <c r="BS71" s="1459" t="str">
        <f>IF(AND($K118&gt;=BS$12,$K118&lt;BS$11),$Q118,"")</f>
        <v/>
      </c>
      <c r="BT71" s="1459" t="str">
        <f>IF(AND($K121&gt;=BT$12,$K121&lt;BT$11),$Q121,"")</f>
        <v/>
      </c>
      <c r="BV71" s="1459" t="str">
        <f t="shared" si="34"/>
        <v/>
      </c>
      <c r="BW71" s="1459" t="str">
        <f t="shared" si="33"/>
        <v/>
      </c>
      <c r="BX71" s="1459" t="str">
        <f>IF(AND($K133&gt;=BX$12,$K133&lt;BX$11),$Q133,"")</f>
        <v/>
      </c>
      <c r="BY71" s="1459"/>
      <c r="BZ71" s="1459"/>
      <c r="CA71" s="1459" t="str">
        <f>IF(AND($K140&gt;=CB$12,$K140&lt;U$12),$Q140,"")</f>
        <v/>
      </c>
      <c r="CB71" s="1459" t="str">
        <f>IF(AND($K144&gt;=CB$12,$K144&lt;U$12),$Q144,"")</f>
        <v/>
      </c>
      <c r="CC71" s="1380"/>
      <c r="CD71" s="1459"/>
      <c r="CE71" s="1459"/>
      <c r="CF71" s="1459"/>
    </row>
    <row r="72" spans="1:84">
      <c r="B72" s="1423">
        <v>44264</v>
      </c>
      <c r="C72" s="1422"/>
      <c r="D72" s="1460">
        <f>D73+834</f>
        <v>301447</v>
      </c>
      <c r="E72" s="1460">
        <f t="shared" si="30"/>
        <v>834</v>
      </c>
      <c r="F72" s="1420">
        <v>44.2</v>
      </c>
      <c r="G72" s="1419">
        <f t="shared" si="32"/>
        <v>18.868778280542987</v>
      </c>
      <c r="H72" s="1419">
        <f t="shared" si="31"/>
        <v>0.51354916067146283</v>
      </c>
      <c r="I72" s="1418">
        <v>428.3</v>
      </c>
      <c r="J72" s="1462"/>
      <c r="K72" s="1423"/>
      <c r="L72" s="1421"/>
      <c r="M72" s="1421"/>
      <c r="N72" s="1420"/>
      <c r="O72" s="1420"/>
      <c r="P72" s="1419"/>
      <c r="Q72" s="1418"/>
      <c r="R72" s="1462"/>
      <c r="S72" s="1376"/>
      <c r="T72" s="1376"/>
      <c r="U72" s="1376"/>
      <c r="V72" s="1466"/>
      <c r="W72" s="1466"/>
      <c r="X72" s="1466"/>
      <c r="Y72" s="1376"/>
      <c r="Z72" s="1376"/>
      <c r="AA72" s="1376"/>
      <c r="AC72" s="1400" t="str">
        <f t="shared" si="24"/>
        <v/>
      </c>
      <c r="AD72" s="1399"/>
      <c r="AE72" s="1399"/>
      <c r="AF72" s="1399"/>
      <c r="AG72" s="1399"/>
      <c r="AH72" s="1399"/>
      <c r="AI72" s="1399"/>
      <c r="AJ72" s="1399"/>
      <c r="AK72" s="1399"/>
      <c r="AL72" s="1399"/>
      <c r="AM72" s="1399"/>
      <c r="AN72" s="1399"/>
      <c r="AO72" s="1399"/>
      <c r="AP72" s="1399"/>
      <c r="AQ72" s="1399"/>
      <c r="AR72" s="1399"/>
      <c r="AS72" s="1399"/>
      <c r="AT72" s="1465"/>
      <c r="AU72" s="1465"/>
      <c r="AV72" s="1459"/>
      <c r="AW72" s="1459"/>
      <c r="AX72" s="1459"/>
      <c r="AY72" s="1459"/>
      <c r="AZ72" s="1459"/>
      <c r="BA72" s="1459"/>
      <c r="BB72" s="1459"/>
      <c r="BC72" s="1459"/>
      <c r="BD72" s="1459"/>
      <c r="BE72" s="1459"/>
      <c r="BF72" s="1459"/>
      <c r="BG72" s="1459"/>
      <c r="BH72" s="1459"/>
      <c r="BI72" s="1459"/>
      <c r="BJ72" s="1459" t="str">
        <f t="shared" si="14"/>
        <v/>
      </c>
      <c r="BK72" s="1463"/>
      <c r="BL72" s="1463"/>
      <c r="BM72" s="1459" t="str">
        <f t="shared" ref="BM72:BP74" si="35">IF(AND($K109&gt;=BM$12,$K109&lt;BM$11),$Q109,"")</f>
        <v/>
      </c>
      <c r="BN72" s="1459" t="str">
        <f t="shared" si="35"/>
        <v/>
      </c>
      <c r="BO72" s="1459" t="str">
        <f t="shared" si="35"/>
        <v/>
      </c>
      <c r="BP72" s="1459" t="str">
        <f t="shared" si="35"/>
        <v/>
      </c>
      <c r="BQ72" s="1459"/>
      <c r="BS72" s="1459" t="str">
        <f>IF(AND($K119&gt;=BS$12,$K119&lt;BS$11),$Q119,"")</f>
        <v/>
      </c>
      <c r="BU72" s="1459" t="str">
        <f t="shared" ref="BU72:BU81" si="36">IF(AND($K125&gt;=BU$12,$K125&lt;BU$11),$Q125,"")</f>
        <v/>
      </c>
      <c r="BV72" s="1459" t="str">
        <f t="shared" si="34"/>
        <v/>
      </c>
      <c r="BW72" s="1459" t="str">
        <f t="shared" si="33"/>
        <v/>
      </c>
      <c r="BY72" s="1380"/>
      <c r="BZ72" s="1380"/>
      <c r="CA72" s="1380"/>
      <c r="CB72" s="1380"/>
      <c r="CC72" s="1459"/>
      <c r="CD72" s="1459"/>
      <c r="CE72" s="1459"/>
      <c r="CF72" s="1459"/>
    </row>
    <row r="73" spans="1:84">
      <c r="B73" s="1423">
        <v>44245</v>
      </c>
      <c r="C73" s="1422"/>
      <c r="D73" s="1460">
        <f>D74+632</f>
        <v>300613</v>
      </c>
      <c r="E73" s="1460">
        <f t="shared" si="30"/>
        <v>632</v>
      </c>
      <c r="F73" s="1420">
        <v>51.66</v>
      </c>
      <c r="G73" s="1419">
        <f t="shared" si="32"/>
        <v>12.233836624080528</v>
      </c>
      <c r="H73" s="1419">
        <f t="shared" si="31"/>
        <v>0.77571202531645567</v>
      </c>
      <c r="I73" s="1418">
        <v>490.25</v>
      </c>
      <c r="J73" s="1462"/>
      <c r="K73" s="1423"/>
      <c r="L73" s="1421"/>
      <c r="M73" s="1421"/>
      <c r="N73" s="1420"/>
      <c r="O73" s="1420"/>
      <c r="P73" s="1419"/>
      <c r="Q73" s="1418"/>
      <c r="R73" s="1462"/>
      <c r="S73" s="1376"/>
      <c r="T73" s="1376"/>
      <c r="U73" s="1376"/>
      <c r="V73" s="1435"/>
      <c r="W73" s="1435"/>
      <c r="X73" s="1435"/>
      <c r="Y73" s="1376"/>
      <c r="Z73" s="1376"/>
      <c r="AA73" s="1376"/>
      <c r="AC73" s="1400" t="str">
        <f t="shared" si="24"/>
        <v/>
      </c>
      <c r="AD73" s="1399"/>
      <c r="AE73" s="1399"/>
      <c r="AF73" s="1399"/>
      <c r="AG73" s="1399"/>
      <c r="AH73" s="1399"/>
      <c r="AI73" s="1399"/>
      <c r="AJ73" s="1399"/>
      <c r="AK73" s="1399"/>
      <c r="AL73" s="1399"/>
      <c r="AM73" s="1399"/>
      <c r="AN73" s="1399"/>
      <c r="AO73" s="1399"/>
      <c r="AP73" s="1399"/>
      <c r="AQ73" s="1399"/>
      <c r="AR73" s="1399"/>
      <c r="AS73" s="1399"/>
      <c r="AT73" s="1459"/>
      <c r="AU73" s="1459"/>
      <c r="AV73" s="1459"/>
      <c r="AW73" s="1459"/>
      <c r="AX73" s="1459"/>
      <c r="AY73" s="1459"/>
      <c r="AZ73" s="1459"/>
      <c r="BA73" s="1459"/>
      <c r="BB73" s="1459"/>
      <c r="BC73" s="1459"/>
      <c r="BD73" s="1459"/>
      <c r="BE73" s="1459"/>
      <c r="BF73" s="1459"/>
      <c r="BG73" s="1459"/>
      <c r="BH73" s="1459"/>
      <c r="BI73" s="1459"/>
      <c r="BJ73" s="1459" t="str">
        <f t="shared" si="14"/>
        <v/>
      </c>
      <c r="BK73" s="1459" t="str">
        <f>IF(AND($K107&gt;=BK$12,$K107&lt;BK$11),$Q107,"")</f>
        <v/>
      </c>
      <c r="BL73" s="1459" t="str">
        <f>IF(AND($K107&gt;=BL$12,$K107&lt;BL$11),$Q107,"")</f>
        <v/>
      </c>
      <c r="BM73" s="1459" t="str">
        <f t="shared" si="35"/>
        <v/>
      </c>
      <c r="BN73" s="1459" t="str">
        <f t="shared" si="35"/>
        <v/>
      </c>
      <c r="BO73" s="1459" t="str">
        <f t="shared" si="35"/>
        <v/>
      </c>
      <c r="BP73" s="1459" t="str">
        <f t="shared" si="35"/>
        <v/>
      </c>
      <c r="BR73" s="1459" t="str">
        <f>IF(AND($K118&gt;=BR$12,$K118&lt;BR$11),$Q118,"")</f>
        <v/>
      </c>
      <c r="BT73" s="1459" t="str">
        <f>IF(AND($K123&gt;=BT$12,$K123&lt;BT$11),$Q123,"")</f>
        <v/>
      </c>
      <c r="BU73" s="1459" t="str">
        <f t="shared" si="36"/>
        <v/>
      </c>
      <c r="BV73" s="1459" t="str">
        <f t="shared" si="34"/>
        <v/>
      </c>
      <c r="BW73" s="1459" t="str">
        <f t="shared" si="33"/>
        <v/>
      </c>
      <c r="BX73" s="1459"/>
      <c r="BY73" s="1459"/>
      <c r="BZ73" s="1459" t="str">
        <f>IF(AND($K140&gt;=CA$12,$K140&lt;T$12),$Q140,"")</f>
        <v/>
      </c>
      <c r="CA73" s="1459" t="str">
        <f>IF(AND($K142&gt;=CA$12,$K142&lt;T$12),$Q142,"")</f>
        <v/>
      </c>
      <c r="CB73" s="1380"/>
      <c r="CC73" s="1380"/>
      <c r="CD73" s="1459"/>
      <c r="CE73" s="1459"/>
      <c r="CF73" s="1459"/>
    </row>
    <row r="74" spans="1:84">
      <c r="B74" s="1423">
        <v>44218</v>
      </c>
      <c r="C74" s="1422"/>
      <c r="D74" s="1460">
        <v>299981</v>
      </c>
      <c r="E74" s="1460">
        <f t="shared" si="30"/>
        <v>486</v>
      </c>
      <c r="F74" s="1420">
        <v>37.229999999999997</v>
      </c>
      <c r="G74" s="1419">
        <f t="shared" si="32"/>
        <v>13.053988718775182</v>
      </c>
      <c r="H74" s="1419">
        <f t="shared" si="31"/>
        <v>0.68868312757201644</v>
      </c>
      <c r="I74" s="1418">
        <v>334.7</v>
      </c>
      <c r="J74" s="1462"/>
      <c r="K74" s="1423"/>
      <c r="L74" s="1421"/>
      <c r="M74" s="1421"/>
      <c r="N74" s="1420"/>
      <c r="O74" s="1420"/>
      <c r="P74" s="1419"/>
      <c r="Q74" s="1418"/>
      <c r="R74" s="1462"/>
      <c r="S74" s="1376"/>
      <c r="T74" s="1376"/>
      <c r="U74" s="1376"/>
      <c r="V74" s="1435"/>
      <c r="W74" s="1435"/>
      <c r="X74" s="1435"/>
      <c r="Y74" s="1376"/>
      <c r="Z74" s="1376"/>
      <c r="AA74" s="1376"/>
      <c r="AC74" s="1400" t="str">
        <f t="shared" si="24"/>
        <v/>
      </c>
      <c r="AD74" s="1399"/>
      <c r="AE74" s="1399"/>
      <c r="AF74" s="1399"/>
      <c r="AG74" s="1399"/>
      <c r="AH74" s="1399"/>
      <c r="AI74" s="1399"/>
      <c r="AJ74" s="1399"/>
      <c r="AK74" s="1399"/>
      <c r="AL74" s="1399"/>
      <c r="AM74" s="1399"/>
      <c r="AN74" s="1399"/>
      <c r="AO74" s="1399"/>
      <c r="AP74" s="1399"/>
      <c r="AQ74" s="1399"/>
      <c r="AR74" s="1399"/>
      <c r="AS74" s="1399"/>
      <c r="AT74" s="1459"/>
      <c r="AU74" s="1459"/>
      <c r="AV74" s="1459"/>
      <c r="AW74" s="1459"/>
      <c r="AX74" s="1459"/>
      <c r="AY74" s="1459"/>
      <c r="AZ74" s="1459"/>
      <c r="BA74" s="1459"/>
      <c r="BB74" s="1459"/>
      <c r="BC74" s="1459"/>
      <c r="BD74" s="1459"/>
      <c r="BE74" s="1459"/>
      <c r="BF74" s="1459"/>
      <c r="BG74" s="1459"/>
      <c r="BH74" s="1459"/>
      <c r="BI74" s="1459"/>
      <c r="BJ74" s="1459" t="str">
        <f t="shared" si="14"/>
        <v/>
      </c>
      <c r="BM74" s="1459" t="str">
        <f t="shared" si="35"/>
        <v/>
      </c>
      <c r="BN74" s="1459" t="str">
        <f t="shared" si="35"/>
        <v/>
      </c>
      <c r="BO74" s="1459" t="str">
        <f t="shared" si="35"/>
        <v/>
      </c>
      <c r="BP74" s="1459" t="str">
        <f t="shared" si="35"/>
        <v/>
      </c>
      <c r="BQ74" s="1459"/>
      <c r="BR74" s="1459" t="str">
        <f>IF(AND($K119&gt;=BR$12,$K119&lt;BR$11),$Q119,"")</f>
        <v/>
      </c>
      <c r="BS74" s="1459" t="str">
        <f>IF(AND($K121&gt;=BS$12,$K121&lt;BS$11),$Q121,"")</f>
        <v/>
      </c>
      <c r="BU74" s="1459" t="str">
        <f t="shared" si="36"/>
        <v/>
      </c>
      <c r="BV74" s="1459" t="str">
        <f t="shared" si="34"/>
        <v/>
      </c>
      <c r="BW74" s="1459" t="str">
        <f t="shared" si="33"/>
        <v/>
      </c>
      <c r="BX74" s="1380"/>
      <c r="BY74" s="1459"/>
      <c r="BZ74" s="1380"/>
      <c r="CA74" s="1459" t="str">
        <f>IF(AND($K144&gt;=CA$12,$K144&lt;T$12),$Q144,"")</f>
        <v/>
      </c>
      <c r="CB74" s="1459"/>
      <c r="CC74" s="1459"/>
      <c r="CD74" s="1459"/>
      <c r="CE74" s="1459"/>
      <c r="CF74" s="1459"/>
    </row>
    <row r="75" spans="1:84">
      <c r="B75" s="1423">
        <v>44182</v>
      </c>
      <c r="C75" s="1422"/>
      <c r="D75" s="1460">
        <v>299495</v>
      </c>
      <c r="E75" s="1460">
        <f t="shared" si="30"/>
        <v>566</v>
      </c>
      <c r="F75" s="1420">
        <v>45.17</v>
      </c>
      <c r="G75" s="1419">
        <f t="shared" si="32"/>
        <v>12.530440557892407</v>
      </c>
      <c r="H75" s="1419">
        <f t="shared" si="31"/>
        <v>0.69351590106007066</v>
      </c>
      <c r="I75" s="1418">
        <v>392.53</v>
      </c>
      <c r="J75" s="1462"/>
      <c r="K75" s="1423"/>
      <c r="L75" s="1421"/>
      <c r="M75" s="1421"/>
      <c r="N75" s="1420"/>
      <c r="O75" s="1420"/>
      <c r="P75" s="1419"/>
      <c r="Q75" s="1418"/>
      <c r="R75" s="1462"/>
      <c r="S75" s="1376"/>
      <c r="T75" s="1376"/>
      <c r="U75" s="1376"/>
      <c r="V75" s="1376"/>
      <c r="W75" s="1376"/>
      <c r="X75" s="1376"/>
      <c r="Y75" s="1376"/>
      <c r="Z75" s="1376"/>
      <c r="AA75" s="1376"/>
      <c r="AC75" s="1400" t="str">
        <f t="shared" si="24"/>
        <v/>
      </c>
      <c r="AD75" s="1399"/>
      <c r="AE75" s="1399"/>
      <c r="AF75" s="1399"/>
      <c r="AG75" s="1399"/>
      <c r="AH75" s="1399"/>
      <c r="AI75" s="1399"/>
      <c r="AJ75" s="1399"/>
      <c r="AK75" s="1399"/>
      <c r="AL75" s="1399"/>
      <c r="AM75" s="1399"/>
      <c r="AN75" s="1399"/>
      <c r="AO75" s="1399"/>
      <c r="AP75" s="1399"/>
      <c r="AQ75" s="1399"/>
      <c r="AR75" s="1399"/>
      <c r="AS75" s="1399"/>
      <c r="AT75" s="1459"/>
      <c r="AU75" s="1459"/>
      <c r="AV75" s="1459"/>
      <c r="AW75" s="1459"/>
      <c r="AX75" s="1459"/>
      <c r="AY75" s="1459"/>
      <c r="AZ75" s="1459"/>
      <c r="BA75" s="1459"/>
      <c r="BB75" s="1459"/>
      <c r="BC75" s="1459"/>
      <c r="BD75" s="1459"/>
      <c r="BE75" s="1459"/>
      <c r="BF75" s="1459"/>
      <c r="BG75" s="1459"/>
      <c r="BH75" s="1464">
        <f>SUM(BH50:BH56)</f>
        <v>0</v>
      </c>
      <c r="BI75" s="1464">
        <f>SUM(BI53:BI58)</f>
        <v>0</v>
      </c>
      <c r="BJ75" s="1464">
        <f>SUM(BJ58:BJ60)</f>
        <v>0</v>
      </c>
      <c r="BK75" s="1459" t="str">
        <f t="shared" ref="BK75:BL77" si="37">IF(AND($K109&gt;=BK$12,$K109&lt;BK$11),$Q109,"")</f>
        <v/>
      </c>
      <c r="BL75" s="1459" t="str">
        <f t="shared" si="37"/>
        <v/>
      </c>
      <c r="BQ75" s="1459" t="str">
        <f>IF(AND($K116&gt;=BQ$12,$K116&lt;BQ$11),$Q116,"")</f>
        <v/>
      </c>
      <c r="BT75" s="1459" t="str">
        <f t="shared" ref="BT75:BT84" si="38">IF(AND($K125&gt;=BT$12,$K125&lt;BT$11),$Q125,"")</f>
        <v/>
      </c>
      <c r="BU75" s="1459" t="str">
        <f t="shared" si="36"/>
        <v/>
      </c>
      <c r="BV75" s="1459" t="str">
        <f t="shared" si="34"/>
        <v/>
      </c>
      <c r="BW75" s="1459" t="str">
        <f t="shared" si="33"/>
        <v/>
      </c>
      <c r="BX75" s="1459"/>
      <c r="BY75" s="1380"/>
      <c r="BZ75" s="1459" t="str">
        <f>IF(AND($K142&gt;=BZ$12,$K142&lt;S$12),$Q142,"")</f>
        <v/>
      </c>
      <c r="CA75" s="1380"/>
      <c r="CB75" s="1380"/>
      <c r="CC75" s="1459"/>
      <c r="CD75" s="1459"/>
      <c r="CE75" s="1459"/>
      <c r="CF75" s="1458"/>
    </row>
    <row r="76" spans="1:84">
      <c r="B76" s="1423">
        <v>44168</v>
      </c>
      <c r="C76" s="1422"/>
      <c r="D76" s="1460">
        <v>298929</v>
      </c>
      <c r="E76" s="1460">
        <f t="shared" si="30"/>
        <v>648</v>
      </c>
      <c r="F76" s="1420">
        <v>49.42</v>
      </c>
      <c r="G76" s="1419">
        <f t="shared" si="32"/>
        <v>13.112100364225009</v>
      </c>
      <c r="H76" s="1419">
        <f t="shared" si="31"/>
        <v>0.64749999999999996</v>
      </c>
      <c r="I76" s="1418">
        <v>419.58</v>
      </c>
      <c r="J76" s="1462"/>
      <c r="K76" s="1423"/>
      <c r="L76" s="1421"/>
      <c r="M76" s="1421"/>
      <c r="N76" s="1420"/>
      <c r="O76" s="1420"/>
      <c r="P76" s="1419"/>
      <c r="Q76" s="1418"/>
      <c r="R76" s="1462"/>
      <c r="S76" s="1376"/>
      <c r="T76" s="1376"/>
      <c r="U76" s="1376"/>
      <c r="V76" s="1376"/>
      <c r="W76" s="1376"/>
      <c r="X76" s="1376"/>
      <c r="Y76" s="1376"/>
      <c r="Z76" s="1376"/>
      <c r="AA76" s="1376"/>
      <c r="AC76" s="1400" t="str">
        <f t="shared" si="24"/>
        <v/>
      </c>
      <c r="AD76" s="1399"/>
      <c r="AE76" s="1399"/>
      <c r="AF76" s="1399"/>
      <c r="AG76" s="1399"/>
      <c r="AH76" s="1399"/>
      <c r="AI76" s="1399"/>
      <c r="AJ76" s="1399"/>
      <c r="AK76" s="1399"/>
      <c r="AL76" s="1399"/>
      <c r="AM76" s="1399"/>
      <c r="AN76" s="1399"/>
      <c r="AO76" s="1399"/>
      <c r="AP76" s="1399"/>
      <c r="AQ76" s="1399"/>
      <c r="AR76" s="1399"/>
      <c r="AS76" s="1399"/>
      <c r="AT76" s="1459"/>
      <c r="AU76" s="1459"/>
      <c r="AV76" s="1459"/>
      <c r="AW76" s="1459"/>
      <c r="AX76" s="1459"/>
      <c r="AY76" s="1459"/>
      <c r="AZ76" s="1459"/>
      <c r="BA76" s="1459"/>
      <c r="BB76" s="1459"/>
      <c r="BC76" s="1459"/>
      <c r="BD76" s="1459"/>
      <c r="BE76" s="1459"/>
      <c r="BF76" s="1459"/>
      <c r="BG76" s="1459"/>
      <c r="BK76" s="1459" t="str">
        <f t="shared" si="37"/>
        <v/>
      </c>
      <c r="BL76" s="1459" t="str">
        <f t="shared" si="37"/>
        <v/>
      </c>
      <c r="BM76" s="1459"/>
      <c r="BN76" s="1459"/>
      <c r="BO76" s="1459"/>
      <c r="BP76" s="1459"/>
      <c r="BR76" s="1459" t="str">
        <f>IF(AND($K121&gt;=BR$12,$K121&lt;BR$11),$Q121,"")</f>
        <v/>
      </c>
      <c r="BS76" s="1459" t="str">
        <f>IF(AND($K123&gt;=BS$12,$K123&lt;BS$11),$Q123,"")</f>
        <v/>
      </c>
      <c r="BT76" s="1459" t="str">
        <f t="shared" si="38"/>
        <v/>
      </c>
      <c r="BU76" s="1459" t="str">
        <f t="shared" si="36"/>
        <v/>
      </c>
      <c r="BV76" s="1459" t="str">
        <f t="shared" si="34"/>
        <v/>
      </c>
      <c r="BW76" s="1459" t="str">
        <f t="shared" si="33"/>
        <v/>
      </c>
      <c r="BX76" s="1459"/>
      <c r="BY76" s="1459" t="str">
        <f>IF(AND($K140&gt;=BZ$12,$K140&lt;S$12),$Q140,"")</f>
        <v/>
      </c>
      <c r="BZ76" s="1459" t="str">
        <f>IF(AND($K144&gt;=BZ$12,$K144&lt;S$12),$Q144,"")</f>
        <v/>
      </c>
      <c r="CA76" s="1380"/>
      <c r="CB76" s="1459"/>
      <c r="CC76" s="1459"/>
      <c r="CD76" s="1459"/>
      <c r="CE76" s="1459"/>
      <c r="CF76" s="1458"/>
    </row>
    <row r="77" spans="1:84">
      <c r="B77" s="1423">
        <v>44140</v>
      </c>
      <c r="C77" s="1422"/>
      <c r="D77" s="1460">
        <v>298281</v>
      </c>
      <c r="E77" s="1460">
        <f t="shared" si="30"/>
        <v>784</v>
      </c>
      <c r="F77" s="1420">
        <v>58.22</v>
      </c>
      <c r="G77" s="1419">
        <f t="shared" si="32"/>
        <v>13.466162830642391</v>
      </c>
      <c r="H77" s="1419">
        <f t="shared" si="31"/>
        <v>0.60818877551020412</v>
      </c>
      <c r="I77" s="1418">
        <v>476.82</v>
      </c>
      <c r="J77" s="1462"/>
      <c r="K77" s="1423"/>
      <c r="L77" s="1421"/>
      <c r="M77" s="1421"/>
      <c r="N77" s="1420"/>
      <c r="O77" s="1420"/>
      <c r="P77" s="1419"/>
      <c r="Q77" s="1418"/>
      <c r="R77" s="1462"/>
      <c r="S77" s="1376"/>
      <c r="T77" s="1376"/>
      <c r="U77" s="1376"/>
      <c r="V77" s="1376"/>
      <c r="W77" s="1376"/>
      <c r="X77" s="1376"/>
      <c r="Y77" s="1376"/>
      <c r="Z77" s="1376"/>
      <c r="AA77" s="1376"/>
      <c r="AC77" s="1400" t="str">
        <f t="shared" si="24"/>
        <v/>
      </c>
      <c r="AD77" s="1399"/>
      <c r="AE77" s="1399"/>
      <c r="AF77" s="1399"/>
      <c r="AG77" s="1399"/>
      <c r="AH77" s="1399"/>
      <c r="AI77" s="1399"/>
      <c r="AJ77" s="1399"/>
      <c r="AK77" s="1399"/>
      <c r="AL77" s="1399"/>
      <c r="AM77" s="1399"/>
      <c r="AN77" s="1399"/>
      <c r="AO77" s="1399"/>
      <c r="AP77" s="1399"/>
      <c r="AQ77" s="1399"/>
      <c r="AR77" s="1399"/>
      <c r="AS77" s="1399"/>
      <c r="AT77" s="1459"/>
      <c r="AU77" s="1459"/>
      <c r="AV77" s="1459"/>
      <c r="AW77" s="1459"/>
      <c r="AX77" s="1459"/>
      <c r="AY77" s="1459"/>
      <c r="AZ77" s="1459"/>
      <c r="BA77" s="1459"/>
      <c r="BB77" s="1459"/>
      <c r="BC77" s="1459"/>
      <c r="BD77" s="1459"/>
      <c r="BE77" s="1459"/>
      <c r="BF77" s="1459"/>
      <c r="BG77" s="1459"/>
      <c r="BH77" s="1463">
        <f>BH12+31</f>
        <v>43420</v>
      </c>
      <c r="BI77" s="1463"/>
      <c r="BJ77" s="1463"/>
      <c r="BK77" s="1459" t="str">
        <f t="shared" si="37"/>
        <v/>
      </c>
      <c r="BL77" s="1459" t="str">
        <f t="shared" si="37"/>
        <v/>
      </c>
      <c r="BQ77" s="1459" t="str">
        <f>IF(AND($K118&gt;=BQ$12,$K118&lt;BQ$11),$Q118,"")</f>
        <v/>
      </c>
      <c r="BT77" s="1459" t="str">
        <f t="shared" si="38"/>
        <v/>
      </c>
      <c r="BU77" s="1459" t="str">
        <f t="shared" si="36"/>
        <v/>
      </c>
      <c r="BV77" s="1459" t="str">
        <f t="shared" si="34"/>
        <v/>
      </c>
      <c r="BW77" s="1459" t="str">
        <f t="shared" si="33"/>
        <v/>
      </c>
      <c r="BX77" s="1380"/>
      <c r="BY77" s="1380"/>
      <c r="BZ77" s="1380"/>
      <c r="CA77" s="1459"/>
      <c r="CB77" s="1459"/>
      <c r="CC77" s="1459"/>
      <c r="CD77" s="1459"/>
      <c r="CE77" s="1458"/>
      <c r="CF77" s="1458"/>
    </row>
    <row r="78" spans="1:84">
      <c r="B78" s="1423">
        <v>44120</v>
      </c>
      <c r="C78" s="1422"/>
      <c r="D78" s="1460">
        <v>297497</v>
      </c>
      <c r="E78" s="1460">
        <f t="shared" si="30"/>
        <v>667</v>
      </c>
      <c r="F78" s="1420">
        <v>52.21</v>
      </c>
      <c r="G78" s="1419">
        <f t="shared" si="32"/>
        <v>12.77533039647577</v>
      </c>
      <c r="H78" s="1419">
        <f t="shared" si="31"/>
        <v>0.64107946026986506</v>
      </c>
      <c r="I78" s="1418">
        <v>427.6</v>
      </c>
      <c r="J78" s="1462"/>
      <c r="K78" s="1423"/>
      <c r="L78" s="1421"/>
      <c r="M78" s="1421"/>
      <c r="N78" s="1420"/>
      <c r="O78" s="1420"/>
      <c r="P78" s="1419"/>
      <c r="Q78" s="1418"/>
      <c r="R78" s="1462"/>
      <c r="S78" s="1376"/>
      <c r="T78" s="1376"/>
      <c r="U78" s="1376"/>
      <c r="V78" s="1376"/>
      <c r="W78" s="1376"/>
      <c r="X78" s="1376"/>
      <c r="Y78" s="1376"/>
      <c r="Z78" s="1376"/>
      <c r="AA78" s="1376"/>
      <c r="AC78" s="1400" t="str">
        <f t="shared" si="24"/>
        <v/>
      </c>
      <c r="AD78" s="1399"/>
      <c r="AE78" s="1399"/>
      <c r="AF78" s="1399"/>
      <c r="AG78" s="1399"/>
      <c r="AH78" s="1399"/>
      <c r="AI78" s="1399"/>
      <c r="AJ78" s="1399"/>
      <c r="AK78" s="1399"/>
      <c r="AL78" s="1399"/>
      <c r="AM78" s="1399"/>
      <c r="AN78" s="1399"/>
      <c r="AO78" s="1399"/>
      <c r="AP78" s="1399"/>
      <c r="AQ78" s="1399"/>
      <c r="AR78" s="1399"/>
      <c r="AS78" s="1399"/>
      <c r="AT78" s="1459"/>
      <c r="AU78" s="1459"/>
      <c r="AV78" s="1459"/>
      <c r="AW78" s="1459"/>
      <c r="AX78" s="1459"/>
      <c r="AY78" s="1459"/>
      <c r="AZ78" s="1459"/>
      <c r="BA78" s="1459"/>
      <c r="BB78" s="1459"/>
      <c r="BC78" s="1464">
        <f>SUM(BC53:BC59)</f>
        <v>0</v>
      </c>
      <c r="BD78" s="1464">
        <f>SUM(BD53:BD59)</f>
        <v>0</v>
      </c>
      <c r="BE78" s="1464">
        <f>SUM(BE53:BE59)</f>
        <v>0</v>
      </c>
      <c r="BF78" s="1464">
        <f>SUM(BF53:BF59)</f>
        <v>0</v>
      </c>
      <c r="BG78" s="1464">
        <f>SUM(BG53:BG59)</f>
        <v>0</v>
      </c>
      <c r="BH78" s="1459" t="str">
        <f>IF(AND($K107&gt;=BH$12,$K107&lt;BH$11),$Q107,"")</f>
        <v/>
      </c>
      <c r="BI78" s="1459" t="str">
        <f>IF(AND($K107&gt;=BI$12,$K107&lt;BI$11),$Q107,"")</f>
        <v/>
      </c>
      <c r="BJ78" s="1459" t="str">
        <f>IF(AND($K107&gt;=BJ$12,$K107&lt;BJ$11),$Q107,"")</f>
        <v/>
      </c>
      <c r="BM78" s="1459"/>
      <c r="BN78" s="1459"/>
      <c r="BO78" s="1459"/>
      <c r="BP78" s="1459"/>
      <c r="BQ78" s="1459" t="str">
        <f>IF(AND($K119&gt;=BQ$12,$K119&lt;BQ$11),$Q119,"")</f>
        <v/>
      </c>
      <c r="BR78" s="1459" t="str">
        <f>IF(AND($K123&gt;=BR$12,$K123&lt;BR$11),$Q123,"")</f>
        <v/>
      </c>
      <c r="BS78" s="1459" t="str">
        <f t="shared" ref="BS78:BS87" si="39">IF(AND($K125&gt;=BS$12,$K125&lt;BS$11),$Q125,"")</f>
        <v/>
      </c>
      <c r="BT78" s="1459" t="str">
        <f t="shared" si="38"/>
        <v/>
      </c>
      <c r="BU78" s="1459" t="str">
        <f t="shared" si="36"/>
        <v/>
      </c>
      <c r="BV78" s="1459" t="str">
        <f t="shared" si="34"/>
        <v/>
      </c>
      <c r="BW78" s="1459"/>
      <c r="BX78" s="1459" t="str">
        <f>IF(AND($K140&gt;=BY$12,$K140&lt;R$12),$Q140,"")</f>
        <v/>
      </c>
      <c r="BY78" s="1459" t="str">
        <f>IF(AND($K142&gt;=BY$12,$K142&lt;R$12),$Q142,"")</f>
        <v/>
      </c>
      <c r="BZ78" s="1380"/>
      <c r="CA78" s="1380"/>
      <c r="CB78" s="1459"/>
      <c r="CC78" s="1459"/>
      <c r="CD78" s="1458"/>
      <c r="CE78" s="1458"/>
      <c r="CF78" s="1443"/>
    </row>
    <row r="79" spans="1:84">
      <c r="B79" s="1423">
        <v>44105</v>
      </c>
      <c r="C79" s="1422"/>
      <c r="D79" s="1460">
        <v>296830</v>
      </c>
      <c r="E79" s="1460"/>
      <c r="F79" s="1420">
        <v>66.099999999999994</v>
      </c>
      <c r="G79" s="1419"/>
      <c r="H79" s="1419"/>
      <c r="I79" s="1418">
        <v>534.75</v>
      </c>
      <c r="J79" s="1462"/>
      <c r="K79" s="1423"/>
      <c r="L79" s="1421"/>
      <c r="M79" s="1421"/>
      <c r="N79" s="1420"/>
      <c r="O79" s="1420"/>
      <c r="P79" s="1419"/>
      <c r="Q79" s="1418"/>
      <c r="R79" s="1462"/>
      <c r="S79" s="1376"/>
      <c r="T79" s="1376"/>
      <c r="U79" s="1376"/>
      <c r="V79" s="1376"/>
      <c r="W79" s="1376"/>
      <c r="X79" s="1376"/>
      <c r="Y79" s="1376"/>
      <c r="Z79" s="1376"/>
      <c r="AA79" s="1376"/>
      <c r="AC79" s="1400" t="str">
        <f t="shared" si="24"/>
        <v/>
      </c>
      <c r="AD79" s="1399"/>
      <c r="AE79" s="1399"/>
      <c r="AF79" s="1399"/>
      <c r="AG79" s="1399"/>
      <c r="AH79" s="1399"/>
      <c r="AI79" s="1399"/>
      <c r="AJ79" s="1399"/>
      <c r="AK79" s="1399"/>
      <c r="AL79" s="1399"/>
      <c r="AM79" s="1399"/>
      <c r="AN79" s="1399"/>
      <c r="AO79" s="1399"/>
      <c r="AP79" s="1399"/>
      <c r="AQ79" s="1399"/>
      <c r="AR79" s="1399"/>
      <c r="AS79" s="1399"/>
      <c r="AT79" s="1459"/>
      <c r="AU79" s="1459"/>
      <c r="AV79" s="1459"/>
      <c r="AW79" s="1459"/>
      <c r="AX79" s="1459"/>
      <c r="AY79" s="1459"/>
      <c r="AZ79" s="1459"/>
      <c r="BA79" s="1459"/>
      <c r="BB79" s="1459"/>
      <c r="BK79" s="1459"/>
      <c r="BL79" s="1459"/>
      <c r="BM79" s="1459" t="str">
        <f>IF(AND($K116&gt;=BM$12,$K116&lt;BM$11),$Q116,"")</f>
        <v/>
      </c>
      <c r="BN79" s="1459" t="str">
        <f>IF(AND($K116&gt;=BN$12,$K116&lt;BN$11),$Q116,"")</f>
        <v/>
      </c>
      <c r="BO79" s="1459" t="str">
        <f>IF(AND($K116&gt;=BO$12,$K116&lt;BO$11),$Q116,"")</f>
        <v/>
      </c>
      <c r="BP79" s="1459" t="str">
        <f>IF(AND($K116&gt;=BP$12,$K116&lt;BP$11),$Q116,"")</f>
        <v/>
      </c>
      <c r="BS79" s="1459" t="str">
        <f t="shared" si="39"/>
        <v/>
      </c>
      <c r="BT79" s="1459" t="str">
        <f t="shared" si="38"/>
        <v/>
      </c>
      <c r="BU79" s="1459" t="str">
        <f t="shared" si="36"/>
        <v/>
      </c>
      <c r="BV79" s="1459" t="str">
        <f t="shared" si="34"/>
        <v/>
      </c>
      <c r="BW79" s="1459"/>
      <c r="BX79" s="1380"/>
      <c r="BY79" s="1459" t="str">
        <f>IF(AND($K144&gt;=BY$12,$K144&lt;R$12),$Q144,"")</f>
        <v/>
      </c>
      <c r="BZ79" s="1459"/>
      <c r="CA79" s="1459"/>
      <c r="CB79" s="1459"/>
      <c r="CC79" s="1459"/>
      <c r="CD79" s="1458"/>
      <c r="CE79" s="1458"/>
      <c r="CF79" s="1443"/>
    </row>
    <row r="80" spans="1:84">
      <c r="B80" s="1423">
        <v>44074</v>
      </c>
      <c r="C80" s="1422"/>
      <c r="D80" s="1460">
        <v>418933</v>
      </c>
      <c r="E80" s="1460">
        <f>D80-D81</f>
        <v>529</v>
      </c>
      <c r="F80" s="1420">
        <v>43.34</v>
      </c>
      <c r="G80" s="1419">
        <f>(D80-D81)/F80</f>
        <v>12.205814490078449</v>
      </c>
      <c r="H80" s="1419">
        <f t="shared" ref="H80:H90" si="40">I80/E80</f>
        <v>0.83483931947069945</v>
      </c>
      <c r="I80" s="1418">
        <v>441.63</v>
      </c>
      <c r="J80" s="1462"/>
      <c r="K80" s="1423"/>
      <c r="L80" s="1421"/>
      <c r="M80" s="1421"/>
      <c r="N80" s="1420"/>
      <c r="O80" s="1420"/>
      <c r="P80" s="1419"/>
      <c r="Q80" s="1418"/>
      <c r="R80" s="1462"/>
      <c r="S80" s="1376"/>
      <c r="T80" s="1376"/>
      <c r="U80" s="1376"/>
      <c r="V80" s="1376"/>
      <c r="W80" s="1376"/>
      <c r="X80" s="1376"/>
      <c r="Y80" s="1376"/>
      <c r="Z80" s="1376"/>
      <c r="AA80" s="1376"/>
      <c r="AC80" s="1400" t="str">
        <f t="shared" si="24"/>
        <v/>
      </c>
      <c r="AD80" s="1399"/>
      <c r="AE80" s="1399"/>
      <c r="AF80" s="1399"/>
      <c r="AG80" s="1399"/>
      <c r="AH80" s="1399"/>
      <c r="AI80" s="1399"/>
      <c r="AJ80" s="1399"/>
      <c r="AK80" s="1399"/>
      <c r="AL80" s="1399"/>
      <c r="AM80" s="1399"/>
      <c r="AN80" s="1399"/>
      <c r="AO80" s="1399"/>
      <c r="AP80" s="1399"/>
      <c r="AQ80" s="1399"/>
      <c r="AR80" s="1399"/>
      <c r="AS80" s="1399"/>
      <c r="AT80" s="1459"/>
      <c r="AU80" s="1459"/>
      <c r="AV80" s="1464">
        <f t="shared" ref="AV80:BB80" si="41">SUM(AV55:AV61)</f>
        <v>0</v>
      </c>
      <c r="AW80" s="1464">
        <f t="shared" si="41"/>
        <v>0</v>
      </c>
      <c r="AX80" s="1464">
        <f t="shared" si="41"/>
        <v>0</v>
      </c>
      <c r="AY80" s="1464">
        <f t="shared" si="41"/>
        <v>0</v>
      </c>
      <c r="AZ80" s="1464">
        <f t="shared" si="41"/>
        <v>0</v>
      </c>
      <c r="BA80" s="1464">
        <f t="shared" si="41"/>
        <v>0</v>
      </c>
      <c r="BB80" s="1464">
        <f t="shared" si="41"/>
        <v>0</v>
      </c>
      <c r="BC80" s="1463">
        <f>BC12+31</f>
        <v>43571</v>
      </c>
      <c r="BD80" s="1463">
        <f>BD12+31</f>
        <v>43543</v>
      </c>
      <c r="BE80" s="1463">
        <f>BE12+31</f>
        <v>43512</v>
      </c>
      <c r="BF80" s="1463">
        <f>BF12+31</f>
        <v>43481</v>
      </c>
      <c r="BG80" s="1463">
        <f>BG12+30</f>
        <v>43450</v>
      </c>
      <c r="BH80" s="1459" t="str">
        <f t="shared" ref="BH80:BJ82" si="42">IF(AND($K109&gt;=BH$12,$K109&lt;BH$11),$Q109,"")</f>
        <v/>
      </c>
      <c r="BI80" s="1459" t="str">
        <f t="shared" si="42"/>
        <v/>
      </c>
      <c r="BJ80" s="1459" t="str">
        <f t="shared" si="42"/>
        <v/>
      </c>
      <c r="BQ80" s="1459" t="str">
        <f>IF(AND($K121&gt;=BQ$12,$K121&lt;BQ$11),$Q121,"")</f>
        <v/>
      </c>
      <c r="BR80" s="1459" t="str">
        <f t="shared" ref="BR80:BR89" si="43">IF(AND($K125&gt;=BR$12,$K125&lt;BR$11),$Q125,"")</f>
        <v/>
      </c>
      <c r="BS80" s="1459" t="str">
        <f t="shared" si="39"/>
        <v/>
      </c>
      <c r="BT80" s="1459" t="str">
        <f t="shared" si="38"/>
        <v/>
      </c>
      <c r="BU80" s="1459" t="str">
        <f t="shared" si="36"/>
        <v/>
      </c>
      <c r="BV80" s="1459"/>
      <c r="BW80" s="1459"/>
      <c r="BX80" s="1459" t="str">
        <f>IF(AND($K142&gt;=BX$12,$K142&lt;Q$12),$Q142,"")</f>
        <v/>
      </c>
      <c r="BY80" s="1380"/>
      <c r="BZ80" s="1380"/>
      <c r="CA80" s="1459"/>
      <c r="CB80" s="1459"/>
      <c r="CC80" s="1459"/>
      <c r="CD80" s="1458"/>
      <c r="CE80" s="1443"/>
      <c r="CF80" s="1443"/>
    </row>
    <row r="81" spans="1:84">
      <c r="B81" s="1423">
        <v>44048</v>
      </c>
      <c r="C81" s="1422"/>
      <c r="D81" s="1460">
        <v>418404</v>
      </c>
      <c r="E81" s="1460">
        <f>D81-D82</f>
        <v>472</v>
      </c>
      <c r="F81" s="1420">
        <v>40.61</v>
      </c>
      <c r="G81" s="1419">
        <f>(D81-D82)/F81</f>
        <v>11.6227530164984</v>
      </c>
      <c r="H81" s="1419">
        <f t="shared" si="40"/>
        <v>0.8509110169491525</v>
      </c>
      <c r="I81" s="1418">
        <v>401.63</v>
      </c>
      <c r="J81" s="1462"/>
      <c r="K81" s="1423"/>
      <c r="L81" s="1421"/>
      <c r="M81" s="1421"/>
      <c r="N81" s="1420"/>
      <c r="O81" s="1420"/>
      <c r="P81" s="1419"/>
      <c r="Q81" s="1418"/>
      <c r="R81" s="1462"/>
      <c r="S81" s="1376"/>
      <c r="T81" s="1376"/>
      <c r="U81" s="1376"/>
      <c r="V81" s="1376"/>
      <c r="W81" s="1376"/>
      <c r="X81" s="1376"/>
      <c r="Y81" s="1376"/>
      <c r="Z81" s="1376"/>
      <c r="AA81" s="1376"/>
      <c r="AC81" s="1400" t="str">
        <f t="shared" si="24"/>
        <v/>
      </c>
      <c r="AD81" s="1399"/>
      <c r="AE81" s="1399"/>
      <c r="AF81" s="1399"/>
      <c r="AG81" s="1399"/>
      <c r="AH81" s="1399"/>
      <c r="AI81" s="1399"/>
      <c r="AJ81" s="1399"/>
      <c r="AK81" s="1399"/>
      <c r="AL81" s="1399"/>
      <c r="AM81" s="1399"/>
      <c r="AN81" s="1399"/>
      <c r="AO81" s="1399"/>
      <c r="AP81" s="1399"/>
      <c r="AQ81" s="1399"/>
      <c r="AR81" s="1399"/>
      <c r="AS81" s="1399"/>
      <c r="AT81" s="1459"/>
      <c r="AU81" s="1459"/>
      <c r="BC81" s="1459" t="str">
        <f>IF(AND($K107&gt;=BC$12,$K107&lt;BC$11),$Q107,"")</f>
        <v/>
      </c>
      <c r="BD81" s="1459" t="str">
        <f>IF(AND($K107&gt;=BD$12,$K107&lt;BD$11),$Q107,"")</f>
        <v/>
      </c>
      <c r="BE81" s="1459" t="str">
        <f>IF(AND($K107&gt;=BE$12,$K107&lt;BE$11),$Q107,"")</f>
        <v/>
      </c>
      <c r="BF81" s="1459" t="str">
        <f>IF(AND($K107&gt;=BF$12,$K107&lt;BF$11),$Q107,"")</f>
        <v/>
      </c>
      <c r="BG81" s="1459" t="str">
        <f>IF(AND($K107&gt;=BG$12,$K107&lt;BG$11),$Q107,"")</f>
        <v/>
      </c>
      <c r="BH81" s="1459" t="str">
        <f t="shared" si="42"/>
        <v/>
      </c>
      <c r="BI81" s="1459" t="str">
        <f t="shared" si="42"/>
        <v/>
      </c>
      <c r="BJ81" s="1459" t="str">
        <f t="shared" si="42"/>
        <v/>
      </c>
      <c r="BK81" s="1459"/>
      <c r="BL81" s="1459"/>
      <c r="BM81" s="1459" t="str">
        <f t="shared" ref="BM81:BP82" si="44">IF(AND($K118&gt;=BM$12,$K118&lt;BM$11),$Q118,"")</f>
        <v/>
      </c>
      <c r="BN81" s="1459" t="str">
        <f t="shared" si="44"/>
        <v/>
      </c>
      <c r="BO81" s="1459" t="str">
        <f t="shared" si="44"/>
        <v/>
      </c>
      <c r="BP81" s="1459" t="str">
        <f t="shared" si="44"/>
        <v/>
      </c>
      <c r="BR81" s="1459" t="str">
        <f t="shared" si="43"/>
        <v/>
      </c>
      <c r="BS81" s="1459" t="str">
        <f t="shared" si="39"/>
        <v/>
      </c>
      <c r="BT81" s="1459" t="str">
        <f t="shared" si="38"/>
        <v/>
      </c>
      <c r="BU81" s="1459" t="str">
        <f t="shared" si="36"/>
        <v/>
      </c>
      <c r="BV81" s="1459"/>
      <c r="BW81" s="1459"/>
      <c r="BX81" s="1459" t="str">
        <f>IF(AND($K144&gt;=BX$12,$K144&lt;Q$12),$Q144,"")</f>
        <v/>
      </c>
      <c r="BY81" s="1380"/>
      <c r="BZ81" s="1459"/>
      <c r="CA81" s="1459"/>
      <c r="CB81" s="1459"/>
      <c r="CC81" s="1458"/>
      <c r="CD81" s="1443"/>
      <c r="CE81" s="1443"/>
      <c r="CF81" s="1442"/>
    </row>
    <row r="82" spans="1:84">
      <c r="B82" s="1423">
        <v>44030</v>
      </c>
      <c r="C82" s="1422"/>
      <c r="D82" s="1460">
        <v>417932</v>
      </c>
      <c r="E82" s="1460">
        <f>D82-D83</f>
        <v>373</v>
      </c>
      <c r="F82" s="1420">
        <v>33.520000000000003</v>
      </c>
      <c r="G82" s="1419">
        <f>(D82-D83)/F82</f>
        <v>11.127684964200476</v>
      </c>
      <c r="H82" s="1419">
        <f t="shared" si="40"/>
        <v>0.89774798927613941</v>
      </c>
      <c r="I82" s="1418">
        <v>334.86</v>
      </c>
      <c r="J82" s="1462"/>
      <c r="K82" s="1423"/>
      <c r="L82" s="1421"/>
      <c r="M82" s="1421"/>
      <c r="N82" s="1420"/>
      <c r="O82" s="1420"/>
      <c r="P82" s="1419"/>
      <c r="Q82" s="1418"/>
      <c r="R82" s="1462"/>
      <c r="S82" s="1376"/>
      <c r="T82" s="1376"/>
      <c r="U82" s="1376"/>
      <c r="V82" s="1376"/>
      <c r="W82" s="1376"/>
      <c r="X82" s="1376"/>
      <c r="Y82" s="1376"/>
      <c r="Z82" s="1376"/>
      <c r="AA82" s="1376"/>
      <c r="AC82" s="1400" t="str">
        <f t="shared" si="24"/>
        <v/>
      </c>
      <c r="AD82" s="1399"/>
      <c r="AE82" s="1399"/>
      <c r="AF82" s="1399"/>
      <c r="AG82" s="1399"/>
      <c r="AH82" s="1399"/>
      <c r="AI82" s="1399"/>
      <c r="AJ82" s="1399"/>
      <c r="AK82" s="1399"/>
      <c r="AL82" s="1399"/>
      <c r="AM82" s="1399"/>
      <c r="AN82" s="1399"/>
      <c r="AO82" s="1399"/>
      <c r="AP82" s="1399"/>
      <c r="AQ82" s="1399"/>
      <c r="AR82" s="1399"/>
      <c r="AS82" s="1399"/>
      <c r="AT82" s="1459"/>
      <c r="AU82" s="1459"/>
      <c r="AV82" s="1463">
        <f t="shared" ref="AV82:BB82" si="45">AV12+31</f>
        <v>43785</v>
      </c>
      <c r="AW82" s="1463">
        <f t="shared" si="45"/>
        <v>43755</v>
      </c>
      <c r="AX82" s="1463">
        <f t="shared" si="45"/>
        <v>43724</v>
      </c>
      <c r="AY82" s="1463">
        <f t="shared" si="45"/>
        <v>43693</v>
      </c>
      <c r="AZ82" s="1463">
        <f t="shared" si="45"/>
        <v>43663</v>
      </c>
      <c r="BA82" s="1463">
        <f t="shared" si="45"/>
        <v>43632</v>
      </c>
      <c r="BB82" s="1463">
        <f t="shared" si="45"/>
        <v>43602</v>
      </c>
      <c r="BH82" s="1459" t="str">
        <f t="shared" si="42"/>
        <v/>
      </c>
      <c r="BI82" s="1459" t="str">
        <f t="shared" si="42"/>
        <v/>
      </c>
      <c r="BJ82" s="1459" t="str">
        <f t="shared" si="42"/>
        <v/>
      </c>
      <c r="BK82" s="1459" t="str">
        <f>IF(AND($K116&gt;=BK$12,$K116&lt;BK$11),$Q116,"")</f>
        <v/>
      </c>
      <c r="BL82" s="1459" t="str">
        <f>IF(AND($K116&gt;=BL$12,$K116&lt;BL$11),$Q116,"")</f>
        <v/>
      </c>
      <c r="BM82" s="1459" t="str">
        <f t="shared" si="44"/>
        <v/>
      </c>
      <c r="BN82" s="1459" t="str">
        <f t="shared" si="44"/>
        <v/>
      </c>
      <c r="BO82" s="1459" t="str">
        <f t="shared" si="44"/>
        <v/>
      </c>
      <c r="BP82" s="1459" t="str">
        <f t="shared" si="44"/>
        <v/>
      </c>
      <c r="BQ82" s="1459" t="str">
        <f>IF(AND($K123&gt;=BQ$12,$K123&lt;BQ$11),$Q123,"")</f>
        <v/>
      </c>
      <c r="BR82" s="1459" t="str">
        <f t="shared" si="43"/>
        <v/>
      </c>
      <c r="BS82" s="1459" t="str">
        <f t="shared" si="39"/>
        <v/>
      </c>
      <c r="BT82" s="1459" t="str">
        <f t="shared" si="38"/>
        <v/>
      </c>
      <c r="BU82" s="1459"/>
      <c r="BV82" s="1459"/>
      <c r="BW82" s="1459" t="str">
        <f>IF(AND($K139&gt;=BX$12,$K139&lt;Q$12),$Q139,"")</f>
        <v/>
      </c>
      <c r="BX82" s="1380"/>
      <c r="BY82" s="1459"/>
      <c r="BZ82" s="1459"/>
      <c r="CA82" s="1459"/>
      <c r="CB82" s="1459"/>
      <c r="CC82" s="1458"/>
      <c r="CD82" s="1443"/>
      <c r="CE82" s="1443"/>
      <c r="CF82" s="1442"/>
    </row>
    <row r="83" spans="1:84">
      <c r="B83" s="1423">
        <v>44008</v>
      </c>
      <c r="C83" s="1422"/>
      <c r="D83" s="1460">
        <v>417559</v>
      </c>
      <c r="E83" s="1460">
        <f>D83-D84</f>
        <v>505</v>
      </c>
      <c r="F83" s="1420">
        <v>40.96</v>
      </c>
      <c r="G83" s="1419">
        <f>(D83-D84)/F83</f>
        <v>12.3291015625</v>
      </c>
      <c r="H83" s="1419">
        <f t="shared" si="40"/>
        <v>0.80215841584158409</v>
      </c>
      <c r="I83" s="1418">
        <v>405.09</v>
      </c>
      <c r="J83" s="1462"/>
      <c r="K83" s="1423"/>
      <c r="L83" s="1421"/>
      <c r="M83" s="1421"/>
      <c r="N83" s="1420"/>
      <c r="O83" s="1420"/>
      <c r="P83" s="1419"/>
      <c r="Q83" s="1418"/>
      <c r="R83" s="1462"/>
      <c r="S83" s="1376"/>
      <c r="T83" s="1376"/>
      <c r="U83" s="1376"/>
      <c r="V83" s="1376"/>
      <c r="W83" s="1376"/>
      <c r="X83" s="1376"/>
      <c r="Y83" s="1376"/>
      <c r="Z83" s="1376"/>
      <c r="AA83" s="1376"/>
      <c r="AC83" s="1400" t="str">
        <f t="shared" si="24"/>
        <v/>
      </c>
      <c r="AD83" s="1399"/>
      <c r="AE83" s="1399"/>
      <c r="AF83" s="1399"/>
      <c r="AG83" s="1399"/>
      <c r="AH83" s="1399"/>
      <c r="AI83" s="1399"/>
      <c r="AJ83" s="1399"/>
      <c r="AK83" s="1399"/>
      <c r="AL83" s="1399"/>
      <c r="AM83" s="1399"/>
      <c r="AN83" s="1399"/>
      <c r="AO83" s="1399"/>
      <c r="AP83" s="1399"/>
      <c r="AQ83" s="1399"/>
      <c r="AR83" s="1399"/>
      <c r="AS83" s="1399"/>
      <c r="AT83" s="1459"/>
      <c r="AU83" s="1459"/>
      <c r="AV83" s="1459" t="str">
        <f t="shared" ref="AV83:BB83" si="46">IF(AND($K107&gt;=AV$12,$K107&lt;AV$11),$Q107,"")</f>
        <v/>
      </c>
      <c r="AW83" s="1459" t="str">
        <f t="shared" si="46"/>
        <v/>
      </c>
      <c r="AX83" s="1459" t="str">
        <f t="shared" si="46"/>
        <v/>
      </c>
      <c r="AY83" s="1459" t="str">
        <f t="shared" si="46"/>
        <v/>
      </c>
      <c r="AZ83" s="1459" t="str">
        <f t="shared" si="46"/>
        <v/>
      </c>
      <c r="BA83" s="1459" t="str">
        <f t="shared" si="46"/>
        <v/>
      </c>
      <c r="BB83" s="1459" t="str">
        <f t="shared" si="46"/>
        <v/>
      </c>
      <c r="BC83" s="1459" t="str">
        <f t="shared" ref="BC83:BG85" si="47">IF(AND($K109&gt;=BC$12,$K109&lt;BC$11),$Q109,"")</f>
        <v/>
      </c>
      <c r="BD83" s="1459" t="str">
        <f t="shared" si="47"/>
        <v/>
      </c>
      <c r="BE83" s="1459" t="str">
        <f t="shared" si="47"/>
        <v/>
      </c>
      <c r="BF83" s="1459" t="str">
        <f t="shared" si="47"/>
        <v/>
      </c>
      <c r="BG83" s="1459" t="str">
        <f t="shared" si="47"/>
        <v/>
      </c>
      <c r="BR83" s="1459" t="str">
        <f t="shared" si="43"/>
        <v/>
      </c>
      <c r="BS83" s="1459" t="str">
        <f t="shared" si="39"/>
        <v/>
      </c>
      <c r="BT83" s="1459" t="str">
        <f t="shared" si="38"/>
        <v/>
      </c>
      <c r="BU83" s="1459"/>
      <c r="BV83" s="1459"/>
      <c r="BW83" s="1380"/>
      <c r="BX83" s="1380"/>
      <c r="BY83" s="1380"/>
      <c r="BZ83" s="1459"/>
      <c r="CA83" s="1459"/>
      <c r="CB83" s="1458"/>
      <c r="CC83" s="1458"/>
      <c r="CD83" s="1443"/>
      <c r="CE83" s="1442"/>
      <c r="CF83" s="1379"/>
    </row>
    <row r="84" spans="1:84">
      <c r="B84" s="1423">
        <v>43989</v>
      </c>
      <c r="C84" s="1422"/>
      <c r="D84" s="1460">
        <v>417054</v>
      </c>
      <c r="E84" s="1460">
        <v>503</v>
      </c>
      <c r="F84" s="1420">
        <v>44.49</v>
      </c>
      <c r="G84" s="1419">
        <f>500/F84</f>
        <v>11.238480557428636</v>
      </c>
      <c r="H84" s="1419">
        <f t="shared" si="40"/>
        <v>0.84823061630218688</v>
      </c>
      <c r="I84" s="1418">
        <v>426.66</v>
      </c>
      <c r="J84" s="1462"/>
      <c r="K84" s="1423"/>
      <c r="L84" s="1421"/>
      <c r="M84" s="1421"/>
      <c r="N84" s="1420"/>
      <c r="O84" s="1420"/>
      <c r="P84" s="1419"/>
      <c r="Q84" s="1418"/>
      <c r="R84" s="1462"/>
      <c r="S84" s="1376"/>
      <c r="T84" s="1376"/>
      <c r="U84" s="1376"/>
      <c r="V84" s="1376"/>
      <c r="W84" s="1376"/>
      <c r="X84" s="1376"/>
      <c r="Y84" s="1376"/>
      <c r="Z84" s="1376"/>
      <c r="AA84" s="1376"/>
      <c r="AC84" s="1400" t="str">
        <f t="shared" si="24"/>
        <v/>
      </c>
      <c r="AD84" s="1399"/>
      <c r="AE84" s="1399"/>
      <c r="AF84" s="1399"/>
      <c r="AG84" s="1399"/>
      <c r="AH84" s="1399"/>
      <c r="AI84" s="1399"/>
      <c r="AJ84" s="1399"/>
      <c r="AK84" s="1399"/>
      <c r="AL84" s="1399"/>
      <c r="AM84" s="1399"/>
      <c r="AN84" s="1399"/>
      <c r="AO84" s="1399"/>
      <c r="AP84" s="1399"/>
      <c r="AQ84" s="1399"/>
      <c r="AR84" s="1399"/>
      <c r="AS84" s="1399"/>
      <c r="AT84" s="1459"/>
      <c r="AU84" s="1459"/>
      <c r="BC84" s="1459" t="str">
        <f t="shared" si="47"/>
        <v/>
      </c>
      <c r="BD84" s="1459" t="str">
        <f t="shared" si="47"/>
        <v/>
      </c>
      <c r="BE84" s="1459" t="str">
        <f t="shared" si="47"/>
        <v/>
      </c>
      <c r="BF84" s="1459" t="str">
        <f t="shared" si="47"/>
        <v/>
      </c>
      <c r="BG84" s="1459" t="str">
        <f t="shared" si="47"/>
        <v/>
      </c>
      <c r="BH84" s="1459"/>
      <c r="BI84" s="1459"/>
      <c r="BJ84" s="1459"/>
      <c r="BK84" s="1459" t="str">
        <f>IF(AND($K118&gt;=BK$12,$K118&lt;BK$11),$Q118,"")</f>
        <v/>
      </c>
      <c r="BL84" s="1459" t="str">
        <f>IF(AND($K118&gt;=BL$12,$K118&lt;BL$11),$Q118,"")</f>
        <v/>
      </c>
      <c r="BM84" s="1459" t="str">
        <f>IF(AND($K121&gt;=BM$12,$K121&lt;BM$11),$Q121,"")</f>
        <v/>
      </c>
      <c r="BN84" s="1459" t="str">
        <f>IF(AND($K121&gt;=BN$12,$K121&lt;BN$11),$Q121,"")</f>
        <v/>
      </c>
      <c r="BO84" s="1459" t="str">
        <f>IF(AND($K121&gt;=BO$12,$K121&lt;BO$11),$Q121,"")</f>
        <v/>
      </c>
      <c r="BP84" s="1459" t="str">
        <f>IF(AND($K121&gt;=BP$12,$K121&lt;BP$11),$Q121,"")</f>
        <v/>
      </c>
      <c r="BQ84" s="1459" t="str">
        <f t="shared" ref="BQ84:BQ93" si="48">IF(AND($K125&gt;=BQ$12,$K125&lt;BQ$11),$Q125,"")</f>
        <v/>
      </c>
      <c r="BR84" s="1459" t="str">
        <f t="shared" si="43"/>
        <v/>
      </c>
      <c r="BS84" s="1459" t="str">
        <f t="shared" si="39"/>
        <v/>
      </c>
      <c r="BT84" s="1459" t="str">
        <f t="shared" si="38"/>
        <v/>
      </c>
      <c r="BU84" s="1459"/>
      <c r="BV84" s="1459" t="str">
        <f>IF(AND($K139&gt;=BW$12,$K139&lt;K$12),$Q139,"")</f>
        <v/>
      </c>
      <c r="BW84" s="1459" t="str">
        <f>IF(AND($K141&gt;=BW$12,$K141&lt;K$12),$Q141,"")</f>
        <v/>
      </c>
      <c r="BX84" s="1459"/>
      <c r="BY84" s="1459"/>
      <c r="BZ84" s="1459"/>
      <c r="CA84" s="1459"/>
      <c r="CB84" s="1458"/>
      <c r="CC84" s="1443"/>
      <c r="CD84" s="1442"/>
      <c r="CE84" s="1442"/>
      <c r="CF84" s="1453"/>
    </row>
    <row r="85" spans="1:84">
      <c r="B85" s="1423">
        <v>43956</v>
      </c>
      <c r="C85" s="1422"/>
      <c r="D85" s="1454"/>
      <c r="E85" s="1460">
        <v>503</v>
      </c>
      <c r="F85" s="1420">
        <v>43.17</v>
      </c>
      <c r="G85" s="1419">
        <f t="shared" ref="G85:G90" si="49">E85/F85</f>
        <v>11.651609914292333</v>
      </c>
      <c r="H85" s="1419">
        <f t="shared" si="40"/>
        <v>0.75439363817097416</v>
      </c>
      <c r="I85" s="1418">
        <v>379.46</v>
      </c>
      <c r="J85" s="1462"/>
      <c r="K85" s="1423"/>
      <c r="L85" s="1421"/>
      <c r="M85" s="1421"/>
      <c r="N85" s="1420"/>
      <c r="O85" s="1420"/>
      <c r="P85" s="1419"/>
      <c r="Q85" s="1418"/>
      <c r="R85" s="1462"/>
      <c r="S85" s="1376"/>
      <c r="T85" s="1376"/>
      <c r="U85" s="1376"/>
      <c r="V85" s="1376"/>
      <c r="W85" s="1376"/>
      <c r="X85" s="1376"/>
      <c r="Y85" s="1376"/>
      <c r="Z85" s="1376"/>
      <c r="AA85" s="1376"/>
      <c r="AC85" s="1400" t="str">
        <f t="shared" si="24"/>
        <v/>
      </c>
      <c r="AD85" s="1399"/>
      <c r="AE85" s="1399"/>
      <c r="AF85" s="1399"/>
      <c r="AG85" s="1399"/>
      <c r="AH85" s="1399"/>
      <c r="AI85" s="1399"/>
      <c r="AJ85" s="1399"/>
      <c r="AK85" s="1399"/>
      <c r="AL85" s="1399"/>
      <c r="AM85" s="1399"/>
      <c r="AN85" s="1399"/>
      <c r="AO85" s="1399"/>
      <c r="AP85" s="1399"/>
      <c r="AQ85" s="1399"/>
      <c r="AR85" s="1399"/>
      <c r="AS85" s="1399"/>
      <c r="AT85" s="1464"/>
      <c r="AU85" s="1464"/>
      <c r="AV85" s="1459" t="str">
        <f t="shared" ref="AV85:BB87" si="50">IF(AND($K109&gt;=AV$12,$K109&lt;AV$11),$Q109,"")</f>
        <v/>
      </c>
      <c r="AW85" s="1459" t="str">
        <f t="shared" si="50"/>
        <v/>
      </c>
      <c r="AX85" s="1459" t="str">
        <f t="shared" si="50"/>
        <v/>
      </c>
      <c r="AY85" s="1459" t="str">
        <f t="shared" si="50"/>
        <v/>
      </c>
      <c r="AZ85" s="1459" t="str">
        <f t="shared" si="50"/>
        <v/>
      </c>
      <c r="BA85" s="1459" t="str">
        <f t="shared" si="50"/>
        <v/>
      </c>
      <c r="BB85" s="1459" t="str">
        <f t="shared" si="50"/>
        <v/>
      </c>
      <c r="BC85" s="1459" t="str">
        <f t="shared" si="47"/>
        <v/>
      </c>
      <c r="BD85" s="1459" t="str">
        <f t="shared" si="47"/>
        <v/>
      </c>
      <c r="BE85" s="1459" t="str">
        <f t="shared" si="47"/>
        <v/>
      </c>
      <c r="BF85" s="1459" t="str">
        <f t="shared" si="47"/>
        <v/>
      </c>
      <c r="BG85" s="1459" t="str">
        <f t="shared" si="47"/>
        <v/>
      </c>
      <c r="BK85" s="1459" t="str">
        <f>IF(AND($K119&gt;=BK$12,$K119&lt;BK$11),$Q119,"")</f>
        <v/>
      </c>
      <c r="BL85" s="1459" t="str">
        <f>IF(AND($K119&gt;=BL$12,$K119&lt;BL$11),$Q119,"")</f>
        <v/>
      </c>
      <c r="BQ85" s="1459" t="str">
        <f t="shared" si="48"/>
        <v/>
      </c>
      <c r="BR85" s="1459" t="str">
        <f t="shared" si="43"/>
        <v/>
      </c>
      <c r="BS85" s="1459" t="str">
        <f t="shared" si="39"/>
        <v/>
      </c>
      <c r="BT85" s="1459"/>
      <c r="BU85" s="1459"/>
      <c r="BV85" s="1380"/>
      <c r="BW85" s="1459" t="str">
        <f>IF(AND($K142&gt;=BW$12,$K142&lt;K$12),$Q142,"")</f>
        <v/>
      </c>
      <c r="BX85" s="1380"/>
      <c r="BY85" s="1459"/>
      <c r="BZ85" s="1459"/>
      <c r="CA85" s="1459"/>
      <c r="CB85" s="1458"/>
      <c r="CC85" s="1443"/>
      <c r="CD85" s="1442"/>
      <c r="CE85" s="1379"/>
      <c r="CF85" s="1453"/>
    </row>
    <row r="86" spans="1:84">
      <c r="B86" s="1423">
        <v>43937</v>
      </c>
      <c r="C86" s="1422"/>
      <c r="D86" s="1454"/>
      <c r="E86" s="1460">
        <v>200</v>
      </c>
      <c r="F86" s="1420">
        <v>17.88</v>
      </c>
      <c r="G86" s="1419">
        <f t="shared" si="49"/>
        <v>11.185682326621924</v>
      </c>
      <c r="H86" s="1419">
        <f t="shared" si="40"/>
        <v>0.78584999999999994</v>
      </c>
      <c r="I86" s="1418">
        <v>157.16999999999999</v>
      </c>
      <c r="J86" s="1462"/>
      <c r="K86" s="1423"/>
      <c r="L86" s="1421"/>
      <c r="M86" s="1421"/>
      <c r="N86" s="1420"/>
      <c r="O86" s="1420"/>
      <c r="P86" s="1419"/>
      <c r="Q86" s="1418"/>
      <c r="R86" s="1462"/>
      <c r="S86" s="1376"/>
      <c r="T86" s="1376"/>
      <c r="U86" s="1376"/>
      <c r="V86" s="1376"/>
      <c r="W86" s="1376"/>
      <c r="X86" s="1376"/>
      <c r="Y86" s="1376"/>
      <c r="Z86" s="1376"/>
      <c r="AA86" s="1376"/>
      <c r="AC86" s="1400" t="str">
        <f t="shared" si="24"/>
        <v/>
      </c>
      <c r="AD86" s="1399"/>
      <c r="AE86" s="1399"/>
      <c r="AF86" s="1399"/>
      <c r="AG86" s="1399"/>
      <c r="AH86" s="1399"/>
      <c r="AI86" s="1399"/>
      <c r="AJ86" s="1399"/>
      <c r="AK86" s="1399"/>
      <c r="AL86" s="1399"/>
      <c r="AM86" s="1399"/>
      <c r="AN86" s="1399"/>
      <c r="AO86" s="1399"/>
      <c r="AP86" s="1399"/>
      <c r="AQ86" s="1399"/>
      <c r="AR86" s="1399"/>
      <c r="AS86" s="1399"/>
      <c r="AV86" s="1459" t="str">
        <f t="shared" si="50"/>
        <v/>
      </c>
      <c r="AW86" s="1459" t="str">
        <f t="shared" si="50"/>
        <v/>
      </c>
      <c r="AX86" s="1459" t="str">
        <f t="shared" si="50"/>
        <v/>
      </c>
      <c r="AY86" s="1459" t="str">
        <f t="shared" si="50"/>
        <v/>
      </c>
      <c r="AZ86" s="1459" t="str">
        <f t="shared" si="50"/>
        <v/>
      </c>
      <c r="BA86" s="1459" t="str">
        <f t="shared" si="50"/>
        <v/>
      </c>
      <c r="BB86" s="1459" t="str">
        <f t="shared" si="50"/>
        <v/>
      </c>
      <c r="BH86" s="1459"/>
      <c r="BI86" s="1459"/>
      <c r="BJ86" s="1459"/>
      <c r="BM86" s="1459" t="str">
        <f>IF(AND($K123&gt;=BM$12,$K123&lt;BM$11),$Q123,"")</f>
        <v/>
      </c>
      <c r="BN86" s="1459" t="str">
        <f>IF(AND($K123&gt;=BN$12,$K123&lt;BN$11),$Q123,"")</f>
        <v/>
      </c>
      <c r="BO86" s="1459" t="str">
        <f>IF(AND($K123&gt;=BO$12,$K123&lt;BO$11),$Q123,"")</f>
        <v/>
      </c>
      <c r="BP86" s="1459" t="str">
        <f>IF(AND($K123&gt;=BP$12,$K123&lt;BP$11),$Q123,"")</f>
        <v/>
      </c>
      <c r="BQ86" s="1459" t="str">
        <f t="shared" si="48"/>
        <v/>
      </c>
      <c r="BR86" s="1459" t="str">
        <f t="shared" si="43"/>
        <v/>
      </c>
      <c r="BS86" s="1459" t="str">
        <f t="shared" si="39"/>
        <v/>
      </c>
      <c r="BT86" s="1459"/>
      <c r="BU86" s="1459" t="e">
        <f>IF(AND($K139&gt;=BV$12,$K139&lt;#REF!),$Q139,"")</f>
        <v>#REF!</v>
      </c>
      <c r="BV86" s="1459" t="e">
        <f>IF(AND($K141&gt;=BV$12,$K141&lt;#REF!),$Q141,"")</f>
        <v>#REF!</v>
      </c>
      <c r="BW86" s="1459" t="str">
        <f>IF(AND($K144&gt;=BW$12,$K144&lt;K$12),$Q144,"")</f>
        <v/>
      </c>
      <c r="BX86" s="1459"/>
      <c r="BY86" s="1459"/>
      <c r="BZ86" s="1459"/>
      <c r="CA86" s="1458"/>
      <c r="CB86" s="1443"/>
      <c r="CC86" s="1443"/>
      <c r="CD86" s="1379"/>
      <c r="CE86" s="1453"/>
    </row>
    <row r="87" spans="1:84">
      <c r="B87" s="1423">
        <v>43922</v>
      </c>
      <c r="C87" s="1422"/>
      <c r="D87" s="1454"/>
      <c r="E87" s="1460">
        <v>160</v>
      </c>
      <c r="F87" s="1420">
        <v>14.2</v>
      </c>
      <c r="G87" s="1419">
        <f t="shared" si="49"/>
        <v>11.267605633802818</v>
      </c>
      <c r="H87" s="1419">
        <f t="shared" si="40"/>
        <v>0.78899999999999992</v>
      </c>
      <c r="I87" s="1418">
        <v>126.24</v>
      </c>
      <c r="J87" s="1462"/>
      <c r="K87" s="1423"/>
      <c r="L87" s="1421"/>
      <c r="M87" s="1421"/>
      <c r="N87" s="1420"/>
      <c r="O87" s="1420"/>
      <c r="P87" s="1419"/>
      <c r="Q87" s="1418"/>
      <c r="R87" s="1462"/>
      <c r="S87" s="1376"/>
      <c r="T87" s="1376"/>
      <c r="U87" s="1376"/>
      <c r="V87" s="1376"/>
      <c r="W87" s="1376"/>
      <c r="X87" s="1376"/>
      <c r="Y87" s="1376"/>
      <c r="Z87" s="1376"/>
      <c r="AA87" s="1376"/>
      <c r="AC87" s="1400" t="str">
        <f t="shared" ref="AC87:AC118" si="51">IF(K94&gt;0,K94,"")</f>
        <v/>
      </c>
      <c r="AD87" s="1399"/>
      <c r="AE87" s="1399"/>
      <c r="AF87" s="1399"/>
      <c r="AG87" s="1399"/>
      <c r="AH87" s="1399"/>
      <c r="AI87" s="1399"/>
      <c r="AJ87" s="1399"/>
      <c r="AK87" s="1399"/>
      <c r="AL87" s="1399"/>
      <c r="AM87" s="1399"/>
      <c r="AN87" s="1399"/>
      <c r="AO87" s="1399"/>
      <c r="AP87" s="1399"/>
      <c r="AQ87" s="1399"/>
      <c r="AR87" s="1399"/>
      <c r="AS87" s="1399"/>
      <c r="AT87" s="1463"/>
      <c r="AU87" s="1463"/>
      <c r="AV87" s="1459" t="str">
        <f t="shared" si="50"/>
        <v/>
      </c>
      <c r="AW87" s="1459" t="str">
        <f t="shared" si="50"/>
        <v/>
      </c>
      <c r="AX87" s="1459" t="str">
        <f t="shared" si="50"/>
        <v/>
      </c>
      <c r="AY87" s="1459" t="str">
        <f t="shared" si="50"/>
        <v/>
      </c>
      <c r="AZ87" s="1459" t="str">
        <f t="shared" si="50"/>
        <v/>
      </c>
      <c r="BA87" s="1459" t="str">
        <f t="shared" si="50"/>
        <v/>
      </c>
      <c r="BB87" s="1459" t="str">
        <f t="shared" si="50"/>
        <v/>
      </c>
      <c r="BC87" s="1459"/>
      <c r="BD87" s="1459"/>
      <c r="BE87" s="1459"/>
      <c r="BF87" s="1459"/>
      <c r="BG87" s="1459"/>
      <c r="BH87" s="1459" t="str">
        <f>IF(AND($K116&gt;=BH$12,$K116&lt;BH$11),$Q116,"")</f>
        <v/>
      </c>
      <c r="BI87" s="1459" t="str">
        <f>IF(AND($K116&gt;=BI$12,$K116&lt;BI$11),$Q116,"")</f>
        <v/>
      </c>
      <c r="BJ87" s="1459" t="str">
        <f>IF(AND($K116&gt;=BJ$12,$K116&lt;BJ$11),$Q116,"")</f>
        <v/>
      </c>
      <c r="BK87" s="1459" t="str">
        <f>IF(AND($K121&gt;=BK$12,$K121&lt;BK$11),$Q121,"")</f>
        <v/>
      </c>
      <c r="BL87" s="1459" t="str">
        <f>IF(AND($K121&gt;=BL$12,$K121&lt;BL$11),$Q121,"")</f>
        <v/>
      </c>
      <c r="BQ87" s="1459" t="str">
        <f t="shared" si="48"/>
        <v/>
      </c>
      <c r="BR87" s="1459" t="str">
        <f t="shared" si="43"/>
        <v/>
      </c>
      <c r="BS87" s="1459" t="str">
        <f t="shared" si="39"/>
        <v/>
      </c>
      <c r="BT87" s="1459"/>
      <c r="BU87" s="1380"/>
      <c r="BV87" s="1459" t="e">
        <f>IF(AND($K142&gt;=BV$12,$K142&lt;#REF!),$Q142,"")</f>
        <v>#REF!</v>
      </c>
      <c r="BW87" s="1459" t="str">
        <f>IF(AND($K145&gt;=BW$12,$K145&lt;K$12),$Q145,"")</f>
        <v/>
      </c>
      <c r="BX87" s="1459"/>
      <c r="BY87" s="1459"/>
      <c r="BZ87" s="1459"/>
      <c r="CA87" s="1458"/>
      <c r="CB87" s="1443"/>
      <c r="CC87" s="1442"/>
      <c r="CD87" s="1453"/>
      <c r="CE87" s="1453"/>
    </row>
    <row r="88" spans="1:84">
      <c r="B88" s="1423">
        <v>43907</v>
      </c>
      <c r="C88" s="1422"/>
      <c r="D88" s="1454"/>
      <c r="E88" s="1460">
        <v>363</v>
      </c>
      <c r="F88" s="1420">
        <v>33.700000000000003</v>
      </c>
      <c r="G88" s="1419">
        <f t="shared" si="49"/>
        <v>10.771513353115726</v>
      </c>
      <c r="H88" s="1419">
        <f t="shared" si="40"/>
        <v>0.88101928374655647</v>
      </c>
      <c r="I88" s="1418">
        <v>319.81</v>
      </c>
      <c r="J88" s="1462"/>
      <c r="K88" s="1423"/>
      <c r="L88" s="1421"/>
      <c r="M88" s="1421"/>
      <c r="N88" s="1420"/>
      <c r="O88" s="1420"/>
      <c r="P88" s="1419"/>
      <c r="Q88" s="1418"/>
      <c r="R88" s="1462"/>
      <c r="S88" s="1376"/>
      <c r="T88" s="1376"/>
      <c r="U88" s="1376"/>
      <c r="V88" s="1376"/>
      <c r="W88" s="1376"/>
      <c r="X88" s="1376"/>
      <c r="Y88" s="1376"/>
      <c r="Z88" s="1376"/>
      <c r="AA88" s="1376"/>
      <c r="AC88" s="1400" t="str">
        <f t="shared" si="51"/>
        <v/>
      </c>
      <c r="AD88" s="1399"/>
      <c r="AE88" s="1399"/>
      <c r="AF88" s="1399"/>
      <c r="AG88" s="1399"/>
      <c r="AH88" s="1399"/>
      <c r="AI88" s="1399"/>
      <c r="AJ88" s="1399"/>
      <c r="AK88" s="1399"/>
      <c r="AL88" s="1399"/>
      <c r="AM88" s="1399"/>
      <c r="AN88" s="1399"/>
      <c r="AO88" s="1399"/>
      <c r="AP88" s="1399"/>
      <c r="AQ88" s="1399"/>
      <c r="AR88" s="1399"/>
      <c r="AS88" s="1399"/>
      <c r="AT88" s="1459"/>
      <c r="AU88" s="1459"/>
      <c r="BM88" s="1459" t="str">
        <f t="shared" ref="BM88:BP97" si="52">IF(AND($K125&gt;=BM$12,$K125&lt;BM$11),$Q125,"")</f>
        <v/>
      </c>
      <c r="BN88" s="1459" t="str">
        <f t="shared" si="52"/>
        <v/>
      </c>
      <c r="BO88" s="1459" t="str">
        <f t="shared" si="52"/>
        <v/>
      </c>
      <c r="BP88" s="1459" t="str">
        <f t="shared" si="52"/>
        <v/>
      </c>
      <c r="BQ88" s="1459" t="str">
        <f t="shared" si="48"/>
        <v/>
      </c>
      <c r="BR88" s="1459" t="str">
        <f t="shared" si="43"/>
        <v/>
      </c>
      <c r="BS88" s="1459"/>
      <c r="BT88" s="1459"/>
      <c r="BU88" s="1459"/>
      <c r="BV88" s="1459" t="e">
        <f>IF(AND($K144&gt;=BV$12,$K144&lt;#REF!),$Q144,"")</f>
        <v>#REF!</v>
      </c>
      <c r="BW88" s="1459" t="str">
        <f>IF(AND($K146&gt;BW$12,$K146&lt;K$12),$Q146,"")</f>
        <v/>
      </c>
      <c r="BX88" s="1459"/>
      <c r="BY88" s="1459"/>
      <c r="BZ88" s="1458"/>
      <c r="CA88" s="1458"/>
      <c r="CB88" s="1443"/>
      <c r="CC88" s="1442"/>
      <c r="CD88" s="1453"/>
    </row>
    <row r="89" spans="1:84" ht="13.8">
      <c r="B89" s="1461">
        <v>43889</v>
      </c>
      <c r="C89" s="916"/>
      <c r="D89" s="1454"/>
      <c r="E89" s="1460">
        <v>244</v>
      </c>
      <c r="F89" s="1420">
        <v>18.329999999999998</v>
      </c>
      <c r="G89" s="1419">
        <f t="shared" si="49"/>
        <v>13.311511183851611</v>
      </c>
      <c r="H89" s="1419">
        <f t="shared" si="40"/>
        <v>0.75799180327868843</v>
      </c>
      <c r="I89" s="1418">
        <v>184.95</v>
      </c>
      <c r="J89" s="1425"/>
      <c r="K89" s="1423"/>
      <c r="L89" s="1421"/>
      <c r="M89" s="1421"/>
      <c r="N89" s="1420"/>
      <c r="O89" s="1420"/>
      <c r="P89" s="1419"/>
      <c r="Q89" s="1418"/>
      <c r="R89" s="1425"/>
      <c r="S89" s="1376"/>
      <c r="T89" s="1376"/>
      <c r="U89" s="1376"/>
      <c r="V89" s="1376"/>
      <c r="W89" s="1376"/>
      <c r="X89" s="1376"/>
      <c r="Y89" s="1376"/>
      <c r="Z89" s="1376"/>
      <c r="AA89" s="1376"/>
      <c r="AB89" s="1400"/>
      <c r="AC89" s="1400" t="str">
        <f t="shared" si="51"/>
        <v/>
      </c>
      <c r="AD89" s="1399"/>
      <c r="AE89" s="1399"/>
      <c r="AF89" s="1399"/>
      <c r="AG89" s="1399"/>
      <c r="AH89" s="1399"/>
      <c r="AI89" s="1399"/>
      <c r="AJ89" s="1399"/>
      <c r="AK89" s="1399"/>
      <c r="AL89" s="1399"/>
      <c r="AM89" s="1399"/>
      <c r="AN89" s="1399"/>
      <c r="AO89" s="1399"/>
      <c r="AP89" s="1399"/>
      <c r="AQ89" s="1399"/>
      <c r="AR89" s="1399"/>
      <c r="AS89" s="1399"/>
      <c r="AV89" s="1459"/>
      <c r="AW89" s="1459"/>
      <c r="AX89" s="1459"/>
      <c r="AY89" s="1459"/>
      <c r="AZ89" s="1459"/>
      <c r="BA89" s="1459"/>
      <c r="BB89" s="1459"/>
      <c r="BC89" s="1459"/>
      <c r="BD89" s="1459"/>
      <c r="BE89" s="1459"/>
      <c r="BF89" s="1459"/>
      <c r="BG89" s="1459"/>
      <c r="BH89" s="1459" t="str">
        <f t="shared" ref="BH89:BJ90" si="53">IF(AND($K118&gt;=BH$12,$K118&lt;BH$11),$Q118,"")</f>
        <v/>
      </c>
      <c r="BI89" s="1459" t="str">
        <f t="shared" si="53"/>
        <v/>
      </c>
      <c r="BJ89" s="1459" t="str">
        <f t="shared" si="53"/>
        <v/>
      </c>
      <c r="BK89" s="1459" t="str">
        <f>IF(AND($K123&gt;=BK$12,$K123&lt;BK$11),$Q123,"")</f>
        <v/>
      </c>
      <c r="BL89" s="1459" t="str">
        <f>IF(AND($K123&gt;=BL$12,$K123&lt;BL$11),$Q123,"")</f>
        <v/>
      </c>
      <c r="BM89" s="1459" t="str">
        <f t="shared" si="52"/>
        <v/>
      </c>
      <c r="BN89" s="1459" t="str">
        <f t="shared" si="52"/>
        <v/>
      </c>
      <c r="BO89" s="1459" t="str">
        <f t="shared" si="52"/>
        <v/>
      </c>
      <c r="BP89" s="1459" t="str">
        <f t="shared" si="52"/>
        <v/>
      </c>
      <c r="BQ89" s="1459" t="str">
        <f t="shared" si="48"/>
        <v/>
      </c>
      <c r="BR89" s="1459" t="str">
        <f t="shared" si="43"/>
        <v/>
      </c>
      <c r="BS89" s="1459"/>
      <c r="BT89" s="1459" t="str">
        <f>IF(AND($K139&gt;=BU$12,$K139&lt;A$12),$Q139,"")</f>
        <v/>
      </c>
      <c r="BU89" s="1459"/>
      <c r="BV89" s="1459" t="e">
        <f>IF(AND($K145&gt;=BV$12,$K145&lt;#REF!),$Q145,"")</f>
        <v>#REF!</v>
      </c>
      <c r="BW89" s="1459"/>
      <c r="BX89" s="1459"/>
      <c r="BY89" s="1459"/>
      <c r="BZ89" s="1458"/>
      <c r="CA89" s="1443"/>
      <c r="CB89" s="1442"/>
      <c r="CC89" s="1379"/>
    </row>
    <row r="90" spans="1:84" s="1380" customFormat="1" ht="13.8">
      <c r="A90" s="1379"/>
      <c r="B90" s="1461">
        <v>43882</v>
      </c>
      <c r="C90" s="916"/>
      <c r="D90" s="1454"/>
      <c r="E90" s="1460">
        <v>507</v>
      </c>
      <c r="F90" s="1420">
        <v>35.81</v>
      </c>
      <c r="G90" s="1419">
        <f t="shared" si="49"/>
        <v>14.158056408824351</v>
      </c>
      <c r="H90" s="1419">
        <f t="shared" si="40"/>
        <v>0.7338658777120316</v>
      </c>
      <c r="I90" s="1418">
        <v>372.07</v>
      </c>
      <c r="J90" s="1425"/>
      <c r="K90" s="1423"/>
      <c r="L90" s="1421"/>
      <c r="M90" s="1421"/>
      <c r="N90" s="1420"/>
      <c r="O90" s="1420"/>
      <c r="P90" s="1419"/>
      <c r="Q90" s="1418"/>
      <c r="R90" s="1425"/>
      <c r="S90" s="1376"/>
      <c r="T90" s="1376"/>
      <c r="U90" s="1376"/>
      <c r="V90" s="1376"/>
      <c r="W90" s="1376"/>
      <c r="X90" s="1376"/>
      <c r="Y90" s="1376"/>
      <c r="Z90" s="1376"/>
      <c r="AA90" s="1376"/>
      <c r="AB90" s="1400"/>
      <c r="AC90" s="1400" t="str">
        <f t="shared" si="51"/>
        <v/>
      </c>
      <c r="AD90" s="1399"/>
      <c r="AE90" s="1399"/>
      <c r="AF90" s="1399"/>
      <c r="AG90" s="1399"/>
      <c r="AH90" s="1399"/>
      <c r="AI90" s="1399"/>
      <c r="AJ90" s="1399"/>
      <c r="AK90" s="1399"/>
      <c r="AL90" s="1399"/>
      <c r="AM90" s="1399"/>
      <c r="AN90" s="1399"/>
      <c r="AO90" s="1399"/>
      <c r="AP90" s="1399"/>
      <c r="AQ90" s="1399"/>
      <c r="AR90" s="1399"/>
      <c r="AS90" s="1399"/>
      <c r="AT90" s="1459"/>
      <c r="AU90" s="1459"/>
      <c r="AV90" s="1377"/>
      <c r="AW90" s="1377"/>
      <c r="AX90" s="1377"/>
      <c r="AY90" s="1377"/>
      <c r="AZ90" s="1377"/>
      <c r="BA90" s="1377"/>
      <c r="BB90" s="1377"/>
      <c r="BC90" s="1459" t="str">
        <f>IF(AND($K116&gt;=BC$12,$K116&lt;BC$11),$Q116,"")</f>
        <v/>
      </c>
      <c r="BD90" s="1459" t="str">
        <f>IF(AND($K116&gt;=BD$12,$K116&lt;BD$11),$Q116,"")</f>
        <v/>
      </c>
      <c r="BE90" s="1459" t="str">
        <f>IF(AND($K116&gt;=BE$12,$K116&lt;BE$11),$Q116,"")</f>
        <v/>
      </c>
      <c r="BF90" s="1459" t="str">
        <f>IF(AND($K116&gt;=BF$12,$K116&lt;BF$11),$Q116,"")</f>
        <v/>
      </c>
      <c r="BG90" s="1459" t="str">
        <f>IF(AND($K116&gt;=BG$12,$K116&lt;BG$11),$Q116,"")</f>
        <v/>
      </c>
      <c r="BH90" s="1459" t="str">
        <f t="shared" si="53"/>
        <v/>
      </c>
      <c r="BI90" s="1459" t="str">
        <f t="shared" si="53"/>
        <v/>
      </c>
      <c r="BJ90" s="1459" t="str">
        <f t="shared" si="53"/>
        <v/>
      </c>
      <c r="BK90" s="1377"/>
      <c r="BL90" s="1377"/>
      <c r="BM90" s="1459" t="str">
        <f t="shared" si="52"/>
        <v/>
      </c>
      <c r="BN90" s="1459" t="str">
        <f t="shared" si="52"/>
        <v/>
      </c>
      <c r="BO90" s="1459" t="str">
        <f t="shared" si="52"/>
        <v/>
      </c>
      <c r="BP90" s="1459" t="str">
        <f t="shared" si="52"/>
        <v/>
      </c>
      <c r="BQ90" s="1459" t="str">
        <f t="shared" si="48"/>
        <v/>
      </c>
      <c r="BR90" s="1459"/>
      <c r="BS90" s="1459"/>
      <c r="BU90" s="1459"/>
      <c r="BV90" s="1459" t="e">
        <f>IF(AND($K146&gt;BV$12,$K146&lt;#REF!),$Q146,"")</f>
        <v>#REF!</v>
      </c>
      <c r="BW90" s="1459"/>
      <c r="BX90" s="1459"/>
      <c r="BY90" s="1459"/>
      <c r="BZ90" s="1458"/>
      <c r="CA90" s="1443"/>
      <c r="CB90" s="1442"/>
      <c r="CC90" s="1453"/>
      <c r="CD90" s="1377"/>
      <c r="CE90" s="1377"/>
      <c r="CF90" s="1377"/>
    </row>
    <row r="91" spans="1:84" s="1380" customFormat="1" ht="13.8">
      <c r="A91" s="1379"/>
      <c r="B91" s="1461">
        <v>43878</v>
      </c>
      <c r="C91" s="916"/>
      <c r="D91" s="1454"/>
      <c r="E91" s="1460">
        <v>680</v>
      </c>
      <c r="F91" s="1420">
        <v>42.25</v>
      </c>
      <c r="G91" s="1419">
        <f>E91/(F91+F92)</f>
        <v>13.01933754547195</v>
      </c>
      <c r="H91" s="1419">
        <f>(I91+I92)/E91</f>
        <v>0.80989705882352947</v>
      </c>
      <c r="I91" s="1418">
        <v>450.53</v>
      </c>
      <c r="J91" s="1379"/>
      <c r="K91" s="1423"/>
      <c r="L91" s="1421"/>
      <c r="M91" s="1421"/>
      <c r="N91" s="1420"/>
      <c r="O91" s="1420"/>
      <c r="P91" s="1419"/>
      <c r="Q91" s="1418"/>
      <c r="R91" s="1379"/>
      <c r="S91" s="1376"/>
      <c r="T91" s="1376"/>
      <c r="U91" s="1376"/>
      <c r="V91" s="1376"/>
      <c r="W91" s="1376"/>
      <c r="X91" s="1376"/>
      <c r="Y91" s="1376"/>
      <c r="Z91" s="1376"/>
      <c r="AA91" s="1376"/>
      <c r="AB91" s="1379"/>
      <c r="AC91" s="1400" t="str">
        <f t="shared" si="51"/>
        <v/>
      </c>
      <c r="AD91" s="1399"/>
      <c r="AE91" s="1399"/>
      <c r="AF91" s="1399"/>
      <c r="AG91" s="1399"/>
      <c r="AH91" s="1399"/>
      <c r="AI91" s="1399"/>
      <c r="AJ91" s="1399"/>
      <c r="AK91" s="1399"/>
      <c r="AL91" s="1399"/>
      <c r="AM91" s="1399"/>
      <c r="AN91" s="1399"/>
      <c r="AO91" s="1399"/>
      <c r="AP91" s="1399"/>
      <c r="AQ91" s="1399"/>
      <c r="AR91" s="1399"/>
      <c r="AS91" s="1399"/>
      <c r="AT91" s="1459"/>
      <c r="AU91" s="1459"/>
      <c r="AV91" s="1459"/>
      <c r="AW91" s="1459"/>
      <c r="AX91" s="1459"/>
      <c r="AY91" s="1459"/>
      <c r="AZ91" s="1459"/>
      <c r="BA91" s="1459"/>
      <c r="BB91" s="1459"/>
      <c r="BC91" s="1377"/>
      <c r="BD91" s="1377"/>
      <c r="BE91" s="1377"/>
      <c r="BF91" s="1377"/>
      <c r="BG91" s="1377"/>
      <c r="BH91" s="1377"/>
      <c r="BI91" s="1377"/>
      <c r="BJ91" s="1377"/>
      <c r="BK91" s="1459" t="str">
        <f t="shared" ref="BK91:BL100" si="54">IF(AND($K125&gt;=BK$12,$K125&lt;BK$11),$Q125,"")</f>
        <v/>
      </c>
      <c r="BL91" s="1459" t="str">
        <f t="shared" si="54"/>
        <v/>
      </c>
      <c r="BM91" s="1459" t="str">
        <f t="shared" si="52"/>
        <v/>
      </c>
      <c r="BN91" s="1459" t="str">
        <f t="shared" si="52"/>
        <v/>
      </c>
      <c r="BO91" s="1459" t="str">
        <f t="shared" si="52"/>
        <v/>
      </c>
      <c r="BP91" s="1459" t="str">
        <f t="shared" si="52"/>
        <v/>
      </c>
      <c r="BQ91" s="1459" t="str">
        <f t="shared" si="48"/>
        <v/>
      </c>
      <c r="BR91" s="1459"/>
      <c r="BS91" s="1459"/>
      <c r="BT91" s="1459"/>
      <c r="BU91" s="1459"/>
      <c r="BV91" s="1459"/>
      <c r="BW91" s="1459"/>
      <c r="BX91" s="1459"/>
      <c r="BY91" s="1458"/>
      <c r="BZ91" s="1443"/>
      <c r="CA91" s="1443"/>
      <c r="CB91" s="1379"/>
      <c r="CC91" s="1453"/>
      <c r="CD91" s="1377"/>
      <c r="CE91" s="1377"/>
      <c r="CF91" s="1377"/>
    </row>
    <row r="92" spans="1:84" s="1380" customFormat="1" ht="13.8">
      <c r="A92" s="1379"/>
      <c r="B92" s="1461">
        <v>43877</v>
      </c>
      <c r="C92" s="916"/>
      <c r="D92" s="1454"/>
      <c r="E92" s="1460"/>
      <c r="F92" s="1420">
        <v>9.98</v>
      </c>
      <c r="G92" s="1419"/>
      <c r="H92" s="1419"/>
      <c r="I92" s="1418">
        <v>100.2</v>
      </c>
      <c r="J92" s="1379"/>
      <c r="K92" s="1423"/>
      <c r="L92" s="1421"/>
      <c r="M92" s="1421"/>
      <c r="N92" s="1420"/>
      <c r="O92" s="1420"/>
      <c r="P92" s="1419"/>
      <c r="Q92" s="1418"/>
      <c r="R92" s="1379"/>
      <c r="S92" s="1376"/>
      <c r="T92" s="1376"/>
      <c r="U92" s="1376"/>
      <c r="V92" s="1376"/>
      <c r="W92" s="1376"/>
      <c r="X92" s="1376"/>
      <c r="Y92" s="1376"/>
      <c r="Z92" s="1376"/>
      <c r="AA92" s="1376"/>
      <c r="AB92" s="1379"/>
      <c r="AC92" s="1400" t="str">
        <f t="shared" si="51"/>
        <v/>
      </c>
      <c r="AD92" s="1399"/>
      <c r="AE92" s="1399"/>
      <c r="AF92" s="1399"/>
      <c r="AG92" s="1399"/>
      <c r="AH92" s="1399"/>
      <c r="AI92" s="1399"/>
      <c r="AJ92" s="1399"/>
      <c r="AK92" s="1399"/>
      <c r="AL92" s="1399"/>
      <c r="AM92" s="1399"/>
      <c r="AN92" s="1399"/>
      <c r="AO92" s="1399"/>
      <c r="AP92" s="1399"/>
      <c r="AQ92" s="1399"/>
      <c r="AR92" s="1399"/>
      <c r="AS92" s="1399"/>
      <c r="AT92" s="1459"/>
      <c r="AU92" s="1459"/>
      <c r="AV92" s="1459" t="str">
        <f t="shared" ref="AV92:BB92" si="55">IF(AND($K116&gt;=AV$12,$K116&lt;AV$11),$Q116,"")</f>
        <v/>
      </c>
      <c r="AW92" s="1459" t="str">
        <f t="shared" si="55"/>
        <v/>
      </c>
      <c r="AX92" s="1459" t="str">
        <f t="shared" si="55"/>
        <v/>
      </c>
      <c r="AY92" s="1459" t="str">
        <f t="shared" si="55"/>
        <v/>
      </c>
      <c r="AZ92" s="1459" t="str">
        <f t="shared" si="55"/>
        <v/>
      </c>
      <c r="BA92" s="1459" t="str">
        <f t="shared" si="55"/>
        <v/>
      </c>
      <c r="BB92" s="1459" t="str">
        <f t="shared" si="55"/>
        <v/>
      </c>
      <c r="BC92" s="1459" t="str">
        <f t="shared" ref="BC92:BG93" si="56">IF(AND($K118&gt;=BC$12,$K118&lt;BC$11),$Q118,"")</f>
        <v/>
      </c>
      <c r="BD92" s="1459" t="str">
        <f t="shared" si="56"/>
        <v/>
      </c>
      <c r="BE92" s="1459" t="str">
        <f t="shared" si="56"/>
        <v/>
      </c>
      <c r="BF92" s="1459" t="str">
        <f t="shared" si="56"/>
        <v/>
      </c>
      <c r="BG92" s="1459" t="str">
        <f t="shared" si="56"/>
        <v/>
      </c>
      <c r="BH92" s="1459" t="str">
        <f>IF(AND($K121&gt;=BH$12,$K121&lt;BH$11),$Q121,"")</f>
        <v/>
      </c>
      <c r="BI92" s="1459" t="str">
        <f>IF(AND($K121&gt;=BI$12,$K121&lt;BI$11),$Q121,"")</f>
        <v/>
      </c>
      <c r="BJ92" s="1459" t="str">
        <f>IF(AND($K121&gt;=BJ$12,$K121&lt;BJ$11),$Q121,"")</f>
        <v/>
      </c>
      <c r="BK92" s="1459" t="str">
        <f t="shared" si="54"/>
        <v/>
      </c>
      <c r="BL92" s="1459" t="str">
        <f t="shared" si="54"/>
        <v/>
      </c>
      <c r="BM92" s="1459" t="str">
        <f t="shared" si="52"/>
        <v/>
      </c>
      <c r="BN92" s="1459" t="str">
        <f t="shared" si="52"/>
        <v/>
      </c>
      <c r="BO92" s="1459" t="str">
        <f t="shared" si="52"/>
        <v/>
      </c>
      <c r="BP92" s="1459" t="str">
        <f t="shared" si="52"/>
        <v/>
      </c>
      <c r="BQ92" s="1459" t="str">
        <f t="shared" si="48"/>
        <v/>
      </c>
      <c r="BR92" s="1459"/>
      <c r="BS92" s="1459"/>
      <c r="BT92" s="1459"/>
      <c r="BU92" s="1459"/>
      <c r="BV92" s="1459"/>
      <c r="BW92" s="1459"/>
      <c r="BX92" s="1459"/>
      <c r="BY92" s="1458"/>
      <c r="BZ92" s="1443"/>
      <c r="CA92" s="1442"/>
      <c r="CB92" s="1453"/>
      <c r="CC92" s="1377"/>
      <c r="CD92" s="1377"/>
      <c r="CE92" s="1377"/>
      <c r="CF92" s="1377"/>
    </row>
    <row r="93" spans="1:84" s="1380" customFormat="1" ht="13.8">
      <c r="A93" s="1379"/>
      <c r="B93" s="1461">
        <v>43866</v>
      </c>
      <c r="C93" s="916"/>
      <c r="D93" s="1454"/>
      <c r="E93" s="1460">
        <v>209</v>
      </c>
      <c r="F93" s="1420">
        <v>19.09</v>
      </c>
      <c r="G93" s="1419">
        <f>E93/F93</f>
        <v>10.948140387637507</v>
      </c>
      <c r="H93" s="1419">
        <f>I93/E93</f>
        <v>0.92162679425837324</v>
      </c>
      <c r="I93" s="1418">
        <v>192.62</v>
      </c>
      <c r="J93" s="1379"/>
      <c r="K93" s="1423"/>
      <c r="L93" s="1421"/>
      <c r="M93" s="1421"/>
      <c r="N93" s="1420"/>
      <c r="O93" s="1420"/>
      <c r="P93" s="1419"/>
      <c r="Q93" s="1418"/>
      <c r="R93" s="1379"/>
      <c r="S93" s="1376"/>
      <c r="T93" s="1376"/>
      <c r="U93" s="1376"/>
      <c r="V93" s="1376"/>
      <c r="W93" s="1376"/>
      <c r="X93" s="1376"/>
      <c r="Y93" s="1376"/>
      <c r="Z93" s="1376"/>
      <c r="AA93" s="1376"/>
      <c r="AB93" s="1379"/>
      <c r="AC93" s="1400" t="str">
        <f t="shared" si="51"/>
        <v/>
      </c>
      <c r="AD93" s="1399"/>
      <c r="AE93" s="1399"/>
      <c r="AF93" s="1399"/>
      <c r="AG93" s="1399"/>
      <c r="AH93" s="1399"/>
      <c r="AI93" s="1399"/>
      <c r="AJ93" s="1399"/>
      <c r="AK93" s="1399"/>
      <c r="AL93" s="1399"/>
      <c r="AM93" s="1399"/>
      <c r="AN93" s="1399"/>
      <c r="AO93" s="1399"/>
      <c r="AP93" s="1399"/>
      <c r="AQ93" s="1399"/>
      <c r="AR93" s="1399"/>
      <c r="AS93" s="1399"/>
      <c r="AT93" s="1377"/>
      <c r="AU93" s="1377"/>
      <c r="AV93" s="1377"/>
      <c r="AW93" s="1377"/>
      <c r="AX93" s="1377"/>
      <c r="AY93" s="1377"/>
      <c r="AZ93" s="1377"/>
      <c r="BA93" s="1377"/>
      <c r="BB93" s="1377"/>
      <c r="BC93" s="1459" t="str">
        <f t="shared" si="56"/>
        <v/>
      </c>
      <c r="BD93" s="1459" t="str">
        <f t="shared" si="56"/>
        <v/>
      </c>
      <c r="BE93" s="1459" t="str">
        <f t="shared" si="56"/>
        <v/>
      </c>
      <c r="BF93" s="1459" t="str">
        <f t="shared" si="56"/>
        <v/>
      </c>
      <c r="BG93" s="1459" t="str">
        <f t="shared" si="56"/>
        <v/>
      </c>
      <c r="BH93" s="1377"/>
      <c r="BI93" s="1377"/>
      <c r="BJ93" s="1377"/>
      <c r="BK93" s="1459" t="str">
        <f t="shared" si="54"/>
        <v/>
      </c>
      <c r="BL93" s="1459" t="str">
        <f t="shared" si="54"/>
        <v/>
      </c>
      <c r="BM93" s="1459" t="str">
        <f t="shared" si="52"/>
        <v/>
      </c>
      <c r="BN93" s="1459" t="str">
        <f t="shared" si="52"/>
        <v/>
      </c>
      <c r="BO93" s="1459" t="str">
        <f t="shared" si="52"/>
        <v/>
      </c>
      <c r="BP93" s="1459" t="str">
        <f t="shared" si="52"/>
        <v/>
      </c>
      <c r="BQ93" s="1459" t="str">
        <f t="shared" si="48"/>
        <v/>
      </c>
      <c r="BR93" s="1459"/>
      <c r="BT93" s="1459"/>
      <c r="BU93" s="1459"/>
      <c r="BV93" s="1459"/>
      <c r="BW93" s="1459"/>
      <c r="BX93" s="1458"/>
      <c r="BY93" s="1458"/>
      <c r="BZ93" s="1443"/>
      <c r="CA93" s="1442"/>
      <c r="CB93" s="1453"/>
      <c r="CC93" s="1377"/>
      <c r="CD93" s="1377"/>
      <c r="CE93" s="1377"/>
      <c r="CF93" s="1377"/>
    </row>
    <row r="94" spans="1:84" s="1380" customFormat="1" ht="13.8">
      <c r="A94" s="1379"/>
      <c r="B94" s="1461">
        <v>43859</v>
      </c>
      <c r="C94" s="916"/>
      <c r="D94" s="1454"/>
      <c r="E94" s="1460">
        <v>473</v>
      </c>
      <c r="F94" s="1420">
        <v>41.84</v>
      </c>
      <c r="G94" s="1419">
        <f>E94/F94</f>
        <v>11.304971319311663</v>
      </c>
      <c r="H94" s="1419">
        <f>I94/E94</f>
        <v>0.91906976744186053</v>
      </c>
      <c r="I94" s="1418">
        <v>434.72</v>
      </c>
      <c r="J94" s="1379"/>
      <c r="K94" s="1423"/>
      <c r="L94" s="1421"/>
      <c r="M94" s="1421"/>
      <c r="N94" s="1420"/>
      <c r="O94" s="1420"/>
      <c r="P94" s="1419"/>
      <c r="Q94" s="1418"/>
      <c r="R94" s="1379"/>
      <c r="S94" s="1376"/>
      <c r="T94" s="1376"/>
      <c r="U94" s="1376"/>
      <c r="V94" s="1376"/>
      <c r="W94" s="1376"/>
      <c r="X94" s="1376"/>
      <c r="Y94" s="1376"/>
      <c r="Z94" s="1376"/>
      <c r="AA94" s="1376"/>
      <c r="AB94" s="1379"/>
      <c r="AC94" s="1400" t="str">
        <f t="shared" si="51"/>
        <v/>
      </c>
      <c r="AD94" s="1399"/>
      <c r="AE94" s="1399"/>
      <c r="AF94" s="1399"/>
      <c r="AG94" s="1399"/>
      <c r="AH94" s="1399"/>
      <c r="AI94" s="1399"/>
      <c r="AJ94" s="1399"/>
      <c r="AK94" s="1399"/>
      <c r="AL94" s="1399"/>
      <c r="AM94" s="1399"/>
      <c r="AN94" s="1399"/>
      <c r="AO94" s="1399"/>
      <c r="AP94" s="1399"/>
      <c r="AQ94" s="1399"/>
      <c r="AR94" s="1399"/>
      <c r="AS94" s="1399"/>
      <c r="AT94" s="1459"/>
      <c r="AU94" s="1459"/>
      <c r="AV94" s="1459" t="str">
        <f t="shared" ref="AV94:BB95" si="57">IF(AND($K118&gt;=AV$12,$K118&lt;AV$11),$Q118,"")</f>
        <v/>
      </c>
      <c r="AW94" s="1459" t="str">
        <f t="shared" si="57"/>
        <v/>
      </c>
      <c r="AX94" s="1459" t="str">
        <f t="shared" si="57"/>
        <v/>
      </c>
      <c r="AY94" s="1459" t="str">
        <f t="shared" si="57"/>
        <v/>
      </c>
      <c r="AZ94" s="1459" t="str">
        <f t="shared" si="57"/>
        <v/>
      </c>
      <c r="BA94" s="1459" t="str">
        <f t="shared" si="57"/>
        <v/>
      </c>
      <c r="BB94" s="1459" t="str">
        <f t="shared" si="57"/>
        <v/>
      </c>
      <c r="BC94" s="1377"/>
      <c r="BD94" s="1377"/>
      <c r="BE94" s="1377"/>
      <c r="BF94" s="1377"/>
      <c r="BG94" s="1377"/>
      <c r="BH94" s="1459" t="str">
        <f>IF(AND($K123&gt;=BH$12,$K123&lt;BH$11),$Q123,"")</f>
        <v/>
      </c>
      <c r="BI94" s="1459" t="str">
        <f>IF(AND($K123&gt;=BI$12,$K123&lt;BI$11),$Q123,"")</f>
        <v/>
      </c>
      <c r="BJ94" s="1459" t="str">
        <f>IF(AND($K123&gt;=BJ$12,$K123&lt;BJ$11),$Q123,"")</f>
        <v/>
      </c>
      <c r="BK94" s="1459" t="str">
        <f t="shared" si="54"/>
        <v/>
      </c>
      <c r="BL94" s="1459" t="str">
        <f t="shared" si="54"/>
        <v/>
      </c>
      <c r="BM94" s="1459" t="str">
        <f t="shared" si="52"/>
        <v/>
      </c>
      <c r="BN94" s="1459" t="str">
        <f t="shared" si="52"/>
        <v/>
      </c>
      <c r="BO94" s="1459" t="str">
        <f t="shared" si="52"/>
        <v/>
      </c>
      <c r="BP94" s="1459" t="str">
        <f t="shared" si="52"/>
        <v/>
      </c>
      <c r="BQ94" s="1459"/>
      <c r="BR94" s="1459"/>
      <c r="BS94" s="1459"/>
      <c r="BT94" s="1459"/>
      <c r="BU94" s="1459"/>
      <c r="BV94" s="1459"/>
      <c r="BW94" s="1459"/>
      <c r="BX94" s="1458"/>
      <c r="BY94" s="1443"/>
      <c r="BZ94" s="1442"/>
      <c r="CA94" s="1379"/>
      <c r="CB94" s="1377"/>
      <c r="CC94" s="1377"/>
      <c r="CD94" s="1377"/>
      <c r="CE94" s="1377"/>
      <c r="CF94" s="1377"/>
    </row>
    <row r="95" spans="1:84" s="1380" customFormat="1" ht="13.8">
      <c r="A95" s="1379"/>
      <c r="B95" s="1461">
        <v>43836</v>
      </c>
      <c r="C95" s="916"/>
      <c r="D95" s="1460" t="s">
        <v>1213</v>
      </c>
      <c r="E95" s="1460"/>
      <c r="F95" s="1420"/>
      <c r="G95" s="1420"/>
      <c r="H95" s="1419"/>
      <c r="I95" s="1418">
        <v>493.43</v>
      </c>
      <c r="J95" s="1379"/>
      <c r="K95" s="1423"/>
      <c r="L95" s="1421"/>
      <c r="M95" s="1421"/>
      <c r="N95" s="1420"/>
      <c r="O95" s="1420"/>
      <c r="P95" s="1419"/>
      <c r="Q95" s="1418"/>
      <c r="R95" s="1379"/>
      <c r="S95" s="1376"/>
      <c r="T95" s="1376"/>
      <c r="U95" s="1376"/>
      <c r="V95" s="1376"/>
      <c r="W95" s="1376"/>
      <c r="X95" s="1376"/>
      <c r="Y95" s="1376"/>
      <c r="Z95" s="1376"/>
      <c r="AA95" s="1376"/>
      <c r="AB95" s="1379"/>
      <c r="AC95" s="1400" t="str">
        <f t="shared" si="51"/>
        <v/>
      </c>
      <c r="AD95" s="1399"/>
      <c r="AE95" s="1399"/>
      <c r="AF95" s="1399"/>
      <c r="AG95" s="1399"/>
      <c r="AH95" s="1399"/>
      <c r="AI95" s="1399"/>
      <c r="AJ95" s="1399"/>
      <c r="AK95" s="1399"/>
      <c r="AL95" s="1399"/>
      <c r="AM95" s="1399"/>
      <c r="AN95" s="1399"/>
      <c r="AO95" s="1399"/>
      <c r="AP95" s="1399"/>
      <c r="AQ95" s="1399"/>
      <c r="AR95" s="1399"/>
      <c r="AS95" s="1399"/>
      <c r="AT95" s="1377"/>
      <c r="AU95" s="1377"/>
      <c r="AV95" s="1459" t="str">
        <f t="shared" si="57"/>
        <v/>
      </c>
      <c r="AW95" s="1459" t="str">
        <f t="shared" si="57"/>
        <v/>
      </c>
      <c r="AX95" s="1459" t="str">
        <f t="shared" si="57"/>
        <v/>
      </c>
      <c r="AY95" s="1459" t="str">
        <f t="shared" si="57"/>
        <v/>
      </c>
      <c r="AZ95" s="1459" t="str">
        <f t="shared" si="57"/>
        <v/>
      </c>
      <c r="BA95" s="1459" t="str">
        <f t="shared" si="57"/>
        <v/>
      </c>
      <c r="BB95" s="1459" t="str">
        <f t="shared" si="57"/>
        <v/>
      </c>
      <c r="BC95" s="1459" t="str">
        <f>IF(AND($K121&gt;=BC$12,$K121&lt;BC$11),$Q121,"")</f>
        <v/>
      </c>
      <c r="BD95" s="1459" t="str">
        <f>IF(AND($K121&gt;=BD$12,$K121&lt;BD$11),$Q121,"")</f>
        <v/>
      </c>
      <c r="BE95" s="1459" t="str">
        <f>IF(AND($K121&gt;=BE$12,$K121&lt;BE$11),$Q121,"")</f>
        <v/>
      </c>
      <c r="BF95" s="1459" t="str">
        <f>IF(AND($K121&gt;=BF$12,$K121&lt;BF$11),$Q121,"")</f>
        <v/>
      </c>
      <c r="BG95" s="1459" t="str">
        <f>IF(AND($K121&gt;=BG$12,$K121&lt;BG$11),$Q121,"")</f>
        <v/>
      </c>
      <c r="BH95" s="1377"/>
      <c r="BI95" s="1377"/>
      <c r="BJ95" s="1377"/>
      <c r="BK95" s="1459" t="str">
        <f t="shared" si="54"/>
        <v/>
      </c>
      <c r="BL95" s="1459" t="str">
        <f t="shared" si="54"/>
        <v/>
      </c>
      <c r="BM95" s="1459" t="str">
        <f t="shared" si="52"/>
        <v/>
      </c>
      <c r="BN95" s="1459" t="str">
        <f t="shared" si="52"/>
        <v/>
      </c>
      <c r="BO95" s="1459" t="str">
        <f t="shared" si="52"/>
        <v/>
      </c>
      <c r="BP95" s="1459" t="str">
        <f t="shared" si="52"/>
        <v/>
      </c>
      <c r="BQ95" s="1459"/>
      <c r="BS95" s="1459"/>
      <c r="BT95" s="1459"/>
      <c r="BU95" s="1459"/>
      <c r="BV95" s="1459"/>
      <c r="BW95" s="1459"/>
      <c r="BX95" s="1458"/>
      <c r="BY95" s="1443"/>
      <c r="BZ95" s="1442"/>
      <c r="CA95" s="1453"/>
      <c r="CB95" s="1377"/>
      <c r="CC95" s="1377"/>
      <c r="CD95" s="1377"/>
      <c r="CE95" s="1377"/>
      <c r="CF95" s="1377"/>
    </row>
    <row r="96" spans="1:84" s="1380" customFormat="1" ht="13.8">
      <c r="A96" s="1379"/>
      <c r="B96" s="1461">
        <v>43816</v>
      </c>
      <c r="C96" s="916"/>
      <c r="D96" s="1460"/>
      <c r="E96" s="1460"/>
      <c r="F96" s="1420"/>
      <c r="G96" s="1420"/>
      <c r="H96" s="1419"/>
      <c r="I96" s="1418">
        <v>403.86</v>
      </c>
      <c r="J96" s="1379"/>
      <c r="K96" s="1423"/>
      <c r="L96" s="1421"/>
      <c r="M96" s="1421"/>
      <c r="N96" s="1420"/>
      <c r="O96" s="1420"/>
      <c r="P96" s="1419"/>
      <c r="Q96" s="1418"/>
      <c r="R96" s="1379"/>
      <c r="S96" s="1376"/>
      <c r="T96" s="1376"/>
      <c r="U96" s="1376"/>
      <c r="V96" s="1376"/>
      <c r="W96" s="1376"/>
      <c r="X96" s="1376"/>
      <c r="Y96" s="1376"/>
      <c r="Z96" s="1376"/>
      <c r="AA96" s="1376"/>
      <c r="AB96" s="1379"/>
      <c r="AC96" s="1400" t="str">
        <f t="shared" si="51"/>
        <v/>
      </c>
      <c r="AD96" s="1399"/>
      <c r="AE96" s="1399"/>
      <c r="AF96" s="1399"/>
      <c r="AG96" s="1399"/>
      <c r="AH96" s="1399"/>
      <c r="AI96" s="1399"/>
      <c r="AJ96" s="1399"/>
      <c r="AK96" s="1399"/>
      <c r="AL96" s="1399"/>
      <c r="AM96" s="1399"/>
      <c r="AN96" s="1399"/>
      <c r="AO96" s="1399"/>
      <c r="AP96" s="1399"/>
      <c r="AQ96" s="1399"/>
      <c r="AR96" s="1399"/>
      <c r="AS96" s="1399"/>
      <c r="AT96" s="1459"/>
      <c r="AU96" s="1459"/>
      <c r="AV96" s="1377"/>
      <c r="AW96" s="1377"/>
      <c r="AX96" s="1377"/>
      <c r="AY96" s="1377"/>
      <c r="AZ96" s="1377"/>
      <c r="BA96" s="1377"/>
      <c r="BB96" s="1377"/>
      <c r="BC96" s="1377"/>
      <c r="BD96" s="1377"/>
      <c r="BE96" s="1377"/>
      <c r="BF96" s="1377"/>
      <c r="BG96" s="1377"/>
      <c r="BH96" s="1459" t="str">
        <f t="shared" ref="BH96:BJ105" si="58">IF(AND($K125&gt;=BH$12,$K125&lt;BH$11),$Q125,"")</f>
        <v/>
      </c>
      <c r="BI96" s="1459" t="str">
        <f t="shared" si="58"/>
        <v/>
      </c>
      <c r="BJ96" s="1459" t="str">
        <f t="shared" si="58"/>
        <v/>
      </c>
      <c r="BK96" s="1459" t="str">
        <f t="shared" si="54"/>
        <v/>
      </c>
      <c r="BL96" s="1459" t="str">
        <f t="shared" si="54"/>
        <v/>
      </c>
      <c r="BM96" s="1459" t="str">
        <f t="shared" si="52"/>
        <v/>
      </c>
      <c r="BN96" s="1459" t="str">
        <f t="shared" si="52"/>
        <v/>
      </c>
      <c r="BO96" s="1459" t="str">
        <f t="shared" si="52"/>
        <v/>
      </c>
      <c r="BP96" s="1459" t="str">
        <f t="shared" si="52"/>
        <v/>
      </c>
      <c r="BQ96" s="1459"/>
      <c r="BR96" s="1459"/>
      <c r="BS96" s="1459"/>
      <c r="BT96" s="1459"/>
      <c r="BU96" s="1459"/>
      <c r="BV96" s="1459"/>
      <c r="BW96" s="1459"/>
      <c r="BX96" s="1443"/>
      <c r="BY96" s="1443"/>
      <c r="BZ96" s="1379"/>
      <c r="CA96" s="1453"/>
      <c r="CB96" s="1377"/>
      <c r="CC96" s="1377"/>
      <c r="CD96" s="1377"/>
      <c r="CE96" s="1377"/>
      <c r="CF96" s="1377"/>
    </row>
    <row r="97" spans="1:84" s="1380" customFormat="1" ht="13.8">
      <c r="A97" s="1379"/>
      <c r="B97" s="1461">
        <v>43804</v>
      </c>
      <c r="C97" s="916"/>
      <c r="D97" s="1460" t="s">
        <v>1213</v>
      </c>
      <c r="E97" s="1460"/>
      <c r="F97" s="1420"/>
      <c r="G97" s="1420"/>
      <c r="H97" s="1419"/>
      <c r="I97" s="1418">
        <v>225.26</v>
      </c>
      <c r="J97" s="1379"/>
      <c r="K97" s="1423"/>
      <c r="L97" s="1421"/>
      <c r="M97" s="1421"/>
      <c r="N97" s="1420"/>
      <c r="O97" s="1420"/>
      <c r="P97" s="1419"/>
      <c r="Q97" s="1418"/>
      <c r="R97" s="1379"/>
      <c r="S97" s="1378"/>
      <c r="T97" s="1381"/>
      <c r="V97" s="1376"/>
      <c r="W97" s="1376"/>
      <c r="X97" s="1376"/>
      <c r="Y97" s="1376"/>
      <c r="Z97" s="1376"/>
      <c r="AA97" s="1376"/>
      <c r="AB97" s="1379"/>
      <c r="AC97" s="1400" t="str">
        <f t="shared" si="51"/>
        <v/>
      </c>
      <c r="AD97" s="1399"/>
      <c r="AE97" s="1399"/>
      <c r="AF97" s="1399"/>
      <c r="AG97" s="1399"/>
      <c r="AH97" s="1399"/>
      <c r="AI97" s="1399"/>
      <c r="AJ97" s="1399"/>
      <c r="AK97" s="1399"/>
      <c r="AL97" s="1399"/>
      <c r="AM97" s="1399"/>
      <c r="AN97" s="1399"/>
      <c r="AO97" s="1399"/>
      <c r="AP97" s="1399"/>
      <c r="AQ97" s="1399"/>
      <c r="AR97" s="1399"/>
      <c r="AS97" s="1399"/>
      <c r="AT97" s="1459"/>
      <c r="AU97" s="1459"/>
      <c r="AV97" s="1459" t="str">
        <f t="shared" ref="AV97:BB97" si="59">IF(AND($K121&gt;=AV$12,$K121&lt;AV$11),$Q121,"")</f>
        <v/>
      </c>
      <c r="AW97" s="1459" t="str">
        <f t="shared" si="59"/>
        <v/>
      </c>
      <c r="AX97" s="1459" t="str">
        <f t="shared" si="59"/>
        <v/>
      </c>
      <c r="AY97" s="1459" t="str">
        <f t="shared" si="59"/>
        <v/>
      </c>
      <c r="AZ97" s="1459" t="str">
        <f t="shared" si="59"/>
        <v/>
      </c>
      <c r="BA97" s="1459" t="str">
        <f t="shared" si="59"/>
        <v/>
      </c>
      <c r="BB97" s="1459" t="str">
        <f t="shared" si="59"/>
        <v/>
      </c>
      <c r="BC97" s="1459" t="str">
        <f>IF(AND($K123&gt;=BC$12,$K123&lt;BC$11),$Q123,"")</f>
        <v/>
      </c>
      <c r="BD97" s="1459" t="str">
        <f>IF(AND($K123&gt;=BD$12,$K123&lt;BD$11),$Q123,"")</f>
        <v/>
      </c>
      <c r="BE97" s="1459" t="str">
        <f>IF(AND($K123&gt;=BE$12,$K123&lt;BE$11),$Q123,"")</f>
        <v/>
      </c>
      <c r="BF97" s="1459" t="str">
        <f>IF(AND($K123&gt;=BF$12,$K123&lt;BF$11),$Q123,"")</f>
        <v/>
      </c>
      <c r="BG97" s="1459" t="str">
        <f>IF(AND($K123&gt;=BG$12,$K123&lt;BG$11),$Q123,"")</f>
        <v/>
      </c>
      <c r="BH97" s="1459" t="str">
        <f t="shared" si="58"/>
        <v/>
      </c>
      <c r="BI97" s="1459" t="str">
        <f t="shared" si="58"/>
        <v/>
      </c>
      <c r="BJ97" s="1459" t="str">
        <f t="shared" si="58"/>
        <v/>
      </c>
      <c r="BK97" s="1459" t="str">
        <f t="shared" si="54"/>
        <v/>
      </c>
      <c r="BL97" s="1459" t="str">
        <f t="shared" si="54"/>
        <v/>
      </c>
      <c r="BM97" s="1459" t="str">
        <f t="shared" si="52"/>
        <v/>
      </c>
      <c r="BN97" s="1459" t="str">
        <f t="shared" si="52"/>
        <v/>
      </c>
      <c r="BO97" s="1459" t="str">
        <f t="shared" si="52"/>
        <v/>
      </c>
      <c r="BP97" s="1459" t="str">
        <f t="shared" si="52"/>
        <v/>
      </c>
      <c r="BQ97" s="1459"/>
      <c r="BR97" s="1459"/>
      <c r="BS97" s="1459"/>
      <c r="BT97" s="1459"/>
      <c r="BU97" s="1459"/>
      <c r="BV97" s="1459"/>
      <c r="BW97" s="1459"/>
      <c r="BX97" s="1443"/>
      <c r="BY97" s="1442"/>
      <c r="BZ97" s="1453"/>
      <c r="CA97" s="1377"/>
      <c r="CB97" s="1377"/>
      <c r="CC97" s="1377"/>
      <c r="CD97" s="1377"/>
      <c r="CE97" s="1377"/>
      <c r="CF97" s="1377"/>
    </row>
    <row r="98" spans="1:84" s="1380" customFormat="1" ht="13.8">
      <c r="A98" s="1379"/>
      <c r="B98" s="1461">
        <v>43798</v>
      </c>
      <c r="C98" s="916"/>
      <c r="D98" s="1460" t="s">
        <v>1213</v>
      </c>
      <c r="E98" s="1460"/>
      <c r="F98" s="1420"/>
      <c r="G98" s="1420"/>
      <c r="H98" s="1419"/>
      <c r="I98" s="1418">
        <v>317.41000000000003</v>
      </c>
      <c r="J98" s="1379"/>
      <c r="K98" s="1423"/>
      <c r="L98" s="1421"/>
      <c r="M98" s="1421"/>
      <c r="N98" s="1420"/>
      <c r="O98" s="1420"/>
      <c r="P98" s="1419"/>
      <c r="Q98" s="1418"/>
      <c r="R98" s="1379"/>
      <c r="S98" s="1378"/>
      <c r="T98" s="1381"/>
      <c r="U98" s="1377"/>
      <c r="V98" s="1376"/>
      <c r="W98" s="1376"/>
      <c r="X98" s="1376"/>
      <c r="AB98" s="1379"/>
      <c r="AC98" s="1400" t="str">
        <f t="shared" si="51"/>
        <v/>
      </c>
      <c r="AD98" s="1399"/>
      <c r="AE98" s="1399"/>
      <c r="AF98" s="1399"/>
      <c r="AG98" s="1399"/>
      <c r="AH98" s="1399"/>
      <c r="AI98" s="1399"/>
      <c r="AJ98" s="1399"/>
      <c r="AK98" s="1399"/>
      <c r="AL98" s="1399"/>
      <c r="AM98" s="1399"/>
      <c r="AN98" s="1399"/>
      <c r="AO98" s="1399"/>
      <c r="AP98" s="1399"/>
      <c r="AQ98" s="1399"/>
      <c r="AR98" s="1399"/>
      <c r="AS98" s="1399"/>
      <c r="AT98" s="1377"/>
      <c r="AU98" s="1377"/>
      <c r="AV98" s="1377"/>
      <c r="AW98" s="1377"/>
      <c r="AX98" s="1377"/>
      <c r="AY98" s="1377"/>
      <c r="AZ98" s="1377"/>
      <c r="BA98" s="1377"/>
      <c r="BB98" s="1377"/>
      <c r="BC98" s="1377"/>
      <c r="BD98" s="1377"/>
      <c r="BE98" s="1377"/>
      <c r="BF98" s="1377"/>
      <c r="BG98" s="1377"/>
      <c r="BH98" s="1459" t="str">
        <f t="shared" si="58"/>
        <v/>
      </c>
      <c r="BI98" s="1459" t="str">
        <f t="shared" si="58"/>
        <v/>
      </c>
      <c r="BJ98" s="1459" t="str">
        <f t="shared" si="58"/>
        <v/>
      </c>
      <c r="BK98" s="1459" t="str">
        <f t="shared" si="54"/>
        <v/>
      </c>
      <c r="BL98" s="1459" t="str">
        <f t="shared" si="54"/>
        <v/>
      </c>
      <c r="BM98" s="1459"/>
      <c r="BN98" s="1459"/>
      <c r="BO98" s="1459"/>
      <c r="BP98" s="1459"/>
      <c r="BQ98" s="1459"/>
      <c r="BR98" s="1459"/>
      <c r="BS98" s="1459"/>
      <c r="BT98" s="1459"/>
      <c r="BU98" s="1459"/>
      <c r="BV98" s="1459"/>
      <c r="BW98" s="1458"/>
      <c r="BX98" s="1443"/>
      <c r="BY98" s="1442"/>
      <c r="BZ98" s="1453"/>
      <c r="CA98" s="1377"/>
      <c r="CB98" s="1377"/>
      <c r="CC98" s="1377"/>
      <c r="CD98" s="1377"/>
      <c r="CE98" s="1377"/>
      <c r="CF98" s="1377"/>
    </row>
    <row r="99" spans="1:84" s="1380" customFormat="1" ht="13.8">
      <c r="A99" s="1379"/>
      <c r="B99" s="1461">
        <v>43785</v>
      </c>
      <c r="C99" s="916"/>
      <c r="D99" s="1460" t="s">
        <v>1213</v>
      </c>
      <c r="E99" s="1460"/>
      <c r="F99" s="1420"/>
      <c r="G99" s="1420"/>
      <c r="H99" s="1419"/>
      <c r="I99" s="1418">
        <v>401.64</v>
      </c>
      <c r="J99" s="1379"/>
      <c r="K99" s="1423"/>
      <c r="L99" s="1421"/>
      <c r="M99" s="1421"/>
      <c r="N99" s="1420"/>
      <c r="O99" s="1420"/>
      <c r="P99" s="1419"/>
      <c r="Q99" s="1418"/>
      <c r="R99" s="1379"/>
      <c r="S99" s="1378"/>
      <c r="T99" s="1381"/>
      <c r="U99" s="1377"/>
      <c r="V99" s="1376"/>
      <c r="W99" s="1376"/>
      <c r="X99" s="1376"/>
      <c r="Y99" s="1377"/>
      <c r="Z99" s="1377"/>
      <c r="AA99" s="1377"/>
      <c r="AB99" s="1379"/>
      <c r="AC99" s="1400" t="str">
        <f t="shared" si="51"/>
        <v/>
      </c>
      <c r="AD99" s="1399"/>
      <c r="AE99" s="1399"/>
      <c r="AF99" s="1399"/>
      <c r="AG99" s="1399"/>
      <c r="AH99" s="1399"/>
      <c r="AI99" s="1399"/>
      <c r="AJ99" s="1399"/>
      <c r="AK99" s="1399"/>
      <c r="AL99" s="1399"/>
      <c r="AM99" s="1399"/>
      <c r="AN99" s="1399"/>
      <c r="AO99" s="1399"/>
      <c r="AP99" s="1399"/>
      <c r="AQ99" s="1399"/>
      <c r="AR99" s="1399"/>
      <c r="AS99" s="1399"/>
      <c r="AT99" s="1459"/>
      <c r="AU99" s="1459"/>
      <c r="AV99" s="1459" t="str">
        <f t="shared" ref="AV99:BB99" si="60">IF(AND($K123&gt;=AV$12,$K123&lt;AV$11),$Q123,"")</f>
        <v/>
      </c>
      <c r="AW99" s="1459" t="str">
        <f t="shared" si="60"/>
        <v/>
      </c>
      <c r="AX99" s="1459" t="str">
        <f t="shared" si="60"/>
        <v/>
      </c>
      <c r="AY99" s="1459" t="str">
        <f t="shared" si="60"/>
        <v/>
      </c>
      <c r="AZ99" s="1459" t="str">
        <f t="shared" si="60"/>
        <v/>
      </c>
      <c r="BA99" s="1459" t="str">
        <f t="shared" si="60"/>
        <v/>
      </c>
      <c r="BB99" s="1459" t="str">
        <f t="shared" si="60"/>
        <v/>
      </c>
      <c r="BC99" s="1459" t="str">
        <f t="shared" ref="BC99:BG108" si="61">IF(AND($K125&gt;=BC$12,$K125&lt;BC$11),$Q125,"")</f>
        <v/>
      </c>
      <c r="BD99" s="1459" t="str">
        <f t="shared" si="61"/>
        <v/>
      </c>
      <c r="BE99" s="1459" t="str">
        <f t="shared" si="61"/>
        <v/>
      </c>
      <c r="BF99" s="1459" t="str">
        <f t="shared" si="61"/>
        <v/>
      </c>
      <c r="BG99" s="1459" t="str">
        <f t="shared" si="61"/>
        <v/>
      </c>
      <c r="BH99" s="1459" t="str">
        <f t="shared" si="58"/>
        <v/>
      </c>
      <c r="BI99" s="1459" t="str">
        <f t="shared" si="58"/>
        <v/>
      </c>
      <c r="BJ99" s="1459" t="str">
        <f t="shared" si="58"/>
        <v/>
      </c>
      <c r="BK99" s="1459" t="str">
        <f t="shared" si="54"/>
        <v/>
      </c>
      <c r="BL99" s="1459" t="str">
        <f t="shared" si="54"/>
        <v/>
      </c>
      <c r="BM99" s="1459"/>
      <c r="BN99" s="1459"/>
      <c r="BO99" s="1459"/>
      <c r="BP99" s="1459"/>
      <c r="BR99" s="1459"/>
      <c r="BS99" s="1459"/>
      <c r="BT99" s="1459"/>
      <c r="BU99" s="1459"/>
      <c r="BV99" s="1459"/>
      <c r="BW99" s="1458"/>
      <c r="BX99" s="1442"/>
      <c r="BY99" s="1379"/>
      <c r="BZ99" s="1377"/>
      <c r="CA99" s="1377"/>
      <c r="CB99" s="1377"/>
      <c r="CC99" s="1377"/>
      <c r="CD99" s="1377"/>
      <c r="CE99" s="1377"/>
      <c r="CF99" s="1377"/>
    </row>
    <row r="100" spans="1:84" s="1380" customFormat="1" ht="13.8">
      <c r="A100" s="1379"/>
      <c r="B100" s="1461">
        <v>43781</v>
      </c>
      <c r="C100" s="916"/>
      <c r="D100" s="1460" t="s">
        <v>1213</v>
      </c>
      <c r="E100" s="1460"/>
      <c r="F100" s="1420"/>
      <c r="G100" s="1420"/>
      <c r="H100" s="1419"/>
      <c r="I100" s="1418">
        <v>200.45</v>
      </c>
      <c r="J100" s="1379"/>
      <c r="K100" s="1423"/>
      <c r="L100" s="1421"/>
      <c r="M100" s="1421"/>
      <c r="N100" s="1420"/>
      <c r="O100" s="1420"/>
      <c r="P100" s="1419"/>
      <c r="Q100" s="1418"/>
      <c r="R100" s="1379"/>
      <c r="S100" s="1378"/>
      <c r="T100" s="1381"/>
      <c r="U100" s="1377"/>
      <c r="V100" s="1376"/>
      <c r="W100" s="1376"/>
      <c r="X100" s="1376"/>
      <c r="Y100" s="1377"/>
      <c r="Z100" s="1377"/>
      <c r="AA100" s="1377"/>
      <c r="AB100" s="1379"/>
      <c r="AC100" s="1400" t="str">
        <f t="shared" si="51"/>
        <v/>
      </c>
      <c r="AD100" s="1399"/>
      <c r="AE100" s="1399"/>
      <c r="AF100" s="1399"/>
      <c r="AG100" s="1399"/>
      <c r="AH100" s="1399"/>
      <c r="AI100" s="1399"/>
      <c r="AJ100" s="1399"/>
      <c r="AK100" s="1399"/>
      <c r="AL100" s="1399"/>
      <c r="AM100" s="1399"/>
      <c r="AN100" s="1399"/>
      <c r="AO100" s="1399"/>
      <c r="AP100" s="1399"/>
      <c r="AQ100" s="1399"/>
      <c r="AR100" s="1399"/>
      <c r="AS100" s="1399"/>
      <c r="AT100" s="1459"/>
      <c r="AU100" s="1459"/>
      <c r="AV100" s="1377"/>
      <c r="AW100" s="1377"/>
      <c r="AX100" s="1377"/>
      <c r="AY100" s="1377"/>
      <c r="AZ100" s="1377"/>
      <c r="BA100" s="1377"/>
      <c r="BB100" s="1377"/>
      <c r="BC100" s="1459" t="str">
        <f t="shared" si="61"/>
        <v/>
      </c>
      <c r="BD100" s="1459" t="str">
        <f t="shared" si="61"/>
        <v/>
      </c>
      <c r="BE100" s="1459" t="str">
        <f t="shared" si="61"/>
        <v/>
      </c>
      <c r="BF100" s="1459" t="str">
        <f t="shared" si="61"/>
        <v/>
      </c>
      <c r="BG100" s="1459" t="str">
        <f t="shared" si="61"/>
        <v/>
      </c>
      <c r="BH100" s="1459" t="str">
        <f t="shared" si="58"/>
        <v/>
      </c>
      <c r="BI100" s="1459" t="str">
        <f t="shared" si="58"/>
        <v/>
      </c>
      <c r="BJ100" s="1459" t="str">
        <f t="shared" si="58"/>
        <v/>
      </c>
      <c r="BK100" s="1459" t="str">
        <f t="shared" si="54"/>
        <v/>
      </c>
      <c r="BL100" s="1459" t="str">
        <f t="shared" si="54"/>
        <v/>
      </c>
      <c r="BM100" s="1459"/>
      <c r="BN100" s="1459"/>
      <c r="BO100" s="1459"/>
      <c r="BP100" s="1459"/>
      <c r="BQ100" s="1459"/>
      <c r="BR100" s="1459"/>
      <c r="BS100" s="1459"/>
      <c r="BT100" s="1459"/>
      <c r="BU100" s="1459"/>
      <c r="BV100" s="1458"/>
      <c r="BW100" s="1458"/>
      <c r="BX100" s="1442"/>
      <c r="BY100" s="1453"/>
      <c r="BZ100" s="1377"/>
      <c r="CA100" s="1377"/>
      <c r="CB100" s="1377"/>
      <c r="CC100" s="1377"/>
      <c r="CD100" s="1377"/>
      <c r="CE100" s="1377"/>
      <c r="CF100" s="1377"/>
    </row>
    <row r="101" spans="1:84" s="1380" customFormat="1" ht="13.8">
      <c r="A101" s="1379"/>
      <c r="B101" s="1461">
        <v>43762</v>
      </c>
      <c r="C101" s="916"/>
      <c r="D101" s="1460" t="s">
        <v>1213</v>
      </c>
      <c r="E101" s="1460"/>
      <c r="F101" s="1420"/>
      <c r="G101" s="1420"/>
      <c r="H101" s="1419"/>
      <c r="I101" s="1418">
        <v>351.62</v>
      </c>
      <c r="J101" s="1379"/>
      <c r="K101" s="1423"/>
      <c r="L101" s="1421"/>
      <c r="M101" s="1421"/>
      <c r="N101" s="1420"/>
      <c r="O101" s="1420"/>
      <c r="P101" s="1419"/>
      <c r="Q101" s="1418"/>
      <c r="R101" s="1379"/>
      <c r="S101" s="1378"/>
      <c r="T101" s="1381"/>
      <c r="U101" s="1377"/>
      <c r="V101" s="1376"/>
      <c r="W101" s="1376"/>
      <c r="X101" s="1376"/>
      <c r="Y101" s="1377"/>
      <c r="Z101" s="1377"/>
      <c r="AA101" s="1377"/>
      <c r="AB101" s="1379"/>
      <c r="AC101" s="1400" t="str">
        <f t="shared" si="51"/>
        <v/>
      </c>
      <c r="AD101" s="1399"/>
      <c r="AE101" s="1399"/>
      <c r="AF101" s="1399"/>
      <c r="AG101" s="1399"/>
      <c r="AH101" s="1399"/>
      <c r="AI101" s="1399"/>
      <c r="AJ101" s="1399"/>
      <c r="AK101" s="1399"/>
      <c r="AL101" s="1399"/>
      <c r="AM101" s="1399"/>
      <c r="AN101" s="1399"/>
      <c r="AO101" s="1399"/>
      <c r="AP101" s="1399"/>
      <c r="AQ101" s="1399"/>
      <c r="AR101" s="1399"/>
      <c r="AS101" s="1399"/>
      <c r="AT101" s="1377"/>
      <c r="AU101" s="1377"/>
      <c r="AV101" s="1459" t="str">
        <f t="shared" ref="AV101:BB110" si="62">IF(AND($K125&gt;=AV$12,$K125&lt;AV$11),$Q125,"")</f>
        <v/>
      </c>
      <c r="AW101" s="1459" t="str">
        <f t="shared" si="62"/>
        <v/>
      </c>
      <c r="AX101" s="1459" t="str">
        <f t="shared" si="62"/>
        <v/>
      </c>
      <c r="AY101" s="1459" t="str">
        <f t="shared" si="62"/>
        <v/>
      </c>
      <c r="AZ101" s="1459" t="str">
        <f t="shared" si="62"/>
        <v/>
      </c>
      <c r="BA101" s="1459" t="str">
        <f t="shared" si="62"/>
        <v/>
      </c>
      <c r="BB101" s="1459" t="str">
        <f t="shared" si="62"/>
        <v/>
      </c>
      <c r="BC101" s="1459" t="str">
        <f t="shared" si="61"/>
        <v/>
      </c>
      <c r="BD101" s="1459" t="str">
        <f t="shared" si="61"/>
        <v/>
      </c>
      <c r="BE101" s="1459" t="str">
        <f t="shared" si="61"/>
        <v/>
      </c>
      <c r="BF101" s="1459" t="str">
        <f t="shared" si="61"/>
        <v/>
      </c>
      <c r="BG101" s="1459" t="str">
        <f t="shared" si="61"/>
        <v/>
      </c>
      <c r="BH101" s="1459" t="str">
        <f t="shared" si="58"/>
        <v/>
      </c>
      <c r="BI101" s="1459" t="str">
        <f t="shared" si="58"/>
        <v/>
      </c>
      <c r="BJ101" s="1459" t="str">
        <f t="shared" si="58"/>
        <v/>
      </c>
      <c r="BK101" s="1459"/>
      <c r="BL101" s="1459"/>
      <c r="BM101" s="1459"/>
      <c r="BN101" s="1459"/>
      <c r="BO101" s="1459"/>
      <c r="BP101" s="1459"/>
      <c r="BQ101" s="1459"/>
      <c r="BR101" s="1459"/>
      <c r="BS101" s="1459"/>
      <c r="BT101" s="1459"/>
      <c r="BU101" s="1459"/>
      <c r="BV101" s="1458"/>
      <c r="BW101" s="1443"/>
      <c r="BX101" s="1379"/>
      <c r="BY101" s="1453"/>
      <c r="BZ101" s="1377"/>
      <c r="CA101" s="1377"/>
      <c r="CB101" s="1377"/>
      <c r="CC101" s="1377"/>
      <c r="CD101" s="1377"/>
      <c r="CE101" s="1377"/>
      <c r="CF101" s="1377"/>
    </row>
    <row r="102" spans="1:84" s="1380" customFormat="1" ht="13.8">
      <c r="A102" s="1379"/>
      <c r="B102" s="1461">
        <v>43724</v>
      </c>
      <c r="C102" s="916"/>
      <c r="D102" s="1460" t="s">
        <v>1213</v>
      </c>
      <c r="E102" s="1460"/>
      <c r="F102" s="1420"/>
      <c r="G102" s="1420"/>
      <c r="H102" s="1419"/>
      <c r="I102" s="1418">
        <v>303.27999999999997</v>
      </c>
      <c r="J102" s="1379"/>
      <c r="K102" s="1423"/>
      <c r="L102" s="1421"/>
      <c r="M102" s="1421"/>
      <c r="N102" s="1420"/>
      <c r="O102" s="1420"/>
      <c r="P102" s="1419"/>
      <c r="Q102" s="1418"/>
      <c r="R102" s="1379"/>
      <c r="S102" s="1378"/>
      <c r="T102" s="1381"/>
      <c r="U102" s="1377"/>
      <c r="Y102" s="1377"/>
      <c r="Z102" s="1377"/>
      <c r="AA102" s="1377"/>
      <c r="AB102" s="1379"/>
      <c r="AC102" s="1400" t="str">
        <f t="shared" si="51"/>
        <v/>
      </c>
      <c r="AD102" s="1399"/>
      <c r="AE102" s="1399"/>
      <c r="AF102" s="1399"/>
      <c r="AG102" s="1399"/>
      <c r="AH102" s="1399"/>
      <c r="AI102" s="1399"/>
      <c r="AJ102" s="1399"/>
      <c r="AK102" s="1399"/>
      <c r="AL102" s="1399"/>
      <c r="AM102" s="1399"/>
      <c r="AN102" s="1399"/>
      <c r="AO102" s="1399"/>
      <c r="AP102" s="1399"/>
      <c r="AQ102" s="1399"/>
      <c r="AR102" s="1399"/>
      <c r="AS102" s="1399"/>
      <c r="AT102" s="1459"/>
      <c r="AU102" s="1459"/>
      <c r="AV102" s="1459" t="str">
        <f t="shared" si="62"/>
        <v/>
      </c>
      <c r="AW102" s="1459" t="str">
        <f t="shared" si="62"/>
        <v/>
      </c>
      <c r="AX102" s="1459" t="str">
        <f t="shared" si="62"/>
        <v/>
      </c>
      <c r="AY102" s="1459" t="str">
        <f t="shared" si="62"/>
        <v/>
      </c>
      <c r="AZ102" s="1459" t="str">
        <f t="shared" si="62"/>
        <v/>
      </c>
      <c r="BA102" s="1459" t="str">
        <f t="shared" si="62"/>
        <v/>
      </c>
      <c r="BB102" s="1459" t="str">
        <f t="shared" si="62"/>
        <v/>
      </c>
      <c r="BC102" s="1459" t="str">
        <f t="shared" si="61"/>
        <v/>
      </c>
      <c r="BD102" s="1459" t="str">
        <f t="shared" si="61"/>
        <v/>
      </c>
      <c r="BE102" s="1459" t="str">
        <f t="shared" si="61"/>
        <v/>
      </c>
      <c r="BF102" s="1459" t="str">
        <f t="shared" si="61"/>
        <v/>
      </c>
      <c r="BG102" s="1459" t="str">
        <f t="shared" si="61"/>
        <v/>
      </c>
      <c r="BH102" s="1459" t="str">
        <f t="shared" si="58"/>
        <v/>
      </c>
      <c r="BI102" s="1459" t="str">
        <f t="shared" si="58"/>
        <v/>
      </c>
      <c r="BJ102" s="1459" t="str">
        <f t="shared" si="58"/>
        <v/>
      </c>
      <c r="BK102" s="1459"/>
      <c r="BL102" s="1459"/>
      <c r="BM102" s="1459"/>
      <c r="BN102" s="1459"/>
      <c r="BO102" s="1459"/>
      <c r="BP102" s="1459"/>
      <c r="BQ102" s="1459"/>
      <c r="BR102" s="1459"/>
      <c r="BS102" s="1459"/>
      <c r="BT102" s="1459"/>
      <c r="BU102" s="1458"/>
      <c r="BV102" s="1458"/>
      <c r="BW102" s="1443"/>
      <c r="BX102" s="1453"/>
      <c r="BY102" s="1377"/>
      <c r="BZ102" s="1377"/>
      <c r="CA102" s="1377"/>
      <c r="CB102" s="1377"/>
      <c r="CC102" s="1377"/>
      <c r="CD102" s="1377"/>
      <c r="CE102" s="1377"/>
      <c r="CF102" s="1377"/>
    </row>
    <row r="103" spans="1:84" s="1380" customFormat="1" ht="13.8">
      <c r="A103" s="1379"/>
      <c r="B103" s="1461">
        <v>43711</v>
      </c>
      <c r="C103" s="916"/>
      <c r="D103" s="1460" t="s">
        <v>1213</v>
      </c>
      <c r="E103" s="1460"/>
      <c r="F103" s="1420"/>
      <c r="G103" s="1420"/>
      <c r="H103" s="1419"/>
      <c r="I103" s="1418">
        <v>363.75</v>
      </c>
      <c r="J103" s="1379"/>
      <c r="K103" s="1423"/>
      <c r="L103" s="1421"/>
      <c r="M103" s="1421"/>
      <c r="N103" s="1420"/>
      <c r="O103" s="1420"/>
      <c r="P103" s="1419"/>
      <c r="Q103" s="1418"/>
      <c r="R103" s="1379"/>
      <c r="S103" s="1378"/>
      <c r="T103" s="1381"/>
      <c r="V103" s="1377"/>
      <c r="W103" s="1377"/>
      <c r="X103" s="1377"/>
      <c r="Y103" s="1377"/>
      <c r="Z103" s="1377"/>
      <c r="AA103" s="1377"/>
      <c r="AB103" s="1379"/>
      <c r="AC103" s="1400" t="str">
        <f t="shared" si="51"/>
        <v/>
      </c>
      <c r="AD103" s="1399"/>
      <c r="AE103" s="1399"/>
      <c r="AF103" s="1399"/>
      <c r="AG103" s="1399"/>
      <c r="AH103" s="1399"/>
      <c r="AI103" s="1399"/>
      <c r="AJ103" s="1399"/>
      <c r="AK103" s="1399"/>
      <c r="AL103" s="1399"/>
      <c r="AM103" s="1399"/>
      <c r="AN103" s="1399"/>
      <c r="AO103" s="1399"/>
      <c r="AP103" s="1399"/>
      <c r="AQ103" s="1399"/>
      <c r="AR103" s="1399"/>
      <c r="AS103" s="1399"/>
      <c r="AT103" s="1377"/>
      <c r="AU103" s="1377"/>
      <c r="AV103" s="1459" t="str">
        <f t="shared" si="62"/>
        <v/>
      </c>
      <c r="AW103" s="1459" t="str">
        <f t="shared" si="62"/>
        <v/>
      </c>
      <c r="AX103" s="1459" t="str">
        <f t="shared" si="62"/>
        <v/>
      </c>
      <c r="AY103" s="1459" t="str">
        <f t="shared" si="62"/>
        <v/>
      </c>
      <c r="AZ103" s="1459" t="str">
        <f t="shared" si="62"/>
        <v/>
      </c>
      <c r="BA103" s="1459" t="str">
        <f t="shared" si="62"/>
        <v/>
      </c>
      <c r="BB103" s="1459" t="str">
        <f t="shared" si="62"/>
        <v/>
      </c>
      <c r="BC103" s="1459" t="str">
        <f t="shared" si="61"/>
        <v/>
      </c>
      <c r="BD103" s="1459" t="str">
        <f t="shared" si="61"/>
        <v/>
      </c>
      <c r="BE103" s="1459" t="str">
        <f t="shared" si="61"/>
        <v/>
      </c>
      <c r="BF103" s="1459" t="str">
        <f t="shared" si="61"/>
        <v/>
      </c>
      <c r="BG103" s="1459" t="str">
        <f t="shared" si="61"/>
        <v/>
      </c>
      <c r="BH103" s="1459" t="str">
        <f t="shared" si="58"/>
        <v/>
      </c>
      <c r="BI103" s="1459" t="str">
        <f t="shared" si="58"/>
        <v/>
      </c>
      <c r="BJ103" s="1459" t="str">
        <f t="shared" si="58"/>
        <v/>
      </c>
      <c r="BK103" s="1459"/>
      <c r="BL103" s="1459"/>
      <c r="BQ103" s="1459"/>
      <c r="BR103" s="1459"/>
      <c r="BS103" s="1459"/>
      <c r="BT103" s="1459"/>
      <c r="BU103" s="1458"/>
      <c r="BV103" s="1443"/>
      <c r="BW103" s="1443"/>
      <c r="BX103" s="1453"/>
      <c r="BY103" s="1377"/>
      <c r="BZ103" s="1377"/>
      <c r="CA103" s="1377"/>
      <c r="CB103" s="1377"/>
      <c r="CC103" s="1377"/>
      <c r="CD103" s="1377"/>
      <c r="CE103" s="1377"/>
      <c r="CF103" s="1377"/>
    </row>
    <row r="104" spans="1:84" s="1380" customFormat="1" ht="13.8">
      <c r="A104" s="1379"/>
      <c r="B104" s="1461">
        <v>43693</v>
      </c>
      <c r="C104" s="916"/>
      <c r="D104" s="1460" t="s">
        <v>1213</v>
      </c>
      <c r="E104" s="1460"/>
      <c r="F104" s="1420"/>
      <c r="G104" s="1420"/>
      <c r="H104" s="1419"/>
      <c r="I104" s="1418">
        <v>536.66999999999996</v>
      </c>
      <c r="J104" s="1379"/>
      <c r="K104" s="1423"/>
      <c r="L104" s="1421"/>
      <c r="M104" s="1421"/>
      <c r="N104" s="1420"/>
      <c r="O104" s="1420"/>
      <c r="P104" s="1419"/>
      <c r="Q104" s="1418"/>
      <c r="R104" s="1379"/>
      <c r="S104" s="1378"/>
      <c r="T104" s="1381"/>
      <c r="V104" s="1377"/>
      <c r="W104" s="1377"/>
      <c r="X104" s="1377"/>
      <c r="AB104" s="1379"/>
      <c r="AC104" s="1400" t="str">
        <f t="shared" si="51"/>
        <v/>
      </c>
      <c r="AD104" s="1399"/>
      <c r="AE104" s="1399"/>
      <c r="AF104" s="1399"/>
      <c r="AG104" s="1399"/>
      <c r="AH104" s="1399"/>
      <c r="AI104" s="1399"/>
      <c r="AJ104" s="1399"/>
      <c r="AK104" s="1399"/>
      <c r="AL104" s="1399"/>
      <c r="AM104" s="1399"/>
      <c r="AN104" s="1399"/>
      <c r="AO104" s="1399"/>
      <c r="AP104" s="1399"/>
      <c r="AQ104" s="1399"/>
      <c r="AR104" s="1399"/>
      <c r="AS104" s="1399"/>
      <c r="AT104" s="1459"/>
      <c r="AU104" s="1459"/>
      <c r="AV104" s="1459" t="str">
        <f t="shared" si="62"/>
        <v/>
      </c>
      <c r="AW104" s="1459" t="str">
        <f t="shared" si="62"/>
        <v/>
      </c>
      <c r="AX104" s="1459" t="str">
        <f t="shared" si="62"/>
        <v/>
      </c>
      <c r="AY104" s="1459" t="str">
        <f t="shared" si="62"/>
        <v/>
      </c>
      <c r="AZ104" s="1459" t="str">
        <f t="shared" si="62"/>
        <v/>
      </c>
      <c r="BA104" s="1459" t="str">
        <f t="shared" si="62"/>
        <v/>
      </c>
      <c r="BB104" s="1459" t="str">
        <f t="shared" si="62"/>
        <v/>
      </c>
      <c r="BC104" s="1459" t="str">
        <f t="shared" si="61"/>
        <v/>
      </c>
      <c r="BD104" s="1459" t="str">
        <f t="shared" si="61"/>
        <v/>
      </c>
      <c r="BE104" s="1459" t="str">
        <f t="shared" si="61"/>
        <v/>
      </c>
      <c r="BF104" s="1459" t="str">
        <f t="shared" si="61"/>
        <v/>
      </c>
      <c r="BG104" s="1459" t="str">
        <f t="shared" si="61"/>
        <v/>
      </c>
      <c r="BH104" s="1459" t="str">
        <f t="shared" si="58"/>
        <v/>
      </c>
      <c r="BI104" s="1459" t="str">
        <f t="shared" si="58"/>
        <v/>
      </c>
      <c r="BJ104" s="1459" t="str">
        <f t="shared" si="58"/>
        <v/>
      </c>
      <c r="BK104" s="1459"/>
      <c r="BL104" s="1459"/>
      <c r="BM104" s="1459"/>
      <c r="BN104" s="1459"/>
      <c r="BO104" s="1459"/>
      <c r="BP104" s="1459"/>
      <c r="BQ104" s="1459"/>
      <c r="BR104" s="1459"/>
      <c r="BS104" s="1459"/>
      <c r="BT104" s="1459"/>
      <c r="BU104" s="1458"/>
      <c r="BV104" s="1443"/>
      <c r="BW104" s="1442"/>
      <c r="BX104" s="1377"/>
      <c r="BY104" s="1377"/>
      <c r="BZ104" s="1377"/>
      <c r="CA104" s="1377"/>
      <c r="CB104" s="1377"/>
      <c r="CC104" s="1377"/>
      <c r="CD104" s="1377"/>
      <c r="CE104" s="1377"/>
      <c r="CF104" s="1377"/>
    </row>
    <row r="105" spans="1:84" s="1380" customFormat="1" ht="13.8">
      <c r="A105" s="1379"/>
      <c r="B105" s="1461">
        <v>43690</v>
      </c>
      <c r="C105" s="916"/>
      <c r="D105" s="1460" t="s">
        <v>1213</v>
      </c>
      <c r="E105" s="1460"/>
      <c r="F105" s="1420"/>
      <c r="G105" s="1420"/>
      <c r="H105" s="1419"/>
      <c r="I105" s="1418">
        <v>23.54</v>
      </c>
      <c r="J105" s="1379"/>
      <c r="K105" s="1423"/>
      <c r="L105" s="1421"/>
      <c r="M105" s="1421"/>
      <c r="N105" s="1420"/>
      <c r="O105" s="1420"/>
      <c r="P105" s="1419"/>
      <c r="Q105" s="1418"/>
      <c r="R105" s="1379"/>
      <c r="S105" s="1378"/>
      <c r="T105" s="1381"/>
      <c r="V105" s="1377"/>
      <c r="W105" s="1377"/>
      <c r="X105" s="1377"/>
      <c r="AB105" s="1379"/>
      <c r="AC105" s="1400" t="str">
        <f t="shared" si="51"/>
        <v/>
      </c>
      <c r="AD105" s="1399"/>
      <c r="AE105" s="1399"/>
      <c r="AF105" s="1399"/>
      <c r="AG105" s="1399"/>
      <c r="AH105" s="1399"/>
      <c r="AI105" s="1399"/>
      <c r="AJ105" s="1399"/>
      <c r="AK105" s="1399"/>
      <c r="AL105" s="1399"/>
      <c r="AM105" s="1399"/>
      <c r="AN105" s="1399"/>
      <c r="AO105" s="1399"/>
      <c r="AP105" s="1399"/>
      <c r="AQ105" s="1399"/>
      <c r="AR105" s="1399"/>
      <c r="AS105" s="1399"/>
      <c r="AT105" s="1377"/>
      <c r="AU105" s="1377"/>
      <c r="AV105" s="1459" t="str">
        <f t="shared" si="62"/>
        <v/>
      </c>
      <c r="AW105" s="1459" t="str">
        <f t="shared" si="62"/>
        <v/>
      </c>
      <c r="AX105" s="1459" t="str">
        <f t="shared" si="62"/>
        <v/>
      </c>
      <c r="AY105" s="1459" t="str">
        <f t="shared" si="62"/>
        <v/>
      </c>
      <c r="AZ105" s="1459" t="str">
        <f t="shared" si="62"/>
        <v/>
      </c>
      <c r="BA105" s="1459" t="str">
        <f t="shared" si="62"/>
        <v/>
      </c>
      <c r="BB105" s="1459" t="str">
        <f t="shared" si="62"/>
        <v/>
      </c>
      <c r="BC105" s="1459" t="str">
        <f t="shared" si="61"/>
        <v/>
      </c>
      <c r="BD105" s="1459" t="str">
        <f t="shared" si="61"/>
        <v/>
      </c>
      <c r="BE105" s="1459" t="str">
        <f t="shared" si="61"/>
        <v/>
      </c>
      <c r="BF105" s="1459" t="str">
        <f t="shared" si="61"/>
        <v/>
      </c>
      <c r="BG105" s="1459" t="str">
        <f t="shared" si="61"/>
        <v/>
      </c>
      <c r="BH105" s="1459" t="str">
        <f t="shared" si="58"/>
        <v/>
      </c>
      <c r="BI105" s="1459" t="str">
        <f t="shared" si="58"/>
        <v/>
      </c>
      <c r="BJ105" s="1459" t="str">
        <f t="shared" si="58"/>
        <v/>
      </c>
      <c r="BK105" s="1459"/>
      <c r="BL105" s="1459"/>
      <c r="BM105" s="1459"/>
      <c r="BN105" s="1459"/>
      <c r="BO105" s="1459"/>
      <c r="BP105" s="1459"/>
      <c r="BQ105" s="1459"/>
      <c r="BR105" s="1459"/>
      <c r="BS105" s="1459"/>
      <c r="BT105" s="1458"/>
      <c r="BU105" s="1443"/>
      <c r="BV105" s="1443"/>
      <c r="BW105" s="1442"/>
      <c r="BX105" s="1377"/>
      <c r="BY105" s="1377"/>
      <c r="BZ105" s="1377"/>
      <c r="CA105" s="1377"/>
      <c r="CB105" s="1377"/>
      <c r="CC105" s="1377"/>
      <c r="CD105" s="1377"/>
      <c r="CE105" s="1377"/>
      <c r="CF105" s="1377"/>
    </row>
    <row r="106" spans="1:84" s="1379" customFormat="1" ht="13.8">
      <c r="B106" s="1461">
        <v>43686</v>
      </c>
      <c r="C106" s="916"/>
      <c r="D106" s="1460" t="s">
        <v>1213</v>
      </c>
      <c r="E106" s="1460"/>
      <c r="F106" s="1420"/>
      <c r="G106" s="1420"/>
      <c r="H106" s="1419"/>
      <c r="I106" s="1418">
        <v>103.75</v>
      </c>
      <c r="K106" s="1423"/>
      <c r="L106" s="1421"/>
      <c r="M106" s="1421"/>
      <c r="N106" s="1420"/>
      <c r="O106" s="1420"/>
      <c r="P106" s="1419"/>
      <c r="Q106" s="1418"/>
      <c r="S106" s="1378"/>
      <c r="T106" s="1381"/>
      <c r="U106" s="1380"/>
      <c r="V106" s="1377"/>
      <c r="W106" s="1377"/>
      <c r="X106" s="1377"/>
      <c r="Y106" s="1380"/>
      <c r="Z106" s="1380"/>
      <c r="AA106" s="1380"/>
      <c r="AC106" s="1400" t="str">
        <f t="shared" si="51"/>
        <v/>
      </c>
      <c r="AD106" s="1399"/>
      <c r="AE106" s="1399"/>
      <c r="AF106" s="1399"/>
      <c r="AG106" s="1399"/>
      <c r="AH106" s="1399"/>
      <c r="AI106" s="1399"/>
      <c r="AJ106" s="1399"/>
      <c r="AK106" s="1399"/>
      <c r="AL106" s="1399"/>
      <c r="AM106" s="1399"/>
      <c r="AN106" s="1399"/>
      <c r="AO106" s="1399"/>
      <c r="AP106" s="1399"/>
      <c r="AQ106" s="1399"/>
      <c r="AR106" s="1399"/>
      <c r="AS106" s="1399"/>
      <c r="AT106" s="1459"/>
      <c r="AU106" s="1459"/>
      <c r="AV106" s="1459" t="str">
        <f t="shared" si="62"/>
        <v/>
      </c>
      <c r="AW106" s="1459" t="str">
        <f t="shared" si="62"/>
        <v/>
      </c>
      <c r="AX106" s="1459" t="str">
        <f t="shared" si="62"/>
        <v/>
      </c>
      <c r="AY106" s="1459" t="str">
        <f t="shared" si="62"/>
        <v/>
      </c>
      <c r="AZ106" s="1459" t="str">
        <f t="shared" si="62"/>
        <v/>
      </c>
      <c r="BA106" s="1459" t="str">
        <f t="shared" si="62"/>
        <v/>
      </c>
      <c r="BB106" s="1459" t="str">
        <f t="shared" si="62"/>
        <v/>
      </c>
      <c r="BC106" s="1459" t="str">
        <f t="shared" si="61"/>
        <v/>
      </c>
      <c r="BD106" s="1459" t="str">
        <f t="shared" si="61"/>
        <v/>
      </c>
      <c r="BE106" s="1459" t="str">
        <f t="shared" si="61"/>
        <v/>
      </c>
      <c r="BF106" s="1459" t="str">
        <f t="shared" si="61"/>
        <v/>
      </c>
      <c r="BG106" s="1459" t="str">
        <f t="shared" si="61"/>
        <v/>
      </c>
      <c r="BH106" s="1459"/>
      <c r="BI106" s="1459"/>
      <c r="BJ106" s="1459"/>
      <c r="BK106" s="1380"/>
      <c r="BL106" s="1380"/>
      <c r="BM106" s="1459"/>
      <c r="BN106" s="1459"/>
      <c r="BO106" s="1459"/>
      <c r="BP106" s="1459"/>
      <c r="BQ106" s="1459"/>
      <c r="BR106" s="1459"/>
      <c r="BS106" s="1459"/>
      <c r="BT106" s="1458"/>
      <c r="BU106" s="1443"/>
      <c r="BV106" s="1442"/>
      <c r="BX106" s="1377"/>
      <c r="BY106" s="1377"/>
      <c r="BZ106" s="1377"/>
      <c r="CA106" s="1377"/>
      <c r="CB106" s="1377"/>
      <c r="CC106" s="1377"/>
      <c r="CD106" s="1377"/>
      <c r="CE106" s="1377"/>
      <c r="CF106" s="1377"/>
    </row>
    <row r="107" spans="1:84" s="1379" customFormat="1" ht="13.8">
      <c r="B107" s="1461">
        <v>43682</v>
      </c>
      <c r="C107" s="916"/>
      <c r="D107" s="1460" t="s">
        <v>1213</v>
      </c>
      <c r="E107" s="1460"/>
      <c r="F107" s="1420"/>
      <c r="G107" s="1420"/>
      <c r="H107" s="1419"/>
      <c r="I107" s="1418">
        <v>300.06</v>
      </c>
      <c r="K107" s="1423"/>
      <c r="L107" s="1421"/>
      <c r="M107" s="1421"/>
      <c r="N107" s="1420"/>
      <c r="O107" s="1420"/>
      <c r="P107" s="1419"/>
      <c r="Q107" s="1418"/>
      <c r="S107" s="1378"/>
      <c r="T107" s="1381"/>
      <c r="U107" s="1380"/>
      <c r="V107" s="1377"/>
      <c r="W107" s="1377"/>
      <c r="X107" s="1377"/>
      <c r="Y107" s="1380"/>
      <c r="Z107" s="1380"/>
      <c r="AA107" s="1380"/>
      <c r="AC107" s="1400" t="str">
        <f t="shared" si="51"/>
        <v/>
      </c>
      <c r="AD107" s="1399"/>
      <c r="AE107" s="1399"/>
      <c r="AF107" s="1399"/>
      <c r="AG107" s="1399"/>
      <c r="AH107" s="1399"/>
      <c r="AI107" s="1399"/>
      <c r="AJ107" s="1399"/>
      <c r="AK107" s="1399"/>
      <c r="AL107" s="1399"/>
      <c r="AM107" s="1399"/>
      <c r="AN107" s="1399"/>
      <c r="AO107" s="1399"/>
      <c r="AP107" s="1399"/>
      <c r="AQ107" s="1399"/>
      <c r="AR107" s="1399"/>
      <c r="AS107" s="1399"/>
      <c r="AT107" s="1459"/>
      <c r="AU107" s="1459"/>
      <c r="AV107" s="1459" t="str">
        <f t="shared" si="62"/>
        <v/>
      </c>
      <c r="AW107" s="1459" t="str">
        <f t="shared" si="62"/>
        <v/>
      </c>
      <c r="AX107" s="1459" t="str">
        <f t="shared" si="62"/>
        <v/>
      </c>
      <c r="AY107" s="1459" t="str">
        <f t="shared" si="62"/>
        <v/>
      </c>
      <c r="AZ107" s="1459" t="str">
        <f t="shared" si="62"/>
        <v/>
      </c>
      <c r="BA107" s="1459" t="str">
        <f t="shared" si="62"/>
        <v/>
      </c>
      <c r="BB107" s="1459" t="str">
        <f t="shared" si="62"/>
        <v/>
      </c>
      <c r="BC107" s="1459" t="str">
        <f t="shared" si="61"/>
        <v/>
      </c>
      <c r="BD107" s="1459" t="str">
        <f t="shared" si="61"/>
        <v/>
      </c>
      <c r="BE107" s="1459" t="str">
        <f t="shared" si="61"/>
        <v/>
      </c>
      <c r="BF107" s="1459" t="str">
        <f t="shared" si="61"/>
        <v/>
      </c>
      <c r="BG107" s="1459" t="str">
        <f t="shared" si="61"/>
        <v/>
      </c>
      <c r="BH107" s="1459"/>
      <c r="BI107" s="1459"/>
      <c r="BJ107" s="1459"/>
      <c r="BK107" s="1459"/>
      <c r="BL107" s="1459"/>
      <c r="BM107" s="1459"/>
      <c r="BN107" s="1459"/>
      <c r="BO107" s="1459"/>
      <c r="BP107" s="1459"/>
      <c r="BQ107" s="1459"/>
      <c r="BR107" s="1459"/>
      <c r="BS107" s="1459"/>
      <c r="BT107" s="1458"/>
      <c r="BU107" s="1443"/>
      <c r="BV107" s="1442"/>
      <c r="BW107" s="1453"/>
      <c r="BX107" s="1377"/>
      <c r="BY107" s="1377"/>
      <c r="BZ107" s="1377"/>
      <c r="CA107" s="1377"/>
      <c r="CB107" s="1377"/>
      <c r="CC107" s="1377"/>
      <c r="CD107" s="1377"/>
      <c r="CE107" s="1377"/>
      <c r="CF107" s="1377"/>
    </row>
    <row r="108" spans="1:84" s="1379" customFormat="1" ht="13.8">
      <c r="B108" s="1461">
        <v>43664</v>
      </c>
      <c r="C108" s="916"/>
      <c r="D108" s="1460" t="s">
        <v>1213</v>
      </c>
      <c r="E108" s="1460"/>
      <c r="F108" s="1420"/>
      <c r="G108" s="1420"/>
      <c r="H108" s="1419"/>
      <c r="I108" s="1418">
        <v>470.96</v>
      </c>
      <c r="K108" s="1423"/>
      <c r="L108" s="1421"/>
      <c r="M108" s="1421"/>
      <c r="N108" s="1420"/>
      <c r="O108" s="1420"/>
      <c r="P108" s="1419"/>
      <c r="Q108" s="1418"/>
      <c r="S108" s="1378"/>
      <c r="T108" s="1381"/>
      <c r="U108" s="1380"/>
      <c r="V108" s="1380"/>
      <c r="W108" s="1380"/>
      <c r="X108" s="1380"/>
      <c r="Y108" s="1380"/>
      <c r="Z108" s="1380"/>
      <c r="AA108" s="1380"/>
      <c r="AC108" s="1400" t="str">
        <f t="shared" si="51"/>
        <v/>
      </c>
      <c r="AD108" s="1399"/>
      <c r="AE108" s="1399"/>
      <c r="AF108" s="1399"/>
      <c r="AG108" s="1399"/>
      <c r="AH108" s="1399"/>
      <c r="AI108" s="1399"/>
      <c r="AJ108" s="1399"/>
      <c r="AK108" s="1399"/>
      <c r="AL108" s="1399"/>
      <c r="AM108" s="1399"/>
      <c r="AN108" s="1399"/>
      <c r="AO108" s="1399"/>
      <c r="AP108" s="1399"/>
      <c r="AQ108" s="1399"/>
      <c r="AR108" s="1399"/>
      <c r="AS108" s="1399"/>
      <c r="AT108" s="1459"/>
      <c r="AU108" s="1459"/>
      <c r="AV108" s="1459" t="str">
        <f t="shared" si="62"/>
        <v/>
      </c>
      <c r="AW108" s="1459" t="str">
        <f t="shared" si="62"/>
        <v/>
      </c>
      <c r="AX108" s="1459" t="str">
        <f t="shared" si="62"/>
        <v/>
      </c>
      <c r="AY108" s="1459" t="str">
        <f t="shared" si="62"/>
        <v/>
      </c>
      <c r="AZ108" s="1459" t="str">
        <f t="shared" si="62"/>
        <v/>
      </c>
      <c r="BA108" s="1459" t="str">
        <f t="shared" si="62"/>
        <v/>
      </c>
      <c r="BB108" s="1459" t="str">
        <f t="shared" si="62"/>
        <v/>
      </c>
      <c r="BC108" s="1459" t="str">
        <f t="shared" si="61"/>
        <v/>
      </c>
      <c r="BD108" s="1459" t="str">
        <f t="shared" si="61"/>
        <v/>
      </c>
      <c r="BE108" s="1459" t="str">
        <f t="shared" si="61"/>
        <v/>
      </c>
      <c r="BF108" s="1459" t="str">
        <f t="shared" si="61"/>
        <v/>
      </c>
      <c r="BG108" s="1459" t="str">
        <f t="shared" si="61"/>
        <v/>
      </c>
      <c r="BH108" s="1459"/>
      <c r="BI108" s="1459"/>
      <c r="BJ108" s="1459"/>
      <c r="BK108" s="1459"/>
      <c r="BL108" s="1459"/>
      <c r="BM108" s="1459"/>
      <c r="BN108" s="1459"/>
      <c r="BO108" s="1459"/>
      <c r="BP108" s="1459"/>
      <c r="BQ108" s="1459"/>
      <c r="BR108" s="1459"/>
      <c r="BS108" s="1458"/>
      <c r="BT108" s="1443"/>
      <c r="BU108" s="1442"/>
      <c r="BW108" s="1453"/>
      <c r="BX108" s="1377"/>
      <c r="BY108" s="1377"/>
      <c r="BZ108" s="1377"/>
      <c r="CA108" s="1377"/>
      <c r="CB108" s="1377"/>
      <c r="CC108" s="1377"/>
      <c r="CD108" s="1377"/>
      <c r="CE108" s="1377"/>
      <c r="CF108" s="1377"/>
    </row>
    <row r="109" spans="1:84" s="1379" customFormat="1" ht="13.8">
      <c r="B109" s="1461">
        <v>43656</v>
      </c>
      <c r="C109" s="916"/>
      <c r="D109" s="1460" t="s">
        <v>1213</v>
      </c>
      <c r="E109" s="1460"/>
      <c r="F109" s="1420"/>
      <c r="G109" s="1420"/>
      <c r="H109" s="1419"/>
      <c r="I109" s="1418">
        <v>250.02</v>
      </c>
      <c r="K109" s="1423"/>
      <c r="L109" s="1421"/>
      <c r="M109" s="1421"/>
      <c r="N109" s="1420"/>
      <c r="O109" s="1420"/>
      <c r="P109" s="1419"/>
      <c r="Q109" s="1418"/>
      <c r="S109" s="1378"/>
      <c r="T109" s="1381"/>
      <c r="U109" s="1380"/>
      <c r="V109" s="1380"/>
      <c r="W109" s="1380"/>
      <c r="X109" s="1380"/>
      <c r="Y109" s="1380"/>
      <c r="Z109" s="1380"/>
      <c r="AA109" s="1380"/>
      <c r="AC109" s="1400" t="str">
        <f t="shared" si="51"/>
        <v/>
      </c>
      <c r="AD109" s="1399"/>
      <c r="AE109" s="1399"/>
      <c r="AF109" s="1399"/>
      <c r="AG109" s="1399"/>
      <c r="AH109" s="1399"/>
      <c r="AI109" s="1399"/>
      <c r="AJ109" s="1399"/>
      <c r="AK109" s="1399"/>
      <c r="AL109" s="1399"/>
      <c r="AM109" s="1399"/>
      <c r="AN109" s="1399"/>
      <c r="AO109" s="1399"/>
      <c r="AP109" s="1399"/>
      <c r="AQ109" s="1399"/>
      <c r="AR109" s="1399"/>
      <c r="AS109" s="1399"/>
      <c r="AT109" s="1459"/>
      <c r="AU109" s="1459"/>
      <c r="AV109" s="1459" t="str">
        <f t="shared" si="62"/>
        <v/>
      </c>
      <c r="AW109" s="1459" t="str">
        <f t="shared" si="62"/>
        <v/>
      </c>
      <c r="AX109" s="1459" t="str">
        <f t="shared" si="62"/>
        <v/>
      </c>
      <c r="AY109" s="1459" t="str">
        <f t="shared" si="62"/>
        <v/>
      </c>
      <c r="AZ109" s="1459" t="str">
        <f t="shared" si="62"/>
        <v/>
      </c>
      <c r="BA109" s="1459" t="str">
        <f t="shared" si="62"/>
        <v/>
      </c>
      <c r="BB109" s="1459" t="str">
        <f t="shared" si="62"/>
        <v/>
      </c>
      <c r="BC109" s="1459"/>
      <c r="BD109" s="1459"/>
      <c r="BE109" s="1459"/>
      <c r="BF109" s="1459"/>
      <c r="BG109" s="1459"/>
      <c r="BH109" s="1459"/>
      <c r="BI109" s="1459"/>
      <c r="BJ109" s="1459"/>
      <c r="BK109" s="1459"/>
      <c r="BL109" s="1459"/>
      <c r="BM109" s="1459"/>
      <c r="BN109" s="1459"/>
      <c r="BO109" s="1459"/>
      <c r="BP109" s="1459"/>
      <c r="BQ109" s="1459"/>
      <c r="BR109" s="1459"/>
      <c r="BS109" s="1458"/>
      <c r="BT109" s="1443"/>
      <c r="BU109" s="1442"/>
      <c r="BV109" s="1453"/>
      <c r="BW109" s="1377"/>
      <c r="BX109" s="1377"/>
      <c r="BY109" s="1377"/>
      <c r="BZ109" s="1377"/>
      <c r="CA109" s="1377"/>
      <c r="CB109" s="1377"/>
      <c r="CC109" s="1377"/>
      <c r="CD109" s="1377"/>
      <c r="CE109" s="1377"/>
      <c r="CF109" s="1377"/>
    </row>
    <row r="110" spans="1:84" s="1379" customFormat="1" ht="13.8">
      <c r="B110" s="1461">
        <v>43619</v>
      </c>
      <c r="C110" s="916"/>
      <c r="D110" s="1460" t="s">
        <v>1213</v>
      </c>
      <c r="E110" s="1460"/>
      <c r="F110" s="1420"/>
      <c r="G110" s="1420"/>
      <c r="H110" s="1419"/>
      <c r="I110" s="1418">
        <v>200.01</v>
      </c>
      <c r="K110" s="1423"/>
      <c r="L110" s="1421"/>
      <c r="M110" s="1421"/>
      <c r="N110" s="1420"/>
      <c r="O110" s="1420"/>
      <c r="P110" s="1419"/>
      <c r="Q110" s="1418"/>
      <c r="S110" s="1378"/>
      <c r="T110" s="1381"/>
      <c r="U110" s="1380"/>
      <c r="V110" s="1380"/>
      <c r="W110" s="1380"/>
      <c r="X110" s="1380"/>
      <c r="Y110" s="1380"/>
      <c r="Z110" s="1380"/>
      <c r="AA110" s="1380"/>
      <c r="AC110" s="1400" t="str">
        <f t="shared" si="51"/>
        <v/>
      </c>
      <c r="AD110" s="1399"/>
      <c r="AE110" s="1399"/>
      <c r="AF110" s="1399"/>
      <c r="AG110" s="1399"/>
      <c r="AH110" s="1399"/>
      <c r="AI110" s="1399"/>
      <c r="AJ110" s="1399"/>
      <c r="AK110" s="1399"/>
      <c r="AL110" s="1399"/>
      <c r="AM110" s="1399"/>
      <c r="AN110" s="1399"/>
      <c r="AO110" s="1399"/>
      <c r="AP110" s="1399"/>
      <c r="AQ110" s="1399"/>
      <c r="AR110" s="1399"/>
      <c r="AS110" s="1399"/>
      <c r="AT110" s="1459"/>
      <c r="AU110" s="1459"/>
      <c r="AV110" s="1459" t="str">
        <f t="shared" si="62"/>
        <v/>
      </c>
      <c r="AW110" s="1459" t="str">
        <f t="shared" si="62"/>
        <v/>
      </c>
      <c r="AX110" s="1459" t="str">
        <f t="shared" si="62"/>
        <v/>
      </c>
      <c r="AY110" s="1459" t="str">
        <f t="shared" si="62"/>
        <v/>
      </c>
      <c r="AZ110" s="1459" t="str">
        <f t="shared" si="62"/>
        <v/>
      </c>
      <c r="BA110" s="1459" t="str">
        <f t="shared" si="62"/>
        <v/>
      </c>
      <c r="BB110" s="1459" t="str">
        <f t="shared" si="62"/>
        <v/>
      </c>
      <c r="BC110" s="1459"/>
      <c r="BD110" s="1459"/>
      <c r="BE110" s="1459"/>
      <c r="BF110" s="1459"/>
      <c r="BG110" s="1459"/>
      <c r="BH110" s="1459"/>
      <c r="BI110" s="1459"/>
      <c r="BJ110" s="1459"/>
      <c r="BK110" s="1459"/>
      <c r="BL110" s="1459"/>
      <c r="BM110" s="1459"/>
      <c r="BN110" s="1459"/>
      <c r="BO110" s="1459"/>
      <c r="BP110" s="1459"/>
      <c r="BQ110" s="1459"/>
      <c r="BR110" s="1458"/>
      <c r="BS110" s="1458"/>
      <c r="BT110" s="1443"/>
      <c r="BV110" s="1453"/>
      <c r="BW110" s="1377"/>
      <c r="BX110" s="1377"/>
      <c r="BY110" s="1377"/>
      <c r="BZ110" s="1377"/>
      <c r="CA110" s="1377"/>
      <c r="CB110" s="1377"/>
      <c r="CC110" s="1377"/>
      <c r="CD110" s="1377"/>
      <c r="CE110" s="1377"/>
      <c r="CF110" s="1377"/>
    </row>
    <row r="111" spans="1:84" s="1379" customFormat="1" ht="13.8">
      <c r="B111" s="1461">
        <v>43632</v>
      </c>
      <c r="C111" s="916"/>
      <c r="D111" s="1460" t="s">
        <v>1213</v>
      </c>
      <c r="E111" s="1460"/>
      <c r="F111" s="1420"/>
      <c r="G111" s="1420"/>
      <c r="H111" s="1419"/>
      <c r="I111" s="1418">
        <v>549.09</v>
      </c>
      <c r="K111" s="1423"/>
      <c r="L111" s="1421"/>
      <c r="M111" s="1421"/>
      <c r="N111" s="1420"/>
      <c r="O111" s="1420"/>
      <c r="P111" s="1419"/>
      <c r="Q111" s="1418"/>
      <c r="S111" s="1378"/>
      <c r="T111" s="1381"/>
      <c r="U111" s="1380"/>
      <c r="V111" s="1380"/>
      <c r="W111" s="1380"/>
      <c r="X111" s="1380"/>
      <c r="Y111" s="1380"/>
      <c r="Z111" s="1380"/>
      <c r="AA111" s="1380"/>
      <c r="AC111" s="1400" t="str">
        <f t="shared" si="51"/>
        <v/>
      </c>
      <c r="AD111" s="1399"/>
      <c r="AE111" s="1399"/>
      <c r="AF111" s="1399"/>
      <c r="AG111" s="1399"/>
      <c r="AH111" s="1399"/>
      <c r="AI111" s="1399"/>
      <c r="AJ111" s="1399"/>
      <c r="AK111" s="1399"/>
      <c r="AL111" s="1399"/>
      <c r="AM111" s="1399"/>
      <c r="AN111" s="1399"/>
      <c r="AO111" s="1399"/>
      <c r="AP111" s="1399"/>
      <c r="AQ111" s="1399"/>
      <c r="AR111" s="1399"/>
      <c r="AS111" s="1399"/>
      <c r="AT111" s="1459"/>
      <c r="AU111" s="1459"/>
      <c r="AV111" s="1459"/>
      <c r="AW111" s="1459"/>
      <c r="AX111" s="1459"/>
      <c r="AY111" s="1459"/>
      <c r="AZ111" s="1459"/>
      <c r="BA111" s="1459"/>
      <c r="BB111" s="1459"/>
      <c r="BC111" s="1459"/>
      <c r="BD111" s="1459"/>
      <c r="BE111" s="1459"/>
      <c r="BF111" s="1459"/>
      <c r="BG111" s="1459"/>
      <c r="BH111" s="1380"/>
      <c r="BI111" s="1380"/>
      <c r="BJ111" s="1380"/>
      <c r="BK111" s="1459"/>
      <c r="BL111" s="1459"/>
      <c r="BM111" s="1459"/>
      <c r="BN111" s="1459"/>
      <c r="BO111" s="1459"/>
      <c r="BP111" s="1459"/>
      <c r="BQ111" s="1459"/>
      <c r="BR111" s="1458"/>
      <c r="BS111" s="1443"/>
      <c r="BT111" s="1442"/>
      <c r="BU111" s="1453"/>
      <c r="BV111" s="1377"/>
      <c r="BW111" s="1377"/>
      <c r="BX111" s="1377"/>
      <c r="BY111" s="1377"/>
      <c r="BZ111" s="1377"/>
      <c r="CA111" s="1377"/>
      <c r="CB111" s="1377"/>
      <c r="CC111" s="1377"/>
      <c r="CD111" s="1377"/>
      <c r="CE111" s="1377"/>
      <c r="CF111" s="1377"/>
    </row>
    <row r="112" spans="1:84" s="1379" customFormat="1" ht="13.8">
      <c r="B112" s="1461">
        <v>43607</v>
      </c>
      <c r="C112" s="916"/>
      <c r="D112" s="1460" t="s">
        <v>1213</v>
      </c>
      <c r="E112" s="1460"/>
      <c r="F112" s="1420"/>
      <c r="G112" s="1420"/>
      <c r="H112" s="1419"/>
      <c r="I112" s="1418">
        <v>488.4</v>
      </c>
      <c r="K112" s="1423"/>
      <c r="L112" s="1421"/>
      <c r="M112" s="1421"/>
      <c r="N112" s="1420"/>
      <c r="O112" s="1420"/>
      <c r="P112" s="1419"/>
      <c r="Q112" s="1418"/>
      <c r="S112" s="1378"/>
      <c r="T112" s="1381"/>
      <c r="U112" s="1380"/>
      <c r="V112" s="1380"/>
      <c r="W112" s="1380"/>
      <c r="X112" s="1380"/>
      <c r="Y112" s="1380"/>
      <c r="Z112" s="1380"/>
      <c r="AA112" s="1380"/>
      <c r="AC112" s="1400" t="str">
        <f t="shared" si="51"/>
        <v/>
      </c>
      <c r="AD112" s="1399"/>
      <c r="AE112" s="1399"/>
      <c r="AF112" s="1399"/>
      <c r="AG112" s="1399"/>
      <c r="AH112" s="1399"/>
      <c r="AI112" s="1399"/>
      <c r="AJ112" s="1399"/>
      <c r="AK112" s="1399"/>
      <c r="AL112" s="1399"/>
      <c r="AM112" s="1399"/>
      <c r="AN112" s="1399"/>
      <c r="AO112" s="1399"/>
      <c r="AP112" s="1399"/>
      <c r="AQ112" s="1399"/>
      <c r="AR112" s="1399"/>
      <c r="AS112" s="1399"/>
      <c r="AT112" s="1459"/>
      <c r="AU112" s="1459"/>
      <c r="AV112" s="1459"/>
      <c r="AW112" s="1459"/>
      <c r="AX112" s="1459"/>
      <c r="AY112" s="1459"/>
      <c r="AZ112" s="1459"/>
      <c r="BA112" s="1459"/>
      <c r="BB112" s="1459"/>
      <c r="BC112" s="1459"/>
      <c r="BD112" s="1459"/>
      <c r="BE112" s="1459"/>
      <c r="BF112" s="1459"/>
      <c r="BG112" s="1459"/>
      <c r="BH112" s="1459"/>
      <c r="BI112" s="1459"/>
      <c r="BJ112" s="1459"/>
      <c r="BK112" s="1459"/>
      <c r="BL112" s="1459"/>
      <c r="BM112" s="1459"/>
      <c r="BN112" s="1459"/>
      <c r="BO112" s="1459"/>
      <c r="BP112" s="1459"/>
      <c r="BQ112" s="1459"/>
      <c r="BR112" s="1458"/>
      <c r="BS112" s="1443"/>
      <c r="BT112" s="1442"/>
      <c r="BU112" s="1453"/>
      <c r="BV112" s="1377"/>
      <c r="BW112" s="1377"/>
      <c r="BX112" s="1377"/>
      <c r="BY112" s="1377"/>
      <c r="BZ112" s="1377"/>
      <c r="CA112" s="1377"/>
      <c r="CB112" s="1377"/>
      <c r="CC112" s="1377"/>
      <c r="CD112" s="1377"/>
      <c r="CE112" s="1377"/>
      <c r="CF112" s="1377"/>
    </row>
    <row r="113" spans="2:84" s="1379" customFormat="1" ht="13.8">
      <c r="B113" s="1461">
        <v>43607</v>
      </c>
      <c r="C113" s="916"/>
      <c r="D113" s="1460" t="s">
        <v>1213</v>
      </c>
      <c r="E113" s="1460"/>
      <c r="F113" s="1420"/>
      <c r="G113" s="1420"/>
      <c r="H113" s="1419"/>
      <c r="I113" s="1418">
        <v>56.84</v>
      </c>
      <c r="K113" s="1423"/>
      <c r="L113" s="1421"/>
      <c r="M113" s="1421"/>
      <c r="N113" s="1420"/>
      <c r="O113" s="1420"/>
      <c r="P113" s="1419"/>
      <c r="Q113" s="1418"/>
      <c r="S113" s="1378"/>
      <c r="T113" s="1381"/>
      <c r="U113" s="1380"/>
      <c r="V113" s="1380"/>
      <c r="W113" s="1380"/>
      <c r="X113" s="1380"/>
      <c r="Y113" s="1380"/>
      <c r="Z113" s="1380"/>
      <c r="AA113" s="1380"/>
      <c r="AC113" s="1400" t="str">
        <f t="shared" si="51"/>
        <v/>
      </c>
      <c r="AD113" s="1399"/>
      <c r="AE113" s="1399"/>
      <c r="AF113" s="1399"/>
      <c r="AG113" s="1399"/>
      <c r="AH113" s="1399"/>
      <c r="AI113" s="1399"/>
      <c r="AJ113" s="1399"/>
      <c r="AK113" s="1399"/>
      <c r="AL113" s="1399"/>
      <c r="AM113" s="1399"/>
      <c r="AN113" s="1399"/>
      <c r="AO113" s="1399"/>
      <c r="AP113" s="1399"/>
      <c r="AQ113" s="1399"/>
      <c r="AR113" s="1399"/>
      <c r="AS113" s="1399"/>
      <c r="AT113" s="1459"/>
      <c r="AU113" s="1459"/>
      <c r="AV113" s="1459"/>
      <c r="AW113" s="1459"/>
      <c r="AX113" s="1459"/>
      <c r="AY113" s="1459"/>
      <c r="AZ113" s="1459"/>
      <c r="BA113" s="1459"/>
      <c r="BB113" s="1459"/>
      <c r="BC113" s="1459"/>
      <c r="BD113" s="1459"/>
      <c r="BE113" s="1459"/>
      <c r="BF113" s="1459"/>
      <c r="BG113" s="1459"/>
      <c r="BH113" s="1459"/>
      <c r="BI113" s="1459"/>
      <c r="BJ113" s="1459"/>
      <c r="BK113" s="1459"/>
      <c r="BL113" s="1459"/>
      <c r="BM113" s="1459"/>
      <c r="BN113" s="1459"/>
      <c r="BO113" s="1459"/>
      <c r="BP113" s="1459"/>
      <c r="BQ113" s="1459"/>
      <c r="BR113" s="1443"/>
      <c r="BS113" s="1443"/>
      <c r="BU113" s="1377"/>
      <c r="BV113" s="1377"/>
      <c r="BW113" s="1377"/>
      <c r="BX113" s="1377"/>
      <c r="BY113" s="1377"/>
      <c r="BZ113" s="1377"/>
      <c r="CA113" s="1377"/>
      <c r="CB113" s="1377"/>
      <c r="CC113" s="1377"/>
      <c r="CD113" s="1377"/>
      <c r="CE113" s="1377"/>
      <c r="CF113" s="1377"/>
    </row>
    <row r="114" spans="2:84" s="1376" customFormat="1" ht="13.8">
      <c r="B114" s="1461">
        <v>43597</v>
      </c>
      <c r="C114" s="916"/>
      <c r="D114" s="1460" t="s">
        <v>1213</v>
      </c>
      <c r="E114" s="1460"/>
      <c r="F114" s="1420"/>
      <c r="G114" s="1420"/>
      <c r="H114" s="1419"/>
      <c r="I114" s="1418">
        <v>204.28</v>
      </c>
      <c r="J114" s="1379"/>
      <c r="K114" s="1423"/>
      <c r="L114" s="1421"/>
      <c r="M114" s="1421"/>
      <c r="N114" s="1420"/>
      <c r="O114" s="1420"/>
      <c r="P114" s="1419"/>
      <c r="Q114" s="1418"/>
      <c r="R114" s="1379"/>
      <c r="S114" s="1378"/>
      <c r="T114" s="1381"/>
      <c r="U114" s="1380"/>
      <c r="V114" s="1380"/>
      <c r="W114" s="1380"/>
      <c r="X114" s="1380"/>
      <c r="Y114" s="1380"/>
      <c r="Z114" s="1380"/>
      <c r="AA114" s="1380"/>
      <c r="AB114" s="1379"/>
      <c r="AC114" s="1400" t="str">
        <f t="shared" si="51"/>
        <v/>
      </c>
      <c r="AD114" s="1399"/>
      <c r="AE114" s="1399"/>
      <c r="AF114" s="1399"/>
      <c r="AG114" s="1399"/>
      <c r="AH114" s="1399"/>
      <c r="AI114" s="1399"/>
      <c r="AJ114" s="1399"/>
      <c r="AK114" s="1399"/>
      <c r="AL114" s="1399"/>
      <c r="AM114" s="1399"/>
      <c r="AN114" s="1399"/>
      <c r="AO114" s="1399"/>
      <c r="AP114" s="1399"/>
      <c r="AQ114" s="1399"/>
      <c r="AR114" s="1399"/>
      <c r="AS114" s="1399"/>
      <c r="AT114" s="1459"/>
      <c r="AU114" s="1459"/>
      <c r="AV114" s="1459"/>
      <c r="AW114" s="1459"/>
      <c r="AX114" s="1459"/>
      <c r="AY114" s="1459"/>
      <c r="AZ114" s="1459"/>
      <c r="BA114" s="1459"/>
      <c r="BB114" s="1459"/>
      <c r="BC114" s="1380"/>
      <c r="BD114" s="1380"/>
      <c r="BE114" s="1380"/>
      <c r="BF114" s="1380"/>
      <c r="BG114" s="1380"/>
      <c r="BH114" s="1459"/>
      <c r="BI114" s="1459"/>
      <c r="BJ114" s="1459"/>
      <c r="BK114" s="1459"/>
      <c r="BL114" s="1459"/>
      <c r="BM114" s="1459"/>
      <c r="BN114" s="1459"/>
      <c r="BO114" s="1459"/>
      <c r="BP114" s="1459"/>
      <c r="BQ114" s="1458"/>
      <c r="BR114" s="1443"/>
      <c r="BS114" s="1442"/>
      <c r="BT114" s="1453"/>
      <c r="BU114" s="1377"/>
      <c r="BV114" s="1377"/>
      <c r="BW114" s="1377"/>
      <c r="BX114" s="1377"/>
      <c r="BY114" s="1377"/>
      <c r="BZ114" s="1377"/>
      <c r="CA114" s="1377"/>
      <c r="CB114" s="1377"/>
      <c r="CC114" s="1377"/>
      <c r="CD114" s="1377"/>
      <c r="CE114" s="1377"/>
      <c r="CF114" s="1377"/>
    </row>
    <row r="115" spans="2:84" s="1379" customFormat="1" ht="13.8">
      <c r="B115" s="1461">
        <v>43585</v>
      </c>
      <c r="C115" s="916"/>
      <c r="D115" s="1460" t="s">
        <v>1213</v>
      </c>
      <c r="E115" s="1460"/>
      <c r="F115" s="1420"/>
      <c r="G115" s="1420"/>
      <c r="H115" s="1419"/>
      <c r="I115" s="1418">
        <v>502.65</v>
      </c>
      <c r="K115" s="1423"/>
      <c r="L115" s="1421"/>
      <c r="M115" s="1421"/>
      <c r="N115" s="1420"/>
      <c r="O115" s="1420"/>
      <c r="P115" s="1419"/>
      <c r="Q115" s="1418"/>
      <c r="S115" s="1378"/>
      <c r="T115" s="1381"/>
      <c r="U115" s="1380"/>
      <c r="V115" s="1380"/>
      <c r="W115" s="1380"/>
      <c r="X115" s="1380"/>
      <c r="Y115" s="1380"/>
      <c r="Z115" s="1380"/>
      <c r="AA115" s="1380"/>
      <c r="AC115" s="1400" t="str">
        <f t="shared" si="51"/>
        <v/>
      </c>
      <c r="AD115" s="1399"/>
      <c r="AE115" s="1399"/>
      <c r="AF115" s="1399"/>
      <c r="AG115" s="1399"/>
      <c r="AH115" s="1399"/>
      <c r="AI115" s="1399"/>
      <c r="AJ115" s="1399"/>
      <c r="AK115" s="1399"/>
      <c r="AL115" s="1399"/>
      <c r="AM115" s="1399"/>
      <c r="AN115" s="1399"/>
      <c r="AO115" s="1399"/>
      <c r="AP115" s="1399"/>
      <c r="AQ115" s="1399"/>
      <c r="AR115" s="1399"/>
      <c r="AS115" s="1399"/>
      <c r="AT115" s="1459"/>
      <c r="AU115" s="1459"/>
      <c r="AV115" s="1459"/>
      <c r="AW115" s="1459"/>
      <c r="AX115" s="1459"/>
      <c r="AY115" s="1459"/>
      <c r="AZ115" s="1459"/>
      <c r="BA115" s="1459"/>
      <c r="BB115" s="1459"/>
      <c r="BC115" s="1459"/>
      <c r="BD115" s="1459"/>
      <c r="BE115" s="1459"/>
      <c r="BF115" s="1459"/>
      <c r="BG115" s="1459"/>
      <c r="BH115" s="1459"/>
      <c r="BI115" s="1459"/>
      <c r="BJ115" s="1459"/>
      <c r="BK115" s="1459"/>
      <c r="BL115" s="1459"/>
      <c r="BM115" s="1459"/>
      <c r="BN115" s="1459"/>
      <c r="BO115" s="1459"/>
      <c r="BP115" s="1459"/>
      <c r="BQ115" s="1458"/>
      <c r="BR115" s="1443"/>
      <c r="BS115" s="1442"/>
      <c r="BT115" s="1453"/>
      <c r="BU115" s="1377"/>
      <c r="BV115" s="1377"/>
      <c r="BW115" s="1377"/>
      <c r="BX115" s="1377"/>
      <c r="BY115" s="1377"/>
      <c r="BZ115" s="1377"/>
      <c r="CA115" s="1377"/>
      <c r="CB115" s="1377"/>
      <c r="CC115" s="1377"/>
      <c r="CD115" s="1377"/>
      <c r="CE115" s="1377"/>
      <c r="CF115" s="1377"/>
    </row>
    <row r="116" spans="2:84" s="1379" customFormat="1">
      <c r="B116" s="1423">
        <v>43571</v>
      </c>
      <c r="C116" s="1422"/>
      <c r="D116" s="1454" t="s">
        <v>1213</v>
      </c>
      <c r="E116" s="1454"/>
      <c r="F116" s="1420"/>
      <c r="G116" s="1420"/>
      <c r="H116" s="1419"/>
      <c r="I116" s="1418">
        <v>330.36</v>
      </c>
      <c r="K116" s="1423"/>
      <c r="L116" s="1421"/>
      <c r="M116" s="1421"/>
      <c r="N116" s="1420"/>
      <c r="O116" s="1420"/>
      <c r="P116" s="1419"/>
      <c r="Q116" s="1418"/>
      <c r="S116" s="1378"/>
      <c r="T116" s="1381"/>
      <c r="U116" s="1380"/>
      <c r="V116" s="1380"/>
      <c r="W116" s="1380"/>
      <c r="X116" s="1380"/>
      <c r="Y116" s="1380"/>
      <c r="Z116" s="1380"/>
      <c r="AA116" s="1380"/>
      <c r="AC116" s="1400" t="str">
        <f t="shared" si="51"/>
        <v/>
      </c>
      <c r="AD116" s="1399"/>
      <c r="AE116" s="1399"/>
      <c r="AF116" s="1399"/>
      <c r="AG116" s="1399"/>
      <c r="AH116" s="1399"/>
      <c r="AI116" s="1399"/>
      <c r="AJ116" s="1399"/>
      <c r="AK116" s="1399"/>
      <c r="AL116" s="1399"/>
      <c r="AM116" s="1399"/>
      <c r="AN116" s="1399"/>
      <c r="AO116" s="1399"/>
      <c r="AP116" s="1399"/>
      <c r="AQ116" s="1399"/>
      <c r="AR116" s="1399"/>
      <c r="AS116" s="1399"/>
      <c r="AT116" s="1459"/>
      <c r="AU116" s="1459"/>
      <c r="AV116" s="1380"/>
      <c r="AW116" s="1380"/>
      <c r="AX116" s="1380"/>
      <c r="AY116" s="1380"/>
      <c r="AZ116" s="1380"/>
      <c r="BA116" s="1380"/>
      <c r="BB116" s="1380"/>
      <c r="BC116" s="1459"/>
      <c r="BD116" s="1459"/>
      <c r="BE116" s="1459"/>
      <c r="BF116" s="1459"/>
      <c r="BG116" s="1459"/>
      <c r="BH116" s="1459"/>
      <c r="BI116" s="1459"/>
      <c r="BJ116" s="1459"/>
      <c r="BK116" s="1459"/>
      <c r="BL116" s="1459"/>
      <c r="BM116" s="1459"/>
      <c r="BN116" s="1459"/>
      <c r="BO116" s="1459"/>
      <c r="BP116" s="1459"/>
      <c r="BQ116" s="1458"/>
      <c r="BR116" s="1442"/>
      <c r="BT116" s="1377"/>
      <c r="BU116" s="1377"/>
      <c r="BV116" s="1377"/>
      <c r="BW116" s="1377"/>
      <c r="BX116" s="1377"/>
      <c r="BY116" s="1377"/>
      <c r="BZ116" s="1377"/>
      <c r="CA116" s="1377"/>
      <c r="CB116" s="1377"/>
      <c r="CC116" s="1377"/>
      <c r="CD116" s="1377"/>
      <c r="CE116" s="1377"/>
      <c r="CF116" s="1377"/>
    </row>
    <row r="117" spans="2:84" s="1379" customFormat="1">
      <c r="B117" s="1423">
        <v>43547</v>
      </c>
      <c r="C117" s="1422"/>
      <c r="D117" s="1454" t="s">
        <v>1213</v>
      </c>
      <c r="E117" s="1454"/>
      <c r="F117" s="1420"/>
      <c r="G117" s="1420"/>
      <c r="H117" s="1419"/>
      <c r="I117" s="1418">
        <v>479.76</v>
      </c>
      <c r="K117" s="1423"/>
      <c r="L117" s="1421"/>
      <c r="M117" s="1421"/>
      <c r="N117" s="1420"/>
      <c r="O117" s="1420"/>
      <c r="P117" s="1419"/>
      <c r="Q117" s="1418"/>
      <c r="S117" s="1378"/>
      <c r="T117" s="1381"/>
      <c r="U117" s="1380"/>
      <c r="V117" s="1380"/>
      <c r="W117" s="1380"/>
      <c r="X117" s="1380"/>
      <c r="Y117" s="1380"/>
      <c r="Z117" s="1380"/>
      <c r="AA117" s="1380"/>
      <c r="AC117" s="1400" t="str">
        <f t="shared" si="51"/>
        <v/>
      </c>
      <c r="AD117" s="1399"/>
      <c r="AE117" s="1399"/>
      <c r="AF117" s="1399"/>
      <c r="AG117" s="1399"/>
      <c r="AH117" s="1399"/>
      <c r="AI117" s="1399"/>
      <c r="AJ117" s="1399"/>
      <c r="AK117" s="1399"/>
      <c r="AL117" s="1399"/>
      <c r="AM117" s="1399"/>
      <c r="AN117" s="1399"/>
      <c r="AO117" s="1399"/>
      <c r="AP117" s="1399"/>
      <c r="AQ117" s="1399"/>
      <c r="AR117" s="1399"/>
      <c r="AS117" s="1399"/>
      <c r="AT117" s="1459"/>
      <c r="AU117" s="1459"/>
      <c r="AV117" s="1459"/>
      <c r="AW117" s="1459"/>
      <c r="AX117" s="1459"/>
      <c r="AY117" s="1459"/>
      <c r="AZ117" s="1459"/>
      <c r="BA117" s="1459"/>
      <c r="BB117" s="1459"/>
      <c r="BC117" s="1459"/>
      <c r="BD117" s="1459"/>
      <c r="BE117" s="1459"/>
      <c r="BF117" s="1459"/>
      <c r="BG117" s="1459"/>
      <c r="BH117" s="1459"/>
      <c r="BI117" s="1459"/>
      <c r="BJ117" s="1459"/>
      <c r="BK117" s="1459"/>
      <c r="BL117" s="1459"/>
      <c r="BM117" s="1459"/>
      <c r="BN117" s="1459"/>
      <c r="BO117" s="1459"/>
      <c r="BP117" s="1459"/>
      <c r="BQ117" s="1443"/>
      <c r="BR117" s="1442"/>
      <c r="BS117" s="1453"/>
      <c r="BT117" s="1377"/>
      <c r="BU117" s="1377"/>
      <c r="BV117" s="1377"/>
      <c r="BW117" s="1377"/>
      <c r="BX117" s="1377"/>
      <c r="BY117" s="1377"/>
      <c r="BZ117" s="1377"/>
      <c r="CA117" s="1377"/>
      <c r="CB117" s="1377"/>
      <c r="CC117" s="1377"/>
      <c r="CD117" s="1377"/>
      <c r="CE117" s="1377"/>
      <c r="CF117" s="1377"/>
    </row>
    <row r="118" spans="2:84" s="1379" customFormat="1">
      <c r="B118" s="1423">
        <v>43542</v>
      </c>
      <c r="C118" s="1422"/>
      <c r="D118" s="1454" t="s">
        <v>1213</v>
      </c>
      <c r="E118" s="1454"/>
      <c r="F118" s="1420"/>
      <c r="G118" s="1420"/>
      <c r="H118" s="1419"/>
      <c r="I118" s="1418">
        <v>109.77</v>
      </c>
      <c r="K118" s="1423"/>
      <c r="L118" s="1421"/>
      <c r="M118" s="1421"/>
      <c r="N118" s="1420"/>
      <c r="O118" s="1420"/>
      <c r="P118" s="1419"/>
      <c r="Q118" s="1418"/>
      <c r="S118" s="1378"/>
      <c r="T118" s="1381"/>
      <c r="U118" s="1380"/>
      <c r="V118" s="1380"/>
      <c r="W118" s="1380"/>
      <c r="X118" s="1380"/>
      <c r="Y118" s="1380"/>
      <c r="Z118" s="1380"/>
      <c r="AA118" s="1380"/>
      <c r="AC118" s="1400" t="str">
        <f t="shared" si="51"/>
        <v/>
      </c>
      <c r="AD118" s="1399"/>
      <c r="AE118" s="1399"/>
      <c r="AF118" s="1399"/>
      <c r="AG118" s="1399"/>
      <c r="AH118" s="1399"/>
      <c r="AI118" s="1399"/>
      <c r="AJ118" s="1399"/>
      <c r="AK118" s="1399"/>
      <c r="AL118" s="1399"/>
      <c r="AM118" s="1399"/>
      <c r="AN118" s="1399"/>
      <c r="AO118" s="1399"/>
      <c r="AP118" s="1399"/>
      <c r="AQ118" s="1399"/>
      <c r="AR118" s="1399"/>
      <c r="AS118" s="1399"/>
      <c r="AT118" s="1459"/>
      <c r="AU118" s="1459"/>
      <c r="AV118" s="1459"/>
      <c r="AW118" s="1459"/>
      <c r="AX118" s="1459"/>
      <c r="AY118" s="1459"/>
      <c r="AZ118" s="1459"/>
      <c r="BA118" s="1459"/>
      <c r="BB118" s="1459"/>
      <c r="BC118" s="1459"/>
      <c r="BD118" s="1459"/>
      <c r="BE118" s="1459"/>
      <c r="BF118" s="1459"/>
      <c r="BG118" s="1459"/>
      <c r="BH118" s="1459"/>
      <c r="BI118" s="1459"/>
      <c r="BJ118" s="1459"/>
      <c r="BK118" s="1459"/>
      <c r="BL118" s="1459"/>
      <c r="BM118" s="1458"/>
      <c r="BN118" s="1458"/>
      <c r="BO118" s="1458"/>
      <c r="BP118" s="1458"/>
      <c r="BQ118" s="1443"/>
      <c r="BS118" s="1453"/>
      <c r="BT118" s="1377"/>
      <c r="BU118" s="1377"/>
      <c r="BV118" s="1377"/>
      <c r="BW118" s="1377"/>
      <c r="BX118" s="1377"/>
      <c r="BY118" s="1377"/>
      <c r="BZ118" s="1377"/>
      <c r="CA118" s="1377"/>
      <c r="CB118" s="1377"/>
      <c r="CC118" s="1377"/>
      <c r="CD118" s="1377"/>
      <c r="CE118" s="1377"/>
      <c r="CF118" s="1377"/>
    </row>
    <row r="119" spans="2:84" s="1379" customFormat="1">
      <c r="B119" s="1423">
        <v>43516</v>
      </c>
      <c r="C119" s="1422"/>
      <c r="D119" s="1454" t="s">
        <v>1213</v>
      </c>
      <c r="E119" s="1454"/>
      <c r="F119" s="1420"/>
      <c r="G119" s="1420"/>
      <c r="H119" s="1419"/>
      <c r="I119" s="1418">
        <v>282.06</v>
      </c>
      <c r="K119" s="1423"/>
      <c r="L119" s="1421"/>
      <c r="M119" s="1421"/>
      <c r="N119" s="1420"/>
      <c r="O119" s="1420"/>
      <c r="P119" s="1419"/>
      <c r="Q119" s="1418"/>
      <c r="S119" s="1378"/>
      <c r="T119" s="1381"/>
      <c r="U119" s="1380"/>
      <c r="V119" s="1380"/>
      <c r="W119" s="1380"/>
      <c r="X119" s="1380"/>
      <c r="Y119" s="1380"/>
      <c r="Z119" s="1380"/>
      <c r="AA119" s="1380"/>
      <c r="AC119" s="1400" t="str">
        <f t="shared" ref="AC119:AC127" si="63">IF(K126&gt;0,K126,"")</f>
        <v/>
      </c>
      <c r="AD119" s="1399"/>
      <c r="AE119" s="1399"/>
      <c r="AF119" s="1399"/>
      <c r="AG119" s="1399"/>
      <c r="AH119" s="1399"/>
      <c r="AI119" s="1399"/>
      <c r="AJ119" s="1399"/>
      <c r="AK119" s="1399"/>
      <c r="AL119" s="1399"/>
      <c r="AM119" s="1399"/>
      <c r="AN119" s="1399"/>
      <c r="AO119" s="1399"/>
      <c r="AP119" s="1399"/>
      <c r="AQ119" s="1399"/>
      <c r="AR119" s="1399"/>
      <c r="AS119" s="1399"/>
      <c r="AT119" s="1459"/>
      <c r="AU119" s="1459"/>
      <c r="AV119" s="1459"/>
      <c r="AW119" s="1459"/>
      <c r="AX119" s="1459"/>
      <c r="AY119" s="1459"/>
      <c r="AZ119" s="1459"/>
      <c r="BA119" s="1459"/>
      <c r="BB119" s="1459"/>
      <c r="BC119" s="1459"/>
      <c r="BD119" s="1459"/>
      <c r="BE119" s="1459"/>
      <c r="BF119" s="1459"/>
      <c r="BG119" s="1459"/>
      <c r="BH119" s="1459"/>
      <c r="BI119" s="1459"/>
      <c r="BJ119" s="1459"/>
      <c r="BK119" s="1459"/>
      <c r="BL119" s="1459"/>
      <c r="BM119" s="1458"/>
      <c r="BN119" s="1458"/>
      <c r="BO119" s="1458"/>
      <c r="BP119" s="1458"/>
      <c r="BQ119" s="1443"/>
      <c r="BR119" s="1453"/>
      <c r="BS119" s="1377"/>
      <c r="BT119" s="1377"/>
      <c r="BU119" s="1377"/>
      <c r="BV119" s="1377"/>
      <c r="BW119" s="1377"/>
      <c r="BX119" s="1377"/>
      <c r="BY119" s="1377"/>
      <c r="BZ119" s="1377"/>
      <c r="CA119" s="1377"/>
      <c r="CB119" s="1377"/>
      <c r="CC119" s="1377"/>
      <c r="CD119" s="1377"/>
      <c r="CE119" s="1377"/>
      <c r="CF119" s="1377"/>
    </row>
    <row r="120" spans="2:84" s="1379" customFormat="1">
      <c r="B120" s="1423">
        <v>43514</v>
      </c>
      <c r="C120" s="1422"/>
      <c r="D120" s="1454" t="s">
        <v>1213</v>
      </c>
      <c r="E120" s="1454"/>
      <c r="F120" s="1420"/>
      <c r="G120" s="1420"/>
      <c r="H120" s="1419"/>
      <c r="I120" s="1418">
        <v>200.39</v>
      </c>
      <c r="K120" s="1423"/>
      <c r="L120" s="1421"/>
      <c r="M120" s="1421"/>
      <c r="N120" s="1420"/>
      <c r="O120" s="1420"/>
      <c r="P120" s="1419"/>
      <c r="Q120" s="1418"/>
      <c r="S120" s="1378"/>
      <c r="T120" s="1381"/>
      <c r="U120" s="1380"/>
      <c r="V120" s="1380"/>
      <c r="W120" s="1380"/>
      <c r="X120" s="1380"/>
      <c r="Y120" s="1380"/>
      <c r="Z120" s="1380"/>
      <c r="AA120" s="1380"/>
      <c r="AC120" s="1400" t="str">
        <f t="shared" si="63"/>
        <v/>
      </c>
      <c r="AD120" s="1399"/>
      <c r="AE120" s="1399"/>
      <c r="AF120" s="1399"/>
      <c r="AG120" s="1399"/>
      <c r="AH120" s="1399"/>
      <c r="AI120" s="1399"/>
      <c r="AJ120" s="1399"/>
      <c r="AK120" s="1399"/>
      <c r="AL120" s="1399"/>
      <c r="AM120" s="1399"/>
      <c r="AN120" s="1399"/>
      <c r="AO120" s="1399"/>
      <c r="AP120" s="1399"/>
      <c r="AQ120" s="1399"/>
      <c r="AR120" s="1399"/>
      <c r="AS120" s="1399"/>
      <c r="AT120" s="1459"/>
      <c r="AU120" s="1459"/>
      <c r="AV120" s="1459"/>
      <c r="AW120" s="1459"/>
      <c r="AX120" s="1459"/>
      <c r="AY120" s="1459"/>
      <c r="AZ120" s="1459"/>
      <c r="BA120" s="1459"/>
      <c r="BB120" s="1459"/>
      <c r="BC120" s="1459"/>
      <c r="BD120" s="1459"/>
      <c r="BE120" s="1459"/>
      <c r="BF120" s="1459"/>
      <c r="BG120" s="1459"/>
      <c r="BH120" s="1459"/>
      <c r="BI120" s="1459"/>
      <c r="BJ120" s="1459"/>
      <c r="BK120" s="1459"/>
      <c r="BL120" s="1459"/>
      <c r="BM120" s="1458"/>
      <c r="BN120" s="1458"/>
      <c r="BO120" s="1458"/>
      <c r="BP120" s="1458"/>
      <c r="BQ120" s="1442"/>
      <c r="BR120" s="1453"/>
      <c r="BS120" s="1377"/>
      <c r="BT120" s="1377"/>
      <c r="BU120" s="1377"/>
      <c r="BV120" s="1377"/>
      <c r="BW120" s="1377"/>
      <c r="BX120" s="1377"/>
      <c r="BY120" s="1377"/>
      <c r="BZ120" s="1377"/>
      <c r="CA120" s="1377"/>
      <c r="CB120" s="1377"/>
      <c r="CC120" s="1377"/>
      <c r="CD120" s="1377"/>
      <c r="CE120" s="1377"/>
      <c r="CF120" s="1377"/>
    </row>
    <row r="121" spans="2:84" s="1379" customFormat="1">
      <c r="B121" s="1423">
        <v>43507</v>
      </c>
      <c r="C121" s="1422"/>
      <c r="D121" s="1454" t="s">
        <v>1213</v>
      </c>
      <c r="E121" s="1454"/>
      <c r="F121" s="1420"/>
      <c r="G121" s="1420"/>
      <c r="H121" s="1419"/>
      <c r="I121" s="1418">
        <v>96.63</v>
      </c>
      <c r="K121" s="1423"/>
      <c r="L121" s="1421"/>
      <c r="M121" s="1421"/>
      <c r="N121" s="1420"/>
      <c r="O121" s="1420"/>
      <c r="P121" s="1419"/>
      <c r="Q121" s="1418"/>
      <c r="S121" s="1378"/>
      <c r="T121" s="1381"/>
      <c r="U121" s="1380"/>
      <c r="V121" s="1380"/>
      <c r="W121" s="1380"/>
      <c r="X121" s="1380"/>
      <c r="Y121" s="1380"/>
      <c r="Z121" s="1380"/>
      <c r="AA121" s="1380"/>
      <c r="AC121" s="1400" t="str">
        <f t="shared" si="63"/>
        <v/>
      </c>
      <c r="AD121" s="1399"/>
      <c r="AE121" s="1399"/>
      <c r="AF121" s="1399"/>
      <c r="AG121" s="1399"/>
      <c r="AH121" s="1399"/>
      <c r="AI121" s="1399"/>
      <c r="AJ121" s="1399"/>
      <c r="AK121" s="1399"/>
      <c r="AL121" s="1399"/>
      <c r="AM121" s="1399"/>
      <c r="AN121" s="1399"/>
      <c r="AO121" s="1399"/>
      <c r="AP121" s="1399"/>
      <c r="AQ121" s="1399"/>
      <c r="AR121" s="1399"/>
      <c r="AS121" s="1399"/>
      <c r="AT121" s="1380"/>
      <c r="AU121" s="1380"/>
      <c r="AV121" s="1459"/>
      <c r="AW121" s="1459"/>
      <c r="AX121" s="1459"/>
      <c r="AY121" s="1459"/>
      <c r="AZ121" s="1459"/>
      <c r="BA121" s="1459"/>
      <c r="BB121" s="1459"/>
      <c r="BC121" s="1459"/>
      <c r="BD121" s="1459"/>
      <c r="BE121" s="1459"/>
      <c r="BF121" s="1459"/>
      <c r="BG121" s="1459"/>
      <c r="BH121" s="1459"/>
      <c r="BI121" s="1459"/>
      <c r="BJ121" s="1459"/>
      <c r="BK121" s="1458"/>
      <c r="BL121" s="1458"/>
      <c r="BM121" s="1443"/>
      <c r="BN121" s="1443"/>
      <c r="BO121" s="1443"/>
      <c r="BP121" s="1443"/>
      <c r="BQ121" s="1442"/>
      <c r="BR121" s="1377"/>
      <c r="BS121" s="1377"/>
      <c r="BT121" s="1377"/>
      <c r="BU121" s="1377"/>
      <c r="BV121" s="1377"/>
      <c r="BW121" s="1377"/>
      <c r="BX121" s="1377"/>
      <c r="BY121" s="1377"/>
      <c r="BZ121" s="1377"/>
      <c r="CA121" s="1377"/>
      <c r="CB121" s="1377"/>
      <c r="CC121" s="1377"/>
      <c r="CD121" s="1377"/>
      <c r="CE121" s="1377"/>
      <c r="CF121" s="1377"/>
    </row>
    <row r="122" spans="2:84" s="1379" customFormat="1">
      <c r="B122" s="1423">
        <v>43507</v>
      </c>
      <c r="C122" s="1422"/>
      <c r="D122" s="1454" t="s">
        <v>1213</v>
      </c>
      <c r="E122" s="1454"/>
      <c r="F122" s="1420"/>
      <c r="G122" s="1420"/>
      <c r="H122" s="1419"/>
      <c r="I122" s="1418">
        <v>54.92</v>
      </c>
      <c r="K122" s="1423"/>
      <c r="L122" s="1421"/>
      <c r="M122" s="1421"/>
      <c r="N122" s="1420"/>
      <c r="O122" s="1420"/>
      <c r="P122" s="1419"/>
      <c r="Q122" s="1418"/>
      <c r="S122" s="1378"/>
      <c r="T122" s="1381"/>
      <c r="U122" s="1380"/>
      <c r="V122" s="1380"/>
      <c r="W122" s="1380"/>
      <c r="X122" s="1380"/>
      <c r="Y122" s="1380"/>
      <c r="Z122" s="1380"/>
      <c r="AA122" s="1380"/>
      <c r="AC122" s="1400" t="str">
        <f t="shared" si="63"/>
        <v/>
      </c>
      <c r="AD122" s="1399"/>
      <c r="AE122" s="1399"/>
      <c r="AF122" s="1399"/>
      <c r="AG122" s="1399"/>
      <c r="AH122" s="1399"/>
      <c r="AI122" s="1399"/>
      <c r="AJ122" s="1399"/>
      <c r="AK122" s="1399"/>
      <c r="AL122" s="1399"/>
      <c r="AM122" s="1399"/>
      <c r="AN122" s="1399"/>
      <c r="AO122" s="1399"/>
      <c r="AP122" s="1399"/>
      <c r="AQ122" s="1399"/>
      <c r="AR122" s="1399"/>
      <c r="AS122" s="1399"/>
      <c r="AT122" s="1459"/>
      <c r="AU122" s="1459"/>
      <c r="AV122" s="1459"/>
      <c r="AW122" s="1459"/>
      <c r="AX122" s="1459"/>
      <c r="AY122" s="1459"/>
      <c r="AZ122" s="1459"/>
      <c r="BA122" s="1459"/>
      <c r="BB122" s="1459"/>
      <c r="BC122" s="1459"/>
      <c r="BD122" s="1459"/>
      <c r="BE122" s="1459"/>
      <c r="BF122" s="1459"/>
      <c r="BG122" s="1459"/>
      <c r="BH122" s="1459"/>
      <c r="BI122" s="1459"/>
      <c r="BJ122" s="1459"/>
      <c r="BK122" s="1458"/>
      <c r="BL122" s="1458"/>
      <c r="BM122" s="1443"/>
      <c r="BN122" s="1443"/>
      <c r="BO122" s="1443"/>
      <c r="BP122" s="1443"/>
      <c r="BR122" s="1377"/>
      <c r="BS122" s="1377"/>
      <c r="BT122" s="1377"/>
      <c r="BU122" s="1377"/>
      <c r="BV122" s="1377"/>
      <c r="BW122" s="1377"/>
      <c r="BX122" s="1377"/>
      <c r="BY122" s="1377"/>
      <c r="BZ122" s="1377"/>
      <c r="CA122" s="1377"/>
      <c r="CB122" s="1377"/>
      <c r="CC122" s="1377"/>
      <c r="CD122" s="1377"/>
      <c r="CE122" s="1377"/>
      <c r="CF122" s="1377"/>
    </row>
    <row r="123" spans="2:84" s="1379" customFormat="1">
      <c r="B123" s="1423">
        <v>43476</v>
      </c>
      <c r="C123" s="1422"/>
      <c r="D123" s="1454" t="s">
        <v>1213</v>
      </c>
      <c r="E123" s="1454"/>
      <c r="F123" s="1420"/>
      <c r="G123" s="1420"/>
      <c r="H123" s="1419"/>
      <c r="I123" s="1418">
        <v>334.52</v>
      </c>
      <c r="K123" s="1423"/>
      <c r="L123" s="1421"/>
      <c r="M123" s="1421"/>
      <c r="N123" s="1420"/>
      <c r="O123" s="1420"/>
      <c r="P123" s="1419"/>
      <c r="Q123" s="1418"/>
      <c r="S123" s="1378"/>
      <c r="T123" s="1381"/>
      <c r="U123" s="1380"/>
      <c r="V123" s="1380"/>
      <c r="W123" s="1380"/>
      <c r="X123" s="1380"/>
      <c r="Y123" s="1380"/>
      <c r="Z123" s="1380"/>
      <c r="AA123" s="1380"/>
      <c r="AC123" s="1400" t="str">
        <f t="shared" si="63"/>
        <v/>
      </c>
      <c r="AD123" s="1399"/>
      <c r="AE123" s="1399"/>
      <c r="AF123" s="1399"/>
      <c r="AG123" s="1399"/>
      <c r="AH123" s="1399"/>
      <c r="AI123" s="1399"/>
      <c r="AJ123" s="1399"/>
      <c r="AK123" s="1399"/>
      <c r="AL123" s="1399"/>
      <c r="AM123" s="1399"/>
      <c r="AN123" s="1399"/>
      <c r="AO123" s="1399"/>
      <c r="AP123" s="1399"/>
      <c r="AQ123" s="1399"/>
      <c r="AR123" s="1399"/>
      <c r="AS123" s="1399"/>
      <c r="AT123" s="1459"/>
      <c r="AU123" s="1459"/>
      <c r="AV123" s="1459"/>
      <c r="AW123" s="1459"/>
      <c r="AX123" s="1459"/>
      <c r="AY123" s="1459"/>
      <c r="AZ123" s="1459"/>
      <c r="BA123" s="1459"/>
      <c r="BB123" s="1459"/>
      <c r="BC123" s="1459"/>
      <c r="BD123" s="1459"/>
      <c r="BE123" s="1459"/>
      <c r="BF123" s="1459"/>
      <c r="BG123" s="1459"/>
      <c r="BH123" s="1459"/>
      <c r="BI123" s="1459"/>
      <c r="BJ123" s="1459"/>
      <c r="BK123" s="1458"/>
      <c r="BL123" s="1458"/>
      <c r="BM123" s="1443"/>
      <c r="BN123" s="1443"/>
      <c r="BO123" s="1443"/>
      <c r="BP123" s="1443"/>
      <c r="BQ123" s="1453"/>
      <c r="BR123" s="1377"/>
      <c r="BS123" s="1377"/>
      <c r="BT123" s="1377"/>
      <c r="BU123" s="1377"/>
      <c r="BV123" s="1377"/>
      <c r="BW123" s="1377"/>
      <c r="BX123" s="1377"/>
      <c r="BY123" s="1377"/>
      <c r="BZ123" s="1377"/>
      <c r="CA123" s="1377"/>
      <c r="CB123" s="1377"/>
      <c r="CC123" s="1377"/>
      <c r="CD123" s="1377"/>
      <c r="CE123" s="1377"/>
      <c r="CF123" s="1377"/>
    </row>
    <row r="124" spans="2:84" s="1379" customFormat="1">
      <c r="B124" s="1423">
        <v>43463</v>
      </c>
      <c r="C124" s="1422"/>
      <c r="D124" s="1454" t="s">
        <v>1214</v>
      </c>
      <c r="E124" s="1454"/>
      <c r="F124" s="1420"/>
      <c r="G124" s="1420"/>
      <c r="H124" s="1419"/>
      <c r="I124" s="1418">
        <v>169.37</v>
      </c>
      <c r="K124" s="1423"/>
      <c r="L124" s="1421"/>
      <c r="M124" s="1421"/>
      <c r="N124" s="1420"/>
      <c r="O124" s="1420"/>
      <c r="P124" s="1419"/>
      <c r="Q124" s="1418"/>
      <c r="S124" s="1378"/>
      <c r="T124" s="1381"/>
      <c r="U124" s="1380"/>
      <c r="V124" s="1380"/>
      <c r="W124" s="1380"/>
      <c r="X124" s="1380"/>
      <c r="Y124" s="1380"/>
      <c r="Z124" s="1380"/>
      <c r="AA124" s="1380"/>
      <c r="AC124" s="1400" t="str">
        <f t="shared" si="63"/>
        <v/>
      </c>
      <c r="AD124" s="1399"/>
      <c r="AE124" s="1399"/>
      <c r="AF124" s="1399"/>
      <c r="AG124" s="1399"/>
      <c r="AH124" s="1399"/>
      <c r="AI124" s="1399"/>
      <c r="AJ124" s="1399"/>
      <c r="AK124" s="1399"/>
      <c r="AL124" s="1399"/>
      <c r="AM124" s="1399"/>
      <c r="AN124" s="1399"/>
      <c r="AO124" s="1399"/>
      <c r="AP124" s="1399"/>
      <c r="AQ124" s="1399"/>
      <c r="AR124" s="1399"/>
      <c r="AS124" s="1399"/>
      <c r="AT124" s="1459"/>
      <c r="AU124" s="1459"/>
      <c r="AV124" s="1459"/>
      <c r="AW124" s="1459"/>
      <c r="AX124" s="1459"/>
      <c r="AY124" s="1459"/>
      <c r="AZ124" s="1459"/>
      <c r="BA124" s="1459"/>
      <c r="BB124" s="1459"/>
      <c r="BC124" s="1459"/>
      <c r="BD124" s="1459"/>
      <c r="BE124" s="1459"/>
      <c r="BF124" s="1459"/>
      <c r="BG124" s="1459"/>
      <c r="BH124" s="1459"/>
      <c r="BI124" s="1459"/>
      <c r="BJ124" s="1459"/>
      <c r="BK124" s="1443"/>
      <c r="BL124" s="1443"/>
      <c r="BM124" s="1442"/>
      <c r="BN124" s="1442"/>
      <c r="BO124" s="1442"/>
      <c r="BP124" s="1442"/>
      <c r="BQ124" s="1453"/>
      <c r="BR124" s="1377"/>
      <c r="BS124" s="1377"/>
      <c r="BT124" s="1377"/>
      <c r="BU124" s="1377"/>
      <c r="BV124" s="1377"/>
      <c r="BW124" s="1377"/>
      <c r="BX124" s="1377"/>
      <c r="BY124" s="1377"/>
      <c r="BZ124" s="1377"/>
      <c r="CA124" s="1377"/>
      <c r="CB124" s="1377"/>
      <c r="CC124" s="1377"/>
      <c r="CD124" s="1377"/>
      <c r="CE124" s="1377"/>
      <c r="CF124" s="1377"/>
    </row>
    <row r="125" spans="2:84" s="1379" customFormat="1">
      <c r="B125" s="1423">
        <v>43454</v>
      </c>
      <c r="C125" s="1422"/>
      <c r="D125" s="1454" t="s">
        <v>1214</v>
      </c>
      <c r="E125" s="1454"/>
      <c r="F125" s="1420"/>
      <c r="G125" s="1420"/>
      <c r="H125" s="1419"/>
      <c r="I125" s="1418">
        <v>384.36</v>
      </c>
      <c r="K125" s="1423"/>
      <c r="L125" s="1421"/>
      <c r="M125" s="1421"/>
      <c r="N125" s="1420"/>
      <c r="O125" s="1420"/>
      <c r="P125" s="1419"/>
      <c r="Q125" s="1418"/>
      <c r="S125" s="1378"/>
      <c r="T125" s="1381"/>
      <c r="U125" s="1380"/>
      <c r="V125" s="1380"/>
      <c r="W125" s="1380"/>
      <c r="X125" s="1380"/>
      <c r="Y125" s="1380"/>
      <c r="Z125" s="1380"/>
      <c r="AA125" s="1380"/>
      <c r="AC125" s="1400" t="str">
        <f t="shared" si="63"/>
        <v/>
      </c>
      <c r="AD125" s="1399"/>
      <c r="AE125" s="1399"/>
      <c r="AF125" s="1399"/>
      <c r="AG125" s="1399"/>
      <c r="AH125" s="1399"/>
      <c r="AI125" s="1399"/>
      <c r="AJ125" s="1399"/>
      <c r="AK125" s="1399"/>
      <c r="AL125" s="1399"/>
      <c r="AM125" s="1399"/>
      <c r="AN125" s="1399"/>
      <c r="AO125" s="1399"/>
      <c r="AP125" s="1399"/>
      <c r="AQ125" s="1399"/>
      <c r="AR125" s="1399"/>
      <c r="AS125" s="1399"/>
      <c r="AT125" s="1459"/>
      <c r="AU125" s="1459"/>
      <c r="AV125" s="1459"/>
      <c r="AW125" s="1459"/>
      <c r="AX125" s="1459"/>
      <c r="AY125" s="1459"/>
      <c r="AZ125" s="1459"/>
      <c r="BA125" s="1459"/>
      <c r="BB125" s="1459"/>
      <c r="BC125" s="1459"/>
      <c r="BD125" s="1459"/>
      <c r="BE125" s="1459"/>
      <c r="BF125" s="1459"/>
      <c r="BG125" s="1459"/>
      <c r="BH125" s="1459"/>
      <c r="BI125" s="1459"/>
      <c r="BJ125" s="1459"/>
      <c r="BK125" s="1443"/>
      <c r="BL125" s="1443"/>
      <c r="BM125" s="1442"/>
      <c r="BN125" s="1442"/>
      <c r="BO125" s="1442"/>
      <c r="BP125" s="1442"/>
      <c r="BQ125" s="1377"/>
      <c r="BR125" s="1377"/>
      <c r="BS125" s="1377"/>
      <c r="BT125" s="1377"/>
      <c r="BU125" s="1377"/>
      <c r="BV125" s="1377"/>
      <c r="BW125" s="1377"/>
      <c r="BX125" s="1377"/>
      <c r="BY125" s="1377"/>
      <c r="BZ125" s="1377"/>
      <c r="CA125" s="1377"/>
      <c r="CB125" s="1377"/>
      <c r="CC125" s="1377"/>
      <c r="CD125" s="1377"/>
      <c r="CE125" s="1377"/>
      <c r="CF125" s="1377"/>
    </row>
    <row r="126" spans="2:84" s="1379" customFormat="1">
      <c r="B126" s="1423">
        <v>43434</v>
      </c>
      <c r="C126" s="1422"/>
      <c r="D126" s="1454" t="s">
        <v>1216</v>
      </c>
      <c r="E126" s="1454"/>
      <c r="F126" s="1420"/>
      <c r="G126" s="1420"/>
      <c r="H126" s="1419"/>
      <c r="I126" s="1418">
        <v>279.36</v>
      </c>
      <c r="K126" s="1423"/>
      <c r="L126" s="1421"/>
      <c r="M126" s="1421"/>
      <c r="N126" s="1420"/>
      <c r="O126" s="1420"/>
      <c r="P126" s="1419"/>
      <c r="Q126" s="1418"/>
      <c r="S126" s="1378"/>
      <c r="T126" s="1381"/>
      <c r="U126" s="1380"/>
      <c r="V126" s="1380"/>
      <c r="W126" s="1380"/>
      <c r="X126" s="1380"/>
      <c r="Y126" s="1380"/>
      <c r="Z126" s="1380"/>
      <c r="AA126" s="1380"/>
      <c r="AC126" s="1400" t="str">
        <f t="shared" si="63"/>
        <v/>
      </c>
      <c r="AD126" s="1399"/>
      <c r="AE126" s="1399"/>
      <c r="AF126" s="1399"/>
      <c r="AG126" s="1399"/>
      <c r="AH126" s="1399"/>
      <c r="AI126" s="1399"/>
      <c r="AJ126" s="1399"/>
      <c r="AK126" s="1399"/>
      <c r="AL126" s="1399"/>
      <c r="AM126" s="1399"/>
      <c r="AN126" s="1399"/>
      <c r="AO126" s="1399"/>
      <c r="AP126" s="1399"/>
      <c r="AQ126" s="1399"/>
      <c r="AR126" s="1399"/>
      <c r="AS126" s="1399"/>
      <c r="AT126" s="1459"/>
      <c r="AU126" s="1459"/>
      <c r="AV126" s="1459"/>
      <c r="AW126" s="1459"/>
      <c r="AX126" s="1459"/>
      <c r="AY126" s="1459"/>
      <c r="AZ126" s="1459"/>
      <c r="BA126" s="1459"/>
      <c r="BB126" s="1459"/>
      <c r="BC126" s="1459"/>
      <c r="BD126" s="1459"/>
      <c r="BE126" s="1459"/>
      <c r="BF126" s="1459"/>
      <c r="BG126" s="1459"/>
      <c r="BH126" s="1458"/>
      <c r="BI126" s="1458"/>
      <c r="BJ126" s="1458"/>
      <c r="BK126" s="1443"/>
      <c r="BL126" s="1443"/>
      <c r="BQ126" s="1377"/>
      <c r="BR126" s="1377"/>
      <c r="BS126" s="1377"/>
      <c r="BT126" s="1377"/>
      <c r="BU126" s="1377"/>
      <c r="BV126" s="1377"/>
      <c r="BW126" s="1377"/>
      <c r="BX126" s="1377"/>
      <c r="BY126" s="1377"/>
      <c r="BZ126" s="1377"/>
      <c r="CA126" s="1377"/>
      <c r="CB126" s="1377"/>
      <c r="CC126" s="1377"/>
      <c r="CD126" s="1377"/>
      <c r="CE126" s="1377"/>
      <c r="CF126" s="1377"/>
    </row>
    <row r="127" spans="2:84" s="1379" customFormat="1">
      <c r="B127" s="1423">
        <v>43420</v>
      </c>
      <c r="C127" s="1422"/>
      <c r="D127" s="1454" t="s">
        <v>1213</v>
      </c>
      <c r="E127" s="1454"/>
      <c r="F127" s="1420"/>
      <c r="G127" s="1420"/>
      <c r="H127" s="1419"/>
      <c r="I127" s="1418">
        <v>291.41000000000003</v>
      </c>
      <c r="K127" s="1423"/>
      <c r="L127" s="1421"/>
      <c r="M127" s="1421"/>
      <c r="N127" s="1420"/>
      <c r="O127" s="1420"/>
      <c r="P127" s="1419"/>
      <c r="Q127" s="1418"/>
      <c r="S127" s="1378"/>
      <c r="T127" s="1381"/>
      <c r="U127" s="1380"/>
      <c r="V127" s="1380"/>
      <c r="W127" s="1380"/>
      <c r="X127" s="1380"/>
      <c r="Y127" s="1380"/>
      <c r="Z127" s="1380"/>
      <c r="AA127" s="1380"/>
      <c r="AC127" s="1400" t="str">
        <f t="shared" si="63"/>
        <v/>
      </c>
      <c r="AD127" s="1399"/>
      <c r="AE127" s="1399"/>
      <c r="AF127" s="1399"/>
      <c r="AG127" s="1399"/>
      <c r="AH127" s="1399"/>
      <c r="AI127" s="1399"/>
      <c r="AJ127" s="1399"/>
      <c r="AK127" s="1399"/>
      <c r="AL127" s="1399"/>
      <c r="AM127" s="1399"/>
      <c r="AN127" s="1399"/>
      <c r="AO127" s="1399"/>
      <c r="AP127" s="1399"/>
      <c r="AQ127" s="1399"/>
      <c r="AR127" s="1399"/>
      <c r="AS127" s="1399"/>
      <c r="AT127" s="1459"/>
      <c r="AU127" s="1459"/>
      <c r="AV127" s="1459"/>
      <c r="AW127" s="1459"/>
      <c r="AX127" s="1459"/>
      <c r="AY127" s="1459"/>
      <c r="AZ127" s="1459"/>
      <c r="BA127" s="1459"/>
      <c r="BB127" s="1459"/>
      <c r="BC127" s="1459"/>
      <c r="BD127" s="1459"/>
      <c r="BE127" s="1459"/>
      <c r="BF127" s="1459"/>
      <c r="BG127" s="1459"/>
      <c r="BH127" s="1458"/>
      <c r="BI127" s="1458"/>
      <c r="BJ127" s="1458"/>
      <c r="BK127" s="1442"/>
      <c r="BL127" s="1442"/>
      <c r="BM127" s="1453"/>
      <c r="BN127" s="1453"/>
      <c r="BO127" s="1453"/>
      <c r="BP127" s="1453"/>
      <c r="BQ127" s="1377"/>
      <c r="BR127" s="1377"/>
      <c r="BS127" s="1377"/>
      <c r="BT127" s="1377"/>
      <c r="BU127" s="1377"/>
      <c r="BV127" s="1377"/>
      <c r="BW127" s="1377"/>
      <c r="BX127" s="1377"/>
      <c r="BY127" s="1377"/>
      <c r="BZ127" s="1377"/>
      <c r="CA127" s="1377"/>
      <c r="CB127" s="1377"/>
      <c r="CC127" s="1377"/>
      <c r="CD127" s="1377"/>
      <c r="CE127" s="1377"/>
      <c r="CF127" s="1377"/>
    </row>
    <row r="128" spans="2:84" s="1379" customFormat="1">
      <c r="B128" s="1423">
        <v>43407</v>
      </c>
      <c r="C128" s="1422"/>
      <c r="D128" s="1454" t="s">
        <v>1214</v>
      </c>
      <c r="E128" s="1454"/>
      <c r="F128" s="1420"/>
      <c r="G128" s="1420"/>
      <c r="H128" s="1419"/>
      <c r="I128" s="1418">
        <v>149.34</v>
      </c>
      <c r="K128" s="1423"/>
      <c r="L128" s="1421"/>
      <c r="M128" s="1421"/>
      <c r="N128" s="1420"/>
      <c r="O128" s="1420"/>
      <c r="P128" s="1419"/>
      <c r="Q128" s="1418"/>
      <c r="S128" s="1378"/>
      <c r="T128" s="1381"/>
      <c r="U128" s="1380"/>
      <c r="V128" s="1380"/>
      <c r="W128" s="1380"/>
      <c r="X128" s="1380"/>
      <c r="Y128" s="1380"/>
      <c r="Z128" s="1380"/>
      <c r="AA128" s="1380"/>
      <c r="AC128" s="1400" t="str">
        <f>IF($K135&gt;0,$K135,"")</f>
        <v/>
      </c>
      <c r="AD128" s="1399"/>
      <c r="AE128" s="1399"/>
      <c r="AF128" s="1399"/>
      <c r="AG128" s="1399"/>
      <c r="AH128" s="1399"/>
      <c r="AI128" s="1399"/>
      <c r="AJ128" s="1399"/>
      <c r="AK128" s="1399"/>
      <c r="AL128" s="1399"/>
      <c r="AM128" s="1399"/>
      <c r="AN128" s="1399"/>
      <c r="AO128" s="1399"/>
      <c r="AP128" s="1399"/>
      <c r="AQ128" s="1399"/>
      <c r="AR128" s="1399"/>
      <c r="AS128" s="1399"/>
      <c r="AT128" s="1459"/>
      <c r="AU128" s="1459"/>
      <c r="AV128" s="1459"/>
      <c r="AW128" s="1459"/>
      <c r="AX128" s="1459"/>
      <c r="AY128" s="1459"/>
      <c r="AZ128" s="1459"/>
      <c r="BA128" s="1459"/>
      <c r="BB128" s="1459"/>
      <c r="BC128" s="1459"/>
      <c r="BD128" s="1459"/>
      <c r="BE128" s="1459"/>
      <c r="BF128" s="1459"/>
      <c r="BG128" s="1459"/>
      <c r="BH128" s="1458"/>
      <c r="BI128" s="1458"/>
      <c r="BJ128" s="1458"/>
      <c r="BK128" s="1442"/>
      <c r="BL128" s="1442"/>
      <c r="BM128" s="1453"/>
      <c r="BN128" s="1453"/>
      <c r="BO128" s="1453"/>
      <c r="BP128" s="1453"/>
      <c r="BQ128" s="1377"/>
      <c r="BR128" s="1377"/>
      <c r="BS128" s="1377"/>
      <c r="BT128" s="1377"/>
      <c r="BU128" s="1377"/>
      <c r="BV128" s="1377"/>
      <c r="BW128" s="1377"/>
      <c r="BX128" s="1377"/>
      <c r="BY128" s="1377"/>
      <c r="BZ128" s="1377"/>
      <c r="CA128" s="1377"/>
      <c r="CB128" s="1377"/>
      <c r="CC128" s="1377"/>
      <c r="CD128" s="1377"/>
      <c r="CE128" s="1377"/>
      <c r="CF128" s="1377"/>
    </row>
    <row r="129" spans="2:84" s="1379" customFormat="1">
      <c r="B129" s="1423">
        <v>43404</v>
      </c>
      <c r="C129" s="1422"/>
      <c r="D129" s="1454" t="s">
        <v>1214</v>
      </c>
      <c r="E129" s="1454"/>
      <c r="F129" s="1420"/>
      <c r="G129" s="1420"/>
      <c r="H129" s="1419"/>
      <c r="I129" s="1418">
        <v>202.27</v>
      </c>
      <c r="K129" s="1423"/>
      <c r="L129" s="1421"/>
      <c r="M129" s="1421"/>
      <c r="N129" s="1420"/>
      <c r="O129" s="1420"/>
      <c r="P129" s="1419"/>
      <c r="Q129" s="1418"/>
      <c r="S129" s="1378"/>
      <c r="T129" s="1381"/>
      <c r="U129" s="1380"/>
      <c r="V129" s="1380"/>
      <c r="W129" s="1380"/>
      <c r="X129" s="1380"/>
      <c r="Y129" s="1380"/>
      <c r="Z129" s="1380"/>
      <c r="AA129" s="1380"/>
      <c r="AC129" s="1400" t="str">
        <f>IF($K136&gt;0,$K136,"")</f>
        <v/>
      </c>
      <c r="AD129" s="1399"/>
      <c r="AE129" s="1399"/>
      <c r="AF129" s="1399"/>
      <c r="AG129" s="1399"/>
      <c r="AH129" s="1399"/>
      <c r="AI129" s="1399"/>
      <c r="AJ129" s="1399"/>
      <c r="AK129" s="1399"/>
      <c r="AL129" s="1399"/>
      <c r="AM129" s="1399"/>
      <c r="AN129" s="1399"/>
      <c r="AO129" s="1399"/>
      <c r="AP129" s="1399"/>
      <c r="AQ129" s="1399"/>
      <c r="AR129" s="1399"/>
      <c r="AS129" s="1399"/>
      <c r="AT129" s="1459"/>
      <c r="AU129" s="1459"/>
      <c r="AV129" s="1459"/>
      <c r="AW129" s="1459"/>
      <c r="AX129" s="1459"/>
      <c r="AY129" s="1459"/>
      <c r="AZ129" s="1459"/>
      <c r="BA129" s="1459"/>
      <c r="BB129" s="1459"/>
      <c r="BC129" s="1458"/>
      <c r="BD129" s="1458"/>
      <c r="BE129" s="1458"/>
      <c r="BF129" s="1458"/>
      <c r="BG129" s="1458"/>
      <c r="BH129" s="1443"/>
      <c r="BI129" s="1443"/>
      <c r="BJ129" s="1443"/>
      <c r="BM129" s="1377"/>
      <c r="BN129" s="1377"/>
      <c r="BO129" s="1377"/>
      <c r="BP129" s="1377"/>
      <c r="BQ129" s="1377"/>
      <c r="BR129" s="1377"/>
      <c r="BS129" s="1377"/>
      <c r="BT129" s="1377"/>
      <c r="BU129" s="1377"/>
      <c r="BV129" s="1377"/>
      <c r="BW129" s="1377"/>
      <c r="BX129" s="1377"/>
      <c r="BY129" s="1377"/>
      <c r="BZ129" s="1377"/>
      <c r="CA129" s="1377"/>
      <c r="CB129" s="1377"/>
      <c r="CC129" s="1377"/>
      <c r="CD129" s="1377"/>
      <c r="CE129" s="1377"/>
      <c r="CF129" s="1377"/>
    </row>
    <row r="130" spans="2:84" s="1379" customFormat="1">
      <c r="B130" s="1423">
        <v>43392</v>
      </c>
      <c r="C130" s="1422"/>
      <c r="D130" s="1454" t="s">
        <v>1213</v>
      </c>
      <c r="E130" s="1454"/>
      <c r="F130" s="1420"/>
      <c r="G130" s="1420"/>
      <c r="H130" s="1419"/>
      <c r="I130" s="1418">
        <v>250.11</v>
      </c>
      <c r="K130" s="1423"/>
      <c r="L130" s="1421"/>
      <c r="M130" s="1421"/>
      <c r="N130" s="1420"/>
      <c r="O130" s="1420"/>
      <c r="P130" s="1419"/>
      <c r="Q130" s="1418"/>
      <c r="S130" s="1378"/>
      <c r="T130" s="1381"/>
      <c r="U130" s="1380"/>
      <c r="V130" s="1380"/>
      <c r="W130" s="1380"/>
      <c r="X130" s="1380"/>
      <c r="Y130" s="1380"/>
      <c r="Z130" s="1380"/>
      <c r="AA130" s="1380"/>
      <c r="AC130" s="1400" t="str">
        <f t="shared" ref="AC130:AC135" si="64">IF(K137&gt;0,K137,"")</f>
        <v/>
      </c>
      <c r="AD130" s="1399"/>
      <c r="AE130" s="1399"/>
      <c r="AF130" s="1399"/>
      <c r="AG130" s="1399"/>
      <c r="AH130" s="1399"/>
      <c r="AI130" s="1399"/>
      <c r="AJ130" s="1399"/>
      <c r="AK130" s="1399"/>
      <c r="AL130" s="1399"/>
      <c r="AM130" s="1399"/>
      <c r="AN130" s="1399"/>
      <c r="AO130" s="1399"/>
      <c r="AP130" s="1399"/>
      <c r="AQ130" s="1399"/>
      <c r="AR130" s="1399"/>
      <c r="AS130" s="1399"/>
      <c r="AT130" s="1459"/>
      <c r="AU130" s="1459"/>
      <c r="AV130" s="1459"/>
      <c r="AW130" s="1459"/>
      <c r="AX130" s="1459"/>
      <c r="AY130" s="1459"/>
      <c r="AZ130" s="1459"/>
      <c r="BA130" s="1459"/>
      <c r="BB130" s="1459"/>
      <c r="BC130" s="1458"/>
      <c r="BD130" s="1458"/>
      <c r="BE130" s="1458"/>
      <c r="BF130" s="1458"/>
      <c r="BG130" s="1458"/>
      <c r="BH130" s="1443"/>
      <c r="BI130" s="1443"/>
      <c r="BJ130" s="1443"/>
      <c r="BK130" s="1453"/>
      <c r="BL130" s="1453"/>
      <c r="BM130" s="1377"/>
      <c r="BN130" s="1377"/>
      <c r="BO130" s="1377"/>
      <c r="BP130" s="1377"/>
      <c r="BQ130" s="1377"/>
      <c r="BR130" s="1377"/>
      <c r="BS130" s="1377"/>
      <c r="BT130" s="1377"/>
      <c r="BU130" s="1377"/>
      <c r="BV130" s="1377"/>
      <c r="BW130" s="1377"/>
      <c r="BX130" s="1377"/>
      <c r="BY130" s="1377"/>
      <c r="BZ130" s="1377"/>
      <c r="CA130" s="1377"/>
      <c r="CB130" s="1377"/>
      <c r="CC130" s="1377"/>
      <c r="CD130" s="1377"/>
      <c r="CE130" s="1377"/>
      <c r="CF130" s="1377"/>
    </row>
    <row r="131" spans="2:84" s="1376" customFormat="1">
      <c r="B131" s="1423">
        <v>43381</v>
      </c>
      <c r="C131" s="1422"/>
      <c r="D131" s="1454" t="s">
        <v>1213</v>
      </c>
      <c r="E131" s="1454"/>
      <c r="F131" s="1420"/>
      <c r="G131" s="1420"/>
      <c r="H131" s="1419"/>
      <c r="I131" s="1418">
        <v>495.48</v>
      </c>
      <c r="J131" s="1379"/>
      <c r="K131" s="1423"/>
      <c r="L131" s="1421"/>
      <c r="M131" s="1421"/>
      <c r="N131" s="1420"/>
      <c r="O131" s="1420"/>
      <c r="P131" s="1419"/>
      <c r="Q131" s="1418"/>
      <c r="R131" s="1379"/>
      <c r="S131" s="1378"/>
      <c r="T131" s="1381"/>
      <c r="U131" s="1380"/>
      <c r="V131" s="1380"/>
      <c r="W131" s="1380"/>
      <c r="X131" s="1380"/>
      <c r="Y131" s="1380"/>
      <c r="Z131" s="1380"/>
      <c r="AA131" s="1380"/>
      <c r="AB131" s="1379"/>
      <c r="AC131" s="1400" t="str">
        <f t="shared" si="64"/>
        <v/>
      </c>
      <c r="AD131" s="1399"/>
      <c r="AE131" s="1399"/>
      <c r="AF131" s="1399"/>
      <c r="AG131" s="1399"/>
      <c r="AH131" s="1399"/>
      <c r="AI131" s="1399"/>
      <c r="AJ131" s="1399"/>
      <c r="AK131" s="1399"/>
      <c r="AL131" s="1399"/>
      <c r="AM131" s="1399"/>
      <c r="AN131" s="1399"/>
      <c r="AO131" s="1399"/>
      <c r="AP131" s="1399"/>
      <c r="AQ131" s="1399"/>
      <c r="AR131" s="1399"/>
      <c r="AS131" s="1399"/>
      <c r="AT131" s="1459"/>
      <c r="AU131" s="1459"/>
      <c r="AV131" s="1458"/>
      <c r="AW131" s="1458"/>
      <c r="AX131" s="1458"/>
      <c r="AY131" s="1458"/>
      <c r="AZ131" s="1458"/>
      <c r="BA131" s="1458"/>
      <c r="BB131" s="1458"/>
      <c r="BC131" s="1458"/>
      <c r="BD131" s="1458"/>
      <c r="BE131" s="1458"/>
      <c r="BF131" s="1458"/>
      <c r="BG131" s="1458"/>
      <c r="BH131" s="1443"/>
      <c r="BI131" s="1443"/>
      <c r="BJ131" s="1443"/>
      <c r="BK131" s="1453"/>
      <c r="BL131" s="1453"/>
      <c r="BM131" s="1377"/>
      <c r="BN131" s="1377"/>
      <c r="BO131" s="1377"/>
      <c r="BP131" s="1377"/>
      <c r="BQ131" s="1377"/>
      <c r="BR131" s="1377"/>
      <c r="BS131" s="1377"/>
      <c r="BT131" s="1377"/>
      <c r="BU131" s="1377"/>
      <c r="BV131" s="1377"/>
      <c r="BW131" s="1377"/>
      <c r="BX131" s="1377"/>
      <c r="BY131" s="1377"/>
      <c r="BZ131" s="1377"/>
      <c r="CA131" s="1377"/>
      <c r="CB131" s="1377"/>
      <c r="CC131" s="1377"/>
      <c r="CD131" s="1377"/>
      <c r="CE131" s="1377"/>
      <c r="CF131" s="1377"/>
    </row>
    <row r="132" spans="2:84" s="1379" customFormat="1">
      <c r="B132" s="1423">
        <v>43362</v>
      </c>
      <c r="C132" s="1422"/>
      <c r="D132" s="1454" t="s">
        <v>690</v>
      </c>
      <c r="E132" s="1454"/>
      <c r="F132" s="1420"/>
      <c r="G132" s="1420"/>
      <c r="H132" s="1419"/>
      <c r="I132" s="1418">
        <v>314.39</v>
      </c>
      <c r="K132" s="1423"/>
      <c r="L132" s="1421"/>
      <c r="M132" s="1421"/>
      <c r="N132" s="1420"/>
      <c r="O132" s="1420"/>
      <c r="P132" s="1419"/>
      <c r="Q132" s="1418"/>
      <c r="S132" s="1378"/>
      <c r="T132" s="1381"/>
      <c r="U132" s="1380"/>
      <c r="V132" s="1380"/>
      <c r="W132" s="1380"/>
      <c r="X132" s="1380"/>
      <c r="Y132" s="1380"/>
      <c r="Z132" s="1380"/>
      <c r="AA132" s="1380"/>
      <c r="AC132" s="1400" t="str">
        <f t="shared" si="64"/>
        <v/>
      </c>
      <c r="AD132" s="1399"/>
      <c r="AE132" s="1399"/>
      <c r="AF132" s="1399"/>
      <c r="AG132" s="1399"/>
      <c r="AH132" s="1399"/>
      <c r="AI132" s="1399"/>
      <c r="AJ132" s="1399"/>
      <c r="AK132" s="1399"/>
      <c r="AL132" s="1399"/>
      <c r="AM132" s="1399"/>
      <c r="AN132" s="1399"/>
      <c r="AO132" s="1399"/>
      <c r="AP132" s="1399"/>
      <c r="AQ132" s="1399"/>
      <c r="AR132" s="1399"/>
      <c r="AS132" s="1399"/>
      <c r="AT132" s="1459"/>
      <c r="AU132" s="1459"/>
      <c r="AV132" s="1458"/>
      <c r="AW132" s="1458"/>
      <c r="AX132" s="1458"/>
      <c r="AY132" s="1458"/>
      <c r="AZ132" s="1458"/>
      <c r="BA132" s="1458"/>
      <c r="BB132" s="1458"/>
      <c r="BC132" s="1443"/>
      <c r="BD132" s="1443"/>
      <c r="BE132" s="1443"/>
      <c r="BF132" s="1443"/>
      <c r="BG132" s="1443"/>
      <c r="BH132" s="1442"/>
      <c r="BI132" s="1442"/>
      <c r="BJ132" s="1442"/>
      <c r="BK132" s="1377"/>
      <c r="BL132" s="1377"/>
      <c r="BM132" s="1377"/>
      <c r="BN132" s="1377"/>
      <c r="BO132" s="1377"/>
      <c r="BP132" s="1377"/>
      <c r="BQ132" s="1377"/>
      <c r="BR132" s="1377"/>
      <c r="BS132" s="1377"/>
      <c r="BT132" s="1377"/>
      <c r="BU132" s="1377"/>
      <c r="BV132" s="1377"/>
      <c r="BW132" s="1377"/>
      <c r="BX132" s="1377"/>
      <c r="BY132" s="1377"/>
      <c r="BZ132" s="1377"/>
      <c r="CA132" s="1377"/>
      <c r="CB132" s="1377"/>
      <c r="CC132" s="1377"/>
      <c r="CD132" s="1377"/>
      <c r="CE132" s="1377"/>
      <c r="CF132" s="1377"/>
    </row>
    <row r="133" spans="2:84" s="1379" customFormat="1">
      <c r="B133" s="1423">
        <v>43343</v>
      </c>
      <c r="C133" s="1422"/>
      <c r="D133" s="1454" t="s">
        <v>1213</v>
      </c>
      <c r="E133" s="1454"/>
      <c r="F133" s="1420"/>
      <c r="G133" s="1420"/>
      <c r="H133" s="1419"/>
      <c r="I133" s="1418">
        <v>385.04</v>
      </c>
      <c r="K133" s="1423"/>
      <c r="L133" s="1421"/>
      <c r="M133" s="1421"/>
      <c r="N133" s="1420"/>
      <c r="O133" s="1420"/>
      <c r="P133" s="1419"/>
      <c r="Q133" s="1418"/>
      <c r="S133" s="1378"/>
      <c r="T133" s="1381"/>
      <c r="U133" s="1380"/>
      <c r="V133" s="1380"/>
      <c r="W133" s="1380"/>
      <c r="X133" s="1380"/>
      <c r="Y133" s="1380"/>
      <c r="Z133" s="1380"/>
      <c r="AA133" s="1380"/>
      <c r="AC133" s="1400" t="str">
        <f t="shared" si="64"/>
        <v/>
      </c>
      <c r="AD133" s="1399"/>
      <c r="AE133" s="1399"/>
      <c r="AF133" s="1399"/>
      <c r="AG133" s="1399"/>
      <c r="AH133" s="1399"/>
      <c r="AI133" s="1399"/>
      <c r="AJ133" s="1399"/>
      <c r="AK133" s="1399"/>
      <c r="AL133" s="1399"/>
      <c r="AM133" s="1399"/>
      <c r="AN133" s="1399"/>
      <c r="AO133" s="1425"/>
      <c r="AP133" s="1425"/>
      <c r="AQ133" s="1425"/>
      <c r="AR133" s="1425"/>
      <c r="AS133" s="1425"/>
      <c r="AT133" s="1459"/>
      <c r="AU133" s="1459"/>
      <c r="AV133" s="1458"/>
      <c r="AW133" s="1458"/>
      <c r="AX133" s="1458"/>
      <c r="AY133" s="1458"/>
      <c r="AZ133" s="1458"/>
      <c r="BA133" s="1458"/>
      <c r="BB133" s="1458"/>
      <c r="BC133" s="1443"/>
      <c r="BD133" s="1443"/>
      <c r="BE133" s="1443"/>
      <c r="BF133" s="1443"/>
      <c r="BG133" s="1443"/>
      <c r="BH133" s="1442"/>
      <c r="BI133" s="1442"/>
      <c r="BJ133" s="1442"/>
      <c r="BK133" s="1377"/>
      <c r="BL133" s="1377"/>
      <c r="BM133" s="1377"/>
      <c r="BN133" s="1377"/>
      <c r="BO133" s="1377"/>
      <c r="BP133" s="1377"/>
      <c r="BQ133" s="1377"/>
      <c r="BR133" s="1377"/>
      <c r="BS133" s="1377"/>
      <c r="BT133" s="1377"/>
      <c r="BU133" s="1377"/>
      <c r="BV133" s="1377"/>
      <c r="BW133" s="1377"/>
      <c r="BX133" s="1377"/>
      <c r="BY133" s="1377"/>
      <c r="BZ133" s="1377"/>
      <c r="CA133" s="1377"/>
      <c r="CB133" s="1377"/>
      <c r="CC133" s="1377"/>
      <c r="CD133" s="1377"/>
      <c r="CE133" s="1377"/>
      <c r="CF133" s="1377"/>
    </row>
    <row r="134" spans="2:84" s="1379" customFormat="1">
      <c r="B134" s="1423">
        <v>43328</v>
      </c>
      <c r="C134" s="1422"/>
      <c r="D134" s="1454" t="s">
        <v>1213</v>
      </c>
      <c r="E134" s="1454"/>
      <c r="F134" s="1420"/>
      <c r="G134" s="1420"/>
      <c r="H134" s="1419"/>
      <c r="I134" s="1418">
        <v>398.71</v>
      </c>
      <c r="K134" s="1423"/>
      <c r="L134" s="1421"/>
      <c r="M134" s="1421"/>
      <c r="N134" s="1420"/>
      <c r="O134" s="1420"/>
      <c r="P134" s="1419"/>
      <c r="Q134" s="1418"/>
      <c r="S134" s="1378"/>
      <c r="T134" s="1381"/>
      <c r="U134" s="1380"/>
      <c r="V134" s="1380"/>
      <c r="W134" s="1380"/>
      <c r="X134" s="1380"/>
      <c r="Y134" s="1380"/>
      <c r="Z134" s="1380"/>
      <c r="AA134" s="1380"/>
      <c r="AC134" s="1400" t="str">
        <f t="shared" si="64"/>
        <v/>
      </c>
      <c r="AD134" s="1399"/>
      <c r="AE134" s="1399"/>
      <c r="AF134" s="1399"/>
      <c r="AG134" s="1399"/>
      <c r="AH134" s="1399"/>
      <c r="AI134" s="1399"/>
      <c r="AJ134" s="1399"/>
      <c r="AK134" s="1399"/>
      <c r="AL134" s="1399"/>
      <c r="AM134" s="1399"/>
      <c r="AN134" s="1399"/>
      <c r="AO134" s="1425"/>
      <c r="AP134" s="1425"/>
      <c r="AQ134" s="1425"/>
      <c r="AR134" s="1425"/>
      <c r="AS134" s="1425"/>
      <c r="AT134" s="1459"/>
      <c r="AU134" s="1459"/>
      <c r="AV134" s="1443"/>
      <c r="AW134" s="1443"/>
      <c r="AX134" s="1443"/>
      <c r="AY134" s="1443"/>
      <c r="AZ134" s="1443"/>
      <c r="BA134" s="1443"/>
      <c r="BB134" s="1443"/>
      <c r="BC134" s="1443"/>
      <c r="BD134" s="1443"/>
      <c r="BE134" s="1443"/>
      <c r="BF134" s="1443"/>
      <c r="BG134" s="1443"/>
      <c r="BK134" s="1377"/>
      <c r="BL134" s="1377"/>
      <c r="BM134" s="1377"/>
      <c r="BN134" s="1377"/>
      <c r="BO134" s="1377"/>
      <c r="BP134" s="1377"/>
      <c r="BQ134" s="1377"/>
      <c r="BR134" s="1377"/>
      <c r="BS134" s="1377"/>
      <c r="BT134" s="1377"/>
      <c r="BU134" s="1377"/>
      <c r="BV134" s="1377"/>
      <c r="BW134" s="1377"/>
      <c r="BX134" s="1377"/>
      <c r="BY134" s="1377"/>
      <c r="BZ134" s="1377"/>
      <c r="CA134" s="1377"/>
      <c r="CB134" s="1377"/>
      <c r="CC134" s="1377"/>
      <c r="CD134" s="1377"/>
      <c r="CE134" s="1377"/>
      <c r="CF134" s="1377"/>
    </row>
    <row r="135" spans="2:84" s="1379" customFormat="1">
      <c r="B135" s="1423">
        <v>43306</v>
      </c>
      <c r="C135" s="1422"/>
      <c r="D135" s="1454" t="s">
        <v>1213</v>
      </c>
      <c r="E135" s="1454"/>
      <c r="F135" s="1420"/>
      <c r="G135" s="1420"/>
      <c r="H135" s="1419"/>
      <c r="I135" s="1418">
        <v>286.08</v>
      </c>
      <c r="K135" s="1423"/>
      <c r="L135" s="1421"/>
      <c r="M135" s="1421"/>
      <c r="N135" s="1420"/>
      <c r="O135" s="1420"/>
      <c r="P135" s="1419"/>
      <c r="Q135" s="1418"/>
      <c r="S135" s="1378"/>
      <c r="T135" s="1381"/>
      <c r="U135" s="1380"/>
      <c r="V135" s="1380"/>
      <c r="W135" s="1380"/>
      <c r="X135" s="1380"/>
      <c r="Y135" s="1380"/>
      <c r="Z135" s="1380"/>
      <c r="AA135" s="1380"/>
      <c r="AC135" s="1400" t="str">
        <f t="shared" si="64"/>
        <v/>
      </c>
      <c r="AD135" s="1399"/>
      <c r="AE135" s="1399"/>
      <c r="AF135" s="1399"/>
      <c r="AG135" s="1399"/>
      <c r="AH135" s="1399"/>
      <c r="AI135" s="1399"/>
      <c r="AJ135" s="1399"/>
      <c r="AK135" s="1399"/>
      <c r="AL135" s="1399"/>
      <c r="AM135" s="1399"/>
      <c r="AN135" s="1399"/>
      <c r="AO135" s="1451"/>
      <c r="AP135" s="1451"/>
      <c r="AQ135" s="1451"/>
      <c r="AR135" s="1451"/>
      <c r="AS135" s="1451"/>
      <c r="AT135" s="1459"/>
      <c r="AU135" s="1459"/>
      <c r="AV135" s="1443"/>
      <c r="AW135" s="1443"/>
      <c r="AX135" s="1443"/>
      <c r="AY135" s="1443"/>
      <c r="AZ135" s="1443"/>
      <c r="BA135" s="1443"/>
      <c r="BB135" s="1443"/>
      <c r="BC135" s="1442"/>
      <c r="BD135" s="1442"/>
      <c r="BE135" s="1442"/>
      <c r="BF135" s="1442"/>
      <c r="BG135" s="1442"/>
      <c r="BH135" s="1453"/>
      <c r="BI135" s="1453"/>
      <c r="BJ135" s="1453"/>
      <c r="BK135" s="1377"/>
      <c r="BL135" s="1377"/>
      <c r="BM135" s="1377"/>
      <c r="BN135" s="1377"/>
      <c r="BO135" s="1377"/>
      <c r="BP135" s="1377"/>
      <c r="BQ135" s="1377"/>
      <c r="BR135" s="1377"/>
      <c r="BS135" s="1377"/>
      <c r="BT135" s="1377"/>
      <c r="BU135" s="1377"/>
      <c r="BV135" s="1377"/>
      <c r="BW135" s="1377"/>
      <c r="BX135" s="1377"/>
      <c r="BY135" s="1377"/>
      <c r="BZ135" s="1377"/>
      <c r="CA135" s="1377"/>
      <c r="CB135" s="1377"/>
      <c r="CC135" s="1377"/>
      <c r="CD135" s="1377"/>
      <c r="CE135" s="1377"/>
      <c r="CF135" s="1377"/>
    </row>
    <row r="136" spans="2:84" s="1376" customFormat="1">
      <c r="B136" s="1423">
        <v>43299</v>
      </c>
      <c r="C136" s="1422"/>
      <c r="D136" s="1454" t="s">
        <v>1213</v>
      </c>
      <c r="E136" s="1454"/>
      <c r="F136" s="1420"/>
      <c r="G136" s="1420"/>
      <c r="H136" s="1419"/>
      <c r="I136" s="1418">
        <v>293.04000000000002</v>
      </c>
      <c r="J136" s="1379"/>
      <c r="K136" s="1423"/>
      <c r="L136" s="1421"/>
      <c r="M136" s="1421"/>
      <c r="N136" s="1420"/>
      <c r="O136" s="1420"/>
      <c r="P136" s="1419"/>
      <c r="Q136" s="1418"/>
      <c r="R136" s="1379"/>
      <c r="S136" s="1378"/>
      <c r="T136" s="1381"/>
      <c r="U136" s="1380"/>
      <c r="V136" s="1380"/>
      <c r="W136" s="1380"/>
      <c r="X136" s="1380"/>
      <c r="Y136" s="1380"/>
      <c r="Z136" s="1380"/>
      <c r="AA136" s="1380"/>
      <c r="AB136" s="1379"/>
      <c r="AC136" s="1400" t="str">
        <f>IF(K144&gt;0,K144,"")</f>
        <v/>
      </c>
      <c r="AD136" s="1399"/>
      <c r="AE136" s="1399"/>
      <c r="AF136" s="1399"/>
      <c r="AG136" s="1399"/>
      <c r="AH136" s="1399"/>
      <c r="AI136" s="1399"/>
      <c r="AJ136" s="1399"/>
      <c r="AK136" s="1399"/>
      <c r="AL136" s="1399"/>
      <c r="AM136" s="1425"/>
      <c r="AN136" s="1425"/>
      <c r="AO136" s="1425"/>
      <c r="AP136" s="1425"/>
      <c r="AQ136" s="1425"/>
      <c r="AR136" s="1425"/>
      <c r="AS136" s="1425"/>
      <c r="AT136" s="1458"/>
      <c r="AU136" s="1458"/>
      <c r="AV136" s="1443"/>
      <c r="AW136" s="1443"/>
      <c r="AX136" s="1443"/>
      <c r="AY136" s="1443"/>
      <c r="AZ136" s="1443"/>
      <c r="BA136" s="1443"/>
      <c r="BB136" s="1443"/>
      <c r="BC136" s="1442"/>
      <c r="BD136" s="1442"/>
      <c r="BE136" s="1442"/>
      <c r="BF136" s="1442"/>
      <c r="BG136" s="1442"/>
      <c r="BH136" s="1453"/>
      <c r="BI136" s="1453"/>
      <c r="BJ136" s="1453"/>
      <c r="BK136" s="1377"/>
      <c r="BL136" s="1377"/>
      <c r="BM136" s="1377"/>
      <c r="BN136" s="1377"/>
      <c r="BO136" s="1377"/>
      <c r="BP136" s="1377"/>
      <c r="BQ136" s="1377"/>
      <c r="BR136" s="1377"/>
      <c r="BS136" s="1377"/>
      <c r="BT136" s="1377"/>
      <c r="BU136" s="1377"/>
      <c r="BV136" s="1377"/>
      <c r="BW136" s="1377"/>
      <c r="BX136" s="1377"/>
      <c r="BY136" s="1377"/>
      <c r="BZ136" s="1377"/>
      <c r="CA136" s="1377"/>
      <c r="CB136" s="1377"/>
      <c r="CC136" s="1377"/>
      <c r="CD136" s="1377"/>
      <c r="CE136" s="1377"/>
      <c r="CF136" s="1377"/>
    </row>
    <row r="137" spans="2:84" s="1376" customFormat="1">
      <c r="B137" s="1423">
        <v>43286</v>
      </c>
      <c r="C137" s="1422"/>
      <c r="D137" s="1454" t="s">
        <v>1213</v>
      </c>
      <c r="E137" s="1454"/>
      <c r="F137" s="1420"/>
      <c r="G137" s="1420"/>
      <c r="H137" s="1419"/>
      <c r="I137" s="1418">
        <v>234.85</v>
      </c>
      <c r="J137" s="1379"/>
      <c r="K137" s="1423"/>
      <c r="L137" s="1421"/>
      <c r="M137" s="1421"/>
      <c r="N137" s="1420"/>
      <c r="O137" s="1420"/>
      <c r="P137" s="1419"/>
      <c r="Q137" s="1418"/>
      <c r="R137" s="1379"/>
      <c r="S137" s="1378"/>
      <c r="T137" s="1381"/>
      <c r="U137" s="1380"/>
      <c r="V137" s="1380"/>
      <c r="W137" s="1380"/>
      <c r="X137" s="1380"/>
      <c r="Y137" s="1380"/>
      <c r="Z137" s="1380"/>
      <c r="AA137" s="1380"/>
      <c r="AB137" s="1379"/>
      <c r="AC137" s="1400" t="str">
        <f>IF(K145&gt;0,K145,"")</f>
        <v/>
      </c>
      <c r="AD137" s="1399"/>
      <c r="AE137" s="1399"/>
      <c r="AF137" s="1399"/>
      <c r="AG137" s="1399"/>
      <c r="AH137" s="1399"/>
      <c r="AI137" s="1399"/>
      <c r="AJ137" s="1399"/>
      <c r="AK137" s="1399"/>
      <c r="AL137" s="1399"/>
      <c r="AM137" s="1425"/>
      <c r="AN137" s="1425"/>
      <c r="AO137" s="1425"/>
      <c r="AP137" s="1425"/>
      <c r="AQ137" s="1425"/>
      <c r="AR137" s="1425"/>
      <c r="AS137" s="1425"/>
      <c r="AT137" s="1458"/>
      <c r="AU137" s="1458"/>
      <c r="AV137" s="1442"/>
      <c r="AW137" s="1442"/>
      <c r="AX137" s="1442"/>
      <c r="AY137" s="1442"/>
      <c r="AZ137" s="1442"/>
      <c r="BA137" s="1442"/>
      <c r="BB137" s="1442"/>
      <c r="BC137" s="1379"/>
      <c r="BD137" s="1379"/>
      <c r="BE137" s="1379"/>
      <c r="BF137" s="1379"/>
      <c r="BG137" s="1379"/>
      <c r="BH137" s="1377"/>
      <c r="BI137" s="1377"/>
      <c r="BJ137" s="1377"/>
      <c r="BK137" s="1377"/>
      <c r="BL137" s="1377"/>
      <c r="BM137" s="1377"/>
      <c r="BN137" s="1377"/>
      <c r="BO137" s="1377"/>
      <c r="BP137" s="1377"/>
      <c r="BQ137" s="1377"/>
      <c r="BR137" s="1377"/>
      <c r="BS137" s="1377"/>
      <c r="BT137" s="1377"/>
      <c r="BU137" s="1377"/>
      <c r="BV137" s="1377"/>
      <c r="BW137" s="1377"/>
      <c r="BX137" s="1377"/>
      <c r="BY137" s="1377"/>
      <c r="BZ137" s="1377"/>
      <c r="CA137" s="1377"/>
      <c r="CB137" s="1377"/>
      <c r="CC137" s="1377"/>
      <c r="CD137" s="1377"/>
      <c r="CE137" s="1377"/>
      <c r="CF137" s="1377"/>
    </row>
    <row r="138" spans="2:84" s="1376" customFormat="1">
      <c r="B138" s="1423">
        <v>43277</v>
      </c>
      <c r="C138" s="1422"/>
      <c r="D138" s="1454" t="s">
        <v>1214</v>
      </c>
      <c r="E138" s="1454"/>
      <c r="F138" s="1420"/>
      <c r="G138" s="1420"/>
      <c r="H138" s="1419"/>
      <c r="I138" s="1418">
        <v>49</v>
      </c>
      <c r="J138" s="1379"/>
      <c r="K138" s="1423"/>
      <c r="L138" s="1421"/>
      <c r="M138" s="1421"/>
      <c r="N138" s="1420"/>
      <c r="O138" s="1420"/>
      <c r="P138" s="1419"/>
      <c r="Q138" s="1418"/>
      <c r="R138" s="1379"/>
      <c r="S138" s="1378"/>
      <c r="T138" s="1381"/>
      <c r="U138" s="1380"/>
      <c r="V138" s="1380"/>
      <c r="W138" s="1380"/>
      <c r="X138" s="1380"/>
      <c r="Y138" s="1380"/>
      <c r="Z138" s="1380"/>
      <c r="AA138" s="1380"/>
      <c r="AB138" s="1379"/>
      <c r="AC138" s="1400" t="str">
        <f>IF(K146&gt;0,K146,"")</f>
        <v/>
      </c>
      <c r="AD138" s="1399"/>
      <c r="AE138" s="1399"/>
      <c r="AF138" s="1399"/>
      <c r="AG138" s="1399"/>
      <c r="AH138" s="1399"/>
      <c r="AI138" s="1399"/>
      <c r="AJ138" s="1399"/>
      <c r="AK138" s="1399"/>
      <c r="AL138" s="1399"/>
      <c r="AM138" s="1451"/>
      <c r="AN138" s="1451"/>
      <c r="AO138" s="1399"/>
      <c r="AP138" s="1399"/>
      <c r="AQ138" s="1399"/>
      <c r="AR138" s="1399"/>
      <c r="AS138" s="1399"/>
      <c r="AT138" s="1458"/>
      <c r="AU138" s="1458"/>
      <c r="AV138" s="1442"/>
      <c r="AW138" s="1442"/>
      <c r="AX138" s="1442"/>
      <c r="AY138" s="1442"/>
      <c r="AZ138" s="1442"/>
      <c r="BA138" s="1442"/>
      <c r="BB138" s="1442"/>
      <c r="BC138" s="1453"/>
      <c r="BD138" s="1453"/>
      <c r="BE138" s="1453"/>
      <c r="BF138" s="1453"/>
      <c r="BG138" s="1453"/>
      <c r="BH138" s="1377"/>
      <c r="BI138" s="1377"/>
      <c r="BJ138" s="1377"/>
      <c r="BK138" s="1377"/>
      <c r="BL138" s="1377"/>
      <c r="BM138" s="1377"/>
      <c r="BN138" s="1377"/>
      <c r="BO138" s="1377"/>
      <c r="BP138" s="1377"/>
      <c r="BQ138" s="1377"/>
      <c r="BR138" s="1377"/>
      <c r="BS138" s="1377"/>
      <c r="BT138" s="1377"/>
      <c r="BU138" s="1377"/>
      <c r="BV138" s="1377"/>
      <c r="BW138" s="1377"/>
      <c r="BX138" s="1377"/>
      <c r="BY138" s="1377"/>
      <c r="BZ138" s="1377"/>
      <c r="CA138" s="1377"/>
      <c r="CB138" s="1377"/>
      <c r="CC138" s="1377"/>
      <c r="CD138" s="1377"/>
      <c r="CE138" s="1377"/>
      <c r="CF138" s="1377"/>
    </row>
    <row r="139" spans="2:84" s="1376" customFormat="1">
      <c r="B139" s="1423">
        <v>43277</v>
      </c>
      <c r="C139" s="1422"/>
      <c r="D139" s="1454" t="s">
        <v>1213</v>
      </c>
      <c r="E139" s="1454"/>
      <c r="F139" s="1420"/>
      <c r="G139" s="1420"/>
      <c r="H139" s="1419"/>
      <c r="I139" s="1418">
        <v>202.68</v>
      </c>
      <c r="J139" s="1379"/>
      <c r="K139" s="1423"/>
      <c r="L139" s="1421"/>
      <c r="M139" s="1421"/>
      <c r="N139" s="1420"/>
      <c r="O139" s="1420"/>
      <c r="P139" s="1419"/>
      <c r="Q139" s="1418"/>
      <c r="R139" s="1379"/>
      <c r="S139" s="1378"/>
      <c r="T139" s="1381"/>
      <c r="U139" s="1380"/>
      <c r="V139" s="1380"/>
      <c r="W139" s="1380"/>
      <c r="X139" s="1380"/>
      <c r="Y139" s="1380"/>
      <c r="Z139" s="1380"/>
      <c r="AA139" s="1380"/>
      <c r="AB139" s="1379"/>
      <c r="AC139" s="1400">
        <f t="shared" ref="AC139:AC153" si="65">K147</f>
        <v>0</v>
      </c>
      <c r="AD139" s="1399"/>
      <c r="AE139" s="1399"/>
      <c r="AF139" s="1399"/>
      <c r="AG139" s="1399"/>
      <c r="AH139" s="1399"/>
      <c r="AI139" s="1399"/>
      <c r="AJ139" s="1399"/>
      <c r="AK139" s="1399"/>
      <c r="AL139" s="1399"/>
      <c r="AM139" s="1425"/>
      <c r="AN139" s="1425"/>
      <c r="AO139" s="1399"/>
      <c r="AP139" s="1399"/>
      <c r="AQ139" s="1399"/>
      <c r="AR139" s="1399"/>
      <c r="AS139" s="1399"/>
      <c r="AT139" s="1443"/>
      <c r="AU139" s="1443"/>
      <c r="AV139" s="1379"/>
      <c r="AW139" s="1379"/>
      <c r="AX139" s="1379"/>
      <c r="AY139" s="1379"/>
      <c r="AZ139" s="1379"/>
      <c r="BA139" s="1379"/>
      <c r="BB139" s="1379"/>
      <c r="BC139" s="1453"/>
      <c r="BD139" s="1453"/>
      <c r="BE139" s="1453"/>
      <c r="BF139" s="1453"/>
      <c r="BG139" s="1453"/>
      <c r="BH139" s="1377"/>
      <c r="BI139" s="1377"/>
      <c r="BJ139" s="1377"/>
      <c r="BK139" s="1377"/>
      <c r="BL139" s="1377"/>
      <c r="BM139" s="1377"/>
      <c r="BN139" s="1377"/>
      <c r="BO139" s="1377"/>
      <c r="BP139" s="1377"/>
      <c r="BQ139" s="1377"/>
      <c r="BR139" s="1377"/>
      <c r="BS139" s="1377"/>
      <c r="BT139" s="1377"/>
      <c r="BU139" s="1377"/>
      <c r="BV139" s="1377"/>
      <c r="BW139" s="1377"/>
      <c r="BX139" s="1377"/>
      <c r="BY139" s="1377"/>
      <c r="BZ139" s="1377"/>
      <c r="CA139" s="1377"/>
      <c r="CB139" s="1377"/>
      <c r="CC139" s="1377"/>
      <c r="CD139" s="1377"/>
      <c r="CE139" s="1377"/>
      <c r="CF139" s="1377"/>
    </row>
    <row r="140" spans="2:84" s="1376" customFormat="1">
      <c r="B140" s="1423">
        <v>43269</v>
      </c>
      <c r="C140" s="1422"/>
      <c r="D140" s="1454" t="s">
        <v>1213</v>
      </c>
      <c r="E140" s="1454"/>
      <c r="F140" s="1420"/>
      <c r="G140" s="1420"/>
      <c r="H140" s="1419"/>
      <c r="I140" s="1418">
        <v>248.92</v>
      </c>
      <c r="J140" s="1379"/>
      <c r="K140" s="1423"/>
      <c r="L140" s="1421"/>
      <c r="M140" s="1421"/>
      <c r="N140" s="1420"/>
      <c r="O140" s="1420"/>
      <c r="P140" s="1419"/>
      <c r="Q140" s="1418"/>
      <c r="R140" s="1379"/>
      <c r="S140" s="1378"/>
      <c r="T140" s="1381"/>
      <c r="U140" s="1380"/>
      <c r="V140" s="1380"/>
      <c r="W140" s="1380"/>
      <c r="X140" s="1380"/>
      <c r="Y140" s="1380"/>
      <c r="Z140" s="1380"/>
      <c r="AA140" s="1380"/>
      <c r="AB140" s="1379"/>
      <c r="AC140" s="1400">
        <f t="shared" si="65"/>
        <v>0</v>
      </c>
      <c r="AD140" s="1399"/>
      <c r="AE140" s="1399"/>
      <c r="AF140" s="1399"/>
      <c r="AG140" s="1399"/>
      <c r="AH140" s="1399"/>
      <c r="AI140" s="1399"/>
      <c r="AJ140" s="1399"/>
      <c r="AK140" s="1399"/>
      <c r="AL140" s="1399"/>
      <c r="AM140" s="1425"/>
      <c r="AN140" s="1425"/>
      <c r="AO140" s="1399"/>
      <c r="AP140" s="1399"/>
      <c r="AQ140" s="1399"/>
      <c r="AR140" s="1399"/>
      <c r="AS140" s="1399"/>
      <c r="AT140" s="1443"/>
      <c r="AU140" s="1443"/>
      <c r="AV140" s="1453"/>
      <c r="AW140" s="1453"/>
      <c r="AX140" s="1453"/>
      <c r="AY140" s="1453"/>
      <c r="AZ140" s="1453"/>
      <c r="BA140" s="1453"/>
      <c r="BB140" s="1453"/>
      <c r="BC140" s="1377"/>
      <c r="BD140" s="1377"/>
      <c r="BE140" s="1377"/>
      <c r="BF140" s="1377"/>
      <c r="BG140" s="1377"/>
      <c r="BH140" s="1377"/>
      <c r="BI140" s="1377"/>
      <c r="BJ140" s="1377"/>
      <c r="BK140" s="1377"/>
      <c r="BL140" s="1377"/>
      <c r="BM140" s="1377"/>
      <c r="BN140" s="1377"/>
      <c r="BO140" s="1377"/>
      <c r="BP140" s="1377"/>
      <c r="BQ140" s="1377"/>
      <c r="BR140" s="1377"/>
      <c r="BS140" s="1377"/>
      <c r="BT140" s="1377"/>
      <c r="BU140" s="1377"/>
      <c r="BV140" s="1377"/>
      <c r="BW140" s="1377"/>
      <c r="BX140" s="1377"/>
      <c r="BY140" s="1377"/>
      <c r="BZ140" s="1377"/>
      <c r="CA140" s="1377"/>
      <c r="CB140" s="1377"/>
      <c r="CC140" s="1377"/>
      <c r="CD140" s="1377"/>
      <c r="CE140" s="1377"/>
      <c r="CF140" s="1377"/>
    </row>
    <row r="141" spans="2:84" s="1376" customFormat="1">
      <c r="B141" s="1423">
        <v>43257</v>
      </c>
      <c r="C141" s="1422"/>
      <c r="D141" s="1454" t="s">
        <v>1213</v>
      </c>
      <c r="E141" s="1454"/>
      <c r="F141" s="1420"/>
      <c r="G141" s="1420"/>
      <c r="H141" s="1419"/>
      <c r="I141" s="1418">
        <v>182.87</v>
      </c>
      <c r="J141" s="1379"/>
      <c r="K141" s="1423"/>
      <c r="L141" s="1421"/>
      <c r="M141" s="1421"/>
      <c r="N141" s="1420"/>
      <c r="O141" s="1420"/>
      <c r="P141" s="1419"/>
      <c r="Q141" s="1418"/>
      <c r="R141" s="1379"/>
      <c r="S141" s="1378"/>
      <c r="T141" s="1381"/>
      <c r="U141" s="1380"/>
      <c r="V141" s="1380"/>
      <c r="W141" s="1380"/>
      <c r="X141" s="1380"/>
      <c r="Y141" s="1380"/>
      <c r="Z141" s="1380"/>
      <c r="AA141" s="1380"/>
      <c r="AB141" s="1379"/>
      <c r="AC141" s="1400">
        <f t="shared" si="65"/>
        <v>0</v>
      </c>
      <c r="AD141" s="1399"/>
      <c r="AE141" s="1399"/>
      <c r="AF141" s="1399"/>
      <c r="AG141" s="1399"/>
      <c r="AH141" s="1399"/>
      <c r="AI141" s="1399"/>
      <c r="AJ141" s="1399"/>
      <c r="AK141" s="1399"/>
      <c r="AL141" s="1399"/>
      <c r="AM141" s="1399"/>
      <c r="AN141" s="1399"/>
      <c r="AO141" s="1399"/>
      <c r="AP141" s="1399"/>
      <c r="AQ141" s="1399"/>
      <c r="AR141" s="1399"/>
      <c r="AS141" s="1399"/>
      <c r="AT141" s="1443"/>
      <c r="AU141" s="1443"/>
      <c r="AV141" s="1453"/>
      <c r="AW141" s="1453"/>
      <c r="AX141" s="1453"/>
      <c r="AY141" s="1453"/>
      <c r="AZ141" s="1453"/>
      <c r="BA141" s="1453"/>
      <c r="BB141" s="1453"/>
      <c r="BC141" s="1377"/>
      <c r="BD141" s="1377"/>
      <c r="BE141" s="1377"/>
      <c r="BF141" s="1377"/>
      <c r="BG141" s="1377"/>
      <c r="BH141" s="1377"/>
      <c r="BI141" s="1377"/>
      <c r="BJ141" s="1377"/>
      <c r="BK141" s="1377"/>
      <c r="BL141" s="1377"/>
      <c r="BM141" s="1377"/>
      <c r="BN141" s="1377"/>
      <c r="BO141" s="1377"/>
      <c r="BP141" s="1377"/>
      <c r="BQ141" s="1377"/>
      <c r="BR141" s="1377"/>
      <c r="BS141" s="1377"/>
      <c r="BT141" s="1377"/>
      <c r="BU141" s="1377"/>
      <c r="BV141" s="1377"/>
      <c r="BW141" s="1377"/>
      <c r="BX141" s="1377"/>
      <c r="BY141" s="1377"/>
      <c r="BZ141" s="1377"/>
      <c r="CA141" s="1377"/>
      <c r="CB141" s="1377"/>
      <c r="CC141" s="1377"/>
      <c r="CD141" s="1377"/>
      <c r="CE141" s="1377"/>
      <c r="CF141" s="1377"/>
    </row>
    <row r="142" spans="2:84" s="1376" customFormat="1">
      <c r="B142" s="1423">
        <v>43250</v>
      </c>
      <c r="C142" s="1422"/>
      <c r="D142" s="1454" t="s">
        <v>1213</v>
      </c>
      <c r="E142" s="1454"/>
      <c r="F142" s="1420"/>
      <c r="G142" s="1420"/>
      <c r="H142" s="1419"/>
      <c r="I142" s="1418">
        <v>236.37</v>
      </c>
      <c r="J142" s="1379"/>
      <c r="K142" s="1428"/>
      <c r="L142" s="1457"/>
      <c r="M142" s="1457"/>
      <c r="N142" s="1392"/>
      <c r="O142" s="1392"/>
      <c r="P142" s="1456"/>
      <c r="Q142" s="1455"/>
      <c r="R142" s="1379"/>
      <c r="S142" s="1378"/>
      <c r="T142" s="1381"/>
      <c r="U142" s="1380"/>
      <c r="V142" s="1380"/>
      <c r="W142" s="1380"/>
      <c r="X142" s="1380"/>
      <c r="Y142" s="1380"/>
      <c r="Z142" s="1380"/>
      <c r="AA142" s="1380"/>
      <c r="AB142" s="1379"/>
      <c r="AC142" s="1400">
        <f t="shared" si="65"/>
        <v>0</v>
      </c>
      <c r="AD142" s="1399"/>
      <c r="AE142" s="1399"/>
      <c r="AF142" s="1399"/>
      <c r="AG142" s="1399"/>
      <c r="AH142" s="1399"/>
      <c r="AI142" s="1399"/>
      <c r="AJ142" s="1399"/>
      <c r="AK142" s="1399"/>
      <c r="AL142" s="1399"/>
      <c r="AM142" s="1399"/>
      <c r="AN142" s="1399"/>
      <c r="AO142" s="1399"/>
      <c r="AP142" s="1399"/>
      <c r="AQ142" s="1399"/>
      <c r="AR142" s="1399"/>
      <c r="AS142" s="1399"/>
      <c r="AT142" s="1442"/>
      <c r="AU142" s="1442"/>
      <c r="AV142" s="1377"/>
      <c r="AW142" s="1377"/>
      <c r="AX142" s="1377"/>
      <c r="AY142" s="1377"/>
      <c r="AZ142" s="1377"/>
      <c r="BA142" s="1377"/>
      <c r="BB142" s="1377"/>
      <c r="BC142" s="1377"/>
      <c r="BD142" s="1377"/>
      <c r="BE142" s="1377"/>
      <c r="BF142" s="1377"/>
      <c r="BG142" s="1377"/>
      <c r="BH142" s="1377"/>
      <c r="BI142" s="1377"/>
      <c r="BJ142" s="1377"/>
      <c r="BK142" s="1377"/>
      <c r="BL142" s="1377"/>
      <c r="BM142" s="1377"/>
      <c r="BN142" s="1377"/>
      <c r="BO142" s="1377"/>
      <c r="BP142" s="1377"/>
      <c r="BQ142" s="1377"/>
      <c r="BR142" s="1377"/>
      <c r="BS142" s="1377"/>
      <c r="BT142" s="1377"/>
      <c r="BU142" s="1377"/>
      <c r="BV142" s="1377"/>
      <c r="BW142" s="1377"/>
      <c r="BX142" s="1377"/>
      <c r="BY142" s="1377"/>
      <c r="BZ142" s="1377"/>
      <c r="CA142" s="1377"/>
      <c r="CB142" s="1377"/>
      <c r="CC142" s="1377"/>
      <c r="CD142" s="1377"/>
      <c r="CE142" s="1377"/>
      <c r="CF142" s="1377"/>
    </row>
    <row r="143" spans="2:84" s="1376" customFormat="1">
      <c r="B143" s="1423">
        <v>43242</v>
      </c>
      <c r="C143" s="1422"/>
      <c r="D143" s="1454" t="s">
        <v>1213</v>
      </c>
      <c r="E143" s="1454"/>
      <c r="F143" s="1420"/>
      <c r="G143" s="1420"/>
      <c r="H143" s="1419"/>
      <c r="I143" s="1418">
        <v>273.58999999999997</v>
      </c>
      <c r="J143" s="1379"/>
      <c r="K143" s="1425"/>
      <c r="L143" s="1397"/>
      <c r="M143" s="1397"/>
      <c r="N143" s="1398"/>
      <c r="O143" s="1397"/>
      <c r="P143" s="1396"/>
      <c r="Q143" s="1435"/>
      <c r="R143" s="1379"/>
      <c r="S143" s="1378"/>
      <c r="T143" s="1381"/>
      <c r="U143" s="1380"/>
      <c r="V143" s="1380"/>
      <c r="W143" s="1380"/>
      <c r="X143" s="1380"/>
      <c r="Y143" s="1380"/>
      <c r="Z143" s="1380"/>
      <c r="AA143" s="1380"/>
      <c r="AB143" s="1379"/>
      <c r="AC143" s="1400">
        <f t="shared" si="65"/>
        <v>0</v>
      </c>
      <c r="AD143" s="1399"/>
      <c r="AE143" s="1399"/>
      <c r="AF143" s="1399"/>
      <c r="AG143" s="1399"/>
      <c r="AH143" s="1399"/>
      <c r="AI143" s="1399"/>
      <c r="AJ143" s="1399"/>
      <c r="AK143" s="1399"/>
      <c r="AL143" s="1399"/>
      <c r="AM143" s="1399"/>
      <c r="AN143" s="1399"/>
      <c r="AO143" s="1443"/>
      <c r="AP143" s="1443"/>
      <c r="AQ143" s="1443"/>
      <c r="AR143" s="1443"/>
      <c r="AS143" s="1443"/>
      <c r="AT143" s="1442"/>
      <c r="AU143" s="1442"/>
      <c r="AV143" s="1377"/>
      <c r="AW143" s="1377"/>
      <c r="AX143" s="1377"/>
      <c r="AY143" s="1377"/>
      <c r="AZ143" s="1377"/>
      <c r="BA143" s="1377"/>
      <c r="BB143" s="1377"/>
      <c r="BC143" s="1377"/>
      <c r="BD143" s="1377"/>
      <c r="BE143" s="1377"/>
      <c r="BF143" s="1377"/>
      <c r="BG143" s="1377"/>
      <c r="BH143" s="1377"/>
      <c r="BI143" s="1377"/>
      <c r="BJ143" s="1377"/>
      <c r="BK143" s="1377"/>
      <c r="BL143" s="1377"/>
      <c r="BM143" s="1377"/>
      <c r="BN143" s="1377"/>
      <c r="BO143" s="1377"/>
      <c r="BP143" s="1377"/>
      <c r="BQ143" s="1377"/>
      <c r="BR143" s="1377"/>
      <c r="BS143" s="1377"/>
      <c r="BT143" s="1377"/>
      <c r="BU143" s="1377"/>
      <c r="BV143" s="1377"/>
      <c r="BW143" s="1377"/>
      <c r="BX143" s="1377"/>
      <c r="BY143" s="1377"/>
      <c r="BZ143" s="1377"/>
      <c r="CA143" s="1377"/>
      <c r="CB143" s="1377"/>
      <c r="CC143" s="1377"/>
      <c r="CD143" s="1377"/>
      <c r="CE143" s="1377"/>
      <c r="CF143" s="1377"/>
    </row>
    <row r="144" spans="2:84" s="1376" customFormat="1">
      <c r="B144" s="1423">
        <v>43224</v>
      </c>
      <c r="C144" s="1422"/>
      <c r="D144" s="1454" t="s">
        <v>1213</v>
      </c>
      <c r="E144" s="1454"/>
      <c r="F144" s="1420"/>
      <c r="G144" s="1420"/>
      <c r="H144" s="1419"/>
      <c r="I144" s="1418">
        <v>387.06</v>
      </c>
      <c r="J144" s="1379"/>
      <c r="K144" s="1434"/>
      <c r="L144" s="1431"/>
      <c r="M144" s="1431"/>
      <c r="N144" s="1432"/>
      <c r="O144" s="1431"/>
      <c r="P144" s="1430"/>
      <c r="Q144" s="1429"/>
      <c r="R144" s="1379"/>
      <c r="S144" s="1378"/>
      <c r="T144" s="1381"/>
      <c r="U144" s="1380"/>
      <c r="V144" s="1380"/>
      <c r="W144" s="1380"/>
      <c r="X144" s="1380"/>
      <c r="Y144" s="1380"/>
      <c r="Z144" s="1380"/>
      <c r="AA144" s="1380"/>
      <c r="AB144" s="1379"/>
      <c r="AC144" s="1400">
        <f t="shared" si="65"/>
        <v>0</v>
      </c>
      <c r="AD144" s="1399"/>
      <c r="AE144" s="1399"/>
      <c r="AF144" s="1399"/>
      <c r="AG144" s="1399"/>
      <c r="AH144" s="1399"/>
      <c r="AI144" s="1399"/>
      <c r="AJ144" s="1399"/>
      <c r="AK144" s="1399"/>
      <c r="AL144" s="1399"/>
      <c r="AM144" s="1399"/>
      <c r="AN144" s="1399"/>
      <c r="AO144" s="1399"/>
      <c r="AP144" s="1399"/>
      <c r="AQ144" s="1399"/>
      <c r="AR144" s="1399"/>
      <c r="AS144" s="1399"/>
      <c r="AT144" s="1379"/>
      <c r="AU144" s="1379"/>
      <c r="AV144" s="1377"/>
      <c r="AW144" s="1377"/>
      <c r="AX144" s="1377"/>
      <c r="AY144" s="1377"/>
      <c r="AZ144" s="1377"/>
      <c r="BA144" s="1377"/>
      <c r="BB144" s="1377"/>
      <c r="BC144" s="1377"/>
      <c r="BD144" s="1377"/>
      <c r="BE144" s="1377"/>
      <c r="BF144" s="1377"/>
      <c r="BG144" s="1377"/>
      <c r="BH144" s="1377"/>
      <c r="BI144" s="1377"/>
      <c r="BJ144" s="1377"/>
      <c r="BK144" s="1377"/>
      <c r="BL144" s="1377"/>
      <c r="BM144" s="1377"/>
      <c r="BN144" s="1377"/>
      <c r="BO144" s="1377"/>
      <c r="BP144" s="1377"/>
      <c r="BQ144" s="1377"/>
      <c r="BR144" s="1377"/>
      <c r="BS144" s="1377"/>
      <c r="BT144" s="1377"/>
      <c r="BU144" s="1377"/>
      <c r="BV144" s="1377"/>
      <c r="BW144" s="1377"/>
      <c r="BX144" s="1377"/>
      <c r="BY144" s="1377"/>
      <c r="BZ144" s="1377"/>
      <c r="CA144" s="1377"/>
      <c r="CB144" s="1377"/>
      <c r="CC144" s="1377"/>
      <c r="CD144" s="1377"/>
      <c r="CE144" s="1377"/>
      <c r="CF144" s="1377"/>
    </row>
    <row r="145" spans="2:47" s="1376" customFormat="1" ht="13.8">
      <c r="B145" s="1423">
        <v>43208</v>
      </c>
      <c r="C145" s="1422"/>
      <c r="D145" s="1454" t="s">
        <v>1213</v>
      </c>
      <c r="E145" s="1454"/>
      <c r="F145" s="1420"/>
      <c r="G145" s="1420"/>
      <c r="H145" s="1419"/>
      <c r="I145" s="1418">
        <v>375.27</v>
      </c>
      <c r="J145" s="1379"/>
      <c r="K145" s="1450"/>
      <c r="L145" s="1397"/>
      <c r="M145" s="1397"/>
      <c r="N145" s="1398"/>
      <c r="O145" s="1397"/>
      <c r="P145" s="1396"/>
      <c r="Q145" s="1449"/>
      <c r="R145" s="1379"/>
      <c r="S145" s="1378"/>
      <c r="T145" s="1381"/>
      <c r="U145" s="1380"/>
      <c r="V145" s="1380"/>
      <c r="W145" s="1380"/>
      <c r="X145" s="1380"/>
      <c r="Y145" s="1380"/>
      <c r="Z145" s="1380"/>
      <c r="AA145" s="1380"/>
      <c r="AB145" s="1379"/>
      <c r="AC145" s="1400">
        <f t="shared" si="65"/>
        <v>0</v>
      </c>
      <c r="AD145" s="1399"/>
      <c r="AE145" s="1425"/>
      <c r="AF145" s="1425"/>
      <c r="AG145" s="1425"/>
      <c r="AH145" s="1425"/>
      <c r="AI145" s="1425"/>
      <c r="AJ145" s="1425"/>
      <c r="AK145" s="1425"/>
      <c r="AL145" s="1425"/>
      <c r="AM145" s="1399"/>
      <c r="AN145" s="1399"/>
      <c r="AO145" s="1399"/>
      <c r="AP145" s="1399"/>
      <c r="AQ145" s="1399"/>
      <c r="AR145" s="1399"/>
      <c r="AS145" s="1399"/>
      <c r="AT145" s="1453"/>
      <c r="AU145" s="1453"/>
    </row>
    <row r="146" spans="2:47" s="1376" customFormat="1">
      <c r="B146" s="1423">
        <v>43190</v>
      </c>
      <c r="C146" s="1422"/>
      <c r="D146" s="1454" t="s">
        <v>1213</v>
      </c>
      <c r="E146" s="1454"/>
      <c r="F146" s="1420"/>
      <c r="G146" s="1420"/>
      <c r="H146" s="1419"/>
      <c r="I146" s="1418">
        <v>527.02</v>
      </c>
      <c r="J146" s="1379"/>
      <c r="K146" s="1450"/>
      <c r="L146" s="1397"/>
      <c r="M146" s="1397"/>
      <c r="N146" s="1398"/>
      <c r="O146" s="1397"/>
      <c r="P146" s="1396"/>
      <c r="Q146" s="1452"/>
      <c r="R146" s="1379"/>
      <c r="S146" s="1378"/>
      <c r="T146" s="1381"/>
      <c r="U146" s="1380"/>
      <c r="V146" s="1380"/>
      <c r="W146" s="1380"/>
      <c r="X146" s="1380"/>
      <c r="Y146" s="1380"/>
      <c r="Z146" s="1380"/>
      <c r="AA146" s="1380"/>
      <c r="AB146" s="1379"/>
      <c r="AC146" s="1450">
        <f t="shared" si="65"/>
        <v>0</v>
      </c>
      <c r="AD146" s="1425"/>
      <c r="AE146" s="1425"/>
      <c r="AF146" s="1425"/>
      <c r="AG146" s="1425"/>
      <c r="AH146" s="1425"/>
      <c r="AI146" s="1425"/>
      <c r="AJ146" s="1425"/>
      <c r="AK146" s="1425"/>
      <c r="AL146" s="1425"/>
      <c r="AM146" s="1443"/>
      <c r="AN146" s="1443"/>
      <c r="AO146" s="1378"/>
      <c r="AP146" s="1378"/>
      <c r="AQ146" s="1378"/>
      <c r="AR146" s="1378"/>
      <c r="AS146" s="1378"/>
      <c r="AT146" s="1453"/>
      <c r="AU146" s="1453"/>
    </row>
    <row r="147" spans="2:47" s="1376" customFormat="1">
      <c r="B147" s="1423">
        <v>43170</v>
      </c>
      <c r="C147" s="1422"/>
      <c r="D147" s="1454" t="s">
        <v>1214</v>
      </c>
      <c r="E147" s="1454"/>
      <c r="F147" s="1420"/>
      <c r="G147" s="1420"/>
      <c r="H147" s="1419"/>
      <c r="I147" s="1418">
        <v>348.13</v>
      </c>
      <c r="J147" s="1379"/>
      <c r="K147" s="1450"/>
      <c r="L147" s="1397"/>
      <c r="M147" s="1397"/>
      <c r="N147" s="1398"/>
      <c r="O147" s="1397"/>
      <c r="P147" s="1396"/>
      <c r="Q147" s="1452"/>
      <c r="R147" s="1379"/>
      <c r="S147" s="1378"/>
      <c r="T147" s="1381"/>
      <c r="U147" s="1380"/>
      <c r="V147" s="1380"/>
      <c r="W147" s="1380"/>
      <c r="X147" s="1380"/>
      <c r="Y147" s="1380"/>
      <c r="Z147" s="1380"/>
      <c r="AA147" s="1380"/>
      <c r="AB147" s="1379"/>
      <c r="AC147" s="1450">
        <f t="shared" si="65"/>
        <v>0</v>
      </c>
      <c r="AD147" s="1425"/>
      <c r="AE147" s="1451"/>
      <c r="AF147" s="1451"/>
      <c r="AG147" s="1451"/>
      <c r="AH147" s="1451"/>
      <c r="AI147" s="1451"/>
      <c r="AJ147" s="1451"/>
      <c r="AK147" s="1451"/>
      <c r="AL147" s="1451"/>
      <c r="AM147" s="1399"/>
      <c r="AN147" s="1399"/>
      <c r="AO147" s="1378"/>
      <c r="AP147" s="1378"/>
      <c r="AQ147" s="1378"/>
      <c r="AR147" s="1378"/>
      <c r="AS147" s="1378"/>
      <c r="AT147" s="1377"/>
      <c r="AU147" s="1377"/>
    </row>
    <row r="148" spans="2:47" s="1376" customFormat="1" ht="13.8">
      <c r="B148" s="1423">
        <v>43148</v>
      </c>
      <c r="C148" s="1422"/>
      <c r="D148" s="1454" t="s">
        <v>1213</v>
      </c>
      <c r="E148" s="1454"/>
      <c r="F148" s="1420"/>
      <c r="G148" s="1420"/>
      <c r="H148" s="1419"/>
      <c r="I148" s="1418">
        <v>372.52</v>
      </c>
      <c r="J148" s="1379"/>
      <c r="K148" s="1450"/>
      <c r="L148" s="1397"/>
      <c r="M148" s="1397"/>
      <c r="N148" s="1398"/>
      <c r="O148" s="1397"/>
      <c r="P148" s="1396"/>
      <c r="Q148" s="1449"/>
      <c r="R148" s="1379"/>
      <c r="S148" s="1378"/>
      <c r="T148" s="1381"/>
      <c r="U148" s="1380"/>
      <c r="V148" s="1380"/>
      <c r="W148" s="1380"/>
      <c r="X148" s="1380"/>
      <c r="Y148" s="1380"/>
      <c r="Z148" s="1380"/>
      <c r="AA148" s="1380"/>
      <c r="AB148" s="1379"/>
      <c r="AC148" s="1400">
        <f t="shared" si="65"/>
        <v>0</v>
      </c>
      <c r="AD148" s="1399"/>
      <c r="AE148" s="1399"/>
      <c r="AF148" s="1399"/>
      <c r="AG148" s="1399"/>
      <c r="AH148" s="1399"/>
      <c r="AI148" s="1399"/>
      <c r="AJ148" s="1399"/>
      <c r="AK148" s="1399"/>
      <c r="AL148" s="1399"/>
      <c r="AM148" s="1399"/>
      <c r="AN148" s="1399"/>
      <c r="AO148" s="1443"/>
      <c r="AP148" s="1443"/>
      <c r="AQ148" s="1443"/>
      <c r="AR148" s="1443"/>
      <c r="AS148" s="1443"/>
      <c r="AT148" s="1442"/>
      <c r="AU148" s="1442"/>
    </row>
    <row r="149" spans="2:47" s="1376" customFormat="1" ht="13.8">
      <c r="B149" s="1423">
        <v>43135</v>
      </c>
      <c r="C149" s="1422"/>
      <c r="D149" s="1454" t="s">
        <v>1214</v>
      </c>
      <c r="E149" s="1454"/>
      <c r="F149" s="1420"/>
      <c r="G149" s="1420"/>
      <c r="H149" s="1419"/>
      <c r="I149" s="1418">
        <v>407.79</v>
      </c>
      <c r="J149" s="1379"/>
      <c r="K149" s="1450"/>
      <c r="L149" s="1397"/>
      <c r="M149" s="1397"/>
      <c r="N149" s="1398"/>
      <c r="O149" s="1397"/>
      <c r="P149" s="1396"/>
      <c r="Q149" s="1449"/>
      <c r="R149" s="1379"/>
      <c r="S149" s="1378"/>
      <c r="T149" s="1381"/>
      <c r="U149" s="1380"/>
      <c r="V149" s="1380"/>
      <c r="W149" s="1380"/>
      <c r="X149" s="1380"/>
      <c r="Y149" s="1380"/>
      <c r="Z149" s="1380"/>
      <c r="AA149" s="1380"/>
      <c r="AB149" s="1379"/>
      <c r="AC149" s="1400">
        <f t="shared" si="65"/>
        <v>0</v>
      </c>
      <c r="AD149" s="1399"/>
      <c r="AE149" s="1399"/>
      <c r="AF149" s="1399"/>
      <c r="AG149" s="1399"/>
      <c r="AH149" s="1399"/>
      <c r="AI149" s="1399"/>
      <c r="AJ149" s="1399"/>
      <c r="AK149" s="1399"/>
      <c r="AL149" s="1399"/>
      <c r="AM149" s="1399"/>
      <c r="AN149" s="1399"/>
      <c r="AO149" s="1443"/>
      <c r="AP149" s="1443"/>
      <c r="AQ149" s="1443"/>
      <c r="AR149" s="1443"/>
      <c r="AS149" s="1443"/>
      <c r="AT149" s="1442"/>
      <c r="AU149" s="1442"/>
    </row>
    <row r="150" spans="2:47" s="1376" customFormat="1" ht="13.8">
      <c r="B150" s="1423">
        <v>43134</v>
      </c>
      <c r="C150" s="1422"/>
      <c r="D150" s="1454" t="s">
        <v>1214</v>
      </c>
      <c r="E150" s="1454"/>
      <c r="F150" s="1420"/>
      <c r="G150" s="1420"/>
      <c r="H150" s="1419"/>
      <c r="I150" s="1418">
        <v>269.08</v>
      </c>
      <c r="J150" s="1379"/>
      <c r="K150" s="1450"/>
      <c r="L150" s="1397"/>
      <c r="M150" s="1397"/>
      <c r="N150" s="1398"/>
      <c r="O150" s="1397"/>
      <c r="P150" s="1396"/>
      <c r="Q150" s="1449"/>
      <c r="R150" s="1379"/>
      <c r="S150" s="1378"/>
      <c r="T150" s="1381"/>
      <c r="U150" s="1380"/>
      <c r="V150" s="1380"/>
      <c r="W150" s="1380"/>
      <c r="X150" s="1380"/>
      <c r="Y150" s="1380"/>
      <c r="Z150" s="1380"/>
      <c r="AA150" s="1380"/>
      <c r="AB150" s="1379"/>
      <c r="AC150" s="1400">
        <f t="shared" si="65"/>
        <v>0</v>
      </c>
      <c r="AD150" s="1399"/>
      <c r="AE150" s="1399"/>
      <c r="AF150" s="1399"/>
      <c r="AG150" s="1399"/>
      <c r="AH150" s="1399"/>
      <c r="AI150" s="1399"/>
      <c r="AJ150" s="1399"/>
      <c r="AK150" s="1399"/>
      <c r="AL150" s="1399"/>
      <c r="AM150" s="1399"/>
      <c r="AN150" s="1399"/>
      <c r="AO150" s="1443"/>
      <c r="AP150" s="1443"/>
      <c r="AQ150" s="1443"/>
      <c r="AR150" s="1443"/>
      <c r="AS150" s="1443"/>
      <c r="AT150" s="1442"/>
      <c r="AU150" s="1442"/>
    </row>
    <row r="151" spans="2:47" s="1376" customFormat="1" ht="13.8">
      <c r="B151" s="1423">
        <v>43128</v>
      </c>
      <c r="C151" s="1422"/>
      <c r="D151" s="1454" t="s">
        <v>1214</v>
      </c>
      <c r="E151" s="1454"/>
      <c r="F151" s="1420"/>
      <c r="G151" s="1420"/>
      <c r="H151" s="1419"/>
      <c r="I151" s="1418">
        <v>58.91</v>
      </c>
      <c r="J151" s="1379"/>
      <c r="K151" s="1450"/>
      <c r="L151" s="1397"/>
      <c r="M151" s="1397"/>
      <c r="N151" s="1398"/>
      <c r="O151" s="1397"/>
      <c r="P151" s="1396"/>
      <c r="Q151" s="1449"/>
      <c r="R151" s="1379"/>
      <c r="S151" s="1378"/>
      <c r="T151" s="1381"/>
      <c r="U151" s="1380"/>
      <c r="V151" s="1380"/>
      <c r="W151" s="1380"/>
      <c r="X151" s="1380"/>
      <c r="Y151" s="1380"/>
      <c r="Z151" s="1380"/>
      <c r="AA151" s="1380"/>
      <c r="AB151" s="1379"/>
      <c r="AC151" s="1400">
        <f t="shared" si="65"/>
        <v>0</v>
      </c>
      <c r="AD151" s="1399"/>
      <c r="AE151" s="1399"/>
      <c r="AF151" s="1399"/>
      <c r="AG151" s="1399"/>
      <c r="AH151" s="1399"/>
      <c r="AI151" s="1399"/>
      <c r="AJ151" s="1399"/>
      <c r="AK151" s="1399"/>
      <c r="AL151" s="1399"/>
      <c r="AM151" s="1399"/>
      <c r="AN151" s="1399"/>
      <c r="AO151" s="1443"/>
      <c r="AP151" s="1443"/>
      <c r="AQ151" s="1443"/>
      <c r="AR151" s="1443"/>
      <c r="AS151" s="1443"/>
      <c r="AT151" s="1442"/>
      <c r="AU151" s="1442"/>
    </row>
    <row r="152" spans="2:47" s="1376" customFormat="1" ht="13.8">
      <c r="B152" s="1423">
        <v>43116</v>
      </c>
      <c r="C152" s="1422"/>
      <c r="D152" s="1454" t="s">
        <v>690</v>
      </c>
      <c r="E152" s="1454"/>
      <c r="F152" s="1420"/>
      <c r="G152" s="1420"/>
      <c r="H152" s="1419"/>
      <c r="I152" s="1418">
        <v>299.64</v>
      </c>
      <c r="J152" s="1379"/>
      <c r="K152" s="1450"/>
      <c r="L152" s="1397"/>
      <c r="M152" s="1397"/>
      <c r="N152" s="1398"/>
      <c r="O152" s="1397"/>
      <c r="P152" s="1396"/>
      <c r="Q152" s="1449"/>
      <c r="R152" s="1379"/>
      <c r="S152" s="1378"/>
      <c r="T152" s="1381"/>
      <c r="U152" s="1380"/>
      <c r="V152" s="1380"/>
      <c r="W152" s="1380"/>
      <c r="X152" s="1380"/>
      <c r="Y152" s="1380"/>
      <c r="Z152" s="1380"/>
      <c r="AA152" s="1380"/>
      <c r="AB152" s="1379"/>
      <c r="AC152" s="1400">
        <f t="shared" si="65"/>
        <v>0</v>
      </c>
      <c r="AD152" s="1399"/>
      <c r="AE152" s="1399"/>
      <c r="AF152" s="1399"/>
      <c r="AG152" s="1399"/>
      <c r="AH152" s="1399"/>
      <c r="AI152" s="1399"/>
      <c r="AJ152" s="1399"/>
      <c r="AK152" s="1399"/>
      <c r="AL152" s="1399"/>
      <c r="AM152" s="1399"/>
      <c r="AN152" s="1399"/>
      <c r="AO152" s="1443"/>
      <c r="AP152" s="1443"/>
      <c r="AQ152" s="1443"/>
      <c r="AR152" s="1443"/>
      <c r="AS152" s="1443"/>
      <c r="AT152" s="1442"/>
      <c r="AU152" s="1442"/>
    </row>
    <row r="153" spans="2:47" s="1376" customFormat="1" ht="13.8">
      <c r="B153" s="1423">
        <v>43114</v>
      </c>
      <c r="C153" s="1422"/>
      <c r="D153" s="1454" t="s">
        <v>1214</v>
      </c>
      <c r="E153" s="1454"/>
      <c r="F153" s="1420"/>
      <c r="G153" s="1420"/>
      <c r="H153" s="1419"/>
      <c r="I153" s="1418">
        <v>205.9</v>
      </c>
      <c r="J153" s="1379"/>
      <c r="K153" s="1450"/>
      <c r="L153" s="1397"/>
      <c r="M153" s="1397"/>
      <c r="N153" s="1398"/>
      <c r="O153" s="1397"/>
      <c r="P153" s="1396"/>
      <c r="Q153" s="1449"/>
      <c r="R153" s="1379"/>
      <c r="S153" s="1378"/>
      <c r="T153" s="1381"/>
      <c r="U153" s="1380"/>
      <c r="V153" s="1380"/>
      <c r="W153" s="1380"/>
      <c r="X153" s="1380"/>
      <c r="Y153" s="1380"/>
      <c r="Z153" s="1380"/>
      <c r="AA153" s="1380"/>
      <c r="AB153" s="1379"/>
      <c r="AC153" s="1400">
        <f t="shared" si="65"/>
        <v>0</v>
      </c>
      <c r="AD153" s="1399"/>
      <c r="AE153" s="1399"/>
      <c r="AF153" s="1399"/>
      <c r="AG153" s="1399"/>
      <c r="AH153" s="1399"/>
      <c r="AI153" s="1399"/>
      <c r="AJ153" s="1399"/>
      <c r="AK153" s="1399"/>
      <c r="AL153" s="1399"/>
      <c r="AM153" s="1399"/>
      <c r="AN153" s="1399"/>
      <c r="AO153" s="1443"/>
      <c r="AP153" s="1443"/>
      <c r="AQ153" s="1443"/>
      <c r="AR153" s="1443"/>
      <c r="AS153" s="1443"/>
      <c r="AT153" s="1442"/>
      <c r="AU153" s="1442"/>
    </row>
    <row r="154" spans="2:47" s="1376" customFormat="1" ht="13.8">
      <c r="B154" s="1423">
        <v>43106</v>
      </c>
      <c r="C154" s="1422"/>
      <c r="D154" s="1454" t="s">
        <v>1213</v>
      </c>
      <c r="E154" s="1454"/>
      <c r="F154" s="1420"/>
      <c r="G154" s="1420"/>
      <c r="H154" s="1419"/>
      <c r="I154" s="1418">
        <v>210.12</v>
      </c>
      <c r="J154" s="1379"/>
      <c r="K154" s="1450"/>
      <c r="L154" s="1397"/>
      <c r="M154" s="1397"/>
      <c r="N154" s="1398"/>
      <c r="O154" s="1397"/>
      <c r="P154" s="1396"/>
      <c r="Q154" s="1449"/>
      <c r="R154" s="1379"/>
      <c r="S154" s="1378"/>
      <c r="T154" s="1381"/>
      <c r="U154" s="1380"/>
      <c r="V154" s="1380"/>
      <c r="W154" s="1380"/>
      <c r="X154" s="1380"/>
      <c r="Y154" s="1380"/>
      <c r="Z154" s="1380"/>
      <c r="AA154" s="1380"/>
      <c r="AB154" s="1379"/>
      <c r="AC154" s="1400">
        <f>K164</f>
        <v>0</v>
      </c>
      <c r="AD154" s="1399"/>
      <c r="AE154" s="1399"/>
      <c r="AF154" s="1399"/>
      <c r="AG154" s="1399"/>
      <c r="AH154" s="1399"/>
      <c r="AI154" s="1399"/>
      <c r="AJ154" s="1399"/>
      <c r="AK154" s="1399"/>
      <c r="AL154" s="1399"/>
      <c r="AM154" s="1399"/>
      <c r="AN154" s="1399"/>
      <c r="AO154" s="1443"/>
      <c r="AP154" s="1443"/>
      <c r="AQ154" s="1443"/>
      <c r="AR154" s="1443"/>
      <c r="AS154" s="1443"/>
      <c r="AT154" s="1442"/>
      <c r="AU154" s="1442"/>
    </row>
    <row r="155" spans="2:47" s="1376" customFormat="1" ht="13.8">
      <c r="B155" s="1423">
        <v>43103</v>
      </c>
      <c r="C155" s="1422"/>
      <c r="D155" s="1454" t="s">
        <v>1215</v>
      </c>
      <c r="E155" s="1454"/>
      <c r="F155" s="1420"/>
      <c r="G155" s="1420"/>
      <c r="H155" s="1419"/>
      <c r="I155" s="1418">
        <v>298.72000000000003</v>
      </c>
      <c r="J155" s="1379"/>
      <c r="K155" s="1450"/>
      <c r="L155" s="1397"/>
      <c r="M155" s="1397"/>
      <c r="N155" s="1398"/>
      <c r="O155" s="1397"/>
      <c r="P155" s="1396"/>
      <c r="Q155" s="1449"/>
      <c r="R155" s="1379"/>
      <c r="S155" s="1378"/>
      <c r="T155" s="1381"/>
      <c r="U155" s="1380"/>
      <c r="V155" s="1380"/>
      <c r="W155" s="1380"/>
      <c r="X155" s="1380"/>
      <c r="Y155" s="1380"/>
      <c r="Z155" s="1380"/>
      <c r="AA155" s="1380"/>
      <c r="AB155" s="1379"/>
      <c r="AC155" s="1400">
        <f>K165</f>
        <v>0</v>
      </c>
      <c r="AD155" s="1399"/>
      <c r="AE155" s="1399"/>
      <c r="AF155" s="1399"/>
      <c r="AG155" s="1399"/>
      <c r="AH155" s="1399"/>
      <c r="AI155" s="1399"/>
      <c r="AJ155" s="1399"/>
      <c r="AK155" s="1399"/>
      <c r="AL155" s="1399"/>
      <c r="AM155" s="1399"/>
      <c r="AN155" s="1399"/>
      <c r="AO155" s="1443"/>
      <c r="AP155" s="1443"/>
      <c r="AQ155" s="1443"/>
      <c r="AR155" s="1443"/>
      <c r="AS155" s="1443"/>
      <c r="AT155" s="1442"/>
      <c r="AU155" s="1442"/>
    </row>
    <row r="156" spans="2:47" s="1376" customFormat="1" ht="13.8">
      <c r="B156" s="1423">
        <v>43089</v>
      </c>
      <c r="C156" s="1422"/>
      <c r="D156" s="1454" t="s">
        <v>1213</v>
      </c>
      <c r="E156" s="1454"/>
      <c r="F156" s="1420"/>
      <c r="G156" s="1420"/>
      <c r="H156" s="1419"/>
      <c r="I156" s="1418">
        <v>345.95</v>
      </c>
      <c r="J156" s="1379"/>
      <c r="K156" s="1450"/>
      <c r="L156" s="1397"/>
      <c r="M156" s="1397"/>
      <c r="N156" s="1398"/>
      <c r="O156" s="1397"/>
      <c r="P156" s="1396"/>
      <c r="Q156" s="1449"/>
      <c r="R156" s="1379"/>
      <c r="S156" s="1378"/>
      <c r="T156" s="1381"/>
      <c r="U156" s="1380"/>
      <c r="V156" s="1380"/>
      <c r="W156" s="1380"/>
      <c r="X156" s="1380"/>
      <c r="Y156" s="1380"/>
      <c r="Z156" s="1380"/>
      <c r="AA156" s="1380"/>
      <c r="AB156" s="1379"/>
      <c r="AC156" s="1400"/>
      <c r="AD156" s="1399"/>
      <c r="AE156" s="1399"/>
      <c r="AF156" s="1399"/>
      <c r="AG156" s="1399"/>
      <c r="AH156" s="1399"/>
      <c r="AI156" s="1399"/>
      <c r="AJ156" s="1399"/>
      <c r="AK156" s="1399"/>
      <c r="AL156" s="1399"/>
      <c r="AM156" s="1399"/>
      <c r="AN156" s="1399"/>
      <c r="AO156" s="1443"/>
      <c r="AP156" s="1443"/>
      <c r="AQ156" s="1443"/>
      <c r="AR156" s="1443"/>
      <c r="AS156" s="1443"/>
      <c r="AT156" s="1442"/>
      <c r="AU156" s="1442"/>
    </row>
    <row r="157" spans="2:47" s="1376" customFormat="1" ht="13.8">
      <c r="B157" s="1423">
        <v>43078</v>
      </c>
      <c r="C157" s="1422"/>
      <c r="D157" s="1454" t="s">
        <v>1213</v>
      </c>
      <c r="E157" s="1454"/>
      <c r="F157" s="1420"/>
      <c r="G157" s="1420"/>
      <c r="H157" s="1419"/>
      <c r="I157" s="1418">
        <v>201.6</v>
      </c>
      <c r="J157" s="1379"/>
      <c r="K157" s="1450"/>
      <c r="L157" s="1397"/>
      <c r="M157" s="1397"/>
      <c r="N157" s="1398"/>
      <c r="O157" s="1397"/>
      <c r="P157" s="1396"/>
      <c r="Q157" s="1449"/>
      <c r="R157" s="1379"/>
      <c r="S157" s="1378"/>
      <c r="T157" s="1381"/>
      <c r="U157" s="1380"/>
      <c r="V157" s="1380"/>
      <c r="W157" s="1380"/>
      <c r="X157" s="1380"/>
      <c r="Y157" s="1380"/>
      <c r="Z157" s="1380"/>
      <c r="AA157" s="1380"/>
      <c r="AB157" s="1379"/>
      <c r="AC157" s="1400"/>
      <c r="AD157" s="1399"/>
      <c r="AE157" s="1399"/>
      <c r="AF157" s="1399"/>
      <c r="AG157" s="1399"/>
      <c r="AH157" s="1399"/>
      <c r="AI157" s="1399"/>
      <c r="AJ157" s="1399"/>
      <c r="AK157" s="1399"/>
      <c r="AL157" s="1399"/>
      <c r="AM157" s="1399"/>
      <c r="AN157" s="1399"/>
      <c r="AO157" s="1443"/>
      <c r="AP157" s="1443"/>
      <c r="AQ157" s="1443"/>
      <c r="AR157" s="1443"/>
      <c r="AS157" s="1443"/>
      <c r="AT157" s="1442"/>
      <c r="AU157" s="1442"/>
    </row>
    <row r="158" spans="2:47" s="1376" customFormat="1" ht="13.8">
      <c r="B158" s="1423">
        <v>43069</v>
      </c>
      <c r="C158" s="1422"/>
      <c r="D158" s="1454" t="s">
        <v>690</v>
      </c>
      <c r="E158" s="1454"/>
      <c r="F158" s="1420"/>
      <c r="G158" s="1420"/>
      <c r="H158" s="1419"/>
      <c r="I158" s="1418">
        <v>400.77</v>
      </c>
      <c r="J158" s="1379"/>
      <c r="K158" s="1450"/>
      <c r="L158" s="1397"/>
      <c r="M158" s="1397"/>
      <c r="N158" s="1398"/>
      <c r="O158" s="1397"/>
      <c r="P158" s="1396"/>
      <c r="Q158" s="1449"/>
      <c r="R158" s="1379"/>
      <c r="S158" s="1378"/>
      <c r="T158" s="1381"/>
      <c r="U158" s="1380"/>
      <c r="V158" s="1380"/>
      <c r="W158" s="1380"/>
      <c r="X158" s="1380"/>
      <c r="Y158" s="1380"/>
      <c r="Z158" s="1380"/>
      <c r="AA158" s="1380"/>
      <c r="AB158" s="1379"/>
      <c r="AC158" s="1400"/>
      <c r="AD158" s="1399"/>
      <c r="AE158" s="1399"/>
      <c r="AF158" s="1399"/>
      <c r="AG158" s="1399"/>
      <c r="AH158" s="1399"/>
      <c r="AI158" s="1399"/>
      <c r="AJ158" s="1399"/>
      <c r="AK158" s="1399"/>
      <c r="AL158" s="1399"/>
      <c r="AM158" s="1399"/>
      <c r="AN158" s="1399"/>
      <c r="AO158" s="1443"/>
      <c r="AP158" s="1443"/>
      <c r="AQ158" s="1443"/>
      <c r="AR158" s="1443"/>
      <c r="AS158" s="1443"/>
      <c r="AT158" s="1442"/>
      <c r="AU158" s="1442"/>
    </row>
    <row r="159" spans="2:47" s="1376" customFormat="1" ht="13.8">
      <c r="B159" s="1423">
        <v>43043</v>
      </c>
      <c r="C159" s="1422"/>
      <c r="D159" s="1454" t="s">
        <v>1213</v>
      </c>
      <c r="E159" s="1454"/>
      <c r="F159" s="1420"/>
      <c r="G159" s="1420"/>
      <c r="H159" s="1419"/>
      <c r="I159" s="1418">
        <v>478.2</v>
      </c>
      <c r="J159" s="1379"/>
      <c r="K159" s="1450"/>
      <c r="L159" s="1397"/>
      <c r="M159" s="1397"/>
      <c r="N159" s="1398"/>
      <c r="O159" s="1397"/>
      <c r="P159" s="1396"/>
      <c r="Q159" s="1449"/>
      <c r="R159" s="1379"/>
      <c r="S159" s="1378"/>
      <c r="T159" s="1381"/>
      <c r="U159" s="1380"/>
      <c r="V159" s="1380"/>
      <c r="W159" s="1380"/>
      <c r="X159" s="1380"/>
      <c r="Y159" s="1380"/>
      <c r="Z159" s="1380"/>
      <c r="AA159" s="1380"/>
      <c r="AB159" s="1379"/>
      <c r="AC159" s="1400"/>
      <c r="AD159" s="1399"/>
      <c r="AE159" s="1399"/>
      <c r="AF159" s="1399"/>
      <c r="AG159" s="1399"/>
      <c r="AH159" s="1399"/>
      <c r="AI159" s="1399"/>
      <c r="AJ159" s="1399"/>
      <c r="AK159" s="1399"/>
      <c r="AL159" s="1399"/>
      <c r="AM159" s="1399"/>
      <c r="AN159" s="1399"/>
      <c r="AO159" s="1443"/>
      <c r="AP159" s="1443"/>
      <c r="AQ159" s="1443"/>
      <c r="AR159" s="1443"/>
      <c r="AS159" s="1443"/>
      <c r="AT159" s="1442"/>
      <c r="AU159" s="1442"/>
    </row>
    <row r="160" spans="2:47" s="1376" customFormat="1" ht="13.8">
      <c r="B160" s="1423">
        <v>43028</v>
      </c>
      <c r="C160" s="1422"/>
      <c r="D160" s="1454" t="s">
        <v>1213</v>
      </c>
      <c r="E160" s="1454"/>
      <c r="F160" s="1420"/>
      <c r="G160" s="1420"/>
      <c r="H160" s="1419"/>
      <c r="I160" s="1418">
        <v>347.73</v>
      </c>
      <c r="J160" s="1379"/>
      <c r="K160" s="1450"/>
      <c r="L160" s="1397"/>
      <c r="M160" s="1397"/>
      <c r="N160" s="1398"/>
      <c r="O160" s="1397"/>
      <c r="P160" s="1396"/>
      <c r="Q160" s="1449"/>
      <c r="R160" s="1379"/>
      <c r="S160" s="1378"/>
      <c r="T160" s="1381"/>
      <c r="U160" s="1380"/>
      <c r="V160" s="1380"/>
      <c r="W160" s="1380"/>
      <c r="X160" s="1380"/>
      <c r="Y160" s="1380"/>
      <c r="Z160" s="1380"/>
      <c r="AA160" s="1380"/>
      <c r="AB160" s="1379"/>
      <c r="AC160" s="1400"/>
      <c r="AD160" s="1399"/>
      <c r="AE160" s="1399"/>
      <c r="AF160" s="1399"/>
      <c r="AG160" s="1399"/>
      <c r="AH160" s="1399"/>
      <c r="AI160" s="1399"/>
      <c r="AJ160" s="1399"/>
      <c r="AK160" s="1399"/>
      <c r="AL160" s="1399"/>
      <c r="AM160" s="1399"/>
      <c r="AN160" s="1399"/>
      <c r="AO160" s="1443"/>
      <c r="AP160" s="1443"/>
      <c r="AQ160" s="1443"/>
      <c r="AR160" s="1443"/>
      <c r="AS160" s="1443"/>
      <c r="AT160" s="1442"/>
      <c r="AU160" s="1442"/>
    </row>
    <row r="161" spans="2:47" s="1376" customFormat="1" ht="13.8">
      <c r="B161" s="1423">
        <v>43025</v>
      </c>
      <c r="C161" s="1422"/>
      <c r="D161" s="1454" t="s">
        <v>690</v>
      </c>
      <c r="E161" s="1454"/>
      <c r="F161" s="1420"/>
      <c r="G161" s="1420"/>
      <c r="H161" s="1419"/>
      <c r="I161" s="1418">
        <v>258.72000000000003</v>
      </c>
      <c r="J161" s="1379"/>
      <c r="K161" s="1450"/>
      <c r="L161" s="1397"/>
      <c r="M161" s="1397"/>
      <c r="N161" s="1398"/>
      <c r="O161" s="1397"/>
      <c r="P161" s="1396"/>
      <c r="Q161" s="1449"/>
      <c r="R161" s="1379"/>
      <c r="S161" s="1378"/>
      <c r="T161" s="1381"/>
      <c r="U161" s="1380"/>
      <c r="V161" s="1380"/>
      <c r="W161" s="1380"/>
      <c r="X161" s="1380"/>
      <c r="Y161" s="1380"/>
      <c r="Z161" s="1380"/>
      <c r="AA161" s="1380"/>
      <c r="AB161" s="1379"/>
      <c r="AC161" s="1400"/>
      <c r="AD161" s="1399"/>
      <c r="AE161" s="1399"/>
      <c r="AF161" s="1399"/>
      <c r="AG161" s="1399"/>
      <c r="AH161" s="1399"/>
      <c r="AI161" s="1399"/>
      <c r="AJ161" s="1399"/>
      <c r="AK161" s="1399"/>
      <c r="AL161" s="1399"/>
      <c r="AM161" s="1399"/>
      <c r="AN161" s="1399"/>
      <c r="AO161" s="1443"/>
      <c r="AP161" s="1443"/>
      <c r="AQ161" s="1443"/>
      <c r="AR161" s="1443"/>
      <c r="AS161" s="1443"/>
      <c r="AT161" s="1442"/>
      <c r="AU161" s="1442"/>
    </row>
    <row r="162" spans="2:47" s="1376" customFormat="1" ht="13.8">
      <c r="B162" s="1423">
        <v>43021</v>
      </c>
      <c r="C162" s="1422"/>
      <c r="D162" s="1454" t="s">
        <v>1213</v>
      </c>
      <c r="E162" s="1454"/>
      <c r="F162" s="1420"/>
      <c r="G162" s="1420"/>
      <c r="H162" s="1419"/>
      <c r="I162" s="1418">
        <v>274.05</v>
      </c>
      <c r="J162" s="1379"/>
      <c r="K162" s="1450"/>
      <c r="L162" s="1397"/>
      <c r="M162" s="1397"/>
      <c r="N162" s="1398"/>
      <c r="O162" s="1397"/>
      <c r="P162" s="1396"/>
      <c r="Q162" s="1449"/>
      <c r="R162" s="1379"/>
      <c r="S162" s="1378"/>
      <c r="T162" s="1381"/>
      <c r="U162" s="1380"/>
      <c r="V162" s="1380"/>
      <c r="W162" s="1380"/>
      <c r="X162" s="1380"/>
      <c r="Y162" s="1380"/>
      <c r="Z162" s="1380"/>
      <c r="AA162" s="1380"/>
      <c r="AB162" s="1379"/>
      <c r="AC162" s="1400"/>
      <c r="AD162" s="1399"/>
      <c r="AE162" s="1399"/>
      <c r="AF162" s="1399"/>
      <c r="AG162" s="1399"/>
      <c r="AH162" s="1399"/>
      <c r="AI162" s="1399"/>
      <c r="AJ162" s="1399"/>
      <c r="AK162" s="1399"/>
      <c r="AL162" s="1399"/>
      <c r="AM162" s="1399"/>
      <c r="AN162" s="1399"/>
      <c r="AO162" s="1443"/>
      <c r="AP162" s="1443"/>
      <c r="AQ162" s="1443"/>
      <c r="AR162" s="1443"/>
      <c r="AS162" s="1443"/>
      <c r="AT162" s="1442"/>
      <c r="AU162" s="1442"/>
    </row>
    <row r="163" spans="2:47" s="1376" customFormat="1" ht="13.8">
      <c r="B163" s="1423">
        <v>43012</v>
      </c>
      <c r="C163" s="1422"/>
      <c r="D163" s="1454" t="s">
        <v>1213</v>
      </c>
      <c r="E163" s="1454"/>
      <c r="F163" s="1420"/>
      <c r="G163" s="1420"/>
      <c r="H163" s="1419"/>
      <c r="I163" s="1418">
        <v>352.64</v>
      </c>
      <c r="J163" s="1379"/>
      <c r="K163" s="1450"/>
      <c r="L163" s="1397"/>
      <c r="M163" s="1397"/>
      <c r="N163" s="1398"/>
      <c r="O163" s="1397"/>
      <c r="P163" s="1396"/>
      <c r="Q163" s="1449"/>
      <c r="R163" s="1379"/>
      <c r="S163" s="1378"/>
      <c r="T163" s="1381"/>
      <c r="U163" s="1380"/>
      <c r="V163" s="1380"/>
      <c r="W163" s="1380"/>
      <c r="X163" s="1380"/>
      <c r="Y163" s="1380"/>
      <c r="Z163" s="1380"/>
      <c r="AA163" s="1380"/>
      <c r="AB163" s="1379"/>
      <c r="AC163" s="1400"/>
      <c r="AD163" s="1399"/>
      <c r="AE163" s="1399"/>
      <c r="AF163" s="1399"/>
      <c r="AG163" s="1399"/>
      <c r="AH163" s="1399"/>
      <c r="AI163" s="1399"/>
      <c r="AJ163" s="1399"/>
      <c r="AK163" s="1399"/>
      <c r="AL163" s="1399"/>
      <c r="AM163" s="1399"/>
      <c r="AN163" s="1399"/>
      <c r="AO163" s="1443"/>
      <c r="AP163" s="1443"/>
      <c r="AQ163" s="1443"/>
      <c r="AR163" s="1443"/>
      <c r="AS163" s="1443"/>
      <c r="AT163" s="1442"/>
      <c r="AU163" s="1442"/>
    </row>
    <row r="164" spans="2:47" s="1376" customFormat="1">
      <c r="B164" s="1423">
        <v>42994</v>
      </c>
      <c r="C164" s="1422"/>
      <c r="D164" s="1421" t="s">
        <v>1213</v>
      </c>
      <c r="E164" s="1421"/>
      <c r="F164" s="1420"/>
      <c r="G164" s="1420"/>
      <c r="H164" s="1419"/>
      <c r="I164" s="1418">
        <v>414.99</v>
      </c>
      <c r="J164" s="1379"/>
      <c r="K164" s="1448"/>
      <c r="L164" s="1446"/>
      <c r="M164" s="1446"/>
      <c r="N164" s="1447"/>
      <c r="O164" s="1446"/>
      <c r="P164" s="1445"/>
      <c r="Q164" s="1444"/>
      <c r="R164" s="1379"/>
      <c r="S164" s="1378"/>
      <c r="T164" s="1381"/>
      <c r="U164" s="1380"/>
      <c r="V164" s="1380"/>
      <c r="W164" s="1380"/>
      <c r="X164" s="1380"/>
      <c r="Y164" s="1380"/>
      <c r="Z164" s="1380"/>
      <c r="AA164" s="1380"/>
      <c r="AB164" s="1379"/>
      <c r="AC164" s="1378"/>
      <c r="AD164" s="1378"/>
      <c r="AE164" s="1378"/>
      <c r="AF164" s="1378"/>
      <c r="AG164" s="1378"/>
      <c r="AH164" s="1378"/>
      <c r="AI164" s="1378"/>
      <c r="AJ164" s="1378"/>
      <c r="AK164" s="1378"/>
      <c r="AL164" s="1378"/>
      <c r="AM164" s="1378"/>
      <c r="AN164" s="1378"/>
      <c r="AO164" s="1378"/>
      <c r="AP164" s="1378"/>
      <c r="AQ164" s="1378"/>
      <c r="AR164" s="1378"/>
      <c r="AS164" s="1378"/>
      <c r="AT164" s="1377"/>
      <c r="AU164" s="1377"/>
    </row>
    <row r="165" spans="2:47" s="1376" customFormat="1">
      <c r="B165" s="1423">
        <v>42966</v>
      </c>
      <c r="C165" s="1422"/>
      <c r="D165" s="1421" t="s">
        <v>1213</v>
      </c>
      <c r="E165" s="1421"/>
      <c r="F165" s="1420"/>
      <c r="G165" s="1420"/>
      <c r="H165" s="1419"/>
      <c r="I165" s="1418">
        <v>137.74</v>
      </c>
      <c r="J165" s="1379"/>
      <c r="K165" s="1417"/>
      <c r="L165" s="1414"/>
      <c r="M165" s="1414"/>
      <c r="N165" s="1415"/>
      <c r="O165" s="1414"/>
      <c r="P165" s="1413"/>
      <c r="Q165" s="1412"/>
      <c r="R165" s="1379"/>
      <c r="S165" s="1378"/>
      <c r="T165" s="1381"/>
      <c r="U165" s="1380"/>
      <c r="V165" s="1380"/>
      <c r="W165" s="1380"/>
      <c r="X165" s="1380"/>
      <c r="Y165" s="1380"/>
      <c r="Z165" s="1380"/>
      <c r="AA165" s="1380"/>
      <c r="AB165" s="1379"/>
      <c r="AC165" s="1378"/>
      <c r="AD165" s="1378"/>
      <c r="AE165" s="1378"/>
      <c r="AF165" s="1378"/>
      <c r="AG165" s="1378"/>
      <c r="AH165" s="1378"/>
      <c r="AI165" s="1378"/>
      <c r="AJ165" s="1378"/>
      <c r="AK165" s="1378"/>
      <c r="AL165" s="1378"/>
      <c r="AM165" s="1378"/>
      <c r="AN165" s="1378"/>
      <c r="AT165" s="1377"/>
      <c r="AU165" s="1377"/>
    </row>
    <row r="166" spans="2:47" s="1376" customFormat="1">
      <c r="B166" s="1423">
        <v>42963</v>
      </c>
      <c r="C166" s="1422"/>
      <c r="D166" s="1421" t="s">
        <v>1213</v>
      </c>
      <c r="E166" s="1421"/>
      <c r="F166" s="1420"/>
      <c r="G166" s="1420"/>
      <c r="H166" s="1419"/>
      <c r="I166" s="1418">
        <f>439.96+56.48</f>
        <v>496.44</v>
      </c>
      <c r="J166" s="1379"/>
      <c r="K166" s="1411"/>
      <c r="L166" s="1409"/>
      <c r="M166" s="1409"/>
      <c r="N166" s="1410"/>
      <c r="O166" s="1409"/>
      <c r="P166" s="1408"/>
      <c r="Q166" s="1407"/>
      <c r="R166" s="1379"/>
      <c r="S166" s="1378"/>
      <c r="T166" s="1381"/>
      <c r="U166" s="1380"/>
      <c r="V166" s="1380"/>
      <c r="W166" s="1380"/>
      <c r="X166" s="1380"/>
      <c r="Y166" s="1380"/>
      <c r="Z166" s="1380"/>
      <c r="AA166" s="1380"/>
      <c r="AB166" s="1379"/>
      <c r="AC166" s="1378"/>
      <c r="AD166" s="1378"/>
      <c r="AE166" s="1378"/>
      <c r="AF166" s="1378"/>
      <c r="AG166" s="1378"/>
      <c r="AH166" s="1378"/>
      <c r="AI166" s="1378"/>
      <c r="AJ166" s="1378"/>
      <c r="AK166" s="1378"/>
      <c r="AL166" s="1378"/>
      <c r="AM166" s="1378"/>
      <c r="AN166" s="1378"/>
      <c r="AO166" s="1378"/>
      <c r="AP166" s="1378"/>
      <c r="AQ166" s="1378"/>
      <c r="AR166" s="1378"/>
      <c r="AS166" s="1378"/>
      <c r="AT166" s="1377"/>
      <c r="AU166" s="1377"/>
    </row>
    <row r="167" spans="2:47" s="1376" customFormat="1">
      <c r="B167" s="1423">
        <v>42949</v>
      </c>
      <c r="C167" s="1422"/>
      <c r="D167" s="1421" t="s">
        <v>1213</v>
      </c>
      <c r="E167" s="1421"/>
      <c r="F167" s="1420"/>
      <c r="G167" s="1420"/>
      <c r="H167" s="1419"/>
      <c r="I167" s="1418">
        <v>344.15</v>
      </c>
      <c r="J167" s="1379"/>
      <c r="K167" s="1434"/>
      <c r="L167" s="1431"/>
      <c r="M167" s="1431"/>
      <c r="N167" s="1432"/>
      <c r="O167" s="1431"/>
      <c r="P167" s="1430"/>
      <c r="Q167" s="1429"/>
      <c r="R167" s="1379"/>
      <c r="S167" s="1378"/>
      <c r="T167" s="1381"/>
      <c r="U167" s="1380"/>
      <c r="V167" s="1380"/>
      <c r="W167" s="1380"/>
      <c r="X167" s="1380"/>
      <c r="Y167" s="1380"/>
      <c r="Z167" s="1380"/>
      <c r="AA167" s="1380"/>
      <c r="AB167" s="1379"/>
      <c r="AC167" s="1400"/>
      <c r="AD167" s="1399"/>
      <c r="AE167" s="1399"/>
      <c r="AF167" s="1399"/>
      <c r="AG167" s="1399"/>
      <c r="AH167" s="1399"/>
      <c r="AI167" s="1399"/>
      <c r="AJ167" s="1399"/>
      <c r="AK167" s="1399"/>
      <c r="AL167" s="1399"/>
      <c r="AM167" s="1399"/>
      <c r="AN167" s="1399"/>
      <c r="AO167" s="1443"/>
      <c r="AP167" s="1443"/>
      <c r="AQ167" s="1443"/>
      <c r="AR167" s="1443"/>
      <c r="AS167" s="1443"/>
      <c r="AT167" s="1442"/>
      <c r="AU167" s="1442"/>
    </row>
    <row r="168" spans="2:47" s="1376" customFormat="1">
      <c r="B168" s="1423">
        <v>42933</v>
      </c>
      <c r="C168" s="1422"/>
      <c r="D168" s="1421" t="s">
        <v>1214</v>
      </c>
      <c r="E168" s="1421"/>
      <c r="F168" s="1420"/>
      <c r="G168" s="1420"/>
      <c r="H168" s="1419"/>
      <c r="I168" s="1418">
        <v>485.2</v>
      </c>
      <c r="J168" s="1379"/>
      <c r="K168" s="1400"/>
      <c r="L168" s="1397"/>
      <c r="M168" s="1397"/>
      <c r="N168" s="1398"/>
      <c r="O168" s="1397"/>
      <c r="P168" s="1396"/>
      <c r="Q168" s="1395"/>
      <c r="R168" s="1379"/>
      <c r="S168" s="1378"/>
      <c r="T168" s="1381"/>
      <c r="U168" s="1380"/>
      <c r="V168" s="1380"/>
      <c r="W168" s="1380"/>
      <c r="X168" s="1380"/>
      <c r="Y168" s="1380"/>
      <c r="Z168" s="1380"/>
      <c r="AA168" s="1380"/>
      <c r="AB168" s="1379"/>
      <c r="AC168" s="1378"/>
      <c r="AD168" s="1378"/>
      <c r="AE168" s="1378"/>
      <c r="AF168" s="1378"/>
      <c r="AG168" s="1378"/>
      <c r="AH168" s="1378"/>
      <c r="AI168" s="1378"/>
      <c r="AJ168" s="1378"/>
      <c r="AK168" s="1378"/>
      <c r="AL168" s="1378"/>
      <c r="AO168" s="1378"/>
      <c r="AP168" s="1378"/>
      <c r="AQ168" s="1378"/>
      <c r="AR168" s="1378"/>
      <c r="AS168" s="1378"/>
      <c r="AT168" s="1377"/>
      <c r="AU168" s="1377"/>
    </row>
    <row r="169" spans="2:47" s="1376" customFormat="1">
      <c r="B169" s="1423">
        <v>42930</v>
      </c>
      <c r="C169" s="1422"/>
      <c r="D169" s="1421" t="s">
        <v>1213</v>
      </c>
      <c r="E169" s="1421"/>
      <c r="F169" s="1420"/>
      <c r="G169" s="1420"/>
      <c r="H169" s="1419"/>
      <c r="I169" s="1418">
        <v>100.38</v>
      </c>
      <c r="J169" s="1379"/>
      <c r="K169" s="1400"/>
      <c r="L169" s="1397"/>
      <c r="M169" s="1397"/>
      <c r="N169" s="1398"/>
      <c r="O169" s="1397"/>
      <c r="P169" s="1396"/>
      <c r="Q169" s="1395"/>
      <c r="R169" s="1379"/>
      <c r="S169" s="1378"/>
      <c r="T169" s="1381"/>
      <c r="U169" s="1380"/>
      <c r="V169" s="1380"/>
      <c r="W169" s="1380"/>
      <c r="X169" s="1380"/>
      <c r="Y169" s="1380"/>
      <c r="Z169" s="1380"/>
      <c r="AA169" s="1380"/>
      <c r="AB169" s="1379"/>
      <c r="AC169" s="1378"/>
      <c r="AD169" s="1378"/>
      <c r="AE169" s="1378"/>
      <c r="AF169" s="1378"/>
      <c r="AG169" s="1378"/>
      <c r="AH169" s="1378"/>
      <c r="AI169" s="1378"/>
      <c r="AJ169" s="1378"/>
      <c r="AK169" s="1378"/>
      <c r="AL169" s="1378"/>
      <c r="AM169" s="1378"/>
      <c r="AN169" s="1378"/>
      <c r="AO169" s="1378"/>
      <c r="AP169" s="1378"/>
      <c r="AQ169" s="1378"/>
      <c r="AR169" s="1378"/>
      <c r="AS169" s="1378"/>
      <c r="AT169" s="1377"/>
      <c r="AU169" s="1377"/>
    </row>
    <row r="170" spans="2:47" s="1376" customFormat="1">
      <c r="B170" s="1423">
        <v>42923</v>
      </c>
      <c r="C170" s="1422"/>
      <c r="D170" s="1421" t="s">
        <v>1213</v>
      </c>
      <c r="E170" s="1421"/>
      <c r="F170" s="1420"/>
      <c r="G170" s="1420"/>
      <c r="H170" s="1419"/>
      <c r="I170" s="1418">
        <v>200.1</v>
      </c>
      <c r="J170" s="1379"/>
      <c r="K170" s="1400"/>
      <c r="L170" s="1397"/>
      <c r="M170" s="1397"/>
      <c r="N170" s="1398"/>
      <c r="O170" s="1397"/>
      <c r="P170" s="1396"/>
      <c r="Q170" s="1395"/>
      <c r="R170" s="1379"/>
      <c r="S170" s="1378"/>
      <c r="T170" s="1381"/>
      <c r="U170" s="1380"/>
      <c r="V170" s="1380"/>
      <c r="W170" s="1380"/>
      <c r="X170" s="1380"/>
      <c r="Y170" s="1380"/>
      <c r="Z170" s="1380"/>
      <c r="AA170" s="1380"/>
      <c r="AB170" s="1379"/>
      <c r="AC170" s="1378"/>
      <c r="AD170" s="1378"/>
      <c r="AE170" s="1378"/>
      <c r="AF170" s="1378"/>
      <c r="AG170" s="1378"/>
      <c r="AH170" s="1378"/>
      <c r="AI170" s="1378"/>
      <c r="AJ170" s="1378"/>
      <c r="AK170" s="1378"/>
      <c r="AL170" s="1378"/>
      <c r="AM170" s="1378"/>
      <c r="AN170" s="1378"/>
      <c r="AO170" s="1378"/>
      <c r="AP170" s="1378"/>
      <c r="AQ170" s="1378"/>
      <c r="AR170" s="1378"/>
      <c r="AS170" s="1378"/>
      <c r="AT170" s="1377"/>
      <c r="AU170" s="1377"/>
    </row>
    <row r="171" spans="2:47" s="1376" customFormat="1">
      <c r="B171" s="1423">
        <v>42922</v>
      </c>
      <c r="C171" s="1422"/>
      <c r="D171" s="1421" t="s">
        <v>1213</v>
      </c>
      <c r="E171" s="1421"/>
      <c r="F171" s="1420"/>
      <c r="G171" s="1420"/>
      <c r="H171" s="1419"/>
      <c r="I171" s="1418">
        <v>153.41</v>
      </c>
      <c r="J171" s="1379"/>
      <c r="K171" s="1400"/>
      <c r="L171" s="1397"/>
      <c r="M171" s="1397"/>
      <c r="N171" s="1398"/>
      <c r="O171" s="1397"/>
      <c r="P171" s="1396"/>
      <c r="Q171" s="1395"/>
      <c r="R171" s="1379"/>
      <c r="S171" s="1378"/>
      <c r="T171" s="1381"/>
      <c r="U171" s="1380"/>
      <c r="V171" s="1380"/>
      <c r="W171" s="1380"/>
      <c r="X171" s="1380"/>
      <c r="Y171" s="1380"/>
      <c r="Z171" s="1380"/>
      <c r="AA171" s="1380"/>
      <c r="AB171" s="1379"/>
      <c r="AC171" s="1378"/>
      <c r="AD171" s="1378"/>
      <c r="AE171" s="1378"/>
      <c r="AF171" s="1378"/>
      <c r="AG171" s="1378"/>
      <c r="AH171" s="1378"/>
      <c r="AI171" s="1378"/>
      <c r="AJ171" s="1378"/>
      <c r="AK171" s="1378"/>
      <c r="AL171" s="1378"/>
      <c r="AM171" s="1378"/>
      <c r="AN171" s="1378"/>
      <c r="AO171" s="1378"/>
      <c r="AP171" s="1378"/>
      <c r="AQ171" s="1378"/>
      <c r="AR171" s="1378"/>
      <c r="AS171" s="1378"/>
      <c r="AT171" s="1377"/>
      <c r="AU171" s="1377"/>
    </row>
    <row r="172" spans="2:47" s="1376" customFormat="1">
      <c r="B172" s="1423">
        <v>42921</v>
      </c>
      <c r="C172" s="1422"/>
      <c r="D172" s="1421" t="s">
        <v>1213</v>
      </c>
      <c r="E172" s="1421"/>
      <c r="F172" s="1420"/>
      <c r="G172" s="1420"/>
      <c r="H172" s="1419"/>
      <c r="I172" s="1418">
        <v>101.1</v>
      </c>
      <c r="J172" s="1379"/>
      <c r="K172" s="1400"/>
      <c r="L172" s="1397"/>
      <c r="M172" s="1397"/>
      <c r="N172" s="1398"/>
      <c r="O172" s="1397"/>
      <c r="P172" s="1396"/>
      <c r="Q172" s="1395"/>
      <c r="R172" s="1379"/>
      <c r="S172" s="1378"/>
      <c r="T172" s="1381"/>
      <c r="U172" s="1380"/>
      <c r="V172" s="1380"/>
      <c r="W172" s="1380"/>
      <c r="X172" s="1380"/>
      <c r="Y172" s="1380"/>
      <c r="Z172" s="1380"/>
      <c r="AA172" s="1380"/>
      <c r="AB172" s="1379"/>
      <c r="AC172" s="1378"/>
      <c r="AD172" s="1378"/>
      <c r="AE172" s="1378"/>
      <c r="AF172" s="1378"/>
      <c r="AG172" s="1378"/>
      <c r="AH172" s="1378"/>
      <c r="AI172" s="1378"/>
      <c r="AJ172" s="1378"/>
      <c r="AK172" s="1378"/>
      <c r="AL172" s="1378"/>
      <c r="AM172" s="1378"/>
      <c r="AN172" s="1378"/>
      <c r="AO172" s="1378"/>
      <c r="AP172" s="1378"/>
      <c r="AQ172" s="1378"/>
      <c r="AR172" s="1378"/>
      <c r="AS172" s="1378"/>
      <c r="AT172" s="1377"/>
      <c r="AU172" s="1377"/>
    </row>
    <row r="173" spans="2:47" s="1376" customFormat="1">
      <c r="B173" s="1423">
        <v>42912</v>
      </c>
      <c r="C173" s="1422"/>
      <c r="D173" s="1421" t="s">
        <v>1213</v>
      </c>
      <c r="E173" s="1421"/>
      <c r="F173" s="1420"/>
      <c r="G173" s="1420"/>
      <c r="H173" s="1419"/>
      <c r="I173" s="1418">
        <v>279.99</v>
      </c>
      <c r="J173" s="1379"/>
      <c r="K173" s="1400"/>
      <c r="L173" s="1397"/>
      <c r="M173" s="1397"/>
      <c r="N173" s="1398"/>
      <c r="O173" s="1397"/>
      <c r="P173" s="1396"/>
      <c r="Q173" s="1395"/>
      <c r="R173" s="1379"/>
      <c r="S173" s="1378"/>
      <c r="T173" s="1381"/>
      <c r="U173" s="1380"/>
      <c r="V173" s="1380"/>
      <c r="W173" s="1380"/>
      <c r="X173" s="1380"/>
      <c r="Y173" s="1380"/>
      <c r="Z173" s="1380"/>
      <c r="AA173" s="1380"/>
      <c r="AB173" s="1379"/>
      <c r="AC173" s="1378"/>
      <c r="AD173" s="1378"/>
      <c r="AE173" s="1378"/>
      <c r="AF173" s="1378"/>
      <c r="AG173" s="1378"/>
      <c r="AH173" s="1378"/>
      <c r="AI173" s="1378"/>
      <c r="AJ173" s="1378"/>
      <c r="AK173" s="1378"/>
      <c r="AL173" s="1378"/>
      <c r="AM173" s="1378"/>
      <c r="AN173" s="1378"/>
      <c r="AO173" s="1378"/>
      <c r="AP173" s="1378"/>
      <c r="AQ173" s="1378"/>
      <c r="AR173" s="1378"/>
      <c r="AS173" s="1378"/>
      <c r="AT173" s="1377"/>
      <c r="AU173" s="1377"/>
    </row>
    <row r="174" spans="2:47" s="1376" customFormat="1">
      <c r="B174" s="1423">
        <v>42897</v>
      </c>
      <c r="C174" s="1422"/>
      <c r="D174" s="1421" t="s">
        <v>1213</v>
      </c>
      <c r="E174" s="1421"/>
      <c r="F174" s="1420"/>
      <c r="G174" s="1420"/>
      <c r="H174" s="1419"/>
      <c r="I174" s="1418">
        <v>446.8</v>
      </c>
      <c r="J174" s="1379"/>
      <c r="K174" s="1400"/>
      <c r="L174" s="1397"/>
      <c r="M174" s="1397"/>
      <c r="N174" s="1398"/>
      <c r="O174" s="1397"/>
      <c r="P174" s="1396"/>
      <c r="Q174" s="1395"/>
      <c r="R174" s="1379"/>
      <c r="S174" s="1378"/>
      <c r="T174" s="1381"/>
      <c r="U174" s="1380"/>
      <c r="V174" s="1380"/>
      <c r="W174" s="1380"/>
      <c r="X174" s="1380"/>
      <c r="Y174" s="1380"/>
      <c r="Z174" s="1380"/>
      <c r="AA174" s="1380"/>
      <c r="AB174" s="1379"/>
      <c r="AC174" s="1378"/>
      <c r="AD174" s="1378"/>
      <c r="AE174" s="1378"/>
      <c r="AF174" s="1378"/>
      <c r="AG174" s="1378"/>
      <c r="AH174" s="1378"/>
      <c r="AI174" s="1378"/>
      <c r="AJ174" s="1378"/>
      <c r="AK174" s="1378"/>
      <c r="AL174" s="1378"/>
      <c r="AM174" s="1378"/>
      <c r="AN174" s="1378"/>
      <c r="AO174" s="1378"/>
      <c r="AP174" s="1378"/>
      <c r="AQ174" s="1378"/>
      <c r="AR174" s="1378"/>
      <c r="AS174" s="1378"/>
      <c r="AT174" s="1377"/>
      <c r="AU174" s="1377"/>
    </row>
    <row r="175" spans="2:47" s="1376" customFormat="1">
      <c r="B175" s="1423">
        <v>42882</v>
      </c>
      <c r="C175" s="1422"/>
      <c r="D175" s="1421" t="s">
        <v>1213</v>
      </c>
      <c r="E175" s="1421"/>
      <c r="F175" s="1420"/>
      <c r="G175" s="1420"/>
      <c r="H175" s="1419"/>
      <c r="I175" s="1418">
        <v>362.83</v>
      </c>
      <c r="J175" s="1379"/>
      <c r="K175" s="1400"/>
      <c r="L175" s="1397"/>
      <c r="M175" s="1397"/>
      <c r="N175" s="1398"/>
      <c r="O175" s="1397"/>
      <c r="P175" s="1396"/>
      <c r="Q175" s="1395"/>
      <c r="R175" s="1379"/>
      <c r="S175" s="1378"/>
      <c r="T175" s="1381"/>
      <c r="U175" s="1380"/>
      <c r="V175" s="1380"/>
      <c r="W175" s="1380"/>
      <c r="X175" s="1380"/>
      <c r="Y175" s="1380"/>
      <c r="Z175" s="1380"/>
      <c r="AA175" s="1380"/>
      <c r="AB175" s="1379"/>
      <c r="AC175" s="1378"/>
      <c r="AD175" s="1378"/>
      <c r="AE175" s="1378"/>
      <c r="AF175" s="1378"/>
      <c r="AG175" s="1378"/>
      <c r="AH175" s="1378"/>
      <c r="AI175" s="1378"/>
      <c r="AJ175" s="1378"/>
      <c r="AK175" s="1378"/>
      <c r="AL175" s="1378"/>
      <c r="AM175" s="1378"/>
      <c r="AN175" s="1378"/>
      <c r="AO175" s="1378"/>
      <c r="AP175" s="1378"/>
      <c r="AQ175" s="1378"/>
      <c r="AR175" s="1378"/>
      <c r="AS175" s="1378"/>
      <c r="AT175" s="1377"/>
      <c r="AU175" s="1377"/>
    </row>
    <row r="176" spans="2:47" s="1376" customFormat="1">
      <c r="B176" s="1423">
        <v>42861</v>
      </c>
      <c r="C176" s="1422"/>
      <c r="D176" s="1421" t="s">
        <v>1213</v>
      </c>
      <c r="E176" s="1421"/>
      <c r="F176" s="1420"/>
      <c r="G176" s="1420"/>
      <c r="H176" s="1419"/>
      <c r="I176" s="1418">
        <v>257.98</v>
      </c>
      <c r="J176" s="1379"/>
      <c r="K176" s="1400"/>
      <c r="L176" s="1397"/>
      <c r="M176" s="1397"/>
      <c r="N176" s="1398"/>
      <c r="O176" s="1397"/>
      <c r="P176" s="1396"/>
      <c r="Q176" s="1395"/>
      <c r="R176" s="1379"/>
      <c r="S176" s="1378"/>
      <c r="T176" s="1381"/>
      <c r="U176" s="1380"/>
      <c r="V176" s="1380"/>
      <c r="W176" s="1380"/>
      <c r="X176" s="1380"/>
      <c r="Y176" s="1380"/>
      <c r="Z176" s="1380"/>
      <c r="AA176" s="1380"/>
      <c r="AB176" s="1379"/>
      <c r="AC176" s="1378"/>
      <c r="AD176" s="1378"/>
      <c r="AE176" s="1378"/>
      <c r="AF176" s="1378"/>
      <c r="AG176" s="1378"/>
      <c r="AH176" s="1378"/>
      <c r="AI176" s="1378"/>
      <c r="AJ176" s="1378"/>
      <c r="AK176" s="1378"/>
      <c r="AL176" s="1378"/>
      <c r="AM176" s="1378"/>
      <c r="AN176" s="1378"/>
      <c r="AO176" s="1378"/>
      <c r="AP176" s="1378"/>
      <c r="AQ176" s="1378"/>
      <c r="AR176" s="1378"/>
      <c r="AS176" s="1378"/>
      <c r="AT176" s="1377"/>
      <c r="AU176" s="1377"/>
    </row>
    <row r="177" spans="2:38" s="1376" customFormat="1">
      <c r="B177" s="1423">
        <v>42853</v>
      </c>
      <c r="C177" s="1422"/>
      <c r="D177" s="1421" t="s">
        <v>1213</v>
      </c>
      <c r="E177" s="1421"/>
      <c r="F177" s="1420"/>
      <c r="G177" s="1420"/>
      <c r="H177" s="1419"/>
      <c r="I177" s="1418">
        <v>234.67</v>
      </c>
      <c r="J177" s="1379"/>
      <c r="K177" s="1400"/>
      <c r="L177" s="1397"/>
      <c r="M177" s="1397"/>
      <c r="N177" s="1398"/>
      <c r="O177" s="1397"/>
      <c r="P177" s="1396"/>
      <c r="Q177" s="1395"/>
      <c r="R177" s="1379"/>
      <c r="S177" s="1378"/>
      <c r="T177" s="1381"/>
      <c r="U177" s="1380"/>
      <c r="V177" s="1380"/>
      <c r="W177" s="1380"/>
      <c r="X177" s="1380"/>
      <c r="Y177" s="1380"/>
      <c r="Z177" s="1380"/>
      <c r="AA177" s="1380"/>
      <c r="AB177" s="1379"/>
      <c r="AC177" s="1378"/>
      <c r="AD177" s="1378"/>
    </row>
    <row r="178" spans="2:38" s="1376" customFormat="1">
      <c r="B178" s="1423">
        <v>42844</v>
      </c>
      <c r="C178" s="1422"/>
      <c r="D178" s="1421" t="s">
        <v>1213</v>
      </c>
      <c r="E178" s="1421"/>
      <c r="F178" s="1420"/>
      <c r="G178" s="1420"/>
      <c r="H178" s="1419"/>
      <c r="I178" s="1418">
        <v>486.92</v>
      </c>
      <c r="J178" s="1379"/>
      <c r="K178" s="1400"/>
      <c r="L178" s="1397"/>
      <c r="M178" s="1397"/>
      <c r="N178" s="1398"/>
      <c r="O178" s="1397"/>
      <c r="P178" s="1396"/>
      <c r="Q178" s="1395"/>
      <c r="R178" s="1379"/>
      <c r="S178" s="1378"/>
      <c r="T178" s="1381"/>
      <c r="U178" s="1380"/>
      <c r="V178" s="1380"/>
      <c r="W178" s="1380"/>
      <c r="X178" s="1380"/>
      <c r="Y178" s="1380"/>
      <c r="Z178" s="1380"/>
      <c r="AA178" s="1380"/>
      <c r="AB178" s="1379"/>
      <c r="AE178" s="1378"/>
      <c r="AF178" s="1378"/>
      <c r="AG178" s="1378"/>
      <c r="AH178" s="1378"/>
      <c r="AI178" s="1378"/>
      <c r="AJ178" s="1378"/>
      <c r="AK178" s="1378"/>
      <c r="AL178" s="1378"/>
    </row>
    <row r="179" spans="2:38" s="1376" customFormat="1">
      <c r="B179" s="1423">
        <v>42827</v>
      </c>
      <c r="C179" s="1422"/>
      <c r="D179" s="1421" t="s">
        <v>1213</v>
      </c>
      <c r="E179" s="1421"/>
      <c r="F179" s="1420"/>
      <c r="G179" s="1420"/>
      <c r="H179" s="1419"/>
      <c r="I179" s="1418">
        <v>277.39999999999998</v>
      </c>
      <c r="J179" s="1379"/>
      <c r="K179" s="1400"/>
      <c r="L179" s="1397"/>
      <c r="M179" s="1397"/>
      <c r="N179" s="1398"/>
      <c r="O179" s="1397"/>
      <c r="P179" s="1396"/>
      <c r="Q179" s="1395"/>
      <c r="R179" s="1379"/>
      <c r="S179" s="1378"/>
      <c r="T179" s="1381"/>
      <c r="U179" s="1380"/>
      <c r="V179" s="1380"/>
      <c r="W179" s="1380"/>
      <c r="X179" s="1380"/>
      <c r="Y179" s="1380"/>
      <c r="Z179" s="1380"/>
      <c r="AA179" s="1380"/>
      <c r="AB179" s="1379"/>
      <c r="AC179" s="1378"/>
      <c r="AD179" s="1378"/>
      <c r="AE179" s="1378"/>
      <c r="AF179" s="1378"/>
      <c r="AG179" s="1378"/>
      <c r="AH179" s="1378"/>
      <c r="AI179" s="1378"/>
      <c r="AJ179" s="1378"/>
      <c r="AK179" s="1378"/>
      <c r="AL179" s="1378"/>
    </row>
    <row r="180" spans="2:38" s="1376" customFormat="1">
      <c r="B180" s="1423">
        <v>42810</v>
      </c>
      <c r="C180" s="1422"/>
      <c r="D180" s="1421" t="s">
        <v>1213</v>
      </c>
      <c r="E180" s="1421"/>
      <c r="F180" s="1420"/>
      <c r="G180" s="1420"/>
      <c r="H180" s="1419"/>
      <c r="I180" s="1418">
        <v>497.4</v>
      </c>
      <c r="J180" s="1379"/>
      <c r="K180" s="1400"/>
      <c r="L180" s="1397"/>
      <c r="M180" s="1397"/>
      <c r="N180" s="1398"/>
      <c r="O180" s="1397"/>
      <c r="P180" s="1396"/>
      <c r="Q180" s="1395"/>
      <c r="R180" s="1379"/>
      <c r="S180" s="1378"/>
      <c r="T180" s="1381"/>
      <c r="U180" s="1380"/>
      <c r="V180" s="1380"/>
      <c r="W180" s="1380"/>
      <c r="X180" s="1380"/>
      <c r="Y180" s="1380"/>
      <c r="Z180" s="1380"/>
      <c r="AA180" s="1380"/>
      <c r="AB180" s="1379"/>
      <c r="AC180" s="1378"/>
      <c r="AD180" s="1378"/>
      <c r="AE180" s="1378"/>
      <c r="AF180" s="1378"/>
      <c r="AG180" s="1378"/>
      <c r="AH180" s="1378"/>
      <c r="AI180" s="1378"/>
      <c r="AJ180" s="1378"/>
      <c r="AK180" s="1378"/>
      <c r="AL180" s="1378"/>
    </row>
    <row r="181" spans="2:38" s="1376" customFormat="1">
      <c r="B181" s="1423">
        <v>42795</v>
      </c>
      <c r="C181" s="1422"/>
      <c r="D181" s="1421" t="s">
        <v>1214</v>
      </c>
      <c r="E181" s="1421"/>
      <c r="F181" s="1420"/>
      <c r="G181" s="1420"/>
      <c r="H181" s="1419"/>
      <c r="I181" s="1418">
        <v>59</v>
      </c>
      <c r="J181" s="1379"/>
      <c r="K181" s="1400"/>
      <c r="L181" s="1397"/>
      <c r="M181" s="1397"/>
      <c r="N181" s="1398"/>
      <c r="O181" s="1397"/>
      <c r="P181" s="1396"/>
      <c r="Q181" s="1395"/>
      <c r="R181" s="1379"/>
      <c r="S181" s="1378"/>
      <c r="T181" s="1381"/>
      <c r="U181" s="1380"/>
      <c r="V181" s="1380"/>
      <c r="W181" s="1380"/>
      <c r="X181" s="1380"/>
      <c r="Y181" s="1380"/>
      <c r="Z181" s="1380"/>
      <c r="AA181" s="1380"/>
      <c r="AB181" s="1379"/>
      <c r="AC181" s="1378"/>
      <c r="AD181" s="1378"/>
      <c r="AE181" s="1378"/>
      <c r="AF181" s="1378"/>
      <c r="AG181" s="1378"/>
      <c r="AH181" s="1378"/>
      <c r="AI181" s="1378"/>
      <c r="AJ181" s="1378"/>
      <c r="AK181" s="1378"/>
      <c r="AL181" s="1378"/>
    </row>
    <row r="182" spans="2:38" s="1376" customFormat="1">
      <c r="B182" s="1423">
        <v>42786</v>
      </c>
      <c r="C182" s="1422"/>
      <c r="D182" s="1421" t="s">
        <v>1213</v>
      </c>
      <c r="E182" s="1421"/>
      <c r="F182" s="1420"/>
      <c r="G182" s="1420"/>
      <c r="H182" s="1419"/>
      <c r="I182" s="1418">
        <v>447.03</v>
      </c>
      <c r="J182" s="1379"/>
      <c r="K182" s="1394"/>
      <c r="L182" s="1391"/>
      <c r="M182" s="1391"/>
      <c r="N182" s="1392"/>
      <c r="O182" s="1391"/>
      <c r="P182" s="1390"/>
      <c r="Q182" s="1389"/>
      <c r="R182" s="1379"/>
      <c r="S182" s="1378"/>
      <c r="T182" s="1381"/>
      <c r="U182" s="1380"/>
      <c r="V182" s="1380"/>
      <c r="W182" s="1380"/>
      <c r="X182" s="1380"/>
      <c r="Y182" s="1380"/>
      <c r="Z182" s="1380"/>
      <c r="AA182" s="1380"/>
      <c r="AB182" s="1379"/>
      <c r="AC182" s="1378"/>
      <c r="AD182" s="1378"/>
      <c r="AE182" s="1378"/>
      <c r="AF182" s="1378"/>
      <c r="AG182" s="1378"/>
      <c r="AH182" s="1378"/>
      <c r="AI182" s="1378"/>
      <c r="AJ182" s="1378"/>
      <c r="AK182" s="1378"/>
      <c r="AL182" s="1378"/>
    </row>
    <row r="183" spans="2:38" s="1376" customFormat="1">
      <c r="B183" s="1423">
        <v>42782</v>
      </c>
      <c r="C183" s="1422"/>
      <c r="D183" s="1421" t="s">
        <v>1214</v>
      </c>
      <c r="E183" s="1421"/>
      <c r="F183" s="1420"/>
      <c r="G183" s="1420"/>
      <c r="H183" s="1419"/>
      <c r="I183" s="1418">
        <v>104.9</v>
      </c>
      <c r="J183" s="1379"/>
      <c r="K183" s="1378"/>
      <c r="L183" s="1382"/>
      <c r="M183" s="1382"/>
      <c r="N183" s="1383"/>
      <c r="O183" s="1382"/>
      <c r="Q183" s="1380"/>
      <c r="R183" s="1379"/>
      <c r="S183" s="1378"/>
      <c r="T183" s="1381"/>
      <c r="U183" s="1380"/>
      <c r="V183" s="1380"/>
      <c r="W183" s="1380"/>
      <c r="X183" s="1380"/>
      <c r="Y183" s="1380"/>
      <c r="Z183" s="1380"/>
      <c r="AA183" s="1380"/>
      <c r="AB183" s="1379"/>
      <c r="AC183" s="1378"/>
      <c r="AD183" s="1378"/>
      <c r="AE183" s="1378"/>
      <c r="AF183" s="1378"/>
      <c r="AG183" s="1378"/>
      <c r="AH183" s="1378"/>
      <c r="AI183" s="1378"/>
      <c r="AJ183" s="1378"/>
      <c r="AK183" s="1378"/>
      <c r="AL183" s="1378"/>
    </row>
    <row r="184" spans="2:38" s="1376" customFormat="1">
      <c r="B184" s="1423">
        <v>42776</v>
      </c>
      <c r="C184" s="1422"/>
      <c r="D184" s="1421" t="s">
        <v>1213</v>
      </c>
      <c r="E184" s="1421"/>
      <c r="F184" s="1420"/>
      <c r="G184" s="1420"/>
      <c r="H184" s="1419"/>
      <c r="I184" s="1418">
        <v>105.52</v>
      </c>
      <c r="J184" s="1379"/>
      <c r="K184" s="1405"/>
      <c r="L184" s="1403"/>
      <c r="M184" s="1403"/>
      <c r="N184" s="1404"/>
      <c r="O184" s="1403"/>
      <c r="P184" s="1402"/>
      <c r="Q184" s="1401"/>
      <c r="R184" s="1379"/>
      <c r="S184" s="1378"/>
      <c r="T184" s="1381"/>
      <c r="U184" s="1380"/>
      <c r="V184" s="1380"/>
      <c r="W184" s="1380"/>
      <c r="X184" s="1380"/>
      <c r="Y184" s="1380"/>
      <c r="Z184" s="1380"/>
      <c r="AA184" s="1380"/>
      <c r="AB184" s="1379"/>
      <c r="AC184" s="1378"/>
      <c r="AD184" s="1378"/>
      <c r="AE184" s="1378"/>
      <c r="AF184" s="1378"/>
      <c r="AG184" s="1378"/>
      <c r="AH184" s="1378"/>
      <c r="AI184" s="1378"/>
      <c r="AJ184" s="1378"/>
      <c r="AK184" s="1378"/>
      <c r="AL184" s="1378"/>
    </row>
    <row r="185" spans="2:38" s="1376" customFormat="1">
      <c r="B185" s="1423">
        <v>42754</v>
      </c>
      <c r="C185" s="1422"/>
      <c r="D185" s="1421" t="s">
        <v>1213</v>
      </c>
      <c r="E185" s="1421"/>
      <c r="F185" s="1420"/>
      <c r="G185" s="1420"/>
      <c r="H185" s="1419"/>
      <c r="I185" s="1418">
        <v>382.23</v>
      </c>
      <c r="J185" s="1379"/>
      <c r="K185" s="1400"/>
      <c r="L185" s="1397"/>
      <c r="M185" s="1397"/>
      <c r="N185" s="1398"/>
      <c r="O185" s="1397"/>
      <c r="P185" s="1396"/>
      <c r="Q185" s="1395"/>
      <c r="R185" s="1379"/>
      <c r="S185" s="1378"/>
      <c r="T185" s="1381"/>
      <c r="U185" s="1380"/>
      <c r="V185" s="1380"/>
      <c r="W185" s="1380"/>
      <c r="X185" s="1380"/>
      <c r="Y185" s="1380"/>
      <c r="Z185" s="1380"/>
      <c r="AA185" s="1380"/>
      <c r="AB185" s="1379"/>
      <c r="AC185" s="1378"/>
      <c r="AD185" s="1378"/>
      <c r="AE185" s="1378"/>
      <c r="AF185" s="1378"/>
      <c r="AG185" s="1378"/>
      <c r="AH185" s="1378"/>
      <c r="AI185" s="1378"/>
      <c r="AJ185" s="1378"/>
      <c r="AK185" s="1378"/>
      <c r="AL185" s="1378"/>
    </row>
    <row r="186" spans="2:38" s="1376" customFormat="1">
      <c r="B186" s="1423">
        <v>42748</v>
      </c>
      <c r="C186" s="1422"/>
      <c r="D186" s="1421" t="s">
        <v>1213</v>
      </c>
      <c r="E186" s="1421"/>
      <c r="F186" s="1420"/>
      <c r="G186" s="1420"/>
      <c r="H186" s="1419"/>
      <c r="I186" s="1418">
        <v>200.06</v>
      </c>
      <c r="J186" s="1379"/>
      <c r="K186" s="1400"/>
      <c r="L186" s="1397"/>
      <c r="M186" s="1397"/>
      <c r="N186" s="1398"/>
      <c r="O186" s="1397"/>
      <c r="P186" s="1396"/>
      <c r="Q186" s="1395"/>
      <c r="R186" s="1379"/>
      <c r="S186" s="1378"/>
      <c r="T186" s="1381"/>
      <c r="U186" s="1380"/>
      <c r="V186" s="1380"/>
      <c r="W186" s="1380"/>
      <c r="X186" s="1380"/>
      <c r="Y186" s="1380"/>
      <c r="Z186" s="1380"/>
      <c r="AA186" s="1380"/>
      <c r="AB186" s="1379"/>
      <c r="AC186" s="1378"/>
      <c r="AD186" s="1378"/>
      <c r="AE186" s="1378"/>
      <c r="AF186" s="1378"/>
      <c r="AG186" s="1378"/>
      <c r="AH186" s="1378"/>
      <c r="AI186" s="1378"/>
      <c r="AJ186" s="1378"/>
      <c r="AK186" s="1378"/>
      <c r="AL186" s="1378"/>
    </row>
    <row r="187" spans="2:38" s="1376" customFormat="1">
      <c r="B187" s="1441">
        <v>42737</v>
      </c>
      <c r="C187" s="1440"/>
      <c r="D187" s="1439" t="s">
        <v>1213</v>
      </c>
      <c r="E187" s="1439"/>
      <c r="F187" s="1438"/>
      <c r="G187" s="1438"/>
      <c r="H187" s="1437"/>
      <c r="I187" s="1436">
        <v>479.54</v>
      </c>
      <c r="J187" s="1379"/>
      <c r="K187" s="1394"/>
      <c r="L187" s="1391"/>
      <c r="M187" s="1391"/>
      <c r="N187" s="1392"/>
      <c r="O187" s="1391"/>
      <c r="P187" s="1390"/>
      <c r="Q187" s="1389"/>
      <c r="R187" s="1379"/>
      <c r="S187" s="1378"/>
      <c r="T187" s="1381"/>
      <c r="U187" s="1380"/>
      <c r="V187" s="1380"/>
      <c r="W187" s="1380"/>
      <c r="X187" s="1380"/>
      <c r="Y187" s="1380"/>
      <c r="Z187" s="1380"/>
      <c r="AA187" s="1380"/>
      <c r="AB187" s="1379"/>
      <c r="AC187" s="1378"/>
      <c r="AD187" s="1378"/>
      <c r="AE187" s="1378"/>
      <c r="AF187" s="1378"/>
      <c r="AG187" s="1378"/>
      <c r="AH187" s="1378"/>
      <c r="AI187" s="1378"/>
      <c r="AJ187" s="1378"/>
      <c r="AK187" s="1378"/>
      <c r="AL187" s="1378"/>
    </row>
    <row r="188" spans="2:38" s="1376" customFormat="1">
      <c r="B188" s="1425"/>
      <c r="C188" s="1425"/>
      <c r="D188" s="1397"/>
      <c r="E188" s="1397"/>
      <c r="F188" s="1398"/>
      <c r="G188" s="1397"/>
      <c r="H188" s="1396"/>
      <c r="I188" s="1435"/>
      <c r="J188" s="1379"/>
      <c r="K188" s="1380"/>
      <c r="L188" s="1388"/>
      <c r="M188" s="1388"/>
      <c r="N188" s="1383"/>
      <c r="O188" s="1388"/>
      <c r="P188" s="1387"/>
      <c r="Q188" s="1380"/>
      <c r="R188" s="1379"/>
      <c r="S188" s="1378"/>
      <c r="T188" s="1381"/>
      <c r="U188" s="1380"/>
      <c r="V188" s="1380"/>
      <c r="W188" s="1380"/>
      <c r="X188" s="1380"/>
      <c r="Y188" s="1380"/>
      <c r="Z188" s="1380"/>
      <c r="AA188" s="1380"/>
      <c r="AB188" s="1379"/>
      <c r="AC188" s="1378"/>
      <c r="AD188" s="1378"/>
      <c r="AE188" s="1378"/>
      <c r="AF188" s="1378"/>
      <c r="AG188" s="1378"/>
      <c r="AH188" s="1378"/>
      <c r="AI188" s="1378"/>
      <c r="AJ188" s="1378"/>
      <c r="AK188" s="1378"/>
      <c r="AL188" s="1378"/>
    </row>
    <row r="189" spans="2:38" s="1376" customFormat="1">
      <c r="B189" s="1434">
        <v>42721</v>
      </c>
      <c r="C189" s="1433"/>
      <c r="D189" s="1431" t="s">
        <v>1213</v>
      </c>
      <c r="E189" s="1431"/>
      <c r="F189" s="1432"/>
      <c r="G189" s="1431"/>
      <c r="H189" s="1430"/>
      <c r="I189" s="1429">
        <v>579.47</v>
      </c>
      <c r="J189" s="1379"/>
      <c r="K189" s="1380"/>
      <c r="L189" s="1388"/>
      <c r="M189" s="1388"/>
      <c r="N189" s="1383"/>
      <c r="O189" s="1388"/>
      <c r="P189" s="1387"/>
      <c r="Q189" s="1380"/>
      <c r="R189" s="1379"/>
      <c r="S189" s="1378"/>
      <c r="T189" s="1381"/>
      <c r="U189" s="1380"/>
      <c r="V189" s="1380"/>
      <c r="W189" s="1380"/>
      <c r="X189" s="1380"/>
      <c r="Y189" s="1380"/>
      <c r="Z189" s="1380"/>
      <c r="AA189" s="1380"/>
      <c r="AB189" s="1379"/>
      <c r="AC189" s="1378"/>
      <c r="AD189" s="1378"/>
      <c r="AE189" s="1378"/>
      <c r="AF189" s="1378"/>
      <c r="AG189" s="1378"/>
      <c r="AH189" s="1378"/>
      <c r="AI189" s="1378"/>
      <c r="AJ189" s="1378"/>
      <c r="AK189" s="1378"/>
      <c r="AL189" s="1378"/>
    </row>
    <row r="190" spans="2:38" s="1376" customFormat="1">
      <c r="B190" s="1423">
        <v>42690</v>
      </c>
      <c r="C190" s="1422"/>
      <c r="D190" s="1421" t="s">
        <v>690</v>
      </c>
      <c r="E190" s="1421"/>
      <c r="F190" s="1420"/>
      <c r="G190" s="1420"/>
      <c r="H190" s="1419"/>
      <c r="I190" s="1418">
        <v>514.16</v>
      </c>
      <c r="J190" s="1379"/>
      <c r="K190" s="1379"/>
      <c r="L190" s="1385"/>
      <c r="M190" s="1385"/>
      <c r="N190" s="1386"/>
      <c r="O190" s="1385"/>
      <c r="P190" s="1384"/>
      <c r="Q190" s="1379"/>
      <c r="R190" s="1379"/>
      <c r="S190" s="1378"/>
      <c r="T190" s="1381"/>
      <c r="U190" s="1380"/>
      <c r="V190" s="1380"/>
      <c r="W190" s="1380"/>
      <c r="X190" s="1380"/>
      <c r="Y190" s="1380"/>
      <c r="Z190" s="1380"/>
      <c r="AA190" s="1380"/>
      <c r="AB190" s="1379"/>
      <c r="AC190" s="1378"/>
      <c r="AD190" s="1378"/>
      <c r="AE190" s="1378"/>
      <c r="AF190" s="1378"/>
      <c r="AG190" s="1378"/>
      <c r="AH190" s="1378"/>
      <c r="AI190" s="1378"/>
      <c r="AJ190" s="1378"/>
      <c r="AK190" s="1378"/>
      <c r="AL190" s="1378"/>
    </row>
    <row r="191" spans="2:38" s="1376" customFormat="1">
      <c r="B191" s="1423">
        <v>42668</v>
      </c>
      <c r="C191" s="1422"/>
      <c r="D191" s="1421" t="s">
        <v>1213</v>
      </c>
      <c r="E191" s="1421"/>
      <c r="F191" s="1420"/>
      <c r="G191" s="1420"/>
      <c r="H191" s="1419"/>
      <c r="I191" s="1418">
        <v>288.8</v>
      </c>
      <c r="J191" s="1379"/>
      <c r="K191" s="1379"/>
      <c r="L191" s="1385"/>
      <c r="M191" s="1385"/>
      <c r="N191" s="1386"/>
      <c r="O191" s="1385"/>
      <c r="P191" s="1384"/>
      <c r="Q191" s="1379"/>
      <c r="R191" s="1379"/>
      <c r="S191" s="1378"/>
      <c r="T191" s="1381"/>
      <c r="U191" s="1380"/>
      <c r="V191" s="1380"/>
      <c r="W191" s="1380"/>
      <c r="X191" s="1380"/>
      <c r="Y191" s="1380"/>
      <c r="Z191" s="1380"/>
      <c r="AA191" s="1380"/>
      <c r="AB191" s="1379"/>
      <c r="AC191" s="1378"/>
      <c r="AD191" s="1378"/>
      <c r="AE191" s="1378"/>
      <c r="AF191" s="1378"/>
      <c r="AG191" s="1378"/>
      <c r="AH191" s="1378"/>
      <c r="AI191" s="1378"/>
      <c r="AJ191" s="1378"/>
      <c r="AK191" s="1378"/>
      <c r="AL191" s="1378"/>
    </row>
    <row r="192" spans="2:38" s="1376" customFormat="1">
      <c r="B192" s="1423">
        <v>42640</v>
      </c>
      <c r="C192" s="1422"/>
      <c r="D192" s="1421" t="s">
        <v>1213</v>
      </c>
      <c r="E192" s="1421"/>
      <c r="F192" s="1420"/>
      <c r="G192" s="1420"/>
      <c r="H192" s="1419"/>
      <c r="I192" s="1418">
        <v>369.54</v>
      </c>
      <c r="J192" s="1379"/>
      <c r="K192" s="1379"/>
      <c r="L192" s="1385"/>
      <c r="M192" s="1385"/>
      <c r="N192" s="1386"/>
      <c r="O192" s="1385"/>
      <c r="P192" s="1384"/>
      <c r="Q192" s="1379"/>
      <c r="R192" s="1379"/>
      <c r="S192" s="1378"/>
      <c r="T192" s="1381"/>
      <c r="U192" s="1380"/>
      <c r="V192" s="1380"/>
      <c r="W192" s="1380"/>
      <c r="X192" s="1380"/>
      <c r="Y192" s="1380"/>
      <c r="Z192" s="1380"/>
      <c r="AA192" s="1380"/>
      <c r="AB192" s="1379"/>
      <c r="AC192" s="1378"/>
      <c r="AD192" s="1378"/>
      <c r="AE192" s="1378"/>
      <c r="AF192" s="1378"/>
      <c r="AG192" s="1378"/>
      <c r="AH192" s="1378"/>
      <c r="AI192" s="1378"/>
      <c r="AJ192" s="1378"/>
      <c r="AK192" s="1378"/>
      <c r="AL192" s="1378"/>
    </row>
    <row r="193" spans="2:17" s="1376" customFormat="1">
      <c r="B193" s="1423">
        <v>42615</v>
      </c>
      <c r="C193" s="1422"/>
      <c r="D193" s="1421" t="s">
        <v>1213</v>
      </c>
      <c r="E193" s="1421"/>
      <c r="F193" s="1420"/>
      <c r="G193" s="1420"/>
      <c r="H193" s="1419"/>
      <c r="I193" s="1418">
        <v>436.7</v>
      </c>
      <c r="J193" s="1379"/>
      <c r="K193" s="1379"/>
      <c r="L193" s="1385"/>
      <c r="M193" s="1385"/>
      <c r="N193" s="1386"/>
      <c r="O193" s="1385"/>
      <c r="P193" s="1384"/>
      <c r="Q193" s="1379"/>
    </row>
    <row r="194" spans="2:17" s="1376" customFormat="1">
      <c r="B194" s="1423">
        <v>42612</v>
      </c>
      <c r="C194" s="1422"/>
      <c r="D194" s="1421" t="s">
        <v>1213</v>
      </c>
      <c r="E194" s="1421"/>
      <c r="F194" s="1420"/>
      <c r="G194" s="1420"/>
      <c r="H194" s="1419"/>
      <c r="I194" s="1418">
        <v>101.19</v>
      </c>
      <c r="J194" s="1379"/>
      <c r="K194" s="1379"/>
      <c r="L194" s="1385"/>
      <c r="M194" s="1385"/>
      <c r="N194" s="1386"/>
      <c r="O194" s="1385"/>
      <c r="P194" s="1384"/>
      <c r="Q194" s="1379"/>
    </row>
    <row r="195" spans="2:17" s="1376" customFormat="1">
      <c r="B195" s="1423">
        <v>42571</v>
      </c>
      <c r="C195" s="1422"/>
      <c r="D195" s="1421" t="s">
        <v>1213</v>
      </c>
      <c r="E195" s="1421"/>
      <c r="F195" s="1420"/>
      <c r="G195" s="1420"/>
      <c r="H195" s="1419"/>
      <c r="I195" s="1418">
        <v>447.36</v>
      </c>
      <c r="J195" s="1379"/>
      <c r="K195" s="1379"/>
      <c r="L195" s="1385"/>
      <c r="M195" s="1385"/>
      <c r="N195" s="1386"/>
      <c r="O195" s="1385"/>
      <c r="P195" s="1384"/>
      <c r="Q195" s="1379"/>
    </row>
    <row r="196" spans="2:17" s="1376" customFormat="1">
      <c r="B196" s="1423">
        <v>42567</v>
      </c>
      <c r="C196" s="1422"/>
      <c r="D196" s="1421" t="s">
        <v>1213</v>
      </c>
      <c r="E196" s="1421"/>
      <c r="F196" s="1420"/>
      <c r="G196" s="1420"/>
      <c r="H196" s="1419"/>
      <c r="I196" s="1418">
        <v>100.15</v>
      </c>
      <c r="J196" s="1379"/>
      <c r="K196" s="1379"/>
      <c r="L196" s="1385"/>
      <c r="M196" s="1385"/>
      <c r="N196" s="1386"/>
      <c r="O196" s="1385"/>
      <c r="P196" s="1384"/>
      <c r="Q196" s="1379"/>
    </row>
    <row r="197" spans="2:17" s="1376" customFormat="1">
      <c r="B197" s="1423">
        <v>42545</v>
      </c>
      <c r="C197" s="1422"/>
      <c r="D197" s="1421" t="s">
        <v>1213</v>
      </c>
      <c r="E197" s="1421"/>
      <c r="F197" s="1420"/>
      <c r="G197" s="1420"/>
      <c r="H197" s="1419"/>
      <c r="I197" s="1418">
        <v>378.24</v>
      </c>
      <c r="J197" s="1379"/>
      <c r="K197" s="1379"/>
      <c r="L197" s="1385"/>
      <c r="M197" s="1385"/>
      <c r="N197" s="1386"/>
      <c r="O197" s="1385"/>
      <c r="P197" s="1384"/>
      <c r="Q197" s="1379"/>
    </row>
    <row r="198" spans="2:17" s="1376" customFormat="1">
      <c r="B198" s="1423">
        <v>42514</v>
      </c>
      <c r="C198" s="1422"/>
      <c r="D198" s="1421" t="s">
        <v>1213</v>
      </c>
      <c r="E198" s="1421"/>
      <c r="F198" s="1420"/>
      <c r="G198" s="1420"/>
      <c r="H198" s="1419"/>
      <c r="I198" s="1418">
        <v>346.44</v>
      </c>
      <c r="J198" s="1379"/>
      <c r="K198" s="1378"/>
      <c r="L198" s="1382"/>
      <c r="M198" s="1382"/>
      <c r="N198" s="1383"/>
      <c r="O198" s="1382"/>
      <c r="Q198" s="1380"/>
    </row>
    <row r="199" spans="2:17" s="1376" customFormat="1">
      <c r="B199" s="1423">
        <v>42483</v>
      </c>
      <c r="C199" s="1422"/>
      <c r="D199" s="1421" t="s">
        <v>1213</v>
      </c>
      <c r="E199" s="1421"/>
      <c r="F199" s="1420"/>
      <c r="G199" s="1420"/>
      <c r="H199" s="1419"/>
      <c r="I199" s="1418">
        <v>366.99</v>
      </c>
      <c r="J199" s="1379"/>
      <c r="K199" s="1379"/>
      <c r="L199" s="1385"/>
      <c r="M199" s="1385"/>
      <c r="N199" s="1386"/>
      <c r="O199" s="1385"/>
      <c r="P199" s="1384"/>
      <c r="Q199" s="1379"/>
    </row>
    <row r="200" spans="2:17" s="1376" customFormat="1">
      <c r="B200" s="1423">
        <v>42450</v>
      </c>
      <c r="C200" s="1422"/>
      <c r="D200" s="1421" t="s">
        <v>1213</v>
      </c>
      <c r="E200" s="1421"/>
      <c r="F200" s="1420"/>
      <c r="G200" s="1420"/>
      <c r="H200" s="1419"/>
      <c r="I200" s="1418">
        <v>315.33</v>
      </c>
      <c r="J200" s="1379"/>
      <c r="K200" s="1379"/>
      <c r="L200" s="1385"/>
      <c r="M200" s="1385"/>
      <c r="N200" s="1386"/>
      <c r="O200" s="1385"/>
      <c r="P200" s="1384"/>
      <c r="Q200" s="1379"/>
    </row>
    <row r="201" spans="2:17" s="1376" customFormat="1">
      <c r="B201" s="1423">
        <v>42440</v>
      </c>
      <c r="C201" s="1422"/>
      <c r="D201" s="1421" t="s">
        <v>1213</v>
      </c>
      <c r="E201" s="1421"/>
      <c r="F201" s="1420"/>
      <c r="G201" s="1420"/>
      <c r="H201" s="1419"/>
      <c r="I201" s="1418">
        <v>177.66</v>
      </c>
      <c r="J201" s="1379"/>
      <c r="K201" s="1379"/>
      <c r="L201" s="1385"/>
      <c r="M201" s="1385"/>
      <c r="N201" s="1386"/>
      <c r="O201" s="1385"/>
      <c r="P201" s="1384"/>
      <c r="Q201" s="1379"/>
    </row>
    <row r="202" spans="2:17" s="1376" customFormat="1">
      <c r="B202" s="1423">
        <v>42425</v>
      </c>
      <c r="C202" s="1422"/>
      <c r="D202" s="1421" t="s">
        <v>1213</v>
      </c>
      <c r="E202" s="1421"/>
      <c r="F202" s="1420"/>
      <c r="G202" s="1420"/>
      <c r="H202" s="1419"/>
      <c r="I202" s="1418">
        <v>114.66</v>
      </c>
      <c r="J202" s="1379"/>
      <c r="K202" s="1379"/>
      <c r="L202" s="1385"/>
      <c r="M202" s="1385"/>
      <c r="N202" s="1386"/>
      <c r="O202" s="1385"/>
      <c r="P202" s="1384"/>
      <c r="Q202" s="1379"/>
    </row>
    <row r="203" spans="2:17" s="1376" customFormat="1">
      <c r="B203" s="1423">
        <v>42420</v>
      </c>
      <c r="C203" s="1422"/>
      <c r="D203" s="1421" t="s">
        <v>1213</v>
      </c>
      <c r="E203" s="1421"/>
      <c r="F203" s="1420"/>
      <c r="G203" s="1420"/>
      <c r="H203" s="1419"/>
      <c r="I203" s="1418">
        <v>142.41</v>
      </c>
      <c r="J203" s="1379"/>
      <c r="K203" s="1379"/>
      <c r="L203" s="1385"/>
      <c r="M203" s="1385"/>
      <c r="N203" s="1386"/>
      <c r="O203" s="1385"/>
      <c r="P203" s="1384"/>
      <c r="Q203" s="1379"/>
    </row>
    <row r="204" spans="2:17" s="1376" customFormat="1">
      <c r="B204" s="1423">
        <v>42412</v>
      </c>
      <c r="C204" s="1422"/>
      <c r="D204" s="1421" t="s">
        <v>1213</v>
      </c>
      <c r="E204" s="1421"/>
      <c r="F204" s="1420"/>
      <c r="G204" s="1420"/>
      <c r="H204" s="1419"/>
      <c r="I204" s="1418">
        <v>242.28</v>
      </c>
      <c r="J204" s="1379"/>
      <c r="K204" s="1379"/>
      <c r="L204" s="1385"/>
      <c r="M204" s="1385"/>
      <c r="N204" s="1386"/>
      <c r="O204" s="1385"/>
      <c r="P204" s="1384"/>
      <c r="Q204" s="1379"/>
    </row>
    <row r="205" spans="2:17" s="1376" customFormat="1">
      <c r="B205" s="1423">
        <v>42398</v>
      </c>
      <c r="C205" s="1422"/>
      <c r="D205" s="1421" t="s">
        <v>1213</v>
      </c>
      <c r="E205" s="1421"/>
      <c r="F205" s="1420"/>
      <c r="G205" s="1420"/>
      <c r="H205" s="1419"/>
      <c r="I205" s="1418">
        <v>181.39</v>
      </c>
      <c r="J205" s="1379"/>
      <c r="K205" s="1379"/>
      <c r="L205" s="1385"/>
      <c r="M205" s="1385"/>
      <c r="N205" s="1386"/>
      <c r="O205" s="1385"/>
      <c r="P205" s="1384"/>
      <c r="Q205" s="1379"/>
    </row>
    <row r="206" spans="2:17" s="1376" customFormat="1">
      <c r="B206" s="1428">
        <v>42385</v>
      </c>
      <c r="C206" s="1427"/>
      <c r="D206" s="1391" t="s">
        <v>1213</v>
      </c>
      <c r="E206" s="1391"/>
      <c r="F206" s="1392"/>
      <c r="G206" s="1391"/>
      <c r="H206" s="1390"/>
      <c r="I206" s="1389">
        <v>376.68</v>
      </c>
      <c r="J206" s="1379"/>
      <c r="K206" s="1379"/>
      <c r="L206" s="1385"/>
      <c r="M206" s="1385"/>
      <c r="N206" s="1386"/>
      <c r="O206" s="1385"/>
      <c r="P206" s="1384"/>
      <c r="Q206" s="1379"/>
    </row>
    <row r="207" spans="2:17" s="1376" customFormat="1">
      <c r="B207" s="1426"/>
      <c r="C207" s="1425"/>
      <c r="D207" s="1397"/>
      <c r="E207" s="1397"/>
      <c r="F207" s="1398"/>
      <c r="G207" s="1397"/>
      <c r="H207" s="1396"/>
      <c r="I207" s="1424"/>
      <c r="J207" s="1379"/>
      <c r="K207" s="1379"/>
      <c r="L207" s="1385"/>
      <c r="M207" s="1385"/>
      <c r="N207" s="1386"/>
      <c r="O207" s="1385"/>
      <c r="P207" s="1384"/>
      <c r="Q207" s="1379"/>
    </row>
    <row r="208" spans="2:17" s="1376" customFormat="1">
      <c r="B208" s="1405" t="s">
        <v>1205</v>
      </c>
      <c r="C208" s="1403"/>
      <c r="D208" s="1403"/>
      <c r="E208" s="1403"/>
      <c r="F208" s="1404"/>
      <c r="G208" s="1403"/>
      <c r="H208" s="1402"/>
      <c r="I208" s="1406"/>
      <c r="J208" s="1379"/>
      <c r="K208" s="1379"/>
      <c r="L208" s="1385"/>
      <c r="M208" s="1385"/>
      <c r="N208" s="1386"/>
      <c r="O208" s="1385"/>
      <c r="P208" s="1384"/>
      <c r="Q208" s="1379"/>
    </row>
    <row r="209" spans="2:17" s="1376" customFormat="1">
      <c r="B209" s="1423">
        <v>42357</v>
      </c>
      <c r="C209" s="1422"/>
      <c r="D209" s="1421" t="s">
        <v>363</v>
      </c>
      <c r="E209" s="1421"/>
      <c r="F209" s="1420"/>
      <c r="G209" s="1420"/>
      <c r="H209" s="1419"/>
      <c r="I209" s="1418">
        <v>342.95</v>
      </c>
      <c r="J209" s="1379"/>
      <c r="K209" s="1379"/>
      <c r="L209" s="1385"/>
      <c r="M209" s="1385"/>
      <c r="N209" s="1386"/>
      <c r="O209" s="1385"/>
      <c r="P209" s="1384"/>
      <c r="Q209" s="1379"/>
    </row>
    <row r="210" spans="2:17" s="1376" customFormat="1">
      <c r="B210" s="1417">
        <v>42327</v>
      </c>
      <c r="C210" s="1416"/>
      <c r="D210" s="1414" t="s">
        <v>363</v>
      </c>
      <c r="E210" s="1414"/>
      <c r="F210" s="1415"/>
      <c r="G210" s="1414"/>
      <c r="H210" s="1413"/>
      <c r="I210" s="1412">
        <v>313.68</v>
      </c>
      <c r="J210" s="1379"/>
      <c r="K210" s="1379"/>
      <c r="L210" s="1385"/>
      <c r="M210" s="1385"/>
      <c r="N210" s="1386"/>
      <c r="O210" s="1385"/>
      <c r="P210" s="1384"/>
      <c r="Q210" s="1379"/>
    </row>
    <row r="211" spans="2:17" s="1376" customFormat="1">
      <c r="B211" s="1411"/>
      <c r="C211" s="1411"/>
      <c r="D211" s="1409"/>
      <c r="E211" s="1409"/>
      <c r="F211" s="1410"/>
      <c r="G211" s="1409"/>
      <c r="H211" s="1408"/>
      <c r="I211" s="1407"/>
      <c r="J211" s="1379"/>
      <c r="K211" s="1379"/>
      <c r="L211" s="1385"/>
      <c r="M211" s="1385"/>
      <c r="N211" s="1386"/>
      <c r="O211" s="1385"/>
      <c r="P211" s="1384"/>
      <c r="Q211" s="1379"/>
    </row>
    <row r="212" spans="2:17" s="1376" customFormat="1">
      <c r="B212" s="1405" t="s">
        <v>1204</v>
      </c>
      <c r="C212" s="1403"/>
      <c r="D212" s="1403"/>
      <c r="E212" s="1403"/>
      <c r="F212" s="1404"/>
      <c r="G212" s="1403"/>
      <c r="H212" s="1402"/>
      <c r="I212" s="1406"/>
      <c r="J212" s="1379"/>
      <c r="K212" s="1379"/>
      <c r="L212" s="1385"/>
      <c r="M212" s="1385"/>
      <c r="N212" s="1386"/>
      <c r="O212" s="1385"/>
      <c r="P212" s="1384"/>
      <c r="Q212" s="1379"/>
    </row>
    <row r="213" spans="2:17" s="1376" customFormat="1">
      <c r="B213" s="1400"/>
      <c r="C213" s="1399"/>
      <c r="D213" s="1397"/>
      <c r="E213" s="1397"/>
      <c r="F213" s="1398"/>
      <c r="G213" s="1397"/>
      <c r="H213" s="1396"/>
      <c r="I213" s="1395"/>
      <c r="J213" s="1379"/>
      <c r="K213" s="1379"/>
      <c r="L213" s="1385"/>
      <c r="M213" s="1385"/>
      <c r="N213" s="1386"/>
      <c r="O213" s="1385"/>
      <c r="P213" s="1384"/>
      <c r="Q213" s="1379"/>
    </row>
    <row r="214" spans="2:17" s="1376" customFormat="1">
      <c r="B214" s="1400"/>
      <c r="C214" s="1399"/>
      <c r="D214" s="1397"/>
      <c r="E214" s="1397"/>
      <c r="F214" s="1398"/>
      <c r="G214" s="1397"/>
      <c r="H214" s="1396"/>
      <c r="I214" s="1395"/>
      <c r="J214" s="1379"/>
      <c r="K214" s="1379"/>
      <c r="L214" s="1385"/>
      <c r="M214" s="1385"/>
      <c r="N214" s="1386"/>
      <c r="O214" s="1385"/>
      <c r="P214" s="1384"/>
      <c r="Q214" s="1379"/>
    </row>
    <row r="215" spans="2:17" s="1376" customFormat="1">
      <c r="B215" s="1400"/>
      <c r="C215" s="1399"/>
      <c r="D215" s="1397"/>
      <c r="E215" s="1397"/>
      <c r="F215" s="1398"/>
      <c r="G215" s="1397"/>
      <c r="H215" s="1396"/>
      <c r="I215" s="1395"/>
      <c r="J215" s="1379"/>
      <c r="K215" s="1378"/>
      <c r="L215" s="1382"/>
      <c r="M215" s="1382"/>
      <c r="N215" s="1383"/>
      <c r="O215" s="1382"/>
      <c r="Q215" s="1380"/>
    </row>
    <row r="216" spans="2:17" s="1376" customFormat="1">
      <c r="B216" s="1400"/>
      <c r="C216" s="1399"/>
      <c r="D216" s="1397"/>
      <c r="E216" s="1397"/>
      <c r="F216" s="1398"/>
      <c r="G216" s="1397"/>
      <c r="H216" s="1396"/>
      <c r="I216" s="1395"/>
      <c r="J216" s="1379"/>
      <c r="K216" s="1379"/>
      <c r="L216" s="1385"/>
      <c r="M216" s="1385"/>
      <c r="N216" s="1386"/>
      <c r="O216" s="1385"/>
      <c r="P216" s="1384"/>
      <c r="Q216" s="1379"/>
    </row>
    <row r="217" spans="2:17" s="1376" customFormat="1">
      <c r="B217" s="1400"/>
      <c r="C217" s="1399"/>
      <c r="D217" s="1397"/>
      <c r="E217" s="1397"/>
      <c r="F217" s="1398"/>
      <c r="G217" s="1397"/>
      <c r="H217" s="1396"/>
      <c r="I217" s="1395"/>
      <c r="J217" s="1379"/>
      <c r="K217" s="1379"/>
      <c r="L217" s="1385"/>
      <c r="M217" s="1385"/>
      <c r="N217" s="1386"/>
      <c r="O217" s="1385"/>
      <c r="P217" s="1384"/>
      <c r="Q217" s="1379"/>
    </row>
    <row r="218" spans="2:17" s="1376" customFormat="1">
      <c r="B218" s="1400"/>
      <c r="C218" s="1399"/>
      <c r="D218" s="1397"/>
      <c r="E218" s="1397"/>
      <c r="F218" s="1398"/>
      <c r="G218" s="1397"/>
      <c r="H218" s="1396"/>
      <c r="I218" s="1395"/>
      <c r="J218" s="1379"/>
      <c r="K218" s="1379"/>
      <c r="L218" s="1385"/>
      <c r="M218" s="1385"/>
      <c r="N218" s="1386"/>
      <c r="O218" s="1385"/>
      <c r="P218" s="1384"/>
      <c r="Q218" s="1379"/>
    </row>
    <row r="219" spans="2:17" s="1376" customFormat="1">
      <c r="B219" s="1400"/>
      <c r="C219" s="1399"/>
      <c r="D219" s="1397"/>
      <c r="E219" s="1397"/>
      <c r="F219" s="1398"/>
      <c r="G219" s="1397"/>
      <c r="H219" s="1396"/>
      <c r="I219" s="1395"/>
      <c r="J219" s="1379"/>
      <c r="K219" s="1379"/>
      <c r="L219" s="1385"/>
      <c r="M219" s="1385"/>
      <c r="N219" s="1386"/>
      <c r="O219" s="1385"/>
      <c r="P219" s="1384"/>
      <c r="Q219" s="1379"/>
    </row>
    <row r="220" spans="2:17" s="1376" customFormat="1">
      <c r="B220" s="1400"/>
      <c r="C220" s="1399"/>
      <c r="D220" s="1397"/>
      <c r="E220" s="1397"/>
      <c r="F220" s="1398"/>
      <c r="G220" s="1397"/>
      <c r="H220" s="1396"/>
      <c r="I220" s="1395"/>
      <c r="J220" s="1379"/>
      <c r="K220" s="1378"/>
      <c r="L220" s="1382"/>
      <c r="M220" s="1382"/>
      <c r="N220" s="1383"/>
      <c r="O220" s="1382"/>
      <c r="Q220" s="1380"/>
    </row>
    <row r="221" spans="2:17" s="1376" customFormat="1">
      <c r="B221" s="1400"/>
      <c r="C221" s="1399"/>
      <c r="D221" s="1397"/>
      <c r="E221" s="1397"/>
      <c r="F221" s="1398"/>
      <c r="G221" s="1397"/>
      <c r="H221" s="1396"/>
      <c r="I221" s="1395"/>
      <c r="J221" s="1379"/>
      <c r="K221" s="1378"/>
      <c r="L221" s="1382"/>
      <c r="M221" s="1382"/>
      <c r="N221" s="1383"/>
      <c r="O221" s="1382"/>
      <c r="Q221" s="1380"/>
    </row>
    <row r="222" spans="2:17" s="1376" customFormat="1">
      <c r="B222" s="1400"/>
      <c r="C222" s="1399"/>
      <c r="D222" s="1397"/>
      <c r="E222" s="1397"/>
      <c r="F222" s="1398"/>
      <c r="G222" s="1397"/>
      <c r="H222" s="1396"/>
      <c r="I222" s="1395"/>
      <c r="J222" s="1379"/>
      <c r="K222" s="1378"/>
      <c r="L222" s="1382"/>
      <c r="M222" s="1382"/>
      <c r="N222" s="1383"/>
      <c r="O222" s="1382"/>
      <c r="Q222" s="1380"/>
    </row>
    <row r="223" spans="2:17" s="1376" customFormat="1">
      <c r="B223" s="1400"/>
      <c r="C223" s="1399"/>
      <c r="D223" s="1397"/>
      <c r="E223" s="1397"/>
      <c r="F223" s="1398"/>
      <c r="G223" s="1397"/>
      <c r="H223" s="1396"/>
      <c r="I223" s="1395"/>
      <c r="J223" s="1379"/>
      <c r="K223" s="1378"/>
      <c r="L223" s="1382"/>
      <c r="M223" s="1382"/>
      <c r="N223" s="1383"/>
      <c r="O223" s="1382"/>
      <c r="Q223" s="1380"/>
    </row>
    <row r="224" spans="2:17" s="1376" customFormat="1">
      <c r="B224" s="1400"/>
      <c r="C224" s="1399"/>
      <c r="D224" s="1397"/>
      <c r="E224" s="1397"/>
      <c r="F224" s="1398"/>
      <c r="G224" s="1397"/>
      <c r="H224" s="1396"/>
      <c r="I224" s="1395"/>
      <c r="J224" s="1379"/>
      <c r="K224" s="1378"/>
      <c r="L224" s="1382"/>
      <c r="M224" s="1382"/>
      <c r="N224" s="1383"/>
      <c r="O224" s="1382"/>
      <c r="Q224" s="1380"/>
    </row>
    <row r="225" spans="2:9" s="1376" customFormat="1">
      <c r="B225" s="1400"/>
      <c r="C225" s="1399"/>
      <c r="D225" s="1397"/>
      <c r="E225" s="1397"/>
      <c r="F225" s="1398"/>
      <c r="G225" s="1397"/>
      <c r="H225" s="1396"/>
      <c r="I225" s="1395"/>
    </row>
    <row r="226" spans="2:9" s="1376" customFormat="1">
      <c r="B226" s="1400"/>
      <c r="C226" s="1399"/>
      <c r="D226" s="1397"/>
      <c r="E226" s="1397"/>
      <c r="F226" s="1398"/>
      <c r="G226" s="1397"/>
      <c r="H226" s="1396"/>
      <c r="I226" s="1395"/>
    </row>
    <row r="227" spans="2:9" s="1376" customFormat="1">
      <c r="B227" s="1394"/>
      <c r="C227" s="1393"/>
      <c r="D227" s="1391"/>
      <c r="E227" s="1391"/>
      <c r="F227" s="1392"/>
      <c r="G227" s="1391"/>
      <c r="H227" s="1390"/>
      <c r="I227" s="1389"/>
    </row>
    <row r="228" spans="2:9" s="1376" customFormat="1">
      <c r="B228" s="1378"/>
      <c r="C228" s="1378"/>
      <c r="D228" s="1382"/>
      <c r="E228" s="1382"/>
      <c r="F228" s="1383"/>
      <c r="G228" s="1382"/>
      <c r="I228" s="1380"/>
    </row>
    <row r="229" spans="2:9" s="1376" customFormat="1">
      <c r="B229" s="1405" t="s">
        <v>1203</v>
      </c>
      <c r="C229" s="1403"/>
      <c r="D229" s="1403"/>
      <c r="E229" s="1403"/>
      <c r="F229" s="1404"/>
      <c r="G229" s="1403"/>
      <c r="H229" s="1402"/>
      <c r="I229" s="1401"/>
    </row>
    <row r="230" spans="2:9" s="1376" customFormat="1">
      <c r="B230" s="1400"/>
      <c r="C230" s="1399"/>
      <c r="D230" s="1397"/>
      <c r="E230" s="1397"/>
      <c r="F230" s="1398"/>
      <c r="G230" s="1397"/>
      <c r="H230" s="1396"/>
      <c r="I230" s="1395"/>
    </row>
    <row r="231" spans="2:9" s="1376" customFormat="1">
      <c r="B231" s="1400"/>
      <c r="C231" s="1399"/>
      <c r="D231" s="1397"/>
      <c r="E231" s="1397"/>
      <c r="F231" s="1398"/>
      <c r="G231" s="1397"/>
      <c r="H231" s="1396"/>
      <c r="I231" s="1395"/>
    </row>
    <row r="232" spans="2:9" s="1376" customFormat="1">
      <c r="B232" s="1394"/>
      <c r="C232" s="1393"/>
      <c r="D232" s="1391"/>
      <c r="E232" s="1391"/>
      <c r="F232" s="1392"/>
      <c r="G232" s="1391"/>
      <c r="H232" s="1390"/>
      <c r="I232" s="1389"/>
    </row>
    <row r="233" spans="2:9" s="1376" customFormat="1">
      <c r="B233" s="1380"/>
      <c r="C233" s="1380"/>
      <c r="D233" s="1388"/>
      <c r="E233" s="1388"/>
      <c r="F233" s="1383"/>
      <c r="G233" s="1388"/>
      <c r="H233" s="1387"/>
      <c r="I233" s="1380"/>
    </row>
    <row r="234" spans="2:9" s="1376" customFormat="1">
      <c r="B234" s="1380"/>
      <c r="C234" s="1380"/>
      <c r="D234" s="1388"/>
      <c r="E234" s="1388"/>
      <c r="F234" s="1383"/>
      <c r="G234" s="1388"/>
      <c r="H234" s="1387"/>
      <c r="I234" s="1380"/>
    </row>
    <row r="235" spans="2:9" s="1376" customFormat="1">
      <c r="B235" s="1379"/>
      <c r="C235" s="1379"/>
      <c r="D235" s="1385"/>
      <c r="E235" s="1385"/>
      <c r="F235" s="1386"/>
      <c r="G235" s="1385"/>
      <c r="H235" s="1384"/>
      <c r="I235" s="1379"/>
    </row>
    <row r="236" spans="2:9" s="1376" customFormat="1">
      <c r="B236" s="1379"/>
      <c r="C236" s="1379"/>
      <c r="D236" s="1385"/>
      <c r="E236" s="1385"/>
      <c r="F236" s="1386"/>
      <c r="G236" s="1385"/>
      <c r="H236" s="1384"/>
      <c r="I236" s="1379"/>
    </row>
    <row r="237" spans="2:9" s="1376" customFormat="1">
      <c r="B237" s="1379"/>
      <c r="C237" s="1379"/>
      <c r="D237" s="1385"/>
      <c r="E237" s="1385"/>
      <c r="F237" s="1386"/>
      <c r="G237" s="1385"/>
      <c r="H237" s="1384"/>
      <c r="I237" s="1379"/>
    </row>
    <row r="238" spans="2:9" s="1376" customFormat="1">
      <c r="B238" s="1379"/>
      <c r="C238" s="1379"/>
      <c r="D238" s="1385"/>
      <c r="E238" s="1385"/>
      <c r="F238" s="1386"/>
      <c r="G238" s="1385"/>
      <c r="H238" s="1384"/>
      <c r="I238" s="1379"/>
    </row>
    <row r="239" spans="2:9" s="1376" customFormat="1">
      <c r="B239" s="1379"/>
      <c r="C239" s="1379"/>
      <c r="D239" s="1385"/>
      <c r="E239" s="1385"/>
      <c r="F239" s="1386"/>
      <c r="G239" s="1385"/>
      <c r="H239" s="1384"/>
      <c r="I239" s="1379"/>
    </row>
    <row r="240" spans="2:9" s="1376" customFormat="1">
      <c r="B240" s="1379"/>
      <c r="C240" s="1379"/>
      <c r="D240" s="1385"/>
      <c r="E240" s="1385"/>
      <c r="F240" s="1386"/>
      <c r="G240" s="1385"/>
      <c r="H240" s="1384"/>
      <c r="I240" s="1379"/>
    </row>
    <row r="241" spans="2:9" s="1376" customFormat="1">
      <c r="B241" s="1379"/>
      <c r="C241" s="1379"/>
      <c r="D241" s="1385"/>
      <c r="E241" s="1385"/>
      <c r="F241" s="1386"/>
      <c r="G241" s="1385"/>
      <c r="H241" s="1384"/>
      <c r="I241" s="1379"/>
    </row>
    <row r="242" spans="2:9">
      <c r="B242" s="1379"/>
      <c r="C242" s="1379"/>
      <c r="D242" s="1385"/>
      <c r="E242" s="1385"/>
      <c r="F242" s="1386"/>
      <c r="G242" s="1385"/>
      <c r="H242" s="1384"/>
      <c r="I242" s="1379"/>
    </row>
    <row r="243" spans="2:9" s="1376" customFormat="1">
      <c r="B243" s="1378"/>
      <c r="C243" s="1378"/>
      <c r="D243" s="1382"/>
      <c r="E243" s="1382"/>
      <c r="F243" s="1383"/>
      <c r="G243" s="1382"/>
      <c r="I243" s="1380"/>
    </row>
    <row r="244" spans="2:9" s="1376" customFormat="1">
      <c r="B244" s="1379"/>
      <c r="C244" s="1379"/>
      <c r="D244" s="1385"/>
      <c r="E244" s="1385"/>
      <c r="F244" s="1386"/>
      <c r="G244" s="1385"/>
      <c r="H244" s="1384"/>
      <c r="I244" s="1379"/>
    </row>
    <row r="245" spans="2:9" s="1376" customFormat="1">
      <c r="B245" s="1379"/>
      <c r="C245" s="1379"/>
      <c r="D245" s="1385"/>
      <c r="E245" s="1385"/>
      <c r="F245" s="1386"/>
      <c r="G245" s="1385"/>
      <c r="H245" s="1384"/>
      <c r="I245" s="1379"/>
    </row>
    <row r="246" spans="2:9" s="1376" customFormat="1">
      <c r="B246" s="1379"/>
      <c r="C246" s="1379"/>
      <c r="D246" s="1385"/>
      <c r="E246" s="1385"/>
      <c r="F246" s="1386"/>
      <c r="G246" s="1385"/>
      <c r="H246" s="1384"/>
      <c r="I246" s="1379"/>
    </row>
    <row r="247" spans="2:9">
      <c r="B247" s="1379"/>
      <c r="C247" s="1379"/>
      <c r="D247" s="1385"/>
      <c r="E247" s="1385"/>
      <c r="F247" s="1386"/>
      <c r="G247" s="1385"/>
      <c r="H247" s="1384"/>
      <c r="I247" s="1379"/>
    </row>
    <row r="248" spans="2:9">
      <c r="B248" s="1379"/>
      <c r="C248" s="1379"/>
      <c r="D248" s="1385"/>
      <c r="E248" s="1385"/>
      <c r="F248" s="1386"/>
      <c r="G248" s="1385"/>
      <c r="H248" s="1384"/>
      <c r="I248" s="1379"/>
    </row>
    <row r="249" spans="2:9">
      <c r="B249" s="1379"/>
      <c r="C249" s="1379"/>
      <c r="D249" s="1385"/>
      <c r="E249" s="1385"/>
      <c r="F249" s="1386"/>
      <c r="G249" s="1385"/>
      <c r="H249" s="1384"/>
      <c r="I249" s="1379"/>
    </row>
    <row r="250" spans="2:9">
      <c r="B250" s="1379"/>
      <c r="C250" s="1379"/>
      <c r="D250" s="1385"/>
      <c r="E250" s="1385"/>
      <c r="F250" s="1386"/>
      <c r="G250" s="1385"/>
      <c r="H250" s="1384"/>
      <c r="I250" s="1379"/>
    </row>
    <row r="251" spans="2:9">
      <c r="B251" s="1379"/>
      <c r="C251" s="1379"/>
      <c r="D251" s="1385"/>
      <c r="E251" s="1385"/>
      <c r="F251" s="1386"/>
      <c r="G251" s="1385"/>
      <c r="H251" s="1384"/>
      <c r="I251" s="1379"/>
    </row>
    <row r="252" spans="2:9">
      <c r="B252" s="1379"/>
      <c r="C252" s="1379"/>
      <c r="D252" s="1385"/>
      <c r="E252" s="1385"/>
      <c r="F252" s="1386"/>
      <c r="G252" s="1385"/>
      <c r="H252" s="1384"/>
      <c r="I252" s="1379"/>
    </row>
    <row r="253" spans="2:9">
      <c r="B253" s="1379"/>
      <c r="C253" s="1379"/>
      <c r="D253" s="1385"/>
      <c r="E253" s="1385"/>
      <c r="F253" s="1386"/>
      <c r="G253" s="1385"/>
      <c r="H253" s="1384"/>
      <c r="I253" s="1379"/>
    </row>
    <row r="254" spans="2:9">
      <c r="B254" s="1379"/>
      <c r="C254" s="1379"/>
      <c r="D254" s="1385"/>
      <c r="E254" s="1385"/>
      <c r="F254" s="1386"/>
      <c r="G254" s="1385"/>
      <c r="H254" s="1384"/>
      <c r="I254" s="1379"/>
    </row>
    <row r="255" spans="2:9">
      <c r="B255" s="1379"/>
      <c r="C255" s="1379"/>
      <c r="D255" s="1385"/>
      <c r="E255" s="1385"/>
      <c r="F255" s="1386"/>
      <c r="G255" s="1385"/>
      <c r="H255" s="1384"/>
      <c r="I255" s="1379"/>
    </row>
    <row r="256" spans="2:9">
      <c r="B256" s="1379"/>
      <c r="C256" s="1379"/>
      <c r="D256" s="1385"/>
      <c r="E256" s="1385"/>
      <c r="F256" s="1386"/>
      <c r="G256" s="1385"/>
      <c r="H256" s="1384"/>
      <c r="I256" s="1379"/>
    </row>
    <row r="257" spans="2:9">
      <c r="B257" s="1379"/>
      <c r="C257" s="1379"/>
      <c r="D257" s="1385"/>
      <c r="E257" s="1385"/>
      <c r="F257" s="1386"/>
      <c r="G257" s="1385"/>
      <c r="H257" s="1384"/>
      <c r="I257" s="1379"/>
    </row>
    <row r="258" spans="2:9">
      <c r="B258" s="1379"/>
      <c r="C258" s="1379"/>
      <c r="D258" s="1385"/>
      <c r="E258" s="1385"/>
      <c r="F258" s="1386"/>
      <c r="G258" s="1385"/>
      <c r="H258" s="1384"/>
      <c r="I258" s="1379"/>
    </row>
    <row r="259" spans="2:9">
      <c r="B259" s="1379"/>
      <c r="C259" s="1379"/>
      <c r="D259" s="1385"/>
      <c r="E259" s="1385"/>
      <c r="F259" s="1386"/>
      <c r="G259" s="1385"/>
      <c r="H259" s="1384"/>
      <c r="I259" s="1379"/>
    </row>
    <row r="261" spans="2:9">
      <c r="B261" s="1379"/>
      <c r="C261" s="1379"/>
      <c r="D261" s="1385"/>
      <c r="E261" s="1385"/>
      <c r="F261" s="1386"/>
      <c r="G261" s="1385"/>
      <c r="H261" s="1384"/>
      <c r="I261" s="1379"/>
    </row>
    <row r="262" spans="2:9">
      <c r="B262" s="1379"/>
      <c r="C262" s="1379"/>
      <c r="D262" s="1385"/>
      <c r="E262" s="1385"/>
      <c r="F262" s="1386"/>
      <c r="G262" s="1385"/>
      <c r="H262" s="1384"/>
      <c r="I262" s="1379"/>
    </row>
    <row r="263" spans="2:9">
      <c r="B263" s="1379"/>
      <c r="C263" s="1379"/>
      <c r="D263" s="1385"/>
      <c r="E263" s="1385"/>
      <c r="F263" s="1386"/>
      <c r="G263" s="1385"/>
      <c r="H263" s="1384"/>
      <c r="I263" s="1379"/>
    </row>
    <row r="264" spans="2:9">
      <c r="B264" s="1379"/>
      <c r="C264" s="1379"/>
      <c r="D264" s="1385"/>
      <c r="E264" s="1385"/>
      <c r="F264" s="1386"/>
      <c r="G264" s="1385"/>
      <c r="H264" s="1384"/>
      <c r="I264" s="1379"/>
    </row>
  </sheetData>
  <mergeCells count="8">
    <mergeCell ref="B1:I1"/>
    <mergeCell ref="V22:AA23"/>
    <mergeCell ref="K1:Q1"/>
    <mergeCell ref="S1:U1"/>
    <mergeCell ref="K12:Q12"/>
    <mergeCell ref="S12:U12"/>
    <mergeCell ref="V14:AA15"/>
    <mergeCell ref="L15:P1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8"/>
  <sheetViews>
    <sheetView workbookViewId="0">
      <selection activeCell="A4" sqref="A4:XFD4"/>
    </sheetView>
  </sheetViews>
  <sheetFormatPr defaultRowHeight="18"/>
  <cols>
    <col min="1" max="16384" width="8.88671875" style="2706"/>
  </cols>
  <sheetData>
    <row r="1" spans="1:1">
      <c r="A1" s="2705" t="s">
        <v>1696</v>
      </c>
    </row>
    <row r="2" spans="1:1">
      <c r="A2" s="2707" t="s">
        <v>1697</v>
      </c>
    </row>
    <row r="3" spans="1:1">
      <c r="A3" s="2705" t="s">
        <v>1702</v>
      </c>
    </row>
    <row r="4" spans="1:1">
      <c r="A4" s="2705"/>
    </row>
    <row r="5" spans="1:1">
      <c r="A5" s="2705" t="s">
        <v>1698</v>
      </c>
    </row>
    <row r="6" spans="1:1">
      <c r="A6" s="2705" t="s">
        <v>1699</v>
      </c>
    </row>
    <row r="7" spans="1:1">
      <c r="A7" s="2705" t="s">
        <v>1700</v>
      </c>
    </row>
    <row r="8" spans="1:1">
      <c r="A8" s="2705" t="s">
        <v>1701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1"/>
  <sheetViews>
    <sheetView workbookViewId="0">
      <selection activeCell="B2" sqref="B2:F11"/>
    </sheetView>
  </sheetViews>
  <sheetFormatPr defaultRowHeight="13.2"/>
  <cols>
    <col min="1" max="1" width="1.77734375" customWidth="1"/>
    <col min="2" max="7" width="12.77734375" customWidth="1"/>
    <col min="8" max="8" width="1.77734375" customWidth="1"/>
    <col min="9" max="10" width="12.77734375" customWidth="1"/>
  </cols>
  <sheetData>
    <row r="1" spans="1:9" ht="13.8" thickBot="1">
      <c r="A1" s="2582"/>
    </row>
    <row r="2" spans="1:9">
      <c r="A2" s="2583"/>
      <c r="B2" s="2804" t="s">
        <v>1494</v>
      </c>
      <c r="C2" s="2805"/>
      <c r="D2" s="2587" t="s">
        <v>1694</v>
      </c>
      <c r="E2" s="2804" t="s">
        <v>1693</v>
      </c>
      <c r="F2" s="2805"/>
    </row>
    <row r="3" spans="1:9">
      <c r="A3" s="2584"/>
      <c r="B3" s="2588" t="s">
        <v>1689</v>
      </c>
      <c r="C3" s="2586">
        <f>290.85*1.25</f>
        <v>363.5625</v>
      </c>
      <c r="D3" s="2586">
        <v>149</v>
      </c>
      <c r="E3" s="2588" t="s">
        <v>1689</v>
      </c>
      <c r="F3" s="2586">
        <f>290.85*1.25</f>
        <v>363.5625</v>
      </c>
    </row>
    <row r="4" spans="1:9">
      <c r="A4" s="2584"/>
      <c r="B4" s="2589" t="s">
        <v>1690</v>
      </c>
      <c r="C4" s="2590">
        <f>811.04*1.25</f>
        <v>1013.8</v>
      </c>
      <c r="D4" s="2591"/>
      <c r="E4" s="2589" t="s">
        <v>1690</v>
      </c>
      <c r="F4" s="2590">
        <f>811.04*1.25</f>
        <v>1013.8</v>
      </c>
    </row>
    <row r="5" spans="1:9">
      <c r="A5" s="2584"/>
      <c r="B5" s="2588" t="s">
        <v>1691</v>
      </c>
      <c r="C5" s="2586">
        <f>905*1.25</f>
        <v>1131.25</v>
      </c>
      <c r="D5" s="2592">
        <v>650</v>
      </c>
      <c r="E5" s="2588" t="s">
        <v>1691</v>
      </c>
      <c r="F5" s="2586">
        <f>905*1.25</f>
        <v>1131.25</v>
      </c>
    </row>
    <row r="6" spans="1:9">
      <c r="A6" s="2584"/>
      <c r="B6" s="2593" t="s">
        <v>821</v>
      </c>
      <c r="C6" s="2592">
        <f>1128.75*1.25</f>
        <v>1410.9375</v>
      </c>
      <c r="D6" s="2592">
        <v>1140</v>
      </c>
      <c r="E6" s="2593" t="s">
        <v>821</v>
      </c>
      <c r="F6" s="2592">
        <f>1128.75*1.25</f>
        <v>1410.9375</v>
      </c>
    </row>
    <row r="7" spans="1:9">
      <c r="A7" s="2584"/>
      <c r="B7" s="2589" t="s">
        <v>1690</v>
      </c>
      <c r="C7" s="2590">
        <f>1665.66*1.25</f>
        <v>2082.0750000000003</v>
      </c>
      <c r="D7" s="2591"/>
      <c r="E7" s="2589" t="s">
        <v>1690</v>
      </c>
      <c r="F7" s="2590">
        <f>1665.66*1.25</f>
        <v>2082.0750000000003</v>
      </c>
    </row>
    <row r="8" spans="1:9">
      <c r="A8" s="2584"/>
      <c r="B8" s="2588" t="s">
        <v>1692</v>
      </c>
      <c r="C8" s="2586">
        <v>6500</v>
      </c>
      <c r="D8" s="2592">
        <v>2068</v>
      </c>
      <c r="E8" s="2588" t="s">
        <v>1692</v>
      </c>
      <c r="F8" s="2586">
        <v>2068</v>
      </c>
    </row>
    <row r="9" spans="1:9">
      <c r="A9" s="2584"/>
      <c r="B9" s="2593" t="s">
        <v>1638</v>
      </c>
      <c r="C9" s="2592">
        <f>1240*1.25</f>
        <v>1550</v>
      </c>
      <c r="D9" s="2592">
        <v>171</v>
      </c>
      <c r="E9" s="2593" t="s">
        <v>1638</v>
      </c>
      <c r="F9" s="2592">
        <v>171</v>
      </c>
    </row>
    <row r="10" spans="1:9" ht="13.8" thickBot="1">
      <c r="A10" s="2584"/>
      <c r="B10" s="2593" t="s">
        <v>1690</v>
      </c>
      <c r="C10" s="2592">
        <f>6*492</f>
        <v>2952</v>
      </c>
      <c r="D10" s="2594"/>
      <c r="E10" s="2593"/>
      <c r="F10" s="2592"/>
    </row>
    <row r="11" spans="1:9" ht="13.8" thickBot="1">
      <c r="A11" s="2584"/>
      <c r="B11" s="2595"/>
      <c r="C11" s="2596">
        <f>SUM(C3:C10)</f>
        <v>17003.625</v>
      </c>
      <c r="D11" s="2597"/>
      <c r="E11" s="2595"/>
      <c r="F11" s="2596">
        <f>SUM(F3:F10)</f>
        <v>8240.625</v>
      </c>
    </row>
    <row r="12" spans="1:9">
      <c r="A12" s="2585"/>
      <c r="B12" s="2580"/>
      <c r="C12" s="2580"/>
      <c r="D12" s="2580"/>
      <c r="E12" s="2580"/>
      <c r="F12" s="2580"/>
      <c r="H12" s="2580"/>
      <c r="I12" s="2580"/>
    </row>
    <row r="13" spans="1:9">
      <c r="A13" s="2582"/>
    </row>
    <row r="14" spans="1:9">
      <c r="A14" s="2582"/>
    </row>
    <row r="15" spans="1:9">
      <c r="A15" s="2582"/>
    </row>
    <row r="16" spans="1:9">
      <c r="A16" s="2582"/>
    </row>
    <row r="17" spans="1:1">
      <c r="A17" s="2582"/>
    </row>
    <row r="18" spans="1:1">
      <c r="A18" s="2582"/>
    </row>
    <row r="19" spans="1:1">
      <c r="A19" s="2582"/>
    </row>
    <row r="20" spans="1:1">
      <c r="A20" s="2582"/>
    </row>
    <row r="21" spans="1:1">
      <c r="A21" s="2582"/>
    </row>
  </sheetData>
  <mergeCells count="2">
    <mergeCell ref="E2:F2"/>
    <mergeCell ref="B2:C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S43"/>
  <sheetViews>
    <sheetView workbookViewId="0">
      <pane ySplit="4" topLeftCell="A5" activePane="bottomLeft" state="frozen"/>
      <selection pane="bottomLeft" activeCell="L9" sqref="L9"/>
    </sheetView>
  </sheetViews>
  <sheetFormatPr defaultColWidth="9.109375" defaultRowHeight="13.2"/>
  <cols>
    <col min="1" max="1" width="10.33203125" style="2247" customWidth="1"/>
    <col min="2" max="2" width="6.21875" style="967" customWidth="1"/>
    <col min="3" max="3" width="9.6640625" style="971" customWidth="1"/>
    <col min="4" max="4" width="7.77734375" style="970" customWidth="1"/>
    <col min="5" max="5" width="9.6640625" style="970" customWidth="1"/>
    <col min="6" max="6" width="7.77734375" style="970" customWidth="1"/>
    <col min="7" max="7" width="12.21875" style="970" customWidth="1"/>
    <col min="8" max="8" width="7.77734375" style="970" customWidth="1"/>
    <col min="9" max="9" width="9.6640625" style="970" customWidth="1"/>
    <col min="10" max="10" width="6.77734375" style="970" customWidth="1"/>
    <col min="11" max="11" width="8" style="970" customWidth="1"/>
    <col min="12" max="12" width="9.6640625" style="970" customWidth="1"/>
    <col min="13" max="13" width="9.6640625" style="970" hidden="1" customWidth="1"/>
    <col min="14" max="16" width="9.6640625" style="970" customWidth="1"/>
    <col min="17" max="17" width="1" style="968" customWidth="1"/>
    <col min="18" max="18" width="10.6640625" style="970" customWidth="1"/>
    <col min="19" max="28" width="9.6640625" style="970" customWidth="1"/>
    <col min="29" max="30" width="9.6640625" style="969" customWidth="1"/>
    <col min="31" max="31" width="1" style="968" customWidth="1"/>
    <col min="32" max="40" width="8.5546875" style="967" customWidth="1"/>
    <col min="41" max="41" width="1" style="968" customWidth="1"/>
    <col min="46" max="16384" width="9.109375" style="967"/>
  </cols>
  <sheetData>
    <row r="1" spans="1:41" ht="12.6" customHeight="1">
      <c r="A1" s="2808" t="s">
        <v>1117</v>
      </c>
      <c r="B1" s="2809"/>
      <c r="C1" s="2809"/>
      <c r="D1" s="2809"/>
      <c r="E1" s="2809"/>
      <c r="F1" s="2809"/>
      <c r="G1" s="2809"/>
      <c r="H1" s="2810"/>
      <c r="I1" s="2216"/>
      <c r="J1" s="2216"/>
      <c r="K1" s="2216"/>
      <c r="L1" s="2216"/>
      <c r="M1" s="2216"/>
      <c r="N1" s="2216"/>
      <c r="O1" s="2216"/>
      <c r="P1" s="2216"/>
      <c r="Q1" s="2202"/>
      <c r="R1" s="2380">
        <f ca="1">TODAY()</f>
        <v>45428</v>
      </c>
      <c r="S1" s="2226" t="s">
        <v>94</v>
      </c>
      <c r="T1" s="2227" t="s">
        <v>93</v>
      </c>
      <c r="U1" s="2226" t="s">
        <v>92</v>
      </c>
      <c r="V1" s="2228" t="s">
        <v>91</v>
      </c>
      <c r="W1" s="2228" t="s">
        <v>90</v>
      </c>
      <c r="X1" s="2228" t="s">
        <v>89</v>
      </c>
      <c r="Y1" s="2228" t="s">
        <v>88</v>
      </c>
      <c r="Z1" s="2228" t="s">
        <v>87</v>
      </c>
      <c r="AA1" s="2228" t="s">
        <v>86</v>
      </c>
      <c r="AB1" s="2228" t="s">
        <v>85</v>
      </c>
      <c r="AC1" s="2228" t="s">
        <v>84</v>
      </c>
      <c r="AD1" s="2228" t="s">
        <v>83</v>
      </c>
      <c r="AE1" s="2202"/>
      <c r="AF1" s="2208"/>
      <c r="AG1" s="2208"/>
      <c r="AH1" s="2208"/>
      <c r="AI1" s="2208"/>
      <c r="AJ1" s="2208"/>
      <c r="AK1" s="2208"/>
      <c r="AL1" s="2208"/>
      <c r="AM1" s="2208"/>
      <c r="AN1" s="2208"/>
      <c r="AO1" s="2202"/>
    </row>
    <row r="2" spans="1:41" s="1773" customFormat="1" ht="12.6" customHeight="1">
      <c r="A2" s="2394">
        <v>1020</v>
      </c>
      <c r="B2" s="2395">
        <v>0.5</v>
      </c>
      <c r="C2" s="2394">
        <v>1705</v>
      </c>
      <c r="D2" s="2395">
        <v>0.75</v>
      </c>
      <c r="E2" s="2394">
        <v>3700</v>
      </c>
      <c r="F2" s="2395">
        <v>0.85</v>
      </c>
      <c r="G2" s="2394">
        <v>20091</v>
      </c>
      <c r="H2" s="2395">
        <v>1</v>
      </c>
      <c r="I2" s="2217" t="s">
        <v>1572</v>
      </c>
      <c r="J2" s="2218"/>
      <c r="K2" s="2218">
        <v>854.05</v>
      </c>
      <c r="L2" s="2219" t="s">
        <v>1571</v>
      </c>
      <c r="M2" s="2220"/>
      <c r="N2" s="2221">
        <v>45716</v>
      </c>
      <c r="O2" s="2222">
        <f>IF(K2&gt;$E$2,3,IF(K2&gt;$C$2,2,IF(K2&gt;$A$2,1,0)))</f>
        <v>0</v>
      </c>
      <c r="P2" s="2223">
        <f>IF(O2=0,0,IF(O2=1,0.5,IF(O2=2,0.75,0.85)))</f>
        <v>0</v>
      </c>
      <c r="Q2" s="2203"/>
      <c r="R2" s="2241"/>
      <c r="S2" s="2241"/>
      <c r="T2" s="2241"/>
      <c r="U2" s="2241"/>
      <c r="V2" s="2241"/>
      <c r="W2" s="2241"/>
      <c r="X2" s="2241">
        <f>X4-X3</f>
        <v>-3477.65</v>
      </c>
      <c r="Y2" s="2241"/>
      <c r="Z2" s="2241"/>
      <c r="AA2" s="2241"/>
      <c r="AB2" s="2241"/>
      <c r="AC2" s="2241"/>
      <c r="AD2" s="2241"/>
      <c r="AE2" s="2203"/>
      <c r="AF2" s="2224"/>
      <c r="AG2" s="2208"/>
      <c r="AH2" s="2208"/>
      <c r="AI2" s="2208"/>
      <c r="AJ2" s="2208"/>
      <c r="AK2" s="2208"/>
      <c r="AL2" s="2208"/>
      <c r="AM2" s="2208"/>
      <c r="AN2" s="2208"/>
      <c r="AO2" s="2203"/>
    </row>
    <row r="3" spans="1:41" s="1773" customFormat="1" ht="12.6" customHeight="1">
      <c r="A3" s="2806" t="s">
        <v>254</v>
      </c>
      <c r="B3" s="2807"/>
      <c r="C3" s="2807"/>
      <c r="D3" s="2807"/>
      <c r="E3" s="2807"/>
      <c r="F3" s="2807"/>
      <c r="G3" s="2807"/>
      <c r="H3" s="2807"/>
      <c r="I3" s="2807"/>
      <c r="J3" s="2807"/>
      <c r="K3" s="2807"/>
      <c r="L3" s="2324"/>
      <c r="M3" s="2324"/>
      <c r="N3" s="2324"/>
      <c r="O3" s="2324"/>
      <c r="P3" s="2244">
        <f>SUM(P5:P29)</f>
        <v>0</v>
      </c>
      <c r="Q3" s="2200"/>
      <c r="R3" s="2242"/>
      <c r="S3" s="2242"/>
      <c r="T3" s="2242"/>
      <c r="U3" s="2243"/>
      <c r="V3" s="2243"/>
      <c r="W3" s="2243"/>
      <c r="X3" s="2243">
        <f>$E$2-U2-U3-V3-W3</f>
        <v>3700</v>
      </c>
      <c r="Y3" s="2243"/>
      <c r="Z3" s="2243"/>
      <c r="AA3" s="2243"/>
      <c r="AB3" s="2243"/>
      <c r="AC3" s="2243"/>
      <c r="AD3" s="2243"/>
      <c r="AE3" s="2200"/>
      <c r="AF3" s="2222">
        <f ca="1">$I$5*$H$5</f>
        <v>7.4227405247813412</v>
      </c>
      <c r="AG3" s="2225"/>
      <c r="AH3" s="2225"/>
      <c r="AI3" s="2225"/>
      <c r="AJ3" s="2225"/>
      <c r="AK3" s="2225"/>
      <c r="AL3" s="2225"/>
      <c r="AM3" s="2225"/>
      <c r="AN3" s="2225"/>
      <c r="AO3" s="2200"/>
    </row>
    <row r="4" spans="1:41" s="972" customFormat="1" ht="13.8" customHeight="1">
      <c r="A4" s="2215">
        <f ca="1">TODAY()</f>
        <v>45428</v>
      </c>
      <c r="B4" s="2212" t="s">
        <v>1192</v>
      </c>
      <c r="C4" s="2231" t="s">
        <v>1573</v>
      </c>
      <c r="D4" s="2231"/>
      <c r="E4" s="2231"/>
      <c r="F4" s="2231"/>
      <c r="G4" s="2231"/>
      <c r="H4" s="2231" t="s">
        <v>1574</v>
      </c>
      <c r="I4" s="2231" t="s">
        <v>424</v>
      </c>
      <c r="J4" s="2231" t="s">
        <v>1115</v>
      </c>
      <c r="K4" s="2231" t="s">
        <v>1576</v>
      </c>
      <c r="L4" s="2232" t="s">
        <v>1113</v>
      </c>
      <c r="M4" s="2232" t="s">
        <v>1116</v>
      </c>
      <c r="N4" s="2232" t="s">
        <v>1116</v>
      </c>
      <c r="O4" s="2232" t="s">
        <v>1548</v>
      </c>
      <c r="P4" s="2232" t="s">
        <v>1575</v>
      </c>
      <c r="Q4" s="2197"/>
      <c r="R4" s="2244"/>
      <c r="S4" s="2244">
        <f t="shared" ref="S4:Z4" si="0">SUM(S5:S32)</f>
        <v>170.3</v>
      </c>
      <c r="T4" s="2244">
        <f t="shared" si="0"/>
        <v>1607</v>
      </c>
      <c r="U4" s="2244">
        <f t="shared" si="0"/>
        <v>170.3</v>
      </c>
      <c r="V4" s="2244">
        <f t="shared" si="0"/>
        <v>729.65</v>
      </c>
      <c r="W4" s="2244">
        <f t="shared" si="0"/>
        <v>1614.8500000000001</v>
      </c>
      <c r="X4" s="2244">
        <f t="shared" si="0"/>
        <v>222.35000000000002</v>
      </c>
      <c r="Y4" s="2244">
        <f t="shared" si="0"/>
        <v>483.00000000000006</v>
      </c>
      <c r="Z4" s="2244">
        <f t="shared" si="0"/>
        <v>297.14999999999998</v>
      </c>
      <c r="AA4" s="2244">
        <f t="shared" ref="AA4:AD4" si="1">SUM(AA5:AA32)</f>
        <v>1692.25</v>
      </c>
      <c r="AB4" s="2244">
        <f t="shared" si="1"/>
        <v>174.7</v>
      </c>
      <c r="AC4" s="2244">
        <f t="shared" si="1"/>
        <v>447.8</v>
      </c>
      <c r="AD4" s="2244">
        <f t="shared" si="1"/>
        <v>1676.4</v>
      </c>
      <c r="AE4" s="2197"/>
      <c r="AF4" s="2225"/>
      <c r="AG4" s="2225"/>
      <c r="AH4" s="2225"/>
      <c r="AI4" s="2225"/>
      <c r="AJ4" s="2225"/>
      <c r="AK4" s="2225"/>
      <c r="AL4" s="2225"/>
      <c r="AM4" s="2225"/>
      <c r="AN4" s="2225"/>
      <c r="AO4" s="2197"/>
    </row>
    <row r="5" spans="1:41" s="972" customFormat="1" ht="13.8">
      <c r="A5" s="2246">
        <v>45230</v>
      </c>
      <c r="B5" s="2233">
        <f ca="1">($A$4-A5)/7</f>
        <v>28.285714285714285</v>
      </c>
      <c r="C5" s="2234">
        <f>2*14</f>
        <v>28</v>
      </c>
      <c r="D5" s="2306" t="s">
        <v>1577</v>
      </c>
      <c r="E5" s="2234"/>
      <c r="F5" s="2234"/>
      <c r="G5" s="2234"/>
      <c r="H5" s="2238">
        <f>1/7</f>
        <v>0.14285714285714285</v>
      </c>
      <c r="I5" s="2233">
        <f ca="1">C5-(B5*H5)+28</f>
        <v>51.95918367346939</v>
      </c>
      <c r="J5" s="2307">
        <v>1</v>
      </c>
      <c r="K5" s="2307"/>
      <c r="L5" s="2308">
        <v>39.5</v>
      </c>
      <c r="M5" s="2308" t="e">
        <f>L5*#REF!</f>
        <v>#REF!</v>
      </c>
      <c r="N5" s="2308">
        <f t="shared" ref="N5:N20" si="2">L5*$P$2</f>
        <v>0</v>
      </c>
      <c r="O5" s="2308">
        <f t="shared" ref="O5:O24" si="3">$L5-$N5</f>
        <v>39.5</v>
      </c>
      <c r="P5" s="2309">
        <f t="shared" ref="P5:P29" si="4">K5*O5</f>
        <v>0</v>
      </c>
      <c r="Q5" s="2198"/>
      <c r="R5" s="2246">
        <f t="shared" ref="R5:R29" ca="1" si="5">$R$1+($I5/$H5)</f>
        <v>45791.714285714283</v>
      </c>
      <c r="S5" s="2393"/>
      <c r="T5" s="2308"/>
      <c r="U5" s="2205"/>
      <c r="V5" s="2205"/>
      <c r="W5" s="2205"/>
      <c r="X5" s="2205"/>
      <c r="Y5" s="2205"/>
      <c r="Z5" s="2205"/>
      <c r="AA5" s="2205"/>
      <c r="AB5" s="2205"/>
      <c r="AC5" s="2205"/>
      <c r="AD5" s="2205"/>
      <c r="AE5" s="2198"/>
      <c r="AF5" s="2206">
        <v>45698</v>
      </c>
      <c r="AG5" s="2239">
        <f>AF5+($C$5/$H$5)</f>
        <v>45894</v>
      </c>
      <c r="AH5" s="2239">
        <f t="shared" ref="AH5:AJ5" si="6">AG5+($C$5/$H$5)</f>
        <v>46090</v>
      </c>
      <c r="AI5" s="2239">
        <f t="shared" si="6"/>
        <v>46286</v>
      </c>
      <c r="AJ5" s="2239">
        <f t="shared" si="6"/>
        <v>46482</v>
      </c>
      <c r="AK5" s="2239">
        <f t="shared" ref="AK5:AN5" si="7">AJ5+($C$5/$H$5)</f>
        <v>46678</v>
      </c>
      <c r="AL5" s="2239">
        <f t="shared" si="7"/>
        <v>46874</v>
      </c>
      <c r="AM5" s="2239">
        <f t="shared" si="7"/>
        <v>47070</v>
      </c>
      <c r="AN5" s="2239">
        <f t="shared" si="7"/>
        <v>47266</v>
      </c>
      <c r="AO5" s="2198"/>
    </row>
    <row r="6" spans="1:41" s="972" customFormat="1" ht="13.8">
      <c r="A6" s="2246">
        <v>45230</v>
      </c>
      <c r="B6" s="2233">
        <f t="shared" ref="B6:B32" ca="1" si="8">$A$4-A6</f>
        <v>198</v>
      </c>
      <c r="C6" s="2234">
        <f>2*120</f>
        <v>240</v>
      </c>
      <c r="D6" s="2306" t="s">
        <v>1549</v>
      </c>
      <c r="E6" s="2234"/>
      <c r="F6" s="2234"/>
      <c r="G6" s="2234"/>
      <c r="H6" s="2233">
        <v>1</v>
      </c>
      <c r="I6" s="2233">
        <f ca="1">C6-(B6*H6)+380</f>
        <v>422</v>
      </c>
      <c r="J6" s="2307">
        <v>1</v>
      </c>
      <c r="K6" s="2307"/>
      <c r="L6" s="2308">
        <v>70.400000000000006</v>
      </c>
      <c r="M6" s="2308" t="e">
        <f>L6*#REF!</f>
        <v>#REF!</v>
      </c>
      <c r="N6" s="2308">
        <f t="shared" si="2"/>
        <v>0</v>
      </c>
      <c r="O6" s="2308">
        <f t="shared" si="3"/>
        <v>70.400000000000006</v>
      </c>
      <c r="P6" s="2309">
        <f t="shared" si="4"/>
        <v>0</v>
      </c>
      <c r="Q6" s="2198"/>
      <c r="R6" s="2246">
        <f t="shared" ca="1" si="5"/>
        <v>45850</v>
      </c>
      <c r="S6" s="2393"/>
      <c r="T6" s="2308"/>
      <c r="U6" s="2205"/>
      <c r="V6" s="2205"/>
      <c r="W6" s="2205"/>
      <c r="X6" s="2205"/>
      <c r="Y6" s="2205"/>
      <c r="Z6" s="2205"/>
      <c r="AA6" s="2205"/>
      <c r="AB6" s="2205"/>
      <c r="AC6" s="2205"/>
      <c r="AD6" s="2205"/>
      <c r="AE6" s="2198"/>
      <c r="AF6" s="2206">
        <v>45848</v>
      </c>
      <c r="AG6" s="2239">
        <f>AF6+$C$6/$H$6</f>
        <v>46088</v>
      </c>
      <c r="AH6" s="2239">
        <f t="shared" ref="AH6:AJ6" si="9">AG6+$C$6/$H$6</f>
        <v>46328</v>
      </c>
      <c r="AI6" s="2239">
        <f t="shared" si="9"/>
        <v>46568</v>
      </c>
      <c r="AJ6" s="2239">
        <f t="shared" si="9"/>
        <v>46808</v>
      </c>
      <c r="AK6" s="2239">
        <f t="shared" ref="AK6:AN6" si="10">AJ6+$C$6/$H$6</f>
        <v>47048</v>
      </c>
      <c r="AL6" s="2239">
        <f t="shared" si="10"/>
        <v>47288</v>
      </c>
      <c r="AM6" s="2239">
        <f t="shared" si="10"/>
        <v>47528</v>
      </c>
      <c r="AN6" s="2239">
        <f t="shared" si="10"/>
        <v>47768</v>
      </c>
      <c r="AO6" s="2198"/>
    </row>
    <row r="7" spans="1:41" s="972" customFormat="1" ht="13.8">
      <c r="A7" s="2246">
        <v>45230</v>
      </c>
      <c r="B7" s="2233">
        <f t="shared" ca="1" si="8"/>
        <v>198</v>
      </c>
      <c r="C7" s="2234">
        <v>100</v>
      </c>
      <c r="D7" s="2306" t="s">
        <v>1550</v>
      </c>
      <c r="E7" s="2234"/>
      <c r="F7" s="2234"/>
      <c r="G7" s="2234"/>
      <c r="H7" s="2233">
        <v>1</v>
      </c>
      <c r="I7" s="2233">
        <f ca="1">C7-(B7*H7)+244</f>
        <v>146</v>
      </c>
      <c r="J7" s="2307">
        <v>1</v>
      </c>
      <c r="K7" s="2307"/>
      <c r="L7" s="2308">
        <v>32.65</v>
      </c>
      <c r="M7" s="2308" t="e">
        <f>L7*#REF!</f>
        <v>#REF!</v>
      </c>
      <c r="N7" s="2308">
        <f t="shared" si="2"/>
        <v>0</v>
      </c>
      <c r="O7" s="2308">
        <f t="shared" si="3"/>
        <v>32.65</v>
      </c>
      <c r="P7" s="2309">
        <f t="shared" si="4"/>
        <v>0</v>
      </c>
      <c r="Q7" s="2198"/>
      <c r="R7" s="2246">
        <f t="shared" ca="1" si="5"/>
        <v>45574</v>
      </c>
      <c r="S7" s="2393"/>
      <c r="T7" s="2308"/>
      <c r="U7" s="2205"/>
      <c r="V7" s="2205"/>
      <c r="W7" s="2205"/>
      <c r="X7" s="2205"/>
      <c r="Y7" s="2205"/>
      <c r="Z7" s="2205"/>
      <c r="AA7" s="2205"/>
      <c r="AB7" s="2205">
        <f>$L$7</f>
        <v>32.65</v>
      </c>
      <c r="AC7" s="2205"/>
      <c r="AD7" s="2205"/>
      <c r="AE7" s="2198"/>
      <c r="AF7" s="2206">
        <v>45572</v>
      </c>
      <c r="AG7" s="2239">
        <f>AF7+$C$7/$H$7</f>
        <v>45672</v>
      </c>
      <c r="AH7" s="2239">
        <f t="shared" ref="AH7:AJ7" si="11">AG7+$C$7/$H$7</f>
        <v>45772</v>
      </c>
      <c r="AI7" s="2239">
        <f t="shared" si="11"/>
        <v>45872</v>
      </c>
      <c r="AJ7" s="2239">
        <f t="shared" si="11"/>
        <v>45972</v>
      </c>
      <c r="AK7" s="2239">
        <f t="shared" ref="AK7:AN7" si="12">AJ7+$C$7/$H$7</f>
        <v>46072</v>
      </c>
      <c r="AL7" s="2239">
        <f t="shared" si="12"/>
        <v>46172</v>
      </c>
      <c r="AM7" s="2239">
        <f t="shared" si="12"/>
        <v>46272</v>
      </c>
      <c r="AN7" s="2239">
        <f t="shared" si="12"/>
        <v>46372</v>
      </c>
      <c r="AO7" s="2198"/>
    </row>
    <row r="8" spans="1:41" s="972" customFormat="1" ht="13.8">
      <c r="A8" s="2246">
        <v>45296</v>
      </c>
      <c r="B8" s="2233">
        <f t="shared" ca="1" si="8"/>
        <v>132</v>
      </c>
      <c r="C8" s="2233">
        <v>200</v>
      </c>
      <c r="D8" s="2306" t="s">
        <v>1110</v>
      </c>
      <c r="E8" s="2234"/>
      <c r="F8" s="2234"/>
      <c r="G8" s="2234"/>
      <c r="H8" s="2233">
        <v>1</v>
      </c>
      <c r="I8" s="2233">
        <f t="shared" ref="I8:I32" ca="1" si="13">C8-(B8*H8)</f>
        <v>68</v>
      </c>
      <c r="J8" s="2307"/>
      <c r="K8" s="2307"/>
      <c r="L8" s="2308">
        <v>112.85</v>
      </c>
      <c r="M8" s="2308" t="e">
        <f>L8*#REF!</f>
        <v>#REF!</v>
      </c>
      <c r="N8" s="2308">
        <f t="shared" si="2"/>
        <v>0</v>
      </c>
      <c r="O8" s="2308">
        <f t="shared" si="3"/>
        <v>112.85</v>
      </c>
      <c r="P8" s="2309">
        <f t="shared" si="4"/>
        <v>0</v>
      </c>
      <c r="Q8" s="2198"/>
      <c r="R8" s="2246">
        <f t="shared" ca="1" si="5"/>
        <v>45496</v>
      </c>
      <c r="S8" s="2393"/>
      <c r="T8" s="2308"/>
      <c r="U8" s="2205"/>
      <c r="V8" s="2205"/>
      <c r="W8" s="2205"/>
      <c r="X8" s="2205"/>
      <c r="Y8" s="2205">
        <f>$L$8</f>
        <v>112.85</v>
      </c>
      <c r="Z8" s="2205"/>
      <c r="AA8" s="2205"/>
      <c r="AB8" s="2205"/>
      <c r="AC8" s="2205"/>
      <c r="AD8" s="2205">
        <f>$L$8</f>
        <v>112.85</v>
      </c>
      <c r="AE8" s="2198"/>
      <c r="AF8" s="2206">
        <v>45428</v>
      </c>
      <c r="AG8" s="2239">
        <f>AF8+$C$8/$H$8</f>
        <v>45628</v>
      </c>
      <c r="AH8" s="2239">
        <f t="shared" ref="AH8:AJ8" si="14">AG8+$C$8/$H$8</f>
        <v>45828</v>
      </c>
      <c r="AI8" s="2239">
        <f t="shared" si="14"/>
        <v>46028</v>
      </c>
      <c r="AJ8" s="2239">
        <f t="shared" si="14"/>
        <v>46228</v>
      </c>
      <c r="AK8" s="2239">
        <f t="shared" ref="AK8:AN8" si="15">AJ8+$C$8/$H$8</f>
        <v>46428</v>
      </c>
      <c r="AL8" s="2239">
        <f t="shared" si="15"/>
        <v>46628</v>
      </c>
      <c r="AM8" s="2239">
        <f t="shared" si="15"/>
        <v>46828</v>
      </c>
      <c r="AN8" s="2239">
        <f t="shared" si="15"/>
        <v>47028</v>
      </c>
      <c r="AO8" s="2198"/>
    </row>
    <row r="9" spans="1:41" s="972" customFormat="1" ht="13.8">
      <c r="A9" s="2246">
        <v>45323</v>
      </c>
      <c r="B9" s="2233">
        <f t="shared" ca="1" si="8"/>
        <v>105</v>
      </c>
      <c r="C9" s="2234">
        <v>100</v>
      </c>
      <c r="D9" s="2306" t="s">
        <v>1551</v>
      </c>
      <c r="E9" s="2234"/>
      <c r="F9" s="2234"/>
      <c r="G9" s="2234"/>
      <c r="H9" s="2233">
        <v>1</v>
      </c>
      <c r="I9" s="2233">
        <f ca="1">C9-(B9*H9)+162</f>
        <v>157</v>
      </c>
      <c r="J9" s="2307"/>
      <c r="K9" s="2307"/>
      <c r="L9" s="2308">
        <v>40.85</v>
      </c>
      <c r="M9" s="2308" t="e">
        <f>L9*#REF!</f>
        <v>#REF!</v>
      </c>
      <c r="N9" s="2308">
        <f t="shared" si="2"/>
        <v>0</v>
      </c>
      <c r="O9" s="2308">
        <f t="shared" si="3"/>
        <v>40.85</v>
      </c>
      <c r="P9" s="2309">
        <f t="shared" si="4"/>
        <v>0</v>
      </c>
      <c r="Q9" s="2198"/>
      <c r="R9" s="2246">
        <f t="shared" ca="1" si="5"/>
        <v>45585</v>
      </c>
      <c r="S9" s="2393"/>
      <c r="T9" s="2308"/>
      <c r="U9" s="2205"/>
      <c r="V9" s="2205"/>
      <c r="W9" s="2205">
        <f>$L$9</f>
        <v>40.85</v>
      </c>
      <c r="X9" s="2205"/>
      <c r="Y9" s="2205"/>
      <c r="Z9" s="2205">
        <f>$L$9</f>
        <v>40.85</v>
      </c>
      <c r="AA9" s="2205"/>
      <c r="AB9" s="2205"/>
      <c r="AC9" s="2205"/>
      <c r="AD9" s="2205">
        <f>$L$9</f>
        <v>40.85</v>
      </c>
      <c r="AE9" s="2198"/>
      <c r="AF9" s="2206">
        <v>45429</v>
      </c>
      <c r="AG9" s="2239">
        <f>AF9+$C$9/$H$9</f>
        <v>45529</v>
      </c>
      <c r="AH9" s="2239">
        <f t="shared" ref="AH9:AJ9" si="16">AG9+$C$9/$H$9</f>
        <v>45629</v>
      </c>
      <c r="AI9" s="2239">
        <f t="shared" si="16"/>
        <v>45729</v>
      </c>
      <c r="AJ9" s="2239">
        <f t="shared" si="16"/>
        <v>45829</v>
      </c>
      <c r="AK9" s="2239">
        <f t="shared" ref="AK9:AN9" si="17">AJ9+$C$9/$H$9</f>
        <v>45929</v>
      </c>
      <c r="AL9" s="2239">
        <f t="shared" si="17"/>
        <v>46029</v>
      </c>
      <c r="AM9" s="2239">
        <f t="shared" si="17"/>
        <v>46129</v>
      </c>
      <c r="AN9" s="2239">
        <f t="shared" si="17"/>
        <v>46229</v>
      </c>
      <c r="AO9" s="2198"/>
    </row>
    <row r="10" spans="1:41" s="972" customFormat="1" ht="13.8">
      <c r="A10" s="2246">
        <v>45323</v>
      </c>
      <c r="B10" s="2233">
        <f t="shared" ca="1" si="8"/>
        <v>105</v>
      </c>
      <c r="C10" s="2234">
        <v>98</v>
      </c>
      <c r="D10" s="2306" t="s">
        <v>1650</v>
      </c>
      <c r="E10" s="2234"/>
      <c r="F10" s="2234"/>
      <c r="G10" s="2234"/>
      <c r="H10" s="2233">
        <v>2</v>
      </c>
      <c r="I10" s="2233">
        <f ca="1">C10-(B10*H10)+36</f>
        <v>-76</v>
      </c>
      <c r="J10" s="2307"/>
      <c r="K10" s="2307"/>
      <c r="L10" s="2308">
        <v>86</v>
      </c>
      <c r="M10" s="2308" t="e">
        <f>L10*#REF!</f>
        <v>#REF!</v>
      </c>
      <c r="N10" s="2308">
        <f t="shared" si="2"/>
        <v>0</v>
      </c>
      <c r="O10" s="2308">
        <f t="shared" si="3"/>
        <v>86</v>
      </c>
      <c r="P10" s="2309">
        <f t="shared" si="4"/>
        <v>0</v>
      </c>
      <c r="Q10" s="2198"/>
      <c r="R10" s="2246">
        <f t="shared" ca="1" si="5"/>
        <v>45390</v>
      </c>
      <c r="S10" s="2393">
        <f t="shared" ref="S10:T10" si="18">$L10-$N10</f>
        <v>86</v>
      </c>
      <c r="T10" s="2308">
        <f t="shared" si="18"/>
        <v>86</v>
      </c>
      <c r="U10" s="2205">
        <f>$L$10</f>
        <v>86</v>
      </c>
      <c r="V10" s="2205">
        <f>$L$10</f>
        <v>86</v>
      </c>
      <c r="W10" s="2205"/>
      <c r="X10" s="2205">
        <f>$L$10</f>
        <v>86</v>
      </c>
      <c r="Y10" s="2205">
        <f>$L$10</f>
        <v>86</v>
      </c>
      <c r="Z10" s="2205"/>
      <c r="AA10" s="2205">
        <f>$L$10</f>
        <v>86</v>
      </c>
      <c r="AB10" s="2205"/>
      <c r="AC10" s="2205">
        <f>$L$10</f>
        <v>86</v>
      </c>
      <c r="AD10" s="2205">
        <f>$L$10</f>
        <v>86</v>
      </c>
      <c r="AE10" s="2198"/>
      <c r="AF10" s="2206">
        <v>45308</v>
      </c>
      <c r="AG10" s="2239">
        <f>AF10+($C$10/$H$10)</f>
        <v>45357</v>
      </c>
      <c r="AH10" s="2239">
        <f t="shared" ref="AH10:AJ10" si="19">AG10+($C$10/$H$10)</f>
        <v>45406</v>
      </c>
      <c r="AI10" s="2239">
        <f t="shared" si="19"/>
        <v>45455</v>
      </c>
      <c r="AJ10" s="2239">
        <f t="shared" si="19"/>
        <v>45504</v>
      </c>
      <c r="AK10" s="2239">
        <f t="shared" ref="AK10:AN10" si="20">AJ10+($C$10/$H$10)</f>
        <v>45553</v>
      </c>
      <c r="AL10" s="2239">
        <f t="shared" si="20"/>
        <v>45602</v>
      </c>
      <c r="AM10" s="2239">
        <f t="shared" si="20"/>
        <v>45651</v>
      </c>
      <c r="AN10" s="2239">
        <f t="shared" si="20"/>
        <v>45700</v>
      </c>
      <c r="AO10" s="2198"/>
    </row>
    <row r="11" spans="1:41" s="972" customFormat="1" ht="13.8">
      <c r="A11" s="2246">
        <v>45169</v>
      </c>
      <c r="B11" s="2233">
        <f t="shared" ca="1" si="8"/>
        <v>259</v>
      </c>
      <c r="C11" s="2234">
        <v>500</v>
      </c>
      <c r="D11" s="2306" t="s">
        <v>1579</v>
      </c>
      <c r="E11" s="2234"/>
      <c r="F11" s="2234"/>
      <c r="G11" s="2234"/>
      <c r="H11" s="2233">
        <v>2</v>
      </c>
      <c r="I11" s="2233">
        <f ca="1">C11-(B11*H11)+875</f>
        <v>857</v>
      </c>
      <c r="J11" s="2307"/>
      <c r="K11" s="2307"/>
      <c r="L11" s="2308">
        <v>147.5</v>
      </c>
      <c r="M11" s="2308" t="e">
        <f>L11*#REF!</f>
        <v>#REF!</v>
      </c>
      <c r="N11" s="2308">
        <f t="shared" si="2"/>
        <v>0</v>
      </c>
      <c r="O11" s="2308">
        <f t="shared" si="3"/>
        <v>147.5</v>
      </c>
      <c r="P11" s="2309">
        <f t="shared" si="4"/>
        <v>0</v>
      </c>
      <c r="Q11" s="2198"/>
      <c r="R11" s="2246">
        <f t="shared" ca="1" si="5"/>
        <v>45856.5</v>
      </c>
      <c r="S11" s="2393"/>
      <c r="T11" s="2308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198"/>
      <c r="AF11" s="2206">
        <v>45854</v>
      </c>
      <c r="AG11" s="2239">
        <f>AF11+($C$11/$H$11)</f>
        <v>46104</v>
      </c>
      <c r="AH11" s="2239">
        <f t="shared" ref="AH11:AJ11" si="21">AG11+($C$11/$H$11)</f>
        <v>46354</v>
      </c>
      <c r="AI11" s="2239">
        <f t="shared" si="21"/>
        <v>46604</v>
      </c>
      <c r="AJ11" s="2239">
        <f t="shared" si="21"/>
        <v>46854</v>
      </c>
      <c r="AK11" s="2239">
        <f t="shared" ref="AK11:AN11" si="22">AJ11+($C$11/$H$11)</f>
        <v>47104</v>
      </c>
      <c r="AL11" s="2239">
        <f t="shared" si="22"/>
        <v>47354</v>
      </c>
      <c r="AM11" s="2239">
        <f t="shared" si="22"/>
        <v>47604</v>
      </c>
      <c r="AN11" s="2239">
        <f t="shared" si="22"/>
        <v>47854</v>
      </c>
      <c r="AO11" s="2198"/>
    </row>
    <row r="12" spans="1:41" s="972" customFormat="1" ht="13.8">
      <c r="A12" s="2246">
        <v>45323</v>
      </c>
      <c r="B12" s="2233">
        <f t="shared" ca="1" si="8"/>
        <v>105</v>
      </c>
      <c r="C12" s="2234">
        <f>2*100</f>
        <v>200</v>
      </c>
      <c r="D12" s="2306" t="s">
        <v>1552</v>
      </c>
      <c r="E12" s="2234"/>
      <c r="F12" s="2234"/>
      <c r="G12" s="2234"/>
      <c r="H12" s="2233">
        <v>4</v>
      </c>
      <c r="I12" s="2233">
        <f ca="1">C12-(B12*H12)+371</f>
        <v>151</v>
      </c>
      <c r="J12" s="2307"/>
      <c r="K12" s="2307"/>
      <c r="L12" s="2308">
        <v>52.05</v>
      </c>
      <c r="M12" s="2308" t="e">
        <f>L12*#REF!</f>
        <v>#REF!</v>
      </c>
      <c r="N12" s="2308">
        <f t="shared" si="2"/>
        <v>0</v>
      </c>
      <c r="O12" s="2308">
        <f t="shared" si="3"/>
        <v>52.05</v>
      </c>
      <c r="P12" s="2309">
        <f t="shared" si="4"/>
        <v>0</v>
      </c>
      <c r="Q12" s="2198"/>
      <c r="R12" s="2246">
        <f t="shared" ca="1" si="5"/>
        <v>45465.75</v>
      </c>
      <c r="S12" s="2393"/>
      <c r="T12" s="2308"/>
      <c r="U12" s="2205"/>
      <c r="V12" s="2205"/>
      <c r="W12" s="2205">
        <f>$L$12</f>
        <v>52.05</v>
      </c>
      <c r="X12" s="2205">
        <f>$L$12</f>
        <v>52.05</v>
      </c>
      <c r="Y12" s="2205"/>
      <c r="Z12" s="2205">
        <f>$L$12</f>
        <v>52.05</v>
      </c>
      <c r="AA12" s="2205"/>
      <c r="AB12" s="2205">
        <f>$L$12</f>
        <v>52.05</v>
      </c>
      <c r="AC12" s="2205">
        <f>$L$12</f>
        <v>52.05</v>
      </c>
      <c r="AD12" s="2205"/>
      <c r="AE12" s="2198"/>
      <c r="AF12" s="2206">
        <v>45371</v>
      </c>
      <c r="AG12" s="2239">
        <f>AF12+($C$12/$H$12)</f>
        <v>45421</v>
      </c>
      <c r="AH12" s="2239">
        <f t="shared" ref="AH12:AJ12" si="23">AG12+($C$12/$H$12)</f>
        <v>45471</v>
      </c>
      <c r="AI12" s="2239">
        <f t="shared" si="23"/>
        <v>45521</v>
      </c>
      <c r="AJ12" s="2239">
        <f t="shared" si="23"/>
        <v>45571</v>
      </c>
      <c r="AK12" s="2239">
        <f t="shared" ref="AK12:AN12" si="24">AJ12+($C$12/$H$12)</f>
        <v>45621</v>
      </c>
      <c r="AL12" s="2239">
        <f t="shared" si="24"/>
        <v>45671</v>
      </c>
      <c r="AM12" s="2239">
        <f t="shared" si="24"/>
        <v>45721</v>
      </c>
      <c r="AN12" s="2239">
        <f t="shared" si="24"/>
        <v>45771</v>
      </c>
      <c r="AO12" s="2198"/>
    </row>
    <row r="13" spans="1:41" s="972" customFormat="1" ht="13.8">
      <c r="A13" s="2246">
        <v>45296</v>
      </c>
      <c r="B13" s="2233">
        <f ca="1">$A$4-A13</f>
        <v>132</v>
      </c>
      <c r="C13" s="2234">
        <v>250</v>
      </c>
      <c r="D13" s="2306" t="s">
        <v>1556</v>
      </c>
      <c r="E13" s="2234"/>
      <c r="F13" s="2234"/>
      <c r="G13" s="2234"/>
      <c r="H13" s="2233">
        <v>2</v>
      </c>
      <c r="I13" s="2233">
        <f ca="1">C13-(B13*H13)+368</f>
        <v>354</v>
      </c>
      <c r="J13" s="2307">
        <v>2</v>
      </c>
      <c r="K13" s="2307"/>
      <c r="L13" s="2308">
        <v>115.6</v>
      </c>
      <c r="M13" s="2308" t="e">
        <f>L13*#REF!</f>
        <v>#REF!</v>
      </c>
      <c r="N13" s="2308">
        <f t="shared" si="2"/>
        <v>0</v>
      </c>
      <c r="O13" s="2308">
        <f t="shared" si="3"/>
        <v>115.6</v>
      </c>
      <c r="P13" s="2309">
        <f t="shared" si="4"/>
        <v>0</v>
      </c>
      <c r="Q13" s="2198"/>
      <c r="R13" s="2246">
        <f t="shared" ca="1" si="5"/>
        <v>45605</v>
      </c>
      <c r="S13" s="2393"/>
      <c r="T13" s="2308"/>
      <c r="U13" s="2205"/>
      <c r="V13" s="2205"/>
      <c r="W13" s="2205"/>
      <c r="X13" s="2205"/>
      <c r="Y13" s="2205"/>
      <c r="Z13" s="2205"/>
      <c r="AA13" s="2205"/>
      <c r="AB13" s="2205"/>
      <c r="AC13" s="2205">
        <f>$L$13</f>
        <v>115.6</v>
      </c>
      <c r="AD13" s="2205"/>
      <c r="AE13" s="2198"/>
      <c r="AF13" s="2206">
        <v>45353</v>
      </c>
      <c r="AG13" s="2239">
        <f>AF13+($C$13/$H$13)</f>
        <v>45478</v>
      </c>
      <c r="AH13" s="2239">
        <f>AG13+($C$13/$H$13)</f>
        <v>45603</v>
      </c>
      <c r="AI13" s="2239">
        <f>AH13+($C$13/$H$13)</f>
        <v>45728</v>
      </c>
      <c r="AJ13" s="2239">
        <f>AI13+($C$13/$H$13)</f>
        <v>45853</v>
      </c>
      <c r="AK13" s="2239">
        <f>AJ13+($C$13/$H$13)</f>
        <v>45978</v>
      </c>
      <c r="AL13" s="2239">
        <f t="shared" ref="AL13:AN13" si="25">AK13+($C$13/$H$13)</f>
        <v>46103</v>
      </c>
      <c r="AM13" s="2239">
        <f t="shared" si="25"/>
        <v>46228</v>
      </c>
      <c r="AN13" s="2239">
        <f t="shared" si="25"/>
        <v>46353</v>
      </c>
      <c r="AO13" s="2198"/>
    </row>
    <row r="14" spans="1:41" s="972" customFormat="1" ht="13.8">
      <c r="A14" s="2246">
        <v>45323</v>
      </c>
      <c r="B14" s="2233">
        <f t="shared" ca="1" si="8"/>
        <v>105</v>
      </c>
      <c r="C14" s="2234">
        <v>98</v>
      </c>
      <c r="D14" s="2306" t="s">
        <v>1553</v>
      </c>
      <c r="E14" s="2234"/>
      <c r="F14" s="2234"/>
      <c r="G14" s="2234"/>
      <c r="H14" s="2233">
        <v>1</v>
      </c>
      <c r="I14" s="2233">
        <f ca="1">C14-(B14*H14)+366</f>
        <v>359</v>
      </c>
      <c r="J14" s="2307"/>
      <c r="K14" s="2307"/>
      <c r="L14" s="2308">
        <v>62.05</v>
      </c>
      <c r="M14" s="2308" t="e">
        <f>L14*#REF!</f>
        <v>#REF!</v>
      </c>
      <c r="N14" s="2308">
        <f t="shared" si="2"/>
        <v>0</v>
      </c>
      <c r="O14" s="2308">
        <f t="shared" si="3"/>
        <v>62.05</v>
      </c>
      <c r="P14" s="2309">
        <f t="shared" si="4"/>
        <v>0</v>
      </c>
      <c r="Q14" s="2198"/>
      <c r="R14" s="2246">
        <f t="shared" ca="1" si="5"/>
        <v>45787</v>
      </c>
      <c r="S14" s="2393"/>
      <c r="T14" s="2308"/>
      <c r="U14" s="2205"/>
      <c r="V14" s="2205"/>
      <c r="W14" s="2205"/>
      <c r="X14" s="2205"/>
      <c r="Y14" s="2205"/>
      <c r="Z14" s="2205"/>
      <c r="AA14" s="2205"/>
      <c r="AB14" s="2205"/>
      <c r="AC14" s="2205"/>
      <c r="AD14" s="2205"/>
      <c r="AE14" s="2198"/>
      <c r="AF14" s="2206">
        <v>45692</v>
      </c>
      <c r="AG14" s="2239">
        <f>AF14+($C$14/$H$14)</f>
        <v>45790</v>
      </c>
      <c r="AH14" s="2239">
        <f t="shared" ref="AH14:AJ14" si="26">AG14+($C$14/$H$14)</f>
        <v>45888</v>
      </c>
      <c r="AI14" s="2239">
        <f t="shared" si="26"/>
        <v>45986</v>
      </c>
      <c r="AJ14" s="2239">
        <f t="shared" si="26"/>
        <v>46084</v>
      </c>
      <c r="AK14" s="2239">
        <f t="shared" ref="AK14:AN14" si="27">AJ14+($C$14/$H$14)</f>
        <v>46182</v>
      </c>
      <c r="AL14" s="2239">
        <f t="shared" si="27"/>
        <v>46280</v>
      </c>
      <c r="AM14" s="2239">
        <f t="shared" si="27"/>
        <v>46378</v>
      </c>
      <c r="AN14" s="2239">
        <f t="shared" si="27"/>
        <v>46476</v>
      </c>
      <c r="AO14" s="2198"/>
    </row>
    <row r="15" spans="1:41" s="972" customFormat="1" ht="13.8">
      <c r="A15" s="2246">
        <v>45230</v>
      </c>
      <c r="B15" s="2233">
        <f t="shared" ca="1" si="8"/>
        <v>198</v>
      </c>
      <c r="C15" s="2234">
        <v>100</v>
      </c>
      <c r="D15" s="2306" t="s">
        <v>1555</v>
      </c>
      <c r="E15" s="2234"/>
      <c r="F15" s="2234"/>
      <c r="G15" s="2234"/>
      <c r="H15" s="2233">
        <v>1</v>
      </c>
      <c r="I15" s="2233">
        <f ca="1">C15-(B15*H15)+167</f>
        <v>69</v>
      </c>
      <c r="J15" s="2307"/>
      <c r="K15" s="2307"/>
      <c r="L15" s="2308">
        <v>90</v>
      </c>
      <c r="M15" s="2308" t="e">
        <f>L15*#REF!</f>
        <v>#REF!</v>
      </c>
      <c r="N15" s="2308">
        <f t="shared" si="2"/>
        <v>0</v>
      </c>
      <c r="O15" s="2308">
        <f t="shared" si="3"/>
        <v>90</v>
      </c>
      <c r="P15" s="2309">
        <f t="shared" si="4"/>
        <v>0</v>
      </c>
      <c r="Q15" s="2198"/>
      <c r="R15" s="2246">
        <f t="shared" ca="1" si="5"/>
        <v>45497</v>
      </c>
      <c r="S15" s="2393"/>
      <c r="T15" s="2308"/>
      <c r="U15" s="2205"/>
      <c r="V15" s="2205"/>
      <c r="W15" s="2205"/>
      <c r="X15" s="2205"/>
      <c r="Y15" s="2205">
        <f>$L$15</f>
        <v>90</v>
      </c>
      <c r="Z15" s="2205"/>
      <c r="AA15" s="2205"/>
      <c r="AB15" s="2205">
        <f>$L$15</f>
        <v>90</v>
      </c>
      <c r="AC15" s="2205"/>
      <c r="AD15" s="2205"/>
      <c r="AE15" s="2198"/>
      <c r="AF15" s="2206">
        <v>45495</v>
      </c>
      <c r="AG15" s="2239">
        <f>AF15+$C$15/$H$15</f>
        <v>45595</v>
      </c>
      <c r="AH15" s="2239">
        <f t="shared" ref="AH15:AJ15" si="28">AG15+$C$15/$H$15</f>
        <v>45695</v>
      </c>
      <c r="AI15" s="2239">
        <f t="shared" si="28"/>
        <v>45795</v>
      </c>
      <c r="AJ15" s="2239">
        <f t="shared" si="28"/>
        <v>45895</v>
      </c>
      <c r="AK15" s="2239">
        <f t="shared" ref="AK15:AN15" si="29">AJ15+$C$15/$H$15</f>
        <v>45995</v>
      </c>
      <c r="AL15" s="2239">
        <f t="shared" si="29"/>
        <v>46095</v>
      </c>
      <c r="AM15" s="2239">
        <f t="shared" si="29"/>
        <v>46195</v>
      </c>
      <c r="AN15" s="2239">
        <f t="shared" si="29"/>
        <v>46295</v>
      </c>
      <c r="AO15" s="2198"/>
    </row>
    <row r="16" spans="1:41" s="2383" customFormat="1" ht="13.8">
      <c r="A16" s="2246">
        <v>45303</v>
      </c>
      <c r="B16" s="2311">
        <f t="shared" ca="1" si="8"/>
        <v>125</v>
      </c>
      <c r="C16" s="2235">
        <v>400</v>
      </c>
      <c r="D16" s="2245" t="s">
        <v>1567</v>
      </c>
      <c r="E16" s="2235"/>
      <c r="F16" s="2235"/>
      <c r="G16" s="2235"/>
      <c r="H16" s="2311">
        <v>4</v>
      </c>
      <c r="I16" s="2311">
        <f ca="1">C16-(B16*H16)+143</f>
        <v>43</v>
      </c>
      <c r="J16" s="2248"/>
      <c r="K16" s="2248"/>
      <c r="L16" s="2236">
        <v>109.85</v>
      </c>
      <c r="M16" s="2236" t="e">
        <f>L16*#REF!</f>
        <v>#REF!</v>
      </c>
      <c r="N16" s="2236">
        <f t="shared" si="2"/>
        <v>0</v>
      </c>
      <c r="O16" s="2308">
        <f t="shared" si="3"/>
        <v>109.85</v>
      </c>
      <c r="P16" s="2237">
        <f t="shared" si="4"/>
        <v>0</v>
      </c>
      <c r="Q16" s="2198"/>
      <c r="R16" s="2246">
        <f t="shared" ca="1" si="5"/>
        <v>45438.75</v>
      </c>
      <c r="S16" s="2393"/>
      <c r="T16" s="2205"/>
      <c r="U16" s="2205"/>
      <c r="V16" s="2205">
        <f>$L16*4</f>
        <v>439.4</v>
      </c>
      <c r="W16" s="2205"/>
      <c r="X16" s="2205"/>
      <c r="Y16" s="2205">
        <f>$L$16</f>
        <v>109.85</v>
      </c>
      <c r="Z16" s="2205"/>
      <c r="AA16" s="2205"/>
      <c r="AB16" s="2205"/>
      <c r="AC16" s="2205">
        <f>$L$16</f>
        <v>109.85</v>
      </c>
      <c r="AD16" s="2205"/>
      <c r="AE16" s="2198"/>
      <c r="AF16" s="2381">
        <v>45302</v>
      </c>
      <c r="AG16" s="2382">
        <f>AF16+($C$16/$H$16)</f>
        <v>45402</v>
      </c>
      <c r="AH16" s="2382">
        <f t="shared" ref="AH16:AJ16" si="30">AG16+($C$16/$H$16)</f>
        <v>45502</v>
      </c>
      <c r="AI16" s="2382">
        <f t="shared" si="30"/>
        <v>45602</v>
      </c>
      <c r="AJ16" s="2382">
        <f t="shared" si="30"/>
        <v>45702</v>
      </c>
      <c r="AK16" s="2382">
        <f t="shared" ref="AK16:AN16" si="31">AJ16+($C$16/$H$16)</f>
        <v>45802</v>
      </c>
      <c r="AL16" s="2382">
        <f t="shared" si="31"/>
        <v>45902</v>
      </c>
      <c r="AM16" s="2382">
        <f t="shared" si="31"/>
        <v>46002</v>
      </c>
      <c r="AN16" s="2382">
        <f t="shared" si="31"/>
        <v>46102</v>
      </c>
      <c r="AO16" s="2198"/>
    </row>
    <row r="17" spans="1:41" s="972" customFormat="1" ht="13.8">
      <c r="A17" s="2246">
        <v>45323</v>
      </c>
      <c r="B17" s="2233">
        <f t="shared" ca="1" si="8"/>
        <v>105</v>
      </c>
      <c r="C17" s="2234">
        <v>300</v>
      </c>
      <c r="D17" s="2306" t="s">
        <v>1568</v>
      </c>
      <c r="E17" s="2234"/>
      <c r="F17" s="2234"/>
      <c r="G17" s="2234"/>
      <c r="H17" s="2233">
        <v>8</v>
      </c>
      <c r="I17" s="2233">
        <f ca="1">C17-(B17*H17)+351</f>
        <v>-189</v>
      </c>
      <c r="J17" s="2307">
        <v>2</v>
      </c>
      <c r="K17" s="2307"/>
      <c r="L17" s="2308">
        <v>84.3</v>
      </c>
      <c r="M17" s="2308" t="e">
        <f>L17*#REF!</f>
        <v>#REF!</v>
      </c>
      <c r="N17" s="2308">
        <f t="shared" si="2"/>
        <v>0</v>
      </c>
      <c r="O17" s="2308">
        <f t="shared" si="3"/>
        <v>84.3</v>
      </c>
      <c r="P17" s="2309">
        <f t="shared" si="4"/>
        <v>0</v>
      </c>
      <c r="Q17" s="2198"/>
      <c r="R17" s="2246">
        <f t="shared" ca="1" si="5"/>
        <v>45404.375</v>
      </c>
      <c r="S17" s="2393">
        <f t="shared" ref="S17:T17" si="32">$L17-$N17</f>
        <v>84.3</v>
      </c>
      <c r="T17" s="2308">
        <f t="shared" si="32"/>
        <v>84.3</v>
      </c>
      <c r="U17" s="2205">
        <f>$L$17</f>
        <v>84.3</v>
      </c>
      <c r="V17" s="2205">
        <f>$L$17</f>
        <v>84.3</v>
      </c>
      <c r="W17" s="2205"/>
      <c r="X17" s="2205">
        <f>$L$17</f>
        <v>84.3</v>
      </c>
      <c r="Y17" s="2205">
        <f>$L$17</f>
        <v>84.3</v>
      </c>
      <c r="Z17" s="2205">
        <f>$L$17</f>
        <v>84.3</v>
      </c>
      <c r="AA17" s="2205">
        <f>$L$17</f>
        <v>84.3</v>
      </c>
      <c r="AB17" s="2205"/>
      <c r="AC17" s="2205">
        <f>$L$17</f>
        <v>84.3</v>
      </c>
      <c r="AD17" s="2205"/>
      <c r="AE17" s="2198"/>
      <c r="AF17" s="2206">
        <v>45299</v>
      </c>
      <c r="AG17" s="2239">
        <f>AF17+($C$17/$H$17)</f>
        <v>45336.5</v>
      </c>
      <c r="AH17" s="2239">
        <f t="shared" ref="AH17:AJ17" si="33">AG17+($C$17/$H$17)</f>
        <v>45374</v>
      </c>
      <c r="AI17" s="2239">
        <f t="shared" si="33"/>
        <v>45411.5</v>
      </c>
      <c r="AJ17" s="2239">
        <f t="shared" si="33"/>
        <v>45449</v>
      </c>
      <c r="AK17" s="2239">
        <f t="shared" ref="AK17:AN17" si="34">AJ17+($C$17/$H$17)</f>
        <v>45486.5</v>
      </c>
      <c r="AL17" s="2239">
        <f t="shared" si="34"/>
        <v>45524</v>
      </c>
      <c r="AM17" s="2239">
        <f t="shared" si="34"/>
        <v>45561.5</v>
      </c>
      <c r="AN17" s="2239">
        <f t="shared" si="34"/>
        <v>45599</v>
      </c>
      <c r="AO17" s="2198"/>
    </row>
    <row r="18" spans="1:41" s="972" customFormat="1" ht="13.8">
      <c r="A18" s="2246">
        <v>45230</v>
      </c>
      <c r="B18" s="2233">
        <f t="shared" ca="1" si="8"/>
        <v>198</v>
      </c>
      <c r="C18" s="2234">
        <v>100</v>
      </c>
      <c r="D18" s="2306" t="s">
        <v>1557</v>
      </c>
      <c r="E18" s="2234"/>
      <c r="F18" s="2234"/>
      <c r="G18" s="2234"/>
      <c r="H18" s="2233">
        <v>1</v>
      </c>
      <c r="I18" s="2233">
        <f ca="1">C18-(B18*H18)+591</f>
        <v>493</v>
      </c>
      <c r="J18" s="2307"/>
      <c r="K18" s="2307"/>
      <c r="L18" s="2308">
        <v>28.45</v>
      </c>
      <c r="M18" s="2308" t="e">
        <f>L18*#REF!</f>
        <v>#REF!</v>
      </c>
      <c r="N18" s="2308">
        <f t="shared" si="2"/>
        <v>0</v>
      </c>
      <c r="O18" s="2308">
        <f t="shared" si="3"/>
        <v>28.45</v>
      </c>
      <c r="P18" s="2309">
        <f t="shared" si="4"/>
        <v>0</v>
      </c>
      <c r="Q18" s="2198"/>
      <c r="R18" s="2246">
        <f t="shared" ca="1" si="5"/>
        <v>45921</v>
      </c>
      <c r="S18" s="2393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198"/>
      <c r="AF18" s="2206">
        <v>45919</v>
      </c>
      <c r="AG18" s="2239">
        <f>AF18+$C$18/$H$18</f>
        <v>46019</v>
      </c>
      <c r="AH18" s="2239">
        <f t="shared" ref="AH18:AJ18" si="35">AG18+$C$18/$H$18</f>
        <v>46119</v>
      </c>
      <c r="AI18" s="2239">
        <f t="shared" si="35"/>
        <v>46219</v>
      </c>
      <c r="AJ18" s="2239">
        <f t="shared" si="35"/>
        <v>46319</v>
      </c>
      <c r="AK18" s="2239">
        <f t="shared" ref="AK18:AN18" si="36">AJ18+$C$18/$H$18</f>
        <v>46419</v>
      </c>
      <c r="AL18" s="2239">
        <f t="shared" si="36"/>
        <v>46519</v>
      </c>
      <c r="AM18" s="2239">
        <f t="shared" si="36"/>
        <v>46619</v>
      </c>
      <c r="AN18" s="2239">
        <f t="shared" si="36"/>
        <v>46719</v>
      </c>
      <c r="AO18" s="2198"/>
    </row>
    <row r="19" spans="1:41" s="972" customFormat="1" ht="13.8">
      <c r="A19" s="2246">
        <v>45323</v>
      </c>
      <c r="B19" s="3084">
        <f t="shared" ca="1" si="8"/>
        <v>105</v>
      </c>
      <c r="C19" s="3085">
        <v>90</v>
      </c>
      <c r="D19" s="2245" t="s">
        <v>1547</v>
      </c>
      <c r="E19" s="2235"/>
      <c r="F19" s="2235"/>
      <c r="G19" s="2235"/>
      <c r="H19" s="2311">
        <v>1</v>
      </c>
      <c r="I19" s="2311">
        <f ca="1">C19-(B19*H19)+31</f>
        <v>16</v>
      </c>
      <c r="J19" s="2248">
        <v>1</v>
      </c>
      <c r="K19" s="2248"/>
      <c r="L19" s="2236">
        <v>1316.75</v>
      </c>
      <c r="M19" s="2236" t="e">
        <f>L19*#REF!</f>
        <v>#REF!</v>
      </c>
      <c r="N19" s="2236">
        <f t="shared" si="2"/>
        <v>0</v>
      </c>
      <c r="O19" s="2236">
        <f>$L19-$N19</f>
        <v>1316.75</v>
      </c>
      <c r="P19" s="2237">
        <f t="shared" si="4"/>
        <v>0</v>
      </c>
      <c r="Q19" s="2198"/>
      <c r="R19" s="2246">
        <f t="shared" ca="1" si="5"/>
        <v>45444</v>
      </c>
      <c r="S19" s="2205"/>
      <c r="T19" s="2308">
        <f>$L19-$N19</f>
        <v>1316.75</v>
      </c>
      <c r="U19" s="2205"/>
      <c r="V19" s="2205"/>
      <c r="W19" s="2205">
        <f>$L$19</f>
        <v>1316.75</v>
      </c>
      <c r="X19" s="2205"/>
      <c r="Y19" s="2205"/>
      <c r="Z19" s="2205"/>
      <c r="AA19" s="2205">
        <f>$L$19</f>
        <v>1316.75</v>
      </c>
      <c r="AB19" s="2205"/>
      <c r="AC19" s="2205"/>
      <c r="AD19" s="2205">
        <f>$L$19</f>
        <v>1316.75</v>
      </c>
      <c r="AE19" s="2198"/>
      <c r="AF19" s="2206">
        <v>45288</v>
      </c>
      <c r="AG19" s="2239">
        <f>AF19+$C$19/$H$19</f>
        <v>45378</v>
      </c>
      <c r="AH19" s="2239">
        <f t="shared" ref="AH19:AJ19" si="37">AG19+$C$19/$H$19</f>
        <v>45468</v>
      </c>
      <c r="AI19" s="2239">
        <f t="shared" si="37"/>
        <v>45558</v>
      </c>
      <c r="AJ19" s="2239">
        <f t="shared" si="37"/>
        <v>45648</v>
      </c>
      <c r="AK19" s="2239">
        <f t="shared" ref="AK19:AN19" si="38">AJ19+$C$19/$H$19</f>
        <v>45738</v>
      </c>
      <c r="AL19" s="2239">
        <f t="shared" si="38"/>
        <v>45828</v>
      </c>
      <c r="AM19" s="2239">
        <f t="shared" si="38"/>
        <v>45918</v>
      </c>
      <c r="AN19" s="2239">
        <f t="shared" si="38"/>
        <v>46008</v>
      </c>
      <c r="AO19" s="2198"/>
    </row>
    <row r="20" spans="1:41" s="972" customFormat="1" ht="13.8">
      <c r="A20" s="2246">
        <v>45231</v>
      </c>
      <c r="B20" s="2233">
        <f t="shared" ca="1" si="8"/>
        <v>197</v>
      </c>
      <c r="C20" s="2234">
        <f>2*18</f>
        <v>36</v>
      </c>
      <c r="D20" s="2306" t="s">
        <v>1108</v>
      </c>
      <c r="E20" s="2234"/>
      <c r="F20" s="2234"/>
      <c r="G20" s="2234"/>
      <c r="H20" s="2238">
        <f>1/3.5</f>
        <v>0.2857142857142857</v>
      </c>
      <c r="I20" s="2233">
        <f ca="1">C20-(B20*H20)+18</f>
        <v>-2.2857142857142847</v>
      </c>
      <c r="J20" s="2307"/>
      <c r="K20" s="2307"/>
      <c r="L20" s="2308">
        <v>205.2</v>
      </c>
      <c r="M20" s="2308" t="e">
        <f>L20*#REF!</f>
        <v>#REF!</v>
      </c>
      <c r="N20" s="2308">
        <f t="shared" si="2"/>
        <v>0</v>
      </c>
      <c r="O20" s="2308">
        <f t="shared" si="3"/>
        <v>205.2</v>
      </c>
      <c r="P20" s="2309">
        <f t="shared" si="4"/>
        <v>0</v>
      </c>
      <c r="Q20" s="2198"/>
      <c r="R20" s="2246">
        <f t="shared" ca="1" si="5"/>
        <v>45420</v>
      </c>
      <c r="S20" s="2205"/>
      <c r="T20" s="2308"/>
      <c r="U20" s="2205"/>
      <c r="V20" s="2205"/>
      <c r="W20" s="2205">
        <f>$L$20</f>
        <v>205.2</v>
      </c>
      <c r="X20" s="2205"/>
      <c r="Y20" s="2205"/>
      <c r="Z20" s="2205"/>
      <c r="AA20" s="2205">
        <f>$L$20</f>
        <v>205.2</v>
      </c>
      <c r="AB20" s="2205"/>
      <c r="AC20" s="2205"/>
      <c r="AD20" s="2205"/>
      <c r="AE20" s="2198"/>
      <c r="AF20" s="2206">
        <v>45418</v>
      </c>
      <c r="AG20" s="2239">
        <f>AF20+($C$20/$H$20)</f>
        <v>45544</v>
      </c>
      <c r="AH20" s="2239">
        <f t="shared" ref="AH20:AJ20" si="39">AG20+($C$20/$H$20)</f>
        <v>45670</v>
      </c>
      <c r="AI20" s="2239">
        <f t="shared" si="39"/>
        <v>45796</v>
      </c>
      <c r="AJ20" s="2239">
        <f t="shared" si="39"/>
        <v>45922</v>
      </c>
      <c r="AK20" s="2239">
        <f t="shared" ref="AK20:AN20" si="40">AJ20+($C$20/$H$20)</f>
        <v>46048</v>
      </c>
      <c r="AL20" s="2239">
        <f t="shared" si="40"/>
        <v>46174</v>
      </c>
      <c r="AM20" s="2239">
        <f t="shared" si="40"/>
        <v>46300</v>
      </c>
      <c r="AN20" s="2239">
        <f t="shared" si="40"/>
        <v>46426</v>
      </c>
      <c r="AO20" s="2198"/>
    </row>
    <row r="21" spans="1:41" s="2383" customFormat="1" ht="13.8">
      <c r="A21" s="2246">
        <v>45328</v>
      </c>
      <c r="B21" s="2311">
        <f ca="1">$A$4-A21</f>
        <v>100</v>
      </c>
      <c r="C21" s="2235">
        <v>250</v>
      </c>
      <c r="D21" s="2245" t="s">
        <v>1554</v>
      </c>
      <c r="E21" s="2235"/>
      <c r="F21" s="2235"/>
      <c r="G21" s="2235"/>
      <c r="H21" s="2311">
        <v>2</v>
      </c>
      <c r="I21" s="2311">
        <f ca="1">C21-(B21*H21)</f>
        <v>50</v>
      </c>
      <c r="J21" s="2248"/>
      <c r="K21" s="2248"/>
      <c r="L21" s="2236">
        <v>119.95</v>
      </c>
      <c r="M21" s="2236">
        <v>119.95</v>
      </c>
      <c r="N21" s="2236">
        <v>119.95</v>
      </c>
      <c r="O21" s="2308">
        <f t="shared" si="3"/>
        <v>0</v>
      </c>
      <c r="P21" s="2237">
        <f t="shared" si="4"/>
        <v>0</v>
      </c>
      <c r="Q21" s="2198"/>
      <c r="R21" s="2246">
        <f t="shared" ca="1" si="5"/>
        <v>45453</v>
      </c>
      <c r="S21" s="2205"/>
      <c r="T21" s="2308">
        <v>119.95</v>
      </c>
      <c r="U21" s="2205"/>
      <c r="V21" s="2205">
        <f>$L$21</f>
        <v>119.95</v>
      </c>
      <c r="W21" s="2205"/>
      <c r="X21" s="2205"/>
      <c r="Y21" s="2205"/>
      <c r="Z21" s="2205">
        <f>$L$21</f>
        <v>119.95</v>
      </c>
      <c r="AA21" s="2205"/>
      <c r="AB21" s="2205"/>
      <c r="AC21" s="2205"/>
      <c r="AD21" s="2205">
        <f>$L$21</f>
        <v>119.95</v>
      </c>
      <c r="AE21" s="2198"/>
      <c r="AF21" s="2381">
        <v>45264</v>
      </c>
      <c r="AG21" s="2382">
        <f>AF21+($C$21/$H$21)</f>
        <v>45389</v>
      </c>
      <c r="AH21" s="2382">
        <f t="shared" ref="AH21:AJ21" si="41">AG21+($C$21/$H$21)</f>
        <v>45514</v>
      </c>
      <c r="AI21" s="2382">
        <f t="shared" si="41"/>
        <v>45639</v>
      </c>
      <c r="AJ21" s="2382">
        <f t="shared" si="41"/>
        <v>45764</v>
      </c>
      <c r="AK21" s="2382">
        <f t="shared" ref="AK21:AN21" si="42">AJ21+($C$21/$H$21)</f>
        <v>45889</v>
      </c>
      <c r="AL21" s="2382">
        <f t="shared" si="42"/>
        <v>46014</v>
      </c>
      <c r="AM21" s="2382">
        <f t="shared" si="42"/>
        <v>46139</v>
      </c>
      <c r="AN21" s="2382">
        <f t="shared" si="42"/>
        <v>46264</v>
      </c>
      <c r="AO21" s="2198"/>
    </row>
    <row r="22" spans="1:41" s="972" customFormat="1" ht="13.8">
      <c r="A22" s="2246"/>
      <c r="B22" s="2233">
        <f t="shared" ca="1" si="8"/>
        <v>45428</v>
      </c>
      <c r="C22" s="2234"/>
      <c r="D22" s="2306" t="s">
        <v>1109</v>
      </c>
      <c r="E22" s="2234"/>
      <c r="F22" s="2234"/>
      <c r="G22" s="2234"/>
      <c r="H22" s="2233"/>
      <c r="I22" s="2233">
        <f t="shared" ca="1" si="13"/>
        <v>0</v>
      </c>
      <c r="J22" s="2307"/>
      <c r="K22" s="2307"/>
      <c r="L22" s="2308">
        <v>194.95</v>
      </c>
      <c r="M22" s="2308" t="e">
        <f>L22*#REF!</f>
        <v>#REF!</v>
      </c>
      <c r="N22" s="2308">
        <f t="shared" ref="N22:N32" si="43">L22*$P$2</f>
        <v>0</v>
      </c>
      <c r="O22" s="2308">
        <f t="shared" si="3"/>
        <v>194.95</v>
      </c>
      <c r="P22" s="2309">
        <f t="shared" si="4"/>
        <v>0</v>
      </c>
      <c r="Q22" s="2198"/>
      <c r="R22" s="2246" t="e">
        <f t="shared" ca="1" si="5"/>
        <v>#DIV/0!</v>
      </c>
      <c r="S22" s="2205"/>
      <c r="T22" s="2205"/>
      <c r="U22" s="2205"/>
      <c r="V22" s="2205"/>
      <c r="W22" s="2205"/>
      <c r="X22" s="2205"/>
      <c r="Y22" s="2205"/>
      <c r="Z22" s="2205"/>
      <c r="AA22" s="2205"/>
      <c r="AB22" s="2205"/>
      <c r="AC22" s="2205"/>
      <c r="AD22" s="2205"/>
      <c r="AE22" s="2198"/>
      <c r="AF22" s="2206"/>
      <c r="AG22" s="2239"/>
      <c r="AH22" s="2239"/>
      <c r="AI22" s="2239"/>
      <c r="AJ22" s="2239"/>
      <c r="AK22" s="2239"/>
      <c r="AL22" s="2239"/>
      <c r="AM22" s="2239"/>
      <c r="AN22" s="2239"/>
      <c r="AO22" s="2198"/>
    </row>
    <row r="23" spans="1:41" s="972" customFormat="1" ht="13.8">
      <c r="A23" s="2246"/>
      <c r="B23" s="2233">
        <f ca="1">$A$4-A23</f>
        <v>45428</v>
      </c>
      <c r="C23" s="2234"/>
      <c r="D23" s="2306" t="s">
        <v>1111</v>
      </c>
      <c r="E23" s="2234"/>
      <c r="F23" s="2234"/>
      <c r="G23" s="2234"/>
      <c r="H23" s="2233"/>
      <c r="I23" s="2233">
        <f ca="1">C23-(B23*H23)</f>
        <v>0</v>
      </c>
      <c r="J23" s="2307">
        <v>1</v>
      </c>
      <c r="K23" s="2307"/>
      <c r="L23" s="2308">
        <v>417.35</v>
      </c>
      <c r="M23" s="2308" t="e">
        <f>L23*#REF!</f>
        <v>#REF!</v>
      </c>
      <c r="N23" s="2308">
        <f t="shared" si="43"/>
        <v>0</v>
      </c>
      <c r="O23" s="2308">
        <f t="shared" si="3"/>
        <v>417.35</v>
      </c>
      <c r="P23" s="2309">
        <f t="shared" si="4"/>
        <v>0</v>
      </c>
      <c r="Q23" s="2198"/>
      <c r="R23" s="2246" t="e">
        <f t="shared" ca="1" si="5"/>
        <v>#DIV/0!</v>
      </c>
      <c r="S23" s="2205"/>
      <c r="T23" s="2205"/>
      <c r="U23" s="2205"/>
      <c r="V23" s="2205"/>
      <c r="W23" s="2205"/>
      <c r="X23" s="2205"/>
      <c r="Y23" s="2205"/>
      <c r="Z23" s="2205"/>
      <c r="AA23" s="2205"/>
      <c r="AB23" s="2205"/>
      <c r="AC23" s="2205"/>
      <c r="AD23" s="2205"/>
      <c r="AE23" s="2198"/>
      <c r="AF23" s="2206"/>
      <c r="AG23" s="2239"/>
      <c r="AH23" s="2239"/>
      <c r="AI23" s="2239"/>
      <c r="AJ23" s="2239"/>
      <c r="AK23" s="2239"/>
      <c r="AL23" s="2239"/>
      <c r="AM23" s="2239"/>
      <c r="AN23" s="2239"/>
      <c r="AO23" s="2198"/>
    </row>
    <row r="24" spans="1:41" s="972" customFormat="1" ht="13.8">
      <c r="A24" s="2246"/>
      <c r="B24" s="2233">
        <f t="shared" ca="1" si="8"/>
        <v>45428</v>
      </c>
      <c r="C24" s="2234"/>
      <c r="D24" s="2306" t="s">
        <v>1112</v>
      </c>
      <c r="E24" s="2234"/>
      <c r="F24" s="2234"/>
      <c r="G24" s="2234"/>
      <c r="H24" s="2233"/>
      <c r="I24" s="2233">
        <f t="shared" ca="1" si="13"/>
        <v>0</v>
      </c>
      <c r="J24" s="2307"/>
      <c r="K24" s="2310"/>
      <c r="L24" s="2308"/>
      <c r="M24" s="2308" t="e">
        <f>L24*#REF!</f>
        <v>#REF!</v>
      </c>
      <c r="N24" s="2308">
        <f t="shared" si="43"/>
        <v>0</v>
      </c>
      <c r="O24" s="2308">
        <f t="shared" si="3"/>
        <v>0</v>
      </c>
      <c r="P24" s="2309">
        <f t="shared" si="4"/>
        <v>0</v>
      </c>
      <c r="Q24" s="2198"/>
      <c r="R24" s="2246" t="e">
        <f t="shared" ca="1" si="5"/>
        <v>#DIV/0!</v>
      </c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198"/>
      <c r="AF24" s="2207"/>
      <c r="AG24" s="2240"/>
      <c r="AH24" s="2240"/>
      <c r="AI24" s="2240"/>
      <c r="AJ24" s="2240"/>
      <c r="AK24" s="2240"/>
      <c r="AL24" s="2240"/>
      <c r="AM24" s="2240"/>
      <c r="AN24" s="2240"/>
      <c r="AO24" s="2198"/>
    </row>
    <row r="25" spans="1:41" s="2195" customFormat="1" ht="13.8">
      <c r="A25" s="2246"/>
      <c r="B25" s="2233">
        <f t="shared" ca="1" si="8"/>
        <v>45428</v>
      </c>
      <c r="C25" s="2234"/>
      <c r="D25" s="2306" t="s">
        <v>1558</v>
      </c>
      <c r="E25" s="2234"/>
      <c r="F25" s="2234"/>
      <c r="G25" s="2234"/>
      <c r="H25" s="2233"/>
      <c r="I25" s="2233">
        <f t="shared" ca="1" si="13"/>
        <v>0</v>
      </c>
      <c r="J25" s="2307"/>
      <c r="K25" s="2310"/>
      <c r="L25" s="2308">
        <v>42.05</v>
      </c>
      <c r="M25" s="2308" t="e">
        <f>L25*#REF!</f>
        <v>#REF!</v>
      </c>
      <c r="N25" s="2308">
        <f t="shared" si="43"/>
        <v>0</v>
      </c>
      <c r="O25" s="2308">
        <f t="shared" ref="O25:O29" si="44">$L25-$N25</f>
        <v>42.05</v>
      </c>
      <c r="P25" s="2309">
        <f t="shared" si="4"/>
        <v>0</v>
      </c>
      <c r="Q25" s="2198"/>
      <c r="R25" s="2246" t="e">
        <f t="shared" ca="1" si="5"/>
        <v>#DIV/0!</v>
      </c>
      <c r="S25" s="2205"/>
      <c r="T25" s="2205"/>
      <c r="U25" s="2205"/>
      <c r="V25" s="2205"/>
      <c r="W25" s="2205"/>
      <c r="X25" s="2205"/>
      <c r="Y25" s="2205"/>
      <c r="Z25" s="2205"/>
      <c r="AA25" s="2205"/>
      <c r="AB25" s="2205"/>
      <c r="AC25" s="2205"/>
      <c r="AD25" s="2205"/>
      <c r="AE25" s="2198"/>
      <c r="AF25" s="2207"/>
      <c r="AG25" s="2240"/>
      <c r="AH25" s="2240"/>
      <c r="AI25" s="2240"/>
      <c r="AJ25" s="2240"/>
      <c r="AK25" s="2240"/>
      <c r="AL25" s="2240"/>
      <c r="AM25" s="2240"/>
      <c r="AN25" s="2240"/>
      <c r="AO25" s="2198"/>
    </row>
    <row r="26" spans="1:41" s="2195" customFormat="1" ht="13.8">
      <c r="A26" s="2246"/>
      <c r="B26" s="2233">
        <f t="shared" ca="1" si="8"/>
        <v>45428</v>
      </c>
      <c r="C26" s="2234"/>
      <c r="D26" s="2306" t="s">
        <v>1105</v>
      </c>
      <c r="E26" s="2234"/>
      <c r="F26" s="2234"/>
      <c r="G26" s="2234"/>
      <c r="H26" s="2233"/>
      <c r="I26" s="2233">
        <f t="shared" ca="1" si="13"/>
        <v>0</v>
      </c>
      <c r="J26" s="2307"/>
      <c r="K26" s="2310"/>
      <c r="L26" s="2308">
        <v>147.94999999999999</v>
      </c>
      <c r="M26" s="2308">
        <v>0</v>
      </c>
      <c r="N26" s="2308">
        <f t="shared" si="43"/>
        <v>0</v>
      </c>
      <c r="O26" s="2308">
        <f t="shared" si="44"/>
        <v>147.94999999999999</v>
      </c>
      <c r="P26" s="2309">
        <f t="shared" si="4"/>
        <v>0</v>
      </c>
      <c r="Q26" s="2199"/>
      <c r="R26" s="2246" t="e">
        <f t="shared" ca="1" si="5"/>
        <v>#DIV/0!</v>
      </c>
      <c r="S26" s="2205"/>
      <c r="T26" s="2205"/>
      <c r="U26" s="2205"/>
      <c r="V26" s="2205"/>
      <c r="W26" s="2205"/>
      <c r="X26" s="2205"/>
      <c r="Y26" s="2205"/>
      <c r="Z26" s="2205"/>
      <c r="AA26" s="2205"/>
      <c r="AB26" s="2205"/>
      <c r="AC26" s="2205"/>
      <c r="AD26" s="2205"/>
      <c r="AE26" s="2199"/>
      <c r="AF26" s="2207"/>
      <c r="AG26" s="2240"/>
      <c r="AH26" s="2240"/>
      <c r="AI26" s="2240"/>
      <c r="AJ26" s="2240"/>
      <c r="AK26" s="2240"/>
      <c r="AL26" s="2240"/>
      <c r="AM26" s="2240"/>
      <c r="AN26" s="2240"/>
      <c r="AO26" s="2199"/>
    </row>
    <row r="27" spans="1:41" s="2195" customFormat="1" ht="13.8">
      <c r="A27" s="2246"/>
      <c r="B27" s="2233">
        <f t="shared" ca="1" si="8"/>
        <v>45428</v>
      </c>
      <c r="C27" s="2234"/>
      <c r="D27" s="2306" t="s">
        <v>1106</v>
      </c>
      <c r="E27" s="2234"/>
      <c r="F27" s="2234"/>
      <c r="G27" s="2234"/>
      <c r="H27" s="2233"/>
      <c r="I27" s="2233">
        <f t="shared" ca="1" si="13"/>
        <v>0</v>
      </c>
      <c r="J27" s="2307"/>
      <c r="K27" s="2307"/>
      <c r="L27" s="2308">
        <v>116.95</v>
      </c>
      <c r="M27" s="2308" t="e">
        <f>L27*#REF!</f>
        <v>#REF!</v>
      </c>
      <c r="N27" s="2308">
        <f t="shared" si="43"/>
        <v>0</v>
      </c>
      <c r="O27" s="2308">
        <f t="shared" si="44"/>
        <v>116.95</v>
      </c>
      <c r="P27" s="2309">
        <f t="shared" si="4"/>
        <v>0</v>
      </c>
      <c r="Q27" s="2198"/>
      <c r="R27" s="2246" t="e">
        <f t="shared" ca="1" si="5"/>
        <v>#DIV/0!</v>
      </c>
      <c r="S27" s="2205"/>
      <c r="T27" s="2205"/>
      <c r="U27" s="2205"/>
      <c r="V27" s="2205"/>
      <c r="W27" s="2205"/>
      <c r="X27" s="2205"/>
      <c r="Y27" s="2205"/>
      <c r="Z27" s="2205"/>
      <c r="AA27" s="2205"/>
      <c r="AB27" s="2205"/>
      <c r="AC27" s="2205"/>
      <c r="AD27" s="2205"/>
      <c r="AE27" s="2198"/>
      <c r="AF27" s="2206"/>
      <c r="AG27" s="2239"/>
      <c r="AH27" s="2239"/>
      <c r="AI27" s="2239"/>
      <c r="AJ27" s="2239"/>
      <c r="AK27" s="2239"/>
      <c r="AL27" s="2239"/>
      <c r="AM27" s="2239"/>
      <c r="AN27" s="2239"/>
      <c r="AO27" s="2198"/>
    </row>
    <row r="28" spans="1:41" s="972" customFormat="1" ht="13.8">
      <c r="A28" s="2246"/>
      <c r="B28" s="2233">
        <f ca="1">$A$4-A28</f>
        <v>45428</v>
      </c>
      <c r="C28" s="2234"/>
      <c r="D28" s="2306" t="s">
        <v>1107</v>
      </c>
      <c r="E28" s="2234"/>
      <c r="F28" s="2234"/>
      <c r="G28" s="2234"/>
      <c r="H28" s="2233"/>
      <c r="I28" s="2233">
        <f ca="1">C28-(B28*H28)</f>
        <v>0</v>
      </c>
      <c r="J28" s="2307"/>
      <c r="K28" s="2307"/>
      <c r="L28" s="2308"/>
      <c r="M28" s="2308" t="e">
        <f>L28*#REF!</f>
        <v>#REF!</v>
      </c>
      <c r="N28" s="2308">
        <f t="shared" si="43"/>
        <v>0</v>
      </c>
      <c r="O28" s="2308">
        <f t="shared" si="44"/>
        <v>0</v>
      </c>
      <c r="P28" s="2309">
        <f t="shared" si="4"/>
        <v>0</v>
      </c>
      <c r="Q28" s="2198"/>
      <c r="R28" s="2246" t="e">
        <f t="shared" ca="1" si="5"/>
        <v>#DIV/0!</v>
      </c>
      <c r="S28" s="2205"/>
      <c r="T28" s="2205"/>
      <c r="U28" s="2205"/>
      <c r="V28" s="2205"/>
      <c r="W28" s="2205"/>
      <c r="X28" s="2205"/>
      <c r="Y28" s="2205"/>
      <c r="Z28" s="2205"/>
      <c r="AA28" s="2205"/>
      <c r="AB28" s="2205"/>
      <c r="AC28" s="2205"/>
      <c r="AD28" s="2205"/>
      <c r="AE28" s="2198"/>
      <c r="AF28" s="2206"/>
      <c r="AG28" s="2239"/>
      <c r="AH28" s="2239"/>
      <c r="AI28" s="2239"/>
      <c r="AJ28" s="2239"/>
      <c r="AK28" s="2239"/>
      <c r="AL28" s="2239"/>
      <c r="AM28" s="2239"/>
      <c r="AN28" s="2239"/>
      <c r="AO28" s="2198"/>
    </row>
    <row r="29" spans="1:41" s="972" customFormat="1" ht="13.8">
      <c r="A29" s="2246">
        <v>45234</v>
      </c>
      <c r="B29" s="2233">
        <f t="shared" ca="1" si="8"/>
        <v>194</v>
      </c>
      <c r="C29" s="2234">
        <v>15</v>
      </c>
      <c r="D29" s="2306" t="s">
        <v>1119</v>
      </c>
      <c r="E29" s="2234"/>
      <c r="F29" s="2234"/>
      <c r="G29" s="2234"/>
      <c r="H29" s="2233"/>
      <c r="I29" s="2233">
        <f t="shared" ca="1" si="13"/>
        <v>15</v>
      </c>
      <c r="J29" s="2307"/>
      <c r="K29" s="2307"/>
      <c r="L29" s="2308"/>
      <c r="M29" s="2308"/>
      <c r="N29" s="2308">
        <f t="shared" si="43"/>
        <v>0</v>
      </c>
      <c r="O29" s="2308">
        <f t="shared" si="44"/>
        <v>0</v>
      </c>
      <c r="P29" s="2309">
        <f t="shared" si="4"/>
        <v>0</v>
      </c>
      <c r="Q29" s="2198"/>
      <c r="R29" s="2246" t="e">
        <f t="shared" ca="1" si="5"/>
        <v>#DIV/0!</v>
      </c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198"/>
      <c r="AF29" s="2206"/>
      <c r="AG29" s="2239"/>
      <c r="AH29" s="2239"/>
      <c r="AI29" s="2239"/>
      <c r="AJ29" s="2239"/>
      <c r="AK29" s="2239"/>
      <c r="AL29" s="2239"/>
      <c r="AM29" s="2239"/>
      <c r="AN29" s="2239"/>
      <c r="AO29" s="2198"/>
    </row>
    <row r="30" spans="1:41" s="972" customFormat="1" ht="13.8">
      <c r="A30" s="2246">
        <v>45230</v>
      </c>
      <c r="B30" s="2233">
        <f t="shared" ca="1" si="8"/>
        <v>198</v>
      </c>
      <c r="C30" s="2234"/>
      <c r="D30" s="2306" t="s">
        <v>1118</v>
      </c>
      <c r="E30" s="2234"/>
      <c r="F30" s="2234"/>
      <c r="G30" s="2234"/>
      <c r="H30" s="2233"/>
      <c r="I30" s="2233">
        <f t="shared" ca="1" si="13"/>
        <v>0</v>
      </c>
      <c r="J30" s="2307"/>
      <c r="K30" s="2307">
        <v>0</v>
      </c>
      <c r="L30" s="2308"/>
      <c r="M30" s="2308"/>
      <c r="N30" s="2308">
        <f t="shared" si="43"/>
        <v>0</v>
      </c>
      <c r="O30" s="2308">
        <f t="shared" ref="O30:O32" si="45">L30-N30</f>
        <v>0</v>
      </c>
      <c r="P30" s="2309">
        <f t="shared" ref="P30:P32" si="46">K30*O30</f>
        <v>0</v>
      </c>
      <c r="Q30" s="2198"/>
      <c r="R30" s="2246" t="e">
        <f ca="1">A30+($I30/$H30)</f>
        <v>#DIV/0!</v>
      </c>
      <c r="S30" s="2205"/>
      <c r="T30" s="2205"/>
      <c r="U30" s="2205"/>
      <c r="V30" s="2205"/>
      <c r="W30" s="2205"/>
      <c r="X30" s="2205"/>
      <c r="Y30" s="2205"/>
      <c r="Z30" s="2205"/>
      <c r="AA30" s="2205"/>
      <c r="AB30" s="2205"/>
      <c r="AC30" s="2205"/>
      <c r="AD30" s="2205"/>
      <c r="AE30" s="2198"/>
      <c r="AF30" s="2206"/>
      <c r="AG30" s="2239"/>
      <c r="AH30" s="2239"/>
      <c r="AI30" s="2239"/>
      <c r="AJ30" s="2239"/>
      <c r="AK30" s="2239"/>
      <c r="AL30" s="2239"/>
      <c r="AM30" s="2239"/>
      <c r="AN30" s="2239"/>
      <c r="AO30" s="2198"/>
    </row>
    <row r="31" spans="1:41" s="972" customFormat="1" ht="13.8">
      <c r="A31" s="2246">
        <v>45190</v>
      </c>
      <c r="B31" s="2233">
        <f t="shared" ca="1" si="8"/>
        <v>238</v>
      </c>
      <c r="C31" s="2234">
        <v>30</v>
      </c>
      <c r="D31" s="2306" t="s">
        <v>1569</v>
      </c>
      <c r="E31" s="2234"/>
      <c r="F31" s="2234"/>
      <c r="G31" s="2234"/>
      <c r="H31" s="2233"/>
      <c r="I31" s="2233">
        <f t="shared" ca="1" si="13"/>
        <v>30</v>
      </c>
      <c r="J31" s="2307"/>
      <c r="K31" s="2307">
        <v>0</v>
      </c>
      <c r="L31" s="2308"/>
      <c r="M31" s="2308"/>
      <c r="N31" s="2308">
        <f t="shared" si="43"/>
        <v>0</v>
      </c>
      <c r="O31" s="2308">
        <f t="shared" si="45"/>
        <v>0</v>
      </c>
      <c r="P31" s="2309">
        <f t="shared" si="46"/>
        <v>0</v>
      </c>
      <c r="Q31" s="2198"/>
      <c r="R31" s="2246" t="e">
        <f ca="1">A31+($I31/$H31)</f>
        <v>#DIV/0!</v>
      </c>
      <c r="S31" s="2205"/>
      <c r="T31" s="2205"/>
      <c r="U31" s="2205"/>
      <c r="V31" s="2205"/>
      <c r="W31" s="2205"/>
      <c r="X31" s="2205"/>
      <c r="Y31" s="2205"/>
      <c r="Z31" s="2205"/>
      <c r="AA31" s="2205"/>
      <c r="AB31" s="2205"/>
      <c r="AC31" s="2205"/>
      <c r="AD31" s="2205"/>
      <c r="AE31" s="2198"/>
      <c r="AF31" s="2206"/>
      <c r="AG31" s="2239"/>
      <c r="AH31" s="2239"/>
      <c r="AI31" s="2239"/>
      <c r="AJ31" s="2239"/>
      <c r="AK31" s="2239"/>
      <c r="AL31" s="2239"/>
      <c r="AM31" s="2239"/>
      <c r="AN31" s="2239"/>
      <c r="AO31" s="2198"/>
    </row>
    <row r="32" spans="1:41" s="972" customFormat="1" ht="13.8">
      <c r="A32" s="2246">
        <v>45187</v>
      </c>
      <c r="B32" s="2233">
        <f t="shared" ca="1" si="8"/>
        <v>241</v>
      </c>
      <c r="C32" s="2234">
        <v>15</v>
      </c>
      <c r="D32" s="2306" t="s">
        <v>1570</v>
      </c>
      <c r="E32" s="2234"/>
      <c r="F32" s="2234"/>
      <c r="G32" s="2234"/>
      <c r="H32" s="2233"/>
      <c r="I32" s="2233">
        <f t="shared" ca="1" si="13"/>
        <v>15</v>
      </c>
      <c r="J32" s="2307"/>
      <c r="K32" s="2307">
        <v>0</v>
      </c>
      <c r="L32" s="2308"/>
      <c r="M32" s="2308"/>
      <c r="N32" s="2308">
        <f t="shared" si="43"/>
        <v>0</v>
      </c>
      <c r="O32" s="2308">
        <f t="shared" si="45"/>
        <v>0</v>
      </c>
      <c r="P32" s="2309">
        <f t="shared" si="46"/>
        <v>0</v>
      </c>
      <c r="Q32" s="2198"/>
      <c r="R32" s="2246" t="e">
        <f ca="1">A32+($I32/$H32)</f>
        <v>#DIV/0!</v>
      </c>
      <c r="S32" s="2205"/>
      <c r="T32" s="2205"/>
      <c r="U32" s="2205"/>
      <c r="V32" s="2205"/>
      <c r="W32" s="2205"/>
      <c r="X32" s="2205"/>
      <c r="Y32" s="2205"/>
      <c r="Z32" s="2205"/>
      <c r="AA32" s="2205"/>
      <c r="AB32" s="2205"/>
      <c r="AC32" s="2205"/>
      <c r="AD32" s="2205"/>
      <c r="AE32" s="2198"/>
      <c r="AF32" s="2206"/>
      <c r="AG32" s="2239"/>
      <c r="AH32" s="2239"/>
      <c r="AI32" s="2239"/>
      <c r="AJ32" s="2239"/>
      <c r="AK32" s="2239"/>
      <c r="AL32" s="2239"/>
      <c r="AM32" s="2239"/>
      <c r="AN32" s="2239"/>
      <c r="AO32" s="2198"/>
    </row>
    <row r="33" spans="1:41" s="972" customFormat="1" ht="15.6">
      <c r="A33" s="2806" t="s">
        <v>427</v>
      </c>
      <c r="B33" s="2807"/>
      <c r="C33" s="2807"/>
      <c r="D33" s="2807"/>
      <c r="E33" s="2807"/>
      <c r="F33" s="2807"/>
      <c r="G33" s="2807"/>
      <c r="H33" s="2807"/>
      <c r="I33" s="2209" t="s">
        <v>1572</v>
      </c>
      <c r="J33" s="2210"/>
      <c r="K33" s="2210">
        <v>1727.9</v>
      </c>
      <c r="L33" s="2219" t="s">
        <v>1571</v>
      </c>
      <c r="M33" s="2211" t="s">
        <v>1571</v>
      </c>
      <c r="N33" s="2212">
        <v>45507</v>
      </c>
      <c r="O33" s="2213">
        <f>IF(K33&gt;$E$2,3,IF(K33&gt;$C$2,2,IF(K33&gt;$A$2,1,0)))</f>
        <v>2</v>
      </c>
      <c r="P33" s="2214">
        <f>IF(O33=0,0,IF(O33=1,0.5,IF(O33=2,0.75,0.85)))</f>
        <v>0.75</v>
      </c>
      <c r="Q33" s="2200"/>
      <c r="R33" s="2229"/>
      <c r="S33" s="2230"/>
      <c r="T33" s="2230"/>
      <c r="U33" s="2230"/>
      <c r="V33" s="2230"/>
      <c r="W33" s="2230"/>
      <c r="X33" s="2230"/>
      <c r="Y33" s="2230"/>
      <c r="Z33" s="2230"/>
      <c r="AA33" s="2230"/>
      <c r="AB33" s="2230"/>
      <c r="AC33" s="2230"/>
      <c r="AD33" s="2230"/>
      <c r="AE33" s="2200"/>
      <c r="AF33" s="2215"/>
      <c r="AG33" s="2212"/>
      <c r="AH33" s="2212"/>
      <c r="AI33" s="2212"/>
      <c r="AJ33" s="2212"/>
      <c r="AK33" s="2212"/>
      <c r="AL33" s="2212"/>
      <c r="AM33" s="2212"/>
      <c r="AN33" s="2212"/>
      <c r="AO33" s="2200"/>
    </row>
    <row r="34" spans="1:41" s="972" customFormat="1" ht="12">
      <c r="A34" s="2215">
        <f ca="1">TODAY()</f>
        <v>45428</v>
      </c>
      <c r="B34" s="2212" t="s">
        <v>1192</v>
      </c>
      <c r="C34" s="2231" t="s">
        <v>1573</v>
      </c>
      <c r="D34" s="2231"/>
      <c r="E34" s="2231"/>
      <c r="F34" s="2231"/>
      <c r="G34" s="2231"/>
      <c r="H34" s="2231" t="s">
        <v>1574</v>
      </c>
      <c r="I34" s="2231" t="s">
        <v>424</v>
      </c>
      <c r="J34" s="2231"/>
      <c r="K34" s="2231" t="s">
        <v>1576</v>
      </c>
      <c r="L34" s="2232" t="s">
        <v>1113</v>
      </c>
      <c r="M34" s="2232" t="s">
        <v>1116</v>
      </c>
      <c r="N34" s="2232" t="s">
        <v>1116</v>
      </c>
      <c r="O34" s="2232" t="s">
        <v>1548</v>
      </c>
      <c r="P34" s="2232" t="s">
        <v>1575</v>
      </c>
      <c r="Q34" s="2197"/>
      <c r="R34" s="2229">
        <f t="shared" ref="R34:Z34" si="47">SUM(R35:R42)</f>
        <v>26.5625</v>
      </c>
      <c r="S34" s="2229">
        <f t="shared" si="47"/>
        <v>0</v>
      </c>
      <c r="T34" s="2229">
        <f t="shared" si="47"/>
        <v>0</v>
      </c>
      <c r="U34" s="2229">
        <f t="shared" si="47"/>
        <v>0</v>
      </c>
      <c r="V34" s="2229">
        <f t="shared" si="47"/>
        <v>0</v>
      </c>
      <c r="W34" s="2229">
        <f t="shared" si="47"/>
        <v>0</v>
      </c>
      <c r="X34" s="2229">
        <f t="shared" si="47"/>
        <v>0</v>
      </c>
      <c r="Y34" s="2229">
        <f t="shared" si="47"/>
        <v>0</v>
      </c>
      <c r="Z34" s="2229">
        <f t="shared" si="47"/>
        <v>0</v>
      </c>
      <c r="AA34" s="2229">
        <f t="shared" ref="AA34:AD34" si="48">SUM(AA35:AA42)</f>
        <v>0</v>
      </c>
      <c r="AB34" s="2229">
        <f t="shared" si="48"/>
        <v>0</v>
      </c>
      <c r="AC34" s="2229">
        <f t="shared" si="48"/>
        <v>0</v>
      </c>
      <c r="AD34" s="2229">
        <f t="shared" si="48"/>
        <v>0</v>
      </c>
      <c r="AE34" s="2197"/>
      <c r="AF34" s="2215"/>
      <c r="AG34" s="2212"/>
      <c r="AH34" s="2212"/>
      <c r="AI34" s="2212"/>
      <c r="AJ34" s="2212"/>
      <c r="AK34" s="2212"/>
      <c r="AL34" s="2212"/>
      <c r="AM34" s="2212"/>
      <c r="AN34" s="2212"/>
      <c r="AO34" s="2197"/>
    </row>
    <row r="35" spans="1:41" s="2196" customFormat="1" ht="12.6" customHeight="1">
      <c r="A35" s="2246">
        <v>45201</v>
      </c>
      <c r="B35" s="2233">
        <f ca="1">$A$34-A35</f>
        <v>227</v>
      </c>
      <c r="C35" s="2234">
        <v>100</v>
      </c>
      <c r="D35" s="2306" t="s">
        <v>1559</v>
      </c>
      <c r="E35" s="2234"/>
      <c r="F35" s="2234"/>
      <c r="G35" s="2234"/>
      <c r="H35" s="2233">
        <v>1</v>
      </c>
      <c r="I35" s="2233">
        <f t="shared" ref="I35:I42" ca="1" si="49">C35-(B35*H35)</f>
        <v>-127</v>
      </c>
      <c r="J35" s="2307">
        <v>3</v>
      </c>
      <c r="K35" s="2307">
        <v>1</v>
      </c>
      <c r="L35" s="2308">
        <v>178.1</v>
      </c>
      <c r="M35" s="2308" t="e">
        <f>L35*#REF!</f>
        <v>#REF!</v>
      </c>
      <c r="N35" s="2308">
        <f t="shared" ref="N35:N42" si="50">L35*$P$33</f>
        <v>133.57499999999999</v>
      </c>
      <c r="O35" s="2308">
        <f t="shared" ref="O35:O42" si="51">L35-N35</f>
        <v>44.525000000000006</v>
      </c>
      <c r="P35" s="2309">
        <f t="shared" ref="P35:P42" si="52">K35*O35</f>
        <v>44.525000000000006</v>
      </c>
      <c r="Q35" s="2201"/>
      <c r="R35" s="2205"/>
      <c r="S35" s="2205"/>
      <c r="T35" s="2205"/>
      <c r="U35" s="2205"/>
      <c r="V35" s="2205"/>
      <c r="W35" s="2205"/>
      <c r="X35" s="2205"/>
      <c r="Y35" s="2205"/>
      <c r="Z35" s="2205"/>
      <c r="AA35" s="2205"/>
      <c r="AB35" s="2205"/>
      <c r="AC35" s="2205"/>
      <c r="AD35" s="2205"/>
      <c r="AE35" s="2201"/>
      <c r="AF35" s="2206"/>
      <c r="AG35" s="2239"/>
      <c r="AH35" s="2239"/>
      <c r="AI35" s="2239"/>
      <c r="AJ35" s="2239"/>
      <c r="AK35" s="2239"/>
      <c r="AL35" s="2239"/>
      <c r="AM35" s="2239"/>
      <c r="AN35" s="2239"/>
      <c r="AO35" s="2201"/>
    </row>
    <row r="36" spans="1:41" s="972" customFormat="1" ht="13.8">
      <c r="A36" s="2246">
        <v>45201</v>
      </c>
      <c r="B36" s="2233">
        <f t="shared" ref="B36:B42" ca="1" si="53">$A$34-A36</f>
        <v>227</v>
      </c>
      <c r="C36" s="2234">
        <v>90</v>
      </c>
      <c r="D36" s="2306" t="s">
        <v>1560</v>
      </c>
      <c r="E36" s="2234"/>
      <c r="F36" s="2234"/>
      <c r="G36" s="2234"/>
      <c r="H36" s="2233">
        <v>1</v>
      </c>
      <c r="I36" s="2233">
        <f t="shared" ca="1" si="49"/>
        <v>-137</v>
      </c>
      <c r="J36" s="2307">
        <v>3</v>
      </c>
      <c r="K36" s="2307">
        <v>0</v>
      </c>
      <c r="L36" s="2308">
        <v>179.25</v>
      </c>
      <c r="M36" s="2308" t="e">
        <f>L36*#REF!</f>
        <v>#REF!</v>
      </c>
      <c r="N36" s="2308">
        <f t="shared" si="50"/>
        <v>134.4375</v>
      </c>
      <c r="O36" s="2308">
        <f t="shared" si="51"/>
        <v>44.8125</v>
      </c>
      <c r="P36" s="2309">
        <f t="shared" si="52"/>
        <v>0</v>
      </c>
      <c r="Q36" s="2201"/>
      <c r="R36" s="2205"/>
      <c r="S36" s="2205"/>
      <c r="T36" s="2205"/>
      <c r="U36" s="2205"/>
      <c r="V36" s="2205"/>
      <c r="W36" s="2205"/>
      <c r="X36" s="2205"/>
      <c r="Y36" s="2205"/>
      <c r="Z36" s="2205"/>
      <c r="AA36" s="2205"/>
      <c r="AB36" s="2205"/>
      <c r="AC36" s="2205"/>
      <c r="AD36" s="2205"/>
      <c r="AE36" s="2201"/>
      <c r="AF36" s="2206"/>
      <c r="AG36" s="2239"/>
      <c r="AH36" s="2239"/>
      <c r="AI36" s="2239"/>
      <c r="AJ36" s="2239"/>
      <c r="AK36" s="2239"/>
      <c r="AL36" s="2239"/>
      <c r="AM36" s="2239"/>
      <c r="AN36" s="2239"/>
      <c r="AO36" s="2201"/>
    </row>
    <row r="37" spans="1:41" s="972" customFormat="1" ht="13.8">
      <c r="A37" s="2246">
        <v>45201</v>
      </c>
      <c r="B37" s="2233">
        <f t="shared" ca="1" si="53"/>
        <v>227</v>
      </c>
      <c r="C37" s="2234">
        <v>98</v>
      </c>
      <c r="D37" s="2306" t="s">
        <v>1561</v>
      </c>
      <c r="E37" s="2234"/>
      <c r="F37" s="2234"/>
      <c r="G37" s="2234"/>
      <c r="H37" s="2233">
        <v>1</v>
      </c>
      <c r="I37" s="2233">
        <f t="shared" ca="1" si="49"/>
        <v>-129</v>
      </c>
      <c r="J37" s="2307">
        <v>3</v>
      </c>
      <c r="K37" s="2307">
        <v>1</v>
      </c>
      <c r="L37" s="2308">
        <v>51.2</v>
      </c>
      <c r="M37" s="2308" t="e">
        <f>L37*#REF!</f>
        <v>#REF!</v>
      </c>
      <c r="N37" s="2308">
        <f t="shared" si="50"/>
        <v>38.400000000000006</v>
      </c>
      <c r="O37" s="2308">
        <f t="shared" si="51"/>
        <v>12.799999999999997</v>
      </c>
      <c r="P37" s="2309">
        <f t="shared" si="52"/>
        <v>12.799999999999997</v>
      </c>
      <c r="Q37" s="2201"/>
      <c r="R37" s="2205"/>
      <c r="S37" s="2205"/>
      <c r="T37" s="2205"/>
      <c r="U37" s="2205"/>
      <c r="V37" s="2205"/>
      <c r="W37" s="2205"/>
      <c r="X37" s="2205"/>
      <c r="Y37" s="2205"/>
      <c r="Z37" s="2205"/>
      <c r="AA37" s="2205"/>
      <c r="AB37" s="2205"/>
      <c r="AC37" s="2205"/>
      <c r="AD37" s="2205"/>
      <c r="AE37" s="2201"/>
      <c r="AF37" s="2206"/>
      <c r="AG37" s="2239"/>
      <c r="AH37" s="2239"/>
      <c r="AI37" s="2239"/>
      <c r="AJ37" s="2239"/>
      <c r="AK37" s="2239"/>
      <c r="AL37" s="2239"/>
      <c r="AM37" s="2239"/>
      <c r="AN37" s="2239"/>
      <c r="AO37" s="2201"/>
    </row>
    <row r="38" spans="1:41" s="972" customFormat="1" ht="13.8">
      <c r="A38" s="2246">
        <v>45201</v>
      </c>
      <c r="B38" s="2233">
        <f t="shared" ca="1" si="53"/>
        <v>227</v>
      </c>
      <c r="C38" s="2234">
        <v>100</v>
      </c>
      <c r="D38" s="2306" t="s">
        <v>1562</v>
      </c>
      <c r="E38" s="2234"/>
      <c r="F38" s="2234"/>
      <c r="G38" s="2234"/>
      <c r="H38" s="2233">
        <v>1</v>
      </c>
      <c r="I38" s="2233">
        <f t="shared" ca="1" si="49"/>
        <v>-127</v>
      </c>
      <c r="J38" s="2307">
        <v>4</v>
      </c>
      <c r="K38" s="2307">
        <v>0</v>
      </c>
      <c r="L38" s="2308">
        <v>42.05</v>
      </c>
      <c r="M38" s="2308" t="e">
        <f>L38*#REF!</f>
        <v>#REF!</v>
      </c>
      <c r="N38" s="2308">
        <f t="shared" si="50"/>
        <v>31.537499999999998</v>
      </c>
      <c r="O38" s="2308">
        <f t="shared" si="51"/>
        <v>10.512499999999999</v>
      </c>
      <c r="P38" s="2309">
        <f t="shared" si="52"/>
        <v>0</v>
      </c>
      <c r="Q38" s="2201"/>
      <c r="R38" s="2205"/>
      <c r="S38" s="2205"/>
      <c r="T38" s="2205"/>
      <c r="U38" s="2205"/>
      <c r="V38" s="2205"/>
      <c r="W38" s="2205"/>
      <c r="X38" s="2205"/>
      <c r="Y38" s="2205"/>
      <c r="Z38" s="2205"/>
      <c r="AA38" s="2205"/>
      <c r="AB38" s="2205"/>
      <c r="AC38" s="2205"/>
      <c r="AD38" s="2205"/>
      <c r="AE38" s="2201"/>
      <c r="AF38" s="2206"/>
      <c r="AG38" s="2239"/>
      <c r="AH38" s="2239"/>
      <c r="AI38" s="2239"/>
      <c r="AJ38" s="2239"/>
      <c r="AK38" s="2239"/>
      <c r="AL38" s="2239"/>
      <c r="AM38" s="2239"/>
      <c r="AN38" s="2239"/>
      <c r="AO38" s="2201"/>
    </row>
    <row r="39" spans="1:41" s="972" customFormat="1" ht="13.8">
      <c r="A39" s="2246">
        <v>45159</v>
      </c>
      <c r="B39" s="2233">
        <f t="shared" ca="1" si="53"/>
        <v>269</v>
      </c>
      <c r="C39" s="2234">
        <v>100</v>
      </c>
      <c r="D39" s="2245" t="s">
        <v>1563</v>
      </c>
      <c r="E39" s="2235"/>
      <c r="F39" s="2235"/>
      <c r="G39" s="2235"/>
      <c r="H39" s="2311">
        <v>1</v>
      </c>
      <c r="I39" s="2311">
        <f ca="1">C39-(B39*H39)+20</f>
        <v>-149</v>
      </c>
      <c r="J39" s="2248">
        <v>3</v>
      </c>
      <c r="K39" s="2248">
        <v>1</v>
      </c>
      <c r="L39" s="2236">
        <v>106.25</v>
      </c>
      <c r="M39" s="2236" t="e">
        <f>L39*#REF!</f>
        <v>#REF!</v>
      </c>
      <c r="N39" s="2236">
        <f t="shared" si="50"/>
        <v>79.6875</v>
      </c>
      <c r="O39" s="2236">
        <f t="shared" si="51"/>
        <v>26.5625</v>
      </c>
      <c r="P39" s="2237">
        <f t="shared" si="52"/>
        <v>26.5625</v>
      </c>
      <c r="Q39" s="2201"/>
      <c r="R39" s="2205">
        <f>O39</f>
        <v>26.5625</v>
      </c>
      <c r="S39" s="2205"/>
      <c r="T39" s="2205"/>
      <c r="U39" s="2205"/>
      <c r="V39" s="2205"/>
      <c r="W39" s="2205"/>
      <c r="X39" s="2205"/>
      <c r="Y39" s="2205"/>
      <c r="Z39" s="2205"/>
      <c r="AA39" s="2205"/>
      <c r="AB39" s="2205"/>
      <c r="AC39" s="2205"/>
      <c r="AD39" s="2205"/>
      <c r="AE39" s="2201"/>
      <c r="AF39" s="2206">
        <v>45277</v>
      </c>
      <c r="AG39" s="2239">
        <f>AF39+C39</f>
        <v>45377</v>
      </c>
      <c r="AH39" s="2239"/>
      <c r="AI39" s="2239"/>
      <c r="AJ39" s="2239"/>
      <c r="AK39" s="2239"/>
      <c r="AL39" s="2239"/>
      <c r="AM39" s="2239"/>
      <c r="AN39" s="2239"/>
      <c r="AO39" s="2201"/>
    </row>
    <row r="40" spans="1:41" s="972" customFormat="1" ht="13.8">
      <c r="A40" s="2246">
        <v>45201</v>
      </c>
      <c r="B40" s="2233">
        <f t="shared" ca="1" si="53"/>
        <v>227</v>
      </c>
      <c r="C40" s="2234">
        <v>100</v>
      </c>
      <c r="D40" s="2306" t="s">
        <v>1564</v>
      </c>
      <c r="E40" s="2234"/>
      <c r="F40" s="2234"/>
      <c r="G40" s="2234"/>
      <c r="H40" s="2233">
        <v>1</v>
      </c>
      <c r="I40" s="2233">
        <f t="shared" ca="1" si="49"/>
        <v>-127</v>
      </c>
      <c r="J40" s="2307">
        <v>3</v>
      </c>
      <c r="K40" s="2307">
        <v>0</v>
      </c>
      <c r="L40" s="2308">
        <v>63.4</v>
      </c>
      <c r="M40" s="2308" t="e">
        <f>L40*#REF!</f>
        <v>#REF!</v>
      </c>
      <c r="N40" s="2308">
        <f t="shared" si="50"/>
        <v>47.55</v>
      </c>
      <c r="O40" s="2308">
        <f t="shared" si="51"/>
        <v>15.850000000000001</v>
      </c>
      <c r="P40" s="2309">
        <f t="shared" si="52"/>
        <v>0</v>
      </c>
      <c r="Q40" s="2201"/>
      <c r="R40" s="2205"/>
      <c r="S40" s="2205"/>
      <c r="T40" s="2205"/>
      <c r="U40" s="2205"/>
      <c r="V40" s="2205"/>
      <c r="W40" s="2205"/>
      <c r="X40" s="2205"/>
      <c r="Y40" s="2205"/>
      <c r="Z40" s="2205"/>
      <c r="AA40" s="2205"/>
      <c r="AB40" s="2205"/>
      <c r="AC40" s="2205"/>
      <c r="AD40" s="2205"/>
      <c r="AE40" s="2201"/>
      <c r="AF40" s="2206"/>
      <c r="AG40" s="2239"/>
      <c r="AH40" s="2239"/>
      <c r="AI40" s="2239"/>
      <c r="AJ40" s="2239"/>
      <c r="AK40" s="2239"/>
      <c r="AL40" s="2239"/>
      <c r="AM40" s="2239"/>
      <c r="AN40" s="2239"/>
      <c r="AO40" s="2201"/>
    </row>
    <row r="41" spans="1:41" s="972" customFormat="1" ht="13.8">
      <c r="A41" s="2246">
        <v>45201</v>
      </c>
      <c r="B41" s="2233">
        <f t="shared" ca="1" si="53"/>
        <v>227</v>
      </c>
      <c r="C41" s="2234">
        <v>100</v>
      </c>
      <c r="D41" s="2306" t="s">
        <v>1565</v>
      </c>
      <c r="E41" s="2234"/>
      <c r="F41" s="2234"/>
      <c r="G41" s="2234"/>
      <c r="H41" s="2233">
        <v>1</v>
      </c>
      <c r="I41" s="2233">
        <f t="shared" ca="1" si="49"/>
        <v>-127</v>
      </c>
      <c r="J41" s="2307">
        <v>3</v>
      </c>
      <c r="K41" s="2307">
        <v>0</v>
      </c>
      <c r="L41" s="2308">
        <v>27.2</v>
      </c>
      <c r="M41" s="2308" t="e">
        <f>L41*#REF!</f>
        <v>#REF!</v>
      </c>
      <c r="N41" s="2308">
        <f t="shared" si="50"/>
        <v>20.399999999999999</v>
      </c>
      <c r="O41" s="2308">
        <f t="shared" si="51"/>
        <v>6.8000000000000007</v>
      </c>
      <c r="P41" s="2309">
        <f t="shared" si="52"/>
        <v>0</v>
      </c>
      <c r="Q41" s="2201"/>
      <c r="R41" s="2205"/>
      <c r="S41" s="2205"/>
      <c r="T41" s="2205"/>
      <c r="U41" s="2205"/>
      <c r="V41" s="2205"/>
      <c r="W41" s="2205"/>
      <c r="X41" s="2205"/>
      <c r="Y41" s="2205"/>
      <c r="Z41" s="2205"/>
      <c r="AA41" s="2205"/>
      <c r="AB41" s="2205"/>
      <c r="AC41" s="2205"/>
      <c r="AD41" s="2205"/>
      <c r="AE41" s="2201"/>
      <c r="AF41" s="2206"/>
      <c r="AG41" s="2239"/>
      <c r="AH41" s="2239"/>
      <c r="AI41" s="2239"/>
      <c r="AJ41" s="2239"/>
      <c r="AK41" s="2239"/>
      <c r="AL41" s="2239"/>
      <c r="AM41" s="2239"/>
      <c r="AN41" s="2239"/>
      <c r="AO41" s="2201"/>
    </row>
    <row r="42" spans="1:41" s="972" customFormat="1" ht="13.8">
      <c r="A42" s="2246">
        <v>45201</v>
      </c>
      <c r="B42" s="2233">
        <f t="shared" ca="1" si="53"/>
        <v>227</v>
      </c>
      <c r="C42" s="2234">
        <v>100</v>
      </c>
      <c r="D42" s="2306" t="s">
        <v>1566</v>
      </c>
      <c r="E42" s="2234"/>
      <c r="F42" s="2234"/>
      <c r="G42" s="2234"/>
      <c r="H42" s="2233">
        <v>1</v>
      </c>
      <c r="I42" s="2233">
        <f t="shared" ca="1" si="49"/>
        <v>-127</v>
      </c>
      <c r="J42" s="2307">
        <v>3</v>
      </c>
      <c r="K42" s="2307">
        <v>1</v>
      </c>
      <c r="L42" s="2308">
        <v>78.099999999999994</v>
      </c>
      <c r="M42" s="2308" t="e">
        <f>L42*#REF!</f>
        <v>#REF!</v>
      </c>
      <c r="N42" s="2308">
        <f t="shared" si="50"/>
        <v>58.574999999999996</v>
      </c>
      <c r="O42" s="2308">
        <f t="shared" si="51"/>
        <v>19.524999999999999</v>
      </c>
      <c r="P42" s="2309">
        <f t="shared" si="52"/>
        <v>19.524999999999999</v>
      </c>
      <c r="Q42" s="2201"/>
      <c r="R42" s="2205"/>
      <c r="S42" s="2205"/>
      <c r="T42" s="2205"/>
      <c r="U42" s="2205"/>
      <c r="V42" s="2205"/>
      <c r="W42" s="2205"/>
      <c r="X42" s="2205"/>
      <c r="Y42" s="2205"/>
      <c r="Z42" s="2205"/>
      <c r="AA42" s="2205"/>
      <c r="AB42" s="2205"/>
      <c r="AC42" s="2205"/>
      <c r="AD42" s="2205"/>
      <c r="AE42" s="2201"/>
      <c r="AF42" s="2206"/>
      <c r="AG42" s="2239"/>
      <c r="AH42" s="2239"/>
      <c r="AI42" s="2239"/>
      <c r="AJ42" s="2239"/>
      <c r="AK42" s="2239"/>
      <c r="AL42" s="2239"/>
      <c r="AM42" s="2239"/>
      <c r="AN42" s="2239"/>
      <c r="AO42" s="2201"/>
    </row>
    <row r="43" spans="1:41" s="972" customFormat="1" ht="12.6" thickBot="1">
      <c r="A43" s="2247"/>
      <c r="B43" s="967"/>
      <c r="C43" s="971"/>
      <c r="D43" s="970"/>
      <c r="E43" s="970"/>
      <c r="F43" s="970"/>
      <c r="G43" s="970"/>
      <c r="H43" s="970"/>
      <c r="I43" s="970"/>
      <c r="J43" s="970"/>
      <c r="K43" s="970"/>
      <c r="L43" s="970"/>
      <c r="M43" s="970"/>
      <c r="N43" s="970"/>
      <c r="O43" s="970"/>
      <c r="P43" s="971"/>
      <c r="Q43" s="968"/>
      <c r="R43" s="2204">
        <f>R34+L39</f>
        <v>132.8125</v>
      </c>
      <c r="S43" s="2204"/>
      <c r="T43" s="2204"/>
      <c r="U43" s="2204"/>
      <c r="V43" s="2204"/>
      <c r="W43" s="2204"/>
      <c r="X43" s="2204"/>
      <c r="Y43" s="2204"/>
      <c r="Z43" s="2204"/>
      <c r="AA43" s="2204"/>
      <c r="AB43" s="2204"/>
      <c r="AC43" s="2204"/>
      <c r="AD43" s="2204"/>
      <c r="AE43" s="968"/>
      <c r="AF43" s="967"/>
      <c r="AG43" s="967"/>
      <c r="AH43" s="967"/>
      <c r="AI43" s="967"/>
      <c r="AJ43" s="967"/>
      <c r="AK43" s="967"/>
      <c r="AL43" s="967"/>
      <c r="AM43" s="967"/>
      <c r="AN43" s="967"/>
      <c r="AO43" s="968"/>
    </row>
  </sheetData>
  <mergeCells count="3">
    <mergeCell ref="A33:H33"/>
    <mergeCell ref="A1:H1"/>
    <mergeCell ref="A3:K3"/>
  </mergeCells>
  <conditionalFormatting sqref="R5:R21">
    <cfRule type="colorScale" priority="2">
      <colorScale>
        <cfvo type="min" val="0"/>
        <cfvo type="percentile" val="50"/>
        <cfvo type="max" val="0"/>
        <color theme="9" tint="0.79998168889431442"/>
        <color theme="9" tint="0.39997558519241921"/>
        <color theme="9" tint="-0.499984740745262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362"/>
  <sheetViews>
    <sheetView topLeftCell="A10" workbookViewId="0">
      <selection activeCell="J30" sqref="J30"/>
    </sheetView>
  </sheetViews>
  <sheetFormatPr defaultRowHeight="14.4"/>
  <cols>
    <col min="1" max="1" width="17.5546875" style="2276" customWidth="1"/>
    <col min="2" max="2" width="18.33203125" style="2276" customWidth="1"/>
    <col min="3" max="3" width="10.5546875" style="2300" customWidth="1"/>
    <col min="4" max="16384" width="8.88671875" style="2276"/>
  </cols>
  <sheetData>
    <row r="1" spans="1:3">
      <c r="A1" s="2276" t="s">
        <v>1641</v>
      </c>
      <c r="B1" s="2276" t="s">
        <v>1642</v>
      </c>
      <c r="C1" s="2300" t="s">
        <v>1643</v>
      </c>
    </row>
    <row r="2" spans="1:3">
      <c r="A2" s="2276" t="s">
        <v>1537</v>
      </c>
      <c r="B2" s="2276" t="s">
        <v>1469</v>
      </c>
      <c r="C2" s="2300" t="s">
        <v>1470</v>
      </c>
    </row>
    <row r="3" spans="1:3">
      <c r="A3" s="2276" t="str">
        <f>"01-12-2023 00:00"</f>
        <v>01-12-2023 00:00</v>
      </c>
      <c r="B3" s="2276" t="str">
        <f>"01-12-2023 01:00"</f>
        <v>01-12-2023 01:00</v>
      </c>
      <c r="C3" s="2300" t="s">
        <v>1384</v>
      </c>
    </row>
    <row r="4" spans="1:3">
      <c r="A4" s="2276" t="str">
        <f>"01-12-2023 01:00"</f>
        <v>01-12-2023 01:00</v>
      </c>
      <c r="B4" s="2276" t="str">
        <f>"01-12-2023 02:00"</f>
        <v>01-12-2023 02:00</v>
      </c>
      <c r="C4" s="2300" t="s">
        <v>1515</v>
      </c>
    </row>
    <row r="5" spans="1:3">
      <c r="A5" s="2276" t="str">
        <f>"01-12-2023 02:00"</f>
        <v>01-12-2023 02:00</v>
      </c>
      <c r="B5" s="2276" t="str">
        <f>"01-12-2023 03:00"</f>
        <v>01-12-2023 03:00</v>
      </c>
      <c r="C5" s="2300" t="s">
        <v>1368</v>
      </c>
    </row>
    <row r="6" spans="1:3">
      <c r="A6" s="2276" t="str">
        <f>"01-12-2023 03:00"</f>
        <v>01-12-2023 03:00</v>
      </c>
      <c r="B6" s="2276" t="str">
        <f>"01-12-2023 04:00"</f>
        <v>01-12-2023 04:00</v>
      </c>
      <c r="C6" s="2300" t="s">
        <v>1369</v>
      </c>
    </row>
    <row r="7" spans="1:3">
      <c r="A7" s="2276" t="str">
        <f>"01-12-2023 04:00"</f>
        <v>01-12-2023 04:00</v>
      </c>
      <c r="B7" s="2276" t="str">
        <f>"01-12-2023 05:00"</f>
        <v>01-12-2023 05:00</v>
      </c>
      <c r="C7" s="2300" t="s">
        <v>1374</v>
      </c>
    </row>
    <row r="8" spans="1:3">
      <c r="A8" s="2276" t="str">
        <f>"01-12-2023 05:00"</f>
        <v>01-12-2023 05:00</v>
      </c>
      <c r="B8" s="2276" t="str">
        <f>"01-12-2023 06:00"</f>
        <v>01-12-2023 06:00</v>
      </c>
      <c r="C8" s="2300" t="s">
        <v>1442</v>
      </c>
    </row>
    <row r="9" spans="1:3">
      <c r="A9" s="2276" t="str">
        <f>"01-12-2023 06:00"</f>
        <v>01-12-2023 06:00</v>
      </c>
      <c r="B9" s="2276" t="str">
        <f>"01-12-2023 07:00"</f>
        <v>01-12-2023 07:00</v>
      </c>
      <c r="C9" s="2300" t="s">
        <v>1385</v>
      </c>
    </row>
    <row r="10" spans="1:3">
      <c r="A10" s="2276" t="str">
        <f>"01-12-2023 07:00"</f>
        <v>01-12-2023 07:00</v>
      </c>
      <c r="B10" s="2276" t="str">
        <f>"01-12-2023 08:00"</f>
        <v>01-12-2023 08:00</v>
      </c>
      <c r="C10" s="2300" t="s">
        <v>1501</v>
      </c>
    </row>
    <row r="11" spans="1:3">
      <c r="A11" s="2276" t="str">
        <f>"01-12-2023 08:00"</f>
        <v>01-12-2023 08:00</v>
      </c>
      <c r="B11" s="2276" t="str">
        <f>"01-12-2023 09:00"</f>
        <v>01-12-2023 09:00</v>
      </c>
      <c r="C11" s="2300" t="s">
        <v>1511</v>
      </c>
    </row>
    <row r="12" spans="1:3">
      <c r="A12" s="2276" t="str">
        <f>"01-12-2023 09:00"</f>
        <v>01-12-2023 09:00</v>
      </c>
      <c r="B12" s="2276" t="str">
        <f>"01-12-2023 10:00"</f>
        <v>01-12-2023 10:00</v>
      </c>
      <c r="C12" s="2300" t="s">
        <v>1410</v>
      </c>
    </row>
    <row r="13" spans="1:3">
      <c r="A13" s="2276" t="str">
        <f>"01-12-2023 10:00"</f>
        <v>01-12-2023 10:00</v>
      </c>
      <c r="B13" s="2276" t="str">
        <f>"01-12-2023 11:00"</f>
        <v>01-12-2023 11:00</v>
      </c>
      <c r="C13" s="2300" t="s">
        <v>1504</v>
      </c>
    </row>
    <row r="14" spans="1:3">
      <c r="A14" s="2276" t="str">
        <f>"01-12-2023 11:00"</f>
        <v>01-12-2023 11:00</v>
      </c>
      <c r="B14" s="2276" t="str">
        <f>"01-12-2023 12:00"</f>
        <v>01-12-2023 12:00</v>
      </c>
      <c r="C14" s="2300" t="s">
        <v>1523</v>
      </c>
    </row>
    <row r="15" spans="1:3">
      <c r="A15" s="2276" t="str">
        <f>"01-12-2023 12:00"</f>
        <v>01-12-2023 12:00</v>
      </c>
      <c r="B15" s="2276" t="str">
        <f>"01-12-2023 13:00"</f>
        <v>01-12-2023 13:00</v>
      </c>
      <c r="C15" s="2300" t="s">
        <v>1445</v>
      </c>
    </row>
    <row r="16" spans="1:3">
      <c r="A16" s="2276" t="str">
        <f>"01-12-2023 13:00"</f>
        <v>01-12-2023 13:00</v>
      </c>
      <c r="B16" s="2276" t="str">
        <f>"01-12-2023 14:00"</f>
        <v>01-12-2023 14:00</v>
      </c>
      <c r="C16" s="2300" t="s">
        <v>1520</v>
      </c>
    </row>
    <row r="17" spans="1:3">
      <c r="A17" s="2276" t="str">
        <f>"01-12-2023 14:00"</f>
        <v>01-12-2023 14:00</v>
      </c>
      <c r="B17" s="2276" t="str">
        <f>"01-12-2023 15:00"</f>
        <v>01-12-2023 15:00</v>
      </c>
      <c r="C17" s="2300" t="s">
        <v>1519</v>
      </c>
    </row>
    <row r="18" spans="1:3">
      <c r="A18" s="2276" t="str">
        <f>"01-12-2023 15:00"</f>
        <v>01-12-2023 15:00</v>
      </c>
      <c r="B18" s="2276" t="str">
        <f>"01-12-2023 16:00"</f>
        <v>01-12-2023 16:00</v>
      </c>
      <c r="C18" s="2300" t="s">
        <v>1502</v>
      </c>
    </row>
    <row r="19" spans="1:3">
      <c r="A19" s="2276" t="str">
        <f>"01-12-2023 16:00"</f>
        <v>01-12-2023 16:00</v>
      </c>
      <c r="B19" s="2276" t="str">
        <f>"01-12-2023 17:00"</f>
        <v>01-12-2023 17:00</v>
      </c>
      <c r="C19" s="2300" t="s">
        <v>1533</v>
      </c>
    </row>
    <row r="20" spans="1:3">
      <c r="A20" s="2276" t="str">
        <f>"01-12-2023 17:00"</f>
        <v>01-12-2023 17:00</v>
      </c>
      <c r="B20" s="2276" t="str">
        <f>"01-12-2023 18:00"</f>
        <v>01-12-2023 18:00</v>
      </c>
      <c r="C20" s="2300" t="s">
        <v>1637</v>
      </c>
    </row>
    <row r="21" spans="1:3">
      <c r="A21" s="2276" t="str">
        <f>"01-12-2023 18:00"</f>
        <v>01-12-2023 18:00</v>
      </c>
      <c r="B21" s="2276" t="str">
        <f>"01-12-2023 19:00"</f>
        <v>01-12-2023 19:00</v>
      </c>
      <c r="C21" s="2300" t="s">
        <v>1637</v>
      </c>
    </row>
    <row r="22" spans="1:3">
      <c r="A22" s="2276" t="str">
        <f>"01-12-2023 19:00"</f>
        <v>01-12-2023 19:00</v>
      </c>
      <c r="B22" s="2276" t="str">
        <f>"01-12-2023 20:00"</f>
        <v>01-12-2023 20:00</v>
      </c>
      <c r="C22" s="2300" t="s">
        <v>1517</v>
      </c>
    </row>
    <row r="23" spans="1:3">
      <c r="A23" s="2276" t="str">
        <f>"01-12-2023 20:00"</f>
        <v>01-12-2023 20:00</v>
      </c>
      <c r="B23" s="2276" t="str">
        <f>"01-12-2023 21:00"</f>
        <v>01-12-2023 21:00</v>
      </c>
      <c r="C23" s="2300" t="s">
        <v>1508</v>
      </c>
    </row>
    <row r="24" spans="1:3">
      <c r="A24" s="2276" t="str">
        <f>"01-12-2023 21:00"</f>
        <v>01-12-2023 21:00</v>
      </c>
      <c r="B24" s="2276" t="str">
        <f>"01-12-2023 22:00"</f>
        <v>01-12-2023 22:00</v>
      </c>
      <c r="C24" s="2300" t="s">
        <v>1526</v>
      </c>
    </row>
    <row r="25" spans="1:3">
      <c r="A25" s="2276" t="str">
        <f>"01-12-2023 22:00"</f>
        <v>01-12-2023 22:00</v>
      </c>
      <c r="B25" s="2276" t="str">
        <f>"01-12-2023 23:00"</f>
        <v>01-12-2023 23:00</v>
      </c>
      <c r="C25" s="2300" t="s">
        <v>1457</v>
      </c>
    </row>
    <row r="26" spans="1:3">
      <c r="A26" s="2276" t="str">
        <f>"01-12-2023 23:00"</f>
        <v>01-12-2023 23:00</v>
      </c>
      <c r="B26" s="2276" t="str">
        <f>"02-12-2023 00:00"</f>
        <v>02-12-2023 00:00</v>
      </c>
      <c r="C26" s="2300" t="s">
        <v>1375</v>
      </c>
    </row>
    <row r="27" spans="1:3">
      <c r="A27" s="2276" t="str">
        <f>"02-12-2023 00:00"</f>
        <v>02-12-2023 00:00</v>
      </c>
      <c r="B27" s="2276" t="str">
        <f>"02-12-2023 01:00"</f>
        <v>02-12-2023 01:00</v>
      </c>
      <c r="C27" s="2300" t="s">
        <v>1375</v>
      </c>
    </row>
    <row r="28" spans="1:3">
      <c r="A28" s="2276" t="str">
        <f>"02-12-2023 01:00"</f>
        <v>02-12-2023 01:00</v>
      </c>
      <c r="B28" s="2276" t="str">
        <f>"02-12-2023 02:00"</f>
        <v>02-12-2023 02:00</v>
      </c>
      <c r="C28" s="2300" t="s">
        <v>1426</v>
      </c>
    </row>
    <row r="29" spans="1:3">
      <c r="A29" s="2276" t="str">
        <f>"02-12-2023 02:00"</f>
        <v>02-12-2023 02:00</v>
      </c>
      <c r="B29" s="2276" t="str">
        <f>"02-12-2023 03:00"</f>
        <v>02-12-2023 03:00</v>
      </c>
      <c r="C29" s="2300" t="s">
        <v>1368</v>
      </c>
    </row>
    <row r="30" spans="1:3">
      <c r="A30" s="2276" t="str">
        <f>"02-12-2023 03:00"</f>
        <v>02-12-2023 03:00</v>
      </c>
      <c r="B30" s="2276" t="str">
        <f>"02-12-2023 04:00"</f>
        <v>02-12-2023 04:00</v>
      </c>
      <c r="C30" s="2300" t="s">
        <v>1376</v>
      </c>
    </row>
    <row r="31" spans="1:3">
      <c r="A31" s="2276" t="str">
        <f>"02-12-2023 04:00"</f>
        <v>02-12-2023 04:00</v>
      </c>
      <c r="B31" s="2276" t="str">
        <f>"02-12-2023 05:00"</f>
        <v>02-12-2023 05:00</v>
      </c>
      <c r="C31" s="2300" t="s">
        <v>1442</v>
      </c>
    </row>
    <row r="32" spans="1:3">
      <c r="A32" s="2276" t="str">
        <f>"02-12-2023 05:00"</f>
        <v>02-12-2023 05:00</v>
      </c>
      <c r="B32" s="2276" t="str">
        <f>"02-12-2023 06:00"</f>
        <v>02-12-2023 06:00</v>
      </c>
      <c r="C32" s="2300" t="s">
        <v>1379</v>
      </c>
    </row>
    <row r="33" spans="1:3">
      <c r="A33" s="2276" t="str">
        <f>"02-12-2023 06:00"</f>
        <v>02-12-2023 06:00</v>
      </c>
      <c r="B33" s="2276" t="str">
        <f>"02-12-2023 07:00"</f>
        <v>02-12-2023 07:00</v>
      </c>
      <c r="C33" s="2300" t="s">
        <v>1385</v>
      </c>
    </row>
    <row r="34" spans="1:3">
      <c r="A34" s="2276" t="str">
        <f>"02-12-2023 07:00"</f>
        <v>02-12-2023 07:00</v>
      </c>
      <c r="B34" s="2276" t="str">
        <f>"02-12-2023 08:00"</f>
        <v>02-12-2023 08:00</v>
      </c>
      <c r="C34" s="2300" t="s">
        <v>1422</v>
      </c>
    </row>
    <row r="35" spans="1:3">
      <c r="A35" s="2276" t="str">
        <f>"02-12-2023 08:00"</f>
        <v>02-12-2023 08:00</v>
      </c>
      <c r="B35" s="2276" t="str">
        <f>"02-12-2023 09:00"</f>
        <v>02-12-2023 09:00</v>
      </c>
      <c r="C35" s="2300" t="s">
        <v>1439</v>
      </c>
    </row>
    <row r="36" spans="1:3">
      <c r="A36" s="2276" t="str">
        <f>"02-12-2023 09:00"</f>
        <v>02-12-2023 09:00</v>
      </c>
      <c r="B36" s="2276" t="str">
        <f>"02-12-2023 10:00"</f>
        <v>02-12-2023 10:00</v>
      </c>
      <c r="C36" s="2300" t="s">
        <v>1513</v>
      </c>
    </row>
    <row r="37" spans="1:3">
      <c r="A37" s="2276" t="str">
        <f>"02-12-2023 10:00"</f>
        <v>02-12-2023 10:00</v>
      </c>
      <c r="B37" s="2276" t="str">
        <f>"02-12-2023 11:00"</f>
        <v>02-12-2023 11:00</v>
      </c>
      <c r="C37" s="2300" t="s">
        <v>1450</v>
      </c>
    </row>
    <row r="38" spans="1:3">
      <c r="A38" s="2276" t="str">
        <f>"02-12-2023 11:00"</f>
        <v>02-12-2023 11:00</v>
      </c>
      <c r="B38" s="2276" t="str">
        <f>"02-12-2023 12:00"</f>
        <v>02-12-2023 12:00</v>
      </c>
      <c r="C38" s="2300" t="s">
        <v>1416</v>
      </c>
    </row>
    <row r="39" spans="1:3">
      <c r="A39" s="2276" t="str">
        <f>"02-12-2023 12:00"</f>
        <v>02-12-2023 12:00</v>
      </c>
      <c r="B39" s="2276" t="str">
        <f>"02-12-2023 13:00"</f>
        <v>02-12-2023 13:00</v>
      </c>
      <c r="C39" s="2300" t="s">
        <v>1516</v>
      </c>
    </row>
    <row r="40" spans="1:3">
      <c r="A40" s="2276" t="str">
        <f>"02-12-2023 13:00"</f>
        <v>02-12-2023 13:00</v>
      </c>
      <c r="B40" s="2276" t="str">
        <f>"02-12-2023 14:00"</f>
        <v>02-12-2023 14:00</v>
      </c>
      <c r="C40" s="2300" t="s">
        <v>1508</v>
      </c>
    </row>
    <row r="41" spans="1:3">
      <c r="A41" s="2276" t="str">
        <f>"02-12-2023 14:00"</f>
        <v>02-12-2023 14:00</v>
      </c>
      <c r="B41" s="2276" t="str">
        <f>"02-12-2023 15:00"</f>
        <v>02-12-2023 15:00</v>
      </c>
      <c r="C41" s="2300" t="s">
        <v>1512</v>
      </c>
    </row>
    <row r="42" spans="1:3">
      <c r="A42" s="2276" t="str">
        <f>"02-12-2023 15:00"</f>
        <v>02-12-2023 15:00</v>
      </c>
      <c r="B42" s="2276" t="str">
        <f>"02-12-2023 16:00"</f>
        <v>02-12-2023 16:00</v>
      </c>
      <c r="C42" s="2300" t="s">
        <v>1510</v>
      </c>
    </row>
    <row r="43" spans="1:3">
      <c r="A43" s="2276" t="str">
        <f>"02-12-2023 16:00"</f>
        <v>02-12-2023 16:00</v>
      </c>
      <c r="B43" s="2276" t="str">
        <f>"02-12-2023 17:00"</f>
        <v>02-12-2023 17:00</v>
      </c>
      <c r="C43" s="2300" t="s">
        <v>1434</v>
      </c>
    </row>
    <row r="44" spans="1:3">
      <c r="A44" s="2276" t="str">
        <f>"02-12-2023 17:00"</f>
        <v>02-12-2023 17:00</v>
      </c>
      <c r="B44" s="2276" t="str">
        <f>"02-12-2023 18:00"</f>
        <v>02-12-2023 18:00</v>
      </c>
      <c r="C44" s="2300" t="s">
        <v>1636</v>
      </c>
    </row>
    <row r="45" spans="1:3">
      <c r="A45" s="2276" t="str">
        <f>"02-12-2023 18:00"</f>
        <v>02-12-2023 18:00</v>
      </c>
      <c r="B45" s="2276" t="str">
        <f>"02-12-2023 19:00"</f>
        <v>02-12-2023 19:00</v>
      </c>
      <c r="C45" s="2300" t="s">
        <v>1625</v>
      </c>
    </row>
    <row r="46" spans="1:3">
      <c r="A46" s="2276" t="str">
        <f>"02-12-2023 19:00"</f>
        <v>02-12-2023 19:00</v>
      </c>
      <c r="B46" s="2276" t="str">
        <f>"02-12-2023 20:00"</f>
        <v>02-12-2023 20:00</v>
      </c>
      <c r="C46" s="2300" t="s">
        <v>1635</v>
      </c>
    </row>
    <row r="47" spans="1:3">
      <c r="A47" s="2276" t="str">
        <f>"02-12-2023 20:00"</f>
        <v>02-12-2023 20:00</v>
      </c>
      <c r="B47" s="2276" t="str">
        <f>"02-12-2023 21:00"</f>
        <v>02-12-2023 21:00</v>
      </c>
      <c r="C47" s="2300" t="s">
        <v>1524</v>
      </c>
    </row>
    <row r="48" spans="1:3">
      <c r="A48" s="2276" t="str">
        <f>"02-12-2023 21:00"</f>
        <v>02-12-2023 21:00</v>
      </c>
      <c r="B48" s="2276" t="str">
        <f>"02-12-2023 22:00"</f>
        <v>02-12-2023 22:00</v>
      </c>
      <c r="C48" s="2300" t="s">
        <v>1501</v>
      </c>
    </row>
    <row r="49" spans="1:3">
      <c r="A49" s="2276" t="str">
        <f>"02-12-2023 22:00"</f>
        <v>02-12-2023 22:00</v>
      </c>
      <c r="B49" s="2276" t="str">
        <f>"02-12-2023 23:00"</f>
        <v>02-12-2023 23:00</v>
      </c>
      <c r="C49" s="2300" t="s">
        <v>1427</v>
      </c>
    </row>
    <row r="50" spans="1:3">
      <c r="A50" s="2276" t="str">
        <f>"02-12-2023 23:00"</f>
        <v>02-12-2023 23:00</v>
      </c>
      <c r="B50" s="2276" t="str">
        <f>"03-12-2023 00:00"</f>
        <v>03-12-2023 00:00</v>
      </c>
      <c r="C50" s="2300" t="s">
        <v>1385</v>
      </c>
    </row>
    <row r="51" spans="1:3">
      <c r="A51" s="2276" t="str">
        <f>"03-12-2023 00:00"</f>
        <v>03-12-2023 00:00</v>
      </c>
      <c r="B51" s="2276" t="str">
        <f>"03-12-2023 01:00"</f>
        <v>03-12-2023 01:00</v>
      </c>
      <c r="C51" s="2300" t="s">
        <v>1438</v>
      </c>
    </row>
    <row r="52" spans="1:3">
      <c r="A52" s="2276" t="str">
        <f>"03-12-2023 01:00"</f>
        <v>03-12-2023 01:00</v>
      </c>
      <c r="B52" s="2276" t="str">
        <f>"03-12-2023 02:00"</f>
        <v>03-12-2023 02:00</v>
      </c>
      <c r="C52" s="2300" t="s">
        <v>1426</v>
      </c>
    </row>
    <row r="53" spans="1:3">
      <c r="A53" s="2276" t="str">
        <f>"03-12-2023 02:00"</f>
        <v>03-12-2023 02:00</v>
      </c>
      <c r="B53" s="2276" t="str">
        <f>"03-12-2023 03:00"</f>
        <v>03-12-2023 03:00</v>
      </c>
      <c r="C53" s="2300" t="s">
        <v>1372</v>
      </c>
    </row>
    <row r="54" spans="1:3">
      <c r="A54" s="2276" t="str">
        <f>"03-12-2023 03:00"</f>
        <v>03-12-2023 03:00</v>
      </c>
      <c r="B54" s="2276" t="str">
        <f>"03-12-2023 04:00"</f>
        <v>03-12-2023 04:00</v>
      </c>
      <c r="C54" s="2300" t="s">
        <v>1379</v>
      </c>
    </row>
    <row r="55" spans="1:3">
      <c r="A55" s="2276" t="str">
        <f>"03-12-2023 04:00"</f>
        <v>03-12-2023 04:00</v>
      </c>
      <c r="B55" s="2276" t="str">
        <f>"03-12-2023 05:00"</f>
        <v>03-12-2023 05:00</v>
      </c>
      <c r="C55" s="2300" t="s">
        <v>1370</v>
      </c>
    </row>
    <row r="56" spans="1:3">
      <c r="A56" s="2276" t="str">
        <f>"03-12-2023 05:00"</f>
        <v>03-12-2023 05:00</v>
      </c>
      <c r="B56" s="2276" t="str">
        <f>"03-12-2023 06:00"</f>
        <v>03-12-2023 06:00</v>
      </c>
      <c r="C56" s="2300" t="s">
        <v>1419</v>
      </c>
    </row>
    <row r="57" spans="1:3">
      <c r="A57" s="2276" t="str">
        <f>"03-12-2023 06:00"</f>
        <v>03-12-2023 06:00</v>
      </c>
      <c r="B57" s="2276" t="str">
        <f>"03-12-2023 07:00"</f>
        <v>03-12-2023 07:00</v>
      </c>
      <c r="C57" s="2300" t="s">
        <v>1438</v>
      </c>
    </row>
    <row r="58" spans="1:3">
      <c r="A58" s="2276" t="str">
        <f>"03-12-2023 07:00"</f>
        <v>03-12-2023 07:00</v>
      </c>
      <c r="B58" s="2276" t="str">
        <f>"03-12-2023 08:00"</f>
        <v>03-12-2023 08:00</v>
      </c>
      <c r="C58" s="2300" t="s">
        <v>1372</v>
      </c>
    </row>
    <row r="59" spans="1:3">
      <c r="A59" s="2276" t="str">
        <f>"03-12-2023 08:00"</f>
        <v>03-12-2023 08:00</v>
      </c>
      <c r="B59" s="2276" t="str">
        <f>"03-12-2023 09:00"</f>
        <v>03-12-2023 09:00</v>
      </c>
      <c r="C59" s="2300" t="s">
        <v>1410</v>
      </c>
    </row>
    <row r="60" spans="1:3">
      <c r="A60" s="2276" t="str">
        <f>"03-12-2023 09:00"</f>
        <v>03-12-2023 09:00</v>
      </c>
      <c r="B60" s="2276" t="str">
        <f>"03-12-2023 10:00"</f>
        <v>03-12-2023 10:00</v>
      </c>
      <c r="C60" s="2300" t="s">
        <v>1372</v>
      </c>
    </row>
    <row r="61" spans="1:3">
      <c r="A61" s="2276" t="str">
        <f>"03-12-2023 10:00"</f>
        <v>03-12-2023 10:00</v>
      </c>
      <c r="B61" s="2276" t="str">
        <f>"03-12-2023 11:00"</f>
        <v>03-12-2023 11:00</v>
      </c>
      <c r="C61" s="2300" t="s">
        <v>1396</v>
      </c>
    </row>
    <row r="62" spans="1:3">
      <c r="A62" s="2276" t="str">
        <f>"03-12-2023 11:00"</f>
        <v>03-12-2023 11:00</v>
      </c>
      <c r="B62" s="2276" t="str">
        <f>"03-12-2023 12:00"</f>
        <v>03-12-2023 12:00</v>
      </c>
      <c r="C62" s="2300" t="s">
        <v>1514</v>
      </c>
    </row>
    <row r="63" spans="1:3">
      <c r="A63" s="2276" t="str">
        <f>"03-12-2023 12:00"</f>
        <v>03-12-2023 12:00</v>
      </c>
      <c r="B63" s="2276" t="str">
        <f>"03-12-2023 13:00"</f>
        <v>03-12-2023 13:00</v>
      </c>
      <c r="C63" s="2300" t="s">
        <v>1391</v>
      </c>
    </row>
    <row r="64" spans="1:3">
      <c r="A64" s="2276" t="str">
        <f>"03-12-2023 13:00"</f>
        <v>03-12-2023 13:00</v>
      </c>
      <c r="B64" s="2276" t="str">
        <f>"03-12-2023 14:00"</f>
        <v>03-12-2023 14:00</v>
      </c>
      <c r="C64" s="2300" t="s">
        <v>1634</v>
      </c>
    </row>
    <row r="65" spans="1:3">
      <c r="A65" s="2276" t="str">
        <f>"03-12-2023 14:00"</f>
        <v>03-12-2023 14:00</v>
      </c>
      <c r="B65" s="2276" t="str">
        <f>"03-12-2023 15:00"</f>
        <v>03-12-2023 15:00</v>
      </c>
      <c r="C65" s="2300" t="s">
        <v>1529</v>
      </c>
    </row>
    <row r="66" spans="1:3">
      <c r="A66" s="2276" t="str">
        <f>"03-12-2023 15:00"</f>
        <v>03-12-2023 15:00</v>
      </c>
      <c r="B66" s="2276" t="str">
        <f>"03-12-2023 16:00"</f>
        <v>03-12-2023 16:00</v>
      </c>
      <c r="C66" s="2300" t="s">
        <v>1511</v>
      </c>
    </row>
    <row r="67" spans="1:3">
      <c r="A67" s="2276" t="str">
        <f>"03-12-2023 16:00"</f>
        <v>03-12-2023 16:00</v>
      </c>
      <c r="B67" s="2276" t="str">
        <f>"03-12-2023 17:00"</f>
        <v>03-12-2023 17:00</v>
      </c>
      <c r="C67" s="2300" t="s">
        <v>1510</v>
      </c>
    </row>
    <row r="68" spans="1:3">
      <c r="A68" s="2276" t="str">
        <f>"03-12-2023 17:00"</f>
        <v>03-12-2023 17:00</v>
      </c>
      <c r="B68" s="2276" t="str">
        <f>"03-12-2023 18:00"</f>
        <v>03-12-2023 18:00</v>
      </c>
      <c r="C68" s="2300" t="s">
        <v>1633</v>
      </c>
    </row>
    <row r="69" spans="1:3">
      <c r="A69" s="2276" t="str">
        <f>"03-12-2023 18:00"</f>
        <v>03-12-2023 18:00</v>
      </c>
      <c r="B69" s="2276" t="str">
        <f>"03-12-2023 19:00"</f>
        <v>03-12-2023 19:00</v>
      </c>
      <c r="C69" s="2300" t="s">
        <v>1509</v>
      </c>
    </row>
    <row r="70" spans="1:3">
      <c r="A70" s="2276" t="str">
        <f>"03-12-2023 19:00"</f>
        <v>03-12-2023 19:00</v>
      </c>
      <c r="B70" s="2276" t="str">
        <f>"03-12-2023 20:00"</f>
        <v>03-12-2023 20:00</v>
      </c>
      <c r="C70" s="2300" t="s">
        <v>1533</v>
      </c>
    </row>
    <row r="71" spans="1:3">
      <c r="A71" s="2276" t="str">
        <f>"03-12-2023 20:00"</f>
        <v>03-12-2023 20:00</v>
      </c>
      <c r="B71" s="2276" t="str">
        <f>"03-12-2023 21:00"</f>
        <v>03-12-2023 21:00</v>
      </c>
      <c r="C71" s="2300" t="s">
        <v>1523</v>
      </c>
    </row>
    <row r="72" spans="1:3">
      <c r="A72" s="2276" t="str">
        <f>"03-12-2023 21:00"</f>
        <v>03-12-2023 21:00</v>
      </c>
      <c r="B72" s="2276" t="str">
        <f>"03-12-2023 22:00"</f>
        <v>03-12-2023 22:00</v>
      </c>
      <c r="C72" s="2300" t="s">
        <v>1406</v>
      </c>
    </row>
    <row r="73" spans="1:3">
      <c r="A73" s="2276" t="str">
        <f>"03-12-2023 22:00"</f>
        <v>03-12-2023 22:00</v>
      </c>
      <c r="B73" s="2276" t="str">
        <f>"03-12-2023 23:00"</f>
        <v>03-12-2023 23:00</v>
      </c>
      <c r="C73" s="2300" t="s">
        <v>1388</v>
      </c>
    </row>
    <row r="74" spans="1:3">
      <c r="A74" s="2276" t="str">
        <f>"03-12-2023 23:00"</f>
        <v>03-12-2023 23:00</v>
      </c>
      <c r="B74" s="2276" t="str">
        <f>"04-12-2023 00:00"</f>
        <v>04-12-2023 00:00</v>
      </c>
      <c r="C74" s="2300" t="s">
        <v>1404</v>
      </c>
    </row>
    <row r="75" spans="1:3">
      <c r="A75" s="2276" t="str">
        <f>"04-12-2023 00:00"</f>
        <v>04-12-2023 00:00</v>
      </c>
      <c r="B75" s="2276" t="str">
        <f>"04-12-2023 01:00"</f>
        <v>04-12-2023 01:00</v>
      </c>
      <c r="C75" s="2300" t="s">
        <v>1431</v>
      </c>
    </row>
    <row r="76" spans="1:3">
      <c r="A76" s="2276" t="str">
        <f>"04-12-2023 01:00"</f>
        <v>04-12-2023 01:00</v>
      </c>
      <c r="B76" s="2276" t="str">
        <f>"04-12-2023 02:00"</f>
        <v>04-12-2023 02:00</v>
      </c>
      <c r="C76" s="2300" t="s">
        <v>1515</v>
      </c>
    </row>
    <row r="77" spans="1:3">
      <c r="A77" s="2276" t="str">
        <f>"04-12-2023 02:00"</f>
        <v>04-12-2023 02:00</v>
      </c>
      <c r="B77" s="2276" t="str">
        <f>"04-12-2023 03:00"</f>
        <v>04-12-2023 03:00</v>
      </c>
      <c r="C77" s="2300" t="s">
        <v>1376</v>
      </c>
    </row>
    <row r="78" spans="1:3">
      <c r="A78" s="2276" t="str">
        <f>"04-12-2023 03:00"</f>
        <v>04-12-2023 03:00</v>
      </c>
      <c r="B78" s="2276" t="str">
        <f>"04-12-2023 04:00"</f>
        <v>04-12-2023 04:00</v>
      </c>
      <c r="C78" s="2300" t="s">
        <v>1378</v>
      </c>
    </row>
    <row r="79" spans="1:3">
      <c r="A79" s="2276" t="str">
        <f>"04-12-2023 04:00"</f>
        <v>04-12-2023 04:00</v>
      </c>
      <c r="B79" s="2276" t="str">
        <f>"04-12-2023 05:00"</f>
        <v>04-12-2023 05:00</v>
      </c>
      <c r="C79" s="2300" t="s">
        <v>1379</v>
      </c>
    </row>
    <row r="80" spans="1:3">
      <c r="A80" s="2276" t="str">
        <f>"04-12-2023 05:00"</f>
        <v>04-12-2023 05:00</v>
      </c>
      <c r="B80" s="2276" t="str">
        <f>"04-12-2023 06:00"</f>
        <v>04-12-2023 06:00</v>
      </c>
      <c r="C80" s="2300" t="s">
        <v>1435</v>
      </c>
    </row>
    <row r="81" spans="1:3">
      <c r="A81" s="2276" t="str">
        <f>"04-12-2023 06:00"</f>
        <v>04-12-2023 06:00</v>
      </c>
      <c r="B81" s="2276" t="str">
        <f>"04-12-2023 07:00"</f>
        <v>04-12-2023 07:00</v>
      </c>
      <c r="C81" s="2300" t="s">
        <v>1435</v>
      </c>
    </row>
    <row r="82" spans="1:3">
      <c r="A82" s="2276" t="str">
        <f>"04-12-2023 07:00"</f>
        <v>04-12-2023 07:00</v>
      </c>
      <c r="B82" s="2276" t="str">
        <f>"04-12-2023 08:00"</f>
        <v>04-12-2023 08:00</v>
      </c>
      <c r="C82" s="2300" t="s">
        <v>1514</v>
      </c>
    </row>
    <row r="83" spans="1:3">
      <c r="A83" s="2276" t="str">
        <f>"04-12-2023 08:00"</f>
        <v>04-12-2023 08:00</v>
      </c>
      <c r="B83" s="2276" t="str">
        <f>"04-12-2023 09:00"</f>
        <v>04-12-2023 09:00</v>
      </c>
      <c r="C83" s="2300" t="s">
        <v>1407</v>
      </c>
    </row>
    <row r="84" spans="1:3">
      <c r="A84" s="2276" t="str">
        <f>"04-12-2023 09:00"</f>
        <v>04-12-2023 09:00</v>
      </c>
      <c r="B84" s="2276" t="str">
        <f>"04-12-2023 10:00"</f>
        <v>04-12-2023 10:00</v>
      </c>
      <c r="C84" s="2300" t="s">
        <v>1440</v>
      </c>
    </row>
    <row r="85" spans="1:3">
      <c r="A85" s="2276" t="str">
        <f>"04-12-2023 10:00"</f>
        <v>04-12-2023 10:00</v>
      </c>
      <c r="B85" s="2276" t="str">
        <f>"04-12-2023 11:00"</f>
        <v>04-12-2023 11:00</v>
      </c>
      <c r="C85" s="2300" t="s">
        <v>1462</v>
      </c>
    </row>
    <row r="86" spans="1:3">
      <c r="A86" s="2276" t="str">
        <f>"04-12-2023 11:00"</f>
        <v>04-12-2023 11:00</v>
      </c>
      <c r="B86" s="2276" t="str">
        <f>"04-12-2023 12:00"</f>
        <v>04-12-2023 12:00</v>
      </c>
      <c r="C86" s="2300" t="s">
        <v>1519</v>
      </c>
    </row>
    <row r="87" spans="1:3">
      <c r="A87" s="2276" t="str">
        <f>"04-12-2023 12:00"</f>
        <v>04-12-2023 12:00</v>
      </c>
      <c r="B87" s="2276" t="str">
        <f>"04-12-2023 13:00"</f>
        <v>04-12-2023 13:00</v>
      </c>
      <c r="C87" s="2300" t="s">
        <v>1399</v>
      </c>
    </row>
    <row r="88" spans="1:3">
      <c r="A88" s="2276" t="str">
        <f>"04-12-2023 13:00"</f>
        <v>04-12-2023 13:00</v>
      </c>
      <c r="B88" s="2276" t="str">
        <f>"04-12-2023 14:00"</f>
        <v>04-12-2023 14:00</v>
      </c>
      <c r="C88" s="2300" t="s">
        <v>1502</v>
      </c>
    </row>
    <row r="89" spans="1:3">
      <c r="A89" s="2276" t="str">
        <f>"04-12-2023 14:00"</f>
        <v>04-12-2023 14:00</v>
      </c>
      <c r="B89" s="2276" t="str">
        <f>"04-12-2023 15:00"</f>
        <v>04-12-2023 15:00</v>
      </c>
      <c r="C89" s="2300" t="s">
        <v>1524</v>
      </c>
    </row>
    <row r="90" spans="1:3">
      <c r="A90" s="2276" t="str">
        <f>"04-12-2023 15:00"</f>
        <v>04-12-2023 15:00</v>
      </c>
      <c r="B90" s="2276" t="str">
        <f>"04-12-2023 16:00"</f>
        <v>04-12-2023 16:00</v>
      </c>
      <c r="C90" s="2300" t="s">
        <v>1406</v>
      </c>
    </row>
    <row r="91" spans="1:3">
      <c r="A91" s="2276" t="str">
        <f>"04-12-2023 16:00"</f>
        <v>04-12-2023 16:00</v>
      </c>
      <c r="B91" s="2276" t="str">
        <f>"04-12-2023 17:00"</f>
        <v>04-12-2023 17:00</v>
      </c>
      <c r="C91" s="2300" t="s">
        <v>1503</v>
      </c>
    </row>
    <row r="92" spans="1:3">
      <c r="A92" s="2276" t="str">
        <f>"04-12-2023 17:00"</f>
        <v>04-12-2023 17:00</v>
      </c>
      <c r="B92" s="2276" t="str">
        <f>"04-12-2023 18:00"</f>
        <v>04-12-2023 18:00</v>
      </c>
      <c r="C92" s="2300" t="s">
        <v>1518</v>
      </c>
    </row>
    <row r="93" spans="1:3">
      <c r="A93" s="2276" t="str">
        <f>"04-12-2023 18:00"</f>
        <v>04-12-2023 18:00</v>
      </c>
      <c r="B93" s="2276" t="str">
        <f>"04-12-2023 19:00"</f>
        <v>04-12-2023 19:00</v>
      </c>
      <c r="C93" s="2300" t="s">
        <v>1632</v>
      </c>
    </row>
    <row r="94" spans="1:3">
      <c r="A94" s="2276" t="str">
        <f>"04-12-2023 19:00"</f>
        <v>04-12-2023 19:00</v>
      </c>
      <c r="B94" s="2276" t="str">
        <f>"04-12-2023 20:00"</f>
        <v>04-12-2023 20:00</v>
      </c>
      <c r="C94" s="2300" t="s">
        <v>1391</v>
      </c>
    </row>
    <row r="95" spans="1:3">
      <c r="A95" s="2276" t="str">
        <f>"04-12-2023 20:00"</f>
        <v>04-12-2023 20:00</v>
      </c>
      <c r="B95" s="2276" t="str">
        <f>"04-12-2023 21:00"</f>
        <v>04-12-2023 21:00</v>
      </c>
      <c r="C95" s="2300" t="s">
        <v>1410</v>
      </c>
    </row>
    <row r="96" spans="1:3">
      <c r="A96" s="2276" t="str">
        <f>"04-12-2023 21:00"</f>
        <v>04-12-2023 21:00</v>
      </c>
      <c r="B96" s="2276" t="str">
        <f>"04-12-2023 22:00"</f>
        <v>04-12-2023 22:00</v>
      </c>
      <c r="C96" s="2300" t="s">
        <v>1406</v>
      </c>
    </row>
    <row r="97" spans="1:3">
      <c r="A97" s="2276" t="str">
        <f>"04-12-2023 22:00"</f>
        <v>04-12-2023 22:00</v>
      </c>
      <c r="B97" s="2276" t="str">
        <f>"04-12-2023 23:00"</f>
        <v>04-12-2023 23:00</v>
      </c>
      <c r="C97" s="2300" t="s">
        <v>1413</v>
      </c>
    </row>
    <row r="98" spans="1:3">
      <c r="A98" s="2276" t="str">
        <f>"04-12-2023 23:00"</f>
        <v>04-12-2023 23:00</v>
      </c>
      <c r="B98" s="2276" t="str">
        <f>"05-12-2023 00:00"</f>
        <v>05-12-2023 00:00</v>
      </c>
      <c r="C98" s="2300" t="s">
        <v>1393</v>
      </c>
    </row>
    <row r="99" spans="1:3">
      <c r="A99" s="2276" t="str">
        <f>"05-12-2023 00:00"</f>
        <v>05-12-2023 00:00</v>
      </c>
      <c r="B99" s="2276" t="str">
        <f>"05-12-2023 01:00"</f>
        <v>05-12-2023 01:00</v>
      </c>
      <c r="C99" s="2300" t="s">
        <v>1426</v>
      </c>
    </row>
    <row r="100" spans="1:3">
      <c r="A100" s="2276" t="str">
        <f>"05-12-2023 01:00"</f>
        <v>05-12-2023 01:00</v>
      </c>
      <c r="B100" s="2276" t="str">
        <f>"05-12-2023 02:00"</f>
        <v>05-12-2023 02:00</v>
      </c>
      <c r="C100" s="2300" t="s">
        <v>1369</v>
      </c>
    </row>
    <row r="101" spans="1:3">
      <c r="A101" s="2276" t="str">
        <f>"05-12-2023 02:00"</f>
        <v>05-12-2023 02:00</v>
      </c>
      <c r="B101" s="2276" t="str">
        <f>"05-12-2023 03:00"</f>
        <v>05-12-2023 03:00</v>
      </c>
      <c r="C101" s="2300" t="s">
        <v>1405</v>
      </c>
    </row>
    <row r="102" spans="1:3">
      <c r="A102" s="2276" t="str">
        <f>"05-12-2023 03:00"</f>
        <v>05-12-2023 03:00</v>
      </c>
      <c r="B102" s="2276" t="str">
        <f>"05-12-2023 04:00"</f>
        <v>05-12-2023 04:00</v>
      </c>
      <c r="C102" s="2300" t="s">
        <v>1371</v>
      </c>
    </row>
    <row r="103" spans="1:3">
      <c r="A103" s="2276" t="str">
        <f>"05-12-2023 04:00"</f>
        <v>05-12-2023 04:00</v>
      </c>
      <c r="B103" s="2276" t="str">
        <f>"05-12-2023 05:00"</f>
        <v>05-12-2023 05:00</v>
      </c>
      <c r="C103" s="2300" t="s">
        <v>1386</v>
      </c>
    </row>
    <row r="104" spans="1:3">
      <c r="A104" s="2276" t="str">
        <f>"05-12-2023 05:00"</f>
        <v>05-12-2023 05:00</v>
      </c>
      <c r="B104" s="2276" t="str">
        <f>"05-12-2023 06:00"</f>
        <v>05-12-2023 06:00</v>
      </c>
      <c r="C104" s="2300" t="s">
        <v>1392</v>
      </c>
    </row>
    <row r="105" spans="1:3">
      <c r="A105" s="2276" t="str">
        <f>"05-12-2023 06:00"</f>
        <v>05-12-2023 06:00</v>
      </c>
      <c r="B105" s="2276" t="str">
        <f>"05-12-2023 07:00"</f>
        <v>05-12-2023 07:00</v>
      </c>
      <c r="C105" s="2300" t="s">
        <v>1392</v>
      </c>
    </row>
    <row r="106" spans="1:3">
      <c r="A106" s="2276" t="str">
        <f>"05-12-2023 07:00"</f>
        <v>05-12-2023 07:00</v>
      </c>
      <c r="B106" s="2276" t="str">
        <f>"05-12-2023 08:00"</f>
        <v>05-12-2023 08:00</v>
      </c>
      <c r="C106" s="2300" t="s">
        <v>1374</v>
      </c>
    </row>
    <row r="107" spans="1:3">
      <c r="A107" s="2276" t="str">
        <f>"05-12-2023 08:00"</f>
        <v>05-12-2023 08:00</v>
      </c>
      <c r="B107" s="2276" t="str">
        <f>"05-12-2023 09:00"</f>
        <v>05-12-2023 09:00</v>
      </c>
      <c r="C107" s="2300" t="s">
        <v>1527</v>
      </c>
    </row>
    <row r="108" spans="1:3">
      <c r="A108" s="2276" t="str">
        <f>"05-12-2023 09:00"</f>
        <v>05-12-2023 09:00</v>
      </c>
      <c r="B108" s="2276" t="str">
        <f>"05-12-2023 10:00"</f>
        <v>05-12-2023 10:00</v>
      </c>
      <c r="C108" s="2300" t="s">
        <v>1523</v>
      </c>
    </row>
    <row r="109" spans="1:3">
      <c r="A109" s="2276" t="str">
        <f>"05-12-2023 10:00"</f>
        <v>05-12-2023 10:00</v>
      </c>
      <c r="B109" s="2276" t="str">
        <f>"05-12-2023 11:00"</f>
        <v>05-12-2023 11:00</v>
      </c>
      <c r="C109" s="2300" t="s">
        <v>1416</v>
      </c>
    </row>
    <row r="110" spans="1:3">
      <c r="A110" s="2276" t="str">
        <f>"05-12-2023 11:00"</f>
        <v>05-12-2023 11:00</v>
      </c>
      <c r="B110" s="2276" t="str">
        <f>"05-12-2023 12:00"</f>
        <v>05-12-2023 12:00</v>
      </c>
      <c r="C110" s="2300" t="s">
        <v>1396</v>
      </c>
    </row>
    <row r="111" spans="1:3">
      <c r="A111" s="2276" t="str">
        <f>"05-12-2023 12:00"</f>
        <v>05-12-2023 12:00</v>
      </c>
      <c r="B111" s="2276" t="str">
        <f>"05-12-2023 13:00"</f>
        <v>05-12-2023 13:00</v>
      </c>
      <c r="C111" s="2300" t="s">
        <v>1432</v>
      </c>
    </row>
    <row r="112" spans="1:3">
      <c r="A112" s="2276" t="str">
        <f>"05-12-2023 13:00"</f>
        <v>05-12-2023 13:00</v>
      </c>
      <c r="B112" s="2276" t="str">
        <f>"05-12-2023 14:00"</f>
        <v>05-12-2023 14:00</v>
      </c>
      <c r="C112" s="2300" t="s">
        <v>1521</v>
      </c>
    </row>
    <row r="113" spans="1:3">
      <c r="A113" s="2276" t="str">
        <f>"05-12-2023 14:00"</f>
        <v>05-12-2023 14:00</v>
      </c>
      <c r="B113" s="2276" t="str">
        <f>"05-12-2023 15:00"</f>
        <v>05-12-2023 15:00</v>
      </c>
      <c r="C113" s="2300" t="s">
        <v>1520</v>
      </c>
    </row>
    <row r="114" spans="1:3">
      <c r="A114" s="2276" t="str">
        <f>"05-12-2023 15:00"</f>
        <v>05-12-2023 15:00</v>
      </c>
      <c r="B114" s="2276" t="str">
        <f>"05-12-2023 16:00"</f>
        <v>05-12-2023 16:00</v>
      </c>
      <c r="C114" s="2300" t="s">
        <v>1402</v>
      </c>
    </row>
    <row r="115" spans="1:3">
      <c r="A115" s="2276" t="str">
        <f>"05-12-2023 16:00"</f>
        <v>05-12-2023 16:00</v>
      </c>
      <c r="B115" s="2276" t="str">
        <f>"05-12-2023 17:00"</f>
        <v>05-12-2023 17:00</v>
      </c>
      <c r="C115" s="2300" t="s">
        <v>1625</v>
      </c>
    </row>
    <row r="116" spans="1:3">
      <c r="A116" s="2276" t="str">
        <f>"05-12-2023 17:00"</f>
        <v>05-12-2023 17:00</v>
      </c>
      <c r="B116" s="2276" t="str">
        <f>"05-12-2023 18:00"</f>
        <v>05-12-2023 18:00</v>
      </c>
      <c r="C116" s="2300" t="s">
        <v>1434</v>
      </c>
    </row>
    <row r="117" spans="1:3">
      <c r="A117" s="2276" t="str">
        <f>"05-12-2023 18:00"</f>
        <v>05-12-2023 18:00</v>
      </c>
      <c r="B117" s="2276" t="str">
        <f>"05-12-2023 19:00"</f>
        <v>05-12-2023 19:00</v>
      </c>
      <c r="C117" s="2300" t="s">
        <v>1500</v>
      </c>
    </row>
    <row r="118" spans="1:3">
      <c r="A118" s="2276" t="str">
        <f>"05-12-2023 19:00"</f>
        <v>05-12-2023 19:00</v>
      </c>
      <c r="B118" s="2276" t="str">
        <f>"05-12-2023 20:00"</f>
        <v>05-12-2023 20:00</v>
      </c>
      <c r="C118" s="2300" t="s">
        <v>1528</v>
      </c>
    </row>
    <row r="119" spans="1:3">
      <c r="A119" s="2276" t="str">
        <f>"05-12-2023 20:00"</f>
        <v>05-12-2023 20:00</v>
      </c>
      <c r="B119" s="2276" t="str">
        <f>"05-12-2023 21:00"</f>
        <v>05-12-2023 21:00</v>
      </c>
      <c r="C119" s="2300" t="s">
        <v>1624</v>
      </c>
    </row>
    <row r="120" spans="1:3">
      <c r="A120" s="2276" t="str">
        <f>"05-12-2023 21:00"</f>
        <v>05-12-2023 21:00</v>
      </c>
      <c r="B120" s="2276" t="str">
        <f>"05-12-2023 22:00"</f>
        <v>05-12-2023 22:00</v>
      </c>
      <c r="C120" s="2300" t="s">
        <v>1497</v>
      </c>
    </row>
    <row r="121" spans="1:3">
      <c r="A121" s="2276" t="str">
        <f>"05-12-2023 22:00"</f>
        <v>05-12-2023 22:00</v>
      </c>
      <c r="B121" s="2276" t="str">
        <f>"05-12-2023 23:00"</f>
        <v>05-12-2023 23:00</v>
      </c>
      <c r="C121" s="2300" t="s">
        <v>1463</v>
      </c>
    </row>
    <row r="122" spans="1:3">
      <c r="A122" s="2276" t="str">
        <f>"05-12-2023 23:00"</f>
        <v>05-12-2023 23:00</v>
      </c>
      <c r="B122" s="2276" t="str">
        <f>"06-12-2023 00:00"</f>
        <v>06-12-2023 00:00</v>
      </c>
      <c r="C122" s="2300" t="s">
        <v>1426</v>
      </c>
    </row>
    <row r="123" spans="1:3">
      <c r="A123" s="2276" t="str">
        <f>"06-12-2023 00:00"</f>
        <v>06-12-2023 00:00</v>
      </c>
      <c r="B123" s="2276" t="str">
        <f>"06-12-2023 01:00"</f>
        <v>06-12-2023 01:00</v>
      </c>
      <c r="C123" s="2300" t="s">
        <v>1384</v>
      </c>
    </row>
    <row r="124" spans="1:3">
      <c r="A124" s="2276" t="str">
        <f>"06-12-2023 01:00"</f>
        <v>06-12-2023 01:00</v>
      </c>
      <c r="B124" s="2276" t="str">
        <f>"06-12-2023 02:00"</f>
        <v>06-12-2023 02:00</v>
      </c>
      <c r="C124" s="2300" t="s">
        <v>1384</v>
      </c>
    </row>
    <row r="125" spans="1:3">
      <c r="A125" s="2276" t="str">
        <f>"06-12-2023 02:00"</f>
        <v>06-12-2023 02:00</v>
      </c>
      <c r="B125" s="2276" t="str">
        <f>"06-12-2023 03:00"</f>
        <v>06-12-2023 03:00</v>
      </c>
      <c r="C125" s="2300" t="s">
        <v>1375</v>
      </c>
    </row>
    <row r="126" spans="1:3">
      <c r="A126" s="2276" t="str">
        <f>"06-12-2023 03:00"</f>
        <v>06-12-2023 03:00</v>
      </c>
      <c r="B126" s="2276" t="str">
        <f>"06-12-2023 04:00"</f>
        <v>06-12-2023 04:00</v>
      </c>
      <c r="C126" s="2300" t="s">
        <v>1386</v>
      </c>
    </row>
    <row r="127" spans="1:3">
      <c r="A127" s="2276" t="str">
        <f>"06-12-2023 04:00"</f>
        <v>06-12-2023 04:00</v>
      </c>
      <c r="B127" s="2276" t="str">
        <f>"06-12-2023 05:00"</f>
        <v>06-12-2023 05:00</v>
      </c>
      <c r="C127" s="2300" t="s">
        <v>1515</v>
      </c>
    </row>
    <row r="128" spans="1:3">
      <c r="A128" s="2276" t="str">
        <f>"06-12-2023 05:00"</f>
        <v>06-12-2023 05:00</v>
      </c>
      <c r="B128" s="2276" t="str">
        <f>"06-12-2023 06:00"</f>
        <v>06-12-2023 06:00</v>
      </c>
      <c r="C128" s="2300" t="s">
        <v>1372</v>
      </c>
    </row>
    <row r="129" spans="1:3">
      <c r="A129" s="2276" t="str">
        <f>"06-12-2023 06:00"</f>
        <v>06-12-2023 06:00</v>
      </c>
      <c r="B129" s="2276" t="str">
        <f>"06-12-2023 07:00"</f>
        <v>06-12-2023 07:00</v>
      </c>
      <c r="C129" s="2300" t="s">
        <v>1373</v>
      </c>
    </row>
    <row r="130" spans="1:3">
      <c r="A130" s="2276" t="str">
        <f>"06-12-2023 07:00"</f>
        <v>06-12-2023 07:00</v>
      </c>
      <c r="B130" s="2276" t="str">
        <f>"06-12-2023 08:00"</f>
        <v>06-12-2023 08:00</v>
      </c>
      <c r="C130" s="2300" t="s">
        <v>1406</v>
      </c>
    </row>
    <row r="131" spans="1:3">
      <c r="A131" s="2276" t="str">
        <f>"06-12-2023 08:00"</f>
        <v>06-12-2023 08:00</v>
      </c>
      <c r="B131" s="2276" t="str">
        <f>"06-12-2023 09:00"</f>
        <v>06-12-2023 09:00</v>
      </c>
      <c r="C131" s="2300" t="s">
        <v>1502</v>
      </c>
    </row>
    <row r="132" spans="1:3">
      <c r="A132" s="2276" t="str">
        <f>"06-12-2023 09:00"</f>
        <v>06-12-2023 09:00</v>
      </c>
      <c r="B132" s="2276" t="str">
        <f>"06-12-2023 10:00"</f>
        <v>06-12-2023 10:00</v>
      </c>
      <c r="C132" s="2300" t="s">
        <v>1499</v>
      </c>
    </row>
    <row r="133" spans="1:3">
      <c r="A133" s="2276" t="str">
        <f>"06-12-2023 10:00"</f>
        <v>06-12-2023 10:00</v>
      </c>
      <c r="B133" s="2276" t="str">
        <f>"06-12-2023 11:00"</f>
        <v>06-12-2023 11:00</v>
      </c>
      <c r="C133" s="2300" t="s">
        <v>1503</v>
      </c>
    </row>
    <row r="134" spans="1:3">
      <c r="A134" s="2276" t="str">
        <f>"06-12-2023 11:00"</f>
        <v>06-12-2023 11:00</v>
      </c>
      <c r="B134" s="2276" t="str">
        <f>"06-12-2023 12:00"</f>
        <v>06-12-2023 12:00</v>
      </c>
      <c r="C134" s="2300" t="s">
        <v>1388</v>
      </c>
    </row>
    <row r="135" spans="1:3">
      <c r="A135" s="2276" t="str">
        <f>"06-12-2023 12:00"</f>
        <v>06-12-2023 12:00</v>
      </c>
      <c r="B135" s="2276" t="str">
        <f>"06-12-2023 13:00"</f>
        <v>06-12-2023 13:00</v>
      </c>
      <c r="C135" s="2300" t="s">
        <v>1501</v>
      </c>
    </row>
    <row r="136" spans="1:3">
      <c r="A136" s="2276" t="str">
        <f>"06-12-2023 13:00"</f>
        <v>06-12-2023 13:00</v>
      </c>
      <c r="B136" s="2276" t="str">
        <f>"06-12-2023 14:00"</f>
        <v>06-12-2023 14:00</v>
      </c>
      <c r="C136" s="2300" t="s">
        <v>1499</v>
      </c>
    </row>
    <row r="137" spans="1:3">
      <c r="A137" s="2276" t="str">
        <f>"06-12-2023 14:00"</f>
        <v>06-12-2023 14:00</v>
      </c>
      <c r="B137" s="2276" t="str">
        <f>"06-12-2023 15:00"</f>
        <v>06-12-2023 15:00</v>
      </c>
      <c r="C137" s="2300" t="s">
        <v>1434</v>
      </c>
    </row>
    <row r="138" spans="1:3">
      <c r="A138" s="2276" t="str">
        <f>"06-12-2023 15:00"</f>
        <v>06-12-2023 15:00</v>
      </c>
      <c r="B138" s="2276" t="str">
        <f>"06-12-2023 16:00"</f>
        <v>06-12-2023 16:00</v>
      </c>
      <c r="C138" s="2300" t="s">
        <v>1506</v>
      </c>
    </row>
    <row r="139" spans="1:3">
      <c r="A139" s="2276" t="str">
        <f>"06-12-2023 16:00"</f>
        <v>06-12-2023 16:00</v>
      </c>
      <c r="B139" s="2276" t="str">
        <f>"06-12-2023 17:00"</f>
        <v>06-12-2023 17:00</v>
      </c>
      <c r="C139" s="2300" t="s">
        <v>1425</v>
      </c>
    </row>
    <row r="140" spans="1:3">
      <c r="A140" s="2276" t="str">
        <f>"06-12-2023 17:00"</f>
        <v>06-12-2023 17:00</v>
      </c>
      <c r="B140" s="2276" t="str">
        <f>"06-12-2023 18:00"</f>
        <v>06-12-2023 18:00</v>
      </c>
      <c r="C140" s="2300" t="s">
        <v>1631</v>
      </c>
    </row>
    <row r="141" spans="1:3">
      <c r="A141" s="2276" t="str">
        <f>"06-12-2023 18:00"</f>
        <v>06-12-2023 18:00</v>
      </c>
      <c r="B141" s="2276" t="str">
        <f>"06-12-2023 19:00"</f>
        <v>06-12-2023 19:00</v>
      </c>
      <c r="C141" s="2300" t="s">
        <v>1630</v>
      </c>
    </row>
    <row r="142" spans="1:3">
      <c r="A142" s="2276" t="str">
        <f>"06-12-2023 19:00"</f>
        <v>06-12-2023 19:00</v>
      </c>
      <c r="B142" s="2276" t="str">
        <f>"06-12-2023 20:00"</f>
        <v>06-12-2023 20:00</v>
      </c>
      <c r="C142" s="2300" t="s">
        <v>1629</v>
      </c>
    </row>
    <row r="143" spans="1:3">
      <c r="A143" s="2276" t="str">
        <f>"06-12-2023 20:00"</f>
        <v>06-12-2023 20:00</v>
      </c>
      <c r="B143" s="2276" t="str">
        <f>"06-12-2023 21:00"</f>
        <v>06-12-2023 21:00</v>
      </c>
      <c r="C143" s="2300" t="s">
        <v>1530</v>
      </c>
    </row>
    <row r="144" spans="1:3">
      <c r="A144" s="2276" t="str">
        <f>"06-12-2023 21:00"</f>
        <v>06-12-2023 21:00</v>
      </c>
      <c r="B144" s="2276" t="str">
        <f>"06-12-2023 22:00"</f>
        <v>06-12-2023 22:00</v>
      </c>
      <c r="C144" s="2300" t="s">
        <v>1519</v>
      </c>
    </row>
    <row r="145" spans="1:3">
      <c r="A145" s="2276" t="str">
        <f>"06-12-2023 22:00"</f>
        <v>06-12-2023 22:00</v>
      </c>
      <c r="B145" s="2276" t="str">
        <f>"06-12-2023 23:00"</f>
        <v>06-12-2023 23:00</v>
      </c>
      <c r="C145" s="2300" t="s">
        <v>1498</v>
      </c>
    </row>
    <row r="146" spans="1:3">
      <c r="A146" s="2276" t="str">
        <f>"06-12-2023 23:00"</f>
        <v>06-12-2023 23:00</v>
      </c>
      <c r="B146" s="2276" t="str">
        <f>"07-12-2023 00:00"</f>
        <v>07-12-2023 00:00</v>
      </c>
      <c r="C146" s="2300" t="s">
        <v>1415</v>
      </c>
    </row>
    <row r="147" spans="1:3">
      <c r="A147" s="2276" t="str">
        <f>"07-12-2023 00:00"</f>
        <v>07-12-2023 00:00</v>
      </c>
      <c r="B147" s="2276" t="str">
        <f>"07-12-2023 01:00"</f>
        <v>07-12-2023 01:00</v>
      </c>
      <c r="C147" s="2300" t="s">
        <v>1413</v>
      </c>
    </row>
    <row r="148" spans="1:3">
      <c r="A148" s="2276" t="str">
        <f>"07-12-2023 01:00"</f>
        <v>07-12-2023 01:00</v>
      </c>
      <c r="B148" s="2276" t="str">
        <f>"07-12-2023 02:00"</f>
        <v>07-12-2023 02:00</v>
      </c>
      <c r="C148" s="2300" t="s">
        <v>1437</v>
      </c>
    </row>
    <row r="149" spans="1:3">
      <c r="A149" s="2276" t="str">
        <f>"07-12-2023 02:00"</f>
        <v>07-12-2023 02:00</v>
      </c>
      <c r="B149" s="2276" t="str">
        <f>"07-12-2023 03:00"</f>
        <v>07-12-2023 03:00</v>
      </c>
      <c r="C149" s="2300" t="s">
        <v>1407</v>
      </c>
    </row>
    <row r="150" spans="1:3">
      <c r="A150" s="2276" t="str">
        <f>"07-12-2023 03:00"</f>
        <v>07-12-2023 03:00</v>
      </c>
      <c r="B150" s="2276" t="str">
        <f>"07-12-2023 04:00"</f>
        <v>07-12-2023 04:00</v>
      </c>
      <c r="C150" s="2300" t="s">
        <v>1435</v>
      </c>
    </row>
    <row r="151" spans="1:3">
      <c r="A151" s="2276" t="str">
        <f>"07-12-2023 04:00"</f>
        <v>07-12-2023 04:00</v>
      </c>
      <c r="B151" s="2276" t="str">
        <f>"07-12-2023 05:00"</f>
        <v>07-12-2023 05:00</v>
      </c>
      <c r="C151" s="2300" t="s">
        <v>1370</v>
      </c>
    </row>
    <row r="152" spans="1:3">
      <c r="A152" s="2276" t="str">
        <f>"07-12-2023 05:00"</f>
        <v>07-12-2023 05:00</v>
      </c>
      <c r="B152" s="2276" t="str">
        <f>"07-12-2023 06:00"</f>
        <v>07-12-2023 06:00</v>
      </c>
      <c r="C152" s="2300" t="s">
        <v>1419</v>
      </c>
    </row>
    <row r="153" spans="1:3">
      <c r="A153" s="2276" t="str">
        <f>"07-12-2023 06:00"</f>
        <v>07-12-2023 06:00</v>
      </c>
      <c r="B153" s="2276" t="str">
        <f>"07-12-2023 07:00"</f>
        <v>07-12-2023 07:00</v>
      </c>
      <c r="C153" s="2300" t="s">
        <v>1368</v>
      </c>
    </row>
    <row r="154" spans="1:3">
      <c r="A154" s="2276" t="str">
        <f>"07-12-2023 07:00"</f>
        <v>07-12-2023 07:00</v>
      </c>
      <c r="B154" s="2276" t="str">
        <f>"07-12-2023 08:00"</f>
        <v>07-12-2023 08:00</v>
      </c>
      <c r="C154" s="2300" t="s">
        <v>1454</v>
      </c>
    </row>
    <row r="155" spans="1:3">
      <c r="A155" s="2276" t="str">
        <f>"07-12-2023 08:00"</f>
        <v>07-12-2023 08:00</v>
      </c>
      <c r="B155" s="2276" t="str">
        <f>"07-12-2023 09:00"</f>
        <v>07-12-2023 09:00</v>
      </c>
      <c r="C155" s="2300" t="s">
        <v>1396</v>
      </c>
    </row>
    <row r="156" spans="1:3">
      <c r="A156" s="2276" t="str">
        <f>"07-12-2023 09:00"</f>
        <v>07-12-2023 09:00</v>
      </c>
      <c r="B156" s="2276" t="str">
        <f>"07-12-2023 10:00"</f>
        <v>07-12-2023 10:00</v>
      </c>
      <c r="C156" s="2300" t="s">
        <v>1428</v>
      </c>
    </row>
    <row r="157" spans="1:3">
      <c r="A157" s="2276" t="str">
        <f>"07-12-2023 10:00"</f>
        <v>07-12-2023 10:00</v>
      </c>
      <c r="B157" s="2276" t="str">
        <f>"07-12-2023 11:00"</f>
        <v>07-12-2023 11:00</v>
      </c>
      <c r="C157" s="2300" t="s">
        <v>1414</v>
      </c>
    </row>
    <row r="158" spans="1:3">
      <c r="A158" s="2276" t="str">
        <f>"07-12-2023 11:00"</f>
        <v>07-12-2023 11:00</v>
      </c>
      <c r="B158" s="2276" t="str">
        <f>"07-12-2023 12:00"</f>
        <v>07-12-2023 12:00</v>
      </c>
      <c r="C158" s="2300" t="s">
        <v>1423</v>
      </c>
    </row>
    <row r="159" spans="1:3">
      <c r="A159" s="2276" t="str">
        <f>"07-12-2023 12:00"</f>
        <v>07-12-2023 12:00</v>
      </c>
      <c r="B159" s="2276" t="str">
        <f>"07-12-2023 13:00"</f>
        <v>07-12-2023 13:00</v>
      </c>
      <c r="C159" s="2300" t="s">
        <v>1536</v>
      </c>
    </row>
    <row r="160" spans="1:3">
      <c r="A160" s="2276" t="str">
        <f>"07-12-2023 13:00"</f>
        <v>07-12-2023 13:00</v>
      </c>
      <c r="B160" s="2276" t="str">
        <f>"07-12-2023 14:00"</f>
        <v>07-12-2023 14:00</v>
      </c>
      <c r="C160" s="2300" t="s">
        <v>1520</v>
      </c>
    </row>
    <row r="161" spans="1:3">
      <c r="A161" s="2276" t="str">
        <f>"07-12-2023 14:00"</f>
        <v>07-12-2023 14:00</v>
      </c>
      <c r="B161" s="2276" t="str">
        <f>"07-12-2023 15:00"</f>
        <v>07-12-2023 15:00</v>
      </c>
      <c r="C161" s="2300" t="s">
        <v>1433</v>
      </c>
    </row>
    <row r="162" spans="1:3">
      <c r="A162" s="2276" t="str">
        <f>"07-12-2023 15:00"</f>
        <v>07-12-2023 15:00</v>
      </c>
      <c r="B162" s="2276" t="str">
        <f>"07-12-2023 16:00"</f>
        <v>07-12-2023 16:00</v>
      </c>
      <c r="C162" s="2300" t="s">
        <v>1517</v>
      </c>
    </row>
    <row r="163" spans="1:3">
      <c r="A163" s="2276" t="str">
        <f>"07-12-2023 16:00"</f>
        <v>07-12-2023 16:00</v>
      </c>
      <c r="B163" s="2276" t="str">
        <f>"07-12-2023 17:00"</f>
        <v>07-12-2023 17:00</v>
      </c>
      <c r="C163" s="2300" t="s">
        <v>1480</v>
      </c>
    </row>
    <row r="164" spans="1:3">
      <c r="A164" s="2276" t="str">
        <f>"07-12-2023 17:00"</f>
        <v>07-12-2023 17:00</v>
      </c>
      <c r="B164" s="2276" t="str">
        <f>"07-12-2023 18:00"</f>
        <v>07-12-2023 18:00</v>
      </c>
      <c r="C164" s="2300" t="s">
        <v>1628</v>
      </c>
    </row>
    <row r="165" spans="1:3">
      <c r="A165" s="2276" t="str">
        <f>"07-12-2023 18:00"</f>
        <v>07-12-2023 18:00</v>
      </c>
      <c r="B165" s="2276" t="str">
        <f>"07-12-2023 19:00"</f>
        <v>07-12-2023 19:00</v>
      </c>
      <c r="C165" s="2300" t="s">
        <v>1535</v>
      </c>
    </row>
    <row r="166" spans="1:3">
      <c r="A166" s="2276" t="str">
        <f>"07-12-2023 19:00"</f>
        <v>07-12-2023 19:00</v>
      </c>
      <c r="B166" s="2276" t="str">
        <f>"07-12-2023 20:00"</f>
        <v>07-12-2023 20:00</v>
      </c>
      <c r="C166" s="2300" t="s">
        <v>1627</v>
      </c>
    </row>
    <row r="167" spans="1:3">
      <c r="A167" s="2276" t="str">
        <f>"07-12-2023 20:00"</f>
        <v>07-12-2023 20:00</v>
      </c>
      <c r="B167" s="2276" t="str">
        <f>"07-12-2023 21:00"</f>
        <v>07-12-2023 21:00</v>
      </c>
      <c r="C167" s="2300" t="s">
        <v>1402</v>
      </c>
    </row>
    <row r="168" spans="1:3">
      <c r="A168" s="2276" t="str">
        <f>"07-12-2023 21:00"</f>
        <v>07-12-2023 21:00</v>
      </c>
      <c r="B168" s="2276" t="str">
        <f>"07-12-2023 22:00"</f>
        <v>07-12-2023 22:00</v>
      </c>
      <c r="C168" s="2300" t="s">
        <v>1499</v>
      </c>
    </row>
    <row r="169" spans="1:3">
      <c r="A169" s="2276" t="str">
        <f>"07-12-2023 22:00"</f>
        <v>07-12-2023 22:00</v>
      </c>
      <c r="B169" s="2276" t="str">
        <f>"07-12-2023 23:00"</f>
        <v>07-12-2023 23:00</v>
      </c>
      <c r="C169" s="2300" t="s">
        <v>1504</v>
      </c>
    </row>
    <row r="170" spans="1:3">
      <c r="A170" s="2276" t="str">
        <f>"07-12-2023 23:00"</f>
        <v>07-12-2023 23:00</v>
      </c>
      <c r="B170" s="2276" t="str">
        <f>"08-12-2023 00:00"</f>
        <v>08-12-2023 00:00</v>
      </c>
      <c r="C170" s="2300" t="s">
        <v>1408</v>
      </c>
    </row>
    <row r="171" spans="1:3">
      <c r="A171" s="2276" t="str">
        <f>"08-12-2023 00:00"</f>
        <v>08-12-2023 00:00</v>
      </c>
      <c r="B171" s="2276" t="str">
        <f>"08-12-2023 01:00"</f>
        <v>08-12-2023 01:00</v>
      </c>
      <c r="C171" s="2300" t="s">
        <v>1404</v>
      </c>
    </row>
    <row r="172" spans="1:3">
      <c r="A172" s="2276" t="str">
        <f>"08-12-2023 01:00"</f>
        <v>08-12-2023 01:00</v>
      </c>
      <c r="B172" s="2276" t="str">
        <f>"08-12-2023 02:00"</f>
        <v>08-12-2023 02:00</v>
      </c>
      <c r="C172" s="2300" t="s">
        <v>1376</v>
      </c>
    </row>
    <row r="173" spans="1:3">
      <c r="A173" s="2276" t="str">
        <f>"08-12-2023 02:00"</f>
        <v>08-12-2023 02:00</v>
      </c>
      <c r="B173" s="2276" t="str">
        <f>"08-12-2023 03:00"</f>
        <v>08-12-2023 03:00</v>
      </c>
      <c r="C173" s="2300" t="s">
        <v>1375</v>
      </c>
    </row>
    <row r="174" spans="1:3">
      <c r="A174" s="2276" t="str">
        <f>"08-12-2023 03:00"</f>
        <v>08-12-2023 03:00</v>
      </c>
      <c r="B174" s="2276" t="str">
        <f>"08-12-2023 04:00"</f>
        <v>08-12-2023 04:00</v>
      </c>
      <c r="C174" s="2300" t="s">
        <v>1384</v>
      </c>
    </row>
    <row r="175" spans="1:3">
      <c r="A175" s="2276" t="str">
        <f>"08-12-2023 04:00"</f>
        <v>08-12-2023 04:00</v>
      </c>
      <c r="B175" s="2276" t="str">
        <f>"08-12-2023 05:00"</f>
        <v>08-12-2023 05:00</v>
      </c>
      <c r="C175" s="2300" t="s">
        <v>1384</v>
      </c>
    </row>
    <row r="176" spans="1:3">
      <c r="A176" s="2276" t="str">
        <f>"08-12-2023 05:00"</f>
        <v>08-12-2023 05:00</v>
      </c>
      <c r="B176" s="2276" t="str">
        <f>"08-12-2023 06:00"</f>
        <v>08-12-2023 06:00</v>
      </c>
      <c r="C176" s="2300" t="s">
        <v>1368</v>
      </c>
    </row>
    <row r="177" spans="1:3">
      <c r="A177" s="2276" t="str">
        <f>"08-12-2023 06:00"</f>
        <v>08-12-2023 06:00</v>
      </c>
      <c r="B177" s="2276" t="str">
        <f>"08-12-2023 07:00"</f>
        <v>08-12-2023 07:00</v>
      </c>
      <c r="C177" s="2300" t="s">
        <v>1376</v>
      </c>
    </row>
    <row r="178" spans="1:3">
      <c r="A178" s="2276" t="str">
        <f>"08-12-2023 07:00"</f>
        <v>08-12-2023 07:00</v>
      </c>
      <c r="B178" s="2276" t="str">
        <f>"08-12-2023 08:00"</f>
        <v>08-12-2023 08:00</v>
      </c>
      <c r="C178" s="2300" t="s">
        <v>1441</v>
      </c>
    </row>
    <row r="179" spans="1:3">
      <c r="A179" s="2276" t="str">
        <f>"08-12-2023 08:00"</f>
        <v>08-12-2023 08:00</v>
      </c>
      <c r="B179" s="2276" t="str">
        <f>"08-12-2023 09:00"</f>
        <v>08-12-2023 09:00</v>
      </c>
      <c r="C179" s="2300" t="s">
        <v>1504</v>
      </c>
    </row>
    <row r="180" spans="1:3">
      <c r="A180" s="2276" t="str">
        <f>"08-12-2023 09:00"</f>
        <v>08-12-2023 09:00</v>
      </c>
      <c r="B180" s="2276" t="str">
        <f>"08-12-2023 10:00"</f>
        <v>08-12-2023 10:00</v>
      </c>
      <c r="C180" s="2300" t="s">
        <v>1507</v>
      </c>
    </row>
    <row r="181" spans="1:3">
      <c r="A181" s="2276" t="str">
        <f>"08-12-2023 10:00"</f>
        <v>08-12-2023 10:00</v>
      </c>
      <c r="B181" s="2276" t="str">
        <f>"08-12-2023 11:00"</f>
        <v>08-12-2023 11:00</v>
      </c>
      <c r="C181" s="2300" t="s">
        <v>1433</v>
      </c>
    </row>
    <row r="182" spans="1:3">
      <c r="A182" s="2276" t="str">
        <f>"08-12-2023 11:00"</f>
        <v>08-12-2023 11:00</v>
      </c>
      <c r="B182" s="2276" t="str">
        <f>"08-12-2023 12:00"</f>
        <v>08-12-2023 12:00</v>
      </c>
      <c r="C182" s="2300" t="s">
        <v>1457</v>
      </c>
    </row>
    <row r="183" spans="1:3">
      <c r="A183" s="2276" t="str">
        <f>"08-12-2023 12:00"</f>
        <v>08-12-2023 12:00</v>
      </c>
      <c r="B183" s="2276" t="str">
        <f>"08-12-2023 13:00"</f>
        <v>08-12-2023 13:00</v>
      </c>
      <c r="C183" s="2300" t="s">
        <v>1414</v>
      </c>
    </row>
    <row r="184" spans="1:3">
      <c r="A184" s="2276" t="str">
        <f>"08-12-2023 13:00"</f>
        <v>08-12-2023 13:00</v>
      </c>
      <c r="B184" s="2276" t="str">
        <f>"08-12-2023 14:00"</f>
        <v>08-12-2023 14:00</v>
      </c>
      <c r="C184" s="2300" t="s">
        <v>1531</v>
      </c>
    </row>
    <row r="185" spans="1:3">
      <c r="A185" s="2276" t="str">
        <f>"08-12-2023 14:00"</f>
        <v>08-12-2023 14:00</v>
      </c>
      <c r="B185" s="2276" t="str">
        <f>"08-12-2023 15:00"</f>
        <v>08-12-2023 15:00</v>
      </c>
      <c r="C185" s="2300" t="s">
        <v>1463</v>
      </c>
    </row>
    <row r="186" spans="1:3">
      <c r="A186" s="2276" t="str">
        <f>"08-12-2023 15:00"</f>
        <v>08-12-2023 15:00</v>
      </c>
      <c r="B186" s="2276" t="str">
        <f>"08-12-2023 16:00"</f>
        <v>08-12-2023 16:00</v>
      </c>
      <c r="C186" s="2300" t="s">
        <v>1503</v>
      </c>
    </row>
    <row r="187" spans="1:3">
      <c r="A187" s="2276" t="str">
        <f>"08-12-2023 16:00"</f>
        <v>08-12-2023 16:00</v>
      </c>
      <c r="B187" s="2276" t="str">
        <f>"08-12-2023 17:00"</f>
        <v>08-12-2023 17:00</v>
      </c>
      <c r="C187" s="2300" t="s">
        <v>1512</v>
      </c>
    </row>
    <row r="188" spans="1:3">
      <c r="A188" s="2276" t="str">
        <f>"08-12-2023 17:00"</f>
        <v>08-12-2023 17:00</v>
      </c>
      <c r="B188" s="2276" t="str">
        <f>"08-12-2023 18:00"</f>
        <v>08-12-2023 18:00</v>
      </c>
      <c r="C188" s="2300" t="s">
        <v>1452</v>
      </c>
    </row>
    <row r="189" spans="1:3">
      <c r="A189" s="2276" t="str">
        <f>"08-12-2023 18:00"</f>
        <v>08-12-2023 18:00</v>
      </c>
      <c r="B189" s="2276" t="str">
        <f>"08-12-2023 19:00"</f>
        <v>08-12-2023 19:00</v>
      </c>
      <c r="C189" s="2300" t="s">
        <v>1624</v>
      </c>
    </row>
    <row r="190" spans="1:3">
      <c r="A190" s="2276" t="str">
        <f>"08-12-2023 19:00"</f>
        <v>08-12-2023 19:00</v>
      </c>
      <c r="B190" s="2276" t="str">
        <f>"08-12-2023 20:00"</f>
        <v>08-12-2023 20:00</v>
      </c>
      <c r="C190" s="2300" t="s">
        <v>1414</v>
      </c>
    </row>
    <row r="191" spans="1:3">
      <c r="A191" s="2276" t="str">
        <f>"08-12-2023 20:00"</f>
        <v>08-12-2023 20:00</v>
      </c>
      <c r="B191" s="2276" t="str">
        <f>"08-12-2023 21:00"</f>
        <v>08-12-2023 21:00</v>
      </c>
      <c r="C191" s="2300" t="s">
        <v>1416</v>
      </c>
    </row>
    <row r="192" spans="1:3">
      <c r="A192" s="2276" t="str">
        <f>"08-12-2023 21:00"</f>
        <v>08-12-2023 21:00</v>
      </c>
      <c r="B192" s="2276" t="str">
        <f>"08-12-2023 22:00"</f>
        <v>08-12-2023 22:00</v>
      </c>
      <c r="C192" s="2300" t="s">
        <v>1389</v>
      </c>
    </row>
    <row r="193" spans="1:3">
      <c r="A193" s="2276" t="str">
        <f>"08-12-2023 22:00"</f>
        <v>08-12-2023 22:00</v>
      </c>
      <c r="B193" s="2276" t="str">
        <f>"08-12-2023 23:00"</f>
        <v>08-12-2023 23:00</v>
      </c>
      <c r="C193" s="2300" t="s">
        <v>1458</v>
      </c>
    </row>
    <row r="194" spans="1:3">
      <c r="A194" s="2276" t="str">
        <f>"08-12-2023 23:00"</f>
        <v>08-12-2023 23:00</v>
      </c>
      <c r="B194" s="2276" t="str">
        <f>"09-12-2023 00:00"</f>
        <v>09-12-2023 00:00</v>
      </c>
      <c r="C194" s="2300" t="s">
        <v>1515</v>
      </c>
    </row>
    <row r="195" spans="1:3">
      <c r="A195" s="2276" t="str">
        <f>"09-12-2023 00:00"</f>
        <v>09-12-2023 00:00</v>
      </c>
      <c r="B195" s="2276" t="str">
        <f>"09-12-2023 01:00"</f>
        <v>09-12-2023 01:00</v>
      </c>
      <c r="C195" s="2300" t="s">
        <v>1387</v>
      </c>
    </row>
    <row r="196" spans="1:3">
      <c r="A196" s="2276" t="str">
        <f>"09-12-2023 01:00"</f>
        <v>09-12-2023 01:00</v>
      </c>
      <c r="B196" s="2276" t="str">
        <f>"09-12-2023 02:00"</f>
        <v>09-12-2023 02:00</v>
      </c>
      <c r="C196" s="2300" t="s">
        <v>1369</v>
      </c>
    </row>
    <row r="197" spans="1:3">
      <c r="A197" s="2276" t="str">
        <f>"09-12-2023 02:00"</f>
        <v>09-12-2023 02:00</v>
      </c>
      <c r="B197" s="2276" t="str">
        <f>"09-12-2023 03:00"</f>
        <v>09-12-2023 03:00</v>
      </c>
      <c r="C197" s="2300" t="s">
        <v>1405</v>
      </c>
    </row>
    <row r="198" spans="1:3">
      <c r="A198" s="2276" t="str">
        <f>"09-12-2023 03:00"</f>
        <v>09-12-2023 03:00</v>
      </c>
      <c r="B198" s="2276" t="str">
        <f>"09-12-2023 04:00"</f>
        <v>09-12-2023 04:00</v>
      </c>
      <c r="C198" s="2300" t="s">
        <v>1393</v>
      </c>
    </row>
    <row r="199" spans="1:3">
      <c r="A199" s="2276" t="str">
        <f>"09-12-2023 04:00"</f>
        <v>09-12-2023 04:00</v>
      </c>
      <c r="B199" s="2276" t="str">
        <f>"09-12-2023 05:00"</f>
        <v>09-12-2023 05:00</v>
      </c>
      <c r="C199" s="2300" t="s">
        <v>1369</v>
      </c>
    </row>
    <row r="200" spans="1:3">
      <c r="A200" s="2276" t="str">
        <f>"09-12-2023 05:00"</f>
        <v>09-12-2023 05:00</v>
      </c>
      <c r="B200" s="2276" t="str">
        <f>"09-12-2023 06:00"</f>
        <v>09-12-2023 06:00</v>
      </c>
      <c r="C200" s="2300" t="s">
        <v>1419</v>
      </c>
    </row>
    <row r="201" spans="1:3">
      <c r="A201" s="2276" t="str">
        <f>"09-12-2023 06:00"</f>
        <v>09-12-2023 06:00</v>
      </c>
      <c r="B201" s="2276" t="str">
        <f>"09-12-2023 07:00"</f>
        <v>09-12-2023 07:00</v>
      </c>
      <c r="C201" s="2300" t="s">
        <v>1454</v>
      </c>
    </row>
    <row r="202" spans="1:3">
      <c r="A202" s="2276" t="str">
        <f>"09-12-2023 07:00"</f>
        <v>09-12-2023 07:00</v>
      </c>
      <c r="B202" s="2276" t="str">
        <f>"09-12-2023 08:00"</f>
        <v>09-12-2023 08:00</v>
      </c>
      <c r="C202" s="2300" t="s">
        <v>1423</v>
      </c>
    </row>
    <row r="203" spans="1:3">
      <c r="A203" s="2276" t="str">
        <f>"09-12-2023 08:00"</f>
        <v>09-12-2023 08:00</v>
      </c>
      <c r="B203" s="2276" t="str">
        <f>"09-12-2023 09:00"</f>
        <v>09-12-2023 09:00</v>
      </c>
      <c r="C203" s="2300" t="s">
        <v>1443</v>
      </c>
    </row>
    <row r="204" spans="1:3">
      <c r="A204" s="2276" t="str">
        <f>"09-12-2023 09:00"</f>
        <v>09-12-2023 09:00</v>
      </c>
      <c r="B204" s="2276" t="str">
        <f>"09-12-2023 10:00"</f>
        <v>09-12-2023 10:00</v>
      </c>
      <c r="C204" s="2300" t="s">
        <v>1515</v>
      </c>
    </row>
    <row r="205" spans="1:3">
      <c r="A205" s="2276" t="str">
        <f>"09-12-2023 10:00"</f>
        <v>09-12-2023 10:00</v>
      </c>
      <c r="B205" s="2276" t="str">
        <f>"09-12-2023 11:00"</f>
        <v>09-12-2023 11:00</v>
      </c>
      <c r="C205" s="2300" t="s">
        <v>1515</v>
      </c>
    </row>
    <row r="206" spans="1:3">
      <c r="A206" s="2276" t="str">
        <f>"09-12-2023 11:00"</f>
        <v>09-12-2023 11:00</v>
      </c>
      <c r="B206" s="2276" t="str">
        <f>"09-12-2023 12:00"</f>
        <v>09-12-2023 12:00</v>
      </c>
      <c r="C206" s="2300" t="s">
        <v>1435</v>
      </c>
    </row>
    <row r="207" spans="1:3">
      <c r="A207" s="2276" t="str">
        <f>"09-12-2023 12:00"</f>
        <v>09-12-2023 12:00</v>
      </c>
      <c r="B207" s="2276" t="str">
        <f>"09-12-2023 13:00"</f>
        <v>09-12-2023 13:00</v>
      </c>
      <c r="C207" s="2300" t="s">
        <v>1411</v>
      </c>
    </row>
    <row r="208" spans="1:3">
      <c r="A208" s="2276" t="str">
        <f>"09-12-2023 13:00"</f>
        <v>09-12-2023 13:00</v>
      </c>
      <c r="B208" s="2276" t="str">
        <f>"09-12-2023 14:00"</f>
        <v>09-12-2023 14:00</v>
      </c>
      <c r="C208" s="2300" t="s">
        <v>1457</v>
      </c>
    </row>
    <row r="209" spans="1:3">
      <c r="A209" s="2276" t="str">
        <f>"09-12-2023 14:00"</f>
        <v>09-12-2023 14:00</v>
      </c>
      <c r="B209" s="2276" t="str">
        <f>"09-12-2023 15:00"</f>
        <v>09-12-2023 15:00</v>
      </c>
      <c r="C209" s="2300" t="s">
        <v>1440</v>
      </c>
    </row>
    <row r="210" spans="1:3">
      <c r="A210" s="2276" t="str">
        <f>"09-12-2023 15:00"</f>
        <v>09-12-2023 15:00</v>
      </c>
      <c r="B210" s="2276" t="str">
        <f>"09-12-2023 16:00"</f>
        <v>09-12-2023 16:00</v>
      </c>
      <c r="C210" s="2300" t="s">
        <v>1499</v>
      </c>
    </row>
    <row r="211" spans="1:3">
      <c r="A211" s="2276" t="str">
        <f>"09-12-2023 16:00"</f>
        <v>09-12-2023 16:00</v>
      </c>
      <c r="B211" s="2276" t="str">
        <f>"09-12-2023 17:00"</f>
        <v>09-12-2023 17:00</v>
      </c>
      <c r="C211" s="2300" t="s">
        <v>1402</v>
      </c>
    </row>
    <row r="212" spans="1:3">
      <c r="A212" s="2276" t="str">
        <f>"09-12-2023 17:00"</f>
        <v>09-12-2023 17:00</v>
      </c>
      <c r="B212" s="2276" t="str">
        <f>"09-12-2023 18:00"</f>
        <v>09-12-2023 18:00</v>
      </c>
      <c r="C212" s="2300" t="s">
        <v>1504</v>
      </c>
    </row>
    <row r="213" spans="1:3">
      <c r="A213" s="2276" t="str">
        <f>"09-12-2023 18:00"</f>
        <v>09-12-2023 18:00</v>
      </c>
      <c r="B213" s="2276" t="str">
        <f>"09-12-2023 19:00"</f>
        <v>09-12-2023 19:00</v>
      </c>
      <c r="C213" s="2300" t="s">
        <v>1509</v>
      </c>
    </row>
    <row r="214" spans="1:3">
      <c r="A214" s="2276" t="str">
        <f>"09-12-2023 19:00"</f>
        <v>09-12-2023 19:00</v>
      </c>
      <c r="B214" s="2276" t="str">
        <f>"09-12-2023 20:00"</f>
        <v>09-12-2023 20:00</v>
      </c>
      <c r="C214" s="2300" t="s">
        <v>1532</v>
      </c>
    </row>
    <row r="215" spans="1:3">
      <c r="A215" s="2276" t="str">
        <f>"09-12-2023 20:00"</f>
        <v>09-12-2023 20:00</v>
      </c>
      <c r="B215" s="2276" t="str">
        <f>"09-12-2023 21:00"</f>
        <v>09-12-2023 21:00</v>
      </c>
      <c r="C215" s="2300" t="s">
        <v>1423</v>
      </c>
    </row>
    <row r="216" spans="1:3">
      <c r="A216" s="2276" t="str">
        <f>"09-12-2023 21:00"</f>
        <v>09-12-2023 21:00</v>
      </c>
      <c r="B216" s="2276" t="str">
        <f>"09-12-2023 22:00"</f>
        <v>09-12-2023 22:00</v>
      </c>
      <c r="C216" s="2300" t="s">
        <v>1422</v>
      </c>
    </row>
    <row r="217" spans="1:3">
      <c r="A217" s="2276" t="str">
        <f>"09-12-2023 22:00"</f>
        <v>09-12-2023 22:00</v>
      </c>
      <c r="B217" s="2276" t="str">
        <f>"09-12-2023 23:00"</f>
        <v>09-12-2023 23:00</v>
      </c>
      <c r="C217" s="2300" t="s">
        <v>1376</v>
      </c>
    </row>
    <row r="218" spans="1:3">
      <c r="A218" s="2276" t="str">
        <f>"09-12-2023 23:00"</f>
        <v>09-12-2023 23:00</v>
      </c>
      <c r="B218" s="2276" t="str">
        <f>"10-12-2023 00:00"</f>
        <v>10-12-2023 00:00</v>
      </c>
      <c r="C218" s="2300" t="s">
        <v>1371</v>
      </c>
    </row>
    <row r="219" spans="1:3">
      <c r="A219" s="2276" t="str">
        <f>"10-12-2023 00:00"</f>
        <v>10-12-2023 00:00</v>
      </c>
      <c r="B219" s="2276" t="str">
        <f>"10-12-2023 01:00"</f>
        <v>10-12-2023 01:00</v>
      </c>
      <c r="C219" s="2300" t="s">
        <v>1381</v>
      </c>
    </row>
    <row r="220" spans="1:3">
      <c r="A220" s="2276" t="str">
        <f>"10-12-2023 01:00"</f>
        <v>10-12-2023 01:00</v>
      </c>
      <c r="B220" s="2276" t="str">
        <f>"10-12-2023 02:00"</f>
        <v>10-12-2023 02:00</v>
      </c>
      <c r="C220" s="2300" t="s">
        <v>1375</v>
      </c>
    </row>
    <row r="221" spans="1:3">
      <c r="A221" s="2276" t="str">
        <f>"10-12-2023 02:00"</f>
        <v>10-12-2023 02:00</v>
      </c>
      <c r="B221" s="2276" t="str">
        <f>"10-12-2023 03:00"</f>
        <v>10-12-2023 03:00</v>
      </c>
      <c r="C221" s="2300" t="s">
        <v>1383</v>
      </c>
    </row>
    <row r="222" spans="1:3">
      <c r="A222" s="2276" t="str">
        <f>"10-12-2023 03:00"</f>
        <v>10-12-2023 03:00</v>
      </c>
      <c r="B222" s="2276" t="str">
        <f>"10-12-2023 04:00"</f>
        <v>10-12-2023 04:00</v>
      </c>
      <c r="C222" s="2300" t="s">
        <v>1365</v>
      </c>
    </row>
    <row r="223" spans="1:3">
      <c r="A223" s="2276" t="str">
        <f>"10-12-2023 04:00"</f>
        <v>10-12-2023 04:00</v>
      </c>
      <c r="B223" s="2276" t="str">
        <f>"10-12-2023 05:00"</f>
        <v>10-12-2023 05:00</v>
      </c>
      <c r="C223" s="2300" t="s">
        <v>1394</v>
      </c>
    </row>
    <row r="224" spans="1:3">
      <c r="A224" s="2276" t="str">
        <f>"10-12-2023 05:00"</f>
        <v>10-12-2023 05:00</v>
      </c>
      <c r="B224" s="2276" t="str">
        <f>"10-12-2023 06:00"</f>
        <v>10-12-2023 06:00</v>
      </c>
      <c r="C224" s="2300" t="s">
        <v>1392</v>
      </c>
    </row>
    <row r="225" spans="1:3">
      <c r="A225" s="2276" t="str">
        <f>"10-12-2023 06:00"</f>
        <v>10-12-2023 06:00</v>
      </c>
      <c r="B225" s="2276" t="str">
        <f>"10-12-2023 07:00"</f>
        <v>10-12-2023 07:00</v>
      </c>
      <c r="C225" s="2300" t="s">
        <v>1374</v>
      </c>
    </row>
    <row r="226" spans="1:3">
      <c r="A226" s="2276" t="str">
        <f>"10-12-2023 07:00"</f>
        <v>10-12-2023 07:00</v>
      </c>
      <c r="B226" s="2276" t="str">
        <f>"10-12-2023 08:00"</f>
        <v>10-12-2023 08:00</v>
      </c>
      <c r="C226" s="2300" t="s">
        <v>1443</v>
      </c>
    </row>
    <row r="227" spans="1:3">
      <c r="A227" s="2276" t="str">
        <f>"10-12-2023 08:00"</f>
        <v>10-12-2023 08:00</v>
      </c>
      <c r="B227" s="2276" t="str">
        <f>"10-12-2023 09:00"</f>
        <v>10-12-2023 09:00</v>
      </c>
      <c r="C227" s="2300" t="s">
        <v>1372</v>
      </c>
    </row>
    <row r="228" spans="1:3">
      <c r="A228" s="2276" t="str">
        <f>"10-12-2023 09:00"</f>
        <v>10-12-2023 09:00</v>
      </c>
      <c r="B228" s="2276" t="str">
        <f>"10-12-2023 10:00"</f>
        <v>10-12-2023 10:00</v>
      </c>
      <c r="C228" s="2300" t="s">
        <v>1432</v>
      </c>
    </row>
    <row r="229" spans="1:3">
      <c r="A229" s="2276" t="str">
        <f>"10-12-2023 10:00"</f>
        <v>10-12-2023 10:00</v>
      </c>
      <c r="B229" s="2276" t="str">
        <f>"10-12-2023 11:00"</f>
        <v>10-12-2023 11:00</v>
      </c>
      <c r="C229" s="2300" t="s">
        <v>1457</v>
      </c>
    </row>
    <row r="230" spans="1:3">
      <c r="A230" s="2276" t="str">
        <f>"10-12-2023 11:00"</f>
        <v>10-12-2023 11:00</v>
      </c>
      <c r="B230" s="2276" t="str">
        <f>"10-12-2023 12:00"</f>
        <v>10-12-2023 12:00</v>
      </c>
      <c r="C230" s="2300" t="s">
        <v>1378</v>
      </c>
    </row>
    <row r="231" spans="1:3">
      <c r="A231" s="2276" t="str">
        <f>"10-12-2023 12:00"</f>
        <v>10-12-2023 12:00</v>
      </c>
      <c r="B231" s="2276" t="str">
        <f>"10-12-2023 13:00"</f>
        <v>10-12-2023 13:00</v>
      </c>
      <c r="C231" s="2300" t="s">
        <v>1423</v>
      </c>
    </row>
    <row r="232" spans="1:3">
      <c r="A232" s="2276" t="str">
        <f>"10-12-2023 13:00"</f>
        <v>10-12-2023 13:00</v>
      </c>
      <c r="B232" s="2276" t="str">
        <f>"10-12-2023 14:00"</f>
        <v>10-12-2023 14:00</v>
      </c>
      <c r="C232" s="2300" t="s">
        <v>1626</v>
      </c>
    </row>
    <row r="233" spans="1:3">
      <c r="A233" s="2276" t="str">
        <f>"10-12-2023 14:00"</f>
        <v>10-12-2023 14:00</v>
      </c>
      <c r="B233" s="2276" t="str">
        <f>"10-12-2023 15:00"</f>
        <v>10-12-2023 15:00</v>
      </c>
      <c r="C233" s="2300" t="s">
        <v>1625</v>
      </c>
    </row>
    <row r="234" spans="1:3">
      <c r="A234" s="2276" t="str">
        <f>"10-12-2023 15:00"</f>
        <v>10-12-2023 15:00</v>
      </c>
      <c r="B234" s="2276" t="str">
        <f>"10-12-2023 16:00"</f>
        <v>10-12-2023 16:00</v>
      </c>
      <c r="C234" s="2300" t="s">
        <v>1416</v>
      </c>
    </row>
    <row r="235" spans="1:3">
      <c r="A235" s="2276" t="str">
        <f>"10-12-2023 16:00"</f>
        <v>10-12-2023 16:00</v>
      </c>
      <c r="B235" s="2276" t="str">
        <f>"10-12-2023 17:00"</f>
        <v>10-12-2023 17:00</v>
      </c>
      <c r="C235" s="2300" t="s">
        <v>1462</v>
      </c>
    </row>
    <row r="236" spans="1:3">
      <c r="A236" s="2276" t="str">
        <f>"10-12-2023 17:00"</f>
        <v>10-12-2023 17:00</v>
      </c>
      <c r="B236" s="2276" t="str">
        <f>"10-12-2023 18:00"</f>
        <v>10-12-2023 18:00</v>
      </c>
      <c r="C236" s="2300" t="s">
        <v>1422</v>
      </c>
    </row>
    <row r="237" spans="1:3">
      <c r="A237" s="2276" t="str">
        <f>"10-12-2023 18:00"</f>
        <v>10-12-2023 18:00</v>
      </c>
      <c r="B237" s="2276" t="str">
        <f>"10-12-2023 19:00"</f>
        <v>10-12-2023 19:00</v>
      </c>
      <c r="C237" s="2300" t="s">
        <v>1519</v>
      </c>
    </row>
    <row r="238" spans="1:3">
      <c r="A238" s="2276" t="str">
        <f>"10-12-2023 19:00"</f>
        <v>10-12-2023 19:00</v>
      </c>
      <c r="B238" s="2276" t="str">
        <f>"10-12-2023 20:00"</f>
        <v>10-12-2023 20:00</v>
      </c>
      <c r="C238" s="2300" t="s">
        <v>1391</v>
      </c>
    </row>
    <row r="239" spans="1:3">
      <c r="A239" s="2276" t="str">
        <f>"10-12-2023 20:00"</f>
        <v>10-12-2023 20:00</v>
      </c>
      <c r="B239" s="2276" t="str">
        <f>"10-12-2023 21:00"</f>
        <v>10-12-2023 21:00</v>
      </c>
      <c r="C239" s="2300" t="s">
        <v>1499</v>
      </c>
    </row>
    <row r="240" spans="1:3">
      <c r="A240" s="2276" t="str">
        <f>"10-12-2023 21:00"</f>
        <v>10-12-2023 21:00</v>
      </c>
      <c r="B240" s="2276" t="str">
        <f>"10-12-2023 22:00"</f>
        <v>10-12-2023 22:00</v>
      </c>
      <c r="C240" s="2300" t="s">
        <v>1413</v>
      </c>
    </row>
    <row r="241" spans="1:3">
      <c r="A241" s="2276" t="str">
        <f>"10-12-2023 22:00"</f>
        <v>10-12-2023 22:00</v>
      </c>
      <c r="B241" s="2276" t="str">
        <f>"10-12-2023 23:00"</f>
        <v>10-12-2023 23:00</v>
      </c>
      <c r="C241" s="2300" t="s">
        <v>1415</v>
      </c>
    </row>
    <row r="242" spans="1:3">
      <c r="A242" s="2276" t="str">
        <f>"10-12-2023 23:00"</f>
        <v>10-12-2023 23:00</v>
      </c>
      <c r="B242" s="2276" t="str">
        <f>"11-12-2023 00:00"</f>
        <v>11-12-2023 00:00</v>
      </c>
      <c r="C242" s="2300" t="s">
        <v>1375</v>
      </c>
    </row>
    <row r="243" spans="1:3">
      <c r="A243" s="2276" t="str">
        <f>"11-12-2023 00:00"</f>
        <v>11-12-2023 00:00</v>
      </c>
      <c r="B243" s="2276" t="str">
        <f>"11-12-2023 01:00"</f>
        <v>11-12-2023 01:00</v>
      </c>
      <c r="C243" s="2300" t="s">
        <v>1398</v>
      </c>
    </row>
    <row r="244" spans="1:3">
      <c r="A244" s="2276" t="str">
        <f>"11-12-2023 01:00"</f>
        <v>11-12-2023 01:00</v>
      </c>
      <c r="B244" s="2276" t="str">
        <f>"11-12-2023 02:00"</f>
        <v>11-12-2023 02:00</v>
      </c>
      <c r="C244" s="2300" t="s">
        <v>1378</v>
      </c>
    </row>
    <row r="245" spans="1:3">
      <c r="A245" s="2276" t="str">
        <f>"11-12-2023 02:00"</f>
        <v>11-12-2023 02:00</v>
      </c>
      <c r="B245" s="2276" t="str">
        <f>"11-12-2023 03:00"</f>
        <v>11-12-2023 03:00</v>
      </c>
      <c r="C245" s="2300" t="s">
        <v>1376</v>
      </c>
    </row>
    <row r="246" spans="1:3">
      <c r="A246" s="2276" t="str">
        <f>"11-12-2023 03:00"</f>
        <v>11-12-2023 03:00</v>
      </c>
      <c r="B246" s="2276" t="str">
        <f>"11-12-2023 04:00"</f>
        <v>11-12-2023 04:00</v>
      </c>
      <c r="C246" s="2300" t="s">
        <v>1380</v>
      </c>
    </row>
    <row r="247" spans="1:3">
      <c r="A247" s="2276" t="str">
        <f>"11-12-2023 04:00"</f>
        <v>11-12-2023 04:00</v>
      </c>
      <c r="B247" s="2276" t="str">
        <f>"11-12-2023 05:00"</f>
        <v>11-12-2023 05:00</v>
      </c>
      <c r="C247" s="2300" t="s">
        <v>1375</v>
      </c>
    </row>
    <row r="248" spans="1:3">
      <c r="A248" s="2276" t="str">
        <f>"11-12-2023 05:00"</f>
        <v>11-12-2023 05:00</v>
      </c>
      <c r="B248" s="2276" t="str">
        <f>"11-12-2023 06:00"</f>
        <v>11-12-2023 06:00</v>
      </c>
      <c r="C248" s="2300" t="s">
        <v>1371</v>
      </c>
    </row>
    <row r="249" spans="1:3">
      <c r="A249" s="2276" t="str">
        <f>"11-12-2023 06:00"</f>
        <v>11-12-2023 06:00</v>
      </c>
      <c r="B249" s="2276" t="str">
        <f>"11-12-2023 07:00"</f>
        <v>11-12-2023 07:00</v>
      </c>
      <c r="C249" s="2300" t="s">
        <v>1392</v>
      </c>
    </row>
    <row r="250" spans="1:3">
      <c r="A250" s="2276" t="str">
        <f>"11-12-2023 07:00"</f>
        <v>11-12-2023 07:00</v>
      </c>
      <c r="B250" s="2276" t="str">
        <f>"11-12-2023 08:00"</f>
        <v>11-12-2023 08:00</v>
      </c>
      <c r="C250" s="2300" t="s">
        <v>1375</v>
      </c>
    </row>
    <row r="251" spans="1:3">
      <c r="A251" s="2276" t="str">
        <f>"11-12-2023 08:00"</f>
        <v>11-12-2023 08:00</v>
      </c>
      <c r="B251" s="2276" t="str">
        <f>"11-12-2023 09:00"</f>
        <v>11-12-2023 09:00</v>
      </c>
      <c r="C251" s="2300" t="s">
        <v>1378</v>
      </c>
    </row>
    <row r="252" spans="1:3">
      <c r="A252" s="2276" t="str">
        <f>"11-12-2023 09:00"</f>
        <v>11-12-2023 09:00</v>
      </c>
      <c r="B252" s="2276" t="str">
        <f>"11-12-2023 10:00"</f>
        <v>11-12-2023 10:00</v>
      </c>
      <c r="C252" s="2300" t="s">
        <v>1497</v>
      </c>
    </row>
    <row r="253" spans="1:3">
      <c r="A253" s="2276" t="str">
        <f>"11-12-2023 10:00"</f>
        <v>11-12-2023 10:00</v>
      </c>
      <c r="B253" s="2276" t="str">
        <f>"11-12-2023 11:00"</f>
        <v>11-12-2023 11:00</v>
      </c>
      <c r="C253" s="2300" t="s">
        <v>1513</v>
      </c>
    </row>
    <row r="254" spans="1:3">
      <c r="A254" s="2276" t="str">
        <f>"11-12-2023 11:00"</f>
        <v>11-12-2023 11:00</v>
      </c>
      <c r="B254" s="2276" t="str">
        <f>"11-12-2023 12:00"</f>
        <v>11-12-2023 12:00</v>
      </c>
      <c r="C254" s="2300" t="s">
        <v>1440</v>
      </c>
    </row>
    <row r="255" spans="1:3">
      <c r="A255" s="2276" t="str">
        <f>"11-12-2023 12:00"</f>
        <v>11-12-2023 12:00</v>
      </c>
      <c r="B255" s="2276" t="str">
        <f>"11-12-2023 13:00"</f>
        <v>11-12-2023 13:00</v>
      </c>
      <c r="C255" s="2300" t="s">
        <v>1522</v>
      </c>
    </row>
    <row r="256" spans="1:3">
      <c r="A256" s="2276" t="str">
        <f>"11-12-2023 13:00"</f>
        <v>11-12-2023 13:00</v>
      </c>
      <c r="B256" s="2276" t="str">
        <f>"11-12-2023 14:00"</f>
        <v>11-12-2023 14:00</v>
      </c>
      <c r="C256" s="2300" t="s">
        <v>1389</v>
      </c>
    </row>
    <row r="257" spans="1:3">
      <c r="A257" s="2276" t="str">
        <f>"11-12-2023 14:00"</f>
        <v>11-12-2023 14:00</v>
      </c>
      <c r="B257" s="2276" t="str">
        <f>"11-12-2023 15:00"</f>
        <v>11-12-2023 15:00</v>
      </c>
      <c r="C257" s="2300" t="s">
        <v>1503</v>
      </c>
    </row>
    <row r="258" spans="1:3">
      <c r="A258" s="2276" t="str">
        <f>"11-12-2023 15:00"</f>
        <v>11-12-2023 15:00</v>
      </c>
      <c r="B258" s="2276" t="str">
        <f>"11-12-2023 16:00"</f>
        <v>11-12-2023 16:00</v>
      </c>
      <c r="C258" s="2300" t="s">
        <v>1389</v>
      </c>
    </row>
    <row r="259" spans="1:3">
      <c r="A259" s="2276" t="str">
        <f>"11-12-2023 16:00"</f>
        <v>11-12-2023 16:00</v>
      </c>
      <c r="B259" s="2276" t="str">
        <f>"11-12-2023 17:00"</f>
        <v>11-12-2023 17:00</v>
      </c>
      <c r="C259" s="2300" t="s">
        <v>1414</v>
      </c>
    </row>
    <row r="260" spans="1:3">
      <c r="A260" s="2276" t="str">
        <f>"11-12-2023 17:00"</f>
        <v>11-12-2023 17:00</v>
      </c>
      <c r="B260" s="2276" t="str">
        <f>"11-12-2023 18:00"</f>
        <v>11-12-2023 18:00</v>
      </c>
      <c r="C260" s="2300" t="s">
        <v>1510</v>
      </c>
    </row>
    <row r="261" spans="1:3">
      <c r="A261" s="2276" t="str">
        <f>"11-12-2023 18:00"</f>
        <v>11-12-2023 18:00</v>
      </c>
      <c r="B261" s="2276" t="str">
        <f>"11-12-2023 19:00"</f>
        <v>11-12-2023 19:00</v>
      </c>
      <c r="C261" s="2300" t="s">
        <v>1423</v>
      </c>
    </row>
    <row r="262" spans="1:3">
      <c r="A262" s="2276" t="str">
        <f>"11-12-2023 19:00"</f>
        <v>11-12-2023 19:00</v>
      </c>
      <c r="B262" s="2276" t="str">
        <f>"11-12-2023 20:00"</f>
        <v>11-12-2023 20:00</v>
      </c>
      <c r="C262" s="2300" t="s">
        <v>1480</v>
      </c>
    </row>
    <row r="263" spans="1:3">
      <c r="A263" s="2276" t="str">
        <f>"11-12-2023 20:00"</f>
        <v>11-12-2023 20:00</v>
      </c>
      <c r="B263" s="2276" t="str">
        <f>"11-12-2023 21:00"</f>
        <v>11-12-2023 21:00</v>
      </c>
      <c r="C263" s="2300" t="s">
        <v>1501</v>
      </c>
    </row>
    <row r="264" spans="1:3">
      <c r="A264" s="2276" t="str">
        <f>"11-12-2023 21:00"</f>
        <v>11-12-2023 21:00</v>
      </c>
      <c r="B264" s="2276" t="str">
        <f>"11-12-2023 22:00"</f>
        <v>11-12-2023 22:00</v>
      </c>
      <c r="C264" s="2300" t="s">
        <v>1416</v>
      </c>
    </row>
    <row r="265" spans="1:3">
      <c r="A265" s="2276" t="str">
        <f>"11-12-2023 22:00"</f>
        <v>11-12-2023 22:00</v>
      </c>
      <c r="B265" s="2276" t="str">
        <f>"11-12-2023 23:00"</f>
        <v>11-12-2023 23:00</v>
      </c>
      <c r="C265" s="2300" t="s">
        <v>1410</v>
      </c>
    </row>
    <row r="266" spans="1:3">
      <c r="A266" s="2276" t="str">
        <f>"11-12-2023 23:00"</f>
        <v>11-12-2023 23:00</v>
      </c>
      <c r="B266" s="2276" t="str">
        <f>"12-12-2023 00:00"</f>
        <v>12-12-2023 00:00</v>
      </c>
      <c r="C266" s="2300" t="s">
        <v>1418</v>
      </c>
    </row>
    <row r="267" spans="1:3">
      <c r="A267" s="2276" t="str">
        <f>"12-12-2023 00:00"</f>
        <v>12-12-2023 00:00</v>
      </c>
      <c r="B267" s="2276" t="str">
        <f>"12-12-2023 01:00"</f>
        <v>12-12-2023 01:00</v>
      </c>
      <c r="C267" s="2300" t="s">
        <v>1407</v>
      </c>
    </row>
    <row r="268" spans="1:3">
      <c r="A268" s="2276" t="str">
        <f>"12-12-2023 01:00"</f>
        <v>12-12-2023 01:00</v>
      </c>
      <c r="B268" s="2276" t="str">
        <f>"12-12-2023 02:00"</f>
        <v>12-12-2023 02:00</v>
      </c>
      <c r="C268" s="2300" t="s">
        <v>1438</v>
      </c>
    </row>
    <row r="269" spans="1:3">
      <c r="A269" s="2276" t="str">
        <f>"12-12-2023 02:00"</f>
        <v>12-12-2023 02:00</v>
      </c>
      <c r="B269" s="2276" t="str">
        <f>"12-12-2023 03:00"</f>
        <v>12-12-2023 03:00</v>
      </c>
      <c r="C269" s="2300" t="s">
        <v>1405</v>
      </c>
    </row>
    <row r="270" spans="1:3">
      <c r="A270" s="2276" t="str">
        <f>"12-12-2023 03:00"</f>
        <v>12-12-2023 03:00</v>
      </c>
      <c r="B270" s="2276" t="str">
        <f>"12-12-2023 04:00"</f>
        <v>12-12-2023 04:00</v>
      </c>
      <c r="C270" s="2300" t="s">
        <v>1371</v>
      </c>
    </row>
    <row r="271" spans="1:3">
      <c r="A271" s="2276" t="str">
        <f>"12-12-2023 04:00"</f>
        <v>12-12-2023 04:00</v>
      </c>
      <c r="B271" s="2276" t="str">
        <f>"12-12-2023 05:00"</f>
        <v>12-12-2023 05:00</v>
      </c>
      <c r="C271" s="2300" t="s">
        <v>1378</v>
      </c>
    </row>
    <row r="272" spans="1:3">
      <c r="A272" s="2276" t="str">
        <f>"12-12-2023 05:00"</f>
        <v>12-12-2023 05:00</v>
      </c>
      <c r="B272" s="2276" t="str">
        <f>"12-12-2023 06:00"</f>
        <v>12-12-2023 06:00</v>
      </c>
      <c r="C272" s="2300" t="s">
        <v>1393</v>
      </c>
    </row>
    <row r="273" spans="1:3">
      <c r="A273" s="2276" t="str">
        <f>"12-12-2023 06:00"</f>
        <v>12-12-2023 06:00</v>
      </c>
      <c r="B273" s="2276" t="str">
        <f>"12-12-2023 07:00"</f>
        <v>12-12-2023 07:00</v>
      </c>
      <c r="C273" s="2300" t="s">
        <v>1370</v>
      </c>
    </row>
    <row r="274" spans="1:3">
      <c r="A274" s="2276" t="str">
        <f>"12-12-2023 07:00"</f>
        <v>12-12-2023 07:00</v>
      </c>
      <c r="B274" s="2276" t="str">
        <f>"12-12-2023 08:00"</f>
        <v>12-12-2023 08:00</v>
      </c>
      <c r="C274" s="2300" t="s">
        <v>1371</v>
      </c>
    </row>
    <row r="275" spans="1:3">
      <c r="A275" s="2276" t="str">
        <f>"12-12-2023 08:00"</f>
        <v>12-12-2023 08:00</v>
      </c>
      <c r="B275" s="2276" t="str">
        <f>"12-12-2023 09:00"</f>
        <v>12-12-2023 09:00</v>
      </c>
      <c r="C275" s="2300" t="s">
        <v>1390</v>
      </c>
    </row>
    <row r="276" spans="1:3">
      <c r="A276" s="2276" t="str">
        <f>"12-12-2023 09:00"</f>
        <v>12-12-2023 09:00</v>
      </c>
      <c r="B276" s="2276" t="str">
        <f>"12-12-2023 10:00"</f>
        <v>12-12-2023 10:00</v>
      </c>
      <c r="C276" s="2300" t="s">
        <v>1423</v>
      </c>
    </row>
    <row r="277" spans="1:3">
      <c r="A277" s="2276" t="str">
        <f>"12-12-2023 10:00"</f>
        <v>12-12-2023 10:00</v>
      </c>
      <c r="B277" s="2276" t="str">
        <f>"12-12-2023 11:00"</f>
        <v>12-12-2023 11:00</v>
      </c>
      <c r="C277" s="2300" t="s">
        <v>1437</v>
      </c>
    </row>
    <row r="278" spans="1:3">
      <c r="A278" s="2276" t="str">
        <f>"12-12-2023 11:00"</f>
        <v>12-12-2023 11:00</v>
      </c>
      <c r="B278" s="2276" t="str">
        <f>"12-12-2023 12:00"</f>
        <v>12-12-2023 12:00</v>
      </c>
      <c r="C278" s="2300" t="s">
        <v>1437</v>
      </c>
    </row>
    <row r="279" spans="1:3">
      <c r="A279" s="2276" t="str">
        <f>"12-12-2023 12:00"</f>
        <v>12-12-2023 12:00</v>
      </c>
      <c r="B279" s="2276" t="str">
        <f>"12-12-2023 13:00"</f>
        <v>12-12-2023 13:00</v>
      </c>
      <c r="C279" s="2300" t="s">
        <v>1463</v>
      </c>
    </row>
    <row r="280" spans="1:3">
      <c r="A280" s="2276" t="str">
        <f>"12-12-2023 13:00"</f>
        <v>12-12-2023 13:00</v>
      </c>
      <c r="B280" s="2276" t="str">
        <f>"12-12-2023 14:00"</f>
        <v>12-12-2023 14:00</v>
      </c>
      <c r="C280" s="2300" t="s">
        <v>1422</v>
      </c>
    </row>
    <row r="281" spans="1:3">
      <c r="A281" s="2276" t="str">
        <f>"12-12-2023 14:00"</f>
        <v>12-12-2023 14:00</v>
      </c>
      <c r="B281" s="2276" t="str">
        <f>"12-12-2023 15:00"</f>
        <v>12-12-2023 15:00</v>
      </c>
      <c r="C281" s="2300" t="s">
        <v>1441</v>
      </c>
    </row>
    <row r="282" spans="1:3">
      <c r="A282" s="2276" t="str">
        <f>"12-12-2023 15:00"</f>
        <v>12-12-2023 15:00</v>
      </c>
      <c r="B282" s="2276" t="str">
        <f>"12-12-2023 16:00"</f>
        <v>12-12-2023 16:00</v>
      </c>
      <c r="C282" s="2300" t="s">
        <v>1499</v>
      </c>
    </row>
    <row r="283" spans="1:3">
      <c r="A283" s="2276" t="str">
        <f>"12-12-2023 16:00"</f>
        <v>12-12-2023 16:00</v>
      </c>
      <c r="B283" s="2276" t="str">
        <f>"12-12-2023 17:00"</f>
        <v>12-12-2023 17:00</v>
      </c>
      <c r="C283" s="2300" t="s">
        <v>1480</v>
      </c>
    </row>
    <row r="284" spans="1:3">
      <c r="A284" s="2276" t="str">
        <f>"12-12-2023 17:00"</f>
        <v>12-12-2023 17:00</v>
      </c>
      <c r="B284" s="2276" t="str">
        <f>"12-12-2023 18:00"</f>
        <v>12-12-2023 18:00</v>
      </c>
      <c r="C284" s="2300" t="s">
        <v>1446</v>
      </c>
    </row>
    <row r="285" spans="1:3">
      <c r="A285" s="2276" t="str">
        <f>"12-12-2023 18:00"</f>
        <v>12-12-2023 18:00</v>
      </c>
      <c r="B285" s="2276" t="str">
        <f>"12-12-2023 19:00"</f>
        <v>12-12-2023 19:00</v>
      </c>
      <c r="C285" s="2300" t="s">
        <v>1516</v>
      </c>
    </row>
    <row r="286" spans="1:3">
      <c r="A286" s="2276" t="str">
        <f>"12-12-2023 19:00"</f>
        <v>12-12-2023 19:00</v>
      </c>
      <c r="B286" s="2276" t="str">
        <f>"12-12-2023 20:00"</f>
        <v>12-12-2023 20:00</v>
      </c>
      <c r="C286" s="2300" t="s">
        <v>1513</v>
      </c>
    </row>
    <row r="287" spans="1:3">
      <c r="A287" s="2276" t="str">
        <f>"12-12-2023 20:00"</f>
        <v>12-12-2023 20:00</v>
      </c>
      <c r="B287" s="2276" t="str">
        <f>"12-12-2023 21:00"</f>
        <v>12-12-2023 21:00</v>
      </c>
      <c r="C287" s="2300" t="s">
        <v>1517</v>
      </c>
    </row>
    <row r="288" spans="1:3">
      <c r="A288" s="2276" t="str">
        <f>"12-12-2023 21:00"</f>
        <v>12-12-2023 21:00</v>
      </c>
      <c r="B288" s="2276" t="str">
        <f>"12-12-2023 22:00"</f>
        <v>12-12-2023 22:00</v>
      </c>
      <c r="C288" s="2300" t="s">
        <v>1421</v>
      </c>
    </row>
    <row r="289" spans="1:3">
      <c r="A289" s="2276" t="str">
        <f>"12-12-2023 22:00"</f>
        <v>12-12-2023 22:00</v>
      </c>
      <c r="B289" s="2276" t="str">
        <f>"12-12-2023 23:00"</f>
        <v>12-12-2023 23:00</v>
      </c>
      <c r="C289" s="2300" t="s">
        <v>1403</v>
      </c>
    </row>
    <row r="290" spans="1:3">
      <c r="A290" s="2276" t="str">
        <f>"12-12-2023 23:00"</f>
        <v>12-12-2023 23:00</v>
      </c>
      <c r="B290" s="2276" t="str">
        <f>"13-12-2023 00:00"</f>
        <v>13-12-2023 00:00</v>
      </c>
      <c r="C290" s="2300" t="s">
        <v>1428</v>
      </c>
    </row>
    <row r="291" spans="1:3">
      <c r="A291" s="2276" t="str">
        <f>"13-12-2023 00:00"</f>
        <v>13-12-2023 00:00</v>
      </c>
      <c r="B291" s="2276" t="str">
        <f>"13-12-2023 01:00"</f>
        <v>13-12-2023 01:00</v>
      </c>
      <c r="C291" s="2300" t="s">
        <v>1378</v>
      </c>
    </row>
    <row r="292" spans="1:3">
      <c r="A292" s="2276" t="str">
        <f>"13-12-2023 01:00"</f>
        <v>13-12-2023 01:00</v>
      </c>
      <c r="B292" s="2276" t="str">
        <f>"13-12-2023 02:00"</f>
        <v>13-12-2023 02:00</v>
      </c>
      <c r="C292" s="2300" t="s">
        <v>1515</v>
      </c>
    </row>
    <row r="293" spans="1:3">
      <c r="A293" s="2276" t="str">
        <f>"13-12-2023 02:00"</f>
        <v>13-12-2023 02:00</v>
      </c>
      <c r="B293" s="2276" t="str">
        <f>"13-12-2023 03:00"</f>
        <v>13-12-2023 03:00</v>
      </c>
      <c r="C293" s="2300" t="s">
        <v>1393</v>
      </c>
    </row>
    <row r="294" spans="1:3">
      <c r="A294" s="2276" t="str">
        <f>"13-12-2023 03:00"</f>
        <v>13-12-2023 03:00</v>
      </c>
      <c r="B294" s="2276" t="str">
        <f>"13-12-2023 04:00"</f>
        <v>13-12-2023 04:00</v>
      </c>
      <c r="C294" s="2300" t="s">
        <v>1393</v>
      </c>
    </row>
    <row r="295" spans="1:3">
      <c r="A295" s="2276" t="str">
        <f>"13-12-2023 04:00"</f>
        <v>13-12-2023 04:00</v>
      </c>
      <c r="B295" s="2276" t="str">
        <f>"13-12-2023 05:00"</f>
        <v>13-12-2023 05:00</v>
      </c>
      <c r="C295" s="2300" t="s">
        <v>1368</v>
      </c>
    </row>
    <row r="296" spans="1:3">
      <c r="A296" s="2276" t="str">
        <f>"13-12-2023 05:00"</f>
        <v>13-12-2023 05:00</v>
      </c>
      <c r="B296" s="2276" t="str">
        <f>"13-12-2023 06:00"</f>
        <v>13-12-2023 06:00</v>
      </c>
      <c r="C296" s="2300" t="s">
        <v>1375</v>
      </c>
    </row>
    <row r="297" spans="1:3">
      <c r="A297" s="2276" t="str">
        <f>"13-12-2023 06:00"</f>
        <v>13-12-2023 06:00</v>
      </c>
      <c r="B297" s="2276" t="str">
        <f>"13-12-2023 07:00"</f>
        <v>13-12-2023 07:00</v>
      </c>
      <c r="C297" s="2300" t="s">
        <v>1390</v>
      </c>
    </row>
    <row r="298" spans="1:3">
      <c r="A298" s="2276" t="str">
        <f>"13-12-2023 07:00"</f>
        <v>13-12-2023 07:00</v>
      </c>
      <c r="B298" s="2276" t="str">
        <f>"13-12-2023 08:00"</f>
        <v>13-12-2023 08:00</v>
      </c>
      <c r="C298" s="2300" t="s">
        <v>1505</v>
      </c>
    </row>
    <row r="299" spans="1:3">
      <c r="A299" s="2276" t="str">
        <f>"13-12-2023 08:00"</f>
        <v>13-12-2023 08:00</v>
      </c>
      <c r="B299" s="2276" t="str">
        <f>"13-12-2023 09:00"</f>
        <v>13-12-2023 09:00</v>
      </c>
      <c r="C299" s="2300" t="s">
        <v>1402</v>
      </c>
    </row>
    <row r="300" spans="1:3">
      <c r="A300" s="2276" t="str">
        <f>"13-12-2023 09:00"</f>
        <v>13-12-2023 09:00</v>
      </c>
      <c r="B300" s="2276" t="str">
        <f>"13-12-2023 10:00"</f>
        <v>13-12-2023 10:00</v>
      </c>
      <c r="C300" s="2300" t="s">
        <v>1502</v>
      </c>
    </row>
    <row r="301" spans="1:3">
      <c r="A301" s="2276" t="str">
        <f>"13-12-2023 10:00"</f>
        <v>13-12-2023 10:00</v>
      </c>
      <c r="B301" s="2276" t="str">
        <f>"13-12-2023 11:00"</f>
        <v>13-12-2023 11:00</v>
      </c>
      <c r="C301" s="2300" t="s">
        <v>1523</v>
      </c>
    </row>
    <row r="302" spans="1:3">
      <c r="A302" s="2276" t="str">
        <f>"13-12-2023 11:00"</f>
        <v>13-12-2023 11:00</v>
      </c>
      <c r="B302" s="2276" t="str">
        <f>"13-12-2023 12:00"</f>
        <v>13-12-2023 12:00</v>
      </c>
      <c r="C302" s="2300" t="s">
        <v>1624</v>
      </c>
    </row>
    <row r="303" spans="1:3">
      <c r="A303" s="2276" t="str">
        <f>"13-12-2023 12:00"</f>
        <v>13-12-2023 12:00</v>
      </c>
      <c r="B303" s="2276" t="str">
        <f>"13-12-2023 13:00"</f>
        <v>13-12-2023 13:00</v>
      </c>
      <c r="C303" s="2300" t="s">
        <v>1504</v>
      </c>
    </row>
    <row r="304" spans="1:3">
      <c r="A304" s="2276" t="str">
        <f>"13-12-2023 13:00"</f>
        <v>13-12-2023 13:00</v>
      </c>
      <c r="B304" s="2276" t="str">
        <f>"13-12-2023 14:00"</f>
        <v>13-12-2023 14:00</v>
      </c>
      <c r="C304" s="2300" t="s">
        <v>1424</v>
      </c>
    </row>
    <row r="305" spans="1:3">
      <c r="A305" s="2276" t="str">
        <f>"13-12-2023 14:00"</f>
        <v>13-12-2023 14:00</v>
      </c>
      <c r="B305" s="2276" t="str">
        <f>"13-12-2023 15:00"</f>
        <v>13-12-2023 15:00</v>
      </c>
      <c r="C305" s="2300" t="s">
        <v>1431</v>
      </c>
    </row>
    <row r="306" spans="1:3">
      <c r="A306" s="2276" t="str">
        <f>"13-12-2023 15:00"</f>
        <v>13-12-2023 15:00</v>
      </c>
      <c r="B306" s="2276" t="str">
        <f>"13-12-2023 16:00"</f>
        <v>13-12-2023 16:00</v>
      </c>
      <c r="C306" s="2300" t="s">
        <v>1513</v>
      </c>
    </row>
    <row r="307" spans="1:3">
      <c r="A307" s="2276" t="str">
        <f>"13-12-2023 16:00"</f>
        <v>13-12-2023 16:00</v>
      </c>
      <c r="B307" s="2276" t="str">
        <f>"13-12-2023 17:00"</f>
        <v>13-12-2023 17:00</v>
      </c>
      <c r="C307" s="2300" t="s">
        <v>1422</v>
      </c>
    </row>
    <row r="308" spans="1:3">
      <c r="A308" s="2276" t="str">
        <f>"13-12-2023 17:00"</f>
        <v>13-12-2023 17:00</v>
      </c>
      <c r="B308" s="2276" t="str">
        <f>"13-12-2023 18:00"</f>
        <v>13-12-2023 18:00</v>
      </c>
      <c r="C308" s="2300" t="s">
        <v>1534</v>
      </c>
    </row>
    <row r="309" spans="1:3">
      <c r="A309" s="2276" t="str">
        <f>"13-12-2023 18:00"</f>
        <v>13-12-2023 18:00</v>
      </c>
      <c r="B309" s="2276" t="str">
        <f>"13-12-2023 19:00"</f>
        <v>13-12-2023 19:00</v>
      </c>
      <c r="C309" s="2300" t="s">
        <v>1525</v>
      </c>
    </row>
    <row r="310" spans="1:3">
      <c r="A310" s="2276" t="str">
        <f>"13-12-2023 19:00"</f>
        <v>13-12-2023 19:00</v>
      </c>
      <c r="B310" s="2276" t="str">
        <f>"13-12-2023 20:00"</f>
        <v>13-12-2023 20:00</v>
      </c>
      <c r="C310" s="2300" t="s">
        <v>1498</v>
      </c>
    </row>
    <row r="311" spans="1:3">
      <c r="A311" s="2276" t="str">
        <f>"13-12-2023 20:00"</f>
        <v>13-12-2023 20:00</v>
      </c>
      <c r="B311" s="2276" t="str">
        <f>"13-12-2023 21:00"</f>
        <v>13-12-2023 21:00</v>
      </c>
      <c r="C311" s="2300" t="s">
        <v>1423</v>
      </c>
    </row>
    <row r="312" spans="1:3">
      <c r="A312" s="2276" t="str">
        <f>"13-12-2023 21:00"</f>
        <v>13-12-2023 21:00</v>
      </c>
      <c r="B312" s="2276" t="str">
        <f>"13-12-2023 22:00"</f>
        <v>13-12-2023 22:00</v>
      </c>
      <c r="C312" s="2300" t="s">
        <v>1423</v>
      </c>
    </row>
    <row r="313" spans="1:3">
      <c r="A313" s="2276" t="str">
        <f>"13-12-2023 22:00"</f>
        <v>13-12-2023 22:00</v>
      </c>
      <c r="B313" s="2276" t="str">
        <f>"13-12-2023 23:00"</f>
        <v>13-12-2023 23:00</v>
      </c>
      <c r="C313" s="2300" t="s">
        <v>1409</v>
      </c>
    </row>
    <row r="314" spans="1:3">
      <c r="A314" s="2276" t="str">
        <f>"13-12-2023 23:00"</f>
        <v>13-12-2023 23:00</v>
      </c>
      <c r="B314" s="2276" t="str">
        <f>"14-12-2023 00:00"</f>
        <v>14-12-2023 00:00</v>
      </c>
      <c r="C314" s="2300" t="s">
        <v>1515</v>
      </c>
    </row>
    <row r="315" spans="1:3">
      <c r="A315" s="2276" t="str">
        <f>"14-12-2023 00:00"</f>
        <v>14-12-2023 00:00</v>
      </c>
      <c r="B315" s="2276" t="str">
        <f>"14-12-2023 01:00"</f>
        <v>14-12-2023 01:00</v>
      </c>
      <c r="C315" s="2300" t="s">
        <v>1375</v>
      </c>
    </row>
    <row r="316" spans="1:3">
      <c r="A316" s="2276" t="str">
        <f>"14-12-2023 01:00"</f>
        <v>14-12-2023 01:00</v>
      </c>
      <c r="B316" s="2276" t="str">
        <f>"14-12-2023 02:00"</f>
        <v>14-12-2023 02:00</v>
      </c>
      <c r="C316" s="2300" t="s">
        <v>1375</v>
      </c>
    </row>
    <row r="317" spans="1:3">
      <c r="A317" s="2276" t="str">
        <f>"14-12-2023 02:00"</f>
        <v>14-12-2023 02:00</v>
      </c>
      <c r="B317" s="2276" t="str">
        <f>"14-12-2023 03:00"</f>
        <v>14-12-2023 03:00</v>
      </c>
      <c r="C317" s="2300" t="s">
        <v>1379</v>
      </c>
    </row>
    <row r="318" spans="1:3">
      <c r="A318" s="2276" t="str">
        <f>"14-12-2023 03:00"</f>
        <v>14-12-2023 03:00</v>
      </c>
      <c r="B318" s="2276" t="str">
        <f>"14-12-2023 04:00"</f>
        <v>14-12-2023 04:00</v>
      </c>
      <c r="C318" s="2300" t="s">
        <v>1378</v>
      </c>
    </row>
    <row r="319" spans="1:3">
      <c r="A319" s="2276" t="str">
        <f>"14-12-2023 04:00"</f>
        <v>14-12-2023 04:00</v>
      </c>
      <c r="B319" s="2276" t="str">
        <f>"14-12-2023 05:00"</f>
        <v>14-12-2023 05:00</v>
      </c>
      <c r="C319" s="2300" t="s">
        <v>1405</v>
      </c>
    </row>
    <row r="320" spans="1:3">
      <c r="A320" s="2276" t="str">
        <f>"14-12-2023 05:00"</f>
        <v>14-12-2023 05:00</v>
      </c>
      <c r="B320" s="2276" t="str">
        <f>"14-12-2023 06:00"</f>
        <v>14-12-2023 06:00</v>
      </c>
      <c r="C320" s="2300" t="s">
        <v>1384</v>
      </c>
    </row>
    <row r="321" spans="1:3">
      <c r="A321" s="2276" t="str">
        <f>"14-12-2023 06:00"</f>
        <v>14-12-2023 06:00</v>
      </c>
      <c r="B321" s="2276" t="str">
        <f>"14-12-2023 07:00"</f>
        <v>14-12-2023 07:00</v>
      </c>
      <c r="C321" s="2300" t="s">
        <v>1376</v>
      </c>
    </row>
    <row r="322" spans="1:3">
      <c r="A322" s="2276" t="str">
        <f>"14-12-2023 07:00"</f>
        <v>14-12-2023 07:00</v>
      </c>
      <c r="B322" s="2276" t="str">
        <f>"14-12-2023 08:00"</f>
        <v>14-12-2023 08:00</v>
      </c>
      <c r="C322" s="2300" t="s">
        <v>1384</v>
      </c>
    </row>
    <row r="323" spans="1:3">
      <c r="A323" s="2276" t="str">
        <f>"14-12-2023 08:00"</f>
        <v>14-12-2023 08:00</v>
      </c>
      <c r="B323" s="2276" t="str">
        <f>"14-12-2023 09:00"</f>
        <v>14-12-2023 09:00</v>
      </c>
      <c r="C323" s="2300" t="s">
        <v>1416</v>
      </c>
    </row>
    <row r="324" spans="1:3">
      <c r="A324" s="2276" t="str">
        <f>"14-12-2023 09:00"</f>
        <v>14-12-2023 09:00</v>
      </c>
      <c r="B324" s="2276" t="str">
        <f>"14-12-2023 10:00"</f>
        <v>14-12-2023 10:00</v>
      </c>
      <c r="C324" s="2300" t="s">
        <v>1463</v>
      </c>
    </row>
    <row r="325" spans="1:3">
      <c r="A325" s="2276" t="str">
        <f>"14-12-2023 10:00"</f>
        <v>14-12-2023 10:00</v>
      </c>
      <c r="B325" s="2276" t="str">
        <f>"14-12-2023 11:00"</f>
        <v>14-12-2023 11:00</v>
      </c>
      <c r="C325" s="2300" t="s">
        <v>1450</v>
      </c>
    </row>
    <row r="326" spans="1:3">
      <c r="A326" s="2276" t="str">
        <f>"14-12-2023 11:00"</f>
        <v>14-12-2023 11:00</v>
      </c>
      <c r="B326" s="2276" t="str">
        <f>"14-12-2023 12:00"</f>
        <v>14-12-2023 12:00</v>
      </c>
      <c r="C326" s="2300" t="s">
        <v>1428</v>
      </c>
    </row>
    <row r="327" spans="1:3">
      <c r="A327" s="2276" t="str">
        <f>"14-12-2023 12:00"</f>
        <v>14-12-2023 12:00</v>
      </c>
      <c r="B327" s="2276" t="str">
        <f>"14-12-2023 13:00"</f>
        <v>14-12-2023 13:00</v>
      </c>
      <c r="C327" s="2300" t="s">
        <v>1434</v>
      </c>
    </row>
    <row r="328" spans="1:3">
      <c r="A328" s="2276" t="str">
        <f>"14-12-2023 13:00"</f>
        <v>14-12-2023 13:00</v>
      </c>
      <c r="B328" s="2276" t="str">
        <f>"14-12-2023 14:00"</f>
        <v>14-12-2023 14:00</v>
      </c>
      <c r="C328" s="2300" t="s">
        <v>1389</v>
      </c>
    </row>
    <row r="329" spans="1:3">
      <c r="A329" s="2276" t="str">
        <f>"14-12-2023 14:00"</f>
        <v>14-12-2023 14:00</v>
      </c>
      <c r="B329" s="2276" t="str">
        <f>"14-12-2023 15:00"</f>
        <v>14-12-2023 15:00</v>
      </c>
      <c r="C329" s="2300" t="s">
        <v>1623</v>
      </c>
    </row>
    <row r="330" spans="1:3">
      <c r="A330" s="2276" t="str">
        <f>"14-12-2023 15:00"</f>
        <v>14-12-2023 15:00</v>
      </c>
      <c r="B330" s="2276" t="str">
        <f>"14-12-2023 16:00"</f>
        <v>14-12-2023 16:00</v>
      </c>
      <c r="C330" s="2300" t="s">
        <v>1622</v>
      </c>
    </row>
    <row r="331" spans="1:3">
      <c r="A331" s="2276" t="str">
        <f>"14-12-2023 16:00"</f>
        <v>14-12-2023 16:00</v>
      </c>
      <c r="B331" s="2276" t="str">
        <f>"14-12-2023 17:00"</f>
        <v>14-12-2023 17:00</v>
      </c>
      <c r="C331" s="2300" t="s">
        <v>1621</v>
      </c>
    </row>
    <row r="332" spans="1:3">
      <c r="A332" s="2276" t="str">
        <f>"14-12-2023 17:00"</f>
        <v>14-12-2023 17:00</v>
      </c>
      <c r="B332" s="2276" t="str">
        <f>"14-12-2023 18:00"</f>
        <v>14-12-2023 18:00</v>
      </c>
      <c r="C332" s="2300" t="s">
        <v>1620</v>
      </c>
    </row>
    <row r="333" spans="1:3">
      <c r="A333" s="2276" t="str">
        <f>"14-12-2023 18:00"</f>
        <v>14-12-2023 18:00</v>
      </c>
      <c r="B333" s="2276" t="str">
        <f>"14-12-2023 19:00"</f>
        <v>14-12-2023 19:00</v>
      </c>
      <c r="C333" s="2300" t="s">
        <v>1530</v>
      </c>
    </row>
    <row r="334" spans="1:3">
      <c r="A334" s="2276" t="str">
        <f>"14-12-2023 19:00"</f>
        <v>14-12-2023 19:00</v>
      </c>
      <c r="B334" s="2276" t="str">
        <f>"14-12-2023 20:00"</f>
        <v>14-12-2023 20:00</v>
      </c>
      <c r="C334" s="2300" t="s">
        <v>1421</v>
      </c>
    </row>
    <row r="335" spans="1:3">
      <c r="A335" s="2276" t="str">
        <f>"14-12-2023 20:00"</f>
        <v>14-12-2023 20:00</v>
      </c>
      <c r="B335" s="2276" t="str">
        <f>"14-12-2023 21:00"</f>
        <v>14-12-2023 21:00</v>
      </c>
      <c r="C335" s="2300" t="s">
        <v>1391</v>
      </c>
    </row>
    <row r="336" spans="1:3">
      <c r="A336" s="2276" t="str">
        <f>"14-12-2023 21:00"</f>
        <v>14-12-2023 21:00</v>
      </c>
      <c r="B336" s="2276" t="str">
        <f>"14-12-2023 22:00"</f>
        <v>14-12-2023 22:00</v>
      </c>
      <c r="C336" s="2300" t="s">
        <v>1457</v>
      </c>
    </row>
    <row r="337" spans="1:3">
      <c r="A337" s="2276" t="str">
        <f>"14-12-2023 22:00"</f>
        <v>14-12-2023 22:00</v>
      </c>
      <c r="B337" s="2276" t="str">
        <f>"14-12-2023 23:00"</f>
        <v>14-12-2023 23:00</v>
      </c>
      <c r="C337" s="2300" t="s">
        <v>1395</v>
      </c>
    </row>
    <row r="338" spans="1:3">
      <c r="A338" s="2276" t="str">
        <f>"14-12-2023 23:00"</f>
        <v>14-12-2023 23:00</v>
      </c>
      <c r="B338" s="2276" t="str">
        <f>"15-12-2023 00:00"</f>
        <v>15-12-2023 00:00</v>
      </c>
      <c r="C338" s="2300" t="s">
        <v>1379</v>
      </c>
    </row>
    <row r="339" spans="1:3">
      <c r="A339" s="2276" t="str">
        <f>"15-12-2023 00:00"</f>
        <v>15-12-2023 00:00</v>
      </c>
      <c r="B339" s="2276" t="str">
        <f>"15-12-2023 01:00"</f>
        <v>15-12-2023 01:00</v>
      </c>
      <c r="C339" s="2300" t="s">
        <v>1371</v>
      </c>
    </row>
    <row r="340" spans="1:3">
      <c r="A340" s="2276" t="str">
        <f>"15-12-2023 01:00"</f>
        <v>15-12-2023 01:00</v>
      </c>
      <c r="B340" s="2276" t="str">
        <f>"15-12-2023 02:00"</f>
        <v>15-12-2023 02:00</v>
      </c>
      <c r="C340" s="2300" t="s">
        <v>1368</v>
      </c>
    </row>
    <row r="341" spans="1:3">
      <c r="A341" s="2276" t="str">
        <f>"15-12-2023 02:00"</f>
        <v>15-12-2023 02:00</v>
      </c>
      <c r="B341" s="2276" t="str">
        <f>"15-12-2023 03:00"</f>
        <v>15-12-2023 03:00</v>
      </c>
      <c r="C341" s="2300" t="s">
        <v>1375</v>
      </c>
    </row>
    <row r="342" spans="1:3">
      <c r="A342" s="2276" t="str">
        <f>"15-12-2023 03:00"</f>
        <v>15-12-2023 03:00</v>
      </c>
      <c r="B342" s="2276" t="str">
        <f>"15-12-2023 04:00"</f>
        <v>15-12-2023 04:00</v>
      </c>
      <c r="C342" s="2300" t="s">
        <v>1376</v>
      </c>
    </row>
    <row r="343" spans="1:3">
      <c r="A343" s="2276" t="str">
        <f>"15-12-2023 04:00"</f>
        <v>15-12-2023 04:00</v>
      </c>
      <c r="B343" s="2276" t="str">
        <f>"15-12-2023 05:00"</f>
        <v>15-12-2023 05:00</v>
      </c>
      <c r="C343" s="2300" t="s">
        <v>1387</v>
      </c>
    </row>
    <row r="344" spans="1:3">
      <c r="A344" s="2276" t="str">
        <f>"15-12-2023 05:00"</f>
        <v>15-12-2023 05:00</v>
      </c>
      <c r="B344" s="2276" t="str">
        <f>"15-12-2023 06:00"</f>
        <v>15-12-2023 06:00</v>
      </c>
      <c r="C344" s="2300" t="s">
        <v>1405</v>
      </c>
    </row>
    <row r="345" spans="1:3">
      <c r="A345" s="2276" t="str">
        <f>"15-12-2023 06:00"</f>
        <v>15-12-2023 06:00</v>
      </c>
      <c r="B345" s="2276" t="str">
        <f>"15-12-2023 07:00"</f>
        <v>15-12-2023 07:00</v>
      </c>
      <c r="C345" s="2300" t="s">
        <v>1393</v>
      </c>
    </row>
    <row r="346" spans="1:3">
      <c r="A346" s="2276" t="str">
        <f>"15-12-2023 07:00"</f>
        <v>15-12-2023 07:00</v>
      </c>
      <c r="B346" s="2276" t="str">
        <f>"15-12-2023 08:00"</f>
        <v>15-12-2023 08:00</v>
      </c>
      <c r="C346" s="2300" t="s">
        <v>1375</v>
      </c>
    </row>
    <row r="347" spans="1:3">
      <c r="A347" s="2276" t="str">
        <f>"15-12-2023 08:00"</f>
        <v>15-12-2023 08:00</v>
      </c>
      <c r="B347" s="2276" t="str">
        <f>"15-12-2023 09:00"</f>
        <v>15-12-2023 09:00</v>
      </c>
      <c r="C347" s="2300" t="s">
        <v>1442</v>
      </c>
    </row>
    <row r="348" spans="1:3">
      <c r="A348" s="2276" t="str">
        <f>"15-12-2023 09:00"</f>
        <v>15-12-2023 09:00</v>
      </c>
      <c r="B348" s="2276" t="str">
        <f>"15-12-2023 10:00"</f>
        <v>15-12-2023 10:00</v>
      </c>
      <c r="C348" s="2300" t="s">
        <v>1373</v>
      </c>
    </row>
    <row r="349" spans="1:3">
      <c r="A349" s="2276" t="str">
        <f>"15-12-2023 10:00"</f>
        <v>15-12-2023 10:00</v>
      </c>
      <c r="B349" s="2276" t="str">
        <f>"15-12-2023 11:00"</f>
        <v>15-12-2023 11:00</v>
      </c>
      <c r="C349" s="2300" t="s">
        <v>1509</v>
      </c>
    </row>
    <row r="350" spans="1:3">
      <c r="A350" s="2276" t="str">
        <f>"15-12-2023 11:00"</f>
        <v>15-12-2023 11:00</v>
      </c>
      <c r="B350" s="2276" t="str">
        <f>"15-12-2023 12:00"</f>
        <v>15-12-2023 12:00</v>
      </c>
      <c r="C350" s="2300" t="s">
        <v>1510</v>
      </c>
    </row>
    <row r="351" spans="1:3">
      <c r="A351" s="2276" t="str">
        <f>"15-12-2023 12:00"</f>
        <v>15-12-2023 12:00</v>
      </c>
      <c r="B351" s="2276" t="str">
        <f>"15-12-2023 13:00"</f>
        <v>15-12-2023 13:00</v>
      </c>
      <c r="C351" s="2300" t="s">
        <v>1524</v>
      </c>
    </row>
    <row r="352" spans="1:3">
      <c r="A352" s="2276" t="str">
        <f>"15-12-2023 13:00"</f>
        <v>15-12-2023 13:00</v>
      </c>
      <c r="B352" s="2276" t="str">
        <f>"15-12-2023 14:00"</f>
        <v>15-12-2023 14:00</v>
      </c>
      <c r="C352" s="2300" t="s">
        <v>1497</v>
      </c>
    </row>
    <row r="353" spans="1:3">
      <c r="A353" s="2276" t="str">
        <f>"15-12-2023 14:00"</f>
        <v>15-12-2023 14:00</v>
      </c>
      <c r="B353" s="2276" t="str">
        <f>"15-12-2023 15:00"</f>
        <v>15-12-2023 15:00</v>
      </c>
      <c r="C353" s="2300" t="s">
        <v>1619</v>
      </c>
    </row>
    <row r="354" spans="1:3">
      <c r="A354" s="2276" t="str">
        <f>"15-12-2023 15:00"</f>
        <v>15-12-2023 15:00</v>
      </c>
      <c r="B354" s="2276" t="str">
        <f>"15-12-2023 16:00"</f>
        <v>15-12-2023 16:00</v>
      </c>
      <c r="C354" s="2300" t="s">
        <v>1423</v>
      </c>
    </row>
    <row r="355" spans="1:3">
      <c r="A355" s="2276" t="str">
        <f>"15-12-2023 16:00"</f>
        <v>15-12-2023 16:00</v>
      </c>
      <c r="B355" s="2276" t="str">
        <f>"15-12-2023 17:00"</f>
        <v>15-12-2023 17:00</v>
      </c>
      <c r="C355" s="2300" t="s">
        <v>1439</v>
      </c>
    </row>
    <row r="356" spans="1:3">
      <c r="A356" s="2276" t="str">
        <f>"15-12-2023 17:00"</f>
        <v>15-12-2023 17:00</v>
      </c>
      <c r="B356" s="2276" t="str">
        <f>"15-12-2023 18:00"</f>
        <v>15-12-2023 18:00</v>
      </c>
      <c r="C356" s="2300" t="s">
        <v>1480</v>
      </c>
    </row>
    <row r="357" spans="1:3">
      <c r="A357" s="2276" t="str">
        <f>"15-12-2023 18:00"</f>
        <v>15-12-2023 18:00</v>
      </c>
      <c r="B357" s="2276" t="str">
        <f>"15-12-2023 19:00"</f>
        <v>15-12-2023 19:00</v>
      </c>
      <c r="C357" s="2300" t="s">
        <v>1422</v>
      </c>
    </row>
    <row r="358" spans="1:3">
      <c r="A358" s="2276" t="str">
        <f>"15-12-2023 19:00"</f>
        <v>15-12-2023 19:00</v>
      </c>
      <c r="B358" s="2276" t="str">
        <f>"15-12-2023 20:00"</f>
        <v>15-12-2023 20:00</v>
      </c>
      <c r="C358" s="2300" t="s">
        <v>1422</v>
      </c>
    </row>
    <row r="359" spans="1:3">
      <c r="A359" s="2276" t="str">
        <f>"15-12-2023 20:00"</f>
        <v>15-12-2023 20:00</v>
      </c>
      <c r="B359" s="2276" t="str">
        <f>"15-12-2023 21:00"</f>
        <v>15-12-2023 21:00</v>
      </c>
      <c r="C359" s="2300" t="s">
        <v>1457</v>
      </c>
    </row>
    <row r="360" spans="1:3">
      <c r="A360" s="2276" t="str">
        <f>"15-12-2023 21:00"</f>
        <v>15-12-2023 21:00</v>
      </c>
      <c r="B360" s="2276" t="str">
        <f>"15-12-2023 22:00"</f>
        <v>15-12-2023 22:00</v>
      </c>
      <c r="C360" s="2300" t="s">
        <v>1432</v>
      </c>
    </row>
    <row r="361" spans="1:3">
      <c r="A361" s="2276" t="str">
        <f>"15-12-2023 22:00"</f>
        <v>15-12-2023 22:00</v>
      </c>
      <c r="B361" s="2276" t="str">
        <f>"15-12-2023 23:00"</f>
        <v>15-12-2023 23:00</v>
      </c>
      <c r="C361" s="2300" t="s">
        <v>1428</v>
      </c>
    </row>
    <row r="362" spans="1:3">
      <c r="A362" s="2276" t="str">
        <f>"15-12-2023 23:00"</f>
        <v>15-12-2023 23:00</v>
      </c>
      <c r="B362" s="2276" t="str">
        <f>"16-12-2023 00:00"</f>
        <v>16-12-2023 00:00</v>
      </c>
      <c r="C362" s="2300" t="s">
        <v>1431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S792"/>
  <sheetViews>
    <sheetView topLeftCell="A455" workbookViewId="0">
      <selection activeCell="F452" sqref="F452:I452"/>
    </sheetView>
  </sheetViews>
  <sheetFormatPr defaultRowHeight="13.2"/>
  <cols>
    <col min="1" max="1" width="17" style="2280" customWidth="1"/>
    <col min="2" max="2" width="16.6640625" style="2280" customWidth="1"/>
    <col min="3" max="3" width="10.44140625" style="2281" customWidth="1"/>
    <col min="4" max="4" width="10.44140625" style="2280" customWidth="1"/>
    <col min="5" max="5" width="1.77734375" style="2284" customWidth="1"/>
    <col min="6" max="6" width="17" style="2280" customWidth="1"/>
    <col min="7" max="7" width="16.6640625" style="2280" customWidth="1"/>
    <col min="8" max="8" width="10.44140625" style="2281" customWidth="1"/>
    <col min="9" max="9" width="10.44140625" style="2280" customWidth="1"/>
    <col min="10" max="10" width="1.77734375" style="2284" customWidth="1"/>
    <col min="11" max="11" width="8.88671875" style="2282"/>
    <col min="12" max="12" width="13.44140625" style="2282" customWidth="1"/>
    <col min="13" max="13" width="9.88671875" style="2281" bestFit="1" customWidth="1"/>
    <col min="14" max="16384" width="8.88671875" style="2280"/>
  </cols>
  <sheetData>
    <row r="1" spans="1:13" ht="13.8" thickBot="1">
      <c r="A1" s="2279" t="s">
        <v>1537</v>
      </c>
      <c r="B1" s="2279" t="s">
        <v>1469</v>
      </c>
      <c r="C1" s="2283" t="s">
        <v>1538</v>
      </c>
      <c r="D1" s="2279"/>
      <c r="F1" s="2279"/>
      <c r="G1" s="2279"/>
      <c r="H1" s="2283"/>
      <c r="I1" s="2279"/>
    </row>
    <row r="2" spans="1:13" ht="13.8" thickBot="1">
      <c r="A2" s="2280" t="s">
        <v>1644</v>
      </c>
      <c r="B2" s="2280" t="s">
        <v>1645</v>
      </c>
      <c r="C2" s="2281" t="s">
        <v>1147</v>
      </c>
      <c r="D2" s="2280" t="s">
        <v>567</v>
      </c>
      <c r="F2" s="2338" t="s">
        <v>1644</v>
      </c>
      <c r="G2" s="2339" t="s">
        <v>1645</v>
      </c>
      <c r="H2" s="2340" t="s">
        <v>1147</v>
      </c>
      <c r="I2" s="2339" t="s">
        <v>567</v>
      </c>
      <c r="K2" s="2285" t="s">
        <v>1130</v>
      </c>
      <c r="L2" s="2286">
        <v>45261</v>
      </c>
      <c r="M2" s="2287">
        <v>8</v>
      </c>
    </row>
    <row r="3" spans="1:13">
      <c r="A3" s="2280" t="str">
        <f>"01-12-2023 00:00"</f>
        <v>01-12-2023 00:00</v>
      </c>
      <c r="B3" s="2280" t="str">
        <f>"01-12-2023 01:00"</f>
        <v>01-12-2023 01:00</v>
      </c>
      <c r="C3" s="2278">
        <v>0.16</v>
      </c>
      <c r="F3" s="1721" t="str">
        <f>"01-01-2024 00:00"</f>
        <v>01-01-2024 00:00</v>
      </c>
      <c r="G3" s="1721" t="str">
        <f>"01-01-2024 01:00"</f>
        <v>01-01-2024 01:00</v>
      </c>
      <c r="H3" s="1721">
        <v>0.35</v>
      </c>
      <c r="K3" s="2288" t="s">
        <v>1128</v>
      </c>
      <c r="L3" s="2289">
        <v>45262</v>
      </c>
      <c r="M3" s="2290">
        <v>8.7799999999999994</v>
      </c>
    </row>
    <row r="4" spans="1:13">
      <c r="A4" s="2280" t="str">
        <f>"01-12-2023 01:00"</f>
        <v>01-12-2023 01:00</v>
      </c>
      <c r="B4" s="2280" t="str">
        <f>"01-12-2023 02:00"</f>
        <v>01-12-2023 02:00</v>
      </c>
      <c r="C4" s="2278">
        <v>0.2</v>
      </c>
      <c r="F4" s="1721" t="str">
        <f>"01-01-2024 01:00"</f>
        <v>01-01-2024 01:00</v>
      </c>
      <c r="G4" s="1721" t="str">
        <f>"01-01-2024 02:00"</f>
        <v>01-01-2024 02:00</v>
      </c>
      <c r="H4" s="1721">
        <v>0.28000000000000003</v>
      </c>
      <c r="K4" s="2291" t="s">
        <v>1139</v>
      </c>
      <c r="L4" s="2292">
        <v>45263</v>
      </c>
      <c r="M4" s="2293">
        <v>8.92</v>
      </c>
    </row>
    <row r="5" spans="1:13">
      <c r="A5" s="2280" t="str">
        <f>"01-12-2023 02:00"</f>
        <v>01-12-2023 02:00</v>
      </c>
      <c r="B5" s="2280" t="str">
        <f>"01-12-2023 03:00"</f>
        <v>01-12-2023 03:00</v>
      </c>
      <c r="C5" s="2278">
        <v>0.15</v>
      </c>
      <c r="F5" s="1721" t="str">
        <f>"01-01-2024 02:00"</f>
        <v>01-01-2024 02:00</v>
      </c>
      <c r="G5" s="1721" t="str">
        <f>"01-01-2024 03:00"</f>
        <v>01-01-2024 03:00</v>
      </c>
      <c r="H5" s="1721">
        <v>0.13</v>
      </c>
      <c r="K5" s="2288" t="s">
        <v>1138</v>
      </c>
      <c r="L5" s="2289">
        <v>45264</v>
      </c>
      <c r="M5" s="2290">
        <v>8.0500000000000007</v>
      </c>
    </row>
    <row r="6" spans="1:13">
      <c r="A6" s="2280" t="str">
        <f>"01-12-2023 03:00"</f>
        <v>01-12-2023 03:00</v>
      </c>
      <c r="B6" s="2280" t="str">
        <f>"01-12-2023 04:00"</f>
        <v>01-12-2023 04:00</v>
      </c>
      <c r="C6" s="2278">
        <v>0.14000000000000001</v>
      </c>
      <c r="F6" s="1721" t="str">
        <f>"01-01-2024 03:00"</f>
        <v>01-01-2024 03:00</v>
      </c>
      <c r="G6" s="1721" t="str">
        <f>"01-01-2024 04:00"</f>
        <v>01-01-2024 04:00</v>
      </c>
      <c r="H6" s="1721">
        <v>0.19</v>
      </c>
      <c r="K6" s="2288" t="s">
        <v>1137</v>
      </c>
      <c r="L6" s="2289">
        <v>45265</v>
      </c>
      <c r="M6" s="2290">
        <v>7.95</v>
      </c>
    </row>
    <row r="7" spans="1:13">
      <c r="A7" s="2280" t="str">
        <f>"01-12-2023 04:00"</f>
        <v>01-12-2023 04:00</v>
      </c>
      <c r="B7" s="2280" t="str">
        <f>"01-12-2023 05:00"</f>
        <v>01-12-2023 05:00</v>
      </c>
      <c r="C7" s="2278">
        <v>0.16</v>
      </c>
      <c r="F7" s="1721" t="str">
        <f>"01-01-2024 04:00"</f>
        <v>01-01-2024 04:00</v>
      </c>
      <c r="G7" s="1721" t="str">
        <f>"01-01-2024 05:00"</f>
        <v>01-01-2024 05:00</v>
      </c>
      <c r="H7" s="1721">
        <v>0.17</v>
      </c>
      <c r="K7" s="2288" t="s">
        <v>1131</v>
      </c>
      <c r="L7" s="2289">
        <v>45266</v>
      </c>
      <c r="M7" s="2290">
        <v>10.89</v>
      </c>
    </row>
    <row r="8" spans="1:13">
      <c r="A8" s="2280" t="str">
        <f>"01-12-2023 05:00"</f>
        <v>01-12-2023 05:00</v>
      </c>
      <c r="B8" s="2280" t="str">
        <f>"01-12-2023 06:00"</f>
        <v>01-12-2023 06:00</v>
      </c>
      <c r="C8" s="2278">
        <v>0.13</v>
      </c>
      <c r="F8" s="1721" t="str">
        <f>"01-01-2024 05:00"</f>
        <v>01-01-2024 05:00</v>
      </c>
      <c r="G8" s="1721" t="str">
        <f>"01-01-2024 06:00"</f>
        <v>01-01-2024 06:00</v>
      </c>
      <c r="H8" s="1721">
        <v>0.2</v>
      </c>
      <c r="K8" s="2288" t="s">
        <v>1136</v>
      </c>
      <c r="L8" s="2289">
        <v>45267</v>
      </c>
      <c r="M8" s="2290">
        <v>10.09</v>
      </c>
    </row>
    <row r="9" spans="1:13">
      <c r="A9" s="2280" t="str">
        <f>"01-12-2023 06:00"</f>
        <v>01-12-2023 06:00</v>
      </c>
      <c r="B9" s="2280" t="str">
        <f>"01-12-2023 07:00"</f>
        <v>01-12-2023 07:00</v>
      </c>
      <c r="C9" s="2278">
        <v>0.19</v>
      </c>
      <c r="F9" s="1721" t="str">
        <f>"01-01-2024 06:00"</f>
        <v>01-01-2024 06:00</v>
      </c>
      <c r="G9" s="1721" t="str">
        <f>"01-01-2024 07:00"</f>
        <v>01-01-2024 07:00</v>
      </c>
      <c r="H9" s="1721">
        <v>0.22</v>
      </c>
      <c r="K9" s="2288" t="s">
        <v>1130</v>
      </c>
      <c r="L9" s="2289">
        <v>45268</v>
      </c>
      <c r="M9" s="2290">
        <v>9.1199999999999992</v>
      </c>
    </row>
    <row r="10" spans="1:13">
      <c r="A10" s="2280" t="str">
        <f>"01-12-2023 07:00"</f>
        <v>01-12-2023 07:00</v>
      </c>
      <c r="B10" s="2280" t="str">
        <f>"01-12-2023 08:00"</f>
        <v>01-12-2023 08:00</v>
      </c>
      <c r="C10" s="2278">
        <v>0.37</v>
      </c>
      <c r="F10" s="1721" t="str">
        <f>"01-01-2024 07:00"</f>
        <v>01-01-2024 07:00</v>
      </c>
      <c r="G10" s="1721" t="str">
        <f>"01-01-2024 08:00"</f>
        <v>01-01-2024 08:00</v>
      </c>
      <c r="H10" s="1721">
        <v>0.22</v>
      </c>
      <c r="K10" s="2288" t="s">
        <v>1128</v>
      </c>
      <c r="L10" s="2289">
        <v>45269</v>
      </c>
      <c r="M10" s="2290">
        <v>7.65</v>
      </c>
    </row>
    <row r="11" spans="1:13">
      <c r="A11" s="2280" t="str">
        <f>"01-12-2023 08:00"</f>
        <v>01-12-2023 08:00</v>
      </c>
      <c r="B11" s="2280" t="str">
        <f>"01-12-2023 09:00"</f>
        <v>01-12-2023 09:00</v>
      </c>
      <c r="C11" s="2278">
        <v>0.38</v>
      </c>
      <c r="F11" s="1721" t="str">
        <f>"01-01-2024 08:00"</f>
        <v>01-01-2024 08:00</v>
      </c>
      <c r="G11" s="1721" t="str">
        <f>"01-01-2024 09:00"</f>
        <v>01-01-2024 09:00</v>
      </c>
      <c r="H11" s="1721">
        <v>0.49</v>
      </c>
      <c r="K11" s="2294" t="s">
        <v>1139</v>
      </c>
      <c r="L11" s="2295">
        <v>45270</v>
      </c>
      <c r="M11" s="2296">
        <v>8.5299999999999994</v>
      </c>
    </row>
    <row r="12" spans="1:13">
      <c r="A12" s="2280" t="str">
        <f>"01-12-2023 09:00"</f>
        <v>01-12-2023 09:00</v>
      </c>
      <c r="B12" s="2280" t="str">
        <f>"01-12-2023 10:00"</f>
        <v>01-12-2023 10:00</v>
      </c>
      <c r="C12" s="2278">
        <v>0.25</v>
      </c>
      <c r="F12" s="1721" t="str">
        <f>"01-01-2024 09:00"</f>
        <v>01-01-2024 09:00</v>
      </c>
      <c r="G12" s="1721" t="str">
        <f>"01-01-2024 10:00"</f>
        <v>01-01-2024 10:00</v>
      </c>
      <c r="H12" s="1721">
        <v>0.2</v>
      </c>
      <c r="K12" s="2288" t="s">
        <v>1138</v>
      </c>
      <c r="L12" s="2289">
        <v>45271</v>
      </c>
      <c r="M12" s="2290">
        <v>7.71</v>
      </c>
    </row>
    <row r="13" spans="1:13">
      <c r="A13" s="2280" t="str">
        <f>"01-12-2023 10:00"</f>
        <v>01-12-2023 10:00</v>
      </c>
      <c r="B13" s="2280" t="str">
        <f>"01-12-2023 11:00"</f>
        <v>01-12-2023 11:00</v>
      </c>
      <c r="C13" s="2278">
        <v>0.28000000000000003</v>
      </c>
      <c r="F13" s="1721" t="str">
        <f>"01-01-2024 10:00"</f>
        <v>01-01-2024 10:00</v>
      </c>
      <c r="G13" s="1721" t="str">
        <f>"01-01-2024 11:00"</f>
        <v>01-01-2024 11:00</v>
      </c>
      <c r="H13" s="1721">
        <v>0.28000000000000003</v>
      </c>
      <c r="K13" s="2288" t="s">
        <v>1137</v>
      </c>
      <c r="L13" s="2289">
        <v>45272</v>
      </c>
      <c r="M13" s="2290">
        <v>7.78</v>
      </c>
    </row>
    <row r="14" spans="1:13">
      <c r="A14" s="2280" t="str">
        <f>"01-12-2023 11:00"</f>
        <v>01-12-2023 11:00</v>
      </c>
      <c r="B14" s="2280" t="str">
        <f>"01-12-2023 12:00"</f>
        <v>01-12-2023 12:00</v>
      </c>
      <c r="C14" s="2278">
        <v>0.3</v>
      </c>
      <c r="F14" s="1721" t="str">
        <f>"01-01-2024 11:00"</f>
        <v>01-01-2024 11:00</v>
      </c>
      <c r="G14" s="1721" t="str">
        <f>"01-01-2024 12:00"</f>
        <v>01-01-2024 12:00</v>
      </c>
      <c r="H14" s="1721">
        <v>0.32</v>
      </c>
      <c r="K14" s="2288" t="s">
        <v>1131</v>
      </c>
      <c r="L14" s="2289">
        <v>45273</v>
      </c>
      <c r="M14" s="2290">
        <v>8.39</v>
      </c>
    </row>
    <row r="15" spans="1:13">
      <c r="A15" s="2280" t="str">
        <f>"01-12-2023 12:00"</f>
        <v>01-12-2023 12:00</v>
      </c>
      <c r="B15" s="2280" t="str">
        <f>"01-12-2023 13:00"</f>
        <v>01-12-2023 13:00</v>
      </c>
      <c r="C15" s="2278">
        <v>0.53</v>
      </c>
      <c r="F15" s="1721" t="str">
        <f>"01-01-2024 12:00"</f>
        <v>01-01-2024 12:00</v>
      </c>
      <c r="G15" s="1721" t="str">
        <f>"01-01-2024 13:00"</f>
        <v>01-01-2024 13:00</v>
      </c>
      <c r="H15" s="1721">
        <v>0.5</v>
      </c>
      <c r="K15" s="2288" t="s">
        <v>1136</v>
      </c>
      <c r="L15" s="2289">
        <v>45274</v>
      </c>
      <c r="M15" s="2290">
        <v>10.16</v>
      </c>
    </row>
    <row r="16" spans="1:13">
      <c r="A16" s="2280" t="str">
        <f>"01-12-2023 13:00"</f>
        <v>01-12-2023 13:00</v>
      </c>
      <c r="B16" s="2280" t="str">
        <f>"01-12-2023 14:00"</f>
        <v>01-12-2023 14:00</v>
      </c>
      <c r="C16" s="2278">
        <v>0.36</v>
      </c>
      <c r="F16" s="1721" t="str">
        <f>"01-01-2024 13:00"</f>
        <v>01-01-2024 13:00</v>
      </c>
      <c r="G16" s="1721" t="str">
        <f>"01-01-2024 14:00"</f>
        <v>01-01-2024 14:00</v>
      </c>
      <c r="H16" s="1721">
        <v>0.51</v>
      </c>
      <c r="K16" s="2288" t="s">
        <v>1130</v>
      </c>
      <c r="L16" s="2289">
        <v>45275</v>
      </c>
      <c r="M16" s="2290">
        <v>7.89</v>
      </c>
    </row>
    <row r="17" spans="1:19">
      <c r="A17" s="2280" t="str">
        <f>"01-12-2023 14:00"</f>
        <v>01-12-2023 14:00</v>
      </c>
      <c r="B17" s="2280" t="str">
        <f>"01-12-2023 15:00"</f>
        <v>01-12-2023 15:00</v>
      </c>
      <c r="C17" s="2278">
        <v>0.4</v>
      </c>
      <c r="F17" s="1721" t="str">
        <f>"01-01-2024 14:00"</f>
        <v>01-01-2024 14:00</v>
      </c>
      <c r="G17" s="1721" t="str">
        <f>"01-01-2024 15:00"</f>
        <v>01-01-2024 15:00</v>
      </c>
      <c r="H17" s="1721">
        <v>0.64</v>
      </c>
      <c r="K17" s="2288" t="s">
        <v>1128</v>
      </c>
      <c r="L17" s="2289">
        <v>45276</v>
      </c>
      <c r="M17" s="2290">
        <v>7.59</v>
      </c>
      <c r="S17" s="2280" t="s">
        <v>389</v>
      </c>
    </row>
    <row r="18" spans="1:19">
      <c r="A18" s="2280" t="str">
        <f>"01-12-2023 15:00"</f>
        <v>01-12-2023 15:00</v>
      </c>
      <c r="B18" s="2280" t="str">
        <f>"01-12-2023 16:00"</f>
        <v>01-12-2023 16:00</v>
      </c>
      <c r="C18" s="2278">
        <v>0.34</v>
      </c>
      <c r="F18" s="1721" t="str">
        <f>"01-01-2024 15:00"</f>
        <v>01-01-2024 15:00</v>
      </c>
      <c r="G18" s="1721" t="str">
        <f>"01-01-2024 16:00"</f>
        <v>01-01-2024 16:00</v>
      </c>
      <c r="H18" s="1721">
        <v>0.51</v>
      </c>
      <c r="K18" s="2294" t="s">
        <v>1139</v>
      </c>
      <c r="L18" s="2295">
        <v>45277</v>
      </c>
      <c r="M18" s="2296">
        <v>8</v>
      </c>
    </row>
    <row r="19" spans="1:19">
      <c r="A19" s="2280" t="str">
        <f>"01-12-2023 16:00"</f>
        <v>01-12-2023 16:00</v>
      </c>
      <c r="B19" s="2280" t="str">
        <f>"01-12-2023 17:00"</f>
        <v>01-12-2023 17:00</v>
      </c>
      <c r="C19" s="2278">
        <v>0.41</v>
      </c>
      <c r="F19" s="1721" t="str">
        <f>"01-01-2024 16:00"</f>
        <v>01-01-2024 16:00</v>
      </c>
      <c r="G19" s="1721" t="str">
        <f>"01-01-2024 17:00"</f>
        <v>01-01-2024 17:00</v>
      </c>
      <c r="H19" s="1721">
        <v>0.44</v>
      </c>
      <c r="K19" s="2288" t="s">
        <v>1138</v>
      </c>
      <c r="L19" s="2289">
        <v>45278</v>
      </c>
      <c r="M19" s="2290">
        <v>8.08</v>
      </c>
    </row>
    <row r="20" spans="1:19">
      <c r="A20" s="2280" t="str">
        <f>"01-12-2023 17:00"</f>
        <v>01-12-2023 17:00</v>
      </c>
      <c r="B20" s="2280" t="str">
        <f>"01-12-2023 18:00"</f>
        <v>01-12-2023 18:00</v>
      </c>
      <c r="C20" s="2278">
        <v>0.72</v>
      </c>
      <c r="F20" s="1721" t="str">
        <f>"01-01-2024 17:00"</f>
        <v>01-01-2024 17:00</v>
      </c>
      <c r="G20" s="1721" t="str">
        <f>"01-01-2024 18:00"</f>
        <v>01-01-2024 18:00</v>
      </c>
      <c r="H20" s="1721">
        <v>1.08</v>
      </c>
      <c r="K20" s="2288" t="s">
        <v>1137</v>
      </c>
      <c r="L20" s="2289">
        <v>45279</v>
      </c>
      <c r="M20" s="2290">
        <v>7.48</v>
      </c>
    </row>
    <row r="21" spans="1:19">
      <c r="A21" s="2280" t="str">
        <f>"01-12-2023 18:00"</f>
        <v>01-12-2023 18:00</v>
      </c>
      <c r="B21" s="2280" t="str">
        <f>"01-12-2023 19:00"</f>
        <v>01-12-2023 19:00</v>
      </c>
      <c r="C21" s="2278">
        <v>0.79</v>
      </c>
      <c r="F21" s="1721" t="str">
        <f>"01-01-2024 18:00"</f>
        <v>01-01-2024 18:00</v>
      </c>
      <c r="G21" s="1721" t="str">
        <f>"01-01-2024 19:00"</f>
        <v>01-01-2024 19:00</v>
      </c>
      <c r="H21" s="1721">
        <v>0.49</v>
      </c>
      <c r="K21" s="2288" t="s">
        <v>1131</v>
      </c>
      <c r="L21" s="2289">
        <v>45280</v>
      </c>
      <c r="M21" s="2290">
        <v>10.119999999999999</v>
      </c>
    </row>
    <row r="22" spans="1:19">
      <c r="A22" s="2280" t="str">
        <f>"01-12-2023 19:00"</f>
        <v>01-12-2023 19:00</v>
      </c>
      <c r="B22" s="2280" t="str">
        <f>"01-12-2023 20:00"</f>
        <v>01-12-2023 20:00</v>
      </c>
      <c r="C22" s="2278">
        <v>0.42</v>
      </c>
      <c r="F22" s="1721" t="str">
        <f>"01-01-2024 19:00"</f>
        <v>01-01-2024 19:00</v>
      </c>
      <c r="G22" s="1721" t="str">
        <f>"01-01-2024 20:00"</f>
        <v>01-01-2024 20:00</v>
      </c>
      <c r="H22" s="1721">
        <v>0.41</v>
      </c>
      <c r="K22" s="2288" t="s">
        <v>1136</v>
      </c>
      <c r="L22" s="2289">
        <v>45281</v>
      </c>
      <c r="M22" s="2290">
        <f>D526</f>
        <v>11.6</v>
      </c>
    </row>
    <row r="23" spans="1:19">
      <c r="A23" s="2280" t="str">
        <f>"01-12-2023 20:00"</f>
        <v>01-12-2023 20:00</v>
      </c>
      <c r="B23" s="2280" t="str">
        <f>"01-12-2023 21:00"</f>
        <v>01-12-2023 21:00</v>
      </c>
      <c r="C23" s="2278">
        <v>0.43</v>
      </c>
      <c r="F23" s="1721" t="str">
        <f>"01-01-2024 20:00"</f>
        <v>01-01-2024 20:00</v>
      </c>
      <c r="G23" s="1721" t="str">
        <f>"01-01-2024 21:00"</f>
        <v>01-01-2024 21:00</v>
      </c>
      <c r="H23" s="1721">
        <v>0.32</v>
      </c>
      <c r="K23" s="2288" t="s">
        <v>1130</v>
      </c>
      <c r="L23" s="2289">
        <v>45282</v>
      </c>
      <c r="M23" s="2290">
        <f>D551</f>
        <v>7.48</v>
      </c>
    </row>
    <row r="24" spans="1:19">
      <c r="A24" s="2280" t="str">
        <f>"01-12-2023 21:00"</f>
        <v>01-12-2023 21:00</v>
      </c>
      <c r="B24" s="2280" t="str">
        <f>"01-12-2023 22:00"</f>
        <v>01-12-2023 22:00</v>
      </c>
      <c r="C24" s="2278">
        <v>0.45</v>
      </c>
      <c r="F24" s="1721" t="str">
        <f>"01-01-2024 21:00"</f>
        <v>01-01-2024 21:00</v>
      </c>
      <c r="G24" s="1721" t="str">
        <f>"01-01-2024 22:00"</f>
        <v>01-01-2024 22:00</v>
      </c>
      <c r="H24" s="1721">
        <v>0.27</v>
      </c>
      <c r="K24" s="2288" t="s">
        <v>1128</v>
      </c>
      <c r="L24" s="2289">
        <v>45283</v>
      </c>
      <c r="M24" s="2290">
        <f>D576</f>
        <v>8.0100000000000016</v>
      </c>
    </row>
    <row r="25" spans="1:19">
      <c r="A25" s="2280" t="str">
        <f>"01-12-2023 22:00"</f>
        <v>01-12-2023 22:00</v>
      </c>
      <c r="B25" s="2280" t="str">
        <f>"01-12-2023 23:00"</f>
        <v>01-12-2023 23:00</v>
      </c>
      <c r="C25" s="2278">
        <v>0.3</v>
      </c>
      <c r="F25" s="1721" t="str">
        <f>"01-01-2024 22:00"</f>
        <v>01-01-2024 22:00</v>
      </c>
      <c r="G25" s="1721" t="str">
        <f>"01-01-2024 23:00"</f>
        <v>01-01-2024 23:00</v>
      </c>
      <c r="H25" s="1721">
        <v>0.21</v>
      </c>
      <c r="K25" s="2294" t="s">
        <v>1139</v>
      </c>
      <c r="L25" s="2295">
        <v>45284</v>
      </c>
      <c r="M25" s="2296">
        <f>D601</f>
        <v>5.5200000000000005</v>
      </c>
    </row>
    <row r="26" spans="1:19">
      <c r="A26" s="2284" t="str">
        <f>"01-12-2023 23:00"</f>
        <v>01-12-2023 23:00</v>
      </c>
      <c r="B26" s="2284" t="str">
        <f>"02-12-2023 00:00"</f>
        <v>02-12-2023 00:00</v>
      </c>
      <c r="C26" s="2278">
        <v>0.14000000000000001</v>
      </c>
      <c r="D26" s="2284">
        <f>SUM(C3:C26)</f>
        <v>7.9999999999999991</v>
      </c>
      <c r="F26" s="1721" t="str">
        <f>"01-01-2024 23:00"</f>
        <v>01-01-2024 23:00</v>
      </c>
      <c r="G26" s="1721" t="str">
        <f>"02-01-2024 00:00"</f>
        <v>02-01-2024 00:00</v>
      </c>
      <c r="H26" s="1721">
        <v>0.2</v>
      </c>
      <c r="I26" s="2284">
        <f>SUM(H3:H26)</f>
        <v>8.6300000000000008</v>
      </c>
      <c r="K26" s="2288" t="s">
        <v>1138</v>
      </c>
      <c r="L26" s="2289">
        <v>45285</v>
      </c>
      <c r="M26" s="2290">
        <f>D626</f>
        <v>8.5599999999999987</v>
      </c>
    </row>
    <row r="27" spans="1:19">
      <c r="A27" s="2280" t="s">
        <v>1644</v>
      </c>
      <c r="B27" s="2280" t="s">
        <v>1645</v>
      </c>
      <c r="C27" s="2281" t="s">
        <v>1147</v>
      </c>
      <c r="D27" s="2280" t="s">
        <v>567</v>
      </c>
      <c r="F27" s="2280" t="s">
        <v>1644</v>
      </c>
      <c r="G27" s="2280" t="s">
        <v>1645</v>
      </c>
      <c r="H27" s="2281" t="s">
        <v>1147</v>
      </c>
      <c r="I27" s="2280" t="s">
        <v>567</v>
      </c>
      <c r="K27" s="2288" t="s">
        <v>1137</v>
      </c>
      <c r="L27" s="2289">
        <v>45286</v>
      </c>
      <c r="M27" s="2290">
        <f>D651</f>
        <v>10.819999999999999</v>
      </c>
    </row>
    <row r="28" spans="1:19">
      <c r="A28" s="2280" t="str">
        <f>"02-12-2023 00:00"</f>
        <v>02-12-2023 00:00</v>
      </c>
      <c r="B28" s="2280" t="str">
        <f>"02-12-2023 01:00"</f>
        <v>02-12-2023 01:00</v>
      </c>
      <c r="C28" s="2278">
        <v>0.14000000000000001</v>
      </c>
      <c r="F28" s="1721" t="str">
        <f>"02-01-2024 00:00"</f>
        <v>02-01-2024 00:00</v>
      </c>
      <c r="G28" s="1721" t="str">
        <f>"02-01-2024 01:00"</f>
        <v>02-01-2024 01:00</v>
      </c>
      <c r="H28" s="1721">
        <v>0.2</v>
      </c>
      <c r="K28" s="2288" t="s">
        <v>1131</v>
      </c>
      <c r="L28" s="2289">
        <v>45287</v>
      </c>
      <c r="M28" s="2290">
        <f>D676</f>
        <v>8.3300000000000018</v>
      </c>
    </row>
    <row r="29" spans="1:19">
      <c r="A29" s="2280" t="str">
        <f>"02-12-2023 01:00"</f>
        <v>02-12-2023 01:00</v>
      </c>
      <c r="B29" s="2280" t="str">
        <f>"02-12-2023 02:00"</f>
        <v>02-12-2023 02:00</v>
      </c>
      <c r="C29" s="2278">
        <v>0.18</v>
      </c>
      <c r="F29" s="1721" t="str">
        <f>"02-01-2024 01:00"</f>
        <v>02-01-2024 01:00</v>
      </c>
      <c r="G29" s="1721" t="str">
        <f>"02-01-2024 02:00"</f>
        <v>02-01-2024 02:00</v>
      </c>
      <c r="H29" s="1721">
        <v>0.16</v>
      </c>
      <c r="K29" s="2288" t="s">
        <v>1136</v>
      </c>
      <c r="L29" s="2289">
        <v>45288</v>
      </c>
      <c r="M29" s="2290">
        <f>D701</f>
        <v>9.2200000000000006</v>
      </c>
    </row>
    <row r="30" spans="1:19">
      <c r="A30" s="2280" t="str">
        <f>"02-12-2023 02:00"</f>
        <v>02-12-2023 02:00</v>
      </c>
      <c r="B30" s="2280" t="str">
        <f>"02-12-2023 03:00"</f>
        <v>02-12-2023 03:00</v>
      </c>
      <c r="C30" s="2278">
        <v>0.15</v>
      </c>
      <c r="F30" s="1721" t="str">
        <f>"02-01-2024 02:00"</f>
        <v>02-01-2024 02:00</v>
      </c>
      <c r="G30" s="1721" t="str">
        <f>"02-01-2024 03:00"</f>
        <v>02-01-2024 03:00</v>
      </c>
      <c r="H30" s="1721">
        <v>0.26</v>
      </c>
      <c r="K30" s="2288" t="s">
        <v>1130</v>
      </c>
      <c r="L30" s="2289">
        <v>45289</v>
      </c>
      <c r="M30" s="2290">
        <f>D726</f>
        <v>8.89</v>
      </c>
    </row>
    <row r="31" spans="1:19">
      <c r="A31" s="2280" t="str">
        <f>"02-12-2023 03:00"</f>
        <v>02-12-2023 03:00</v>
      </c>
      <c r="B31" s="2280" t="str">
        <f>"02-12-2023 04:00"</f>
        <v>02-12-2023 04:00</v>
      </c>
      <c r="C31" s="2278">
        <v>0.17</v>
      </c>
      <c r="F31" s="1721" t="str">
        <f>"02-01-2024 03:00"</f>
        <v>02-01-2024 03:00</v>
      </c>
      <c r="G31" s="1721" t="str">
        <f>"02-01-2024 04:00"</f>
        <v>02-01-2024 04:00</v>
      </c>
      <c r="H31" s="1721">
        <v>0.14000000000000001</v>
      </c>
      <c r="K31" s="2288" t="s">
        <v>1128</v>
      </c>
      <c r="L31" s="2289">
        <v>45290</v>
      </c>
      <c r="M31" s="2290">
        <f>D751</f>
        <v>8.43</v>
      </c>
    </row>
    <row r="32" spans="1:19" ht="13.8" thickBot="1">
      <c r="A32" s="2280" t="str">
        <f>"02-12-2023 04:00"</f>
        <v>02-12-2023 04:00</v>
      </c>
      <c r="B32" s="2280" t="str">
        <f>"02-12-2023 05:00"</f>
        <v>02-12-2023 05:00</v>
      </c>
      <c r="C32" s="2278">
        <v>0.13</v>
      </c>
      <c r="F32" s="1721" t="str">
        <f>"02-01-2024 04:00"</f>
        <v>02-01-2024 04:00</v>
      </c>
      <c r="G32" s="1721" t="str">
        <f>"02-01-2024 05:00"</f>
        <v>02-01-2024 05:00</v>
      </c>
      <c r="H32" s="1721">
        <v>0.19</v>
      </c>
      <c r="K32" s="2297" t="s">
        <v>1139</v>
      </c>
      <c r="L32" s="2298">
        <v>45291</v>
      </c>
      <c r="M32" s="2299">
        <f>D776</f>
        <v>11.120000000000001</v>
      </c>
    </row>
    <row r="33" spans="1:8">
      <c r="A33" s="2280" t="str">
        <f>"02-12-2023 05:00"</f>
        <v>02-12-2023 05:00</v>
      </c>
      <c r="B33" s="2280" t="str">
        <f>"02-12-2023 06:00"</f>
        <v>02-12-2023 06:00</v>
      </c>
      <c r="C33" s="2278">
        <v>0.2</v>
      </c>
      <c r="F33" s="1721" t="str">
        <f>"02-01-2024 05:00"</f>
        <v>02-01-2024 05:00</v>
      </c>
      <c r="G33" s="1721" t="str">
        <f>"02-01-2024 06:00"</f>
        <v>02-01-2024 06:00</v>
      </c>
      <c r="H33" s="1721">
        <v>0.16</v>
      </c>
    </row>
    <row r="34" spans="1:8">
      <c r="A34" s="2280" t="str">
        <f>"02-12-2023 06:00"</f>
        <v>02-12-2023 06:00</v>
      </c>
      <c r="B34" s="2280" t="str">
        <f>"02-12-2023 07:00"</f>
        <v>02-12-2023 07:00</v>
      </c>
      <c r="C34" s="2278">
        <v>0.21</v>
      </c>
      <c r="F34" s="1721" t="str">
        <f>"02-01-2024 06:00"</f>
        <v>02-01-2024 06:00</v>
      </c>
      <c r="G34" s="1721" t="str">
        <f>"02-01-2024 07:00"</f>
        <v>02-01-2024 07:00</v>
      </c>
      <c r="H34" s="1721">
        <v>0.21</v>
      </c>
    </row>
    <row r="35" spans="1:8">
      <c r="A35" s="2280" t="str">
        <f>"02-12-2023 07:00"</f>
        <v>02-12-2023 07:00</v>
      </c>
      <c r="B35" s="2280" t="str">
        <f>"02-12-2023 08:00"</f>
        <v>02-12-2023 08:00</v>
      </c>
      <c r="C35" s="2278">
        <v>0.34</v>
      </c>
      <c r="F35" s="1721" t="str">
        <f>"02-01-2024 07:00"</f>
        <v>02-01-2024 07:00</v>
      </c>
      <c r="G35" s="1721" t="str">
        <f>"02-01-2024 08:00"</f>
        <v>02-01-2024 08:00</v>
      </c>
      <c r="H35" s="1721">
        <v>0.3</v>
      </c>
    </row>
    <row r="36" spans="1:8">
      <c r="A36" s="2280" t="str">
        <f>"02-12-2023 08:00"</f>
        <v>02-12-2023 08:00</v>
      </c>
      <c r="B36" s="2280" t="str">
        <f>"02-12-2023 09:00"</f>
        <v>02-12-2023 09:00</v>
      </c>
      <c r="C36" s="2278">
        <v>0.35</v>
      </c>
      <c r="F36" s="1721" t="str">
        <f>"02-01-2024 08:00"</f>
        <v>02-01-2024 08:00</v>
      </c>
      <c r="G36" s="1721" t="str">
        <f>"02-01-2024 09:00"</f>
        <v>02-01-2024 09:00</v>
      </c>
      <c r="H36" s="1721">
        <v>0.45</v>
      </c>
    </row>
    <row r="37" spans="1:8">
      <c r="A37" s="2280" t="str">
        <f>"02-12-2023 09:00"</f>
        <v>02-12-2023 09:00</v>
      </c>
      <c r="B37" s="2280" t="str">
        <f>"02-12-2023 10:00"</f>
        <v>02-12-2023 10:00</v>
      </c>
      <c r="C37" s="2278">
        <v>0.4</v>
      </c>
      <c r="F37" s="1721" t="str">
        <f>"02-01-2024 09:00"</f>
        <v>02-01-2024 09:00</v>
      </c>
      <c r="G37" s="1721" t="str">
        <f>"02-01-2024 10:00"</f>
        <v>02-01-2024 10:00</v>
      </c>
      <c r="H37" s="1721">
        <v>0.38</v>
      </c>
    </row>
    <row r="38" spans="1:8">
      <c r="A38" s="2280" t="str">
        <f>"02-12-2023 10:00"</f>
        <v>02-12-2023 10:00</v>
      </c>
      <c r="B38" s="2280" t="str">
        <f>"02-12-2023 11:00"</f>
        <v>02-12-2023 11:00</v>
      </c>
      <c r="C38" s="2278">
        <v>0.35</v>
      </c>
      <c r="F38" s="1721" t="str">
        <f>"02-01-2024 10:00"</f>
        <v>02-01-2024 10:00</v>
      </c>
      <c r="G38" s="1721" t="str">
        <f>"02-01-2024 11:00"</f>
        <v>02-01-2024 11:00</v>
      </c>
      <c r="H38" s="1721">
        <v>0.36</v>
      </c>
    </row>
    <row r="39" spans="1:8">
      <c r="A39" s="2280" t="str">
        <f>"02-12-2023 11:00"</f>
        <v>02-12-2023 11:00</v>
      </c>
      <c r="B39" s="2280" t="str">
        <f>"02-12-2023 12:00"</f>
        <v>02-12-2023 12:00</v>
      </c>
      <c r="C39" s="2278">
        <v>0.28999999999999998</v>
      </c>
      <c r="F39" s="1721" t="str">
        <f>"02-01-2024 11:00"</f>
        <v>02-01-2024 11:00</v>
      </c>
      <c r="G39" s="1721" t="str">
        <f>"02-01-2024 12:00"</f>
        <v>02-01-2024 12:00</v>
      </c>
      <c r="H39" s="1721">
        <v>0.3</v>
      </c>
    </row>
    <row r="40" spans="1:8">
      <c r="A40" s="2280" t="str">
        <f>"02-12-2023 12:00"</f>
        <v>02-12-2023 12:00</v>
      </c>
      <c r="B40" s="2280" t="str">
        <f>"02-12-2023 13:00"</f>
        <v>02-12-2023 13:00</v>
      </c>
      <c r="C40" s="2278">
        <v>0.45</v>
      </c>
      <c r="F40" s="1721" t="str">
        <f>"02-01-2024 12:00"</f>
        <v>02-01-2024 12:00</v>
      </c>
      <c r="G40" s="1721" t="str">
        <f>"02-01-2024 13:00"</f>
        <v>02-01-2024 13:00</v>
      </c>
      <c r="H40" s="1721">
        <v>0.56000000000000005</v>
      </c>
    </row>
    <row r="41" spans="1:8">
      <c r="A41" s="2280" t="str">
        <f>"02-12-2023 13:00"</f>
        <v>02-12-2023 13:00</v>
      </c>
      <c r="B41" s="2280" t="str">
        <f>"02-12-2023 14:00"</f>
        <v>02-12-2023 14:00</v>
      </c>
      <c r="C41" s="2278">
        <v>0.48</v>
      </c>
      <c r="F41" s="1721" t="str">
        <f>"02-01-2024 13:00"</f>
        <v>02-01-2024 13:00</v>
      </c>
      <c r="G41" s="1721" t="str">
        <f>"02-01-2024 14:00"</f>
        <v>02-01-2024 14:00</v>
      </c>
      <c r="H41" s="1721">
        <v>0.34</v>
      </c>
    </row>
    <row r="42" spans="1:8">
      <c r="A42" s="2280" t="str">
        <f>"02-12-2023 14:00"</f>
        <v>02-12-2023 14:00</v>
      </c>
      <c r="B42" s="2280" t="str">
        <f>"02-12-2023 15:00"</f>
        <v>02-12-2023 15:00</v>
      </c>
      <c r="C42" s="2278">
        <v>0.45</v>
      </c>
      <c r="F42" s="1721" t="str">
        <f>"02-01-2024 14:00"</f>
        <v>02-01-2024 14:00</v>
      </c>
      <c r="G42" s="1721" t="str">
        <f>"02-01-2024 15:00"</f>
        <v>02-01-2024 15:00</v>
      </c>
      <c r="H42" s="1721">
        <v>0.44</v>
      </c>
    </row>
    <row r="43" spans="1:8">
      <c r="A43" s="2280" t="str">
        <f>"02-12-2023 15:00"</f>
        <v>02-12-2023 15:00</v>
      </c>
      <c r="B43" s="2280" t="str">
        <f>"02-12-2023 16:00"</f>
        <v>02-12-2023 16:00</v>
      </c>
      <c r="C43" s="2278">
        <v>0.45</v>
      </c>
      <c r="F43" s="1721" t="str">
        <f>"02-01-2024 15:00"</f>
        <v>02-01-2024 15:00</v>
      </c>
      <c r="G43" s="1721" t="str">
        <f>"02-01-2024 16:00"</f>
        <v>02-01-2024 16:00</v>
      </c>
      <c r="H43" s="1721">
        <v>0.44</v>
      </c>
    </row>
    <row r="44" spans="1:8">
      <c r="A44" s="2280" t="str">
        <f>"02-12-2023 16:00"</f>
        <v>02-12-2023 16:00</v>
      </c>
      <c r="B44" s="2280" t="str">
        <f>"02-12-2023 17:00"</f>
        <v>02-12-2023 17:00</v>
      </c>
      <c r="C44" s="2278">
        <v>0.48</v>
      </c>
      <c r="F44" s="1721" t="str">
        <f>"02-01-2024 16:00"</f>
        <v>02-01-2024 16:00</v>
      </c>
      <c r="G44" s="1721" t="str">
        <f>"02-01-2024 17:00"</f>
        <v>02-01-2024 17:00</v>
      </c>
      <c r="H44" s="1721">
        <v>0.48</v>
      </c>
    </row>
    <row r="45" spans="1:8">
      <c r="A45" s="2280" t="str">
        <f>"02-12-2023 17:00"</f>
        <v>02-12-2023 17:00</v>
      </c>
      <c r="B45" s="2280" t="str">
        <f>"02-12-2023 18:00"</f>
        <v>02-12-2023 18:00</v>
      </c>
      <c r="C45" s="2278">
        <v>0.84</v>
      </c>
      <c r="F45" s="1721" t="str">
        <f>"02-01-2024 17:00"</f>
        <v>02-01-2024 17:00</v>
      </c>
      <c r="G45" s="1721" t="str">
        <f>"02-01-2024 18:00"</f>
        <v>02-01-2024 18:00</v>
      </c>
      <c r="H45" s="1721">
        <v>0.54</v>
      </c>
    </row>
    <row r="46" spans="1:8">
      <c r="A46" s="2280" t="str">
        <f>"02-12-2023 18:00"</f>
        <v>02-12-2023 18:00</v>
      </c>
      <c r="B46" s="2280" t="str">
        <f>"02-12-2023 19:00"</f>
        <v>02-12-2023 19:00</v>
      </c>
      <c r="C46" s="2278">
        <v>0.49</v>
      </c>
      <c r="F46" s="1721" t="str">
        <f>"02-01-2024 18:00"</f>
        <v>02-01-2024 18:00</v>
      </c>
      <c r="G46" s="1721" t="str">
        <f>"02-01-2024 19:00"</f>
        <v>02-01-2024 19:00</v>
      </c>
      <c r="H46" s="1721">
        <v>0.42</v>
      </c>
    </row>
    <row r="47" spans="1:8">
      <c r="A47" s="2280" t="str">
        <f>"02-12-2023 19:00"</f>
        <v>02-12-2023 19:00</v>
      </c>
      <c r="B47" s="2280" t="str">
        <f>"02-12-2023 20:00"</f>
        <v>02-12-2023 20:00</v>
      </c>
      <c r="C47" s="2278">
        <v>0.86</v>
      </c>
      <c r="F47" s="1721" t="str">
        <f>"02-01-2024 19:00"</f>
        <v>02-01-2024 19:00</v>
      </c>
      <c r="G47" s="1721" t="str">
        <f>"02-01-2024 20:00"</f>
        <v>02-01-2024 20:00</v>
      </c>
      <c r="H47" s="1721">
        <v>0.48</v>
      </c>
    </row>
    <row r="48" spans="1:8">
      <c r="A48" s="2280" t="str">
        <f>"02-12-2023 20:00"</f>
        <v>02-12-2023 20:00</v>
      </c>
      <c r="B48" s="2280" t="str">
        <f>"02-12-2023 21:00"</f>
        <v>02-12-2023 21:00</v>
      </c>
      <c r="C48" s="2278">
        <v>0.47</v>
      </c>
      <c r="F48" s="1721" t="str">
        <f>"02-01-2024 20:00"</f>
        <v>02-01-2024 20:00</v>
      </c>
      <c r="G48" s="1721" t="str">
        <f>"02-01-2024 21:00"</f>
        <v>02-01-2024 21:00</v>
      </c>
      <c r="H48" s="1721">
        <v>0.35</v>
      </c>
    </row>
    <row r="49" spans="1:9">
      <c r="A49" s="2280" t="str">
        <f>"02-12-2023 21:00"</f>
        <v>02-12-2023 21:00</v>
      </c>
      <c r="B49" s="2280" t="str">
        <f>"02-12-2023 22:00"</f>
        <v>02-12-2023 22:00</v>
      </c>
      <c r="C49" s="2278">
        <v>0.43</v>
      </c>
      <c r="F49" s="1721" t="str">
        <f>"02-01-2024 21:00"</f>
        <v>02-01-2024 21:00</v>
      </c>
      <c r="G49" s="1721" t="str">
        <f>"02-01-2024 22:00"</f>
        <v>02-01-2024 22:00</v>
      </c>
      <c r="H49" s="1721">
        <v>0.25</v>
      </c>
    </row>
    <row r="50" spans="1:9">
      <c r="A50" s="2280" t="str">
        <f>"02-12-2023 22:00"</f>
        <v>02-12-2023 22:00</v>
      </c>
      <c r="B50" s="2280" t="str">
        <f>"02-12-2023 23:00"</f>
        <v>02-12-2023 23:00</v>
      </c>
      <c r="C50" s="2278">
        <v>0.27</v>
      </c>
      <c r="F50" s="1721" t="str">
        <f>"02-01-2024 22:00"</f>
        <v>02-01-2024 22:00</v>
      </c>
      <c r="G50" s="1721" t="str">
        <f>"02-01-2024 23:00"</f>
        <v>02-01-2024 23:00</v>
      </c>
      <c r="H50" s="1721">
        <v>0.18</v>
      </c>
      <c r="I50" s="2284"/>
    </row>
    <row r="51" spans="1:9">
      <c r="A51" s="2284" t="str">
        <f>"02-12-2023 23:00"</f>
        <v>02-12-2023 23:00</v>
      </c>
      <c r="B51" s="2284" t="str">
        <f>"03-12-2023 00:00"</f>
        <v>03-12-2023 00:00</v>
      </c>
      <c r="C51" s="2278">
        <v>0.2</v>
      </c>
      <c r="D51" s="2284">
        <f>SUM(C28:C51)</f>
        <v>8.7799999999999994</v>
      </c>
      <c r="F51" s="1721" t="str">
        <f>"02-01-2024 23:00"</f>
        <v>02-01-2024 23:00</v>
      </c>
      <c r="G51" s="1721" t="str">
        <f>"03-01-2024 00:00"</f>
        <v>03-01-2024 00:00</v>
      </c>
      <c r="H51" s="1721">
        <v>0.27</v>
      </c>
      <c r="I51" s="2322">
        <f>SUM(H28:H51)</f>
        <v>7.8599999999999994</v>
      </c>
    </row>
    <row r="52" spans="1:9">
      <c r="A52" s="2280" t="s">
        <v>1644</v>
      </c>
      <c r="B52" s="2280" t="s">
        <v>1645</v>
      </c>
      <c r="C52" s="2281" t="s">
        <v>1147</v>
      </c>
      <c r="D52" s="2280" t="s">
        <v>567</v>
      </c>
      <c r="F52" s="2280" t="s">
        <v>1644</v>
      </c>
      <c r="G52" s="2280" t="s">
        <v>1645</v>
      </c>
      <c r="H52" s="2281" t="s">
        <v>1147</v>
      </c>
      <c r="I52" s="2280" t="s">
        <v>567</v>
      </c>
    </row>
    <row r="53" spans="1:9">
      <c r="A53" s="2280" t="str">
        <f>"03-12-2023 00:00"</f>
        <v>03-12-2023 00:00</v>
      </c>
      <c r="B53" s="2280" t="str">
        <f>"03-12-2023 01:00"</f>
        <v>03-12-2023 01:00</v>
      </c>
      <c r="C53" s="2278">
        <v>0.17</v>
      </c>
      <c r="F53" s="1721" t="str">
        <f>"03-01-2024 00:00"</f>
        <v>03-01-2024 00:00</v>
      </c>
      <c r="G53" s="1721" t="str">
        <f>"03-01-2024 01:00"</f>
        <v>03-01-2024 01:00</v>
      </c>
      <c r="H53" s="1721">
        <v>0.23</v>
      </c>
    </row>
    <row r="54" spans="1:9">
      <c r="A54" s="2280" t="str">
        <f>"03-12-2023 01:00"</f>
        <v>03-12-2023 01:00</v>
      </c>
      <c r="B54" s="2280" t="str">
        <f>"03-12-2023 02:00"</f>
        <v>03-12-2023 02:00</v>
      </c>
      <c r="C54" s="2278">
        <v>0.18</v>
      </c>
      <c r="F54" s="1721" t="str">
        <f>"03-01-2024 01:00"</f>
        <v>03-01-2024 01:00</v>
      </c>
      <c r="G54" s="1721" t="str">
        <f>"03-01-2024 02:00"</f>
        <v>03-01-2024 02:00</v>
      </c>
      <c r="H54" s="1721">
        <v>0.15</v>
      </c>
    </row>
    <row r="55" spans="1:9">
      <c r="A55" s="2280" t="str">
        <f>"03-12-2023 02:00"</f>
        <v>03-12-2023 02:00</v>
      </c>
      <c r="B55" s="2280" t="str">
        <f>"03-12-2023 03:00"</f>
        <v>03-12-2023 03:00</v>
      </c>
      <c r="C55" s="2278">
        <v>0.22</v>
      </c>
      <c r="F55" s="1721" t="str">
        <f>"03-01-2024 02:00"</f>
        <v>03-01-2024 02:00</v>
      </c>
      <c r="G55" s="1721" t="str">
        <f>"03-01-2024 03:00"</f>
        <v>03-01-2024 03:00</v>
      </c>
      <c r="H55" s="1721">
        <v>0.16</v>
      </c>
    </row>
    <row r="56" spans="1:9">
      <c r="A56" s="2280" t="str">
        <f>"03-12-2023 03:00"</f>
        <v>03-12-2023 03:00</v>
      </c>
      <c r="B56" s="2280" t="str">
        <f>"03-12-2023 04:00"</f>
        <v>03-12-2023 04:00</v>
      </c>
      <c r="C56" s="2278">
        <v>0.2</v>
      </c>
      <c r="F56" s="1721" t="str">
        <f>"03-01-2024 03:00"</f>
        <v>03-01-2024 03:00</v>
      </c>
      <c r="G56" s="1721" t="str">
        <f>"03-01-2024 04:00"</f>
        <v>03-01-2024 04:00</v>
      </c>
      <c r="H56" s="1721">
        <v>0.17</v>
      </c>
    </row>
    <row r="57" spans="1:9">
      <c r="A57" s="2280" t="str">
        <f>"03-12-2023 04:00"</f>
        <v>03-12-2023 04:00</v>
      </c>
      <c r="B57" s="2280" t="str">
        <f>"03-12-2023 05:00"</f>
        <v>03-12-2023 05:00</v>
      </c>
      <c r="C57" s="2278">
        <v>0.16</v>
      </c>
      <c r="F57" s="1721" t="str">
        <f>"03-01-2024 04:00"</f>
        <v>03-01-2024 04:00</v>
      </c>
      <c r="G57" s="1721" t="str">
        <f>"03-01-2024 05:00"</f>
        <v>03-01-2024 05:00</v>
      </c>
      <c r="H57" s="1721">
        <v>0.1</v>
      </c>
    </row>
    <row r="58" spans="1:9">
      <c r="A58" s="2280" t="str">
        <f>"03-12-2023 05:00"</f>
        <v>03-12-2023 05:00</v>
      </c>
      <c r="B58" s="2280" t="str">
        <f>"03-12-2023 06:00"</f>
        <v>03-12-2023 06:00</v>
      </c>
      <c r="C58" s="2278">
        <v>0.18</v>
      </c>
      <c r="F58" s="1721" t="str">
        <f>"03-01-2024 05:00"</f>
        <v>03-01-2024 05:00</v>
      </c>
      <c r="G58" s="1721" t="str">
        <f>"03-01-2024 06:00"</f>
        <v>03-01-2024 06:00</v>
      </c>
      <c r="H58" s="1721">
        <v>0.19</v>
      </c>
    </row>
    <row r="59" spans="1:9">
      <c r="A59" s="2280" t="str">
        <f>"03-12-2023 06:00"</f>
        <v>03-12-2023 06:00</v>
      </c>
      <c r="B59" s="2280" t="str">
        <f>"03-12-2023 07:00"</f>
        <v>03-12-2023 07:00</v>
      </c>
      <c r="C59" s="2278">
        <v>0.19</v>
      </c>
      <c r="F59" s="1721" t="str">
        <f>"03-01-2024 06:00"</f>
        <v>03-01-2024 06:00</v>
      </c>
      <c r="G59" s="1721" t="str">
        <f>"03-01-2024 07:00"</f>
        <v>03-01-2024 07:00</v>
      </c>
      <c r="H59" s="1721">
        <v>0.32</v>
      </c>
    </row>
    <row r="60" spans="1:9">
      <c r="A60" s="2280" t="str">
        <f>"03-12-2023 07:00"</f>
        <v>03-12-2023 07:00</v>
      </c>
      <c r="B60" s="2280" t="str">
        <f>"03-12-2023 08:00"</f>
        <v>03-12-2023 08:00</v>
      </c>
      <c r="C60" s="2278">
        <v>0.23</v>
      </c>
      <c r="F60" s="1721" t="str">
        <f>"03-01-2024 07:00"</f>
        <v>03-01-2024 07:00</v>
      </c>
      <c r="G60" s="1721" t="str">
        <f>"03-01-2024 08:00"</f>
        <v>03-01-2024 08:00</v>
      </c>
      <c r="H60" s="1721">
        <v>0.51</v>
      </c>
    </row>
    <row r="61" spans="1:9">
      <c r="A61" s="2280" t="str">
        <f>"03-12-2023 08:00"</f>
        <v>03-12-2023 08:00</v>
      </c>
      <c r="B61" s="2280" t="str">
        <f>"03-12-2023 09:00"</f>
        <v>03-12-2023 09:00</v>
      </c>
      <c r="C61" s="2278">
        <v>0.39</v>
      </c>
      <c r="F61" s="1721" t="str">
        <f>"03-01-2024 08:00"</f>
        <v>03-01-2024 08:00</v>
      </c>
      <c r="G61" s="1721" t="str">
        <f>"03-01-2024 09:00"</f>
        <v>03-01-2024 09:00</v>
      </c>
      <c r="H61" s="1721">
        <v>0.64</v>
      </c>
    </row>
    <row r="62" spans="1:9">
      <c r="A62" s="2280" t="str">
        <f>"03-12-2023 09:00"</f>
        <v>03-12-2023 09:00</v>
      </c>
      <c r="B62" s="2280" t="str">
        <f>"03-12-2023 10:00"</f>
        <v>03-12-2023 10:00</v>
      </c>
      <c r="C62" s="2278">
        <v>0.22</v>
      </c>
      <c r="F62" s="1721" t="str">
        <f>"03-01-2024 09:00"</f>
        <v>03-01-2024 09:00</v>
      </c>
      <c r="G62" s="1721" t="str">
        <f>"03-01-2024 10:00"</f>
        <v>03-01-2024 10:00</v>
      </c>
      <c r="H62" s="1721">
        <v>0.35</v>
      </c>
    </row>
    <row r="63" spans="1:9">
      <c r="A63" s="2280" t="str">
        <f>"03-12-2023 10:00"</f>
        <v>03-12-2023 10:00</v>
      </c>
      <c r="B63" s="2280" t="str">
        <f>"03-12-2023 11:00"</f>
        <v>03-12-2023 11:00</v>
      </c>
      <c r="C63" s="2278">
        <v>0.31</v>
      </c>
      <c r="F63" s="1721" t="str">
        <f>"03-01-2024 10:00"</f>
        <v>03-01-2024 10:00</v>
      </c>
      <c r="G63" s="1721" t="str">
        <f>"03-01-2024 11:00"</f>
        <v>03-01-2024 11:00</v>
      </c>
      <c r="H63" s="1721">
        <v>0.32</v>
      </c>
    </row>
    <row r="64" spans="1:9">
      <c r="A64" s="2280" t="str">
        <f>"03-12-2023 11:00"</f>
        <v>03-12-2023 11:00</v>
      </c>
      <c r="B64" s="2280" t="str">
        <f>"03-12-2023 12:00"</f>
        <v>03-12-2023 12:00</v>
      </c>
      <c r="C64" s="2278">
        <v>0.36</v>
      </c>
      <c r="F64" s="1721" t="str">
        <f>"03-01-2024 11:00"</f>
        <v>03-01-2024 11:00</v>
      </c>
      <c r="G64" s="1721" t="str">
        <f>"03-01-2024 12:00"</f>
        <v>03-01-2024 12:00</v>
      </c>
      <c r="H64" s="1721">
        <v>0.39</v>
      </c>
    </row>
    <row r="65" spans="1:9">
      <c r="A65" s="2280" t="str">
        <f>"03-12-2023 12:00"</f>
        <v>03-12-2023 12:00</v>
      </c>
      <c r="B65" s="2280" t="str">
        <f>"03-12-2023 13:00"</f>
        <v>03-12-2023 13:00</v>
      </c>
      <c r="C65" s="2278">
        <v>0.39</v>
      </c>
      <c r="F65" s="1721" t="str">
        <f>"03-01-2024 12:00"</f>
        <v>03-01-2024 12:00</v>
      </c>
      <c r="G65" s="1721" t="str">
        <f>"03-01-2024 13:00"</f>
        <v>03-01-2024 13:00</v>
      </c>
      <c r="H65" s="1721">
        <v>0.62</v>
      </c>
    </row>
    <row r="66" spans="1:9">
      <c r="A66" s="2280" t="str">
        <f>"03-12-2023 13:00"</f>
        <v>03-12-2023 13:00</v>
      </c>
      <c r="B66" s="2280" t="str">
        <f>"03-12-2023 14:00"</f>
        <v>03-12-2023 14:00</v>
      </c>
      <c r="C66" s="2278">
        <v>0.96</v>
      </c>
      <c r="F66" s="1721" t="str">
        <f>"03-01-2024 13:00"</f>
        <v>03-01-2024 13:00</v>
      </c>
      <c r="G66" s="1721" t="str">
        <f>"03-01-2024 14:00"</f>
        <v>03-01-2024 14:00</v>
      </c>
      <c r="H66" s="1721">
        <v>0.43</v>
      </c>
    </row>
    <row r="67" spans="1:9">
      <c r="A67" s="2280" t="str">
        <f>"03-12-2023 14:00"</f>
        <v>03-12-2023 14:00</v>
      </c>
      <c r="B67" s="2280" t="str">
        <f>"03-12-2023 15:00"</f>
        <v>03-12-2023 15:00</v>
      </c>
      <c r="C67" s="2278">
        <v>0.82</v>
      </c>
      <c r="F67" s="1721" t="str">
        <f>"03-01-2024 14:00"</f>
        <v>03-01-2024 14:00</v>
      </c>
      <c r="G67" s="1721" t="str">
        <f>"03-01-2024 15:00"</f>
        <v>03-01-2024 15:00</v>
      </c>
      <c r="H67" s="1721">
        <v>0.43</v>
      </c>
    </row>
    <row r="68" spans="1:9">
      <c r="A68" s="2280" t="str">
        <f>"03-12-2023 15:00"</f>
        <v>03-12-2023 15:00</v>
      </c>
      <c r="B68" s="2280" t="str">
        <f>"03-12-2023 16:00"</f>
        <v>03-12-2023 16:00</v>
      </c>
      <c r="C68" s="2278">
        <v>0.52</v>
      </c>
      <c r="F68" s="1721" t="str">
        <f>"03-01-2024 15:00"</f>
        <v>03-01-2024 15:00</v>
      </c>
      <c r="G68" s="1721" t="str">
        <f>"03-01-2024 16:00"</f>
        <v>03-01-2024 16:00</v>
      </c>
      <c r="H68" s="1721">
        <v>0.43</v>
      </c>
    </row>
    <row r="69" spans="1:9">
      <c r="A69" s="2280" t="str">
        <f>"03-12-2023 16:00"</f>
        <v>03-12-2023 16:00</v>
      </c>
      <c r="B69" s="2280" t="str">
        <f>"03-12-2023 17:00"</f>
        <v>03-12-2023 17:00</v>
      </c>
      <c r="C69" s="2278">
        <v>0.45</v>
      </c>
      <c r="F69" s="1721" t="str">
        <f>"03-01-2024 16:00"</f>
        <v>03-01-2024 16:00</v>
      </c>
      <c r="G69" s="1721" t="str">
        <f>"03-01-2024 17:00"</f>
        <v>03-01-2024 17:00</v>
      </c>
      <c r="H69" s="1721">
        <v>0.51</v>
      </c>
    </row>
    <row r="70" spans="1:9">
      <c r="A70" s="2280" t="str">
        <f>"03-12-2023 17:00"</f>
        <v>03-12-2023 17:00</v>
      </c>
      <c r="B70" s="2280" t="str">
        <f>"03-12-2023 18:00"</f>
        <v>03-12-2023 18:00</v>
      </c>
      <c r="C70" s="2278">
        <v>0.68</v>
      </c>
      <c r="F70" s="1721" t="str">
        <f>"03-01-2024 17:00"</f>
        <v>03-01-2024 17:00</v>
      </c>
      <c r="G70" s="1721" t="str">
        <f>"03-01-2024 18:00"</f>
        <v>03-01-2024 18:00</v>
      </c>
      <c r="H70" s="1721">
        <v>0.43</v>
      </c>
    </row>
    <row r="71" spans="1:9">
      <c r="A71" s="2280" t="str">
        <f>"03-12-2023 18:00"</f>
        <v>03-12-2023 18:00</v>
      </c>
      <c r="B71" s="2280" t="str">
        <f>"03-12-2023 19:00"</f>
        <v>03-12-2023 19:00</v>
      </c>
      <c r="C71" s="2278">
        <v>0.46</v>
      </c>
      <c r="F71" s="1721" t="str">
        <f>"03-01-2024 18:00"</f>
        <v>03-01-2024 18:00</v>
      </c>
      <c r="G71" s="1721" t="str">
        <f>"03-01-2024 19:00"</f>
        <v>03-01-2024 19:00</v>
      </c>
      <c r="H71" s="1721">
        <v>0.47</v>
      </c>
    </row>
    <row r="72" spans="1:9">
      <c r="A72" s="2280" t="str">
        <f>"03-12-2023 19:00"</f>
        <v>03-12-2023 19:00</v>
      </c>
      <c r="B72" s="2280" t="str">
        <f>"03-12-2023 20:00"</f>
        <v>03-12-2023 20:00</v>
      </c>
      <c r="C72" s="2278">
        <v>0.53</v>
      </c>
      <c r="F72" s="1721" t="str">
        <f>"03-01-2024 19:00"</f>
        <v>03-01-2024 19:00</v>
      </c>
      <c r="G72" s="1721" t="str">
        <f>"03-01-2024 20:00"</f>
        <v>03-01-2024 20:00</v>
      </c>
      <c r="H72" s="1721">
        <v>0.39</v>
      </c>
    </row>
    <row r="73" spans="1:9">
      <c r="A73" s="2280" t="str">
        <f>"03-12-2023 20:00"</f>
        <v>03-12-2023 20:00</v>
      </c>
      <c r="B73" s="2280" t="str">
        <f>"03-12-2023 21:00"</f>
        <v>03-12-2023 21:00</v>
      </c>
      <c r="C73" s="2278">
        <v>0.43</v>
      </c>
      <c r="F73" s="1721" t="str">
        <f>"03-01-2024 20:00"</f>
        <v>03-01-2024 20:00</v>
      </c>
      <c r="G73" s="1721" t="str">
        <f>"03-01-2024 21:00"</f>
        <v>03-01-2024 21:00</v>
      </c>
      <c r="H73" s="1721">
        <v>0.28000000000000003</v>
      </c>
    </row>
    <row r="74" spans="1:9">
      <c r="A74" s="2280" t="str">
        <f>"03-12-2023 21:00"</f>
        <v>03-12-2023 21:00</v>
      </c>
      <c r="B74" s="2280" t="str">
        <f>"03-12-2023 22:00"</f>
        <v>03-12-2023 22:00</v>
      </c>
      <c r="C74" s="2278">
        <v>0.39</v>
      </c>
      <c r="F74" s="1721" t="str">
        <f>"03-01-2024 21:00"</f>
        <v>03-01-2024 21:00</v>
      </c>
      <c r="G74" s="1721" t="str">
        <f>"03-01-2024 22:00"</f>
        <v>03-01-2024 22:00</v>
      </c>
      <c r="H74" s="1721">
        <v>0.39</v>
      </c>
    </row>
    <row r="75" spans="1:9">
      <c r="A75" s="2280" t="str">
        <f>"03-12-2023 22:00"</f>
        <v>03-12-2023 22:00</v>
      </c>
      <c r="B75" s="2280" t="str">
        <f>"03-12-2023 23:00"</f>
        <v>03-12-2023 23:00</v>
      </c>
      <c r="C75" s="2278">
        <v>0.23</v>
      </c>
      <c r="F75" s="1721" t="str">
        <f>"03-01-2024 22:00"</f>
        <v>03-01-2024 22:00</v>
      </c>
      <c r="G75" s="1721" t="str">
        <f>"03-01-2024 23:00"</f>
        <v>03-01-2024 23:00</v>
      </c>
      <c r="H75" s="1721">
        <v>0.21</v>
      </c>
      <c r="I75" s="2284"/>
    </row>
    <row r="76" spans="1:9">
      <c r="A76" s="2284" t="str">
        <f>"03-12-2023 23:00"</f>
        <v>03-12-2023 23:00</v>
      </c>
      <c r="B76" s="2284" t="str">
        <f>"04-12-2023 00:00"</f>
        <v>04-12-2023 00:00</v>
      </c>
      <c r="C76" s="2278">
        <v>0.25</v>
      </c>
      <c r="D76" s="2284">
        <f>SUM(C53:C76)</f>
        <v>8.9200000000000017</v>
      </c>
      <c r="F76" s="1721" t="str">
        <f>"03-01-2024 23:00"</f>
        <v>03-01-2024 23:00</v>
      </c>
      <c r="G76" s="1721" t="str">
        <f>"04-01-2024 00:00"</f>
        <v>04-01-2024 00:00</v>
      </c>
      <c r="H76" s="1721">
        <v>0.19</v>
      </c>
      <c r="I76" s="2322">
        <f>SUM(H53:H76)</f>
        <v>8.3099999999999987</v>
      </c>
    </row>
    <row r="77" spans="1:9">
      <c r="A77" s="2280" t="s">
        <v>1644</v>
      </c>
      <c r="B77" s="2280" t="s">
        <v>1645</v>
      </c>
      <c r="C77" s="2281" t="s">
        <v>1147</v>
      </c>
      <c r="D77" s="2280" t="s">
        <v>567</v>
      </c>
      <c r="F77" s="2280" t="s">
        <v>1644</v>
      </c>
      <c r="G77" s="2280" t="s">
        <v>1645</v>
      </c>
      <c r="H77" s="2281" t="s">
        <v>1147</v>
      </c>
      <c r="I77" s="2280" t="s">
        <v>567</v>
      </c>
    </row>
    <row r="78" spans="1:9">
      <c r="A78" s="2280" t="str">
        <f>"04-12-2023 00:00"</f>
        <v>04-12-2023 00:00</v>
      </c>
      <c r="B78" s="2280" t="str">
        <f>"04-12-2023 01:00"</f>
        <v>04-12-2023 01:00</v>
      </c>
      <c r="C78" s="2278">
        <v>0.28000000000000003</v>
      </c>
      <c r="F78" s="1721" t="str">
        <f>"04-01-2024 00:00"</f>
        <v>04-01-2024 00:00</v>
      </c>
      <c r="G78" s="1721" t="str">
        <f>"04-01-2024 01:00"</f>
        <v>04-01-2024 01:00</v>
      </c>
      <c r="H78" s="1721">
        <v>0.13</v>
      </c>
    </row>
    <row r="79" spans="1:9">
      <c r="A79" s="2280" t="str">
        <f>"04-12-2023 01:00"</f>
        <v>04-12-2023 01:00</v>
      </c>
      <c r="B79" s="2280" t="str">
        <f>"04-12-2023 02:00"</f>
        <v>04-12-2023 02:00</v>
      </c>
      <c r="C79" s="2278">
        <v>0.21</v>
      </c>
      <c r="F79" s="1721" t="str">
        <f>"04-01-2024 01:00"</f>
        <v>04-01-2024 01:00</v>
      </c>
      <c r="G79" s="1721" t="str">
        <f>"04-01-2024 02:00"</f>
        <v>04-01-2024 02:00</v>
      </c>
      <c r="H79" s="1721">
        <v>0.17</v>
      </c>
    </row>
    <row r="80" spans="1:9">
      <c r="A80" s="2280" t="str">
        <f>"04-12-2023 02:00"</f>
        <v>04-12-2023 02:00</v>
      </c>
      <c r="B80" s="2280" t="str">
        <f>"04-12-2023 03:00"</f>
        <v>04-12-2023 03:00</v>
      </c>
      <c r="C80" s="2278">
        <v>0.18</v>
      </c>
      <c r="F80" s="1721" t="str">
        <f>"04-01-2024 02:00"</f>
        <v>04-01-2024 02:00</v>
      </c>
      <c r="G80" s="1721" t="str">
        <f>"04-01-2024 03:00"</f>
        <v>04-01-2024 03:00</v>
      </c>
      <c r="H80" s="1721">
        <v>0.19</v>
      </c>
    </row>
    <row r="81" spans="1:8">
      <c r="A81" s="2280" t="str">
        <f>"04-12-2023 03:00"</f>
        <v>04-12-2023 03:00</v>
      </c>
      <c r="B81" s="2280" t="str">
        <f>"04-12-2023 04:00"</f>
        <v>04-12-2023 04:00</v>
      </c>
      <c r="C81" s="2278">
        <v>0.2</v>
      </c>
      <c r="F81" s="1721" t="str">
        <f>"04-01-2024 03:00"</f>
        <v>04-01-2024 03:00</v>
      </c>
      <c r="G81" s="1721" t="str">
        <f>"04-01-2024 04:00"</f>
        <v>04-01-2024 04:00</v>
      </c>
      <c r="H81" s="1721">
        <v>0.17</v>
      </c>
    </row>
    <row r="82" spans="1:8">
      <c r="A82" s="2280" t="str">
        <f>"04-12-2023 04:00"</f>
        <v>04-12-2023 04:00</v>
      </c>
      <c r="B82" s="2280" t="str">
        <f>"04-12-2023 05:00"</f>
        <v>04-12-2023 05:00</v>
      </c>
      <c r="C82" s="2278">
        <v>0.21</v>
      </c>
      <c r="F82" s="1721" t="str">
        <f>"04-01-2024 04:00"</f>
        <v>04-01-2024 04:00</v>
      </c>
      <c r="G82" s="1721" t="str">
        <f>"04-01-2024 05:00"</f>
        <v>04-01-2024 05:00</v>
      </c>
      <c r="H82" s="1721">
        <v>0.19</v>
      </c>
    </row>
    <row r="83" spans="1:8">
      <c r="A83" s="2280" t="str">
        <f>"04-12-2023 05:00"</f>
        <v>04-12-2023 05:00</v>
      </c>
      <c r="B83" s="2280" t="str">
        <f>"04-12-2023 06:00"</f>
        <v>04-12-2023 06:00</v>
      </c>
      <c r="C83" s="2278">
        <v>0.2</v>
      </c>
      <c r="F83" s="1721" t="str">
        <f>"04-01-2024 05:00"</f>
        <v>04-01-2024 05:00</v>
      </c>
      <c r="G83" s="1721" t="str">
        <f>"04-01-2024 06:00"</f>
        <v>04-01-2024 06:00</v>
      </c>
      <c r="H83" s="1721">
        <v>0.17</v>
      </c>
    </row>
    <row r="84" spans="1:8">
      <c r="A84" s="2280" t="str">
        <f>"04-12-2023 06:00"</f>
        <v>04-12-2023 06:00</v>
      </c>
      <c r="B84" s="2280" t="str">
        <f>"04-12-2023 07:00"</f>
        <v>04-12-2023 07:00</v>
      </c>
      <c r="C84" s="2278">
        <v>0.19</v>
      </c>
      <c r="F84" s="1721" t="str">
        <f>"04-01-2024 06:00"</f>
        <v>04-01-2024 06:00</v>
      </c>
      <c r="G84" s="1721" t="str">
        <f>"04-01-2024 07:00"</f>
        <v>04-01-2024 07:00</v>
      </c>
      <c r="H84" s="1721">
        <v>0.14000000000000001</v>
      </c>
    </row>
    <row r="85" spans="1:8">
      <c r="A85" s="2280" t="str">
        <f>"04-12-2023 07:00"</f>
        <v>04-12-2023 07:00</v>
      </c>
      <c r="B85" s="2280" t="str">
        <f>"04-12-2023 08:00"</f>
        <v>04-12-2023 08:00</v>
      </c>
      <c r="C85" s="2278">
        <v>0.34</v>
      </c>
      <c r="F85" s="1721" t="str">
        <f>"04-01-2024 07:00"</f>
        <v>04-01-2024 07:00</v>
      </c>
      <c r="G85" s="1721" t="str">
        <f>"04-01-2024 08:00"</f>
        <v>04-01-2024 08:00</v>
      </c>
      <c r="H85" s="1721">
        <v>0.27</v>
      </c>
    </row>
    <row r="86" spans="1:8">
      <c r="A86" s="2280" t="str">
        <f>"04-12-2023 08:00"</f>
        <v>04-12-2023 08:00</v>
      </c>
      <c r="B86" s="2280" t="str">
        <f>"04-12-2023 09:00"</f>
        <v>04-12-2023 09:00</v>
      </c>
      <c r="C86" s="2278">
        <v>0.24</v>
      </c>
      <c r="F86" s="1721" t="str">
        <f>"04-01-2024 08:00"</f>
        <v>04-01-2024 08:00</v>
      </c>
      <c r="G86" s="1721" t="str">
        <f>"04-01-2024 09:00"</f>
        <v>04-01-2024 09:00</v>
      </c>
      <c r="H86" s="1721">
        <v>0.25</v>
      </c>
    </row>
    <row r="87" spans="1:8">
      <c r="A87" s="2280" t="str">
        <f>"04-12-2023 09:00"</f>
        <v>04-12-2023 09:00</v>
      </c>
      <c r="B87" s="2280" t="str">
        <f>"04-12-2023 10:00"</f>
        <v>04-12-2023 10:00</v>
      </c>
      <c r="C87" s="2278">
        <v>0.32</v>
      </c>
      <c r="F87" s="1721" t="str">
        <f>"04-01-2024 09:00"</f>
        <v>04-01-2024 09:00</v>
      </c>
      <c r="G87" s="1721" t="str">
        <f>"04-01-2024 10:00"</f>
        <v>04-01-2024 10:00</v>
      </c>
      <c r="H87" s="1721">
        <v>0.52</v>
      </c>
    </row>
    <row r="88" spans="1:8">
      <c r="A88" s="2280" t="str">
        <f>"04-12-2023 10:00"</f>
        <v>04-12-2023 10:00</v>
      </c>
      <c r="B88" s="2280" t="str">
        <f>"04-12-2023 11:00"</f>
        <v>04-12-2023 11:00</v>
      </c>
      <c r="C88" s="2278">
        <v>0.38</v>
      </c>
      <c r="F88" s="1721" t="str">
        <f>"04-01-2024 10:00"</f>
        <v>04-01-2024 10:00</v>
      </c>
      <c r="G88" s="1721" t="str">
        <f>"04-01-2024 11:00"</f>
        <v>04-01-2024 11:00</v>
      </c>
      <c r="H88" s="1721">
        <v>0.23</v>
      </c>
    </row>
    <row r="89" spans="1:8">
      <c r="A89" s="2280" t="str">
        <f>"04-12-2023 11:00"</f>
        <v>04-12-2023 11:00</v>
      </c>
      <c r="B89" s="2280" t="str">
        <f>"04-12-2023 12:00"</f>
        <v>04-12-2023 12:00</v>
      </c>
      <c r="C89" s="2278">
        <v>0.47</v>
      </c>
      <c r="F89" s="1721" t="str">
        <f>"04-01-2024 11:00"</f>
        <v>04-01-2024 11:00</v>
      </c>
      <c r="G89" s="1721" t="str">
        <f>"04-01-2024 12:00"</f>
        <v>04-01-2024 12:00</v>
      </c>
      <c r="H89" s="1721">
        <v>0.43</v>
      </c>
    </row>
    <row r="90" spans="1:8">
      <c r="A90" s="2280" t="str">
        <f>"04-12-2023 12:00"</f>
        <v>04-12-2023 12:00</v>
      </c>
      <c r="B90" s="2280" t="str">
        <f>"04-12-2023 13:00"</f>
        <v>04-12-2023 13:00</v>
      </c>
      <c r="C90" s="2278">
        <v>0.3</v>
      </c>
      <c r="F90" s="1721" t="str">
        <f>"04-01-2024 12:00"</f>
        <v>04-01-2024 12:00</v>
      </c>
      <c r="G90" s="1721" t="str">
        <f>"04-01-2024 13:00"</f>
        <v>04-01-2024 13:00</v>
      </c>
      <c r="H90" s="1721">
        <v>0.41</v>
      </c>
    </row>
    <row r="91" spans="1:8">
      <c r="A91" s="2280" t="str">
        <f>"04-12-2023 13:00"</f>
        <v>04-12-2023 13:00</v>
      </c>
      <c r="B91" s="2280" t="str">
        <f>"04-12-2023 14:00"</f>
        <v>04-12-2023 14:00</v>
      </c>
      <c r="C91" s="2278">
        <v>0.41</v>
      </c>
      <c r="F91" s="1721" t="str">
        <f>"04-01-2024 13:00"</f>
        <v>04-01-2024 13:00</v>
      </c>
      <c r="G91" s="1721" t="str">
        <f>"04-01-2024 14:00"</f>
        <v>04-01-2024 14:00</v>
      </c>
      <c r="H91" s="1721">
        <v>0.43</v>
      </c>
    </row>
    <row r="92" spans="1:8">
      <c r="A92" s="2280" t="str">
        <f>"04-12-2023 14:00"</f>
        <v>04-12-2023 14:00</v>
      </c>
      <c r="B92" s="2280" t="str">
        <f>"04-12-2023 15:00"</f>
        <v>04-12-2023 15:00</v>
      </c>
      <c r="C92" s="2278">
        <v>0.46</v>
      </c>
      <c r="F92" s="1721" t="str">
        <f>"04-01-2024 14:00"</f>
        <v>04-01-2024 14:00</v>
      </c>
      <c r="G92" s="1721" t="str">
        <f>"04-01-2024 15:00"</f>
        <v>04-01-2024 15:00</v>
      </c>
      <c r="H92" s="1721">
        <v>0.42</v>
      </c>
    </row>
    <row r="93" spans="1:8">
      <c r="A93" s="2280" t="str">
        <f>"04-12-2023 15:00"</f>
        <v>04-12-2023 15:00</v>
      </c>
      <c r="B93" s="2280" t="str">
        <f>"04-12-2023 16:00"</f>
        <v>04-12-2023 16:00</v>
      </c>
      <c r="C93" s="2278">
        <v>0.35</v>
      </c>
      <c r="F93" s="1721" t="str">
        <f>"04-01-2024 15:00"</f>
        <v>04-01-2024 15:00</v>
      </c>
      <c r="G93" s="1721" t="str">
        <f>"04-01-2024 16:00"</f>
        <v>04-01-2024 16:00</v>
      </c>
      <c r="H93" s="1721">
        <v>0.36</v>
      </c>
    </row>
    <row r="94" spans="1:8">
      <c r="A94" s="2280" t="str">
        <f>"04-12-2023 16:00"</f>
        <v>04-12-2023 16:00</v>
      </c>
      <c r="B94" s="2280" t="str">
        <f>"04-12-2023 17:00"</f>
        <v>04-12-2023 17:00</v>
      </c>
      <c r="C94" s="2278">
        <v>0.37</v>
      </c>
      <c r="F94" s="1721" t="str">
        <f>"04-01-2024 16:00"</f>
        <v>04-01-2024 16:00</v>
      </c>
      <c r="G94" s="1721" t="str">
        <f>"04-01-2024 17:00"</f>
        <v>04-01-2024 17:00</v>
      </c>
      <c r="H94" s="1721">
        <v>0.38</v>
      </c>
    </row>
    <row r="95" spans="1:8">
      <c r="A95" s="2280" t="str">
        <f>"04-12-2023 17:00"</f>
        <v>04-12-2023 17:00</v>
      </c>
      <c r="B95" s="2280" t="str">
        <f>"04-12-2023 18:00"</f>
        <v>04-12-2023 18:00</v>
      </c>
      <c r="C95" s="2278">
        <v>0.95</v>
      </c>
      <c r="F95" s="1721" t="str">
        <f>"04-01-2024 17:00"</f>
        <v>04-01-2024 17:00</v>
      </c>
      <c r="G95" s="1721" t="str">
        <f>"04-01-2024 18:00"</f>
        <v>04-01-2024 18:00</v>
      </c>
      <c r="H95" s="1721">
        <v>0.52</v>
      </c>
    </row>
    <row r="96" spans="1:8">
      <c r="A96" s="2280" t="str">
        <f>"04-12-2023 18:00"</f>
        <v>04-12-2023 18:00</v>
      </c>
      <c r="B96" s="2280" t="str">
        <f>"04-12-2023 19:00"</f>
        <v>04-12-2023 19:00</v>
      </c>
      <c r="C96" s="2278">
        <v>0.51</v>
      </c>
      <c r="F96" s="1721" t="str">
        <f>"04-01-2024 18:00"</f>
        <v>04-01-2024 18:00</v>
      </c>
      <c r="G96" s="1721" t="str">
        <f>"04-01-2024 19:00"</f>
        <v>04-01-2024 19:00</v>
      </c>
      <c r="H96" s="1721">
        <v>0.38</v>
      </c>
    </row>
    <row r="97" spans="1:9">
      <c r="A97" s="2280" t="str">
        <f>"04-12-2023 19:00"</f>
        <v>04-12-2023 19:00</v>
      </c>
      <c r="B97" s="2280" t="str">
        <f>"04-12-2023 20:00"</f>
        <v>04-12-2023 20:00</v>
      </c>
      <c r="C97" s="2278">
        <v>0.36</v>
      </c>
      <c r="F97" s="1721" t="str">
        <f>"04-01-2024 19:00"</f>
        <v>04-01-2024 19:00</v>
      </c>
      <c r="G97" s="1721" t="str">
        <f>"04-01-2024 20:00"</f>
        <v>04-01-2024 20:00</v>
      </c>
      <c r="H97" s="1721">
        <v>0.5</v>
      </c>
    </row>
    <row r="98" spans="1:9">
      <c r="A98" s="2280" t="str">
        <f>"04-12-2023 20:00"</f>
        <v>04-12-2023 20:00</v>
      </c>
      <c r="B98" s="2280" t="str">
        <f>"04-12-2023 21:00"</f>
        <v>04-12-2023 21:00</v>
      </c>
      <c r="C98" s="2278">
        <v>0.36</v>
      </c>
      <c r="F98" s="1721" t="str">
        <f>"04-01-2024 20:00"</f>
        <v>04-01-2024 20:00</v>
      </c>
      <c r="G98" s="1721" t="str">
        <f>"04-01-2024 21:00"</f>
        <v>04-01-2024 21:00</v>
      </c>
      <c r="H98" s="1721">
        <v>0.37</v>
      </c>
    </row>
    <row r="99" spans="1:9">
      <c r="A99" s="2280" t="str">
        <f>"04-12-2023 21:00"</f>
        <v>04-12-2023 21:00</v>
      </c>
      <c r="B99" s="2280" t="str">
        <f>"04-12-2023 22:00"</f>
        <v>04-12-2023 22:00</v>
      </c>
      <c r="C99" s="2278">
        <v>0.38</v>
      </c>
      <c r="F99" s="1721" t="str">
        <f>"04-01-2024 21:00"</f>
        <v>04-01-2024 21:00</v>
      </c>
      <c r="G99" s="1721" t="str">
        <f>"04-01-2024 22:00"</f>
        <v>04-01-2024 22:00</v>
      </c>
      <c r="H99" s="1721">
        <v>0.36</v>
      </c>
    </row>
    <row r="100" spans="1:9">
      <c r="A100" s="2280" t="str">
        <f>"04-12-2023 22:00"</f>
        <v>04-12-2023 22:00</v>
      </c>
      <c r="B100" s="2280" t="str">
        <f>"04-12-2023 23:00"</f>
        <v>04-12-2023 23:00</v>
      </c>
      <c r="C100" s="2278">
        <v>0.26</v>
      </c>
      <c r="F100" s="1721" t="str">
        <f>"04-01-2024 22:00"</f>
        <v>04-01-2024 22:00</v>
      </c>
      <c r="G100" s="1721" t="str">
        <f>"04-01-2024 23:00"</f>
        <v>04-01-2024 23:00</v>
      </c>
      <c r="H100" s="1721">
        <v>0.3</v>
      </c>
    </row>
    <row r="101" spans="1:9">
      <c r="A101" s="2284" t="str">
        <f>"04-12-2023 23:00"</f>
        <v>04-12-2023 23:00</v>
      </c>
      <c r="B101" s="2284" t="str">
        <f>"05-12-2023 00:00"</f>
        <v>05-12-2023 00:00</v>
      </c>
      <c r="C101" s="2278">
        <v>0.12</v>
      </c>
      <c r="D101" s="2284">
        <f>SUM(C78:C101)</f>
        <v>8.0499999999999989</v>
      </c>
      <c r="F101" s="2384" t="str">
        <f>"04-01-2024 23:00"</f>
        <v>04-01-2024 23:00</v>
      </c>
      <c r="G101" s="2384" t="str">
        <f>"05-01-2024 00:00"</f>
        <v>05-01-2024 00:00</v>
      </c>
      <c r="H101" s="2384">
        <v>0.22</v>
      </c>
      <c r="I101" s="2322">
        <f>SUM(H78:H101)</f>
        <v>7.5100000000000007</v>
      </c>
    </row>
    <row r="102" spans="1:9">
      <c r="A102" s="2280" t="s">
        <v>1644</v>
      </c>
      <c r="B102" s="2280" t="s">
        <v>1645</v>
      </c>
      <c r="C102" s="2281" t="s">
        <v>1147</v>
      </c>
      <c r="D102" s="2280" t="s">
        <v>567</v>
      </c>
      <c r="F102" s="2280" t="s">
        <v>1644</v>
      </c>
      <c r="G102" s="2280" t="s">
        <v>1645</v>
      </c>
      <c r="H102" s="2281" t="s">
        <v>1147</v>
      </c>
      <c r="I102" s="2280" t="s">
        <v>567</v>
      </c>
    </row>
    <row r="103" spans="1:9">
      <c r="A103" s="2280" t="str">
        <f>"05-12-2023 00:00"</f>
        <v>05-12-2023 00:00</v>
      </c>
      <c r="B103" s="2280" t="str">
        <f>"05-12-2023 01:00"</f>
        <v>05-12-2023 01:00</v>
      </c>
      <c r="C103" s="2278">
        <v>0.19</v>
      </c>
      <c r="F103" s="1721" t="str">
        <f>"05-01-2024 00:00"</f>
        <v>05-01-2024 00:00</v>
      </c>
      <c r="G103" s="1721" t="str">
        <f>"05-01-2024 01:00"</f>
        <v>05-01-2024 01:00</v>
      </c>
      <c r="H103" s="1721">
        <v>0.2</v>
      </c>
    </row>
    <row r="104" spans="1:9">
      <c r="A104" s="2280" t="str">
        <f>"05-12-2023 01:00"</f>
        <v>05-12-2023 01:00</v>
      </c>
      <c r="B104" s="2280" t="str">
        <f>"05-12-2023 02:00"</f>
        <v>05-12-2023 02:00</v>
      </c>
      <c r="C104" s="2278">
        <v>0.15</v>
      </c>
      <c r="F104" s="1721" t="str">
        <f>"05-01-2024 01:00"</f>
        <v>05-01-2024 01:00</v>
      </c>
      <c r="G104" s="1721" t="str">
        <f>"05-01-2024 02:00"</f>
        <v>05-01-2024 02:00</v>
      </c>
      <c r="H104" s="1721">
        <v>0.23</v>
      </c>
    </row>
    <row r="105" spans="1:9">
      <c r="A105" s="2280" t="str">
        <f>"05-12-2023 02:00"</f>
        <v>05-12-2023 02:00</v>
      </c>
      <c r="B105" s="2280" t="str">
        <f>"05-12-2023 03:00"</f>
        <v>05-12-2023 03:00</v>
      </c>
      <c r="C105" s="2278">
        <v>0.12</v>
      </c>
      <c r="F105" s="1721" t="str">
        <f>"05-01-2024 02:00"</f>
        <v>05-01-2024 02:00</v>
      </c>
      <c r="G105" s="1721" t="str">
        <f>"05-01-2024 03:00"</f>
        <v>05-01-2024 03:00</v>
      </c>
      <c r="H105" s="1721">
        <v>0.23</v>
      </c>
    </row>
    <row r="106" spans="1:9">
      <c r="A106" s="2280" t="str">
        <f>"05-12-2023 03:00"</f>
        <v>05-12-2023 03:00</v>
      </c>
      <c r="B106" s="2280" t="str">
        <f>"05-12-2023 04:00"</f>
        <v>05-12-2023 04:00</v>
      </c>
      <c r="C106" s="2278">
        <v>0.13</v>
      </c>
      <c r="F106" s="1721" t="str">
        <f>"05-01-2024 03:00"</f>
        <v>05-01-2024 03:00</v>
      </c>
      <c r="G106" s="1721" t="str">
        <f>"05-01-2024 04:00"</f>
        <v>05-01-2024 04:00</v>
      </c>
      <c r="H106" s="1721">
        <v>0.17</v>
      </c>
    </row>
    <row r="107" spans="1:9">
      <c r="A107" s="2280" t="str">
        <f>"05-12-2023 04:00"</f>
        <v>05-12-2023 04:00</v>
      </c>
      <c r="B107" s="2280" t="str">
        <f>"05-12-2023 05:00"</f>
        <v>05-12-2023 05:00</v>
      </c>
      <c r="C107" s="2278">
        <v>0.23</v>
      </c>
      <c r="F107" s="1721" t="str">
        <f>"05-01-2024 04:00"</f>
        <v>05-01-2024 04:00</v>
      </c>
      <c r="G107" s="1721" t="str">
        <f>"05-01-2024 05:00"</f>
        <v>05-01-2024 05:00</v>
      </c>
      <c r="H107" s="1721">
        <v>0.16</v>
      </c>
    </row>
    <row r="108" spans="1:9">
      <c r="A108" s="2280" t="str">
        <f>"05-12-2023 05:00"</f>
        <v>05-12-2023 05:00</v>
      </c>
      <c r="B108" s="2280" t="str">
        <f>"05-12-2023 06:00"</f>
        <v>05-12-2023 06:00</v>
      </c>
      <c r="C108" s="2278">
        <v>0.13</v>
      </c>
      <c r="F108" s="1721" t="str">
        <f>"05-01-2024 05:00"</f>
        <v>05-01-2024 05:00</v>
      </c>
      <c r="G108" s="1721" t="str">
        <f>"05-01-2024 06:00"</f>
        <v>05-01-2024 06:00</v>
      </c>
      <c r="H108" s="1721">
        <v>0.12</v>
      </c>
    </row>
    <row r="109" spans="1:9">
      <c r="A109" s="2280" t="str">
        <f>"05-12-2023 06:00"</f>
        <v>05-12-2023 06:00</v>
      </c>
      <c r="B109" s="2280" t="str">
        <f>"05-12-2023 07:00"</f>
        <v>05-12-2023 07:00</v>
      </c>
      <c r="C109" s="2278">
        <v>0.12</v>
      </c>
      <c r="F109" s="1721" t="str">
        <f>"05-01-2024 06:00"</f>
        <v>05-01-2024 06:00</v>
      </c>
      <c r="G109" s="1721" t="str">
        <f>"05-01-2024 07:00"</f>
        <v>05-01-2024 07:00</v>
      </c>
      <c r="H109" s="1721">
        <v>0.14000000000000001</v>
      </c>
    </row>
    <row r="110" spans="1:9">
      <c r="A110" s="2280" t="str">
        <f>"05-12-2023 07:00"</f>
        <v>05-12-2023 07:00</v>
      </c>
      <c r="B110" s="2280" t="str">
        <f>"05-12-2023 08:00"</f>
        <v>05-12-2023 08:00</v>
      </c>
      <c r="C110" s="2278">
        <v>0.15</v>
      </c>
      <c r="F110" s="1721" t="str">
        <f>"05-01-2024 07:00"</f>
        <v>05-01-2024 07:00</v>
      </c>
      <c r="G110" s="1721" t="str">
        <f>"05-01-2024 08:00"</f>
        <v>05-01-2024 08:00</v>
      </c>
      <c r="H110" s="1721">
        <v>0.28999999999999998</v>
      </c>
    </row>
    <row r="111" spans="1:9">
      <c r="A111" s="2280" t="str">
        <f>"05-12-2023 08:00"</f>
        <v>05-12-2023 08:00</v>
      </c>
      <c r="B111" s="2280" t="str">
        <f>"05-12-2023 09:00"</f>
        <v>05-12-2023 09:00</v>
      </c>
      <c r="C111" s="2278">
        <v>0.64</v>
      </c>
      <c r="F111" s="1721" t="str">
        <f>"05-01-2024 08:00"</f>
        <v>05-01-2024 08:00</v>
      </c>
      <c r="G111" s="1721" t="str">
        <f>"05-01-2024 09:00"</f>
        <v>05-01-2024 09:00</v>
      </c>
      <c r="H111" s="1721">
        <v>0.36</v>
      </c>
    </row>
    <row r="112" spans="1:9">
      <c r="A112" s="2280" t="str">
        <f>"05-12-2023 09:00"</f>
        <v>05-12-2023 09:00</v>
      </c>
      <c r="B112" s="2280" t="str">
        <f>"05-12-2023 10:00"</f>
        <v>05-12-2023 10:00</v>
      </c>
      <c r="C112" s="2278">
        <v>0.41</v>
      </c>
      <c r="F112" s="1721" t="str">
        <f>"05-01-2024 09:00"</f>
        <v>05-01-2024 09:00</v>
      </c>
      <c r="G112" s="1721" t="str">
        <f>"05-01-2024 10:00"</f>
        <v>05-01-2024 10:00</v>
      </c>
      <c r="H112" s="1721">
        <v>0.31</v>
      </c>
    </row>
    <row r="113" spans="1:9">
      <c r="A113" s="2280" t="str">
        <f>"05-12-2023 10:00"</f>
        <v>05-12-2023 10:00</v>
      </c>
      <c r="B113" s="2280" t="str">
        <f>"05-12-2023 11:00"</f>
        <v>05-12-2023 11:00</v>
      </c>
      <c r="C113" s="2278">
        <v>0.3</v>
      </c>
      <c r="F113" s="1721" t="str">
        <f>"05-01-2024 10:00"</f>
        <v>05-01-2024 10:00</v>
      </c>
      <c r="G113" s="1721" t="str">
        <f>"05-01-2024 11:00"</f>
        <v>05-01-2024 11:00</v>
      </c>
      <c r="H113" s="1721">
        <v>0.38</v>
      </c>
    </row>
    <row r="114" spans="1:9">
      <c r="A114" s="2280" t="str">
        <f>"05-12-2023 11:00"</f>
        <v>05-12-2023 11:00</v>
      </c>
      <c r="B114" s="2280" t="str">
        <f>"05-12-2023 12:00"</f>
        <v>05-12-2023 12:00</v>
      </c>
      <c r="C114" s="2278">
        <v>0.28999999999999998</v>
      </c>
      <c r="F114" s="1721" t="str">
        <f>"05-01-2024 11:00"</f>
        <v>05-01-2024 11:00</v>
      </c>
      <c r="G114" s="1721" t="str">
        <f>"05-01-2024 12:00"</f>
        <v>05-01-2024 12:00</v>
      </c>
      <c r="H114" s="1721">
        <v>0.4</v>
      </c>
    </row>
    <row r="115" spans="1:9">
      <c r="A115" s="2280" t="str">
        <f>"05-12-2023 12:00"</f>
        <v>05-12-2023 12:00</v>
      </c>
      <c r="B115" s="2280" t="str">
        <f>"05-12-2023 13:00"</f>
        <v>05-12-2023 13:00</v>
      </c>
      <c r="C115" s="2278">
        <v>0.28000000000000003</v>
      </c>
      <c r="F115" s="1721" t="str">
        <f>"05-01-2024 12:00"</f>
        <v>05-01-2024 12:00</v>
      </c>
      <c r="G115" s="1721" t="str">
        <f>"05-01-2024 13:00"</f>
        <v>05-01-2024 13:00</v>
      </c>
      <c r="H115" s="1721">
        <v>0.5</v>
      </c>
    </row>
    <row r="116" spans="1:9">
      <c r="A116" s="2280" t="str">
        <f>"05-12-2023 13:00"</f>
        <v>05-12-2023 13:00</v>
      </c>
      <c r="B116" s="2280" t="str">
        <f>"05-12-2023 14:00"</f>
        <v>05-12-2023 14:00</v>
      </c>
      <c r="C116" s="2278">
        <v>0.52</v>
      </c>
      <c r="F116" s="1721" t="str">
        <f>"05-01-2024 13:00"</f>
        <v>05-01-2024 13:00</v>
      </c>
      <c r="G116" s="1721" t="str">
        <f>"05-01-2024 14:00"</f>
        <v>05-01-2024 14:00</v>
      </c>
      <c r="H116" s="1721">
        <v>0.33</v>
      </c>
    </row>
    <row r="117" spans="1:9">
      <c r="A117" s="2280" t="str">
        <f>"05-12-2023 14:00"</f>
        <v>05-12-2023 14:00</v>
      </c>
      <c r="B117" s="2280" t="str">
        <f>"05-12-2023 15:00"</f>
        <v>05-12-2023 15:00</v>
      </c>
      <c r="C117" s="2278">
        <v>0.43</v>
      </c>
      <c r="F117" s="1721" t="str">
        <f>"05-01-2024 14:00"</f>
        <v>05-01-2024 14:00</v>
      </c>
      <c r="G117" s="1721" t="str">
        <f>"05-01-2024 15:00"</f>
        <v>05-01-2024 15:00</v>
      </c>
      <c r="H117" s="1721">
        <v>0.17</v>
      </c>
    </row>
    <row r="118" spans="1:9">
      <c r="A118" s="2280" t="str">
        <f>"05-12-2023 15:00"</f>
        <v>05-12-2023 15:00</v>
      </c>
      <c r="B118" s="2280" t="str">
        <f>"05-12-2023 16:00"</f>
        <v>05-12-2023 16:00</v>
      </c>
      <c r="C118" s="2278">
        <v>0.37</v>
      </c>
      <c r="F118" s="1721" t="str">
        <f>"05-01-2024 15:00"</f>
        <v>05-01-2024 15:00</v>
      </c>
      <c r="G118" s="1721" t="str">
        <f>"05-01-2024 16:00"</f>
        <v>05-01-2024 16:00</v>
      </c>
      <c r="H118" s="1721">
        <v>0.28999999999999998</v>
      </c>
    </row>
    <row r="119" spans="1:9">
      <c r="A119" s="2280" t="str">
        <f>"05-12-2023 16:00"</f>
        <v>05-12-2023 16:00</v>
      </c>
      <c r="B119" s="2280" t="str">
        <f>"05-12-2023 17:00"</f>
        <v>05-12-2023 17:00</v>
      </c>
      <c r="C119" s="2278">
        <v>0.52</v>
      </c>
      <c r="F119" s="1721" t="str">
        <f>"05-01-2024 16:00"</f>
        <v>05-01-2024 16:00</v>
      </c>
      <c r="G119" s="1721" t="str">
        <f>"05-01-2024 17:00"</f>
        <v>05-01-2024 17:00</v>
      </c>
      <c r="H119" s="1721">
        <v>0.33</v>
      </c>
    </row>
    <row r="120" spans="1:9">
      <c r="A120" s="2280" t="str">
        <f>"05-12-2023 17:00"</f>
        <v>05-12-2023 17:00</v>
      </c>
      <c r="B120" s="2280" t="str">
        <f>"05-12-2023 18:00"</f>
        <v>05-12-2023 18:00</v>
      </c>
      <c r="C120" s="2278">
        <v>0.45</v>
      </c>
      <c r="F120" s="1721" t="str">
        <f>"05-01-2024 17:00"</f>
        <v>05-01-2024 17:00</v>
      </c>
      <c r="G120" s="1721" t="str">
        <f>"05-01-2024 18:00"</f>
        <v>05-01-2024 18:00</v>
      </c>
      <c r="H120" s="1721">
        <v>0.62</v>
      </c>
    </row>
    <row r="121" spans="1:9">
      <c r="A121" s="2280" t="str">
        <f>"05-12-2023 18:00"</f>
        <v>05-12-2023 18:00</v>
      </c>
      <c r="B121" s="2280" t="str">
        <f>"05-12-2023 19:00"</f>
        <v>05-12-2023 19:00</v>
      </c>
      <c r="C121" s="2278">
        <v>0.5</v>
      </c>
      <c r="F121" s="1721" t="str">
        <f>"05-01-2024 18:00"</f>
        <v>05-01-2024 18:00</v>
      </c>
      <c r="G121" s="1721" t="str">
        <f>"05-01-2024 19:00"</f>
        <v>05-01-2024 19:00</v>
      </c>
      <c r="H121" s="1721">
        <v>0.55000000000000004</v>
      </c>
    </row>
    <row r="122" spans="1:9">
      <c r="A122" s="2280" t="str">
        <f>"05-12-2023 19:00"</f>
        <v>05-12-2023 19:00</v>
      </c>
      <c r="B122" s="2280" t="str">
        <f>"05-12-2023 20:00"</f>
        <v>05-12-2023 20:00</v>
      </c>
      <c r="C122" s="2278">
        <v>0.56999999999999995</v>
      </c>
      <c r="F122" s="1721" t="str">
        <f>"05-01-2024 19:00"</f>
        <v>05-01-2024 19:00</v>
      </c>
      <c r="G122" s="1721" t="str">
        <f>"05-01-2024 20:00"</f>
        <v>05-01-2024 20:00</v>
      </c>
      <c r="H122" s="1721">
        <v>0.34</v>
      </c>
    </row>
    <row r="123" spans="1:9">
      <c r="A123" s="2280" t="str">
        <f>"05-12-2023 20:00"</f>
        <v>05-12-2023 20:00</v>
      </c>
      <c r="B123" s="2280" t="str">
        <f>"05-12-2023 21:00"</f>
        <v>05-12-2023 21:00</v>
      </c>
      <c r="C123" s="2278">
        <v>0.47</v>
      </c>
      <c r="F123" s="1721" t="str">
        <f>"05-01-2024 20:00"</f>
        <v>05-01-2024 20:00</v>
      </c>
      <c r="G123" s="1721" t="str">
        <f>"05-01-2024 21:00"</f>
        <v>05-01-2024 21:00</v>
      </c>
      <c r="H123" s="1721">
        <v>0.4</v>
      </c>
    </row>
    <row r="124" spans="1:9">
      <c r="A124" s="2280" t="str">
        <f>"05-12-2023 21:00"</f>
        <v>05-12-2023 21:00</v>
      </c>
      <c r="B124" s="2280" t="str">
        <f>"05-12-2023 22:00"</f>
        <v>05-12-2023 22:00</v>
      </c>
      <c r="C124" s="2278">
        <v>0.39</v>
      </c>
      <c r="F124" s="1721" t="str">
        <f>"05-01-2024 21:00"</f>
        <v>05-01-2024 21:00</v>
      </c>
      <c r="G124" s="1721" t="str">
        <f>"05-01-2024 22:00"</f>
        <v>05-01-2024 22:00</v>
      </c>
      <c r="H124" s="1721">
        <v>0.5</v>
      </c>
    </row>
    <row r="125" spans="1:9">
      <c r="A125" s="2280" t="str">
        <f>"05-12-2023 22:00"</f>
        <v>05-12-2023 22:00</v>
      </c>
      <c r="B125" s="2280" t="str">
        <f>"05-12-2023 23:00"</f>
        <v>05-12-2023 23:00</v>
      </c>
      <c r="C125" s="2278">
        <v>0.41</v>
      </c>
      <c r="F125" s="1721" t="str">
        <f>"05-01-2024 22:00"</f>
        <v>05-01-2024 22:00</v>
      </c>
      <c r="G125" s="1721" t="str">
        <f>"05-01-2024 23:00"</f>
        <v>05-01-2024 23:00</v>
      </c>
      <c r="H125" s="1721">
        <v>0.32</v>
      </c>
    </row>
    <row r="126" spans="1:9">
      <c r="A126" s="2284" t="str">
        <f>"05-12-2023 23:00"</f>
        <v>05-12-2023 23:00</v>
      </c>
      <c r="B126" s="2284" t="str">
        <f>"06-12-2023 00:00"</f>
        <v>06-12-2023 00:00</v>
      </c>
      <c r="C126" s="2278">
        <v>0.18</v>
      </c>
      <c r="D126" s="2284">
        <f>SUM(C103:C126)</f>
        <v>7.95</v>
      </c>
      <c r="F126" s="2384" t="str">
        <f>"05-01-2024 23:00"</f>
        <v>05-01-2024 23:00</v>
      </c>
      <c r="G126" s="2384" t="str">
        <f>"06-01-2024 00:00"</f>
        <v>06-01-2024 00:00</v>
      </c>
      <c r="H126" s="2384">
        <v>0.11</v>
      </c>
      <c r="I126" s="2322">
        <f>SUM(H103:H126)</f>
        <v>7.45</v>
      </c>
    </row>
    <row r="127" spans="1:9">
      <c r="A127" s="2280" t="s">
        <v>1644</v>
      </c>
      <c r="B127" s="2280" t="s">
        <v>1645</v>
      </c>
      <c r="C127" s="2281" t="s">
        <v>1147</v>
      </c>
      <c r="D127" s="2280" t="s">
        <v>567</v>
      </c>
      <c r="F127" s="2280" t="s">
        <v>1644</v>
      </c>
      <c r="G127" s="2280" t="s">
        <v>1645</v>
      </c>
      <c r="H127" s="2281" t="s">
        <v>1147</v>
      </c>
      <c r="I127" s="2280" t="s">
        <v>567</v>
      </c>
    </row>
    <row r="128" spans="1:9">
      <c r="A128" s="2280" t="str">
        <f>"06-12-2023 00:00"</f>
        <v>06-12-2023 00:00</v>
      </c>
      <c r="B128" s="2280" t="str">
        <f>"06-12-2023 01:00"</f>
        <v>06-12-2023 01:00</v>
      </c>
      <c r="C128" s="2278">
        <v>0.17</v>
      </c>
      <c r="F128" s="1721" t="str">
        <f>"06-01-2024 00:00"</f>
        <v>06-01-2024 00:00</v>
      </c>
      <c r="G128" s="1721" t="str">
        <f>"06-01-2024 01:00"</f>
        <v>06-01-2024 01:00</v>
      </c>
      <c r="H128" s="1721">
        <v>0.14000000000000001</v>
      </c>
      <c r="I128" s="2284"/>
    </row>
    <row r="129" spans="1:8">
      <c r="A129" s="2280" t="str">
        <f>"06-12-2023 01:00"</f>
        <v>06-12-2023 01:00</v>
      </c>
      <c r="B129" s="2280" t="str">
        <f>"06-12-2023 02:00"</f>
        <v>06-12-2023 02:00</v>
      </c>
      <c r="C129" s="2278">
        <v>0.17</v>
      </c>
      <c r="F129" s="1721" t="str">
        <f>"06-01-2024 01:00"</f>
        <v>06-01-2024 01:00</v>
      </c>
      <c r="G129" s="1721" t="str">
        <f>"06-01-2024 02:00"</f>
        <v>06-01-2024 02:00</v>
      </c>
      <c r="H129" s="1721">
        <v>0.13</v>
      </c>
    </row>
    <row r="130" spans="1:8">
      <c r="A130" s="2280" t="str">
        <f>"06-12-2023 02:00"</f>
        <v>06-12-2023 02:00</v>
      </c>
      <c r="B130" s="2280" t="str">
        <f>"06-12-2023 03:00"</f>
        <v>06-12-2023 03:00</v>
      </c>
      <c r="C130" s="2278">
        <v>0.15</v>
      </c>
      <c r="F130" s="1721" t="str">
        <f>"06-01-2024 02:00"</f>
        <v>06-01-2024 02:00</v>
      </c>
      <c r="G130" s="1721" t="str">
        <f>"06-01-2024 03:00"</f>
        <v>06-01-2024 03:00</v>
      </c>
      <c r="H130" s="1721">
        <v>0.1</v>
      </c>
    </row>
    <row r="131" spans="1:8">
      <c r="A131" s="2280" t="str">
        <f>"06-12-2023 03:00"</f>
        <v>06-12-2023 03:00</v>
      </c>
      <c r="B131" s="2280" t="str">
        <f>"06-12-2023 04:00"</f>
        <v>06-12-2023 04:00</v>
      </c>
      <c r="C131" s="2278">
        <v>0.22</v>
      </c>
      <c r="F131" s="1721" t="str">
        <f>"06-01-2024 03:00"</f>
        <v>06-01-2024 03:00</v>
      </c>
      <c r="G131" s="1721" t="str">
        <f>"06-01-2024 04:00"</f>
        <v>06-01-2024 04:00</v>
      </c>
      <c r="H131" s="1721">
        <v>0.11</v>
      </c>
    </row>
    <row r="132" spans="1:8">
      <c r="A132" s="2280" t="str">
        <f>"06-12-2023 04:00"</f>
        <v>06-12-2023 04:00</v>
      </c>
      <c r="B132" s="2280" t="str">
        <f>"06-12-2023 05:00"</f>
        <v>06-12-2023 05:00</v>
      </c>
      <c r="C132" s="2278">
        <v>0.21</v>
      </c>
      <c r="F132" s="1721" t="str">
        <f>"06-01-2024 04:00"</f>
        <v>06-01-2024 04:00</v>
      </c>
      <c r="G132" s="1721" t="str">
        <f>"06-01-2024 05:00"</f>
        <v>06-01-2024 05:00</v>
      </c>
      <c r="H132" s="1721">
        <v>0.14000000000000001</v>
      </c>
    </row>
    <row r="133" spans="1:8">
      <c r="A133" s="2280" t="str">
        <f>"06-12-2023 05:00"</f>
        <v>06-12-2023 05:00</v>
      </c>
      <c r="B133" s="2280" t="str">
        <f>"06-12-2023 06:00"</f>
        <v>06-12-2023 06:00</v>
      </c>
      <c r="C133" s="2278">
        <v>0.23</v>
      </c>
      <c r="F133" s="1721" t="str">
        <f>"06-01-2024 05:00"</f>
        <v>06-01-2024 05:00</v>
      </c>
      <c r="G133" s="1721" t="str">
        <f>"06-01-2024 06:00"</f>
        <v>06-01-2024 06:00</v>
      </c>
      <c r="H133" s="1721">
        <v>0.14000000000000001</v>
      </c>
    </row>
    <row r="134" spans="1:8">
      <c r="A134" s="2280" t="str">
        <f>"06-12-2023 06:00"</f>
        <v>06-12-2023 06:00</v>
      </c>
      <c r="B134" s="2280" t="str">
        <f>"06-12-2023 07:00"</f>
        <v>06-12-2023 07:00</v>
      </c>
      <c r="C134" s="2278">
        <v>0.22</v>
      </c>
      <c r="F134" s="1721" t="str">
        <f>"06-01-2024 06:00"</f>
        <v>06-01-2024 06:00</v>
      </c>
      <c r="G134" s="1721" t="str">
        <f>"06-01-2024 07:00"</f>
        <v>06-01-2024 07:00</v>
      </c>
      <c r="H134" s="1721">
        <v>0.28000000000000003</v>
      </c>
    </row>
    <row r="135" spans="1:8">
      <c r="A135" s="2280" t="str">
        <f>"06-12-2023 07:00"</f>
        <v>06-12-2023 07:00</v>
      </c>
      <c r="B135" s="2280" t="str">
        <f>"06-12-2023 08:00"</f>
        <v>06-12-2023 08:00</v>
      </c>
      <c r="C135" s="2278">
        <v>0.34</v>
      </c>
      <c r="F135" s="1721" t="str">
        <f>"06-01-2024 07:00"</f>
        <v>06-01-2024 07:00</v>
      </c>
      <c r="G135" s="1721" t="str">
        <f>"06-01-2024 08:00"</f>
        <v>06-01-2024 08:00</v>
      </c>
      <c r="H135" s="1721">
        <v>0.21</v>
      </c>
    </row>
    <row r="136" spans="1:8">
      <c r="A136" s="2280" t="str">
        <f>"06-12-2023 08:00"</f>
        <v>06-12-2023 08:00</v>
      </c>
      <c r="B136" s="2280" t="str">
        <f>"06-12-2023 09:00"</f>
        <v>06-12-2023 09:00</v>
      </c>
      <c r="C136" s="2278">
        <v>0.36</v>
      </c>
      <c r="F136" s="1721" t="str">
        <f>"06-01-2024 08:00"</f>
        <v>06-01-2024 08:00</v>
      </c>
      <c r="G136" s="1721" t="str">
        <f>"06-01-2024 09:00"</f>
        <v>06-01-2024 09:00</v>
      </c>
      <c r="H136" s="1721">
        <v>0.41</v>
      </c>
    </row>
    <row r="137" spans="1:8">
      <c r="A137" s="2280" t="str">
        <f>"06-12-2023 09:00"</f>
        <v>06-12-2023 09:00</v>
      </c>
      <c r="B137" s="2280" t="str">
        <f>"06-12-2023 10:00"</f>
        <v>06-12-2023 10:00</v>
      </c>
      <c r="C137" s="2278">
        <v>0.32</v>
      </c>
      <c r="F137" s="1721" t="str">
        <f>"06-01-2024 09:00"</f>
        <v>06-01-2024 09:00</v>
      </c>
      <c r="G137" s="1721" t="str">
        <f>"06-01-2024 10:00"</f>
        <v>06-01-2024 10:00</v>
      </c>
      <c r="H137" s="1721">
        <v>0.21</v>
      </c>
    </row>
    <row r="138" spans="1:8">
      <c r="A138" s="2280" t="str">
        <f>"06-12-2023 10:00"</f>
        <v>06-12-2023 10:00</v>
      </c>
      <c r="B138" s="2280" t="str">
        <f>"06-12-2023 11:00"</f>
        <v>06-12-2023 11:00</v>
      </c>
      <c r="C138" s="2278">
        <v>0.33</v>
      </c>
      <c r="F138" s="1721" t="str">
        <f>"06-01-2024 10:00"</f>
        <v>06-01-2024 10:00</v>
      </c>
      <c r="G138" s="1721" t="str">
        <f>"06-01-2024 11:00"</f>
        <v>06-01-2024 11:00</v>
      </c>
      <c r="H138" s="1721">
        <v>0.16</v>
      </c>
    </row>
    <row r="139" spans="1:8">
      <c r="A139" s="2280" t="str">
        <f>"06-12-2023 11:00"</f>
        <v>06-12-2023 11:00</v>
      </c>
      <c r="B139" s="2280" t="str">
        <f>"06-12-2023 12:00"</f>
        <v>06-12-2023 12:00</v>
      </c>
      <c r="C139" s="2278">
        <v>0.19</v>
      </c>
      <c r="F139" s="1721" t="str">
        <f>"06-01-2024 11:00"</f>
        <v>06-01-2024 11:00</v>
      </c>
      <c r="G139" s="1721" t="str">
        <f>"06-01-2024 12:00"</f>
        <v>06-01-2024 12:00</v>
      </c>
      <c r="H139" s="1721">
        <v>0.32</v>
      </c>
    </row>
    <row r="140" spans="1:8">
      <c r="A140" s="2280" t="str">
        <f>"06-12-2023 12:00"</f>
        <v>06-12-2023 12:00</v>
      </c>
      <c r="B140" s="2280" t="str">
        <f>"06-12-2023 13:00"</f>
        <v>06-12-2023 13:00</v>
      </c>
      <c r="C140" s="2278">
        <v>0.38</v>
      </c>
      <c r="F140" s="1721" t="str">
        <f>"06-01-2024 12:00"</f>
        <v>06-01-2024 12:00</v>
      </c>
      <c r="G140" s="1721" t="str">
        <f>"06-01-2024 13:00"</f>
        <v>06-01-2024 13:00</v>
      </c>
      <c r="H140" s="1721">
        <v>0.49</v>
      </c>
    </row>
    <row r="141" spans="1:8">
      <c r="A141" s="2280" t="str">
        <f>"06-12-2023 13:00"</f>
        <v>06-12-2023 13:00</v>
      </c>
      <c r="B141" s="2280" t="str">
        <f>"06-12-2023 14:00"</f>
        <v>06-12-2023 14:00</v>
      </c>
      <c r="C141" s="2278">
        <v>0.35</v>
      </c>
      <c r="F141" s="1721" t="str">
        <f>"06-01-2024 13:00"</f>
        <v>06-01-2024 13:00</v>
      </c>
      <c r="G141" s="1721" t="str">
        <f>"06-01-2024 14:00"</f>
        <v>06-01-2024 14:00</v>
      </c>
      <c r="H141" s="1721">
        <v>0.28999999999999998</v>
      </c>
    </row>
    <row r="142" spans="1:8">
      <c r="A142" s="2280" t="str">
        <f>"06-12-2023 14:00"</f>
        <v>06-12-2023 14:00</v>
      </c>
      <c r="B142" s="2280" t="str">
        <f>"06-12-2023 15:00"</f>
        <v>06-12-2023 15:00</v>
      </c>
      <c r="C142" s="2278">
        <v>0.46</v>
      </c>
      <c r="F142" s="1721" t="str">
        <f>"06-01-2024 14:00"</f>
        <v>06-01-2024 14:00</v>
      </c>
      <c r="G142" s="1721" t="str">
        <f>"06-01-2024 15:00"</f>
        <v>06-01-2024 15:00</v>
      </c>
      <c r="H142" s="1721">
        <v>0.42</v>
      </c>
    </row>
    <row r="143" spans="1:8">
      <c r="A143" s="2280" t="str">
        <f>"06-12-2023 15:00"</f>
        <v>06-12-2023 15:00</v>
      </c>
      <c r="B143" s="2280" t="str">
        <f>"06-12-2023 16:00"</f>
        <v>06-12-2023 16:00</v>
      </c>
      <c r="C143" s="2278">
        <v>0.5</v>
      </c>
      <c r="F143" s="1721" t="str">
        <f>"06-01-2024 15:00"</f>
        <v>06-01-2024 15:00</v>
      </c>
      <c r="G143" s="1721" t="str">
        <f>"06-01-2024 16:00"</f>
        <v>06-01-2024 16:00</v>
      </c>
      <c r="H143" s="1721">
        <v>0.38</v>
      </c>
    </row>
    <row r="144" spans="1:8">
      <c r="A144" s="2280" t="str">
        <f>"06-12-2023 16:00"</f>
        <v>06-12-2023 16:00</v>
      </c>
      <c r="B144" s="2280" t="str">
        <f>"06-12-2023 17:00"</f>
        <v>06-12-2023 17:00</v>
      </c>
      <c r="C144" s="2278">
        <v>0.56000000000000005</v>
      </c>
      <c r="F144" s="1721" t="str">
        <f>"06-01-2024 16:00"</f>
        <v>06-01-2024 16:00</v>
      </c>
      <c r="G144" s="1721" t="str">
        <f>"06-01-2024 17:00"</f>
        <v>06-01-2024 17:00</v>
      </c>
      <c r="H144" s="1721">
        <v>0.33</v>
      </c>
    </row>
    <row r="145" spans="1:9">
      <c r="A145" s="2280" t="str">
        <f>"06-12-2023 17:00"</f>
        <v>06-12-2023 17:00</v>
      </c>
      <c r="B145" s="2280" t="str">
        <f>"06-12-2023 18:00"</f>
        <v>06-12-2023 18:00</v>
      </c>
      <c r="C145" s="2278">
        <v>1.74</v>
      </c>
      <c r="F145" s="1721" t="str">
        <f>"06-01-2024 17:00"</f>
        <v>06-01-2024 17:00</v>
      </c>
      <c r="G145" s="1721" t="str">
        <f>"06-01-2024 18:00"</f>
        <v>06-01-2024 18:00</v>
      </c>
      <c r="H145" s="1721">
        <v>0.82</v>
      </c>
    </row>
    <row r="146" spans="1:9">
      <c r="A146" s="2280" t="str">
        <f>"06-12-2023 18:00"</f>
        <v>06-12-2023 18:00</v>
      </c>
      <c r="B146" s="2280" t="str">
        <f>"06-12-2023 19:00"</f>
        <v>06-12-2023 19:00</v>
      </c>
      <c r="C146" s="2278">
        <v>1.42</v>
      </c>
      <c r="F146" s="1721" t="str">
        <f>"06-01-2024 18:00"</f>
        <v>06-01-2024 18:00</v>
      </c>
      <c r="G146" s="1721" t="str">
        <f>"06-01-2024 19:00"</f>
        <v>06-01-2024 19:00</v>
      </c>
      <c r="H146" s="1721">
        <v>0.43</v>
      </c>
    </row>
    <row r="147" spans="1:9">
      <c r="A147" s="2280" t="str">
        <f>"06-12-2023 19:00"</f>
        <v>06-12-2023 19:00</v>
      </c>
      <c r="B147" s="2280" t="str">
        <f>"06-12-2023 20:00"</f>
        <v>06-12-2023 20:00</v>
      </c>
      <c r="C147" s="2278">
        <v>0.71</v>
      </c>
      <c r="F147" s="1721" t="str">
        <f>"06-01-2024 19:00"</f>
        <v>06-01-2024 19:00</v>
      </c>
      <c r="G147" s="1721" t="str">
        <f>"06-01-2024 20:00"</f>
        <v>06-01-2024 20:00</v>
      </c>
      <c r="H147" s="1721">
        <v>0.47</v>
      </c>
    </row>
    <row r="148" spans="1:9">
      <c r="A148" s="2280" t="str">
        <f>"06-12-2023 20:00"</f>
        <v>06-12-2023 20:00</v>
      </c>
      <c r="B148" s="2280" t="str">
        <f>"06-12-2023 21:00"</f>
        <v>06-12-2023 21:00</v>
      </c>
      <c r="C148" s="2278">
        <v>0.57999999999999996</v>
      </c>
      <c r="F148" s="1721" t="str">
        <f>"06-01-2024 20:00"</f>
        <v>06-01-2024 20:00</v>
      </c>
      <c r="G148" s="1721" t="str">
        <f>"06-01-2024 21:00"</f>
        <v>06-01-2024 21:00</v>
      </c>
      <c r="H148" s="1721">
        <v>0.36</v>
      </c>
    </row>
    <row r="149" spans="1:9">
      <c r="A149" s="2280" t="str">
        <f>"06-12-2023 21:00"</f>
        <v>06-12-2023 21:00</v>
      </c>
      <c r="B149" s="2280" t="str">
        <f>"06-12-2023 22:00"</f>
        <v>06-12-2023 22:00</v>
      </c>
      <c r="C149" s="2278">
        <v>0.5</v>
      </c>
      <c r="F149" s="1721" t="str">
        <f>"06-01-2024 21:00"</f>
        <v>06-01-2024 21:00</v>
      </c>
      <c r="G149" s="1721" t="str">
        <f>"06-01-2024 22:00"</f>
        <v>06-01-2024 22:00</v>
      </c>
      <c r="H149" s="1721">
        <v>0.35</v>
      </c>
    </row>
    <row r="150" spans="1:9">
      <c r="A150" s="2280" t="str">
        <f>"06-12-2023 22:00"</f>
        <v>06-12-2023 22:00</v>
      </c>
      <c r="B150" s="2280" t="str">
        <f>"06-12-2023 23:00"</f>
        <v>06-12-2023 23:00</v>
      </c>
      <c r="C150" s="2278">
        <v>0.49</v>
      </c>
      <c r="F150" s="1721" t="str">
        <f>"06-01-2024 22:00"</f>
        <v>06-01-2024 22:00</v>
      </c>
      <c r="G150" s="1721" t="str">
        <f>"06-01-2024 23:00"</f>
        <v>06-01-2024 23:00</v>
      </c>
      <c r="H150" s="1721">
        <v>0.25</v>
      </c>
    </row>
    <row r="151" spans="1:9">
      <c r="A151" s="2284" t="str">
        <f>"06-12-2023 23:00"</f>
        <v>06-12-2023 23:00</v>
      </c>
      <c r="B151" s="2284" t="str">
        <f>"07-12-2023 00:00"</f>
        <v>07-12-2023 00:00</v>
      </c>
      <c r="C151" s="2278">
        <v>0.28999999999999998</v>
      </c>
      <c r="D151" s="2284">
        <f>SUM(C128:C151)</f>
        <v>10.89</v>
      </c>
      <c r="F151" s="2384" t="str">
        <f>"06-01-2024 23:00"</f>
        <v>06-01-2024 23:00</v>
      </c>
      <c r="G151" s="2384" t="str">
        <f>"07-01-2024 00:00"</f>
        <v>07-01-2024 00:00</v>
      </c>
      <c r="H151" s="2384">
        <v>0.2</v>
      </c>
      <c r="I151" s="2322">
        <f>SUM(H128:H151)</f>
        <v>7.14</v>
      </c>
    </row>
    <row r="152" spans="1:9">
      <c r="A152" s="2280" t="s">
        <v>1644</v>
      </c>
      <c r="B152" s="2280" t="s">
        <v>1645</v>
      </c>
      <c r="C152" s="2281" t="s">
        <v>1147</v>
      </c>
      <c r="D152" s="2280" t="s">
        <v>567</v>
      </c>
      <c r="F152" s="2280" t="s">
        <v>1644</v>
      </c>
      <c r="G152" s="2280" t="s">
        <v>1645</v>
      </c>
      <c r="H152" s="2281" t="s">
        <v>1147</v>
      </c>
      <c r="I152" s="2280" t="s">
        <v>567</v>
      </c>
    </row>
    <row r="153" spans="1:9">
      <c r="A153" s="2280" t="str">
        <f>"07-12-2023 00:00"</f>
        <v>07-12-2023 00:00</v>
      </c>
      <c r="B153" s="2280" t="str">
        <f>"07-12-2023 01:00"</f>
        <v>07-12-2023 01:00</v>
      </c>
      <c r="C153" s="2278">
        <v>0.26</v>
      </c>
      <c r="F153" s="1721" t="str">
        <f>"07-01-2024 00:00"</f>
        <v>07-01-2024 00:00</v>
      </c>
      <c r="G153" s="1721" t="str">
        <f>"07-01-2024 01:00"</f>
        <v>07-01-2024 01:00</v>
      </c>
      <c r="H153" s="1721">
        <v>0.13</v>
      </c>
    </row>
    <row r="154" spans="1:9">
      <c r="A154" s="2280" t="str">
        <f>"07-12-2023 01:00"</f>
        <v>07-12-2023 01:00</v>
      </c>
      <c r="B154" s="2280" t="str">
        <f>"07-12-2023 02:00"</f>
        <v>07-12-2023 02:00</v>
      </c>
      <c r="C154" s="2278">
        <v>0.31</v>
      </c>
      <c r="F154" s="1721" t="str">
        <f>"07-01-2024 01:00"</f>
        <v>07-01-2024 01:00</v>
      </c>
      <c r="G154" s="1721" t="str">
        <f>"07-01-2024 02:00"</f>
        <v>07-01-2024 02:00</v>
      </c>
      <c r="H154" s="1721">
        <v>0.12</v>
      </c>
      <c r="I154" s="2284"/>
    </row>
    <row r="155" spans="1:9">
      <c r="A155" s="2280" t="str">
        <f>"07-12-2023 02:00"</f>
        <v>07-12-2023 02:00</v>
      </c>
      <c r="B155" s="2280" t="str">
        <f>"07-12-2023 03:00"</f>
        <v>07-12-2023 03:00</v>
      </c>
      <c r="C155" s="2278">
        <v>0.27</v>
      </c>
      <c r="F155" s="1721" t="str">
        <f>"07-01-2024 02:00"</f>
        <v>07-01-2024 02:00</v>
      </c>
      <c r="G155" s="1721" t="str">
        <f>"07-01-2024 03:00"</f>
        <v>07-01-2024 03:00</v>
      </c>
      <c r="H155" s="1721">
        <v>0.13</v>
      </c>
    </row>
    <row r="156" spans="1:9">
      <c r="A156" s="2280" t="str">
        <f>"07-12-2023 03:00"</f>
        <v>07-12-2023 03:00</v>
      </c>
      <c r="B156" s="2280" t="str">
        <f>"07-12-2023 04:00"</f>
        <v>07-12-2023 04:00</v>
      </c>
      <c r="C156" s="2278">
        <v>0.2</v>
      </c>
      <c r="F156" s="1721" t="str">
        <f>"07-01-2024 03:00"</f>
        <v>07-01-2024 03:00</v>
      </c>
      <c r="G156" s="1721" t="str">
        <f>"07-01-2024 04:00"</f>
        <v>07-01-2024 04:00</v>
      </c>
      <c r="H156" s="1721">
        <v>0.1</v>
      </c>
    </row>
    <row r="157" spans="1:9">
      <c r="A157" s="2280" t="str">
        <f>"07-12-2023 04:00"</f>
        <v>07-12-2023 04:00</v>
      </c>
      <c r="B157" s="2280" t="str">
        <f>"07-12-2023 05:00"</f>
        <v>07-12-2023 05:00</v>
      </c>
      <c r="C157" s="2278">
        <v>0.16</v>
      </c>
      <c r="F157" s="1721" t="str">
        <f>"07-01-2024 04:00"</f>
        <v>07-01-2024 04:00</v>
      </c>
      <c r="G157" s="1721" t="str">
        <f>"07-01-2024 05:00"</f>
        <v>07-01-2024 05:00</v>
      </c>
      <c r="H157" s="1721">
        <v>0.12</v>
      </c>
    </row>
    <row r="158" spans="1:9">
      <c r="A158" s="2280" t="str">
        <f>"07-12-2023 05:00"</f>
        <v>07-12-2023 05:00</v>
      </c>
      <c r="B158" s="2280" t="str">
        <f>"07-12-2023 06:00"</f>
        <v>07-12-2023 06:00</v>
      </c>
      <c r="C158" s="2278">
        <v>0.18</v>
      </c>
      <c r="F158" s="1721" t="str">
        <f>"07-01-2024 05:00"</f>
        <v>07-01-2024 05:00</v>
      </c>
      <c r="G158" s="1721" t="str">
        <f>"07-01-2024 06:00"</f>
        <v>07-01-2024 06:00</v>
      </c>
      <c r="H158" s="1721">
        <v>0.13</v>
      </c>
    </row>
    <row r="159" spans="1:9">
      <c r="A159" s="2280" t="str">
        <f>"07-12-2023 06:00"</f>
        <v>07-12-2023 06:00</v>
      </c>
      <c r="B159" s="2280" t="str">
        <f>"07-12-2023 07:00"</f>
        <v>07-12-2023 07:00</v>
      </c>
      <c r="C159" s="2278">
        <v>0.14000000000000001</v>
      </c>
      <c r="F159" s="1721" t="str">
        <f>"07-01-2024 06:00"</f>
        <v>07-01-2024 06:00</v>
      </c>
      <c r="G159" s="1721" t="str">
        <f>"07-01-2024 07:00"</f>
        <v>07-01-2024 07:00</v>
      </c>
      <c r="H159" s="1721">
        <v>0.13</v>
      </c>
    </row>
    <row r="160" spans="1:9">
      <c r="A160" s="2280" t="str">
        <f>"07-12-2023 07:00"</f>
        <v>07-12-2023 07:00</v>
      </c>
      <c r="B160" s="2280" t="str">
        <f>"07-12-2023 08:00"</f>
        <v>07-12-2023 08:00</v>
      </c>
      <c r="C160" s="2278">
        <v>0.21</v>
      </c>
      <c r="F160" s="1721" t="str">
        <f>"07-01-2024 07:00"</f>
        <v>07-01-2024 07:00</v>
      </c>
      <c r="G160" s="1721" t="str">
        <f>"07-01-2024 08:00"</f>
        <v>07-01-2024 08:00</v>
      </c>
      <c r="H160" s="1721">
        <v>0.22</v>
      </c>
    </row>
    <row r="161" spans="1:9">
      <c r="A161" s="2280" t="str">
        <f>"07-12-2023 08:00"</f>
        <v>07-12-2023 08:00</v>
      </c>
      <c r="B161" s="2280" t="str">
        <f>"07-12-2023 09:00"</f>
        <v>07-12-2023 09:00</v>
      </c>
      <c r="C161" s="2278">
        <v>0.26</v>
      </c>
      <c r="F161" s="1721" t="str">
        <f>"07-01-2024 08:00"</f>
        <v>07-01-2024 08:00</v>
      </c>
      <c r="G161" s="1721" t="str">
        <f>"07-01-2024 09:00"</f>
        <v>07-01-2024 09:00</v>
      </c>
      <c r="H161" s="1721">
        <v>0.23</v>
      </c>
    </row>
    <row r="162" spans="1:9">
      <c r="A162" s="2280" t="str">
        <f>"07-12-2023 09:00"</f>
        <v>07-12-2023 09:00</v>
      </c>
      <c r="B162" s="2280" t="str">
        <f>"07-12-2023 10:00"</f>
        <v>07-12-2023 10:00</v>
      </c>
      <c r="C162" s="2278">
        <v>0.24</v>
      </c>
      <c r="F162" s="1721" t="str">
        <f>"07-01-2024 09:00"</f>
        <v>07-01-2024 09:00</v>
      </c>
      <c r="G162" s="1721" t="str">
        <f>"07-01-2024 10:00"</f>
        <v>07-01-2024 10:00</v>
      </c>
      <c r="H162" s="1721">
        <v>0.42</v>
      </c>
    </row>
    <row r="163" spans="1:9">
      <c r="A163" s="2280" t="str">
        <f>"07-12-2023 10:00"</f>
        <v>07-12-2023 10:00</v>
      </c>
      <c r="B163" s="2280" t="str">
        <f>"07-12-2023 11:00"</f>
        <v>07-12-2023 11:00</v>
      </c>
      <c r="C163" s="2278">
        <v>0.38</v>
      </c>
      <c r="F163" s="1721" t="str">
        <f>"07-01-2024 10:00"</f>
        <v>07-01-2024 10:00</v>
      </c>
      <c r="G163" s="1721" t="str">
        <f>"07-01-2024 11:00"</f>
        <v>07-01-2024 11:00</v>
      </c>
      <c r="H163" s="1721">
        <v>0.33</v>
      </c>
    </row>
    <row r="164" spans="1:9">
      <c r="A164" s="2280" t="str">
        <f>"07-12-2023 11:00"</f>
        <v>07-12-2023 11:00</v>
      </c>
      <c r="B164" s="2280" t="str">
        <f>"07-12-2023 12:00"</f>
        <v>07-12-2023 12:00</v>
      </c>
      <c r="C164" s="2278">
        <v>0.32</v>
      </c>
      <c r="F164" s="1721" t="str">
        <f>"07-01-2024 11:00"</f>
        <v>07-01-2024 11:00</v>
      </c>
      <c r="G164" s="1721" t="str">
        <f>"07-01-2024 12:00"</f>
        <v>07-01-2024 12:00</v>
      </c>
      <c r="H164" s="1721">
        <v>0.37</v>
      </c>
    </row>
    <row r="165" spans="1:9">
      <c r="A165" s="2280" t="str">
        <f>"07-12-2023 12:00"</f>
        <v>07-12-2023 12:00</v>
      </c>
      <c r="B165" s="2280" t="str">
        <f>"07-12-2023 13:00"</f>
        <v>07-12-2023 13:00</v>
      </c>
      <c r="C165" s="2278">
        <v>0.59</v>
      </c>
      <c r="F165" s="1721" t="str">
        <f>"07-01-2024 12:00"</f>
        <v>07-01-2024 12:00</v>
      </c>
      <c r="G165" s="1721" t="str">
        <f>"07-01-2024 13:00"</f>
        <v>07-01-2024 13:00</v>
      </c>
      <c r="H165" s="1721">
        <v>0.52</v>
      </c>
    </row>
    <row r="166" spans="1:9">
      <c r="A166" s="2280" t="str">
        <f>"07-12-2023 13:00"</f>
        <v>07-12-2023 13:00</v>
      </c>
      <c r="B166" s="2280" t="str">
        <f>"07-12-2023 14:00"</f>
        <v>07-12-2023 14:00</v>
      </c>
      <c r="C166" s="2278">
        <v>0.41</v>
      </c>
      <c r="F166" s="1721" t="str">
        <f>"07-01-2024 13:00"</f>
        <v>07-01-2024 13:00</v>
      </c>
      <c r="G166" s="1721" t="str">
        <f>"07-01-2024 14:00"</f>
        <v>07-01-2024 14:00</v>
      </c>
      <c r="H166" s="1721">
        <v>0.2</v>
      </c>
    </row>
    <row r="167" spans="1:9">
      <c r="A167" s="2280" t="str">
        <f>"07-12-2023 14:00"</f>
        <v>07-12-2023 14:00</v>
      </c>
      <c r="B167" s="2280" t="str">
        <f>"07-12-2023 15:00"</f>
        <v>07-12-2023 15:00</v>
      </c>
      <c r="C167" s="2278">
        <v>0.49</v>
      </c>
      <c r="F167" s="1721" t="str">
        <f>"07-01-2024 14:00"</f>
        <v>07-01-2024 14:00</v>
      </c>
      <c r="G167" s="1721" t="str">
        <f>"07-01-2024 15:00"</f>
        <v>07-01-2024 15:00</v>
      </c>
      <c r="H167" s="1721">
        <v>0.33</v>
      </c>
    </row>
    <row r="168" spans="1:9">
      <c r="A168" s="2280" t="str">
        <f>"07-12-2023 15:00"</f>
        <v>07-12-2023 15:00</v>
      </c>
      <c r="B168" s="2280" t="str">
        <f>"07-12-2023 16:00"</f>
        <v>07-12-2023 16:00</v>
      </c>
      <c r="C168" s="2278">
        <v>0.47</v>
      </c>
      <c r="F168" s="1721" t="str">
        <f>"07-01-2024 15:00"</f>
        <v>07-01-2024 15:00</v>
      </c>
      <c r="G168" s="1721" t="str">
        <f>"07-01-2024 16:00"</f>
        <v>07-01-2024 16:00</v>
      </c>
      <c r="H168" s="1721">
        <v>0.34</v>
      </c>
    </row>
    <row r="169" spans="1:9">
      <c r="A169" s="2280" t="str">
        <f>"07-12-2023 16:00"</f>
        <v>07-12-2023 16:00</v>
      </c>
      <c r="B169" s="2280" t="str">
        <f>"07-12-2023 17:00"</f>
        <v>07-12-2023 17:00</v>
      </c>
      <c r="C169" s="2278">
        <v>0.41</v>
      </c>
      <c r="F169" s="1721" t="str">
        <f>"07-01-2024 16:00"</f>
        <v>07-01-2024 16:00</v>
      </c>
      <c r="G169" s="1721" t="str">
        <f>"07-01-2024 17:00"</f>
        <v>07-01-2024 17:00</v>
      </c>
      <c r="H169" s="1721">
        <v>0.33</v>
      </c>
    </row>
    <row r="170" spans="1:9">
      <c r="A170" s="2280" t="str">
        <f>"07-12-2023 17:00"</f>
        <v>07-12-2023 17:00</v>
      </c>
      <c r="B170" s="2280" t="str">
        <f>"07-12-2023 18:00"</f>
        <v>07-12-2023 18:00</v>
      </c>
      <c r="C170" s="2278">
        <v>0.89</v>
      </c>
      <c r="F170" s="1721" t="str">
        <f>"07-01-2024 17:00"</f>
        <v>07-01-2024 17:00</v>
      </c>
      <c r="G170" s="1721" t="str">
        <f>"07-01-2024 18:00"</f>
        <v>07-01-2024 18:00</v>
      </c>
      <c r="H170" s="1721">
        <v>0.38</v>
      </c>
    </row>
    <row r="171" spans="1:9">
      <c r="A171" s="2280" t="str">
        <f>"07-12-2023 18:00"</f>
        <v>07-12-2023 18:00</v>
      </c>
      <c r="B171" s="2280" t="str">
        <f>"07-12-2023 19:00"</f>
        <v>07-12-2023 19:00</v>
      </c>
      <c r="C171" s="2278">
        <v>1.17</v>
      </c>
      <c r="F171" s="1721" t="str">
        <f>"07-01-2024 18:00"</f>
        <v>07-01-2024 18:00</v>
      </c>
      <c r="G171" s="1721" t="str">
        <f>"07-01-2024 19:00"</f>
        <v>07-01-2024 19:00</v>
      </c>
      <c r="H171" s="1721">
        <v>0.44</v>
      </c>
    </row>
    <row r="172" spans="1:9">
      <c r="A172" s="2280" t="str">
        <f>"07-12-2023 19:00"</f>
        <v>07-12-2023 19:00</v>
      </c>
      <c r="B172" s="2280" t="str">
        <f>"07-12-2023 20:00"</f>
        <v>07-12-2023 20:00</v>
      </c>
      <c r="C172" s="2278">
        <v>1.21</v>
      </c>
      <c r="F172" s="1721" t="str">
        <f>"07-01-2024 19:00"</f>
        <v>07-01-2024 19:00</v>
      </c>
      <c r="G172" s="1721" t="str">
        <f>"07-01-2024 20:00"</f>
        <v>07-01-2024 20:00</v>
      </c>
      <c r="H172" s="1721">
        <v>0.38</v>
      </c>
    </row>
    <row r="173" spans="1:9">
      <c r="A173" s="2280" t="str">
        <f>"07-12-2023 20:00"</f>
        <v>07-12-2023 20:00</v>
      </c>
      <c r="B173" s="2280" t="str">
        <f>"07-12-2023 21:00"</f>
        <v>07-12-2023 21:00</v>
      </c>
      <c r="C173" s="2278">
        <v>0.41</v>
      </c>
      <c r="F173" s="1721" t="str">
        <f>"07-01-2024 20:00"</f>
        <v>07-01-2024 20:00</v>
      </c>
      <c r="G173" s="1721" t="str">
        <f>"07-01-2024 21:00"</f>
        <v>07-01-2024 21:00</v>
      </c>
      <c r="H173" s="1721">
        <v>0.35</v>
      </c>
    </row>
    <row r="174" spans="1:9">
      <c r="A174" s="2280" t="str">
        <f>"07-12-2023 21:00"</f>
        <v>07-12-2023 21:00</v>
      </c>
      <c r="B174" s="2280" t="str">
        <f>"07-12-2023 22:00"</f>
        <v>07-12-2023 22:00</v>
      </c>
      <c r="C174" s="2278">
        <v>0.42</v>
      </c>
      <c r="F174" s="1721" t="str">
        <f>"07-01-2024 21:00"</f>
        <v>07-01-2024 21:00</v>
      </c>
      <c r="G174" s="1721" t="str">
        <f>"07-01-2024 22:00"</f>
        <v>07-01-2024 22:00</v>
      </c>
      <c r="H174" s="1721">
        <v>0.33</v>
      </c>
    </row>
    <row r="175" spans="1:9">
      <c r="A175" s="2280" t="str">
        <f>"07-12-2023 22:00"</f>
        <v>07-12-2023 22:00</v>
      </c>
      <c r="B175" s="2280" t="str">
        <f>"07-12-2023 23:00"</f>
        <v>07-12-2023 23:00</v>
      </c>
      <c r="C175" s="2278">
        <v>0.43</v>
      </c>
      <c r="F175" s="1721" t="str">
        <f>"07-01-2024 22:00"</f>
        <v>07-01-2024 22:00</v>
      </c>
      <c r="G175" s="1721" t="str">
        <f>"07-01-2024 23:00"</f>
        <v>07-01-2024 23:00</v>
      </c>
      <c r="H175" s="1721">
        <v>0.24</v>
      </c>
    </row>
    <row r="176" spans="1:9">
      <c r="A176" s="2284" t="str">
        <f>"07-12-2023 23:00"</f>
        <v>07-12-2023 23:00</v>
      </c>
      <c r="B176" s="2284" t="str">
        <f>"08-12-2023 00:00"</f>
        <v>08-12-2023 00:00</v>
      </c>
      <c r="C176" s="2278">
        <v>0.26</v>
      </c>
      <c r="D176" s="2284">
        <f>SUM(C153:C176)</f>
        <v>10.09</v>
      </c>
      <c r="F176" s="2384" t="str">
        <f>"07-01-2024 23:00"</f>
        <v>07-01-2024 23:00</v>
      </c>
      <c r="G176" s="2384" t="str">
        <f>"08-01-2024 00:00"</f>
        <v>08-01-2024 00:00</v>
      </c>
      <c r="H176" s="2384">
        <v>0.19</v>
      </c>
      <c r="I176" s="2322">
        <f>SUM(H153:H176)</f>
        <v>6.4600000000000009</v>
      </c>
    </row>
    <row r="177" spans="1:9">
      <c r="A177" s="2280" t="s">
        <v>1644</v>
      </c>
      <c r="B177" s="2280" t="s">
        <v>1645</v>
      </c>
      <c r="C177" s="2281" t="s">
        <v>1147</v>
      </c>
      <c r="D177" s="2280" t="s">
        <v>567</v>
      </c>
      <c r="F177" s="2280" t="s">
        <v>1644</v>
      </c>
      <c r="G177" s="2280" t="s">
        <v>1645</v>
      </c>
      <c r="H177" s="2281" t="s">
        <v>1147</v>
      </c>
      <c r="I177" s="2280" t="s">
        <v>567</v>
      </c>
    </row>
    <row r="178" spans="1:9">
      <c r="A178" s="2280" t="str">
        <f>"08-12-2023 00:00"</f>
        <v>08-12-2023 00:00</v>
      </c>
      <c r="B178" s="2280" t="str">
        <f>"08-12-2023 01:00"</f>
        <v>08-12-2023 01:00</v>
      </c>
      <c r="C178" s="2278">
        <v>0.25</v>
      </c>
      <c r="F178" s="1721" t="str">
        <f>"08-01-2024 00:00"</f>
        <v>08-01-2024 00:00</v>
      </c>
      <c r="G178" s="1721" t="str">
        <f>"08-01-2024 01:00"</f>
        <v>08-01-2024 01:00</v>
      </c>
      <c r="H178" s="1721">
        <v>0.17</v>
      </c>
    </row>
    <row r="179" spans="1:9">
      <c r="A179" s="2280" t="str">
        <f>"08-12-2023 01:00"</f>
        <v>08-12-2023 01:00</v>
      </c>
      <c r="B179" s="2280" t="str">
        <f>"08-12-2023 02:00"</f>
        <v>08-12-2023 02:00</v>
      </c>
      <c r="C179" s="2278">
        <v>0.18</v>
      </c>
      <c r="F179" s="1721" t="str">
        <f>"08-01-2024 01:00"</f>
        <v>08-01-2024 01:00</v>
      </c>
      <c r="G179" s="1721" t="str">
        <f>"08-01-2024 02:00"</f>
        <v>08-01-2024 02:00</v>
      </c>
      <c r="H179" s="1721">
        <v>0.17</v>
      </c>
    </row>
    <row r="180" spans="1:9">
      <c r="A180" s="2280" t="str">
        <f>"08-12-2023 02:00"</f>
        <v>08-12-2023 02:00</v>
      </c>
      <c r="B180" s="2280" t="str">
        <f>"08-12-2023 03:00"</f>
        <v>08-12-2023 03:00</v>
      </c>
      <c r="C180" s="2278">
        <v>0.16</v>
      </c>
      <c r="F180" s="1721" t="str">
        <f>"08-01-2024 02:00"</f>
        <v>08-01-2024 02:00</v>
      </c>
      <c r="G180" s="1721" t="str">
        <f>"08-01-2024 03:00"</f>
        <v>08-01-2024 03:00</v>
      </c>
      <c r="H180" s="1721">
        <v>0.11</v>
      </c>
      <c r="I180" s="2284"/>
    </row>
    <row r="181" spans="1:9">
      <c r="A181" s="2280" t="str">
        <f>"08-12-2023 03:00"</f>
        <v>08-12-2023 03:00</v>
      </c>
      <c r="B181" s="2280" t="str">
        <f>"08-12-2023 04:00"</f>
        <v>08-12-2023 04:00</v>
      </c>
      <c r="C181" s="2278">
        <v>0.18</v>
      </c>
      <c r="F181" s="1721" t="str">
        <f>"08-01-2024 03:00"</f>
        <v>08-01-2024 03:00</v>
      </c>
      <c r="G181" s="1721" t="str">
        <f>"08-01-2024 04:00"</f>
        <v>08-01-2024 04:00</v>
      </c>
      <c r="H181" s="1721">
        <v>0.1</v>
      </c>
    </row>
    <row r="182" spans="1:9">
      <c r="A182" s="2280" t="str">
        <f>"08-12-2023 04:00"</f>
        <v>08-12-2023 04:00</v>
      </c>
      <c r="B182" s="2280" t="str">
        <f>"08-12-2023 05:00"</f>
        <v>08-12-2023 05:00</v>
      </c>
      <c r="C182" s="2278">
        <v>0.18</v>
      </c>
      <c r="F182" s="1721" t="str">
        <f>"08-01-2024 04:00"</f>
        <v>08-01-2024 04:00</v>
      </c>
      <c r="G182" s="1721" t="str">
        <f>"08-01-2024 05:00"</f>
        <v>08-01-2024 05:00</v>
      </c>
      <c r="H182" s="1721">
        <v>0.13</v>
      </c>
    </row>
    <row r="183" spans="1:9">
      <c r="A183" s="2280" t="str">
        <f>"08-12-2023 05:00"</f>
        <v>08-12-2023 05:00</v>
      </c>
      <c r="B183" s="2280" t="str">
        <f>"08-12-2023 06:00"</f>
        <v>08-12-2023 06:00</v>
      </c>
      <c r="C183" s="2278">
        <v>0.16</v>
      </c>
      <c r="F183" s="1721" t="str">
        <f>"08-01-2024 05:00"</f>
        <v>08-01-2024 05:00</v>
      </c>
      <c r="G183" s="1721" t="str">
        <f>"08-01-2024 06:00"</f>
        <v>08-01-2024 06:00</v>
      </c>
      <c r="H183" s="1721">
        <v>0.12</v>
      </c>
    </row>
    <row r="184" spans="1:9">
      <c r="A184" s="2280" t="str">
        <f>"08-12-2023 06:00"</f>
        <v>08-12-2023 06:00</v>
      </c>
      <c r="B184" s="2280" t="str">
        <f>"08-12-2023 07:00"</f>
        <v>08-12-2023 07:00</v>
      </c>
      <c r="C184" s="2278">
        <v>0.17</v>
      </c>
      <c r="F184" s="1721" t="str">
        <f>"08-01-2024 06:00"</f>
        <v>08-01-2024 06:00</v>
      </c>
      <c r="G184" s="1721" t="str">
        <f>"08-01-2024 07:00"</f>
        <v>08-01-2024 07:00</v>
      </c>
      <c r="H184" s="1721">
        <v>0.09</v>
      </c>
    </row>
    <row r="185" spans="1:9">
      <c r="A185" s="2280" t="str">
        <f>"08-12-2023 07:00"</f>
        <v>08-12-2023 07:00</v>
      </c>
      <c r="B185" s="2280" t="str">
        <f>"08-12-2023 08:00"</f>
        <v>08-12-2023 08:00</v>
      </c>
      <c r="C185" s="2278">
        <v>0.43</v>
      </c>
      <c r="F185" s="1721" t="str">
        <f>"08-01-2024 07:00"</f>
        <v>08-01-2024 07:00</v>
      </c>
      <c r="G185" s="1721" t="str">
        <f>"08-01-2024 08:00"</f>
        <v>08-01-2024 08:00</v>
      </c>
      <c r="H185" s="1721">
        <v>0.13</v>
      </c>
    </row>
    <row r="186" spans="1:9">
      <c r="A186" s="2280" t="str">
        <f>"08-12-2023 08:00"</f>
        <v>08-12-2023 08:00</v>
      </c>
      <c r="B186" s="2280" t="str">
        <f>"08-12-2023 09:00"</f>
        <v>08-12-2023 09:00</v>
      </c>
      <c r="C186" s="2278">
        <v>0.4</v>
      </c>
      <c r="F186" s="1721" t="str">
        <f>"08-01-2024 08:00"</f>
        <v>08-01-2024 08:00</v>
      </c>
      <c r="G186" s="1721" t="str">
        <f>"08-01-2024 09:00"</f>
        <v>08-01-2024 09:00</v>
      </c>
      <c r="H186" s="1721">
        <v>0.4</v>
      </c>
    </row>
    <row r="187" spans="1:9">
      <c r="A187" s="2280" t="str">
        <f>"08-12-2023 09:00"</f>
        <v>08-12-2023 09:00</v>
      </c>
      <c r="B187" s="2280" t="str">
        <f>"08-12-2023 10:00"</f>
        <v>08-12-2023 10:00</v>
      </c>
      <c r="C187" s="2278">
        <v>0.75</v>
      </c>
      <c r="F187" s="1721" t="str">
        <f>"08-01-2024 09:00"</f>
        <v>08-01-2024 09:00</v>
      </c>
      <c r="G187" s="1721" t="str">
        <f>"08-01-2024 10:00"</f>
        <v>08-01-2024 10:00</v>
      </c>
      <c r="H187" s="1721">
        <v>0.33</v>
      </c>
    </row>
    <row r="188" spans="1:9">
      <c r="A188" s="2280" t="str">
        <f>"08-12-2023 10:00"</f>
        <v>08-12-2023 10:00</v>
      </c>
      <c r="B188" s="2280" t="str">
        <f>"08-12-2023 11:00"</f>
        <v>08-12-2023 11:00</v>
      </c>
      <c r="C188" s="2278">
        <v>0.53</v>
      </c>
      <c r="F188" s="1721" t="str">
        <f>"08-01-2024 10:00"</f>
        <v>08-01-2024 10:00</v>
      </c>
      <c r="G188" s="1721" t="str">
        <f>"08-01-2024 11:00"</f>
        <v>08-01-2024 11:00</v>
      </c>
      <c r="H188" s="1721">
        <v>0.45</v>
      </c>
    </row>
    <row r="189" spans="1:9">
      <c r="A189" s="2280" t="str">
        <f>"08-12-2023 11:00"</f>
        <v>08-12-2023 11:00</v>
      </c>
      <c r="B189" s="2280" t="str">
        <f>"08-12-2023 12:00"</f>
        <v>08-12-2023 12:00</v>
      </c>
      <c r="C189" s="2278">
        <v>0.3</v>
      </c>
      <c r="F189" s="1721" t="str">
        <f>"08-01-2024 11:00"</f>
        <v>08-01-2024 11:00</v>
      </c>
      <c r="G189" s="1721" t="str">
        <f>"08-01-2024 12:00"</f>
        <v>08-01-2024 12:00</v>
      </c>
      <c r="H189" s="1721">
        <v>0.84</v>
      </c>
    </row>
    <row r="190" spans="1:9">
      <c r="A190" s="2280" t="str">
        <f>"08-12-2023 12:00"</f>
        <v>08-12-2023 12:00</v>
      </c>
      <c r="B190" s="2280" t="str">
        <f>"08-12-2023 13:00"</f>
        <v>08-12-2023 13:00</v>
      </c>
      <c r="C190" s="2278">
        <v>0.41</v>
      </c>
      <c r="F190" s="1721" t="str">
        <f>"08-01-2024 12:00"</f>
        <v>08-01-2024 12:00</v>
      </c>
      <c r="G190" s="1721" t="str">
        <f>"08-01-2024 13:00"</f>
        <v>08-01-2024 13:00</v>
      </c>
      <c r="H190" s="1721">
        <v>0.34</v>
      </c>
    </row>
    <row r="191" spans="1:9">
      <c r="A191" s="2280" t="str">
        <f>"08-12-2023 13:00"</f>
        <v>08-12-2023 13:00</v>
      </c>
      <c r="B191" s="2280" t="str">
        <f>"08-12-2023 14:00"</f>
        <v>08-12-2023 14:00</v>
      </c>
      <c r="C191" s="2278">
        <v>0.76</v>
      </c>
      <c r="F191" s="1721" t="str">
        <f>"08-01-2024 13:00"</f>
        <v>08-01-2024 13:00</v>
      </c>
      <c r="G191" s="1721" t="str">
        <f>"08-01-2024 14:00"</f>
        <v>08-01-2024 14:00</v>
      </c>
      <c r="H191" s="1721">
        <v>2.21</v>
      </c>
    </row>
    <row r="192" spans="1:9">
      <c r="A192" s="2280" t="str">
        <f>"08-12-2023 14:00"</f>
        <v>08-12-2023 14:00</v>
      </c>
      <c r="B192" s="2280" t="str">
        <f>"08-12-2023 15:00"</f>
        <v>08-12-2023 15:00</v>
      </c>
      <c r="C192" s="2278">
        <v>0.41</v>
      </c>
      <c r="F192" s="1721" t="str">
        <f>"08-01-2024 14:00"</f>
        <v>08-01-2024 14:00</v>
      </c>
      <c r="G192" s="1721" t="str">
        <f>"08-01-2024 15:00"</f>
        <v>08-01-2024 15:00</v>
      </c>
      <c r="H192" s="1721">
        <v>0.73</v>
      </c>
    </row>
    <row r="193" spans="1:9">
      <c r="A193" s="2280" t="str">
        <f>"08-12-2023 15:00"</f>
        <v>08-12-2023 15:00</v>
      </c>
      <c r="B193" s="2280" t="str">
        <f>"08-12-2023 16:00"</f>
        <v>08-12-2023 16:00</v>
      </c>
      <c r="C193" s="2278">
        <v>0.38</v>
      </c>
      <c r="F193" s="1721" t="str">
        <f>"08-01-2024 15:00"</f>
        <v>08-01-2024 15:00</v>
      </c>
      <c r="G193" s="1721" t="str">
        <f>"08-01-2024 16:00"</f>
        <v>08-01-2024 16:00</v>
      </c>
      <c r="H193" s="1721">
        <v>0.46</v>
      </c>
    </row>
    <row r="194" spans="1:9">
      <c r="A194" s="2280" t="str">
        <f>"08-12-2023 16:00"</f>
        <v>08-12-2023 16:00</v>
      </c>
      <c r="B194" s="2280" t="str">
        <f>"08-12-2023 17:00"</f>
        <v>08-12-2023 17:00</v>
      </c>
      <c r="C194" s="2278">
        <v>0.46</v>
      </c>
      <c r="F194" s="1721" t="str">
        <f>"08-01-2024 16:00"</f>
        <v>08-01-2024 16:00</v>
      </c>
      <c r="G194" s="1721" t="str">
        <f>"08-01-2024 17:00"</f>
        <v>08-01-2024 17:00</v>
      </c>
      <c r="H194" s="1721">
        <v>0.38</v>
      </c>
    </row>
    <row r="195" spans="1:9">
      <c r="A195" s="2280" t="str">
        <f>"08-12-2023 17:00"</f>
        <v>08-12-2023 17:00</v>
      </c>
      <c r="B195" s="2280" t="str">
        <f>"08-12-2023 18:00"</f>
        <v>08-12-2023 18:00</v>
      </c>
      <c r="C195" s="2278">
        <v>0.88</v>
      </c>
      <c r="F195" s="1721" t="str">
        <f>"08-01-2024 17:00"</f>
        <v>08-01-2024 17:00</v>
      </c>
      <c r="G195" s="1721" t="str">
        <f>"08-01-2024 18:00"</f>
        <v>08-01-2024 18:00</v>
      </c>
      <c r="H195" s="1721">
        <v>0.4</v>
      </c>
    </row>
    <row r="196" spans="1:9">
      <c r="A196" s="2280" t="str">
        <f>"08-12-2023 18:00"</f>
        <v>08-12-2023 18:00</v>
      </c>
      <c r="B196" s="2280" t="str">
        <f>"08-12-2023 19:00"</f>
        <v>08-12-2023 19:00</v>
      </c>
      <c r="C196" s="2278">
        <v>0.49</v>
      </c>
      <c r="F196" s="1721" t="str">
        <f>"08-01-2024 18:00"</f>
        <v>08-01-2024 18:00</v>
      </c>
      <c r="G196" s="1721" t="str">
        <f>"08-01-2024 19:00"</f>
        <v>08-01-2024 19:00</v>
      </c>
      <c r="H196" s="1721">
        <v>0.9</v>
      </c>
    </row>
    <row r="197" spans="1:9">
      <c r="A197" s="2280" t="str">
        <f>"08-12-2023 19:00"</f>
        <v>08-12-2023 19:00</v>
      </c>
      <c r="B197" s="2280" t="str">
        <f>"08-12-2023 20:00"</f>
        <v>08-12-2023 20:00</v>
      </c>
      <c r="C197" s="2278">
        <v>0.43</v>
      </c>
      <c r="F197" s="1721" t="str">
        <f>"08-01-2024 19:00"</f>
        <v>08-01-2024 19:00</v>
      </c>
      <c r="G197" s="1721" t="str">
        <f>"08-01-2024 20:00"</f>
        <v>08-01-2024 20:00</v>
      </c>
      <c r="H197" s="1721">
        <v>0.4</v>
      </c>
    </row>
    <row r="198" spans="1:9">
      <c r="A198" s="2280" t="str">
        <f>"08-12-2023 20:00"</f>
        <v>08-12-2023 20:00</v>
      </c>
      <c r="B198" s="2280" t="str">
        <f>"08-12-2023 21:00"</f>
        <v>08-12-2023 21:00</v>
      </c>
      <c r="C198" s="2278">
        <v>0.32</v>
      </c>
      <c r="F198" s="1721" t="str">
        <f>"08-01-2024 20:00"</f>
        <v>08-01-2024 20:00</v>
      </c>
      <c r="G198" s="1721" t="str">
        <f>"08-01-2024 21:00"</f>
        <v>08-01-2024 21:00</v>
      </c>
      <c r="H198" s="1721">
        <v>0.31</v>
      </c>
    </row>
    <row r="199" spans="1:9">
      <c r="A199" s="2280" t="str">
        <f>"08-12-2023 21:00"</f>
        <v>08-12-2023 21:00</v>
      </c>
      <c r="B199" s="2280" t="str">
        <f>"08-12-2023 22:00"</f>
        <v>08-12-2023 22:00</v>
      </c>
      <c r="C199" s="2278">
        <v>0.33</v>
      </c>
      <c r="F199" s="1721" t="str">
        <f>"08-01-2024 21:00"</f>
        <v>08-01-2024 21:00</v>
      </c>
      <c r="G199" s="1721" t="str">
        <f>"08-01-2024 22:00"</f>
        <v>08-01-2024 22:00</v>
      </c>
      <c r="H199" s="1721">
        <v>0.33</v>
      </c>
    </row>
    <row r="200" spans="1:9">
      <c r="A200" s="2280" t="str">
        <f>"08-12-2023 22:00"</f>
        <v>08-12-2023 22:00</v>
      </c>
      <c r="B200" s="2280" t="str">
        <f>"08-12-2023 23:00"</f>
        <v>08-12-2023 23:00</v>
      </c>
      <c r="C200" s="2278">
        <v>0.35</v>
      </c>
      <c r="F200" s="1721" t="str">
        <f>"08-01-2024 22:00"</f>
        <v>08-01-2024 22:00</v>
      </c>
      <c r="G200" s="1721" t="str">
        <f>"08-01-2024 23:00"</f>
        <v>08-01-2024 23:00</v>
      </c>
      <c r="H200" s="1721">
        <v>0.17</v>
      </c>
    </row>
    <row r="201" spans="1:9">
      <c r="A201" s="2284" t="str">
        <f>"08-12-2023 23:00"</f>
        <v>08-12-2023 23:00</v>
      </c>
      <c r="B201" s="2284" t="str">
        <f>"09-12-2023 00:00"</f>
        <v>09-12-2023 00:00</v>
      </c>
      <c r="C201" s="2278">
        <v>0.21</v>
      </c>
      <c r="D201" s="2284">
        <f>SUM(C178:C201)</f>
        <v>9.1199999999999992</v>
      </c>
      <c r="F201" s="1721" t="str">
        <f>"08-01-2024 23:00"</f>
        <v>08-01-2024 23:00</v>
      </c>
      <c r="G201" s="1721" t="str">
        <f>"09-01-2024 00:00"</f>
        <v>09-01-2024 00:00</v>
      </c>
      <c r="H201" s="1721">
        <v>0.11</v>
      </c>
      <c r="I201" s="2322">
        <f>SUM(H178:H201)</f>
        <v>9.7800000000000011</v>
      </c>
    </row>
    <row r="202" spans="1:9">
      <c r="A202" s="2280" t="s">
        <v>1644</v>
      </c>
      <c r="B202" s="2280" t="s">
        <v>1645</v>
      </c>
      <c r="C202" s="2281" t="s">
        <v>1147</v>
      </c>
      <c r="D202" s="2280" t="s">
        <v>567</v>
      </c>
      <c r="F202" s="2280" t="s">
        <v>1644</v>
      </c>
      <c r="G202" s="2280" t="s">
        <v>1645</v>
      </c>
      <c r="H202" s="2281" t="s">
        <v>1147</v>
      </c>
      <c r="I202" s="2280" t="s">
        <v>567</v>
      </c>
    </row>
    <row r="203" spans="1:9">
      <c r="A203" s="2280" t="str">
        <f>"09-12-2023 00:00"</f>
        <v>09-12-2023 00:00</v>
      </c>
      <c r="B203" s="2280" t="str">
        <f>"09-12-2023 01:00"</f>
        <v>09-12-2023 01:00</v>
      </c>
      <c r="C203" s="2278">
        <v>0.14000000000000001</v>
      </c>
      <c r="F203" s="1721" t="str">
        <f>"09-01-2024 00:00"</f>
        <v>09-01-2024 00:00</v>
      </c>
      <c r="G203" s="1721" t="str">
        <f>"09-01-2024 01:00"</f>
        <v>09-01-2024 01:00</v>
      </c>
      <c r="H203" s="1721">
        <v>0.11</v>
      </c>
    </row>
    <row r="204" spans="1:9">
      <c r="A204" s="2280" t="str">
        <f>"09-12-2023 01:00"</f>
        <v>09-12-2023 01:00</v>
      </c>
      <c r="B204" s="2280" t="str">
        <f>"09-12-2023 02:00"</f>
        <v>09-12-2023 02:00</v>
      </c>
      <c r="C204" s="2278">
        <v>0.15</v>
      </c>
      <c r="F204" s="1721" t="str">
        <f>"09-01-2024 01:00"</f>
        <v>09-01-2024 01:00</v>
      </c>
      <c r="G204" s="1721" t="str">
        <f>"09-01-2024 02:00"</f>
        <v>09-01-2024 02:00</v>
      </c>
      <c r="H204" s="1721">
        <v>0.12</v>
      </c>
    </row>
    <row r="205" spans="1:9">
      <c r="A205" s="2280" t="str">
        <f>"09-12-2023 02:00"</f>
        <v>09-12-2023 02:00</v>
      </c>
      <c r="B205" s="2280" t="str">
        <f>"09-12-2023 03:00"</f>
        <v>09-12-2023 03:00</v>
      </c>
      <c r="C205" s="2278">
        <v>0.12</v>
      </c>
      <c r="F205" s="1721" t="str">
        <f>"09-01-2024 02:00"</f>
        <v>09-01-2024 02:00</v>
      </c>
      <c r="G205" s="1721" t="str">
        <f>"09-01-2024 03:00"</f>
        <v>09-01-2024 03:00</v>
      </c>
      <c r="H205" s="1721">
        <v>0.12</v>
      </c>
    </row>
    <row r="206" spans="1:9">
      <c r="A206" s="2280" t="str">
        <f>"09-12-2023 03:00"</f>
        <v>09-12-2023 03:00</v>
      </c>
      <c r="B206" s="2280" t="str">
        <f>"09-12-2023 04:00"</f>
        <v>09-12-2023 04:00</v>
      </c>
      <c r="C206" s="2278">
        <v>0.13</v>
      </c>
      <c r="F206" s="1721" t="str">
        <f>"09-01-2024 03:00"</f>
        <v>09-01-2024 03:00</v>
      </c>
      <c r="G206" s="1721" t="str">
        <f>"09-01-2024 04:00"</f>
        <v>09-01-2024 04:00</v>
      </c>
      <c r="H206" s="1721">
        <v>0.13</v>
      </c>
      <c r="I206" s="2284"/>
    </row>
    <row r="207" spans="1:9">
      <c r="A207" s="2280" t="str">
        <f>"09-12-2023 04:00"</f>
        <v>09-12-2023 04:00</v>
      </c>
      <c r="B207" s="2280" t="str">
        <f>"09-12-2023 05:00"</f>
        <v>09-12-2023 05:00</v>
      </c>
      <c r="C207" s="2278">
        <v>0.16</v>
      </c>
      <c r="F207" s="1721" t="str">
        <f>"09-01-2024 04:00"</f>
        <v>09-01-2024 04:00</v>
      </c>
      <c r="G207" s="1721" t="str">
        <f>"09-01-2024 05:00"</f>
        <v>09-01-2024 05:00</v>
      </c>
      <c r="H207" s="1721">
        <v>0.11</v>
      </c>
    </row>
    <row r="208" spans="1:9">
      <c r="A208" s="2280" t="str">
        <f>"09-12-2023 05:00"</f>
        <v>09-12-2023 05:00</v>
      </c>
      <c r="B208" s="2280" t="str">
        <f>"09-12-2023 06:00"</f>
        <v>09-12-2023 06:00</v>
      </c>
      <c r="C208" s="2278">
        <v>0.2</v>
      </c>
      <c r="F208" s="1721" t="str">
        <f>"09-01-2024 05:00"</f>
        <v>09-01-2024 05:00</v>
      </c>
      <c r="G208" s="1721" t="str">
        <f>"09-01-2024 06:00"</f>
        <v>09-01-2024 06:00</v>
      </c>
      <c r="H208" s="1721">
        <v>0.12</v>
      </c>
    </row>
    <row r="209" spans="1:8">
      <c r="A209" s="2280" t="str">
        <f>"09-12-2023 06:00"</f>
        <v>09-12-2023 06:00</v>
      </c>
      <c r="B209" s="2280" t="str">
        <f>"09-12-2023 07:00"</f>
        <v>09-12-2023 07:00</v>
      </c>
      <c r="C209" s="2278">
        <v>0.27</v>
      </c>
      <c r="F209" s="1721" t="str">
        <f>"09-01-2024 06:00"</f>
        <v>09-01-2024 06:00</v>
      </c>
      <c r="G209" s="1721" t="str">
        <f>"09-01-2024 07:00"</f>
        <v>09-01-2024 07:00</v>
      </c>
      <c r="H209" s="1721">
        <v>0.21</v>
      </c>
    </row>
    <row r="210" spans="1:8">
      <c r="A210" s="2280" t="str">
        <f>"09-12-2023 07:00"</f>
        <v>09-12-2023 07:00</v>
      </c>
      <c r="B210" s="2280" t="str">
        <f>"09-12-2023 08:00"</f>
        <v>09-12-2023 08:00</v>
      </c>
      <c r="C210" s="2278">
        <v>0.41</v>
      </c>
      <c r="F210" s="1721" t="str">
        <f>"09-01-2024 07:00"</f>
        <v>09-01-2024 07:00</v>
      </c>
      <c r="G210" s="1721" t="str">
        <f>"09-01-2024 08:00"</f>
        <v>09-01-2024 08:00</v>
      </c>
      <c r="H210" s="1721">
        <v>0.22</v>
      </c>
    </row>
    <row r="211" spans="1:8">
      <c r="A211" s="2280" t="str">
        <f>"09-12-2023 08:00"</f>
        <v>09-12-2023 08:00</v>
      </c>
      <c r="B211" s="2280" t="str">
        <f>"09-12-2023 09:00"</f>
        <v>09-12-2023 09:00</v>
      </c>
      <c r="C211" s="2278">
        <v>0.27</v>
      </c>
      <c r="F211" s="1721" t="str">
        <f>"09-01-2024 08:00"</f>
        <v>09-01-2024 08:00</v>
      </c>
      <c r="G211" s="1721" t="str">
        <f>"09-01-2024 09:00"</f>
        <v>09-01-2024 09:00</v>
      </c>
      <c r="H211" s="1721">
        <v>0.42</v>
      </c>
    </row>
    <row r="212" spans="1:8">
      <c r="A212" s="2280" t="str">
        <f>"09-12-2023 09:00"</f>
        <v>09-12-2023 09:00</v>
      </c>
      <c r="B212" s="2280" t="str">
        <f>"09-12-2023 10:00"</f>
        <v>09-12-2023 10:00</v>
      </c>
      <c r="C212" s="2278">
        <v>0.21</v>
      </c>
      <c r="F212" s="1721" t="str">
        <f>"09-01-2024 09:00"</f>
        <v>09-01-2024 09:00</v>
      </c>
      <c r="G212" s="1721" t="str">
        <f>"09-01-2024 10:00"</f>
        <v>09-01-2024 10:00</v>
      </c>
      <c r="H212" s="1721">
        <v>0.18</v>
      </c>
    </row>
    <row r="213" spans="1:8">
      <c r="A213" s="2280" t="str">
        <f>"09-12-2023 10:00"</f>
        <v>09-12-2023 10:00</v>
      </c>
      <c r="B213" s="2280" t="str">
        <f>"09-12-2023 11:00"</f>
        <v>09-12-2023 11:00</v>
      </c>
      <c r="C213" s="2278">
        <v>0.21</v>
      </c>
      <c r="F213" s="1721" t="str">
        <f>"09-01-2024 10:00"</f>
        <v>09-01-2024 10:00</v>
      </c>
      <c r="G213" s="1721" t="str">
        <f>"09-01-2024 11:00"</f>
        <v>09-01-2024 11:00</v>
      </c>
      <c r="H213" s="1721">
        <v>0.26</v>
      </c>
    </row>
    <row r="214" spans="1:8">
      <c r="A214" s="2280" t="str">
        <f>"09-12-2023 11:00"</f>
        <v>09-12-2023 11:00</v>
      </c>
      <c r="B214" s="2280" t="str">
        <f>"09-12-2023 12:00"</f>
        <v>09-12-2023 12:00</v>
      </c>
      <c r="C214" s="2278">
        <v>0.2</v>
      </c>
      <c r="F214" s="1721" t="str">
        <f>"09-01-2024 11:00"</f>
        <v>09-01-2024 11:00</v>
      </c>
      <c r="G214" s="1721" t="str">
        <f>"09-01-2024 12:00"</f>
        <v>09-01-2024 12:00</v>
      </c>
      <c r="H214" s="1721">
        <v>0.2</v>
      </c>
    </row>
    <row r="215" spans="1:8">
      <c r="A215" s="2280" t="str">
        <f>"09-12-2023 12:00"</f>
        <v>09-12-2023 12:00</v>
      </c>
      <c r="B215" s="2280" t="str">
        <f>"09-12-2023 13:00"</f>
        <v>09-12-2023 13:00</v>
      </c>
      <c r="C215" s="2278">
        <v>0.48</v>
      </c>
      <c r="F215" s="1721" t="str">
        <f>"09-01-2024 12:00"</f>
        <v>09-01-2024 12:00</v>
      </c>
      <c r="G215" s="1721" t="str">
        <f>"09-01-2024 13:00"</f>
        <v>09-01-2024 13:00</v>
      </c>
      <c r="H215" s="1721">
        <v>0.69</v>
      </c>
    </row>
    <row r="216" spans="1:8">
      <c r="A216" s="2280" t="str">
        <f>"09-12-2023 13:00"</f>
        <v>09-12-2023 13:00</v>
      </c>
      <c r="B216" s="2280" t="str">
        <f>"09-12-2023 14:00"</f>
        <v>09-12-2023 14:00</v>
      </c>
      <c r="C216" s="2278">
        <v>0.34</v>
      </c>
      <c r="F216" s="1721" t="str">
        <f>"09-01-2024 13:00"</f>
        <v>09-01-2024 13:00</v>
      </c>
      <c r="G216" s="1721" t="str">
        <f>"09-01-2024 14:00"</f>
        <v>09-01-2024 14:00</v>
      </c>
      <c r="H216" s="1721">
        <v>0.31</v>
      </c>
    </row>
    <row r="217" spans="1:8">
      <c r="A217" s="2280" t="str">
        <f>"09-12-2023 14:00"</f>
        <v>09-12-2023 14:00</v>
      </c>
      <c r="B217" s="2280" t="str">
        <f>"09-12-2023 15:00"</f>
        <v>09-12-2023 15:00</v>
      </c>
      <c r="C217" s="2278">
        <v>0.38</v>
      </c>
      <c r="F217" s="1721" t="str">
        <f>"09-01-2024 14:00"</f>
        <v>09-01-2024 14:00</v>
      </c>
      <c r="G217" s="1721" t="str">
        <f>"09-01-2024 15:00"</f>
        <v>09-01-2024 15:00</v>
      </c>
      <c r="H217" s="1721">
        <v>0.38</v>
      </c>
    </row>
    <row r="218" spans="1:8">
      <c r="A218" s="2280" t="str">
        <f>"09-12-2023 15:00"</f>
        <v>09-12-2023 15:00</v>
      </c>
      <c r="B218" s="2280" t="str">
        <f>"09-12-2023 16:00"</f>
        <v>09-12-2023 16:00</v>
      </c>
      <c r="C218" s="2278">
        <v>0.45</v>
      </c>
      <c r="F218" s="1721" t="str">
        <f>"09-01-2024 15:00"</f>
        <v>09-01-2024 15:00</v>
      </c>
      <c r="G218" s="1721" t="str">
        <f>"09-01-2024 16:00"</f>
        <v>09-01-2024 16:00</v>
      </c>
      <c r="H218" s="1721">
        <v>0.32</v>
      </c>
    </row>
    <row r="219" spans="1:8">
      <c r="A219" s="2280" t="str">
        <f>"09-12-2023 16:00"</f>
        <v>09-12-2023 16:00</v>
      </c>
      <c r="B219" s="2280" t="str">
        <f>"09-12-2023 17:00"</f>
        <v>09-12-2023 17:00</v>
      </c>
      <c r="C219" s="2278">
        <v>0.45</v>
      </c>
      <c r="F219" s="1721" t="str">
        <f>"09-01-2024 16:00"</f>
        <v>09-01-2024 16:00</v>
      </c>
      <c r="G219" s="1721" t="str">
        <f>"09-01-2024 17:00"</f>
        <v>09-01-2024 17:00</v>
      </c>
      <c r="H219" s="1721">
        <v>0.47</v>
      </c>
    </row>
    <row r="220" spans="1:8">
      <c r="A220" s="2280" t="str">
        <f>"09-12-2023 17:00"</f>
        <v>09-12-2023 17:00</v>
      </c>
      <c r="B220" s="2280" t="str">
        <f>"09-12-2023 18:00"</f>
        <v>09-12-2023 18:00</v>
      </c>
      <c r="C220" s="2278">
        <v>0.47</v>
      </c>
      <c r="F220" s="1721" t="str">
        <f>"09-01-2024 17:00"</f>
        <v>09-01-2024 17:00</v>
      </c>
      <c r="G220" s="1721" t="str">
        <f>"09-01-2024 18:00"</f>
        <v>09-01-2024 18:00</v>
      </c>
      <c r="H220" s="1721">
        <v>0.82</v>
      </c>
    </row>
    <row r="221" spans="1:8">
      <c r="A221" s="2280" t="str">
        <f>"09-12-2023 18:00"</f>
        <v>09-12-2023 18:00</v>
      </c>
      <c r="B221" s="2280" t="str">
        <f>"09-12-2023 19:00"</f>
        <v>09-12-2023 19:00</v>
      </c>
      <c r="C221" s="2278">
        <v>0.57999999999999996</v>
      </c>
      <c r="F221" s="1721" t="str">
        <f>"09-01-2024 18:00"</f>
        <v>09-01-2024 18:00</v>
      </c>
      <c r="G221" s="1721" t="str">
        <f>"09-01-2024 19:00"</f>
        <v>09-01-2024 19:00</v>
      </c>
      <c r="H221" s="1721">
        <v>0.45</v>
      </c>
    </row>
    <row r="222" spans="1:8">
      <c r="A222" s="2280" t="str">
        <f>"09-12-2023 19:00"</f>
        <v>09-12-2023 19:00</v>
      </c>
      <c r="B222" s="2280" t="str">
        <f>"09-12-2023 20:00"</f>
        <v>09-12-2023 20:00</v>
      </c>
      <c r="C222" s="2278">
        <v>0.79</v>
      </c>
      <c r="F222" s="1721" t="str">
        <f>"09-01-2024 19:00"</f>
        <v>09-01-2024 19:00</v>
      </c>
      <c r="G222" s="1721" t="str">
        <f>"09-01-2024 20:00"</f>
        <v>09-01-2024 20:00</v>
      </c>
      <c r="H222" s="1721">
        <v>0.35</v>
      </c>
    </row>
    <row r="223" spans="1:8">
      <c r="A223" s="2280" t="str">
        <f>"09-12-2023 20:00"</f>
        <v>09-12-2023 20:00</v>
      </c>
      <c r="B223" s="2280" t="str">
        <f>"09-12-2023 21:00"</f>
        <v>09-12-2023 21:00</v>
      </c>
      <c r="C223" s="2278">
        <v>0.45</v>
      </c>
      <c r="F223" s="1721" t="str">
        <f>"09-01-2024 20:00"</f>
        <v>09-01-2024 20:00</v>
      </c>
      <c r="G223" s="1721" t="str">
        <f>"09-01-2024 21:00"</f>
        <v>09-01-2024 21:00</v>
      </c>
      <c r="H223" s="1721">
        <v>0.4</v>
      </c>
    </row>
    <row r="224" spans="1:8">
      <c r="A224" s="2280" t="str">
        <f>"09-12-2023 21:00"</f>
        <v>09-12-2023 21:00</v>
      </c>
      <c r="B224" s="2280" t="str">
        <f>"09-12-2023 22:00"</f>
        <v>09-12-2023 22:00</v>
      </c>
      <c r="C224" s="2278">
        <v>0.42</v>
      </c>
      <c r="F224" s="1721" t="str">
        <f>"09-01-2024 21:00"</f>
        <v>09-01-2024 21:00</v>
      </c>
      <c r="G224" s="1721" t="str">
        <f>"09-01-2024 22:00"</f>
        <v>09-01-2024 22:00</v>
      </c>
      <c r="H224" s="1721">
        <v>0.33</v>
      </c>
    </row>
    <row r="225" spans="1:9">
      <c r="A225" s="2280" t="str">
        <f>"09-12-2023 22:00"</f>
        <v>09-12-2023 22:00</v>
      </c>
      <c r="B225" s="2280" t="str">
        <f>"09-12-2023 23:00"</f>
        <v>09-12-2023 23:00</v>
      </c>
      <c r="C225" s="2278">
        <v>0.21</v>
      </c>
      <c r="F225" s="1721" t="str">
        <f>"09-01-2024 22:00"</f>
        <v>09-01-2024 22:00</v>
      </c>
      <c r="G225" s="1721" t="str">
        <f>"09-01-2024 23:00"</f>
        <v>09-01-2024 23:00</v>
      </c>
      <c r="H225" s="1721">
        <v>0.18</v>
      </c>
    </row>
    <row r="226" spans="1:9">
      <c r="A226" s="2284" t="str">
        <f>"09-12-2023 23:00"</f>
        <v>09-12-2023 23:00</v>
      </c>
      <c r="B226" s="2284" t="str">
        <f>"10-12-2023 00:00"</f>
        <v>10-12-2023 00:00</v>
      </c>
      <c r="C226" s="2278">
        <v>0.16</v>
      </c>
      <c r="D226" s="2284">
        <f>SUM(C203:C226)</f>
        <v>7.65</v>
      </c>
      <c r="F226" s="2384" t="str">
        <f>"09-01-2024 23:00"</f>
        <v>09-01-2024 23:00</v>
      </c>
      <c r="G226" s="2384" t="str">
        <f>"10-01-2024 00:00"</f>
        <v>10-01-2024 00:00</v>
      </c>
      <c r="H226" s="2384">
        <v>0.14000000000000001</v>
      </c>
      <c r="I226" s="2322">
        <f>SUM(H203:H226)</f>
        <v>7.0399999999999991</v>
      </c>
    </row>
    <row r="227" spans="1:9">
      <c r="A227" s="2280" t="s">
        <v>1644</v>
      </c>
      <c r="B227" s="2280" t="s">
        <v>1645</v>
      </c>
      <c r="C227" s="2281" t="s">
        <v>1147</v>
      </c>
      <c r="D227" s="2280" t="s">
        <v>567</v>
      </c>
      <c r="F227" s="2280" t="s">
        <v>1644</v>
      </c>
      <c r="G227" s="2280" t="s">
        <v>1645</v>
      </c>
      <c r="H227" s="2281" t="s">
        <v>1147</v>
      </c>
      <c r="I227" s="2280" t="s">
        <v>567</v>
      </c>
    </row>
    <row r="228" spans="1:9">
      <c r="A228" s="2280" t="str">
        <f>"10-12-2023 00:00"</f>
        <v>10-12-2023 00:00</v>
      </c>
      <c r="B228" s="2280" t="str">
        <f>"10-12-2023 01:00"</f>
        <v>10-12-2023 01:00</v>
      </c>
      <c r="C228" s="2278">
        <v>0.12</v>
      </c>
      <c r="F228" s="1721" t="str">
        <f>"10-01-2024 00:00"</f>
        <v>10-01-2024 00:00</v>
      </c>
      <c r="G228" s="1721" t="str">
        <f>"10-01-2024 01:00"</f>
        <v>10-01-2024 01:00</v>
      </c>
      <c r="H228" s="1721">
        <v>0.11</v>
      </c>
    </row>
    <row r="229" spans="1:9">
      <c r="A229" s="2280" t="str">
        <f>"10-12-2023 01:00"</f>
        <v>10-12-2023 01:00</v>
      </c>
      <c r="B229" s="2280" t="str">
        <f>"10-12-2023 02:00"</f>
        <v>10-12-2023 02:00</v>
      </c>
      <c r="C229" s="2278">
        <v>0.22</v>
      </c>
      <c r="F229" s="1721" t="str">
        <f>"10-01-2024 01:00"</f>
        <v>10-01-2024 01:00</v>
      </c>
      <c r="G229" s="1721" t="str">
        <f>"10-01-2024 02:00"</f>
        <v>10-01-2024 02:00</v>
      </c>
      <c r="H229" s="1721">
        <v>0.11</v>
      </c>
    </row>
    <row r="230" spans="1:9">
      <c r="A230" s="2280" t="str">
        <f>"10-12-2023 02:00"</f>
        <v>10-12-2023 02:00</v>
      </c>
      <c r="B230" s="2280" t="str">
        <f>"10-12-2023 03:00"</f>
        <v>10-12-2023 03:00</v>
      </c>
      <c r="C230" s="2278">
        <v>0.14000000000000001</v>
      </c>
      <c r="F230" s="1721" t="str">
        <f>"10-01-2024 02:00"</f>
        <v>10-01-2024 02:00</v>
      </c>
      <c r="G230" s="1721" t="str">
        <f>"10-01-2024 03:00"</f>
        <v>10-01-2024 03:00</v>
      </c>
      <c r="H230" s="1721">
        <v>0.15</v>
      </c>
    </row>
    <row r="231" spans="1:9">
      <c r="A231" s="2280" t="str">
        <f>"10-12-2023 03:00"</f>
        <v>10-12-2023 03:00</v>
      </c>
      <c r="B231" s="2280" t="str">
        <f>"10-12-2023 04:00"</f>
        <v>10-12-2023 04:00</v>
      </c>
      <c r="C231" s="2278">
        <v>0.11</v>
      </c>
      <c r="F231" s="1721" t="str">
        <f>"10-01-2024 03:00"</f>
        <v>10-01-2024 03:00</v>
      </c>
      <c r="G231" s="1721" t="str">
        <f>"10-01-2024 04:00"</f>
        <v>10-01-2024 04:00</v>
      </c>
      <c r="H231" s="1721">
        <v>0.13</v>
      </c>
    </row>
    <row r="232" spans="1:9">
      <c r="A232" s="2280" t="str">
        <f>"10-12-2023 04:00"</f>
        <v>10-12-2023 04:00</v>
      </c>
      <c r="B232" s="2280" t="str">
        <f>"10-12-2023 05:00"</f>
        <v>10-12-2023 05:00</v>
      </c>
      <c r="C232" s="2278">
        <v>0.16</v>
      </c>
      <c r="F232" s="1721" t="str">
        <f>"10-01-2024 04:00"</f>
        <v>10-01-2024 04:00</v>
      </c>
      <c r="G232" s="1721" t="str">
        <f>"10-01-2024 05:00"</f>
        <v>10-01-2024 05:00</v>
      </c>
      <c r="H232" s="1721">
        <v>0.16</v>
      </c>
      <c r="I232" s="2284"/>
    </row>
    <row r="233" spans="1:9">
      <c r="A233" s="2280" t="str">
        <f>"10-12-2023 05:00"</f>
        <v>10-12-2023 05:00</v>
      </c>
      <c r="B233" s="2280" t="str">
        <f>"10-12-2023 06:00"</f>
        <v>10-12-2023 06:00</v>
      </c>
      <c r="C233" s="2278">
        <v>0.2</v>
      </c>
      <c r="F233" s="1721" t="str">
        <f>"10-01-2024 05:00"</f>
        <v>10-01-2024 05:00</v>
      </c>
      <c r="G233" s="1721" t="str">
        <f>"10-01-2024 06:00"</f>
        <v>10-01-2024 06:00</v>
      </c>
      <c r="H233" s="1721">
        <v>0.43</v>
      </c>
    </row>
    <row r="234" spans="1:9">
      <c r="A234" s="2280" t="str">
        <f>"10-12-2023 06:00"</f>
        <v>10-12-2023 06:00</v>
      </c>
      <c r="B234" s="2280" t="str">
        <f>"10-12-2023 07:00"</f>
        <v>10-12-2023 07:00</v>
      </c>
      <c r="C234" s="2278">
        <v>0.24</v>
      </c>
      <c r="F234" s="1721" t="str">
        <f>"10-01-2024 06:00"</f>
        <v>10-01-2024 06:00</v>
      </c>
      <c r="G234" s="1721" t="str">
        <f>"10-01-2024 07:00"</f>
        <v>10-01-2024 07:00</v>
      </c>
      <c r="H234" s="1721">
        <v>0.5</v>
      </c>
    </row>
    <row r="235" spans="1:9">
      <c r="A235" s="2280" t="str">
        <f>"10-12-2023 07:00"</f>
        <v>10-12-2023 07:00</v>
      </c>
      <c r="B235" s="2280" t="str">
        <f>"10-12-2023 08:00"</f>
        <v>10-12-2023 08:00</v>
      </c>
      <c r="C235" s="2278">
        <v>0.34</v>
      </c>
      <c r="F235" s="1721" t="str">
        <f>"10-01-2024 07:00"</f>
        <v>10-01-2024 07:00</v>
      </c>
      <c r="G235" s="1721" t="str">
        <f>"10-01-2024 08:00"</f>
        <v>10-01-2024 08:00</v>
      </c>
      <c r="H235" s="1721">
        <v>0.38</v>
      </c>
    </row>
    <row r="236" spans="1:9">
      <c r="A236" s="2280" t="str">
        <f>"10-12-2023 08:00"</f>
        <v>10-12-2023 08:00</v>
      </c>
      <c r="B236" s="2280" t="str">
        <f>"10-12-2023 09:00"</f>
        <v>10-12-2023 09:00</v>
      </c>
      <c r="C236" s="2278">
        <v>0.27</v>
      </c>
      <c r="F236" s="1721" t="str">
        <f>"10-01-2024 08:00"</f>
        <v>10-01-2024 08:00</v>
      </c>
      <c r="G236" s="1721" t="str">
        <f>"10-01-2024 09:00"</f>
        <v>10-01-2024 09:00</v>
      </c>
      <c r="H236" s="1721">
        <v>0.28999999999999998</v>
      </c>
    </row>
    <row r="237" spans="1:9">
      <c r="A237" s="2280" t="str">
        <f>"10-12-2023 09:00"</f>
        <v>10-12-2023 09:00</v>
      </c>
      <c r="B237" s="2280" t="str">
        <f>"10-12-2023 10:00"</f>
        <v>10-12-2023 10:00</v>
      </c>
      <c r="C237" s="2278">
        <v>0.36</v>
      </c>
      <c r="F237" s="1721" t="str">
        <f>"10-01-2024 09:00"</f>
        <v>10-01-2024 09:00</v>
      </c>
      <c r="G237" s="1721" t="str">
        <f>"10-01-2024 10:00"</f>
        <v>10-01-2024 10:00</v>
      </c>
      <c r="H237" s="1721">
        <v>0.12</v>
      </c>
    </row>
    <row r="238" spans="1:9">
      <c r="A238" s="2280" t="str">
        <f>"10-12-2023 10:00"</f>
        <v>10-12-2023 10:00</v>
      </c>
      <c r="B238" s="2280" t="str">
        <f>"10-12-2023 11:00"</f>
        <v>10-12-2023 11:00</v>
      </c>
      <c r="C238" s="2278">
        <v>0.38</v>
      </c>
      <c r="F238" s="1721" t="str">
        <f>"10-01-2024 10:00"</f>
        <v>10-01-2024 10:00</v>
      </c>
      <c r="G238" s="1721" t="str">
        <f>"10-01-2024 11:00"</f>
        <v>10-01-2024 11:00</v>
      </c>
      <c r="H238" s="1721">
        <v>0.13</v>
      </c>
    </row>
    <row r="239" spans="1:9">
      <c r="A239" s="2280" t="str">
        <f>"10-12-2023 11:00"</f>
        <v>10-12-2023 11:00</v>
      </c>
      <c r="B239" s="2280" t="str">
        <f>"10-12-2023 12:00"</f>
        <v>10-12-2023 12:00</v>
      </c>
      <c r="C239" s="2278">
        <v>0.22</v>
      </c>
      <c r="F239" s="1721" t="str">
        <f>"10-01-2024 11:00"</f>
        <v>10-01-2024 11:00</v>
      </c>
      <c r="G239" s="1721" t="str">
        <f>"10-01-2024 12:00"</f>
        <v>10-01-2024 12:00</v>
      </c>
      <c r="H239" s="1721">
        <v>0.11</v>
      </c>
    </row>
    <row r="240" spans="1:9">
      <c r="A240" s="2280" t="str">
        <f>"10-12-2023 12:00"</f>
        <v>10-12-2023 12:00</v>
      </c>
      <c r="B240" s="2280" t="str">
        <f>"10-12-2023 13:00"</f>
        <v>10-12-2023 13:00</v>
      </c>
      <c r="C240" s="2278">
        <v>0.44</v>
      </c>
      <c r="F240" s="1721" t="str">
        <f>"10-01-2024 12:00"</f>
        <v>10-01-2024 12:00</v>
      </c>
      <c r="G240" s="1721" t="str">
        <f>"10-01-2024 13:00"</f>
        <v>10-01-2024 13:00</v>
      </c>
      <c r="H240" s="1721">
        <v>0.11</v>
      </c>
    </row>
    <row r="241" spans="1:9">
      <c r="A241" s="2280" t="str">
        <f>"10-12-2023 13:00"</f>
        <v>10-12-2023 13:00</v>
      </c>
      <c r="B241" s="2280" t="str">
        <f>"10-12-2023 14:00"</f>
        <v>10-12-2023 14:00</v>
      </c>
      <c r="C241" s="2278">
        <v>1.19</v>
      </c>
      <c r="F241" s="1721" t="str">
        <f>"10-01-2024 13:00"</f>
        <v>10-01-2024 13:00</v>
      </c>
      <c r="G241" s="1721" t="str">
        <f>"10-01-2024 14:00"</f>
        <v>10-01-2024 14:00</v>
      </c>
      <c r="H241" s="1721">
        <v>0.23</v>
      </c>
    </row>
    <row r="242" spans="1:9">
      <c r="A242" s="2280" t="str">
        <f>"10-12-2023 14:00"</f>
        <v>10-12-2023 14:00</v>
      </c>
      <c r="B242" s="2280" t="str">
        <f>"10-12-2023 15:00"</f>
        <v>10-12-2023 15:00</v>
      </c>
      <c r="C242" s="2278">
        <v>0.68</v>
      </c>
      <c r="F242" s="1721" t="str">
        <f>"10-01-2024 14:00"</f>
        <v>10-01-2024 14:00</v>
      </c>
      <c r="G242" s="1721" t="str">
        <f>"10-01-2024 15:00"</f>
        <v>10-01-2024 15:00</v>
      </c>
      <c r="H242" s="1721">
        <v>0.22</v>
      </c>
    </row>
    <row r="243" spans="1:9">
      <c r="A243" s="2280" t="str">
        <f>"10-12-2023 15:00"</f>
        <v>10-12-2023 15:00</v>
      </c>
      <c r="B243" s="2280" t="str">
        <f>"10-12-2023 16:00"</f>
        <v>10-12-2023 16:00</v>
      </c>
      <c r="C243" s="2278">
        <v>0.37</v>
      </c>
      <c r="F243" s="1721" t="str">
        <f>"10-01-2024 15:00"</f>
        <v>10-01-2024 15:00</v>
      </c>
      <c r="G243" s="1721" t="str">
        <f>"10-01-2024 16:00"</f>
        <v>10-01-2024 16:00</v>
      </c>
      <c r="H243" s="1721">
        <v>0.17</v>
      </c>
    </row>
    <row r="244" spans="1:9">
      <c r="A244" s="2280" t="str">
        <f>"10-12-2023 16:00"</f>
        <v>10-12-2023 16:00</v>
      </c>
      <c r="B244" s="2280" t="str">
        <f>"10-12-2023 17:00"</f>
        <v>10-12-2023 17:00</v>
      </c>
      <c r="C244" s="2278">
        <v>0.47</v>
      </c>
      <c r="F244" s="1721" t="str">
        <f>"10-01-2024 16:00"</f>
        <v>10-01-2024 16:00</v>
      </c>
      <c r="G244" s="1721" t="str">
        <f>"10-01-2024 17:00"</f>
        <v>10-01-2024 17:00</v>
      </c>
      <c r="H244" s="1721">
        <v>0.28999999999999998</v>
      </c>
    </row>
    <row r="245" spans="1:9">
      <c r="A245" s="2280" t="str">
        <f>"10-12-2023 17:00"</f>
        <v>10-12-2023 17:00</v>
      </c>
      <c r="B245" s="2280" t="str">
        <f>"10-12-2023 18:00"</f>
        <v>10-12-2023 18:00</v>
      </c>
      <c r="C245" s="2278">
        <v>0.38</v>
      </c>
      <c r="F245" s="1721" t="str">
        <f>"10-01-2024 17:00"</f>
        <v>10-01-2024 17:00</v>
      </c>
      <c r="G245" s="1721" t="str">
        <f>"10-01-2024 18:00"</f>
        <v>10-01-2024 18:00</v>
      </c>
      <c r="H245" s="1721">
        <v>0.24</v>
      </c>
    </row>
    <row r="246" spans="1:9">
      <c r="A246" s="2280" t="str">
        <f>"10-12-2023 18:00"</f>
        <v>10-12-2023 18:00</v>
      </c>
      <c r="B246" s="2280" t="str">
        <f>"10-12-2023 19:00"</f>
        <v>10-12-2023 19:00</v>
      </c>
      <c r="C246" s="2278">
        <v>0.56999999999999995</v>
      </c>
      <c r="F246" s="1721" t="str">
        <f>"10-01-2024 18:00"</f>
        <v>10-01-2024 18:00</v>
      </c>
      <c r="G246" s="1721" t="str">
        <f>"10-01-2024 19:00"</f>
        <v>10-01-2024 19:00</v>
      </c>
      <c r="H246" s="1721">
        <v>0.25</v>
      </c>
    </row>
    <row r="247" spans="1:9">
      <c r="A247" s="2280" t="str">
        <f>"10-12-2023 19:00"</f>
        <v>10-12-2023 19:00</v>
      </c>
      <c r="B247" s="2280" t="str">
        <f>"10-12-2023 20:00"</f>
        <v>10-12-2023 20:00</v>
      </c>
      <c r="C247" s="2278">
        <v>0.43</v>
      </c>
      <c r="F247" s="1721" t="str">
        <f>"10-01-2024 19:00"</f>
        <v>10-01-2024 19:00</v>
      </c>
      <c r="G247" s="1721" t="str">
        <f>"10-01-2024 20:00"</f>
        <v>10-01-2024 20:00</v>
      </c>
      <c r="H247" s="1721">
        <v>0.42</v>
      </c>
    </row>
    <row r="248" spans="1:9">
      <c r="A248" s="2280" t="str">
        <f>"10-12-2023 20:00"</f>
        <v>10-12-2023 20:00</v>
      </c>
      <c r="B248" s="2280" t="str">
        <f>"10-12-2023 21:00"</f>
        <v>10-12-2023 21:00</v>
      </c>
      <c r="C248" s="2278">
        <v>0.46</v>
      </c>
      <c r="F248" s="1721" t="str">
        <f>"10-01-2024 20:00"</f>
        <v>10-01-2024 20:00</v>
      </c>
      <c r="G248" s="1721" t="str">
        <f>"10-01-2024 21:00"</f>
        <v>10-01-2024 21:00</v>
      </c>
      <c r="H248" s="1721">
        <v>0.31</v>
      </c>
    </row>
    <row r="249" spans="1:9">
      <c r="A249" s="2280" t="str">
        <f>"10-12-2023 21:00"</f>
        <v>10-12-2023 21:00</v>
      </c>
      <c r="B249" s="2280" t="str">
        <f>"10-12-2023 22:00"</f>
        <v>10-12-2023 22:00</v>
      </c>
      <c r="C249" s="2278">
        <v>0.28999999999999998</v>
      </c>
      <c r="F249" s="1721" t="str">
        <f>"10-01-2024 21:00"</f>
        <v>10-01-2024 21:00</v>
      </c>
      <c r="G249" s="1721" t="str">
        <f>"10-01-2024 22:00"</f>
        <v>10-01-2024 22:00</v>
      </c>
      <c r="H249" s="1721">
        <v>0.27</v>
      </c>
    </row>
    <row r="250" spans="1:9">
      <c r="A250" s="2280" t="str">
        <f>"10-12-2023 22:00"</f>
        <v>10-12-2023 22:00</v>
      </c>
      <c r="B250" s="2280" t="str">
        <f>"10-12-2023 23:00"</f>
        <v>10-12-2023 23:00</v>
      </c>
      <c r="C250" s="2278">
        <v>0.32</v>
      </c>
      <c r="F250" s="1721" t="str">
        <f>"10-01-2024 22:00"</f>
        <v>10-01-2024 22:00</v>
      </c>
      <c r="G250" s="1721" t="str">
        <f>"10-01-2024 23:00"</f>
        <v>10-01-2024 23:00</v>
      </c>
      <c r="H250" s="1721">
        <v>0.3</v>
      </c>
    </row>
    <row r="251" spans="1:9">
      <c r="A251" s="2284" t="str">
        <f>"10-12-2023 23:00"</f>
        <v>10-12-2023 23:00</v>
      </c>
      <c r="B251" s="2284" t="str">
        <f>"11-12-2023 00:00"</f>
        <v>11-12-2023 00:00</v>
      </c>
      <c r="C251" s="2278">
        <v>0.17</v>
      </c>
      <c r="D251" s="2284">
        <f>SUM(C228:C251)</f>
        <v>8.5299999999999994</v>
      </c>
      <c r="F251" s="2384" t="str">
        <f>"10-01-2024 23:00"</f>
        <v>10-01-2024 23:00</v>
      </c>
      <c r="G251" s="2384" t="str">
        <f>"11-01-2024 00:00"</f>
        <v>11-01-2024 00:00</v>
      </c>
      <c r="H251" s="2384">
        <v>0.23</v>
      </c>
      <c r="I251" s="2322">
        <f>SUM(H228:H251)</f>
        <v>5.6599999999999993</v>
      </c>
    </row>
    <row r="252" spans="1:9">
      <c r="A252" s="2280" t="s">
        <v>1644</v>
      </c>
      <c r="B252" s="2280" t="s">
        <v>1645</v>
      </c>
      <c r="C252" s="2281" t="s">
        <v>1147</v>
      </c>
      <c r="D252" s="2280" t="s">
        <v>567</v>
      </c>
      <c r="F252" s="2280" t="s">
        <v>1644</v>
      </c>
      <c r="G252" s="2280" t="s">
        <v>1645</v>
      </c>
      <c r="H252" s="2281" t="s">
        <v>1147</v>
      </c>
      <c r="I252" s="2280" t="s">
        <v>567</v>
      </c>
    </row>
    <row r="253" spans="1:9">
      <c r="A253" s="2280" t="str">
        <f>"11-12-2023 00:00"</f>
        <v>11-12-2023 00:00</v>
      </c>
      <c r="B253" s="2280" t="str">
        <f>"11-12-2023 01:00"</f>
        <v>11-12-2023 01:00</v>
      </c>
      <c r="C253" s="2278">
        <v>0.13</v>
      </c>
      <c r="F253" s="1721" t="str">
        <f>"11-01-2024 00:00"</f>
        <v>11-01-2024 00:00</v>
      </c>
      <c r="G253" s="1721" t="str">
        <f>"11-01-2024 01:00"</f>
        <v>11-01-2024 01:00</v>
      </c>
      <c r="H253" s="1721">
        <v>0.19</v>
      </c>
    </row>
    <row r="254" spans="1:9">
      <c r="A254" s="2280" t="str">
        <f>"11-12-2023 01:00"</f>
        <v>11-12-2023 01:00</v>
      </c>
      <c r="B254" s="2280" t="str">
        <f>"11-12-2023 02:00"</f>
        <v>11-12-2023 02:00</v>
      </c>
      <c r="C254" s="2278">
        <v>0.26</v>
      </c>
      <c r="F254" s="1721" t="str">
        <f>"11-01-2024 01:00"</f>
        <v>11-01-2024 01:00</v>
      </c>
      <c r="G254" s="1721" t="str">
        <f>"11-01-2024 02:00"</f>
        <v>11-01-2024 02:00</v>
      </c>
      <c r="H254" s="1721">
        <v>0.11</v>
      </c>
    </row>
    <row r="255" spans="1:9">
      <c r="A255" s="2280" t="str">
        <f>"11-12-2023 02:00"</f>
        <v>11-12-2023 02:00</v>
      </c>
      <c r="B255" s="2280" t="str">
        <f>"11-12-2023 03:00"</f>
        <v>11-12-2023 03:00</v>
      </c>
      <c r="C255" s="2278">
        <v>0.22</v>
      </c>
      <c r="F255" s="1721" t="str">
        <f>"11-01-2024 02:00"</f>
        <v>11-01-2024 02:00</v>
      </c>
      <c r="G255" s="1721" t="str">
        <f>"11-01-2024 03:00"</f>
        <v>11-01-2024 03:00</v>
      </c>
      <c r="H255" s="1721">
        <v>0.12</v>
      </c>
    </row>
    <row r="256" spans="1:9">
      <c r="A256" s="2280" t="str">
        <f>"11-12-2023 03:00"</f>
        <v>11-12-2023 03:00</v>
      </c>
      <c r="B256" s="2280" t="str">
        <f>"11-12-2023 04:00"</f>
        <v>11-12-2023 04:00</v>
      </c>
      <c r="C256" s="2278">
        <v>0.14000000000000001</v>
      </c>
      <c r="F256" s="1721" t="str">
        <f>"11-01-2024 03:00"</f>
        <v>11-01-2024 03:00</v>
      </c>
      <c r="G256" s="1721" t="str">
        <f>"11-01-2024 04:00"</f>
        <v>11-01-2024 04:00</v>
      </c>
      <c r="H256" s="1721">
        <v>0.1</v>
      </c>
    </row>
    <row r="257" spans="1:9">
      <c r="A257" s="2280" t="str">
        <f>"11-12-2023 04:00"</f>
        <v>11-12-2023 04:00</v>
      </c>
      <c r="B257" s="2280" t="str">
        <f>"11-12-2023 05:00"</f>
        <v>11-12-2023 05:00</v>
      </c>
      <c r="C257" s="2278">
        <v>0.19</v>
      </c>
      <c r="F257" s="1721" t="str">
        <f>"11-01-2024 04:00"</f>
        <v>11-01-2024 04:00</v>
      </c>
      <c r="G257" s="1721" t="str">
        <f>"11-01-2024 05:00"</f>
        <v>11-01-2024 05:00</v>
      </c>
      <c r="H257" s="1721">
        <v>0.12</v>
      </c>
    </row>
    <row r="258" spans="1:9">
      <c r="A258" s="2280" t="str">
        <f>"11-12-2023 05:00"</f>
        <v>11-12-2023 05:00</v>
      </c>
      <c r="B258" s="2280" t="str">
        <f>"11-12-2023 06:00"</f>
        <v>11-12-2023 06:00</v>
      </c>
      <c r="C258" s="2278">
        <v>0.17</v>
      </c>
      <c r="F258" s="1721" t="str">
        <f>"11-01-2024 05:00"</f>
        <v>11-01-2024 05:00</v>
      </c>
      <c r="G258" s="1721" t="str">
        <f>"11-01-2024 06:00"</f>
        <v>11-01-2024 06:00</v>
      </c>
      <c r="H258" s="1721">
        <v>0.13</v>
      </c>
      <c r="I258" s="2284"/>
    </row>
    <row r="259" spans="1:9">
      <c r="A259" s="2280" t="str">
        <f>"11-12-2023 06:00"</f>
        <v>11-12-2023 06:00</v>
      </c>
      <c r="B259" s="2280" t="str">
        <f>"11-12-2023 07:00"</f>
        <v>11-12-2023 07:00</v>
      </c>
      <c r="C259" s="2278">
        <v>0.14000000000000001</v>
      </c>
      <c r="F259" s="1721" t="str">
        <f>"11-01-2024 06:00"</f>
        <v>11-01-2024 06:00</v>
      </c>
      <c r="G259" s="1721" t="str">
        <f>"11-01-2024 07:00"</f>
        <v>11-01-2024 07:00</v>
      </c>
      <c r="H259" s="1721">
        <v>0.14000000000000001</v>
      </c>
    </row>
    <row r="260" spans="1:9">
      <c r="A260" s="2280" t="str">
        <f>"11-12-2023 07:00"</f>
        <v>11-12-2023 07:00</v>
      </c>
      <c r="B260" s="2280" t="str">
        <f>"11-12-2023 08:00"</f>
        <v>11-12-2023 08:00</v>
      </c>
      <c r="C260" s="2278">
        <v>0.15</v>
      </c>
      <c r="F260" s="1721" t="str">
        <f>"11-01-2024 07:00"</f>
        <v>11-01-2024 07:00</v>
      </c>
      <c r="G260" s="1721" t="str">
        <f>"11-01-2024 08:00"</f>
        <v>11-01-2024 08:00</v>
      </c>
      <c r="H260" s="1721">
        <v>0.13</v>
      </c>
    </row>
    <row r="261" spans="1:9">
      <c r="A261" s="2280" t="str">
        <f>"11-12-2023 08:00"</f>
        <v>11-12-2023 08:00</v>
      </c>
      <c r="B261" s="2280" t="str">
        <f>"11-12-2023 09:00"</f>
        <v>11-12-2023 09:00</v>
      </c>
      <c r="C261" s="2278">
        <v>0.19</v>
      </c>
      <c r="F261" s="1721" t="str">
        <f>"11-01-2024 08:00"</f>
        <v>11-01-2024 08:00</v>
      </c>
      <c r="G261" s="1721" t="str">
        <f>"11-01-2024 09:00"</f>
        <v>11-01-2024 09:00</v>
      </c>
      <c r="H261" s="1721">
        <v>0.18</v>
      </c>
    </row>
    <row r="262" spans="1:9">
      <c r="A262" s="2280" t="str">
        <f>"11-12-2023 09:00"</f>
        <v>11-12-2023 09:00</v>
      </c>
      <c r="B262" s="2280" t="str">
        <f>"11-12-2023 10:00"</f>
        <v>11-12-2023 10:00</v>
      </c>
      <c r="C262" s="2278">
        <v>0.42</v>
      </c>
      <c r="F262" s="1721" t="str">
        <f>"11-01-2024 09:00"</f>
        <v>11-01-2024 09:00</v>
      </c>
      <c r="G262" s="1721" t="str">
        <f>"11-01-2024 10:00"</f>
        <v>11-01-2024 10:00</v>
      </c>
      <c r="H262" s="1721">
        <v>0.45</v>
      </c>
    </row>
    <row r="263" spans="1:9">
      <c r="A263" s="2280" t="str">
        <f>"11-12-2023 10:00"</f>
        <v>11-12-2023 10:00</v>
      </c>
      <c r="B263" s="2280" t="str">
        <f>"11-12-2023 11:00"</f>
        <v>11-12-2023 11:00</v>
      </c>
      <c r="C263" s="2278">
        <v>0.46</v>
      </c>
      <c r="F263" s="1721" t="str">
        <f>"11-01-2024 10:00"</f>
        <v>11-01-2024 10:00</v>
      </c>
      <c r="G263" s="1721" t="str">
        <f>"11-01-2024 11:00"</f>
        <v>11-01-2024 11:00</v>
      </c>
      <c r="H263" s="1721">
        <v>0.31</v>
      </c>
    </row>
    <row r="264" spans="1:9">
      <c r="A264" s="2280" t="str">
        <f>"11-12-2023 11:00"</f>
        <v>11-12-2023 11:00</v>
      </c>
      <c r="B264" s="2280" t="str">
        <f>"11-12-2023 12:00"</f>
        <v>11-12-2023 12:00</v>
      </c>
      <c r="C264" s="2278">
        <v>0.37</v>
      </c>
      <c r="F264" s="1721" t="str">
        <f>"11-01-2024 11:00"</f>
        <v>11-01-2024 11:00</v>
      </c>
      <c r="G264" s="1721" t="str">
        <f>"11-01-2024 12:00"</f>
        <v>11-01-2024 12:00</v>
      </c>
      <c r="H264" s="1721">
        <v>0.54</v>
      </c>
    </row>
    <row r="265" spans="1:9">
      <c r="A265" s="2280" t="str">
        <f>"11-12-2023 12:00"</f>
        <v>11-12-2023 12:00</v>
      </c>
      <c r="B265" s="2280" t="str">
        <f>"11-12-2023 13:00"</f>
        <v>11-12-2023 13:00</v>
      </c>
      <c r="C265" s="2278">
        <v>0.68</v>
      </c>
      <c r="F265" s="1721" t="str">
        <f>"11-01-2024 12:00"</f>
        <v>11-01-2024 12:00</v>
      </c>
      <c r="G265" s="1721" t="str">
        <f>"11-01-2024 13:00"</f>
        <v>11-01-2024 13:00</v>
      </c>
      <c r="H265" s="1721">
        <v>0.37</v>
      </c>
    </row>
    <row r="266" spans="1:9">
      <c r="A266" s="2280" t="str">
        <f>"11-12-2023 13:00"</f>
        <v>11-12-2023 13:00</v>
      </c>
      <c r="B266" s="2280" t="str">
        <f>"11-12-2023 14:00"</f>
        <v>11-12-2023 14:00</v>
      </c>
      <c r="C266" s="2278">
        <v>0.35</v>
      </c>
      <c r="F266" s="1721" t="str">
        <f>"11-01-2024 13:00"</f>
        <v>11-01-2024 13:00</v>
      </c>
      <c r="G266" s="1721" t="str">
        <f>"11-01-2024 14:00"</f>
        <v>11-01-2024 14:00</v>
      </c>
      <c r="H266" s="1721">
        <v>0.4</v>
      </c>
    </row>
    <row r="267" spans="1:9">
      <c r="A267" s="2280" t="str">
        <f>"11-12-2023 14:00"</f>
        <v>11-12-2023 14:00</v>
      </c>
      <c r="B267" s="2280" t="str">
        <f>"11-12-2023 15:00"</f>
        <v>11-12-2023 15:00</v>
      </c>
      <c r="C267" s="2278">
        <v>0.42</v>
      </c>
      <c r="F267" s="1721" t="str">
        <f>"11-01-2024 14:00"</f>
        <v>11-01-2024 14:00</v>
      </c>
      <c r="G267" s="1721" t="str">
        <f>"11-01-2024 15:00"</f>
        <v>11-01-2024 15:00</v>
      </c>
      <c r="H267" s="1721">
        <v>0.34</v>
      </c>
    </row>
    <row r="268" spans="1:9">
      <c r="A268" s="2280" t="str">
        <f>"11-12-2023 15:00"</f>
        <v>11-12-2023 15:00</v>
      </c>
      <c r="B268" s="2280" t="str">
        <f>"11-12-2023 16:00"</f>
        <v>11-12-2023 16:00</v>
      </c>
      <c r="C268" s="2278">
        <v>0.34</v>
      </c>
      <c r="F268" s="1721" t="str">
        <f>"11-01-2024 15:00"</f>
        <v>11-01-2024 15:00</v>
      </c>
      <c r="G268" s="1721" t="str">
        <f>"11-01-2024 16:00"</f>
        <v>11-01-2024 16:00</v>
      </c>
      <c r="H268" s="1721">
        <v>0.34</v>
      </c>
    </row>
    <row r="269" spans="1:9">
      <c r="A269" s="2280" t="str">
        <f>"11-12-2023 16:00"</f>
        <v>11-12-2023 16:00</v>
      </c>
      <c r="B269" s="2280" t="str">
        <f>"11-12-2023 17:00"</f>
        <v>11-12-2023 17:00</v>
      </c>
      <c r="C269" s="2278">
        <v>0.43</v>
      </c>
      <c r="F269" s="1721" t="str">
        <f>"11-01-2024 16:00"</f>
        <v>11-01-2024 16:00</v>
      </c>
      <c r="G269" s="1721" t="str">
        <f>"11-01-2024 17:00"</f>
        <v>11-01-2024 17:00</v>
      </c>
      <c r="H269" s="1721">
        <v>0.34</v>
      </c>
    </row>
    <row r="270" spans="1:9">
      <c r="A270" s="2280" t="str">
        <f>"11-12-2023 17:00"</f>
        <v>11-12-2023 17:00</v>
      </c>
      <c r="B270" s="2280" t="str">
        <f>"11-12-2023 18:00"</f>
        <v>11-12-2023 18:00</v>
      </c>
      <c r="C270" s="2278">
        <v>0.46</v>
      </c>
      <c r="F270" s="1721" t="str">
        <f>"11-01-2024 17:00"</f>
        <v>11-01-2024 17:00</v>
      </c>
      <c r="G270" s="1721" t="str">
        <f>"11-01-2024 18:00"</f>
        <v>11-01-2024 18:00</v>
      </c>
      <c r="H270" s="1721">
        <v>1.23</v>
      </c>
    </row>
    <row r="271" spans="1:9">
      <c r="A271" s="2280" t="str">
        <f>"11-12-2023 18:00"</f>
        <v>11-12-2023 18:00</v>
      </c>
      <c r="B271" s="2280" t="str">
        <f>"11-12-2023 19:00"</f>
        <v>11-12-2023 19:00</v>
      </c>
      <c r="C271" s="2278">
        <v>0.34</v>
      </c>
      <c r="F271" s="1721" t="str">
        <f>"11-01-2024 18:00"</f>
        <v>11-01-2024 18:00</v>
      </c>
      <c r="G271" s="1721" t="str">
        <f>"11-01-2024 19:00"</f>
        <v>11-01-2024 19:00</v>
      </c>
      <c r="H271" s="1721">
        <v>0.89</v>
      </c>
    </row>
    <row r="272" spans="1:9">
      <c r="A272" s="2280" t="str">
        <f>"11-12-2023 19:00"</f>
        <v>11-12-2023 19:00</v>
      </c>
      <c r="B272" s="2280" t="str">
        <f>"11-12-2023 20:00"</f>
        <v>11-12-2023 20:00</v>
      </c>
      <c r="C272" s="2278">
        <v>0.43</v>
      </c>
      <c r="F272" s="1721" t="str">
        <f>"11-01-2024 19:00"</f>
        <v>11-01-2024 19:00</v>
      </c>
      <c r="G272" s="1721" t="str">
        <f>"11-01-2024 20:00"</f>
        <v>11-01-2024 20:00</v>
      </c>
      <c r="H272" s="1721">
        <v>1.34</v>
      </c>
    </row>
    <row r="273" spans="1:9">
      <c r="A273" s="2280" t="str">
        <f>"11-12-2023 20:00"</f>
        <v>11-12-2023 20:00</v>
      </c>
      <c r="B273" s="2280" t="str">
        <f>"11-12-2023 21:00"</f>
        <v>11-12-2023 21:00</v>
      </c>
      <c r="C273" s="2278">
        <v>0.43</v>
      </c>
      <c r="F273" s="1721" t="str">
        <f>"11-01-2024 20:00"</f>
        <v>11-01-2024 20:00</v>
      </c>
      <c r="G273" s="1721" t="str">
        <f>"11-01-2024 21:00"</f>
        <v>11-01-2024 21:00</v>
      </c>
      <c r="H273" s="1721">
        <v>0.46</v>
      </c>
    </row>
    <row r="274" spans="1:9">
      <c r="A274" s="2280" t="str">
        <f>"11-12-2023 21:00"</f>
        <v>11-12-2023 21:00</v>
      </c>
      <c r="B274" s="2280" t="str">
        <f>"11-12-2023 22:00"</f>
        <v>11-12-2023 22:00</v>
      </c>
      <c r="C274" s="2278">
        <v>0.33</v>
      </c>
      <c r="F274" s="1721" t="str">
        <f>"11-01-2024 21:00"</f>
        <v>11-01-2024 21:00</v>
      </c>
      <c r="G274" s="1721" t="str">
        <f>"11-01-2024 22:00"</f>
        <v>11-01-2024 22:00</v>
      </c>
      <c r="H274" s="1721">
        <v>0.33</v>
      </c>
    </row>
    <row r="275" spans="1:9">
      <c r="A275" s="2280" t="str">
        <f>"11-12-2023 22:00"</f>
        <v>11-12-2023 22:00</v>
      </c>
      <c r="B275" s="2280" t="str">
        <f>"11-12-2023 23:00"</f>
        <v>11-12-2023 23:00</v>
      </c>
      <c r="C275" s="2278">
        <v>0.39</v>
      </c>
      <c r="F275" s="1721" t="str">
        <f>"11-01-2024 22:00"</f>
        <v>11-01-2024 22:00</v>
      </c>
      <c r="G275" s="1721" t="str">
        <f>"11-01-2024 23:00"</f>
        <v>11-01-2024 23:00</v>
      </c>
      <c r="H275" s="1721">
        <v>0.28999999999999998</v>
      </c>
    </row>
    <row r="276" spans="1:9">
      <c r="A276" s="2284" t="str">
        <f>"11-12-2023 23:00"</f>
        <v>11-12-2023 23:00</v>
      </c>
      <c r="B276" s="2284" t="str">
        <f>"12-12-2023 00:00"</f>
        <v>12-12-2023 00:00</v>
      </c>
      <c r="C276" s="2278">
        <v>0.27</v>
      </c>
      <c r="D276" s="2284">
        <f>SUM(C253:C276)</f>
        <v>7.7099999999999991</v>
      </c>
      <c r="F276" s="1721" t="str">
        <f>"11-01-2024 23:00"</f>
        <v>11-01-2024 23:00</v>
      </c>
      <c r="G276" s="1721" t="str">
        <f>"12-01-2024 00:00"</f>
        <v>12-01-2024 00:00</v>
      </c>
      <c r="H276" s="1721">
        <v>0.12</v>
      </c>
      <c r="I276" s="2322">
        <f>SUM(H253:H276)</f>
        <v>8.9699999999999971</v>
      </c>
    </row>
    <row r="277" spans="1:9">
      <c r="A277" s="2280" t="s">
        <v>1644</v>
      </c>
      <c r="B277" s="2280" t="s">
        <v>1645</v>
      </c>
      <c r="C277" s="2281" t="s">
        <v>1147</v>
      </c>
      <c r="D277" s="2280" t="s">
        <v>567</v>
      </c>
      <c r="F277" s="2280" t="s">
        <v>1644</v>
      </c>
      <c r="G277" s="2280" t="s">
        <v>1645</v>
      </c>
      <c r="H277" s="2281" t="s">
        <v>1147</v>
      </c>
      <c r="I277" s="2280" t="s">
        <v>567</v>
      </c>
    </row>
    <row r="278" spans="1:9">
      <c r="A278" s="2280" t="str">
        <f>"12-12-2023 00:00"</f>
        <v>12-12-2023 00:00</v>
      </c>
      <c r="B278" s="2280" t="str">
        <f>"12-12-2023 01:00"</f>
        <v>12-12-2023 01:00</v>
      </c>
      <c r="C278" s="2278">
        <v>0.28000000000000003</v>
      </c>
      <c r="F278" s="1721" t="str">
        <f>"12-01-2024 00:00"</f>
        <v>12-01-2024 00:00</v>
      </c>
      <c r="G278" s="1721" t="str">
        <f>"12-01-2024 01:00"</f>
        <v>12-01-2024 01:00</v>
      </c>
      <c r="H278" s="1721">
        <v>0.11</v>
      </c>
    </row>
    <row r="279" spans="1:9">
      <c r="A279" s="2280" t="str">
        <f>"12-12-2023 01:00"</f>
        <v>12-12-2023 01:00</v>
      </c>
      <c r="B279" s="2280" t="str">
        <f>"12-12-2023 02:00"</f>
        <v>12-12-2023 02:00</v>
      </c>
      <c r="C279" s="2278">
        <v>0.19</v>
      </c>
      <c r="F279" s="1721" t="str">
        <f>"12-01-2024 01:00"</f>
        <v>12-01-2024 01:00</v>
      </c>
      <c r="G279" s="1721" t="str">
        <f>"12-01-2024 02:00"</f>
        <v>12-01-2024 02:00</v>
      </c>
      <c r="H279" s="1721">
        <v>0.13</v>
      </c>
    </row>
    <row r="280" spans="1:9">
      <c r="A280" s="2280" t="str">
        <f>"12-12-2023 02:00"</f>
        <v>12-12-2023 02:00</v>
      </c>
      <c r="B280" s="2280" t="str">
        <f>"12-12-2023 03:00"</f>
        <v>12-12-2023 03:00</v>
      </c>
      <c r="C280" s="2278">
        <v>0.12</v>
      </c>
      <c r="F280" s="1721" t="str">
        <f>"12-01-2024 02:00"</f>
        <v>12-01-2024 02:00</v>
      </c>
      <c r="G280" s="1721" t="str">
        <f>"12-01-2024 03:00"</f>
        <v>12-01-2024 03:00</v>
      </c>
      <c r="H280" s="1721">
        <v>0.2</v>
      </c>
    </row>
    <row r="281" spans="1:9">
      <c r="A281" s="2280" t="str">
        <f>"12-12-2023 03:00"</f>
        <v>12-12-2023 03:00</v>
      </c>
      <c r="B281" s="2280" t="str">
        <f>"12-12-2023 04:00"</f>
        <v>12-12-2023 04:00</v>
      </c>
      <c r="C281" s="2278">
        <v>0.13</v>
      </c>
      <c r="F281" s="1721" t="str">
        <f>"12-01-2024 03:00"</f>
        <v>12-01-2024 03:00</v>
      </c>
      <c r="G281" s="1721" t="str">
        <f>"12-01-2024 04:00"</f>
        <v>12-01-2024 04:00</v>
      </c>
      <c r="H281" s="1721">
        <v>0.15</v>
      </c>
    </row>
    <row r="282" spans="1:9">
      <c r="A282" s="2280" t="str">
        <f>"12-12-2023 04:00"</f>
        <v>12-12-2023 04:00</v>
      </c>
      <c r="B282" s="2280" t="str">
        <f>"12-12-2023 05:00"</f>
        <v>12-12-2023 05:00</v>
      </c>
      <c r="C282" s="2278">
        <v>0.2</v>
      </c>
      <c r="F282" s="1721" t="str">
        <f>"12-01-2024 04:00"</f>
        <v>12-01-2024 04:00</v>
      </c>
      <c r="G282" s="1721" t="str">
        <f>"12-01-2024 05:00"</f>
        <v>12-01-2024 05:00</v>
      </c>
      <c r="H282" s="1721">
        <v>0.17</v>
      </c>
    </row>
    <row r="283" spans="1:9">
      <c r="A283" s="2280" t="str">
        <f>"12-12-2023 05:00"</f>
        <v>12-12-2023 05:00</v>
      </c>
      <c r="B283" s="2280" t="str">
        <f>"12-12-2023 06:00"</f>
        <v>12-12-2023 06:00</v>
      </c>
      <c r="C283" s="2278">
        <v>0.12</v>
      </c>
      <c r="F283" s="1721" t="str">
        <f>"12-01-2024 05:00"</f>
        <v>12-01-2024 05:00</v>
      </c>
      <c r="G283" s="1721" t="str">
        <f>"12-01-2024 06:00"</f>
        <v>12-01-2024 06:00</v>
      </c>
      <c r="H283" s="1721">
        <v>0.17</v>
      </c>
    </row>
    <row r="284" spans="1:9">
      <c r="A284" s="2280" t="str">
        <f>"12-12-2023 06:00"</f>
        <v>12-12-2023 06:00</v>
      </c>
      <c r="B284" s="2280" t="str">
        <f>"12-12-2023 07:00"</f>
        <v>12-12-2023 07:00</v>
      </c>
      <c r="C284" s="2278">
        <v>0.15</v>
      </c>
      <c r="F284" s="1721" t="str">
        <f>"12-01-2024 06:00"</f>
        <v>12-01-2024 06:00</v>
      </c>
      <c r="G284" s="1721" t="str">
        <f>"12-01-2024 07:00"</f>
        <v>12-01-2024 07:00</v>
      </c>
      <c r="H284" s="1721">
        <v>0.55000000000000004</v>
      </c>
      <c r="I284" s="2284"/>
    </row>
    <row r="285" spans="1:9">
      <c r="A285" s="2280" t="str">
        <f>"12-12-2023 07:00"</f>
        <v>12-12-2023 07:00</v>
      </c>
      <c r="B285" s="2280" t="str">
        <f>"12-12-2023 08:00"</f>
        <v>12-12-2023 08:00</v>
      </c>
      <c r="C285" s="2278">
        <v>0.11</v>
      </c>
      <c r="F285" s="1721" t="str">
        <f>"12-01-2024 07:00"</f>
        <v>12-01-2024 07:00</v>
      </c>
      <c r="G285" s="1721" t="str">
        <f>"12-01-2024 08:00"</f>
        <v>12-01-2024 08:00</v>
      </c>
      <c r="H285" s="1721">
        <v>0.34</v>
      </c>
    </row>
    <row r="286" spans="1:9">
      <c r="A286" s="2280" t="str">
        <f>"12-12-2023 08:00"</f>
        <v>12-12-2023 08:00</v>
      </c>
      <c r="B286" s="2280" t="str">
        <f>"12-12-2023 09:00"</f>
        <v>12-12-2023 09:00</v>
      </c>
      <c r="C286" s="2278">
        <v>0.26</v>
      </c>
      <c r="F286" s="1721" t="str">
        <f>"12-01-2024 08:00"</f>
        <v>12-01-2024 08:00</v>
      </c>
      <c r="G286" s="1721" t="str">
        <f>"12-01-2024 09:00"</f>
        <v>12-01-2024 09:00</v>
      </c>
      <c r="H286" s="1721">
        <v>0.34</v>
      </c>
    </row>
    <row r="287" spans="1:9">
      <c r="A287" s="2280" t="str">
        <f>"12-12-2023 09:00"</f>
        <v>12-12-2023 09:00</v>
      </c>
      <c r="B287" s="2280" t="str">
        <f>"12-12-2023 10:00"</f>
        <v>12-12-2023 10:00</v>
      </c>
      <c r="C287" s="2278">
        <v>0.33</v>
      </c>
      <c r="F287" s="1721" t="str">
        <f>"12-01-2024 09:00"</f>
        <v>12-01-2024 09:00</v>
      </c>
      <c r="G287" s="1721" t="str">
        <f>"12-01-2024 10:00"</f>
        <v>12-01-2024 10:00</v>
      </c>
      <c r="H287" s="1721">
        <v>0.3</v>
      </c>
    </row>
    <row r="288" spans="1:9">
      <c r="A288" s="2280" t="str">
        <f>"12-12-2023 10:00"</f>
        <v>12-12-2023 10:00</v>
      </c>
      <c r="B288" s="2280" t="str">
        <f>"12-12-2023 11:00"</f>
        <v>12-12-2023 11:00</v>
      </c>
      <c r="C288" s="2278">
        <v>0.27</v>
      </c>
      <c r="F288" s="1721" t="str">
        <f>"12-01-2024 10:00"</f>
        <v>12-01-2024 10:00</v>
      </c>
      <c r="G288" s="1721" t="str">
        <f>"12-01-2024 11:00"</f>
        <v>12-01-2024 11:00</v>
      </c>
      <c r="H288" s="1721">
        <v>0.89</v>
      </c>
    </row>
    <row r="289" spans="1:9">
      <c r="A289" s="2280" t="str">
        <f>"12-12-2023 11:00"</f>
        <v>12-12-2023 11:00</v>
      </c>
      <c r="B289" s="2280" t="str">
        <f>"12-12-2023 12:00"</f>
        <v>12-12-2023 12:00</v>
      </c>
      <c r="C289" s="2278">
        <v>0.28000000000000003</v>
      </c>
      <c r="F289" s="1721" t="str">
        <f>"12-01-2024 11:00"</f>
        <v>12-01-2024 11:00</v>
      </c>
      <c r="G289" s="1721" t="str">
        <f>"12-01-2024 12:00"</f>
        <v>12-01-2024 12:00</v>
      </c>
      <c r="H289" s="1721">
        <v>1.04</v>
      </c>
    </row>
    <row r="290" spans="1:9">
      <c r="A290" s="2280" t="str">
        <f>"12-12-2023 12:00"</f>
        <v>12-12-2023 12:00</v>
      </c>
      <c r="B290" s="2280" t="str">
        <f>"12-12-2023 13:00"</f>
        <v>12-12-2023 13:00</v>
      </c>
      <c r="C290" s="2278">
        <v>0.39</v>
      </c>
      <c r="F290" s="1721" t="str">
        <f>"12-01-2024 12:00"</f>
        <v>12-01-2024 12:00</v>
      </c>
      <c r="G290" s="1721" t="str">
        <f>"12-01-2024 13:00"</f>
        <v>12-01-2024 13:00</v>
      </c>
      <c r="H290" s="1721">
        <v>1</v>
      </c>
    </row>
    <row r="291" spans="1:9">
      <c r="A291" s="2280" t="str">
        <f>"12-12-2023 13:00"</f>
        <v>12-12-2023 13:00</v>
      </c>
      <c r="B291" s="2280" t="str">
        <f>"12-12-2023 14:00"</f>
        <v>12-12-2023 14:00</v>
      </c>
      <c r="C291" s="2278">
        <v>0.31</v>
      </c>
      <c r="F291" s="1721" t="str">
        <f>"12-01-2024 13:00"</f>
        <v>12-01-2024 13:00</v>
      </c>
      <c r="G291" s="1721" t="str">
        <f>"12-01-2024 14:00"</f>
        <v>12-01-2024 14:00</v>
      </c>
      <c r="H291" s="1721">
        <v>0.87</v>
      </c>
    </row>
    <row r="292" spans="1:9">
      <c r="A292" s="2280" t="str">
        <f>"12-12-2023 14:00"</f>
        <v>12-12-2023 14:00</v>
      </c>
      <c r="B292" s="2280" t="str">
        <f>"12-12-2023 15:00"</f>
        <v>12-12-2023 15:00</v>
      </c>
      <c r="C292" s="2278">
        <v>0.4</v>
      </c>
      <c r="F292" s="1721" t="str">
        <f>"12-01-2024 14:00"</f>
        <v>12-01-2024 14:00</v>
      </c>
      <c r="G292" s="1721" t="str">
        <f>"12-01-2024 15:00"</f>
        <v>12-01-2024 15:00</v>
      </c>
      <c r="H292" s="1721">
        <v>0.15</v>
      </c>
    </row>
    <row r="293" spans="1:9">
      <c r="A293" s="2280" t="str">
        <f>"12-12-2023 15:00"</f>
        <v>12-12-2023 15:00</v>
      </c>
      <c r="B293" s="2280" t="str">
        <f>"12-12-2023 16:00"</f>
        <v>12-12-2023 16:00</v>
      </c>
      <c r="C293" s="2278">
        <v>0.38</v>
      </c>
      <c r="F293" s="1721" t="str">
        <f>"12-01-2024 15:00"</f>
        <v>12-01-2024 15:00</v>
      </c>
      <c r="G293" s="1721" t="str">
        <f>"12-01-2024 16:00"</f>
        <v>12-01-2024 16:00</v>
      </c>
      <c r="H293" s="1721">
        <v>1.74</v>
      </c>
    </row>
    <row r="294" spans="1:9">
      <c r="A294" s="2280" t="str">
        <f>"12-12-2023 16:00"</f>
        <v>12-12-2023 16:00</v>
      </c>
      <c r="B294" s="2280" t="str">
        <f>"12-12-2023 17:00"</f>
        <v>12-12-2023 17:00</v>
      </c>
      <c r="C294" s="2278">
        <v>0.44</v>
      </c>
      <c r="F294" s="1721" t="str">
        <f>"12-01-2024 16:00"</f>
        <v>12-01-2024 16:00</v>
      </c>
      <c r="G294" s="1721" t="str">
        <f>"12-01-2024 17:00"</f>
        <v>12-01-2024 17:00</v>
      </c>
      <c r="H294" s="1721">
        <v>1.1000000000000001</v>
      </c>
    </row>
    <row r="295" spans="1:9">
      <c r="A295" s="2280" t="str">
        <f>"12-12-2023 17:00"</f>
        <v>12-12-2023 17:00</v>
      </c>
      <c r="B295" s="2280" t="str">
        <f>"12-12-2023 18:00"</f>
        <v>12-12-2023 18:00</v>
      </c>
      <c r="C295" s="2278">
        <v>0.82</v>
      </c>
      <c r="F295" s="1721" t="str">
        <f>"12-01-2024 17:00"</f>
        <v>12-01-2024 17:00</v>
      </c>
      <c r="G295" s="1721" t="str">
        <f>"12-01-2024 18:00"</f>
        <v>12-01-2024 18:00</v>
      </c>
      <c r="H295" s="1721">
        <v>1.77</v>
      </c>
    </row>
    <row r="296" spans="1:9">
      <c r="A296" s="2280" t="str">
        <f>"12-12-2023 18:00"</f>
        <v>12-12-2023 18:00</v>
      </c>
      <c r="B296" s="2280" t="str">
        <f>"12-12-2023 19:00"</f>
        <v>12-12-2023 19:00</v>
      </c>
      <c r="C296" s="2278">
        <v>0.48</v>
      </c>
      <c r="F296" s="1721" t="str">
        <f>"12-01-2024 18:00"</f>
        <v>12-01-2024 18:00</v>
      </c>
      <c r="G296" s="1721" t="str">
        <f>"12-01-2024 19:00"</f>
        <v>12-01-2024 19:00</v>
      </c>
      <c r="H296" s="1721">
        <v>0.49</v>
      </c>
    </row>
    <row r="297" spans="1:9">
      <c r="A297" s="2280" t="str">
        <f>"12-12-2023 19:00"</f>
        <v>12-12-2023 19:00</v>
      </c>
      <c r="B297" s="2280" t="str">
        <f>"12-12-2023 20:00"</f>
        <v>12-12-2023 20:00</v>
      </c>
      <c r="C297" s="2278">
        <v>0.46</v>
      </c>
      <c r="F297" s="1721" t="str">
        <f>"12-01-2024 19:00"</f>
        <v>12-01-2024 19:00</v>
      </c>
      <c r="G297" s="1721" t="str">
        <f>"12-01-2024 20:00"</f>
        <v>12-01-2024 20:00</v>
      </c>
      <c r="H297" s="1721">
        <v>0.47</v>
      </c>
    </row>
    <row r="298" spans="1:9">
      <c r="A298" s="2280" t="str">
        <f>"12-12-2023 20:00"</f>
        <v>12-12-2023 20:00</v>
      </c>
      <c r="B298" s="2280" t="str">
        <f>"12-12-2023 21:00"</f>
        <v>12-12-2023 21:00</v>
      </c>
      <c r="C298" s="2278">
        <v>0.56999999999999995</v>
      </c>
      <c r="F298" s="1721" t="str">
        <f>"12-01-2024 20:00"</f>
        <v>12-01-2024 20:00</v>
      </c>
      <c r="G298" s="1721" t="str">
        <f>"12-01-2024 21:00"</f>
        <v>12-01-2024 21:00</v>
      </c>
      <c r="H298" s="1721">
        <v>0.38</v>
      </c>
    </row>
    <row r="299" spans="1:9">
      <c r="A299" s="2280" t="str">
        <f>"12-12-2023 21:00"</f>
        <v>12-12-2023 21:00</v>
      </c>
      <c r="B299" s="2280" t="str">
        <f>"12-12-2023 22:00"</f>
        <v>12-12-2023 22:00</v>
      </c>
      <c r="C299" s="2278">
        <v>0.38</v>
      </c>
      <c r="F299" s="1721" t="str">
        <f>"12-01-2024 21:00"</f>
        <v>12-01-2024 21:00</v>
      </c>
      <c r="G299" s="1721" t="str">
        <f>"12-01-2024 22:00"</f>
        <v>12-01-2024 22:00</v>
      </c>
      <c r="H299" s="1721">
        <v>0.31</v>
      </c>
    </row>
    <row r="300" spans="1:9">
      <c r="A300" s="2280" t="str">
        <f>"12-12-2023 22:00"</f>
        <v>12-12-2023 22:00</v>
      </c>
      <c r="B300" s="2280" t="str">
        <f>"12-12-2023 23:00"</f>
        <v>12-12-2023 23:00</v>
      </c>
      <c r="C300" s="2278">
        <v>0.4</v>
      </c>
      <c r="F300" s="1721" t="str">
        <f>"12-01-2024 22:00"</f>
        <v>12-01-2024 22:00</v>
      </c>
      <c r="G300" s="1721" t="str">
        <f>"12-01-2024 23:00"</f>
        <v>12-01-2024 23:00</v>
      </c>
      <c r="H300" s="1721">
        <v>0.2</v>
      </c>
    </row>
    <row r="301" spans="1:9">
      <c r="A301" s="2284" t="str">
        <f>"12-12-2023 23:00"</f>
        <v>12-12-2023 23:00</v>
      </c>
      <c r="B301" s="2284" t="str">
        <f>"13-12-2023 00:00"</f>
        <v>13-12-2023 00:00</v>
      </c>
      <c r="C301" s="2278">
        <v>0.31</v>
      </c>
      <c r="D301" s="2284">
        <f>SUM(C278:C301)</f>
        <v>7.78</v>
      </c>
      <c r="F301" s="2384" t="str">
        <f>"12-01-2024 23:00"</f>
        <v>12-01-2024 23:00</v>
      </c>
      <c r="G301" s="2384" t="str">
        <f>"13-01-2024 00:00"</f>
        <v>13-01-2024 00:00</v>
      </c>
      <c r="H301" s="2384">
        <v>0.13</v>
      </c>
      <c r="I301" s="2322">
        <f>SUM(H278:H301)</f>
        <v>13.000000000000002</v>
      </c>
    </row>
    <row r="302" spans="1:9">
      <c r="A302" s="2280" t="s">
        <v>1644</v>
      </c>
      <c r="B302" s="2280" t="s">
        <v>1645</v>
      </c>
      <c r="C302" s="2281" t="s">
        <v>1147</v>
      </c>
      <c r="D302" s="2280" t="s">
        <v>567</v>
      </c>
      <c r="F302" s="2280" t="s">
        <v>1644</v>
      </c>
      <c r="G302" s="2280" t="s">
        <v>1645</v>
      </c>
      <c r="H302" s="2281" t="s">
        <v>1147</v>
      </c>
      <c r="I302" s="2280" t="s">
        <v>567</v>
      </c>
    </row>
    <row r="303" spans="1:9">
      <c r="A303" s="2280" t="str">
        <f>"13-12-2023 00:00"</f>
        <v>13-12-2023 00:00</v>
      </c>
      <c r="B303" s="2280" t="str">
        <f>"13-12-2023 01:00"</f>
        <v>13-12-2023 01:00</v>
      </c>
      <c r="C303" s="2278">
        <v>0.21</v>
      </c>
      <c r="F303" s="1721" t="str">
        <f>"13-01-2024 00:00"</f>
        <v>13-01-2024 00:00</v>
      </c>
      <c r="G303" s="1721" t="str">
        <f>"13-01-2024 01:00"</f>
        <v>13-01-2024 01:00</v>
      </c>
      <c r="H303" s="1721">
        <v>0.14000000000000001</v>
      </c>
    </row>
    <row r="304" spans="1:9">
      <c r="A304" s="2280" t="str">
        <f>"13-12-2023 01:00"</f>
        <v>13-12-2023 01:00</v>
      </c>
      <c r="B304" s="2280" t="str">
        <f>"13-12-2023 02:00"</f>
        <v>13-12-2023 02:00</v>
      </c>
      <c r="C304" s="2278">
        <v>0.23</v>
      </c>
      <c r="F304" s="1721" t="str">
        <f>"13-01-2024 01:00"</f>
        <v>13-01-2024 01:00</v>
      </c>
      <c r="G304" s="1721" t="str">
        <f>"13-01-2024 02:00"</f>
        <v>13-01-2024 02:00</v>
      </c>
      <c r="H304" s="1721">
        <v>0.11</v>
      </c>
    </row>
    <row r="305" spans="1:9">
      <c r="A305" s="2280" t="str">
        <f>"13-12-2023 02:00"</f>
        <v>13-12-2023 02:00</v>
      </c>
      <c r="B305" s="2280" t="str">
        <f>"13-12-2023 03:00"</f>
        <v>13-12-2023 03:00</v>
      </c>
      <c r="C305" s="2278">
        <v>0.13</v>
      </c>
      <c r="F305" s="1721" t="str">
        <f>"13-01-2024 02:00"</f>
        <v>13-01-2024 02:00</v>
      </c>
      <c r="G305" s="1721" t="str">
        <f>"13-01-2024 03:00"</f>
        <v>13-01-2024 03:00</v>
      </c>
      <c r="H305" s="1721">
        <v>0.13</v>
      </c>
    </row>
    <row r="306" spans="1:9">
      <c r="A306" s="2280" t="str">
        <f>"13-12-2023 03:00"</f>
        <v>13-12-2023 03:00</v>
      </c>
      <c r="B306" s="2280" t="str">
        <f>"13-12-2023 04:00"</f>
        <v>13-12-2023 04:00</v>
      </c>
      <c r="C306" s="2278">
        <v>0.13</v>
      </c>
      <c r="F306" s="1721" t="str">
        <f>"13-01-2024 03:00"</f>
        <v>13-01-2024 03:00</v>
      </c>
      <c r="G306" s="1721" t="str">
        <f>"13-01-2024 04:00"</f>
        <v>13-01-2024 04:00</v>
      </c>
      <c r="H306" s="1721">
        <v>0.13</v>
      </c>
    </row>
    <row r="307" spans="1:9">
      <c r="A307" s="2280" t="str">
        <f>"13-12-2023 04:00"</f>
        <v>13-12-2023 04:00</v>
      </c>
      <c r="B307" s="2280" t="str">
        <f>"13-12-2023 05:00"</f>
        <v>13-12-2023 05:00</v>
      </c>
      <c r="C307" s="2278">
        <v>0.17</v>
      </c>
      <c r="F307" s="1721" t="str">
        <f>"13-01-2024 04:00"</f>
        <v>13-01-2024 04:00</v>
      </c>
      <c r="G307" s="1721" t="str">
        <f>"13-01-2024 05:00"</f>
        <v>13-01-2024 05:00</v>
      </c>
      <c r="H307" s="1721">
        <v>0.11</v>
      </c>
    </row>
    <row r="308" spans="1:9">
      <c r="A308" s="2280" t="str">
        <f>"13-12-2023 05:00"</f>
        <v>13-12-2023 05:00</v>
      </c>
      <c r="B308" s="2280" t="str">
        <f>"13-12-2023 06:00"</f>
        <v>13-12-2023 06:00</v>
      </c>
      <c r="C308" s="2278">
        <v>0.16</v>
      </c>
      <c r="F308" s="1721" t="str">
        <f>"13-01-2024 05:00"</f>
        <v>13-01-2024 05:00</v>
      </c>
      <c r="G308" s="1721" t="str">
        <f>"13-01-2024 06:00"</f>
        <v>13-01-2024 06:00</v>
      </c>
      <c r="H308" s="1721">
        <v>0.12</v>
      </c>
    </row>
    <row r="309" spans="1:9">
      <c r="A309" s="2280" t="str">
        <f>"13-12-2023 06:00"</f>
        <v>13-12-2023 06:00</v>
      </c>
      <c r="B309" s="2280" t="str">
        <f>"13-12-2023 07:00"</f>
        <v>13-12-2023 07:00</v>
      </c>
      <c r="C309" s="2278">
        <v>0.34</v>
      </c>
      <c r="F309" s="1721" t="str">
        <f>"13-01-2024 06:00"</f>
        <v>13-01-2024 06:00</v>
      </c>
      <c r="G309" s="1721" t="str">
        <f>"13-01-2024 07:00"</f>
        <v>13-01-2024 07:00</v>
      </c>
      <c r="H309" s="1721">
        <v>0.14000000000000001</v>
      </c>
    </row>
    <row r="310" spans="1:9">
      <c r="A310" s="2280" t="str">
        <f>"13-12-2023 07:00"</f>
        <v>13-12-2023 07:00</v>
      </c>
      <c r="B310" s="2280" t="str">
        <f>"13-12-2023 08:00"</f>
        <v>13-12-2023 08:00</v>
      </c>
      <c r="C310" s="2278">
        <v>0.47</v>
      </c>
      <c r="F310" s="1721" t="str">
        <f>"13-01-2024 07:00"</f>
        <v>13-01-2024 07:00</v>
      </c>
      <c r="G310" s="1721" t="str">
        <f>"13-01-2024 08:00"</f>
        <v>13-01-2024 08:00</v>
      </c>
      <c r="H310" s="1721">
        <v>0.14000000000000001</v>
      </c>
      <c r="I310" s="2284"/>
    </row>
    <row r="311" spans="1:9">
      <c r="A311" s="2280" t="str">
        <f>"13-12-2023 08:00"</f>
        <v>13-12-2023 08:00</v>
      </c>
      <c r="B311" s="2280" t="str">
        <f>"13-12-2023 09:00"</f>
        <v>13-12-2023 09:00</v>
      </c>
      <c r="C311" s="2278">
        <v>0.41</v>
      </c>
      <c r="F311" s="1721" t="str">
        <f>"13-01-2024 08:00"</f>
        <v>13-01-2024 08:00</v>
      </c>
      <c r="G311" s="1721" t="str">
        <f>"13-01-2024 09:00"</f>
        <v>13-01-2024 09:00</v>
      </c>
      <c r="H311" s="1721">
        <v>0.14000000000000001</v>
      </c>
    </row>
    <row r="312" spans="1:9">
      <c r="A312" s="2280" t="str">
        <f>"13-12-2023 09:00"</f>
        <v>13-12-2023 09:00</v>
      </c>
      <c r="B312" s="2280" t="str">
        <f>"13-12-2023 10:00"</f>
        <v>13-12-2023 10:00</v>
      </c>
      <c r="C312" s="2278">
        <v>0.46</v>
      </c>
      <c r="F312" s="1721" t="str">
        <f>"13-01-2024 09:00"</f>
        <v>13-01-2024 09:00</v>
      </c>
      <c r="G312" s="1721" t="str">
        <f>"13-01-2024 10:00"</f>
        <v>13-01-2024 10:00</v>
      </c>
      <c r="H312" s="1721">
        <v>0.28000000000000003</v>
      </c>
    </row>
    <row r="313" spans="1:9">
      <c r="A313" s="2280" t="str">
        <f>"13-12-2023 10:00"</f>
        <v>13-12-2023 10:00</v>
      </c>
      <c r="B313" s="2280" t="str">
        <f>"13-12-2023 11:00"</f>
        <v>13-12-2023 11:00</v>
      </c>
      <c r="C313" s="2278">
        <v>0.45</v>
      </c>
      <c r="F313" s="1721" t="str">
        <f>"13-01-2024 10:00"</f>
        <v>13-01-2024 10:00</v>
      </c>
      <c r="G313" s="1721" t="str">
        <f>"13-01-2024 11:00"</f>
        <v>13-01-2024 11:00</v>
      </c>
      <c r="H313" s="1721">
        <v>0.36</v>
      </c>
    </row>
    <row r="314" spans="1:9">
      <c r="A314" s="2280" t="str">
        <f>"13-12-2023 11:00"</f>
        <v>13-12-2023 11:00</v>
      </c>
      <c r="B314" s="2280" t="str">
        <f>"13-12-2023 12:00"</f>
        <v>13-12-2023 12:00</v>
      </c>
      <c r="C314" s="2278">
        <v>0.53</v>
      </c>
      <c r="F314" s="1721" t="str">
        <f>"13-01-2024 11:00"</f>
        <v>13-01-2024 11:00</v>
      </c>
      <c r="G314" s="1721" t="str">
        <f>"13-01-2024 12:00"</f>
        <v>13-01-2024 12:00</v>
      </c>
      <c r="H314" s="1721">
        <v>0.56000000000000005</v>
      </c>
    </row>
    <row r="315" spans="1:9">
      <c r="A315" s="2280" t="str">
        <f>"13-12-2023 12:00"</f>
        <v>13-12-2023 12:00</v>
      </c>
      <c r="B315" s="2280" t="str">
        <f>"13-12-2023 13:00"</f>
        <v>13-12-2023 13:00</v>
      </c>
      <c r="C315" s="2278">
        <v>0.43</v>
      </c>
      <c r="F315" s="1721" t="str">
        <f>"13-01-2024 12:00"</f>
        <v>13-01-2024 12:00</v>
      </c>
      <c r="G315" s="1721" t="str">
        <f>"13-01-2024 13:00"</f>
        <v>13-01-2024 13:00</v>
      </c>
      <c r="H315" s="1721">
        <v>0.37</v>
      </c>
    </row>
    <row r="316" spans="1:9">
      <c r="A316" s="2280" t="str">
        <f>"13-12-2023 13:00"</f>
        <v>13-12-2023 13:00</v>
      </c>
      <c r="B316" s="2280" t="str">
        <f>"13-12-2023 14:00"</f>
        <v>13-12-2023 14:00</v>
      </c>
      <c r="C316" s="2278">
        <v>0.34</v>
      </c>
      <c r="F316" s="1721" t="str">
        <f>"13-01-2024 13:00"</f>
        <v>13-01-2024 13:00</v>
      </c>
      <c r="G316" s="1721" t="str">
        <f>"13-01-2024 14:00"</f>
        <v>13-01-2024 14:00</v>
      </c>
      <c r="H316" s="1721">
        <v>0.39</v>
      </c>
    </row>
    <row r="317" spans="1:9">
      <c r="A317" s="2280" t="str">
        <f>"13-12-2023 14:00"</f>
        <v>13-12-2023 14:00</v>
      </c>
      <c r="B317" s="2280" t="str">
        <f>"13-12-2023 15:00"</f>
        <v>13-12-2023 15:00</v>
      </c>
      <c r="C317" s="2278">
        <v>0.27</v>
      </c>
      <c r="F317" s="1721" t="str">
        <f>"13-01-2024 14:00"</f>
        <v>13-01-2024 14:00</v>
      </c>
      <c r="G317" s="1721" t="str">
        <f>"13-01-2024 15:00"</f>
        <v>13-01-2024 15:00</v>
      </c>
      <c r="H317" s="1721">
        <v>0.38</v>
      </c>
    </row>
    <row r="318" spans="1:9">
      <c r="A318" s="2280" t="str">
        <f>"13-12-2023 15:00"</f>
        <v>13-12-2023 15:00</v>
      </c>
      <c r="B318" s="2280" t="str">
        <f>"13-12-2023 16:00"</f>
        <v>13-12-2023 16:00</v>
      </c>
      <c r="C318" s="2278">
        <v>0.43</v>
      </c>
      <c r="F318" s="1721" t="str">
        <f>"13-01-2024 15:00"</f>
        <v>13-01-2024 15:00</v>
      </c>
      <c r="G318" s="1721" t="str">
        <f>"13-01-2024 16:00"</f>
        <v>13-01-2024 16:00</v>
      </c>
      <c r="H318" s="1721">
        <v>0.37</v>
      </c>
    </row>
    <row r="319" spans="1:9">
      <c r="A319" s="2280" t="str">
        <f>"13-12-2023 16:00"</f>
        <v>13-12-2023 16:00</v>
      </c>
      <c r="B319" s="2280" t="str">
        <f>"13-12-2023 17:00"</f>
        <v>13-12-2023 17:00</v>
      </c>
      <c r="C319" s="2278">
        <v>0.34</v>
      </c>
      <c r="F319" s="1721" t="str">
        <f>"13-01-2024 16:00"</f>
        <v>13-01-2024 16:00</v>
      </c>
      <c r="G319" s="1721" t="str">
        <f>"13-01-2024 17:00"</f>
        <v>13-01-2024 17:00</v>
      </c>
      <c r="H319" s="1721">
        <v>0.33</v>
      </c>
    </row>
    <row r="320" spans="1:9">
      <c r="A320" s="2280" t="str">
        <f>"13-12-2023 17:00"</f>
        <v>13-12-2023 17:00</v>
      </c>
      <c r="B320" s="2280" t="str">
        <f>"13-12-2023 18:00"</f>
        <v>13-12-2023 18:00</v>
      </c>
      <c r="C320" s="2278">
        <v>0.61</v>
      </c>
      <c r="F320" s="1721" t="str">
        <f>"13-01-2024 17:00"</f>
        <v>13-01-2024 17:00</v>
      </c>
      <c r="G320" s="1721" t="str">
        <f>"13-01-2024 18:00"</f>
        <v>13-01-2024 18:00</v>
      </c>
      <c r="H320" s="1721">
        <v>0.47</v>
      </c>
    </row>
    <row r="321" spans="1:9">
      <c r="A321" s="2280" t="str">
        <f>"13-12-2023 18:00"</f>
        <v>13-12-2023 18:00</v>
      </c>
      <c r="B321" s="2280" t="str">
        <f>"13-12-2023 19:00"</f>
        <v>13-12-2023 19:00</v>
      </c>
      <c r="C321" s="2278">
        <v>0.51</v>
      </c>
      <c r="F321" s="1721" t="str">
        <f>"13-01-2024 18:00"</f>
        <v>13-01-2024 18:00</v>
      </c>
      <c r="G321" s="1721" t="str">
        <f>"13-01-2024 19:00"</f>
        <v>13-01-2024 19:00</v>
      </c>
      <c r="H321" s="1721">
        <v>0.33</v>
      </c>
    </row>
    <row r="322" spans="1:9">
      <c r="A322" s="2280" t="str">
        <f>"13-12-2023 19:00"</f>
        <v>13-12-2023 19:00</v>
      </c>
      <c r="B322" s="2280" t="str">
        <f>"13-12-2023 20:00"</f>
        <v>13-12-2023 20:00</v>
      </c>
      <c r="C322" s="2278">
        <v>0.5</v>
      </c>
      <c r="F322" s="1721" t="str">
        <f>"13-01-2024 19:00"</f>
        <v>13-01-2024 19:00</v>
      </c>
      <c r="G322" s="1721" t="str">
        <f>"13-01-2024 20:00"</f>
        <v>13-01-2024 20:00</v>
      </c>
      <c r="H322" s="1721">
        <v>0.37</v>
      </c>
    </row>
    <row r="323" spans="1:9">
      <c r="A323" s="2280" t="str">
        <f>"13-12-2023 20:00"</f>
        <v>13-12-2023 20:00</v>
      </c>
      <c r="B323" s="2280" t="str">
        <f>"13-12-2023 21:00"</f>
        <v>13-12-2023 21:00</v>
      </c>
      <c r="C323" s="2278">
        <v>0.38</v>
      </c>
      <c r="F323" s="1721" t="str">
        <f>"13-01-2024 20:00"</f>
        <v>13-01-2024 20:00</v>
      </c>
      <c r="G323" s="1721" t="str">
        <f>"13-01-2024 21:00"</f>
        <v>13-01-2024 21:00</v>
      </c>
      <c r="H323" s="1721">
        <v>0.41</v>
      </c>
    </row>
    <row r="324" spans="1:9">
      <c r="A324" s="2280" t="str">
        <f>"13-12-2023 21:00"</f>
        <v>13-12-2023 21:00</v>
      </c>
      <c r="B324" s="2280" t="str">
        <f>"13-12-2023 22:00"</f>
        <v>13-12-2023 22:00</v>
      </c>
      <c r="C324" s="2278">
        <v>0.39</v>
      </c>
      <c r="F324" s="1721" t="str">
        <f>"13-01-2024 21:00"</f>
        <v>13-01-2024 21:00</v>
      </c>
      <c r="G324" s="1721" t="str">
        <f>"13-01-2024 22:00"</f>
        <v>13-01-2024 22:00</v>
      </c>
      <c r="H324" s="1721">
        <v>0.35</v>
      </c>
    </row>
    <row r="325" spans="1:9">
      <c r="A325" s="2280" t="str">
        <f>"13-12-2023 22:00"</f>
        <v>13-12-2023 22:00</v>
      </c>
      <c r="B325" s="2280" t="str">
        <f>"13-12-2023 23:00"</f>
        <v>13-12-2023 23:00</v>
      </c>
      <c r="C325" s="2278">
        <v>0.28000000000000003</v>
      </c>
      <c r="F325" s="1721" t="str">
        <f>"13-01-2024 22:00"</f>
        <v>13-01-2024 22:00</v>
      </c>
      <c r="G325" s="1721" t="str">
        <f>"13-01-2024 23:00"</f>
        <v>13-01-2024 23:00</v>
      </c>
      <c r="H325" s="1721">
        <v>0.19</v>
      </c>
    </row>
    <row r="326" spans="1:9">
      <c r="A326" s="2284" t="str">
        <f>"13-12-2023 23:00"</f>
        <v>13-12-2023 23:00</v>
      </c>
      <c r="B326" s="2284" t="str">
        <f>"14-12-2023 00:00"</f>
        <v>14-12-2023 00:00</v>
      </c>
      <c r="C326" s="2278">
        <v>0.22</v>
      </c>
      <c r="D326" s="2284">
        <f>SUM(C303:C326)</f>
        <v>8.39</v>
      </c>
      <c r="F326" s="2384" t="str">
        <f>"13-01-2024 23:00"</f>
        <v>13-01-2024 23:00</v>
      </c>
      <c r="G326" s="2384" t="str">
        <f>"14-01-2024 00:00"</f>
        <v>14-01-2024 00:00</v>
      </c>
      <c r="H326" s="2384">
        <v>0.14000000000000001</v>
      </c>
      <c r="I326" s="2322">
        <f>SUM(H303:H326)</f>
        <v>6.46</v>
      </c>
    </row>
    <row r="327" spans="1:9">
      <c r="A327" s="2280" t="s">
        <v>1644</v>
      </c>
      <c r="B327" s="2280" t="s">
        <v>1645</v>
      </c>
      <c r="C327" s="2281" t="s">
        <v>1147</v>
      </c>
      <c r="D327" s="2280" t="s">
        <v>567</v>
      </c>
      <c r="F327" s="2280" t="s">
        <v>1644</v>
      </c>
      <c r="G327" s="2280" t="s">
        <v>1645</v>
      </c>
      <c r="H327" s="2281" t="s">
        <v>1147</v>
      </c>
      <c r="I327" s="2280" t="s">
        <v>567</v>
      </c>
    </row>
    <row r="328" spans="1:9">
      <c r="A328" s="2280" t="str">
        <f>"14-12-2023 00:00"</f>
        <v>14-12-2023 00:00</v>
      </c>
      <c r="B328" s="2280" t="str">
        <f>"14-12-2023 01:00"</f>
        <v>14-12-2023 01:00</v>
      </c>
      <c r="C328" s="2278">
        <v>0.16</v>
      </c>
      <c r="F328" s="1721" t="str">
        <f>"14-01-2024 00:00"</f>
        <v>14-01-2024 00:00</v>
      </c>
      <c r="G328" s="1721" t="str">
        <f>"14-01-2024 01:00"</f>
        <v>14-01-2024 01:00</v>
      </c>
      <c r="H328" s="1721">
        <v>0.13</v>
      </c>
    </row>
    <row r="329" spans="1:9">
      <c r="A329" s="2280" t="str">
        <f>"14-12-2023 01:00"</f>
        <v>14-12-2023 01:00</v>
      </c>
      <c r="B329" s="2280" t="str">
        <f>"14-12-2023 02:00"</f>
        <v>14-12-2023 02:00</v>
      </c>
      <c r="C329" s="2278">
        <v>0.16</v>
      </c>
      <c r="F329" s="1721" t="str">
        <f>"14-01-2024 01:00"</f>
        <v>14-01-2024 01:00</v>
      </c>
      <c r="G329" s="1721" t="str">
        <f>"14-01-2024 02:00"</f>
        <v>14-01-2024 02:00</v>
      </c>
      <c r="H329" s="1721">
        <v>0.12</v>
      </c>
    </row>
    <row r="330" spans="1:9">
      <c r="A330" s="2280" t="str">
        <f>"14-12-2023 02:00"</f>
        <v>14-12-2023 02:00</v>
      </c>
      <c r="B330" s="2280" t="str">
        <f>"14-12-2023 03:00"</f>
        <v>14-12-2023 03:00</v>
      </c>
      <c r="C330" s="2278">
        <v>0.22</v>
      </c>
      <c r="F330" s="1721" t="str">
        <f>"14-01-2024 02:00"</f>
        <v>14-01-2024 02:00</v>
      </c>
      <c r="G330" s="1721" t="str">
        <f>"14-01-2024 03:00"</f>
        <v>14-01-2024 03:00</v>
      </c>
      <c r="H330" s="1721">
        <v>0.14000000000000001</v>
      </c>
    </row>
    <row r="331" spans="1:9">
      <c r="A331" s="2280" t="str">
        <f>"14-12-2023 03:00"</f>
        <v>14-12-2023 03:00</v>
      </c>
      <c r="B331" s="2280" t="str">
        <f>"14-12-2023 04:00"</f>
        <v>14-12-2023 04:00</v>
      </c>
      <c r="C331" s="2278">
        <v>0.21</v>
      </c>
      <c r="F331" s="1721" t="str">
        <f>"14-01-2024 03:00"</f>
        <v>14-01-2024 03:00</v>
      </c>
      <c r="G331" s="1721" t="str">
        <f>"14-01-2024 04:00"</f>
        <v>14-01-2024 04:00</v>
      </c>
      <c r="H331" s="1721">
        <v>0.13</v>
      </c>
    </row>
    <row r="332" spans="1:9">
      <c r="A332" s="2280" t="str">
        <f>"14-12-2023 04:00"</f>
        <v>14-12-2023 04:00</v>
      </c>
      <c r="B332" s="2280" t="str">
        <f>"14-12-2023 05:00"</f>
        <v>14-12-2023 05:00</v>
      </c>
      <c r="C332" s="2278">
        <v>0.12</v>
      </c>
      <c r="F332" s="1721" t="str">
        <f>"14-01-2024 04:00"</f>
        <v>14-01-2024 04:00</v>
      </c>
      <c r="G332" s="1721" t="str">
        <f>"14-01-2024 05:00"</f>
        <v>14-01-2024 05:00</v>
      </c>
      <c r="H332" s="1721">
        <v>0.12</v>
      </c>
    </row>
    <row r="333" spans="1:9">
      <c r="A333" s="2280" t="str">
        <f>"14-12-2023 05:00"</f>
        <v>14-12-2023 05:00</v>
      </c>
      <c r="B333" s="2280" t="str">
        <f>"14-12-2023 06:00"</f>
        <v>14-12-2023 06:00</v>
      </c>
      <c r="C333" s="2278">
        <v>0.18</v>
      </c>
      <c r="F333" s="1721" t="str">
        <f>"14-01-2024 05:00"</f>
        <v>14-01-2024 05:00</v>
      </c>
      <c r="G333" s="1721" t="str">
        <f>"14-01-2024 06:00"</f>
        <v>14-01-2024 06:00</v>
      </c>
      <c r="H333" s="1721">
        <v>0.15</v>
      </c>
    </row>
    <row r="334" spans="1:9">
      <c r="A334" s="2280" t="str">
        <f>"14-12-2023 06:00"</f>
        <v>14-12-2023 06:00</v>
      </c>
      <c r="B334" s="2280" t="str">
        <f>"14-12-2023 07:00"</f>
        <v>14-12-2023 07:00</v>
      </c>
      <c r="C334" s="2278">
        <v>0.17</v>
      </c>
      <c r="F334" s="1721" t="str">
        <f>"14-01-2024 06:00"</f>
        <v>14-01-2024 06:00</v>
      </c>
      <c r="G334" s="1721" t="str">
        <f>"14-01-2024 07:00"</f>
        <v>14-01-2024 07:00</v>
      </c>
      <c r="H334" s="1721">
        <v>0.17</v>
      </c>
    </row>
    <row r="335" spans="1:9">
      <c r="A335" s="2280" t="str">
        <f>"14-12-2023 07:00"</f>
        <v>14-12-2023 07:00</v>
      </c>
      <c r="B335" s="2280" t="str">
        <f>"14-12-2023 08:00"</f>
        <v>14-12-2023 08:00</v>
      </c>
      <c r="C335" s="2278">
        <v>0.15</v>
      </c>
      <c r="F335" s="1721" t="str">
        <f>"14-01-2024 07:00"</f>
        <v>14-01-2024 07:00</v>
      </c>
      <c r="G335" s="1721" t="str">
        <f>"14-01-2024 08:00"</f>
        <v>14-01-2024 08:00</v>
      </c>
      <c r="H335" s="1721">
        <v>0.33</v>
      </c>
    </row>
    <row r="336" spans="1:9">
      <c r="A336" s="2280" t="str">
        <f>"14-12-2023 08:00"</f>
        <v>14-12-2023 08:00</v>
      </c>
      <c r="B336" s="2280" t="str">
        <f>"14-12-2023 09:00"</f>
        <v>14-12-2023 09:00</v>
      </c>
      <c r="C336" s="2278">
        <v>0.28999999999999998</v>
      </c>
      <c r="F336" s="1721" t="str">
        <f>"14-01-2024 08:00"</f>
        <v>14-01-2024 08:00</v>
      </c>
      <c r="G336" s="1721" t="str">
        <f>"14-01-2024 09:00"</f>
        <v>14-01-2024 09:00</v>
      </c>
      <c r="H336" s="1721">
        <v>0.34</v>
      </c>
      <c r="I336" s="2284"/>
    </row>
    <row r="337" spans="1:9">
      <c r="A337" s="2280" t="str">
        <f>"14-12-2023 09:00"</f>
        <v>14-12-2023 09:00</v>
      </c>
      <c r="B337" s="2280" t="str">
        <f>"14-12-2023 10:00"</f>
        <v>14-12-2023 10:00</v>
      </c>
      <c r="C337" s="2278">
        <v>0.39</v>
      </c>
      <c r="F337" s="1721" t="str">
        <f>"14-01-2024 09:00"</f>
        <v>14-01-2024 09:00</v>
      </c>
      <c r="G337" s="1721" t="str">
        <f>"14-01-2024 10:00"</f>
        <v>14-01-2024 10:00</v>
      </c>
      <c r="H337" s="1721">
        <v>0.36</v>
      </c>
    </row>
    <row r="338" spans="1:9">
      <c r="A338" s="2280" t="str">
        <f>"14-12-2023 10:00"</f>
        <v>14-12-2023 10:00</v>
      </c>
      <c r="B338" s="2280" t="str">
        <f>"14-12-2023 11:00"</f>
        <v>14-12-2023 11:00</v>
      </c>
      <c r="C338" s="2278">
        <v>0.36</v>
      </c>
      <c r="F338" s="1721" t="str">
        <f>"14-01-2024 10:00"</f>
        <v>14-01-2024 10:00</v>
      </c>
      <c r="G338" s="1721" t="str">
        <f>"14-01-2024 11:00"</f>
        <v>14-01-2024 11:00</v>
      </c>
      <c r="H338" s="1721">
        <v>0.56000000000000005</v>
      </c>
    </row>
    <row r="339" spans="1:9">
      <c r="A339" s="2280" t="str">
        <f>"14-12-2023 11:00"</f>
        <v>14-12-2023 11:00</v>
      </c>
      <c r="B339" s="2280" t="str">
        <f>"14-12-2023 12:00"</f>
        <v>14-12-2023 12:00</v>
      </c>
      <c r="C339" s="2278">
        <v>0.25</v>
      </c>
      <c r="F339" s="1721" t="str">
        <f>"14-01-2024 11:00"</f>
        <v>14-01-2024 11:00</v>
      </c>
      <c r="G339" s="1721" t="str">
        <f>"14-01-2024 12:00"</f>
        <v>14-01-2024 12:00</v>
      </c>
      <c r="H339" s="1721">
        <v>0.17</v>
      </c>
    </row>
    <row r="340" spans="1:9">
      <c r="A340" s="2280" t="str">
        <f>"14-12-2023 12:00"</f>
        <v>14-12-2023 12:00</v>
      </c>
      <c r="B340" s="2280" t="str">
        <f>"14-12-2023 13:00"</f>
        <v>14-12-2023 13:00</v>
      </c>
      <c r="C340" s="2278">
        <v>0.5</v>
      </c>
      <c r="F340" s="1721" t="str">
        <f>"14-01-2024 12:00"</f>
        <v>14-01-2024 12:00</v>
      </c>
      <c r="G340" s="1721" t="str">
        <f>"14-01-2024 13:00"</f>
        <v>14-01-2024 13:00</v>
      </c>
      <c r="H340" s="1721">
        <v>0.23</v>
      </c>
    </row>
    <row r="341" spans="1:9">
      <c r="A341" s="2280" t="str">
        <f>"14-12-2023 13:00"</f>
        <v>14-12-2023 13:00</v>
      </c>
      <c r="B341" s="2280" t="str">
        <f>"14-12-2023 14:00"</f>
        <v>14-12-2023 14:00</v>
      </c>
      <c r="C341" s="2278">
        <v>0.3</v>
      </c>
      <c r="F341" s="1721" t="str">
        <f>"14-01-2024 13:00"</f>
        <v>14-01-2024 13:00</v>
      </c>
      <c r="G341" s="1721" t="str">
        <f>"14-01-2024 14:00"</f>
        <v>14-01-2024 14:00</v>
      </c>
      <c r="H341" s="1721">
        <v>0.37</v>
      </c>
    </row>
    <row r="342" spans="1:9">
      <c r="A342" s="2280" t="str">
        <f>"14-12-2023 14:00"</f>
        <v>14-12-2023 14:00</v>
      </c>
      <c r="B342" s="2280" t="str">
        <f>"14-12-2023 15:00"</f>
        <v>14-12-2023 15:00</v>
      </c>
      <c r="C342" s="2278">
        <v>0.9</v>
      </c>
      <c r="F342" s="1721" t="str">
        <f>"14-01-2024 14:00"</f>
        <v>14-01-2024 14:00</v>
      </c>
      <c r="G342" s="1721" t="str">
        <f>"14-01-2024 15:00"</f>
        <v>14-01-2024 15:00</v>
      </c>
      <c r="H342" s="1721">
        <v>0.32</v>
      </c>
    </row>
    <row r="343" spans="1:9">
      <c r="A343" s="2280" t="str">
        <f>"14-12-2023 15:00"</f>
        <v>14-12-2023 15:00</v>
      </c>
      <c r="B343" s="2280" t="str">
        <f>"14-12-2023 16:00"</f>
        <v>14-12-2023 16:00</v>
      </c>
      <c r="C343" s="2278">
        <v>0.8</v>
      </c>
      <c r="F343" s="1721" t="str">
        <f>"14-01-2024 15:00"</f>
        <v>14-01-2024 15:00</v>
      </c>
      <c r="G343" s="1721" t="str">
        <f>"14-01-2024 16:00"</f>
        <v>14-01-2024 16:00</v>
      </c>
      <c r="H343" s="1721">
        <v>0.38</v>
      </c>
    </row>
    <row r="344" spans="1:9">
      <c r="A344" s="2280" t="str">
        <f>"14-12-2023 16:00"</f>
        <v>14-12-2023 16:00</v>
      </c>
      <c r="B344" s="2280" t="str">
        <f>"14-12-2023 17:00"</f>
        <v>14-12-2023 17:00</v>
      </c>
      <c r="C344" s="2278">
        <v>1.87</v>
      </c>
      <c r="F344" s="1721" t="str">
        <f>"14-01-2024 16:00"</f>
        <v>14-01-2024 16:00</v>
      </c>
      <c r="G344" s="1721" t="str">
        <f>"14-01-2024 17:00"</f>
        <v>14-01-2024 17:00</v>
      </c>
      <c r="H344" s="1721">
        <v>0.32</v>
      </c>
    </row>
    <row r="345" spans="1:9">
      <c r="A345" s="2280" t="str">
        <f>"14-12-2023 17:00"</f>
        <v>14-12-2023 17:00</v>
      </c>
      <c r="B345" s="2280" t="str">
        <f>"14-12-2023 18:00"</f>
        <v>14-12-2023 18:00</v>
      </c>
      <c r="C345" s="2278">
        <v>0.97</v>
      </c>
      <c r="F345" s="1721" t="str">
        <f>"14-01-2024 17:00"</f>
        <v>14-01-2024 17:00</v>
      </c>
      <c r="G345" s="1721" t="str">
        <f>"14-01-2024 18:00"</f>
        <v>14-01-2024 18:00</v>
      </c>
      <c r="H345" s="1721">
        <v>0.7</v>
      </c>
    </row>
    <row r="346" spans="1:9">
      <c r="A346" s="2280" t="str">
        <f>"14-12-2023 18:00"</f>
        <v>14-12-2023 18:00</v>
      </c>
      <c r="B346" s="2280" t="str">
        <f>"14-12-2023 19:00"</f>
        <v>14-12-2023 19:00</v>
      </c>
      <c r="C346" s="2278">
        <v>0.59</v>
      </c>
      <c r="F346" s="1721" t="str">
        <f>"14-01-2024 18:00"</f>
        <v>14-01-2024 18:00</v>
      </c>
      <c r="G346" s="1721" t="str">
        <f>"14-01-2024 19:00"</f>
        <v>14-01-2024 19:00</v>
      </c>
      <c r="H346" s="1721">
        <v>0.41</v>
      </c>
    </row>
    <row r="347" spans="1:9">
      <c r="A347" s="2280" t="str">
        <f>"14-12-2023 19:00"</f>
        <v>14-12-2023 19:00</v>
      </c>
      <c r="B347" s="2280" t="str">
        <f>"14-12-2023 20:00"</f>
        <v>14-12-2023 20:00</v>
      </c>
      <c r="C347" s="2278">
        <v>0.34</v>
      </c>
      <c r="F347" s="1721" t="str">
        <f>"14-01-2024 19:00"</f>
        <v>14-01-2024 19:00</v>
      </c>
      <c r="G347" s="1721" t="str">
        <f>"14-01-2024 20:00"</f>
        <v>14-01-2024 20:00</v>
      </c>
      <c r="H347" s="1721">
        <v>0.33</v>
      </c>
    </row>
    <row r="348" spans="1:9">
      <c r="A348" s="2280" t="str">
        <f>"14-12-2023 20:00"</f>
        <v>14-12-2023 20:00</v>
      </c>
      <c r="B348" s="2280" t="str">
        <f>"14-12-2023 21:00"</f>
        <v>14-12-2023 21:00</v>
      </c>
      <c r="C348" s="2278">
        <v>0.39</v>
      </c>
      <c r="F348" s="1721" t="str">
        <f>"14-01-2024 20:00"</f>
        <v>14-01-2024 20:00</v>
      </c>
      <c r="G348" s="1721" t="str">
        <f>"14-01-2024 21:00"</f>
        <v>14-01-2024 21:00</v>
      </c>
      <c r="H348" s="1721">
        <v>0.36</v>
      </c>
    </row>
    <row r="349" spans="1:9">
      <c r="A349" s="2280" t="str">
        <f>"14-12-2023 21:00"</f>
        <v>14-12-2023 21:00</v>
      </c>
      <c r="B349" s="2280" t="str">
        <f>"14-12-2023 22:00"</f>
        <v>14-12-2023 22:00</v>
      </c>
      <c r="C349" s="2278">
        <v>0.33</v>
      </c>
      <c r="F349" s="1721" t="str">
        <f>"14-01-2024 21:00"</f>
        <v>14-01-2024 21:00</v>
      </c>
      <c r="G349" s="1721" t="str">
        <f>"14-01-2024 22:00"</f>
        <v>14-01-2024 22:00</v>
      </c>
      <c r="H349" s="1721">
        <v>0.36</v>
      </c>
    </row>
    <row r="350" spans="1:9">
      <c r="A350" s="2280" t="str">
        <f>"14-12-2023 22:00"</f>
        <v>14-12-2023 22:00</v>
      </c>
      <c r="B350" s="2280" t="str">
        <f>"14-12-2023 23:00"</f>
        <v>14-12-2023 23:00</v>
      </c>
      <c r="C350" s="2278">
        <v>0.3</v>
      </c>
      <c r="F350" s="1721" t="str">
        <f>"14-01-2024 22:00"</f>
        <v>14-01-2024 22:00</v>
      </c>
      <c r="G350" s="1721" t="str">
        <f>"14-01-2024 23:00"</f>
        <v>14-01-2024 23:00</v>
      </c>
      <c r="H350" s="1721">
        <v>0.28000000000000003</v>
      </c>
    </row>
    <row r="351" spans="1:9">
      <c r="A351" s="2284" t="str">
        <f>"14-12-2023 23:00"</f>
        <v>14-12-2023 23:00</v>
      </c>
      <c r="B351" s="2284" t="str">
        <f>"15-12-2023 00:00"</f>
        <v>15-12-2023 00:00</v>
      </c>
      <c r="C351" s="2278">
        <v>0.21</v>
      </c>
      <c r="D351" s="2284">
        <f>SUM(C328:C351)</f>
        <v>10.160000000000002</v>
      </c>
      <c r="F351" s="2384" t="str">
        <f>"14-01-2024 23:00"</f>
        <v>14-01-2024 23:00</v>
      </c>
      <c r="G351" s="2384" t="str">
        <f>"15-01-2024 00:00"</f>
        <v>15-01-2024 00:00</v>
      </c>
      <c r="H351" s="2384">
        <v>0.13</v>
      </c>
      <c r="I351" s="2322">
        <f>SUM(H328:H351)</f>
        <v>6.9100000000000019</v>
      </c>
    </row>
    <row r="352" spans="1:9">
      <c r="A352" s="2280" t="s">
        <v>1644</v>
      </c>
      <c r="B352" s="2280" t="s">
        <v>1645</v>
      </c>
      <c r="C352" s="2281" t="s">
        <v>1147</v>
      </c>
      <c r="D352" s="2280" t="s">
        <v>567</v>
      </c>
      <c r="F352" s="2280" t="s">
        <v>1644</v>
      </c>
      <c r="G352" s="2280" t="s">
        <v>1645</v>
      </c>
      <c r="H352" s="2281" t="s">
        <v>1147</v>
      </c>
      <c r="I352" s="2280" t="s">
        <v>567</v>
      </c>
    </row>
    <row r="353" spans="1:9">
      <c r="A353" s="2280" t="str">
        <f>"15-12-2023 00:00"</f>
        <v>15-12-2023 00:00</v>
      </c>
      <c r="B353" s="2280" t="str">
        <f>"15-12-2023 01:00"</f>
        <v>15-12-2023 01:00</v>
      </c>
      <c r="C353" s="2278">
        <v>0.13</v>
      </c>
      <c r="F353" s="1721" t="str">
        <f>"15-01-2024 00:00"</f>
        <v>15-01-2024 00:00</v>
      </c>
      <c r="G353" s="1721" t="str">
        <f>"15-01-2024 01:00"</f>
        <v>15-01-2024 01:00</v>
      </c>
      <c r="H353" s="1721">
        <v>0.12</v>
      </c>
    </row>
    <row r="354" spans="1:9">
      <c r="A354" s="2280" t="str">
        <f>"15-12-2023 01:00"</f>
        <v>15-12-2023 01:00</v>
      </c>
      <c r="B354" s="2280" t="str">
        <f>"15-12-2023 02:00"</f>
        <v>15-12-2023 02:00</v>
      </c>
      <c r="C354" s="2278">
        <v>0.16</v>
      </c>
      <c r="F354" s="1721" t="str">
        <f>"15-01-2024 01:00"</f>
        <v>15-01-2024 01:00</v>
      </c>
      <c r="G354" s="1721" t="str">
        <f>"15-01-2024 02:00"</f>
        <v>15-01-2024 02:00</v>
      </c>
      <c r="H354" s="1721">
        <v>0.22</v>
      </c>
    </row>
    <row r="355" spans="1:9">
      <c r="A355" s="2280" t="str">
        <f>"15-12-2023 02:00"</f>
        <v>15-12-2023 02:00</v>
      </c>
      <c r="B355" s="2280" t="str">
        <f>"15-12-2023 03:00"</f>
        <v>15-12-2023 03:00</v>
      </c>
      <c r="C355" s="2278">
        <v>0.16</v>
      </c>
      <c r="F355" s="1721" t="str">
        <f>"15-01-2024 02:00"</f>
        <v>15-01-2024 02:00</v>
      </c>
      <c r="G355" s="1721" t="str">
        <f>"15-01-2024 03:00"</f>
        <v>15-01-2024 03:00</v>
      </c>
      <c r="H355" s="1721">
        <v>0.18</v>
      </c>
    </row>
    <row r="356" spans="1:9">
      <c r="A356" s="2280" t="str">
        <f>"15-12-2023 03:00"</f>
        <v>15-12-2023 03:00</v>
      </c>
      <c r="B356" s="2280" t="str">
        <f>"15-12-2023 04:00"</f>
        <v>15-12-2023 04:00</v>
      </c>
      <c r="C356" s="2278">
        <v>0.19</v>
      </c>
      <c r="F356" s="1721" t="str">
        <f>"15-01-2024 03:00"</f>
        <v>15-01-2024 03:00</v>
      </c>
      <c r="G356" s="1721" t="str">
        <f>"15-01-2024 04:00"</f>
        <v>15-01-2024 04:00</v>
      </c>
      <c r="H356" s="1721">
        <v>0.18</v>
      </c>
    </row>
    <row r="357" spans="1:9">
      <c r="A357" s="2280" t="str">
        <f>"15-12-2023 04:00"</f>
        <v>15-12-2023 04:00</v>
      </c>
      <c r="B357" s="2280" t="str">
        <f>"15-12-2023 05:00"</f>
        <v>15-12-2023 05:00</v>
      </c>
      <c r="C357" s="2278">
        <v>0.15</v>
      </c>
      <c r="F357" s="1721" t="str">
        <f>"15-01-2024 04:00"</f>
        <v>15-01-2024 04:00</v>
      </c>
      <c r="G357" s="1721" t="str">
        <f>"15-01-2024 05:00"</f>
        <v>15-01-2024 05:00</v>
      </c>
      <c r="H357" s="1721">
        <v>0.13</v>
      </c>
    </row>
    <row r="358" spans="1:9">
      <c r="A358" s="2280" t="str">
        <f>"15-12-2023 05:00"</f>
        <v>15-12-2023 05:00</v>
      </c>
      <c r="B358" s="2280" t="str">
        <f>"15-12-2023 06:00"</f>
        <v>15-12-2023 06:00</v>
      </c>
      <c r="C358" s="2278">
        <v>0.12</v>
      </c>
      <c r="F358" s="1721" t="str">
        <f>"15-01-2024 05:00"</f>
        <v>15-01-2024 05:00</v>
      </c>
      <c r="G358" s="1721" t="str">
        <f>"15-01-2024 06:00"</f>
        <v>15-01-2024 06:00</v>
      </c>
      <c r="H358" s="1721">
        <v>0.08</v>
      </c>
    </row>
    <row r="359" spans="1:9">
      <c r="A359" s="2280" t="str">
        <f>"15-12-2023 06:00"</f>
        <v>15-12-2023 06:00</v>
      </c>
      <c r="B359" s="2280" t="str">
        <f>"15-12-2023 07:00"</f>
        <v>15-12-2023 07:00</v>
      </c>
      <c r="C359" s="2278">
        <v>0.12</v>
      </c>
      <c r="F359" s="1721" t="str">
        <f>"15-01-2024 06:00"</f>
        <v>15-01-2024 06:00</v>
      </c>
      <c r="G359" s="1721" t="str">
        <f>"15-01-2024 07:00"</f>
        <v>15-01-2024 07:00</v>
      </c>
      <c r="H359" s="1721">
        <v>0.15</v>
      </c>
    </row>
    <row r="360" spans="1:9">
      <c r="A360" s="2280" t="str">
        <f>"15-12-2023 07:00"</f>
        <v>15-12-2023 07:00</v>
      </c>
      <c r="B360" s="2280" t="str">
        <f>"15-12-2023 08:00"</f>
        <v>15-12-2023 08:00</v>
      </c>
      <c r="C360" s="2278">
        <v>0.14000000000000001</v>
      </c>
      <c r="F360" s="1721" t="str">
        <f>"15-01-2024 07:00"</f>
        <v>15-01-2024 07:00</v>
      </c>
      <c r="G360" s="1721" t="str">
        <f>"15-01-2024 08:00"</f>
        <v>15-01-2024 08:00</v>
      </c>
      <c r="H360" s="1721">
        <v>0.15</v>
      </c>
    </row>
    <row r="361" spans="1:9">
      <c r="A361" s="2280" t="str">
        <f>"15-12-2023 08:00"</f>
        <v>15-12-2023 08:00</v>
      </c>
      <c r="B361" s="2280" t="str">
        <f>"15-12-2023 09:00"</f>
        <v>15-12-2023 09:00</v>
      </c>
      <c r="C361" s="2278">
        <v>0.12</v>
      </c>
      <c r="F361" s="1721" t="str">
        <f>"15-01-2024 08:00"</f>
        <v>15-01-2024 08:00</v>
      </c>
      <c r="G361" s="1721" t="str">
        <f>"15-01-2024 09:00"</f>
        <v>15-01-2024 09:00</v>
      </c>
      <c r="H361" s="1721">
        <v>0.2</v>
      </c>
    </row>
    <row r="362" spans="1:9">
      <c r="A362" s="2280" t="str">
        <f>"15-12-2023 09:00"</f>
        <v>15-12-2023 09:00</v>
      </c>
      <c r="B362" s="2280" t="str">
        <f>"15-12-2023 10:00"</f>
        <v>15-12-2023 10:00</v>
      </c>
      <c r="C362" s="2278">
        <v>0.21</v>
      </c>
      <c r="F362" s="1721" t="str">
        <f>"15-01-2024 09:00"</f>
        <v>15-01-2024 09:00</v>
      </c>
      <c r="G362" s="1721" t="str">
        <f>"15-01-2024 10:00"</f>
        <v>15-01-2024 10:00</v>
      </c>
      <c r="H362" s="1721">
        <v>0.4</v>
      </c>
      <c r="I362" s="2284"/>
    </row>
    <row r="363" spans="1:9">
      <c r="A363" s="2280" t="str">
        <f>"15-12-2023 10:00"</f>
        <v>15-12-2023 10:00</v>
      </c>
      <c r="B363" s="2280" t="str">
        <f>"15-12-2023 11:00"</f>
        <v>15-12-2023 11:00</v>
      </c>
      <c r="C363" s="2278">
        <v>0.5</v>
      </c>
      <c r="F363" s="1721" t="str">
        <f>"15-01-2024 10:00"</f>
        <v>15-01-2024 10:00</v>
      </c>
      <c r="G363" s="1721" t="str">
        <f>"15-01-2024 11:00"</f>
        <v>15-01-2024 11:00</v>
      </c>
      <c r="H363" s="1721">
        <v>0.27</v>
      </c>
    </row>
    <row r="364" spans="1:9">
      <c r="A364" s="2280" t="str">
        <f>"15-12-2023 11:00"</f>
        <v>15-12-2023 11:00</v>
      </c>
      <c r="B364" s="2280" t="str">
        <f>"15-12-2023 12:00"</f>
        <v>15-12-2023 12:00</v>
      </c>
      <c r="C364" s="2278">
        <v>0.49</v>
      </c>
      <c r="F364" s="1721" t="str">
        <f>"15-01-2024 11:00"</f>
        <v>15-01-2024 11:00</v>
      </c>
      <c r="G364" s="1721" t="str">
        <f>"15-01-2024 12:00"</f>
        <v>15-01-2024 12:00</v>
      </c>
      <c r="H364" s="1721">
        <v>0.46</v>
      </c>
    </row>
    <row r="365" spans="1:9">
      <c r="A365" s="2280" t="str">
        <f>"15-12-2023 12:00"</f>
        <v>15-12-2023 12:00</v>
      </c>
      <c r="B365" s="2280" t="str">
        <f>"15-12-2023 13:00"</f>
        <v>15-12-2023 13:00</v>
      </c>
      <c r="C365" s="2278">
        <v>0.53</v>
      </c>
      <c r="F365" s="1721" t="str">
        <f>"15-01-2024 12:00"</f>
        <v>15-01-2024 12:00</v>
      </c>
      <c r="G365" s="1721" t="str">
        <f>"15-01-2024 13:00"</f>
        <v>15-01-2024 13:00</v>
      </c>
      <c r="H365" s="1721">
        <v>0.39</v>
      </c>
    </row>
    <row r="366" spans="1:9">
      <c r="A366" s="2280" t="str">
        <f>"15-12-2023 13:00"</f>
        <v>15-12-2023 13:00</v>
      </c>
      <c r="B366" s="2280" t="str">
        <f>"15-12-2023 14:00"</f>
        <v>15-12-2023 14:00</v>
      </c>
      <c r="C366" s="2278">
        <v>0.44</v>
      </c>
      <c r="F366" s="1721" t="str">
        <f>"15-01-2024 13:00"</f>
        <v>15-01-2024 13:00</v>
      </c>
      <c r="G366" s="1721" t="str">
        <f>"15-01-2024 14:00"</f>
        <v>15-01-2024 14:00</v>
      </c>
      <c r="H366" s="1721">
        <v>0.28000000000000003</v>
      </c>
    </row>
    <row r="367" spans="1:9">
      <c r="A367" s="2280" t="str">
        <f>"15-12-2023 14:00"</f>
        <v>15-12-2023 14:00</v>
      </c>
      <c r="B367" s="2280" t="str">
        <f>"15-12-2023 15:00"</f>
        <v>15-12-2023 15:00</v>
      </c>
      <c r="C367" s="2278">
        <v>1.06</v>
      </c>
      <c r="F367" s="1721" t="str">
        <f>"15-01-2024 14:00"</f>
        <v>15-01-2024 14:00</v>
      </c>
      <c r="G367" s="1721" t="str">
        <f>"15-01-2024 15:00"</f>
        <v>15-01-2024 15:00</v>
      </c>
      <c r="H367" s="1721">
        <v>0.33</v>
      </c>
    </row>
    <row r="368" spans="1:9">
      <c r="A368" s="2280" t="str">
        <f>"15-12-2023 15:00"</f>
        <v>15-12-2023 15:00</v>
      </c>
      <c r="B368" s="2280" t="str">
        <f>"15-12-2023 16:00"</f>
        <v>15-12-2023 16:00</v>
      </c>
      <c r="C368" s="2278">
        <v>0.4</v>
      </c>
      <c r="F368" s="1721" t="str">
        <f>"15-01-2024 15:00"</f>
        <v>15-01-2024 15:00</v>
      </c>
      <c r="G368" s="1721" t="str">
        <f>"15-01-2024 16:00"</f>
        <v>15-01-2024 16:00</v>
      </c>
      <c r="H368" s="1721">
        <v>0.35</v>
      </c>
    </row>
    <row r="369" spans="1:9">
      <c r="A369" s="2280" t="str">
        <f>"15-12-2023 16:00"</f>
        <v>15-12-2023 16:00</v>
      </c>
      <c r="B369" s="2280" t="str">
        <f>"15-12-2023 17:00"</f>
        <v>15-12-2023 17:00</v>
      </c>
      <c r="C369" s="2278">
        <v>0.39</v>
      </c>
      <c r="F369" s="1721" t="str">
        <f>"15-01-2024 16:00"</f>
        <v>15-01-2024 16:00</v>
      </c>
      <c r="G369" s="1721" t="str">
        <f>"15-01-2024 17:00"</f>
        <v>15-01-2024 17:00</v>
      </c>
      <c r="H369" s="1721">
        <v>0.44</v>
      </c>
    </row>
    <row r="370" spans="1:9">
      <c r="A370" s="2280" t="str">
        <f>"15-12-2023 17:00"</f>
        <v>15-12-2023 17:00</v>
      </c>
      <c r="B370" s="2280" t="str">
        <f>"15-12-2023 18:00"</f>
        <v>15-12-2023 18:00</v>
      </c>
      <c r="C370" s="2278">
        <v>0.49</v>
      </c>
      <c r="F370" s="1721" t="str">
        <f>"15-01-2024 17:00"</f>
        <v>15-01-2024 17:00</v>
      </c>
      <c r="G370" s="1721" t="str">
        <f>"15-01-2024 18:00"</f>
        <v>15-01-2024 18:00</v>
      </c>
      <c r="H370" s="1721">
        <v>0.55000000000000004</v>
      </c>
    </row>
    <row r="371" spans="1:9">
      <c r="A371" s="2280" t="str">
        <f>"15-12-2023 18:00"</f>
        <v>15-12-2023 18:00</v>
      </c>
      <c r="B371" s="2280" t="str">
        <f>"15-12-2023 19:00"</f>
        <v>15-12-2023 19:00</v>
      </c>
      <c r="C371" s="2278">
        <v>0.37</v>
      </c>
      <c r="F371" s="1721" t="str">
        <f>"15-01-2024 18:00"</f>
        <v>15-01-2024 18:00</v>
      </c>
      <c r="G371" s="1721" t="str">
        <f>"15-01-2024 19:00"</f>
        <v>15-01-2024 19:00</v>
      </c>
      <c r="H371" s="1721">
        <v>0.46</v>
      </c>
    </row>
    <row r="372" spans="1:9">
      <c r="A372" s="2280" t="str">
        <f>"15-12-2023 19:00"</f>
        <v>15-12-2023 19:00</v>
      </c>
      <c r="B372" s="2280" t="str">
        <f>"15-12-2023 20:00"</f>
        <v>15-12-2023 20:00</v>
      </c>
      <c r="C372" s="2278">
        <v>0.38</v>
      </c>
      <c r="F372" s="1721" t="str">
        <f>"15-01-2024 19:00"</f>
        <v>15-01-2024 19:00</v>
      </c>
      <c r="G372" s="1721" t="str">
        <f>"15-01-2024 20:00"</f>
        <v>15-01-2024 20:00</v>
      </c>
      <c r="H372" s="1721">
        <v>0.45</v>
      </c>
    </row>
    <row r="373" spans="1:9">
      <c r="A373" s="2280" t="str">
        <f>"15-12-2023 20:00"</f>
        <v>15-12-2023 20:00</v>
      </c>
      <c r="B373" s="2280" t="str">
        <f>"15-12-2023 21:00"</f>
        <v>15-12-2023 21:00</v>
      </c>
      <c r="C373" s="2278">
        <v>0.36</v>
      </c>
      <c r="F373" s="1721" t="str">
        <f>"15-01-2024 20:00"</f>
        <v>15-01-2024 20:00</v>
      </c>
      <c r="G373" s="1721" t="str">
        <f>"15-01-2024 21:00"</f>
        <v>15-01-2024 21:00</v>
      </c>
      <c r="H373" s="1721">
        <v>0.46</v>
      </c>
    </row>
    <row r="374" spans="1:9">
      <c r="A374" s="2280" t="str">
        <f>"15-12-2023 21:00"</f>
        <v>15-12-2023 21:00</v>
      </c>
      <c r="B374" s="2280" t="str">
        <f>"15-12-2023 22:00"</f>
        <v>15-12-2023 22:00</v>
      </c>
      <c r="C374" s="2278">
        <v>0.34</v>
      </c>
      <c r="F374" s="1721" t="str">
        <f>"15-01-2024 21:00"</f>
        <v>15-01-2024 21:00</v>
      </c>
      <c r="G374" s="1721" t="str">
        <f>"15-01-2024 22:00"</f>
        <v>15-01-2024 22:00</v>
      </c>
      <c r="H374" s="1721">
        <v>0.44</v>
      </c>
    </row>
    <row r="375" spans="1:9">
      <c r="A375" s="2280" t="str">
        <f>"15-12-2023 22:00"</f>
        <v>15-12-2023 22:00</v>
      </c>
      <c r="B375" s="2280" t="str">
        <f>"15-12-2023 23:00"</f>
        <v>15-12-2023 23:00</v>
      </c>
      <c r="C375" s="2278">
        <v>0.32</v>
      </c>
      <c r="F375" s="1721" t="str">
        <f>"15-01-2024 22:00"</f>
        <v>15-01-2024 22:00</v>
      </c>
      <c r="G375" s="1721" t="str">
        <f>"15-01-2024 23:00"</f>
        <v>15-01-2024 23:00</v>
      </c>
      <c r="H375" s="1721">
        <v>0.17</v>
      </c>
    </row>
    <row r="376" spans="1:9">
      <c r="A376" s="2284" t="str">
        <f>"15-12-2023 23:00"</f>
        <v>15-12-2023 23:00</v>
      </c>
      <c r="B376" s="2284" t="str">
        <f>"16-12-2023 00:00"</f>
        <v>16-12-2023 00:00</v>
      </c>
      <c r="C376" s="2278">
        <v>0.32</v>
      </c>
      <c r="D376" s="2284">
        <f>SUM(C353:C376)</f>
        <v>7.8900000000000015</v>
      </c>
      <c r="F376" s="2384" t="str">
        <f>"15-01-2024 23:00"</f>
        <v>15-01-2024 23:00</v>
      </c>
      <c r="G376" s="2384" t="str">
        <f>"16-01-2024 00:00"</f>
        <v>16-01-2024 00:00</v>
      </c>
      <c r="H376" s="2384">
        <v>0.11</v>
      </c>
      <c r="I376" s="2322">
        <f>SUM(H353:H376)</f>
        <v>6.9700000000000006</v>
      </c>
    </row>
    <row r="377" spans="1:9">
      <c r="A377" s="2280" t="s">
        <v>1644</v>
      </c>
      <c r="B377" s="2280" t="s">
        <v>1645</v>
      </c>
      <c r="C377" s="2281" t="s">
        <v>1147</v>
      </c>
      <c r="D377" s="2280" t="s">
        <v>567</v>
      </c>
      <c r="F377" s="2280" t="s">
        <v>1644</v>
      </c>
      <c r="G377" s="2280" t="s">
        <v>1645</v>
      </c>
      <c r="H377" s="2281" t="s">
        <v>1147</v>
      </c>
      <c r="I377" s="2280" t="s">
        <v>567</v>
      </c>
    </row>
    <row r="378" spans="1:9">
      <c r="A378" s="2280" t="str">
        <f>"16-12-2023 00:00"</f>
        <v>16-12-2023 00:00</v>
      </c>
      <c r="B378" s="2280" t="str">
        <f>"16-12-2023 01:00"</f>
        <v>16-12-2023 01:00</v>
      </c>
      <c r="C378" s="2278">
        <v>0.19</v>
      </c>
      <c r="F378" s="1721" t="str">
        <f>"16-01-2024 00:00"</f>
        <v>16-01-2024 00:00</v>
      </c>
      <c r="G378" s="1721" t="str">
        <f>"16-01-2024 01:00"</f>
        <v>16-01-2024 01:00</v>
      </c>
      <c r="H378" s="1721">
        <v>0.14000000000000001</v>
      </c>
    </row>
    <row r="379" spans="1:9">
      <c r="A379" s="2280" t="str">
        <f>"16-12-2023 01:00"</f>
        <v>16-12-2023 01:00</v>
      </c>
      <c r="B379" s="2280" t="str">
        <f>"16-12-2023 02:00"</f>
        <v>16-12-2023 02:00</v>
      </c>
      <c r="C379" s="2278">
        <v>0.18</v>
      </c>
      <c r="F379" s="1721" t="str">
        <f>"16-01-2024 01:00"</f>
        <v>16-01-2024 01:00</v>
      </c>
      <c r="G379" s="1721" t="str">
        <f>"16-01-2024 02:00"</f>
        <v>16-01-2024 02:00</v>
      </c>
      <c r="H379" s="1721">
        <v>0.14000000000000001</v>
      </c>
    </row>
    <row r="380" spans="1:9">
      <c r="A380" s="2280" t="str">
        <f>"16-12-2023 02:00"</f>
        <v>16-12-2023 02:00</v>
      </c>
      <c r="B380" s="2280" t="str">
        <f>"16-12-2023 03:00"</f>
        <v>16-12-2023 03:00</v>
      </c>
      <c r="C380" s="2278">
        <v>0.2</v>
      </c>
      <c r="F380" s="1721" t="str">
        <f>"16-01-2024 02:00"</f>
        <v>16-01-2024 02:00</v>
      </c>
      <c r="G380" s="1721" t="str">
        <f>"16-01-2024 03:00"</f>
        <v>16-01-2024 03:00</v>
      </c>
      <c r="H380" s="1721">
        <v>0.11</v>
      </c>
    </row>
    <row r="381" spans="1:9">
      <c r="A381" s="2280" t="str">
        <f>"16-12-2023 03:00"</f>
        <v>16-12-2023 03:00</v>
      </c>
      <c r="B381" s="2280" t="str">
        <f>"16-12-2023 04:00"</f>
        <v>16-12-2023 04:00</v>
      </c>
      <c r="C381" s="2278">
        <v>0.14000000000000001</v>
      </c>
      <c r="F381" s="1721" t="str">
        <f>"16-01-2024 03:00"</f>
        <v>16-01-2024 03:00</v>
      </c>
      <c r="G381" s="1721" t="str">
        <f>"16-01-2024 04:00"</f>
        <v>16-01-2024 04:00</v>
      </c>
      <c r="H381" s="1721">
        <v>0.11</v>
      </c>
    </row>
    <row r="382" spans="1:9">
      <c r="A382" s="2280" t="str">
        <f>"16-12-2023 04:00"</f>
        <v>16-12-2023 04:00</v>
      </c>
      <c r="B382" s="2280" t="str">
        <f>"16-12-2023 05:00"</f>
        <v>16-12-2023 05:00</v>
      </c>
      <c r="C382" s="2278">
        <v>0.19</v>
      </c>
      <c r="F382" s="1721" t="str">
        <f>"16-01-2024 04:00"</f>
        <v>16-01-2024 04:00</v>
      </c>
      <c r="G382" s="1721" t="str">
        <f>"16-01-2024 05:00"</f>
        <v>16-01-2024 05:00</v>
      </c>
      <c r="H382" s="1721">
        <v>0.14000000000000001</v>
      </c>
    </row>
    <row r="383" spans="1:9">
      <c r="A383" s="2280" t="str">
        <f>"16-12-2023 05:00"</f>
        <v>16-12-2023 05:00</v>
      </c>
      <c r="B383" s="2280" t="str">
        <f>"16-12-2023 06:00"</f>
        <v>16-12-2023 06:00</v>
      </c>
      <c r="C383" s="2278">
        <v>0.14000000000000001</v>
      </c>
      <c r="F383" s="1721" t="str">
        <f>"16-01-2024 05:00"</f>
        <v>16-01-2024 05:00</v>
      </c>
      <c r="G383" s="1721" t="str">
        <f>"16-01-2024 06:00"</f>
        <v>16-01-2024 06:00</v>
      </c>
      <c r="H383" s="1721">
        <v>0.21</v>
      </c>
    </row>
    <row r="384" spans="1:9">
      <c r="A384" s="2280" t="str">
        <f>"16-12-2023 06:00"</f>
        <v>16-12-2023 06:00</v>
      </c>
      <c r="B384" s="2280" t="str">
        <f>"16-12-2023 07:00"</f>
        <v>16-12-2023 07:00</v>
      </c>
      <c r="C384" s="2278">
        <v>0.13</v>
      </c>
      <c r="F384" s="1721" t="str">
        <f>"16-01-2024 06:00"</f>
        <v>16-01-2024 06:00</v>
      </c>
      <c r="G384" s="1721" t="str">
        <f>"16-01-2024 07:00"</f>
        <v>16-01-2024 07:00</v>
      </c>
      <c r="H384" s="1721">
        <v>0.15</v>
      </c>
    </row>
    <row r="385" spans="1:9">
      <c r="A385" s="2280" t="str">
        <f>"16-12-2023 07:00"</f>
        <v>16-12-2023 07:00</v>
      </c>
      <c r="B385" s="2280" t="str">
        <f>"16-12-2023 08:00"</f>
        <v>16-12-2023 08:00</v>
      </c>
      <c r="C385" s="2278">
        <v>0.12</v>
      </c>
      <c r="F385" s="1721" t="str">
        <f>"16-01-2024 07:00"</f>
        <v>16-01-2024 07:00</v>
      </c>
      <c r="G385" s="1721" t="str">
        <f>"16-01-2024 08:00"</f>
        <v>16-01-2024 08:00</v>
      </c>
      <c r="H385" s="1721">
        <v>0.13</v>
      </c>
    </row>
    <row r="386" spans="1:9">
      <c r="A386" s="2280" t="str">
        <f>"16-12-2023 08:00"</f>
        <v>16-12-2023 08:00</v>
      </c>
      <c r="B386" s="2280" t="str">
        <f>"16-12-2023 09:00"</f>
        <v>16-12-2023 09:00</v>
      </c>
      <c r="C386" s="2278">
        <v>0.16</v>
      </c>
      <c r="F386" s="1721" t="str">
        <f>"16-01-2024 08:00"</f>
        <v>16-01-2024 08:00</v>
      </c>
      <c r="G386" s="1721" t="str">
        <f>"16-01-2024 09:00"</f>
        <v>16-01-2024 09:00</v>
      </c>
      <c r="H386" s="1721">
        <v>0.13</v>
      </c>
    </row>
    <row r="387" spans="1:9">
      <c r="A387" s="2280" t="str">
        <f>"16-12-2023 09:00"</f>
        <v>16-12-2023 09:00</v>
      </c>
      <c r="B387" s="2280" t="str">
        <f>"16-12-2023 10:00"</f>
        <v>16-12-2023 10:00</v>
      </c>
      <c r="C387" s="2278">
        <v>0.22</v>
      </c>
      <c r="F387" s="1721" t="str">
        <f>"16-01-2024 09:00"</f>
        <v>16-01-2024 09:00</v>
      </c>
      <c r="G387" s="1721" t="str">
        <f>"16-01-2024 10:00"</f>
        <v>16-01-2024 10:00</v>
      </c>
      <c r="H387" s="1721">
        <v>0.14000000000000001</v>
      </c>
    </row>
    <row r="388" spans="1:9">
      <c r="A388" s="2280" t="str">
        <f>"16-12-2023 10:00"</f>
        <v>16-12-2023 10:00</v>
      </c>
      <c r="B388" s="2280" t="str">
        <f>"16-12-2023 11:00"</f>
        <v>16-12-2023 11:00</v>
      </c>
      <c r="C388" s="2278">
        <v>0.21</v>
      </c>
      <c r="F388" s="1721" t="str">
        <f>"16-01-2024 10:00"</f>
        <v>16-01-2024 10:00</v>
      </c>
      <c r="G388" s="1721" t="str">
        <f>"16-01-2024 11:00"</f>
        <v>16-01-2024 11:00</v>
      </c>
      <c r="H388" s="1721">
        <v>0.13</v>
      </c>
      <c r="I388" s="2284"/>
    </row>
    <row r="389" spans="1:9">
      <c r="A389" s="2280" t="str">
        <f>"16-12-2023 11:00"</f>
        <v>16-12-2023 11:00</v>
      </c>
      <c r="B389" s="2280" t="str">
        <f>"16-12-2023 12:00"</f>
        <v>16-12-2023 12:00</v>
      </c>
      <c r="C389" s="2278">
        <v>0.48</v>
      </c>
      <c r="F389" s="1721" t="str">
        <f>"16-01-2024 11:00"</f>
        <v>16-01-2024 11:00</v>
      </c>
      <c r="G389" s="1721" t="str">
        <f>"16-01-2024 12:00"</f>
        <v>16-01-2024 12:00</v>
      </c>
      <c r="H389" s="1721">
        <v>0.22</v>
      </c>
    </row>
    <row r="390" spans="1:9">
      <c r="A390" s="2280" t="str">
        <f>"16-12-2023 12:00"</f>
        <v>16-12-2023 12:00</v>
      </c>
      <c r="B390" s="2280" t="str">
        <f>"16-12-2023 13:00"</f>
        <v>16-12-2023 13:00</v>
      </c>
      <c r="C390" s="2278">
        <v>0.38</v>
      </c>
      <c r="F390" s="1721" t="str">
        <f>"16-01-2024 12:00"</f>
        <v>16-01-2024 12:00</v>
      </c>
      <c r="G390" s="1721" t="str">
        <f>"16-01-2024 13:00"</f>
        <v>16-01-2024 13:00</v>
      </c>
      <c r="H390" s="1721">
        <v>0.55000000000000004</v>
      </c>
    </row>
    <row r="391" spans="1:9">
      <c r="A391" s="2280" t="str">
        <f>"16-12-2023 13:00"</f>
        <v>16-12-2023 13:00</v>
      </c>
      <c r="B391" s="2280" t="str">
        <f>"16-12-2023 14:00"</f>
        <v>16-12-2023 14:00</v>
      </c>
      <c r="C391" s="2278">
        <v>0.35</v>
      </c>
      <c r="F391" s="1721" t="str">
        <f>"16-01-2024 13:00"</f>
        <v>16-01-2024 13:00</v>
      </c>
      <c r="G391" s="1721" t="str">
        <f>"16-01-2024 14:00"</f>
        <v>16-01-2024 14:00</v>
      </c>
      <c r="H391" s="1721">
        <v>0.28000000000000003</v>
      </c>
    </row>
    <row r="392" spans="1:9">
      <c r="A392" s="2280" t="str">
        <f>"16-12-2023 14:00"</f>
        <v>16-12-2023 14:00</v>
      </c>
      <c r="B392" s="2280" t="str">
        <f>"16-12-2023 15:00"</f>
        <v>16-12-2023 15:00</v>
      </c>
      <c r="C392" s="2278">
        <v>0.47</v>
      </c>
      <c r="F392" s="1721" t="str">
        <f>"16-01-2024 14:00"</f>
        <v>16-01-2024 14:00</v>
      </c>
      <c r="G392" s="1721" t="str">
        <f>"16-01-2024 15:00"</f>
        <v>16-01-2024 15:00</v>
      </c>
      <c r="H392" s="1721">
        <v>0.3</v>
      </c>
    </row>
    <row r="393" spans="1:9">
      <c r="A393" s="2280" t="str">
        <f>"16-12-2023 15:00"</f>
        <v>16-12-2023 15:00</v>
      </c>
      <c r="B393" s="2280" t="str">
        <f>"16-12-2023 16:00"</f>
        <v>16-12-2023 16:00</v>
      </c>
      <c r="C393" s="2278">
        <v>0.67</v>
      </c>
      <c r="F393" s="1721" t="str">
        <f>"16-01-2024 15:00"</f>
        <v>16-01-2024 15:00</v>
      </c>
      <c r="G393" s="1721" t="str">
        <f>"16-01-2024 16:00"</f>
        <v>16-01-2024 16:00</v>
      </c>
      <c r="H393" s="1721">
        <v>0.45</v>
      </c>
    </row>
    <row r="394" spans="1:9">
      <c r="A394" s="2280" t="str">
        <f>"16-12-2023 16:00"</f>
        <v>16-12-2023 16:00</v>
      </c>
      <c r="B394" s="2280" t="str">
        <f>"16-12-2023 17:00"</f>
        <v>16-12-2023 17:00</v>
      </c>
      <c r="C394" s="2278">
        <v>0.45</v>
      </c>
      <c r="F394" s="1721" t="str">
        <f>"16-01-2024 16:00"</f>
        <v>16-01-2024 16:00</v>
      </c>
      <c r="G394" s="1721" t="str">
        <f>"16-01-2024 17:00"</f>
        <v>16-01-2024 17:00</v>
      </c>
      <c r="H394" s="1721">
        <v>0.59</v>
      </c>
    </row>
    <row r="395" spans="1:9">
      <c r="A395" s="2280" t="str">
        <f>"16-12-2023 17:00"</f>
        <v>16-12-2023 17:00</v>
      </c>
      <c r="B395" s="2280" t="str">
        <f>"16-12-2023 18:00"</f>
        <v>16-12-2023 18:00</v>
      </c>
      <c r="C395" s="2278">
        <v>0.52</v>
      </c>
      <c r="F395" s="1721" t="str">
        <f>"16-01-2024 17:00"</f>
        <v>16-01-2024 17:00</v>
      </c>
      <c r="G395" s="1721" t="str">
        <f>"16-01-2024 18:00"</f>
        <v>16-01-2024 18:00</v>
      </c>
      <c r="H395" s="1721">
        <v>0.99</v>
      </c>
    </row>
    <row r="396" spans="1:9">
      <c r="A396" s="2280" t="str">
        <f>"16-12-2023 18:00"</f>
        <v>16-12-2023 18:00</v>
      </c>
      <c r="B396" s="2280" t="str">
        <f>"16-12-2023 19:00"</f>
        <v>16-12-2023 19:00</v>
      </c>
      <c r="C396" s="2278">
        <v>0.37</v>
      </c>
      <c r="F396" s="1721" t="str">
        <f>"16-01-2024 18:00"</f>
        <v>16-01-2024 18:00</v>
      </c>
      <c r="G396" s="1721" t="str">
        <f>"16-01-2024 19:00"</f>
        <v>16-01-2024 19:00</v>
      </c>
      <c r="H396" s="1721">
        <v>0.41</v>
      </c>
    </row>
    <row r="397" spans="1:9">
      <c r="A397" s="2280" t="str">
        <f>"16-12-2023 19:00"</f>
        <v>16-12-2023 19:00</v>
      </c>
      <c r="B397" s="2280" t="str">
        <f>"16-12-2023 20:00"</f>
        <v>16-12-2023 20:00</v>
      </c>
      <c r="C397" s="2278">
        <v>0.36</v>
      </c>
      <c r="F397" s="1721" t="str">
        <f>"16-01-2024 19:00"</f>
        <v>16-01-2024 19:00</v>
      </c>
      <c r="G397" s="1721" t="str">
        <f>"16-01-2024 20:00"</f>
        <v>16-01-2024 20:00</v>
      </c>
      <c r="H397" s="1721">
        <v>0.39</v>
      </c>
    </row>
    <row r="398" spans="1:9">
      <c r="A398" s="2280" t="str">
        <f>"16-12-2023 20:00"</f>
        <v>16-12-2023 20:00</v>
      </c>
      <c r="B398" s="2280" t="str">
        <f>"16-12-2023 21:00"</f>
        <v>16-12-2023 21:00</v>
      </c>
      <c r="C398" s="2278">
        <v>0.64</v>
      </c>
      <c r="F398" s="1721" t="str">
        <f>"16-01-2024 20:00"</f>
        <v>16-01-2024 20:00</v>
      </c>
      <c r="G398" s="1721" t="str">
        <f>"16-01-2024 21:00"</f>
        <v>16-01-2024 21:00</v>
      </c>
      <c r="H398" s="1721">
        <v>0.34</v>
      </c>
    </row>
    <row r="399" spans="1:9">
      <c r="A399" s="2280" t="str">
        <f>"16-12-2023 21:00"</f>
        <v>16-12-2023 21:00</v>
      </c>
      <c r="B399" s="2280" t="str">
        <f>"16-12-2023 22:00"</f>
        <v>16-12-2023 22:00</v>
      </c>
      <c r="C399" s="2278">
        <v>0.39</v>
      </c>
      <c r="F399" s="1721" t="str">
        <f>"16-01-2024 21:00"</f>
        <v>16-01-2024 21:00</v>
      </c>
      <c r="G399" s="1721" t="str">
        <f>"16-01-2024 22:00"</f>
        <v>16-01-2024 22:00</v>
      </c>
      <c r="H399" s="1721">
        <v>0.37</v>
      </c>
    </row>
    <row r="400" spans="1:9">
      <c r="A400" s="2280" t="str">
        <f>"16-12-2023 22:00"</f>
        <v>16-12-2023 22:00</v>
      </c>
      <c r="B400" s="2280" t="str">
        <f>"16-12-2023 23:00"</f>
        <v>16-12-2023 23:00</v>
      </c>
      <c r="C400" s="2278">
        <v>0.32</v>
      </c>
      <c r="F400" s="1721" t="str">
        <f>"16-01-2024 22:00"</f>
        <v>16-01-2024 22:00</v>
      </c>
      <c r="G400" s="1721" t="str">
        <f>"16-01-2024 23:00"</f>
        <v>16-01-2024 23:00</v>
      </c>
      <c r="H400" s="1721">
        <v>0.22</v>
      </c>
    </row>
    <row r="401" spans="1:9">
      <c r="A401" s="2284" t="str">
        <f>"16-12-2023 23:00"</f>
        <v>16-12-2023 23:00</v>
      </c>
      <c r="B401" s="2284" t="str">
        <f>"17-12-2023 00:00"</f>
        <v>17-12-2023 00:00</v>
      </c>
      <c r="C401" s="2278">
        <v>0.31</v>
      </c>
      <c r="D401" s="2284">
        <f>SUM(C378:C401)</f>
        <v>7.589999999999999</v>
      </c>
      <c r="F401" s="2384" t="str">
        <f>"16-01-2024 23:00"</f>
        <v>16-01-2024 23:00</v>
      </c>
      <c r="G401" s="2384" t="str">
        <f>"17-01-2024 00:00"</f>
        <v>17-01-2024 00:00</v>
      </c>
      <c r="H401" s="2384">
        <v>0.11</v>
      </c>
      <c r="I401" s="2322">
        <f>SUM(H378:H401)</f>
        <v>6.75</v>
      </c>
    </row>
    <row r="402" spans="1:9">
      <c r="A402" s="2280" t="s">
        <v>1644</v>
      </c>
      <c r="B402" s="2280" t="s">
        <v>1645</v>
      </c>
      <c r="C402" s="2281" t="s">
        <v>1147</v>
      </c>
      <c r="D402" s="2280" t="s">
        <v>567</v>
      </c>
      <c r="F402" s="2280" t="s">
        <v>1644</v>
      </c>
      <c r="G402" s="2280" t="s">
        <v>1645</v>
      </c>
      <c r="H402" s="2281" t="s">
        <v>1147</v>
      </c>
      <c r="I402" s="2280" t="s">
        <v>567</v>
      </c>
    </row>
    <row r="403" spans="1:9">
      <c r="A403" s="2280" t="str">
        <f>"17-12-2023 00:00"</f>
        <v>17-12-2023 00:00</v>
      </c>
      <c r="B403" s="2280" t="str">
        <f>"17-12-2023 01:00"</f>
        <v>17-12-2023 01:00</v>
      </c>
      <c r="C403" s="2278">
        <v>0.25</v>
      </c>
      <c r="F403" s="1721" t="str">
        <f>"17-01-2024 00:00"</f>
        <v>17-01-2024 00:00</v>
      </c>
      <c r="G403" s="1721" t="str">
        <f>"17-01-2024 01:00"</f>
        <v>17-01-2024 01:00</v>
      </c>
      <c r="H403" s="1721">
        <v>0.14000000000000001</v>
      </c>
    </row>
    <row r="404" spans="1:9">
      <c r="A404" s="2280" t="str">
        <f>"17-12-2023 01:00"</f>
        <v>17-12-2023 01:00</v>
      </c>
      <c r="B404" s="2280" t="str">
        <f>"17-12-2023 02:00"</f>
        <v>17-12-2023 02:00</v>
      </c>
      <c r="C404" s="2278">
        <v>0.12</v>
      </c>
      <c r="F404" s="1721" t="str">
        <f>"17-01-2024 01:00"</f>
        <v>17-01-2024 01:00</v>
      </c>
      <c r="G404" s="1721" t="str">
        <f>"17-01-2024 02:00"</f>
        <v>17-01-2024 02:00</v>
      </c>
      <c r="H404" s="1721">
        <v>0.14000000000000001</v>
      </c>
    </row>
    <row r="405" spans="1:9">
      <c r="A405" s="2280" t="str">
        <f>"17-12-2023 02:00"</f>
        <v>17-12-2023 02:00</v>
      </c>
      <c r="B405" s="2280" t="str">
        <f>"17-12-2023 03:00"</f>
        <v>17-12-2023 03:00</v>
      </c>
      <c r="C405" s="2278">
        <v>0.16</v>
      </c>
      <c r="F405" s="1721" t="str">
        <f>"17-01-2024 02:00"</f>
        <v>17-01-2024 02:00</v>
      </c>
      <c r="G405" s="1721" t="str">
        <f>"17-01-2024 03:00"</f>
        <v>17-01-2024 03:00</v>
      </c>
      <c r="H405" s="1721">
        <v>0.11</v>
      </c>
    </row>
    <row r="406" spans="1:9">
      <c r="A406" s="2280" t="str">
        <f>"17-12-2023 03:00"</f>
        <v>17-12-2023 03:00</v>
      </c>
      <c r="B406" s="2280" t="str">
        <f>"17-12-2023 04:00"</f>
        <v>17-12-2023 04:00</v>
      </c>
      <c r="C406" s="2278">
        <v>0.19</v>
      </c>
      <c r="F406" s="1721" t="str">
        <f>"17-01-2024 03:00"</f>
        <v>17-01-2024 03:00</v>
      </c>
      <c r="G406" s="1721" t="str">
        <f>"17-01-2024 04:00"</f>
        <v>17-01-2024 04:00</v>
      </c>
      <c r="H406" s="1721">
        <v>0.14000000000000001</v>
      </c>
    </row>
    <row r="407" spans="1:9">
      <c r="A407" s="2280" t="str">
        <f>"17-12-2023 04:00"</f>
        <v>17-12-2023 04:00</v>
      </c>
      <c r="B407" s="2280" t="str">
        <f>"17-12-2023 05:00"</f>
        <v>17-12-2023 05:00</v>
      </c>
      <c r="C407" s="2278">
        <v>0.16</v>
      </c>
      <c r="F407" s="1721" t="str">
        <f>"17-01-2024 04:00"</f>
        <v>17-01-2024 04:00</v>
      </c>
      <c r="G407" s="1721" t="str">
        <f>"17-01-2024 05:00"</f>
        <v>17-01-2024 05:00</v>
      </c>
      <c r="H407" s="1721">
        <v>0.23</v>
      </c>
    </row>
    <row r="408" spans="1:9">
      <c r="A408" s="2280" t="str">
        <f>"17-12-2023 05:00"</f>
        <v>17-12-2023 05:00</v>
      </c>
      <c r="B408" s="2280" t="str">
        <f>"17-12-2023 06:00"</f>
        <v>17-12-2023 06:00</v>
      </c>
      <c r="C408" s="2278">
        <v>0.12</v>
      </c>
      <c r="F408" s="1721" t="str">
        <f>"17-01-2024 05:00"</f>
        <v>17-01-2024 05:00</v>
      </c>
      <c r="G408" s="1721" t="str">
        <f>"17-01-2024 06:00"</f>
        <v>17-01-2024 06:00</v>
      </c>
      <c r="H408" s="1721">
        <v>0.17</v>
      </c>
    </row>
    <row r="409" spans="1:9">
      <c r="A409" s="2280" t="str">
        <f>"17-12-2023 06:00"</f>
        <v>17-12-2023 06:00</v>
      </c>
      <c r="B409" s="2280" t="str">
        <f>"17-12-2023 07:00"</f>
        <v>17-12-2023 07:00</v>
      </c>
      <c r="C409" s="2278">
        <v>0.19</v>
      </c>
      <c r="F409" s="1721" t="str">
        <f>"17-01-2024 06:00"</f>
        <v>17-01-2024 06:00</v>
      </c>
      <c r="G409" s="1721" t="str">
        <f>"17-01-2024 07:00"</f>
        <v>17-01-2024 07:00</v>
      </c>
      <c r="H409" s="1721">
        <v>0.13</v>
      </c>
    </row>
    <row r="410" spans="1:9">
      <c r="A410" s="2280" t="str">
        <f>"17-12-2023 07:00"</f>
        <v>17-12-2023 07:00</v>
      </c>
      <c r="B410" s="2280" t="str">
        <f>"17-12-2023 08:00"</f>
        <v>17-12-2023 08:00</v>
      </c>
      <c r="C410" s="2278">
        <v>0.23</v>
      </c>
      <c r="F410" s="1721" t="str">
        <f>"17-01-2024 07:00"</f>
        <v>17-01-2024 07:00</v>
      </c>
      <c r="G410" s="1721" t="str">
        <f>"17-01-2024 08:00"</f>
        <v>17-01-2024 08:00</v>
      </c>
      <c r="H410" s="1721">
        <v>0.15</v>
      </c>
    </row>
    <row r="411" spans="1:9">
      <c r="A411" s="2280" t="str">
        <f>"17-12-2023 08:00"</f>
        <v>17-12-2023 08:00</v>
      </c>
      <c r="B411" s="2280" t="str">
        <f>"17-12-2023 09:00"</f>
        <v>17-12-2023 09:00</v>
      </c>
      <c r="C411" s="2278">
        <v>0.4</v>
      </c>
      <c r="F411" s="1721" t="str">
        <f>"17-01-2024 08:00"</f>
        <v>17-01-2024 08:00</v>
      </c>
      <c r="G411" s="1721" t="str">
        <f>"17-01-2024 09:00"</f>
        <v>17-01-2024 09:00</v>
      </c>
      <c r="H411" s="1721">
        <v>0.33</v>
      </c>
    </row>
    <row r="412" spans="1:9">
      <c r="A412" s="2280" t="str">
        <f>"17-12-2023 09:00"</f>
        <v>17-12-2023 09:00</v>
      </c>
      <c r="B412" s="2280" t="str">
        <f>"17-12-2023 10:00"</f>
        <v>17-12-2023 10:00</v>
      </c>
      <c r="C412" s="2278">
        <v>0.48</v>
      </c>
      <c r="F412" s="1721" t="str">
        <f>"17-01-2024 09:00"</f>
        <v>17-01-2024 09:00</v>
      </c>
      <c r="G412" s="1721" t="str">
        <f>"17-01-2024 10:00"</f>
        <v>17-01-2024 10:00</v>
      </c>
      <c r="H412" s="1721">
        <v>0.37</v>
      </c>
    </row>
    <row r="413" spans="1:9">
      <c r="A413" s="2280" t="str">
        <f>"17-12-2023 10:00"</f>
        <v>17-12-2023 10:00</v>
      </c>
      <c r="B413" s="2280" t="str">
        <f>"17-12-2023 11:00"</f>
        <v>17-12-2023 11:00</v>
      </c>
      <c r="C413" s="2278">
        <v>0.28999999999999998</v>
      </c>
      <c r="F413" s="1721" t="str">
        <f>"17-01-2024 10:00"</f>
        <v>17-01-2024 10:00</v>
      </c>
      <c r="G413" s="1721" t="str">
        <f>"17-01-2024 11:00"</f>
        <v>17-01-2024 11:00</v>
      </c>
      <c r="H413" s="1721">
        <v>0.31</v>
      </c>
    </row>
    <row r="414" spans="1:9">
      <c r="A414" s="2280" t="str">
        <f>"17-12-2023 11:00"</f>
        <v>17-12-2023 11:00</v>
      </c>
      <c r="B414" s="2280" t="str">
        <f>"17-12-2023 12:00"</f>
        <v>17-12-2023 12:00</v>
      </c>
      <c r="C414" s="2278">
        <v>0.35</v>
      </c>
      <c r="F414" s="1721" t="str">
        <f>"17-01-2024 11:00"</f>
        <v>17-01-2024 11:00</v>
      </c>
      <c r="G414" s="1721" t="str">
        <f>"17-01-2024 12:00"</f>
        <v>17-01-2024 12:00</v>
      </c>
      <c r="H414" s="1721">
        <v>0.53</v>
      </c>
      <c r="I414" s="2284"/>
    </row>
    <row r="415" spans="1:9">
      <c r="A415" s="2280" t="str">
        <f>"17-12-2023 12:00"</f>
        <v>17-12-2023 12:00</v>
      </c>
      <c r="B415" s="2280" t="str">
        <f>"17-12-2023 13:00"</f>
        <v>17-12-2023 13:00</v>
      </c>
      <c r="C415" s="2278">
        <v>0.4</v>
      </c>
      <c r="F415" s="1721" t="str">
        <f>"17-01-2024 12:00"</f>
        <v>17-01-2024 12:00</v>
      </c>
      <c r="G415" s="1721" t="str">
        <f>"17-01-2024 13:00"</f>
        <v>17-01-2024 13:00</v>
      </c>
      <c r="H415" s="1721">
        <v>0.35</v>
      </c>
    </row>
    <row r="416" spans="1:9">
      <c r="A416" s="2280" t="str">
        <f>"17-12-2023 13:00"</f>
        <v>17-12-2023 13:00</v>
      </c>
      <c r="B416" s="2280" t="str">
        <f>"17-12-2023 14:00"</f>
        <v>17-12-2023 14:00</v>
      </c>
      <c r="C416" s="2278">
        <v>0.3</v>
      </c>
      <c r="F416" s="1721" t="str">
        <f>"17-01-2024 13:00"</f>
        <v>17-01-2024 13:00</v>
      </c>
      <c r="G416" s="1721" t="str">
        <f>"17-01-2024 14:00"</f>
        <v>17-01-2024 14:00</v>
      </c>
      <c r="H416" s="1721">
        <v>0.35</v>
      </c>
    </row>
    <row r="417" spans="1:9">
      <c r="A417" s="2280" t="str">
        <f>"17-12-2023 14:00"</f>
        <v>17-12-2023 14:00</v>
      </c>
      <c r="B417" s="2280" t="str">
        <f>"17-12-2023 15:00"</f>
        <v>17-12-2023 15:00</v>
      </c>
      <c r="C417" s="2278">
        <v>0.11</v>
      </c>
      <c r="F417" s="1721" t="str">
        <f>"17-01-2024 14:00"</f>
        <v>17-01-2024 14:00</v>
      </c>
      <c r="G417" s="1721" t="str">
        <f>"17-01-2024 15:00"</f>
        <v>17-01-2024 15:00</v>
      </c>
      <c r="H417" s="1721">
        <v>0.53</v>
      </c>
    </row>
    <row r="418" spans="1:9">
      <c r="A418" s="2280" t="str">
        <f>"17-12-2023 15:00"</f>
        <v>17-12-2023 15:00</v>
      </c>
      <c r="B418" s="2280" t="str">
        <f>"17-12-2023 16:00"</f>
        <v>17-12-2023 16:00</v>
      </c>
      <c r="C418" s="2278">
        <v>0.56000000000000005</v>
      </c>
      <c r="F418" s="1721" t="str">
        <f>"17-01-2024 15:00"</f>
        <v>17-01-2024 15:00</v>
      </c>
      <c r="G418" s="1721" t="str">
        <f>"17-01-2024 16:00"</f>
        <v>17-01-2024 16:00</v>
      </c>
      <c r="H418" s="1721">
        <v>0.32</v>
      </c>
    </row>
    <row r="419" spans="1:9">
      <c r="A419" s="2280" t="str">
        <f>"17-12-2023 16:00"</f>
        <v>17-12-2023 16:00</v>
      </c>
      <c r="B419" s="2280" t="str">
        <f>"17-12-2023 17:00"</f>
        <v>17-12-2023 17:00</v>
      </c>
      <c r="C419" s="2278">
        <v>0.53</v>
      </c>
      <c r="F419" s="1721" t="str">
        <f>"17-01-2024 16:00"</f>
        <v>17-01-2024 16:00</v>
      </c>
      <c r="G419" s="1721" t="str">
        <f>"17-01-2024 17:00"</f>
        <v>17-01-2024 17:00</v>
      </c>
      <c r="H419" s="1721">
        <v>0.38</v>
      </c>
    </row>
    <row r="420" spans="1:9">
      <c r="A420" s="2280" t="str">
        <f>"17-12-2023 17:00"</f>
        <v>17-12-2023 17:00</v>
      </c>
      <c r="B420" s="2280" t="str">
        <f>"17-12-2023 18:00"</f>
        <v>17-12-2023 18:00</v>
      </c>
      <c r="C420" s="2278">
        <v>0.95</v>
      </c>
      <c r="F420" s="1721" t="str">
        <f>"17-01-2024 17:00"</f>
        <v>17-01-2024 17:00</v>
      </c>
      <c r="G420" s="1721" t="str">
        <f>"17-01-2024 18:00"</f>
        <v>17-01-2024 18:00</v>
      </c>
      <c r="H420" s="1721">
        <v>0.34</v>
      </c>
    </row>
    <row r="421" spans="1:9">
      <c r="A421" s="2280" t="str">
        <f>"17-12-2023 18:00"</f>
        <v>17-12-2023 18:00</v>
      </c>
      <c r="B421" s="2280" t="str">
        <f>"17-12-2023 19:00"</f>
        <v>17-12-2023 19:00</v>
      </c>
      <c r="C421" s="2278">
        <v>0.44</v>
      </c>
      <c r="F421" s="1721" t="str">
        <f>"17-01-2024 18:00"</f>
        <v>17-01-2024 18:00</v>
      </c>
      <c r="G421" s="1721" t="str">
        <f>"17-01-2024 19:00"</f>
        <v>17-01-2024 19:00</v>
      </c>
      <c r="H421" s="1721">
        <v>0.4</v>
      </c>
    </row>
    <row r="422" spans="1:9">
      <c r="A422" s="2280" t="str">
        <f>"17-12-2023 19:00"</f>
        <v>17-12-2023 19:00</v>
      </c>
      <c r="B422" s="2280" t="str">
        <f>"17-12-2023 20:00"</f>
        <v>17-12-2023 20:00</v>
      </c>
      <c r="C422" s="2278">
        <v>0.37</v>
      </c>
      <c r="F422" s="1721" t="str">
        <f>"17-01-2024 19:00"</f>
        <v>17-01-2024 19:00</v>
      </c>
      <c r="G422" s="1721" t="str">
        <f>"17-01-2024 20:00"</f>
        <v>17-01-2024 20:00</v>
      </c>
      <c r="H422" s="1721">
        <v>0.36</v>
      </c>
    </row>
    <row r="423" spans="1:9">
      <c r="A423" s="2280" t="str">
        <f>"17-12-2023 20:00"</f>
        <v>17-12-2023 20:00</v>
      </c>
      <c r="B423" s="2280" t="str">
        <f>"17-12-2023 21:00"</f>
        <v>17-12-2023 21:00</v>
      </c>
      <c r="C423" s="2278">
        <v>0.38</v>
      </c>
      <c r="F423" s="1721" t="str">
        <f>"17-01-2024 20:00"</f>
        <v>17-01-2024 20:00</v>
      </c>
      <c r="G423" s="1721" t="str">
        <f>"17-01-2024 21:00"</f>
        <v>17-01-2024 21:00</v>
      </c>
      <c r="H423" s="1721">
        <v>0.39</v>
      </c>
    </row>
    <row r="424" spans="1:9">
      <c r="A424" s="2280" t="str">
        <f>"17-12-2023 21:00"</f>
        <v>17-12-2023 21:00</v>
      </c>
      <c r="B424" s="2280" t="str">
        <f>"17-12-2023 22:00"</f>
        <v>17-12-2023 22:00</v>
      </c>
      <c r="C424" s="2278">
        <v>0.43</v>
      </c>
      <c r="F424" s="1721" t="str">
        <f>"17-01-2024 21:00"</f>
        <v>17-01-2024 21:00</v>
      </c>
      <c r="G424" s="1721" t="str">
        <f>"17-01-2024 22:00"</f>
        <v>17-01-2024 22:00</v>
      </c>
      <c r="H424" s="1721">
        <v>0.38</v>
      </c>
    </row>
    <row r="425" spans="1:9">
      <c r="A425" s="2280" t="str">
        <f>"17-12-2023 22:00"</f>
        <v>17-12-2023 22:00</v>
      </c>
      <c r="B425" s="2280" t="str">
        <f>"17-12-2023 23:00"</f>
        <v>17-12-2023 23:00</v>
      </c>
      <c r="C425" s="2278">
        <v>0.34</v>
      </c>
      <c r="F425" s="1721" t="str">
        <f>"17-01-2024 22:00"</f>
        <v>17-01-2024 22:00</v>
      </c>
      <c r="G425" s="1721" t="str">
        <f>"17-01-2024 23:00"</f>
        <v>17-01-2024 23:00</v>
      </c>
      <c r="H425" s="1721">
        <v>0.21</v>
      </c>
    </row>
    <row r="426" spans="1:9">
      <c r="A426" s="2284" t="str">
        <f>"17-12-2023 23:00"</f>
        <v>17-12-2023 23:00</v>
      </c>
      <c r="B426" s="2284" t="str">
        <f>"18-12-2023 00:00"</f>
        <v>18-12-2023 00:00</v>
      </c>
      <c r="C426" s="2278">
        <v>0.25</v>
      </c>
      <c r="D426" s="2284">
        <f>SUM(C403:C426)</f>
        <v>8</v>
      </c>
      <c r="F426" s="2384" t="str">
        <f>"17-01-2024 23:00"</f>
        <v>17-01-2024 23:00</v>
      </c>
      <c r="G426" s="2384" t="str">
        <f>"18-01-2024 00:00"</f>
        <v>18-01-2024 00:00</v>
      </c>
      <c r="H426" s="2384">
        <v>0.11</v>
      </c>
      <c r="I426" s="2322">
        <f>SUM(H403:H426)</f>
        <v>6.870000000000001</v>
      </c>
    </row>
    <row r="427" spans="1:9">
      <c r="A427" s="2280" t="s">
        <v>1644</v>
      </c>
      <c r="B427" s="2280" t="s">
        <v>1645</v>
      </c>
      <c r="C427" s="2281" t="s">
        <v>1147</v>
      </c>
      <c r="D427" s="2280" t="s">
        <v>567</v>
      </c>
      <c r="F427" s="2280" t="s">
        <v>1644</v>
      </c>
      <c r="G427" s="2280" t="s">
        <v>1645</v>
      </c>
      <c r="H427" s="2281" t="s">
        <v>1147</v>
      </c>
      <c r="I427" s="2280" t="s">
        <v>567</v>
      </c>
    </row>
    <row r="428" spans="1:9">
      <c r="A428" s="2280" t="str">
        <f>"18-12-2023 00:00"</f>
        <v>18-12-2023 00:00</v>
      </c>
      <c r="B428" s="2280" t="str">
        <f>"18-12-2023 01:00"</f>
        <v>18-12-2023 01:00</v>
      </c>
      <c r="C428" s="2278">
        <v>0.22</v>
      </c>
      <c r="F428" s="1721" t="str">
        <f>"18-01-2024 00:00"</f>
        <v>18-01-2024 00:00</v>
      </c>
      <c r="G428" s="1721" t="str">
        <f>"18-01-2024 01:00"</f>
        <v>18-01-2024 01:00</v>
      </c>
      <c r="H428" s="1721">
        <v>0.13</v>
      </c>
    </row>
    <row r="429" spans="1:9">
      <c r="A429" s="2280" t="str">
        <f>"18-12-2023 01:00"</f>
        <v>18-12-2023 01:00</v>
      </c>
      <c r="B429" s="2280" t="str">
        <f>"18-12-2023 02:00"</f>
        <v>18-12-2023 02:00</v>
      </c>
      <c r="C429" s="2278">
        <v>0.15</v>
      </c>
      <c r="F429" s="1721" t="str">
        <f>"18-01-2024 01:00"</f>
        <v>18-01-2024 01:00</v>
      </c>
      <c r="G429" s="1721" t="str">
        <f>"18-01-2024 02:00"</f>
        <v>18-01-2024 02:00</v>
      </c>
      <c r="H429" s="1721">
        <v>0.15</v>
      </c>
    </row>
    <row r="430" spans="1:9">
      <c r="A430" s="2280" t="str">
        <f>"18-12-2023 02:00"</f>
        <v>18-12-2023 02:00</v>
      </c>
      <c r="B430" s="2280" t="str">
        <f>"18-12-2023 03:00"</f>
        <v>18-12-2023 03:00</v>
      </c>
      <c r="C430" s="2278">
        <v>0.18</v>
      </c>
      <c r="F430" s="1721" t="str">
        <f>"18-01-2024 02:00"</f>
        <v>18-01-2024 02:00</v>
      </c>
      <c r="G430" s="1721" t="str">
        <f>"18-01-2024 03:00"</f>
        <v>18-01-2024 03:00</v>
      </c>
      <c r="H430" s="1721">
        <v>0.11</v>
      </c>
    </row>
    <row r="431" spans="1:9">
      <c r="A431" s="2280" t="str">
        <f>"18-12-2023 03:00"</f>
        <v>18-12-2023 03:00</v>
      </c>
      <c r="B431" s="2280" t="str">
        <f>"18-12-2023 04:00"</f>
        <v>18-12-2023 04:00</v>
      </c>
      <c r="C431" s="2278">
        <v>0.28000000000000003</v>
      </c>
      <c r="F431" s="1721" t="str">
        <f>"18-01-2024 03:00"</f>
        <v>18-01-2024 03:00</v>
      </c>
      <c r="G431" s="1721" t="str">
        <f>"18-01-2024 04:00"</f>
        <v>18-01-2024 04:00</v>
      </c>
      <c r="H431" s="1721">
        <v>0.13</v>
      </c>
    </row>
    <row r="432" spans="1:9">
      <c r="A432" s="2280" t="str">
        <f>"18-12-2023 04:00"</f>
        <v>18-12-2023 04:00</v>
      </c>
      <c r="B432" s="2280" t="str">
        <f>"18-12-2023 05:00"</f>
        <v>18-12-2023 05:00</v>
      </c>
      <c r="C432" s="2278">
        <v>0.13</v>
      </c>
      <c r="F432" s="1721" t="str">
        <f>"18-01-2024 04:00"</f>
        <v>18-01-2024 04:00</v>
      </c>
      <c r="G432" s="1721" t="str">
        <f>"18-01-2024 05:00"</f>
        <v>18-01-2024 05:00</v>
      </c>
      <c r="H432" s="1721">
        <v>0.18</v>
      </c>
    </row>
    <row r="433" spans="1:9">
      <c r="A433" s="2280" t="str">
        <f>"18-12-2023 05:00"</f>
        <v>18-12-2023 05:00</v>
      </c>
      <c r="B433" s="2280" t="str">
        <f>"18-12-2023 06:00"</f>
        <v>18-12-2023 06:00</v>
      </c>
      <c r="C433" s="2278">
        <v>0.14000000000000001</v>
      </c>
      <c r="F433" s="1721" t="str">
        <f>"18-01-2024 05:00"</f>
        <v>18-01-2024 05:00</v>
      </c>
      <c r="G433" s="1721" t="str">
        <f>"18-01-2024 06:00"</f>
        <v>18-01-2024 06:00</v>
      </c>
      <c r="H433" s="1721">
        <v>0.18</v>
      </c>
    </row>
    <row r="434" spans="1:9">
      <c r="A434" s="2280" t="str">
        <f>"18-12-2023 06:00"</f>
        <v>18-12-2023 06:00</v>
      </c>
      <c r="B434" s="2280" t="str">
        <f>"18-12-2023 07:00"</f>
        <v>18-12-2023 07:00</v>
      </c>
      <c r="C434" s="2278">
        <v>0.17</v>
      </c>
      <c r="F434" s="1721" t="str">
        <f>"18-01-2024 06:00"</f>
        <v>18-01-2024 06:00</v>
      </c>
      <c r="G434" s="1721" t="str">
        <f>"18-01-2024 07:00"</f>
        <v>18-01-2024 07:00</v>
      </c>
      <c r="H434" s="1721">
        <v>0.1</v>
      </c>
    </row>
    <row r="435" spans="1:9">
      <c r="A435" s="2280" t="str">
        <f>"18-12-2023 07:00"</f>
        <v>18-12-2023 07:00</v>
      </c>
      <c r="B435" s="2280" t="str">
        <f>"18-12-2023 08:00"</f>
        <v>18-12-2023 08:00</v>
      </c>
      <c r="C435" s="2278">
        <v>0.21</v>
      </c>
      <c r="F435" s="1721" t="str">
        <f>"18-01-2024 07:00"</f>
        <v>18-01-2024 07:00</v>
      </c>
      <c r="G435" s="1721" t="str">
        <f>"18-01-2024 08:00"</f>
        <v>18-01-2024 08:00</v>
      </c>
      <c r="H435" s="1721">
        <v>0.14000000000000001</v>
      </c>
    </row>
    <row r="436" spans="1:9">
      <c r="A436" s="2280" t="str">
        <f>"18-12-2023 08:00"</f>
        <v>18-12-2023 08:00</v>
      </c>
      <c r="B436" s="2280" t="str">
        <f>"18-12-2023 09:00"</f>
        <v>18-12-2023 09:00</v>
      </c>
      <c r="C436" s="2278">
        <v>0.23</v>
      </c>
      <c r="F436" s="1721" t="str">
        <f>"18-01-2024 08:00"</f>
        <v>18-01-2024 08:00</v>
      </c>
      <c r="G436" s="1721" t="str">
        <f>"18-01-2024 09:00"</f>
        <v>18-01-2024 09:00</v>
      </c>
      <c r="H436" s="1721">
        <v>0.2</v>
      </c>
    </row>
    <row r="437" spans="1:9">
      <c r="A437" s="2280" t="str">
        <f>"18-12-2023 09:00"</f>
        <v>18-12-2023 09:00</v>
      </c>
      <c r="B437" s="2280" t="str">
        <f>"18-12-2023 10:00"</f>
        <v>18-12-2023 10:00</v>
      </c>
      <c r="C437" s="2278">
        <v>0.38</v>
      </c>
      <c r="F437" s="1721" t="str">
        <f>"18-01-2024 09:00"</f>
        <v>18-01-2024 09:00</v>
      </c>
      <c r="G437" s="1721" t="str">
        <f>"18-01-2024 10:00"</f>
        <v>18-01-2024 10:00</v>
      </c>
      <c r="H437" s="1721">
        <v>0.18</v>
      </c>
    </row>
    <row r="438" spans="1:9">
      <c r="A438" s="2280" t="str">
        <f>"18-12-2023 10:00"</f>
        <v>18-12-2023 10:00</v>
      </c>
      <c r="B438" s="2280" t="str">
        <f>"18-12-2023 11:00"</f>
        <v>18-12-2023 11:00</v>
      </c>
      <c r="C438" s="2278">
        <v>0.28000000000000003</v>
      </c>
      <c r="F438" s="1721" t="str">
        <f>"18-01-2024 10:00"</f>
        <v>18-01-2024 10:00</v>
      </c>
      <c r="G438" s="1721" t="str">
        <f>"18-01-2024 11:00"</f>
        <v>18-01-2024 11:00</v>
      </c>
      <c r="H438" s="1721">
        <v>0.39</v>
      </c>
    </row>
    <row r="439" spans="1:9">
      <c r="A439" s="2280" t="str">
        <f>"18-12-2023 11:00"</f>
        <v>18-12-2023 11:00</v>
      </c>
      <c r="B439" s="2280" t="str">
        <f>"18-12-2023 12:00"</f>
        <v>18-12-2023 12:00</v>
      </c>
      <c r="C439" s="2278">
        <v>0.43</v>
      </c>
      <c r="F439" s="1721" t="str">
        <f>"18-01-2024 11:00"</f>
        <v>18-01-2024 11:00</v>
      </c>
      <c r="G439" s="1721" t="str">
        <f>"18-01-2024 12:00"</f>
        <v>18-01-2024 12:00</v>
      </c>
      <c r="H439" s="1721">
        <v>0.38</v>
      </c>
    </row>
    <row r="440" spans="1:9">
      <c r="A440" s="2280" t="str">
        <f>"18-12-2023 12:00"</f>
        <v>18-12-2023 12:00</v>
      </c>
      <c r="B440" s="2280" t="str">
        <f>"18-12-2023 13:00"</f>
        <v>18-12-2023 13:00</v>
      </c>
      <c r="C440" s="2278">
        <v>0.28999999999999998</v>
      </c>
      <c r="F440" s="1721" t="str">
        <f>"18-01-2024 12:00"</f>
        <v>18-01-2024 12:00</v>
      </c>
      <c r="G440" s="1721" t="str">
        <f>"18-01-2024 13:00"</f>
        <v>18-01-2024 13:00</v>
      </c>
      <c r="H440" s="1721">
        <v>0.46</v>
      </c>
      <c r="I440" s="2284"/>
    </row>
    <row r="441" spans="1:9">
      <c r="A441" s="2280" t="str">
        <f>"18-12-2023 13:00"</f>
        <v>18-12-2023 13:00</v>
      </c>
      <c r="B441" s="2280" t="str">
        <f>"18-12-2023 14:00"</f>
        <v>18-12-2023 14:00</v>
      </c>
      <c r="C441" s="2278">
        <v>0.43</v>
      </c>
      <c r="F441" s="1721" t="str">
        <f>"18-01-2024 13:00"</f>
        <v>18-01-2024 13:00</v>
      </c>
      <c r="G441" s="1721" t="str">
        <f>"18-01-2024 14:00"</f>
        <v>18-01-2024 14:00</v>
      </c>
      <c r="H441" s="1721">
        <v>0.28999999999999998</v>
      </c>
    </row>
    <row r="442" spans="1:9">
      <c r="A442" s="2280" t="str">
        <f>"18-12-2023 14:00"</f>
        <v>18-12-2023 14:00</v>
      </c>
      <c r="B442" s="2280" t="str">
        <f>"18-12-2023 15:00"</f>
        <v>18-12-2023 15:00</v>
      </c>
      <c r="C442" s="2278">
        <v>0.41</v>
      </c>
      <c r="F442" s="1721" t="str">
        <f>"18-01-2024 14:00"</f>
        <v>18-01-2024 14:00</v>
      </c>
      <c r="G442" s="1721" t="str">
        <f>"18-01-2024 15:00"</f>
        <v>18-01-2024 15:00</v>
      </c>
      <c r="H442" s="1721">
        <v>0.52</v>
      </c>
    </row>
    <row r="443" spans="1:9">
      <c r="A443" s="2280" t="str">
        <f>"18-12-2023 15:00"</f>
        <v>18-12-2023 15:00</v>
      </c>
      <c r="B443" s="2280" t="str">
        <f>"18-12-2023 16:00"</f>
        <v>18-12-2023 16:00</v>
      </c>
      <c r="C443" s="2278">
        <v>0.66</v>
      </c>
      <c r="F443" s="1721" t="str">
        <f>"18-01-2024 15:00"</f>
        <v>18-01-2024 15:00</v>
      </c>
      <c r="G443" s="1721" t="str">
        <f>"18-01-2024 16:00"</f>
        <v>18-01-2024 16:00</v>
      </c>
      <c r="H443" s="1721">
        <v>0.39</v>
      </c>
    </row>
    <row r="444" spans="1:9">
      <c r="A444" s="2280" t="str">
        <f>"18-12-2023 16:00"</f>
        <v>18-12-2023 16:00</v>
      </c>
      <c r="B444" s="2280" t="str">
        <f>"18-12-2023 17:00"</f>
        <v>18-12-2023 17:00</v>
      </c>
      <c r="C444" s="2278">
        <v>0.36</v>
      </c>
      <c r="F444" s="1721" t="str">
        <f>"18-01-2024 16:00"</f>
        <v>18-01-2024 16:00</v>
      </c>
      <c r="G444" s="1721" t="str">
        <f>"18-01-2024 17:00"</f>
        <v>18-01-2024 17:00</v>
      </c>
      <c r="H444" s="1721">
        <v>0.41</v>
      </c>
    </row>
    <row r="445" spans="1:9">
      <c r="A445" s="2280" t="str">
        <f>"18-12-2023 17:00"</f>
        <v>18-12-2023 17:00</v>
      </c>
      <c r="B445" s="2280" t="str">
        <f>"18-12-2023 18:00"</f>
        <v>18-12-2023 18:00</v>
      </c>
      <c r="C445" s="2278">
        <v>0.5</v>
      </c>
      <c r="F445" s="1721" t="str">
        <f>"18-01-2024 17:00"</f>
        <v>18-01-2024 17:00</v>
      </c>
      <c r="G445" s="1721" t="str">
        <f>"18-01-2024 18:00"</f>
        <v>18-01-2024 18:00</v>
      </c>
      <c r="H445" s="1721">
        <v>0.69</v>
      </c>
    </row>
    <row r="446" spans="1:9">
      <c r="A446" s="2280" t="str">
        <f>"18-12-2023 18:00"</f>
        <v>18-12-2023 18:00</v>
      </c>
      <c r="B446" s="2280" t="str">
        <f>"18-12-2023 19:00"</f>
        <v>18-12-2023 19:00</v>
      </c>
      <c r="C446" s="2278">
        <v>0.76</v>
      </c>
      <c r="F446" s="1721" t="str">
        <f>"18-01-2024 18:00"</f>
        <v>18-01-2024 18:00</v>
      </c>
      <c r="G446" s="1721" t="str">
        <f>"18-01-2024 19:00"</f>
        <v>18-01-2024 19:00</v>
      </c>
      <c r="H446" s="1721">
        <v>0.45</v>
      </c>
    </row>
    <row r="447" spans="1:9">
      <c r="A447" s="2280" t="str">
        <f>"18-12-2023 19:00"</f>
        <v>18-12-2023 19:00</v>
      </c>
      <c r="B447" s="2280" t="str">
        <f>"18-12-2023 20:00"</f>
        <v>18-12-2023 20:00</v>
      </c>
      <c r="C447" s="2278">
        <v>0.42</v>
      </c>
      <c r="F447" s="1721" t="str">
        <f>"18-01-2024 19:00"</f>
        <v>18-01-2024 19:00</v>
      </c>
      <c r="G447" s="1721" t="str">
        <f>"18-01-2024 20:00"</f>
        <v>18-01-2024 20:00</v>
      </c>
      <c r="H447" s="1721">
        <v>0.34</v>
      </c>
    </row>
    <row r="448" spans="1:9">
      <c r="A448" s="2280" t="str">
        <f>"18-12-2023 20:00"</f>
        <v>18-12-2023 20:00</v>
      </c>
      <c r="B448" s="2280" t="str">
        <f>"18-12-2023 21:00"</f>
        <v>18-12-2023 21:00</v>
      </c>
      <c r="C448" s="2278">
        <v>0.44</v>
      </c>
      <c r="F448" s="1721" t="str">
        <f>"18-01-2024 20:00"</f>
        <v>18-01-2024 20:00</v>
      </c>
      <c r="G448" s="1721" t="str">
        <f>"18-01-2024 21:00"</f>
        <v>18-01-2024 21:00</v>
      </c>
      <c r="H448" s="1721">
        <v>0.4</v>
      </c>
    </row>
    <row r="449" spans="1:13">
      <c r="A449" s="2280" t="str">
        <f>"18-12-2023 21:00"</f>
        <v>18-12-2023 21:00</v>
      </c>
      <c r="B449" s="2280" t="str">
        <f>"18-12-2023 22:00"</f>
        <v>18-12-2023 22:00</v>
      </c>
      <c r="C449" s="2278">
        <v>0.34</v>
      </c>
      <c r="F449" s="1721" t="str">
        <f>"18-01-2024 21:00"</f>
        <v>18-01-2024 21:00</v>
      </c>
      <c r="G449" s="1721" t="str">
        <f>"18-01-2024 22:00"</f>
        <v>18-01-2024 22:00</v>
      </c>
      <c r="H449" s="1721">
        <v>0.42</v>
      </c>
    </row>
    <row r="450" spans="1:13">
      <c r="A450" s="2280" t="str">
        <f>"18-12-2023 22:00"</f>
        <v>18-12-2023 22:00</v>
      </c>
      <c r="B450" s="2280" t="str">
        <f>"18-12-2023 23:00"</f>
        <v>18-12-2023 23:00</v>
      </c>
      <c r="C450" s="2278">
        <v>0.39</v>
      </c>
      <c r="F450" s="1721" t="str">
        <f>"18-01-2024 22:00"</f>
        <v>18-01-2024 22:00</v>
      </c>
      <c r="G450" s="1721" t="str">
        <f>"18-01-2024 23:00"</f>
        <v>18-01-2024 23:00</v>
      </c>
      <c r="H450" s="1721">
        <v>0.26</v>
      </c>
    </row>
    <row r="451" spans="1:13">
      <c r="A451" s="2280" t="str">
        <f>"18-12-2023 23:00"</f>
        <v>18-12-2023 23:00</v>
      </c>
      <c r="B451" s="2280" t="str">
        <f>"19-12-2023 00:00"</f>
        <v>19-12-2023 00:00</v>
      </c>
      <c r="C451" s="2278">
        <v>0.28000000000000003</v>
      </c>
      <c r="D451" s="2280">
        <f>SUM(C428:C451)</f>
        <v>8.08</v>
      </c>
      <c r="F451" s="1721" t="str">
        <f>"18-01-2024 23:00"</f>
        <v>18-01-2024 23:00</v>
      </c>
      <c r="G451" s="1721" t="str">
        <f>"19-01-2024 00:00"</f>
        <v>19-01-2024 00:00</v>
      </c>
      <c r="H451" s="1721">
        <v>0.12</v>
      </c>
      <c r="I451" s="2322">
        <f>SUM(H428:H451)</f>
        <v>7.02</v>
      </c>
    </row>
    <row r="452" spans="1:13">
      <c r="A452" s="2280" t="s">
        <v>1644</v>
      </c>
      <c r="B452" s="2280" t="s">
        <v>1645</v>
      </c>
      <c r="C452" s="2281" t="s">
        <v>1147</v>
      </c>
      <c r="D452" s="2280" t="s">
        <v>567</v>
      </c>
      <c r="F452" s="2280" t="s">
        <v>1644</v>
      </c>
      <c r="G452" s="2280" t="s">
        <v>1645</v>
      </c>
      <c r="H452" s="2281" t="s">
        <v>1147</v>
      </c>
      <c r="I452" s="2280" t="s">
        <v>567</v>
      </c>
    </row>
    <row r="453" spans="1:13">
      <c r="A453" s="2280" t="str">
        <f>"19-12-2023 00:00"</f>
        <v>19-12-2023 00:00</v>
      </c>
      <c r="B453" s="2280" t="str">
        <f>"19-12-2023 01:00"</f>
        <v>19-12-2023 01:00</v>
      </c>
      <c r="C453" s="2278">
        <v>0.15</v>
      </c>
      <c r="F453" s="1721" t="str">
        <f>"19-01-2024 00:00"</f>
        <v>19-01-2024 00:00</v>
      </c>
      <c r="G453" s="1721" t="str">
        <f>"19-01-2024 01:00"</f>
        <v>19-01-2024 01:00</v>
      </c>
      <c r="H453" s="1721">
        <v>0.14000000000000001</v>
      </c>
    </row>
    <row r="454" spans="1:13">
      <c r="A454" s="2280" t="str">
        <f>"19-12-2023 01:00"</f>
        <v>19-12-2023 01:00</v>
      </c>
      <c r="B454" s="2280" t="str">
        <f>"19-12-2023 02:00"</f>
        <v>19-12-2023 02:00</v>
      </c>
      <c r="C454" s="2278">
        <v>0.2</v>
      </c>
      <c r="F454" s="1721" t="str">
        <f>"19-01-2024 01:00"</f>
        <v>19-01-2024 01:00</v>
      </c>
      <c r="G454" s="1721" t="str">
        <f>"19-01-2024 02:00"</f>
        <v>19-01-2024 02:00</v>
      </c>
      <c r="H454" s="1721">
        <v>0.15</v>
      </c>
    </row>
    <row r="455" spans="1:13">
      <c r="A455" s="2280" t="str">
        <f>"19-12-2023 02:00"</f>
        <v>19-12-2023 02:00</v>
      </c>
      <c r="B455" s="2280" t="str">
        <f>"19-12-2023 03:00"</f>
        <v>19-12-2023 03:00</v>
      </c>
      <c r="C455" s="2278">
        <v>0.14000000000000001</v>
      </c>
      <c r="F455" s="1721" t="str">
        <f>"19-01-2024 02:00"</f>
        <v>19-01-2024 02:00</v>
      </c>
      <c r="G455" s="1721" t="str">
        <f>"19-01-2024 03:00"</f>
        <v>19-01-2024 03:00</v>
      </c>
      <c r="H455" s="1721">
        <v>0.12</v>
      </c>
    </row>
    <row r="456" spans="1:13">
      <c r="A456" s="2280" t="str">
        <f>"19-12-2023 03:00"</f>
        <v>19-12-2023 03:00</v>
      </c>
      <c r="B456" s="2280" t="str">
        <f>"19-12-2023 04:00"</f>
        <v>19-12-2023 04:00</v>
      </c>
      <c r="C456" s="2278">
        <v>0.19</v>
      </c>
      <c r="F456" s="1721" t="str">
        <f>"19-01-2024 03:00"</f>
        <v>19-01-2024 03:00</v>
      </c>
      <c r="G456" s="1721" t="str">
        <f>"19-01-2024 04:00"</f>
        <v>19-01-2024 04:00</v>
      </c>
      <c r="H456" s="1721">
        <v>0.21</v>
      </c>
    </row>
    <row r="457" spans="1:13">
      <c r="A457" s="2280" t="str">
        <f>"19-12-2023 04:00"</f>
        <v>19-12-2023 04:00</v>
      </c>
      <c r="B457" s="2280" t="str">
        <f>"19-12-2023 05:00"</f>
        <v>19-12-2023 05:00</v>
      </c>
      <c r="C457" s="2278">
        <v>0.16</v>
      </c>
      <c r="F457" s="1721" t="str">
        <f>"19-01-2024 04:00"</f>
        <v>19-01-2024 04:00</v>
      </c>
      <c r="G457" s="1721" t="str">
        <f>"19-01-2024 05:00"</f>
        <v>19-01-2024 05:00</v>
      </c>
      <c r="H457" s="1721">
        <v>0.21</v>
      </c>
    </row>
    <row r="458" spans="1:13">
      <c r="A458" s="2280" t="str">
        <f>"19-12-2023 05:00"</f>
        <v>19-12-2023 05:00</v>
      </c>
      <c r="B458" s="2280" t="str">
        <f>"19-12-2023 06:00"</f>
        <v>19-12-2023 06:00</v>
      </c>
      <c r="C458" s="2278">
        <v>0.15</v>
      </c>
      <c r="F458" s="1721" t="str">
        <f>"19-01-2024 05:00"</f>
        <v>19-01-2024 05:00</v>
      </c>
      <c r="G458" s="1721" t="str">
        <f>"19-01-2024 06:00"</f>
        <v>19-01-2024 06:00</v>
      </c>
      <c r="H458" s="1721">
        <v>0.19</v>
      </c>
      <c r="M458" s="2280"/>
    </row>
    <row r="459" spans="1:13">
      <c r="A459" s="2280" t="str">
        <f>"19-12-2023 06:00"</f>
        <v>19-12-2023 06:00</v>
      </c>
      <c r="B459" s="2280" t="str">
        <f>"19-12-2023 07:00"</f>
        <v>19-12-2023 07:00</v>
      </c>
      <c r="C459" s="2278">
        <v>0.28000000000000003</v>
      </c>
      <c r="F459" s="1721" t="str">
        <f>"19-01-2024 06:00"</f>
        <v>19-01-2024 06:00</v>
      </c>
      <c r="G459" s="1721" t="str">
        <f>"19-01-2024 07:00"</f>
        <v>19-01-2024 07:00</v>
      </c>
      <c r="H459" s="1721">
        <v>0.17</v>
      </c>
      <c r="M459" s="2280"/>
    </row>
    <row r="460" spans="1:13">
      <c r="A460" s="2280" t="str">
        <f>"19-12-2023 07:00"</f>
        <v>19-12-2023 07:00</v>
      </c>
      <c r="B460" s="2280" t="str">
        <f>"19-12-2023 08:00"</f>
        <v>19-12-2023 08:00</v>
      </c>
      <c r="C460" s="2278">
        <v>0.19</v>
      </c>
      <c r="F460" s="1721" t="str">
        <f>"19-01-2024 07:00"</f>
        <v>19-01-2024 07:00</v>
      </c>
      <c r="G460" s="1721" t="str">
        <f>"19-01-2024 08:00"</f>
        <v>19-01-2024 08:00</v>
      </c>
      <c r="H460" s="1721">
        <v>0.27</v>
      </c>
      <c r="M460" s="2280"/>
    </row>
    <row r="461" spans="1:13">
      <c r="A461" s="2280" t="str">
        <f>"19-12-2023 08:00"</f>
        <v>19-12-2023 08:00</v>
      </c>
      <c r="B461" s="2280" t="str">
        <f>"19-12-2023 09:00"</f>
        <v>19-12-2023 09:00</v>
      </c>
      <c r="C461" s="2278">
        <v>0.26</v>
      </c>
      <c r="F461" s="1721" t="str">
        <f>"19-01-2024 08:00"</f>
        <v>19-01-2024 08:00</v>
      </c>
      <c r="G461" s="1721" t="str">
        <f>"19-01-2024 09:00"</f>
        <v>19-01-2024 09:00</v>
      </c>
      <c r="H461" s="1721">
        <v>0.21</v>
      </c>
      <c r="M461" s="2280"/>
    </row>
    <row r="462" spans="1:13">
      <c r="A462" s="2280" t="str">
        <f>"19-12-2023 09:00"</f>
        <v>19-12-2023 09:00</v>
      </c>
      <c r="B462" s="2280" t="str">
        <f>"19-12-2023 10:00"</f>
        <v>19-12-2023 10:00</v>
      </c>
      <c r="C462" s="2278">
        <v>0.26</v>
      </c>
      <c r="F462" s="1721" t="str">
        <f>"19-01-2024 09:00"</f>
        <v>19-01-2024 09:00</v>
      </c>
      <c r="G462" s="1721" t="str">
        <f>"19-01-2024 10:00"</f>
        <v>19-01-2024 10:00</v>
      </c>
      <c r="H462" s="1721">
        <v>0.26</v>
      </c>
      <c r="M462" s="2280"/>
    </row>
    <row r="463" spans="1:13">
      <c r="A463" s="2280" t="str">
        <f>"19-12-2023 10:00"</f>
        <v>19-12-2023 10:00</v>
      </c>
      <c r="B463" s="2280" t="str">
        <f>"19-12-2023 11:00"</f>
        <v>19-12-2023 11:00</v>
      </c>
      <c r="C463" s="2278">
        <v>0.38</v>
      </c>
      <c r="F463" s="1721" t="str">
        <f>"19-01-2024 10:00"</f>
        <v>19-01-2024 10:00</v>
      </c>
      <c r="G463" s="1721" t="str">
        <f>"19-01-2024 11:00"</f>
        <v>19-01-2024 11:00</v>
      </c>
      <c r="H463" s="1721">
        <v>0.6</v>
      </c>
      <c r="M463" s="2280"/>
    </row>
    <row r="464" spans="1:13">
      <c r="A464" s="2280" t="str">
        <f>"19-12-2023 11:00"</f>
        <v>19-12-2023 11:00</v>
      </c>
      <c r="B464" s="2280" t="str">
        <f>"19-12-2023 12:00"</f>
        <v>19-12-2023 12:00</v>
      </c>
      <c r="C464" s="2278">
        <v>0.5</v>
      </c>
      <c r="F464" s="1721" t="str">
        <f>"19-01-2024 11:00"</f>
        <v>19-01-2024 11:00</v>
      </c>
      <c r="G464" s="1721" t="str">
        <f>"19-01-2024 12:00"</f>
        <v>19-01-2024 12:00</v>
      </c>
      <c r="H464" s="1721">
        <v>0.31</v>
      </c>
      <c r="M464" s="2280"/>
    </row>
    <row r="465" spans="1:13">
      <c r="A465" s="2280" t="str">
        <f>"19-12-2023 12:00"</f>
        <v>19-12-2023 12:00</v>
      </c>
      <c r="B465" s="2280" t="str">
        <f>"19-12-2023 13:00"</f>
        <v>19-12-2023 13:00</v>
      </c>
      <c r="C465" s="2278">
        <v>0.3</v>
      </c>
      <c r="F465" s="1721" t="str">
        <f>"19-01-2024 12:00"</f>
        <v>19-01-2024 12:00</v>
      </c>
      <c r="G465" s="1721" t="str">
        <f>"19-01-2024 13:00"</f>
        <v>19-01-2024 13:00</v>
      </c>
      <c r="H465" s="1721">
        <v>0.26</v>
      </c>
      <c r="M465" s="2280"/>
    </row>
    <row r="466" spans="1:13">
      <c r="A466" s="2280" t="str">
        <f>"19-12-2023 13:00"</f>
        <v>19-12-2023 13:00</v>
      </c>
      <c r="B466" s="2280" t="str">
        <f>"19-12-2023 14:00"</f>
        <v>19-12-2023 14:00</v>
      </c>
      <c r="C466" s="2278">
        <v>0.38</v>
      </c>
      <c r="F466" s="1721" t="str">
        <f>"19-01-2024 13:00"</f>
        <v>19-01-2024 13:00</v>
      </c>
      <c r="G466" s="1721" t="str">
        <f>"19-01-2024 14:00"</f>
        <v>19-01-2024 14:00</v>
      </c>
      <c r="H466" s="1721">
        <v>0.34</v>
      </c>
      <c r="M466" s="2280"/>
    </row>
    <row r="467" spans="1:13">
      <c r="A467" s="2280" t="str">
        <f>"19-12-2023 14:00"</f>
        <v>19-12-2023 14:00</v>
      </c>
      <c r="B467" s="2280" t="str">
        <f>"19-12-2023 15:00"</f>
        <v>19-12-2023 15:00</v>
      </c>
      <c r="C467" s="2278">
        <v>0.53</v>
      </c>
      <c r="F467" s="1721" t="str">
        <f>"19-01-2024 14:00"</f>
        <v>19-01-2024 14:00</v>
      </c>
      <c r="G467" s="1721" t="str">
        <f>"19-01-2024 15:00"</f>
        <v>19-01-2024 15:00</v>
      </c>
      <c r="H467" s="1721">
        <v>0.3</v>
      </c>
      <c r="M467" s="2280"/>
    </row>
    <row r="468" spans="1:13">
      <c r="A468" s="2280" t="str">
        <f>"19-12-2023 15:00"</f>
        <v>19-12-2023 15:00</v>
      </c>
      <c r="B468" s="2280" t="str">
        <f>"19-12-2023 16:00"</f>
        <v>19-12-2023 16:00</v>
      </c>
      <c r="C468" s="2278">
        <v>0.39</v>
      </c>
      <c r="F468" s="1721" t="str">
        <f>"19-01-2024 15:00"</f>
        <v>19-01-2024 15:00</v>
      </c>
      <c r="G468" s="1721" t="str">
        <f>"19-01-2024 16:00"</f>
        <v>19-01-2024 16:00</v>
      </c>
      <c r="H468" s="1721">
        <v>0.32</v>
      </c>
      <c r="M468" s="2280"/>
    </row>
    <row r="469" spans="1:13">
      <c r="A469" s="2280" t="str">
        <f>"19-12-2023 16:00"</f>
        <v>19-12-2023 16:00</v>
      </c>
      <c r="B469" s="2280" t="str">
        <f>"19-12-2023 17:00"</f>
        <v>19-12-2023 17:00</v>
      </c>
      <c r="C469" s="2278">
        <v>0.44</v>
      </c>
      <c r="F469" s="1721" t="str">
        <f>"19-01-2024 16:00"</f>
        <v>19-01-2024 16:00</v>
      </c>
      <c r="G469" s="1721" t="str">
        <f>"19-01-2024 17:00"</f>
        <v>19-01-2024 17:00</v>
      </c>
      <c r="H469" s="1721">
        <v>0.38</v>
      </c>
      <c r="M469" s="2280"/>
    </row>
    <row r="470" spans="1:13">
      <c r="A470" s="2280" t="str">
        <f>"19-12-2023 17:00"</f>
        <v>19-12-2023 17:00</v>
      </c>
      <c r="B470" s="2280" t="str">
        <f>"19-12-2023 18:00"</f>
        <v>19-12-2023 18:00</v>
      </c>
      <c r="C470" s="2278">
        <v>0.28000000000000003</v>
      </c>
      <c r="F470" s="1721" t="str">
        <f>"19-01-2024 17:00"</f>
        <v>19-01-2024 17:00</v>
      </c>
      <c r="G470" s="1721" t="str">
        <f>"19-01-2024 18:00"</f>
        <v>19-01-2024 18:00</v>
      </c>
      <c r="H470" s="1721">
        <v>0.33</v>
      </c>
      <c r="M470" s="2280"/>
    </row>
    <row r="471" spans="1:13">
      <c r="A471" s="2280" t="str">
        <f>"19-12-2023 18:00"</f>
        <v>19-12-2023 18:00</v>
      </c>
      <c r="B471" s="2280" t="str">
        <f>"19-12-2023 19:00"</f>
        <v>19-12-2023 19:00</v>
      </c>
      <c r="C471" s="2278">
        <v>0.53</v>
      </c>
      <c r="F471" s="1721" t="str">
        <f>"19-01-2024 18:00"</f>
        <v>19-01-2024 18:00</v>
      </c>
      <c r="G471" s="1721" t="str">
        <f>"19-01-2024 19:00"</f>
        <v>19-01-2024 19:00</v>
      </c>
      <c r="H471" s="1721">
        <v>0.42</v>
      </c>
      <c r="M471" s="2280"/>
    </row>
    <row r="472" spans="1:13">
      <c r="A472" s="2280" t="str">
        <f>"19-12-2023 19:00"</f>
        <v>19-12-2023 19:00</v>
      </c>
      <c r="B472" s="2280" t="str">
        <f>"19-12-2023 20:00"</f>
        <v>19-12-2023 20:00</v>
      </c>
      <c r="C472" s="2278">
        <v>0.49</v>
      </c>
      <c r="F472" s="1721" t="str">
        <f>"19-01-2024 19:00"</f>
        <v>19-01-2024 19:00</v>
      </c>
      <c r="G472" s="1721" t="str">
        <f>"19-01-2024 20:00"</f>
        <v>19-01-2024 20:00</v>
      </c>
      <c r="H472" s="1721">
        <v>0.4</v>
      </c>
      <c r="M472" s="2280"/>
    </row>
    <row r="473" spans="1:13">
      <c r="A473" s="2280" t="str">
        <f>"19-12-2023 20:00"</f>
        <v>19-12-2023 20:00</v>
      </c>
      <c r="B473" s="2280" t="str">
        <f>"19-12-2023 21:00"</f>
        <v>19-12-2023 21:00</v>
      </c>
      <c r="C473" s="2278">
        <v>0.44</v>
      </c>
      <c r="F473" s="1721" t="str">
        <f>"19-01-2024 20:00"</f>
        <v>19-01-2024 20:00</v>
      </c>
      <c r="G473" s="1721" t="str">
        <f>"19-01-2024 21:00"</f>
        <v>19-01-2024 21:00</v>
      </c>
      <c r="H473" s="1721">
        <v>0.38</v>
      </c>
      <c r="M473" s="2280"/>
    </row>
    <row r="474" spans="1:13">
      <c r="A474" s="2280" t="str">
        <f>"19-12-2023 21:00"</f>
        <v>19-12-2023 21:00</v>
      </c>
      <c r="B474" s="2280" t="str">
        <f>"19-12-2023 22:00"</f>
        <v>19-12-2023 22:00</v>
      </c>
      <c r="C474" s="2278">
        <v>0.44</v>
      </c>
      <c r="F474" s="1721" t="str">
        <f>"19-01-2024 21:00"</f>
        <v>19-01-2024 21:00</v>
      </c>
      <c r="G474" s="1721" t="str">
        <f>"19-01-2024 22:00"</f>
        <v>19-01-2024 22:00</v>
      </c>
      <c r="H474" s="1721">
        <v>0.33</v>
      </c>
      <c r="M474" s="2280"/>
    </row>
    <row r="475" spans="1:13">
      <c r="A475" s="2280" t="str">
        <f>"19-12-2023 22:00"</f>
        <v>19-12-2023 22:00</v>
      </c>
      <c r="B475" s="2280" t="str">
        <f>"19-12-2023 23:00"</f>
        <v>19-12-2023 23:00</v>
      </c>
      <c r="C475" s="2278">
        <v>0.26</v>
      </c>
      <c r="F475" s="1721" t="str">
        <f>"19-01-2024 22:00"</f>
        <v>19-01-2024 22:00</v>
      </c>
      <c r="G475" s="1721" t="str">
        <f>"19-01-2024 23:00"</f>
        <v>19-01-2024 23:00</v>
      </c>
      <c r="H475" s="1721">
        <v>0.34</v>
      </c>
      <c r="M475" s="2280"/>
    </row>
    <row r="476" spans="1:13">
      <c r="A476" s="2280" t="str">
        <f>"19-12-2023 23:00"</f>
        <v>19-12-2023 23:00</v>
      </c>
      <c r="B476" s="2280" t="str">
        <f>"20-12-2023 00:00"</f>
        <v>20-12-2023 00:00</v>
      </c>
      <c r="C476" s="2278">
        <v>0.14000000000000001</v>
      </c>
      <c r="D476" s="2280">
        <f>SUM(C453:C476)</f>
        <v>7.48</v>
      </c>
      <c r="F476" s="2384" t="str">
        <f>"19-01-2024 23:00"</f>
        <v>19-01-2024 23:00</v>
      </c>
      <c r="G476" s="2384" t="str">
        <f>"20-01-2024 00:00"</f>
        <v>20-01-2024 00:00</v>
      </c>
      <c r="H476" s="2384">
        <v>0.2</v>
      </c>
      <c r="I476" s="2322">
        <f>SUM(H453:H476)</f>
        <v>6.84</v>
      </c>
      <c r="M476" s="2280"/>
    </row>
    <row r="477" spans="1:13">
      <c r="A477" s="2280" t="s">
        <v>1644</v>
      </c>
      <c r="B477" s="2280" t="s">
        <v>1645</v>
      </c>
      <c r="C477" s="2281" t="s">
        <v>1147</v>
      </c>
      <c r="D477" s="2280" t="s">
        <v>567</v>
      </c>
      <c r="H477" s="2278"/>
    </row>
    <row r="478" spans="1:13">
      <c r="A478" s="2280" t="str">
        <f>"20-12-2023 00:00"</f>
        <v>20-12-2023 00:00</v>
      </c>
      <c r="B478" s="2280" t="str">
        <f>"20-12-2023 01:00"</f>
        <v>20-12-2023 01:00</v>
      </c>
      <c r="C478" s="2278">
        <v>0.18</v>
      </c>
      <c r="H478" s="2278"/>
      <c r="M478" s="2280"/>
    </row>
    <row r="479" spans="1:13">
      <c r="A479" s="2280" t="str">
        <f>"20-12-2023 01:00"</f>
        <v>20-12-2023 01:00</v>
      </c>
      <c r="B479" s="2280" t="str">
        <f>"20-12-2023 02:00"</f>
        <v>20-12-2023 02:00</v>
      </c>
      <c r="C479" s="2278">
        <v>0.14000000000000001</v>
      </c>
      <c r="H479" s="2278"/>
      <c r="M479" s="2280"/>
    </row>
    <row r="480" spans="1:13">
      <c r="A480" s="2280" t="str">
        <f>"20-12-2023 02:00"</f>
        <v>20-12-2023 02:00</v>
      </c>
      <c r="B480" s="2280" t="str">
        <f>"20-12-2023 03:00"</f>
        <v>20-12-2023 03:00</v>
      </c>
      <c r="C480" s="2278">
        <v>0.16</v>
      </c>
      <c r="H480" s="2278"/>
      <c r="M480" s="2280"/>
    </row>
    <row r="481" spans="1:13">
      <c r="A481" s="2280" t="str">
        <f>"20-12-2023 03:00"</f>
        <v>20-12-2023 03:00</v>
      </c>
      <c r="B481" s="2280" t="str">
        <f>"20-12-2023 04:00"</f>
        <v>20-12-2023 04:00</v>
      </c>
      <c r="C481" s="2278">
        <v>0.17</v>
      </c>
      <c r="H481" s="2278"/>
      <c r="M481" s="2280"/>
    </row>
    <row r="482" spans="1:13" s="1721" customFormat="1">
      <c r="A482" s="2280" t="str">
        <f>"20-12-2023 04:00"</f>
        <v>20-12-2023 04:00</v>
      </c>
      <c r="B482" s="2280" t="str">
        <f>"20-12-2023 05:00"</f>
        <v>20-12-2023 05:00</v>
      </c>
      <c r="C482" s="2278">
        <v>0.15</v>
      </c>
      <c r="D482" s="2280"/>
      <c r="F482" s="2280"/>
      <c r="G482" s="2280"/>
      <c r="H482" s="2278"/>
      <c r="I482" s="2280"/>
    </row>
    <row r="483" spans="1:13" s="1721" customFormat="1">
      <c r="A483" s="2280" t="str">
        <f>"20-12-2023 05:00"</f>
        <v>20-12-2023 05:00</v>
      </c>
      <c r="B483" s="2280" t="str">
        <f>"20-12-2023 06:00"</f>
        <v>20-12-2023 06:00</v>
      </c>
      <c r="C483" s="2278">
        <v>0.22</v>
      </c>
      <c r="D483" s="2280"/>
      <c r="F483" s="2280"/>
      <c r="G483" s="2280"/>
      <c r="H483" s="2278"/>
      <c r="I483" s="2280"/>
    </row>
    <row r="484" spans="1:13" s="1721" customFormat="1">
      <c r="A484" s="2280" t="str">
        <f>"20-12-2023 06:00"</f>
        <v>20-12-2023 06:00</v>
      </c>
      <c r="B484" s="2280" t="str">
        <f>"20-12-2023 07:00"</f>
        <v>20-12-2023 07:00</v>
      </c>
      <c r="C484" s="2278">
        <v>0.3</v>
      </c>
      <c r="D484" s="2280"/>
      <c r="F484" s="2280"/>
      <c r="G484" s="2280"/>
      <c r="H484" s="2278"/>
      <c r="I484" s="2280"/>
    </row>
    <row r="485" spans="1:13" s="1721" customFormat="1">
      <c r="A485" s="2280" t="str">
        <f>"20-12-2023 07:00"</f>
        <v>20-12-2023 07:00</v>
      </c>
      <c r="B485" s="2280" t="str">
        <f>"20-12-2023 08:00"</f>
        <v>20-12-2023 08:00</v>
      </c>
      <c r="C485" s="2278">
        <v>0.53</v>
      </c>
      <c r="D485" s="2280"/>
      <c r="F485" s="2280"/>
      <c r="G485" s="2280"/>
      <c r="H485" s="2278"/>
      <c r="I485" s="2280"/>
    </row>
    <row r="486" spans="1:13" s="1721" customFormat="1">
      <c r="A486" s="2280" t="str">
        <f>"20-12-2023 08:00"</f>
        <v>20-12-2023 08:00</v>
      </c>
      <c r="B486" s="2280" t="str">
        <f>"20-12-2023 09:00"</f>
        <v>20-12-2023 09:00</v>
      </c>
      <c r="C486" s="2278">
        <v>0.31</v>
      </c>
      <c r="D486" s="2280"/>
      <c r="F486" s="2280"/>
      <c r="G486" s="2280"/>
      <c r="H486" s="2278"/>
      <c r="I486" s="2280"/>
    </row>
    <row r="487" spans="1:13" s="1721" customFormat="1">
      <c r="A487" s="2280" t="str">
        <f>"20-12-2023 09:00"</f>
        <v>20-12-2023 09:00</v>
      </c>
      <c r="B487" s="2280" t="str">
        <f>"20-12-2023 10:00"</f>
        <v>20-12-2023 10:00</v>
      </c>
      <c r="C487" s="2278">
        <v>0.26</v>
      </c>
      <c r="D487" s="2280"/>
      <c r="F487" s="2280"/>
      <c r="G487" s="2280"/>
      <c r="H487" s="2278"/>
      <c r="I487" s="2280"/>
    </row>
    <row r="488" spans="1:13" s="1721" customFormat="1">
      <c r="A488" s="2280" t="str">
        <f>"20-12-2023 10:00"</f>
        <v>20-12-2023 10:00</v>
      </c>
      <c r="B488" s="2280" t="str">
        <f>"20-12-2023 11:00"</f>
        <v>20-12-2023 11:00</v>
      </c>
      <c r="C488" s="2278">
        <v>0.36</v>
      </c>
      <c r="D488" s="2280"/>
      <c r="F488" s="2280"/>
      <c r="G488" s="2280"/>
      <c r="H488" s="2278"/>
      <c r="I488" s="2280"/>
    </row>
    <row r="489" spans="1:13" s="1721" customFormat="1">
      <c r="A489" s="2280" t="str">
        <f>"20-12-2023 11:00"</f>
        <v>20-12-2023 11:00</v>
      </c>
      <c r="B489" s="2280" t="str">
        <f>"20-12-2023 12:00"</f>
        <v>20-12-2023 12:00</v>
      </c>
      <c r="C489" s="2278">
        <v>0.52</v>
      </c>
      <c r="D489" s="2280"/>
      <c r="F489" s="2280"/>
      <c r="G489" s="2280"/>
      <c r="H489" s="2278"/>
      <c r="I489" s="2280"/>
    </row>
    <row r="490" spans="1:13" s="1721" customFormat="1">
      <c r="A490" s="2280" t="str">
        <f>"20-12-2023 12:00"</f>
        <v>20-12-2023 12:00</v>
      </c>
      <c r="B490" s="2280" t="str">
        <f>"20-12-2023 13:00"</f>
        <v>20-12-2023 13:00</v>
      </c>
      <c r="C490" s="2278">
        <v>0.52</v>
      </c>
      <c r="D490" s="2280"/>
      <c r="F490" s="2280"/>
      <c r="G490" s="2280"/>
      <c r="H490" s="2278"/>
      <c r="I490" s="2280"/>
    </row>
    <row r="491" spans="1:13" s="1721" customFormat="1">
      <c r="A491" s="2280" t="str">
        <f>"20-12-2023 13:00"</f>
        <v>20-12-2023 13:00</v>
      </c>
      <c r="B491" s="2280" t="str">
        <f>"20-12-2023 14:00"</f>
        <v>20-12-2023 14:00</v>
      </c>
      <c r="C491" s="2278">
        <v>0.44</v>
      </c>
      <c r="D491" s="2280"/>
      <c r="F491" s="2280"/>
      <c r="G491" s="2280"/>
      <c r="H491" s="2278"/>
      <c r="I491" s="2280"/>
    </row>
    <row r="492" spans="1:13" s="1721" customFormat="1">
      <c r="A492" s="2280" t="str">
        <f>"20-12-2023 14:00"</f>
        <v>20-12-2023 14:00</v>
      </c>
      <c r="B492" s="2280" t="str">
        <f>"20-12-2023 15:00"</f>
        <v>20-12-2023 15:00</v>
      </c>
      <c r="C492" s="2278">
        <v>0.7</v>
      </c>
      <c r="D492" s="2280"/>
      <c r="F492" s="2280"/>
      <c r="G492" s="2280"/>
      <c r="H492" s="2281"/>
      <c r="I492" s="2280"/>
    </row>
    <row r="493" spans="1:13" s="1721" customFormat="1">
      <c r="A493" s="2280" t="str">
        <f>"20-12-2023 15:00"</f>
        <v>20-12-2023 15:00</v>
      </c>
      <c r="B493" s="2280" t="str">
        <f>"20-12-2023 16:00"</f>
        <v>20-12-2023 16:00</v>
      </c>
      <c r="C493" s="2278">
        <v>0.48</v>
      </c>
      <c r="D493" s="2280"/>
      <c r="F493" s="2280"/>
      <c r="G493" s="2280"/>
      <c r="H493" s="2278"/>
      <c r="I493" s="2280"/>
    </row>
    <row r="494" spans="1:13" s="1721" customFormat="1">
      <c r="A494" s="2280" t="str">
        <f>"20-12-2023 16:00"</f>
        <v>20-12-2023 16:00</v>
      </c>
      <c r="B494" s="2280" t="str">
        <f>"20-12-2023 17:00"</f>
        <v>20-12-2023 17:00</v>
      </c>
      <c r="C494" s="2278">
        <v>0.52</v>
      </c>
      <c r="D494" s="2280"/>
      <c r="F494" s="2280"/>
      <c r="G494" s="2280"/>
      <c r="H494" s="2278"/>
      <c r="I494" s="2280"/>
    </row>
    <row r="495" spans="1:13" s="1721" customFormat="1">
      <c r="A495" s="2280" t="str">
        <f>"20-12-2023 17:00"</f>
        <v>20-12-2023 17:00</v>
      </c>
      <c r="B495" s="2280" t="str">
        <f>"20-12-2023 18:00"</f>
        <v>20-12-2023 18:00</v>
      </c>
      <c r="C495" s="2278">
        <v>0.46</v>
      </c>
      <c r="D495" s="2280"/>
      <c r="F495" s="2280"/>
      <c r="G495" s="2280"/>
      <c r="H495" s="2278"/>
      <c r="I495" s="2280"/>
    </row>
    <row r="496" spans="1:13" s="1721" customFormat="1">
      <c r="A496" s="2280" t="str">
        <f>"20-12-2023 18:00"</f>
        <v>20-12-2023 18:00</v>
      </c>
      <c r="B496" s="2280" t="str">
        <f>"20-12-2023 19:00"</f>
        <v>20-12-2023 19:00</v>
      </c>
      <c r="C496" s="2278">
        <v>1.45</v>
      </c>
      <c r="D496" s="2280"/>
      <c r="F496" s="2280"/>
      <c r="G496" s="2280"/>
      <c r="H496" s="2278"/>
      <c r="I496" s="2280"/>
    </row>
    <row r="497" spans="1:9" s="1721" customFormat="1">
      <c r="A497" s="2280" t="str">
        <f>"20-12-2023 19:00"</f>
        <v>20-12-2023 19:00</v>
      </c>
      <c r="B497" s="2280" t="str">
        <f>"20-12-2023 20:00"</f>
        <v>20-12-2023 20:00</v>
      </c>
      <c r="C497" s="2278">
        <v>0.99</v>
      </c>
      <c r="D497" s="2280"/>
      <c r="F497" s="2280"/>
      <c r="G497" s="2280"/>
      <c r="H497" s="2278"/>
      <c r="I497" s="2280"/>
    </row>
    <row r="498" spans="1:9" s="1721" customFormat="1">
      <c r="A498" s="2280" t="str">
        <f>"20-12-2023 20:00"</f>
        <v>20-12-2023 20:00</v>
      </c>
      <c r="B498" s="2280" t="str">
        <f>"20-12-2023 21:00"</f>
        <v>20-12-2023 21:00</v>
      </c>
      <c r="C498" s="2278">
        <v>0.46</v>
      </c>
      <c r="D498" s="2280"/>
      <c r="F498" s="2280"/>
      <c r="G498" s="2280"/>
      <c r="H498" s="2278"/>
      <c r="I498" s="2280"/>
    </row>
    <row r="499" spans="1:9" s="1721" customFormat="1">
      <c r="A499" s="2280" t="str">
        <f>"20-12-2023 21:00"</f>
        <v>20-12-2023 21:00</v>
      </c>
      <c r="B499" s="2280" t="str">
        <f>"20-12-2023 22:00"</f>
        <v>20-12-2023 22:00</v>
      </c>
      <c r="C499" s="2278">
        <v>0.37</v>
      </c>
      <c r="D499" s="2280"/>
      <c r="F499" s="2280"/>
      <c r="G499" s="2280"/>
      <c r="H499" s="2278"/>
      <c r="I499" s="2280"/>
    </row>
    <row r="500" spans="1:9" s="1721" customFormat="1">
      <c r="A500" s="2280" t="str">
        <f>"20-12-2023 22:00"</f>
        <v>20-12-2023 22:00</v>
      </c>
      <c r="B500" s="2280" t="str">
        <f>"20-12-2023 23:00"</f>
        <v>20-12-2023 23:00</v>
      </c>
      <c r="C500" s="2278">
        <v>0.3</v>
      </c>
      <c r="D500" s="2280"/>
      <c r="F500" s="2280"/>
      <c r="G500" s="2280"/>
      <c r="H500" s="2278"/>
      <c r="I500" s="2280"/>
    </row>
    <row r="501" spans="1:9" s="1721" customFormat="1">
      <c r="A501" s="2280" t="str">
        <f>"20-12-2023 23:00"</f>
        <v>20-12-2023 23:00</v>
      </c>
      <c r="B501" s="2280" t="str">
        <f>"21-12-2023 00:00"</f>
        <v>21-12-2023 00:00</v>
      </c>
      <c r="C501" s="2278">
        <v>0.13</v>
      </c>
      <c r="D501" s="2280">
        <f>SUM(C478:C501)</f>
        <v>10.120000000000001</v>
      </c>
      <c r="F501" s="2280"/>
      <c r="G501" s="2280"/>
      <c r="H501" s="2278"/>
      <c r="I501" s="2280"/>
    </row>
    <row r="502" spans="1:9">
      <c r="A502" s="2280" t="s">
        <v>1644</v>
      </c>
      <c r="B502" s="2280" t="s">
        <v>1645</v>
      </c>
      <c r="C502" s="2281" t="s">
        <v>1147</v>
      </c>
      <c r="D502" s="2280" t="s">
        <v>567</v>
      </c>
      <c r="H502" s="2278"/>
    </row>
    <row r="503" spans="1:9" s="1721" customFormat="1">
      <c r="A503" s="1721" t="str">
        <f>"21-12-2023 00:00"</f>
        <v>21-12-2023 00:00</v>
      </c>
      <c r="B503" s="1721" t="str">
        <f>"21-12-2023 01:00"</f>
        <v>21-12-2023 01:00</v>
      </c>
      <c r="C503" s="2278">
        <v>0.2</v>
      </c>
      <c r="D503" s="2283"/>
      <c r="F503" s="2280"/>
      <c r="G503" s="2280"/>
      <c r="H503" s="2278"/>
      <c r="I503" s="2280"/>
    </row>
    <row r="504" spans="1:9" s="1721" customFormat="1">
      <c r="A504" s="1721" t="str">
        <f>"21-12-2023 01:00"</f>
        <v>21-12-2023 01:00</v>
      </c>
      <c r="B504" s="1721" t="str">
        <f>"21-12-2023 02:00"</f>
        <v>21-12-2023 02:00</v>
      </c>
      <c r="C504" s="2278">
        <v>0.14000000000000001</v>
      </c>
      <c r="D504" s="2281"/>
      <c r="F504" s="2280"/>
      <c r="G504" s="2280"/>
      <c r="H504" s="2278"/>
      <c r="I504" s="2280"/>
    </row>
    <row r="505" spans="1:9" s="1721" customFormat="1">
      <c r="A505" s="1721" t="str">
        <f>"21-12-2023 02:00"</f>
        <v>21-12-2023 02:00</v>
      </c>
      <c r="B505" s="1721" t="str">
        <f>"21-12-2023 03:00"</f>
        <v>21-12-2023 03:00</v>
      </c>
      <c r="C505" s="2278">
        <v>0.13</v>
      </c>
      <c r="D505" s="2281"/>
      <c r="F505" s="2280"/>
      <c r="G505" s="2280"/>
      <c r="H505" s="2278"/>
      <c r="I505" s="2280"/>
    </row>
    <row r="506" spans="1:9">
      <c r="A506" s="1721" t="str">
        <f>"21-12-2023 03:00"</f>
        <v>21-12-2023 03:00</v>
      </c>
      <c r="B506" s="1721" t="str">
        <f>"21-12-2023 04:00"</f>
        <v>21-12-2023 04:00</v>
      </c>
      <c r="C506" s="2278">
        <v>0.23</v>
      </c>
      <c r="D506" s="2281"/>
      <c r="H506" s="2278"/>
    </row>
    <row r="507" spans="1:9">
      <c r="A507" s="1721" t="str">
        <f>"21-12-2023 04:00"</f>
        <v>21-12-2023 04:00</v>
      </c>
      <c r="B507" s="1721" t="str">
        <f>"21-12-2023 05:00"</f>
        <v>21-12-2023 05:00</v>
      </c>
      <c r="C507" s="2278">
        <v>0.12</v>
      </c>
      <c r="D507" s="2281"/>
      <c r="H507" s="2278"/>
    </row>
    <row r="508" spans="1:9">
      <c r="A508" s="1721" t="str">
        <f>"21-12-2023 05:00"</f>
        <v>21-12-2023 05:00</v>
      </c>
      <c r="B508" s="1721" t="str">
        <f>"21-12-2023 06:00"</f>
        <v>21-12-2023 06:00</v>
      </c>
      <c r="C508" s="2278">
        <v>0.22</v>
      </c>
      <c r="D508" s="2281"/>
      <c r="H508" s="2278"/>
    </row>
    <row r="509" spans="1:9">
      <c r="A509" s="1721" t="str">
        <f>"21-12-2023 06:00"</f>
        <v>21-12-2023 06:00</v>
      </c>
      <c r="B509" s="1721" t="str">
        <f>"21-12-2023 07:00"</f>
        <v>21-12-2023 07:00</v>
      </c>
      <c r="C509" s="2278">
        <v>0.28000000000000003</v>
      </c>
      <c r="D509" s="2281"/>
      <c r="H509" s="2278"/>
    </row>
    <row r="510" spans="1:9">
      <c r="A510" s="1721" t="str">
        <f>"21-12-2023 07:00"</f>
        <v>21-12-2023 07:00</v>
      </c>
      <c r="B510" s="1721" t="str">
        <f>"21-12-2023 08:00"</f>
        <v>21-12-2023 08:00</v>
      </c>
      <c r="C510" s="2278">
        <v>0.16</v>
      </c>
      <c r="D510" s="2281"/>
      <c r="H510" s="2278"/>
    </row>
    <row r="511" spans="1:9">
      <c r="A511" s="1721" t="str">
        <f>"21-12-2023 08:00"</f>
        <v>21-12-2023 08:00</v>
      </c>
      <c r="B511" s="1721" t="str">
        <f>"21-12-2023 09:00"</f>
        <v>21-12-2023 09:00</v>
      </c>
      <c r="C511" s="2278">
        <v>0.18</v>
      </c>
      <c r="D511" s="2281"/>
      <c r="H511" s="2278"/>
    </row>
    <row r="512" spans="1:9">
      <c r="A512" s="1721" t="str">
        <f>"21-12-2023 09:00"</f>
        <v>21-12-2023 09:00</v>
      </c>
      <c r="B512" s="1721" t="str">
        <f>"21-12-2023 10:00"</f>
        <v>21-12-2023 10:00</v>
      </c>
      <c r="C512" s="2278">
        <v>0.4</v>
      </c>
      <c r="D512" s="2281"/>
      <c r="H512" s="2278"/>
    </row>
    <row r="513" spans="1:9">
      <c r="A513" s="1721" t="str">
        <f>"21-12-2023 10:00"</f>
        <v>21-12-2023 10:00</v>
      </c>
      <c r="B513" s="1721" t="str">
        <f>"21-12-2023 11:00"</f>
        <v>21-12-2023 11:00</v>
      </c>
      <c r="C513" s="2278">
        <v>0.37</v>
      </c>
      <c r="D513" s="2281"/>
      <c r="H513" s="2278"/>
    </row>
    <row r="514" spans="1:9">
      <c r="A514" s="1721" t="str">
        <f>"21-12-2023 11:00"</f>
        <v>21-12-2023 11:00</v>
      </c>
      <c r="B514" s="1721" t="str">
        <f>"21-12-2023 12:00"</f>
        <v>21-12-2023 12:00</v>
      </c>
      <c r="C514" s="2278">
        <v>0.35</v>
      </c>
      <c r="D514" s="2281"/>
      <c r="H514" s="2278"/>
    </row>
    <row r="515" spans="1:9">
      <c r="A515" s="1721" t="str">
        <f>"21-12-2023 12:00"</f>
        <v>21-12-2023 12:00</v>
      </c>
      <c r="B515" s="1721" t="str">
        <f>"21-12-2023 13:00"</f>
        <v>21-12-2023 13:00</v>
      </c>
      <c r="C515" s="2278">
        <v>0.36</v>
      </c>
      <c r="D515" s="2281"/>
      <c r="H515" s="2278"/>
    </row>
    <row r="516" spans="1:9">
      <c r="A516" s="1721" t="str">
        <f>"21-12-2023 13:00"</f>
        <v>21-12-2023 13:00</v>
      </c>
      <c r="B516" s="1721" t="str">
        <f>"21-12-2023 14:00"</f>
        <v>21-12-2023 14:00</v>
      </c>
      <c r="C516" s="2278">
        <v>0.55000000000000004</v>
      </c>
      <c r="D516" s="2281"/>
      <c r="H516" s="2278"/>
    </row>
    <row r="517" spans="1:9">
      <c r="A517" s="1721" t="str">
        <f>"21-12-2023 14:00"</f>
        <v>21-12-2023 14:00</v>
      </c>
      <c r="B517" s="1721" t="str">
        <f>"21-12-2023 15:00"</f>
        <v>21-12-2023 15:00</v>
      </c>
      <c r="C517" s="2278">
        <v>1.52</v>
      </c>
      <c r="D517" s="2281"/>
    </row>
    <row r="518" spans="1:9">
      <c r="A518" s="1721" t="str">
        <f>"21-12-2023 15:00"</f>
        <v>21-12-2023 15:00</v>
      </c>
      <c r="B518" s="1721" t="str">
        <f>"21-12-2023 16:00"</f>
        <v>21-12-2023 16:00</v>
      </c>
      <c r="C518" s="2278">
        <v>1.08</v>
      </c>
      <c r="D518" s="2281"/>
      <c r="F518" s="1721"/>
      <c r="G518" s="1721"/>
      <c r="H518" s="2278"/>
      <c r="I518" s="2283"/>
    </row>
    <row r="519" spans="1:9">
      <c r="A519" s="1721" t="str">
        <f>"21-12-2023 16:00"</f>
        <v>21-12-2023 16:00</v>
      </c>
      <c r="B519" s="1721" t="str">
        <f>"21-12-2023 17:00"</f>
        <v>21-12-2023 17:00</v>
      </c>
      <c r="C519" s="2278">
        <v>1.52</v>
      </c>
      <c r="D519" s="2281"/>
      <c r="F519" s="1721"/>
      <c r="G519" s="1721"/>
      <c r="H519" s="2278"/>
      <c r="I519" s="2281"/>
    </row>
    <row r="520" spans="1:9">
      <c r="A520" s="1721" t="str">
        <f>"21-12-2023 17:00"</f>
        <v>21-12-2023 17:00</v>
      </c>
      <c r="B520" s="1721" t="str">
        <f>"21-12-2023 18:00"</f>
        <v>21-12-2023 18:00</v>
      </c>
      <c r="C520" s="2278">
        <v>1.0900000000000001</v>
      </c>
      <c r="D520" s="2281"/>
      <c r="F520" s="1721"/>
      <c r="G520" s="1721"/>
      <c r="H520" s="2278"/>
      <c r="I520" s="2281"/>
    </row>
    <row r="521" spans="1:9">
      <c r="A521" s="1721" t="str">
        <f>"21-12-2023 18:00"</f>
        <v>21-12-2023 18:00</v>
      </c>
      <c r="B521" s="1721" t="str">
        <f>"21-12-2023 19:00"</f>
        <v>21-12-2023 19:00</v>
      </c>
      <c r="C521" s="2278">
        <v>0.49</v>
      </c>
      <c r="D521" s="2281"/>
      <c r="F521" s="1721"/>
      <c r="G521" s="1721"/>
      <c r="H521" s="2278"/>
      <c r="I521" s="2281"/>
    </row>
    <row r="522" spans="1:9">
      <c r="A522" s="1721" t="str">
        <f>"21-12-2023 19:00"</f>
        <v>21-12-2023 19:00</v>
      </c>
      <c r="B522" s="1721" t="str">
        <f>"21-12-2023 20:00"</f>
        <v>21-12-2023 20:00</v>
      </c>
      <c r="C522" s="2278">
        <v>0.56999999999999995</v>
      </c>
      <c r="D522" s="2281"/>
      <c r="F522" s="1721"/>
      <c r="G522" s="1721"/>
      <c r="H522" s="2278"/>
      <c r="I522" s="2281"/>
    </row>
    <row r="523" spans="1:9">
      <c r="A523" s="1721" t="str">
        <f>"21-12-2023 20:00"</f>
        <v>21-12-2023 20:00</v>
      </c>
      <c r="B523" s="1721" t="str">
        <f>"21-12-2023 21:00"</f>
        <v>21-12-2023 21:00</v>
      </c>
      <c r="C523" s="2278">
        <v>0.45</v>
      </c>
      <c r="D523" s="2281"/>
      <c r="F523" s="1721"/>
      <c r="G523" s="1721"/>
      <c r="H523" s="2278"/>
      <c r="I523" s="2281"/>
    </row>
    <row r="524" spans="1:9">
      <c r="A524" s="1721" t="str">
        <f>"21-12-2023 21:00"</f>
        <v>21-12-2023 21:00</v>
      </c>
      <c r="B524" s="1721" t="str">
        <f>"21-12-2023 22:00"</f>
        <v>21-12-2023 22:00</v>
      </c>
      <c r="C524" s="2278">
        <v>0.5</v>
      </c>
      <c r="D524" s="2281"/>
      <c r="F524" s="1721"/>
      <c r="G524" s="1721"/>
      <c r="H524" s="2278"/>
      <c r="I524" s="2281"/>
    </row>
    <row r="525" spans="1:9">
      <c r="A525" s="1721" t="str">
        <f>"21-12-2023 22:00"</f>
        <v>21-12-2023 22:00</v>
      </c>
      <c r="B525" s="1721" t="str">
        <f>"21-12-2023 23:00"</f>
        <v>21-12-2023 23:00</v>
      </c>
      <c r="C525" s="2278">
        <v>0.42</v>
      </c>
      <c r="D525" s="2281"/>
      <c r="F525" s="1721"/>
      <c r="G525" s="1721"/>
      <c r="H525" s="2278"/>
      <c r="I525" s="2281"/>
    </row>
    <row r="526" spans="1:9">
      <c r="A526" s="1721" t="str">
        <f>"21-12-2023 23:00"</f>
        <v>21-12-2023 23:00</v>
      </c>
      <c r="B526" s="1721" t="str">
        <f>"22-12-2023 00:00"</f>
        <v>22-12-2023 00:00</v>
      </c>
      <c r="C526" s="2278">
        <v>0.27</v>
      </c>
      <c r="D526" s="2281">
        <f>SUM(C503:C526)</f>
        <v>11.6</v>
      </c>
      <c r="F526" s="1721"/>
      <c r="G526" s="1721"/>
      <c r="H526" s="2278"/>
      <c r="I526" s="2281"/>
    </row>
    <row r="527" spans="1:9">
      <c r="A527" s="2280" t="s">
        <v>1644</v>
      </c>
      <c r="B527" s="2280" t="s">
        <v>1645</v>
      </c>
      <c r="C527" s="2281" t="s">
        <v>1147</v>
      </c>
      <c r="D527" s="2280" t="s">
        <v>567</v>
      </c>
      <c r="F527" s="1721"/>
      <c r="G527" s="1721"/>
      <c r="H527" s="2278"/>
      <c r="I527" s="2281"/>
    </row>
    <row r="528" spans="1:9">
      <c r="A528" s="1721" t="str">
        <f>"22-12-2023 00:00"</f>
        <v>22-12-2023 00:00</v>
      </c>
      <c r="B528" s="1721" t="str">
        <f>"22-12-2023 01:00"</f>
        <v>22-12-2023 01:00</v>
      </c>
      <c r="C528" s="2278">
        <v>0.17</v>
      </c>
      <c r="F528" s="1721"/>
      <c r="G528" s="1721"/>
      <c r="H528" s="2278"/>
      <c r="I528" s="2281"/>
    </row>
    <row r="529" spans="1:9">
      <c r="A529" s="1721" t="str">
        <f>"22-12-2023 01:00"</f>
        <v>22-12-2023 01:00</v>
      </c>
      <c r="B529" s="1721" t="str">
        <f>"22-12-2023 02:00"</f>
        <v>22-12-2023 02:00</v>
      </c>
      <c r="C529" s="2278">
        <v>0.12</v>
      </c>
      <c r="F529" s="1721"/>
      <c r="G529" s="1721"/>
      <c r="H529" s="2278"/>
      <c r="I529" s="2281"/>
    </row>
    <row r="530" spans="1:9">
      <c r="A530" s="1721" t="str">
        <f>"22-12-2023 02:00"</f>
        <v>22-12-2023 02:00</v>
      </c>
      <c r="B530" s="1721" t="str">
        <f>"22-12-2023 03:00"</f>
        <v>22-12-2023 03:00</v>
      </c>
      <c r="C530" s="2278">
        <v>0.23</v>
      </c>
      <c r="F530" s="1721"/>
      <c r="G530" s="1721"/>
      <c r="H530" s="2278"/>
      <c r="I530" s="2281"/>
    </row>
    <row r="531" spans="1:9">
      <c r="A531" s="1721" t="str">
        <f>"22-12-2023 03:00"</f>
        <v>22-12-2023 03:00</v>
      </c>
      <c r="B531" s="1721" t="str">
        <f>"22-12-2023 04:00"</f>
        <v>22-12-2023 04:00</v>
      </c>
      <c r="C531" s="2278">
        <v>0.11</v>
      </c>
      <c r="F531" s="1721"/>
      <c r="G531" s="1721"/>
      <c r="H531" s="2278"/>
      <c r="I531" s="2281"/>
    </row>
    <row r="532" spans="1:9">
      <c r="A532" s="1721" t="str">
        <f>"22-12-2023 04:00"</f>
        <v>22-12-2023 04:00</v>
      </c>
      <c r="B532" s="1721" t="str">
        <f>"22-12-2023 05:00"</f>
        <v>22-12-2023 05:00</v>
      </c>
      <c r="C532" s="2278">
        <v>0.16</v>
      </c>
      <c r="F532" s="1721"/>
      <c r="G532" s="1721"/>
      <c r="H532" s="2278"/>
      <c r="I532" s="2281"/>
    </row>
    <row r="533" spans="1:9">
      <c r="A533" s="1721" t="str">
        <f>"22-12-2023 05:00"</f>
        <v>22-12-2023 05:00</v>
      </c>
      <c r="B533" s="1721" t="str">
        <f>"22-12-2023 06:00"</f>
        <v>22-12-2023 06:00</v>
      </c>
      <c r="C533" s="2278">
        <v>0.15</v>
      </c>
      <c r="F533" s="1721"/>
      <c r="G533" s="1721"/>
      <c r="H533" s="2278"/>
      <c r="I533" s="2281"/>
    </row>
    <row r="534" spans="1:9">
      <c r="A534" s="1721" t="str">
        <f>"22-12-2023 06:00"</f>
        <v>22-12-2023 06:00</v>
      </c>
      <c r="B534" s="1721" t="str">
        <f>"22-12-2023 07:00"</f>
        <v>22-12-2023 07:00</v>
      </c>
      <c r="C534" s="2278">
        <v>0.23</v>
      </c>
      <c r="F534" s="1721"/>
      <c r="G534" s="1721"/>
      <c r="H534" s="2278"/>
      <c r="I534" s="2281"/>
    </row>
    <row r="535" spans="1:9">
      <c r="A535" s="1721" t="str">
        <f>"22-12-2023 07:00"</f>
        <v>22-12-2023 07:00</v>
      </c>
      <c r="B535" s="1721" t="str">
        <f>"22-12-2023 08:00"</f>
        <v>22-12-2023 08:00</v>
      </c>
      <c r="C535" s="2278">
        <v>0.59</v>
      </c>
      <c r="F535" s="1721"/>
      <c r="G535" s="1721"/>
      <c r="H535" s="2278"/>
      <c r="I535" s="2281"/>
    </row>
    <row r="536" spans="1:9">
      <c r="A536" s="1721" t="str">
        <f>"22-12-2023 08:00"</f>
        <v>22-12-2023 08:00</v>
      </c>
      <c r="B536" s="1721" t="str">
        <f>"22-12-2023 09:00"</f>
        <v>22-12-2023 09:00</v>
      </c>
      <c r="C536" s="2278">
        <v>0.39</v>
      </c>
      <c r="F536" s="1721"/>
      <c r="G536" s="1721"/>
      <c r="H536" s="2278"/>
      <c r="I536" s="2281"/>
    </row>
    <row r="537" spans="1:9">
      <c r="A537" s="1721" t="str">
        <f>"22-12-2023 09:00"</f>
        <v>22-12-2023 09:00</v>
      </c>
      <c r="B537" s="1721" t="str">
        <f>"22-12-2023 10:00"</f>
        <v>22-12-2023 10:00</v>
      </c>
      <c r="C537" s="2278">
        <v>0.41</v>
      </c>
      <c r="F537" s="1721"/>
      <c r="G537" s="1721"/>
      <c r="H537" s="2278"/>
      <c r="I537" s="2281"/>
    </row>
    <row r="538" spans="1:9">
      <c r="A538" s="1721" t="str">
        <f>"22-12-2023 10:00"</f>
        <v>22-12-2023 10:00</v>
      </c>
      <c r="B538" s="1721" t="str">
        <f>"22-12-2023 11:00"</f>
        <v>22-12-2023 11:00</v>
      </c>
      <c r="C538" s="2278">
        <v>0.68</v>
      </c>
      <c r="F538" s="1721"/>
      <c r="G538" s="1721"/>
      <c r="H538" s="2278"/>
      <c r="I538" s="2281"/>
    </row>
    <row r="539" spans="1:9">
      <c r="A539" s="1721" t="str">
        <f>"22-12-2023 11:00"</f>
        <v>22-12-2023 11:00</v>
      </c>
      <c r="B539" s="1721" t="str">
        <f>"22-12-2023 12:00"</f>
        <v>22-12-2023 12:00</v>
      </c>
      <c r="C539" s="2278">
        <v>0.24</v>
      </c>
      <c r="F539" s="1721"/>
      <c r="G539" s="1721"/>
      <c r="H539" s="2278"/>
      <c r="I539" s="2281"/>
    </row>
    <row r="540" spans="1:9">
      <c r="A540" s="1721" t="str">
        <f>"22-12-2023 12:00"</f>
        <v>22-12-2023 12:00</v>
      </c>
      <c r="B540" s="1721" t="str">
        <f>"22-12-2023 13:00"</f>
        <v>22-12-2023 13:00</v>
      </c>
      <c r="C540" s="2278">
        <v>0.19</v>
      </c>
      <c r="F540" s="1721"/>
      <c r="G540" s="1721"/>
      <c r="H540" s="2278"/>
      <c r="I540" s="2281"/>
    </row>
    <row r="541" spans="1:9">
      <c r="A541" s="1721" t="str">
        <f>"22-12-2023 13:00"</f>
        <v>22-12-2023 13:00</v>
      </c>
      <c r="B541" s="1721" t="str">
        <f>"22-12-2023 14:00"</f>
        <v>22-12-2023 14:00</v>
      </c>
      <c r="C541" s="2278">
        <v>0.36</v>
      </c>
      <c r="F541" s="1721"/>
      <c r="G541" s="1721"/>
      <c r="H541" s="2278"/>
      <c r="I541" s="2281"/>
    </row>
    <row r="542" spans="1:9">
      <c r="A542" s="1721" t="str">
        <f>"22-12-2023 14:00"</f>
        <v>22-12-2023 14:00</v>
      </c>
      <c r="B542" s="1721" t="str">
        <f>"22-12-2023 15:00"</f>
        <v>22-12-2023 15:00</v>
      </c>
      <c r="C542" s="2278">
        <v>0.28000000000000003</v>
      </c>
    </row>
    <row r="543" spans="1:9">
      <c r="A543" s="1721" t="str">
        <f>"22-12-2023 15:00"</f>
        <v>22-12-2023 15:00</v>
      </c>
      <c r="B543" s="1721" t="str">
        <f>"22-12-2023 16:00"</f>
        <v>22-12-2023 16:00</v>
      </c>
      <c r="C543" s="2278">
        <v>0.37</v>
      </c>
      <c r="F543" s="1721"/>
      <c r="G543" s="1721"/>
      <c r="H543" s="2278"/>
    </row>
    <row r="544" spans="1:9">
      <c r="A544" s="1721" t="str">
        <f>"22-12-2023 16:00"</f>
        <v>22-12-2023 16:00</v>
      </c>
      <c r="B544" s="1721" t="str">
        <f>"22-12-2023 17:00"</f>
        <v>22-12-2023 17:00</v>
      </c>
      <c r="C544" s="2278">
        <v>0.3</v>
      </c>
      <c r="F544" s="1721"/>
      <c r="G544" s="1721"/>
      <c r="H544" s="2278"/>
    </row>
    <row r="545" spans="1:9">
      <c r="A545" s="1721" t="str">
        <f>"22-12-2023 17:00"</f>
        <v>22-12-2023 17:00</v>
      </c>
      <c r="B545" s="1721" t="str">
        <f>"22-12-2023 18:00"</f>
        <v>22-12-2023 18:00</v>
      </c>
      <c r="C545" s="2278">
        <v>0.56000000000000005</v>
      </c>
      <c r="F545" s="1721"/>
      <c r="G545" s="1721"/>
      <c r="H545" s="2278"/>
    </row>
    <row r="546" spans="1:9">
      <c r="A546" s="1721" t="str">
        <f>"22-12-2023 18:00"</f>
        <v>22-12-2023 18:00</v>
      </c>
      <c r="B546" s="1721" t="str">
        <f>"22-12-2023 19:00"</f>
        <v>22-12-2023 19:00</v>
      </c>
      <c r="C546" s="2278">
        <v>0.38</v>
      </c>
      <c r="F546" s="1721"/>
      <c r="G546" s="1721"/>
      <c r="H546" s="2278"/>
    </row>
    <row r="547" spans="1:9">
      <c r="A547" s="1721" t="str">
        <f>"22-12-2023 19:00"</f>
        <v>22-12-2023 19:00</v>
      </c>
      <c r="B547" s="1721" t="str">
        <f>"22-12-2023 20:00"</f>
        <v>22-12-2023 20:00</v>
      </c>
      <c r="C547" s="2278">
        <v>0.42</v>
      </c>
      <c r="F547" s="1721"/>
      <c r="G547" s="1721"/>
      <c r="H547" s="2278"/>
    </row>
    <row r="548" spans="1:9">
      <c r="A548" s="1721" t="str">
        <f>"22-12-2023 20:00"</f>
        <v>22-12-2023 20:00</v>
      </c>
      <c r="B548" s="1721" t="str">
        <f>"22-12-2023 21:00"</f>
        <v>22-12-2023 21:00</v>
      </c>
      <c r="C548" s="2278">
        <v>0.39</v>
      </c>
      <c r="F548" s="1721"/>
      <c r="G548" s="1721"/>
      <c r="H548" s="2278"/>
    </row>
    <row r="549" spans="1:9">
      <c r="A549" s="1721" t="str">
        <f>"22-12-2023 21:00"</f>
        <v>22-12-2023 21:00</v>
      </c>
      <c r="B549" s="1721" t="str">
        <f>"22-12-2023 22:00"</f>
        <v>22-12-2023 22:00</v>
      </c>
      <c r="C549" s="2278">
        <v>0.38</v>
      </c>
      <c r="F549" s="1721"/>
      <c r="G549" s="1721"/>
      <c r="H549" s="2278"/>
    </row>
    <row r="550" spans="1:9">
      <c r="A550" s="1721" t="str">
        <f>"22-12-2023 22:00"</f>
        <v>22-12-2023 22:00</v>
      </c>
      <c r="B550" s="1721" t="str">
        <f>"22-12-2023 23:00"</f>
        <v>22-12-2023 23:00</v>
      </c>
      <c r="C550" s="2278">
        <v>0.25</v>
      </c>
      <c r="F550" s="1721"/>
      <c r="G550" s="1721"/>
      <c r="H550" s="2278"/>
    </row>
    <row r="551" spans="1:9">
      <c r="A551" s="1721" t="str">
        <f>"22-12-2023 23:00"</f>
        <v>22-12-2023 23:00</v>
      </c>
      <c r="B551" s="1721" t="str">
        <f>"23-12-2023 00:00"</f>
        <v>23-12-2023 00:00</v>
      </c>
      <c r="C551" s="2278">
        <v>0.12</v>
      </c>
      <c r="D551" s="2280">
        <f>SUM(C528:C551)</f>
        <v>7.48</v>
      </c>
      <c r="F551" s="1721"/>
      <c r="G551" s="1721"/>
      <c r="H551" s="2278"/>
    </row>
    <row r="552" spans="1:9">
      <c r="A552" s="2280" t="s">
        <v>1644</v>
      </c>
      <c r="B552" s="2280" t="s">
        <v>1645</v>
      </c>
      <c r="C552" s="2281" t="s">
        <v>1147</v>
      </c>
      <c r="D552" s="2280" t="s">
        <v>567</v>
      </c>
      <c r="F552" s="1721"/>
      <c r="G552" s="1721"/>
      <c r="H552" s="2278"/>
    </row>
    <row r="553" spans="1:9" s="1721" customFormat="1">
      <c r="A553" s="1721" t="str">
        <f>"23-12-2023 00:00"</f>
        <v>23-12-2023 00:00</v>
      </c>
      <c r="B553" s="1721" t="str">
        <f>"23-12-2023 01:00"</f>
        <v>23-12-2023 01:00</v>
      </c>
      <c r="C553" s="2278">
        <v>0.16</v>
      </c>
      <c r="H553" s="2278"/>
      <c r="I553" s="2280"/>
    </row>
    <row r="554" spans="1:9" s="1721" customFormat="1">
      <c r="A554" s="1721" t="str">
        <f>"23-12-2023 01:00"</f>
        <v>23-12-2023 01:00</v>
      </c>
      <c r="B554" s="1721" t="str">
        <f>"23-12-2023 02:00"</f>
        <v>23-12-2023 02:00</v>
      </c>
      <c r="C554" s="2278">
        <v>0.18</v>
      </c>
      <c r="H554" s="2278"/>
      <c r="I554" s="2280"/>
    </row>
    <row r="555" spans="1:9" s="1721" customFormat="1">
      <c r="A555" s="1721" t="str">
        <f>"23-12-2023 02:00"</f>
        <v>23-12-2023 02:00</v>
      </c>
      <c r="B555" s="1721" t="str">
        <f>"23-12-2023 03:00"</f>
        <v>23-12-2023 03:00</v>
      </c>
      <c r="C555" s="2278">
        <v>0.16</v>
      </c>
      <c r="H555" s="2278"/>
      <c r="I555" s="2280"/>
    </row>
    <row r="556" spans="1:9" s="1721" customFormat="1">
      <c r="A556" s="1721" t="str">
        <f>"23-12-2023 03:00"</f>
        <v>23-12-2023 03:00</v>
      </c>
      <c r="B556" s="1721" t="str">
        <f>"23-12-2023 04:00"</f>
        <v>23-12-2023 04:00</v>
      </c>
      <c r="C556" s="2278">
        <v>0.11</v>
      </c>
      <c r="H556" s="2278"/>
      <c r="I556" s="2280"/>
    </row>
    <row r="557" spans="1:9" s="1721" customFormat="1">
      <c r="A557" s="1721" t="str">
        <f>"23-12-2023 04:00"</f>
        <v>23-12-2023 04:00</v>
      </c>
      <c r="B557" s="1721" t="str">
        <f>"23-12-2023 05:00"</f>
        <v>23-12-2023 05:00</v>
      </c>
      <c r="C557" s="2278">
        <v>0.15</v>
      </c>
      <c r="H557" s="2278"/>
      <c r="I557" s="2280"/>
    </row>
    <row r="558" spans="1:9" s="1721" customFormat="1">
      <c r="A558" s="1721" t="str">
        <f>"23-12-2023 05:00"</f>
        <v>23-12-2023 05:00</v>
      </c>
      <c r="B558" s="1721" t="str">
        <f>"23-12-2023 06:00"</f>
        <v>23-12-2023 06:00</v>
      </c>
      <c r="C558" s="2278">
        <v>0.19</v>
      </c>
      <c r="H558" s="2278"/>
      <c r="I558" s="2280"/>
    </row>
    <row r="559" spans="1:9" s="1721" customFormat="1">
      <c r="A559" s="1721" t="str">
        <f>"23-12-2023 06:00"</f>
        <v>23-12-2023 06:00</v>
      </c>
      <c r="B559" s="1721" t="str">
        <f>"23-12-2023 07:00"</f>
        <v>23-12-2023 07:00</v>
      </c>
      <c r="C559" s="2278">
        <v>0.27</v>
      </c>
      <c r="H559" s="2278"/>
      <c r="I559" s="2280"/>
    </row>
    <row r="560" spans="1:9" s="1721" customFormat="1">
      <c r="A560" s="1721" t="str">
        <f>"23-12-2023 07:00"</f>
        <v>23-12-2023 07:00</v>
      </c>
      <c r="B560" s="1721" t="str">
        <f>"23-12-2023 08:00"</f>
        <v>23-12-2023 08:00</v>
      </c>
      <c r="C560" s="2278">
        <v>0.36</v>
      </c>
      <c r="H560" s="2278"/>
      <c r="I560" s="2280"/>
    </row>
    <row r="561" spans="1:9" s="1721" customFormat="1">
      <c r="A561" s="1721" t="str">
        <f>"23-12-2023 08:00"</f>
        <v>23-12-2023 08:00</v>
      </c>
      <c r="B561" s="1721" t="str">
        <f>"23-12-2023 09:00"</f>
        <v>23-12-2023 09:00</v>
      </c>
      <c r="C561" s="2278">
        <v>0.28999999999999998</v>
      </c>
      <c r="H561" s="2278"/>
      <c r="I561" s="2280"/>
    </row>
    <row r="562" spans="1:9" s="1721" customFormat="1">
      <c r="A562" s="1721" t="str">
        <f>"23-12-2023 09:00"</f>
        <v>23-12-2023 09:00</v>
      </c>
      <c r="B562" s="1721" t="str">
        <f>"23-12-2023 10:00"</f>
        <v>23-12-2023 10:00</v>
      </c>
      <c r="C562" s="2278">
        <v>0.48</v>
      </c>
      <c r="H562" s="2278"/>
      <c r="I562" s="2280"/>
    </row>
    <row r="563" spans="1:9" s="1721" customFormat="1">
      <c r="A563" s="1721" t="str">
        <f>"23-12-2023 10:00"</f>
        <v>23-12-2023 10:00</v>
      </c>
      <c r="B563" s="1721" t="str">
        <f>"23-12-2023 11:00"</f>
        <v>23-12-2023 11:00</v>
      </c>
      <c r="C563" s="2278">
        <v>0.39</v>
      </c>
      <c r="H563" s="2278"/>
      <c r="I563" s="2280"/>
    </row>
    <row r="564" spans="1:9" s="1721" customFormat="1">
      <c r="A564" s="1721" t="str">
        <f>"23-12-2023 11:00"</f>
        <v>23-12-2023 11:00</v>
      </c>
      <c r="B564" s="1721" t="str">
        <f>"23-12-2023 12:00"</f>
        <v>23-12-2023 12:00</v>
      </c>
      <c r="C564" s="2278">
        <v>0.24</v>
      </c>
      <c r="H564" s="2278"/>
      <c r="I564" s="2280"/>
    </row>
    <row r="565" spans="1:9" s="1721" customFormat="1">
      <c r="A565" s="1721" t="str">
        <f>"23-12-2023 12:00"</f>
        <v>23-12-2023 12:00</v>
      </c>
      <c r="B565" s="1721" t="str">
        <f>"23-12-2023 13:00"</f>
        <v>23-12-2023 13:00</v>
      </c>
      <c r="C565" s="2278">
        <v>0.68</v>
      </c>
      <c r="H565" s="2278"/>
      <c r="I565" s="2280"/>
    </row>
    <row r="566" spans="1:9" s="1721" customFormat="1">
      <c r="A566" s="1721" t="str">
        <f>"23-12-2023 13:00"</f>
        <v>23-12-2023 13:00</v>
      </c>
      <c r="B566" s="1721" t="str">
        <f>"23-12-2023 14:00"</f>
        <v>23-12-2023 14:00</v>
      </c>
      <c r="C566" s="2278">
        <v>0.72</v>
      </c>
      <c r="H566" s="2278"/>
      <c r="I566" s="2280"/>
    </row>
    <row r="567" spans="1:9" s="1721" customFormat="1">
      <c r="A567" s="1721" t="str">
        <f>"23-12-2023 14:00"</f>
        <v>23-12-2023 14:00</v>
      </c>
      <c r="B567" s="1721" t="str">
        <f>"23-12-2023 15:00"</f>
        <v>23-12-2023 15:00</v>
      </c>
      <c r="C567" s="2278">
        <v>0.4</v>
      </c>
      <c r="F567" s="2280"/>
      <c r="G567" s="2280"/>
      <c r="H567" s="2281"/>
      <c r="I567" s="2280"/>
    </row>
    <row r="568" spans="1:9" s="1721" customFormat="1">
      <c r="A568" s="1721" t="str">
        <f>"23-12-2023 15:00"</f>
        <v>23-12-2023 15:00</v>
      </c>
      <c r="B568" s="1721" t="str">
        <f>"23-12-2023 16:00"</f>
        <v>23-12-2023 16:00</v>
      </c>
      <c r="C568" s="2278">
        <v>0.34</v>
      </c>
      <c r="H568" s="2278"/>
    </row>
    <row r="569" spans="1:9" s="1721" customFormat="1">
      <c r="A569" s="1721" t="str">
        <f>"23-12-2023 16:00"</f>
        <v>23-12-2023 16:00</v>
      </c>
      <c r="B569" s="1721" t="str">
        <f>"23-12-2023 17:00"</f>
        <v>23-12-2023 17:00</v>
      </c>
      <c r="C569" s="2278">
        <v>0.35</v>
      </c>
      <c r="H569" s="2278"/>
    </row>
    <row r="570" spans="1:9" s="1721" customFormat="1">
      <c r="A570" s="1721" t="str">
        <f>"23-12-2023 17:00"</f>
        <v>23-12-2023 17:00</v>
      </c>
      <c r="B570" s="1721" t="str">
        <f>"23-12-2023 18:00"</f>
        <v>23-12-2023 18:00</v>
      </c>
      <c r="C570" s="2278">
        <v>0.34</v>
      </c>
      <c r="H570" s="2278"/>
    </row>
    <row r="571" spans="1:9" s="1721" customFormat="1">
      <c r="A571" s="1721" t="str">
        <f>"23-12-2023 18:00"</f>
        <v>23-12-2023 18:00</v>
      </c>
      <c r="B571" s="1721" t="str">
        <f>"23-12-2023 19:00"</f>
        <v>23-12-2023 19:00</v>
      </c>
      <c r="C571" s="2278">
        <v>0.56000000000000005</v>
      </c>
      <c r="H571" s="2278"/>
    </row>
    <row r="572" spans="1:9" s="1721" customFormat="1">
      <c r="A572" s="1721" t="str">
        <f>"23-12-2023 19:00"</f>
        <v>23-12-2023 19:00</v>
      </c>
      <c r="B572" s="1721" t="str">
        <f>"23-12-2023 20:00"</f>
        <v>23-12-2023 20:00</v>
      </c>
      <c r="C572" s="2278">
        <v>0.43</v>
      </c>
      <c r="H572" s="2278"/>
    </row>
    <row r="573" spans="1:9" s="1721" customFormat="1">
      <c r="A573" s="1721" t="str">
        <f>"23-12-2023 20:00"</f>
        <v>23-12-2023 20:00</v>
      </c>
      <c r="B573" s="1721" t="str">
        <f>"23-12-2023 21:00"</f>
        <v>23-12-2023 21:00</v>
      </c>
      <c r="C573" s="2278">
        <v>0.37</v>
      </c>
      <c r="H573" s="2278"/>
    </row>
    <row r="574" spans="1:9" s="1721" customFormat="1">
      <c r="A574" s="1721" t="str">
        <f>"23-12-2023 21:00"</f>
        <v>23-12-2023 21:00</v>
      </c>
      <c r="B574" s="1721" t="str">
        <f>"23-12-2023 22:00"</f>
        <v>23-12-2023 22:00</v>
      </c>
      <c r="C574" s="2278">
        <v>0.41</v>
      </c>
      <c r="H574" s="2278"/>
    </row>
    <row r="575" spans="1:9" s="1721" customFormat="1">
      <c r="A575" s="1721" t="str">
        <f>"23-12-2023 22:00"</f>
        <v>23-12-2023 22:00</v>
      </c>
      <c r="B575" s="1721" t="str">
        <f>"23-12-2023 23:00"</f>
        <v>23-12-2023 23:00</v>
      </c>
      <c r="C575" s="2278">
        <v>0.27</v>
      </c>
      <c r="H575" s="2278"/>
    </row>
    <row r="576" spans="1:9" s="1721" customFormat="1">
      <c r="A576" s="1721" t="str">
        <f>"23-12-2023 23:00"</f>
        <v>23-12-2023 23:00</v>
      </c>
      <c r="B576" s="1721" t="str">
        <f>"24-12-2023 00:00"</f>
        <v>24-12-2023 00:00</v>
      </c>
      <c r="C576" s="2278">
        <v>0.16</v>
      </c>
      <c r="D576" s="2280">
        <f t="shared" ref="D576" si="0">SUM(C553:C576)</f>
        <v>8.0100000000000016</v>
      </c>
      <c r="H576" s="2278"/>
    </row>
    <row r="577" spans="1:9">
      <c r="A577" s="2280" t="s">
        <v>1644</v>
      </c>
      <c r="B577" s="2280" t="s">
        <v>1645</v>
      </c>
      <c r="C577" s="2281" t="s">
        <v>1147</v>
      </c>
      <c r="D577" s="2280" t="s">
        <v>567</v>
      </c>
      <c r="F577" s="1721"/>
      <c r="G577" s="1721"/>
      <c r="H577" s="2278"/>
      <c r="I577" s="1721"/>
    </row>
    <row r="578" spans="1:9" s="1721" customFormat="1">
      <c r="A578" s="1721" t="str">
        <f>"24-12-2023 00:00"</f>
        <v>24-12-2023 00:00</v>
      </c>
      <c r="B578" s="1721" t="str">
        <f>"24-12-2023 01:00"</f>
        <v>24-12-2023 01:00</v>
      </c>
      <c r="C578" s="2278">
        <v>0.17</v>
      </c>
      <c r="H578" s="2278"/>
    </row>
    <row r="579" spans="1:9" s="1721" customFormat="1">
      <c r="A579" s="1721" t="str">
        <f>"24-12-2023 01:00"</f>
        <v>24-12-2023 01:00</v>
      </c>
      <c r="B579" s="1721" t="str">
        <f>"24-12-2023 02:00"</f>
        <v>24-12-2023 02:00</v>
      </c>
      <c r="C579" s="2278">
        <v>0.12</v>
      </c>
      <c r="H579" s="2278"/>
    </row>
    <row r="580" spans="1:9" s="1721" customFormat="1">
      <c r="A580" s="1721" t="str">
        <f>"24-12-2023 02:00"</f>
        <v>24-12-2023 02:00</v>
      </c>
      <c r="B580" s="1721" t="str">
        <f>"24-12-2023 03:00"</f>
        <v>24-12-2023 03:00</v>
      </c>
      <c r="C580" s="2278">
        <v>0.14000000000000001</v>
      </c>
      <c r="H580" s="2278"/>
    </row>
    <row r="581" spans="1:9" s="1721" customFormat="1">
      <c r="A581" s="1721" t="str">
        <f>"24-12-2023 03:00"</f>
        <v>24-12-2023 03:00</v>
      </c>
      <c r="B581" s="1721" t="str">
        <f>"24-12-2023 04:00"</f>
        <v>24-12-2023 04:00</v>
      </c>
      <c r="C581" s="2278">
        <v>0.12</v>
      </c>
      <c r="H581" s="2278"/>
    </row>
    <row r="582" spans="1:9" s="1721" customFormat="1">
      <c r="A582" s="1721" t="str">
        <f>"24-12-2023 04:00"</f>
        <v>24-12-2023 04:00</v>
      </c>
      <c r="B582" s="1721" t="str">
        <f>"24-12-2023 05:00"</f>
        <v>24-12-2023 05:00</v>
      </c>
      <c r="C582" s="2278">
        <v>0.13</v>
      </c>
      <c r="H582" s="2278"/>
    </row>
    <row r="583" spans="1:9" s="1721" customFormat="1">
      <c r="A583" s="1721" t="str">
        <f>"24-12-2023 05:00"</f>
        <v>24-12-2023 05:00</v>
      </c>
      <c r="B583" s="1721" t="str">
        <f>"24-12-2023 06:00"</f>
        <v>24-12-2023 06:00</v>
      </c>
      <c r="C583" s="2278">
        <v>0.21</v>
      </c>
      <c r="H583" s="2278"/>
    </row>
    <row r="584" spans="1:9" s="1721" customFormat="1">
      <c r="A584" s="1721" t="str">
        <f>"24-12-2023 06:00"</f>
        <v>24-12-2023 06:00</v>
      </c>
      <c r="B584" s="1721" t="str">
        <f>"24-12-2023 07:00"</f>
        <v>24-12-2023 07:00</v>
      </c>
      <c r="C584" s="2278">
        <v>0.12</v>
      </c>
      <c r="H584" s="2278"/>
    </row>
    <row r="585" spans="1:9" s="1721" customFormat="1">
      <c r="A585" s="1721" t="str">
        <f>"24-12-2023 07:00"</f>
        <v>24-12-2023 07:00</v>
      </c>
      <c r="B585" s="1721" t="str">
        <f>"24-12-2023 08:00"</f>
        <v>24-12-2023 08:00</v>
      </c>
      <c r="C585" s="2278">
        <v>0.17</v>
      </c>
      <c r="H585" s="2278"/>
    </row>
    <row r="586" spans="1:9" s="1721" customFormat="1">
      <c r="A586" s="1721" t="str">
        <f>"24-12-2023 08:00"</f>
        <v>24-12-2023 08:00</v>
      </c>
      <c r="B586" s="1721" t="str">
        <f>"24-12-2023 09:00"</f>
        <v>24-12-2023 09:00</v>
      </c>
      <c r="C586" s="2278">
        <v>0.4</v>
      </c>
      <c r="H586" s="2278"/>
    </row>
    <row r="587" spans="1:9" s="1721" customFormat="1">
      <c r="A587" s="1721" t="str">
        <f>"24-12-2023 09:00"</f>
        <v>24-12-2023 09:00</v>
      </c>
      <c r="B587" s="1721" t="str">
        <f>"24-12-2023 10:00"</f>
        <v>24-12-2023 10:00</v>
      </c>
      <c r="C587" s="2278">
        <v>0.3</v>
      </c>
      <c r="H587" s="2278"/>
    </row>
    <row r="588" spans="1:9" s="1721" customFormat="1">
      <c r="A588" s="1721" t="str">
        <f>"24-12-2023 10:00"</f>
        <v>24-12-2023 10:00</v>
      </c>
      <c r="B588" s="1721" t="str">
        <f>"24-12-2023 11:00"</f>
        <v>24-12-2023 11:00</v>
      </c>
      <c r="C588" s="2278">
        <v>0.38</v>
      </c>
      <c r="H588" s="2278"/>
    </row>
    <row r="589" spans="1:9" s="1721" customFormat="1">
      <c r="A589" s="1721" t="str">
        <f>"24-12-2023 11:00"</f>
        <v>24-12-2023 11:00</v>
      </c>
      <c r="B589" s="1721" t="str">
        <f>"24-12-2023 12:00"</f>
        <v>24-12-2023 12:00</v>
      </c>
      <c r="C589" s="2278">
        <v>0.49</v>
      </c>
      <c r="H589" s="2278"/>
    </row>
    <row r="590" spans="1:9" s="1721" customFormat="1">
      <c r="A590" s="1721" t="str">
        <f>"24-12-2023 12:00"</f>
        <v>24-12-2023 12:00</v>
      </c>
      <c r="B590" s="1721" t="str">
        <f>"24-12-2023 13:00"</f>
        <v>24-12-2023 13:00</v>
      </c>
      <c r="C590" s="2278">
        <v>0.33</v>
      </c>
      <c r="H590" s="2278"/>
    </row>
    <row r="591" spans="1:9" s="1721" customFormat="1">
      <c r="A591" s="1721" t="str">
        <f>"24-12-2023 13:00"</f>
        <v>24-12-2023 13:00</v>
      </c>
      <c r="B591" s="1721" t="str">
        <f>"24-12-2023 14:00"</f>
        <v>24-12-2023 14:00</v>
      </c>
      <c r="C591" s="2278">
        <v>0.31</v>
      </c>
      <c r="H591" s="2278"/>
      <c r="I591" s="2280"/>
    </row>
    <row r="592" spans="1:9" s="1721" customFormat="1">
      <c r="A592" s="1721" t="str">
        <f>"24-12-2023 14:00"</f>
        <v>24-12-2023 14:00</v>
      </c>
      <c r="B592" s="1721" t="str">
        <f>"24-12-2023 15:00"</f>
        <v>24-12-2023 15:00</v>
      </c>
      <c r="C592" s="2278">
        <v>0.37</v>
      </c>
      <c r="F592" s="2280"/>
      <c r="G592" s="2280"/>
      <c r="H592" s="2281"/>
      <c r="I592" s="2280"/>
    </row>
    <row r="593" spans="1:9" s="1721" customFormat="1">
      <c r="A593" s="1721" t="str">
        <f>"24-12-2023 15:00"</f>
        <v>24-12-2023 15:00</v>
      </c>
      <c r="B593" s="1721" t="str">
        <f>"24-12-2023 16:00"</f>
        <v>24-12-2023 16:00</v>
      </c>
      <c r="C593" s="2278">
        <v>0.18</v>
      </c>
      <c r="H593" s="2278"/>
    </row>
    <row r="594" spans="1:9" s="1721" customFormat="1">
      <c r="A594" s="1721" t="str">
        <f>"24-12-2023 16:00"</f>
        <v>24-12-2023 16:00</v>
      </c>
      <c r="B594" s="1721" t="str">
        <f>"24-12-2023 17:00"</f>
        <v>24-12-2023 17:00</v>
      </c>
      <c r="C594" s="2278">
        <v>0.14000000000000001</v>
      </c>
      <c r="H594" s="2278"/>
    </row>
    <row r="595" spans="1:9" s="1721" customFormat="1">
      <c r="A595" s="1721" t="str">
        <f>"24-12-2023 17:00"</f>
        <v>24-12-2023 17:00</v>
      </c>
      <c r="B595" s="1721" t="str">
        <f>"24-12-2023 18:00"</f>
        <v>24-12-2023 18:00</v>
      </c>
      <c r="C595" s="2278">
        <v>0.2</v>
      </c>
      <c r="H595" s="2278"/>
    </row>
    <row r="596" spans="1:9" s="1721" customFormat="1">
      <c r="A596" s="1721" t="str">
        <f>"24-12-2023 18:00"</f>
        <v>24-12-2023 18:00</v>
      </c>
      <c r="B596" s="1721" t="str">
        <f>"24-12-2023 19:00"</f>
        <v>24-12-2023 19:00</v>
      </c>
      <c r="C596" s="2278">
        <v>0.16</v>
      </c>
      <c r="H596" s="2278"/>
    </row>
    <row r="597" spans="1:9" s="1721" customFormat="1">
      <c r="A597" s="1721" t="str">
        <f>"24-12-2023 19:00"</f>
        <v>24-12-2023 19:00</v>
      </c>
      <c r="B597" s="1721" t="str">
        <f>"24-12-2023 20:00"</f>
        <v>24-12-2023 20:00</v>
      </c>
      <c r="C597" s="2278">
        <v>0.17</v>
      </c>
      <c r="H597" s="2278"/>
    </row>
    <row r="598" spans="1:9" s="1721" customFormat="1">
      <c r="A598" s="1721" t="str">
        <f>"24-12-2023 20:00"</f>
        <v>24-12-2023 20:00</v>
      </c>
      <c r="B598" s="1721" t="str">
        <f>"24-12-2023 21:00"</f>
        <v>24-12-2023 21:00</v>
      </c>
      <c r="C598" s="2278">
        <v>0.17</v>
      </c>
      <c r="H598" s="2278"/>
    </row>
    <row r="599" spans="1:9" s="1721" customFormat="1">
      <c r="A599" s="1721" t="str">
        <f>"24-12-2023 21:00"</f>
        <v>24-12-2023 21:00</v>
      </c>
      <c r="B599" s="1721" t="str">
        <f>"24-12-2023 22:00"</f>
        <v>24-12-2023 22:00</v>
      </c>
      <c r="C599" s="2278">
        <v>0.17</v>
      </c>
      <c r="H599" s="2278"/>
    </row>
    <row r="600" spans="1:9" s="1721" customFormat="1">
      <c r="A600" s="1721" t="str">
        <f>"24-12-2023 22:00"</f>
        <v>24-12-2023 22:00</v>
      </c>
      <c r="B600" s="1721" t="str">
        <f>"24-12-2023 23:00"</f>
        <v>24-12-2023 23:00</v>
      </c>
      <c r="C600" s="2278">
        <v>0.38</v>
      </c>
      <c r="H600" s="2278"/>
    </row>
    <row r="601" spans="1:9" s="1721" customFormat="1">
      <c r="A601" s="1721" t="str">
        <f>"24-12-2023 23:00"</f>
        <v>24-12-2023 23:00</v>
      </c>
      <c r="B601" s="1721" t="str">
        <f>"25-12-2023 00:00"</f>
        <v>25-12-2023 00:00</v>
      </c>
      <c r="C601" s="2278">
        <v>0.19</v>
      </c>
      <c r="D601" s="2280">
        <f t="shared" ref="D601" si="1">SUM(C578:C601)</f>
        <v>5.5200000000000005</v>
      </c>
      <c r="H601" s="2278"/>
    </row>
    <row r="602" spans="1:9">
      <c r="A602" s="2280" t="s">
        <v>1644</v>
      </c>
      <c r="B602" s="2280" t="s">
        <v>1645</v>
      </c>
      <c r="C602" s="2281" t="s">
        <v>1147</v>
      </c>
      <c r="D602" s="2280" t="s">
        <v>567</v>
      </c>
      <c r="F602" s="1721"/>
      <c r="G602" s="1721"/>
      <c r="H602" s="2278"/>
      <c r="I602" s="1721"/>
    </row>
    <row r="603" spans="1:9" s="1721" customFormat="1">
      <c r="A603" s="1721" t="str">
        <f>"25-12-2023 00:00"</f>
        <v>25-12-2023 00:00</v>
      </c>
      <c r="B603" s="1721" t="str">
        <f>"25-12-2023 01:00"</f>
        <v>25-12-2023 01:00</v>
      </c>
      <c r="C603" s="2278">
        <v>0.19</v>
      </c>
      <c r="H603" s="2278"/>
    </row>
    <row r="604" spans="1:9" s="1721" customFormat="1">
      <c r="A604" s="1721" t="str">
        <f>"25-12-2023 01:00"</f>
        <v>25-12-2023 01:00</v>
      </c>
      <c r="B604" s="1721" t="str">
        <f>"25-12-2023 02:00"</f>
        <v>25-12-2023 02:00</v>
      </c>
      <c r="C604" s="2278">
        <v>0.11</v>
      </c>
      <c r="H604" s="2278"/>
    </row>
    <row r="605" spans="1:9" s="1721" customFormat="1">
      <c r="A605" s="1721" t="str">
        <f>"25-12-2023 02:00"</f>
        <v>25-12-2023 02:00</v>
      </c>
      <c r="B605" s="1721" t="str">
        <f>"25-12-2023 03:00"</f>
        <v>25-12-2023 03:00</v>
      </c>
      <c r="C605" s="2278">
        <v>0.15</v>
      </c>
      <c r="H605" s="2278"/>
    </row>
    <row r="606" spans="1:9" s="1721" customFormat="1">
      <c r="A606" s="1721" t="str">
        <f>"25-12-2023 03:00"</f>
        <v>25-12-2023 03:00</v>
      </c>
      <c r="B606" s="1721" t="str">
        <f>"25-12-2023 04:00"</f>
        <v>25-12-2023 04:00</v>
      </c>
      <c r="C606" s="2278">
        <v>0.13</v>
      </c>
      <c r="H606" s="2278"/>
    </row>
    <row r="607" spans="1:9" s="1721" customFormat="1">
      <c r="A607" s="1721" t="str">
        <f>"25-12-2023 04:00"</f>
        <v>25-12-2023 04:00</v>
      </c>
      <c r="B607" s="1721" t="str">
        <f>"25-12-2023 05:00"</f>
        <v>25-12-2023 05:00</v>
      </c>
      <c r="C607" s="2278">
        <v>0.14000000000000001</v>
      </c>
      <c r="H607" s="2278"/>
    </row>
    <row r="608" spans="1:9" s="1721" customFormat="1">
      <c r="A608" s="1721" t="str">
        <f>"25-12-2023 05:00"</f>
        <v>25-12-2023 05:00</v>
      </c>
      <c r="B608" s="1721" t="str">
        <f>"25-12-2023 06:00"</f>
        <v>25-12-2023 06:00</v>
      </c>
      <c r="C608" s="2278">
        <v>0.13</v>
      </c>
      <c r="H608" s="2278"/>
    </row>
    <row r="609" spans="1:9" s="1721" customFormat="1">
      <c r="A609" s="1721" t="str">
        <f>"25-12-2023 06:00"</f>
        <v>25-12-2023 06:00</v>
      </c>
      <c r="B609" s="1721" t="str">
        <f>"25-12-2023 07:00"</f>
        <v>25-12-2023 07:00</v>
      </c>
      <c r="C609" s="2278">
        <v>0.17</v>
      </c>
      <c r="H609" s="2278"/>
    </row>
    <row r="610" spans="1:9" s="1721" customFormat="1">
      <c r="A610" s="1721" t="str">
        <f>"25-12-2023 07:00"</f>
        <v>25-12-2023 07:00</v>
      </c>
      <c r="B610" s="1721" t="str">
        <f>"25-12-2023 08:00"</f>
        <v>25-12-2023 08:00</v>
      </c>
      <c r="C610" s="2278">
        <v>0.33</v>
      </c>
      <c r="H610" s="2278"/>
    </row>
    <row r="611" spans="1:9" s="1721" customFormat="1">
      <c r="A611" s="1721" t="str">
        <f>"25-12-2023 08:00"</f>
        <v>25-12-2023 08:00</v>
      </c>
      <c r="B611" s="1721" t="str">
        <f>"25-12-2023 09:00"</f>
        <v>25-12-2023 09:00</v>
      </c>
      <c r="C611" s="2278">
        <v>0.43</v>
      </c>
      <c r="H611" s="2278"/>
    </row>
    <row r="612" spans="1:9" s="1721" customFormat="1">
      <c r="A612" s="1721" t="str">
        <f>"25-12-2023 09:00"</f>
        <v>25-12-2023 09:00</v>
      </c>
      <c r="B612" s="1721" t="str">
        <f>"25-12-2023 10:00"</f>
        <v>25-12-2023 10:00</v>
      </c>
      <c r="C612" s="2278">
        <v>0.33</v>
      </c>
      <c r="H612" s="2278"/>
    </row>
    <row r="613" spans="1:9" s="1721" customFormat="1">
      <c r="A613" s="1721" t="str">
        <f>"25-12-2023 10:00"</f>
        <v>25-12-2023 10:00</v>
      </c>
      <c r="B613" s="1721" t="str">
        <f>"25-12-2023 11:00"</f>
        <v>25-12-2023 11:00</v>
      </c>
      <c r="C613" s="2278">
        <v>0.24</v>
      </c>
      <c r="H613" s="2278"/>
    </row>
    <row r="614" spans="1:9" s="1721" customFormat="1">
      <c r="A614" s="1721" t="str">
        <f>"25-12-2023 11:00"</f>
        <v>25-12-2023 11:00</v>
      </c>
      <c r="B614" s="1721" t="str">
        <f>"25-12-2023 12:00"</f>
        <v>25-12-2023 12:00</v>
      </c>
      <c r="C614" s="2278">
        <v>0.34</v>
      </c>
      <c r="H614" s="2278"/>
    </row>
    <row r="615" spans="1:9" s="1721" customFormat="1">
      <c r="A615" s="1721" t="str">
        <f>"25-12-2023 12:00"</f>
        <v>25-12-2023 12:00</v>
      </c>
      <c r="B615" s="1721" t="str">
        <f>"25-12-2023 13:00"</f>
        <v>25-12-2023 13:00</v>
      </c>
      <c r="C615" s="2278">
        <v>1.24</v>
      </c>
      <c r="H615" s="2278"/>
    </row>
    <row r="616" spans="1:9" s="1721" customFormat="1">
      <c r="A616" s="1721" t="str">
        <f>"25-12-2023 13:00"</f>
        <v>25-12-2023 13:00</v>
      </c>
      <c r="B616" s="1721" t="str">
        <f>"25-12-2023 14:00"</f>
        <v>25-12-2023 14:00</v>
      </c>
      <c r="C616" s="2278">
        <v>0.46</v>
      </c>
      <c r="H616" s="2278"/>
      <c r="I616" s="2280"/>
    </row>
    <row r="617" spans="1:9" s="1721" customFormat="1">
      <c r="A617" s="1721" t="str">
        <f>"25-12-2023 14:00"</f>
        <v>25-12-2023 14:00</v>
      </c>
      <c r="B617" s="1721" t="str">
        <f>"25-12-2023 15:00"</f>
        <v>25-12-2023 15:00</v>
      </c>
      <c r="C617" s="2278">
        <v>0.5</v>
      </c>
      <c r="F617" s="2280"/>
      <c r="G617" s="2280"/>
      <c r="H617" s="2281"/>
      <c r="I617" s="2280"/>
    </row>
    <row r="618" spans="1:9" s="1721" customFormat="1">
      <c r="A618" s="1721" t="str">
        <f>"25-12-2023 15:00"</f>
        <v>25-12-2023 15:00</v>
      </c>
      <c r="B618" s="1721" t="str">
        <f>"25-12-2023 16:00"</f>
        <v>25-12-2023 16:00</v>
      </c>
      <c r="C618" s="2278">
        <v>0.71</v>
      </c>
      <c r="H618" s="2278"/>
    </row>
    <row r="619" spans="1:9" s="1721" customFormat="1">
      <c r="A619" s="1721" t="str">
        <f>"25-12-2023 16:00"</f>
        <v>25-12-2023 16:00</v>
      </c>
      <c r="B619" s="1721" t="str">
        <f>"25-12-2023 17:00"</f>
        <v>25-12-2023 17:00</v>
      </c>
      <c r="C619" s="2278">
        <v>0.44</v>
      </c>
      <c r="H619" s="2278"/>
    </row>
    <row r="620" spans="1:9" s="1721" customFormat="1">
      <c r="A620" s="1721" t="str">
        <f>"25-12-2023 17:00"</f>
        <v>25-12-2023 17:00</v>
      </c>
      <c r="B620" s="1721" t="str">
        <f>"25-12-2023 18:00"</f>
        <v>25-12-2023 18:00</v>
      </c>
      <c r="C620" s="2278">
        <v>0.37</v>
      </c>
      <c r="H620" s="2278"/>
    </row>
    <row r="621" spans="1:9" s="1721" customFormat="1">
      <c r="A621" s="1721" t="str">
        <f>"25-12-2023 18:00"</f>
        <v>25-12-2023 18:00</v>
      </c>
      <c r="B621" s="1721" t="str">
        <f>"25-12-2023 19:00"</f>
        <v>25-12-2023 19:00</v>
      </c>
      <c r="C621" s="2278">
        <v>0.52</v>
      </c>
      <c r="H621" s="2278"/>
    </row>
    <row r="622" spans="1:9" s="1721" customFormat="1">
      <c r="A622" s="1721" t="str">
        <f>"25-12-2023 19:00"</f>
        <v>25-12-2023 19:00</v>
      </c>
      <c r="B622" s="1721" t="str">
        <f>"25-12-2023 20:00"</f>
        <v>25-12-2023 20:00</v>
      </c>
      <c r="C622" s="2278">
        <v>0.43</v>
      </c>
      <c r="H622" s="2278"/>
    </row>
    <row r="623" spans="1:9" s="1721" customFormat="1">
      <c r="A623" s="1721" t="str">
        <f>"25-12-2023 20:00"</f>
        <v>25-12-2023 20:00</v>
      </c>
      <c r="B623" s="1721" t="str">
        <f>"25-12-2023 21:00"</f>
        <v>25-12-2023 21:00</v>
      </c>
      <c r="C623" s="2278">
        <v>0.39</v>
      </c>
      <c r="H623" s="2278"/>
    </row>
    <row r="624" spans="1:9">
      <c r="A624" s="1721" t="str">
        <f>"25-12-2023 21:00"</f>
        <v>25-12-2023 21:00</v>
      </c>
      <c r="B624" s="1721" t="str">
        <f>"25-12-2023 22:00"</f>
        <v>25-12-2023 22:00</v>
      </c>
      <c r="C624" s="2278">
        <v>0.4</v>
      </c>
      <c r="F624" s="1721"/>
      <c r="G624" s="1721"/>
      <c r="H624" s="2278"/>
      <c r="I624" s="1721"/>
    </row>
    <row r="625" spans="1:13">
      <c r="A625" s="1721" t="str">
        <f>"25-12-2023 22:00"</f>
        <v>25-12-2023 22:00</v>
      </c>
      <c r="B625" s="1721" t="str">
        <f>"25-12-2023 23:00"</f>
        <v>25-12-2023 23:00</v>
      </c>
      <c r="C625" s="2278">
        <v>0.24</v>
      </c>
      <c r="F625" s="1721"/>
      <c r="G625" s="1721"/>
      <c r="H625" s="2278"/>
      <c r="I625" s="1721"/>
    </row>
    <row r="626" spans="1:13">
      <c r="A626" s="1721" t="str">
        <f>"25-12-2023 23:00"</f>
        <v>25-12-2023 23:00</v>
      </c>
      <c r="B626" s="1721" t="str">
        <f>"26-12-2023 00:00"</f>
        <v>26-12-2023 00:00</v>
      </c>
      <c r="C626" s="2278">
        <v>0.17</v>
      </c>
      <c r="D626" s="2280">
        <f t="shared" ref="D626" si="2">SUM(C603:C626)</f>
        <v>8.5599999999999987</v>
      </c>
      <c r="F626" s="1721"/>
      <c r="G626" s="1721"/>
      <c r="H626" s="2278"/>
      <c r="I626" s="1721"/>
    </row>
    <row r="627" spans="1:13" s="2302" customFormat="1">
      <c r="A627" s="2302" t="s">
        <v>1644</v>
      </c>
      <c r="B627" s="2302" t="s">
        <v>1645</v>
      </c>
      <c r="C627" s="2303" t="s">
        <v>1147</v>
      </c>
      <c r="D627" s="2302" t="s">
        <v>567</v>
      </c>
      <c r="E627" s="2304"/>
      <c r="F627" s="1721"/>
      <c r="G627" s="1721"/>
      <c r="H627" s="2278"/>
      <c r="I627" s="1721"/>
      <c r="J627" s="2304"/>
      <c r="K627" s="2305"/>
      <c r="L627" s="2305"/>
      <c r="M627" s="2303"/>
    </row>
    <row r="628" spans="1:13">
      <c r="A628" s="1721" t="str">
        <f>"26-12-2023 00:00"</f>
        <v>26-12-2023 00:00</v>
      </c>
      <c r="B628" s="1721" t="str">
        <f>"26-12-2023 01:00"</f>
        <v>26-12-2023 01:00</v>
      </c>
      <c r="C628" s="1721">
        <v>0.12</v>
      </c>
      <c r="F628" s="1721"/>
      <c r="G628" s="1721"/>
      <c r="H628" s="2278"/>
      <c r="I628" s="1721"/>
    </row>
    <row r="629" spans="1:13">
      <c r="A629" s="1721" t="str">
        <f>"26-12-2023 01:00"</f>
        <v>26-12-2023 01:00</v>
      </c>
      <c r="B629" s="1721" t="str">
        <f>"26-12-2023 02:00"</f>
        <v>26-12-2023 02:00</v>
      </c>
      <c r="C629" s="1721">
        <v>0.18</v>
      </c>
      <c r="F629" s="1721"/>
      <c r="G629" s="1721"/>
      <c r="H629" s="2278"/>
      <c r="I629" s="1721"/>
    </row>
    <row r="630" spans="1:13">
      <c r="A630" s="1721" t="str">
        <f>"26-12-2023 02:00"</f>
        <v>26-12-2023 02:00</v>
      </c>
      <c r="B630" s="1721" t="str">
        <f>"26-12-2023 03:00"</f>
        <v>26-12-2023 03:00</v>
      </c>
      <c r="C630" s="1721">
        <v>0.16</v>
      </c>
      <c r="F630" s="1721"/>
      <c r="G630" s="1721"/>
      <c r="H630" s="2278"/>
      <c r="I630" s="1721"/>
    </row>
    <row r="631" spans="1:13">
      <c r="A631" s="1721" t="str">
        <f>"26-12-2023 03:00"</f>
        <v>26-12-2023 03:00</v>
      </c>
      <c r="B631" s="1721" t="str">
        <f>"26-12-2023 04:00"</f>
        <v>26-12-2023 04:00</v>
      </c>
      <c r="C631" s="1721">
        <v>0.16</v>
      </c>
      <c r="F631" s="1721"/>
      <c r="G631" s="1721"/>
      <c r="H631" s="2278"/>
      <c r="I631" s="1721"/>
    </row>
    <row r="632" spans="1:13">
      <c r="A632" s="1721" t="str">
        <f>"26-12-2023 04:00"</f>
        <v>26-12-2023 04:00</v>
      </c>
      <c r="B632" s="1721" t="str">
        <f>"26-12-2023 05:00"</f>
        <v>26-12-2023 05:00</v>
      </c>
      <c r="C632" s="1721">
        <v>0.12</v>
      </c>
      <c r="F632" s="1721"/>
      <c r="G632" s="1721"/>
      <c r="H632" s="2278"/>
      <c r="I632" s="1721"/>
    </row>
    <row r="633" spans="1:13">
      <c r="A633" s="1721" t="str">
        <f>"26-12-2023 05:00"</f>
        <v>26-12-2023 05:00</v>
      </c>
      <c r="B633" s="1721" t="str">
        <f>"26-12-2023 06:00"</f>
        <v>26-12-2023 06:00</v>
      </c>
      <c r="C633" s="1721">
        <v>0.2</v>
      </c>
      <c r="F633" s="1721"/>
      <c r="G633" s="1721"/>
      <c r="H633" s="2278"/>
      <c r="I633" s="1721"/>
    </row>
    <row r="634" spans="1:13">
      <c r="A634" s="1721" t="str">
        <f>"26-12-2023 06:00"</f>
        <v>26-12-2023 06:00</v>
      </c>
      <c r="B634" s="1721" t="str">
        <f>"26-12-2023 07:00"</f>
        <v>26-12-2023 07:00</v>
      </c>
      <c r="C634" s="1721">
        <v>0.17</v>
      </c>
      <c r="F634" s="1721"/>
      <c r="G634" s="1721"/>
      <c r="H634" s="2278"/>
      <c r="I634" s="1721"/>
    </row>
    <row r="635" spans="1:13">
      <c r="A635" s="1721" t="str">
        <f>"26-12-2023 07:00"</f>
        <v>26-12-2023 07:00</v>
      </c>
      <c r="B635" s="1721" t="str">
        <f>"26-12-2023 08:00"</f>
        <v>26-12-2023 08:00</v>
      </c>
      <c r="C635" s="1721">
        <v>0.13</v>
      </c>
      <c r="F635" s="1721"/>
      <c r="G635" s="1721"/>
      <c r="H635" s="2278"/>
      <c r="I635" s="1721"/>
    </row>
    <row r="636" spans="1:13">
      <c r="A636" s="1721" t="str">
        <f>"26-12-2023 08:00"</f>
        <v>26-12-2023 08:00</v>
      </c>
      <c r="B636" s="1721" t="str">
        <f>"26-12-2023 09:00"</f>
        <v>26-12-2023 09:00</v>
      </c>
      <c r="C636" s="1721">
        <v>0.24</v>
      </c>
      <c r="F636" s="1721"/>
      <c r="G636" s="1721"/>
      <c r="H636" s="2278"/>
      <c r="I636" s="1721"/>
    </row>
    <row r="637" spans="1:13">
      <c r="A637" s="1721" t="str">
        <f>"26-12-2023 09:00"</f>
        <v>26-12-2023 09:00</v>
      </c>
      <c r="B637" s="1721" t="str">
        <f>"26-12-2023 10:00"</f>
        <v>26-12-2023 10:00</v>
      </c>
      <c r="C637" s="1721">
        <v>0.48</v>
      </c>
      <c r="F637" s="1721"/>
      <c r="G637" s="1721"/>
      <c r="H637" s="2278"/>
      <c r="I637" s="1721"/>
    </row>
    <row r="638" spans="1:13">
      <c r="A638" s="1721" t="str">
        <f>"26-12-2023 10:00"</f>
        <v>26-12-2023 10:00</v>
      </c>
      <c r="B638" s="1721" t="str">
        <f>"26-12-2023 11:00"</f>
        <v>26-12-2023 11:00</v>
      </c>
      <c r="C638" s="1721">
        <v>0.38</v>
      </c>
      <c r="F638" s="1721"/>
      <c r="G638" s="1721"/>
      <c r="H638" s="2278"/>
      <c r="I638" s="1721"/>
    </row>
    <row r="639" spans="1:13">
      <c r="A639" s="1721" t="str">
        <f>"26-12-2023 11:00"</f>
        <v>26-12-2023 11:00</v>
      </c>
      <c r="B639" s="1721" t="str">
        <f>"26-12-2023 12:00"</f>
        <v>26-12-2023 12:00</v>
      </c>
      <c r="C639" s="1721">
        <v>0.31</v>
      </c>
      <c r="F639" s="1721"/>
      <c r="G639" s="1721"/>
      <c r="H639" s="2278"/>
    </row>
    <row r="640" spans="1:13">
      <c r="A640" s="1721" t="str">
        <f>"26-12-2023 12:00"</f>
        <v>26-12-2023 12:00</v>
      </c>
      <c r="B640" s="1721" t="str">
        <f>"26-12-2023 13:00"</f>
        <v>26-12-2023 13:00</v>
      </c>
      <c r="C640" s="1721">
        <v>2.31</v>
      </c>
      <c r="F640" s="1721"/>
      <c r="G640" s="1721"/>
      <c r="H640" s="2278"/>
    </row>
    <row r="641" spans="1:13">
      <c r="A641" s="1721" t="str">
        <f>"26-12-2023 13:00"</f>
        <v>26-12-2023 13:00</v>
      </c>
      <c r="B641" s="1721" t="str">
        <f>"26-12-2023 14:00"</f>
        <v>26-12-2023 14:00</v>
      </c>
      <c r="C641" s="1721">
        <v>0.39</v>
      </c>
      <c r="F641" s="1721"/>
      <c r="G641" s="1721"/>
      <c r="H641" s="2278"/>
    </row>
    <row r="642" spans="1:13">
      <c r="A642" s="1721" t="str">
        <f>"26-12-2023 14:00"</f>
        <v>26-12-2023 14:00</v>
      </c>
      <c r="B642" s="1721" t="str">
        <f>"26-12-2023 15:00"</f>
        <v>26-12-2023 15:00</v>
      </c>
      <c r="C642" s="1721">
        <v>0.43</v>
      </c>
      <c r="F642" s="2302"/>
      <c r="G642" s="2302"/>
      <c r="H642" s="2303"/>
      <c r="I642" s="2302"/>
    </row>
    <row r="643" spans="1:13">
      <c r="A643" s="1721" t="str">
        <f>"26-12-2023 15:00"</f>
        <v>26-12-2023 15:00</v>
      </c>
      <c r="B643" s="1721" t="str">
        <f>"26-12-2023 16:00"</f>
        <v>26-12-2023 16:00</v>
      </c>
      <c r="C643" s="1721">
        <v>0.39</v>
      </c>
      <c r="F643" s="1721"/>
      <c r="G643" s="1721"/>
      <c r="H643" s="1721"/>
    </row>
    <row r="644" spans="1:13">
      <c r="A644" s="1721" t="str">
        <f>"26-12-2023 16:00"</f>
        <v>26-12-2023 16:00</v>
      </c>
      <c r="B644" s="1721" t="str">
        <f>"26-12-2023 17:00"</f>
        <v>26-12-2023 17:00</v>
      </c>
      <c r="C644" s="1721">
        <v>0.45</v>
      </c>
      <c r="F644" s="1721"/>
      <c r="G644" s="1721"/>
      <c r="H644" s="1721"/>
    </row>
    <row r="645" spans="1:13">
      <c r="A645" s="1721" t="str">
        <f>"26-12-2023 17:00"</f>
        <v>26-12-2023 17:00</v>
      </c>
      <c r="B645" s="1721" t="str">
        <f>"26-12-2023 18:00"</f>
        <v>26-12-2023 18:00</v>
      </c>
      <c r="C645" s="1721">
        <v>1.3</v>
      </c>
      <c r="F645" s="1721"/>
      <c r="G645" s="1721"/>
      <c r="H645" s="1721"/>
    </row>
    <row r="646" spans="1:13">
      <c r="A646" s="1721" t="str">
        <f>"26-12-2023 18:00"</f>
        <v>26-12-2023 18:00</v>
      </c>
      <c r="B646" s="1721" t="str">
        <f>"26-12-2023 19:00"</f>
        <v>26-12-2023 19:00</v>
      </c>
      <c r="C646" s="1721">
        <v>0.98</v>
      </c>
      <c r="F646" s="1721"/>
      <c r="G646" s="1721"/>
      <c r="H646" s="1721"/>
    </row>
    <row r="647" spans="1:13">
      <c r="A647" s="1721" t="str">
        <f>"26-12-2023 19:00"</f>
        <v>26-12-2023 19:00</v>
      </c>
      <c r="B647" s="1721" t="str">
        <f>"26-12-2023 20:00"</f>
        <v>26-12-2023 20:00</v>
      </c>
      <c r="C647" s="1721">
        <v>0.53</v>
      </c>
      <c r="F647" s="1721"/>
      <c r="G647" s="1721"/>
      <c r="H647" s="1721"/>
    </row>
    <row r="648" spans="1:13">
      <c r="A648" s="1721" t="str">
        <f>"26-12-2023 20:00"</f>
        <v>26-12-2023 20:00</v>
      </c>
      <c r="B648" s="1721" t="str">
        <f>"26-12-2023 21:00"</f>
        <v>26-12-2023 21:00</v>
      </c>
      <c r="C648" s="1721">
        <v>0.39</v>
      </c>
      <c r="F648" s="1721"/>
      <c r="G648" s="1721"/>
      <c r="H648" s="1721"/>
    </row>
    <row r="649" spans="1:13">
      <c r="A649" s="1721" t="str">
        <f>"26-12-2023 21:00"</f>
        <v>26-12-2023 21:00</v>
      </c>
      <c r="B649" s="1721" t="str">
        <f>"26-12-2023 22:00"</f>
        <v>26-12-2023 22:00</v>
      </c>
      <c r="C649" s="1721">
        <v>0.42</v>
      </c>
      <c r="F649" s="1721"/>
      <c r="G649" s="1721"/>
      <c r="H649" s="1721"/>
    </row>
    <row r="650" spans="1:13">
      <c r="A650" s="1721" t="str">
        <f>"26-12-2023 22:00"</f>
        <v>26-12-2023 22:00</v>
      </c>
      <c r="B650" s="1721" t="str">
        <f>"26-12-2023 23:00"</f>
        <v>26-12-2023 23:00</v>
      </c>
      <c r="C650" s="1721">
        <v>0.41</v>
      </c>
      <c r="F650" s="1721"/>
      <c r="G650" s="1721"/>
      <c r="H650" s="1721"/>
    </row>
    <row r="651" spans="1:13">
      <c r="A651" s="1721" t="str">
        <f>"26-12-2023 23:00"</f>
        <v>26-12-2023 23:00</v>
      </c>
      <c r="B651" s="1721" t="str">
        <f>"27-12-2023 00:00"</f>
        <v>27-12-2023 00:00</v>
      </c>
      <c r="C651" s="1721">
        <v>0.17</v>
      </c>
      <c r="D651" s="2284">
        <f>SUM(C628:C651)</f>
        <v>10.819999999999999</v>
      </c>
      <c r="F651" s="1721"/>
      <c r="G651" s="1721"/>
      <c r="H651" s="1721"/>
    </row>
    <row r="652" spans="1:13" s="2302" customFormat="1">
      <c r="A652" s="2302" t="s">
        <v>1644</v>
      </c>
      <c r="B652" s="2302" t="s">
        <v>1645</v>
      </c>
      <c r="C652" s="2303" t="s">
        <v>1147</v>
      </c>
      <c r="D652" s="2302" t="s">
        <v>567</v>
      </c>
      <c r="E652" s="2304"/>
      <c r="F652" s="1721"/>
      <c r="G652" s="1721"/>
      <c r="H652" s="1721"/>
      <c r="I652" s="2280"/>
      <c r="J652" s="2304"/>
      <c r="K652" s="2305"/>
      <c r="L652" s="2305"/>
      <c r="M652" s="2303"/>
    </row>
    <row r="653" spans="1:13">
      <c r="A653" s="1721" t="str">
        <f>"27-12-2023 00:00"</f>
        <v>27-12-2023 00:00</v>
      </c>
      <c r="B653" s="1721" t="str">
        <f>"27-12-2023 01:00"</f>
        <v>27-12-2023 01:00</v>
      </c>
      <c r="C653" s="1721">
        <v>0.28000000000000003</v>
      </c>
      <c r="F653" s="1721"/>
      <c r="G653" s="1721"/>
      <c r="H653" s="1721"/>
    </row>
    <row r="654" spans="1:13">
      <c r="A654" s="1721" t="str">
        <f>"27-12-2023 01:00"</f>
        <v>27-12-2023 01:00</v>
      </c>
      <c r="B654" s="1721" t="str">
        <f>"27-12-2023 02:00"</f>
        <v>27-12-2023 02:00</v>
      </c>
      <c r="C654" s="1721">
        <v>0.27</v>
      </c>
      <c r="F654" s="1721"/>
      <c r="G654" s="1721"/>
      <c r="H654" s="1721"/>
    </row>
    <row r="655" spans="1:13">
      <c r="A655" s="1721" t="str">
        <f>"27-12-2023 02:00"</f>
        <v>27-12-2023 02:00</v>
      </c>
      <c r="B655" s="1721" t="str">
        <f>"27-12-2023 03:00"</f>
        <v>27-12-2023 03:00</v>
      </c>
      <c r="C655" s="1721">
        <v>0.25</v>
      </c>
      <c r="F655" s="1721"/>
      <c r="G655" s="1721"/>
      <c r="H655" s="1721"/>
    </row>
    <row r="656" spans="1:13">
      <c r="A656" s="1721" t="str">
        <f>"27-12-2023 03:00"</f>
        <v>27-12-2023 03:00</v>
      </c>
      <c r="B656" s="1721" t="str">
        <f>"27-12-2023 04:00"</f>
        <v>27-12-2023 04:00</v>
      </c>
      <c r="C656" s="1721">
        <v>0.19</v>
      </c>
      <c r="F656" s="1721"/>
      <c r="G656" s="1721"/>
      <c r="H656" s="1721"/>
    </row>
    <row r="657" spans="1:9">
      <c r="A657" s="1721" t="str">
        <f>"27-12-2023 04:00"</f>
        <v>27-12-2023 04:00</v>
      </c>
      <c r="B657" s="1721" t="str">
        <f>"27-12-2023 05:00"</f>
        <v>27-12-2023 05:00</v>
      </c>
      <c r="C657" s="1721">
        <v>0.21</v>
      </c>
      <c r="F657" s="1721"/>
      <c r="G657" s="1721"/>
      <c r="H657" s="1721"/>
    </row>
    <row r="658" spans="1:9">
      <c r="A658" s="1721" t="str">
        <f>"27-12-2023 05:00"</f>
        <v>27-12-2023 05:00</v>
      </c>
      <c r="B658" s="1721" t="str">
        <f>"27-12-2023 06:00"</f>
        <v>27-12-2023 06:00</v>
      </c>
      <c r="C658" s="1721">
        <v>0.18</v>
      </c>
      <c r="F658" s="1721"/>
      <c r="G658" s="1721"/>
      <c r="H658" s="1721"/>
    </row>
    <row r="659" spans="1:9">
      <c r="A659" s="1721" t="str">
        <f>"27-12-2023 06:00"</f>
        <v>27-12-2023 06:00</v>
      </c>
      <c r="B659" s="1721" t="str">
        <f>"27-12-2023 07:00"</f>
        <v>27-12-2023 07:00</v>
      </c>
      <c r="C659" s="1721">
        <v>0.24</v>
      </c>
      <c r="F659" s="1721"/>
      <c r="G659" s="1721"/>
      <c r="H659" s="1721"/>
    </row>
    <row r="660" spans="1:9">
      <c r="A660" s="1721" t="str">
        <f>"27-12-2023 07:00"</f>
        <v>27-12-2023 07:00</v>
      </c>
      <c r="B660" s="1721" t="str">
        <f>"27-12-2023 08:00"</f>
        <v>27-12-2023 08:00</v>
      </c>
      <c r="C660" s="1721">
        <v>0.27</v>
      </c>
      <c r="F660" s="1721"/>
      <c r="G660" s="1721"/>
      <c r="H660" s="1721"/>
    </row>
    <row r="661" spans="1:9">
      <c r="A661" s="1721" t="str">
        <f>"27-12-2023 08:00"</f>
        <v>27-12-2023 08:00</v>
      </c>
      <c r="B661" s="1721" t="str">
        <f>"27-12-2023 09:00"</f>
        <v>27-12-2023 09:00</v>
      </c>
      <c r="C661" s="1721">
        <v>0.46</v>
      </c>
      <c r="F661" s="1721"/>
      <c r="G661" s="1721"/>
      <c r="H661" s="1721"/>
    </row>
    <row r="662" spans="1:9">
      <c r="A662" s="1721" t="str">
        <f>"27-12-2023 09:00"</f>
        <v>27-12-2023 09:00</v>
      </c>
      <c r="B662" s="1721" t="str">
        <f>"27-12-2023 10:00"</f>
        <v>27-12-2023 10:00</v>
      </c>
      <c r="C662" s="1721">
        <v>0.48</v>
      </c>
      <c r="F662" s="1721"/>
      <c r="G662" s="1721"/>
      <c r="H662" s="1721"/>
    </row>
    <row r="663" spans="1:9">
      <c r="A663" s="1721" t="str">
        <f>"27-12-2023 10:00"</f>
        <v>27-12-2023 10:00</v>
      </c>
      <c r="B663" s="1721" t="str">
        <f>"27-12-2023 11:00"</f>
        <v>27-12-2023 11:00</v>
      </c>
      <c r="C663" s="1721">
        <v>0.22</v>
      </c>
      <c r="F663" s="1721"/>
      <c r="G663" s="1721"/>
      <c r="H663" s="1721"/>
    </row>
    <row r="664" spans="1:9">
      <c r="A664" s="1721" t="str">
        <f>"27-12-2023 11:00"</f>
        <v>27-12-2023 11:00</v>
      </c>
      <c r="B664" s="1721" t="str">
        <f>"27-12-2023 12:00"</f>
        <v>27-12-2023 12:00</v>
      </c>
      <c r="C664" s="1721">
        <v>0.37</v>
      </c>
      <c r="F664" s="1721"/>
      <c r="G664" s="1721"/>
      <c r="H664" s="1721"/>
    </row>
    <row r="665" spans="1:9">
      <c r="A665" s="1721" t="str">
        <f>"27-12-2023 12:00"</f>
        <v>27-12-2023 12:00</v>
      </c>
      <c r="B665" s="1721" t="str">
        <f>"27-12-2023 13:00"</f>
        <v>27-12-2023 13:00</v>
      </c>
      <c r="C665" s="1721">
        <v>0.24</v>
      </c>
      <c r="F665" s="1721"/>
      <c r="G665" s="1721"/>
      <c r="H665" s="1721"/>
    </row>
    <row r="666" spans="1:9">
      <c r="A666" s="1721" t="str">
        <f>"27-12-2023 13:00"</f>
        <v>27-12-2023 13:00</v>
      </c>
      <c r="B666" s="1721" t="str">
        <f>"27-12-2023 14:00"</f>
        <v>27-12-2023 14:00</v>
      </c>
      <c r="C666" s="1721">
        <v>0.33</v>
      </c>
      <c r="F666" s="1721"/>
      <c r="G666" s="1721"/>
      <c r="H666" s="1721"/>
      <c r="I666" s="2284"/>
    </row>
    <row r="667" spans="1:9">
      <c r="A667" s="1721" t="str">
        <f>"27-12-2023 14:00"</f>
        <v>27-12-2023 14:00</v>
      </c>
      <c r="B667" s="1721" t="str">
        <f>"27-12-2023 15:00"</f>
        <v>27-12-2023 15:00</v>
      </c>
      <c r="C667" s="1721">
        <v>0.59</v>
      </c>
      <c r="F667" s="2302"/>
      <c r="G667" s="2302"/>
      <c r="H667" s="2303"/>
      <c r="I667" s="2302"/>
    </row>
    <row r="668" spans="1:9">
      <c r="A668" s="1721" t="str">
        <f>"27-12-2023 15:00"</f>
        <v>27-12-2023 15:00</v>
      </c>
      <c r="B668" s="1721" t="str">
        <f>"27-12-2023 16:00"</f>
        <v>27-12-2023 16:00</v>
      </c>
      <c r="C668" s="1721">
        <v>0.45</v>
      </c>
      <c r="F668" s="1721"/>
      <c r="G668" s="1721"/>
      <c r="H668" s="1721"/>
    </row>
    <row r="669" spans="1:9">
      <c r="A669" s="1721" t="str">
        <f>"27-12-2023 16:00"</f>
        <v>27-12-2023 16:00</v>
      </c>
      <c r="B669" s="1721" t="str">
        <f>"27-12-2023 17:00"</f>
        <v>27-12-2023 17:00</v>
      </c>
      <c r="C669" s="1721">
        <v>0.46</v>
      </c>
      <c r="F669" s="1721"/>
      <c r="G669" s="1721"/>
      <c r="H669" s="1721"/>
    </row>
    <row r="670" spans="1:9">
      <c r="A670" s="1721" t="str">
        <f>"27-12-2023 17:00"</f>
        <v>27-12-2023 17:00</v>
      </c>
      <c r="B670" s="1721" t="str">
        <f>"27-12-2023 18:00"</f>
        <v>27-12-2023 18:00</v>
      </c>
      <c r="C670" s="1721">
        <v>0.7</v>
      </c>
      <c r="F670" s="1721"/>
      <c r="G670" s="1721"/>
      <c r="H670" s="1721"/>
    </row>
    <row r="671" spans="1:9">
      <c r="A671" s="1721" t="str">
        <f>"27-12-2023 18:00"</f>
        <v>27-12-2023 18:00</v>
      </c>
      <c r="B671" s="1721" t="str">
        <f>"27-12-2023 19:00"</f>
        <v>27-12-2023 19:00</v>
      </c>
      <c r="C671" s="1721">
        <v>0.52</v>
      </c>
      <c r="F671" s="1721"/>
      <c r="G671" s="1721"/>
      <c r="H671" s="1721"/>
    </row>
    <row r="672" spans="1:9">
      <c r="A672" s="1721" t="str">
        <f>"27-12-2023 19:00"</f>
        <v>27-12-2023 19:00</v>
      </c>
      <c r="B672" s="1721" t="str">
        <f>"27-12-2023 20:00"</f>
        <v>27-12-2023 20:00</v>
      </c>
      <c r="C672" s="1721">
        <v>0.34</v>
      </c>
      <c r="F672" s="1721"/>
      <c r="G672" s="1721"/>
      <c r="H672" s="1721"/>
    </row>
    <row r="673" spans="1:13">
      <c r="A673" s="1721" t="str">
        <f>"27-12-2023 20:00"</f>
        <v>27-12-2023 20:00</v>
      </c>
      <c r="B673" s="1721" t="str">
        <f>"27-12-2023 21:00"</f>
        <v>27-12-2023 21:00</v>
      </c>
      <c r="C673" s="1721">
        <v>0.4</v>
      </c>
      <c r="F673" s="1721"/>
      <c r="G673" s="1721"/>
      <c r="H673" s="1721"/>
    </row>
    <row r="674" spans="1:13">
      <c r="A674" s="1721" t="str">
        <f>"27-12-2023 21:00"</f>
        <v>27-12-2023 21:00</v>
      </c>
      <c r="B674" s="1721" t="str">
        <f>"27-12-2023 22:00"</f>
        <v>27-12-2023 22:00</v>
      </c>
      <c r="C674" s="1721">
        <v>0.4</v>
      </c>
      <c r="F674" s="1721"/>
      <c r="G674" s="1721"/>
      <c r="H674" s="1721"/>
    </row>
    <row r="675" spans="1:13">
      <c r="A675" s="1721" t="str">
        <f>"27-12-2023 22:00"</f>
        <v>27-12-2023 22:00</v>
      </c>
      <c r="B675" s="1721" t="str">
        <f>"27-12-2023 23:00"</f>
        <v>27-12-2023 23:00</v>
      </c>
      <c r="C675" s="1721">
        <v>0.31</v>
      </c>
      <c r="F675" s="1721"/>
      <c r="G675" s="1721"/>
      <c r="H675" s="1721"/>
    </row>
    <row r="676" spans="1:13" s="2302" customFormat="1">
      <c r="A676" s="1721" t="str">
        <f>"27-12-2023 23:00"</f>
        <v>27-12-2023 23:00</v>
      </c>
      <c r="B676" s="1721" t="str">
        <f>"28-12-2023 00:00"</f>
        <v>28-12-2023 00:00</v>
      </c>
      <c r="C676" s="1721">
        <v>0.17</v>
      </c>
      <c r="D676" s="2284">
        <f>SUM(C653:C676)</f>
        <v>8.3300000000000018</v>
      </c>
      <c r="E676" s="2304"/>
      <c r="F676" s="1721"/>
      <c r="G676" s="1721"/>
      <c r="H676" s="1721"/>
      <c r="I676" s="2280"/>
      <c r="J676" s="2304"/>
      <c r="K676" s="2305"/>
      <c r="L676" s="2305"/>
      <c r="M676" s="2303"/>
    </row>
    <row r="677" spans="1:13">
      <c r="A677" s="2302" t="s">
        <v>1644</v>
      </c>
      <c r="B677" s="2302" t="s">
        <v>1645</v>
      </c>
      <c r="C677" s="2303" t="s">
        <v>1147</v>
      </c>
      <c r="D677" s="2302" t="s">
        <v>567</v>
      </c>
      <c r="F677" s="1721"/>
      <c r="G677" s="1721"/>
      <c r="H677" s="1721"/>
    </row>
    <row r="678" spans="1:13">
      <c r="A678" s="1721" t="str">
        <f>"28-12-2023 00:00"</f>
        <v>28-12-2023 00:00</v>
      </c>
      <c r="B678" s="1721" t="str">
        <f>"28-12-2023 01:00"</f>
        <v>28-12-2023 01:00</v>
      </c>
      <c r="C678" s="1721">
        <v>0.23</v>
      </c>
      <c r="F678" s="1721"/>
      <c r="G678" s="1721"/>
      <c r="H678" s="1721"/>
    </row>
    <row r="679" spans="1:13">
      <c r="A679" s="1721" t="str">
        <f>"28-12-2023 01:00"</f>
        <v>28-12-2023 01:00</v>
      </c>
      <c r="B679" s="1721" t="str">
        <f>"28-12-2023 02:00"</f>
        <v>28-12-2023 02:00</v>
      </c>
      <c r="C679" s="1721">
        <v>0.22</v>
      </c>
      <c r="F679" s="1721"/>
      <c r="G679" s="1721"/>
      <c r="H679" s="1721"/>
    </row>
    <row r="680" spans="1:13">
      <c r="A680" s="1721" t="str">
        <f>"28-12-2023 02:00"</f>
        <v>28-12-2023 02:00</v>
      </c>
      <c r="B680" s="1721" t="str">
        <f>"28-12-2023 03:00"</f>
        <v>28-12-2023 03:00</v>
      </c>
      <c r="C680" s="1721">
        <v>0.22</v>
      </c>
      <c r="F680" s="1721"/>
      <c r="G680" s="1721"/>
      <c r="H680" s="1721"/>
    </row>
    <row r="681" spans="1:13">
      <c r="A681" s="1721" t="str">
        <f>"28-12-2023 03:00"</f>
        <v>28-12-2023 03:00</v>
      </c>
      <c r="B681" s="1721" t="str">
        <f>"28-12-2023 04:00"</f>
        <v>28-12-2023 04:00</v>
      </c>
      <c r="C681" s="1721">
        <v>0.21</v>
      </c>
      <c r="F681" s="1721"/>
      <c r="G681" s="1721"/>
      <c r="H681" s="1721"/>
    </row>
    <row r="682" spans="1:13">
      <c r="A682" s="1721" t="str">
        <f>"28-12-2023 04:00"</f>
        <v>28-12-2023 04:00</v>
      </c>
      <c r="B682" s="1721" t="str">
        <f>"28-12-2023 05:00"</f>
        <v>28-12-2023 05:00</v>
      </c>
      <c r="C682" s="1721">
        <v>0.16</v>
      </c>
      <c r="F682" s="1721"/>
      <c r="G682" s="1721"/>
      <c r="H682" s="1721"/>
    </row>
    <row r="683" spans="1:13">
      <c r="A683" s="1721" t="str">
        <f>"28-12-2023 05:00"</f>
        <v>28-12-2023 05:00</v>
      </c>
      <c r="B683" s="1721" t="str">
        <f>"28-12-2023 06:00"</f>
        <v>28-12-2023 06:00</v>
      </c>
      <c r="C683" s="1721">
        <v>0.19</v>
      </c>
      <c r="F683" s="1721"/>
      <c r="G683" s="1721"/>
      <c r="H683" s="1721"/>
    </row>
    <row r="684" spans="1:13">
      <c r="A684" s="1721" t="str">
        <f>"28-12-2023 06:00"</f>
        <v>28-12-2023 06:00</v>
      </c>
      <c r="B684" s="1721" t="str">
        <f>"28-12-2023 07:00"</f>
        <v>28-12-2023 07:00</v>
      </c>
      <c r="C684" s="1721">
        <v>0.56999999999999995</v>
      </c>
      <c r="F684" s="1721"/>
      <c r="G684" s="1721"/>
      <c r="H684" s="1721"/>
    </row>
    <row r="685" spans="1:13">
      <c r="A685" s="1721" t="str">
        <f>"28-12-2023 07:00"</f>
        <v>28-12-2023 07:00</v>
      </c>
      <c r="B685" s="1721" t="str">
        <f>"28-12-2023 08:00"</f>
        <v>28-12-2023 08:00</v>
      </c>
      <c r="C685" s="1721">
        <v>0.44</v>
      </c>
      <c r="F685" s="1721"/>
      <c r="G685" s="1721"/>
      <c r="H685" s="1721"/>
    </row>
    <row r="686" spans="1:13">
      <c r="A686" s="1721" t="str">
        <f>"28-12-2023 08:00"</f>
        <v>28-12-2023 08:00</v>
      </c>
      <c r="B686" s="1721" t="str">
        <f>"28-12-2023 09:00"</f>
        <v>28-12-2023 09:00</v>
      </c>
      <c r="C686" s="1721">
        <v>0.26</v>
      </c>
      <c r="F686" s="1721"/>
      <c r="G686" s="1721"/>
      <c r="H686" s="1721"/>
    </row>
    <row r="687" spans="1:13">
      <c r="A687" s="1721" t="str">
        <f>"28-12-2023 09:00"</f>
        <v>28-12-2023 09:00</v>
      </c>
      <c r="B687" s="1721" t="str">
        <f>"28-12-2023 10:00"</f>
        <v>28-12-2023 10:00</v>
      </c>
      <c r="C687" s="1721">
        <v>0.92</v>
      </c>
      <c r="F687" s="1721"/>
      <c r="G687" s="1721"/>
      <c r="H687" s="1721"/>
    </row>
    <row r="688" spans="1:13">
      <c r="A688" s="1721" t="str">
        <f>"28-12-2023 10:00"</f>
        <v>28-12-2023 10:00</v>
      </c>
      <c r="B688" s="1721" t="str">
        <f>"28-12-2023 11:00"</f>
        <v>28-12-2023 11:00</v>
      </c>
      <c r="C688" s="1721">
        <v>0.39</v>
      </c>
      <c r="F688" s="1721"/>
      <c r="G688" s="1721"/>
      <c r="H688" s="1721"/>
    </row>
    <row r="689" spans="1:9">
      <c r="A689" s="1721" t="str">
        <f>"28-12-2023 11:00"</f>
        <v>28-12-2023 11:00</v>
      </c>
      <c r="B689" s="1721" t="str">
        <f>"28-12-2023 12:00"</f>
        <v>28-12-2023 12:00</v>
      </c>
      <c r="C689" s="1721">
        <v>0.39</v>
      </c>
      <c r="F689" s="1721"/>
      <c r="G689" s="1721"/>
      <c r="H689" s="1721"/>
    </row>
    <row r="690" spans="1:9">
      <c r="A690" s="1721" t="str">
        <f>"28-12-2023 12:00"</f>
        <v>28-12-2023 12:00</v>
      </c>
      <c r="B690" s="1721" t="str">
        <f>"28-12-2023 13:00"</f>
        <v>28-12-2023 13:00</v>
      </c>
      <c r="C690" s="1721">
        <v>0.5</v>
      </c>
      <c r="F690" s="1721"/>
      <c r="G690" s="1721"/>
      <c r="H690" s="1721"/>
    </row>
    <row r="691" spans="1:9">
      <c r="A691" s="1721" t="str">
        <f>"28-12-2023 13:00"</f>
        <v>28-12-2023 13:00</v>
      </c>
      <c r="B691" s="1721" t="str">
        <f>"28-12-2023 14:00"</f>
        <v>28-12-2023 14:00</v>
      </c>
      <c r="C691" s="1721">
        <v>0.3</v>
      </c>
      <c r="F691" s="1721"/>
      <c r="G691" s="1721"/>
      <c r="H691" s="1721"/>
      <c r="I691" s="2284"/>
    </row>
    <row r="692" spans="1:9">
      <c r="A692" s="1721" t="str">
        <f>"28-12-2023 14:00"</f>
        <v>28-12-2023 14:00</v>
      </c>
      <c r="B692" s="1721" t="str">
        <f>"28-12-2023 15:00"</f>
        <v>28-12-2023 15:00</v>
      </c>
      <c r="C692" s="1721">
        <v>0.51</v>
      </c>
      <c r="F692" s="2302"/>
      <c r="G692" s="2302"/>
      <c r="H692" s="2303"/>
      <c r="I692" s="2302"/>
    </row>
    <row r="693" spans="1:9">
      <c r="A693" s="1721" t="str">
        <f>"28-12-2023 15:00"</f>
        <v>28-12-2023 15:00</v>
      </c>
      <c r="B693" s="1721" t="str">
        <f>"28-12-2023 16:00"</f>
        <v>28-12-2023 16:00</v>
      </c>
      <c r="C693" s="1721">
        <v>0.47</v>
      </c>
      <c r="F693" s="1721"/>
      <c r="G693" s="1721"/>
      <c r="H693" s="1721"/>
    </row>
    <row r="694" spans="1:9">
      <c r="A694" s="1721" t="str">
        <f>"28-12-2023 16:00"</f>
        <v>28-12-2023 16:00</v>
      </c>
      <c r="B694" s="1721" t="str">
        <f>"28-12-2023 17:00"</f>
        <v>28-12-2023 17:00</v>
      </c>
      <c r="C694" s="1721">
        <v>0.44</v>
      </c>
      <c r="F694" s="1721"/>
      <c r="G694" s="1721"/>
      <c r="H694" s="1721"/>
    </row>
    <row r="695" spans="1:9">
      <c r="A695" s="1721" t="str">
        <f>"28-12-2023 17:00"</f>
        <v>28-12-2023 17:00</v>
      </c>
      <c r="B695" s="1721" t="str">
        <f>"28-12-2023 18:00"</f>
        <v>28-12-2023 18:00</v>
      </c>
      <c r="C695" s="1721">
        <v>0.53</v>
      </c>
      <c r="F695" s="1721"/>
      <c r="G695" s="1721"/>
      <c r="H695" s="1721"/>
    </row>
    <row r="696" spans="1:9">
      <c r="A696" s="1721" t="str">
        <f>"28-12-2023 18:00"</f>
        <v>28-12-2023 18:00</v>
      </c>
      <c r="B696" s="1721" t="str">
        <f>"28-12-2023 19:00"</f>
        <v>28-12-2023 19:00</v>
      </c>
      <c r="C696" s="1721">
        <v>0.59</v>
      </c>
      <c r="F696" s="1721"/>
      <c r="G696" s="1721"/>
      <c r="H696" s="1721"/>
    </row>
    <row r="697" spans="1:9">
      <c r="A697" s="1721" t="str">
        <f>"28-12-2023 19:00"</f>
        <v>28-12-2023 19:00</v>
      </c>
      <c r="B697" s="1721" t="str">
        <f>"28-12-2023 20:00"</f>
        <v>28-12-2023 20:00</v>
      </c>
      <c r="C697" s="1721">
        <v>0.42</v>
      </c>
      <c r="F697" s="1721"/>
      <c r="G697" s="1721"/>
      <c r="H697" s="1721"/>
    </row>
    <row r="698" spans="1:9">
      <c r="A698" s="1721" t="str">
        <f>"28-12-2023 20:00"</f>
        <v>28-12-2023 20:00</v>
      </c>
      <c r="B698" s="1721" t="str">
        <f>"28-12-2023 21:00"</f>
        <v>28-12-2023 21:00</v>
      </c>
      <c r="C698" s="1721">
        <v>0.37</v>
      </c>
      <c r="F698" s="1721"/>
      <c r="G698" s="1721"/>
      <c r="H698" s="1721"/>
    </row>
    <row r="699" spans="1:9">
      <c r="A699" s="1721" t="str">
        <f>"28-12-2023 21:00"</f>
        <v>28-12-2023 21:00</v>
      </c>
      <c r="B699" s="1721" t="str">
        <f>"28-12-2023 22:00"</f>
        <v>28-12-2023 22:00</v>
      </c>
      <c r="C699" s="1721">
        <v>0.43</v>
      </c>
      <c r="F699" s="1721"/>
      <c r="G699" s="1721"/>
      <c r="H699" s="1721"/>
    </row>
    <row r="700" spans="1:9">
      <c r="A700" s="1721" t="str">
        <f>"28-12-2023 22:00"</f>
        <v>28-12-2023 22:00</v>
      </c>
      <c r="B700" s="1721" t="str">
        <f>"28-12-2023 23:00"</f>
        <v>28-12-2023 23:00</v>
      </c>
      <c r="C700" s="1721">
        <v>0.32</v>
      </c>
      <c r="F700" s="1721"/>
      <c r="G700" s="1721"/>
      <c r="H700" s="1721"/>
    </row>
    <row r="701" spans="1:9">
      <c r="A701" s="1721" t="str">
        <f>"28-12-2023 23:00"</f>
        <v>28-12-2023 23:00</v>
      </c>
      <c r="B701" s="1721" t="str">
        <f>"29-12-2023 00:00"</f>
        <v>29-12-2023 00:00</v>
      </c>
      <c r="C701" s="1721">
        <v>0.14000000000000001</v>
      </c>
      <c r="D701" s="2322">
        <f>SUM(C678:C701)</f>
        <v>9.2200000000000006</v>
      </c>
      <c r="F701" s="1721"/>
      <c r="G701" s="1721"/>
      <c r="H701" s="1721"/>
    </row>
    <row r="702" spans="1:9">
      <c r="A702" s="2302" t="s">
        <v>1644</v>
      </c>
      <c r="B702" s="2302" t="s">
        <v>1645</v>
      </c>
      <c r="C702" s="2303" t="s">
        <v>1147</v>
      </c>
      <c r="D702" s="2302" t="s">
        <v>567</v>
      </c>
      <c r="F702" s="1721"/>
      <c r="G702" s="1721"/>
      <c r="H702" s="1721"/>
    </row>
    <row r="703" spans="1:9">
      <c r="A703" s="1721" t="str">
        <f>"29-12-2023 00:00"</f>
        <v>29-12-2023 00:00</v>
      </c>
      <c r="B703" s="1721" t="str">
        <f>"29-12-2023 01:00"</f>
        <v>29-12-2023 01:00</v>
      </c>
      <c r="C703" s="1721">
        <v>0.24</v>
      </c>
      <c r="F703" s="1721"/>
      <c r="G703" s="1721"/>
      <c r="H703" s="1721"/>
    </row>
    <row r="704" spans="1:9">
      <c r="A704" s="1721" t="str">
        <f>"29-12-2023 01:00"</f>
        <v>29-12-2023 01:00</v>
      </c>
      <c r="B704" s="1721" t="str">
        <f>"29-12-2023 02:00"</f>
        <v>29-12-2023 02:00</v>
      </c>
      <c r="C704" s="1721">
        <v>0.24</v>
      </c>
      <c r="F704" s="1721"/>
      <c r="G704" s="1721"/>
      <c r="H704" s="1721"/>
    </row>
    <row r="705" spans="1:9">
      <c r="A705" s="1721" t="str">
        <f>"29-12-2023 02:00"</f>
        <v>29-12-2023 02:00</v>
      </c>
      <c r="B705" s="1721" t="str">
        <f>"29-12-2023 03:00"</f>
        <v>29-12-2023 03:00</v>
      </c>
      <c r="C705" s="1721">
        <v>0.17</v>
      </c>
      <c r="F705" s="1721"/>
      <c r="G705" s="1721"/>
      <c r="H705" s="1721"/>
    </row>
    <row r="706" spans="1:9">
      <c r="A706" s="1721" t="str">
        <f>"29-12-2023 03:00"</f>
        <v>29-12-2023 03:00</v>
      </c>
      <c r="B706" s="1721" t="str">
        <f>"29-12-2023 04:00"</f>
        <v>29-12-2023 04:00</v>
      </c>
      <c r="C706" s="1721">
        <v>0.14000000000000001</v>
      </c>
      <c r="F706" s="1721"/>
      <c r="G706" s="1721"/>
      <c r="H706" s="1721"/>
    </row>
    <row r="707" spans="1:9">
      <c r="A707" s="1721" t="str">
        <f>"29-12-2023 04:00"</f>
        <v>29-12-2023 04:00</v>
      </c>
      <c r="B707" s="1721" t="str">
        <f>"29-12-2023 05:00"</f>
        <v>29-12-2023 05:00</v>
      </c>
      <c r="C707" s="1721">
        <v>0.26</v>
      </c>
      <c r="F707" s="1721"/>
      <c r="G707" s="1721"/>
      <c r="H707" s="1721"/>
    </row>
    <row r="708" spans="1:9">
      <c r="A708" s="1721" t="str">
        <f>"29-12-2023 05:00"</f>
        <v>29-12-2023 05:00</v>
      </c>
      <c r="B708" s="1721" t="str">
        <f>"29-12-2023 06:00"</f>
        <v>29-12-2023 06:00</v>
      </c>
      <c r="C708" s="1721">
        <v>0.14000000000000001</v>
      </c>
      <c r="F708" s="1721"/>
      <c r="G708" s="1721"/>
      <c r="H708" s="1721"/>
    </row>
    <row r="709" spans="1:9">
      <c r="A709" s="1721" t="str">
        <f>"29-12-2023 06:00"</f>
        <v>29-12-2023 06:00</v>
      </c>
      <c r="B709" s="1721" t="str">
        <f>"29-12-2023 07:00"</f>
        <v>29-12-2023 07:00</v>
      </c>
      <c r="C709" s="1721">
        <v>0.25</v>
      </c>
      <c r="F709" s="1721"/>
      <c r="G709" s="1721"/>
      <c r="H709" s="1721"/>
    </row>
    <row r="710" spans="1:9">
      <c r="A710" s="1721" t="str">
        <f>"29-12-2023 07:00"</f>
        <v>29-12-2023 07:00</v>
      </c>
      <c r="B710" s="1721" t="str">
        <f>"29-12-2023 08:00"</f>
        <v>29-12-2023 08:00</v>
      </c>
      <c r="C710" s="1721">
        <v>0.43</v>
      </c>
      <c r="F710" s="1721"/>
      <c r="G710" s="1721"/>
      <c r="H710" s="1721"/>
    </row>
    <row r="711" spans="1:9">
      <c r="A711" s="1721" t="str">
        <f>"29-12-2023 08:00"</f>
        <v>29-12-2023 08:00</v>
      </c>
      <c r="B711" s="1721" t="str">
        <f>"29-12-2023 09:00"</f>
        <v>29-12-2023 09:00</v>
      </c>
      <c r="C711" s="1721">
        <v>0.36</v>
      </c>
      <c r="F711" s="1721"/>
      <c r="G711" s="1721"/>
      <c r="H711" s="1721"/>
    </row>
    <row r="712" spans="1:9">
      <c r="A712" s="1721" t="str">
        <f>"29-12-2023 09:00"</f>
        <v>29-12-2023 09:00</v>
      </c>
      <c r="B712" s="1721" t="str">
        <f>"29-12-2023 10:00"</f>
        <v>29-12-2023 10:00</v>
      </c>
      <c r="C712" s="1721">
        <v>0.27</v>
      </c>
      <c r="F712" s="1721"/>
      <c r="G712" s="1721"/>
      <c r="H712" s="1721"/>
    </row>
    <row r="713" spans="1:9">
      <c r="A713" s="1721" t="str">
        <f>"29-12-2023 10:00"</f>
        <v>29-12-2023 10:00</v>
      </c>
      <c r="B713" s="1721" t="str">
        <f>"29-12-2023 11:00"</f>
        <v>29-12-2023 11:00</v>
      </c>
      <c r="C713" s="1721">
        <v>0.39</v>
      </c>
      <c r="F713" s="1721"/>
      <c r="G713" s="1721"/>
      <c r="H713" s="1721"/>
    </row>
    <row r="714" spans="1:9">
      <c r="A714" s="1721" t="str">
        <f>"29-12-2023 11:00"</f>
        <v>29-12-2023 11:00</v>
      </c>
      <c r="B714" s="1721" t="str">
        <f>"29-12-2023 12:00"</f>
        <v>29-12-2023 12:00</v>
      </c>
      <c r="C714" s="1721">
        <v>0.41</v>
      </c>
      <c r="F714" s="1721"/>
      <c r="G714" s="1721"/>
      <c r="H714" s="1721"/>
    </row>
    <row r="715" spans="1:9">
      <c r="A715" s="1721" t="str">
        <f>"29-12-2023 12:00"</f>
        <v>29-12-2023 12:00</v>
      </c>
      <c r="B715" s="1721" t="str">
        <f>"29-12-2023 13:00"</f>
        <v>29-12-2023 13:00</v>
      </c>
      <c r="C715" s="1721">
        <v>0.65</v>
      </c>
      <c r="F715" s="1721"/>
      <c r="G715" s="1721"/>
      <c r="H715" s="1721"/>
    </row>
    <row r="716" spans="1:9">
      <c r="A716" s="1721" t="str">
        <f>"29-12-2023 13:00"</f>
        <v>29-12-2023 13:00</v>
      </c>
      <c r="B716" s="1721" t="str">
        <f>"29-12-2023 14:00"</f>
        <v>29-12-2023 14:00</v>
      </c>
      <c r="C716" s="1721">
        <v>0.46</v>
      </c>
      <c r="F716" s="1721"/>
      <c r="G716" s="1721"/>
      <c r="H716" s="1721"/>
      <c r="I716" s="2322"/>
    </row>
    <row r="717" spans="1:9">
      <c r="A717" s="1721" t="str">
        <f>"29-12-2023 14:00"</f>
        <v>29-12-2023 14:00</v>
      </c>
      <c r="B717" s="1721" t="str">
        <f>"29-12-2023 15:00"</f>
        <v>29-12-2023 15:00</v>
      </c>
      <c r="C717" s="1721">
        <v>0.45</v>
      </c>
      <c r="F717" s="2302"/>
      <c r="G717" s="2302"/>
      <c r="H717" s="2303"/>
      <c r="I717" s="2302"/>
    </row>
    <row r="718" spans="1:9">
      <c r="A718" s="1721" t="str">
        <f>"29-12-2023 15:00"</f>
        <v>29-12-2023 15:00</v>
      </c>
      <c r="B718" s="1721" t="str">
        <f>"29-12-2023 16:00"</f>
        <v>29-12-2023 16:00</v>
      </c>
      <c r="C718" s="1721">
        <v>0.47</v>
      </c>
      <c r="F718" s="1721"/>
      <c r="G718" s="1721"/>
      <c r="H718" s="1721"/>
    </row>
    <row r="719" spans="1:9">
      <c r="A719" s="1721" t="str">
        <f>"29-12-2023 16:00"</f>
        <v>29-12-2023 16:00</v>
      </c>
      <c r="B719" s="1721" t="str">
        <f>"29-12-2023 17:00"</f>
        <v>29-12-2023 17:00</v>
      </c>
      <c r="C719" s="1721">
        <v>0.42</v>
      </c>
      <c r="F719" s="1721"/>
      <c r="G719" s="1721"/>
      <c r="H719" s="1721"/>
    </row>
    <row r="720" spans="1:9">
      <c r="A720" s="1721" t="str">
        <f>"29-12-2023 17:00"</f>
        <v>29-12-2023 17:00</v>
      </c>
      <c r="B720" s="1721" t="str">
        <f>"29-12-2023 18:00"</f>
        <v>29-12-2023 18:00</v>
      </c>
      <c r="C720" s="1721">
        <v>0.59</v>
      </c>
      <c r="F720" s="1721"/>
      <c r="G720" s="1721"/>
      <c r="H720" s="1721"/>
    </row>
    <row r="721" spans="1:8">
      <c r="A721" s="1721" t="str">
        <f>"29-12-2023 18:00"</f>
        <v>29-12-2023 18:00</v>
      </c>
      <c r="B721" s="1721" t="str">
        <f>"29-12-2023 19:00"</f>
        <v>29-12-2023 19:00</v>
      </c>
      <c r="C721" s="1721">
        <v>0.61</v>
      </c>
      <c r="F721" s="1721"/>
      <c r="G721" s="1721"/>
      <c r="H721" s="1721"/>
    </row>
    <row r="722" spans="1:8">
      <c r="A722" s="1721" t="str">
        <f>"29-12-2023 19:00"</f>
        <v>29-12-2023 19:00</v>
      </c>
      <c r="B722" s="1721" t="str">
        <f>"29-12-2023 20:00"</f>
        <v>29-12-2023 20:00</v>
      </c>
      <c r="C722" s="1721">
        <v>0.45</v>
      </c>
      <c r="F722" s="1721"/>
      <c r="G722" s="1721"/>
      <c r="H722" s="1721"/>
    </row>
    <row r="723" spans="1:8">
      <c r="A723" s="1721" t="str">
        <f>"29-12-2023 20:00"</f>
        <v>29-12-2023 20:00</v>
      </c>
      <c r="B723" s="1721" t="str">
        <f>"29-12-2023 21:00"</f>
        <v>29-12-2023 21:00</v>
      </c>
      <c r="C723" s="1721">
        <v>0.44</v>
      </c>
      <c r="F723" s="1721"/>
      <c r="G723" s="1721"/>
      <c r="H723" s="1721"/>
    </row>
    <row r="724" spans="1:8">
      <c r="A724" s="1721" t="str">
        <f>"29-12-2023 21:00"</f>
        <v>29-12-2023 21:00</v>
      </c>
      <c r="B724" s="1721" t="str">
        <f>"29-12-2023 22:00"</f>
        <v>29-12-2023 22:00</v>
      </c>
      <c r="C724" s="1721">
        <v>0.47</v>
      </c>
      <c r="F724" s="1721"/>
      <c r="G724" s="1721"/>
      <c r="H724" s="1721"/>
    </row>
    <row r="725" spans="1:8">
      <c r="A725" s="1721" t="str">
        <f>"29-12-2023 22:00"</f>
        <v>29-12-2023 22:00</v>
      </c>
      <c r="B725" s="1721" t="str">
        <f>"29-12-2023 23:00"</f>
        <v>29-12-2023 23:00</v>
      </c>
      <c r="C725" s="1721">
        <v>0.44</v>
      </c>
      <c r="F725" s="1721"/>
      <c r="G725" s="1721"/>
      <c r="H725" s="1721"/>
    </row>
    <row r="726" spans="1:8">
      <c r="A726" s="1721" t="str">
        <f>"29-12-2023 23:00"</f>
        <v>29-12-2023 23:00</v>
      </c>
      <c r="B726" s="1721" t="str">
        <f>"30-12-2023 00:00"</f>
        <v>30-12-2023 00:00</v>
      </c>
      <c r="C726" s="1721">
        <v>0.14000000000000001</v>
      </c>
      <c r="D726" s="2322">
        <f>SUM(C703:C726)</f>
        <v>8.89</v>
      </c>
      <c r="F726" s="1721"/>
      <c r="G726" s="1721"/>
      <c r="H726" s="1721"/>
    </row>
    <row r="727" spans="1:8">
      <c r="A727" s="2302" t="s">
        <v>1644</v>
      </c>
      <c r="B727" s="2302" t="s">
        <v>1645</v>
      </c>
      <c r="C727" s="2303" t="s">
        <v>1147</v>
      </c>
      <c r="D727" s="2302" t="s">
        <v>567</v>
      </c>
      <c r="F727" s="1721"/>
      <c r="G727" s="1721"/>
      <c r="H727" s="1721"/>
    </row>
    <row r="728" spans="1:8">
      <c r="A728" s="1721" t="str">
        <f>"30-12-2023 00:00"</f>
        <v>30-12-2023 00:00</v>
      </c>
      <c r="B728" s="1721" t="str">
        <f>"30-12-2023 01:00"</f>
        <v>30-12-2023 01:00</v>
      </c>
      <c r="C728" s="1721">
        <v>0.22</v>
      </c>
      <c r="F728" s="1721"/>
      <c r="G728" s="1721"/>
      <c r="H728" s="1721"/>
    </row>
    <row r="729" spans="1:8">
      <c r="A729" s="1721" t="str">
        <f>"30-12-2023 01:00"</f>
        <v>30-12-2023 01:00</v>
      </c>
      <c r="B729" s="1721" t="str">
        <f>"30-12-2023 02:00"</f>
        <v>30-12-2023 02:00</v>
      </c>
      <c r="C729" s="1721">
        <v>0.17</v>
      </c>
      <c r="F729" s="1721"/>
      <c r="G729" s="1721"/>
      <c r="H729" s="1721"/>
    </row>
    <row r="730" spans="1:8">
      <c r="A730" s="1721" t="str">
        <f>"30-12-2023 02:00"</f>
        <v>30-12-2023 02:00</v>
      </c>
      <c r="B730" s="1721" t="str">
        <f>"30-12-2023 03:00"</f>
        <v>30-12-2023 03:00</v>
      </c>
      <c r="C730" s="1721">
        <v>0.23</v>
      </c>
      <c r="F730" s="1721"/>
      <c r="G730" s="1721"/>
      <c r="H730" s="1721"/>
    </row>
    <row r="731" spans="1:8">
      <c r="A731" s="1721" t="str">
        <f>"30-12-2023 03:00"</f>
        <v>30-12-2023 03:00</v>
      </c>
      <c r="B731" s="1721" t="str">
        <f>"30-12-2023 04:00"</f>
        <v>30-12-2023 04:00</v>
      </c>
      <c r="C731" s="1721">
        <v>0.17</v>
      </c>
      <c r="F731" s="1721"/>
      <c r="G731" s="1721"/>
      <c r="H731" s="1721"/>
    </row>
    <row r="732" spans="1:8">
      <c r="A732" s="1721" t="str">
        <f>"30-12-2023 04:00"</f>
        <v>30-12-2023 04:00</v>
      </c>
      <c r="B732" s="1721" t="str">
        <f>"30-12-2023 05:00"</f>
        <v>30-12-2023 05:00</v>
      </c>
      <c r="C732" s="1721">
        <v>0.17</v>
      </c>
      <c r="F732" s="1721"/>
      <c r="G732" s="1721"/>
      <c r="H732" s="1721"/>
    </row>
    <row r="733" spans="1:8">
      <c r="A733" s="1721" t="str">
        <f>"30-12-2023 05:00"</f>
        <v>30-12-2023 05:00</v>
      </c>
      <c r="B733" s="1721" t="str">
        <f>"30-12-2023 06:00"</f>
        <v>30-12-2023 06:00</v>
      </c>
      <c r="C733" s="1721">
        <v>0.18</v>
      </c>
      <c r="F733" s="1721"/>
      <c r="G733" s="1721"/>
      <c r="H733" s="1721"/>
    </row>
    <row r="734" spans="1:8">
      <c r="A734" s="1721" t="str">
        <f>"30-12-2023 06:00"</f>
        <v>30-12-2023 06:00</v>
      </c>
      <c r="B734" s="1721" t="str">
        <f>"30-12-2023 07:00"</f>
        <v>30-12-2023 07:00</v>
      </c>
      <c r="C734" s="1721">
        <v>0.28999999999999998</v>
      </c>
      <c r="F734" s="1721"/>
      <c r="G734" s="1721"/>
      <c r="H734" s="1721"/>
    </row>
    <row r="735" spans="1:8">
      <c r="A735" s="1721" t="str">
        <f>"30-12-2023 07:00"</f>
        <v>30-12-2023 07:00</v>
      </c>
      <c r="B735" s="1721" t="str">
        <f>"30-12-2023 08:00"</f>
        <v>30-12-2023 08:00</v>
      </c>
      <c r="C735" s="1721">
        <v>0.4</v>
      </c>
      <c r="F735" s="1721"/>
      <c r="G735" s="1721"/>
      <c r="H735" s="1721"/>
    </row>
    <row r="736" spans="1:8">
      <c r="A736" s="1721" t="str">
        <f>"30-12-2023 08:00"</f>
        <v>30-12-2023 08:00</v>
      </c>
      <c r="B736" s="1721" t="str">
        <f>"30-12-2023 09:00"</f>
        <v>30-12-2023 09:00</v>
      </c>
      <c r="C736" s="1721">
        <v>0.37</v>
      </c>
      <c r="F736" s="1721"/>
      <c r="G736" s="1721"/>
      <c r="H736" s="1721"/>
    </row>
    <row r="737" spans="1:9">
      <c r="A737" s="1721" t="str">
        <f>"30-12-2023 09:00"</f>
        <v>30-12-2023 09:00</v>
      </c>
      <c r="B737" s="1721" t="str">
        <f>"30-12-2023 10:00"</f>
        <v>30-12-2023 10:00</v>
      </c>
      <c r="C737" s="1721">
        <v>0.26</v>
      </c>
      <c r="F737" s="1721"/>
      <c r="G737" s="1721"/>
      <c r="H737" s="1721"/>
    </row>
    <row r="738" spans="1:9">
      <c r="A738" s="1721" t="str">
        <f>"30-12-2023 10:00"</f>
        <v>30-12-2023 10:00</v>
      </c>
      <c r="B738" s="1721" t="str">
        <f>"30-12-2023 11:00"</f>
        <v>30-12-2023 11:00</v>
      </c>
      <c r="C738" s="1721">
        <v>0.31</v>
      </c>
      <c r="F738" s="1721"/>
      <c r="G738" s="1721"/>
      <c r="H738" s="1721"/>
    </row>
    <row r="739" spans="1:9">
      <c r="A739" s="1721" t="str">
        <f>"30-12-2023 11:00"</f>
        <v>30-12-2023 11:00</v>
      </c>
      <c r="B739" s="1721" t="str">
        <f>"30-12-2023 12:00"</f>
        <v>30-12-2023 12:00</v>
      </c>
      <c r="C739" s="1721">
        <v>0.56000000000000005</v>
      </c>
      <c r="F739" s="1721"/>
      <c r="G739" s="1721"/>
      <c r="H739" s="1721"/>
    </row>
    <row r="740" spans="1:9">
      <c r="A740" s="1721" t="str">
        <f>"30-12-2023 12:00"</f>
        <v>30-12-2023 12:00</v>
      </c>
      <c r="B740" s="1721" t="str">
        <f>"30-12-2023 13:00"</f>
        <v>30-12-2023 13:00</v>
      </c>
      <c r="C740" s="1721">
        <v>0.37</v>
      </c>
      <c r="F740" s="1721"/>
      <c r="G740" s="1721"/>
      <c r="H740" s="1721"/>
    </row>
    <row r="741" spans="1:9">
      <c r="A741" s="1721" t="str">
        <f>"30-12-2023 13:00"</f>
        <v>30-12-2023 13:00</v>
      </c>
      <c r="B741" s="1721" t="str">
        <f>"30-12-2023 14:00"</f>
        <v>30-12-2023 14:00</v>
      </c>
      <c r="C741" s="1721">
        <v>0.89</v>
      </c>
      <c r="F741" s="1721"/>
      <c r="G741" s="1721"/>
      <c r="H741" s="1721"/>
      <c r="I741" s="2322"/>
    </row>
    <row r="742" spans="1:9">
      <c r="A742" s="1721" t="str">
        <f>"30-12-2023 14:00"</f>
        <v>30-12-2023 14:00</v>
      </c>
      <c r="B742" s="1721" t="str">
        <f>"30-12-2023 15:00"</f>
        <v>30-12-2023 15:00</v>
      </c>
      <c r="C742" s="1721">
        <v>0.48</v>
      </c>
      <c r="F742" s="2302"/>
      <c r="G742" s="2302"/>
      <c r="H742" s="2303"/>
      <c r="I742" s="2302"/>
    </row>
    <row r="743" spans="1:9">
      <c r="A743" s="1721" t="str">
        <f>"30-12-2023 15:00"</f>
        <v>30-12-2023 15:00</v>
      </c>
      <c r="B743" s="1721" t="str">
        <f>"30-12-2023 16:00"</f>
        <v>30-12-2023 16:00</v>
      </c>
      <c r="C743" s="1721">
        <v>0.28999999999999998</v>
      </c>
      <c r="F743" s="1721"/>
      <c r="G743" s="1721"/>
      <c r="H743" s="1721"/>
    </row>
    <row r="744" spans="1:9">
      <c r="A744" s="1721" t="str">
        <f>"30-12-2023 16:00"</f>
        <v>30-12-2023 16:00</v>
      </c>
      <c r="B744" s="1721" t="str">
        <f>"30-12-2023 17:00"</f>
        <v>30-12-2023 17:00</v>
      </c>
      <c r="C744" s="1721">
        <v>0.44</v>
      </c>
      <c r="F744" s="1721"/>
      <c r="G744" s="1721"/>
      <c r="H744" s="1721"/>
    </row>
    <row r="745" spans="1:9">
      <c r="A745" s="1721" t="str">
        <f>"30-12-2023 17:00"</f>
        <v>30-12-2023 17:00</v>
      </c>
      <c r="B745" s="1721" t="str">
        <f>"30-12-2023 18:00"</f>
        <v>30-12-2023 18:00</v>
      </c>
      <c r="C745" s="1721">
        <v>0.37</v>
      </c>
      <c r="F745" s="1721"/>
      <c r="G745" s="1721"/>
      <c r="H745" s="1721"/>
    </row>
    <row r="746" spans="1:9">
      <c r="A746" s="1721" t="str">
        <f>"30-12-2023 18:00"</f>
        <v>30-12-2023 18:00</v>
      </c>
      <c r="B746" s="1721" t="str">
        <f>"30-12-2023 19:00"</f>
        <v>30-12-2023 19:00</v>
      </c>
      <c r="C746" s="1721">
        <v>0.51</v>
      </c>
      <c r="F746" s="1721"/>
      <c r="G746" s="1721"/>
      <c r="H746" s="1721"/>
    </row>
    <row r="747" spans="1:9">
      <c r="A747" s="1721" t="str">
        <f>"30-12-2023 19:00"</f>
        <v>30-12-2023 19:00</v>
      </c>
      <c r="B747" s="1721" t="str">
        <f>"30-12-2023 20:00"</f>
        <v>30-12-2023 20:00</v>
      </c>
      <c r="C747" s="1721">
        <v>0.4</v>
      </c>
      <c r="F747" s="1721"/>
      <c r="G747" s="1721"/>
      <c r="H747" s="1721"/>
    </row>
    <row r="748" spans="1:9">
      <c r="A748" s="1721" t="str">
        <f>"30-12-2023 20:00"</f>
        <v>30-12-2023 20:00</v>
      </c>
      <c r="B748" s="1721" t="str">
        <f>"30-12-2023 21:00"</f>
        <v>30-12-2023 21:00</v>
      </c>
      <c r="C748" s="1721">
        <v>0.74</v>
      </c>
      <c r="F748" s="1721"/>
      <c r="G748" s="1721"/>
      <c r="H748" s="1721"/>
    </row>
    <row r="749" spans="1:9">
      <c r="A749" s="1721" t="str">
        <f>"30-12-2023 21:00"</f>
        <v>30-12-2023 21:00</v>
      </c>
      <c r="B749" s="1721" t="str">
        <f>"30-12-2023 22:00"</f>
        <v>30-12-2023 22:00</v>
      </c>
      <c r="C749" s="1721">
        <v>0.33</v>
      </c>
      <c r="F749" s="1721"/>
      <c r="G749" s="1721"/>
      <c r="H749" s="1721"/>
    </row>
    <row r="750" spans="1:9">
      <c r="A750" s="1721" t="str">
        <f>"30-12-2023 22:00"</f>
        <v>30-12-2023 22:00</v>
      </c>
      <c r="B750" s="1721" t="str">
        <f>"30-12-2023 23:00"</f>
        <v>30-12-2023 23:00</v>
      </c>
      <c r="C750" s="1721">
        <v>0.16</v>
      </c>
      <c r="F750" s="1721"/>
      <c r="G750" s="1721"/>
      <c r="H750" s="1721"/>
    </row>
    <row r="751" spans="1:9">
      <c r="A751" s="1721" t="str">
        <f>"30-12-2023 23:00"</f>
        <v>30-12-2023 23:00</v>
      </c>
      <c r="B751" s="1721" t="str">
        <f>"31-12-2023 00:00"</f>
        <v>31-12-2023 00:00</v>
      </c>
      <c r="C751" s="1721">
        <v>0.12</v>
      </c>
      <c r="D751" s="2322">
        <f>SUM(C728:C751)</f>
        <v>8.43</v>
      </c>
      <c r="F751" s="1721"/>
      <c r="G751" s="1721"/>
      <c r="H751" s="1721"/>
    </row>
    <row r="752" spans="1:9">
      <c r="A752" s="2302" t="s">
        <v>1644</v>
      </c>
      <c r="B752" s="2302" t="s">
        <v>1645</v>
      </c>
      <c r="C752" s="2303" t="s">
        <v>1147</v>
      </c>
      <c r="D752" s="2302" t="s">
        <v>567</v>
      </c>
      <c r="F752" s="1721"/>
      <c r="G752" s="1721"/>
      <c r="H752" s="1721"/>
    </row>
    <row r="753" spans="1:9">
      <c r="A753" s="1721" t="str">
        <f>"31-12-2023 00:00"</f>
        <v>31-12-2023 00:00</v>
      </c>
      <c r="B753" s="1721" t="str">
        <f>"31-12-2023 01:00"</f>
        <v>31-12-2023 01:00</v>
      </c>
      <c r="C753" s="1721">
        <v>0.23</v>
      </c>
      <c r="F753" s="1721"/>
      <c r="G753" s="1721"/>
      <c r="H753" s="1721"/>
    </row>
    <row r="754" spans="1:9">
      <c r="A754" s="1721" t="str">
        <f>"31-12-2023 01:00"</f>
        <v>31-12-2023 01:00</v>
      </c>
      <c r="B754" s="1721" t="str">
        <f>"31-12-2023 02:00"</f>
        <v>31-12-2023 02:00</v>
      </c>
      <c r="C754" s="1721">
        <v>0.16</v>
      </c>
      <c r="F754" s="1721"/>
      <c r="G754" s="1721"/>
      <c r="H754" s="1721"/>
    </row>
    <row r="755" spans="1:9">
      <c r="A755" s="1721" t="str">
        <f>"31-12-2023 02:00"</f>
        <v>31-12-2023 02:00</v>
      </c>
      <c r="B755" s="1721" t="str">
        <f>"31-12-2023 03:00"</f>
        <v>31-12-2023 03:00</v>
      </c>
      <c r="C755" s="1721">
        <v>0.2</v>
      </c>
      <c r="F755" s="1721"/>
      <c r="G755" s="1721"/>
      <c r="H755" s="1721"/>
    </row>
    <row r="756" spans="1:9">
      <c r="A756" s="1721" t="str">
        <f>"31-12-2023 03:00"</f>
        <v>31-12-2023 03:00</v>
      </c>
      <c r="B756" s="1721" t="str">
        <f>"31-12-2023 04:00"</f>
        <v>31-12-2023 04:00</v>
      </c>
      <c r="C756" s="1721">
        <v>0.17</v>
      </c>
      <c r="F756" s="1721"/>
      <c r="G756" s="1721"/>
      <c r="H756" s="1721"/>
    </row>
    <row r="757" spans="1:9">
      <c r="A757" s="1721" t="str">
        <f>"31-12-2023 04:00"</f>
        <v>31-12-2023 04:00</v>
      </c>
      <c r="B757" s="1721" t="str">
        <f>"31-12-2023 05:00"</f>
        <v>31-12-2023 05:00</v>
      </c>
      <c r="C757" s="1721">
        <v>0.25</v>
      </c>
      <c r="F757" s="1721"/>
      <c r="G757" s="1721"/>
      <c r="H757" s="1721"/>
    </row>
    <row r="758" spans="1:9">
      <c r="A758" s="1721" t="str">
        <f>"31-12-2023 05:00"</f>
        <v>31-12-2023 05:00</v>
      </c>
      <c r="B758" s="1721" t="str">
        <f>"31-12-2023 06:00"</f>
        <v>31-12-2023 06:00</v>
      </c>
      <c r="C758" s="1721">
        <v>0.12</v>
      </c>
      <c r="F758" s="1721"/>
      <c r="G758" s="1721"/>
      <c r="H758" s="1721"/>
    </row>
    <row r="759" spans="1:9">
      <c r="A759" s="1721" t="str">
        <f>"31-12-2023 06:00"</f>
        <v>31-12-2023 06:00</v>
      </c>
      <c r="B759" s="1721" t="str">
        <f>"31-12-2023 07:00"</f>
        <v>31-12-2023 07:00</v>
      </c>
      <c r="C759" s="1721">
        <v>0.22</v>
      </c>
      <c r="F759" s="1721"/>
      <c r="G759" s="1721"/>
      <c r="H759" s="1721"/>
    </row>
    <row r="760" spans="1:9">
      <c r="A760" s="1721" t="str">
        <f>"31-12-2023 07:00"</f>
        <v>31-12-2023 07:00</v>
      </c>
      <c r="B760" s="1721" t="str">
        <f>"31-12-2023 08:00"</f>
        <v>31-12-2023 08:00</v>
      </c>
      <c r="C760" s="1721">
        <v>0.2</v>
      </c>
      <c r="F760" s="1721"/>
      <c r="G760" s="1721"/>
      <c r="H760" s="1721"/>
    </row>
    <row r="761" spans="1:9">
      <c r="A761" s="1721" t="str">
        <f>"31-12-2023 08:00"</f>
        <v>31-12-2023 08:00</v>
      </c>
      <c r="B761" s="1721" t="str">
        <f>"31-12-2023 09:00"</f>
        <v>31-12-2023 09:00</v>
      </c>
      <c r="C761" s="1721">
        <v>0.41</v>
      </c>
      <c r="F761" s="1721"/>
      <c r="G761" s="1721"/>
      <c r="H761" s="1721"/>
    </row>
    <row r="762" spans="1:9">
      <c r="A762" s="1721" t="str">
        <f>"31-12-2023 09:00"</f>
        <v>31-12-2023 09:00</v>
      </c>
      <c r="B762" s="1721" t="str">
        <f>"31-12-2023 10:00"</f>
        <v>31-12-2023 10:00</v>
      </c>
      <c r="C762" s="1721">
        <v>0.45</v>
      </c>
      <c r="F762" s="1721"/>
      <c r="G762" s="1721"/>
      <c r="H762" s="1721"/>
    </row>
    <row r="763" spans="1:9">
      <c r="A763" s="1721" t="str">
        <f>"31-12-2023 10:00"</f>
        <v>31-12-2023 10:00</v>
      </c>
      <c r="B763" s="1721" t="str">
        <f>"31-12-2023 11:00"</f>
        <v>31-12-2023 11:00</v>
      </c>
      <c r="C763" s="1721">
        <v>0.33</v>
      </c>
      <c r="F763" s="1721"/>
      <c r="G763" s="1721"/>
      <c r="H763" s="1721"/>
    </row>
    <row r="764" spans="1:9">
      <c r="A764" s="1721" t="str">
        <f>"31-12-2023 11:00"</f>
        <v>31-12-2023 11:00</v>
      </c>
      <c r="B764" s="1721" t="str">
        <f>"31-12-2023 12:00"</f>
        <v>31-12-2023 12:00</v>
      </c>
      <c r="C764" s="1721">
        <v>0.22</v>
      </c>
      <c r="F764" s="1721"/>
      <c r="G764" s="1721"/>
      <c r="H764" s="1721"/>
    </row>
    <row r="765" spans="1:9">
      <c r="A765" s="1721" t="str">
        <f>"31-12-2023 12:00"</f>
        <v>31-12-2023 12:00</v>
      </c>
      <c r="B765" s="1721" t="str">
        <f>"31-12-2023 13:00"</f>
        <v>31-12-2023 13:00</v>
      </c>
      <c r="C765" s="1721">
        <v>0.54</v>
      </c>
      <c r="F765" s="1721"/>
      <c r="G765" s="1721"/>
      <c r="H765" s="1721"/>
    </row>
    <row r="766" spans="1:9">
      <c r="A766" s="1721" t="str">
        <f>"31-12-2023 13:00"</f>
        <v>31-12-2023 13:00</v>
      </c>
      <c r="B766" s="1721" t="str">
        <f>"31-12-2023 14:00"</f>
        <v>31-12-2023 14:00</v>
      </c>
      <c r="C766" s="1721">
        <v>0.25</v>
      </c>
      <c r="F766" s="1721"/>
      <c r="G766" s="1721"/>
      <c r="H766" s="1721"/>
      <c r="I766" s="2322"/>
    </row>
    <row r="767" spans="1:9">
      <c r="A767" s="1721" t="str">
        <f>"31-12-2023 14:00"</f>
        <v>31-12-2023 14:00</v>
      </c>
      <c r="B767" s="1721" t="str">
        <f>"31-12-2023 15:00"</f>
        <v>31-12-2023 15:00</v>
      </c>
      <c r="C767" s="1721">
        <v>0.34</v>
      </c>
      <c r="F767" s="2302"/>
      <c r="G767" s="2302"/>
      <c r="H767" s="2303"/>
      <c r="I767" s="2302"/>
    </row>
    <row r="768" spans="1:9">
      <c r="A768" s="1721" t="str">
        <f>"31-12-2023 15:00"</f>
        <v>31-12-2023 15:00</v>
      </c>
      <c r="B768" s="1721" t="str">
        <f>"31-12-2023 16:00"</f>
        <v>31-12-2023 16:00</v>
      </c>
      <c r="C768" s="1721">
        <v>0.73</v>
      </c>
      <c r="F768" s="1721"/>
      <c r="G768" s="1721"/>
      <c r="H768" s="1721"/>
    </row>
    <row r="769" spans="1:8">
      <c r="A769" s="1721" t="str">
        <f>"31-12-2023 16:00"</f>
        <v>31-12-2023 16:00</v>
      </c>
      <c r="B769" s="1721" t="str">
        <f>"31-12-2023 17:00"</f>
        <v>31-12-2023 17:00</v>
      </c>
      <c r="C769" s="1721">
        <v>1.88</v>
      </c>
      <c r="F769" s="1721"/>
      <c r="G769" s="1721"/>
      <c r="H769" s="1721"/>
    </row>
    <row r="770" spans="1:8">
      <c r="A770" s="1721" t="str">
        <f>"31-12-2023 17:00"</f>
        <v>31-12-2023 17:00</v>
      </c>
      <c r="B770" s="1721" t="str">
        <f>"31-12-2023 18:00"</f>
        <v>31-12-2023 18:00</v>
      </c>
      <c r="C770" s="1721">
        <v>1.55</v>
      </c>
      <c r="F770" s="1721"/>
      <c r="G770" s="1721"/>
      <c r="H770" s="1721"/>
    </row>
    <row r="771" spans="1:8">
      <c r="A771" s="1721" t="str">
        <f>"31-12-2023 18:00"</f>
        <v>31-12-2023 18:00</v>
      </c>
      <c r="B771" s="1721" t="str">
        <f>"31-12-2023 19:00"</f>
        <v>31-12-2023 19:00</v>
      </c>
      <c r="C771" s="1721">
        <v>0.52</v>
      </c>
      <c r="F771" s="1721"/>
      <c r="G771" s="1721"/>
      <c r="H771" s="1721"/>
    </row>
    <row r="772" spans="1:8">
      <c r="A772" s="1721" t="str">
        <f>"31-12-2023 19:00"</f>
        <v>31-12-2023 19:00</v>
      </c>
      <c r="B772" s="1721" t="str">
        <f>"31-12-2023 20:00"</f>
        <v>31-12-2023 20:00</v>
      </c>
      <c r="C772" s="1721">
        <v>0.46</v>
      </c>
      <c r="F772" s="1721"/>
      <c r="G772" s="1721"/>
      <c r="H772" s="1721"/>
    </row>
    <row r="773" spans="1:8">
      <c r="A773" s="1721" t="str">
        <f>"31-12-2023 20:00"</f>
        <v>31-12-2023 20:00</v>
      </c>
      <c r="B773" s="1721" t="str">
        <f>"31-12-2023 21:00"</f>
        <v>31-12-2023 21:00</v>
      </c>
      <c r="C773" s="1721">
        <v>0.43</v>
      </c>
      <c r="F773" s="1721"/>
      <c r="G773" s="1721"/>
      <c r="H773" s="1721"/>
    </row>
    <row r="774" spans="1:8">
      <c r="A774" s="1721" t="str">
        <f>"31-12-2023 21:00"</f>
        <v>31-12-2023 21:00</v>
      </c>
      <c r="B774" s="1721" t="str">
        <f>"31-12-2023 22:00"</f>
        <v>31-12-2023 22:00</v>
      </c>
      <c r="C774" s="1721">
        <v>0.52</v>
      </c>
      <c r="F774" s="1721"/>
      <c r="G774" s="1721"/>
      <c r="H774" s="1721"/>
    </row>
    <row r="775" spans="1:8">
      <c r="A775" s="1721" t="str">
        <f>"31-12-2023 22:00"</f>
        <v>31-12-2023 22:00</v>
      </c>
      <c r="B775" s="1721" t="str">
        <f>"31-12-2023 23:00"</f>
        <v>31-12-2023 23:00</v>
      </c>
      <c r="C775" s="1721">
        <v>0.47</v>
      </c>
      <c r="F775" s="1721"/>
      <c r="G775" s="1721"/>
      <c r="H775" s="1721"/>
    </row>
    <row r="776" spans="1:8">
      <c r="A776" s="1721" t="str">
        <f>"31-12-2023 23:00"</f>
        <v>31-12-2023 23:00</v>
      </c>
      <c r="B776" s="1721" t="str">
        <f>"01-01-2024 00:00"</f>
        <v>01-01-2024 00:00</v>
      </c>
      <c r="C776" s="1721">
        <v>0.47</v>
      </c>
      <c r="D776" s="2322">
        <f>SUM(C753:C776)</f>
        <v>11.120000000000001</v>
      </c>
      <c r="F776" s="1721"/>
      <c r="G776" s="1721"/>
      <c r="H776" s="1721"/>
    </row>
    <row r="777" spans="1:8">
      <c r="A777" s="2302" t="s">
        <v>1644</v>
      </c>
      <c r="B777" s="2302" t="s">
        <v>1645</v>
      </c>
      <c r="C777" s="2303" t="s">
        <v>1147</v>
      </c>
      <c r="D777" s="2302" t="s">
        <v>567</v>
      </c>
      <c r="F777" s="1721"/>
      <c r="G777" s="1721"/>
      <c r="H777" s="1721"/>
    </row>
    <row r="778" spans="1:8">
      <c r="F778" s="1721"/>
      <c r="G778" s="1721"/>
      <c r="H778" s="1721"/>
    </row>
    <row r="779" spans="1:8">
      <c r="F779" s="1721"/>
      <c r="G779" s="1721"/>
      <c r="H779" s="1721"/>
    </row>
    <row r="780" spans="1:8">
      <c r="F780" s="1721"/>
      <c r="G780" s="1721"/>
      <c r="H780" s="1721"/>
    </row>
    <row r="781" spans="1:8">
      <c r="F781" s="1721"/>
      <c r="G781" s="1721"/>
      <c r="H781" s="1721"/>
    </row>
    <row r="782" spans="1:8">
      <c r="F782" s="1721"/>
      <c r="G782" s="1721"/>
      <c r="H782" s="1721"/>
    </row>
    <row r="783" spans="1:8">
      <c r="F783" s="1721"/>
      <c r="G783" s="1721"/>
      <c r="H783" s="1721"/>
    </row>
    <row r="784" spans="1:8">
      <c r="F784" s="1721"/>
      <c r="G784" s="1721"/>
      <c r="H784" s="1721"/>
    </row>
    <row r="785" spans="6:9">
      <c r="F785" s="1721"/>
      <c r="G785" s="1721"/>
      <c r="H785" s="1721"/>
    </row>
    <row r="786" spans="6:9">
      <c r="F786" s="1721"/>
      <c r="G786" s="1721"/>
      <c r="H786" s="1721"/>
    </row>
    <row r="787" spans="6:9">
      <c r="F787" s="1721"/>
      <c r="G787" s="1721"/>
      <c r="H787" s="1721"/>
    </row>
    <row r="788" spans="6:9">
      <c r="F788" s="1721"/>
      <c r="G788" s="1721"/>
      <c r="H788" s="1721"/>
    </row>
    <row r="789" spans="6:9">
      <c r="F789" s="1721"/>
      <c r="G789" s="1721"/>
      <c r="H789" s="1721"/>
    </row>
    <row r="790" spans="6:9">
      <c r="F790" s="1721"/>
      <c r="G790" s="1721"/>
      <c r="H790" s="1721"/>
    </row>
    <row r="791" spans="6:9">
      <c r="F791" s="1721"/>
      <c r="G791" s="1721"/>
      <c r="H791" s="1721"/>
      <c r="I791" s="2322"/>
    </row>
    <row r="792" spans="6:9">
      <c r="F792" s="2302"/>
      <c r="G792" s="2302"/>
      <c r="H792" s="2303"/>
      <c r="I792" s="2302"/>
    </row>
  </sheetData>
  <conditionalFormatting sqref="M2:M32">
    <cfRule type="colorScale" priority="164">
      <colorScale>
        <cfvo type="min" val="0"/>
        <cfvo type="max" val="0"/>
        <color theme="9" tint="0.79998168889431442"/>
        <color theme="9"/>
      </colorScale>
    </cfRule>
  </conditionalFormatting>
  <conditionalFormatting sqref="C553:C576">
    <cfRule type="colorScale" priority="162">
      <colorScale>
        <cfvo type="min" val="0"/>
        <cfvo type="max" val="0"/>
        <color theme="6" tint="0.79998168889431442"/>
        <color theme="9"/>
      </colorScale>
    </cfRule>
  </conditionalFormatting>
  <conditionalFormatting sqref="C578:C601">
    <cfRule type="colorScale" priority="161">
      <colorScale>
        <cfvo type="min" val="0"/>
        <cfvo type="max" val="0"/>
        <color theme="6" tint="0.79998168889431442"/>
        <color theme="9"/>
      </colorScale>
    </cfRule>
  </conditionalFormatting>
  <conditionalFormatting sqref="C603:C626 C628:C651">
    <cfRule type="colorScale" priority="160">
      <colorScale>
        <cfvo type="min" val="0"/>
        <cfvo type="max" val="0"/>
        <color theme="6" tint="0.79998168889431442"/>
        <color theme="9"/>
      </colorScale>
    </cfRule>
  </conditionalFormatting>
  <conditionalFormatting sqref="C528:C551">
    <cfRule type="colorScale" priority="159">
      <colorScale>
        <cfvo type="min" val="0"/>
        <cfvo type="max" val="0"/>
        <color theme="6" tint="0.79998168889431442"/>
        <color theme="9"/>
      </colorScale>
    </cfRule>
  </conditionalFormatting>
  <conditionalFormatting sqref="C503:C526">
    <cfRule type="colorScale" priority="158">
      <colorScale>
        <cfvo type="min" val="0"/>
        <cfvo type="max" val="0"/>
        <color theme="6" tint="0.79998168889431442"/>
        <color theme="9"/>
      </colorScale>
    </cfRule>
  </conditionalFormatting>
  <conditionalFormatting sqref="C478:C501">
    <cfRule type="colorScale" priority="147">
      <colorScale>
        <cfvo type="min" val="0"/>
        <cfvo type="max" val="0"/>
        <color theme="6" tint="0.79998168889431442"/>
        <color theme="9"/>
      </colorScale>
    </cfRule>
  </conditionalFormatting>
  <conditionalFormatting sqref="C453:C476">
    <cfRule type="colorScale" priority="142">
      <colorScale>
        <cfvo type="min" val="0"/>
        <cfvo type="max" val="0"/>
        <color theme="6" tint="0.79998168889431442"/>
        <color theme="9"/>
      </colorScale>
    </cfRule>
  </conditionalFormatting>
  <conditionalFormatting sqref="C428:C451">
    <cfRule type="colorScale" priority="137">
      <colorScale>
        <cfvo type="min" val="0"/>
        <cfvo type="max" val="0"/>
        <color theme="6" tint="0.79998168889431442"/>
        <color theme="9"/>
      </colorScale>
    </cfRule>
  </conditionalFormatting>
  <conditionalFormatting sqref="C403:C426">
    <cfRule type="colorScale" priority="132">
      <colorScale>
        <cfvo type="min" val="0"/>
        <cfvo type="max" val="0"/>
        <color theme="6" tint="0.79998168889431442"/>
        <color theme="9"/>
      </colorScale>
    </cfRule>
  </conditionalFormatting>
  <conditionalFormatting sqref="C378:C401">
    <cfRule type="colorScale" priority="127">
      <colorScale>
        <cfvo type="min" val="0"/>
        <cfvo type="max" val="0"/>
        <color theme="6" tint="0.79998168889431442"/>
        <color theme="9"/>
      </colorScale>
    </cfRule>
  </conditionalFormatting>
  <conditionalFormatting sqref="C353:C376">
    <cfRule type="colorScale" priority="122">
      <colorScale>
        <cfvo type="min" val="0"/>
        <cfvo type="max" val="0"/>
        <color theme="6" tint="0.79998168889431442"/>
        <color theme="9"/>
      </colorScale>
    </cfRule>
  </conditionalFormatting>
  <conditionalFormatting sqref="C328:C351">
    <cfRule type="colorScale" priority="117">
      <colorScale>
        <cfvo type="min" val="0"/>
        <cfvo type="max" val="0"/>
        <color theme="6" tint="0.79998168889431442"/>
        <color theme="9"/>
      </colorScale>
    </cfRule>
  </conditionalFormatting>
  <conditionalFormatting sqref="C303:C326">
    <cfRule type="colorScale" priority="112">
      <colorScale>
        <cfvo type="min" val="0"/>
        <cfvo type="max" val="0"/>
        <color theme="6" tint="0.79998168889431442"/>
        <color theme="9"/>
      </colorScale>
    </cfRule>
  </conditionalFormatting>
  <conditionalFormatting sqref="C278:C301">
    <cfRule type="colorScale" priority="107">
      <colorScale>
        <cfvo type="min" val="0"/>
        <cfvo type="max" val="0"/>
        <color theme="6" tint="0.79998168889431442"/>
        <color theme="9"/>
      </colorScale>
    </cfRule>
  </conditionalFormatting>
  <conditionalFormatting sqref="C253:C276">
    <cfRule type="colorScale" priority="102">
      <colorScale>
        <cfvo type="min" val="0"/>
        <cfvo type="max" val="0"/>
        <color theme="6" tint="0.79998168889431442"/>
        <color theme="9"/>
      </colorScale>
    </cfRule>
  </conditionalFormatting>
  <conditionalFormatting sqref="C228:C251">
    <cfRule type="colorScale" priority="97">
      <colorScale>
        <cfvo type="min" val="0"/>
        <cfvo type="max" val="0"/>
        <color theme="6" tint="0.79998168889431442"/>
        <color theme="9"/>
      </colorScale>
    </cfRule>
  </conditionalFormatting>
  <conditionalFormatting sqref="C203:C226">
    <cfRule type="colorScale" priority="92">
      <colorScale>
        <cfvo type="min" val="0"/>
        <cfvo type="max" val="0"/>
        <color theme="6" tint="0.79998168889431442"/>
        <color theme="9"/>
      </colorScale>
    </cfRule>
  </conditionalFormatting>
  <conditionalFormatting sqref="C178:C201">
    <cfRule type="colorScale" priority="87">
      <colorScale>
        <cfvo type="min" val="0"/>
        <cfvo type="max" val="0"/>
        <color theme="6" tint="0.79998168889431442"/>
        <color theme="9"/>
      </colorScale>
    </cfRule>
  </conditionalFormatting>
  <conditionalFormatting sqref="C153:C176">
    <cfRule type="colorScale" priority="82">
      <colorScale>
        <cfvo type="min" val="0"/>
        <cfvo type="max" val="0"/>
        <color theme="6" tint="0.79998168889431442"/>
        <color theme="9"/>
      </colorScale>
    </cfRule>
  </conditionalFormatting>
  <conditionalFormatting sqref="C128:C151">
    <cfRule type="colorScale" priority="77">
      <colorScale>
        <cfvo type="min" val="0"/>
        <cfvo type="max" val="0"/>
        <color theme="6" tint="0.79998168889431442"/>
        <color theme="9"/>
      </colorScale>
    </cfRule>
  </conditionalFormatting>
  <conditionalFormatting sqref="C103:C126">
    <cfRule type="colorScale" priority="72">
      <colorScale>
        <cfvo type="min" val="0"/>
        <cfvo type="max" val="0"/>
        <color theme="6" tint="0.79998168889431442"/>
        <color theme="9"/>
      </colorScale>
    </cfRule>
  </conditionalFormatting>
  <conditionalFormatting sqref="C78:C101">
    <cfRule type="colorScale" priority="67">
      <colorScale>
        <cfvo type="min" val="0"/>
        <cfvo type="max" val="0"/>
        <color theme="6" tint="0.79998168889431442"/>
        <color theme="9"/>
      </colorScale>
    </cfRule>
  </conditionalFormatting>
  <conditionalFormatting sqref="C53:C76">
    <cfRule type="colorScale" priority="62">
      <colorScale>
        <cfvo type="min" val="0"/>
        <cfvo type="max" val="0"/>
        <color theme="6" tint="0.79998168889431442"/>
        <color theme="9"/>
      </colorScale>
    </cfRule>
  </conditionalFormatting>
  <conditionalFormatting sqref="C28:C51">
    <cfRule type="colorScale" priority="57">
      <colorScale>
        <cfvo type="min" val="0"/>
        <cfvo type="max" val="0"/>
        <color theme="6" tint="0.79998168889431442"/>
        <color theme="9"/>
      </colorScale>
    </cfRule>
  </conditionalFormatting>
  <conditionalFormatting sqref="C3:C26">
    <cfRule type="colorScale" priority="52">
      <colorScale>
        <cfvo type="min" val="0"/>
        <cfvo type="max" val="0"/>
        <color theme="6" tint="0.79998168889431442"/>
        <color theme="9"/>
      </colorScale>
    </cfRule>
  </conditionalFormatting>
  <conditionalFormatting sqref="C653:C676">
    <cfRule type="colorScale" priority="47">
      <colorScale>
        <cfvo type="min" val="0"/>
        <cfvo type="max" val="0"/>
        <color theme="6" tint="0.79998168889431442"/>
        <color theme="9"/>
      </colorScale>
    </cfRule>
  </conditionalFormatting>
  <conditionalFormatting sqref="H568:H591">
    <cfRule type="colorScale" priority="27">
      <colorScale>
        <cfvo type="min" val="0"/>
        <cfvo type="max" val="0"/>
        <color theme="6" tint="0.79998168889431442"/>
        <color theme="9"/>
      </colorScale>
    </cfRule>
  </conditionalFormatting>
  <conditionalFormatting sqref="H593:H616">
    <cfRule type="colorScale" priority="26">
      <colorScale>
        <cfvo type="min" val="0"/>
        <cfvo type="max" val="0"/>
        <color theme="6" tint="0.79998168889431442"/>
        <color theme="9"/>
      </colorScale>
    </cfRule>
  </conditionalFormatting>
  <conditionalFormatting sqref="H618:H641 H643:H666">
    <cfRule type="colorScale" priority="25">
      <colorScale>
        <cfvo type="min" val="0"/>
        <cfvo type="max" val="0"/>
        <color theme="6" tint="0.79998168889431442"/>
        <color theme="9"/>
      </colorScale>
    </cfRule>
  </conditionalFormatting>
  <conditionalFormatting sqref="H543:H566">
    <cfRule type="colorScale" priority="24">
      <colorScale>
        <cfvo type="min" val="0"/>
        <cfvo type="max" val="0"/>
        <color theme="6" tint="0.79998168889431442"/>
        <color theme="9"/>
      </colorScale>
    </cfRule>
  </conditionalFormatting>
  <conditionalFormatting sqref="H518:H541">
    <cfRule type="colorScale" priority="23">
      <colorScale>
        <cfvo type="min" val="0"/>
        <cfvo type="max" val="0"/>
        <color theme="6" tint="0.79998168889431442"/>
        <color theme="9"/>
      </colorScale>
    </cfRule>
  </conditionalFormatting>
  <conditionalFormatting sqref="H493:H516">
    <cfRule type="colorScale" priority="22">
      <colorScale>
        <cfvo type="min" val="0"/>
        <cfvo type="max" val="0"/>
        <color theme="6" tint="0.79998168889431442"/>
        <color theme="9"/>
      </colorScale>
    </cfRule>
  </conditionalFormatting>
  <conditionalFormatting sqref="H468:H491">
    <cfRule type="colorScale" priority="21">
      <colorScale>
        <cfvo type="min" val="0"/>
        <cfvo type="max" val="0"/>
        <color theme="6" tint="0.79998168889431442"/>
        <color theme="9"/>
      </colorScale>
    </cfRule>
  </conditionalFormatting>
  <conditionalFormatting sqref="H78:H101">
    <cfRule type="colorScale" priority="6">
      <colorScale>
        <cfvo type="min" val="0"/>
        <cfvo type="max" val="0"/>
        <color theme="6" tint="0.79998168889431442"/>
        <color theme="9"/>
      </colorScale>
    </cfRule>
  </conditionalFormatting>
  <conditionalFormatting sqref="H3:H26">
    <cfRule type="colorScale" priority="3">
      <colorScale>
        <cfvo type="min" val="0"/>
        <cfvo type="max" val="0"/>
        <color theme="6" tint="0.79998168889431442"/>
        <color theme="9"/>
      </colorScale>
    </cfRule>
  </conditionalFormatting>
  <conditionalFormatting sqref="H668:H691">
    <cfRule type="colorScale" priority="2">
      <colorScale>
        <cfvo type="min" val="0"/>
        <cfvo type="max" val="0"/>
        <color theme="6" tint="0.79998168889431442"/>
        <color theme="9"/>
      </colorScale>
    </cfRule>
  </conditionalFormatting>
  <conditionalFormatting sqref="H28:H50">
    <cfRule type="colorScale" priority="197">
      <colorScale>
        <cfvo type="min" val="0"/>
        <cfvo type="max" val="0"/>
        <color theme="6" tint="0.79998168889431442"/>
        <color theme="9"/>
      </colorScale>
    </cfRule>
  </conditionalFormatting>
  <conditionalFormatting sqref="H53:H75">
    <cfRule type="colorScale" priority="231">
      <colorScale>
        <cfvo type="min" val="0"/>
        <cfvo type="max" val="0"/>
        <color theme="6" tint="0.79998168889431442"/>
        <color theme="9"/>
      </colorScale>
    </cfRule>
  </conditionalFormatting>
  <conditionalFormatting sqref="H104:H126 H128">
    <cfRule type="colorScale" priority="233">
      <colorScale>
        <cfvo type="min" val="0"/>
        <cfvo type="max" val="0"/>
        <color theme="6" tint="0.79998168889431442"/>
        <color theme="9"/>
      </colorScale>
    </cfRule>
  </conditionalFormatting>
  <conditionalFormatting sqref="H130:H151 H153:H154">
    <cfRule type="colorScale" priority="235">
      <colorScale>
        <cfvo type="min" val="0"/>
        <cfvo type="max" val="0"/>
        <color theme="6" tint="0.79998168889431442"/>
        <color theme="9"/>
      </colorScale>
    </cfRule>
  </conditionalFormatting>
  <conditionalFormatting sqref="H156:H176 H178:H180">
    <cfRule type="colorScale" priority="237">
      <colorScale>
        <cfvo type="min" val="0"/>
        <cfvo type="max" val="0"/>
        <color theme="6" tint="0.79998168889431442"/>
        <color theme="9"/>
      </colorScale>
    </cfRule>
  </conditionalFormatting>
  <conditionalFormatting sqref="H182:H201 H203:H206">
    <cfRule type="colorScale" priority="239">
      <colorScale>
        <cfvo type="min" val="0"/>
        <cfvo type="max" val="0"/>
        <color theme="6" tint="0.79998168889431442"/>
        <color theme="9"/>
      </colorScale>
    </cfRule>
  </conditionalFormatting>
  <conditionalFormatting sqref="H208:H226 H228:H232">
    <cfRule type="colorScale" priority="241">
      <colorScale>
        <cfvo type="min" val="0"/>
        <cfvo type="max" val="0"/>
        <color theme="6" tint="0.79998168889431442"/>
        <color theme="9"/>
      </colorScale>
    </cfRule>
  </conditionalFormatting>
  <conditionalFormatting sqref="H234:H251 H253:H258">
    <cfRule type="colorScale" priority="243">
      <colorScale>
        <cfvo type="min" val="0"/>
        <cfvo type="max" val="0"/>
        <color theme="6" tint="0.79998168889431442"/>
        <color theme="9"/>
      </colorScale>
    </cfRule>
  </conditionalFormatting>
  <conditionalFormatting sqref="H260:H276 H278:H284">
    <cfRule type="colorScale" priority="245">
      <colorScale>
        <cfvo type="min" val="0"/>
        <cfvo type="max" val="0"/>
        <color theme="6" tint="0.79998168889431442"/>
        <color theme="9"/>
      </colorScale>
    </cfRule>
  </conditionalFormatting>
  <conditionalFormatting sqref="H286:H301 H303:H310">
    <cfRule type="colorScale" priority="247">
      <colorScale>
        <cfvo type="min" val="0"/>
        <cfvo type="max" val="0"/>
        <color theme="6" tint="0.79998168889431442"/>
        <color theme="9"/>
      </colorScale>
    </cfRule>
  </conditionalFormatting>
  <conditionalFormatting sqref="H312:H326 H328:H336">
    <cfRule type="colorScale" priority="249">
      <colorScale>
        <cfvo type="min" val="0"/>
        <cfvo type="max" val="0"/>
        <color theme="6" tint="0.79998168889431442"/>
        <color theme="9"/>
      </colorScale>
    </cfRule>
  </conditionalFormatting>
  <conditionalFormatting sqref="H338:H351 H353:H362">
    <cfRule type="colorScale" priority="251">
      <colorScale>
        <cfvo type="min" val="0"/>
        <cfvo type="max" val="0"/>
        <color theme="6" tint="0.79998168889431442"/>
        <color theme="9"/>
      </colorScale>
    </cfRule>
  </conditionalFormatting>
  <conditionalFormatting sqref="H364:H376 H378:H388">
    <cfRule type="colorScale" priority="253">
      <colorScale>
        <cfvo type="min" val="0"/>
        <cfvo type="max" val="0"/>
        <color theme="6" tint="0.79998168889431442"/>
        <color theme="9"/>
      </colorScale>
    </cfRule>
  </conditionalFormatting>
  <conditionalFormatting sqref="H390:H401 H403:H414">
    <cfRule type="colorScale" priority="255">
      <colorScale>
        <cfvo type="min" val="0"/>
        <cfvo type="max" val="0"/>
        <color theme="6" tint="0.79998168889431442"/>
        <color theme="9"/>
      </colorScale>
    </cfRule>
  </conditionalFormatting>
  <conditionalFormatting sqref="H416:H426 H428:H440">
    <cfRule type="colorScale" priority="257">
      <colorScale>
        <cfvo type="min" val="0"/>
        <cfvo type="max" val="0"/>
        <color theme="6" tint="0.79998168889431442"/>
        <color theme="9"/>
      </colorScale>
    </cfRule>
  </conditionalFormatting>
  <conditionalFormatting sqref="H442:H451 H453:H466">
    <cfRule type="colorScale" priority="259">
      <colorScale>
        <cfvo type="min" val="0"/>
        <cfvo type="max" val="0"/>
        <color theme="6" tint="0.79998168889431442"/>
        <color theme="9"/>
      </colorScale>
    </cfRule>
  </conditionalFormatting>
  <pageMargins left="0.7" right="0.7" top="0.75" bottom="0.75" header="0.3" footer="0.3"/>
  <pageSetup paperSize="9" orientation="portrait" r:id="rId1"/>
  <tableParts count="3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X770"/>
  <sheetViews>
    <sheetView workbookViewId="0">
      <pane ySplit="2" topLeftCell="A6" activePane="bottomLeft" state="frozen"/>
      <selection pane="bottomLeft" activeCell="C11" sqref="C11"/>
    </sheetView>
  </sheetViews>
  <sheetFormatPr defaultRowHeight="15" thickBottom="1"/>
  <cols>
    <col min="1" max="1" width="12.21875" style="2507" customWidth="1"/>
    <col min="2" max="2" width="11.109375" style="2513" customWidth="1"/>
    <col min="3" max="3" width="12.21875" style="2507" customWidth="1"/>
    <col min="4" max="4" width="11.109375" style="2513" customWidth="1"/>
    <col min="5" max="5" width="12.21875" style="2507" customWidth="1"/>
    <col min="6" max="6" width="11.109375" style="2513" customWidth="1"/>
    <col min="7" max="7" width="12.21875" style="2507" customWidth="1"/>
    <col min="8" max="8" width="11.109375" style="2513" customWidth="1"/>
    <col min="9" max="9" width="12.21875" style="2507" customWidth="1"/>
    <col min="10" max="10" width="11.109375" style="2513" customWidth="1"/>
    <col min="11" max="11" width="12.21875" style="2507" customWidth="1"/>
    <col min="12" max="12" width="11.109375" style="2513" customWidth="1"/>
    <col min="13" max="13" width="12.21875" style="2507" customWidth="1"/>
    <col min="14" max="14" width="11.109375" style="2513" customWidth="1"/>
    <col min="15" max="15" width="12.21875" style="2507" customWidth="1"/>
    <col min="16" max="16" width="11.109375" style="2513" customWidth="1"/>
    <col min="17" max="17" width="12.21875" style="2507" customWidth="1"/>
    <col min="18" max="18" width="11.109375" style="2513" customWidth="1"/>
    <col min="19" max="19" width="12.21875" style="2507" customWidth="1"/>
    <col min="20" max="20" width="11.109375" style="2513" customWidth="1"/>
    <col min="21" max="21" width="12.21875" style="2507" customWidth="1"/>
    <col min="22" max="22" width="11.109375" style="2513" customWidth="1"/>
    <col min="23" max="23" width="12.21875" style="2507" customWidth="1"/>
    <col min="24" max="24" width="11.109375" style="2513" customWidth="1"/>
    <col min="25" max="16384" width="8.88671875" style="2396"/>
  </cols>
  <sheetData>
    <row r="1" spans="1:24" thickTop="1">
      <c r="A1" s="2734" t="s">
        <v>594</v>
      </c>
      <c r="B1" s="2735"/>
      <c r="C1" s="2734" t="s">
        <v>593</v>
      </c>
      <c r="D1" s="2735"/>
      <c r="E1" s="2734" t="s">
        <v>592</v>
      </c>
      <c r="F1" s="2735"/>
      <c r="G1" s="2734" t="s">
        <v>590</v>
      </c>
      <c r="H1" s="2735"/>
      <c r="I1" s="2734" t="s">
        <v>588</v>
      </c>
      <c r="J1" s="2735"/>
      <c r="K1" s="2734" t="s">
        <v>587</v>
      </c>
      <c r="L1" s="2735"/>
      <c r="M1" s="2811" t="s">
        <v>586</v>
      </c>
      <c r="N1" s="2812"/>
      <c r="O1" s="2811" t="s">
        <v>584</v>
      </c>
      <c r="P1" s="2812"/>
      <c r="Q1" s="2811" t="s">
        <v>580</v>
      </c>
      <c r="R1" s="2812"/>
      <c r="S1" s="2811" t="s">
        <v>579</v>
      </c>
      <c r="T1" s="2812"/>
      <c r="U1" s="2811" t="s">
        <v>577</v>
      </c>
      <c r="V1" s="2812"/>
      <c r="W1" s="2811" t="s">
        <v>576</v>
      </c>
      <c r="X1" s="2812"/>
    </row>
    <row r="2" spans="1:24" s="2511" customFormat="1" ht="13.2" customHeight="1">
      <c r="A2" s="2515"/>
      <c r="B2" s="2516" t="s">
        <v>1659</v>
      </c>
      <c r="C2" s="2515"/>
      <c r="D2" s="2516" t="s">
        <v>1659</v>
      </c>
      <c r="E2" s="2515"/>
      <c r="F2" s="2516" t="s">
        <v>1659</v>
      </c>
      <c r="G2" s="2515"/>
      <c r="H2" s="2516" t="s">
        <v>1538</v>
      </c>
      <c r="I2" s="2515"/>
      <c r="J2" s="2516" t="s">
        <v>1659</v>
      </c>
      <c r="K2" s="2515"/>
      <c r="L2" s="2516" t="s">
        <v>1659</v>
      </c>
      <c r="M2" s="2515"/>
      <c r="N2" s="2516" t="s">
        <v>1659</v>
      </c>
      <c r="O2" s="2515"/>
      <c r="P2" s="2516" t="s">
        <v>1659</v>
      </c>
      <c r="Q2" s="2515"/>
      <c r="R2" s="2516" t="s">
        <v>1659</v>
      </c>
      <c r="S2" s="2515"/>
      <c r="T2" s="2516" t="s">
        <v>1659</v>
      </c>
      <c r="U2" s="2515"/>
      <c r="V2" s="2516" t="s">
        <v>1659</v>
      </c>
      <c r="W2" s="2515"/>
      <c r="X2" s="2516" t="s">
        <v>1659</v>
      </c>
    </row>
    <row r="3" spans="1:24" ht="14.4">
      <c r="A3" s="2522" t="str">
        <f>"01-01-2024 01:00"</f>
        <v>01-01-2024 01:00</v>
      </c>
      <c r="B3" s="2517">
        <v>0.35</v>
      </c>
      <c r="C3" s="2522" t="str">
        <f>"01-02-2024 00:00"</f>
        <v>01-02-2024 00:00</v>
      </c>
      <c r="D3" s="2523">
        <v>0.14000000000000001</v>
      </c>
      <c r="E3" s="2522" t="str">
        <f>"01-03-2024 00:00"</f>
        <v>01-03-2024 00:00</v>
      </c>
      <c r="F3" s="2523">
        <v>0.19</v>
      </c>
      <c r="G3" s="2522" t="str">
        <f>"01-04-2024 00:00"</f>
        <v>01-04-2024 00:00</v>
      </c>
      <c r="H3" s="2523">
        <v>0.16</v>
      </c>
      <c r="I3" s="2522"/>
      <c r="J3" s="2523"/>
      <c r="K3" s="2522"/>
      <c r="L3" s="2523"/>
      <c r="M3" s="2522"/>
      <c r="N3" s="2523"/>
      <c r="O3" s="2522"/>
      <c r="P3" s="2523"/>
      <c r="Q3" s="2522"/>
      <c r="R3" s="2523"/>
      <c r="S3" s="2522"/>
      <c r="T3" s="2523"/>
      <c r="U3" s="2522"/>
      <c r="V3" s="2523"/>
      <c r="W3" s="2522"/>
      <c r="X3" s="2523"/>
    </row>
    <row r="4" spans="1:24" ht="14.4">
      <c r="A4" s="2519" t="str">
        <f>"01-01-2024 02:00"</f>
        <v>01-01-2024 02:00</v>
      </c>
      <c r="B4" s="2517">
        <v>0.28000000000000003</v>
      </c>
      <c r="C4" s="2519" t="str">
        <f>"01-02-2024 01:00"</f>
        <v>01-02-2024 01:00</v>
      </c>
      <c r="D4" s="2514">
        <v>0.16</v>
      </c>
      <c r="E4" s="2519" t="str">
        <f>"01-03-2024 01:00"</f>
        <v>01-03-2024 01:00</v>
      </c>
      <c r="F4" s="2514">
        <v>0.27</v>
      </c>
      <c r="G4" s="2519" t="str">
        <f>"01-04-2024 01:00"</f>
        <v>01-04-2024 01:00</v>
      </c>
      <c r="H4" s="2514">
        <v>0.2</v>
      </c>
      <c r="I4" s="2519"/>
      <c r="J4" s="2514"/>
      <c r="K4" s="2519"/>
      <c r="L4" s="2514"/>
      <c r="M4" s="2519"/>
      <c r="N4" s="2514"/>
      <c r="O4" s="2519"/>
      <c r="P4" s="2514"/>
      <c r="Q4" s="2519"/>
      <c r="R4" s="2514"/>
      <c r="S4" s="2519"/>
      <c r="T4" s="2514"/>
      <c r="U4" s="2519"/>
      <c r="V4" s="2514"/>
      <c r="W4" s="2519"/>
      <c r="X4" s="2514"/>
    </row>
    <row r="5" spans="1:24" ht="14.4">
      <c r="A5" s="2519" t="str">
        <f>"01-01-2024 03:00"</f>
        <v>01-01-2024 03:00</v>
      </c>
      <c r="B5" s="2517">
        <v>0.13</v>
      </c>
      <c r="C5" s="2519" t="str">
        <f>"01-02-2024 02:00"</f>
        <v>01-02-2024 02:00</v>
      </c>
      <c r="D5" s="2514">
        <v>0.16</v>
      </c>
      <c r="E5" s="2519" t="str">
        <f>"01-03-2024 02:00"</f>
        <v>01-03-2024 02:00</v>
      </c>
      <c r="F5" s="2514">
        <v>0.17</v>
      </c>
      <c r="G5" s="2519" t="str">
        <f>"01-04-2024 02:00"</f>
        <v>01-04-2024 02:00</v>
      </c>
      <c r="H5" s="2514">
        <v>0.16</v>
      </c>
      <c r="I5" s="2519"/>
      <c r="J5" s="2514"/>
      <c r="K5" s="2519"/>
      <c r="L5" s="2514"/>
      <c r="M5" s="2519"/>
      <c r="N5" s="2514"/>
      <c r="O5" s="2519"/>
      <c r="P5" s="2514"/>
      <c r="Q5" s="2519"/>
      <c r="R5" s="2514"/>
      <c r="S5" s="2519"/>
      <c r="T5" s="2514"/>
      <c r="U5" s="2519"/>
      <c r="V5" s="2514"/>
      <c r="W5" s="2519"/>
      <c r="X5" s="2514"/>
    </row>
    <row r="6" spans="1:24" ht="14.4">
      <c r="A6" s="2519" t="str">
        <f>"01-01-2024 04:00"</f>
        <v>01-01-2024 04:00</v>
      </c>
      <c r="B6" s="2517">
        <v>0.19</v>
      </c>
      <c r="C6" s="2519" t="str">
        <f>"01-02-2024 03:00"</f>
        <v>01-02-2024 03:00</v>
      </c>
      <c r="D6" s="2514">
        <v>0.18</v>
      </c>
      <c r="E6" s="2519" t="str">
        <f>"01-03-2024 03:00"</f>
        <v>01-03-2024 03:00</v>
      </c>
      <c r="F6" s="2514">
        <v>0.16</v>
      </c>
      <c r="G6" s="2519" t="str">
        <f>"01-04-2024 03:00"</f>
        <v>01-04-2024 03:00</v>
      </c>
      <c r="H6" s="2514">
        <v>0.17</v>
      </c>
      <c r="I6" s="2519"/>
      <c r="J6" s="2514"/>
      <c r="K6" s="2519"/>
      <c r="L6" s="2514"/>
      <c r="M6" s="2519"/>
      <c r="N6" s="2514"/>
      <c r="O6" s="2519"/>
      <c r="P6" s="2514"/>
      <c r="Q6" s="2519"/>
      <c r="R6" s="2514"/>
      <c r="S6" s="2519"/>
      <c r="T6" s="2514"/>
      <c r="U6" s="2519"/>
      <c r="V6" s="2514"/>
      <c r="W6" s="2519"/>
      <c r="X6" s="2514"/>
    </row>
    <row r="7" spans="1:24" ht="14.4">
      <c r="A7" s="2519" t="str">
        <f>"01-01-2024 05:00"</f>
        <v>01-01-2024 05:00</v>
      </c>
      <c r="B7" s="2517">
        <v>0.17</v>
      </c>
      <c r="C7" s="2519" t="str">
        <f>"01-02-2024 04:00"</f>
        <v>01-02-2024 04:00</v>
      </c>
      <c r="D7" s="2514">
        <v>0.16</v>
      </c>
      <c r="E7" s="2519" t="str">
        <f>"01-03-2024 04:00"</f>
        <v>01-03-2024 04:00</v>
      </c>
      <c r="F7" s="2514">
        <v>0.14000000000000001</v>
      </c>
      <c r="G7" s="2519" t="str">
        <f>"01-04-2024 04:00"</f>
        <v>01-04-2024 04:00</v>
      </c>
      <c r="H7" s="2514">
        <v>0.17</v>
      </c>
      <c r="I7" s="2519"/>
      <c r="J7" s="2514"/>
      <c r="K7" s="2519"/>
      <c r="L7" s="2514"/>
      <c r="M7" s="2519"/>
      <c r="N7" s="2514"/>
      <c r="O7" s="2519"/>
      <c r="P7" s="2514"/>
      <c r="Q7" s="2519"/>
      <c r="R7" s="2514"/>
      <c r="S7" s="2519"/>
      <c r="T7" s="2514"/>
      <c r="U7" s="2519"/>
      <c r="V7" s="2514"/>
      <c r="W7" s="2519"/>
      <c r="X7" s="2514"/>
    </row>
    <row r="8" spans="1:24" ht="14.4">
      <c r="A8" s="2519" t="str">
        <f>"01-01-2024 06:00"</f>
        <v>01-01-2024 06:00</v>
      </c>
      <c r="B8" s="2517">
        <v>0.2</v>
      </c>
      <c r="C8" s="2519" t="str">
        <f>"01-02-2024 05:00"</f>
        <v>01-02-2024 05:00</v>
      </c>
      <c r="D8" s="2514">
        <v>0.28000000000000003</v>
      </c>
      <c r="E8" s="2519" t="str">
        <f>"01-03-2024 05:00"</f>
        <v>01-03-2024 05:00</v>
      </c>
      <c r="F8" s="2514">
        <v>0.22</v>
      </c>
      <c r="G8" s="2519" t="str">
        <f>"01-04-2024 05:00"</f>
        <v>01-04-2024 05:00</v>
      </c>
      <c r="H8" s="2514">
        <v>0.23</v>
      </c>
      <c r="I8" s="2519"/>
      <c r="J8" s="2514"/>
      <c r="K8" s="2519"/>
      <c r="L8" s="2514"/>
      <c r="M8" s="2519"/>
      <c r="N8" s="2514"/>
      <c r="O8" s="2519"/>
      <c r="P8" s="2514"/>
      <c r="Q8" s="2519"/>
      <c r="R8" s="2514"/>
      <c r="S8" s="2519"/>
      <c r="T8" s="2514"/>
      <c r="U8" s="2519"/>
      <c r="V8" s="2514"/>
      <c r="W8" s="2519"/>
      <c r="X8" s="2514"/>
    </row>
    <row r="9" spans="1:24" ht="14.4">
      <c r="A9" s="2519" t="str">
        <f>"01-01-2024 07:00"</f>
        <v>01-01-2024 07:00</v>
      </c>
      <c r="B9" s="2523">
        <v>0.22</v>
      </c>
      <c r="C9" s="2519" t="str">
        <f>"01-02-2024 06:00"</f>
        <v>01-02-2024 06:00</v>
      </c>
      <c r="D9" s="2514">
        <v>0.46</v>
      </c>
      <c r="E9" s="2519" t="str">
        <f>"01-03-2024 06:00"</f>
        <v>01-03-2024 06:00</v>
      </c>
      <c r="F9" s="2514">
        <v>0.17</v>
      </c>
      <c r="G9" s="2519" t="str">
        <f>"01-04-2024 06:00"</f>
        <v>01-04-2024 06:00</v>
      </c>
      <c r="H9" s="2514">
        <v>0.21</v>
      </c>
      <c r="I9" s="2519"/>
      <c r="J9" s="2514"/>
      <c r="K9" s="2519"/>
      <c r="L9" s="2514"/>
      <c r="M9" s="2519"/>
      <c r="N9" s="2514"/>
      <c r="O9" s="2519"/>
      <c r="P9" s="2514"/>
      <c r="Q9" s="2519"/>
      <c r="R9" s="2514"/>
      <c r="S9" s="2519"/>
      <c r="T9" s="2514"/>
      <c r="U9" s="2519"/>
      <c r="V9" s="2514"/>
      <c r="W9" s="2519"/>
      <c r="X9" s="2514"/>
    </row>
    <row r="10" spans="1:24" ht="14.4">
      <c r="A10" s="2519" t="str">
        <f>"01-01-2024 08:00"</f>
        <v>01-01-2024 08:00</v>
      </c>
      <c r="B10" s="2514">
        <v>0.22</v>
      </c>
      <c r="C10" s="2519" t="str">
        <f>"01-02-2024 07:00"</f>
        <v>01-02-2024 07:00</v>
      </c>
      <c r="D10" s="2514">
        <v>0.34</v>
      </c>
      <c r="E10" s="2519" t="str">
        <f>"01-03-2024 07:00"</f>
        <v>01-03-2024 07:00</v>
      </c>
      <c r="F10" s="2514">
        <v>0.37</v>
      </c>
      <c r="G10" s="2519" t="str">
        <f>"01-04-2024 07:00"</f>
        <v>01-04-2024 07:00</v>
      </c>
      <c r="H10" s="2514">
        <v>0.27</v>
      </c>
      <c r="I10" s="2519"/>
      <c r="J10" s="2514"/>
      <c r="K10" s="2519"/>
      <c r="L10" s="2514"/>
      <c r="M10" s="2519"/>
      <c r="N10" s="2514"/>
      <c r="O10" s="2519"/>
      <c r="P10" s="2514"/>
      <c r="Q10" s="2519"/>
      <c r="R10" s="2514"/>
      <c r="S10" s="2519"/>
      <c r="T10" s="2514"/>
      <c r="U10" s="2519"/>
      <c r="V10" s="2514"/>
      <c r="W10" s="2519"/>
      <c r="X10" s="2514"/>
    </row>
    <row r="11" spans="1:24" ht="14.4">
      <c r="A11" s="2519" t="str">
        <f>"01-01-2024 09:00"</f>
        <v>01-01-2024 09:00</v>
      </c>
      <c r="B11" s="2514">
        <v>0.49</v>
      </c>
      <c r="C11" s="2519" t="str">
        <f>"01-02-2024 08:00"</f>
        <v>01-02-2024 08:00</v>
      </c>
      <c r="D11" s="2514">
        <v>0.3</v>
      </c>
      <c r="E11" s="2519" t="str">
        <f>"01-03-2024 08:00"</f>
        <v>01-03-2024 08:00</v>
      </c>
      <c r="F11" s="2514">
        <v>0.32</v>
      </c>
      <c r="G11" s="2519" t="str">
        <f>"01-04-2024 08:00"</f>
        <v>01-04-2024 08:00</v>
      </c>
      <c r="H11" s="2514">
        <v>0.44</v>
      </c>
      <c r="I11" s="2519"/>
      <c r="J11" s="2514"/>
      <c r="K11" s="2519"/>
      <c r="L11" s="2514"/>
      <c r="M11" s="2519"/>
      <c r="N11" s="2514"/>
      <c r="O11" s="2519"/>
      <c r="P11" s="2514"/>
      <c r="Q11" s="2519"/>
      <c r="R11" s="2514"/>
      <c r="S11" s="2519"/>
      <c r="T11" s="2514"/>
      <c r="U11" s="2519"/>
      <c r="V11" s="2514"/>
      <c r="W11" s="2519"/>
      <c r="X11" s="2514"/>
    </row>
    <row r="12" spans="1:24" ht="14.4">
      <c r="A12" s="2519" t="str">
        <f>"01-01-2024 10:00"</f>
        <v>01-01-2024 10:00</v>
      </c>
      <c r="B12" s="2514">
        <v>0.2</v>
      </c>
      <c r="C12" s="2519" t="str">
        <f>"01-02-2024 09:00"</f>
        <v>01-02-2024 09:00</v>
      </c>
      <c r="D12" s="2514">
        <v>0.27</v>
      </c>
      <c r="E12" s="2519" t="str">
        <f>"01-03-2024 09:00"</f>
        <v>01-03-2024 09:00</v>
      </c>
      <c r="F12" s="2514">
        <v>0.56000000000000005</v>
      </c>
      <c r="G12" s="2519" t="str">
        <f>"01-04-2024 09:00"</f>
        <v>01-04-2024 09:00</v>
      </c>
      <c r="H12" s="2514">
        <v>0.41</v>
      </c>
      <c r="I12" s="2519"/>
      <c r="J12" s="2514"/>
      <c r="K12" s="2519"/>
      <c r="L12" s="2514"/>
      <c r="M12" s="2519"/>
      <c r="N12" s="2514"/>
      <c r="O12" s="2519"/>
      <c r="P12" s="2514"/>
      <c r="Q12" s="2519"/>
      <c r="R12" s="2514"/>
      <c r="S12" s="2519"/>
      <c r="T12" s="2514"/>
      <c r="U12" s="2519"/>
      <c r="V12" s="2514"/>
      <c r="W12" s="2519"/>
      <c r="X12" s="2514"/>
    </row>
    <row r="13" spans="1:24" ht="14.4">
      <c r="A13" s="2519" t="str">
        <f>"01-01-2024 11:00"</f>
        <v>01-01-2024 11:00</v>
      </c>
      <c r="B13" s="2514">
        <v>0.28000000000000003</v>
      </c>
      <c r="C13" s="2519" t="str">
        <f>"01-02-2024 10:00"</f>
        <v>01-02-2024 10:00</v>
      </c>
      <c r="D13" s="2514">
        <v>0.56000000000000005</v>
      </c>
      <c r="E13" s="2519" t="str">
        <f>"01-03-2024 10:00"</f>
        <v>01-03-2024 10:00</v>
      </c>
      <c r="F13" s="2514">
        <v>0.32</v>
      </c>
      <c r="G13" s="2519" t="str">
        <f>"01-04-2024 10:00"</f>
        <v>01-04-2024 10:00</v>
      </c>
      <c r="H13" s="2514">
        <v>0.35</v>
      </c>
      <c r="I13" s="2519"/>
      <c r="J13" s="2514"/>
      <c r="K13" s="2519"/>
      <c r="L13" s="2514"/>
      <c r="M13" s="2519"/>
      <c r="N13" s="2514"/>
      <c r="O13" s="2519"/>
      <c r="P13" s="2514"/>
      <c r="Q13" s="2519"/>
      <c r="R13" s="2514"/>
      <c r="S13" s="2519"/>
      <c r="T13" s="2514"/>
      <c r="U13" s="2519"/>
      <c r="V13" s="2514"/>
      <c r="W13" s="2519"/>
      <c r="X13" s="2514"/>
    </row>
    <row r="14" spans="1:24" ht="14.4">
      <c r="A14" s="2519" t="str">
        <f>"01-01-2024 12:00"</f>
        <v>01-01-2024 12:00</v>
      </c>
      <c r="B14" s="2514">
        <v>0.32</v>
      </c>
      <c r="C14" s="2519" t="str">
        <f>"01-02-2024 11:00"</f>
        <v>01-02-2024 11:00</v>
      </c>
      <c r="D14" s="2514">
        <v>0.67</v>
      </c>
      <c r="E14" s="2519" t="str">
        <f>"01-03-2024 11:00"</f>
        <v>01-03-2024 11:00</v>
      </c>
      <c r="F14" s="2514">
        <v>0.24</v>
      </c>
      <c r="G14" s="2519" t="str">
        <f>"01-04-2024 11:00"</f>
        <v>01-04-2024 11:00</v>
      </c>
      <c r="H14" s="2514">
        <v>0.28000000000000003</v>
      </c>
      <c r="I14" s="2519"/>
      <c r="J14" s="2514"/>
      <c r="K14" s="2519"/>
      <c r="L14" s="2514"/>
      <c r="M14" s="2519"/>
      <c r="N14" s="2514"/>
      <c r="O14" s="2519"/>
      <c r="P14" s="2514"/>
      <c r="Q14" s="2519"/>
      <c r="R14" s="2514"/>
      <c r="S14" s="2519"/>
      <c r="T14" s="2514"/>
      <c r="U14" s="2519"/>
      <c r="V14" s="2514"/>
      <c r="W14" s="2519"/>
      <c r="X14" s="2514"/>
    </row>
    <row r="15" spans="1:24" ht="14.4">
      <c r="A15" s="2519" t="str">
        <f>"01-01-2024 13:00"</f>
        <v>01-01-2024 13:00</v>
      </c>
      <c r="B15" s="2514">
        <v>0.5</v>
      </c>
      <c r="C15" s="2519" t="str">
        <f>"01-02-2024 12:00"</f>
        <v>01-02-2024 12:00</v>
      </c>
      <c r="D15" s="2514">
        <v>0.87</v>
      </c>
      <c r="E15" s="2519" t="str">
        <f>"01-03-2024 12:00"</f>
        <v>01-03-2024 12:00</v>
      </c>
      <c r="F15" s="2514">
        <v>0.48</v>
      </c>
      <c r="G15" s="2519" t="str">
        <f>"01-04-2024 12:00"</f>
        <v>01-04-2024 12:00</v>
      </c>
      <c r="H15" s="2514">
        <v>0.42</v>
      </c>
      <c r="I15" s="2519"/>
      <c r="J15" s="2514"/>
      <c r="K15" s="2519"/>
      <c r="L15" s="2514"/>
      <c r="M15" s="2519"/>
      <c r="N15" s="2514"/>
      <c r="O15" s="2519"/>
      <c r="P15" s="2514"/>
      <c r="Q15" s="2519"/>
      <c r="R15" s="2514"/>
      <c r="S15" s="2519"/>
      <c r="T15" s="2514"/>
      <c r="U15" s="2519"/>
      <c r="V15" s="2514"/>
      <c r="W15" s="2519"/>
      <c r="X15" s="2514"/>
    </row>
    <row r="16" spans="1:24" ht="14.4">
      <c r="A16" s="2519" t="str">
        <f>"01-01-2024 14:00"</f>
        <v>01-01-2024 14:00</v>
      </c>
      <c r="B16" s="2514">
        <v>0.51</v>
      </c>
      <c r="C16" s="2519" t="str">
        <f>"01-02-2024 13:00"</f>
        <v>01-02-2024 13:00</v>
      </c>
      <c r="D16" s="2514">
        <v>0.81</v>
      </c>
      <c r="E16" s="2519" t="str">
        <f>"01-03-2024 13:00"</f>
        <v>01-03-2024 13:00</v>
      </c>
      <c r="F16" s="2514">
        <v>0.61</v>
      </c>
      <c r="G16" s="2519" t="str">
        <f>"01-04-2024 13:00"</f>
        <v>01-04-2024 13:00</v>
      </c>
      <c r="H16" s="2514">
        <v>0.62</v>
      </c>
      <c r="I16" s="2519"/>
      <c r="J16" s="2514"/>
      <c r="K16" s="2519"/>
      <c r="L16" s="2514"/>
      <c r="M16" s="2519"/>
      <c r="N16" s="2514"/>
      <c r="O16" s="2519"/>
      <c r="P16" s="2514"/>
      <c r="Q16" s="2519"/>
      <c r="R16" s="2514"/>
      <c r="S16" s="2519"/>
      <c r="T16" s="2514"/>
      <c r="U16" s="2519"/>
      <c r="V16" s="2514"/>
      <c r="W16" s="2519"/>
      <c r="X16" s="2514"/>
    </row>
    <row r="17" spans="1:24" ht="14.4">
      <c r="A17" s="2519" t="str">
        <f>"01-01-2024 15:00"</f>
        <v>01-01-2024 15:00</v>
      </c>
      <c r="B17" s="2514">
        <v>0.64</v>
      </c>
      <c r="C17" s="2519" t="str">
        <f>"01-02-2024 14:00"</f>
        <v>01-02-2024 14:00</v>
      </c>
      <c r="D17" s="2514">
        <v>0.51</v>
      </c>
      <c r="E17" s="2519" t="str">
        <f>"01-03-2024 14:00"</f>
        <v>01-03-2024 14:00</v>
      </c>
      <c r="F17" s="2514">
        <v>0.47</v>
      </c>
      <c r="G17" s="2519" t="str">
        <f>"01-04-2024 14:00"</f>
        <v>01-04-2024 14:00</v>
      </c>
      <c r="H17" s="2514">
        <v>0.42</v>
      </c>
      <c r="I17" s="2519"/>
      <c r="J17" s="2514"/>
      <c r="K17" s="2519"/>
      <c r="L17" s="2514"/>
      <c r="M17" s="2519"/>
      <c r="N17" s="2514"/>
      <c r="O17" s="2519"/>
      <c r="P17" s="2514"/>
      <c r="Q17" s="2519"/>
      <c r="R17" s="2514"/>
      <c r="S17" s="2519"/>
      <c r="T17" s="2514"/>
      <c r="U17" s="2519"/>
      <c r="V17" s="2514"/>
      <c r="W17" s="2519"/>
      <c r="X17" s="2514"/>
    </row>
    <row r="18" spans="1:24" ht="14.4">
      <c r="A18" s="2519" t="str">
        <f>"01-01-2024 16:00"</f>
        <v>01-01-2024 16:00</v>
      </c>
      <c r="B18" s="2514">
        <v>0.51</v>
      </c>
      <c r="C18" s="2519" t="str">
        <f>"01-02-2024 15:00"</f>
        <v>01-02-2024 15:00</v>
      </c>
      <c r="D18" s="2514">
        <v>0.49</v>
      </c>
      <c r="E18" s="2519" t="str">
        <f>"01-03-2024 15:00"</f>
        <v>01-03-2024 15:00</v>
      </c>
      <c r="F18" s="2514">
        <v>0.37</v>
      </c>
      <c r="G18" s="2519" t="str">
        <f>"01-04-2024 15:00"</f>
        <v>01-04-2024 15:00</v>
      </c>
      <c r="H18" s="2514">
        <v>0.46</v>
      </c>
      <c r="I18" s="2519"/>
      <c r="J18" s="2514"/>
      <c r="K18" s="2519"/>
      <c r="L18" s="2514"/>
      <c r="M18" s="2519"/>
      <c r="N18" s="2514"/>
      <c r="O18" s="2519"/>
      <c r="P18" s="2514"/>
      <c r="Q18" s="2519"/>
      <c r="R18" s="2514"/>
      <c r="S18" s="2519"/>
      <c r="T18" s="2514"/>
      <c r="U18" s="2519"/>
      <c r="V18" s="2514"/>
      <c r="W18" s="2519"/>
      <c r="X18" s="2514"/>
    </row>
    <row r="19" spans="1:24" ht="14.4">
      <c r="A19" s="2519" t="str">
        <f>"01-01-2024 17:00"</f>
        <v>01-01-2024 17:00</v>
      </c>
      <c r="B19" s="2514">
        <v>0.44</v>
      </c>
      <c r="C19" s="2519" t="str">
        <f>"01-02-2024 16:00"</f>
        <v>01-02-2024 16:00</v>
      </c>
      <c r="D19" s="2514">
        <v>0.41</v>
      </c>
      <c r="E19" s="2519" t="str">
        <f>"01-03-2024 16:00"</f>
        <v>01-03-2024 16:00</v>
      </c>
      <c r="F19" s="2514">
        <v>0.44</v>
      </c>
      <c r="G19" s="2519" t="str">
        <f>"01-04-2024 16:00"</f>
        <v>01-04-2024 16:00</v>
      </c>
      <c r="H19" s="2514">
        <v>0.41</v>
      </c>
      <c r="I19" s="2519"/>
      <c r="J19" s="2514"/>
      <c r="K19" s="2519"/>
      <c r="L19" s="2514"/>
      <c r="M19" s="2519"/>
      <c r="N19" s="2514"/>
      <c r="O19" s="2519"/>
      <c r="P19" s="2514"/>
      <c r="Q19" s="2519"/>
      <c r="R19" s="2514"/>
      <c r="S19" s="2519"/>
      <c r="T19" s="2514"/>
      <c r="U19" s="2519"/>
      <c r="V19" s="2514"/>
      <c r="W19" s="2519"/>
      <c r="X19" s="2514"/>
    </row>
    <row r="20" spans="1:24" ht="14.4">
      <c r="A20" s="2519" t="str">
        <f>"01-01-2024 18:00"</f>
        <v>01-01-2024 18:00</v>
      </c>
      <c r="B20" s="2514">
        <v>1.08</v>
      </c>
      <c r="C20" s="2519" t="str">
        <f>"01-02-2024 17:00"</f>
        <v>01-02-2024 17:00</v>
      </c>
      <c r="D20" s="2514">
        <v>0.44</v>
      </c>
      <c r="E20" s="2519" t="str">
        <f>"01-03-2024 17:00"</f>
        <v>01-03-2024 17:00</v>
      </c>
      <c r="F20" s="2514">
        <v>0.8</v>
      </c>
      <c r="G20" s="2519" t="str">
        <f>"01-04-2024 17:00"</f>
        <v>01-04-2024 17:00</v>
      </c>
      <c r="H20" s="2514">
        <v>1.1000000000000001</v>
      </c>
      <c r="I20" s="2519"/>
      <c r="J20" s="2514"/>
      <c r="K20" s="2519"/>
      <c r="L20" s="2514"/>
      <c r="M20" s="2519"/>
      <c r="N20" s="2514"/>
      <c r="O20" s="2519"/>
      <c r="P20" s="2514"/>
      <c r="Q20" s="2519"/>
      <c r="R20" s="2514"/>
      <c r="S20" s="2519"/>
      <c r="T20" s="2514"/>
      <c r="U20" s="2519"/>
      <c r="V20" s="2514"/>
      <c r="W20" s="2519"/>
      <c r="X20" s="2514"/>
    </row>
    <row r="21" spans="1:24" ht="14.4">
      <c r="A21" s="2519" t="str">
        <f>"01-01-2024 19:00"</f>
        <v>01-01-2024 19:00</v>
      </c>
      <c r="B21" s="2514">
        <v>0.49</v>
      </c>
      <c r="C21" s="2519" t="str">
        <f>"01-02-2024 18:00"</f>
        <v>01-02-2024 18:00</v>
      </c>
      <c r="D21" s="2514">
        <v>0.44</v>
      </c>
      <c r="E21" s="2519" t="str">
        <f>"01-03-2024 18:00"</f>
        <v>01-03-2024 18:00</v>
      </c>
      <c r="F21" s="2514">
        <v>0.49</v>
      </c>
      <c r="G21" s="2519" t="str">
        <f>"01-04-2024 18:00"</f>
        <v>01-04-2024 18:00</v>
      </c>
      <c r="H21" s="2514">
        <v>1.26</v>
      </c>
      <c r="I21" s="2519"/>
      <c r="J21" s="2514"/>
      <c r="K21" s="2519"/>
      <c r="L21" s="2514"/>
      <c r="M21" s="2519"/>
      <c r="N21" s="2514"/>
      <c r="O21" s="2519"/>
      <c r="P21" s="2514"/>
      <c r="Q21" s="2519"/>
      <c r="R21" s="2514"/>
      <c r="S21" s="2519"/>
      <c r="T21" s="2514"/>
      <c r="U21" s="2519"/>
      <c r="V21" s="2514"/>
      <c r="W21" s="2519"/>
      <c r="X21" s="2514"/>
    </row>
    <row r="22" spans="1:24" ht="14.4">
      <c r="A22" s="2519" t="str">
        <f>"01-01-2024 20:00"</f>
        <v>01-01-2024 20:00</v>
      </c>
      <c r="B22" s="2514">
        <v>0.41</v>
      </c>
      <c r="C22" s="2519" t="str">
        <f>"01-02-2024 19:00"</f>
        <v>01-02-2024 19:00</v>
      </c>
      <c r="D22" s="2514">
        <v>0.39</v>
      </c>
      <c r="E22" s="2519" t="str">
        <f>"01-03-2024 19:00"</f>
        <v>01-03-2024 19:00</v>
      </c>
      <c r="F22" s="2514">
        <v>0.47</v>
      </c>
      <c r="G22" s="2519" t="str">
        <f>"01-04-2024 19:00"</f>
        <v>01-04-2024 19:00</v>
      </c>
      <c r="H22" s="2514">
        <v>1.05</v>
      </c>
      <c r="I22" s="2519"/>
      <c r="J22" s="2514"/>
      <c r="K22" s="2519"/>
      <c r="L22" s="2514"/>
      <c r="M22" s="2519"/>
      <c r="N22" s="2514"/>
      <c r="O22" s="2519"/>
      <c r="P22" s="2514"/>
      <c r="Q22" s="2519"/>
      <c r="R22" s="2514"/>
      <c r="S22" s="2519"/>
      <c r="T22" s="2514"/>
      <c r="U22" s="2519"/>
      <c r="V22" s="2514"/>
      <c r="W22" s="2519"/>
      <c r="X22" s="2514"/>
    </row>
    <row r="23" spans="1:24" ht="14.4">
      <c r="A23" s="2519" t="str">
        <f>"01-01-2024 21:00"</f>
        <v>01-01-2024 21:00</v>
      </c>
      <c r="B23" s="2514">
        <v>0.32</v>
      </c>
      <c r="C23" s="2519" t="str">
        <f>"01-02-2024 20:00"</f>
        <v>01-02-2024 20:00</v>
      </c>
      <c r="D23" s="2514">
        <v>0.4</v>
      </c>
      <c r="E23" s="2519" t="str">
        <f>"01-03-2024 20:00"</f>
        <v>01-03-2024 20:00</v>
      </c>
      <c r="F23" s="2514">
        <v>0.42</v>
      </c>
      <c r="G23" s="2519" t="str">
        <f>"01-04-2024 20:00"</f>
        <v>01-04-2024 20:00</v>
      </c>
      <c r="H23" s="2514">
        <v>0.44</v>
      </c>
      <c r="I23" s="2519"/>
      <c r="J23" s="2514"/>
      <c r="K23" s="2519"/>
      <c r="L23" s="2514"/>
      <c r="M23" s="2519"/>
      <c r="N23" s="2514"/>
      <c r="O23" s="2519"/>
      <c r="P23" s="2514"/>
      <c r="Q23" s="2519"/>
      <c r="R23" s="2514"/>
      <c r="S23" s="2519"/>
      <c r="T23" s="2514"/>
      <c r="U23" s="2519"/>
      <c r="V23" s="2514"/>
      <c r="W23" s="2519"/>
      <c r="X23" s="2514"/>
    </row>
    <row r="24" spans="1:24" ht="14.4">
      <c r="A24" s="2519" t="str">
        <f>"01-01-2024 22:00"</f>
        <v>01-01-2024 22:00</v>
      </c>
      <c r="B24" s="2514">
        <v>0.27</v>
      </c>
      <c r="C24" s="2519" t="str">
        <f>"01-02-2024 21:00"</f>
        <v>01-02-2024 21:00</v>
      </c>
      <c r="D24" s="2514">
        <v>0.28000000000000003</v>
      </c>
      <c r="E24" s="2519" t="str">
        <f>"01-03-2024 21:00"</f>
        <v>01-03-2024 21:00</v>
      </c>
      <c r="F24" s="2514">
        <v>0.42</v>
      </c>
      <c r="G24" s="2519" t="str">
        <f>"01-04-2024 21:00"</f>
        <v>01-04-2024 21:00</v>
      </c>
      <c r="H24" s="2514">
        <v>0.38</v>
      </c>
      <c r="I24" s="2519"/>
      <c r="J24" s="2514"/>
      <c r="K24" s="2519"/>
      <c r="L24" s="2514"/>
      <c r="M24" s="2519"/>
      <c r="N24" s="2514"/>
      <c r="O24" s="2519"/>
      <c r="P24" s="2514"/>
      <c r="Q24" s="2519"/>
      <c r="R24" s="2514"/>
      <c r="S24" s="2519"/>
      <c r="T24" s="2514"/>
      <c r="U24" s="2519"/>
      <c r="V24" s="2514"/>
      <c r="W24" s="2519"/>
      <c r="X24" s="2514"/>
    </row>
    <row r="25" spans="1:24" ht="14.4">
      <c r="A25" s="2519" t="str">
        <f>"01-01-2024 23:00"</f>
        <v>01-01-2024 23:00</v>
      </c>
      <c r="B25" s="2514">
        <v>0.21</v>
      </c>
      <c r="C25" s="2519" t="str">
        <f>"01-02-2024 22:00"</f>
        <v>01-02-2024 22:00</v>
      </c>
      <c r="D25" s="2514">
        <v>0.19</v>
      </c>
      <c r="E25" s="2519" t="str">
        <f>"01-03-2024 22:00"</f>
        <v>01-03-2024 22:00</v>
      </c>
      <c r="F25" s="2514">
        <v>0.28000000000000003</v>
      </c>
      <c r="G25" s="2519" t="str">
        <f>"01-04-2024 22:00"</f>
        <v>01-04-2024 22:00</v>
      </c>
      <c r="H25" s="2514">
        <v>0.31</v>
      </c>
      <c r="I25" s="2519"/>
      <c r="J25" s="2514"/>
      <c r="K25" s="2519"/>
      <c r="L25" s="2514"/>
      <c r="M25" s="2519"/>
      <c r="N25" s="2514"/>
      <c r="O25" s="2519"/>
      <c r="P25" s="2514"/>
      <c r="Q25" s="2519"/>
      <c r="R25" s="2514"/>
      <c r="S25" s="2519"/>
      <c r="T25" s="2514"/>
      <c r="U25" s="2519"/>
      <c r="V25" s="2514"/>
      <c r="W25" s="2519"/>
      <c r="X25" s="2514"/>
    </row>
    <row r="26" spans="1:24" s="2506" customFormat="1" ht="14.4">
      <c r="A26" s="2520" t="str">
        <f>"02-01-2024 00:00"</f>
        <v>02-01-2024 00:00</v>
      </c>
      <c r="B26" s="2521">
        <v>0.2</v>
      </c>
      <c r="C26" s="2520" t="str">
        <f>"01-02-2024 23:00"</f>
        <v>01-02-2024 23:00</v>
      </c>
      <c r="D26" s="2521">
        <v>0.23</v>
      </c>
      <c r="E26" s="2520" t="str">
        <f>"01-03-2024 23:00"</f>
        <v>01-03-2024 23:00</v>
      </c>
      <c r="F26" s="2521">
        <v>0.19</v>
      </c>
      <c r="G26" s="2520" t="str">
        <f>"01-04-2024 23:00"</f>
        <v>01-04-2024 23:00</v>
      </c>
      <c r="H26" s="2521">
        <v>0.26</v>
      </c>
      <c r="I26" s="2520"/>
      <c r="J26" s="2521"/>
      <c r="K26" s="2520"/>
      <c r="L26" s="2521"/>
      <c r="M26" s="2520"/>
      <c r="N26" s="2521"/>
      <c r="O26" s="2520"/>
      <c r="P26" s="2521"/>
      <c r="Q26" s="2520"/>
      <c r="R26" s="2521"/>
      <c r="S26" s="2520"/>
      <c r="T26" s="2521"/>
      <c r="U26" s="2520"/>
      <c r="V26" s="2521"/>
      <c r="W26" s="2520"/>
      <c r="X26" s="2521"/>
    </row>
    <row r="27" spans="1:24" ht="14.4">
      <c r="A27" s="2528" t="str">
        <f>"02-01-2024 01:00"</f>
        <v>02-01-2024 01:00</v>
      </c>
      <c r="B27" s="2523">
        <v>0.2</v>
      </c>
      <c r="C27" s="2528" t="str">
        <f>"02-02-2024 00:00"</f>
        <v>02-02-2024 00:00</v>
      </c>
      <c r="D27" s="2523">
        <v>0.12</v>
      </c>
      <c r="E27" s="2528" t="str">
        <f>"02-03-2024 00:00"</f>
        <v>02-03-2024 00:00</v>
      </c>
      <c r="F27" s="2523">
        <v>0.18</v>
      </c>
      <c r="G27" s="2528" t="str">
        <f>"02-04-2024 00:00"</f>
        <v>02-04-2024 00:00</v>
      </c>
      <c r="H27" s="2523">
        <v>0.18</v>
      </c>
      <c r="I27" s="2528"/>
      <c r="J27" s="2523"/>
      <c r="K27" s="2528"/>
      <c r="L27" s="2523"/>
      <c r="M27" s="2528"/>
      <c r="N27" s="2523"/>
      <c r="O27" s="2528"/>
      <c r="P27" s="2523"/>
      <c r="Q27" s="2528"/>
      <c r="R27" s="2523"/>
      <c r="S27" s="2528"/>
      <c r="T27" s="2523"/>
      <c r="U27" s="2528"/>
      <c r="V27" s="2523"/>
      <c r="W27" s="2528"/>
      <c r="X27" s="2523"/>
    </row>
    <row r="28" spans="1:24" ht="14.4">
      <c r="A28" s="2518" t="str">
        <f>"02-01-2024 02:00"</f>
        <v>02-01-2024 02:00</v>
      </c>
      <c r="B28" s="2514">
        <v>0.16</v>
      </c>
      <c r="C28" s="2518" t="str">
        <f>"02-02-2024 01:00"</f>
        <v>02-02-2024 01:00</v>
      </c>
      <c r="D28" s="2514">
        <v>0.17</v>
      </c>
      <c r="E28" s="2518" t="str">
        <f>"02-03-2024 01:00"</f>
        <v>02-03-2024 01:00</v>
      </c>
      <c r="F28" s="2514">
        <v>0.13</v>
      </c>
      <c r="G28" s="2518" t="str">
        <f>"02-04-2024 01:00"</f>
        <v>02-04-2024 01:00</v>
      </c>
      <c r="H28" s="2514">
        <v>0.23</v>
      </c>
      <c r="I28" s="2518"/>
      <c r="J28" s="2514"/>
      <c r="K28" s="2518"/>
      <c r="L28" s="2514"/>
      <c r="M28" s="2518"/>
      <c r="N28" s="2514"/>
      <c r="O28" s="2518"/>
      <c r="P28" s="2514"/>
      <c r="Q28" s="2518"/>
      <c r="R28" s="2514"/>
      <c r="S28" s="2518"/>
      <c r="T28" s="2514"/>
      <c r="U28" s="2518"/>
      <c r="V28" s="2514"/>
      <c r="W28" s="2518"/>
      <c r="X28" s="2514"/>
    </row>
    <row r="29" spans="1:24" ht="14.4">
      <c r="A29" s="2518" t="str">
        <f>"02-01-2024 03:00"</f>
        <v>02-01-2024 03:00</v>
      </c>
      <c r="B29" s="2514">
        <v>0.26</v>
      </c>
      <c r="C29" s="2518" t="str">
        <f>"02-02-2024 02:00"</f>
        <v>02-02-2024 02:00</v>
      </c>
      <c r="D29" s="2514">
        <v>0.17</v>
      </c>
      <c r="E29" s="2518" t="str">
        <f>"02-03-2024 02:00"</f>
        <v>02-03-2024 02:00</v>
      </c>
      <c r="F29" s="2514">
        <v>0.2</v>
      </c>
      <c r="G29" s="2518" t="str">
        <f>"02-04-2024 02:00"</f>
        <v>02-04-2024 02:00</v>
      </c>
      <c r="H29" s="2514">
        <v>0.18</v>
      </c>
      <c r="I29" s="2518"/>
      <c r="J29" s="2514"/>
      <c r="K29" s="2518"/>
      <c r="L29" s="2514"/>
      <c r="M29" s="2518"/>
      <c r="N29" s="2514"/>
      <c r="O29" s="2518"/>
      <c r="P29" s="2514"/>
      <c r="Q29" s="2518"/>
      <c r="R29" s="2514"/>
      <c r="S29" s="2518"/>
      <c r="T29" s="2514"/>
      <c r="U29" s="2518"/>
      <c r="V29" s="2514"/>
      <c r="W29" s="2518"/>
      <c r="X29" s="2514"/>
    </row>
    <row r="30" spans="1:24" ht="14.4">
      <c r="A30" s="2518" t="str">
        <f>"02-01-2024 04:00"</f>
        <v>02-01-2024 04:00</v>
      </c>
      <c r="B30" s="2514">
        <v>0.14000000000000001</v>
      </c>
      <c r="C30" s="2518" t="str">
        <f>"02-02-2024 03:00"</f>
        <v>02-02-2024 03:00</v>
      </c>
      <c r="D30" s="2514">
        <v>0.17</v>
      </c>
      <c r="E30" s="2518" t="str">
        <f>"02-03-2024 03:00"</f>
        <v>02-03-2024 03:00</v>
      </c>
      <c r="F30" s="2514">
        <v>0.21</v>
      </c>
      <c r="G30" s="2518" t="str">
        <f>"02-04-2024 03:00"</f>
        <v>02-04-2024 03:00</v>
      </c>
      <c r="H30" s="2514">
        <v>0.25</v>
      </c>
      <c r="I30" s="2518"/>
      <c r="J30" s="2514"/>
      <c r="K30" s="2518"/>
      <c r="L30" s="2514"/>
      <c r="M30" s="2518"/>
      <c r="N30" s="2514"/>
      <c r="O30" s="2518"/>
      <c r="P30" s="2514"/>
      <c r="Q30" s="2518"/>
      <c r="R30" s="2514"/>
      <c r="S30" s="2518"/>
      <c r="T30" s="2514"/>
      <c r="U30" s="2518"/>
      <c r="V30" s="2514"/>
      <c r="W30" s="2518"/>
      <c r="X30" s="2514"/>
    </row>
    <row r="31" spans="1:24" ht="14.4">
      <c r="A31" s="2518" t="str">
        <f>"02-01-2024 05:00"</f>
        <v>02-01-2024 05:00</v>
      </c>
      <c r="B31" s="2514">
        <v>0.19</v>
      </c>
      <c r="C31" s="2518" t="str">
        <f>"02-02-2024 04:00"</f>
        <v>02-02-2024 04:00</v>
      </c>
      <c r="D31" s="2514">
        <v>0.12</v>
      </c>
      <c r="E31" s="2518" t="str">
        <f>"02-03-2024 04:00"</f>
        <v>02-03-2024 04:00</v>
      </c>
      <c r="F31" s="2514">
        <v>0.2</v>
      </c>
      <c r="G31" s="2518" t="str">
        <f>"02-04-2024 04:00"</f>
        <v>02-04-2024 04:00</v>
      </c>
      <c r="H31" s="2514">
        <v>0.21</v>
      </c>
      <c r="I31" s="2518"/>
      <c r="J31" s="2514"/>
      <c r="K31" s="2518"/>
      <c r="L31" s="2514"/>
      <c r="M31" s="2518"/>
      <c r="N31" s="2514"/>
      <c r="O31" s="2518"/>
      <c r="P31" s="2514"/>
      <c r="Q31" s="2518"/>
      <c r="R31" s="2514"/>
      <c r="S31" s="2518"/>
      <c r="T31" s="2514"/>
      <c r="U31" s="2518"/>
      <c r="V31" s="2514"/>
      <c r="W31" s="2518"/>
      <c r="X31" s="2514"/>
    </row>
    <row r="32" spans="1:24" ht="14.4">
      <c r="A32" s="2518" t="str">
        <f>"02-01-2024 06:00"</f>
        <v>02-01-2024 06:00</v>
      </c>
      <c r="B32" s="2514">
        <v>0.16</v>
      </c>
      <c r="C32" s="2518" t="str">
        <f>"02-02-2024 05:00"</f>
        <v>02-02-2024 05:00</v>
      </c>
      <c r="D32" s="2514">
        <v>0.25</v>
      </c>
      <c r="E32" s="2518" t="str">
        <f>"02-03-2024 05:00"</f>
        <v>02-03-2024 05:00</v>
      </c>
      <c r="F32" s="2514">
        <v>0.15</v>
      </c>
      <c r="G32" s="2518" t="str">
        <f>"02-04-2024 05:00"</f>
        <v>02-04-2024 05:00</v>
      </c>
      <c r="H32" s="2514">
        <v>0.14000000000000001</v>
      </c>
      <c r="I32" s="2518"/>
      <c r="J32" s="2514"/>
      <c r="K32" s="2518"/>
      <c r="L32" s="2514"/>
      <c r="M32" s="2518"/>
      <c r="N32" s="2514"/>
      <c r="O32" s="2518"/>
      <c r="P32" s="2514"/>
      <c r="Q32" s="2518"/>
      <c r="R32" s="2514"/>
      <c r="S32" s="2518"/>
      <c r="T32" s="2514"/>
      <c r="U32" s="2518"/>
      <c r="V32" s="2514"/>
      <c r="W32" s="2518"/>
      <c r="X32" s="2514"/>
    </row>
    <row r="33" spans="1:24" ht="14.4">
      <c r="A33" s="2518" t="str">
        <f>"02-01-2024 07:00"</f>
        <v>02-01-2024 07:00</v>
      </c>
      <c r="B33" s="2514">
        <v>0.21</v>
      </c>
      <c r="C33" s="2518" t="str">
        <f>"02-02-2024 06:00"</f>
        <v>02-02-2024 06:00</v>
      </c>
      <c r="D33" s="2514">
        <v>0.25</v>
      </c>
      <c r="E33" s="2518" t="str">
        <f>"02-03-2024 06:00"</f>
        <v>02-03-2024 06:00</v>
      </c>
      <c r="F33" s="2514">
        <v>0.22</v>
      </c>
      <c r="G33" s="2518" t="str">
        <f>"02-04-2024 06:00"</f>
        <v>02-04-2024 06:00</v>
      </c>
      <c r="H33" s="2514">
        <v>0.21</v>
      </c>
      <c r="I33" s="2518"/>
      <c r="J33" s="2514"/>
      <c r="K33" s="2518"/>
      <c r="L33" s="2514"/>
      <c r="M33" s="2518"/>
      <c r="N33" s="2514"/>
      <c r="O33" s="2518"/>
      <c r="P33" s="2514"/>
      <c r="Q33" s="2518"/>
      <c r="R33" s="2514"/>
      <c r="S33" s="2518"/>
      <c r="T33" s="2514"/>
      <c r="U33" s="2518"/>
      <c r="V33" s="2514"/>
      <c r="W33" s="2518"/>
      <c r="X33" s="2514"/>
    </row>
    <row r="34" spans="1:24" ht="14.4">
      <c r="A34" s="2518" t="str">
        <f>"02-01-2024 08:00"</f>
        <v>02-01-2024 08:00</v>
      </c>
      <c r="B34" s="2514">
        <v>0.3</v>
      </c>
      <c r="C34" s="2518" t="str">
        <f>"02-02-2024 07:00"</f>
        <v>02-02-2024 07:00</v>
      </c>
      <c r="D34" s="2514">
        <v>0.37</v>
      </c>
      <c r="E34" s="2518" t="str">
        <f>"02-03-2024 07:00"</f>
        <v>02-03-2024 07:00</v>
      </c>
      <c r="F34" s="2514">
        <v>0.15</v>
      </c>
      <c r="G34" s="2518" t="str">
        <f>"02-04-2024 07:00"</f>
        <v>02-04-2024 07:00</v>
      </c>
      <c r="H34" s="2514">
        <v>0.21</v>
      </c>
      <c r="I34" s="2518"/>
      <c r="J34" s="2514"/>
      <c r="K34" s="2518"/>
      <c r="L34" s="2514"/>
      <c r="M34" s="2518"/>
      <c r="N34" s="2514"/>
      <c r="O34" s="2518"/>
      <c r="P34" s="2514"/>
      <c r="Q34" s="2518"/>
      <c r="R34" s="2514"/>
      <c r="S34" s="2518"/>
      <c r="T34" s="2514"/>
      <c r="U34" s="2518"/>
      <c r="V34" s="2514"/>
      <c r="W34" s="2518"/>
      <c r="X34" s="2514"/>
    </row>
    <row r="35" spans="1:24" ht="14.4">
      <c r="A35" s="2518" t="str">
        <f>"02-01-2024 09:00"</f>
        <v>02-01-2024 09:00</v>
      </c>
      <c r="B35" s="2514">
        <v>0.45</v>
      </c>
      <c r="C35" s="2518" t="str">
        <f>"02-02-2024 08:00"</f>
        <v>02-02-2024 08:00</v>
      </c>
      <c r="D35" s="2514">
        <v>0.39</v>
      </c>
      <c r="E35" s="2518" t="str">
        <f>"02-03-2024 08:00"</f>
        <v>02-03-2024 08:00</v>
      </c>
      <c r="F35" s="2514">
        <v>0.21</v>
      </c>
      <c r="G35" s="2518" t="str">
        <f>"02-04-2024 08:00"</f>
        <v>02-04-2024 08:00</v>
      </c>
      <c r="H35" s="2514">
        <v>0.25</v>
      </c>
      <c r="I35" s="2518"/>
      <c r="J35" s="2514"/>
      <c r="K35" s="2518"/>
      <c r="L35" s="2514"/>
      <c r="M35" s="2518"/>
      <c r="N35" s="2514"/>
      <c r="O35" s="2518"/>
      <c r="P35" s="2514"/>
      <c r="Q35" s="2518"/>
      <c r="R35" s="2514"/>
      <c r="S35" s="2518"/>
      <c r="T35" s="2514"/>
      <c r="U35" s="2518"/>
      <c r="V35" s="2514"/>
      <c r="W35" s="2518"/>
      <c r="X35" s="2514"/>
    </row>
    <row r="36" spans="1:24" ht="14.4">
      <c r="A36" s="2518" t="str">
        <f>"02-01-2024 10:00"</f>
        <v>02-01-2024 10:00</v>
      </c>
      <c r="B36" s="2514">
        <v>0.38</v>
      </c>
      <c r="C36" s="2518" t="str">
        <f>"02-02-2024 09:00"</f>
        <v>02-02-2024 09:00</v>
      </c>
      <c r="D36" s="2514">
        <v>0.39</v>
      </c>
      <c r="E36" s="2518" t="str">
        <f>"02-03-2024 09:00"</f>
        <v>02-03-2024 09:00</v>
      </c>
      <c r="F36" s="2514">
        <v>0.45</v>
      </c>
      <c r="G36" s="2518" t="str">
        <f>"02-04-2024 09:00"</f>
        <v>02-04-2024 09:00</v>
      </c>
      <c r="H36" s="2514">
        <v>0.56999999999999995</v>
      </c>
      <c r="I36" s="2518"/>
      <c r="J36" s="2514"/>
      <c r="K36" s="2518"/>
      <c r="L36" s="2514"/>
      <c r="M36" s="2518"/>
      <c r="N36" s="2514"/>
      <c r="O36" s="2518"/>
      <c r="P36" s="2514"/>
      <c r="Q36" s="2518"/>
      <c r="R36" s="2514"/>
      <c r="S36" s="2518"/>
      <c r="T36" s="2514"/>
      <c r="U36" s="2518"/>
      <c r="V36" s="2514"/>
      <c r="W36" s="2518"/>
      <c r="X36" s="2514"/>
    </row>
    <row r="37" spans="1:24" ht="14.4">
      <c r="A37" s="2518" t="str">
        <f>"02-01-2024 11:00"</f>
        <v>02-01-2024 11:00</v>
      </c>
      <c r="B37" s="2514">
        <v>0.36</v>
      </c>
      <c r="C37" s="2518" t="str">
        <f>"02-02-2024 10:00"</f>
        <v>02-02-2024 10:00</v>
      </c>
      <c r="D37" s="2514">
        <v>0.52</v>
      </c>
      <c r="E37" s="2518" t="str">
        <f>"02-03-2024 10:00"</f>
        <v>02-03-2024 10:00</v>
      </c>
      <c r="F37" s="2514">
        <v>0.31</v>
      </c>
      <c r="G37" s="2518" t="str">
        <f>"02-04-2024 10:00"</f>
        <v>02-04-2024 10:00</v>
      </c>
      <c r="H37" s="2514">
        <v>0.49</v>
      </c>
      <c r="I37" s="2518"/>
      <c r="J37" s="2514"/>
      <c r="K37" s="2518"/>
      <c r="L37" s="2514"/>
      <c r="M37" s="2518"/>
      <c r="N37" s="2514"/>
      <c r="O37" s="2518"/>
      <c r="P37" s="2514"/>
      <c r="Q37" s="2518"/>
      <c r="R37" s="2514"/>
      <c r="S37" s="2518"/>
      <c r="T37" s="2514"/>
      <c r="U37" s="2518"/>
      <c r="V37" s="2514"/>
      <c r="W37" s="2518"/>
      <c r="X37" s="2514"/>
    </row>
    <row r="38" spans="1:24" ht="14.4">
      <c r="A38" s="2518" t="str">
        <f>"02-01-2024 12:00"</f>
        <v>02-01-2024 12:00</v>
      </c>
      <c r="B38" s="2514">
        <v>0.3</v>
      </c>
      <c r="C38" s="2518" t="str">
        <f>"02-02-2024 11:00"</f>
        <v>02-02-2024 11:00</v>
      </c>
      <c r="D38" s="2514">
        <v>0.32</v>
      </c>
      <c r="E38" s="2518" t="str">
        <f>"02-03-2024 11:00"</f>
        <v>02-03-2024 11:00</v>
      </c>
      <c r="F38" s="2514">
        <v>0.37</v>
      </c>
      <c r="G38" s="2518" t="str">
        <f>"02-04-2024 11:00"</f>
        <v>02-04-2024 11:00</v>
      </c>
      <c r="H38" s="2514">
        <v>0.35</v>
      </c>
      <c r="I38" s="2518"/>
      <c r="J38" s="2514"/>
      <c r="K38" s="2518"/>
      <c r="L38" s="2514"/>
      <c r="M38" s="2518"/>
      <c r="N38" s="2514"/>
      <c r="O38" s="2518"/>
      <c r="P38" s="2514"/>
      <c r="Q38" s="2518"/>
      <c r="R38" s="2514"/>
      <c r="S38" s="2518"/>
      <c r="T38" s="2514"/>
      <c r="U38" s="2518"/>
      <c r="V38" s="2514"/>
      <c r="W38" s="2518"/>
      <c r="X38" s="2514"/>
    </row>
    <row r="39" spans="1:24" ht="14.4">
      <c r="A39" s="2518" t="str">
        <f>"02-01-2024 13:00"</f>
        <v>02-01-2024 13:00</v>
      </c>
      <c r="B39" s="2514">
        <v>0.56000000000000005</v>
      </c>
      <c r="C39" s="2518" t="str">
        <f>"02-02-2024 12:00"</f>
        <v>02-02-2024 12:00</v>
      </c>
      <c r="D39" s="2514">
        <v>0.35</v>
      </c>
      <c r="E39" s="2518" t="str">
        <f>"02-03-2024 12:00"</f>
        <v>02-03-2024 12:00</v>
      </c>
      <c r="F39" s="2514">
        <v>0.57999999999999996</v>
      </c>
      <c r="G39" s="2518" t="str">
        <f>"02-04-2024 12:00"</f>
        <v>02-04-2024 12:00</v>
      </c>
      <c r="H39" s="2514">
        <v>0.39</v>
      </c>
      <c r="I39" s="2518"/>
      <c r="J39" s="2514"/>
      <c r="K39" s="2518"/>
      <c r="L39" s="2514"/>
      <c r="M39" s="2518"/>
      <c r="N39" s="2514"/>
      <c r="O39" s="2518"/>
      <c r="P39" s="2514"/>
      <c r="Q39" s="2518"/>
      <c r="R39" s="2514"/>
      <c r="S39" s="2518"/>
      <c r="T39" s="2514"/>
      <c r="U39" s="2518"/>
      <c r="V39" s="2514"/>
      <c r="W39" s="2518"/>
      <c r="X39" s="2514"/>
    </row>
    <row r="40" spans="1:24" ht="14.4">
      <c r="A40" s="2518" t="str">
        <f>"02-01-2024 14:00"</f>
        <v>02-01-2024 14:00</v>
      </c>
      <c r="B40" s="2514">
        <v>0.34</v>
      </c>
      <c r="C40" s="2518" t="str">
        <f>"02-02-2024 13:00"</f>
        <v>02-02-2024 13:00</v>
      </c>
      <c r="D40" s="2514">
        <v>0.28000000000000003</v>
      </c>
      <c r="E40" s="2518" t="str">
        <f>"02-03-2024 13:00"</f>
        <v>02-03-2024 13:00</v>
      </c>
      <c r="F40" s="2514">
        <v>0.52</v>
      </c>
      <c r="G40" s="2518" t="str">
        <f>"02-04-2024 13:00"</f>
        <v>02-04-2024 13:00</v>
      </c>
      <c r="H40" s="2514">
        <v>0.28000000000000003</v>
      </c>
      <c r="I40" s="2518"/>
      <c r="J40" s="2514"/>
      <c r="K40" s="2518"/>
      <c r="L40" s="2514"/>
      <c r="M40" s="2518"/>
      <c r="N40" s="2514"/>
      <c r="O40" s="2518"/>
      <c r="P40" s="2514"/>
      <c r="Q40" s="2518"/>
      <c r="R40" s="2514"/>
      <c r="S40" s="2518"/>
      <c r="T40" s="2514"/>
      <c r="U40" s="2518"/>
      <c r="V40" s="2514"/>
      <c r="W40" s="2518"/>
      <c r="X40" s="2514"/>
    </row>
    <row r="41" spans="1:24" ht="14.4">
      <c r="A41" s="2518" t="str">
        <f>"02-01-2024 15:00"</f>
        <v>02-01-2024 15:00</v>
      </c>
      <c r="B41" s="2514">
        <v>0.44</v>
      </c>
      <c r="C41" s="2518" t="str">
        <f>"02-02-2024 14:00"</f>
        <v>02-02-2024 14:00</v>
      </c>
      <c r="D41" s="2514">
        <v>0.27</v>
      </c>
      <c r="E41" s="2518" t="str">
        <f>"02-03-2024 14:00"</f>
        <v>02-03-2024 14:00</v>
      </c>
      <c r="F41" s="2514">
        <v>0.37</v>
      </c>
      <c r="G41" s="2518" t="str">
        <f>"02-04-2024 14:00"</f>
        <v>02-04-2024 14:00</v>
      </c>
      <c r="H41" s="2514">
        <v>0.36</v>
      </c>
      <c r="I41" s="2518"/>
      <c r="J41" s="2514"/>
      <c r="K41" s="2518"/>
      <c r="L41" s="2514"/>
      <c r="M41" s="2518"/>
      <c r="N41" s="2514"/>
      <c r="O41" s="2518"/>
      <c r="P41" s="2514"/>
      <c r="Q41" s="2518"/>
      <c r="R41" s="2514"/>
      <c r="S41" s="2518"/>
      <c r="T41" s="2514"/>
      <c r="U41" s="2518"/>
      <c r="V41" s="2514"/>
      <c r="W41" s="2518"/>
      <c r="X41" s="2514"/>
    </row>
    <row r="42" spans="1:24" ht="14.4">
      <c r="A42" s="2518" t="str">
        <f>"02-01-2024 16:00"</f>
        <v>02-01-2024 16:00</v>
      </c>
      <c r="B42" s="2514">
        <v>0.44</v>
      </c>
      <c r="C42" s="2518" t="str">
        <f>"02-02-2024 15:00"</f>
        <v>02-02-2024 15:00</v>
      </c>
      <c r="D42" s="2514">
        <v>0.41</v>
      </c>
      <c r="E42" s="2518" t="str">
        <f>"02-03-2024 15:00"</f>
        <v>02-03-2024 15:00</v>
      </c>
      <c r="F42" s="2514">
        <v>0.42</v>
      </c>
      <c r="G42" s="2518" t="str">
        <f>"02-04-2024 15:00"</f>
        <v>02-04-2024 15:00</v>
      </c>
      <c r="H42" s="2514">
        <v>0.36</v>
      </c>
      <c r="I42" s="2518"/>
      <c r="J42" s="2514"/>
      <c r="K42" s="2518"/>
      <c r="L42" s="2514"/>
      <c r="M42" s="2518"/>
      <c r="N42" s="2514"/>
      <c r="O42" s="2518"/>
      <c r="P42" s="2514"/>
      <c r="Q42" s="2518"/>
      <c r="R42" s="2514"/>
      <c r="S42" s="2518"/>
      <c r="T42" s="2514"/>
      <c r="U42" s="2518"/>
      <c r="V42" s="2514"/>
      <c r="W42" s="2518"/>
      <c r="X42" s="2514"/>
    </row>
    <row r="43" spans="1:24" ht="14.4">
      <c r="A43" s="2518" t="str">
        <f>"02-01-2024 17:00"</f>
        <v>02-01-2024 17:00</v>
      </c>
      <c r="B43" s="2514">
        <v>0.48</v>
      </c>
      <c r="C43" s="2518" t="str">
        <f>"02-02-2024 16:00"</f>
        <v>02-02-2024 16:00</v>
      </c>
      <c r="D43" s="2514">
        <v>0.41</v>
      </c>
      <c r="E43" s="2518" t="str">
        <f>"02-03-2024 16:00"</f>
        <v>02-03-2024 16:00</v>
      </c>
      <c r="F43" s="2514">
        <v>0.37</v>
      </c>
      <c r="G43" s="2518" t="str">
        <f>"02-04-2024 16:00"</f>
        <v>02-04-2024 16:00</v>
      </c>
      <c r="H43" s="2514">
        <v>0.33</v>
      </c>
      <c r="I43" s="2518"/>
      <c r="J43" s="2514"/>
      <c r="K43" s="2518"/>
      <c r="L43" s="2514"/>
      <c r="M43" s="2518"/>
      <c r="N43" s="2514"/>
      <c r="O43" s="2518"/>
      <c r="P43" s="2514"/>
      <c r="Q43" s="2518"/>
      <c r="R43" s="2514"/>
      <c r="S43" s="2518"/>
      <c r="T43" s="2514"/>
      <c r="U43" s="2518"/>
      <c r="V43" s="2514"/>
      <c r="W43" s="2518"/>
      <c r="X43" s="2514"/>
    </row>
    <row r="44" spans="1:24" ht="14.4">
      <c r="A44" s="2518" t="str">
        <f>"02-01-2024 18:00"</f>
        <v>02-01-2024 18:00</v>
      </c>
      <c r="B44" s="2514">
        <v>0.54</v>
      </c>
      <c r="C44" s="2518" t="str">
        <f>"02-02-2024 17:00"</f>
        <v>02-02-2024 17:00</v>
      </c>
      <c r="D44" s="2514">
        <v>0.4</v>
      </c>
      <c r="E44" s="2518" t="str">
        <f>"02-03-2024 17:00"</f>
        <v>02-03-2024 17:00</v>
      </c>
      <c r="F44" s="2514">
        <v>0.88</v>
      </c>
      <c r="G44" s="2518" t="str">
        <f>"02-04-2024 17:00"</f>
        <v>02-04-2024 17:00</v>
      </c>
      <c r="H44" s="2514">
        <v>0.54</v>
      </c>
      <c r="I44" s="2518"/>
      <c r="J44" s="2514"/>
      <c r="K44" s="2518"/>
      <c r="L44" s="2514"/>
      <c r="M44" s="2518"/>
      <c r="N44" s="2514"/>
      <c r="O44" s="2518"/>
      <c r="P44" s="2514"/>
      <c r="Q44" s="2518"/>
      <c r="R44" s="2514"/>
      <c r="S44" s="2518"/>
      <c r="T44" s="2514"/>
      <c r="U44" s="2518"/>
      <c r="V44" s="2514"/>
      <c r="W44" s="2518"/>
      <c r="X44" s="2514"/>
    </row>
    <row r="45" spans="1:24" ht="14.4">
      <c r="A45" s="2518" t="str">
        <f>"02-01-2024 19:00"</f>
        <v>02-01-2024 19:00</v>
      </c>
      <c r="B45" s="2514">
        <v>0.42</v>
      </c>
      <c r="C45" s="2518" t="str">
        <f>"02-02-2024 18:00"</f>
        <v>02-02-2024 18:00</v>
      </c>
      <c r="D45" s="2514">
        <v>0.47</v>
      </c>
      <c r="E45" s="2518" t="str">
        <f>"02-03-2024 18:00"</f>
        <v>02-03-2024 18:00</v>
      </c>
      <c r="F45" s="2514">
        <v>0.37</v>
      </c>
      <c r="G45" s="2518" t="str">
        <f>"02-04-2024 18:00"</f>
        <v>02-04-2024 18:00</v>
      </c>
      <c r="H45" s="2514">
        <v>0.28999999999999998</v>
      </c>
      <c r="I45" s="2518"/>
      <c r="J45" s="2514"/>
      <c r="K45" s="2518"/>
      <c r="L45" s="2514"/>
      <c r="M45" s="2518"/>
      <c r="N45" s="2514"/>
      <c r="O45" s="2518"/>
      <c r="P45" s="2514"/>
      <c r="Q45" s="2518"/>
      <c r="R45" s="2514"/>
      <c r="S45" s="2518"/>
      <c r="T45" s="2514"/>
      <c r="U45" s="2518"/>
      <c r="V45" s="2514"/>
      <c r="W45" s="2518"/>
      <c r="X45" s="2514"/>
    </row>
    <row r="46" spans="1:24" ht="14.4">
      <c r="A46" s="2518" t="str">
        <f>"02-01-2024 20:00"</f>
        <v>02-01-2024 20:00</v>
      </c>
      <c r="B46" s="2514">
        <v>0.48</v>
      </c>
      <c r="C46" s="2518" t="str">
        <f>"02-02-2024 19:00"</f>
        <v>02-02-2024 19:00</v>
      </c>
      <c r="D46" s="2514">
        <v>0.4</v>
      </c>
      <c r="E46" s="2518" t="str">
        <f>"02-03-2024 19:00"</f>
        <v>02-03-2024 19:00</v>
      </c>
      <c r="F46" s="2514">
        <v>0.35</v>
      </c>
      <c r="G46" s="2518" t="str">
        <f>"02-04-2024 19:00"</f>
        <v>02-04-2024 19:00</v>
      </c>
      <c r="H46" s="2514">
        <v>0.4</v>
      </c>
      <c r="I46" s="2518"/>
      <c r="J46" s="2514"/>
      <c r="K46" s="2518"/>
      <c r="L46" s="2514"/>
      <c r="M46" s="2518"/>
      <c r="N46" s="2514"/>
      <c r="O46" s="2518"/>
      <c r="P46" s="2514"/>
      <c r="Q46" s="2518"/>
      <c r="R46" s="2514"/>
      <c r="S46" s="2518"/>
      <c r="T46" s="2514"/>
      <c r="U46" s="2518"/>
      <c r="V46" s="2514"/>
      <c r="W46" s="2518"/>
      <c r="X46" s="2514"/>
    </row>
    <row r="47" spans="1:24" ht="14.4">
      <c r="A47" s="2518" t="str">
        <f>"02-01-2024 21:00"</f>
        <v>02-01-2024 21:00</v>
      </c>
      <c r="B47" s="2514">
        <v>0.35</v>
      </c>
      <c r="C47" s="2518" t="str">
        <f>"02-02-2024 20:00"</f>
        <v>02-02-2024 20:00</v>
      </c>
      <c r="D47" s="2514">
        <v>0.38</v>
      </c>
      <c r="E47" s="2518" t="str">
        <f>"02-03-2024 20:00"</f>
        <v>02-03-2024 20:00</v>
      </c>
      <c r="F47" s="2514">
        <v>0.5</v>
      </c>
      <c r="G47" s="2518" t="str">
        <f>"02-04-2024 20:00"</f>
        <v>02-04-2024 20:00</v>
      </c>
      <c r="H47" s="2514">
        <v>0.39</v>
      </c>
      <c r="I47" s="2518"/>
      <c r="J47" s="2514"/>
      <c r="K47" s="2518"/>
      <c r="L47" s="2514"/>
      <c r="M47" s="2518"/>
      <c r="N47" s="2514"/>
      <c r="O47" s="2518"/>
      <c r="P47" s="2514"/>
      <c r="Q47" s="2518"/>
      <c r="R47" s="2514"/>
      <c r="S47" s="2518"/>
      <c r="T47" s="2514"/>
      <c r="U47" s="2518"/>
      <c r="V47" s="2514"/>
      <c r="W47" s="2518"/>
      <c r="X47" s="2514"/>
    </row>
    <row r="48" spans="1:24" ht="14.4">
      <c r="A48" s="2518" t="str">
        <f>"02-01-2024 22:00"</f>
        <v>02-01-2024 22:00</v>
      </c>
      <c r="B48" s="2514">
        <v>0.25</v>
      </c>
      <c r="C48" s="2518" t="str">
        <f>"02-02-2024 21:00"</f>
        <v>02-02-2024 21:00</v>
      </c>
      <c r="D48" s="2514">
        <v>0.46</v>
      </c>
      <c r="E48" s="2518" t="str">
        <f>"02-03-2024 21:00"</f>
        <v>02-03-2024 21:00</v>
      </c>
      <c r="F48" s="2514">
        <v>0.35</v>
      </c>
      <c r="G48" s="2518" t="str">
        <f>"02-04-2024 21:00"</f>
        <v>02-04-2024 21:00</v>
      </c>
      <c r="H48" s="2514">
        <v>0.35</v>
      </c>
      <c r="I48" s="2518"/>
      <c r="J48" s="2514"/>
      <c r="K48" s="2518"/>
      <c r="L48" s="2514"/>
      <c r="M48" s="2518"/>
      <c r="N48" s="2514"/>
      <c r="O48" s="2518"/>
      <c r="P48" s="2514"/>
      <c r="Q48" s="2518"/>
      <c r="R48" s="2514"/>
      <c r="S48" s="2518"/>
      <c r="T48" s="2514"/>
      <c r="U48" s="2518"/>
      <c r="V48" s="2514"/>
      <c r="W48" s="2518"/>
      <c r="X48" s="2514"/>
    </row>
    <row r="49" spans="1:24" ht="14.4">
      <c r="A49" s="2518" t="str">
        <f>"02-01-2024 23:00"</f>
        <v>02-01-2024 23:00</v>
      </c>
      <c r="B49" s="2514">
        <v>0.18</v>
      </c>
      <c r="C49" s="2518" t="str">
        <f>"02-02-2024 22:00"</f>
        <v>02-02-2024 22:00</v>
      </c>
      <c r="D49" s="2514">
        <v>0.23</v>
      </c>
      <c r="E49" s="2518" t="str">
        <f>"02-03-2024 22:00"</f>
        <v>02-03-2024 22:00</v>
      </c>
      <c r="F49" s="2514">
        <v>0.13</v>
      </c>
      <c r="G49" s="2518" t="str">
        <f>"02-04-2024 22:00"</f>
        <v>02-04-2024 22:00</v>
      </c>
      <c r="H49" s="2514">
        <v>0.28999999999999998</v>
      </c>
      <c r="I49" s="2518"/>
      <c r="J49" s="2514"/>
      <c r="K49" s="2518"/>
      <c r="L49" s="2514"/>
      <c r="M49" s="2518"/>
      <c r="N49" s="2514"/>
      <c r="O49" s="2518"/>
      <c r="P49" s="2514"/>
      <c r="Q49" s="2518"/>
      <c r="R49" s="2514"/>
      <c r="S49" s="2518"/>
      <c r="T49" s="2514"/>
      <c r="U49" s="2518"/>
      <c r="V49" s="2514"/>
      <c r="W49" s="2518"/>
      <c r="X49" s="2514"/>
    </row>
    <row r="50" spans="1:24" s="2506" customFormat="1" ht="14.4">
      <c r="A50" s="2529"/>
      <c r="B50" s="2521">
        <v>0.27</v>
      </c>
      <c r="C50" s="2529" t="str">
        <f>"02-02-2024 23:00"</f>
        <v>02-02-2024 23:00</v>
      </c>
      <c r="D50" s="2521">
        <v>0.13</v>
      </c>
      <c r="E50" s="2529" t="str">
        <f>"02-03-2024 23:00"</f>
        <v>02-03-2024 23:00</v>
      </c>
      <c r="F50" s="2521">
        <v>0.2</v>
      </c>
      <c r="G50" s="2529" t="str">
        <f>"02-04-2024 23:00"</f>
        <v>02-04-2024 23:00</v>
      </c>
      <c r="H50" s="2521">
        <v>0.19</v>
      </c>
      <c r="I50" s="2529"/>
      <c r="J50" s="2521"/>
      <c r="K50" s="2529"/>
      <c r="L50" s="2521"/>
      <c r="M50" s="2529"/>
      <c r="N50" s="2521"/>
      <c r="O50" s="2529"/>
      <c r="P50" s="2521"/>
      <c r="Q50" s="2529"/>
      <c r="R50" s="2521"/>
      <c r="S50" s="2529"/>
      <c r="T50" s="2521"/>
      <c r="U50" s="2529"/>
      <c r="V50" s="2521"/>
      <c r="W50" s="2529"/>
      <c r="X50" s="2521"/>
    </row>
    <row r="51" spans="1:24" ht="14.4">
      <c r="A51" s="2522" t="str">
        <f>"03-01-2024 01:00"</f>
        <v>03-01-2024 01:00</v>
      </c>
      <c r="B51" s="2523">
        <v>0.23</v>
      </c>
      <c r="C51" s="2522" t="str">
        <f>"03-02-2024 00:00"</f>
        <v>03-02-2024 00:00</v>
      </c>
      <c r="D51" s="2523">
        <v>0.16</v>
      </c>
      <c r="E51" s="2522" t="str">
        <f>"03-03-2024 00:00"</f>
        <v>03-03-2024 00:00</v>
      </c>
      <c r="F51" s="2523">
        <v>0.16</v>
      </c>
      <c r="G51" s="2522" t="str">
        <f>"03-04-2024 00:00"</f>
        <v>03-04-2024 00:00</v>
      </c>
      <c r="H51" s="2523">
        <v>0.12</v>
      </c>
      <c r="I51" s="2522"/>
      <c r="J51" s="2523"/>
      <c r="K51" s="2522"/>
      <c r="L51" s="2523"/>
      <c r="M51" s="2522"/>
      <c r="N51" s="2523"/>
      <c r="O51" s="2522"/>
      <c r="P51" s="2523"/>
      <c r="Q51" s="2522"/>
      <c r="R51" s="2523"/>
      <c r="S51" s="2522"/>
      <c r="T51" s="2523"/>
      <c r="U51" s="2522"/>
      <c r="V51" s="2523"/>
      <c r="W51" s="2522"/>
      <c r="X51" s="2523"/>
    </row>
    <row r="52" spans="1:24" ht="14.4">
      <c r="A52" s="2519" t="str">
        <f>"03-01-2024 02:00"</f>
        <v>03-01-2024 02:00</v>
      </c>
      <c r="B52" s="2514">
        <v>0.15</v>
      </c>
      <c r="C52" s="2519" t="str">
        <f>"03-02-2024 01:00"</f>
        <v>03-02-2024 01:00</v>
      </c>
      <c r="D52" s="2514">
        <v>0.18</v>
      </c>
      <c r="E52" s="2519" t="str">
        <f>"03-03-2024 01:00"</f>
        <v>03-03-2024 01:00</v>
      </c>
      <c r="F52" s="2514">
        <v>0.15</v>
      </c>
      <c r="G52" s="2519" t="str">
        <f>"03-04-2024 01:00"</f>
        <v>03-04-2024 01:00</v>
      </c>
      <c r="H52" s="2514">
        <v>0.21</v>
      </c>
      <c r="I52" s="2519"/>
      <c r="J52" s="2514"/>
      <c r="K52" s="2519"/>
      <c r="L52" s="2514"/>
      <c r="M52" s="2519"/>
      <c r="N52" s="2514"/>
      <c r="O52" s="2519"/>
      <c r="P52" s="2514"/>
      <c r="Q52" s="2519"/>
      <c r="R52" s="2514"/>
      <c r="S52" s="2519"/>
      <c r="T52" s="2514"/>
      <c r="U52" s="2519"/>
      <c r="V52" s="2514"/>
      <c r="W52" s="2519"/>
      <c r="X52" s="2514"/>
    </row>
    <row r="53" spans="1:24" ht="14.4">
      <c r="A53" s="2519" t="str">
        <f>"03-01-2024 03:00"</f>
        <v>03-01-2024 03:00</v>
      </c>
      <c r="B53" s="2514">
        <v>0.16</v>
      </c>
      <c r="C53" s="2519" t="str">
        <f>"03-02-2024 02:00"</f>
        <v>03-02-2024 02:00</v>
      </c>
      <c r="D53" s="2514">
        <v>0.17</v>
      </c>
      <c r="E53" s="2519" t="str">
        <f>"03-03-2024 02:00"</f>
        <v>03-03-2024 02:00</v>
      </c>
      <c r="F53" s="2514">
        <v>0.18</v>
      </c>
      <c r="G53" s="2519" t="str">
        <f>"03-04-2024 02:00"</f>
        <v>03-04-2024 02:00</v>
      </c>
      <c r="H53" s="2514">
        <v>0.15</v>
      </c>
      <c r="I53" s="2519"/>
      <c r="J53" s="2514"/>
      <c r="K53" s="2519"/>
      <c r="L53" s="2514"/>
      <c r="M53" s="2519"/>
      <c r="N53" s="2514"/>
      <c r="O53" s="2519"/>
      <c r="P53" s="2514"/>
      <c r="Q53" s="2519"/>
      <c r="R53" s="2514"/>
      <c r="S53" s="2519"/>
      <c r="T53" s="2514"/>
      <c r="U53" s="2519"/>
      <c r="V53" s="2514"/>
      <c r="W53" s="2519"/>
      <c r="X53" s="2514"/>
    </row>
    <row r="54" spans="1:24" ht="14.4">
      <c r="A54" s="2519" t="str">
        <f>"03-01-2024 04:00"</f>
        <v>03-01-2024 04:00</v>
      </c>
      <c r="B54" s="2514">
        <v>0.17</v>
      </c>
      <c r="C54" s="2519" t="str">
        <f>"03-02-2024 03:00"</f>
        <v>03-02-2024 03:00</v>
      </c>
      <c r="D54" s="2514">
        <v>0.16</v>
      </c>
      <c r="E54" s="2519" t="str">
        <f>"03-03-2024 03:00"</f>
        <v>03-03-2024 03:00</v>
      </c>
      <c r="F54" s="2514">
        <v>0.33</v>
      </c>
      <c r="G54" s="2519" t="str">
        <f>"03-04-2024 03:00"</f>
        <v>03-04-2024 03:00</v>
      </c>
      <c r="H54" s="2514">
        <v>0.15</v>
      </c>
      <c r="I54" s="2519"/>
      <c r="J54" s="2514"/>
      <c r="K54" s="2519"/>
      <c r="L54" s="2514"/>
      <c r="M54" s="2519"/>
      <c r="N54" s="2514"/>
      <c r="O54" s="2519"/>
      <c r="P54" s="2514"/>
      <c r="Q54" s="2519"/>
      <c r="R54" s="2514"/>
      <c r="S54" s="2519"/>
      <c r="T54" s="2514"/>
      <c r="U54" s="2519"/>
      <c r="V54" s="2514"/>
      <c r="W54" s="2519"/>
      <c r="X54" s="2514"/>
    </row>
    <row r="55" spans="1:24" ht="14.4">
      <c r="A55" s="2519" t="str">
        <f>"03-01-2024 05:00"</f>
        <v>03-01-2024 05:00</v>
      </c>
      <c r="B55" s="2514">
        <v>0.1</v>
      </c>
      <c r="C55" s="2519" t="str">
        <f>"03-02-2024 04:00"</f>
        <v>03-02-2024 04:00</v>
      </c>
      <c r="D55" s="2514">
        <v>0.26</v>
      </c>
      <c r="E55" s="2519" t="str">
        <f>"03-03-2024 04:00"</f>
        <v>03-03-2024 04:00</v>
      </c>
      <c r="F55" s="2514">
        <v>0.16</v>
      </c>
      <c r="G55" s="2519" t="str">
        <f>"03-04-2024 04:00"</f>
        <v>03-04-2024 04:00</v>
      </c>
      <c r="H55" s="2514">
        <v>0.19</v>
      </c>
      <c r="I55" s="2519"/>
      <c r="J55" s="2514"/>
      <c r="K55" s="2519"/>
      <c r="L55" s="2514"/>
      <c r="M55" s="2519"/>
      <c r="N55" s="2514"/>
      <c r="O55" s="2519"/>
      <c r="P55" s="2514"/>
      <c r="Q55" s="2519"/>
      <c r="R55" s="2514"/>
      <c r="S55" s="2519"/>
      <c r="T55" s="2514"/>
      <c r="U55" s="2519"/>
      <c r="V55" s="2514"/>
      <c r="W55" s="2519"/>
      <c r="X55" s="2514"/>
    </row>
    <row r="56" spans="1:24" ht="14.4">
      <c r="A56" s="2519" t="str">
        <f>"03-01-2024 06:00"</f>
        <v>03-01-2024 06:00</v>
      </c>
      <c r="B56" s="2514">
        <v>0.19</v>
      </c>
      <c r="C56" s="2519" t="str">
        <f>"03-02-2024 05:00"</f>
        <v>03-02-2024 05:00</v>
      </c>
      <c r="D56" s="2514">
        <v>0.22</v>
      </c>
      <c r="E56" s="2519" t="str">
        <f>"03-03-2024 05:00"</f>
        <v>03-03-2024 05:00</v>
      </c>
      <c r="F56" s="2514">
        <v>0.15</v>
      </c>
      <c r="G56" s="2519" t="str">
        <f>"03-04-2024 05:00"</f>
        <v>03-04-2024 05:00</v>
      </c>
      <c r="H56" s="2514">
        <v>0.17</v>
      </c>
      <c r="I56" s="2519"/>
      <c r="J56" s="2514"/>
      <c r="K56" s="2519"/>
      <c r="L56" s="2514"/>
      <c r="M56" s="2519"/>
      <c r="N56" s="2514"/>
      <c r="O56" s="2519"/>
      <c r="P56" s="2514"/>
      <c r="Q56" s="2519"/>
      <c r="R56" s="2514"/>
      <c r="S56" s="2519"/>
      <c r="T56" s="2514"/>
      <c r="U56" s="2519"/>
      <c r="V56" s="2514"/>
      <c r="W56" s="2519"/>
      <c r="X56" s="2514"/>
    </row>
    <row r="57" spans="1:24" ht="14.4">
      <c r="A57" s="2519" t="str">
        <f>"03-01-2024 07:00"</f>
        <v>03-01-2024 07:00</v>
      </c>
      <c r="B57" s="2514">
        <v>0.32</v>
      </c>
      <c r="C57" s="2519" t="str">
        <f>"03-02-2024 06:00"</f>
        <v>03-02-2024 06:00</v>
      </c>
      <c r="D57" s="2514">
        <v>0.32</v>
      </c>
      <c r="E57" s="2519" t="str">
        <f>"03-03-2024 06:00"</f>
        <v>03-03-2024 06:00</v>
      </c>
      <c r="F57" s="2514">
        <v>0.22</v>
      </c>
      <c r="G57" s="2519" t="str">
        <f>"03-04-2024 06:00"</f>
        <v>03-04-2024 06:00</v>
      </c>
      <c r="H57" s="2514">
        <v>0.14000000000000001</v>
      </c>
      <c r="I57" s="2519"/>
      <c r="J57" s="2514"/>
      <c r="K57" s="2519"/>
      <c r="L57" s="2514"/>
      <c r="M57" s="2519"/>
      <c r="N57" s="2514"/>
      <c r="O57" s="2519"/>
      <c r="P57" s="2514"/>
      <c r="Q57" s="2519"/>
      <c r="R57" s="2514"/>
      <c r="S57" s="2519"/>
      <c r="T57" s="2514"/>
      <c r="U57" s="2519"/>
      <c r="V57" s="2514"/>
      <c r="W57" s="2519"/>
      <c r="X57" s="2514"/>
    </row>
    <row r="58" spans="1:24" ht="14.4">
      <c r="A58" s="2519" t="str">
        <f>"03-01-2024 08:00"</f>
        <v>03-01-2024 08:00</v>
      </c>
      <c r="B58" s="2514">
        <v>0.51</v>
      </c>
      <c r="C58" s="2519" t="str">
        <f>"03-02-2024 07:00"</f>
        <v>03-02-2024 07:00</v>
      </c>
      <c r="D58" s="2514">
        <v>0.32</v>
      </c>
      <c r="E58" s="2519" t="str">
        <f>"03-03-2024 07:00"</f>
        <v>03-03-2024 07:00</v>
      </c>
      <c r="F58" s="2514">
        <v>0.19</v>
      </c>
      <c r="G58" s="2519" t="str">
        <f>"03-04-2024 07:00"</f>
        <v>03-04-2024 07:00</v>
      </c>
      <c r="H58" s="2514">
        <v>0.25</v>
      </c>
      <c r="I58" s="2519"/>
      <c r="J58" s="2514"/>
      <c r="K58" s="2519"/>
      <c r="L58" s="2514"/>
      <c r="M58" s="2519"/>
      <c r="N58" s="2514"/>
      <c r="O58" s="2519"/>
      <c r="P58" s="2514"/>
      <c r="Q58" s="2519"/>
      <c r="R58" s="2514"/>
      <c r="S58" s="2519"/>
      <c r="T58" s="2514"/>
      <c r="U58" s="2519"/>
      <c r="V58" s="2514"/>
      <c r="W58" s="2519"/>
      <c r="X58" s="2514"/>
    </row>
    <row r="59" spans="1:24" ht="14.4">
      <c r="A59" s="2519" t="str">
        <f>"03-01-2024 09:00"</f>
        <v>03-01-2024 09:00</v>
      </c>
      <c r="B59" s="2514">
        <v>0.64</v>
      </c>
      <c r="C59" s="2519" t="str">
        <f>"03-02-2024 08:00"</f>
        <v>03-02-2024 08:00</v>
      </c>
      <c r="D59" s="2514">
        <v>0.25</v>
      </c>
      <c r="E59" s="2519" t="str">
        <f>"03-03-2024 08:00"</f>
        <v>03-03-2024 08:00</v>
      </c>
      <c r="F59" s="2514">
        <v>0.37</v>
      </c>
      <c r="G59" s="2519" t="str">
        <f>"03-04-2024 08:00"</f>
        <v>03-04-2024 08:00</v>
      </c>
      <c r="H59" s="2514">
        <v>0.37</v>
      </c>
      <c r="I59" s="2519"/>
      <c r="J59" s="2514"/>
      <c r="K59" s="2519"/>
      <c r="L59" s="2514"/>
      <c r="M59" s="2519"/>
      <c r="N59" s="2514"/>
      <c r="O59" s="2519"/>
      <c r="P59" s="2514"/>
      <c r="Q59" s="2519"/>
      <c r="R59" s="2514"/>
      <c r="S59" s="2519"/>
      <c r="T59" s="2514"/>
      <c r="U59" s="2519"/>
      <c r="V59" s="2514"/>
      <c r="W59" s="2519"/>
      <c r="X59" s="2514"/>
    </row>
    <row r="60" spans="1:24" ht="14.4">
      <c r="A60" s="2519" t="str">
        <f>"03-01-2024 10:00"</f>
        <v>03-01-2024 10:00</v>
      </c>
      <c r="B60" s="2514">
        <v>0.35</v>
      </c>
      <c r="C60" s="2519" t="str">
        <f>"03-02-2024 09:00"</f>
        <v>03-02-2024 09:00</v>
      </c>
      <c r="D60" s="2514">
        <v>0.28000000000000003</v>
      </c>
      <c r="E60" s="2519" t="str">
        <f>"03-03-2024 09:00"</f>
        <v>03-03-2024 09:00</v>
      </c>
      <c r="F60" s="2514">
        <v>0.35</v>
      </c>
      <c r="G60" s="2519" t="str">
        <f>"03-04-2024 09:00"</f>
        <v>03-04-2024 09:00</v>
      </c>
      <c r="H60" s="2514">
        <v>0.57999999999999996</v>
      </c>
      <c r="I60" s="2519"/>
      <c r="J60" s="2514"/>
      <c r="K60" s="2519"/>
      <c r="L60" s="2514"/>
      <c r="M60" s="2519"/>
      <c r="N60" s="2514"/>
      <c r="O60" s="2519"/>
      <c r="P60" s="2514"/>
      <c r="Q60" s="2519"/>
      <c r="R60" s="2514"/>
      <c r="S60" s="2519"/>
      <c r="T60" s="2514"/>
      <c r="U60" s="2519"/>
      <c r="V60" s="2514"/>
      <c r="W60" s="2519"/>
      <c r="X60" s="2514"/>
    </row>
    <row r="61" spans="1:24" ht="14.4">
      <c r="A61" s="2519" t="str">
        <f>"03-01-2024 11:00"</f>
        <v>03-01-2024 11:00</v>
      </c>
      <c r="B61" s="2514">
        <v>0.32</v>
      </c>
      <c r="C61" s="2519" t="str">
        <f>"03-02-2024 10:00"</f>
        <v>03-02-2024 10:00</v>
      </c>
      <c r="D61" s="2514">
        <v>0.42</v>
      </c>
      <c r="E61" s="2519" t="str">
        <f>"03-03-2024 10:00"</f>
        <v>03-03-2024 10:00</v>
      </c>
      <c r="F61" s="2514">
        <v>0.31</v>
      </c>
      <c r="G61" s="2519" t="str">
        <f>"03-04-2024 10:00"</f>
        <v>03-04-2024 10:00</v>
      </c>
      <c r="H61" s="2514">
        <v>0.17</v>
      </c>
      <c r="I61" s="2519"/>
      <c r="J61" s="2514"/>
      <c r="K61" s="2519"/>
      <c r="L61" s="2514"/>
      <c r="M61" s="2519"/>
      <c r="N61" s="2514"/>
      <c r="O61" s="2519"/>
      <c r="P61" s="2514"/>
      <c r="Q61" s="2519"/>
      <c r="R61" s="2514"/>
      <c r="S61" s="2519"/>
      <c r="T61" s="2514"/>
      <c r="U61" s="2519"/>
      <c r="V61" s="2514"/>
      <c r="W61" s="2519"/>
      <c r="X61" s="2514"/>
    </row>
    <row r="62" spans="1:24" ht="14.4">
      <c r="A62" s="2519" t="str">
        <f>"03-01-2024 12:00"</f>
        <v>03-01-2024 12:00</v>
      </c>
      <c r="B62" s="2514">
        <v>0.39</v>
      </c>
      <c r="C62" s="2519" t="str">
        <f>"03-02-2024 11:00"</f>
        <v>03-02-2024 11:00</v>
      </c>
      <c r="D62" s="2514">
        <v>0.47</v>
      </c>
      <c r="E62" s="2519" t="str">
        <f>"03-03-2024 11:00"</f>
        <v>03-03-2024 11:00</v>
      </c>
      <c r="F62" s="2514">
        <v>0.22</v>
      </c>
      <c r="G62" s="2519" t="str">
        <f>"03-04-2024 11:00"</f>
        <v>03-04-2024 11:00</v>
      </c>
      <c r="H62" s="2514">
        <v>0.28000000000000003</v>
      </c>
      <c r="I62" s="2519"/>
      <c r="J62" s="2514"/>
      <c r="K62" s="2519"/>
      <c r="L62" s="2514"/>
      <c r="M62" s="2519"/>
      <c r="N62" s="2514"/>
      <c r="O62" s="2519"/>
      <c r="P62" s="2514"/>
      <c r="Q62" s="2519"/>
      <c r="R62" s="2514"/>
      <c r="S62" s="2519"/>
      <c r="T62" s="2514"/>
      <c r="U62" s="2519"/>
      <c r="V62" s="2514"/>
      <c r="W62" s="2519"/>
      <c r="X62" s="2514"/>
    </row>
    <row r="63" spans="1:24" ht="14.4">
      <c r="A63" s="2519" t="str">
        <f>"03-01-2024 13:00"</f>
        <v>03-01-2024 13:00</v>
      </c>
      <c r="B63" s="2514">
        <v>0.62</v>
      </c>
      <c r="C63" s="2519" t="str">
        <f>"03-02-2024 12:00"</f>
        <v>03-02-2024 12:00</v>
      </c>
      <c r="D63" s="2514">
        <v>0.37</v>
      </c>
      <c r="E63" s="2519" t="str">
        <f>"03-03-2024 12:00"</f>
        <v>03-03-2024 12:00</v>
      </c>
      <c r="F63" s="2514">
        <v>0.53</v>
      </c>
      <c r="G63" s="2519" t="str">
        <f>"03-04-2024 12:00"</f>
        <v>03-04-2024 12:00</v>
      </c>
      <c r="H63" s="2514">
        <v>0.31</v>
      </c>
      <c r="I63" s="2519"/>
      <c r="J63" s="2514"/>
      <c r="K63" s="2519"/>
      <c r="L63" s="2514"/>
      <c r="M63" s="2519"/>
      <c r="N63" s="2514"/>
      <c r="O63" s="2519"/>
      <c r="P63" s="2514"/>
      <c r="Q63" s="2519"/>
      <c r="R63" s="2514"/>
      <c r="S63" s="2519"/>
      <c r="T63" s="2514"/>
      <c r="U63" s="2519"/>
      <c r="V63" s="2514"/>
      <c r="W63" s="2519"/>
      <c r="X63" s="2514"/>
    </row>
    <row r="64" spans="1:24" ht="14.4">
      <c r="A64" s="2519" t="str">
        <f>"03-01-2024 14:00"</f>
        <v>03-01-2024 14:00</v>
      </c>
      <c r="B64" s="2514">
        <v>0.43</v>
      </c>
      <c r="C64" s="2519" t="str">
        <f>"03-02-2024 13:00"</f>
        <v>03-02-2024 13:00</v>
      </c>
      <c r="D64" s="2514">
        <v>0.34</v>
      </c>
      <c r="E64" s="2519" t="str">
        <f>"03-03-2024 13:00"</f>
        <v>03-03-2024 13:00</v>
      </c>
      <c r="F64" s="2514">
        <v>0.41</v>
      </c>
      <c r="G64" s="2519" t="str">
        <f>"03-04-2024 13:00"</f>
        <v>03-04-2024 13:00</v>
      </c>
      <c r="H64" s="2514">
        <v>0.53</v>
      </c>
      <c r="I64" s="2519"/>
      <c r="J64" s="2514"/>
      <c r="K64" s="2519"/>
      <c r="L64" s="2514"/>
      <c r="M64" s="2519"/>
      <c r="N64" s="2514"/>
      <c r="O64" s="2519"/>
      <c r="P64" s="2514"/>
      <c r="Q64" s="2519"/>
      <c r="R64" s="2514"/>
      <c r="S64" s="2519"/>
      <c r="T64" s="2514"/>
      <c r="U64" s="2519"/>
      <c r="V64" s="2514"/>
      <c r="W64" s="2519"/>
      <c r="X64" s="2514"/>
    </row>
    <row r="65" spans="1:24" ht="14.4">
      <c r="A65" s="2519" t="str">
        <f>"03-01-2024 15:00"</f>
        <v>03-01-2024 15:00</v>
      </c>
      <c r="B65" s="2514">
        <v>0.43</v>
      </c>
      <c r="C65" s="2519" t="str">
        <f>"03-02-2024 14:00"</f>
        <v>03-02-2024 14:00</v>
      </c>
      <c r="D65" s="2514">
        <v>0.39</v>
      </c>
      <c r="E65" s="2519" t="str">
        <f>"03-03-2024 14:00"</f>
        <v>03-03-2024 14:00</v>
      </c>
      <c r="F65" s="2514">
        <v>0.36</v>
      </c>
      <c r="G65" s="2519" t="str">
        <f>"03-04-2024 14:00"</f>
        <v>03-04-2024 14:00</v>
      </c>
      <c r="H65" s="2514">
        <v>0.31</v>
      </c>
      <c r="I65" s="2519"/>
      <c r="J65" s="2514"/>
      <c r="K65" s="2519"/>
      <c r="L65" s="2514"/>
      <c r="M65" s="2519"/>
      <c r="N65" s="2514"/>
      <c r="O65" s="2519"/>
      <c r="P65" s="2514"/>
      <c r="Q65" s="2519"/>
      <c r="R65" s="2514"/>
      <c r="S65" s="2519"/>
      <c r="T65" s="2514"/>
      <c r="U65" s="2519"/>
      <c r="V65" s="2514"/>
      <c r="W65" s="2519"/>
      <c r="X65" s="2514"/>
    </row>
    <row r="66" spans="1:24" ht="14.4">
      <c r="A66" s="2519" t="str">
        <f>"03-01-2024 16:00"</f>
        <v>03-01-2024 16:00</v>
      </c>
      <c r="B66" s="2514">
        <v>0.43</v>
      </c>
      <c r="C66" s="2519" t="str">
        <f>"03-02-2024 15:00"</f>
        <v>03-02-2024 15:00</v>
      </c>
      <c r="D66" s="2514">
        <v>0.43</v>
      </c>
      <c r="E66" s="2519" t="str">
        <f>"03-03-2024 15:00"</f>
        <v>03-03-2024 15:00</v>
      </c>
      <c r="F66" s="2514">
        <v>0.33</v>
      </c>
      <c r="G66" s="2519" t="str">
        <f>"03-04-2024 15:00"</f>
        <v>03-04-2024 15:00</v>
      </c>
      <c r="H66" s="2514">
        <v>0.41</v>
      </c>
      <c r="I66" s="2519"/>
      <c r="J66" s="2514"/>
      <c r="K66" s="2519"/>
      <c r="L66" s="2514"/>
      <c r="M66" s="2519"/>
      <c r="N66" s="2514"/>
      <c r="O66" s="2519"/>
      <c r="P66" s="2514"/>
      <c r="Q66" s="2519"/>
      <c r="R66" s="2514"/>
      <c r="S66" s="2519"/>
      <c r="T66" s="2514"/>
      <c r="U66" s="2519"/>
      <c r="V66" s="2514"/>
      <c r="W66" s="2519"/>
      <c r="X66" s="2514"/>
    </row>
    <row r="67" spans="1:24" ht="14.4">
      <c r="A67" s="2519" t="str">
        <f>"03-01-2024 17:00"</f>
        <v>03-01-2024 17:00</v>
      </c>
      <c r="B67" s="2514">
        <v>0.51</v>
      </c>
      <c r="C67" s="2519" t="str">
        <f>"03-02-2024 16:00"</f>
        <v>03-02-2024 16:00</v>
      </c>
      <c r="D67" s="2514">
        <v>0.41</v>
      </c>
      <c r="E67" s="2519" t="str">
        <f>"03-03-2024 16:00"</f>
        <v>03-03-2024 16:00</v>
      </c>
      <c r="F67" s="2514">
        <v>0.35</v>
      </c>
      <c r="G67" s="2519" t="str">
        <f>"03-04-2024 16:00"</f>
        <v>03-04-2024 16:00</v>
      </c>
      <c r="H67" s="2514">
        <v>0.28000000000000003</v>
      </c>
      <c r="I67" s="2519"/>
      <c r="J67" s="2514"/>
      <c r="K67" s="2519"/>
      <c r="L67" s="2514"/>
      <c r="M67" s="2519"/>
      <c r="N67" s="2514"/>
      <c r="O67" s="2519"/>
      <c r="P67" s="2514"/>
      <c r="Q67" s="2519"/>
      <c r="R67" s="2514"/>
      <c r="S67" s="2519"/>
      <c r="T67" s="2514"/>
      <c r="U67" s="2519"/>
      <c r="V67" s="2514"/>
      <c r="W67" s="2519"/>
      <c r="X67" s="2514"/>
    </row>
    <row r="68" spans="1:24" ht="14.4">
      <c r="A68" s="2519" t="str">
        <f>"03-01-2024 18:00"</f>
        <v>03-01-2024 18:00</v>
      </c>
      <c r="B68" s="2514">
        <v>0.43</v>
      </c>
      <c r="C68" s="2519" t="str">
        <f>"03-02-2024 17:00"</f>
        <v>03-02-2024 17:00</v>
      </c>
      <c r="D68" s="2514">
        <v>0.55000000000000004</v>
      </c>
      <c r="E68" s="2519" t="str">
        <f>"03-03-2024 17:00"</f>
        <v>03-03-2024 17:00</v>
      </c>
      <c r="F68" s="2514">
        <v>0.64</v>
      </c>
      <c r="G68" s="2519" t="str">
        <f>"03-04-2024 17:00"</f>
        <v>03-04-2024 17:00</v>
      </c>
      <c r="H68" s="2514">
        <v>0.56000000000000005</v>
      </c>
      <c r="I68" s="2519"/>
      <c r="J68" s="2514"/>
      <c r="K68" s="2519"/>
      <c r="L68" s="2514"/>
      <c r="M68" s="2519"/>
      <c r="N68" s="2514"/>
      <c r="O68" s="2519"/>
      <c r="P68" s="2514"/>
      <c r="Q68" s="2519"/>
      <c r="R68" s="2514"/>
      <c r="S68" s="2519"/>
      <c r="T68" s="2514"/>
      <c r="U68" s="2519"/>
      <c r="V68" s="2514"/>
      <c r="W68" s="2519"/>
      <c r="X68" s="2514"/>
    </row>
    <row r="69" spans="1:24" ht="14.4">
      <c r="A69" s="2519" t="str">
        <f>"03-01-2024 19:00"</f>
        <v>03-01-2024 19:00</v>
      </c>
      <c r="B69" s="2514">
        <v>0.47</v>
      </c>
      <c r="C69" s="2519" t="str">
        <f>"03-02-2024 18:00"</f>
        <v>03-02-2024 18:00</v>
      </c>
      <c r="D69" s="2514">
        <v>0.45</v>
      </c>
      <c r="E69" s="2519" t="str">
        <f>"03-03-2024 18:00"</f>
        <v>03-03-2024 18:00</v>
      </c>
      <c r="F69" s="2514">
        <v>0.47</v>
      </c>
      <c r="G69" s="2519" t="str">
        <f>"03-04-2024 18:00"</f>
        <v>03-04-2024 18:00</v>
      </c>
      <c r="H69" s="2514">
        <v>0.56000000000000005</v>
      </c>
      <c r="I69" s="2519"/>
      <c r="J69" s="2514"/>
      <c r="K69" s="2519"/>
      <c r="L69" s="2514"/>
      <c r="M69" s="2519"/>
      <c r="N69" s="2514"/>
      <c r="O69" s="2519"/>
      <c r="P69" s="2514"/>
      <c r="Q69" s="2519"/>
      <c r="R69" s="2514"/>
      <c r="S69" s="2519"/>
      <c r="T69" s="2514"/>
      <c r="U69" s="2519"/>
      <c r="V69" s="2514"/>
      <c r="W69" s="2519"/>
      <c r="X69" s="2514"/>
    </row>
    <row r="70" spans="1:24" ht="14.4">
      <c r="A70" s="2519" t="str">
        <f>"03-01-2024 20:00"</f>
        <v>03-01-2024 20:00</v>
      </c>
      <c r="B70" s="2514">
        <v>0.39</v>
      </c>
      <c r="C70" s="2519" t="str">
        <f>"03-02-2024 19:00"</f>
        <v>03-02-2024 19:00</v>
      </c>
      <c r="D70" s="2514">
        <v>0.48</v>
      </c>
      <c r="E70" s="2519" t="str">
        <f>"03-03-2024 19:00"</f>
        <v>03-03-2024 19:00</v>
      </c>
      <c r="F70" s="2514">
        <v>0.45</v>
      </c>
      <c r="G70" s="2519" t="str">
        <f>"03-04-2024 19:00"</f>
        <v>03-04-2024 19:00</v>
      </c>
      <c r="H70" s="2514">
        <v>0.34</v>
      </c>
      <c r="I70" s="2519"/>
      <c r="J70" s="2514"/>
      <c r="K70" s="2519"/>
      <c r="L70" s="2514"/>
      <c r="M70" s="2519"/>
      <c r="N70" s="2514"/>
      <c r="O70" s="2519"/>
      <c r="P70" s="2514"/>
      <c r="Q70" s="2519"/>
      <c r="R70" s="2514"/>
      <c r="S70" s="2519"/>
      <c r="T70" s="2514"/>
      <c r="U70" s="2519"/>
      <c r="V70" s="2514"/>
      <c r="W70" s="2519"/>
      <c r="X70" s="2514"/>
    </row>
    <row r="71" spans="1:24" ht="14.4">
      <c r="A71" s="2519" t="str">
        <f>"03-01-2024 21:00"</f>
        <v>03-01-2024 21:00</v>
      </c>
      <c r="B71" s="2514">
        <v>0.28000000000000003</v>
      </c>
      <c r="C71" s="2519" t="str">
        <f>"03-02-2024 20:00"</f>
        <v>03-02-2024 20:00</v>
      </c>
      <c r="D71" s="2514">
        <v>0.45</v>
      </c>
      <c r="E71" s="2519" t="str">
        <f>"03-03-2024 20:00"</f>
        <v>03-03-2024 20:00</v>
      </c>
      <c r="F71" s="2514">
        <v>0.43</v>
      </c>
      <c r="G71" s="2519" t="str">
        <f>"03-04-2024 20:00"</f>
        <v>03-04-2024 20:00</v>
      </c>
      <c r="H71" s="2514">
        <v>0.35</v>
      </c>
      <c r="I71" s="2519"/>
      <c r="J71" s="2514"/>
      <c r="K71" s="2519"/>
      <c r="L71" s="2514"/>
      <c r="M71" s="2519"/>
      <c r="N71" s="2514"/>
      <c r="O71" s="2519"/>
      <c r="P71" s="2514"/>
      <c r="Q71" s="2519"/>
      <c r="R71" s="2514"/>
      <c r="S71" s="2519"/>
      <c r="T71" s="2514"/>
      <c r="U71" s="2519"/>
      <c r="V71" s="2514"/>
      <c r="W71" s="2519"/>
      <c r="X71" s="2514"/>
    </row>
    <row r="72" spans="1:24" ht="14.4">
      <c r="A72" s="2519" t="str">
        <f>"03-01-2024 22:00"</f>
        <v>03-01-2024 22:00</v>
      </c>
      <c r="B72" s="2514">
        <v>0.39</v>
      </c>
      <c r="C72" s="2519" t="str">
        <f>"03-02-2024 21:00"</f>
        <v>03-02-2024 21:00</v>
      </c>
      <c r="D72" s="2514">
        <v>0.32</v>
      </c>
      <c r="E72" s="2519" t="str">
        <f>"03-03-2024 21:00"</f>
        <v>03-03-2024 21:00</v>
      </c>
      <c r="F72" s="2514">
        <v>0.3</v>
      </c>
      <c r="G72" s="2519" t="str">
        <f>"03-04-2024 21:00"</f>
        <v>03-04-2024 21:00</v>
      </c>
      <c r="H72" s="2514">
        <v>0.56999999999999995</v>
      </c>
      <c r="I72" s="2519"/>
      <c r="J72" s="2514"/>
      <c r="K72" s="2519"/>
      <c r="L72" s="2514"/>
      <c r="M72" s="2519"/>
      <c r="N72" s="2514"/>
      <c r="O72" s="2519"/>
      <c r="P72" s="2514"/>
      <c r="Q72" s="2519"/>
      <c r="R72" s="2514"/>
      <c r="S72" s="2519"/>
      <c r="T72" s="2514"/>
      <c r="U72" s="2519"/>
      <c r="V72" s="2514"/>
      <c r="W72" s="2519"/>
      <c r="X72" s="2514"/>
    </row>
    <row r="73" spans="1:24" ht="14.4">
      <c r="A73" s="2519" t="str">
        <f>"03-01-2024 23:00"</f>
        <v>03-01-2024 23:00</v>
      </c>
      <c r="B73" s="2514">
        <v>0.21</v>
      </c>
      <c r="C73" s="2519" t="str">
        <f>"03-02-2024 22:00"</f>
        <v>03-02-2024 22:00</v>
      </c>
      <c r="D73" s="2514">
        <v>0.17</v>
      </c>
      <c r="E73" s="2519" t="str">
        <f>"03-03-2024 22:00"</f>
        <v>03-03-2024 22:00</v>
      </c>
      <c r="F73" s="2514">
        <v>0.14000000000000001</v>
      </c>
      <c r="G73" s="2519" t="str">
        <f>"03-04-2024 22:00"</f>
        <v>03-04-2024 22:00</v>
      </c>
      <c r="H73" s="2514">
        <v>0.33</v>
      </c>
      <c r="I73" s="2519"/>
      <c r="J73" s="2514"/>
      <c r="K73" s="2519"/>
      <c r="L73" s="2514"/>
      <c r="M73" s="2519"/>
      <c r="N73" s="2514"/>
      <c r="O73" s="2519"/>
      <c r="P73" s="2514"/>
      <c r="Q73" s="2519"/>
      <c r="R73" s="2514"/>
      <c r="S73" s="2519"/>
      <c r="T73" s="2514"/>
      <c r="U73" s="2519"/>
      <c r="V73" s="2514"/>
      <c r="W73" s="2519"/>
      <c r="X73" s="2514"/>
    </row>
    <row r="74" spans="1:24" s="2506" customFormat="1" ht="14.4">
      <c r="A74" s="2520" t="str">
        <f>"04-01-2024 00:00"</f>
        <v>04-01-2024 00:00</v>
      </c>
      <c r="B74" s="2521">
        <v>0.19</v>
      </c>
      <c r="C74" s="2520" t="str">
        <f>"03-02-2024 23:00"</f>
        <v>03-02-2024 23:00</v>
      </c>
      <c r="D74" s="2521">
        <v>0.25</v>
      </c>
      <c r="E74" s="2520" t="str">
        <f>"03-03-2024 23:00"</f>
        <v>03-03-2024 23:00</v>
      </c>
      <c r="F74" s="2521">
        <v>0.22</v>
      </c>
      <c r="G74" s="2520" t="str">
        <f>"03-04-2024 23:00"</f>
        <v>03-04-2024 23:00</v>
      </c>
      <c r="H74" s="2521">
        <v>0.21</v>
      </c>
      <c r="I74" s="2520"/>
      <c r="J74" s="2521"/>
      <c r="K74" s="2520"/>
      <c r="L74" s="2521"/>
      <c r="M74" s="2520"/>
      <c r="N74" s="2521"/>
      <c r="O74" s="2520"/>
      <c r="P74" s="2521"/>
      <c r="Q74" s="2520"/>
      <c r="R74" s="2521"/>
      <c r="S74" s="2520"/>
      <c r="T74" s="2521"/>
      <c r="U74" s="2520"/>
      <c r="V74" s="2521"/>
      <c r="W74" s="2520"/>
      <c r="X74" s="2521"/>
    </row>
    <row r="75" spans="1:24" ht="14.4">
      <c r="A75" s="2528" t="str">
        <f>"04-01-2024 01:00"</f>
        <v>04-01-2024 01:00</v>
      </c>
      <c r="B75" s="2523">
        <v>0.13</v>
      </c>
      <c r="C75" s="2528" t="str">
        <f>"04-02-2024 00:00"</f>
        <v>04-02-2024 00:00</v>
      </c>
      <c r="D75" s="2523">
        <v>0.17</v>
      </c>
      <c r="E75" s="2528" t="str">
        <f>"04-03-2024 00:00"</f>
        <v>04-03-2024 00:00</v>
      </c>
      <c r="F75" s="2523">
        <v>0.14000000000000001</v>
      </c>
      <c r="G75" s="2528" t="str">
        <f>"04-04-2024 00:00"</f>
        <v>04-04-2024 00:00</v>
      </c>
      <c r="H75" s="2523">
        <v>0.17</v>
      </c>
      <c r="I75" s="2528"/>
      <c r="J75" s="2523"/>
      <c r="K75" s="2528"/>
      <c r="L75" s="2523"/>
      <c r="M75" s="2528"/>
      <c r="N75" s="2523"/>
      <c r="O75" s="2528"/>
      <c r="P75" s="2523"/>
      <c r="Q75" s="2528"/>
      <c r="R75" s="2523"/>
      <c r="S75" s="2528"/>
      <c r="T75" s="2523"/>
      <c r="U75" s="2528"/>
      <c r="V75" s="2523"/>
      <c r="W75" s="2528"/>
      <c r="X75" s="2523"/>
    </row>
    <row r="76" spans="1:24" ht="14.4">
      <c r="A76" s="2518" t="str">
        <f>"04-01-2024 02:00"</f>
        <v>04-01-2024 02:00</v>
      </c>
      <c r="B76" s="2514">
        <v>0.17</v>
      </c>
      <c r="C76" s="2518" t="str">
        <f>"04-02-2024 01:00"</f>
        <v>04-02-2024 01:00</v>
      </c>
      <c r="D76" s="2514">
        <v>0.17</v>
      </c>
      <c r="E76" s="2518" t="str">
        <f>"04-03-2024 01:00"</f>
        <v>04-03-2024 01:00</v>
      </c>
      <c r="F76" s="2514">
        <v>0.16</v>
      </c>
      <c r="G76" s="2518" t="str">
        <f>"04-04-2024 01:00"</f>
        <v>04-04-2024 01:00</v>
      </c>
      <c r="H76" s="2514">
        <v>0.17</v>
      </c>
      <c r="I76" s="2518"/>
      <c r="J76" s="2514"/>
      <c r="K76" s="2518"/>
      <c r="L76" s="2514"/>
      <c r="M76" s="2518"/>
      <c r="N76" s="2514"/>
      <c r="O76" s="2518"/>
      <c r="P76" s="2514"/>
      <c r="Q76" s="2518"/>
      <c r="R76" s="2514"/>
      <c r="S76" s="2518"/>
      <c r="T76" s="2514"/>
      <c r="U76" s="2518"/>
      <c r="V76" s="2514"/>
      <c r="W76" s="2518"/>
      <c r="X76" s="2514"/>
    </row>
    <row r="77" spans="1:24" ht="14.4">
      <c r="A77" s="2518" t="str">
        <f>"04-01-2024 03:00"</f>
        <v>04-01-2024 03:00</v>
      </c>
      <c r="B77" s="2514">
        <v>0.19</v>
      </c>
      <c r="C77" s="2518" t="str">
        <f>"04-02-2024 02:00"</f>
        <v>04-02-2024 02:00</v>
      </c>
      <c r="D77" s="2514">
        <v>0.18</v>
      </c>
      <c r="E77" s="2518" t="str">
        <f>"04-03-2024 02:00"</f>
        <v>04-03-2024 02:00</v>
      </c>
      <c r="F77" s="2514">
        <v>0.22</v>
      </c>
      <c r="G77" s="2518" t="str">
        <f>"04-04-2024 02:00"</f>
        <v>04-04-2024 02:00</v>
      </c>
      <c r="H77" s="2514">
        <v>0.16</v>
      </c>
      <c r="I77" s="2518"/>
      <c r="J77" s="2514"/>
      <c r="K77" s="2518"/>
      <c r="L77" s="2514"/>
      <c r="M77" s="2518"/>
      <c r="N77" s="2514"/>
      <c r="O77" s="2518"/>
      <c r="P77" s="2514"/>
      <c r="Q77" s="2518"/>
      <c r="R77" s="2514"/>
      <c r="S77" s="2518"/>
      <c r="T77" s="2514"/>
      <c r="U77" s="2518"/>
      <c r="V77" s="2514"/>
      <c r="W77" s="2518"/>
      <c r="X77" s="2514"/>
    </row>
    <row r="78" spans="1:24" ht="14.4">
      <c r="A78" s="2518" t="str">
        <f>"04-01-2024 04:00"</f>
        <v>04-01-2024 04:00</v>
      </c>
      <c r="B78" s="2514">
        <v>0.17</v>
      </c>
      <c r="C78" s="2518" t="str">
        <f>"04-02-2024 03:00"</f>
        <v>04-02-2024 03:00</v>
      </c>
      <c r="D78" s="2514">
        <v>0.14000000000000001</v>
      </c>
      <c r="E78" s="2518" t="str">
        <f>"04-03-2024 03:00"</f>
        <v>04-03-2024 03:00</v>
      </c>
      <c r="F78" s="2514">
        <v>0.27</v>
      </c>
      <c r="G78" s="2518" t="str">
        <f>"04-04-2024 03:00"</f>
        <v>04-04-2024 03:00</v>
      </c>
      <c r="H78" s="2514">
        <v>0.13</v>
      </c>
      <c r="I78" s="2518"/>
      <c r="J78" s="2514"/>
      <c r="K78" s="2518"/>
      <c r="L78" s="2514"/>
      <c r="M78" s="2518"/>
      <c r="N78" s="2514"/>
      <c r="O78" s="2518"/>
      <c r="P78" s="2514"/>
      <c r="Q78" s="2518"/>
      <c r="R78" s="2514"/>
      <c r="S78" s="2518"/>
      <c r="T78" s="2514"/>
      <c r="U78" s="2518"/>
      <c r="V78" s="2514"/>
      <c r="W78" s="2518"/>
      <c r="X78" s="2514"/>
    </row>
    <row r="79" spans="1:24" ht="14.4">
      <c r="A79" s="2518" t="str">
        <f>"04-01-2024 05:00"</f>
        <v>04-01-2024 05:00</v>
      </c>
      <c r="B79" s="2514">
        <v>0.19</v>
      </c>
      <c r="C79" s="2518" t="str">
        <f>"04-02-2024 04:00"</f>
        <v>04-02-2024 04:00</v>
      </c>
      <c r="D79" s="2514">
        <v>0.18</v>
      </c>
      <c r="E79" s="2518" t="str">
        <f>"04-03-2024 04:00"</f>
        <v>04-03-2024 04:00</v>
      </c>
      <c r="F79" s="2514">
        <v>0.17</v>
      </c>
      <c r="G79" s="2518" t="str">
        <f>"04-04-2024 04:00"</f>
        <v>04-04-2024 04:00</v>
      </c>
      <c r="H79" s="2514">
        <v>0.23</v>
      </c>
      <c r="I79" s="2518"/>
      <c r="J79" s="2514"/>
      <c r="K79" s="2518"/>
      <c r="L79" s="2514"/>
      <c r="M79" s="2518"/>
      <c r="N79" s="2514"/>
      <c r="O79" s="2518"/>
      <c r="P79" s="2514"/>
      <c r="Q79" s="2518"/>
      <c r="R79" s="2514"/>
      <c r="S79" s="2518"/>
      <c r="T79" s="2514"/>
      <c r="U79" s="2518"/>
      <c r="V79" s="2514"/>
      <c r="W79" s="2518"/>
      <c r="X79" s="2514"/>
    </row>
    <row r="80" spans="1:24" ht="14.4">
      <c r="A80" s="2518" t="str">
        <f>"04-01-2024 06:00"</f>
        <v>04-01-2024 06:00</v>
      </c>
      <c r="B80" s="2514">
        <v>0.17</v>
      </c>
      <c r="C80" s="2518" t="str">
        <f>"04-02-2024 05:00"</f>
        <v>04-02-2024 05:00</v>
      </c>
      <c r="D80" s="2514">
        <v>0.17</v>
      </c>
      <c r="E80" s="2518" t="str">
        <f>"04-03-2024 05:00"</f>
        <v>04-03-2024 05:00</v>
      </c>
      <c r="F80" s="2514">
        <v>0.17</v>
      </c>
      <c r="G80" s="2518" t="str">
        <f>"04-04-2024 05:00"</f>
        <v>04-04-2024 05:00</v>
      </c>
      <c r="H80" s="2514">
        <v>0.11</v>
      </c>
      <c r="I80" s="2518"/>
      <c r="J80" s="2514"/>
      <c r="K80" s="2518"/>
      <c r="L80" s="2514"/>
      <c r="M80" s="2518"/>
      <c r="N80" s="2514"/>
      <c r="O80" s="2518"/>
      <c r="P80" s="2514"/>
      <c r="Q80" s="2518"/>
      <c r="R80" s="2514"/>
      <c r="S80" s="2518"/>
      <c r="T80" s="2514"/>
      <c r="U80" s="2518"/>
      <c r="V80" s="2514"/>
      <c r="W80" s="2518"/>
      <c r="X80" s="2514"/>
    </row>
    <row r="81" spans="1:24" ht="14.4">
      <c r="A81" s="2518" t="str">
        <f>"04-01-2024 07:00"</f>
        <v>04-01-2024 07:00</v>
      </c>
      <c r="B81" s="2514">
        <v>0.14000000000000001</v>
      </c>
      <c r="C81" s="2518" t="str">
        <f>"04-02-2024 06:00"</f>
        <v>04-02-2024 06:00</v>
      </c>
      <c r="D81" s="2514">
        <v>0.16</v>
      </c>
      <c r="E81" s="2518" t="str">
        <f>"04-03-2024 06:00"</f>
        <v>04-03-2024 06:00</v>
      </c>
      <c r="F81" s="2514">
        <v>0.18</v>
      </c>
      <c r="G81" s="2518" t="str">
        <f>"04-04-2024 06:00"</f>
        <v>04-04-2024 06:00</v>
      </c>
      <c r="H81" s="2514">
        <v>0.17</v>
      </c>
      <c r="I81" s="2518"/>
      <c r="J81" s="2514"/>
      <c r="K81" s="2518"/>
      <c r="L81" s="2514"/>
      <c r="M81" s="2518"/>
      <c r="N81" s="2514"/>
      <c r="O81" s="2518"/>
      <c r="P81" s="2514"/>
      <c r="Q81" s="2518"/>
      <c r="R81" s="2514"/>
      <c r="S81" s="2518"/>
      <c r="T81" s="2514"/>
      <c r="U81" s="2518"/>
      <c r="V81" s="2514"/>
      <c r="W81" s="2518"/>
      <c r="X81" s="2514"/>
    </row>
    <row r="82" spans="1:24" ht="14.4">
      <c r="A82" s="2518" t="str">
        <f>"04-01-2024 08:00"</f>
        <v>04-01-2024 08:00</v>
      </c>
      <c r="B82" s="2514">
        <v>0.27</v>
      </c>
      <c r="C82" s="2518" t="str">
        <f>"04-02-2024 07:00"</f>
        <v>04-02-2024 07:00</v>
      </c>
      <c r="D82" s="2514">
        <v>0.26</v>
      </c>
      <c r="E82" s="2518" t="str">
        <f>"04-03-2024 07:00"</f>
        <v>04-03-2024 07:00</v>
      </c>
      <c r="F82" s="2514">
        <v>0.13</v>
      </c>
      <c r="G82" s="2518" t="str">
        <f>"04-04-2024 07:00"</f>
        <v>04-04-2024 07:00</v>
      </c>
      <c r="H82" s="2514">
        <v>0.17</v>
      </c>
      <c r="I82" s="2518"/>
      <c r="J82" s="2514"/>
      <c r="K82" s="2518"/>
      <c r="L82" s="2514"/>
      <c r="M82" s="2518"/>
      <c r="N82" s="2514"/>
      <c r="O82" s="2518"/>
      <c r="P82" s="2514"/>
      <c r="Q82" s="2518"/>
      <c r="R82" s="2514"/>
      <c r="S82" s="2518"/>
      <c r="T82" s="2514"/>
      <c r="U82" s="2518"/>
      <c r="V82" s="2514"/>
      <c r="W82" s="2518"/>
      <c r="X82" s="2514"/>
    </row>
    <row r="83" spans="1:24" ht="14.4">
      <c r="A83" s="2518" t="str">
        <f>"04-01-2024 09:00"</f>
        <v>04-01-2024 09:00</v>
      </c>
      <c r="B83" s="2514">
        <v>0.25</v>
      </c>
      <c r="C83" s="2518" t="str">
        <f>"04-02-2024 08:00"</f>
        <v>04-02-2024 08:00</v>
      </c>
      <c r="D83" s="2514">
        <v>0.27</v>
      </c>
      <c r="E83" s="2518" t="str">
        <f>"04-03-2024 08:00"</f>
        <v>04-03-2024 08:00</v>
      </c>
      <c r="F83" s="2514">
        <v>0.23</v>
      </c>
      <c r="G83" s="2518" t="str">
        <f>"04-04-2024 08:00"</f>
        <v>04-04-2024 08:00</v>
      </c>
      <c r="H83" s="2514">
        <v>0.4</v>
      </c>
      <c r="I83" s="2518"/>
      <c r="J83" s="2514"/>
      <c r="K83" s="2518"/>
      <c r="L83" s="2514"/>
      <c r="M83" s="2518"/>
      <c r="N83" s="2514"/>
      <c r="O83" s="2518"/>
      <c r="P83" s="2514"/>
      <c r="Q83" s="2518"/>
      <c r="R83" s="2514"/>
      <c r="S83" s="2518"/>
      <c r="T83" s="2514"/>
      <c r="U83" s="2518"/>
      <c r="V83" s="2514"/>
      <c r="W83" s="2518"/>
      <c r="X83" s="2514"/>
    </row>
    <row r="84" spans="1:24" ht="14.4">
      <c r="A84" s="2518" t="str">
        <f>"04-01-2024 10:00"</f>
        <v>04-01-2024 10:00</v>
      </c>
      <c r="B84" s="2514">
        <v>0.52</v>
      </c>
      <c r="C84" s="2518" t="str">
        <f>"04-02-2024 09:00"</f>
        <v>04-02-2024 09:00</v>
      </c>
      <c r="D84" s="2514">
        <v>0.27</v>
      </c>
      <c r="E84" s="2518" t="str">
        <f>"04-03-2024 09:00"</f>
        <v>04-03-2024 09:00</v>
      </c>
      <c r="F84" s="2514">
        <v>0.43</v>
      </c>
      <c r="G84" s="2518" t="str">
        <f>"04-04-2024 09:00"</f>
        <v>04-04-2024 09:00</v>
      </c>
      <c r="H84" s="2514">
        <v>0.4</v>
      </c>
      <c r="I84" s="2518"/>
      <c r="J84" s="2514"/>
      <c r="K84" s="2518"/>
      <c r="L84" s="2514"/>
      <c r="M84" s="2518"/>
      <c r="N84" s="2514"/>
      <c r="O84" s="2518"/>
      <c r="P84" s="2514"/>
      <c r="Q84" s="2518"/>
      <c r="R84" s="2514"/>
      <c r="S84" s="2518"/>
      <c r="T84" s="2514"/>
      <c r="U84" s="2518"/>
      <c r="V84" s="2514"/>
      <c r="W84" s="2518"/>
      <c r="X84" s="2514"/>
    </row>
    <row r="85" spans="1:24" ht="14.4">
      <c r="A85" s="2518" t="str">
        <f>"04-01-2024 11:00"</f>
        <v>04-01-2024 11:00</v>
      </c>
      <c r="B85" s="2514">
        <v>0.23</v>
      </c>
      <c r="C85" s="2518" t="str">
        <f>"04-02-2024 10:00"</f>
        <v>04-02-2024 10:00</v>
      </c>
      <c r="D85" s="2514">
        <v>0.7</v>
      </c>
      <c r="E85" s="2518" t="str">
        <f>"04-03-2024 10:00"</f>
        <v>04-03-2024 10:00</v>
      </c>
      <c r="F85" s="2514">
        <v>0.3</v>
      </c>
      <c r="G85" s="2518" t="str">
        <f>"04-04-2024 10:00"</f>
        <v>04-04-2024 10:00</v>
      </c>
      <c r="H85" s="2514">
        <v>0.44</v>
      </c>
      <c r="I85" s="2518"/>
      <c r="J85" s="2514"/>
      <c r="K85" s="2518"/>
      <c r="L85" s="2514"/>
      <c r="M85" s="2518"/>
      <c r="N85" s="2514"/>
      <c r="O85" s="2518"/>
      <c r="P85" s="2514"/>
      <c r="Q85" s="2518"/>
      <c r="R85" s="2514"/>
      <c r="S85" s="2518"/>
      <c r="T85" s="2514"/>
      <c r="U85" s="2518"/>
      <c r="V85" s="2514"/>
      <c r="W85" s="2518"/>
      <c r="X85" s="2514"/>
    </row>
    <row r="86" spans="1:24" ht="14.4">
      <c r="A86" s="2518" t="str">
        <f>"04-01-2024 12:00"</f>
        <v>04-01-2024 12:00</v>
      </c>
      <c r="B86" s="2514">
        <v>0.43</v>
      </c>
      <c r="C86" s="2518" t="str">
        <f>"04-02-2024 11:00"</f>
        <v>04-02-2024 11:00</v>
      </c>
      <c r="D86" s="2514">
        <v>0.38</v>
      </c>
      <c r="E86" s="2518" t="str">
        <f>"04-03-2024 11:00"</f>
        <v>04-03-2024 11:00</v>
      </c>
      <c r="F86" s="2514">
        <v>0.48</v>
      </c>
      <c r="G86" s="2518" t="str">
        <f>"04-04-2024 11:00"</f>
        <v>04-04-2024 11:00</v>
      </c>
      <c r="H86" s="2514">
        <v>0.31</v>
      </c>
      <c r="I86" s="2518"/>
      <c r="J86" s="2514"/>
      <c r="K86" s="2518"/>
      <c r="L86" s="2514"/>
      <c r="M86" s="2518"/>
      <c r="N86" s="2514"/>
      <c r="O86" s="2518"/>
      <c r="P86" s="2514"/>
      <c r="Q86" s="2518"/>
      <c r="R86" s="2514"/>
      <c r="S86" s="2518"/>
      <c r="T86" s="2514"/>
      <c r="U86" s="2518"/>
      <c r="V86" s="2514"/>
      <c r="W86" s="2518"/>
      <c r="X86" s="2514"/>
    </row>
    <row r="87" spans="1:24" ht="14.4">
      <c r="A87" s="2518" t="str">
        <f>"04-01-2024 13:00"</f>
        <v>04-01-2024 13:00</v>
      </c>
      <c r="B87" s="2514">
        <v>0.41</v>
      </c>
      <c r="C87" s="2518" t="str">
        <f>"04-02-2024 12:00"</f>
        <v>04-02-2024 12:00</v>
      </c>
      <c r="D87" s="2514">
        <v>0.37</v>
      </c>
      <c r="E87" s="2518" t="str">
        <f>"04-03-2024 12:00"</f>
        <v>04-03-2024 12:00</v>
      </c>
      <c r="F87" s="2514">
        <v>0.43</v>
      </c>
      <c r="G87" s="2518" t="str">
        <f>"04-04-2024 12:00"</f>
        <v>04-04-2024 12:00</v>
      </c>
      <c r="H87" s="2514">
        <v>0.23</v>
      </c>
      <c r="I87" s="2518"/>
      <c r="J87" s="2514"/>
      <c r="K87" s="2518"/>
      <c r="L87" s="2514"/>
      <c r="M87" s="2518"/>
      <c r="N87" s="2514"/>
      <c r="O87" s="2518"/>
      <c r="P87" s="2514"/>
      <c r="Q87" s="2518"/>
      <c r="R87" s="2514"/>
      <c r="S87" s="2518"/>
      <c r="T87" s="2514"/>
      <c r="U87" s="2518"/>
      <c r="V87" s="2514"/>
      <c r="W87" s="2518"/>
      <c r="X87" s="2514"/>
    </row>
    <row r="88" spans="1:24" ht="14.4">
      <c r="A88" s="2518" t="str">
        <f>"04-01-2024 14:00"</f>
        <v>04-01-2024 14:00</v>
      </c>
      <c r="B88" s="2514">
        <v>0.43</v>
      </c>
      <c r="C88" s="2518" t="str">
        <f>"04-02-2024 13:00"</f>
        <v>04-02-2024 13:00</v>
      </c>
      <c r="D88" s="2514">
        <v>0.47</v>
      </c>
      <c r="E88" s="2518" t="str">
        <f>"04-03-2024 13:00"</f>
        <v>04-03-2024 13:00</v>
      </c>
      <c r="F88" s="2514">
        <v>0.2</v>
      </c>
      <c r="G88" s="2518" t="str">
        <f>"04-04-2024 13:00"</f>
        <v>04-04-2024 13:00</v>
      </c>
      <c r="H88" s="2514">
        <v>0.31</v>
      </c>
      <c r="I88" s="2518"/>
      <c r="J88" s="2514"/>
      <c r="K88" s="2518"/>
      <c r="L88" s="2514"/>
      <c r="M88" s="2518"/>
      <c r="N88" s="2514"/>
      <c r="O88" s="2518"/>
      <c r="P88" s="2514"/>
      <c r="Q88" s="2518"/>
      <c r="R88" s="2514"/>
      <c r="S88" s="2518"/>
      <c r="T88" s="2514"/>
      <c r="U88" s="2518"/>
      <c r="V88" s="2514"/>
      <c r="W88" s="2518"/>
      <c r="X88" s="2514"/>
    </row>
    <row r="89" spans="1:24" ht="14.4">
      <c r="A89" s="2518" t="str">
        <f>"04-01-2024 15:00"</f>
        <v>04-01-2024 15:00</v>
      </c>
      <c r="B89" s="2514">
        <v>0.42</v>
      </c>
      <c r="C89" s="2518" t="str">
        <f>"04-02-2024 14:00"</f>
        <v>04-02-2024 14:00</v>
      </c>
      <c r="D89" s="2514">
        <v>0.42</v>
      </c>
      <c r="E89" s="2518" t="str">
        <f>"04-03-2024 14:00"</f>
        <v>04-03-2024 14:00</v>
      </c>
      <c r="F89" s="2514">
        <v>0.22</v>
      </c>
      <c r="G89" s="2518" t="str">
        <f>"04-04-2024 14:00"</f>
        <v>04-04-2024 14:00</v>
      </c>
      <c r="H89" s="2514">
        <v>0.33</v>
      </c>
      <c r="I89" s="2518"/>
      <c r="J89" s="2514"/>
      <c r="K89" s="2518"/>
      <c r="L89" s="2514"/>
      <c r="M89" s="2518"/>
      <c r="N89" s="2514"/>
      <c r="O89" s="2518"/>
      <c r="P89" s="2514"/>
      <c r="Q89" s="2518"/>
      <c r="R89" s="2514"/>
      <c r="S89" s="2518"/>
      <c r="T89" s="2514"/>
      <c r="U89" s="2518"/>
      <c r="V89" s="2514"/>
      <c r="W89" s="2518"/>
      <c r="X89" s="2514"/>
    </row>
    <row r="90" spans="1:24" ht="14.4">
      <c r="A90" s="2518" t="str">
        <f>"04-01-2024 16:00"</f>
        <v>04-01-2024 16:00</v>
      </c>
      <c r="B90" s="2514">
        <v>0.36</v>
      </c>
      <c r="C90" s="2518" t="str">
        <f>"04-02-2024 15:00"</f>
        <v>04-02-2024 15:00</v>
      </c>
      <c r="D90" s="2514">
        <v>0.32</v>
      </c>
      <c r="E90" s="2518" t="str">
        <f>"04-03-2024 15:00"</f>
        <v>04-03-2024 15:00</v>
      </c>
      <c r="F90" s="2514">
        <v>0.4</v>
      </c>
      <c r="G90" s="2518" t="str">
        <f>"04-04-2024 15:00"</f>
        <v>04-04-2024 15:00</v>
      </c>
      <c r="H90" s="2514">
        <v>0.37</v>
      </c>
      <c r="I90" s="2518"/>
      <c r="J90" s="2514"/>
      <c r="K90" s="2518"/>
      <c r="L90" s="2514"/>
      <c r="M90" s="2518"/>
      <c r="N90" s="2514"/>
      <c r="O90" s="2518"/>
      <c r="P90" s="2514"/>
      <c r="Q90" s="2518"/>
      <c r="R90" s="2514"/>
      <c r="S90" s="2518"/>
      <c r="T90" s="2514"/>
      <c r="U90" s="2518"/>
      <c r="V90" s="2514"/>
      <c r="W90" s="2518"/>
      <c r="X90" s="2514"/>
    </row>
    <row r="91" spans="1:24" ht="14.4">
      <c r="A91" s="2518" t="str">
        <f>"04-01-2024 17:00"</f>
        <v>04-01-2024 17:00</v>
      </c>
      <c r="B91" s="2514">
        <v>0.38</v>
      </c>
      <c r="C91" s="2518" t="str">
        <f>"04-02-2024 16:00"</f>
        <v>04-02-2024 16:00</v>
      </c>
      <c r="D91" s="2514">
        <v>0.54</v>
      </c>
      <c r="E91" s="2518" t="str">
        <f>"04-03-2024 16:00"</f>
        <v>04-03-2024 16:00</v>
      </c>
      <c r="F91" s="2514">
        <v>0.32</v>
      </c>
      <c r="G91" s="2518" t="str">
        <f>"04-04-2024 16:00"</f>
        <v>04-04-2024 16:00</v>
      </c>
      <c r="H91" s="2514">
        <v>0.34</v>
      </c>
      <c r="I91" s="2518"/>
      <c r="J91" s="2514"/>
      <c r="K91" s="2518"/>
      <c r="L91" s="2514"/>
      <c r="M91" s="2518"/>
      <c r="N91" s="2514"/>
      <c r="O91" s="2518"/>
      <c r="P91" s="2514"/>
      <c r="Q91" s="2518"/>
      <c r="R91" s="2514"/>
      <c r="S91" s="2518"/>
      <c r="T91" s="2514"/>
      <c r="U91" s="2518"/>
      <c r="V91" s="2514"/>
      <c r="W91" s="2518"/>
      <c r="X91" s="2514"/>
    </row>
    <row r="92" spans="1:24" ht="14.4">
      <c r="A92" s="2518" t="str">
        <f>"04-01-2024 18:00"</f>
        <v>04-01-2024 18:00</v>
      </c>
      <c r="B92" s="2514">
        <v>0.52</v>
      </c>
      <c r="C92" s="2518" t="str">
        <f>"04-02-2024 17:00"</f>
        <v>04-02-2024 17:00</v>
      </c>
      <c r="D92" s="2514">
        <v>0.4</v>
      </c>
      <c r="E92" s="2518" t="str">
        <f>"04-03-2024 17:00"</f>
        <v>04-03-2024 17:00</v>
      </c>
      <c r="F92" s="2514">
        <v>0.6</v>
      </c>
      <c r="G92" s="2518" t="str">
        <f>"04-04-2024 17:00"</f>
        <v>04-04-2024 17:00</v>
      </c>
      <c r="H92" s="2514">
        <v>0.33</v>
      </c>
      <c r="I92" s="2518"/>
      <c r="J92" s="2514"/>
      <c r="K92" s="2518"/>
      <c r="L92" s="2514"/>
      <c r="M92" s="2518"/>
      <c r="N92" s="2514"/>
      <c r="O92" s="2518"/>
      <c r="P92" s="2514"/>
      <c r="Q92" s="2518"/>
      <c r="R92" s="2514"/>
      <c r="S92" s="2518"/>
      <c r="T92" s="2514"/>
      <c r="U92" s="2518"/>
      <c r="V92" s="2514"/>
      <c r="W92" s="2518"/>
      <c r="X92" s="2514"/>
    </row>
    <row r="93" spans="1:24" ht="14.4">
      <c r="A93" s="2518" t="str">
        <f>"04-01-2024 19:00"</f>
        <v>04-01-2024 19:00</v>
      </c>
      <c r="B93" s="2514">
        <v>0.38</v>
      </c>
      <c r="C93" s="2518" t="str">
        <f>"04-02-2024 18:00"</f>
        <v>04-02-2024 18:00</v>
      </c>
      <c r="D93" s="2514">
        <v>0.36</v>
      </c>
      <c r="E93" s="2518" t="str">
        <f>"04-03-2024 18:00"</f>
        <v>04-03-2024 18:00</v>
      </c>
      <c r="F93" s="2514">
        <v>0.41</v>
      </c>
      <c r="G93" s="2518" t="str">
        <f>"04-04-2024 18:00"</f>
        <v>04-04-2024 18:00</v>
      </c>
      <c r="H93" s="2514">
        <v>0.31</v>
      </c>
      <c r="I93" s="2518"/>
      <c r="J93" s="2514"/>
      <c r="K93" s="2518"/>
      <c r="L93" s="2514"/>
      <c r="M93" s="2518"/>
      <c r="N93" s="2514"/>
      <c r="O93" s="2518"/>
      <c r="P93" s="2514"/>
      <c r="Q93" s="2518"/>
      <c r="R93" s="2514"/>
      <c r="S93" s="2518"/>
      <c r="T93" s="2514"/>
      <c r="U93" s="2518"/>
      <c r="V93" s="2514"/>
      <c r="W93" s="2518"/>
      <c r="X93" s="2514"/>
    </row>
    <row r="94" spans="1:24" ht="14.4">
      <c r="A94" s="2518" t="str">
        <f>"04-01-2024 20:00"</f>
        <v>04-01-2024 20:00</v>
      </c>
      <c r="B94" s="2514">
        <v>0.5</v>
      </c>
      <c r="C94" s="2518" t="str">
        <f>"04-02-2024 19:00"</f>
        <v>04-02-2024 19:00</v>
      </c>
      <c r="D94" s="2514">
        <v>0.63</v>
      </c>
      <c r="E94" s="2518" t="str">
        <f>"04-03-2024 19:00"</f>
        <v>04-03-2024 19:00</v>
      </c>
      <c r="F94" s="2514">
        <v>0.42</v>
      </c>
      <c r="G94" s="2518" t="str">
        <f>"04-04-2024 19:00"</f>
        <v>04-04-2024 19:00</v>
      </c>
      <c r="H94" s="2514">
        <v>0.41</v>
      </c>
      <c r="I94" s="2518"/>
      <c r="J94" s="2514"/>
      <c r="K94" s="2518"/>
      <c r="L94" s="2514"/>
      <c r="M94" s="2518"/>
      <c r="N94" s="2514"/>
      <c r="O94" s="2518"/>
      <c r="P94" s="2514"/>
      <c r="Q94" s="2518"/>
      <c r="R94" s="2514"/>
      <c r="S94" s="2518"/>
      <c r="T94" s="2514"/>
      <c r="U94" s="2518"/>
      <c r="V94" s="2514"/>
      <c r="W94" s="2518"/>
      <c r="X94" s="2514"/>
    </row>
    <row r="95" spans="1:24" ht="14.4">
      <c r="A95" s="2518" t="str">
        <f>"04-01-2024 21:00"</f>
        <v>04-01-2024 21:00</v>
      </c>
      <c r="B95" s="2514">
        <v>0.37</v>
      </c>
      <c r="C95" s="2518" t="str">
        <f>"04-02-2024 20:00"</f>
        <v>04-02-2024 20:00</v>
      </c>
      <c r="D95" s="2514">
        <v>0.46</v>
      </c>
      <c r="E95" s="2518" t="str">
        <f>"04-03-2024 20:00"</f>
        <v>04-03-2024 20:00</v>
      </c>
      <c r="F95" s="2514">
        <v>0.34</v>
      </c>
      <c r="G95" s="2518" t="str">
        <f>"04-04-2024 20:00"</f>
        <v>04-04-2024 20:00</v>
      </c>
      <c r="H95" s="2514">
        <v>0.4</v>
      </c>
      <c r="I95" s="2518"/>
      <c r="J95" s="2514"/>
      <c r="K95" s="2518"/>
      <c r="L95" s="2514"/>
      <c r="M95" s="2518"/>
      <c r="N95" s="2514"/>
      <c r="O95" s="2518"/>
      <c r="P95" s="2514"/>
      <c r="Q95" s="2518"/>
      <c r="R95" s="2514"/>
      <c r="S95" s="2518"/>
      <c r="T95" s="2514"/>
      <c r="U95" s="2518"/>
      <c r="V95" s="2514"/>
      <c r="W95" s="2518"/>
      <c r="X95" s="2514"/>
    </row>
    <row r="96" spans="1:24" ht="14.4">
      <c r="A96" s="2518" t="str">
        <f>"04-01-2024 22:00"</f>
        <v>04-01-2024 22:00</v>
      </c>
      <c r="B96" s="2514">
        <v>0.36</v>
      </c>
      <c r="C96" s="2518" t="str">
        <f>"04-02-2024 21:00"</f>
        <v>04-02-2024 21:00</v>
      </c>
      <c r="D96" s="2514">
        <v>0.39</v>
      </c>
      <c r="E96" s="2518" t="str">
        <f>"04-03-2024 21:00"</f>
        <v>04-03-2024 21:00</v>
      </c>
      <c r="F96" s="2514">
        <v>0.5</v>
      </c>
      <c r="G96" s="2518" t="str">
        <f>"04-04-2024 21:00"</f>
        <v>04-04-2024 21:00</v>
      </c>
      <c r="H96" s="2514">
        <v>0.34</v>
      </c>
      <c r="I96" s="2518"/>
      <c r="J96" s="2514"/>
      <c r="K96" s="2518"/>
      <c r="L96" s="2514"/>
      <c r="M96" s="2518"/>
      <c r="N96" s="2514"/>
      <c r="O96" s="2518"/>
      <c r="P96" s="2514"/>
      <c r="Q96" s="2518"/>
      <c r="R96" s="2514"/>
      <c r="S96" s="2518"/>
      <c r="T96" s="2514"/>
      <c r="U96" s="2518"/>
      <c r="V96" s="2514"/>
      <c r="W96" s="2518"/>
      <c r="X96" s="2514"/>
    </row>
    <row r="97" spans="1:24" ht="14.4">
      <c r="A97" s="2518" t="str">
        <f>"04-01-2024 23:00"</f>
        <v>04-01-2024 23:00</v>
      </c>
      <c r="B97" s="2514">
        <v>0.3</v>
      </c>
      <c r="C97" s="2518" t="str">
        <f>"04-02-2024 22:00"</f>
        <v>04-02-2024 22:00</v>
      </c>
      <c r="D97" s="2514">
        <v>0.2</v>
      </c>
      <c r="E97" s="2518" t="str">
        <f>"04-03-2024 22:00"</f>
        <v>04-03-2024 22:00</v>
      </c>
      <c r="F97" s="2514">
        <v>0.27</v>
      </c>
      <c r="G97" s="2518" t="str">
        <f>"04-04-2024 22:00"</f>
        <v>04-04-2024 22:00</v>
      </c>
      <c r="H97" s="2514">
        <v>0.36</v>
      </c>
      <c r="I97" s="2518"/>
      <c r="J97" s="2514"/>
      <c r="K97" s="2518"/>
      <c r="L97" s="2514"/>
      <c r="M97" s="2518"/>
      <c r="N97" s="2514"/>
      <c r="O97" s="2518"/>
      <c r="P97" s="2514"/>
      <c r="Q97" s="2518"/>
      <c r="R97" s="2514"/>
      <c r="S97" s="2518"/>
      <c r="T97" s="2514"/>
      <c r="U97" s="2518"/>
      <c r="V97" s="2514"/>
      <c r="W97" s="2518"/>
      <c r="X97" s="2514"/>
    </row>
    <row r="98" spans="1:24" s="2506" customFormat="1" ht="14.4">
      <c r="A98" s="2529" t="str">
        <f>"05-01-2024 00:00"</f>
        <v>05-01-2024 00:00</v>
      </c>
      <c r="B98" s="2521">
        <v>0.22</v>
      </c>
      <c r="C98" s="2529" t="str">
        <f>"04-02-2024 23:00"</f>
        <v>04-02-2024 23:00</v>
      </c>
      <c r="D98" s="2521">
        <v>0.21</v>
      </c>
      <c r="E98" s="2529" t="str">
        <f>"04-03-2024 23:00"</f>
        <v>04-03-2024 23:00</v>
      </c>
      <c r="F98" s="2521">
        <v>0.16</v>
      </c>
      <c r="G98" s="2529" t="str">
        <f>"04-04-2024 23:00"</f>
        <v>04-04-2024 23:00</v>
      </c>
      <c r="H98" s="2521">
        <v>0.2</v>
      </c>
      <c r="I98" s="2529"/>
      <c r="J98" s="2521"/>
      <c r="K98" s="2529"/>
      <c r="L98" s="2521"/>
      <c r="M98" s="2529"/>
      <c r="N98" s="2521"/>
      <c r="O98" s="2529"/>
      <c r="P98" s="2521"/>
      <c r="Q98" s="2529"/>
      <c r="R98" s="2521"/>
      <c r="S98" s="2529"/>
      <c r="T98" s="2521"/>
      <c r="U98" s="2529"/>
      <c r="V98" s="2521"/>
      <c r="W98" s="2529"/>
      <c r="X98" s="2521"/>
    </row>
    <row r="99" spans="1:24" ht="14.4">
      <c r="A99" s="2522" t="str">
        <f>"05-01-2024 01:00"</f>
        <v>05-01-2024 01:00</v>
      </c>
      <c r="B99" s="2523">
        <v>0.2</v>
      </c>
      <c r="C99" s="2522" t="str">
        <f>"05-02-2024 00:00"</f>
        <v>05-02-2024 00:00</v>
      </c>
      <c r="D99" s="2523">
        <v>0.2</v>
      </c>
      <c r="E99" s="2522" t="str">
        <f>"05-03-2024 00:00"</f>
        <v>05-03-2024 00:00</v>
      </c>
      <c r="F99" s="2523">
        <v>0.2</v>
      </c>
      <c r="G99" s="2522" t="str">
        <f>"05-04-2024 00:00"</f>
        <v>05-04-2024 00:00</v>
      </c>
      <c r="H99" s="2523">
        <v>0.11</v>
      </c>
      <c r="I99" s="2522"/>
      <c r="J99" s="2523"/>
      <c r="K99" s="2522"/>
      <c r="L99" s="2523"/>
      <c r="M99" s="2522"/>
      <c r="N99" s="2523"/>
      <c r="O99" s="2522"/>
      <c r="P99" s="2523"/>
      <c r="Q99" s="2522"/>
      <c r="R99" s="2523"/>
      <c r="S99" s="2522"/>
      <c r="T99" s="2523"/>
      <c r="U99" s="2522"/>
      <c r="V99" s="2523"/>
      <c r="W99" s="2522"/>
      <c r="X99" s="2523"/>
    </row>
    <row r="100" spans="1:24" ht="14.4">
      <c r="A100" s="2519" t="str">
        <f>"05-01-2024 02:00"</f>
        <v>05-01-2024 02:00</v>
      </c>
      <c r="B100" s="2514">
        <v>0.23</v>
      </c>
      <c r="C100" s="2519" t="str">
        <f>"05-02-2024 01:00"</f>
        <v>05-02-2024 01:00</v>
      </c>
      <c r="D100" s="2514">
        <v>0.2</v>
      </c>
      <c r="E100" s="2519" t="str">
        <f>"05-03-2024 01:00"</f>
        <v>05-03-2024 01:00</v>
      </c>
      <c r="F100" s="2514">
        <v>0.16</v>
      </c>
      <c r="G100" s="2519" t="str">
        <f>"05-04-2024 01:00"</f>
        <v>05-04-2024 01:00</v>
      </c>
      <c r="H100" s="2514">
        <v>0.17</v>
      </c>
      <c r="I100" s="2519"/>
      <c r="J100" s="2514"/>
      <c r="K100" s="2519"/>
      <c r="L100" s="2514"/>
      <c r="M100" s="2519"/>
      <c r="N100" s="2514"/>
      <c r="O100" s="2519"/>
      <c r="P100" s="2514"/>
      <c r="Q100" s="2519"/>
      <c r="R100" s="2514"/>
      <c r="S100" s="2519"/>
      <c r="T100" s="2514"/>
      <c r="U100" s="2519"/>
      <c r="V100" s="2514"/>
      <c r="W100" s="2519"/>
      <c r="X100" s="2514"/>
    </row>
    <row r="101" spans="1:24" ht="14.4">
      <c r="A101" s="2519" t="str">
        <f>"05-01-2024 03:00"</f>
        <v>05-01-2024 03:00</v>
      </c>
      <c r="B101" s="2514">
        <v>0.23</v>
      </c>
      <c r="C101" s="2519" t="str">
        <f>"05-02-2024 02:00"</f>
        <v>05-02-2024 02:00</v>
      </c>
      <c r="D101" s="2514">
        <v>0.15</v>
      </c>
      <c r="E101" s="2519" t="str">
        <f>"05-03-2024 02:00"</f>
        <v>05-03-2024 02:00</v>
      </c>
      <c r="F101" s="2514">
        <v>0.19</v>
      </c>
      <c r="G101" s="2519" t="str">
        <f>"05-04-2024 02:00"</f>
        <v>05-04-2024 02:00</v>
      </c>
      <c r="H101" s="2514">
        <v>0.21</v>
      </c>
      <c r="I101" s="2519"/>
      <c r="J101" s="2514"/>
      <c r="K101" s="2519"/>
      <c r="L101" s="2514"/>
      <c r="M101" s="2519"/>
      <c r="N101" s="2514"/>
      <c r="O101" s="2519"/>
      <c r="P101" s="2514"/>
      <c r="Q101" s="2519"/>
      <c r="R101" s="2514"/>
      <c r="S101" s="2519"/>
      <c r="T101" s="2514"/>
      <c r="U101" s="2519"/>
      <c r="V101" s="2514"/>
      <c r="W101" s="2519"/>
      <c r="X101" s="2514"/>
    </row>
    <row r="102" spans="1:24" ht="14.4">
      <c r="A102" s="2519" t="str">
        <f>"05-01-2024 04:00"</f>
        <v>05-01-2024 04:00</v>
      </c>
      <c r="B102" s="2514">
        <v>0.17</v>
      </c>
      <c r="C102" s="2519" t="str">
        <f>"05-02-2024 03:00"</f>
        <v>05-02-2024 03:00</v>
      </c>
      <c r="D102" s="2514">
        <v>0.15</v>
      </c>
      <c r="E102" s="2519" t="str">
        <f>"05-03-2024 03:00"</f>
        <v>05-03-2024 03:00</v>
      </c>
      <c r="F102" s="2514">
        <v>0.16</v>
      </c>
      <c r="G102" s="2519" t="str">
        <f>"05-04-2024 03:00"</f>
        <v>05-04-2024 03:00</v>
      </c>
      <c r="H102" s="2514">
        <v>0.16</v>
      </c>
      <c r="I102" s="2519"/>
      <c r="J102" s="2514"/>
      <c r="K102" s="2519"/>
      <c r="L102" s="2514"/>
      <c r="M102" s="2519"/>
      <c r="N102" s="2514"/>
      <c r="O102" s="2519"/>
      <c r="P102" s="2514"/>
      <c r="Q102" s="2519"/>
      <c r="R102" s="2514"/>
      <c r="S102" s="2519"/>
      <c r="T102" s="2514"/>
      <c r="U102" s="2519"/>
      <c r="V102" s="2514"/>
      <c r="W102" s="2519"/>
      <c r="X102" s="2514"/>
    </row>
    <row r="103" spans="1:24" ht="14.4">
      <c r="A103" s="2519" t="str">
        <f>"05-01-2024 05:00"</f>
        <v>05-01-2024 05:00</v>
      </c>
      <c r="B103" s="2514">
        <v>0.16</v>
      </c>
      <c r="C103" s="2519" t="str">
        <f>"05-02-2024 04:00"</f>
        <v>05-02-2024 04:00</v>
      </c>
      <c r="D103" s="2514">
        <v>0.22</v>
      </c>
      <c r="E103" s="2519" t="str">
        <f>"05-03-2024 04:00"</f>
        <v>05-03-2024 04:00</v>
      </c>
      <c r="F103" s="2514">
        <v>0.23</v>
      </c>
      <c r="G103" s="2519" t="str">
        <f>"05-04-2024 04:00"</f>
        <v>05-04-2024 04:00</v>
      </c>
      <c r="H103" s="2514">
        <v>0.12</v>
      </c>
      <c r="I103" s="2519"/>
      <c r="J103" s="2514"/>
      <c r="K103" s="2519"/>
      <c r="L103" s="2514"/>
      <c r="M103" s="2519"/>
      <c r="N103" s="2514"/>
      <c r="O103" s="2519"/>
      <c r="P103" s="2514"/>
      <c r="Q103" s="2519"/>
      <c r="R103" s="2514"/>
      <c r="S103" s="2519"/>
      <c r="T103" s="2514"/>
      <c r="U103" s="2519"/>
      <c r="V103" s="2514"/>
      <c r="W103" s="2519"/>
      <c r="X103" s="2514"/>
    </row>
    <row r="104" spans="1:24" ht="14.4">
      <c r="A104" s="2519" t="str">
        <f>"05-01-2024 06:00"</f>
        <v>05-01-2024 06:00</v>
      </c>
      <c r="B104" s="2514">
        <v>0.12</v>
      </c>
      <c r="C104" s="2519" t="str">
        <f>"05-02-2024 05:00"</f>
        <v>05-02-2024 05:00</v>
      </c>
      <c r="D104" s="2514">
        <v>0.16</v>
      </c>
      <c r="E104" s="2519" t="str">
        <f>"05-03-2024 05:00"</f>
        <v>05-03-2024 05:00</v>
      </c>
      <c r="F104" s="2514">
        <v>0.14000000000000001</v>
      </c>
      <c r="G104" s="2519" t="str">
        <f>"05-04-2024 05:00"</f>
        <v>05-04-2024 05:00</v>
      </c>
      <c r="H104" s="2514">
        <v>0.2</v>
      </c>
      <c r="I104" s="2519"/>
      <c r="J104" s="2514"/>
      <c r="K104" s="2519"/>
      <c r="L104" s="2514"/>
      <c r="M104" s="2519"/>
      <c r="N104" s="2514"/>
      <c r="O104" s="2519"/>
      <c r="P104" s="2514"/>
      <c r="Q104" s="2519"/>
      <c r="R104" s="2514"/>
      <c r="S104" s="2519"/>
      <c r="T104" s="2514"/>
      <c r="U104" s="2519"/>
      <c r="V104" s="2514"/>
      <c r="W104" s="2519"/>
      <c r="X104" s="2514"/>
    </row>
    <row r="105" spans="1:24" ht="14.4">
      <c r="A105" s="2519" t="str">
        <f>"05-01-2024 07:00"</f>
        <v>05-01-2024 07:00</v>
      </c>
      <c r="B105" s="2514">
        <v>0.14000000000000001</v>
      </c>
      <c r="C105" s="2519" t="str">
        <f>"05-02-2024 06:00"</f>
        <v>05-02-2024 06:00</v>
      </c>
      <c r="D105" s="2514">
        <v>0.21</v>
      </c>
      <c r="E105" s="2519" t="str">
        <f>"05-03-2024 06:00"</f>
        <v>05-03-2024 06:00</v>
      </c>
      <c r="F105" s="2514">
        <v>0.12</v>
      </c>
      <c r="G105" s="2519" t="str">
        <f>"05-04-2024 06:00"</f>
        <v>05-04-2024 06:00</v>
      </c>
      <c r="H105" s="2514">
        <v>0.17</v>
      </c>
      <c r="I105" s="2519"/>
      <c r="J105" s="2514"/>
      <c r="K105" s="2519"/>
      <c r="L105" s="2514"/>
      <c r="M105" s="2519"/>
      <c r="N105" s="2514"/>
      <c r="O105" s="2519"/>
      <c r="P105" s="2514"/>
      <c r="Q105" s="2519"/>
      <c r="R105" s="2514"/>
      <c r="S105" s="2519"/>
      <c r="T105" s="2514"/>
      <c r="U105" s="2519"/>
      <c r="V105" s="2514"/>
      <c r="W105" s="2519"/>
      <c r="X105" s="2514"/>
    </row>
    <row r="106" spans="1:24" ht="14.4">
      <c r="A106" s="2519" t="str">
        <f>"05-01-2024 08:00"</f>
        <v>05-01-2024 08:00</v>
      </c>
      <c r="B106" s="2514">
        <v>0.28999999999999998</v>
      </c>
      <c r="C106" s="2519" t="str">
        <f>"05-02-2024 07:00"</f>
        <v>05-02-2024 07:00</v>
      </c>
      <c r="D106" s="2514">
        <v>0.47</v>
      </c>
      <c r="E106" s="2519" t="str">
        <f>"05-03-2024 07:00"</f>
        <v>05-03-2024 07:00</v>
      </c>
      <c r="F106" s="2514">
        <v>0.18</v>
      </c>
      <c r="G106" s="2519" t="str">
        <f>"05-04-2024 07:00"</f>
        <v>05-04-2024 07:00</v>
      </c>
      <c r="H106" s="2514">
        <v>0.19</v>
      </c>
      <c r="I106" s="2519"/>
      <c r="J106" s="2514"/>
      <c r="K106" s="2519"/>
      <c r="L106" s="2514"/>
      <c r="M106" s="2519"/>
      <c r="N106" s="2514"/>
      <c r="O106" s="2519"/>
      <c r="P106" s="2514"/>
      <c r="Q106" s="2519"/>
      <c r="R106" s="2514"/>
      <c r="S106" s="2519"/>
      <c r="T106" s="2514"/>
      <c r="U106" s="2519"/>
      <c r="V106" s="2514"/>
      <c r="W106" s="2519"/>
      <c r="X106" s="2514"/>
    </row>
    <row r="107" spans="1:24" ht="14.4">
      <c r="A107" s="2519" t="str">
        <f>"05-01-2024 09:00"</f>
        <v>05-01-2024 09:00</v>
      </c>
      <c r="B107" s="2514">
        <v>0.36</v>
      </c>
      <c r="C107" s="2519" t="str">
        <f>"05-02-2024 08:00"</f>
        <v>05-02-2024 08:00</v>
      </c>
      <c r="D107" s="2514">
        <v>0.28999999999999998</v>
      </c>
      <c r="E107" s="2519" t="str">
        <f>"05-03-2024 08:00"</f>
        <v>05-03-2024 08:00</v>
      </c>
      <c r="F107" s="2514">
        <v>0.36</v>
      </c>
      <c r="G107" s="2519" t="str">
        <f>"05-04-2024 08:00"</f>
        <v>05-04-2024 08:00</v>
      </c>
      <c r="H107" s="2514">
        <v>0.48</v>
      </c>
      <c r="I107" s="2519"/>
      <c r="J107" s="2514"/>
      <c r="K107" s="2519"/>
      <c r="L107" s="2514"/>
      <c r="M107" s="2519"/>
      <c r="N107" s="2514"/>
      <c r="O107" s="2519"/>
      <c r="P107" s="2514"/>
      <c r="Q107" s="2519"/>
      <c r="R107" s="2514"/>
      <c r="S107" s="2519"/>
      <c r="T107" s="2514"/>
      <c r="U107" s="2519"/>
      <c r="V107" s="2514"/>
      <c r="W107" s="2519"/>
      <c r="X107" s="2514"/>
    </row>
    <row r="108" spans="1:24" ht="14.4">
      <c r="A108" s="2519" t="str">
        <f>"05-01-2024 10:00"</f>
        <v>05-01-2024 10:00</v>
      </c>
      <c r="B108" s="2514">
        <v>0.31</v>
      </c>
      <c r="C108" s="2519" t="str">
        <f>"05-02-2024 09:00"</f>
        <v>05-02-2024 09:00</v>
      </c>
      <c r="D108" s="2514">
        <v>0.35</v>
      </c>
      <c r="E108" s="2519" t="str">
        <f>"05-03-2024 09:00"</f>
        <v>05-03-2024 09:00</v>
      </c>
      <c r="F108" s="2514">
        <v>0.28999999999999998</v>
      </c>
      <c r="G108" s="2519" t="str">
        <f>"05-04-2024 09:00"</f>
        <v>05-04-2024 09:00</v>
      </c>
      <c r="H108" s="2514">
        <v>0.52</v>
      </c>
      <c r="I108" s="2519"/>
      <c r="J108" s="2514"/>
      <c r="K108" s="2519"/>
      <c r="L108" s="2514"/>
      <c r="M108" s="2519"/>
      <c r="N108" s="2514"/>
      <c r="O108" s="2519"/>
      <c r="P108" s="2514"/>
      <c r="Q108" s="2519"/>
      <c r="R108" s="2514"/>
      <c r="S108" s="2519"/>
      <c r="T108" s="2514"/>
      <c r="U108" s="2519"/>
      <c r="V108" s="2514"/>
      <c r="W108" s="2519"/>
      <c r="X108" s="2514"/>
    </row>
    <row r="109" spans="1:24" ht="14.4">
      <c r="A109" s="2519" t="str">
        <f>"05-01-2024 11:00"</f>
        <v>05-01-2024 11:00</v>
      </c>
      <c r="B109" s="2514">
        <v>0.38</v>
      </c>
      <c r="C109" s="2519" t="str">
        <f>"05-02-2024 10:00"</f>
        <v>05-02-2024 10:00</v>
      </c>
      <c r="D109" s="2514">
        <v>0.34</v>
      </c>
      <c r="E109" s="2519" t="str">
        <f>"05-03-2024 10:00"</f>
        <v>05-03-2024 10:00</v>
      </c>
      <c r="F109" s="2514">
        <v>0.31</v>
      </c>
      <c r="G109" s="2519" t="str">
        <f>"05-04-2024 10:00"</f>
        <v>05-04-2024 10:00</v>
      </c>
      <c r="H109" s="2514">
        <v>0.28999999999999998</v>
      </c>
      <c r="I109" s="2519"/>
      <c r="J109" s="2514"/>
      <c r="K109" s="2519"/>
      <c r="L109" s="2514"/>
      <c r="M109" s="2519"/>
      <c r="N109" s="2514"/>
      <c r="O109" s="2519"/>
      <c r="P109" s="2514"/>
      <c r="Q109" s="2519"/>
      <c r="R109" s="2514"/>
      <c r="S109" s="2519"/>
      <c r="T109" s="2514"/>
      <c r="U109" s="2519"/>
      <c r="V109" s="2514"/>
      <c r="W109" s="2519"/>
      <c r="X109" s="2514"/>
    </row>
    <row r="110" spans="1:24" ht="14.4">
      <c r="A110" s="2519" t="str">
        <f>"05-01-2024 12:00"</f>
        <v>05-01-2024 12:00</v>
      </c>
      <c r="B110" s="2514">
        <v>0.4</v>
      </c>
      <c r="C110" s="2519" t="str">
        <f>"05-02-2024 11:00"</f>
        <v>05-02-2024 11:00</v>
      </c>
      <c r="D110" s="2514">
        <v>0.26</v>
      </c>
      <c r="E110" s="2519" t="str">
        <f>"05-03-2024 11:00"</f>
        <v>05-03-2024 11:00</v>
      </c>
      <c r="F110" s="2514">
        <v>0.32</v>
      </c>
      <c r="G110" s="2519" t="str">
        <f>"05-04-2024 11:00"</f>
        <v>05-04-2024 11:00</v>
      </c>
      <c r="H110" s="2514">
        <v>0.28000000000000003</v>
      </c>
      <c r="I110" s="2519"/>
      <c r="J110" s="2514"/>
      <c r="K110" s="2519"/>
      <c r="L110" s="2514"/>
      <c r="M110" s="2519"/>
      <c r="N110" s="2514"/>
      <c r="O110" s="2519"/>
      <c r="P110" s="2514"/>
      <c r="Q110" s="2519"/>
      <c r="R110" s="2514"/>
      <c r="S110" s="2519"/>
      <c r="T110" s="2514"/>
      <c r="U110" s="2519"/>
      <c r="V110" s="2514"/>
      <c r="W110" s="2519"/>
      <c r="X110" s="2514"/>
    </row>
    <row r="111" spans="1:24" ht="14.4">
      <c r="A111" s="2519" t="str">
        <f>"05-01-2024 13:00"</f>
        <v>05-01-2024 13:00</v>
      </c>
      <c r="B111" s="2514">
        <v>0.5</v>
      </c>
      <c r="C111" s="2519" t="str">
        <f>"05-02-2024 12:00"</f>
        <v>05-02-2024 12:00</v>
      </c>
      <c r="D111" s="2514">
        <v>0.5</v>
      </c>
      <c r="E111" s="2519" t="str">
        <f>"05-03-2024 12:00"</f>
        <v>05-03-2024 12:00</v>
      </c>
      <c r="F111" s="2514">
        <v>0.48</v>
      </c>
      <c r="G111" s="2519" t="str">
        <f>"05-04-2024 12:00"</f>
        <v>05-04-2024 12:00</v>
      </c>
      <c r="H111" s="2514">
        <v>0.27</v>
      </c>
      <c r="I111" s="2519"/>
      <c r="J111" s="2514"/>
      <c r="K111" s="2519"/>
      <c r="L111" s="2514"/>
      <c r="M111" s="2519"/>
      <c r="N111" s="2514"/>
      <c r="O111" s="2519"/>
      <c r="P111" s="2514"/>
      <c r="Q111" s="2519"/>
      <c r="R111" s="2514"/>
      <c r="S111" s="2519"/>
      <c r="T111" s="2514"/>
      <c r="U111" s="2519"/>
      <c r="V111" s="2514"/>
      <c r="W111" s="2519"/>
      <c r="X111" s="2514"/>
    </row>
    <row r="112" spans="1:24" ht="14.4">
      <c r="A112" s="2519" t="str">
        <f>"05-01-2024 14:00"</f>
        <v>05-01-2024 14:00</v>
      </c>
      <c r="B112" s="2514">
        <v>0.33</v>
      </c>
      <c r="C112" s="2519" t="str">
        <f>"05-02-2024 13:00"</f>
        <v>05-02-2024 13:00</v>
      </c>
      <c r="D112" s="2514">
        <v>1.0900000000000001</v>
      </c>
      <c r="E112" s="2519" t="str">
        <f>"05-03-2024 13:00"</f>
        <v>05-03-2024 13:00</v>
      </c>
      <c r="F112" s="2514">
        <v>0.57999999999999996</v>
      </c>
      <c r="G112" s="2519" t="str">
        <f>"05-04-2024 13:00"</f>
        <v>05-04-2024 13:00</v>
      </c>
      <c r="H112" s="2514">
        <v>0.31</v>
      </c>
      <c r="I112" s="2519"/>
      <c r="J112" s="2514"/>
      <c r="K112" s="2519"/>
      <c r="L112" s="2514"/>
      <c r="M112" s="2519"/>
      <c r="N112" s="2514"/>
      <c r="O112" s="2519"/>
      <c r="P112" s="2514"/>
      <c r="Q112" s="2519"/>
      <c r="R112" s="2514"/>
      <c r="S112" s="2519"/>
      <c r="T112" s="2514"/>
      <c r="U112" s="2519"/>
      <c r="V112" s="2514"/>
      <c r="W112" s="2519"/>
      <c r="X112" s="2514"/>
    </row>
    <row r="113" spans="1:24" ht="14.4">
      <c r="A113" s="2519" t="str">
        <f>"05-01-2024 15:00"</f>
        <v>05-01-2024 15:00</v>
      </c>
      <c r="B113" s="2514">
        <v>0.17</v>
      </c>
      <c r="C113" s="2519" t="str">
        <f>"05-02-2024 14:00"</f>
        <v>05-02-2024 14:00</v>
      </c>
      <c r="D113" s="2514">
        <v>1.02</v>
      </c>
      <c r="E113" s="2519" t="str">
        <f>"05-03-2024 14:00"</f>
        <v>05-03-2024 14:00</v>
      </c>
      <c r="F113" s="2514">
        <v>0.57999999999999996</v>
      </c>
      <c r="G113" s="2519" t="str">
        <f>"05-04-2024 14:00"</f>
        <v>05-04-2024 14:00</v>
      </c>
      <c r="H113" s="2514">
        <v>0.38</v>
      </c>
      <c r="I113" s="2519"/>
      <c r="J113" s="2514"/>
      <c r="K113" s="2519"/>
      <c r="L113" s="2514"/>
      <c r="M113" s="2519"/>
      <c r="N113" s="2514"/>
      <c r="O113" s="2519"/>
      <c r="P113" s="2514"/>
      <c r="Q113" s="2519"/>
      <c r="R113" s="2514"/>
      <c r="S113" s="2519"/>
      <c r="T113" s="2514"/>
      <c r="U113" s="2519"/>
      <c r="V113" s="2514"/>
      <c r="W113" s="2519"/>
      <c r="X113" s="2514"/>
    </row>
    <row r="114" spans="1:24" ht="14.4">
      <c r="A114" s="2519" t="str">
        <f>"05-01-2024 16:00"</f>
        <v>05-01-2024 16:00</v>
      </c>
      <c r="B114" s="2514">
        <v>0.28999999999999998</v>
      </c>
      <c r="C114" s="2519" t="str">
        <f>"05-02-2024 15:00"</f>
        <v>05-02-2024 15:00</v>
      </c>
      <c r="D114" s="2514">
        <v>0.88</v>
      </c>
      <c r="E114" s="2519" t="str">
        <f>"05-03-2024 15:00"</f>
        <v>05-03-2024 15:00</v>
      </c>
      <c r="F114" s="2514">
        <v>0.37</v>
      </c>
      <c r="G114" s="2519" t="str">
        <f>"05-04-2024 15:00"</f>
        <v>05-04-2024 15:00</v>
      </c>
      <c r="H114" s="2514">
        <v>0.33</v>
      </c>
      <c r="I114" s="2519"/>
      <c r="J114" s="2514"/>
      <c r="K114" s="2519"/>
      <c r="L114" s="2514"/>
      <c r="M114" s="2519"/>
      <c r="N114" s="2514"/>
      <c r="O114" s="2519"/>
      <c r="P114" s="2514"/>
      <c r="Q114" s="2519"/>
      <c r="R114" s="2514"/>
      <c r="S114" s="2519"/>
      <c r="T114" s="2514"/>
      <c r="U114" s="2519"/>
      <c r="V114" s="2514"/>
      <c r="W114" s="2519"/>
      <c r="X114" s="2514"/>
    </row>
    <row r="115" spans="1:24" ht="14.4">
      <c r="A115" s="2519" t="str">
        <f>"05-01-2024 17:00"</f>
        <v>05-01-2024 17:00</v>
      </c>
      <c r="B115" s="2514">
        <v>0.33</v>
      </c>
      <c r="C115" s="2519" t="str">
        <f>"05-02-2024 16:00"</f>
        <v>05-02-2024 16:00</v>
      </c>
      <c r="D115" s="2514">
        <v>0.5</v>
      </c>
      <c r="E115" s="2519" t="str">
        <f>"05-03-2024 16:00"</f>
        <v>05-03-2024 16:00</v>
      </c>
      <c r="F115" s="2514">
        <v>0.42</v>
      </c>
      <c r="G115" s="2519" t="str">
        <f>"05-04-2024 16:00"</f>
        <v>05-04-2024 16:00</v>
      </c>
      <c r="H115" s="2514">
        <v>0.4</v>
      </c>
      <c r="I115" s="2519"/>
      <c r="J115" s="2514"/>
      <c r="K115" s="2519"/>
      <c r="L115" s="2514"/>
      <c r="M115" s="2519"/>
      <c r="N115" s="2514"/>
      <c r="O115" s="2519"/>
      <c r="P115" s="2514"/>
      <c r="Q115" s="2519"/>
      <c r="R115" s="2514"/>
      <c r="S115" s="2519"/>
      <c r="T115" s="2514"/>
      <c r="U115" s="2519"/>
      <c r="V115" s="2514"/>
      <c r="W115" s="2519"/>
      <c r="X115" s="2514"/>
    </row>
    <row r="116" spans="1:24" ht="14.4">
      <c r="A116" s="2519" t="str">
        <f>"05-01-2024 18:00"</f>
        <v>05-01-2024 18:00</v>
      </c>
      <c r="B116" s="2514">
        <v>0.62</v>
      </c>
      <c r="C116" s="2519" t="str">
        <f>"05-02-2024 17:00"</f>
        <v>05-02-2024 17:00</v>
      </c>
      <c r="D116" s="2514">
        <v>0.59</v>
      </c>
      <c r="E116" s="2519" t="str">
        <f>"05-03-2024 17:00"</f>
        <v>05-03-2024 17:00</v>
      </c>
      <c r="F116" s="2514">
        <v>0.59</v>
      </c>
      <c r="G116" s="2519" t="str">
        <f>"05-04-2024 17:00"</f>
        <v>05-04-2024 17:00</v>
      </c>
      <c r="H116" s="2514">
        <v>0.36</v>
      </c>
      <c r="I116" s="2519"/>
      <c r="J116" s="2514"/>
      <c r="K116" s="2519"/>
      <c r="L116" s="2514"/>
      <c r="M116" s="2519"/>
      <c r="N116" s="2514"/>
      <c r="O116" s="2519"/>
      <c r="P116" s="2514"/>
      <c r="Q116" s="2519"/>
      <c r="R116" s="2514"/>
      <c r="S116" s="2519"/>
      <c r="T116" s="2514"/>
      <c r="U116" s="2519"/>
      <c r="V116" s="2514"/>
      <c r="W116" s="2519"/>
      <c r="X116" s="2514"/>
    </row>
    <row r="117" spans="1:24" ht="14.4">
      <c r="A117" s="2519" t="str">
        <f>"05-01-2024 19:00"</f>
        <v>05-01-2024 19:00</v>
      </c>
      <c r="B117" s="2514">
        <v>0.55000000000000004</v>
      </c>
      <c r="C117" s="2519" t="str">
        <f>"05-02-2024 18:00"</f>
        <v>05-02-2024 18:00</v>
      </c>
      <c r="D117" s="2514">
        <v>0.61</v>
      </c>
      <c r="E117" s="2519" t="str">
        <f>"05-03-2024 18:00"</f>
        <v>05-03-2024 18:00</v>
      </c>
      <c r="F117" s="2514">
        <v>0.38</v>
      </c>
      <c r="G117" s="2519" t="str">
        <f>"05-04-2024 18:00"</f>
        <v>05-04-2024 18:00</v>
      </c>
      <c r="H117" s="2514">
        <v>0.33</v>
      </c>
      <c r="I117" s="2519"/>
      <c r="J117" s="2514"/>
      <c r="K117" s="2519"/>
      <c r="L117" s="2514"/>
      <c r="M117" s="2519"/>
      <c r="N117" s="2514"/>
      <c r="O117" s="2519"/>
      <c r="P117" s="2514"/>
      <c r="Q117" s="2519"/>
      <c r="R117" s="2514"/>
      <c r="S117" s="2519"/>
      <c r="T117" s="2514"/>
      <c r="U117" s="2519"/>
      <c r="V117" s="2514"/>
      <c r="W117" s="2519"/>
      <c r="X117" s="2514"/>
    </row>
    <row r="118" spans="1:24" ht="14.4">
      <c r="A118" s="2519" t="str">
        <f>"05-01-2024 20:00"</f>
        <v>05-01-2024 20:00</v>
      </c>
      <c r="B118" s="2514">
        <v>0.34</v>
      </c>
      <c r="C118" s="2519" t="str">
        <f>"05-02-2024 19:00"</f>
        <v>05-02-2024 19:00</v>
      </c>
      <c r="D118" s="2514">
        <v>0.63</v>
      </c>
      <c r="E118" s="2519" t="str">
        <f>"05-03-2024 19:00"</f>
        <v>05-03-2024 19:00</v>
      </c>
      <c r="F118" s="2514">
        <v>0.37</v>
      </c>
      <c r="G118" s="2519" t="str">
        <f>"05-04-2024 19:00"</f>
        <v>05-04-2024 19:00</v>
      </c>
      <c r="H118" s="2514">
        <v>0.4</v>
      </c>
      <c r="I118" s="2519"/>
      <c r="J118" s="2514"/>
      <c r="K118" s="2519"/>
      <c r="L118" s="2514"/>
      <c r="M118" s="2519"/>
      <c r="N118" s="2514"/>
      <c r="O118" s="2519"/>
      <c r="P118" s="2514"/>
      <c r="Q118" s="2519"/>
      <c r="R118" s="2514"/>
      <c r="S118" s="2519"/>
      <c r="T118" s="2514"/>
      <c r="U118" s="2519"/>
      <c r="V118" s="2514"/>
      <c r="W118" s="2519"/>
      <c r="X118" s="2514"/>
    </row>
    <row r="119" spans="1:24" ht="14.4">
      <c r="A119" s="2519" t="str">
        <f>"05-01-2024 21:00"</f>
        <v>05-01-2024 21:00</v>
      </c>
      <c r="B119" s="2514">
        <v>0.4</v>
      </c>
      <c r="C119" s="2519" t="str">
        <f>"05-02-2024 20:00"</f>
        <v>05-02-2024 20:00</v>
      </c>
      <c r="D119" s="2514">
        <v>0.53</v>
      </c>
      <c r="E119" s="2519" t="str">
        <f>"05-03-2024 20:00"</f>
        <v>05-03-2024 20:00</v>
      </c>
      <c r="F119" s="2514">
        <v>0.43</v>
      </c>
      <c r="G119" s="2519" t="str">
        <f>"05-04-2024 20:00"</f>
        <v>05-04-2024 20:00</v>
      </c>
      <c r="H119" s="2514">
        <v>0.45</v>
      </c>
      <c r="I119" s="2519"/>
      <c r="J119" s="2514"/>
      <c r="K119" s="2519"/>
      <c r="L119" s="2514"/>
      <c r="M119" s="2519"/>
      <c r="N119" s="2514"/>
      <c r="O119" s="2519"/>
      <c r="P119" s="2514"/>
      <c r="Q119" s="2519"/>
      <c r="R119" s="2514"/>
      <c r="S119" s="2519"/>
      <c r="T119" s="2514"/>
      <c r="U119" s="2519"/>
      <c r="V119" s="2514"/>
      <c r="W119" s="2519"/>
      <c r="X119" s="2514"/>
    </row>
    <row r="120" spans="1:24" ht="14.4">
      <c r="A120" s="2519" t="str">
        <f>"05-01-2024 22:00"</f>
        <v>05-01-2024 22:00</v>
      </c>
      <c r="B120" s="2514">
        <v>0.5</v>
      </c>
      <c r="C120" s="2519" t="str">
        <f>"05-02-2024 21:00"</f>
        <v>05-02-2024 21:00</v>
      </c>
      <c r="D120" s="2514">
        <v>0.41</v>
      </c>
      <c r="E120" s="2519" t="str">
        <f>"05-03-2024 21:00"</f>
        <v>05-03-2024 21:00</v>
      </c>
      <c r="F120" s="2514">
        <v>0.43</v>
      </c>
      <c r="G120" s="2519" t="str">
        <f>"05-04-2024 21:00"</f>
        <v>05-04-2024 21:00</v>
      </c>
      <c r="H120" s="2514">
        <v>0.33</v>
      </c>
      <c r="I120" s="2519"/>
      <c r="J120" s="2514"/>
      <c r="K120" s="2519"/>
      <c r="L120" s="2514"/>
      <c r="M120" s="2519"/>
      <c r="N120" s="2514"/>
      <c r="O120" s="2519"/>
      <c r="P120" s="2514"/>
      <c r="Q120" s="2519"/>
      <c r="R120" s="2514"/>
      <c r="S120" s="2519"/>
      <c r="T120" s="2514"/>
      <c r="U120" s="2519"/>
      <c r="V120" s="2514"/>
      <c r="W120" s="2519"/>
      <c r="X120" s="2514"/>
    </row>
    <row r="121" spans="1:24" ht="14.4">
      <c r="A121" s="2519" t="str">
        <f>"05-01-2024 23:00"</f>
        <v>05-01-2024 23:00</v>
      </c>
      <c r="B121" s="2514">
        <v>0.32</v>
      </c>
      <c r="C121" s="2519" t="str">
        <f>"05-02-2024 22:00"</f>
        <v>05-02-2024 22:00</v>
      </c>
      <c r="D121" s="2514">
        <v>0.34</v>
      </c>
      <c r="E121" s="2519" t="str">
        <f>"05-03-2024 22:00"</f>
        <v>05-03-2024 22:00</v>
      </c>
      <c r="F121" s="2514">
        <v>0.23</v>
      </c>
      <c r="G121" s="2519" t="str">
        <f>"05-04-2024 22:00"</f>
        <v>05-04-2024 22:00</v>
      </c>
      <c r="H121" s="2514">
        <v>0.4</v>
      </c>
      <c r="I121" s="2519"/>
      <c r="J121" s="2514"/>
      <c r="K121" s="2519"/>
      <c r="L121" s="2514"/>
      <c r="M121" s="2519"/>
      <c r="N121" s="2514"/>
      <c r="O121" s="2519"/>
      <c r="P121" s="2514"/>
      <c r="Q121" s="2519"/>
      <c r="R121" s="2514"/>
      <c r="S121" s="2519"/>
      <c r="T121" s="2514"/>
      <c r="U121" s="2519"/>
      <c r="V121" s="2514"/>
      <c r="W121" s="2519"/>
      <c r="X121" s="2514"/>
    </row>
    <row r="122" spans="1:24" s="2506" customFormat="1" ht="14.4">
      <c r="A122" s="2520" t="str">
        <f>"06-01-2024 00:00"</f>
        <v>06-01-2024 00:00</v>
      </c>
      <c r="B122" s="2521">
        <v>0.11</v>
      </c>
      <c r="C122" s="2520" t="str">
        <f>"05-02-2024 23:00"</f>
        <v>05-02-2024 23:00</v>
      </c>
      <c r="D122" s="2521">
        <v>0.17</v>
      </c>
      <c r="E122" s="2520" t="str">
        <f>"05-03-2024 23:00"</f>
        <v>05-03-2024 23:00</v>
      </c>
      <c r="F122" s="2521">
        <v>0.13</v>
      </c>
      <c r="G122" s="2520" t="str">
        <f>"05-04-2024 23:00"</f>
        <v>05-04-2024 23:00</v>
      </c>
      <c r="H122" s="2521">
        <v>0.28000000000000003</v>
      </c>
      <c r="I122" s="2520"/>
      <c r="J122" s="2521"/>
      <c r="K122" s="2520"/>
      <c r="L122" s="2521"/>
      <c r="M122" s="2520"/>
      <c r="N122" s="2521"/>
      <c r="O122" s="2520"/>
      <c r="P122" s="2521"/>
      <c r="Q122" s="2520"/>
      <c r="R122" s="2521"/>
      <c r="S122" s="2520"/>
      <c r="T122" s="2521"/>
      <c r="U122" s="2520"/>
      <c r="V122" s="2521"/>
      <c r="W122" s="2520"/>
      <c r="X122" s="2521"/>
    </row>
    <row r="123" spans="1:24" ht="14.4">
      <c r="A123" s="2528" t="str">
        <f>"06-01-2024 01:00"</f>
        <v>06-01-2024 01:00</v>
      </c>
      <c r="B123" s="2523">
        <v>0.14000000000000001</v>
      </c>
      <c r="C123" s="2528" t="str">
        <f>"06-02-2024 00:00"</f>
        <v>06-02-2024 00:00</v>
      </c>
      <c r="D123" s="2523">
        <v>0.2</v>
      </c>
      <c r="E123" s="2528" t="str">
        <f>"06-03-2024 00:00"</f>
        <v>06-03-2024 00:00</v>
      </c>
      <c r="F123" s="2523">
        <v>0.18</v>
      </c>
      <c r="G123" s="2528" t="str">
        <f>"06-04-2024 00:00"</f>
        <v>06-04-2024 00:00</v>
      </c>
      <c r="H123" s="2523">
        <v>0.14000000000000001</v>
      </c>
      <c r="I123" s="2528"/>
      <c r="J123" s="2523"/>
      <c r="K123" s="2528"/>
      <c r="L123" s="2523"/>
      <c r="M123" s="2528"/>
      <c r="N123" s="2523"/>
      <c r="O123" s="2528"/>
      <c r="P123" s="2523"/>
      <c r="Q123" s="2528"/>
      <c r="R123" s="2523"/>
      <c r="S123" s="2528"/>
      <c r="T123" s="2523"/>
      <c r="U123" s="2528"/>
      <c r="V123" s="2523"/>
      <c r="W123" s="2528"/>
      <c r="X123" s="2523"/>
    </row>
    <row r="124" spans="1:24" ht="14.4">
      <c r="A124" s="2518" t="str">
        <f>"06-01-2024 02:00"</f>
        <v>06-01-2024 02:00</v>
      </c>
      <c r="B124" s="2514">
        <v>0.13</v>
      </c>
      <c r="C124" s="2518" t="str">
        <f>"06-02-2024 01:00"</f>
        <v>06-02-2024 01:00</v>
      </c>
      <c r="D124" s="2514">
        <v>0.14000000000000001</v>
      </c>
      <c r="E124" s="2518" t="str">
        <f>"06-03-2024 01:00"</f>
        <v>06-03-2024 01:00</v>
      </c>
      <c r="F124" s="2514">
        <v>0.16</v>
      </c>
      <c r="G124" s="2518" t="str">
        <f>"06-04-2024 01:00"</f>
        <v>06-04-2024 01:00</v>
      </c>
      <c r="H124" s="2514">
        <v>0.17</v>
      </c>
      <c r="I124" s="2518"/>
      <c r="J124" s="2514"/>
      <c r="K124" s="2518"/>
      <c r="L124" s="2514"/>
      <c r="M124" s="2518"/>
      <c r="N124" s="2514"/>
      <c r="O124" s="2518"/>
      <c r="P124" s="2514"/>
      <c r="Q124" s="2518"/>
      <c r="R124" s="2514"/>
      <c r="S124" s="2518"/>
      <c r="T124" s="2514"/>
      <c r="U124" s="2518"/>
      <c r="V124" s="2514"/>
      <c r="W124" s="2518"/>
      <c r="X124" s="2514"/>
    </row>
    <row r="125" spans="1:24" ht="14.4">
      <c r="A125" s="2518" t="str">
        <f>"06-01-2024 03:00"</f>
        <v>06-01-2024 03:00</v>
      </c>
      <c r="B125" s="2514">
        <v>0.1</v>
      </c>
      <c r="C125" s="2518" t="str">
        <f>"06-02-2024 02:00"</f>
        <v>06-02-2024 02:00</v>
      </c>
      <c r="D125" s="2514">
        <v>0.2</v>
      </c>
      <c r="E125" s="2518" t="str">
        <f>"06-03-2024 02:00"</f>
        <v>06-03-2024 02:00</v>
      </c>
      <c r="F125" s="2514">
        <v>0.13</v>
      </c>
      <c r="G125" s="2518" t="str">
        <f>"06-04-2024 02:00"</f>
        <v>06-04-2024 02:00</v>
      </c>
      <c r="H125" s="2514">
        <v>0.2</v>
      </c>
      <c r="I125" s="2518"/>
      <c r="J125" s="2514"/>
      <c r="K125" s="2518"/>
      <c r="L125" s="2514"/>
      <c r="M125" s="2518"/>
      <c r="N125" s="2514"/>
      <c r="O125" s="2518"/>
      <c r="P125" s="2514"/>
      <c r="Q125" s="2518"/>
      <c r="R125" s="2514"/>
      <c r="S125" s="2518"/>
      <c r="T125" s="2514"/>
      <c r="U125" s="2518"/>
      <c r="V125" s="2514"/>
      <c r="W125" s="2518"/>
      <c r="X125" s="2514"/>
    </row>
    <row r="126" spans="1:24" ht="14.4">
      <c r="A126" s="2518" t="str">
        <f>"06-01-2024 04:00"</f>
        <v>06-01-2024 04:00</v>
      </c>
      <c r="B126" s="2514">
        <v>0.11</v>
      </c>
      <c r="C126" s="2518" t="str">
        <f>"06-02-2024 03:00"</f>
        <v>06-02-2024 03:00</v>
      </c>
      <c r="D126" s="2514">
        <v>0.14000000000000001</v>
      </c>
      <c r="E126" s="2518" t="str">
        <f>"06-03-2024 03:00"</f>
        <v>06-03-2024 03:00</v>
      </c>
      <c r="F126" s="2514">
        <v>0.16</v>
      </c>
      <c r="G126" s="2518" t="str">
        <f>"06-04-2024 03:00"</f>
        <v>06-04-2024 03:00</v>
      </c>
      <c r="H126" s="2514">
        <v>0.14000000000000001</v>
      </c>
      <c r="I126" s="2518"/>
      <c r="J126" s="2514"/>
      <c r="K126" s="2518"/>
      <c r="L126" s="2514"/>
      <c r="M126" s="2518"/>
      <c r="N126" s="2514"/>
      <c r="O126" s="2518"/>
      <c r="P126" s="2514"/>
      <c r="Q126" s="2518"/>
      <c r="R126" s="2514"/>
      <c r="S126" s="2518"/>
      <c r="T126" s="2514"/>
      <c r="U126" s="2518"/>
      <c r="V126" s="2514"/>
      <c r="W126" s="2518"/>
      <c r="X126" s="2514"/>
    </row>
    <row r="127" spans="1:24" ht="14.4">
      <c r="A127" s="2518" t="str">
        <f>"06-01-2024 05:00"</f>
        <v>06-01-2024 05:00</v>
      </c>
      <c r="B127" s="2514">
        <v>0.14000000000000001</v>
      </c>
      <c r="C127" s="2518" t="str">
        <f>"06-02-2024 04:00"</f>
        <v>06-02-2024 04:00</v>
      </c>
      <c r="D127" s="2514">
        <v>0.16</v>
      </c>
      <c r="E127" s="2518" t="str">
        <f>"06-03-2024 04:00"</f>
        <v>06-03-2024 04:00</v>
      </c>
      <c r="F127" s="2514">
        <v>0.13</v>
      </c>
      <c r="G127" s="2518" t="str">
        <f>"06-04-2024 04:00"</f>
        <v>06-04-2024 04:00</v>
      </c>
      <c r="H127" s="2514">
        <v>0.14000000000000001</v>
      </c>
      <c r="I127" s="2518"/>
      <c r="J127" s="2514"/>
      <c r="K127" s="2518"/>
      <c r="L127" s="2514"/>
      <c r="M127" s="2518"/>
      <c r="N127" s="2514"/>
      <c r="O127" s="2518"/>
      <c r="P127" s="2514"/>
      <c r="Q127" s="2518"/>
      <c r="R127" s="2514"/>
      <c r="S127" s="2518"/>
      <c r="T127" s="2514"/>
      <c r="U127" s="2518"/>
      <c r="V127" s="2514"/>
      <c r="W127" s="2518"/>
      <c r="X127" s="2514"/>
    </row>
    <row r="128" spans="1:24" ht="14.4">
      <c r="A128" s="2518" t="str">
        <f>"06-01-2024 06:00"</f>
        <v>06-01-2024 06:00</v>
      </c>
      <c r="B128" s="2514">
        <v>0.14000000000000001</v>
      </c>
      <c r="C128" s="2518" t="str">
        <f>"06-02-2024 05:00"</f>
        <v>06-02-2024 05:00</v>
      </c>
      <c r="D128" s="2514">
        <v>0.18</v>
      </c>
      <c r="E128" s="2518" t="str">
        <f>"06-03-2024 05:00"</f>
        <v>06-03-2024 05:00</v>
      </c>
      <c r="F128" s="2514">
        <v>0.22</v>
      </c>
      <c r="G128" s="2518" t="str">
        <f>"06-04-2024 05:00"</f>
        <v>06-04-2024 05:00</v>
      </c>
      <c r="H128" s="2514">
        <v>0.22</v>
      </c>
      <c r="I128" s="2518"/>
      <c r="J128" s="2514"/>
      <c r="K128" s="2518"/>
      <c r="L128" s="2514"/>
      <c r="M128" s="2518"/>
      <c r="N128" s="2514"/>
      <c r="O128" s="2518"/>
      <c r="P128" s="2514"/>
      <c r="Q128" s="2518"/>
      <c r="R128" s="2514"/>
      <c r="S128" s="2518"/>
      <c r="T128" s="2514"/>
      <c r="U128" s="2518"/>
      <c r="V128" s="2514"/>
      <c r="W128" s="2518"/>
      <c r="X128" s="2514"/>
    </row>
    <row r="129" spans="1:24" ht="14.4">
      <c r="A129" s="2518" t="str">
        <f>"06-01-2024 07:00"</f>
        <v>06-01-2024 07:00</v>
      </c>
      <c r="B129" s="2514">
        <v>0.28000000000000003</v>
      </c>
      <c r="C129" s="2518" t="str">
        <f>"06-02-2024 06:00"</f>
        <v>06-02-2024 06:00</v>
      </c>
      <c r="D129" s="2514">
        <v>0.16</v>
      </c>
      <c r="E129" s="2518" t="str">
        <f>"06-03-2024 06:00"</f>
        <v>06-03-2024 06:00</v>
      </c>
      <c r="F129" s="2514">
        <v>0.16</v>
      </c>
      <c r="G129" s="2518" t="str">
        <f>"06-04-2024 06:00"</f>
        <v>06-04-2024 06:00</v>
      </c>
      <c r="H129" s="2514">
        <v>0.15</v>
      </c>
      <c r="I129" s="2518"/>
      <c r="J129" s="2514"/>
      <c r="K129" s="2518"/>
      <c r="L129" s="2514"/>
      <c r="M129" s="2518"/>
      <c r="N129" s="2514"/>
      <c r="O129" s="2518"/>
      <c r="P129" s="2514"/>
      <c r="Q129" s="2518"/>
      <c r="R129" s="2514"/>
      <c r="S129" s="2518"/>
      <c r="T129" s="2514"/>
      <c r="U129" s="2518"/>
      <c r="V129" s="2514"/>
      <c r="W129" s="2518"/>
      <c r="X129" s="2514"/>
    </row>
    <row r="130" spans="1:24" ht="14.4">
      <c r="A130" s="2518" t="str">
        <f>"06-01-2024 08:00"</f>
        <v>06-01-2024 08:00</v>
      </c>
      <c r="B130" s="2514">
        <v>0.21</v>
      </c>
      <c r="C130" s="2518" t="str">
        <f>"06-02-2024 07:00"</f>
        <v>06-02-2024 07:00</v>
      </c>
      <c r="D130" s="2514">
        <v>0.12</v>
      </c>
      <c r="E130" s="2518" t="str">
        <f>"06-03-2024 07:00"</f>
        <v>06-03-2024 07:00</v>
      </c>
      <c r="F130" s="2514">
        <v>0.14000000000000001</v>
      </c>
      <c r="G130" s="2518" t="str">
        <f>"06-04-2024 07:00"</f>
        <v>06-04-2024 07:00</v>
      </c>
      <c r="H130" s="2514">
        <v>0.17</v>
      </c>
      <c r="I130" s="2518"/>
      <c r="J130" s="2514"/>
      <c r="K130" s="2518"/>
      <c r="L130" s="2514"/>
      <c r="M130" s="2518"/>
      <c r="N130" s="2514"/>
      <c r="O130" s="2518"/>
      <c r="P130" s="2514"/>
      <c r="Q130" s="2518"/>
      <c r="R130" s="2514"/>
      <c r="S130" s="2518"/>
      <c r="T130" s="2514"/>
      <c r="U130" s="2518"/>
      <c r="V130" s="2514"/>
      <c r="W130" s="2518"/>
      <c r="X130" s="2514"/>
    </row>
    <row r="131" spans="1:24" ht="14.4">
      <c r="A131" s="2518" t="str">
        <f>"06-01-2024 09:00"</f>
        <v>06-01-2024 09:00</v>
      </c>
      <c r="B131" s="2514">
        <v>0.41</v>
      </c>
      <c r="C131" s="2518" t="str">
        <f>"06-02-2024 08:00"</f>
        <v>06-02-2024 08:00</v>
      </c>
      <c r="D131" s="2514">
        <v>0.37</v>
      </c>
      <c r="E131" s="2518" t="str">
        <f>"06-03-2024 08:00"</f>
        <v>06-03-2024 08:00</v>
      </c>
      <c r="F131" s="2514">
        <v>0.36</v>
      </c>
      <c r="G131" s="2518" t="str">
        <f>"06-04-2024 08:00"</f>
        <v>06-04-2024 08:00</v>
      </c>
      <c r="H131" s="2514">
        <v>0.28999999999999998</v>
      </c>
      <c r="I131" s="2518"/>
      <c r="J131" s="2514"/>
      <c r="K131" s="2518"/>
      <c r="L131" s="2514"/>
      <c r="M131" s="2518"/>
      <c r="N131" s="2514"/>
      <c r="O131" s="2518"/>
      <c r="P131" s="2514"/>
      <c r="Q131" s="2518"/>
      <c r="R131" s="2514"/>
      <c r="S131" s="2518"/>
      <c r="T131" s="2514"/>
      <c r="U131" s="2518"/>
      <c r="V131" s="2514"/>
      <c r="W131" s="2518"/>
      <c r="X131" s="2514"/>
    </row>
    <row r="132" spans="1:24" ht="14.4">
      <c r="A132" s="2518" t="str">
        <f>"06-01-2024 10:00"</f>
        <v>06-01-2024 10:00</v>
      </c>
      <c r="B132" s="2514">
        <v>0.21</v>
      </c>
      <c r="C132" s="2518" t="str">
        <f>"06-02-2024 09:00"</f>
        <v>06-02-2024 09:00</v>
      </c>
      <c r="D132" s="2514">
        <v>0.24</v>
      </c>
      <c r="E132" s="2518" t="str">
        <f>"06-03-2024 09:00"</f>
        <v>06-03-2024 09:00</v>
      </c>
      <c r="F132" s="2514">
        <v>0.41</v>
      </c>
      <c r="G132" s="2518" t="str">
        <f>"06-04-2024 09:00"</f>
        <v>06-04-2024 09:00</v>
      </c>
      <c r="H132" s="2514">
        <v>0.31</v>
      </c>
      <c r="I132" s="2518"/>
      <c r="J132" s="2514"/>
      <c r="K132" s="2518"/>
      <c r="L132" s="2514"/>
      <c r="M132" s="2518"/>
      <c r="N132" s="2514"/>
      <c r="O132" s="2518"/>
      <c r="P132" s="2514"/>
      <c r="Q132" s="2518"/>
      <c r="R132" s="2514"/>
      <c r="S132" s="2518"/>
      <c r="T132" s="2514"/>
      <c r="U132" s="2518"/>
      <c r="V132" s="2514"/>
      <c r="W132" s="2518"/>
      <c r="X132" s="2514"/>
    </row>
    <row r="133" spans="1:24" ht="14.4">
      <c r="A133" s="2518" t="str">
        <f>"06-01-2024 11:00"</f>
        <v>06-01-2024 11:00</v>
      </c>
      <c r="B133" s="2514">
        <v>0.16</v>
      </c>
      <c r="C133" s="2518" t="str">
        <f>"06-02-2024 10:00"</f>
        <v>06-02-2024 10:00</v>
      </c>
      <c r="D133" s="2514">
        <v>0.52</v>
      </c>
      <c r="E133" s="2518" t="str">
        <f>"06-03-2024 10:00"</f>
        <v>06-03-2024 10:00</v>
      </c>
      <c r="F133" s="2514">
        <v>0.5</v>
      </c>
      <c r="G133" s="2518" t="str">
        <f>"06-04-2024 10:00"</f>
        <v>06-04-2024 10:00</v>
      </c>
      <c r="H133" s="2514">
        <v>0.28999999999999998</v>
      </c>
      <c r="I133" s="2518"/>
      <c r="J133" s="2514"/>
      <c r="K133" s="2518"/>
      <c r="L133" s="2514"/>
      <c r="M133" s="2518"/>
      <c r="N133" s="2514"/>
      <c r="O133" s="2518"/>
      <c r="P133" s="2514"/>
      <c r="Q133" s="2518"/>
      <c r="R133" s="2514"/>
      <c r="S133" s="2518"/>
      <c r="T133" s="2514"/>
      <c r="U133" s="2518"/>
      <c r="V133" s="2514"/>
      <c r="W133" s="2518"/>
      <c r="X133" s="2514"/>
    </row>
    <row r="134" spans="1:24" ht="14.4">
      <c r="A134" s="2518" t="str">
        <f>"06-01-2024 12:00"</f>
        <v>06-01-2024 12:00</v>
      </c>
      <c r="B134" s="2514">
        <v>0.32</v>
      </c>
      <c r="C134" s="2518" t="str">
        <f>"06-02-2024 11:00"</f>
        <v>06-02-2024 11:00</v>
      </c>
      <c r="D134" s="2514">
        <v>0.34</v>
      </c>
      <c r="E134" s="2518" t="str">
        <f>"06-03-2024 11:00"</f>
        <v>06-03-2024 11:00</v>
      </c>
      <c r="F134" s="2514">
        <v>0.32</v>
      </c>
      <c r="G134" s="2518" t="str">
        <f>"06-04-2024 11:00"</f>
        <v>06-04-2024 11:00</v>
      </c>
      <c r="H134" s="2514">
        <v>0.44</v>
      </c>
      <c r="I134" s="2518"/>
      <c r="J134" s="2514"/>
      <c r="K134" s="2518"/>
      <c r="L134" s="2514"/>
      <c r="M134" s="2518"/>
      <c r="N134" s="2514"/>
      <c r="O134" s="2518"/>
      <c r="P134" s="2514"/>
      <c r="Q134" s="2518"/>
      <c r="R134" s="2514"/>
      <c r="S134" s="2518"/>
      <c r="T134" s="2514"/>
      <c r="U134" s="2518"/>
      <c r="V134" s="2514"/>
      <c r="W134" s="2518"/>
      <c r="X134" s="2514"/>
    </row>
    <row r="135" spans="1:24" ht="14.4">
      <c r="A135" s="2518" t="str">
        <f>"06-01-2024 13:00"</f>
        <v>06-01-2024 13:00</v>
      </c>
      <c r="B135" s="2514">
        <v>0.49</v>
      </c>
      <c r="C135" s="2518" t="str">
        <f>"06-02-2024 12:00"</f>
        <v>06-02-2024 12:00</v>
      </c>
      <c r="D135" s="2514">
        <v>0.56999999999999995</v>
      </c>
      <c r="E135" s="2518" t="str">
        <f>"06-03-2024 12:00"</f>
        <v>06-03-2024 12:00</v>
      </c>
      <c r="F135" s="2514">
        <v>0.28000000000000003</v>
      </c>
      <c r="G135" s="2518" t="str">
        <f>"06-04-2024 12:00"</f>
        <v>06-04-2024 12:00</v>
      </c>
      <c r="H135" s="2514">
        <v>0.57999999999999996</v>
      </c>
      <c r="I135" s="2518"/>
      <c r="J135" s="2514"/>
      <c r="K135" s="2518"/>
      <c r="L135" s="2514"/>
      <c r="M135" s="2518"/>
      <c r="N135" s="2514"/>
      <c r="O135" s="2518"/>
      <c r="P135" s="2514"/>
      <c r="Q135" s="2518"/>
      <c r="R135" s="2514"/>
      <c r="S135" s="2518"/>
      <c r="T135" s="2514"/>
      <c r="U135" s="2518"/>
      <c r="V135" s="2514"/>
      <c r="W135" s="2518"/>
      <c r="X135" s="2514"/>
    </row>
    <row r="136" spans="1:24" ht="14.4">
      <c r="A136" s="2518" t="str">
        <f>"06-01-2024 14:00"</f>
        <v>06-01-2024 14:00</v>
      </c>
      <c r="B136" s="2514">
        <v>0.28999999999999998</v>
      </c>
      <c r="C136" s="2518" t="str">
        <f>"06-02-2024 13:00"</f>
        <v>06-02-2024 13:00</v>
      </c>
      <c r="D136" s="2514">
        <v>0.3</v>
      </c>
      <c r="E136" s="2518" t="str">
        <f>"06-03-2024 13:00"</f>
        <v>06-03-2024 13:00</v>
      </c>
      <c r="F136" s="2514">
        <v>0.3</v>
      </c>
      <c r="G136" s="2518" t="str">
        <f>"06-04-2024 13:00"</f>
        <v>06-04-2024 13:00</v>
      </c>
      <c r="H136" s="2514">
        <v>0.25</v>
      </c>
      <c r="I136" s="2518"/>
      <c r="J136" s="2514"/>
      <c r="K136" s="2518"/>
      <c r="L136" s="2514"/>
      <c r="M136" s="2518"/>
      <c r="N136" s="2514"/>
      <c r="O136" s="2518"/>
      <c r="P136" s="2514"/>
      <c r="Q136" s="2518"/>
      <c r="R136" s="2514"/>
      <c r="S136" s="2518"/>
      <c r="T136" s="2514"/>
      <c r="U136" s="2518"/>
      <c r="V136" s="2514"/>
      <c r="W136" s="2518"/>
      <c r="X136" s="2514"/>
    </row>
    <row r="137" spans="1:24" ht="14.4">
      <c r="A137" s="2518" t="str">
        <f>"06-01-2024 15:00"</f>
        <v>06-01-2024 15:00</v>
      </c>
      <c r="B137" s="2514">
        <v>0.42</v>
      </c>
      <c r="C137" s="2518" t="str">
        <f>"06-02-2024 14:00"</f>
        <v>06-02-2024 14:00</v>
      </c>
      <c r="D137" s="2514">
        <v>0.19</v>
      </c>
      <c r="E137" s="2518" t="str">
        <f>"06-03-2024 14:00"</f>
        <v>06-03-2024 14:00</v>
      </c>
      <c r="F137" s="2514">
        <v>0.28000000000000003</v>
      </c>
      <c r="G137" s="2518" t="str">
        <f>"06-04-2024 14:00"</f>
        <v>06-04-2024 14:00</v>
      </c>
      <c r="H137" s="2514">
        <v>0.42</v>
      </c>
      <c r="I137" s="2518"/>
      <c r="J137" s="2514"/>
      <c r="K137" s="2518"/>
      <c r="L137" s="2514"/>
      <c r="M137" s="2518"/>
      <c r="N137" s="2514"/>
      <c r="O137" s="2518"/>
      <c r="P137" s="2514"/>
      <c r="Q137" s="2518"/>
      <c r="R137" s="2514"/>
      <c r="S137" s="2518"/>
      <c r="T137" s="2514"/>
      <c r="U137" s="2518"/>
      <c r="V137" s="2514"/>
      <c r="W137" s="2518"/>
      <c r="X137" s="2514"/>
    </row>
    <row r="138" spans="1:24" ht="14.4">
      <c r="A138" s="2518" t="str">
        <f>"06-01-2024 16:00"</f>
        <v>06-01-2024 16:00</v>
      </c>
      <c r="B138" s="2514">
        <v>0.38</v>
      </c>
      <c r="C138" s="2518" t="str">
        <f>"06-02-2024 15:00"</f>
        <v>06-02-2024 15:00</v>
      </c>
      <c r="D138" s="2514">
        <v>0.28000000000000003</v>
      </c>
      <c r="E138" s="2518" t="str">
        <f>"06-03-2024 15:00"</f>
        <v>06-03-2024 15:00</v>
      </c>
      <c r="F138" s="2514">
        <v>0.42</v>
      </c>
      <c r="G138" s="2518" t="str">
        <f>"06-04-2024 15:00"</f>
        <v>06-04-2024 15:00</v>
      </c>
      <c r="H138" s="2514">
        <v>0.45</v>
      </c>
      <c r="I138" s="2518"/>
      <c r="J138" s="2514"/>
      <c r="K138" s="2518"/>
      <c r="L138" s="2514"/>
      <c r="M138" s="2518"/>
      <c r="N138" s="2514"/>
      <c r="O138" s="2518"/>
      <c r="P138" s="2514"/>
      <c r="Q138" s="2518"/>
      <c r="R138" s="2514"/>
      <c r="S138" s="2518"/>
      <c r="T138" s="2514"/>
      <c r="U138" s="2518"/>
      <c r="V138" s="2514"/>
      <c r="W138" s="2518"/>
      <c r="X138" s="2514"/>
    </row>
    <row r="139" spans="1:24" ht="14.4">
      <c r="A139" s="2518" t="str">
        <f>"06-01-2024 17:00"</f>
        <v>06-01-2024 17:00</v>
      </c>
      <c r="B139" s="2514">
        <v>0.33</v>
      </c>
      <c r="C139" s="2518" t="str">
        <f>"06-02-2024 16:00"</f>
        <v>06-02-2024 16:00</v>
      </c>
      <c r="D139" s="2514">
        <v>1.07</v>
      </c>
      <c r="E139" s="2518" t="str">
        <f>"06-03-2024 16:00"</f>
        <v>06-03-2024 16:00</v>
      </c>
      <c r="F139" s="2514">
        <v>0.56999999999999995</v>
      </c>
      <c r="G139" s="2518" t="str">
        <f>"06-04-2024 16:00"</f>
        <v>06-04-2024 16:00</v>
      </c>
      <c r="H139" s="2514">
        <v>0.42</v>
      </c>
      <c r="I139" s="2518"/>
      <c r="J139" s="2514"/>
      <c r="K139" s="2518"/>
      <c r="L139" s="2514"/>
      <c r="M139" s="2518"/>
      <c r="N139" s="2514"/>
      <c r="O139" s="2518"/>
      <c r="P139" s="2514"/>
      <c r="Q139" s="2518"/>
      <c r="R139" s="2514"/>
      <c r="S139" s="2518"/>
      <c r="T139" s="2514"/>
      <c r="U139" s="2518"/>
      <c r="V139" s="2514"/>
      <c r="W139" s="2518"/>
      <c r="X139" s="2514"/>
    </row>
    <row r="140" spans="1:24" ht="14.4">
      <c r="A140" s="2518" t="str">
        <f>"06-01-2024 18:00"</f>
        <v>06-01-2024 18:00</v>
      </c>
      <c r="B140" s="2514">
        <v>0.82</v>
      </c>
      <c r="C140" s="2518" t="str">
        <f>"06-02-2024 17:00"</f>
        <v>06-02-2024 17:00</v>
      </c>
      <c r="D140" s="2514">
        <v>1.37</v>
      </c>
      <c r="E140" s="2518" t="str">
        <f>"06-03-2024 17:00"</f>
        <v>06-03-2024 17:00</v>
      </c>
      <c r="F140" s="2514">
        <v>0.33</v>
      </c>
      <c r="G140" s="2518" t="str">
        <f>"06-04-2024 17:00"</f>
        <v>06-04-2024 17:00</v>
      </c>
      <c r="H140" s="2514">
        <v>0.6</v>
      </c>
      <c r="I140" s="2518"/>
      <c r="J140" s="2514"/>
      <c r="K140" s="2518"/>
      <c r="L140" s="2514"/>
      <c r="M140" s="2518"/>
      <c r="N140" s="2514"/>
      <c r="O140" s="2518"/>
      <c r="P140" s="2514"/>
      <c r="Q140" s="2518"/>
      <c r="R140" s="2514"/>
      <c r="S140" s="2518"/>
      <c r="T140" s="2514"/>
      <c r="U140" s="2518"/>
      <c r="V140" s="2514"/>
      <c r="W140" s="2518"/>
      <c r="X140" s="2514"/>
    </row>
    <row r="141" spans="1:24" ht="14.4">
      <c r="A141" s="2518" t="str">
        <f>"06-01-2024 19:00"</f>
        <v>06-01-2024 19:00</v>
      </c>
      <c r="B141" s="2514">
        <v>0.43</v>
      </c>
      <c r="C141" s="2518" t="str">
        <f>"06-02-2024 18:00"</f>
        <v>06-02-2024 18:00</v>
      </c>
      <c r="D141" s="2514">
        <v>0.49</v>
      </c>
      <c r="E141" s="2518" t="str">
        <f>"06-03-2024 18:00"</f>
        <v>06-03-2024 18:00</v>
      </c>
      <c r="F141" s="2514">
        <v>0.39</v>
      </c>
      <c r="G141" s="2518" t="str">
        <f>"06-04-2024 18:00"</f>
        <v>06-04-2024 18:00</v>
      </c>
      <c r="H141" s="2514">
        <v>0.32</v>
      </c>
      <c r="I141" s="2518"/>
      <c r="J141" s="2514"/>
      <c r="K141" s="2518"/>
      <c r="L141" s="2514"/>
      <c r="M141" s="2518"/>
      <c r="N141" s="2514"/>
      <c r="O141" s="2518"/>
      <c r="P141" s="2514"/>
      <c r="Q141" s="2518"/>
      <c r="R141" s="2514"/>
      <c r="S141" s="2518"/>
      <c r="T141" s="2514"/>
      <c r="U141" s="2518"/>
      <c r="V141" s="2514"/>
      <c r="W141" s="2518"/>
      <c r="X141" s="2514"/>
    </row>
    <row r="142" spans="1:24" ht="14.4">
      <c r="A142" s="2518" t="str">
        <f>"06-01-2024 20:00"</f>
        <v>06-01-2024 20:00</v>
      </c>
      <c r="B142" s="2514">
        <v>0.47</v>
      </c>
      <c r="C142" s="2518" t="str">
        <f>"06-02-2024 19:00"</f>
        <v>06-02-2024 19:00</v>
      </c>
      <c r="D142" s="2514">
        <v>0.42</v>
      </c>
      <c r="E142" s="2518" t="str">
        <f>"06-03-2024 19:00"</f>
        <v>06-03-2024 19:00</v>
      </c>
      <c r="F142" s="2514">
        <v>0.38</v>
      </c>
      <c r="G142" s="2518" t="str">
        <f>"06-04-2024 19:00"</f>
        <v>06-04-2024 19:00</v>
      </c>
      <c r="H142" s="2514">
        <v>0.38</v>
      </c>
      <c r="I142" s="2518"/>
      <c r="J142" s="2514"/>
      <c r="K142" s="2518"/>
      <c r="L142" s="2514"/>
      <c r="M142" s="2518"/>
      <c r="N142" s="2514"/>
      <c r="O142" s="2518"/>
      <c r="P142" s="2514"/>
      <c r="Q142" s="2518"/>
      <c r="R142" s="2514"/>
      <c r="S142" s="2518"/>
      <c r="T142" s="2514"/>
      <c r="U142" s="2518"/>
      <c r="V142" s="2514"/>
      <c r="W142" s="2518"/>
      <c r="X142" s="2514"/>
    </row>
    <row r="143" spans="1:24" ht="14.4">
      <c r="A143" s="2518" t="str">
        <f>"06-01-2024 21:00"</f>
        <v>06-01-2024 21:00</v>
      </c>
      <c r="B143" s="2514">
        <v>0.36</v>
      </c>
      <c r="C143" s="2518" t="str">
        <f>"06-02-2024 20:00"</f>
        <v>06-02-2024 20:00</v>
      </c>
      <c r="D143" s="2514">
        <v>0.45</v>
      </c>
      <c r="E143" s="2518" t="str">
        <f>"06-03-2024 20:00"</f>
        <v>06-03-2024 20:00</v>
      </c>
      <c r="F143" s="2514">
        <v>0.45</v>
      </c>
      <c r="G143" s="2518" t="str">
        <f>"06-04-2024 20:00"</f>
        <v>06-04-2024 20:00</v>
      </c>
      <c r="H143" s="2514">
        <v>0.47</v>
      </c>
      <c r="I143" s="2518"/>
      <c r="J143" s="2514"/>
      <c r="K143" s="2518"/>
      <c r="L143" s="2514"/>
      <c r="M143" s="2518"/>
      <c r="N143" s="2514"/>
      <c r="O143" s="2518"/>
      <c r="P143" s="2514"/>
      <c r="Q143" s="2518"/>
      <c r="R143" s="2514"/>
      <c r="S143" s="2518"/>
      <c r="T143" s="2514"/>
      <c r="U143" s="2518"/>
      <c r="V143" s="2514"/>
      <c r="W143" s="2518"/>
      <c r="X143" s="2514"/>
    </row>
    <row r="144" spans="1:24" ht="14.4">
      <c r="A144" s="2518" t="str">
        <f>"06-01-2024 22:00"</f>
        <v>06-01-2024 22:00</v>
      </c>
      <c r="B144" s="2514">
        <v>0.35</v>
      </c>
      <c r="C144" s="2518" t="str">
        <f>"06-02-2024 21:00"</f>
        <v>06-02-2024 21:00</v>
      </c>
      <c r="D144" s="2514">
        <v>0.32</v>
      </c>
      <c r="E144" s="2518" t="str">
        <f>"06-03-2024 21:00"</f>
        <v>06-03-2024 21:00</v>
      </c>
      <c r="F144" s="2514">
        <v>0.4</v>
      </c>
      <c r="G144" s="2518" t="str">
        <f>"06-04-2024 21:00"</f>
        <v>06-04-2024 21:00</v>
      </c>
      <c r="H144" s="2514">
        <v>0.52</v>
      </c>
      <c r="I144" s="2518"/>
      <c r="J144" s="2514"/>
      <c r="K144" s="2518"/>
      <c r="L144" s="2514"/>
      <c r="M144" s="2518"/>
      <c r="N144" s="2514"/>
      <c r="O144" s="2518"/>
      <c r="P144" s="2514"/>
      <c r="Q144" s="2518"/>
      <c r="R144" s="2514"/>
      <c r="S144" s="2518"/>
      <c r="T144" s="2514"/>
      <c r="U144" s="2518"/>
      <c r="V144" s="2514"/>
      <c r="W144" s="2518"/>
      <c r="X144" s="2514"/>
    </row>
    <row r="145" spans="1:24" ht="14.4">
      <c r="A145" s="2518" t="str">
        <f>"06-01-2024 23:00"</f>
        <v>06-01-2024 23:00</v>
      </c>
      <c r="B145" s="2514">
        <v>0.25</v>
      </c>
      <c r="C145" s="2518" t="str">
        <f>"06-02-2024 22:00"</f>
        <v>06-02-2024 22:00</v>
      </c>
      <c r="D145" s="2514">
        <v>0.22</v>
      </c>
      <c r="E145" s="2518" t="str">
        <f>"06-03-2024 22:00"</f>
        <v>06-03-2024 22:00</v>
      </c>
      <c r="F145" s="2514">
        <v>0.27</v>
      </c>
      <c r="G145" s="2518" t="str">
        <f>"06-04-2024 22:00"</f>
        <v>06-04-2024 22:00</v>
      </c>
      <c r="H145" s="2514">
        <v>0.38</v>
      </c>
      <c r="I145" s="2518"/>
      <c r="J145" s="2514"/>
      <c r="K145" s="2518"/>
      <c r="L145" s="2514"/>
      <c r="M145" s="2518"/>
      <c r="N145" s="2514"/>
      <c r="O145" s="2518"/>
      <c r="P145" s="2514"/>
      <c r="Q145" s="2518"/>
      <c r="R145" s="2514"/>
      <c r="S145" s="2518"/>
      <c r="T145" s="2514"/>
      <c r="U145" s="2518"/>
      <c r="V145" s="2514"/>
      <c r="W145" s="2518"/>
      <c r="X145" s="2514"/>
    </row>
    <row r="146" spans="1:24" s="2506" customFormat="1" ht="14.4">
      <c r="A146" s="2529" t="str">
        <f>"07-01-2024 00:00"</f>
        <v>07-01-2024 00:00</v>
      </c>
      <c r="B146" s="2521">
        <v>0.2</v>
      </c>
      <c r="C146" s="2529" t="str">
        <f>"06-02-2024 23:00"</f>
        <v>06-02-2024 23:00</v>
      </c>
      <c r="D146" s="2521">
        <v>0.19</v>
      </c>
      <c r="E146" s="2529" t="str">
        <f>"06-03-2024 23:00"</f>
        <v>06-03-2024 23:00</v>
      </c>
      <c r="F146" s="2521">
        <v>0.18</v>
      </c>
      <c r="G146" s="2529" t="str">
        <f>"06-04-2024 23:00"</f>
        <v>06-04-2024 23:00</v>
      </c>
      <c r="H146" s="2521">
        <v>0.32</v>
      </c>
      <c r="I146" s="2529"/>
      <c r="J146" s="2521"/>
      <c r="K146" s="2529"/>
      <c r="L146" s="2521"/>
      <c r="M146" s="2529"/>
      <c r="N146" s="2521"/>
      <c r="O146" s="2529"/>
      <c r="P146" s="2521"/>
      <c r="Q146" s="2529"/>
      <c r="R146" s="2521"/>
      <c r="S146" s="2529"/>
      <c r="T146" s="2521"/>
      <c r="U146" s="2529"/>
      <c r="V146" s="2521"/>
      <c r="W146" s="2529"/>
      <c r="X146" s="2521"/>
    </row>
    <row r="147" spans="1:24" ht="14.4">
      <c r="A147" s="2522" t="str">
        <f>"07-01-2024 01:00"</f>
        <v>07-01-2024 01:00</v>
      </c>
      <c r="B147" s="2523">
        <v>0.13</v>
      </c>
      <c r="C147" s="2522" t="str">
        <f>"07-02-2024 00:00"</f>
        <v>07-02-2024 00:00</v>
      </c>
      <c r="D147" s="2523">
        <v>0.18</v>
      </c>
      <c r="E147" s="2522" t="str">
        <f>"07-03-2024 00:00"</f>
        <v>07-03-2024 00:00</v>
      </c>
      <c r="F147" s="2523">
        <v>0.13</v>
      </c>
      <c r="G147" s="2522" t="str">
        <f>"07-04-2024 00:00"</f>
        <v>07-04-2024 00:00</v>
      </c>
      <c r="H147" s="2523">
        <v>0.18</v>
      </c>
      <c r="I147" s="2522"/>
      <c r="J147" s="2523"/>
      <c r="K147" s="2522"/>
      <c r="L147" s="2523"/>
      <c r="M147" s="2522"/>
      <c r="N147" s="2523"/>
      <c r="O147" s="2522"/>
      <c r="P147" s="2523"/>
      <c r="Q147" s="2522"/>
      <c r="R147" s="2523"/>
      <c r="S147" s="2522"/>
      <c r="T147" s="2523"/>
      <c r="U147" s="2522"/>
      <c r="V147" s="2523"/>
      <c r="W147" s="2522"/>
      <c r="X147" s="2523"/>
    </row>
    <row r="148" spans="1:24" ht="14.4">
      <c r="A148" s="2519" t="str">
        <f>"07-01-2024 02:00"</f>
        <v>07-01-2024 02:00</v>
      </c>
      <c r="B148" s="2514">
        <v>0.12</v>
      </c>
      <c r="C148" s="2519" t="str">
        <f>"07-02-2024 01:00"</f>
        <v>07-02-2024 01:00</v>
      </c>
      <c r="D148" s="2514">
        <v>0.12</v>
      </c>
      <c r="E148" s="2519" t="str">
        <f>"07-03-2024 01:00"</f>
        <v>07-03-2024 01:00</v>
      </c>
      <c r="F148" s="2514">
        <v>0.23</v>
      </c>
      <c r="G148" s="2519" t="str">
        <f>"07-04-2024 01:00"</f>
        <v>07-04-2024 01:00</v>
      </c>
      <c r="H148" s="2514">
        <v>0.18</v>
      </c>
      <c r="I148" s="2519"/>
      <c r="J148" s="2514"/>
      <c r="K148" s="2519"/>
      <c r="L148" s="2514"/>
      <c r="M148" s="2519"/>
      <c r="N148" s="2514"/>
      <c r="O148" s="2519"/>
      <c r="P148" s="2514"/>
      <c r="Q148" s="2519"/>
      <c r="R148" s="2514"/>
      <c r="S148" s="2519"/>
      <c r="T148" s="2514"/>
      <c r="U148" s="2519"/>
      <c r="V148" s="2514"/>
      <c r="W148" s="2519"/>
      <c r="X148" s="2514"/>
    </row>
    <row r="149" spans="1:24" ht="14.4">
      <c r="A149" s="2519" t="str">
        <f>"07-01-2024 03:00"</f>
        <v>07-01-2024 03:00</v>
      </c>
      <c r="B149" s="2514">
        <v>0.13</v>
      </c>
      <c r="C149" s="2519" t="str">
        <f>"07-02-2024 02:00"</f>
        <v>07-02-2024 02:00</v>
      </c>
      <c r="D149" s="2514">
        <v>0.16</v>
      </c>
      <c r="E149" s="2519" t="str">
        <f>"07-03-2024 02:00"</f>
        <v>07-03-2024 02:00</v>
      </c>
      <c r="F149" s="2514">
        <v>0.14000000000000001</v>
      </c>
      <c r="G149" s="2519" t="str">
        <f>"07-04-2024 02:00"</f>
        <v>07-04-2024 02:00</v>
      </c>
      <c r="H149" s="2514">
        <v>0.17</v>
      </c>
      <c r="I149" s="2519"/>
      <c r="J149" s="2514"/>
      <c r="K149" s="2519"/>
      <c r="L149" s="2514"/>
      <c r="M149" s="2519"/>
      <c r="N149" s="2514"/>
      <c r="O149" s="2519"/>
      <c r="P149" s="2514"/>
      <c r="Q149" s="2519"/>
      <c r="R149" s="2514"/>
      <c r="S149" s="2519"/>
      <c r="T149" s="2514"/>
      <c r="U149" s="2519"/>
      <c r="V149" s="2514"/>
      <c r="W149" s="2519"/>
      <c r="X149" s="2514"/>
    </row>
    <row r="150" spans="1:24" ht="14.4">
      <c r="A150" s="2519" t="str">
        <f>"07-01-2024 04:00"</f>
        <v>07-01-2024 04:00</v>
      </c>
      <c r="B150" s="2514">
        <v>0.1</v>
      </c>
      <c r="C150" s="2519" t="str">
        <f>"07-02-2024 03:00"</f>
        <v>07-02-2024 03:00</v>
      </c>
      <c r="D150" s="2514">
        <v>0.12</v>
      </c>
      <c r="E150" s="2519" t="str">
        <f>"07-03-2024 03:00"</f>
        <v>07-03-2024 03:00</v>
      </c>
      <c r="F150" s="2514">
        <v>0.13</v>
      </c>
      <c r="G150" s="2519" t="str">
        <f>"07-04-2024 03:00"</f>
        <v>07-04-2024 03:00</v>
      </c>
      <c r="H150" s="2514">
        <v>0.13</v>
      </c>
      <c r="I150" s="2519"/>
      <c r="J150" s="2514"/>
      <c r="K150" s="2519"/>
      <c r="L150" s="2514"/>
      <c r="M150" s="2519"/>
      <c r="N150" s="2514"/>
      <c r="O150" s="2519"/>
      <c r="P150" s="2514"/>
      <c r="Q150" s="2519"/>
      <c r="R150" s="2514"/>
      <c r="S150" s="2519"/>
      <c r="T150" s="2514"/>
      <c r="U150" s="2519"/>
      <c r="V150" s="2514"/>
      <c r="W150" s="2519"/>
      <c r="X150" s="2514"/>
    </row>
    <row r="151" spans="1:24" ht="14.4">
      <c r="A151" s="2519" t="str">
        <f>"07-01-2024 05:00"</f>
        <v>07-01-2024 05:00</v>
      </c>
      <c r="B151" s="2514">
        <v>0.12</v>
      </c>
      <c r="C151" s="2519" t="str">
        <f>"07-02-2024 04:00"</f>
        <v>07-02-2024 04:00</v>
      </c>
      <c r="D151" s="2514">
        <v>0.21</v>
      </c>
      <c r="E151" s="2519" t="str">
        <f>"07-03-2024 04:00"</f>
        <v>07-03-2024 04:00</v>
      </c>
      <c r="F151" s="2514">
        <v>0.15</v>
      </c>
      <c r="G151" s="2519" t="str">
        <f>"07-04-2024 04:00"</f>
        <v>07-04-2024 04:00</v>
      </c>
      <c r="H151" s="2514">
        <v>0.23</v>
      </c>
      <c r="I151" s="2519"/>
      <c r="J151" s="2514"/>
      <c r="K151" s="2519"/>
      <c r="L151" s="2514"/>
      <c r="M151" s="2519"/>
      <c r="N151" s="2514"/>
      <c r="O151" s="2519"/>
      <c r="P151" s="2514"/>
      <c r="Q151" s="2519"/>
      <c r="R151" s="2514"/>
      <c r="S151" s="2519"/>
      <c r="T151" s="2514"/>
      <c r="U151" s="2519"/>
      <c r="V151" s="2514"/>
      <c r="W151" s="2519"/>
      <c r="X151" s="2514"/>
    </row>
    <row r="152" spans="1:24" ht="14.4">
      <c r="A152" s="2519" t="str">
        <f>"07-01-2024 06:00"</f>
        <v>07-01-2024 06:00</v>
      </c>
      <c r="B152" s="2514">
        <v>0.13</v>
      </c>
      <c r="C152" s="2519" t="str">
        <f>"07-02-2024 05:00"</f>
        <v>07-02-2024 05:00</v>
      </c>
      <c r="D152" s="2514">
        <v>0.15</v>
      </c>
      <c r="E152" s="2519" t="str">
        <f>"07-03-2024 05:00"</f>
        <v>07-03-2024 05:00</v>
      </c>
      <c r="F152" s="2514">
        <v>0.19</v>
      </c>
      <c r="G152" s="2519" t="str">
        <f>"07-04-2024 05:00"</f>
        <v>07-04-2024 05:00</v>
      </c>
      <c r="H152" s="2514">
        <v>0.17</v>
      </c>
      <c r="I152" s="2519"/>
      <c r="J152" s="2514"/>
      <c r="K152" s="2519"/>
      <c r="L152" s="2514"/>
      <c r="M152" s="2519"/>
      <c r="N152" s="2514"/>
      <c r="O152" s="2519"/>
      <c r="P152" s="2514"/>
      <c r="Q152" s="2519"/>
      <c r="R152" s="2514"/>
      <c r="S152" s="2519"/>
      <c r="T152" s="2514"/>
      <c r="U152" s="2519"/>
      <c r="V152" s="2514"/>
      <c r="W152" s="2519"/>
      <c r="X152" s="2514"/>
    </row>
    <row r="153" spans="1:24" ht="14.4">
      <c r="A153" s="2519" t="str">
        <f>"07-01-2024 07:00"</f>
        <v>07-01-2024 07:00</v>
      </c>
      <c r="B153" s="2514">
        <v>0.13</v>
      </c>
      <c r="C153" s="2519" t="str">
        <f>"07-02-2024 06:00"</f>
        <v>07-02-2024 06:00</v>
      </c>
      <c r="D153" s="2514">
        <v>0.28000000000000003</v>
      </c>
      <c r="E153" s="2519" t="str">
        <f>"07-03-2024 06:00"</f>
        <v>07-03-2024 06:00</v>
      </c>
      <c r="F153" s="2514">
        <v>0.16</v>
      </c>
      <c r="G153" s="2519" t="str">
        <f>"07-04-2024 06:00"</f>
        <v>07-04-2024 06:00</v>
      </c>
      <c r="H153" s="2514">
        <v>0.15</v>
      </c>
      <c r="I153" s="2519"/>
      <c r="J153" s="2514"/>
      <c r="K153" s="2519"/>
      <c r="L153" s="2514"/>
      <c r="M153" s="2519"/>
      <c r="N153" s="2514"/>
      <c r="O153" s="2519"/>
      <c r="P153" s="2514"/>
      <c r="Q153" s="2519"/>
      <c r="R153" s="2514"/>
      <c r="S153" s="2519"/>
      <c r="T153" s="2514"/>
      <c r="U153" s="2519"/>
      <c r="V153" s="2514"/>
      <c r="W153" s="2519"/>
      <c r="X153" s="2514"/>
    </row>
    <row r="154" spans="1:24" ht="14.4">
      <c r="A154" s="2519" t="str">
        <f>"07-01-2024 08:00"</f>
        <v>07-01-2024 08:00</v>
      </c>
      <c r="B154" s="2514">
        <v>0.22</v>
      </c>
      <c r="C154" s="2519" t="str">
        <f>"07-02-2024 07:00"</f>
        <v>07-02-2024 07:00</v>
      </c>
      <c r="D154" s="2514">
        <v>0.5</v>
      </c>
      <c r="E154" s="2519" t="str">
        <f>"07-03-2024 07:00"</f>
        <v>07-03-2024 07:00</v>
      </c>
      <c r="F154" s="2514">
        <v>0.2</v>
      </c>
      <c r="G154" s="2519" t="str">
        <f>"07-04-2024 07:00"</f>
        <v>07-04-2024 07:00</v>
      </c>
      <c r="H154" s="2514">
        <v>0.18</v>
      </c>
      <c r="I154" s="2519"/>
      <c r="J154" s="2514"/>
      <c r="K154" s="2519"/>
      <c r="L154" s="2514"/>
      <c r="M154" s="2519"/>
      <c r="N154" s="2514"/>
      <c r="O154" s="2519"/>
      <c r="P154" s="2514"/>
      <c r="Q154" s="2519"/>
      <c r="R154" s="2514"/>
      <c r="S154" s="2519"/>
      <c r="T154" s="2514"/>
      <c r="U154" s="2519"/>
      <c r="V154" s="2514"/>
      <c r="W154" s="2519"/>
      <c r="X154" s="2514"/>
    </row>
    <row r="155" spans="1:24" ht="14.4">
      <c r="A155" s="2519" t="str">
        <f>"07-01-2024 09:00"</f>
        <v>07-01-2024 09:00</v>
      </c>
      <c r="B155" s="2514">
        <v>0.23</v>
      </c>
      <c r="C155" s="2519" t="str">
        <f>"07-02-2024 08:00"</f>
        <v>07-02-2024 08:00</v>
      </c>
      <c r="D155" s="2514">
        <v>0.52</v>
      </c>
      <c r="E155" s="2519" t="str">
        <f>"07-03-2024 08:00"</f>
        <v>07-03-2024 08:00</v>
      </c>
      <c r="F155" s="2514">
        <v>0.35</v>
      </c>
      <c r="G155" s="2519" t="str">
        <f>"07-04-2024 08:00"</f>
        <v>07-04-2024 08:00</v>
      </c>
      <c r="H155" s="2514">
        <v>0.36</v>
      </c>
      <c r="I155" s="2519"/>
      <c r="J155" s="2514"/>
      <c r="K155" s="2519"/>
      <c r="L155" s="2514"/>
      <c r="M155" s="2519"/>
      <c r="N155" s="2514"/>
      <c r="O155" s="2519"/>
      <c r="P155" s="2514"/>
      <c r="Q155" s="2519"/>
      <c r="R155" s="2514"/>
      <c r="S155" s="2519"/>
      <c r="T155" s="2514"/>
      <c r="U155" s="2519"/>
      <c r="V155" s="2514"/>
      <c r="W155" s="2519"/>
      <c r="X155" s="2514"/>
    </row>
    <row r="156" spans="1:24" ht="14.4">
      <c r="A156" s="2519" t="str">
        <f>"07-01-2024 10:00"</f>
        <v>07-01-2024 10:00</v>
      </c>
      <c r="B156" s="2514">
        <v>0.42</v>
      </c>
      <c r="C156" s="2519" t="str">
        <f>"07-02-2024 09:00"</f>
        <v>07-02-2024 09:00</v>
      </c>
      <c r="D156" s="2514">
        <v>0.34</v>
      </c>
      <c r="E156" s="2519" t="str">
        <f>"07-03-2024 09:00"</f>
        <v>07-03-2024 09:00</v>
      </c>
      <c r="F156" s="2514">
        <v>0.38</v>
      </c>
      <c r="G156" s="2519" t="str">
        <f>"07-04-2024 09:00"</f>
        <v>07-04-2024 09:00</v>
      </c>
      <c r="H156" s="2514">
        <v>0.7</v>
      </c>
      <c r="I156" s="2519"/>
      <c r="J156" s="2514"/>
      <c r="K156" s="2519"/>
      <c r="L156" s="2514"/>
      <c r="M156" s="2519"/>
      <c r="N156" s="2514"/>
      <c r="O156" s="2519"/>
      <c r="P156" s="2514"/>
      <c r="Q156" s="2519"/>
      <c r="R156" s="2514"/>
      <c r="S156" s="2519"/>
      <c r="T156" s="2514"/>
      <c r="U156" s="2519"/>
      <c r="V156" s="2514"/>
      <c r="W156" s="2519"/>
      <c r="X156" s="2514"/>
    </row>
    <row r="157" spans="1:24" ht="14.4">
      <c r="A157" s="2519" t="str">
        <f>"07-01-2024 11:00"</f>
        <v>07-01-2024 11:00</v>
      </c>
      <c r="B157" s="2514">
        <v>0.33</v>
      </c>
      <c r="C157" s="2519" t="str">
        <f>"07-02-2024 10:00"</f>
        <v>07-02-2024 10:00</v>
      </c>
      <c r="D157" s="2514">
        <v>0.21</v>
      </c>
      <c r="E157" s="2519" t="str">
        <f>"07-03-2024 10:00"</f>
        <v>07-03-2024 10:00</v>
      </c>
      <c r="F157" s="2514">
        <v>0.59</v>
      </c>
      <c r="G157" s="2519" t="str">
        <f>"07-04-2024 10:00"</f>
        <v>07-04-2024 10:00</v>
      </c>
      <c r="H157" s="2514">
        <v>0.3</v>
      </c>
      <c r="I157" s="2519"/>
      <c r="J157" s="2514"/>
      <c r="K157" s="2519"/>
      <c r="L157" s="2514"/>
      <c r="M157" s="2519"/>
      <c r="N157" s="2514"/>
      <c r="O157" s="2519"/>
      <c r="P157" s="2514"/>
      <c r="Q157" s="2519"/>
      <c r="R157" s="2514"/>
      <c r="S157" s="2519"/>
      <c r="T157" s="2514"/>
      <c r="U157" s="2519"/>
      <c r="V157" s="2514"/>
      <c r="W157" s="2519"/>
      <c r="X157" s="2514"/>
    </row>
    <row r="158" spans="1:24" ht="14.4">
      <c r="A158" s="2519" t="str">
        <f>"07-01-2024 12:00"</f>
        <v>07-01-2024 12:00</v>
      </c>
      <c r="B158" s="2514">
        <v>0.37</v>
      </c>
      <c r="C158" s="2519" t="str">
        <f>"07-02-2024 11:00"</f>
        <v>07-02-2024 11:00</v>
      </c>
      <c r="D158" s="2514">
        <v>0.64</v>
      </c>
      <c r="E158" s="2519" t="str">
        <f>"07-03-2024 11:00"</f>
        <v>07-03-2024 11:00</v>
      </c>
      <c r="F158" s="2514">
        <v>0.39</v>
      </c>
      <c r="G158" s="2519" t="str">
        <f>"07-04-2024 11:00"</f>
        <v>07-04-2024 11:00</v>
      </c>
      <c r="H158" s="2514">
        <v>0.26</v>
      </c>
      <c r="I158" s="2519"/>
      <c r="J158" s="2514"/>
      <c r="K158" s="2519"/>
      <c r="L158" s="2514"/>
      <c r="M158" s="2519"/>
      <c r="N158" s="2514"/>
      <c r="O158" s="2519"/>
      <c r="P158" s="2514"/>
      <c r="Q158" s="2519"/>
      <c r="R158" s="2514"/>
      <c r="S158" s="2519"/>
      <c r="T158" s="2514"/>
      <c r="U158" s="2519"/>
      <c r="V158" s="2514"/>
      <c r="W158" s="2519"/>
      <c r="X158" s="2514"/>
    </row>
    <row r="159" spans="1:24" ht="14.4">
      <c r="A159" s="2519" t="str">
        <f>"07-01-2024 13:00"</f>
        <v>07-01-2024 13:00</v>
      </c>
      <c r="B159" s="2514">
        <v>0.52</v>
      </c>
      <c r="C159" s="2519" t="str">
        <f>"07-02-2024 12:00"</f>
        <v>07-02-2024 12:00</v>
      </c>
      <c r="D159" s="2514">
        <v>0.95</v>
      </c>
      <c r="E159" s="2519" t="str">
        <f>"07-03-2024 12:00"</f>
        <v>07-03-2024 12:00</v>
      </c>
      <c r="F159" s="2514">
        <v>0.39</v>
      </c>
      <c r="G159" s="2519" t="str">
        <f>"07-04-2024 12:00"</f>
        <v>07-04-2024 12:00</v>
      </c>
      <c r="H159" s="2514">
        <v>0.33</v>
      </c>
      <c r="I159" s="2519"/>
      <c r="J159" s="2514"/>
      <c r="K159" s="2519"/>
      <c r="L159" s="2514"/>
      <c r="M159" s="2519"/>
      <c r="N159" s="2514"/>
      <c r="O159" s="2519"/>
      <c r="P159" s="2514"/>
      <c r="Q159" s="2519"/>
      <c r="R159" s="2514"/>
      <c r="S159" s="2519"/>
      <c r="T159" s="2514"/>
      <c r="U159" s="2519"/>
      <c r="V159" s="2514"/>
      <c r="W159" s="2519"/>
      <c r="X159" s="2514"/>
    </row>
    <row r="160" spans="1:24" ht="14.4">
      <c r="A160" s="2519" t="str">
        <f>"07-01-2024 14:00"</f>
        <v>07-01-2024 14:00</v>
      </c>
      <c r="B160" s="2514">
        <v>0.2</v>
      </c>
      <c r="C160" s="2519" t="str">
        <f>"07-02-2024 13:00"</f>
        <v>07-02-2024 13:00</v>
      </c>
      <c r="D160" s="2514">
        <v>1.25</v>
      </c>
      <c r="E160" s="2519" t="str">
        <f>"07-03-2024 13:00"</f>
        <v>07-03-2024 13:00</v>
      </c>
      <c r="F160" s="2514">
        <v>0.33</v>
      </c>
      <c r="G160" s="2519" t="str">
        <f>"07-04-2024 13:00"</f>
        <v>07-04-2024 13:00</v>
      </c>
      <c r="H160" s="2514">
        <v>0.45</v>
      </c>
      <c r="I160" s="2519"/>
      <c r="J160" s="2514"/>
      <c r="K160" s="2519"/>
      <c r="L160" s="2514"/>
      <c r="M160" s="2519"/>
      <c r="N160" s="2514"/>
      <c r="O160" s="2519"/>
      <c r="P160" s="2514"/>
      <c r="Q160" s="2519"/>
      <c r="R160" s="2514"/>
      <c r="S160" s="2519"/>
      <c r="T160" s="2514"/>
      <c r="U160" s="2519"/>
      <c r="V160" s="2514"/>
      <c r="W160" s="2519"/>
      <c r="X160" s="2514"/>
    </row>
    <row r="161" spans="1:24" ht="14.4">
      <c r="A161" s="2519" t="str">
        <f>"07-01-2024 15:00"</f>
        <v>07-01-2024 15:00</v>
      </c>
      <c r="B161" s="2514">
        <v>0.33</v>
      </c>
      <c r="C161" s="2519" t="str">
        <f>"07-02-2024 14:00"</f>
        <v>07-02-2024 14:00</v>
      </c>
      <c r="D161" s="2514">
        <v>1.32</v>
      </c>
      <c r="E161" s="2519" t="str">
        <f>"07-03-2024 14:00"</f>
        <v>07-03-2024 14:00</v>
      </c>
      <c r="F161" s="2514">
        <v>0.4</v>
      </c>
      <c r="G161" s="2519" t="str">
        <f>"07-04-2024 14:00"</f>
        <v>07-04-2024 14:00</v>
      </c>
      <c r="H161" s="2514">
        <v>0.41</v>
      </c>
      <c r="I161" s="2519"/>
      <c r="J161" s="2514"/>
      <c r="K161" s="2519"/>
      <c r="L161" s="2514"/>
      <c r="M161" s="2519"/>
      <c r="N161" s="2514"/>
      <c r="O161" s="2519"/>
      <c r="P161" s="2514"/>
      <c r="Q161" s="2519"/>
      <c r="R161" s="2514"/>
      <c r="S161" s="2519"/>
      <c r="T161" s="2514"/>
      <c r="U161" s="2519"/>
      <c r="V161" s="2514"/>
      <c r="W161" s="2519"/>
      <c r="X161" s="2514"/>
    </row>
    <row r="162" spans="1:24" ht="14.4">
      <c r="A162" s="2519" t="str">
        <f>"07-01-2024 16:00"</f>
        <v>07-01-2024 16:00</v>
      </c>
      <c r="B162" s="2514">
        <v>0.34</v>
      </c>
      <c r="C162" s="2519" t="str">
        <f>"07-02-2024 15:00"</f>
        <v>07-02-2024 15:00</v>
      </c>
      <c r="D162" s="2514">
        <v>0.91</v>
      </c>
      <c r="E162" s="2519" t="str">
        <f>"07-03-2024 15:00"</f>
        <v>07-03-2024 15:00</v>
      </c>
      <c r="F162" s="2514">
        <v>0.4</v>
      </c>
      <c r="G162" s="2519" t="str">
        <f>"07-04-2024 15:00"</f>
        <v>07-04-2024 15:00</v>
      </c>
      <c r="H162" s="2514">
        <v>0.34</v>
      </c>
      <c r="I162" s="2519"/>
      <c r="J162" s="2514"/>
      <c r="K162" s="2519"/>
      <c r="L162" s="2514"/>
      <c r="M162" s="2519"/>
      <c r="N162" s="2514"/>
      <c r="O162" s="2519"/>
      <c r="P162" s="2514"/>
      <c r="Q162" s="2519"/>
      <c r="R162" s="2514"/>
      <c r="S162" s="2519"/>
      <c r="T162" s="2514"/>
      <c r="U162" s="2519"/>
      <c r="V162" s="2514"/>
      <c r="W162" s="2519"/>
      <c r="X162" s="2514"/>
    </row>
    <row r="163" spans="1:24" ht="14.4">
      <c r="A163" s="2519" t="str">
        <f>"07-01-2024 17:00"</f>
        <v>07-01-2024 17:00</v>
      </c>
      <c r="B163" s="2514">
        <v>0.33</v>
      </c>
      <c r="C163" s="2519" t="str">
        <f>"07-02-2024 16:00"</f>
        <v>07-02-2024 16:00</v>
      </c>
      <c r="D163" s="2514">
        <v>0.65</v>
      </c>
      <c r="E163" s="2519" t="str">
        <f>"07-03-2024 16:00"</f>
        <v>07-03-2024 16:00</v>
      </c>
      <c r="F163" s="2514">
        <v>0.4</v>
      </c>
      <c r="G163" s="2519" t="str">
        <f>"07-04-2024 16:00"</f>
        <v>07-04-2024 16:00</v>
      </c>
      <c r="H163" s="2514">
        <v>0.32</v>
      </c>
      <c r="I163" s="2519"/>
      <c r="J163" s="2514"/>
      <c r="K163" s="2519"/>
      <c r="L163" s="2514"/>
      <c r="M163" s="2519"/>
      <c r="N163" s="2514"/>
      <c r="O163" s="2519"/>
      <c r="P163" s="2514"/>
      <c r="Q163" s="2519"/>
      <c r="R163" s="2514"/>
      <c r="S163" s="2519"/>
      <c r="T163" s="2514"/>
      <c r="U163" s="2519"/>
      <c r="V163" s="2514"/>
      <c r="W163" s="2519"/>
      <c r="X163" s="2514"/>
    </row>
    <row r="164" spans="1:24" ht="14.4">
      <c r="A164" s="2519" t="str">
        <f>"07-01-2024 18:00"</f>
        <v>07-01-2024 18:00</v>
      </c>
      <c r="B164" s="2514">
        <v>0.38</v>
      </c>
      <c r="C164" s="2519" t="str">
        <f>"07-02-2024 17:00"</f>
        <v>07-02-2024 17:00</v>
      </c>
      <c r="D164" s="2514">
        <v>0.62</v>
      </c>
      <c r="E164" s="2519" t="str">
        <f>"07-03-2024 17:00"</f>
        <v>07-03-2024 17:00</v>
      </c>
      <c r="F164" s="2514">
        <v>0.41</v>
      </c>
      <c r="G164" s="2519" t="str">
        <f>"07-04-2024 17:00"</f>
        <v>07-04-2024 17:00</v>
      </c>
      <c r="H164" s="2514">
        <v>0.33</v>
      </c>
      <c r="I164" s="2519"/>
      <c r="J164" s="2514"/>
      <c r="K164" s="2519"/>
      <c r="L164" s="2514"/>
      <c r="M164" s="2519"/>
      <c r="N164" s="2514"/>
      <c r="O164" s="2519"/>
      <c r="P164" s="2514"/>
      <c r="Q164" s="2519"/>
      <c r="R164" s="2514"/>
      <c r="S164" s="2519"/>
      <c r="T164" s="2514"/>
      <c r="U164" s="2519"/>
      <c r="V164" s="2514"/>
      <c r="W164" s="2519"/>
      <c r="X164" s="2514"/>
    </row>
    <row r="165" spans="1:24" ht="14.4">
      <c r="A165" s="2519" t="str">
        <f>"07-01-2024 19:00"</f>
        <v>07-01-2024 19:00</v>
      </c>
      <c r="B165" s="2514">
        <v>0.44</v>
      </c>
      <c r="C165" s="2519" t="str">
        <f>"07-02-2024 18:00"</f>
        <v>07-02-2024 18:00</v>
      </c>
      <c r="D165" s="2514">
        <v>0.44</v>
      </c>
      <c r="E165" s="2519" t="str">
        <f>"07-03-2024 18:00"</f>
        <v>07-03-2024 18:00</v>
      </c>
      <c r="F165" s="2514">
        <v>0.36</v>
      </c>
      <c r="G165" s="2519" t="str">
        <f>"07-04-2024 18:00"</f>
        <v>07-04-2024 18:00</v>
      </c>
      <c r="H165" s="2514">
        <v>0.32</v>
      </c>
      <c r="I165" s="2519"/>
      <c r="J165" s="2514"/>
      <c r="K165" s="2519"/>
      <c r="L165" s="2514"/>
      <c r="M165" s="2519"/>
      <c r="N165" s="2514"/>
      <c r="O165" s="2519"/>
      <c r="P165" s="2514"/>
      <c r="Q165" s="2519"/>
      <c r="R165" s="2514"/>
      <c r="S165" s="2519"/>
      <c r="T165" s="2514"/>
      <c r="U165" s="2519"/>
      <c r="V165" s="2514"/>
      <c r="W165" s="2519"/>
      <c r="X165" s="2514"/>
    </row>
    <row r="166" spans="1:24" ht="14.4">
      <c r="A166" s="2519" t="str">
        <f>"07-01-2024 20:00"</f>
        <v>07-01-2024 20:00</v>
      </c>
      <c r="B166" s="2514">
        <v>0.38</v>
      </c>
      <c r="C166" s="2519" t="str">
        <f>"07-02-2024 19:00"</f>
        <v>07-02-2024 19:00</v>
      </c>
      <c r="D166" s="2514">
        <v>0.44</v>
      </c>
      <c r="E166" s="2519" t="str">
        <f>"07-03-2024 19:00"</f>
        <v>07-03-2024 19:00</v>
      </c>
      <c r="F166" s="2514">
        <v>0.5</v>
      </c>
      <c r="G166" s="2519" t="str">
        <f>"07-04-2024 19:00"</f>
        <v>07-04-2024 19:00</v>
      </c>
      <c r="H166" s="2514">
        <v>0.47</v>
      </c>
      <c r="I166" s="2519"/>
      <c r="J166" s="2514"/>
      <c r="K166" s="2519"/>
      <c r="L166" s="2514"/>
      <c r="M166" s="2519"/>
      <c r="N166" s="2514"/>
      <c r="O166" s="2519"/>
      <c r="P166" s="2514"/>
      <c r="Q166" s="2519"/>
      <c r="R166" s="2514"/>
      <c r="S166" s="2519"/>
      <c r="T166" s="2514"/>
      <c r="U166" s="2519"/>
      <c r="V166" s="2514"/>
      <c r="W166" s="2519"/>
      <c r="X166" s="2514"/>
    </row>
    <row r="167" spans="1:24" ht="14.4">
      <c r="A167" s="2519" t="str">
        <f>"07-01-2024 21:00"</f>
        <v>07-01-2024 21:00</v>
      </c>
      <c r="B167" s="2514">
        <v>0.35</v>
      </c>
      <c r="C167" s="2519" t="str">
        <f>"07-02-2024 20:00"</f>
        <v>07-02-2024 20:00</v>
      </c>
      <c r="D167" s="2514">
        <v>0.38</v>
      </c>
      <c r="E167" s="2519" t="str">
        <f>"07-03-2024 20:00"</f>
        <v>07-03-2024 20:00</v>
      </c>
      <c r="F167" s="2514">
        <v>0.38</v>
      </c>
      <c r="G167" s="2519" t="str">
        <f>"07-04-2024 20:00"</f>
        <v>07-04-2024 20:00</v>
      </c>
      <c r="H167" s="2514">
        <v>0.32</v>
      </c>
      <c r="I167" s="2519"/>
      <c r="J167" s="2514"/>
      <c r="K167" s="2519"/>
      <c r="L167" s="2514"/>
      <c r="M167" s="2519"/>
      <c r="N167" s="2514"/>
      <c r="O167" s="2519"/>
      <c r="P167" s="2514"/>
      <c r="Q167" s="2519"/>
      <c r="R167" s="2514"/>
      <c r="S167" s="2519"/>
      <c r="T167" s="2514"/>
      <c r="U167" s="2519"/>
      <c r="V167" s="2514"/>
      <c r="W167" s="2519"/>
      <c r="X167" s="2514"/>
    </row>
    <row r="168" spans="1:24" ht="14.4">
      <c r="A168" s="2519" t="str">
        <f>"07-01-2024 22:00"</f>
        <v>07-01-2024 22:00</v>
      </c>
      <c r="B168" s="2514">
        <v>0.33</v>
      </c>
      <c r="C168" s="2519" t="str">
        <f>"07-02-2024 21:00"</f>
        <v>07-02-2024 21:00</v>
      </c>
      <c r="D168" s="2514">
        <v>0.35</v>
      </c>
      <c r="E168" s="2519" t="str">
        <f>"07-03-2024 21:00"</f>
        <v>07-03-2024 21:00</v>
      </c>
      <c r="F168" s="2514">
        <v>0.41</v>
      </c>
      <c r="G168" s="2519" t="str">
        <f>"07-04-2024 21:00"</f>
        <v>07-04-2024 21:00</v>
      </c>
      <c r="H168" s="2514">
        <v>0.45</v>
      </c>
      <c r="I168" s="2519"/>
      <c r="J168" s="2514"/>
      <c r="K168" s="2519"/>
      <c r="L168" s="2514"/>
      <c r="M168" s="2519"/>
      <c r="N168" s="2514"/>
      <c r="O168" s="2519"/>
      <c r="P168" s="2514"/>
      <c r="Q168" s="2519"/>
      <c r="R168" s="2514"/>
      <c r="S168" s="2519"/>
      <c r="T168" s="2514"/>
      <c r="U168" s="2519"/>
      <c r="V168" s="2514"/>
      <c r="W168" s="2519"/>
      <c r="X168" s="2514"/>
    </row>
    <row r="169" spans="1:24" ht="14.4">
      <c r="A169" s="2519" t="str">
        <f>"07-01-2024 23:00"</f>
        <v>07-01-2024 23:00</v>
      </c>
      <c r="B169" s="2514">
        <v>0.24</v>
      </c>
      <c r="C169" s="2519" t="str">
        <f>"07-02-2024 22:00"</f>
        <v>07-02-2024 22:00</v>
      </c>
      <c r="D169" s="2514">
        <v>0.15</v>
      </c>
      <c r="E169" s="2519" t="str">
        <f>"07-03-2024 22:00"</f>
        <v>07-03-2024 22:00</v>
      </c>
      <c r="F169" s="2514">
        <v>0.23</v>
      </c>
      <c r="G169" s="2519" t="str">
        <f>"07-04-2024 22:00"</f>
        <v>07-04-2024 22:00</v>
      </c>
      <c r="H169" s="2514">
        <v>0.26</v>
      </c>
      <c r="I169" s="2519"/>
      <c r="J169" s="2514"/>
      <c r="K169" s="2519"/>
      <c r="L169" s="2514"/>
      <c r="M169" s="2519"/>
      <c r="N169" s="2514"/>
      <c r="O169" s="2519"/>
      <c r="P169" s="2514"/>
      <c r="Q169" s="2519"/>
      <c r="R169" s="2514"/>
      <c r="S169" s="2519"/>
      <c r="T169" s="2514"/>
      <c r="U169" s="2519"/>
      <c r="V169" s="2514"/>
      <c r="W169" s="2519"/>
      <c r="X169" s="2514"/>
    </row>
    <row r="170" spans="1:24" s="2506" customFormat="1" ht="14.4">
      <c r="A170" s="2520" t="str">
        <f>"08-01-2024 00:00"</f>
        <v>08-01-2024 00:00</v>
      </c>
      <c r="B170" s="2521">
        <v>0.19</v>
      </c>
      <c r="C170" s="2520" t="str">
        <f>"07-02-2024 23:00"</f>
        <v>07-02-2024 23:00</v>
      </c>
      <c r="D170" s="2521">
        <v>0.21</v>
      </c>
      <c r="E170" s="2520" t="str">
        <f>"07-03-2024 23:00"</f>
        <v>07-03-2024 23:00</v>
      </c>
      <c r="F170" s="2521">
        <v>0.14000000000000001</v>
      </c>
      <c r="G170" s="2520" t="str">
        <f>"07-04-2024 23:00"</f>
        <v>07-04-2024 23:00</v>
      </c>
      <c r="H170" s="2521">
        <v>0.18</v>
      </c>
      <c r="I170" s="2520"/>
      <c r="J170" s="2521"/>
      <c r="K170" s="2520"/>
      <c r="L170" s="2521"/>
      <c r="M170" s="2520"/>
      <c r="N170" s="2521"/>
      <c r="O170" s="2520"/>
      <c r="P170" s="2521"/>
      <c r="Q170" s="2520"/>
      <c r="R170" s="2521"/>
      <c r="S170" s="2520"/>
      <c r="T170" s="2521"/>
      <c r="U170" s="2520"/>
      <c r="V170" s="2521"/>
      <c r="W170" s="2520"/>
      <c r="X170" s="2521"/>
    </row>
    <row r="171" spans="1:24" ht="14.4">
      <c r="A171" s="2528" t="str">
        <f>"08-01-2024 01:00"</f>
        <v>08-01-2024 01:00</v>
      </c>
      <c r="B171" s="2523">
        <v>0.17</v>
      </c>
      <c r="C171" s="2528" t="str">
        <f>"08-02-2024 00:00"</f>
        <v>08-02-2024 00:00</v>
      </c>
      <c r="D171" s="2523">
        <v>0.15</v>
      </c>
      <c r="E171" s="2528" t="str">
        <f>"08-03-2024 00:00"</f>
        <v>08-03-2024 00:00</v>
      </c>
      <c r="F171" s="2523">
        <v>0.22</v>
      </c>
      <c r="G171" s="2528" t="str">
        <f>"08-04-2024 00:00"</f>
        <v>08-04-2024 00:00</v>
      </c>
      <c r="H171" s="2523">
        <v>0.18</v>
      </c>
      <c r="I171" s="2528"/>
      <c r="J171" s="2523"/>
      <c r="K171" s="2528"/>
      <c r="L171" s="2523"/>
      <c r="M171" s="2528"/>
      <c r="N171" s="2523"/>
      <c r="O171" s="2528"/>
      <c r="P171" s="2523"/>
      <c r="Q171" s="2528"/>
      <c r="R171" s="2523"/>
      <c r="S171" s="2528"/>
      <c r="T171" s="2523"/>
      <c r="U171" s="2528"/>
      <c r="V171" s="2523"/>
      <c r="W171" s="2528"/>
      <c r="X171" s="2523"/>
    </row>
    <row r="172" spans="1:24" ht="14.4">
      <c r="A172" s="2518" t="str">
        <f>"08-01-2024 02:00"</f>
        <v>08-01-2024 02:00</v>
      </c>
      <c r="B172" s="2514">
        <v>0.17</v>
      </c>
      <c r="C172" s="2518" t="str">
        <f>"08-02-2024 01:00"</f>
        <v>08-02-2024 01:00</v>
      </c>
      <c r="D172" s="2514">
        <v>0.16</v>
      </c>
      <c r="E172" s="2518" t="str">
        <f>"08-03-2024 01:00"</f>
        <v>08-03-2024 01:00</v>
      </c>
      <c r="F172" s="2514">
        <v>0.15</v>
      </c>
      <c r="G172" s="2518" t="str">
        <f>"08-04-2024 01:00"</f>
        <v>08-04-2024 01:00</v>
      </c>
      <c r="H172" s="2514">
        <v>0.22</v>
      </c>
      <c r="I172" s="2518"/>
      <c r="J172" s="2514"/>
      <c r="K172" s="2518"/>
      <c r="L172" s="2514"/>
      <c r="M172" s="2518"/>
      <c r="N172" s="2514"/>
      <c r="O172" s="2518"/>
      <c r="P172" s="2514"/>
      <c r="Q172" s="2518"/>
      <c r="R172" s="2514"/>
      <c r="S172" s="2518"/>
      <c r="T172" s="2514"/>
      <c r="U172" s="2518"/>
      <c r="V172" s="2514"/>
      <c r="W172" s="2518"/>
      <c r="X172" s="2514"/>
    </row>
    <row r="173" spans="1:24" ht="14.4">
      <c r="A173" s="2518" t="str">
        <f>"08-01-2024 03:00"</f>
        <v>08-01-2024 03:00</v>
      </c>
      <c r="B173" s="2514">
        <v>0.11</v>
      </c>
      <c r="C173" s="2518" t="str">
        <f>"08-02-2024 02:00"</f>
        <v>08-02-2024 02:00</v>
      </c>
      <c r="D173" s="2514">
        <v>0.13</v>
      </c>
      <c r="E173" s="2518" t="str">
        <f>"08-03-2024 02:00"</f>
        <v>08-03-2024 02:00</v>
      </c>
      <c r="F173" s="2514">
        <v>0.13</v>
      </c>
      <c r="G173" s="2518" t="str">
        <f>"08-04-2024 02:00"</f>
        <v>08-04-2024 02:00</v>
      </c>
      <c r="H173" s="2514">
        <v>0.12</v>
      </c>
      <c r="I173" s="2518"/>
      <c r="J173" s="2514"/>
      <c r="K173" s="2518"/>
      <c r="L173" s="2514"/>
      <c r="M173" s="2518"/>
      <c r="N173" s="2514"/>
      <c r="O173" s="2518"/>
      <c r="P173" s="2514"/>
      <c r="Q173" s="2518"/>
      <c r="R173" s="2514"/>
      <c r="S173" s="2518"/>
      <c r="T173" s="2514"/>
      <c r="U173" s="2518"/>
      <c r="V173" s="2514"/>
      <c r="W173" s="2518"/>
      <c r="X173" s="2514"/>
    </row>
    <row r="174" spans="1:24" ht="14.4">
      <c r="A174" s="2518" t="str">
        <f>"08-01-2024 04:00"</f>
        <v>08-01-2024 04:00</v>
      </c>
      <c r="B174" s="2514">
        <v>0.1</v>
      </c>
      <c r="C174" s="2518" t="str">
        <f>"08-02-2024 03:00"</f>
        <v>08-02-2024 03:00</v>
      </c>
      <c r="D174" s="2514">
        <v>0.15</v>
      </c>
      <c r="E174" s="2518" t="str">
        <f>"08-03-2024 03:00"</f>
        <v>08-03-2024 03:00</v>
      </c>
      <c r="F174" s="2514">
        <v>0.15</v>
      </c>
      <c r="G174" s="2518" t="str">
        <f>"08-04-2024 03:00"</f>
        <v>08-04-2024 03:00</v>
      </c>
      <c r="H174" s="2514">
        <v>0.19</v>
      </c>
      <c r="I174" s="2518"/>
      <c r="J174" s="2514"/>
      <c r="K174" s="2518"/>
      <c r="L174" s="2514"/>
      <c r="M174" s="2518"/>
      <c r="N174" s="2514"/>
      <c r="O174" s="2518"/>
      <c r="P174" s="2514"/>
      <c r="Q174" s="2518"/>
      <c r="R174" s="2514"/>
      <c r="S174" s="2518"/>
      <c r="T174" s="2514"/>
      <c r="U174" s="2518"/>
      <c r="V174" s="2514"/>
      <c r="W174" s="2518"/>
      <c r="X174" s="2514"/>
    </row>
    <row r="175" spans="1:24" ht="14.4">
      <c r="A175" s="2518" t="str">
        <f>"08-01-2024 05:00"</f>
        <v>08-01-2024 05:00</v>
      </c>
      <c r="B175" s="2514">
        <v>0.13</v>
      </c>
      <c r="C175" s="2518" t="str">
        <f>"08-02-2024 04:00"</f>
        <v>08-02-2024 04:00</v>
      </c>
      <c r="D175" s="2514">
        <v>0.23</v>
      </c>
      <c r="E175" s="2518" t="str">
        <f>"08-03-2024 04:00"</f>
        <v>08-03-2024 04:00</v>
      </c>
      <c r="F175" s="2514">
        <v>0.12</v>
      </c>
      <c r="G175" s="2518" t="str">
        <f>"08-04-2024 04:00"</f>
        <v>08-04-2024 04:00</v>
      </c>
      <c r="H175" s="2514">
        <v>0.2</v>
      </c>
      <c r="I175" s="2518"/>
      <c r="J175" s="2514"/>
      <c r="K175" s="2518"/>
      <c r="L175" s="2514"/>
      <c r="M175" s="2518"/>
      <c r="N175" s="2514"/>
      <c r="O175" s="2518"/>
      <c r="P175" s="2514"/>
      <c r="Q175" s="2518"/>
      <c r="R175" s="2514"/>
      <c r="S175" s="2518"/>
      <c r="T175" s="2514"/>
      <c r="U175" s="2518"/>
      <c r="V175" s="2514"/>
      <c r="W175" s="2518"/>
      <c r="X175" s="2514"/>
    </row>
    <row r="176" spans="1:24" ht="14.4">
      <c r="A176" s="2518" t="str">
        <f>"08-01-2024 06:00"</f>
        <v>08-01-2024 06:00</v>
      </c>
      <c r="B176" s="2514">
        <v>0.12</v>
      </c>
      <c r="C176" s="2518" t="str">
        <f>"08-02-2024 05:00"</f>
        <v>08-02-2024 05:00</v>
      </c>
      <c r="D176" s="2514">
        <v>0.23</v>
      </c>
      <c r="E176" s="2518" t="str">
        <f>"08-03-2024 05:00"</f>
        <v>08-03-2024 05:00</v>
      </c>
      <c r="F176" s="2514">
        <v>0.17</v>
      </c>
      <c r="G176" s="2518" t="str">
        <f>"08-04-2024 05:00"</f>
        <v>08-04-2024 05:00</v>
      </c>
      <c r="H176" s="2514">
        <v>0.16</v>
      </c>
      <c r="I176" s="2518"/>
      <c r="J176" s="2514"/>
      <c r="K176" s="2518"/>
      <c r="L176" s="2514"/>
      <c r="M176" s="2518"/>
      <c r="N176" s="2514"/>
      <c r="O176" s="2518"/>
      <c r="P176" s="2514"/>
      <c r="Q176" s="2518"/>
      <c r="R176" s="2514"/>
      <c r="S176" s="2518"/>
      <c r="T176" s="2514"/>
      <c r="U176" s="2518"/>
      <c r="V176" s="2514"/>
      <c r="W176" s="2518"/>
      <c r="X176" s="2514"/>
    </row>
    <row r="177" spans="1:24" ht="14.4">
      <c r="A177" s="2518" t="str">
        <f>"08-01-2024 07:00"</f>
        <v>08-01-2024 07:00</v>
      </c>
      <c r="B177" s="2514">
        <v>0.09</v>
      </c>
      <c r="C177" s="2518" t="str">
        <f>"08-02-2024 06:00"</f>
        <v>08-02-2024 06:00</v>
      </c>
      <c r="D177" s="2514">
        <v>0.27</v>
      </c>
      <c r="E177" s="2518" t="str">
        <f>"08-03-2024 06:00"</f>
        <v>08-03-2024 06:00</v>
      </c>
      <c r="F177" s="2514">
        <v>0.28000000000000003</v>
      </c>
      <c r="G177" s="2518" t="str">
        <f>"08-04-2024 06:00"</f>
        <v>08-04-2024 06:00</v>
      </c>
      <c r="H177" s="2514">
        <v>0.24</v>
      </c>
      <c r="I177" s="2518"/>
      <c r="J177" s="2514"/>
      <c r="K177" s="2518"/>
      <c r="L177" s="2514"/>
      <c r="M177" s="2518"/>
      <c r="N177" s="2514"/>
      <c r="O177" s="2518"/>
      <c r="P177" s="2514"/>
      <c r="Q177" s="2518"/>
      <c r="R177" s="2514"/>
      <c r="S177" s="2518"/>
      <c r="T177" s="2514"/>
      <c r="U177" s="2518"/>
      <c r="V177" s="2514"/>
      <c r="W177" s="2518"/>
      <c r="X177" s="2514"/>
    </row>
    <row r="178" spans="1:24" ht="14.4">
      <c r="A178" s="2518" t="str">
        <f>"08-01-2024 08:00"</f>
        <v>08-01-2024 08:00</v>
      </c>
      <c r="B178" s="2514">
        <v>0.13</v>
      </c>
      <c r="C178" s="2518" t="str">
        <f>"08-02-2024 07:00"</f>
        <v>08-02-2024 07:00</v>
      </c>
      <c r="D178" s="2514">
        <v>0.34</v>
      </c>
      <c r="E178" s="2518" t="str">
        <f>"08-03-2024 07:00"</f>
        <v>08-03-2024 07:00</v>
      </c>
      <c r="F178" s="2514">
        <v>0.42</v>
      </c>
      <c r="G178" s="2518" t="str">
        <f>"08-04-2024 07:00"</f>
        <v>08-04-2024 07:00</v>
      </c>
      <c r="H178" s="2514">
        <v>0.41</v>
      </c>
      <c r="I178" s="2518"/>
      <c r="J178" s="2514"/>
      <c r="K178" s="2518"/>
      <c r="L178" s="2514"/>
      <c r="M178" s="2518"/>
      <c r="N178" s="2514"/>
      <c r="O178" s="2518"/>
      <c r="P178" s="2514"/>
      <c r="Q178" s="2518"/>
      <c r="R178" s="2514"/>
      <c r="S178" s="2518"/>
      <c r="T178" s="2514"/>
      <c r="U178" s="2518"/>
      <c r="V178" s="2514"/>
      <c r="W178" s="2518"/>
      <c r="X178" s="2514"/>
    </row>
    <row r="179" spans="1:24" ht="14.4">
      <c r="A179" s="2518" t="str">
        <f>"08-01-2024 09:00"</f>
        <v>08-01-2024 09:00</v>
      </c>
      <c r="B179" s="2514">
        <v>0.4</v>
      </c>
      <c r="C179" s="2518" t="str">
        <f>"08-02-2024 08:00"</f>
        <v>08-02-2024 08:00</v>
      </c>
      <c r="D179" s="2514">
        <v>0.43</v>
      </c>
      <c r="E179" s="2518" t="str">
        <f>"08-03-2024 08:00"</f>
        <v>08-03-2024 08:00</v>
      </c>
      <c r="F179" s="2514">
        <v>0.44</v>
      </c>
      <c r="G179" s="2518" t="str">
        <f>"08-04-2024 08:00"</f>
        <v>08-04-2024 08:00</v>
      </c>
      <c r="H179" s="2514">
        <v>0.42</v>
      </c>
      <c r="I179" s="2518"/>
      <c r="J179" s="2514"/>
      <c r="K179" s="2518"/>
      <c r="L179" s="2514"/>
      <c r="M179" s="2518"/>
      <c r="N179" s="2514"/>
      <c r="O179" s="2518"/>
      <c r="P179" s="2514"/>
      <c r="Q179" s="2518"/>
      <c r="R179" s="2514"/>
      <c r="S179" s="2518"/>
      <c r="T179" s="2514"/>
      <c r="U179" s="2518"/>
      <c r="V179" s="2514"/>
      <c r="W179" s="2518"/>
      <c r="X179" s="2514"/>
    </row>
    <row r="180" spans="1:24" ht="14.4">
      <c r="A180" s="2518" t="str">
        <f>"08-01-2024 10:00"</f>
        <v>08-01-2024 10:00</v>
      </c>
      <c r="B180" s="2514">
        <v>0.33</v>
      </c>
      <c r="C180" s="2518" t="str">
        <f>"08-02-2024 09:00"</f>
        <v>08-02-2024 09:00</v>
      </c>
      <c r="D180" s="2514">
        <v>0.26</v>
      </c>
      <c r="E180" s="2518" t="str">
        <f>"08-03-2024 09:00"</f>
        <v>08-03-2024 09:00</v>
      </c>
      <c r="F180" s="2514">
        <v>0.3</v>
      </c>
      <c r="G180" s="2518" t="str">
        <f>"08-04-2024 09:00"</f>
        <v>08-04-2024 09:00</v>
      </c>
      <c r="H180" s="2514">
        <v>0.42</v>
      </c>
      <c r="I180" s="2518"/>
      <c r="J180" s="2514"/>
      <c r="K180" s="2518"/>
      <c r="L180" s="2514"/>
      <c r="M180" s="2518"/>
      <c r="N180" s="2514"/>
      <c r="O180" s="2518"/>
      <c r="P180" s="2514"/>
      <c r="Q180" s="2518"/>
      <c r="R180" s="2514"/>
      <c r="S180" s="2518"/>
      <c r="T180" s="2514"/>
      <c r="U180" s="2518"/>
      <c r="V180" s="2514"/>
      <c r="W180" s="2518"/>
      <c r="X180" s="2514"/>
    </row>
    <row r="181" spans="1:24" ht="14.4">
      <c r="A181" s="2518" t="str">
        <f>"08-01-2024 11:00"</f>
        <v>08-01-2024 11:00</v>
      </c>
      <c r="B181" s="2514">
        <v>0.45</v>
      </c>
      <c r="C181" s="2518" t="str">
        <f>"08-02-2024 10:00"</f>
        <v>08-02-2024 10:00</v>
      </c>
      <c r="D181" s="2514">
        <v>0.35</v>
      </c>
      <c r="E181" s="2518" t="str">
        <f>"08-03-2024 10:00"</f>
        <v>08-03-2024 10:00</v>
      </c>
      <c r="F181" s="2514">
        <v>0.28000000000000003</v>
      </c>
      <c r="G181" s="2518" t="str">
        <f>"08-04-2024 10:00"</f>
        <v>08-04-2024 10:00</v>
      </c>
      <c r="H181" s="2514">
        <v>0.4</v>
      </c>
      <c r="I181" s="2518"/>
      <c r="J181" s="2514"/>
      <c r="K181" s="2518"/>
      <c r="L181" s="2514"/>
      <c r="M181" s="2518"/>
      <c r="N181" s="2514"/>
      <c r="O181" s="2518"/>
      <c r="P181" s="2514"/>
      <c r="Q181" s="2518"/>
      <c r="R181" s="2514"/>
      <c r="S181" s="2518"/>
      <c r="T181" s="2514"/>
      <c r="U181" s="2518"/>
      <c r="V181" s="2514"/>
      <c r="W181" s="2518"/>
      <c r="X181" s="2514"/>
    </row>
    <row r="182" spans="1:24" ht="14.4">
      <c r="A182" s="2518" t="str">
        <f>"08-01-2024 12:00"</f>
        <v>08-01-2024 12:00</v>
      </c>
      <c r="B182" s="2514">
        <v>0.84</v>
      </c>
      <c r="C182" s="2518" t="str">
        <f>"08-02-2024 11:00"</f>
        <v>08-02-2024 11:00</v>
      </c>
      <c r="D182" s="2514">
        <v>0.31</v>
      </c>
      <c r="E182" s="2518" t="str">
        <f>"08-03-2024 11:00"</f>
        <v>08-03-2024 11:00</v>
      </c>
      <c r="F182" s="2514">
        <v>0.18</v>
      </c>
      <c r="G182" s="2518" t="str">
        <f>"08-04-2024 11:00"</f>
        <v>08-04-2024 11:00</v>
      </c>
      <c r="H182" s="2514">
        <v>0.2</v>
      </c>
      <c r="I182" s="2518"/>
      <c r="J182" s="2514"/>
      <c r="K182" s="2518"/>
      <c r="L182" s="2514"/>
      <c r="M182" s="2518"/>
      <c r="N182" s="2514"/>
      <c r="O182" s="2518"/>
      <c r="P182" s="2514"/>
      <c r="Q182" s="2518"/>
      <c r="R182" s="2514"/>
      <c r="S182" s="2518"/>
      <c r="T182" s="2514"/>
      <c r="U182" s="2518"/>
      <c r="V182" s="2514"/>
      <c r="W182" s="2518"/>
      <c r="X182" s="2514"/>
    </row>
    <row r="183" spans="1:24" ht="14.4">
      <c r="A183" s="2518" t="str">
        <f>"08-01-2024 13:00"</f>
        <v>08-01-2024 13:00</v>
      </c>
      <c r="B183" s="2514">
        <v>0.34</v>
      </c>
      <c r="C183" s="2518" t="str">
        <f>"08-02-2024 12:00"</f>
        <v>08-02-2024 12:00</v>
      </c>
      <c r="D183" s="2514">
        <v>0.46</v>
      </c>
      <c r="E183" s="2518" t="str">
        <f>"08-03-2024 12:00"</f>
        <v>08-03-2024 12:00</v>
      </c>
      <c r="F183" s="2514">
        <v>0.33</v>
      </c>
      <c r="G183" s="2518" t="str">
        <f>"08-04-2024 12:00"</f>
        <v>08-04-2024 12:00</v>
      </c>
      <c r="H183" s="2514">
        <v>0.25</v>
      </c>
      <c r="I183" s="2518"/>
      <c r="J183" s="2514"/>
      <c r="K183" s="2518"/>
      <c r="L183" s="2514"/>
      <c r="M183" s="2518"/>
      <c r="N183" s="2514"/>
      <c r="O183" s="2518"/>
      <c r="P183" s="2514"/>
      <c r="Q183" s="2518"/>
      <c r="R183" s="2514"/>
      <c r="S183" s="2518"/>
      <c r="T183" s="2514"/>
      <c r="U183" s="2518"/>
      <c r="V183" s="2514"/>
      <c r="W183" s="2518"/>
      <c r="X183" s="2514"/>
    </row>
    <row r="184" spans="1:24" ht="14.4">
      <c r="A184" s="2518" t="str">
        <f>"08-01-2024 14:00"</f>
        <v>08-01-2024 14:00</v>
      </c>
      <c r="B184" s="2514">
        <v>2.21</v>
      </c>
      <c r="C184" s="2518" t="str">
        <f>"08-02-2024 13:00"</f>
        <v>08-02-2024 13:00</v>
      </c>
      <c r="D184" s="2514">
        <v>0.33</v>
      </c>
      <c r="E184" s="2518" t="str">
        <f>"08-03-2024 13:00"</f>
        <v>08-03-2024 13:00</v>
      </c>
      <c r="F184" s="2514">
        <v>0.33</v>
      </c>
      <c r="G184" s="2518" t="str">
        <f>"08-04-2024 13:00"</f>
        <v>08-04-2024 13:00</v>
      </c>
      <c r="H184" s="2514">
        <v>0.2</v>
      </c>
      <c r="I184" s="2518"/>
      <c r="J184" s="2514"/>
      <c r="K184" s="2518"/>
      <c r="L184" s="2514"/>
      <c r="M184" s="2518"/>
      <c r="N184" s="2514"/>
      <c r="O184" s="2518"/>
      <c r="P184" s="2514"/>
      <c r="Q184" s="2518"/>
      <c r="R184" s="2514"/>
      <c r="S184" s="2518"/>
      <c r="T184" s="2514"/>
      <c r="U184" s="2518"/>
      <c r="V184" s="2514"/>
      <c r="W184" s="2518"/>
      <c r="X184" s="2514"/>
    </row>
    <row r="185" spans="1:24" ht="14.4">
      <c r="A185" s="2518" t="str">
        <f>"08-01-2024 15:00"</f>
        <v>08-01-2024 15:00</v>
      </c>
      <c r="B185" s="2514">
        <v>0.73</v>
      </c>
      <c r="C185" s="2518" t="str">
        <f>"08-02-2024 14:00"</f>
        <v>08-02-2024 14:00</v>
      </c>
      <c r="D185" s="2514">
        <v>0.5</v>
      </c>
      <c r="E185" s="2518" t="str">
        <f>"08-03-2024 14:00"</f>
        <v>08-03-2024 14:00</v>
      </c>
      <c r="F185" s="2514">
        <v>0.41</v>
      </c>
      <c r="G185" s="2518" t="str">
        <f>"08-04-2024 14:00"</f>
        <v>08-04-2024 14:00</v>
      </c>
      <c r="H185" s="2514">
        <v>0.22</v>
      </c>
      <c r="I185" s="2518"/>
      <c r="J185" s="2514"/>
      <c r="K185" s="2518"/>
      <c r="L185" s="2514"/>
      <c r="M185" s="2518"/>
      <c r="N185" s="2514"/>
      <c r="O185" s="2518"/>
      <c r="P185" s="2514"/>
      <c r="Q185" s="2518"/>
      <c r="R185" s="2514"/>
      <c r="S185" s="2518"/>
      <c r="T185" s="2514"/>
      <c r="U185" s="2518"/>
      <c r="V185" s="2514"/>
      <c r="W185" s="2518"/>
      <c r="X185" s="2514"/>
    </row>
    <row r="186" spans="1:24" ht="14.4">
      <c r="A186" s="2518" t="str">
        <f>"08-01-2024 16:00"</f>
        <v>08-01-2024 16:00</v>
      </c>
      <c r="B186" s="2514">
        <v>0.46</v>
      </c>
      <c r="C186" s="2518" t="str">
        <f>"08-02-2024 15:00"</f>
        <v>08-02-2024 15:00</v>
      </c>
      <c r="D186" s="2514">
        <v>0.46</v>
      </c>
      <c r="E186" s="2518" t="str">
        <f>"08-03-2024 15:00"</f>
        <v>08-03-2024 15:00</v>
      </c>
      <c r="F186" s="2514">
        <v>0.34</v>
      </c>
      <c r="G186" s="2518" t="str">
        <f>"08-04-2024 15:00"</f>
        <v>08-04-2024 15:00</v>
      </c>
      <c r="H186" s="2514">
        <v>0.28999999999999998</v>
      </c>
      <c r="I186" s="2518"/>
      <c r="J186" s="2514"/>
      <c r="K186" s="2518"/>
      <c r="L186" s="2514"/>
      <c r="M186" s="2518"/>
      <c r="N186" s="2514"/>
      <c r="O186" s="2518"/>
      <c r="P186" s="2514"/>
      <c r="Q186" s="2518"/>
      <c r="R186" s="2514"/>
      <c r="S186" s="2518"/>
      <c r="T186" s="2514"/>
      <c r="U186" s="2518"/>
      <c r="V186" s="2514"/>
      <c r="W186" s="2518"/>
      <c r="X186" s="2514"/>
    </row>
    <row r="187" spans="1:24" ht="14.4">
      <c r="A187" s="2518" t="str">
        <f>"08-01-2024 17:00"</f>
        <v>08-01-2024 17:00</v>
      </c>
      <c r="B187" s="2514">
        <v>0.38</v>
      </c>
      <c r="C187" s="2518" t="str">
        <f>"08-02-2024 16:00"</f>
        <v>08-02-2024 16:00</v>
      </c>
      <c r="D187" s="2514">
        <v>0.48</v>
      </c>
      <c r="E187" s="2518" t="str">
        <f>"08-03-2024 16:00"</f>
        <v>08-03-2024 16:00</v>
      </c>
      <c r="F187" s="2514">
        <v>0.43</v>
      </c>
      <c r="G187" s="2518" t="str">
        <f>"08-04-2024 16:00"</f>
        <v>08-04-2024 16:00</v>
      </c>
      <c r="H187" s="2514">
        <v>0.33</v>
      </c>
      <c r="I187" s="2518"/>
      <c r="J187" s="2514"/>
      <c r="K187" s="2518"/>
      <c r="L187" s="2514"/>
      <c r="M187" s="2518"/>
      <c r="N187" s="2514"/>
      <c r="O187" s="2518"/>
      <c r="P187" s="2514"/>
      <c r="Q187" s="2518"/>
      <c r="R187" s="2514"/>
      <c r="S187" s="2518"/>
      <c r="T187" s="2514"/>
      <c r="U187" s="2518"/>
      <c r="V187" s="2514"/>
      <c r="W187" s="2518"/>
      <c r="X187" s="2514"/>
    </row>
    <row r="188" spans="1:24" ht="14.4">
      <c r="A188" s="2518" t="str">
        <f>"08-01-2024 18:00"</f>
        <v>08-01-2024 18:00</v>
      </c>
      <c r="B188" s="2514">
        <v>0.4</v>
      </c>
      <c r="C188" s="2518" t="str">
        <f>"08-02-2024 17:00"</f>
        <v>08-02-2024 17:00</v>
      </c>
      <c r="D188" s="2514">
        <v>0.65</v>
      </c>
      <c r="E188" s="2518" t="str">
        <f>"08-03-2024 17:00"</f>
        <v>08-03-2024 17:00</v>
      </c>
      <c r="F188" s="2514">
        <v>0.34</v>
      </c>
      <c r="G188" s="2518" t="str">
        <f>"08-04-2024 17:00"</f>
        <v>08-04-2024 17:00</v>
      </c>
      <c r="H188" s="2514">
        <v>0.8</v>
      </c>
      <c r="I188" s="2518"/>
      <c r="J188" s="2514"/>
      <c r="K188" s="2518"/>
      <c r="L188" s="2514"/>
      <c r="M188" s="2518"/>
      <c r="N188" s="2514"/>
      <c r="O188" s="2518"/>
      <c r="P188" s="2514"/>
      <c r="Q188" s="2518"/>
      <c r="R188" s="2514"/>
      <c r="S188" s="2518"/>
      <c r="T188" s="2514"/>
      <c r="U188" s="2518"/>
      <c r="V188" s="2514"/>
      <c r="W188" s="2518"/>
      <c r="X188" s="2514"/>
    </row>
    <row r="189" spans="1:24" ht="14.4">
      <c r="A189" s="2518" t="str">
        <f>"08-01-2024 19:00"</f>
        <v>08-01-2024 19:00</v>
      </c>
      <c r="B189" s="2514">
        <v>0.9</v>
      </c>
      <c r="C189" s="2518" t="str">
        <f>"08-02-2024 18:00"</f>
        <v>08-02-2024 18:00</v>
      </c>
      <c r="D189" s="2514">
        <v>0.34</v>
      </c>
      <c r="E189" s="2518" t="str">
        <f>"08-03-2024 18:00"</f>
        <v>08-03-2024 18:00</v>
      </c>
      <c r="F189" s="2514">
        <v>1.4</v>
      </c>
      <c r="G189" s="2518" t="str">
        <f>"08-04-2024 18:00"</f>
        <v>08-04-2024 18:00</v>
      </c>
      <c r="H189" s="2514">
        <v>0.32</v>
      </c>
      <c r="I189" s="2518"/>
      <c r="J189" s="2514"/>
      <c r="K189" s="2518"/>
      <c r="L189" s="2514"/>
      <c r="M189" s="2518"/>
      <c r="N189" s="2514"/>
      <c r="O189" s="2518"/>
      <c r="P189" s="2514"/>
      <c r="Q189" s="2518"/>
      <c r="R189" s="2514"/>
      <c r="S189" s="2518"/>
      <c r="T189" s="2514"/>
      <c r="U189" s="2518"/>
      <c r="V189" s="2514"/>
      <c r="W189" s="2518"/>
      <c r="X189" s="2514"/>
    </row>
    <row r="190" spans="1:24" ht="14.4">
      <c r="A190" s="2518" t="str">
        <f>"08-01-2024 20:00"</f>
        <v>08-01-2024 20:00</v>
      </c>
      <c r="B190" s="2514">
        <v>0.4</v>
      </c>
      <c r="C190" s="2518" t="str">
        <f>"08-02-2024 19:00"</f>
        <v>08-02-2024 19:00</v>
      </c>
      <c r="D190" s="2514">
        <v>0.45</v>
      </c>
      <c r="E190" s="2518" t="str">
        <f>"08-03-2024 19:00"</f>
        <v>08-03-2024 19:00</v>
      </c>
      <c r="F190" s="2514">
        <v>0.43</v>
      </c>
      <c r="G190" s="2518" t="str">
        <f>"08-04-2024 19:00"</f>
        <v>08-04-2024 19:00</v>
      </c>
      <c r="H190" s="2514">
        <v>0.37</v>
      </c>
      <c r="I190" s="2518"/>
      <c r="J190" s="2514"/>
      <c r="K190" s="2518"/>
      <c r="L190" s="2514"/>
      <c r="M190" s="2518"/>
      <c r="N190" s="2514"/>
      <c r="O190" s="2518"/>
      <c r="P190" s="2514"/>
      <c r="Q190" s="2518"/>
      <c r="R190" s="2514"/>
      <c r="S190" s="2518"/>
      <c r="T190" s="2514"/>
      <c r="U190" s="2518"/>
      <c r="V190" s="2514"/>
      <c r="W190" s="2518"/>
      <c r="X190" s="2514"/>
    </row>
    <row r="191" spans="1:24" ht="14.4">
      <c r="A191" s="2518" t="str">
        <f>"08-01-2024 21:00"</f>
        <v>08-01-2024 21:00</v>
      </c>
      <c r="B191" s="2514">
        <v>0.31</v>
      </c>
      <c r="C191" s="2518" t="str">
        <f>"08-02-2024 20:00"</f>
        <v>08-02-2024 20:00</v>
      </c>
      <c r="D191" s="2514">
        <v>0.39</v>
      </c>
      <c r="E191" s="2518" t="str">
        <f>"08-03-2024 20:00"</f>
        <v>08-03-2024 20:00</v>
      </c>
      <c r="F191" s="2514">
        <v>0.37</v>
      </c>
      <c r="G191" s="2518" t="str">
        <f>"08-04-2024 20:00"</f>
        <v>08-04-2024 20:00</v>
      </c>
      <c r="H191" s="2514">
        <v>0.38</v>
      </c>
      <c r="I191" s="2518"/>
      <c r="J191" s="2514"/>
      <c r="K191" s="2518"/>
      <c r="L191" s="2514"/>
      <c r="M191" s="2518"/>
      <c r="N191" s="2514"/>
      <c r="O191" s="2518"/>
      <c r="P191" s="2514"/>
      <c r="Q191" s="2518"/>
      <c r="R191" s="2514"/>
      <c r="S191" s="2518"/>
      <c r="T191" s="2514"/>
      <c r="U191" s="2518"/>
      <c r="V191" s="2514"/>
      <c r="W191" s="2518"/>
      <c r="X191" s="2514"/>
    </row>
    <row r="192" spans="1:24" ht="14.4">
      <c r="A192" s="2518" t="str">
        <f>"08-01-2024 22:00"</f>
        <v>08-01-2024 22:00</v>
      </c>
      <c r="B192" s="2514">
        <v>0.33</v>
      </c>
      <c r="C192" s="2518" t="str">
        <f>"08-02-2024 21:00"</f>
        <v>08-02-2024 21:00</v>
      </c>
      <c r="D192" s="2514">
        <v>0.35</v>
      </c>
      <c r="E192" s="2518" t="str">
        <f>"08-03-2024 21:00"</f>
        <v>08-03-2024 21:00</v>
      </c>
      <c r="F192" s="2514">
        <v>0.26</v>
      </c>
      <c r="G192" s="2518" t="str">
        <f>"08-04-2024 21:00"</f>
        <v>08-04-2024 21:00</v>
      </c>
      <c r="H192" s="2514">
        <v>0.43</v>
      </c>
      <c r="I192" s="2518"/>
      <c r="J192" s="2514"/>
      <c r="K192" s="2518"/>
      <c r="L192" s="2514"/>
      <c r="M192" s="2518"/>
      <c r="N192" s="2514"/>
      <c r="O192" s="2518"/>
      <c r="P192" s="2514"/>
      <c r="Q192" s="2518"/>
      <c r="R192" s="2514"/>
      <c r="S192" s="2518"/>
      <c r="T192" s="2514"/>
      <c r="U192" s="2518"/>
      <c r="V192" s="2514"/>
      <c r="W192" s="2518"/>
      <c r="X192" s="2514"/>
    </row>
    <row r="193" spans="1:24" ht="14.4">
      <c r="A193" s="2518" t="str">
        <f>"08-01-2024 23:00"</f>
        <v>08-01-2024 23:00</v>
      </c>
      <c r="B193" s="2514">
        <v>0.17</v>
      </c>
      <c r="C193" s="2518" t="str">
        <f>"08-02-2024 22:00"</f>
        <v>08-02-2024 22:00</v>
      </c>
      <c r="D193" s="2514">
        <v>0.21</v>
      </c>
      <c r="E193" s="2518" t="str">
        <f>"08-03-2024 22:00"</f>
        <v>08-03-2024 22:00</v>
      </c>
      <c r="F193" s="2514">
        <v>0.26</v>
      </c>
      <c r="G193" s="2518" t="str">
        <f>"08-04-2024 22:00"</f>
        <v>08-04-2024 22:00</v>
      </c>
      <c r="H193" s="2514">
        <v>0.32</v>
      </c>
      <c r="I193" s="2518"/>
      <c r="J193" s="2514"/>
      <c r="K193" s="2518"/>
      <c r="L193" s="2514"/>
      <c r="M193" s="2518"/>
      <c r="N193" s="2514"/>
      <c r="O193" s="2518"/>
      <c r="P193" s="2514"/>
      <c r="Q193" s="2518"/>
      <c r="R193" s="2514"/>
      <c r="S193" s="2518"/>
      <c r="T193" s="2514"/>
      <c r="U193" s="2518"/>
      <c r="V193" s="2514"/>
      <c r="W193" s="2518"/>
      <c r="X193" s="2514"/>
    </row>
    <row r="194" spans="1:24" s="2506" customFormat="1" ht="14.4">
      <c r="A194" s="2529" t="str">
        <f>"09-01-2024 00:00"</f>
        <v>09-01-2024 00:00</v>
      </c>
      <c r="B194" s="2521">
        <v>0.11</v>
      </c>
      <c r="C194" s="2529" t="str">
        <f>"08-02-2024 23:00"</f>
        <v>08-02-2024 23:00</v>
      </c>
      <c r="D194" s="2521">
        <v>0.12</v>
      </c>
      <c r="E194" s="2529" t="str">
        <f>"08-03-2024 23:00"</f>
        <v>08-03-2024 23:00</v>
      </c>
      <c r="F194" s="2521">
        <v>0.14000000000000001</v>
      </c>
      <c r="G194" s="2529" t="str">
        <f>"08-04-2024 23:00"</f>
        <v>08-04-2024 23:00</v>
      </c>
      <c r="H194" s="2521">
        <v>0.25</v>
      </c>
      <c r="I194" s="2529"/>
      <c r="J194" s="2521"/>
      <c r="K194" s="2529"/>
      <c r="L194" s="2521"/>
      <c r="M194" s="2529"/>
      <c r="N194" s="2521"/>
      <c r="O194" s="2529"/>
      <c r="P194" s="2521"/>
      <c r="Q194" s="2529"/>
      <c r="R194" s="2521"/>
      <c r="S194" s="2529"/>
      <c r="T194" s="2521"/>
      <c r="U194" s="2529"/>
      <c r="V194" s="2521"/>
      <c r="W194" s="2529"/>
      <c r="X194" s="2521"/>
    </row>
    <row r="195" spans="1:24" ht="14.4">
      <c r="A195" s="2522" t="str">
        <f>"09-01-2024 01:00"</f>
        <v>09-01-2024 01:00</v>
      </c>
      <c r="B195" s="2523">
        <v>0.11</v>
      </c>
      <c r="C195" s="2522" t="str">
        <f>"09-02-2024 00:00"</f>
        <v>09-02-2024 00:00</v>
      </c>
      <c r="D195" s="2523">
        <v>0.16</v>
      </c>
      <c r="E195" s="2522" t="str">
        <f>"09-03-2024 00:00"</f>
        <v>09-03-2024 00:00</v>
      </c>
      <c r="F195" s="2523">
        <v>0.16</v>
      </c>
      <c r="G195" s="2522" t="str">
        <f>"09-04-2024 00:00"</f>
        <v>09-04-2024 00:00</v>
      </c>
      <c r="H195" s="2523">
        <v>0.18</v>
      </c>
      <c r="I195" s="2522"/>
      <c r="J195" s="2523"/>
      <c r="K195" s="2522"/>
      <c r="L195" s="2523"/>
      <c r="M195" s="2522"/>
      <c r="N195" s="2523"/>
      <c r="O195" s="2522"/>
      <c r="P195" s="2523"/>
      <c r="Q195" s="2522"/>
      <c r="R195" s="2523"/>
      <c r="S195" s="2522"/>
      <c r="T195" s="2523"/>
      <c r="U195" s="2522"/>
      <c r="V195" s="2523"/>
      <c r="W195" s="2522"/>
      <c r="X195" s="2523"/>
    </row>
    <row r="196" spans="1:24" ht="14.4">
      <c r="A196" s="2519" t="str">
        <f>"09-01-2024 02:00"</f>
        <v>09-01-2024 02:00</v>
      </c>
      <c r="B196" s="2514">
        <v>0.12</v>
      </c>
      <c r="C196" s="2519" t="str">
        <f>"09-02-2024 01:00"</f>
        <v>09-02-2024 01:00</v>
      </c>
      <c r="D196" s="2514">
        <v>0.19</v>
      </c>
      <c r="E196" s="2519" t="str">
        <f>"09-03-2024 01:00"</f>
        <v>09-03-2024 01:00</v>
      </c>
      <c r="F196" s="2514">
        <v>0.2</v>
      </c>
      <c r="G196" s="2519" t="str">
        <f>"09-04-2024 01:00"</f>
        <v>09-04-2024 01:00</v>
      </c>
      <c r="H196" s="2514">
        <v>0.22</v>
      </c>
      <c r="I196" s="2519"/>
      <c r="J196" s="2514"/>
      <c r="K196" s="2519"/>
      <c r="L196" s="2514"/>
      <c r="M196" s="2519"/>
      <c r="N196" s="2514"/>
      <c r="O196" s="2519"/>
      <c r="P196" s="2514"/>
      <c r="Q196" s="2519"/>
      <c r="R196" s="2514"/>
      <c r="S196" s="2519"/>
      <c r="T196" s="2514"/>
      <c r="U196" s="2519"/>
      <c r="V196" s="2514"/>
      <c r="W196" s="2519"/>
      <c r="X196" s="2514"/>
    </row>
    <row r="197" spans="1:24" ht="14.4">
      <c r="A197" s="2519" t="str">
        <f>"09-01-2024 03:00"</f>
        <v>09-01-2024 03:00</v>
      </c>
      <c r="B197" s="2514">
        <v>0.12</v>
      </c>
      <c r="C197" s="2519" t="str">
        <f>"09-02-2024 02:00"</f>
        <v>09-02-2024 02:00</v>
      </c>
      <c r="D197" s="2514">
        <v>0.16</v>
      </c>
      <c r="E197" s="2519" t="str">
        <f>"09-03-2024 02:00"</f>
        <v>09-03-2024 02:00</v>
      </c>
      <c r="F197" s="2514">
        <v>0.12</v>
      </c>
      <c r="G197" s="2519" t="str">
        <f>"09-04-2024 02:00"</f>
        <v>09-04-2024 02:00</v>
      </c>
      <c r="H197" s="2514">
        <v>0.16</v>
      </c>
      <c r="I197" s="2519"/>
      <c r="J197" s="2514"/>
      <c r="K197" s="2519"/>
      <c r="L197" s="2514"/>
      <c r="M197" s="2519"/>
      <c r="N197" s="2514"/>
      <c r="O197" s="2519"/>
      <c r="P197" s="2514"/>
      <c r="Q197" s="2519"/>
      <c r="R197" s="2514"/>
      <c r="S197" s="2519"/>
      <c r="T197" s="2514"/>
      <c r="U197" s="2519"/>
      <c r="V197" s="2514"/>
      <c r="W197" s="2519"/>
      <c r="X197" s="2514"/>
    </row>
    <row r="198" spans="1:24" ht="14.4">
      <c r="A198" s="2519" t="str">
        <f>"09-01-2024 04:00"</f>
        <v>09-01-2024 04:00</v>
      </c>
      <c r="B198" s="2514">
        <v>0.13</v>
      </c>
      <c r="C198" s="2519" t="str">
        <f>"09-02-2024 03:00"</f>
        <v>09-02-2024 03:00</v>
      </c>
      <c r="D198" s="2514">
        <v>0.15</v>
      </c>
      <c r="E198" s="2519" t="str">
        <f>"09-03-2024 03:00"</f>
        <v>09-03-2024 03:00</v>
      </c>
      <c r="F198" s="2514">
        <v>0.15</v>
      </c>
      <c r="G198" s="2519" t="str">
        <f>"09-04-2024 03:00"</f>
        <v>09-04-2024 03:00</v>
      </c>
      <c r="H198" s="2514">
        <v>0.27</v>
      </c>
      <c r="I198" s="2519"/>
      <c r="J198" s="2514"/>
      <c r="K198" s="2519"/>
      <c r="L198" s="2514"/>
      <c r="M198" s="2519"/>
      <c r="N198" s="2514"/>
      <c r="O198" s="2519"/>
      <c r="P198" s="2514"/>
      <c r="Q198" s="2519"/>
      <c r="R198" s="2514"/>
      <c r="S198" s="2519"/>
      <c r="T198" s="2514"/>
      <c r="U198" s="2519"/>
      <c r="V198" s="2514"/>
      <c r="W198" s="2519"/>
      <c r="X198" s="2514"/>
    </row>
    <row r="199" spans="1:24" ht="14.4">
      <c r="A199" s="2519" t="str">
        <f>"09-01-2024 05:00"</f>
        <v>09-01-2024 05:00</v>
      </c>
      <c r="B199" s="2514">
        <v>0.11</v>
      </c>
      <c r="C199" s="2519" t="str">
        <f>"09-02-2024 04:00"</f>
        <v>09-02-2024 04:00</v>
      </c>
      <c r="D199" s="2514">
        <v>0.11</v>
      </c>
      <c r="E199" s="2519" t="str">
        <f>"09-03-2024 04:00"</f>
        <v>09-03-2024 04:00</v>
      </c>
      <c r="F199" s="2514">
        <v>0.18</v>
      </c>
      <c r="G199" s="2519" t="str">
        <f>"09-04-2024 04:00"</f>
        <v>09-04-2024 04:00</v>
      </c>
      <c r="H199" s="2514">
        <v>0.2</v>
      </c>
      <c r="I199" s="2519"/>
      <c r="J199" s="2514"/>
      <c r="K199" s="2519"/>
      <c r="L199" s="2514"/>
      <c r="M199" s="2519"/>
      <c r="N199" s="2514"/>
      <c r="O199" s="2519"/>
      <c r="P199" s="2514"/>
      <c r="Q199" s="2519"/>
      <c r="R199" s="2514"/>
      <c r="S199" s="2519"/>
      <c r="T199" s="2514"/>
      <c r="U199" s="2519"/>
      <c r="V199" s="2514"/>
      <c r="W199" s="2519"/>
      <c r="X199" s="2514"/>
    </row>
    <row r="200" spans="1:24" ht="14.4">
      <c r="A200" s="2519" t="str">
        <f>"09-01-2024 06:00"</f>
        <v>09-01-2024 06:00</v>
      </c>
      <c r="B200" s="2514">
        <v>0.12</v>
      </c>
      <c r="C200" s="2519" t="str">
        <f>"09-02-2024 05:00"</f>
        <v>09-02-2024 05:00</v>
      </c>
      <c r="D200" s="2514">
        <v>0.15</v>
      </c>
      <c r="E200" s="2519" t="str">
        <f>"09-03-2024 05:00"</f>
        <v>09-03-2024 05:00</v>
      </c>
      <c r="F200" s="2514">
        <v>0.14000000000000001</v>
      </c>
      <c r="G200" s="2519" t="str">
        <f>"09-04-2024 05:00"</f>
        <v>09-04-2024 05:00</v>
      </c>
      <c r="H200" s="2514">
        <v>0.19</v>
      </c>
      <c r="I200" s="2519"/>
      <c r="J200" s="2514"/>
      <c r="K200" s="2519"/>
      <c r="L200" s="2514"/>
      <c r="M200" s="2519"/>
      <c r="N200" s="2514"/>
      <c r="O200" s="2519"/>
      <c r="P200" s="2514"/>
      <c r="Q200" s="2519"/>
      <c r="R200" s="2514"/>
      <c r="S200" s="2519"/>
      <c r="T200" s="2514"/>
      <c r="U200" s="2519"/>
      <c r="V200" s="2514"/>
      <c r="W200" s="2519"/>
      <c r="X200" s="2514"/>
    </row>
    <row r="201" spans="1:24" ht="14.4">
      <c r="A201" s="2519" t="str">
        <f>"09-01-2024 07:00"</f>
        <v>09-01-2024 07:00</v>
      </c>
      <c r="B201" s="2514">
        <v>0.21</v>
      </c>
      <c r="C201" s="2519" t="str">
        <f>"09-02-2024 06:00"</f>
        <v>09-02-2024 06:00</v>
      </c>
      <c r="D201" s="2514">
        <v>0.21</v>
      </c>
      <c r="E201" s="2519" t="str">
        <f>"09-03-2024 06:00"</f>
        <v>09-03-2024 06:00</v>
      </c>
      <c r="F201" s="2514">
        <v>0.14000000000000001</v>
      </c>
      <c r="G201" s="2519" t="str">
        <f>"09-04-2024 06:00"</f>
        <v>09-04-2024 06:00</v>
      </c>
      <c r="H201" s="2514">
        <v>0.16</v>
      </c>
      <c r="I201" s="2519"/>
      <c r="J201" s="2514"/>
      <c r="K201" s="2519"/>
      <c r="L201" s="2514"/>
      <c r="M201" s="2519"/>
      <c r="N201" s="2514"/>
      <c r="O201" s="2519"/>
      <c r="P201" s="2514"/>
      <c r="Q201" s="2519"/>
      <c r="R201" s="2514"/>
      <c r="S201" s="2519"/>
      <c r="T201" s="2514"/>
      <c r="U201" s="2519"/>
      <c r="V201" s="2514"/>
      <c r="W201" s="2519"/>
      <c r="X201" s="2514"/>
    </row>
    <row r="202" spans="1:24" ht="14.4">
      <c r="A202" s="2519" t="str">
        <f>"09-01-2024 08:00"</f>
        <v>09-01-2024 08:00</v>
      </c>
      <c r="B202" s="2514">
        <v>0.22</v>
      </c>
      <c r="C202" s="2519" t="str">
        <f>"09-02-2024 07:00"</f>
        <v>09-02-2024 07:00</v>
      </c>
      <c r="D202" s="2514">
        <v>0.24</v>
      </c>
      <c r="E202" s="2519" t="str">
        <f>"09-03-2024 07:00"</f>
        <v>09-03-2024 07:00</v>
      </c>
      <c r="F202" s="2514">
        <v>0.28999999999999998</v>
      </c>
      <c r="G202" s="2519" t="str">
        <f>"09-04-2024 07:00"</f>
        <v>09-04-2024 07:00</v>
      </c>
      <c r="H202" s="2514">
        <v>0.21</v>
      </c>
      <c r="I202" s="2519"/>
      <c r="J202" s="2514"/>
      <c r="K202" s="2519"/>
      <c r="L202" s="2514"/>
      <c r="M202" s="2519"/>
      <c r="N202" s="2514"/>
      <c r="O202" s="2519"/>
      <c r="P202" s="2514"/>
      <c r="Q202" s="2519"/>
      <c r="R202" s="2514"/>
      <c r="S202" s="2519"/>
      <c r="T202" s="2514"/>
      <c r="U202" s="2519"/>
      <c r="V202" s="2514"/>
      <c r="W202" s="2519"/>
      <c r="X202" s="2514"/>
    </row>
    <row r="203" spans="1:24" ht="14.4">
      <c r="A203" s="2519" t="str">
        <f>"09-01-2024 09:00"</f>
        <v>09-01-2024 09:00</v>
      </c>
      <c r="B203" s="2514">
        <v>0.42</v>
      </c>
      <c r="C203" s="2519" t="str">
        <f>"09-02-2024 08:00"</f>
        <v>09-02-2024 08:00</v>
      </c>
      <c r="D203" s="2514">
        <v>0.45</v>
      </c>
      <c r="E203" s="2519" t="str">
        <f>"09-03-2024 08:00"</f>
        <v>09-03-2024 08:00</v>
      </c>
      <c r="F203" s="2514">
        <v>0.24</v>
      </c>
      <c r="G203" s="2519" t="str">
        <f>"09-04-2024 08:00"</f>
        <v>09-04-2024 08:00</v>
      </c>
      <c r="H203" s="2514">
        <v>0.21</v>
      </c>
      <c r="I203" s="2519"/>
      <c r="J203" s="2514"/>
      <c r="K203" s="2519"/>
      <c r="L203" s="2514"/>
      <c r="M203" s="2519"/>
      <c r="N203" s="2514"/>
      <c r="O203" s="2519"/>
      <c r="P203" s="2514"/>
      <c r="Q203" s="2519"/>
      <c r="R203" s="2514"/>
      <c r="S203" s="2519"/>
      <c r="T203" s="2514"/>
      <c r="U203" s="2519"/>
      <c r="V203" s="2514"/>
      <c r="W203" s="2519"/>
      <c r="X203" s="2514"/>
    </row>
    <row r="204" spans="1:24" ht="14.4">
      <c r="A204" s="2519" t="str">
        <f>"09-01-2024 10:00"</f>
        <v>09-01-2024 10:00</v>
      </c>
      <c r="B204" s="2514">
        <v>0.18</v>
      </c>
      <c r="C204" s="2519" t="str">
        <f>"09-02-2024 09:00"</f>
        <v>09-02-2024 09:00</v>
      </c>
      <c r="D204" s="2514">
        <v>0.37</v>
      </c>
      <c r="E204" s="2519" t="str">
        <f>"09-03-2024 09:00"</f>
        <v>09-03-2024 09:00</v>
      </c>
      <c r="F204" s="2514">
        <v>0.22</v>
      </c>
      <c r="G204" s="2519" t="str">
        <f>"09-04-2024 09:00"</f>
        <v>09-04-2024 09:00</v>
      </c>
      <c r="H204" s="2514">
        <v>0.44</v>
      </c>
      <c r="I204" s="2519"/>
      <c r="J204" s="2514"/>
      <c r="K204" s="2519"/>
      <c r="L204" s="2514"/>
      <c r="M204" s="2519"/>
      <c r="N204" s="2514"/>
      <c r="O204" s="2519"/>
      <c r="P204" s="2514"/>
      <c r="Q204" s="2519"/>
      <c r="R204" s="2514"/>
      <c r="S204" s="2519"/>
      <c r="T204" s="2514"/>
      <c r="U204" s="2519"/>
      <c r="V204" s="2514"/>
      <c r="W204" s="2519"/>
      <c r="X204" s="2514"/>
    </row>
    <row r="205" spans="1:24" ht="14.4">
      <c r="A205" s="2519" t="str">
        <f>"09-01-2024 11:00"</f>
        <v>09-01-2024 11:00</v>
      </c>
      <c r="B205" s="2514">
        <v>0.26</v>
      </c>
      <c r="C205" s="2519" t="str">
        <f>"09-02-2024 10:00"</f>
        <v>09-02-2024 10:00</v>
      </c>
      <c r="D205" s="2514">
        <v>0.37</v>
      </c>
      <c r="E205" s="2519" t="str">
        <f>"09-03-2024 10:00"</f>
        <v>09-03-2024 10:00</v>
      </c>
      <c r="F205" s="2514">
        <v>0.39</v>
      </c>
      <c r="G205" s="2519" t="str">
        <f>"09-04-2024 10:00"</f>
        <v>09-04-2024 10:00</v>
      </c>
      <c r="H205" s="2514">
        <v>0.24</v>
      </c>
      <c r="I205" s="2519"/>
      <c r="J205" s="2514"/>
      <c r="K205" s="2519"/>
      <c r="L205" s="2514"/>
      <c r="M205" s="2519"/>
      <c r="N205" s="2514"/>
      <c r="O205" s="2519"/>
      <c r="P205" s="2514"/>
      <c r="Q205" s="2519"/>
      <c r="R205" s="2514"/>
      <c r="S205" s="2519"/>
      <c r="T205" s="2514"/>
      <c r="U205" s="2519"/>
      <c r="V205" s="2514"/>
      <c r="W205" s="2519"/>
      <c r="X205" s="2514"/>
    </row>
    <row r="206" spans="1:24" ht="14.4">
      <c r="A206" s="2519" t="str">
        <f>"09-01-2024 12:00"</f>
        <v>09-01-2024 12:00</v>
      </c>
      <c r="B206" s="2514">
        <v>0.2</v>
      </c>
      <c r="C206" s="2519" t="str">
        <f>"09-02-2024 11:00"</f>
        <v>09-02-2024 11:00</v>
      </c>
      <c r="D206" s="2514">
        <v>0.47</v>
      </c>
      <c r="E206" s="2519" t="str">
        <f>"09-03-2024 11:00"</f>
        <v>09-03-2024 11:00</v>
      </c>
      <c r="F206" s="2514">
        <v>0.34</v>
      </c>
      <c r="G206" s="2519" t="str">
        <f>"09-04-2024 11:00"</f>
        <v>09-04-2024 11:00</v>
      </c>
      <c r="H206" s="2514">
        <v>0.34</v>
      </c>
      <c r="I206" s="2519"/>
      <c r="J206" s="2514"/>
      <c r="K206" s="2519"/>
      <c r="L206" s="2514"/>
      <c r="M206" s="2519"/>
      <c r="N206" s="2514"/>
      <c r="O206" s="2519"/>
      <c r="P206" s="2514"/>
      <c r="Q206" s="2519"/>
      <c r="R206" s="2514"/>
      <c r="S206" s="2519"/>
      <c r="T206" s="2514"/>
      <c r="U206" s="2519"/>
      <c r="V206" s="2514"/>
      <c r="W206" s="2519"/>
      <c r="X206" s="2514"/>
    </row>
    <row r="207" spans="1:24" ht="14.4">
      <c r="A207" s="2519" t="str">
        <f>"09-01-2024 13:00"</f>
        <v>09-01-2024 13:00</v>
      </c>
      <c r="B207" s="2514">
        <v>0.69</v>
      </c>
      <c r="C207" s="2519" t="str">
        <f>"09-02-2024 12:00"</f>
        <v>09-02-2024 12:00</v>
      </c>
      <c r="D207" s="2514">
        <v>0.34</v>
      </c>
      <c r="E207" s="2519" t="str">
        <f>"09-03-2024 12:00"</f>
        <v>09-03-2024 12:00</v>
      </c>
      <c r="F207" s="2514">
        <v>0.39</v>
      </c>
      <c r="G207" s="2519" t="str">
        <f>"09-04-2024 12:00"</f>
        <v>09-04-2024 12:00</v>
      </c>
      <c r="H207" s="2514">
        <v>0.4</v>
      </c>
      <c r="I207" s="2519"/>
      <c r="J207" s="2514"/>
      <c r="K207" s="2519"/>
      <c r="L207" s="2514"/>
      <c r="M207" s="2519"/>
      <c r="N207" s="2514"/>
      <c r="O207" s="2519"/>
      <c r="P207" s="2514"/>
      <c r="Q207" s="2519"/>
      <c r="R207" s="2514"/>
      <c r="S207" s="2519"/>
      <c r="T207" s="2514"/>
      <c r="U207" s="2519"/>
      <c r="V207" s="2514"/>
      <c r="W207" s="2519"/>
      <c r="X207" s="2514"/>
    </row>
    <row r="208" spans="1:24" ht="14.4">
      <c r="A208" s="2519" t="str">
        <f>"09-01-2024 14:00"</f>
        <v>09-01-2024 14:00</v>
      </c>
      <c r="B208" s="2514">
        <v>0.31</v>
      </c>
      <c r="C208" s="2519" t="str">
        <f>"09-02-2024 13:00"</f>
        <v>09-02-2024 13:00</v>
      </c>
      <c r="D208" s="2514">
        <v>0.39</v>
      </c>
      <c r="E208" s="2519" t="str">
        <f>"09-03-2024 13:00"</f>
        <v>09-03-2024 13:00</v>
      </c>
      <c r="F208" s="2514">
        <v>0.25</v>
      </c>
      <c r="G208" s="2519" t="str">
        <f>"09-04-2024 13:00"</f>
        <v>09-04-2024 13:00</v>
      </c>
      <c r="H208" s="2514">
        <v>0.56999999999999995</v>
      </c>
      <c r="I208" s="2519"/>
      <c r="J208" s="2514"/>
      <c r="K208" s="2519"/>
      <c r="L208" s="2514"/>
      <c r="M208" s="2519"/>
      <c r="N208" s="2514"/>
      <c r="O208" s="2519"/>
      <c r="P208" s="2514"/>
      <c r="Q208" s="2519"/>
      <c r="R208" s="2514"/>
      <c r="S208" s="2519"/>
      <c r="T208" s="2514"/>
      <c r="U208" s="2519"/>
      <c r="V208" s="2514"/>
      <c r="W208" s="2519"/>
      <c r="X208" s="2514"/>
    </row>
    <row r="209" spans="1:24" ht="14.4">
      <c r="A209" s="2519" t="str">
        <f>"09-01-2024 15:00"</f>
        <v>09-01-2024 15:00</v>
      </c>
      <c r="B209" s="2514">
        <v>0.38</v>
      </c>
      <c r="C209" s="2519" t="str">
        <f>"09-02-2024 14:00"</f>
        <v>09-02-2024 14:00</v>
      </c>
      <c r="D209" s="2514">
        <v>0.35</v>
      </c>
      <c r="E209" s="2519" t="str">
        <f>"09-03-2024 14:00"</f>
        <v>09-03-2024 14:00</v>
      </c>
      <c r="F209" s="2514">
        <v>0.33</v>
      </c>
      <c r="G209" s="2519" t="str">
        <f>"09-04-2024 14:00"</f>
        <v>09-04-2024 14:00</v>
      </c>
      <c r="H209" s="2514">
        <v>0.34</v>
      </c>
      <c r="I209" s="2519"/>
      <c r="J209" s="2514"/>
      <c r="K209" s="2519"/>
      <c r="L209" s="2514"/>
      <c r="M209" s="2519"/>
      <c r="N209" s="2514"/>
      <c r="O209" s="2519"/>
      <c r="P209" s="2514"/>
      <c r="Q209" s="2519"/>
      <c r="R209" s="2514"/>
      <c r="S209" s="2519"/>
      <c r="T209" s="2514"/>
      <c r="U209" s="2519"/>
      <c r="V209" s="2514"/>
      <c r="W209" s="2519"/>
      <c r="X209" s="2514"/>
    </row>
    <row r="210" spans="1:24" ht="14.4">
      <c r="A210" s="2519" t="str">
        <f>"09-01-2024 16:00"</f>
        <v>09-01-2024 16:00</v>
      </c>
      <c r="B210" s="2514">
        <v>0.32</v>
      </c>
      <c r="C210" s="2519" t="str">
        <f>"09-02-2024 15:00"</f>
        <v>09-02-2024 15:00</v>
      </c>
      <c r="D210" s="2514">
        <v>0.35</v>
      </c>
      <c r="E210" s="2519" t="str">
        <f>"09-03-2024 15:00"</f>
        <v>09-03-2024 15:00</v>
      </c>
      <c r="F210" s="2514">
        <v>0.35</v>
      </c>
      <c r="G210" s="2519" t="str">
        <f>"09-04-2024 15:00"</f>
        <v>09-04-2024 15:00</v>
      </c>
      <c r="H210" s="2514">
        <v>0.36</v>
      </c>
      <c r="I210" s="2519"/>
      <c r="J210" s="2514"/>
      <c r="K210" s="2519"/>
      <c r="L210" s="2514"/>
      <c r="M210" s="2519"/>
      <c r="N210" s="2514"/>
      <c r="O210" s="2519"/>
      <c r="P210" s="2514"/>
      <c r="Q210" s="2519"/>
      <c r="R210" s="2514"/>
      <c r="S210" s="2519"/>
      <c r="T210" s="2514"/>
      <c r="U210" s="2519"/>
      <c r="V210" s="2514"/>
      <c r="W210" s="2519"/>
      <c r="X210" s="2514"/>
    </row>
    <row r="211" spans="1:24" ht="14.4">
      <c r="A211" s="2519" t="str">
        <f>"09-01-2024 17:00"</f>
        <v>09-01-2024 17:00</v>
      </c>
      <c r="B211" s="2514">
        <v>0.47</v>
      </c>
      <c r="C211" s="2519" t="str">
        <f>"09-02-2024 16:00"</f>
        <v>09-02-2024 16:00</v>
      </c>
      <c r="D211" s="2514">
        <v>0.4</v>
      </c>
      <c r="E211" s="2519" t="str">
        <f>"09-03-2024 16:00"</f>
        <v>09-03-2024 16:00</v>
      </c>
      <c r="F211" s="2514">
        <v>0.34</v>
      </c>
      <c r="G211" s="2519" t="str">
        <f>"09-04-2024 16:00"</f>
        <v>09-04-2024 16:00</v>
      </c>
      <c r="H211" s="2514">
        <v>0.38</v>
      </c>
      <c r="I211" s="2519"/>
      <c r="J211" s="2514"/>
      <c r="K211" s="2519"/>
      <c r="L211" s="2514"/>
      <c r="M211" s="2519"/>
      <c r="N211" s="2514"/>
      <c r="O211" s="2519"/>
      <c r="P211" s="2514"/>
      <c r="Q211" s="2519"/>
      <c r="R211" s="2514"/>
      <c r="S211" s="2519"/>
      <c r="T211" s="2514"/>
      <c r="U211" s="2519"/>
      <c r="V211" s="2514"/>
      <c r="W211" s="2519"/>
      <c r="X211" s="2514"/>
    </row>
    <row r="212" spans="1:24" ht="14.4">
      <c r="A212" s="2519" t="str">
        <f>"09-01-2024 18:00"</f>
        <v>09-01-2024 18:00</v>
      </c>
      <c r="B212" s="2514">
        <v>0.82</v>
      </c>
      <c r="C212" s="2519" t="str">
        <f>"09-02-2024 17:00"</f>
        <v>09-02-2024 17:00</v>
      </c>
      <c r="D212" s="2514">
        <v>0.51</v>
      </c>
      <c r="E212" s="2519" t="str">
        <f>"09-03-2024 17:00"</f>
        <v>09-03-2024 17:00</v>
      </c>
      <c r="F212" s="2514">
        <v>0.47</v>
      </c>
      <c r="G212" s="2519" t="str">
        <f>"09-04-2024 17:00"</f>
        <v>09-04-2024 17:00</v>
      </c>
      <c r="H212" s="2514">
        <v>0.56999999999999995</v>
      </c>
      <c r="I212" s="2519"/>
      <c r="J212" s="2514"/>
      <c r="K212" s="2519"/>
      <c r="L212" s="2514"/>
      <c r="M212" s="2519"/>
      <c r="N212" s="2514"/>
      <c r="O212" s="2519"/>
      <c r="P212" s="2514"/>
      <c r="Q212" s="2519"/>
      <c r="R212" s="2514"/>
      <c r="S212" s="2519"/>
      <c r="T212" s="2514"/>
      <c r="U212" s="2519"/>
      <c r="V212" s="2514"/>
      <c r="W212" s="2519"/>
      <c r="X212" s="2514"/>
    </row>
    <row r="213" spans="1:24" ht="14.4">
      <c r="A213" s="2519" t="str">
        <f>"09-01-2024 19:00"</f>
        <v>09-01-2024 19:00</v>
      </c>
      <c r="B213" s="2514">
        <v>0.45</v>
      </c>
      <c r="C213" s="2519" t="str">
        <f>"09-02-2024 18:00"</f>
        <v>09-02-2024 18:00</v>
      </c>
      <c r="D213" s="2514">
        <v>0.38</v>
      </c>
      <c r="E213" s="2519" t="str">
        <f>"09-03-2024 18:00"</f>
        <v>09-03-2024 18:00</v>
      </c>
      <c r="F213" s="2514">
        <v>0.3</v>
      </c>
      <c r="G213" s="2519" t="str">
        <f>"09-04-2024 18:00"</f>
        <v>09-04-2024 18:00</v>
      </c>
      <c r="H213" s="2514">
        <v>0.41</v>
      </c>
      <c r="I213" s="2519"/>
      <c r="J213" s="2514"/>
      <c r="K213" s="2519"/>
      <c r="L213" s="2514"/>
      <c r="M213" s="2519"/>
      <c r="N213" s="2514"/>
      <c r="O213" s="2519"/>
      <c r="P213" s="2514"/>
      <c r="Q213" s="2519"/>
      <c r="R213" s="2514"/>
      <c r="S213" s="2519"/>
      <c r="T213" s="2514"/>
      <c r="U213" s="2519"/>
      <c r="V213" s="2514"/>
      <c r="W213" s="2519"/>
      <c r="X213" s="2514"/>
    </row>
    <row r="214" spans="1:24" ht="14.4">
      <c r="A214" s="2519" t="str">
        <f>"09-01-2024 20:00"</f>
        <v>09-01-2024 20:00</v>
      </c>
      <c r="B214" s="2514">
        <v>0.35</v>
      </c>
      <c r="C214" s="2519" t="str">
        <f>"09-02-2024 19:00"</f>
        <v>09-02-2024 19:00</v>
      </c>
      <c r="D214" s="2514">
        <v>0.37</v>
      </c>
      <c r="E214" s="2519" t="str">
        <f>"09-03-2024 19:00"</f>
        <v>09-03-2024 19:00</v>
      </c>
      <c r="F214" s="2514">
        <v>0.39</v>
      </c>
      <c r="G214" s="2519" t="str">
        <f>"09-04-2024 19:00"</f>
        <v>09-04-2024 19:00</v>
      </c>
      <c r="H214" s="2514">
        <v>0.37</v>
      </c>
      <c r="I214" s="2519"/>
      <c r="J214" s="2514"/>
      <c r="K214" s="2519"/>
      <c r="L214" s="2514"/>
      <c r="M214" s="2519"/>
      <c r="N214" s="2514"/>
      <c r="O214" s="2519"/>
      <c r="P214" s="2514"/>
      <c r="Q214" s="2519"/>
      <c r="R214" s="2514"/>
      <c r="S214" s="2519"/>
      <c r="T214" s="2514"/>
      <c r="U214" s="2519"/>
      <c r="V214" s="2514"/>
      <c r="W214" s="2519"/>
      <c r="X214" s="2514"/>
    </row>
    <row r="215" spans="1:24" ht="14.4">
      <c r="A215" s="2519" t="str">
        <f>"09-01-2024 21:00"</f>
        <v>09-01-2024 21:00</v>
      </c>
      <c r="B215" s="2514">
        <v>0.4</v>
      </c>
      <c r="C215" s="2519" t="str">
        <f>"09-02-2024 20:00"</f>
        <v>09-02-2024 20:00</v>
      </c>
      <c r="D215" s="2514">
        <v>0.4</v>
      </c>
      <c r="E215" s="2519" t="str">
        <f>"09-03-2024 20:00"</f>
        <v>09-03-2024 20:00</v>
      </c>
      <c r="F215" s="2514">
        <v>0.3</v>
      </c>
      <c r="G215" s="2519" t="str">
        <f>"09-04-2024 20:00"</f>
        <v>09-04-2024 20:00</v>
      </c>
      <c r="H215" s="2514">
        <v>0.39</v>
      </c>
      <c r="I215" s="2519"/>
      <c r="J215" s="2514"/>
      <c r="K215" s="2519"/>
      <c r="L215" s="2514"/>
      <c r="M215" s="2519"/>
      <c r="N215" s="2514"/>
      <c r="O215" s="2519"/>
      <c r="P215" s="2514"/>
      <c r="Q215" s="2519"/>
      <c r="R215" s="2514"/>
      <c r="S215" s="2519"/>
      <c r="T215" s="2514"/>
      <c r="U215" s="2519"/>
      <c r="V215" s="2514"/>
      <c r="W215" s="2519"/>
      <c r="X215" s="2514"/>
    </row>
    <row r="216" spans="1:24" ht="14.4">
      <c r="A216" s="2519" t="str">
        <f>"09-01-2024 22:00"</f>
        <v>09-01-2024 22:00</v>
      </c>
      <c r="B216" s="2514">
        <v>0.33</v>
      </c>
      <c r="C216" s="2519" t="str">
        <f>"09-02-2024 21:00"</f>
        <v>09-02-2024 21:00</v>
      </c>
      <c r="D216" s="2514">
        <v>0.36</v>
      </c>
      <c r="E216" s="2519" t="str">
        <f>"09-03-2024 21:00"</f>
        <v>09-03-2024 21:00</v>
      </c>
      <c r="F216" s="2514">
        <v>0.18</v>
      </c>
      <c r="G216" s="2519" t="str">
        <f>"09-04-2024 21:00"</f>
        <v>09-04-2024 21:00</v>
      </c>
      <c r="H216" s="2514">
        <v>0.36</v>
      </c>
      <c r="I216" s="2519"/>
      <c r="J216" s="2514"/>
      <c r="K216" s="2519"/>
      <c r="L216" s="2514"/>
      <c r="M216" s="2519"/>
      <c r="N216" s="2514"/>
      <c r="O216" s="2519"/>
      <c r="P216" s="2514"/>
      <c r="Q216" s="2519"/>
      <c r="R216" s="2514"/>
      <c r="S216" s="2519"/>
      <c r="T216" s="2514"/>
      <c r="U216" s="2519"/>
      <c r="V216" s="2514"/>
      <c r="W216" s="2519"/>
      <c r="X216" s="2514"/>
    </row>
    <row r="217" spans="1:24" ht="14.4">
      <c r="A217" s="2519" t="str">
        <f>"09-01-2024 23:00"</f>
        <v>09-01-2024 23:00</v>
      </c>
      <c r="B217" s="2514">
        <v>0.18</v>
      </c>
      <c r="C217" s="2519" t="str">
        <f>"09-02-2024 22:00"</f>
        <v>09-02-2024 22:00</v>
      </c>
      <c r="D217" s="2514">
        <v>0.14000000000000001</v>
      </c>
      <c r="E217" s="2519" t="str">
        <f>"09-03-2024 22:00"</f>
        <v>09-03-2024 22:00</v>
      </c>
      <c r="F217" s="2514">
        <v>0.17</v>
      </c>
      <c r="G217" s="2519" t="str">
        <f>"09-04-2024 22:00"</f>
        <v>09-04-2024 22:00</v>
      </c>
      <c r="H217" s="2514">
        <v>0.36</v>
      </c>
      <c r="I217" s="2519"/>
      <c r="J217" s="2514"/>
      <c r="K217" s="2519"/>
      <c r="L217" s="2514"/>
      <c r="M217" s="2519"/>
      <c r="N217" s="2514"/>
      <c r="O217" s="2519"/>
      <c r="P217" s="2514"/>
      <c r="Q217" s="2519"/>
      <c r="R217" s="2514"/>
      <c r="S217" s="2519"/>
      <c r="T217" s="2514"/>
      <c r="U217" s="2519"/>
      <c r="V217" s="2514"/>
      <c r="W217" s="2519"/>
      <c r="X217" s="2514"/>
    </row>
    <row r="218" spans="1:24" s="2506" customFormat="1" ht="14.4">
      <c r="A218" s="2520" t="str">
        <f>"10-01-2024 00:00"</f>
        <v>10-01-2024 00:00</v>
      </c>
      <c r="B218" s="2521">
        <v>0.14000000000000001</v>
      </c>
      <c r="C218" s="2520" t="str">
        <f>"09-02-2024 23:00"</f>
        <v>09-02-2024 23:00</v>
      </c>
      <c r="D218" s="2521">
        <v>0.15</v>
      </c>
      <c r="E218" s="2520" t="str">
        <f>"09-03-2024 23:00"</f>
        <v>09-03-2024 23:00</v>
      </c>
      <c r="F218" s="2521">
        <v>0.15</v>
      </c>
      <c r="G218" s="2520" t="str">
        <f>"09-04-2024 23:00"</f>
        <v>09-04-2024 23:00</v>
      </c>
      <c r="H218" s="2521">
        <v>0.17</v>
      </c>
      <c r="I218" s="2520"/>
      <c r="J218" s="2521"/>
      <c r="K218" s="2520"/>
      <c r="L218" s="2521"/>
      <c r="M218" s="2520"/>
      <c r="N218" s="2521"/>
      <c r="O218" s="2520"/>
      <c r="P218" s="2521"/>
      <c r="Q218" s="2520"/>
      <c r="R218" s="2521"/>
      <c r="S218" s="2520"/>
      <c r="T218" s="2521"/>
      <c r="U218" s="2520"/>
      <c r="V218" s="2521"/>
      <c r="W218" s="2520"/>
      <c r="X218" s="2521"/>
    </row>
    <row r="219" spans="1:24" ht="14.4">
      <c r="A219" s="2528" t="str">
        <f>"10-01-2024 01:00"</f>
        <v>10-01-2024 01:00</v>
      </c>
      <c r="B219" s="2523">
        <v>0.11</v>
      </c>
      <c r="C219" s="2528" t="str">
        <f>"10-02-2024 00:00"</f>
        <v>10-02-2024 00:00</v>
      </c>
      <c r="D219" s="2523">
        <v>0.17</v>
      </c>
      <c r="E219" s="2528" t="str">
        <f>"10-03-2024 00:00"</f>
        <v>10-03-2024 00:00</v>
      </c>
      <c r="F219" s="2523">
        <v>0.18</v>
      </c>
      <c r="G219" s="2528" t="str">
        <f>"10-04-2024 00:00"</f>
        <v>10-04-2024 00:00</v>
      </c>
      <c r="H219" s="2523">
        <v>0.24</v>
      </c>
      <c r="I219" s="2528"/>
      <c r="J219" s="2523"/>
      <c r="K219" s="2528"/>
      <c r="L219" s="2523"/>
      <c r="M219" s="2528"/>
      <c r="N219" s="2523"/>
      <c r="O219" s="2528"/>
      <c r="P219" s="2523"/>
      <c r="Q219" s="2528"/>
      <c r="R219" s="2523"/>
      <c r="S219" s="2528"/>
      <c r="T219" s="2523"/>
      <c r="U219" s="2528"/>
      <c r="V219" s="2523"/>
      <c r="W219" s="2528"/>
      <c r="X219" s="2523"/>
    </row>
    <row r="220" spans="1:24" ht="14.4">
      <c r="A220" s="2518" t="str">
        <f>"10-01-2024 02:00"</f>
        <v>10-01-2024 02:00</v>
      </c>
      <c r="B220" s="2514">
        <v>0.11</v>
      </c>
      <c r="C220" s="2518" t="str">
        <f>"10-02-2024 01:00"</f>
        <v>10-02-2024 01:00</v>
      </c>
      <c r="D220" s="2514">
        <v>0.16</v>
      </c>
      <c r="E220" s="2518" t="str">
        <f>"10-03-2024 01:00"</f>
        <v>10-03-2024 01:00</v>
      </c>
      <c r="F220" s="2514">
        <v>0.22</v>
      </c>
      <c r="G220" s="2518" t="str">
        <f>"10-04-2024 01:00"</f>
        <v>10-04-2024 01:00</v>
      </c>
      <c r="H220" s="2514">
        <v>0.14000000000000001</v>
      </c>
      <c r="I220" s="2518"/>
      <c r="J220" s="2514"/>
      <c r="K220" s="2518"/>
      <c r="L220" s="2514"/>
      <c r="M220" s="2518"/>
      <c r="N220" s="2514"/>
      <c r="O220" s="2518"/>
      <c r="P220" s="2514"/>
      <c r="Q220" s="2518"/>
      <c r="R220" s="2514"/>
      <c r="S220" s="2518"/>
      <c r="T220" s="2514"/>
      <c r="U220" s="2518"/>
      <c r="V220" s="2514"/>
      <c r="W220" s="2518"/>
      <c r="X220" s="2514"/>
    </row>
    <row r="221" spans="1:24" ht="14.4">
      <c r="A221" s="2518" t="str">
        <f>"10-01-2024 03:00"</f>
        <v>10-01-2024 03:00</v>
      </c>
      <c r="B221" s="2514">
        <v>0.15</v>
      </c>
      <c r="C221" s="2518" t="str">
        <f>"10-02-2024 02:00"</f>
        <v>10-02-2024 02:00</v>
      </c>
      <c r="D221" s="2514">
        <v>0.22</v>
      </c>
      <c r="E221" s="2518" t="str">
        <f>"10-03-2024 02:00"</f>
        <v>10-03-2024 02:00</v>
      </c>
      <c r="F221" s="2514">
        <v>0.14000000000000001</v>
      </c>
      <c r="G221" s="2518" t="str">
        <f>"10-04-2024 02:00"</f>
        <v>10-04-2024 02:00</v>
      </c>
      <c r="H221" s="2514">
        <v>0.18</v>
      </c>
      <c r="I221" s="2518"/>
      <c r="J221" s="2514"/>
      <c r="K221" s="2518"/>
      <c r="L221" s="2514"/>
      <c r="M221" s="2518"/>
      <c r="N221" s="2514"/>
      <c r="O221" s="2518"/>
      <c r="P221" s="2514"/>
      <c r="Q221" s="2518"/>
      <c r="R221" s="2514"/>
      <c r="S221" s="2518"/>
      <c r="T221" s="2514"/>
      <c r="U221" s="2518"/>
      <c r="V221" s="2514"/>
      <c r="W221" s="2518"/>
      <c r="X221" s="2514"/>
    </row>
    <row r="222" spans="1:24" ht="14.4">
      <c r="A222" s="2518" t="str">
        <f>"10-01-2024 04:00"</f>
        <v>10-01-2024 04:00</v>
      </c>
      <c r="B222" s="2514">
        <v>0.13</v>
      </c>
      <c r="C222" s="2518" t="str">
        <f>"10-02-2024 03:00"</f>
        <v>10-02-2024 03:00</v>
      </c>
      <c r="D222" s="2514">
        <v>0.14000000000000001</v>
      </c>
      <c r="E222" s="2518" t="str">
        <f>"10-03-2024 03:00"</f>
        <v>10-03-2024 03:00</v>
      </c>
      <c r="F222" s="2514">
        <v>0.12</v>
      </c>
      <c r="G222" s="2518" t="str">
        <f>"10-04-2024 03:00"</f>
        <v>10-04-2024 03:00</v>
      </c>
      <c r="H222" s="2514">
        <v>0.17</v>
      </c>
      <c r="I222" s="2518"/>
      <c r="J222" s="2514"/>
      <c r="K222" s="2518"/>
      <c r="L222" s="2514"/>
      <c r="M222" s="2518"/>
      <c r="N222" s="2514"/>
      <c r="O222" s="2518"/>
      <c r="P222" s="2514"/>
      <c r="Q222" s="2518"/>
      <c r="R222" s="2514"/>
      <c r="S222" s="2518"/>
      <c r="T222" s="2514"/>
      <c r="U222" s="2518"/>
      <c r="V222" s="2514"/>
      <c r="W222" s="2518"/>
      <c r="X222" s="2514"/>
    </row>
    <row r="223" spans="1:24" ht="14.4">
      <c r="A223" s="2518" t="str">
        <f>"10-01-2024 05:00"</f>
        <v>10-01-2024 05:00</v>
      </c>
      <c r="B223" s="2514">
        <v>0.16</v>
      </c>
      <c r="C223" s="2518" t="str">
        <f>"10-02-2024 04:00"</f>
        <v>10-02-2024 04:00</v>
      </c>
      <c r="D223" s="2514">
        <v>0.13</v>
      </c>
      <c r="E223" s="2518" t="str">
        <f>"10-03-2024 04:00"</f>
        <v>10-03-2024 04:00</v>
      </c>
      <c r="F223" s="2514">
        <v>0.21</v>
      </c>
      <c r="G223" s="2518" t="str">
        <f>"10-04-2024 04:00"</f>
        <v>10-04-2024 04:00</v>
      </c>
      <c r="H223" s="2514">
        <v>0.23</v>
      </c>
      <c r="I223" s="2518"/>
      <c r="J223" s="2514"/>
      <c r="K223" s="2518"/>
      <c r="L223" s="2514"/>
      <c r="M223" s="2518"/>
      <c r="N223" s="2514"/>
      <c r="O223" s="2518"/>
      <c r="P223" s="2514"/>
      <c r="Q223" s="2518"/>
      <c r="R223" s="2514"/>
      <c r="S223" s="2518"/>
      <c r="T223" s="2514"/>
      <c r="U223" s="2518"/>
      <c r="V223" s="2514"/>
      <c r="W223" s="2518"/>
      <c r="X223" s="2514"/>
    </row>
    <row r="224" spans="1:24" ht="14.4">
      <c r="A224" s="2518" t="str">
        <f>"10-01-2024 06:00"</f>
        <v>10-01-2024 06:00</v>
      </c>
      <c r="B224" s="2514">
        <v>0.43</v>
      </c>
      <c r="C224" s="2518" t="str">
        <f>"10-02-2024 05:00"</f>
        <v>10-02-2024 05:00</v>
      </c>
      <c r="D224" s="2514">
        <v>0.15</v>
      </c>
      <c r="E224" s="2518" t="str">
        <f>"10-03-2024 05:00"</f>
        <v>10-03-2024 05:00</v>
      </c>
      <c r="F224" s="2514">
        <v>0.16</v>
      </c>
      <c r="G224" s="2518" t="str">
        <f>"10-04-2024 05:00"</f>
        <v>10-04-2024 05:00</v>
      </c>
      <c r="H224" s="2514">
        <v>0.17</v>
      </c>
      <c r="I224" s="2518"/>
      <c r="J224" s="2514"/>
      <c r="K224" s="2518"/>
      <c r="L224" s="2514"/>
      <c r="M224" s="2518"/>
      <c r="N224" s="2514"/>
      <c r="O224" s="2518"/>
      <c r="P224" s="2514"/>
      <c r="Q224" s="2518"/>
      <c r="R224" s="2514"/>
      <c r="S224" s="2518"/>
      <c r="T224" s="2514"/>
      <c r="U224" s="2518"/>
      <c r="V224" s="2514"/>
      <c r="W224" s="2518"/>
      <c r="X224" s="2514"/>
    </row>
    <row r="225" spans="1:24" ht="14.4">
      <c r="A225" s="2518" t="str">
        <f>"10-01-2024 07:00"</f>
        <v>10-01-2024 07:00</v>
      </c>
      <c r="B225" s="2514">
        <v>0.5</v>
      </c>
      <c r="C225" s="2518" t="str">
        <f>"10-02-2024 06:00"</f>
        <v>10-02-2024 06:00</v>
      </c>
      <c r="D225" s="2514">
        <v>0.14000000000000001</v>
      </c>
      <c r="E225" s="2518" t="str">
        <f>"10-03-2024 06:00"</f>
        <v>10-03-2024 06:00</v>
      </c>
      <c r="F225" s="2514">
        <v>0.18</v>
      </c>
      <c r="G225" s="2518" t="str">
        <f>"10-04-2024 06:00"</f>
        <v>10-04-2024 06:00</v>
      </c>
      <c r="H225" s="2514">
        <v>0.25</v>
      </c>
      <c r="I225" s="2518"/>
      <c r="J225" s="2514"/>
      <c r="K225" s="2518"/>
      <c r="L225" s="2514"/>
      <c r="M225" s="2518"/>
      <c r="N225" s="2514"/>
      <c r="O225" s="2518"/>
      <c r="P225" s="2514"/>
      <c r="Q225" s="2518"/>
      <c r="R225" s="2514"/>
      <c r="S225" s="2518"/>
      <c r="T225" s="2514"/>
      <c r="U225" s="2518"/>
      <c r="V225" s="2514"/>
      <c r="W225" s="2518"/>
      <c r="X225" s="2514"/>
    </row>
    <row r="226" spans="1:24" ht="14.4">
      <c r="A226" s="2518" t="str">
        <f>"10-01-2024 08:00"</f>
        <v>10-01-2024 08:00</v>
      </c>
      <c r="B226" s="2514">
        <v>0.38</v>
      </c>
      <c r="C226" s="2518" t="str">
        <f>"10-02-2024 07:00"</f>
        <v>10-02-2024 07:00</v>
      </c>
      <c r="D226" s="2514">
        <v>0.24</v>
      </c>
      <c r="E226" s="2518" t="str">
        <f>"10-03-2024 07:00"</f>
        <v>10-03-2024 07:00</v>
      </c>
      <c r="F226" s="2514">
        <v>0.26</v>
      </c>
      <c r="G226" s="2518" t="str">
        <f>"10-04-2024 07:00"</f>
        <v>10-04-2024 07:00</v>
      </c>
      <c r="H226" s="2514">
        <v>0.34</v>
      </c>
      <c r="I226" s="2518"/>
      <c r="J226" s="2514"/>
      <c r="K226" s="2518"/>
      <c r="L226" s="2514"/>
      <c r="M226" s="2518"/>
      <c r="N226" s="2514"/>
      <c r="O226" s="2518"/>
      <c r="P226" s="2514"/>
      <c r="Q226" s="2518"/>
      <c r="R226" s="2514"/>
      <c r="S226" s="2518"/>
      <c r="T226" s="2514"/>
      <c r="U226" s="2518"/>
      <c r="V226" s="2514"/>
      <c r="W226" s="2518"/>
      <c r="X226" s="2514"/>
    </row>
    <row r="227" spans="1:24" ht="14.4">
      <c r="A227" s="2518" t="str">
        <f>"10-01-2024 09:00"</f>
        <v>10-01-2024 09:00</v>
      </c>
      <c r="B227" s="2514">
        <v>0.28999999999999998</v>
      </c>
      <c r="C227" s="2518" t="str">
        <f>"10-02-2024 08:00"</f>
        <v>10-02-2024 08:00</v>
      </c>
      <c r="D227" s="2514">
        <v>0.25</v>
      </c>
      <c r="E227" s="2518" t="str">
        <f>"10-03-2024 08:00"</f>
        <v>10-03-2024 08:00</v>
      </c>
      <c r="F227" s="2514">
        <v>0.46</v>
      </c>
      <c r="G227" s="2518" t="str">
        <f>"10-04-2024 08:00"</f>
        <v>10-04-2024 08:00</v>
      </c>
      <c r="H227" s="2514">
        <v>0.39</v>
      </c>
      <c r="I227" s="2518"/>
      <c r="J227" s="2514"/>
      <c r="K227" s="2518"/>
      <c r="L227" s="2514"/>
      <c r="M227" s="2518"/>
      <c r="N227" s="2514"/>
      <c r="O227" s="2518"/>
      <c r="P227" s="2514"/>
      <c r="Q227" s="2518"/>
      <c r="R227" s="2514"/>
      <c r="S227" s="2518"/>
      <c r="T227" s="2514"/>
      <c r="U227" s="2518"/>
      <c r="V227" s="2514"/>
      <c r="W227" s="2518"/>
      <c r="X227" s="2514"/>
    </row>
    <row r="228" spans="1:24" ht="14.4">
      <c r="A228" s="2518" t="str">
        <f>"10-01-2024 10:00"</f>
        <v>10-01-2024 10:00</v>
      </c>
      <c r="B228" s="2514">
        <v>0.12</v>
      </c>
      <c r="C228" s="2518" t="str">
        <f>"10-02-2024 09:00"</f>
        <v>10-02-2024 09:00</v>
      </c>
      <c r="D228" s="2514">
        <v>0.49</v>
      </c>
      <c r="E228" s="2518" t="str">
        <f>"10-03-2024 09:00"</f>
        <v>10-03-2024 09:00</v>
      </c>
      <c r="F228" s="2514">
        <v>0.25</v>
      </c>
      <c r="G228" s="2518" t="str">
        <f>"10-04-2024 09:00"</f>
        <v>10-04-2024 09:00</v>
      </c>
      <c r="H228" s="2514">
        <v>0.28000000000000003</v>
      </c>
      <c r="I228" s="2518"/>
      <c r="J228" s="2514"/>
      <c r="K228" s="2518"/>
      <c r="L228" s="2514"/>
      <c r="M228" s="2518"/>
      <c r="N228" s="2514"/>
      <c r="O228" s="2518"/>
      <c r="P228" s="2514"/>
      <c r="Q228" s="2518"/>
      <c r="R228" s="2514"/>
      <c r="S228" s="2518"/>
      <c r="T228" s="2514"/>
      <c r="U228" s="2518"/>
      <c r="V228" s="2514"/>
      <c r="W228" s="2518"/>
      <c r="X228" s="2514"/>
    </row>
    <row r="229" spans="1:24" ht="14.4">
      <c r="A229" s="2518" t="str">
        <f>"10-01-2024 11:00"</f>
        <v>10-01-2024 11:00</v>
      </c>
      <c r="B229" s="2514">
        <v>0.13</v>
      </c>
      <c r="C229" s="2518" t="str">
        <f>"10-02-2024 10:00"</f>
        <v>10-02-2024 10:00</v>
      </c>
      <c r="D229" s="2514">
        <v>0.35</v>
      </c>
      <c r="E229" s="2518" t="str">
        <f>"10-03-2024 10:00"</f>
        <v>10-03-2024 10:00</v>
      </c>
      <c r="F229" s="2514">
        <v>0.31</v>
      </c>
      <c r="G229" s="2518" t="str">
        <f>"10-04-2024 10:00"</f>
        <v>10-04-2024 10:00</v>
      </c>
      <c r="H229" s="2514">
        <v>0.28999999999999998</v>
      </c>
      <c r="I229" s="2518"/>
      <c r="J229" s="2514"/>
      <c r="K229" s="2518"/>
      <c r="L229" s="2514"/>
      <c r="M229" s="2518"/>
      <c r="N229" s="2514"/>
      <c r="O229" s="2518"/>
      <c r="P229" s="2514"/>
      <c r="Q229" s="2518"/>
      <c r="R229" s="2514"/>
      <c r="S229" s="2518"/>
      <c r="T229" s="2514"/>
      <c r="U229" s="2518"/>
      <c r="V229" s="2514"/>
      <c r="W229" s="2518"/>
      <c r="X229" s="2514"/>
    </row>
    <row r="230" spans="1:24" ht="14.4">
      <c r="A230" s="2518" t="str">
        <f>"10-01-2024 12:00"</f>
        <v>10-01-2024 12:00</v>
      </c>
      <c r="B230" s="2514">
        <v>0.11</v>
      </c>
      <c r="C230" s="2518" t="str">
        <f>"10-02-2024 11:00"</f>
        <v>10-02-2024 11:00</v>
      </c>
      <c r="D230" s="2514">
        <v>0.49</v>
      </c>
      <c r="E230" s="2518" t="str">
        <f>"10-03-2024 11:00"</f>
        <v>10-03-2024 11:00</v>
      </c>
      <c r="F230" s="2514">
        <v>0.18</v>
      </c>
      <c r="G230" s="2518" t="str">
        <f>"10-04-2024 11:00"</f>
        <v>10-04-2024 11:00</v>
      </c>
      <c r="H230" s="2514">
        <v>0.44</v>
      </c>
      <c r="I230" s="2518"/>
      <c r="J230" s="2514"/>
      <c r="K230" s="2518"/>
      <c r="L230" s="2514"/>
      <c r="M230" s="2518"/>
      <c r="N230" s="2514"/>
      <c r="O230" s="2518"/>
      <c r="P230" s="2514"/>
      <c r="Q230" s="2518"/>
      <c r="R230" s="2514"/>
      <c r="S230" s="2518"/>
      <c r="T230" s="2514"/>
      <c r="U230" s="2518"/>
      <c r="V230" s="2514"/>
      <c r="W230" s="2518"/>
      <c r="X230" s="2514"/>
    </row>
    <row r="231" spans="1:24" ht="14.4">
      <c r="A231" s="2518" t="str">
        <f>"10-01-2024 13:00"</f>
        <v>10-01-2024 13:00</v>
      </c>
      <c r="B231" s="2514">
        <v>0.11</v>
      </c>
      <c r="C231" s="2518" t="str">
        <f>"10-02-2024 12:00"</f>
        <v>10-02-2024 12:00</v>
      </c>
      <c r="D231" s="2514">
        <v>0.3</v>
      </c>
      <c r="E231" s="2518" t="str">
        <f>"10-03-2024 12:00"</f>
        <v>10-03-2024 12:00</v>
      </c>
      <c r="F231" s="2514">
        <v>0.5</v>
      </c>
      <c r="G231" s="2518" t="str">
        <f>"10-04-2024 12:00"</f>
        <v>10-04-2024 12:00</v>
      </c>
      <c r="H231" s="2514">
        <v>0.35</v>
      </c>
      <c r="I231" s="2518"/>
      <c r="J231" s="2514"/>
      <c r="K231" s="2518"/>
      <c r="L231" s="2514"/>
      <c r="M231" s="2518"/>
      <c r="N231" s="2514"/>
      <c r="O231" s="2518"/>
      <c r="P231" s="2514"/>
      <c r="Q231" s="2518"/>
      <c r="R231" s="2514"/>
      <c r="S231" s="2518"/>
      <c r="T231" s="2514"/>
      <c r="U231" s="2518"/>
      <c r="V231" s="2514"/>
      <c r="W231" s="2518"/>
      <c r="X231" s="2514"/>
    </row>
    <row r="232" spans="1:24" ht="14.4">
      <c r="A232" s="2518" t="str">
        <f>"10-01-2024 14:00"</f>
        <v>10-01-2024 14:00</v>
      </c>
      <c r="B232" s="2514">
        <v>0.23</v>
      </c>
      <c r="C232" s="2518" t="str">
        <f>"10-02-2024 13:00"</f>
        <v>10-02-2024 13:00</v>
      </c>
      <c r="D232" s="2514">
        <v>0.35</v>
      </c>
      <c r="E232" s="2518" t="str">
        <f>"10-03-2024 13:00"</f>
        <v>10-03-2024 13:00</v>
      </c>
      <c r="F232" s="2514">
        <v>0.42</v>
      </c>
      <c r="G232" s="2518" t="str">
        <f>"10-04-2024 13:00"</f>
        <v>10-04-2024 13:00</v>
      </c>
      <c r="H232" s="2514">
        <v>0.35</v>
      </c>
      <c r="I232" s="2518"/>
      <c r="J232" s="2514"/>
      <c r="K232" s="2518"/>
      <c r="L232" s="2514"/>
      <c r="M232" s="2518"/>
      <c r="N232" s="2514"/>
      <c r="O232" s="2518"/>
      <c r="P232" s="2514"/>
      <c r="Q232" s="2518"/>
      <c r="R232" s="2514"/>
      <c r="S232" s="2518"/>
      <c r="T232" s="2514"/>
      <c r="U232" s="2518"/>
      <c r="V232" s="2514"/>
      <c r="W232" s="2518"/>
      <c r="X232" s="2514"/>
    </row>
    <row r="233" spans="1:24" ht="14.4">
      <c r="A233" s="2518" t="str">
        <f>"10-01-2024 15:00"</f>
        <v>10-01-2024 15:00</v>
      </c>
      <c r="B233" s="2514">
        <v>0.22</v>
      </c>
      <c r="C233" s="2518" t="str">
        <f>"10-02-2024 14:00"</f>
        <v>10-02-2024 14:00</v>
      </c>
      <c r="D233" s="2514">
        <v>0.42</v>
      </c>
      <c r="E233" s="2518" t="str">
        <f>"10-03-2024 14:00"</f>
        <v>10-03-2024 14:00</v>
      </c>
      <c r="F233" s="2514">
        <v>0.31</v>
      </c>
      <c r="G233" s="2518" t="str">
        <f>"10-04-2024 14:00"</f>
        <v>10-04-2024 14:00</v>
      </c>
      <c r="H233" s="2514">
        <v>0.45</v>
      </c>
      <c r="I233" s="2518"/>
      <c r="J233" s="2514"/>
      <c r="K233" s="2518"/>
      <c r="L233" s="2514"/>
      <c r="M233" s="2518"/>
      <c r="N233" s="2514"/>
      <c r="O233" s="2518"/>
      <c r="P233" s="2514"/>
      <c r="Q233" s="2518"/>
      <c r="R233" s="2514"/>
      <c r="S233" s="2518"/>
      <c r="T233" s="2514"/>
      <c r="U233" s="2518"/>
      <c r="V233" s="2514"/>
      <c r="W233" s="2518"/>
      <c r="X233" s="2514"/>
    </row>
    <row r="234" spans="1:24" ht="14.4">
      <c r="A234" s="2518" t="str">
        <f>"10-01-2024 16:00"</f>
        <v>10-01-2024 16:00</v>
      </c>
      <c r="B234" s="2514">
        <v>0.17</v>
      </c>
      <c r="C234" s="2518" t="str">
        <f>"10-02-2024 15:00"</f>
        <v>10-02-2024 15:00</v>
      </c>
      <c r="D234" s="2514">
        <v>0.41</v>
      </c>
      <c r="E234" s="2518" t="str">
        <f>"10-03-2024 15:00"</f>
        <v>10-03-2024 15:00</v>
      </c>
      <c r="F234" s="2514">
        <v>0.37</v>
      </c>
      <c r="G234" s="2518" t="str">
        <f>"10-04-2024 15:00"</f>
        <v>10-04-2024 15:00</v>
      </c>
      <c r="H234" s="2514">
        <v>0.4</v>
      </c>
      <c r="I234" s="2518"/>
      <c r="J234" s="2514"/>
      <c r="K234" s="2518"/>
      <c r="L234" s="2514"/>
      <c r="M234" s="2518"/>
      <c r="N234" s="2514"/>
      <c r="O234" s="2518"/>
      <c r="P234" s="2514"/>
      <c r="Q234" s="2518"/>
      <c r="R234" s="2514"/>
      <c r="S234" s="2518"/>
      <c r="T234" s="2514"/>
      <c r="U234" s="2518"/>
      <c r="V234" s="2514"/>
      <c r="W234" s="2518"/>
      <c r="X234" s="2514"/>
    </row>
    <row r="235" spans="1:24" ht="14.4">
      <c r="A235" s="2518" t="str">
        <f>"10-01-2024 17:00"</f>
        <v>10-01-2024 17:00</v>
      </c>
      <c r="B235" s="2514">
        <v>0.28999999999999998</v>
      </c>
      <c r="C235" s="2518" t="str">
        <f>"10-02-2024 16:00"</f>
        <v>10-02-2024 16:00</v>
      </c>
      <c r="D235" s="2514">
        <v>0.56999999999999995</v>
      </c>
      <c r="E235" s="2518" t="str">
        <f>"10-03-2024 16:00"</f>
        <v>10-03-2024 16:00</v>
      </c>
      <c r="F235" s="2514">
        <v>0.33</v>
      </c>
      <c r="G235" s="2518" t="str">
        <f>"10-04-2024 16:00"</f>
        <v>10-04-2024 16:00</v>
      </c>
      <c r="H235" s="2514">
        <v>0.37</v>
      </c>
      <c r="I235" s="2518"/>
      <c r="J235" s="2514"/>
      <c r="K235" s="2518"/>
      <c r="L235" s="2514"/>
      <c r="M235" s="2518"/>
      <c r="N235" s="2514"/>
      <c r="O235" s="2518"/>
      <c r="P235" s="2514"/>
      <c r="Q235" s="2518"/>
      <c r="R235" s="2514"/>
      <c r="S235" s="2518"/>
      <c r="T235" s="2514"/>
      <c r="U235" s="2518"/>
      <c r="V235" s="2514"/>
      <c r="W235" s="2518"/>
      <c r="X235" s="2514"/>
    </row>
    <row r="236" spans="1:24" ht="14.4">
      <c r="A236" s="2518" t="str">
        <f>"10-01-2024 18:00"</f>
        <v>10-01-2024 18:00</v>
      </c>
      <c r="B236" s="2514">
        <v>0.24</v>
      </c>
      <c r="C236" s="2518" t="str">
        <f>"10-02-2024 17:00"</f>
        <v>10-02-2024 17:00</v>
      </c>
      <c r="D236" s="2514">
        <v>0.35</v>
      </c>
      <c r="E236" s="2518" t="str">
        <f>"10-03-2024 17:00"</f>
        <v>10-03-2024 17:00</v>
      </c>
      <c r="F236" s="2514">
        <v>0.69</v>
      </c>
      <c r="G236" s="2518" t="str">
        <f>"10-04-2024 17:00"</f>
        <v>10-04-2024 17:00</v>
      </c>
      <c r="H236" s="2514">
        <v>0.82</v>
      </c>
      <c r="I236" s="2518"/>
      <c r="J236" s="2514"/>
      <c r="K236" s="2518"/>
      <c r="L236" s="2514"/>
      <c r="M236" s="2518"/>
      <c r="N236" s="2514"/>
      <c r="O236" s="2518"/>
      <c r="P236" s="2514"/>
      <c r="Q236" s="2518"/>
      <c r="R236" s="2514"/>
      <c r="S236" s="2518"/>
      <c r="T236" s="2514"/>
      <c r="U236" s="2518"/>
      <c r="V236" s="2514"/>
      <c r="W236" s="2518"/>
      <c r="X236" s="2514"/>
    </row>
    <row r="237" spans="1:24" ht="14.4">
      <c r="A237" s="2518" t="str">
        <f>"10-01-2024 19:00"</f>
        <v>10-01-2024 19:00</v>
      </c>
      <c r="B237" s="2514">
        <v>0.25</v>
      </c>
      <c r="C237" s="2518" t="str">
        <f>"10-02-2024 18:00"</f>
        <v>10-02-2024 18:00</v>
      </c>
      <c r="D237" s="2514">
        <v>0.53</v>
      </c>
      <c r="E237" s="2518" t="str">
        <f>"10-03-2024 18:00"</f>
        <v>10-03-2024 18:00</v>
      </c>
      <c r="F237" s="2514">
        <v>0.43</v>
      </c>
      <c r="G237" s="2518" t="str">
        <f>"10-04-2024 18:00"</f>
        <v>10-04-2024 18:00</v>
      </c>
      <c r="H237" s="2514">
        <v>0.36</v>
      </c>
      <c r="I237" s="2518"/>
      <c r="J237" s="2514"/>
      <c r="K237" s="2518"/>
      <c r="L237" s="2514"/>
      <c r="M237" s="2518"/>
      <c r="N237" s="2514"/>
      <c r="O237" s="2518"/>
      <c r="P237" s="2514"/>
      <c r="Q237" s="2518"/>
      <c r="R237" s="2514"/>
      <c r="S237" s="2518"/>
      <c r="T237" s="2514"/>
      <c r="U237" s="2518"/>
      <c r="V237" s="2514"/>
      <c r="W237" s="2518"/>
      <c r="X237" s="2514"/>
    </row>
    <row r="238" spans="1:24" ht="14.4">
      <c r="A238" s="2518" t="str">
        <f>"10-01-2024 20:00"</f>
        <v>10-01-2024 20:00</v>
      </c>
      <c r="B238" s="2514">
        <v>0.42</v>
      </c>
      <c r="C238" s="2518" t="str">
        <f>"10-02-2024 19:00"</f>
        <v>10-02-2024 19:00</v>
      </c>
      <c r="D238" s="2514">
        <v>0.42</v>
      </c>
      <c r="E238" s="2518" t="str">
        <f>"10-03-2024 19:00"</f>
        <v>10-03-2024 19:00</v>
      </c>
      <c r="F238" s="2514">
        <v>0.59</v>
      </c>
      <c r="G238" s="2518" t="str">
        <f>"10-04-2024 19:00"</f>
        <v>10-04-2024 19:00</v>
      </c>
      <c r="H238" s="2514">
        <v>0.41</v>
      </c>
      <c r="I238" s="2518"/>
      <c r="J238" s="2514"/>
      <c r="K238" s="2518"/>
      <c r="L238" s="2514"/>
      <c r="M238" s="2518"/>
      <c r="N238" s="2514"/>
      <c r="O238" s="2518"/>
      <c r="P238" s="2514"/>
      <c r="Q238" s="2518"/>
      <c r="R238" s="2514"/>
      <c r="S238" s="2518"/>
      <c r="T238" s="2514"/>
      <c r="U238" s="2518"/>
      <c r="V238" s="2514"/>
      <c r="W238" s="2518"/>
      <c r="X238" s="2514"/>
    </row>
    <row r="239" spans="1:24" ht="14.4">
      <c r="A239" s="2518" t="str">
        <f>"10-01-2024 21:00"</f>
        <v>10-01-2024 21:00</v>
      </c>
      <c r="B239" s="2514">
        <v>0.31</v>
      </c>
      <c r="C239" s="2518" t="str">
        <f>"10-02-2024 20:00"</f>
        <v>10-02-2024 20:00</v>
      </c>
      <c r="D239" s="2514">
        <v>0.34</v>
      </c>
      <c r="E239" s="2518" t="str">
        <f>"10-03-2024 20:00"</f>
        <v>10-03-2024 20:00</v>
      </c>
      <c r="F239" s="2514">
        <v>0.53</v>
      </c>
      <c r="G239" s="2518" t="str">
        <f>"10-04-2024 20:00"</f>
        <v>10-04-2024 20:00</v>
      </c>
      <c r="H239" s="2514">
        <v>0.42</v>
      </c>
      <c r="I239" s="2518"/>
      <c r="J239" s="2514"/>
      <c r="K239" s="2518"/>
      <c r="L239" s="2514"/>
      <c r="M239" s="2518"/>
      <c r="N239" s="2514"/>
      <c r="O239" s="2518"/>
      <c r="P239" s="2514"/>
      <c r="Q239" s="2518"/>
      <c r="R239" s="2514"/>
      <c r="S239" s="2518"/>
      <c r="T239" s="2514"/>
      <c r="U239" s="2518"/>
      <c r="V239" s="2514"/>
      <c r="W239" s="2518"/>
      <c r="X239" s="2514"/>
    </row>
    <row r="240" spans="1:24" ht="14.4">
      <c r="A240" s="2518" t="str">
        <f>"10-01-2024 22:00"</f>
        <v>10-01-2024 22:00</v>
      </c>
      <c r="B240" s="2514">
        <v>0.27</v>
      </c>
      <c r="C240" s="2518" t="str">
        <f>"10-02-2024 21:00"</f>
        <v>10-02-2024 21:00</v>
      </c>
      <c r="D240" s="2514">
        <v>0.47</v>
      </c>
      <c r="E240" s="2518" t="str">
        <f>"10-03-2024 21:00"</f>
        <v>10-03-2024 21:00</v>
      </c>
      <c r="F240" s="2514">
        <v>0.32</v>
      </c>
      <c r="G240" s="2518" t="str">
        <f>"10-04-2024 21:00"</f>
        <v>10-04-2024 21:00</v>
      </c>
      <c r="H240" s="2514">
        <v>0.43</v>
      </c>
      <c r="I240" s="2518"/>
      <c r="J240" s="2514"/>
      <c r="K240" s="2518"/>
      <c r="L240" s="2514"/>
      <c r="M240" s="2518"/>
      <c r="N240" s="2514"/>
      <c r="O240" s="2518"/>
      <c r="P240" s="2514"/>
      <c r="Q240" s="2518"/>
      <c r="R240" s="2514"/>
      <c r="S240" s="2518"/>
      <c r="T240" s="2514"/>
      <c r="U240" s="2518"/>
      <c r="V240" s="2514"/>
      <c r="W240" s="2518"/>
      <c r="X240" s="2514"/>
    </row>
    <row r="241" spans="1:24" ht="14.4">
      <c r="A241" s="2518" t="str">
        <f>"10-01-2024 23:00"</f>
        <v>10-01-2024 23:00</v>
      </c>
      <c r="B241" s="2514">
        <v>0.3</v>
      </c>
      <c r="C241" s="2518" t="str">
        <f>"10-02-2024 22:00"</f>
        <v>10-02-2024 22:00</v>
      </c>
      <c r="D241" s="2514">
        <v>0.34</v>
      </c>
      <c r="E241" s="2518" t="str">
        <f>"10-03-2024 22:00"</f>
        <v>10-03-2024 22:00</v>
      </c>
      <c r="F241" s="2514">
        <v>0.22</v>
      </c>
      <c r="G241" s="2518" t="str">
        <f>"10-04-2024 22:00"</f>
        <v>10-04-2024 22:00</v>
      </c>
      <c r="H241" s="2514">
        <v>0.32</v>
      </c>
      <c r="I241" s="2518"/>
      <c r="J241" s="2514"/>
      <c r="K241" s="2518"/>
      <c r="L241" s="2514"/>
      <c r="M241" s="2518"/>
      <c r="N241" s="2514"/>
      <c r="O241" s="2518"/>
      <c r="P241" s="2514"/>
      <c r="Q241" s="2518"/>
      <c r="R241" s="2514"/>
      <c r="S241" s="2518"/>
      <c r="T241" s="2514"/>
      <c r="U241" s="2518"/>
      <c r="V241" s="2514"/>
      <c r="W241" s="2518"/>
      <c r="X241" s="2514"/>
    </row>
    <row r="242" spans="1:24" s="2506" customFormat="1" ht="14.4">
      <c r="A242" s="2529" t="str">
        <f>"11-01-2024 00:00"</f>
        <v>11-01-2024 00:00</v>
      </c>
      <c r="B242" s="2521">
        <v>0.23</v>
      </c>
      <c r="C242" s="2529" t="str">
        <f>"10-02-2024 23:00"</f>
        <v>10-02-2024 23:00</v>
      </c>
      <c r="D242" s="2521">
        <v>0.18</v>
      </c>
      <c r="E242" s="2529" t="str">
        <f>"10-03-2024 23:00"</f>
        <v>10-03-2024 23:00</v>
      </c>
      <c r="F242" s="2521">
        <v>0.15</v>
      </c>
      <c r="G242" s="2529" t="str">
        <f>"10-04-2024 23:00"</f>
        <v>10-04-2024 23:00</v>
      </c>
      <c r="H242" s="2521">
        <v>0.26</v>
      </c>
      <c r="I242" s="2529"/>
      <c r="J242" s="2521"/>
      <c r="K242" s="2529"/>
      <c r="L242" s="2521"/>
      <c r="M242" s="2529"/>
      <c r="N242" s="2521"/>
      <c r="O242" s="2529"/>
      <c r="P242" s="2521"/>
      <c r="Q242" s="2529"/>
      <c r="R242" s="2521"/>
      <c r="S242" s="2529"/>
      <c r="T242" s="2521"/>
      <c r="U242" s="2529"/>
      <c r="V242" s="2521"/>
      <c r="W242" s="2529"/>
      <c r="X242" s="2521"/>
    </row>
    <row r="243" spans="1:24" ht="14.4">
      <c r="A243" s="2522" t="str">
        <f>"11-01-2024 01:00"</f>
        <v>11-01-2024 01:00</v>
      </c>
      <c r="B243" s="2523">
        <v>0.19</v>
      </c>
      <c r="C243" s="2522" t="str">
        <f>"11-02-2024 00:00"</f>
        <v>11-02-2024 00:00</v>
      </c>
      <c r="D243" s="2523">
        <v>0.2</v>
      </c>
      <c r="E243" s="2522" t="str">
        <f>"11-03-2024 00:00"</f>
        <v>11-03-2024 00:00</v>
      </c>
      <c r="F243" s="2523">
        <v>0.12</v>
      </c>
      <c r="G243" s="2522" t="str">
        <f>"11-04-2024 00:00"</f>
        <v>11-04-2024 00:00</v>
      </c>
      <c r="H243" s="2523">
        <v>0.12</v>
      </c>
      <c r="I243" s="2522"/>
      <c r="J243" s="2523"/>
      <c r="K243" s="2522"/>
      <c r="L243" s="2523"/>
      <c r="M243" s="2522"/>
      <c r="N243" s="2523"/>
      <c r="O243" s="2522"/>
      <c r="P243" s="2523"/>
      <c r="Q243" s="2522"/>
      <c r="R243" s="2523"/>
      <c r="S243" s="2522"/>
      <c r="T243" s="2523"/>
      <c r="U243" s="2522"/>
      <c r="V243" s="2523"/>
      <c r="W243" s="2522"/>
      <c r="X243" s="2523"/>
    </row>
    <row r="244" spans="1:24" ht="14.4">
      <c r="A244" s="2519" t="str">
        <f>"11-01-2024 02:00"</f>
        <v>11-01-2024 02:00</v>
      </c>
      <c r="B244" s="2514">
        <v>0.11</v>
      </c>
      <c r="C244" s="2519" t="str">
        <f>"11-02-2024 01:00"</f>
        <v>11-02-2024 01:00</v>
      </c>
      <c r="D244" s="2514">
        <v>0.19</v>
      </c>
      <c r="E244" s="2519" t="str">
        <f>"11-03-2024 01:00"</f>
        <v>11-03-2024 01:00</v>
      </c>
      <c r="F244" s="2514">
        <v>0.14000000000000001</v>
      </c>
      <c r="G244" s="2519" t="str">
        <f>"11-04-2024 01:00"</f>
        <v>11-04-2024 01:00</v>
      </c>
      <c r="H244" s="2514">
        <v>0.24</v>
      </c>
      <c r="I244" s="2519"/>
      <c r="J244" s="2514"/>
      <c r="K244" s="2519"/>
      <c r="L244" s="2514"/>
      <c r="M244" s="2519"/>
      <c r="N244" s="2514"/>
      <c r="O244" s="2519"/>
      <c r="P244" s="2514"/>
      <c r="Q244" s="2519"/>
      <c r="R244" s="2514"/>
      <c r="S244" s="2519"/>
      <c r="T244" s="2514"/>
      <c r="U244" s="2519"/>
      <c r="V244" s="2514"/>
      <c r="W244" s="2519"/>
      <c r="X244" s="2514"/>
    </row>
    <row r="245" spans="1:24" ht="14.4">
      <c r="A245" s="2519" t="str">
        <f>"11-01-2024 03:00"</f>
        <v>11-01-2024 03:00</v>
      </c>
      <c r="B245" s="2514">
        <v>0.12</v>
      </c>
      <c r="C245" s="2519" t="str">
        <f>"11-02-2024 02:00"</f>
        <v>11-02-2024 02:00</v>
      </c>
      <c r="D245" s="2514">
        <v>0.13</v>
      </c>
      <c r="E245" s="2519" t="str">
        <f>"11-03-2024 02:00"</f>
        <v>11-03-2024 02:00</v>
      </c>
      <c r="F245" s="2514">
        <v>0.18</v>
      </c>
      <c r="G245" s="2519" t="str">
        <f>"11-04-2024 02:00"</f>
        <v>11-04-2024 02:00</v>
      </c>
      <c r="H245" s="2514">
        <v>0.16</v>
      </c>
      <c r="I245" s="2519"/>
      <c r="J245" s="2514"/>
      <c r="K245" s="2519"/>
      <c r="L245" s="2514"/>
      <c r="M245" s="2519"/>
      <c r="N245" s="2514"/>
      <c r="O245" s="2519"/>
      <c r="P245" s="2514"/>
      <c r="Q245" s="2519"/>
      <c r="R245" s="2514"/>
      <c r="S245" s="2519"/>
      <c r="T245" s="2514"/>
      <c r="U245" s="2519"/>
      <c r="V245" s="2514"/>
      <c r="W245" s="2519"/>
      <c r="X245" s="2514"/>
    </row>
    <row r="246" spans="1:24" ht="14.4">
      <c r="A246" s="2519" t="str">
        <f>"11-01-2024 04:00"</f>
        <v>11-01-2024 04:00</v>
      </c>
      <c r="B246" s="2514">
        <v>0.1</v>
      </c>
      <c r="C246" s="2519" t="str">
        <f>"11-02-2024 03:00"</f>
        <v>11-02-2024 03:00</v>
      </c>
      <c r="D246" s="2514">
        <v>0.14000000000000001</v>
      </c>
      <c r="E246" s="2519" t="str">
        <f>"11-03-2024 03:00"</f>
        <v>11-03-2024 03:00</v>
      </c>
      <c r="F246" s="2514">
        <v>0.17</v>
      </c>
      <c r="G246" s="2519" t="str">
        <f>"11-04-2024 03:00"</f>
        <v>11-04-2024 03:00</v>
      </c>
      <c r="H246" s="2514">
        <v>0.19</v>
      </c>
      <c r="I246" s="2519"/>
      <c r="J246" s="2514"/>
      <c r="K246" s="2519"/>
      <c r="L246" s="2514"/>
      <c r="M246" s="2519"/>
      <c r="N246" s="2514"/>
      <c r="O246" s="2519"/>
      <c r="P246" s="2514"/>
      <c r="Q246" s="2519"/>
      <c r="R246" s="2514"/>
      <c r="S246" s="2519"/>
      <c r="T246" s="2514"/>
      <c r="U246" s="2519"/>
      <c r="V246" s="2514"/>
      <c r="W246" s="2519"/>
      <c r="X246" s="2514"/>
    </row>
    <row r="247" spans="1:24" ht="14.4">
      <c r="A247" s="2519" t="str">
        <f>"11-01-2024 05:00"</f>
        <v>11-01-2024 05:00</v>
      </c>
      <c r="B247" s="2514">
        <v>0.12</v>
      </c>
      <c r="C247" s="2519" t="str">
        <f>"11-02-2024 04:00"</f>
        <v>11-02-2024 04:00</v>
      </c>
      <c r="D247" s="2514">
        <v>0.17</v>
      </c>
      <c r="E247" s="2519" t="str">
        <f>"11-03-2024 04:00"</f>
        <v>11-03-2024 04:00</v>
      </c>
      <c r="F247" s="2514">
        <v>0.15</v>
      </c>
      <c r="G247" s="2519" t="str">
        <f>"11-04-2024 04:00"</f>
        <v>11-04-2024 04:00</v>
      </c>
      <c r="H247" s="2514">
        <v>0.15</v>
      </c>
      <c r="I247" s="2519"/>
      <c r="J247" s="2514"/>
      <c r="K247" s="2519"/>
      <c r="L247" s="2514"/>
      <c r="M247" s="2519"/>
      <c r="N247" s="2514"/>
      <c r="O247" s="2519"/>
      <c r="P247" s="2514"/>
      <c r="Q247" s="2519"/>
      <c r="R247" s="2514"/>
      <c r="S247" s="2519"/>
      <c r="T247" s="2514"/>
      <c r="U247" s="2519"/>
      <c r="V247" s="2514"/>
      <c r="W247" s="2519"/>
      <c r="X247" s="2514"/>
    </row>
    <row r="248" spans="1:24" ht="14.4">
      <c r="A248" s="2519" t="str">
        <f>"11-01-2024 06:00"</f>
        <v>11-01-2024 06:00</v>
      </c>
      <c r="B248" s="2514">
        <v>0.13</v>
      </c>
      <c r="C248" s="2519" t="str">
        <f>"11-02-2024 05:00"</f>
        <v>11-02-2024 05:00</v>
      </c>
      <c r="D248" s="2514">
        <v>0.15</v>
      </c>
      <c r="E248" s="2519" t="str">
        <f>"11-03-2024 05:00"</f>
        <v>11-03-2024 05:00</v>
      </c>
      <c r="F248" s="2514">
        <v>0.15</v>
      </c>
      <c r="G248" s="2519" t="str">
        <f>"11-04-2024 05:00"</f>
        <v>11-04-2024 05:00</v>
      </c>
      <c r="H248" s="2514">
        <v>0.22</v>
      </c>
      <c r="I248" s="2519"/>
      <c r="J248" s="2514"/>
      <c r="K248" s="2519"/>
      <c r="L248" s="2514"/>
      <c r="M248" s="2519"/>
      <c r="N248" s="2514"/>
      <c r="O248" s="2519"/>
      <c r="P248" s="2514"/>
      <c r="Q248" s="2519"/>
      <c r="R248" s="2514"/>
      <c r="S248" s="2519"/>
      <c r="T248" s="2514"/>
      <c r="U248" s="2519"/>
      <c r="V248" s="2514"/>
      <c r="W248" s="2519"/>
      <c r="X248" s="2514"/>
    </row>
    <row r="249" spans="1:24" ht="14.4">
      <c r="A249" s="2519" t="str">
        <f>"11-01-2024 07:00"</f>
        <v>11-01-2024 07:00</v>
      </c>
      <c r="B249" s="2514">
        <v>0.14000000000000001</v>
      </c>
      <c r="C249" s="2519" t="str">
        <f>"11-02-2024 06:00"</f>
        <v>11-02-2024 06:00</v>
      </c>
      <c r="D249" s="2514">
        <v>0.19</v>
      </c>
      <c r="E249" s="2519" t="str">
        <f>"11-03-2024 06:00"</f>
        <v>11-03-2024 06:00</v>
      </c>
      <c r="F249" s="2514">
        <v>0.12</v>
      </c>
      <c r="G249" s="2519" t="str">
        <f>"11-04-2024 06:00"</f>
        <v>11-04-2024 06:00</v>
      </c>
      <c r="H249" s="2514">
        <v>0.17</v>
      </c>
      <c r="I249" s="2519"/>
      <c r="J249" s="2514"/>
      <c r="K249" s="2519"/>
      <c r="L249" s="2514"/>
      <c r="M249" s="2519"/>
      <c r="N249" s="2514"/>
      <c r="O249" s="2519"/>
      <c r="P249" s="2514"/>
      <c r="Q249" s="2519"/>
      <c r="R249" s="2514"/>
      <c r="S249" s="2519"/>
      <c r="T249" s="2514"/>
      <c r="U249" s="2519"/>
      <c r="V249" s="2514"/>
      <c r="W249" s="2519"/>
      <c r="X249" s="2514"/>
    </row>
    <row r="250" spans="1:24" ht="14.4">
      <c r="A250" s="2519" t="str">
        <f>"11-01-2024 08:00"</f>
        <v>11-01-2024 08:00</v>
      </c>
      <c r="B250" s="2514">
        <v>0.13</v>
      </c>
      <c r="C250" s="2519" t="str">
        <f>"11-02-2024 07:00"</f>
        <v>11-02-2024 07:00</v>
      </c>
      <c r="D250" s="2514">
        <v>0.34</v>
      </c>
      <c r="E250" s="2519" t="str">
        <f>"11-03-2024 07:00"</f>
        <v>11-03-2024 07:00</v>
      </c>
      <c r="F250" s="2514">
        <v>0.19</v>
      </c>
      <c r="G250" s="2519" t="str">
        <f>"11-04-2024 07:00"</f>
        <v>11-04-2024 07:00</v>
      </c>
      <c r="H250" s="2514">
        <v>0.24</v>
      </c>
      <c r="I250" s="2519"/>
      <c r="J250" s="2514"/>
      <c r="K250" s="2519"/>
      <c r="L250" s="2514"/>
      <c r="M250" s="2519"/>
      <c r="N250" s="2514"/>
      <c r="O250" s="2519"/>
      <c r="P250" s="2514"/>
      <c r="Q250" s="2519"/>
      <c r="R250" s="2514"/>
      <c r="S250" s="2519"/>
      <c r="T250" s="2514"/>
      <c r="U250" s="2519"/>
      <c r="V250" s="2514"/>
      <c r="W250" s="2519"/>
      <c r="X250" s="2514"/>
    </row>
    <row r="251" spans="1:24" ht="14.4">
      <c r="A251" s="2519" t="str">
        <f>"11-01-2024 09:00"</f>
        <v>11-01-2024 09:00</v>
      </c>
      <c r="B251" s="2514">
        <v>0.18</v>
      </c>
      <c r="C251" s="2519" t="str">
        <f>"11-02-2024 08:00"</f>
        <v>11-02-2024 08:00</v>
      </c>
      <c r="D251" s="2514">
        <v>0.28999999999999998</v>
      </c>
      <c r="E251" s="2519" t="str">
        <f>"11-03-2024 08:00"</f>
        <v>11-03-2024 08:00</v>
      </c>
      <c r="F251" s="2514">
        <v>0.45</v>
      </c>
      <c r="G251" s="2519" t="str">
        <f>"11-04-2024 08:00"</f>
        <v>11-04-2024 08:00</v>
      </c>
      <c r="H251" s="2514">
        <v>0.37</v>
      </c>
      <c r="I251" s="2519"/>
      <c r="J251" s="2514"/>
      <c r="K251" s="2519"/>
      <c r="L251" s="2514"/>
      <c r="M251" s="2519"/>
      <c r="N251" s="2514"/>
      <c r="O251" s="2519"/>
      <c r="P251" s="2514"/>
      <c r="Q251" s="2519"/>
      <c r="R251" s="2514"/>
      <c r="S251" s="2519"/>
      <c r="T251" s="2514"/>
      <c r="U251" s="2519"/>
      <c r="V251" s="2514"/>
      <c r="W251" s="2519"/>
      <c r="X251" s="2514"/>
    </row>
    <row r="252" spans="1:24" ht="14.4">
      <c r="A252" s="2519" t="str">
        <f>"11-01-2024 10:00"</f>
        <v>11-01-2024 10:00</v>
      </c>
      <c r="B252" s="2514">
        <v>0.45</v>
      </c>
      <c r="C252" s="2519" t="str">
        <f>"11-02-2024 09:00"</f>
        <v>11-02-2024 09:00</v>
      </c>
      <c r="D252" s="2514">
        <v>0.21</v>
      </c>
      <c r="E252" s="2519" t="str">
        <f>"11-03-2024 09:00"</f>
        <v>11-03-2024 09:00</v>
      </c>
      <c r="F252" s="2514">
        <v>0.26</v>
      </c>
      <c r="G252" s="2519" t="str">
        <f>"11-04-2024 09:00"</f>
        <v>11-04-2024 09:00</v>
      </c>
      <c r="H252" s="2514">
        <v>0.42</v>
      </c>
      <c r="I252" s="2519"/>
      <c r="J252" s="2514"/>
      <c r="K252" s="2519"/>
      <c r="L252" s="2514"/>
      <c r="M252" s="2519"/>
      <c r="N252" s="2514"/>
      <c r="O252" s="2519"/>
      <c r="P252" s="2514"/>
      <c r="Q252" s="2519"/>
      <c r="R252" s="2514"/>
      <c r="S252" s="2519"/>
      <c r="T252" s="2514"/>
      <c r="U252" s="2519"/>
      <c r="V252" s="2514"/>
      <c r="W252" s="2519"/>
      <c r="X252" s="2514"/>
    </row>
    <row r="253" spans="1:24" ht="14.4">
      <c r="A253" s="2519" t="str">
        <f>"11-01-2024 11:00"</f>
        <v>11-01-2024 11:00</v>
      </c>
      <c r="B253" s="2514">
        <v>0.31</v>
      </c>
      <c r="C253" s="2519" t="str">
        <f>"11-02-2024 10:00"</f>
        <v>11-02-2024 10:00</v>
      </c>
      <c r="D253" s="2514">
        <v>0.33</v>
      </c>
      <c r="E253" s="2519" t="str">
        <f>"11-03-2024 10:00"</f>
        <v>11-03-2024 10:00</v>
      </c>
      <c r="F253" s="2514">
        <v>0.15</v>
      </c>
      <c r="G253" s="2519" t="str">
        <f>"11-04-2024 10:00"</f>
        <v>11-04-2024 10:00</v>
      </c>
      <c r="H253" s="2514">
        <v>0.47</v>
      </c>
      <c r="I253" s="2519"/>
      <c r="J253" s="2514"/>
      <c r="K253" s="2519"/>
      <c r="L253" s="2514"/>
      <c r="M253" s="2519"/>
      <c r="N253" s="2514"/>
      <c r="O253" s="2519"/>
      <c r="P253" s="2514"/>
      <c r="Q253" s="2519"/>
      <c r="R253" s="2514"/>
      <c r="S253" s="2519"/>
      <c r="T253" s="2514"/>
      <c r="U253" s="2519"/>
      <c r="V253" s="2514"/>
      <c r="W253" s="2519"/>
      <c r="X253" s="2514"/>
    </row>
    <row r="254" spans="1:24" ht="14.4">
      <c r="A254" s="2519" t="str">
        <f>"11-01-2024 12:00"</f>
        <v>11-01-2024 12:00</v>
      </c>
      <c r="B254" s="2514">
        <v>0.54</v>
      </c>
      <c r="C254" s="2519" t="str">
        <f>"11-02-2024 11:00"</f>
        <v>11-02-2024 11:00</v>
      </c>
      <c r="D254" s="2514">
        <v>0.23</v>
      </c>
      <c r="E254" s="2519" t="str">
        <f>"11-03-2024 11:00"</f>
        <v>11-03-2024 11:00</v>
      </c>
      <c r="F254" s="2514">
        <v>0.51</v>
      </c>
      <c r="G254" s="2519" t="str">
        <f>"11-04-2024 11:00"</f>
        <v>11-04-2024 11:00</v>
      </c>
      <c r="H254" s="2514">
        <v>0.28999999999999998</v>
      </c>
      <c r="I254" s="2519"/>
      <c r="J254" s="2514"/>
      <c r="K254" s="2519"/>
      <c r="L254" s="2514"/>
      <c r="M254" s="2519"/>
      <c r="N254" s="2514"/>
      <c r="O254" s="2519"/>
      <c r="P254" s="2514"/>
      <c r="Q254" s="2519"/>
      <c r="R254" s="2514"/>
      <c r="S254" s="2519"/>
      <c r="T254" s="2514"/>
      <c r="U254" s="2519"/>
      <c r="V254" s="2514"/>
      <c r="W254" s="2519"/>
      <c r="X254" s="2514"/>
    </row>
    <row r="255" spans="1:24" ht="14.4">
      <c r="A255" s="2519" t="str">
        <f>"11-01-2024 13:00"</f>
        <v>11-01-2024 13:00</v>
      </c>
      <c r="B255" s="2514">
        <v>0.37</v>
      </c>
      <c r="C255" s="2519" t="str">
        <f>"11-02-2024 12:00"</f>
        <v>11-02-2024 12:00</v>
      </c>
      <c r="D255" s="2514">
        <v>0.28000000000000003</v>
      </c>
      <c r="E255" s="2519" t="str">
        <f>"11-03-2024 12:00"</f>
        <v>11-03-2024 12:00</v>
      </c>
      <c r="F255" s="2514">
        <v>0.33</v>
      </c>
      <c r="G255" s="2519" t="str">
        <f>"11-04-2024 12:00"</f>
        <v>11-04-2024 12:00</v>
      </c>
      <c r="H255" s="2514">
        <v>0.28999999999999998</v>
      </c>
      <c r="I255" s="2519"/>
      <c r="J255" s="2514"/>
      <c r="K255" s="2519"/>
      <c r="L255" s="2514"/>
      <c r="M255" s="2519"/>
      <c r="N255" s="2514"/>
      <c r="O255" s="2519"/>
      <c r="P255" s="2514"/>
      <c r="Q255" s="2519"/>
      <c r="R255" s="2514"/>
      <c r="S255" s="2519"/>
      <c r="T255" s="2514"/>
      <c r="U255" s="2519"/>
      <c r="V255" s="2514"/>
      <c r="W255" s="2519"/>
      <c r="X255" s="2514"/>
    </row>
    <row r="256" spans="1:24" ht="14.4">
      <c r="A256" s="2519" t="str">
        <f>"11-01-2024 14:00"</f>
        <v>11-01-2024 14:00</v>
      </c>
      <c r="B256" s="2514">
        <v>0.4</v>
      </c>
      <c r="C256" s="2519" t="str">
        <f>"11-02-2024 13:00"</f>
        <v>11-02-2024 13:00</v>
      </c>
      <c r="D256" s="2514">
        <v>0.61</v>
      </c>
      <c r="E256" s="2519" t="str">
        <f>"11-03-2024 13:00"</f>
        <v>11-03-2024 13:00</v>
      </c>
      <c r="F256" s="2514">
        <v>0.37</v>
      </c>
      <c r="G256" s="2519" t="str">
        <f>"11-04-2024 13:00"</f>
        <v>11-04-2024 13:00</v>
      </c>
      <c r="H256" s="2514">
        <v>0.81</v>
      </c>
      <c r="I256" s="2519"/>
      <c r="J256" s="2514"/>
      <c r="K256" s="2519"/>
      <c r="L256" s="2514"/>
      <c r="M256" s="2519"/>
      <c r="N256" s="2514"/>
      <c r="O256" s="2519"/>
      <c r="P256" s="2514"/>
      <c r="Q256" s="2519"/>
      <c r="R256" s="2514"/>
      <c r="S256" s="2519"/>
      <c r="T256" s="2514"/>
      <c r="U256" s="2519"/>
      <c r="V256" s="2514"/>
      <c r="W256" s="2519"/>
      <c r="X256" s="2514"/>
    </row>
    <row r="257" spans="1:24" ht="14.4">
      <c r="A257" s="2519" t="str">
        <f>"11-01-2024 15:00"</f>
        <v>11-01-2024 15:00</v>
      </c>
      <c r="B257" s="2514">
        <v>0.34</v>
      </c>
      <c r="C257" s="2519" t="str">
        <f>"11-02-2024 14:00"</f>
        <v>11-02-2024 14:00</v>
      </c>
      <c r="D257" s="2514">
        <v>0.34</v>
      </c>
      <c r="E257" s="2519" t="str">
        <f>"11-03-2024 14:00"</f>
        <v>11-03-2024 14:00</v>
      </c>
      <c r="F257" s="2514">
        <v>0.38</v>
      </c>
      <c r="G257" s="2519" t="str">
        <f>"11-04-2024 14:00"</f>
        <v>11-04-2024 14:00</v>
      </c>
      <c r="H257" s="2514">
        <v>0.83</v>
      </c>
      <c r="I257" s="2519"/>
      <c r="J257" s="2514"/>
      <c r="K257" s="2519"/>
      <c r="L257" s="2514"/>
      <c r="M257" s="2519"/>
      <c r="N257" s="2514"/>
      <c r="O257" s="2519"/>
      <c r="P257" s="2514"/>
      <c r="Q257" s="2519"/>
      <c r="R257" s="2514"/>
      <c r="S257" s="2519"/>
      <c r="T257" s="2514"/>
      <c r="U257" s="2519"/>
      <c r="V257" s="2514"/>
      <c r="W257" s="2519"/>
      <c r="X257" s="2514"/>
    </row>
    <row r="258" spans="1:24" ht="14.4">
      <c r="A258" s="2519" t="str">
        <f>"11-01-2024 16:00"</f>
        <v>11-01-2024 16:00</v>
      </c>
      <c r="B258" s="2514">
        <v>0.34</v>
      </c>
      <c r="C258" s="2519" t="str">
        <f>"11-02-2024 15:00"</f>
        <v>11-02-2024 15:00</v>
      </c>
      <c r="D258" s="2514">
        <v>0.46</v>
      </c>
      <c r="E258" s="2519" t="str">
        <f>"11-03-2024 15:00"</f>
        <v>11-03-2024 15:00</v>
      </c>
      <c r="F258" s="2514">
        <v>0.32</v>
      </c>
      <c r="G258" s="2519" t="str">
        <f>"11-04-2024 15:00"</f>
        <v>11-04-2024 15:00</v>
      </c>
      <c r="H258" s="2514">
        <v>1.47</v>
      </c>
      <c r="I258" s="2519"/>
      <c r="J258" s="2514"/>
      <c r="K258" s="2519"/>
      <c r="L258" s="2514"/>
      <c r="M258" s="2519"/>
      <c r="N258" s="2514"/>
      <c r="O258" s="2519"/>
      <c r="P258" s="2514"/>
      <c r="Q258" s="2519"/>
      <c r="R258" s="2514"/>
      <c r="S258" s="2519"/>
      <c r="T258" s="2514"/>
      <c r="U258" s="2519"/>
      <c r="V258" s="2514"/>
      <c r="W258" s="2519"/>
      <c r="X258" s="2514"/>
    </row>
    <row r="259" spans="1:24" ht="14.4">
      <c r="A259" s="2519" t="str">
        <f>"11-01-2024 17:00"</f>
        <v>11-01-2024 17:00</v>
      </c>
      <c r="B259" s="2514">
        <v>0.34</v>
      </c>
      <c r="C259" s="2519" t="str">
        <f>"11-02-2024 16:00"</f>
        <v>11-02-2024 16:00</v>
      </c>
      <c r="D259" s="2514">
        <v>0.41</v>
      </c>
      <c r="E259" s="2519" t="str">
        <f>"11-03-2024 16:00"</f>
        <v>11-03-2024 16:00</v>
      </c>
      <c r="F259" s="2514">
        <v>0.35</v>
      </c>
      <c r="G259" s="2519" t="str">
        <f>"11-04-2024 16:00"</f>
        <v>11-04-2024 16:00</v>
      </c>
      <c r="H259" s="2514">
        <v>0.45</v>
      </c>
      <c r="I259" s="2519"/>
      <c r="J259" s="2514"/>
      <c r="K259" s="2519"/>
      <c r="L259" s="2514"/>
      <c r="M259" s="2519"/>
      <c r="N259" s="2514"/>
      <c r="O259" s="2519"/>
      <c r="P259" s="2514"/>
      <c r="Q259" s="2519"/>
      <c r="R259" s="2514"/>
      <c r="S259" s="2519"/>
      <c r="T259" s="2514"/>
      <c r="U259" s="2519"/>
      <c r="V259" s="2514"/>
      <c r="W259" s="2519"/>
      <c r="X259" s="2514"/>
    </row>
    <row r="260" spans="1:24" ht="14.4">
      <c r="A260" s="2519" t="str">
        <f>"11-01-2024 18:00"</f>
        <v>11-01-2024 18:00</v>
      </c>
      <c r="B260" s="2514">
        <v>1.23</v>
      </c>
      <c r="C260" s="2519" t="str">
        <f>"11-02-2024 17:00"</f>
        <v>11-02-2024 17:00</v>
      </c>
      <c r="D260" s="2514">
        <v>0.49</v>
      </c>
      <c r="E260" s="2519" t="str">
        <f>"11-03-2024 17:00"</f>
        <v>11-03-2024 17:00</v>
      </c>
      <c r="F260" s="2514">
        <v>1.41</v>
      </c>
      <c r="G260" s="2519" t="str">
        <f>"11-04-2024 17:00"</f>
        <v>11-04-2024 17:00</v>
      </c>
      <c r="H260" s="2514">
        <v>1.17</v>
      </c>
      <c r="I260" s="2519"/>
      <c r="J260" s="2514"/>
      <c r="K260" s="2519"/>
      <c r="L260" s="2514"/>
      <c r="M260" s="2519"/>
      <c r="N260" s="2514"/>
      <c r="O260" s="2519"/>
      <c r="P260" s="2514"/>
      <c r="Q260" s="2519"/>
      <c r="R260" s="2514"/>
      <c r="S260" s="2519"/>
      <c r="T260" s="2514"/>
      <c r="U260" s="2519"/>
      <c r="V260" s="2514"/>
      <c r="W260" s="2519"/>
      <c r="X260" s="2514"/>
    </row>
    <row r="261" spans="1:24" ht="14.4">
      <c r="A261" s="2519" t="str">
        <f>"11-01-2024 19:00"</f>
        <v>11-01-2024 19:00</v>
      </c>
      <c r="B261" s="2514">
        <v>0.89</v>
      </c>
      <c r="C261" s="2519" t="str">
        <f>"11-02-2024 18:00"</f>
        <v>11-02-2024 18:00</v>
      </c>
      <c r="D261" s="2514">
        <v>0.69</v>
      </c>
      <c r="E261" s="2519" t="str">
        <f>"11-03-2024 18:00"</f>
        <v>11-03-2024 18:00</v>
      </c>
      <c r="F261" s="2514">
        <v>0.36</v>
      </c>
      <c r="G261" s="2519" t="str">
        <f>"11-04-2024 18:00"</f>
        <v>11-04-2024 18:00</v>
      </c>
      <c r="H261" s="2514">
        <v>0.37</v>
      </c>
      <c r="I261" s="2519"/>
      <c r="J261" s="2514"/>
      <c r="K261" s="2519"/>
      <c r="L261" s="2514"/>
      <c r="M261" s="2519"/>
      <c r="N261" s="2514"/>
      <c r="O261" s="2519"/>
      <c r="P261" s="2514"/>
      <c r="Q261" s="2519"/>
      <c r="R261" s="2514"/>
      <c r="S261" s="2519"/>
      <c r="T261" s="2514"/>
      <c r="U261" s="2519"/>
      <c r="V261" s="2514"/>
      <c r="W261" s="2519"/>
      <c r="X261" s="2514"/>
    </row>
    <row r="262" spans="1:24" ht="14.4">
      <c r="A262" s="2519" t="str">
        <f>"11-01-2024 20:00"</f>
        <v>11-01-2024 20:00</v>
      </c>
      <c r="B262" s="2514">
        <v>1.34</v>
      </c>
      <c r="C262" s="2519" t="str">
        <f>"11-02-2024 19:00"</f>
        <v>11-02-2024 19:00</v>
      </c>
      <c r="D262" s="2514">
        <v>0.36</v>
      </c>
      <c r="E262" s="2519" t="str">
        <f>"11-03-2024 19:00"</f>
        <v>11-03-2024 19:00</v>
      </c>
      <c r="F262" s="2514">
        <v>0.45</v>
      </c>
      <c r="G262" s="2519" t="str">
        <f>"11-04-2024 19:00"</f>
        <v>11-04-2024 19:00</v>
      </c>
      <c r="H262" s="2514">
        <v>0.41</v>
      </c>
      <c r="I262" s="2519"/>
      <c r="J262" s="2514"/>
      <c r="K262" s="2519"/>
      <c r="L262" s="2514"/>
      <c r="M262" s="2519"/>
      <c r="N262" s="2514"/>
      <c r="O262" s="2519"/>
      <c r="P262" s="2514"/>
      <c r="Q262" s="2519"/>
      <c r="R262" s="2514"/>
      <c r="S262" s="2519"/>
      <c r="T262" s="2514"/>
      <c r="U262" s="2519"/>
      <c r="V262" s="2514"/>
      <c r="W262" s="2519"/>
      <c r="X262" s="2514"/>
    </row>
    <row r="263" spans="1:24" ht="14.4">
      <c r="A263" s="2519" t="str">
        <f>"11-01-2024 21:00"</f>
        <v>11-01-2024 21:00</v>
      </c>
      <c r="B263" s="2514">
        <v>0.46</v>
      </c>
      <c r="C263" s="2519" t="str">
        <f>"11-02-2024 20:00"</f>
        <v>11-02-2024 20:00</v>
      </c>
      <c r="D263" s="2514">
        <v>0.37</v>
      </c>
      <c r="E263" s="2519" t="str">
        <f>"11-03-2024 20:00"</f>
        <v>11-03-2024 20:00</v>
      </c>
      <c r="F263" s="2514">
        <v>0.36</v>
      </c>
      <c r="G263" s="2519" t="str">
        <f>"11-04-2024 20:00"</f>
        <v>11-04-2024 20:00</v>
      </c>
      <c r="H263" s="2514">
        <v>0.36</v>
      </c>
      <c r="I263" s="2519"/>
      <c r="J263" s="2514"/>
      <c r="K263" s="2519"/>
      <c r="L263" s="2514"/>
      <c r="M263" s="2519"/>
      <c r="N263" s="2514"/>
      <c r="O263" s="2519"/>
      <c r="P263" s="2514"/>
      <c r="Q263" s="2519"/>
      <c r="R263" s="2514"/>
      <c r="S263" s="2519"/>
      <c r="T263" s="2514"/>
      <c r="U263" s="2519"/>
      <c r="V263" s="2514"/>
      <c r="W263" s="2519"/>
      <c r="X263" s="2514"/>
    </row>
    <row r="264" spans="1:24" ht="14.4">
      <c r="A264" s="2519" t="str">
        <f>"11-01-2024 22:00"</f>
        <v>11-01-2024 22:00</v>
      </c>
      <c r="B264" s="2514">
        <v>0.33</v>
      </c>
      <c r="C264" s="2519" t="str">
        <f>"11-02-2024 21:00"</f>
        <v>11-02-2024 21:00</v>
      </c>
      <c r="D264" s="2514">
        <v>0.44</v>
      </c>
      <c r="E264" s="2519" t="str">
        <f>"11-03-2024 21:00"</f>
        <v>11-03-2024 21:00</v>
      </c>
      <c r="F264" s="2514">
        <v>0.31</v>
      </c>
      <c r="G264" s="2519" t="str">
        <f>"11-04-2024 21:00"</f>
        <v>11-04-2024 21:00</v>
      </c>
      <c r="H264" s="2514">
        <v>0.48</v>
      </c>
      <c r="I264" s="2519"/>
      <c r="J264" s="2514"/>
      <c r="K264" s="2519"/>
      <c r="L264" s="2514"/>
      <c r="M264" s="2519"/>
      <c r="N264" s="2514"/>
      <c r="O264" s="2519"/>
      <c r="P264" s="2514"/>
      <c r="Q264" s="2519"/>
      <c r="R264" s="2514"/>
      <c r="S264" s="2519"/>
      <c r="T264" s="2514"/>
      <c r="U264" s="2519"/>
      <c r="V264" s="2514"/>
      <c r="W264" s="2519"/>
      <c r="X264" s="2514"/>
    </row>
    <row r="265" spans="1:24" ht="14.4">
      <c r="A265" s="2519" t="str">
        <f>"11-01-2024 23:00"</f>
        <v>11-01-2024 23:00</v>
      </c>
      <c r="B265" s="2514">
        <v>0.28999999999999998</v>
      </c>
      <c r="C265" s="2519" t="str">
        <f>"11-02-2024 22:00"</f>
        <v>11-02-2024 22:00</v>
      </c>
      <c r="D265" s="2514">
        <v>0.23</v>
      </c>
      <c r="E265" s="2519" t="str">
        <f>"11-03-2024 22:00"</f>
        <v>11-03-2024 22:00</v>
      </c>
      <c r="F265" s="2514">
        <v>0.31</v>
      </c>
      <c r="G265" s="2519" t="str">
        <f>"11-04-2024 22:00"</f>
        <v>11-04-2024 22:00</v>
      </c>
      <c r="H265" s="2514">
        <v>0.39</v>
      </c>
      <c r="I265" s="2519"/>
      <c r="J265" s="2514"/>
      <c r="K265" s="2519"/>
      <c r="L265" s="2514"/>
      <c r="M265" s="2519"/>
      <c r="N265" s="2514"/>
      <c r="O265" s="2519"/>
      <c r="P265" s="2514"/>
      <c r="Q265" s="2519"/>
      <c r="R265" s="2514"/>
      <c r="S265" s="2519"/>
      <c r="T265" s="2514"/>
      <c r="U265" s="2519"/>
      <c r="V265" s="2514"/>
      <c r="W265" s="2519"/>
      <c r="X265" s="2514"/>
    </row>
    <row r="266" spans="1:24" s="2506" customFormat="1" ht="14.4">
      <c r="A266" s="2520" t="str">
        <f>"12-01-2024 00:00"</f>
        <v>12-01-2024 00:00</v>
      </c>
      <c r="B266" s="2521">
        <v>0.12</v>
      </c>
      <c r="C266" s="2520" t="str">
        <f>"11-02-2024 23:00"</f>
        <v>11-02-2024 23:00</v>
      </c>
      <c r="D266" s="2521">
        <v>0.15</v>
      </c>
      <c r="E266" s="2520" t="str">
        <f>"11-03-2024 23:00"</f>
        <v>11-03-2024 23:00</v>
      </c>
      <c r="F266" s="2521">
        <v>0.27</v>
      </c>
      <c r="G266" s="2520" t="str">
        <f>"11-04-2024 23:00"</f>
        <v>11-04-2024 23:00</v>
      </c>
      <c r="H266" s="2521">
        <v>0.2</v>
      </c>
      <c r="I266" s="2520"/>
      <c r="J266" s="2521"/>
      <c r="K266" s="2520"/>
      <c r="L266" s="2521"/>
      <c r="M266" s="2520"/>
      <c r="N266" s="2521"/>
      <c r="O266" s="2520"/>
      <c r="P266" s="2521"/>
      <c r="Q266" s="2520"/>
      <c r="R266" s="2521"/>
      <c r="S266" s="2520"/>
      <c r="T266" s="2521"/>
      <c r="U266" s="2520"/>
      <c r="V266" s="2521"/>
      <c r="W266" s="2520"/>
      <c r="X266" s="2521"/>
    </row>
    <row r="267" spans="1:24" ht="14.4">
      <c r="A267" s="2528" t="str">
        <f>"12-01-2024 01:00"</f>
        <v>12-01-2024 01:00</v>
      </c>
      <c r="B267" s="2523">
        <v>0.11</v>
      </c>
      <c r="C267" s="2528" t="str">
        <f>"12-02-2024 00:00"</f>
        <v>12-02-2024 00:00</v>
      </c>
      <c r="D267" s="2523">
        <v>0.16</v>
      </c>
      <c r="E267" s="2528" t="str">
        <f>"12-03-2024 00:00"</f>
        <v>12-03-2024 00:00</v>
      </c>
      <c r="F267" s="2523">
        <v>0.14000000000000001</v>
      </c>
      <c r="G267" s="2528" t="str">
        <f>"12-04-2024 00:00"</f>
        <v>12-04-2024 00:00</v>
      </c>
      <c r="H267" s="2523">
        <v>0.16</v>
      </c>
      <c r="I267" s="2528"/>
      <c r="J267" s="2523"/>
      <c r="K267" s="2528"/>
      <c r="L267" s="2523"/>
      <c r="M267" s="2528"/>
      <c r="N267" s="2523"/>
      <c r="O267" s="2528"/>
      <c r="P267" s="2523"/>
      <c r="Q267" s="2528"/>
      <c r="R267" s="2523"/>
      <c r="S267" s="2528"/>
      <c r="T267" s="2523"/>
      <c r="U267" s="2528"/>
      <c r="V267" s="2523"/>
      <c r="W267" s="2528"/>
      <c r="X267" s="2523"/>
    </row>
    <row r="268" spans="1:24" ht="14.4">
      <c r="A268" s="2518" t="str">
        <f>"12-01-2024 02:00"</f>
        <v>12-01-2024 02:00</v>
      </c>
      <c r="B268" s="2514">
        <v>0.13</v>
      </c>
      <c r="C268" s="2518" t="str">
        <f>"12-02-2024 01:00"</f>
        <v>12-02-2024 01:00</v>
      </c>
      <c r="D268" s="2514">
        <v>0.13</v>
      </c>
      <c r="E268" s="2518" t="str">
        <f>"12-03-2024 01:00"</f>
        <v>12-03-2024 01:00</v>
      </c>
      <c r="F268" s="2514">
        <v>0.16</v>
      </c>
      <c r="G268" s="2518" t="str">
        <f>"12-04-2024 01:00"</f>
        <v>12-04-2024 01:00</v>
      </c>
      <c r="H268" s="2514">
        <v>0.23</v>
      </c>
      <c r="I268" s="2518"/>
      <c r="J268" s="2514"/>
      <c r="K268" s="2518"/>
      <c r="L268" s="2514"/>
      <c r="M268" s="2518"/>
      <c r="N268" s="2514"/>
      <c r="O268" s="2518"/>
      <c r="P268" s="2514"/>
      <c r="Q268" s="2518"/>
      <c r="R268" s="2514"/>
      <c r="S268" s="2518"/>
      <c r="T268" s="2514"/>
      <c r="U268" s="2518"/>
      <c r="V268" s="2514"/>
      <c r="W268" s="2518"/>
      <c r="X268" s="2514"/>
    </row>
    <row r="269" spans="1:24" ht="14.4">
      <c r="A269" s="2518" t="str">
        <f>"12-01-2024 03:00"</f>
        <v>12-01-2024 03:00</v>
      </c>
      <c r="B269" s="2514">
        <v>0.2</v>
      </c>
      <c r="C269" s="2518" t="str">
        <f>"12-02-2024 02:00"</f>
        <v>12-02-2024 02:00</v>
      </c>
      <c r="D269" s="2514">
        <v>0.12</v>
      </c>
      <c r="E269" s="2518" t="str">
        <f>"12-03-2024 02:00"</f>
        <v>12-03-2024 02:00</v>
      </c>
      <c r="F269" s="2514">
        <v>0.14000000000000001</v>
      </c>
      <c r="G269" s="2518" t="str">
        <f>"12-04-2024 02:00"</f>
        <v>12-04-2024 02:00</v>
      </c>
      <c r="H269" s="2514">
        <v>0.15</v>
      </c>
      <c r="I269" s="2518"/>
      <c r="J269" s="2514"/>
      <c r="K269" s="2518"/>
      <c r="L269" s="2514"/>
      <c r="M269" s="2518"/>
      <c r="N269" s="2514"/>
      <c r="O269" s="2518"/>
      <c r="P269" s="2514"/>
      <c r="Q269" s="2518"/>
      <c r="R269" s="2514"/>
      <c r="S269" s="2518"/>
      <c r="T269" s="2514"/>
      <c r="U269" s="2518"/>
      <c r="V269" s="2514"/>
      <c r="W269" s="2518"/>
      <c r="X269" s="2514"/>
    </row>
    <row r="270" spans="1:24" ht="14.4">
      <c r="A270" s="2518" t="str">
        <f>"12-01-2024 04:00"</f>
        <v>12-01-2024 04:00</v>
      </c>
      <c r="B270" s="2514">
        <v>0.15</v>
      </c>
      <c r="C270" s="2518" t="str">
        <f>"12-02-2024 03:00"</f>
        <v>12-02-2024 03:00</v>
      </c>
      <c r="D270" s="2514">
        <v>0.15</v>
      </c>
      <c r="E270" s="2518" t="str">
        <f>"12-03-2024 03:00"</f>
        <v>12-03-2024 03:00</v>
      </c>
      <c r="F270" s="2514">
        <v>0.14000000000000001</v>
      </c>
      <c r="G270" s="2518" t="str">
        <f>"12-04-2024 03:00"</f>
        <v>12-04-2024 03:00</v>
      </c>
      <c r="H270" s="2514">
        <v>0.19</v>
      </c>
      <c r="I270" s="2518"/>
      <c r="J270" s="2514"/>
      <c r="K270" s="2518"/>
      <c r="L270" s="2514"/>
      <c r="M270" s="2518"/>
      <c r="N270" s="2514"/>
      <c r="O270" s="2518"/>
      <c r="P270" s="2514"/>
      <c r="Q270" s="2518"/>
      <c r="R270" s="2514"/>
      <c r="S270" s="2518"/>
      <c r="T270" s="2514"/>
      <c r="U270" s="2518"/>
      <c r="V270" s="2514"/>
      <c r="W270" s="2518"/>
      <c r="X270" s="2514"/>
    </row>
    <row r="271" spans="1:24" ht="14.4">
      <c r="A271" s="2518" t="str">
        <f>"12-01-2024 05:00"</f>
        <v>12-01-2024 05:00</v>
      </c>
      <c r="B271" s="2514">
        <v>0.17</v>
      </c>
      <c r="C271" s="2518" t="str">
        <f>"12-02-2024 04:00"</f>
        <v>12-02-2024 04:00</v>
      </c>
      <c r="D271" s="2514">
        <v>0.14000000000000001</v>
      </c>
      <c r="E271" s="2518" t="str">
        <f>"12-03-2024 04:00"</f>
        <v>12-03-2024 04:00</v>
      </c>
      <c r="F271" s="2514">
        <v>0.15</v>
      </c>
      <c r="G271" s="2518" t="str">
        <f>"12-04-2024 04:00"</f>
        <v>12-04-2024 04:00</v>
      </c>
      <c r="H271" s="2514">
        <v>0.16</v>
      </c>
      <c r="I271" s="2518"/>
      <c r="J271" s="2514"/>
      <c r="K271" s="2518"/>
      <c r="L271" s="2514"/>
      <c r="M271" s="2518"/>
      <c r="N271" s="2514"/>
      <c r="O271" s="2518"/>
      <c r="P271" s="2514"/>
      <c r="Q271" s="2518"/>
      <c r="R271" s="2514"/>
      <c r="S271" s="2518"/>
      <c r="T271" s="2514"/>
      <c r="U271" s="2518"/>
      <c r="V271" s="2514"/>
      <c r="W271" s="2518"/>
      <c r="X271" s="2514"/>
    </row>
    <row r="272" spans="1:24" ht="14.4">
      <c r="A272" s="2518" t="str">
        <f>"12-01-2024 06:00"</f>
        <v>12-01-2024 06:00</v>
      </c>
      <c r="B272" s="2514">
        <v>0.17</v>
      </c>
      <c r="C272" s="2518" t="str">
        <f>"12-02-2024 05:00"</f>
        <v>12-02-2024 05:00</v>
      </c>
      <c r="D272" s="2514">
        <v>0.13</v>
      </c>
      <c r="E272" s="2518" t="str">
        <f>"12-03-2024 05:00"</f>
        <v>12-03-2024 05:00</v>
      </c>
      <c r="F272" s="2514">
        <v>0.2</v>
      </c>
      <c r="G272" s="2518" t="str">
        <f>"12-04-2024 05:00"</f>
        <v>12-04-2024 05:00</v>
      </c>
      <c r="H272" s="2514">
        <v>0.23</v>
      </c>
      <c r="I272" s="2518"/>
      <c r="J272" s="2514"/>
      <c r="K272" s="2518"/>
      <c r="L272" s="2514"/>
      <c r="M272" s="2518"/>
      <c r="N272" s="2514"/>
      <c r="O272" s="2518"/>
      <c r="P272" s="2514"/>
      <c r="Q272" s="2518"/>
      <c r="R272" s="2514"/>
      <c r="S272" s="2518"/>
      <c r="T272" s="2514"/>
      <c r="U272" s="2518"/>
      <c r="V272" s="2514"/>
      <c r="W272" s="2518"/>
      <c r="X272" s="2514"/>
    </row>
    <row r="273" spans="1:24" ht="14.4">
      <c r="A273" s="2518" t="str">
        <f>"12-01-2024 07:00"</f>
        <v>12-01-2024 07:00</v>
      </c>
      <c r="B273" s="2514">
        <v>0.55000000000000004</v>
      </c>
      <c r="C273" s="2518" t="str">
        <f>"12-02-2024 06:00"</f>
        <v>12-02-2024 06:00</v>
      </c>
      <c r="D273" s="2514">
        <v>0.28000000000000003</v>
      </c>
      <c r="E273" s="2518" t="str">
        <f>"12-03-2024 06:00"</f>
        <v>12-03-2024 06:00</v>
      </c>
      <c r="F273" s="2514">
        <v>0.22</v>
      </c>
      <c r="G273" s="2518" t="str">
        <f>"12-04-2024 06:00"</f>
        <v>12-04-2024 06:00</v>
      </c>
      <c r="H273" s="2514">
        <v>0.13</v>
      </c>
      <c r="I273" s="2518"/>
      <c r="J273" s="2514"/>
      <c r="K273" s="2518"/>
      <c r="L273" s="2514"/>
      <c r="M273" s="2518"/>
      <c r="N273" s="2514"/>
      <c r="O273" s="2518"/>
      <c r="P273" s="2514"/>
      <c r="Q273" s="2518"/>
      <c r="R273" s="2514"/>
      <c r="S273" s="2518"/>
      <c r="T273" s="2514"/>
      <c r="U273" s="2518"/>
      <c r="V273" s="2514"/>
      <c r="W273" s="2518"/>
      <c r="X273" s="2514"/>
    </row>
    <row r="274" spans="1:24" ht="14.4">
      <c r="A274" s="2518" t="str">
        <f>"12-01-2024 08:00"</f>
        <v>12-01-2024 08:00</v>
      </c>
      <c r="B274" s="2514">
        <v>0.34</v>
      </c>
      <c r="C274" s="2518" t="str">
        <f>"12-02-2024 07:00"</f>
        <v>12-02-2024 07:00</v>
      </c>
      <c r="D274" s="2514">
        <v>0.3</v>
      </c>
      <c r="E274" s="2518" t="str">
        <f>"12-03-2024 07:00"</f>
        <v>12-03-2024 07:00</v>
      </c>
      <c r="F274" s="2514">
        <v>0.37</v>
      </c>
      <c r="G274" s="2518" t="str">
        <f>"12-04-2024 07:00"</f>
        <v>12-04-2024 07:00</v>
      </c>
      <c r="H274" s="2514">
        <v>0.26</v>
      </c>
      <c r="I274" s="2518"/>
      <c r="J274" s="2514"/>
      <c r="K274" s="2518"/>
      <c r="L274" s="2514"/>
      <c r="M274" s="2518"/>
      <c r="N274" s="2514"/>
      <c r="O274" s="2518"/>
      <c r="P274" s="2514"/>
      <c r="Q274" s="2518"/>
      <c r="R274" s="2514"/>
      <c r="S274" s="2518"/>
      <c r="T274" s="2514"/>
      <c r="U274" s="2518"/>
      <c r="V274" s="2514"/>
      <c r="W274" s="2518"/>
      <c r="X274" s="2514"/>
    </row>
    <row r="275" spans="1:24" ht="14.4">
      <c r="A275" s="2518" t="str">
        <f>"12-01-2024 09:00"</f>
        <v>12-01-2024 09:00</v>
      </c>
      <c r="B275" s="2514">
        <v>0.34</v>
      </c>
      <c r="C275" s="2518" t="str">
        <f>"12-02-2024 08:00"</f>
        <v>12-02-2024 08:00</v>
      </c>
      <c r="D275" s="2514">
        <v>0.56999999999999995</v>
      </c>
      <c r="E275" s="2518" t="str">
        <f>"12-03-2024 08:00"</f>
        <v>12-03-2024 08:00</v>
      </c>
      <c r="F275" s="2514">
        <v>0.32</v>
      </c>
      <c r="G275" s="2518" t="str">
        <f>"12-04-2024 08:00"</f>
        <v>12-04-2024 08:00</v>
      </c>
      <c r="H275" s="2514">
        <v>0.23</v>
      </c>
      <c r="I275" s="2518"/>
      <c r="J275" s="2514"/>
      <c r="K275" s="2518"/>
      <c r="L275" s="2514"/>
      <c r="M275" s="2518"/>
      <c r="N275" s="2514"/>
      <c r="O275" s="2518"/>
      <c r="P275" s="2514"/>
      <c r="Q275" s="2518"/>
      <c r="R275" s="2514"/>
      <c r="S275" s="2518"/>
      <c r="T275" s="2514"/>
      <c r="U275" s="2518"/>
      <c r="V275" s="2514"/>
      <c r="W275" s="2518"/>
      <c r="X275" s="2514"/>
    </row>
    <row r="276" spans="1:24" ht="14.4">
      <c r="A276" s="2518" t="str">
        <f>"12-01-2024 10:00"</f>
        <v>12-01-2024 10:00</v>
      </c>
      <c r="B276" s="2514">
        <v>0.3</v>
      </c>
      <c r="C276" s="2518" t="str">
        <f>"12-02-2024 09:00"</f>
        <v>12-02-2024 09:00</v>
      </c>
      <c r="D276" s="2514">
        <v>0.3</v>
      </c>
      <c r="E276" s="2518" t="str">
        <f>"12-03-2024 09:00"</f>
        <v>12-03-2024 09:00</v>
      </c>
      <c r="F276" s="2514">
        <v>0.36</v>
      </c>
      <c r="G276" s="2518" t="str">
        <f>"12-04-2024 09:00"</f>
        <v>12-04-2024 09:00</v>
      </c>
      <c r="H276" s="2514">
        <v>0.47</v>
      </c>
      <c r="I276" s="2518"/>
      <c r="J276" s="2514"/>
      <c r="K276" s="2518"/>
      <c r="L276" s="2514"/>
      <c r="M276" s="2518"/>
      <c r="N276" s="2514"/>
      <c r="O276" s="2518"/>
      <c r="P276" s="2514"/>
      <c r="Q276" s="2518"/>
      <c r="R276" s="2514"/>
      <c r="S276" s="2518"/>
      <c r="T276" s="2514"/>
      <c r="U276" s="2518"/>
      <c r="V276" s="2514"/>
      <c r="W276" s="2518"/>
      <c r="X276" s="2514"/>
    </row>
    <row r="277" spans="1:24" ht="14.4">
      <c r="A277" s="2518" t="str">
        <f>"12-01-2024 11:00"</f>
        <v>12-01-2024 11:00</v>
      </c>
      <c r="B277" s="2514">
        <v>0.89</v>
      </c>
      <c r="C277" s="2518" t="str">
        <f>"12-02-2024 10:00"</f>
        <v>12-02-2024 10:00</v>
      </c>
      <c r="D277" s="2514">
        <v>0.36</v>
      </c>
      <c r="E277" s="2518" t="str">
        <f>"12-03-2024 10:00"</f>
        <v>12-03-2024 10:00</v>
      </c>
      <c r="F277" s="2514">
        <v>0.38</v>
      </c>
      <c r="G277" s="2518" t="str">
        <f>"12-04-2024 10:00"</f>
        <v>12-04-2024 10:00</v>
      </c>
      <c r="H277" s="2514">
        <v>0.19</v>
      </c>
      <c r="I277" s="2518"/>
      <c r="J277" s="2514"/>
      <c r="K277" s="2518"/>
      <c r="L277" s="2514"/>
      <c r="M277" s="2518"/>
      <c r="N277" s="2514"/>
      <c r="O277" s="2518"/>
      <c r="P277" s="2514"/>
      <c r="Q277" s="2518"/>
      <c r="R277" s="2514"/>
      <c r="S277" s="2518"/>
      <c r="T277" s="2514"/>
      <c r="U277" s="2518"/>
      <c r="V277" s="2514"/>
      <c r="W277" s="2518"/>
      <c r="X277" s="2514"/>
    </row>
    <row r="278" spans="1:24" ht="14.4">
      <c r="A278" s="2518" t="str">
        <f>"12-01-2024 12:00"</f>
        <v>12-01-2024 12:00</v>
      </c>
      <c r="B278" s="2514">
        <v>1.04</v>
      </c>
      <c r="C278" s="2518" t="str">
        <f>"12-02-2024 11:00"</f>
        <v>12-02-2024 11:00</v>
      </c>
      <c r="D278" s="2514">
        <v>0.43</v>
      </c>
      <c r="E278" s="2518" t="str">
        <f>"12-03-2024 11:00"</f>
        <v>12-03-2024 11:00</v>
      </c>
      <c r="F278" s="2514">
        <v>0.22</v>
      </c>
      <c r="G278" s="2518" t="str">
        <f>"12-04-2024 11:00"</f>
        <v>12-04-2024 11:00</v>
      </c>
      <c r="H278" s="2514">
        <v>0.55000000000000004</v>
      </c>
      <c r="I278" s="2518"/>
      <c r="J278" s="2514"/>
      <c r="K278" s="2518"/>
      <c r="L278" s="2514"/>
      <c r="M278" s="2518"/>
      <c r="N278" s="2514"/>
      <c r="O278" s="2518"/>
      <c r="P278" s="2514"/>
      <c r="Q278" s="2518"/>
      <c r="R278" s="2514"/>
      <c r="S278" s="2518"/>
      <c r="T278" s="2514"/>
      <c r="U278" s="2518"/>
      <c r="V278" s="2514"/>
      <c r="W278" s="2518"/>
      <c r="X278" s="2514"/>
    </row>
    <row r="279" spans="1:24" ht="14.4">
      <c r="A279" s="2518" t="str">
        <f>"12-01-2024 13:00"</f>
        <v>12-01-2024 13:00</v>
      </c>
      <c r="B279" s="2514">
        <v>1</v>
      </c>
      <c r="C279" s="2518" t="str">
        <f>"12-02-2024 12:00"</f>
        <v>12-02-2024 12:00</v>
      </c>
      <c r="D279" s="2514">
        <v>0.48</v>
      </c>
      <c r="E279" s="2518" t="str">
        <f>"12-03-2024 12:00"</f>
        <v>12-03-2024 12:00</v>
      </c>
      <c r="F279" s="2514">
        <v>0.54</v>
      </c>
      <c r="G279" s="2518" t="str">
        <f>"12-04-2024 12:00"</f>
        <v>12-04-2024 12:00</v>
      </c>
      <c r="H279" s="2514">
        <v>0.46</v>
      </c>
      <c r="I279" s="2518"/>
      <c r="J279" s="2514"/>
      <c r="K279" s="2518"/>
      <c r="L279" s="2514"/>
      <c r="M279" s="2518"/>
      <c r="N279" s="2514"/>
      <c r="O279" s="2518"/>
      <c r="P279" s="2514"/>
      <c r="Q279" s="2518"/>
      <c r="R279" s="2514"/>
      <c r="S279" s="2518"/>
      <c r="T279" s="2514"/>
      <c r="U279" s="2518"/>
      <c r="V279" s="2514"/>
      <c r="W279" s="2518"/>
      <c r="X279" s="2514"/>
    </row>
    <row r="280" spans="1:24" ht="14.4">
      <c r="A280" s="2518" t="str">
        <f>"12-01-2024 14:00"</f>
        <v>12-01-2024 14:00</v>
      </c>
      <c r="B280" s="2514">
        <v>0.87</v>
      </c>
      <c r="C280" s="2518" t="str">
        <f>"12-02-2024 13:00"</f>
        <v>12-02-2024 13:00</v>
      </c>
      <c r="D280" s="2514">
        <v>0.43</v>
      </c>
      <c r="E280" s="2518" t="str">
        <f>"12-03-2024 13:00"</f>
        <v>12-03-2024 13:00</v>
      </c>
      <c r="F280" s="2514">
        <v>0.35</v>
      </c>
      <c r="G280" s="2518" t="str">
        <f>"12-04-2024 13:00"</f>
        <v>12-04-2024 13:00</v>
      </c>
      <c r="H280" s="2514">
        <v>0.28999999999999998</v>
      </c>
      <c r="I280" s="2518"/>
      <c r="J280" s="2514"/>
      <c r="K280" s="2518"/>
      <c r="L280" s="2514"/>
      <c r="M280" s="2518"/>
      <c r="N280" s="2514"/>
      <c r="O280" s="2518"/>
      <c r="P280" s="2514"/>
      <c r="Q280" s="2518"/>
      <c r="R280" s="2514"/>
      <c r="S280" s="2518"/>
      <c r="T280" s="2514"/>
      <c r="U280" s="2518"/>
      <c r="V280" s="2514"/>
      <c r="W280" s="2518"/>
      <c r="X280" s="2514"/>
    </row>
    <row r="281" spans="1:24" ht="14.4">
      <c r="A281" s="2518" t="str">
        <f>"12-01-2024 15:00"</f>
        <v>12-01-2024 15:00</v>
      </c>
      <c r="B281" s="2514">
        <v>0.15</v>
      </c>
      <c r="C281" s="2518" t="str">
        <f>"12-02-2024 14:00"</f>
        <v>12-02-2024 14:00</v>
      </c>
      <c r="D281" s="2514">
        <v>0.43</v>
      </c>
      <c r="E281" s="2518" t="str">
        <f>"12-03-2024 14:00"</f>
        <v>12-03-2024 14:00</v>
      </c>
      <c r="F281" s="2514">
        <v>0.26</v>
      </c>
      <c r="G281" s="2518" t="str">
        <f>"12-04-2024 14:00"</f>
        <v>12-04-2024 14:00</v>
      </c>
      <c r="H281" s="2514">
        <v>0.33</v>
      </c>
      <c r="I281" s="2518"/>
      <c r="J281" s="2514"/>
      <c r="K281" s="2518"/>
      <c r="L281" s="2514"/>
      <c r="M281" s="2518"/>
      <c r="N281" s="2514"/>
      <c r="O281" s="2518"/>
      <c r="P281" s="2514"/>
      <c r="Q281" s="2518"/>
      <c r="R281" s="2514"/>
      <c r="S281" s="2518"/>
      <c r="T281" s="2514"/>
      <c r="U281" s="2518"/>
      <c r="V281" s="2514"/>
      <c r="W281" s="2518"/>
      <c r="X281" s="2514"/>
    </row>
    <row r="282" spans="1:24" ht="14.4">
      <c r="A282" s="2518" t="str">
        <f>"12-01-2024 16:00"</f>
        <v>12-01-2024 16:00</v>
      </c>
      <c r="B282" s="2514">
        <v>1.74</v>
      </c>
      <c r="C282" s="2518" t="str">
        <f>"12-02-2024 15:00"</f>
        <v>12-02-2024 15:00</v>
      </c>
      <c r="D282" s="2514">
        <v>0.4</v>
      </c>
      <c r="E282" s="2518" t="str">
        <f>"12-03-2024 15:00"</f>
        <v>12-03-2024 15:00</v>
      </c>
      <c r="F282" s="2514">
        <v>0.4</v>
      </c>
      <c r="G282" s="2518" t="str">
        <f>"12-04-2024 15:00"</f>
        <v>12-04-2024 15:00</v>
      </c>
      <c r="H282" s="2514">
        <v>0.4</v>
      </c>
      <c r="I282" s="2518"/>
      <c r="J282" s="2514"/>
      <c r="K282" s="2518"/>
      <c r="L282" s="2514"/>
      <c r="M282" s="2518"/>
      <c r="N282" s="2514"/>
      <c r="O282" s="2518"/>
      <c r="P282" s="2514"/>
      <c r="Q282" s="2518"/>
      <c r="R282" s="2514"/>
      <c r="S282" s="2518"/>
      <c r="T282" s="2514"/>
      <c r="U282" s="2518"/>
      <c r="V282" s="2514"/>
      <c r="W282" s="2518"/>
      <c r="X282" s="2514"/>
    </row>
    <row r="283" spans="1:24" ht="14.4">
      <c r="A283" s="2518" t="str">
        <f>"12-01-2024 17:00"</f>
        <v>12-01-2024 17:00</v>
      </c>
      <c r="B283" s="2514">
        <v>1.1000000000000001</v>
      </c>
      <c r="C283" s="2518" t="str">
        <f>"12-02-2024 16:00"</f>
        <v>12-02-2024 16:00</v>
      </c>
      <c r="D283" s="2514">
        <v>0.44</v>
      </c>
      <c r="E283" s="2518" t="str">
        <f>"12-03-2024 16:00"</f>
        <v>12-03-2024 16:00</v>
      </c>
      <c r="F283" s="2514">
        <v>0.33</v>
      </c>
      <c r="G283" s="2518" t="str">
        <f>"12-04-2024 16:00"</f>
        <v>12-04-2024 16:00</v>
      </c>
      <c r="H283" s="2514">
        <v>0.48</v>
      </c>
      <c r="I283" s="2518"/>
      <c r="J283" s="2514"/>
      <c r="K283" s="2518"/>
      <c r="L283" s="2514"/>
      <c r="M283" s="2518"/>
      <c r="N283" s="2514"/>
      <c r="O283" s="2518"/>
      <c r="P283" s="2514"/>
      <c r="Q283" s="2518"/>
      <c r="R283" s="2514"/>
      <c r="S283" s="2518"/>
      <c r="T283" s="2514"/>
      <c r="U283" s="2518"/>
      <c r="V283" s="2514"/>
      <c r="W283" s="2518"/>
      <c r="X283" s="2514"/>
    </row>
    <row r="284" spans="1:24" ht="14.4">
      <c r="A284" s="2518" t="str">
        <f>"12-01-2024 18:00"</f>
        <v>12-01-2024 18:00</v>
      </c>
      <c r="B284" s="2514">
        <v>1.77</v>
      </c>
      <c r="C284" s="2518" t="str">
        <f>"12-02-2024 17:00"</f>
        <v>12-02-2024 17:00</v>
      </c>
      <c r="D284" s="2514">
        <v>0.51</v>
      </c>
      <c r="E284" s="2518" t="str">
        <f>"12-03-2024 17:00"</f>
        <v>12-03-2024 17:00</v>
      </c>
      <c r="F284" s="2514">
        <v>0.42</v>
      </c>
      <c r="G284" s="2518" t="str">
        <f>"12-04-2024 17:00"</f>
        <v>12-04-2024 17:00</v>
      </c>
      <c r="H284" s="2514">
        <v>0.75</v>
      </c>
      <c r="I284" s="2518"/>
      <c r="J284" s="2514"/>
      <c r="K284" s="2518"/>
      <c r="L284" s="2514"/>
      <c r="M284" s="2518"/>
      <c r="N284" s="2514"/>
      <c r="O284" s="2518"/>
      <c r="P284" s="2514"/>
      <c r="Q284" s="2518"/>
      <c r="R284" s="2514"/>
      <c r="S284" s="2518"/>
      <c r="T284" s="2514"/>
      <c r="U284" s="2518"/>
      <c r="V284" s="2514"/>
      <c r="W284" s="2518"/>
      <c r="X284" s="2514"/>
    </row>
    <row r="285" spans="1:24" ht="14.4">
      <c r="A285" s="2518" t="str">
        <f>"12-01-2024 19:00"</f>
        <v>12-01-2024 19:00</v>
      </c>
      <c r="B285" s="2514">
        <v>0.49</v>
      </c>
      <c r="C285" s="2518" t="str">
        <f>"12-02-2024 18:00"</f>
        <v>12-02-2024 18:00</v>
      </c>
      <c r="D285" s="2514">
        <v>0.39</v>
      </c>
      <c r="E285" s="2518" t="str">
        <f>"12-03-2024 18:00"</f>
        <v>12-03-2024 18:00</v>
      </c>
      <c r="F285" s="2514">
        <v>0.44</v>
      </c>
      <c r="G285" s="2518" t="str">
        <f>"12-04-2024 18:00"</f>
        <v>12-04-2024 18:00</v>
      </c>
      <c r="H285" s="2514">
        <v>0.33</v>
      </c>
      <c r="I285" s="2518"/>
      <c r="J285" s="2514"/>
      <c r="K285" s="2518"/>
      <c r="L285" s="2514"/>
      <c r="M285" s="2518"/>
      <c r="N285" s="2514"/>
      <c r="O285" s="2518"/>
      <c r="P285" s="2514"/>
      <c r="Q285" s="2518"/>
      <c r="R285" s="2514"/>
      <c r="S285" s="2518"/>
      <c r="T285" s="2514"/>
      <c r="U285" s="2518"/>
      <c r="V285" s="2514"/>
      <c r="W285" s="2518"/>
      <c r="X285" s="2514"/>
    </row>
    <row r="286" spans="1:24" ht="14.4">
      <c r="A286" s="2518" t="str">
        <f>"12-01-2024 20:00"</f>
        <v>12-01-2024 20:00</v>
      </c>
      <c r="B286" s="2514">
        <v>0.47</v>
      </c>
      <c r="C286" s="2518" t="str">
        <f>"12-02-2024 19:00"</f>
        <v>12-02-2024 19:00</v>
      </c>
      <c r="D286" s="2514">
        <v>0.43</v>
      </c>
      <c r="E286" s="2518" t="str">
        <f>"12-03-2024 19:00"</f>
        <v>12-03-2024 19:00</v>
      </c>
      <c r="F286" s="2514">
        <v>0.39</v>
      </c>
      <c r="G286" s="2518" t="str">
        <f>"12-04-2024 19:00"</f>
        <v>12-04-2024 19:00</v>
      </c>
      <c r="H286" s="2514">
        <v>0.39</v>
      </c>
      <c r="I286" s="2518"/>
      <c r="J286" s="2514"/>
      <c r="K286" s="2518"/>
      <c r="L286" s="2514"/>
      <c r="M286" s="2518"/>
      <c r="N286" s="2514"/>
      <c r="O286" s="2518"/>
      <c r="P286" s="2514"/>
      <c r="Q286" s="2518"/>
      <c r="R286" s="2514"/>
      <c r="S286" s="2518"/>
      <c r="T286" s="2514"/>
      <c r="U286" s="2518"/>
      <c r="V286" s="2514"/>
      <c r="W286" s="2518"/>
      <c r="X286" s="2514"/>
    </row>
    <row r="287" spans="1:24" ht="14.4">
      <c r="A287" s="2518" t="str">
        <f>"12-01-2024 21:00"</f>
        <v>12-01-2024 21:00</v>
      </c>
      <c r="B287" s="2514">
        <v>0.38</v>
      </c>
      <c r="C287" s="2518" t="str">
        <f>"12-02-2024 20:00"</f>
        <v>12-02-2024 20:00</v>
      </c>
      <c r="D287" s="2514">
        <v>0.47</v>
      </c>
      <c r="E287" s="2518" t="str">
        <f>"12-03-2024 20:00"</f>
        <v>12-03-2024 20:00</v>
      </c>
      <c r="F287" s="2514">
        <v>0.37</v>
      </c>
      <c r="G287" s="2518" t="str">
        <f>"12-04-2024 20:00"</f>
        <v>12-04-2024 20:00</v>
      </c>
      <c r="H287" s="2514">
        <v>0.39</v>
      </c>
      <c r="I287" s="2518"/>
      <c r="J287" s="2514"/>
      <c r="K287" s="2518"/>
      <c r="L287" s="2514"/>
      <c r="M287" s="2518"/>
      <c r="N287" s="2514"/>
      <c r="O287" s="2518"/>
      <c r="P287" s="2514"/>
      <c r="Q287" s="2518"/>
      <c r="R287" s="2514"/>
      <c r="S287" s="2518"/>
      <c r="T287" s="2514"/>
      <c r="U287" s="2518"/>
      <c r="V287" s="2514"/>
      <c r="W287" s="2518"/>
      <c r="X287" s="2514"/>
    </row>
    <row r="288" spans="1:24" ht="14.4">
      <c r="A288" s="2518" t="str">
        <f>"12-01-2024 22:00"</f>
        <v>12-01-2024 22:00</v>
      </c>
      <c r="B288" s="2514">
        <v>0.31</v>
      </c>
      <c r="C288" s="2518" t="str">
        <f>"12-02-2024 21:00"</f>
        <v>12-02-2024 21:00</v>
      </c>
      <c r="D288" s="2514">
        <v>0.34</v>
      </c>
      <c r="E288" s="2518" t="str">
        <f>"12-03-2024 21:00"</f>
        <v>12-03-2024 21:00</v>
      </c>
      <c r="F288" s="2514">
        <v>0.37</v>
      </c>
      <c r="G288" s="2518" t="str">
        <f>"12-04-2024 21:00"</f>
        <v>12-04-2024 21:00</v>
      </c>
      <c r="H288" s="2514">
        <v>0.47</v>
      </c>
      <c r="I288" s="2518"/>
      <c r="J288" s="2514"/>
      <c r="K288" s="2518"/>
      <c r="L288" s="2514"/>
      <c r="M288" s="2518"/>
      <c r="N288" s="2514"/>
      <c r="O288" s="2518"/>
      <c r="P288" s="2514"/>
      <c r="Q288" s="2518"/>
      <c r="R288" s="2514"/>
      <c r="S288" s="2518"/>
      <c r="T288" s="2514"/>
      <c r="U288" s="2518"/>
      <c r="V288" s="2514"/>
      <c r="W288" s="2518"/>
      <c r="X288" s="2514"/>
    </row>
    <row r="289" spans="1:24" ht="14.4">
      <c r="A289" s="2518" t="str">
        <f>"12-01-2024 23:00"</f>
        <v>12-01-2024 23:00</v>
      </c>
      <c r="B289" s="2514">
        <v>0.2</v>
      </c>
      <c r="C289" s="2518" t="str">
        <f>"12-02-2024 22:00"</f>
        <v>12-02-2024 22:00</v>
      </c>
      <c r="D289" s="2514">
        <v>0.18</v>
      </c>
      <c r="E289" s="2518" t="str">
        <f>"12-03-2024 22:00"</f>
        <v>12-03-2024 22:00</v>
      </c>
      <c r="F289" s="2514">
        <v>0.22</v>
      </c>
      <c r="G289" s="2518" t="str">
        <f>"12-04-2024 22:00"</f>
        <v>12-04-2024 22:00</v>
      </c>
      <c r="H289" s="2514">
        <v>0.31</v>
      </c>
      <c r="I289" s="2518"/>
      <c r="J289" s="2514"/>
      <c r="K289" s="2518"/>
      <c r="L289" s="2514"/>
      <c r="M289" s="2518"/>
      <c r="N289" s="2514"/>
      <c r="O289" s="2518"/>
      <c r="P289" s="2514"/>
      <c r="Q289" s="2518"/>
      <c r="R289" s="2514"/>
      <c r="S289" s="2518"/>
      <c r="T289" s="2514"/>
      <c r="U289" s="2518"/>
      <c r="V289" s="2514"/>
      <c r="W289" s="2518"/>
      <c r="X289" s="2514"/>
    </row>
    <row r="290" spans="1:24" s="2506" customFormat="1" ht="14.4">
      <c r="A290" s="2529" t="str">
        <f>"13-01-2024 00:00"</f>
        <v>13-01-2024 00:00</v>
      </c>
      <c r="B290" s="2521">
        <v>0.13</v>
      </c>
      <c r="C290" s="2529" t="str">
        <f>"12-02-2024 23:00"</f>
        <v>12-02-2024 23:00</v>
      </c>
      <c r="D290" s="2521">
        <v>0.16</v>
      </c>
      <c r="E290" s="2529" t="str">
        <f>"12-03-2024 23:00"</f>
        <v>12-03-2024 23:00</v>
      </c>
      <c r="F290" s="2521">
        <v>0.14000000000000001</v>
      </c>
      <c r="G290" s="2529" t="str">
        <f>"12-04-2024 23:00"</f>
        <v>12-04-2024 23:00</v>
      </c>
      <c r="H290" s="2521">
        <v>0.24</v>
      </c>
      <c r="I290" s="2529"/>
      <c r="J290" s="2521"/>
      <c r="K290" s="2529"/>
      <c r="L290" s="2521"/>
      <c r="M290" s="2529"/>
      <c r="N290" s="2521"/>
      <c r="O290" s="2529"/>
      <c r="P290" s="2521"/>
      <c r="Q290" s="2529"/>
      <c r="R290" s="2521"/>
      <c r="S290" s="2529"/>
      <c r="T290" s="2521"/>
      <c r="U290" s="2529"/>
      <c r="V290" s="2521"/>
      <c r="W290" s="2529"/>
      <c r="X290" s="2521"/>
    </row>
    <row r="291" spans="1:24" ht="14.4">
      <c r="A291" s="2522" t="str">
        <f>"13-01-2024 01:00"</f>
        <v>13-01-2024 01:00</v>
      </c>
      <c r="B291" s="2523">
        <v>0.14000000000000001</v>
      </c>
      <c r="C291" s="2522" t="str">
        <f>"13-02-2024 00:00"</f>
        <v>13-02-2024 00:00</v>
      </c>
      <c r="D291" s="2523">
        <v>0.13</v>
      </c>
      <c r="E291" s="2522" t="str">
        <f>"13-03-2024 00:00"</f>
        <v>13-03-2024 00:00</v>
      </c>
      <c r="F291" s="2523">
        <v>0.16</v>
      </c>
      <c r="G291" s="2522" t="str">
        <f>"13-04-2024 00:00"</f>
        <v>13-04-2024 00:00</v>
      </c>
      <c r="H291" s="2523">
        <v>0.16</v>
      </c>
      <c r="I291" s="2522"/>
      <c r="J291" s="2523"/>
      <c r="K291" s="2522"/>
      <c r="L291" s="2523"/>
      <c r="M291" s="2522"/>
      <c r="N291" s="2523"/>
      <c r="O291" s="2522"/>
      <c r="P291" s="2523"/>
      <c r="Q291" s="2522"/>
      <c r="R291" s="2523"/>
      <c r="S291" s="2522"/>
      <c r="T291" s="2523"/>
      <c r="U291" s="2522"/>
      <c r="V291" s="2523"/>
      <c r="W291" s="2522"/>
      <c r="X291" s="2523"/>
    </row>
    <row r="292" spans="1:24" ht="14.4">
      <c r="A292" s="2519" t="str">
        <f>"13-01-2024 02:00"</f>
        <v>13-01-2024 02:00</v>
      </c>
      <c r="B292" s="2514">
        <v>0.11</v>
      </c>
      <c r="C292" s="2519" t="str">
        <f>"13-02-2024 01:00"</f>
        <v>13-02-2024 01:00</v>
      </c>
      <c r="D292" s="2514">
        <v>0.14000000000000001</v>
      </c>
      <c r="E292" s="2519" t="str">
        <f>"13-03-2024 01:00"</f>
        <v>13-03-2024 01:00</v>
      </c>
      <c r="F292" s="2514">
        <v>0.13</v>
      </c>
      <c r="G292" s="2519" t="str">
        <f>"13-04-2024 01:00"</f>
        <v>13-04-2024 01:00</v>
      </c>
      <c r="H292" s="2514">
        <v>0.18</v>
      </c>
      <c r="I292" s="2519"/>
      <c r="J292" s="2514"/>
      <c r="K292" s="2519"/>
      <c r="L292" s="2514"/>
      <c r="M292" s="2519"/>
      <c r="N292" s="2514"/>
      <c r="O292" s="2519"/>
      <c r="P292" s="2514"/>
      <c r="Q292" s="2519"/>
      <c r="R292" s="2514"/>
      <c r="S292" s="2519"/>
      <c r="T292" s="2514"/>
      <c r="U292" s="2519"/>
      <c r="V292" s="2514"/>
      <c r="W292" s="2519"/>
      <c r="X292" s="2514"/>
    </row>
    <row r="293" spans="1:24" ht="14.4">
      <c r="A293" s="2519" t="str">
        <f>"13-01-2024 03:00"</f>
        <v>13-01-2024 03:00</v>
      </c>
      <c r="B293" s="2514">
        <v>0.13</v>
      </c>
      <c r="C293" s="2519" t="str">
        <f>"13-02-2024 02:00"</f>
        <v>13-02-2024 02:00</v>
      </c>
      <c r="D293" s="2514">
        <v>0.16</v>
      </c>
      <c r="E293" s="2519" t="str">
        <f>"13-03-2024 02:00"</f>
        <v>13-03-2024 02:00</v>
      </c>
      <c r="F293" s="2514">
        <v>0.22</v>
      </c>
      <c r="G293" s="2519" t="str">
        <f>"13-04-2024 02:00"</f>
        <v>13-04-2024 02:00</v>
      </c>
      <c r="H293" s="2514">
        <v>0.15</v>
      </c>
      <c r="I293" s="2519"/>
      <c r="J293" s="2514"/>
      <c r="K293" s="2519"/>
      <c r="L293" s="2514"/>
      <c r="M293" s="2519"/>
      <c r="N293" s="2514"/>
      <c r="O293" s="2519"/>
      <c r="P293" s="2514"/>
      <c r="Q293" s="2519"/>
      <c r="R293" s="2514"/>
      <c r="S293" s="2519"/>
      <c r="T293" s="2514"/>
      <c r="U293" s="2519"/>
      <c r="V293" s="2514"/>
      <c r="W293" s="2519"/>
      <c r="X293" s="2514"/>
    </row>
    <row r="294" spans="1:24" ht="14.4">
      <c r="A294" s="2519" t="str">
        <f>"13-01-2024 04:00"</f>
        <v>13-01-2024 04:00</v>
      </c>
      <c r="B294" s="2514">
        <v>0.13</v>
      </c>
      <c r="C294" s="2519" t="str">
        <f>"13-02-2024 03:00"</f>
        <v>13-02-2024 03:00</v>
      </c>
      <c r="D294" s="2514">
        <v>0.13</v>
      </c>
      <c r="E294" s="2519" t="str">
        <f>"13-03-2024 03:00"</f>
        <v>13-03-2024 03:00</v>
      </c>
      <c r="F294" s="2514">
        <v>0.18</v>
      </c>
      <c r="G294" s="2519" t="str">
        <f>"13-04-2024 03:00"</f>
        <v>13-04-2024 03:00</v>
      </c>
      <c r="H294" s="2514">
        <v>0.23</v>
      </c>
      <c r="I294" s="2519"/>
      <c r="J294" s="2514"/>
      <c r="K294" s="2519"/>
      <c r="L294" s="2514"/>
      <c r="M294" s="2519"/>
      <c r="N294" s="2514"/>
      <c r="O294" s="2519"/>
      <c r="P294" s="2514"/>
      <c r="Q294" s="2519"/>
      <c r="R294" s="2514"/>
      <c r="S294" s="2519"/>
      <c r="T294" s="2514"/>
      <c r="U294" s="2519"/>
      <c r="V294" s="2514"/>
      <c r="W294" s="2519"/>
      <c r="X294" s="2514"/>
    </row>
    <row r="295" spans="1:24" ht="14.4">
      <c r="A295" s="2519" t="str">
        <f>"13-01-2024 05:00"</f>
        <v>13-01-2024 05:00</v>
      </c>
      <c r="B295" s="2514">
        <v>0.11</v>
      </c>
      <c r="C295" s="2519" t="str">
        <f>"13-02-2024 04:00"</f>
        <v>13-02-2024 04:00</v>
      </c>
      <c r="D295" s="2514">
        <v>0.12</v>
      </c>
      <c r="E295" s="2519" t="str">
        <f>"13-03-2024 04:00"</f>
        <v>13-03-2024 04:00</v>
      </c>
      <c r="F295" s="2514">
        <v>0.12</v>
      </c>
      <c r="G295" s="2519" t="str">
        <f>"13-04-2024 04:00"</f>
        <v>13-04-2024 04:00</v>
      </c>
      <c r="H295" s="2514">
        <v>0.16</v>
      </c>
      <c r="I295" s="2519"/>
      <c r="J295" s="2514"/>
      <c r="K295" s="2519"/>
      <c r="L295" s="2514"/>
      <c r="M295" s="2519"/>
      <c r="N295" s="2514"/>
      <c r="O295" s="2519"/>
      <c r="P295" s="2514"/>
      <c r="Q295" s="2519"/>
      <c r="R295" s="2514"/>
      <c r="S295" s="2519"/>
      <c r="T295" s="2514"/>
      <c r="U295" s="2519"/>
      <c r="V295" s="2514"/>
      <c r="W295" s="2519"/>
      <c r="X295" s="2514"/>
    </row>
    <row r="296" spans="1:24" ht="14.4">
      <c r="A296" s="2519" t="str">
        <f>"13-01-2024 06:00"</f>
        <v>13-01-2024 06:00</v>
      </c>
      <c r="B296" s="2514">
        <v>0.12</v>
      </c>
      <c r="C296" s="2519" t="str">
        <f>"13-02-2024 05:00"</f>
        <v>13-02-2024 05:00</v>
      </c>
      <c r="D296" s="2514">
        <v>0.24</v>
      </c>
      <c r="E296" s="2519" t="str">
        <f>"13-03-2024 05:00"</f>
        <v>13-03-2024 05:00</v>
      </c>
      <c r="F296" s="2514">
        <v>0.16</v>
      </c>
      <c r="G296" s="2519" t="str">
        <f>"13-04-2024 05:00"</f>
        <v>13-04-2024 05:00</v>
      </c>
      <c r="H296" s="2514">
        <v>0.2</v>
      </c>
      <c r="I296" s="2519"/>
      <c r="J296" s="2514"/>
      <c r="K296" s="2519"/>
      <c r="L296" s="2514"/>
      <c r="M296" s="2519"/>
      <c r="N296" s="2514"/>
      <c r="O296" s="2519"/>
      <c r="P296" s="2514"/>
      <c r="Q296" s="2519"/>
      <c r="R296" s="2514"/>
      <c r="S296" s="2519"/>
      <c r="T296" s="2514"/>
      <c r="U296" s="2519"/>
      <c r="V296" s="2514"/>
      <c r="W296" s="2519"/>
      <c r="X296" s="2514"/>
    </row>
    <row r="297" spans="1:24" ht="14.4">
      <c r="A297" s="2519" t="str">
        <f>"13-01-2024 07:00"</f>
        <v>13-01-2024 07:00</v>
      </c>
      <c r="B297" s="2514">
        <v>0.14000000000000001</v>
      </c>
      <c r="C297" s="2519" t="str">
        <f>"13-02-2024 06:00"</f>
        <v>13-02-2024 06:00</v>
      </c>
      <c r="D297" s="2514">
        <v>0.36</v>
      </c>
      <c r="E297" s="2519" t="str">
        <f>"13-03-2024 06:00"</f>
        <v>13-03-2024 06:00</v>
      </c>
      <c r="F297" s="2514">
        <v>0.13</v>
      </c>
      <c r="G297" s="2519" t="str">
        <f>"13-04-2024 06:00"</f>
        <v>13-04-2024 06:00</v>
      </c>
      <c r="H297" s="2514">
        <v>0.14000000000000001</v>
      </c>
      <c r="I297" s="2519"/>
      <c r="J297" s="2514"/>
      <c r="K297" s="2519"/>
      <c r="L297" s="2514"/>
      <c r="M297" s="2519"/>
      <c r="N297" s="2514"/>
      <c r="O297" s="2519"/>
      <c r="P297" s="2514"/>
      <c r="Q297" s="2519"/>
      <c r="R297" s="2514"/>
      <c r="S297" s="2519"/>
      <c r="T297" s="2514"/>
      <c r="U297" s="2519"/>
      <c r="V297" s="2514"/>
      <c r="W297" s="2519"/>
      <c r="X297" s="2514"/>
    </row>
    <row r="298" spans="1:24" ht="14.4">
      <c r="A298" s="2519" t="str">
        <f>"13-01-2024 08:00"</f>
        <v>13-01-2024 08:00</v>
      </c>
      <c r="B298" s="2514">
        <v>0.14000000000000001</v>
      </c>
      <c r="C298" s="2519" t="str">
        <f>"13-02-2024 07:00"</f>
        <v>13-02-2024 07:00</v>
      </c>
      <c r="D298" s="2514">
        <v>0.36</v>
      </c>
      <c r="E298" s="2519" t="str">
        <f>"13-03-2024 07:00"</f>
        <v>13-03-2024 07:00</v>
      </c>
      <c r="F298" s="2514">
        <v>0.48</v>
      </c>
      <c r="G298" s="2519" t="str">
        <f>"13-04-2024 07:00"</f>
        <v>13-04-2024 07:00</v>
      </c>
      <c r="H298" s="2514">
        <v>0.65</v>
      </c>
      <c r="I298" s="2519"/>
      <c r="J298" s="2514"/>
      <c r="K298" s="2519"/>
      <c r="L298" s="2514"/>
      <c r="M298" s="2519"/>
      <c r="N298" s="2514"/>
      <c r="O298" s="2519"/>
      <c r="P298" s="2514"/>
      <c r="Q298" s="2519"/>
      <c r="R298" s="2514"/>
      <c r="S298" s="2519"/>
      <c r="T298" s="2514"/>
      <c r="U298" s="2519"/>
      <c r="V298" s="2514"/>
      <c r="W298" s="2519"/>
      <c r="X298" s="2514"/>
    </row>
    <row r="299" spans="1:24" ht="14.4">
      <c r="A299" s="2519" t="str">
        <f>"13-01-2024 09:00"</f>
        <v>13-01-2024 09:00</v>
      </c>
      <c r="B299" s="2514">
        <v>0.14000000000000001</v>
      </c>
      <c r="C299" s="2519" t="str">
        <f>"13-02-2024 08:00"</f>
        <v>13-02-2024 08:00</v>
      </c>
      <c r="D299" s="2514">
        <v>0.27</v>
      </c>
      <c r="E299" s="2519" t="str">
        <f>"13-03-2024 08:00"</f>
        <v>13-03-2024 08:00</v>
      </c>
      <c r="F299" s="2514">
        <v>0.52</v>
      </c>
      <c r="G299" s="2519" t="str">
        <f>"13-04-2024 08:00"</f>
        <v>13-04-2024 08:00</v>
      </c>
      <c r="H299" s="2514">
        <v>0.39</v>
      </c>
      <c r="I299" s="2519"/>
      <c r="J299" s="2514"/>
      <c r="K299" s="2519"/>
      <c r="L299" s="2514"/>
      <c r="M299" s="2519"/>
      <c r="N299" s="2514"/>
      <c r="O299" s="2519"/>
      <c r="P299" s="2514"/>
      <c r="Q299" s="2519"/>
      <c r="R299" s="2514"/>
      <c r="S299" s="2519"/>
      <c r="T299" s="2514"/>
      <c r="U299" s="2519"/>
      <c r="V299" s="2514"/>
      <c r="W299" s="2519"/>
      <c r="X299" s="2514"/>
    </row>
    <row r="300" spans="1:24" ht="14.4">
      <c r="A300" s="2519" t="str">
        <f>"13-01-2024 10:00"</f>
        <v>13-01-2024 10:00</v>
      </c>
      <c r="B300" s="2514">
        <v>0.28000000000000003</v>
      </c>
      <c r="C300" s="2519" t="str">
        <f>"13-02-2024 09:00"</f>
        <v>13-02-2024 09:00</v>
      </c>
      <c r="D300" s="2514">
        <v>0.32</v>
      </c>
      <c r="E300" s="2519" t="str">
        <f>"13-03-2024 09:00"</f>
        <v>13-03-2024 09:00</v>
      </c>
      <c r="F300" s="2514">
        <v>0.28000000000000003</v>
      </c>
      <c r="G300" s="2519" t="str">
        <f>"13-04-2024 09:00"</f>
        <v>13-04-2024 09:00</v>
      </c>
      <c r="H300" s="2514">
        <v>0.41</v>
      </c>
      <c r="I300" s="2519"/>
      <c r="J300" s="2514"/>
      <c r="K300" s="2519"/>
      <c r="L300" s="2514"/>
      <c r="M300" s="2519"/>
      <c r="N300" s="2514"/>
      <c r="O300" s="2519"/>
      <c r="P300" s="2514"/>
      <c r="Q300" s="2519"/>
      <c r="R300" s="2514"/>
      <c r="S300" s="2519"/>
      <c r="T300" s="2514"/>
      <c r="U300" s="2519"/>
      <c r="V300" s="2514"/>
      <c r="W300" s="2519"/>
      <c r="X300" s="2514"/>
    </row>
    <row r="301" spans="1:24" ht="14.4">
      <c r="A301" s="2519" t="str">
        <f>"13-01-2024 11:00"</f>
        <v>13-01-2024 11:00</v>
      </c>
      <c r="B301" s="2514">
        <v>0.36</v>
      </c>
      <c r="C301" s="2519" t="str">
        <f>"13-02-2024 10:00"</f>
        <v>13-02-2024 10:00</v>
      </c>
      <c r="D301" s="2514">
        <v>0.33</v>
      </c>
      <c r="E301" s="2519" t="str">
        <f>"13-03-2024 10:00"</f>
        <v>13-03-2024 10:00</v>
      </c>
      <c r="F301" s="2514">
        <v>0.38</v>
      </c>
      <c r="G301" s="2519" t="str">
        <f>"13-04-2024 10:00"</f>
        <v>13-04-2024 10:00</v>
      </c>
      <c r="H301" s="2514">
        <v>0.3</v>
      </c>
      <c r="I301" s="2519"/>
      <c r="J301" s="2514"/>
      <c r="K301" s="2519"/>
      <c r="L301" s="2514"/>
      <c r="M301" s="2519"/>
      <c r="N301" s="2514"/>
      <c r="O301" s="2519"/>
      <c r="P301" s="2514"/>
      <c r="Q301" s="2519"/>
      <c r="R301" s="2514"/>
      <c r="S301" s="2519"/>
      <c r="T301" s="2514"/>
      <c r="U301" s="2519"/>
      <c r="V301" s="2514"/>
      <c r="W301" s="2519"/>
      <c r="X301" s="2514"/>
    </row>
    <row r="302" spans="1:24" ht="14.4">
      <c r="A302" s="2519" t="str">
        <f>"13-01-2024 12:00"</f>
        <v>13-01-2024 12:00</v>
      </c>
      <c r="B302" s="2514">
        <v>0.56000000000000005</v>
      </c>
      <c r="C302" s="2519" t="str">
        <f>"13-02-2024 11:00"</f>
        <v>13-02-2024 11:00</v>
      </c>
      <c r="D302" s="2514">
        <v>0.32</v>
      </c>
      <c r="E302" s="2519" t="str">
        <f>"13-03-2024 11:00"</f>
        <v>13-03-2024 11:00</v>
      </c>
      <c r="F302" s="2514">
        <v>0.42</v>
      </c>
      <c r="G302" s="2519" t="str">
        <f>"13-04-2024 11:00"</f>
        <v>13-04-2024 11:00</v>
      </c>
      <c r="H302" s="2514">
        <v>0.69</v>
      </c>
      <c r="I302" s="2519"/>
      <c r="J302" s="2514"/>
      <c r="K302" s="2519"/>
      <c r="L302" s="2514"/>
      <c r="M302" s="2519"/>
      <c r="N302" s="2514"/>
      <c r="O302" s="2519"/>
      <c r="P302" s="2514"/>
      <c r="Q302" s="2519"/>
      <c r="R302" s="2514"/>
      <c r="S302" s="2519"/>
      <c r="T302" s="2514"/>
      <c r="U302" s="2519"/>
      <c r="V302" s="2514"/>
      <c r="W302" s="2519"/>
      <c r="X302" s="2514"/>
    </row>
    <row r="303" spans="1:24" ht="14.4">
      <c r="A303" s="2519" t="str">
        <f>"13-01-2024 13:00"</f>
        <v>13-01-2024 13:00</v>
      </c>
      <c r="B303" s="2514">
        <v>0.37</v>
      </c>
      <c r="C303" s="2519" t="str">
        <f>"13-02-2024 12:00"</f>
        <v>13-02-2024 12:00</v>
      </c>
      <c r="D303" s="2514">
        <v>0.39</v>
      </c>
      <c r="E303" s="2519" t="str">
        <f>"13-03-2024 12:00"</f>
        <v>13-03-2024 12:00</v>
      </c>
      <c r="F303" s="2514">
        <v>0.3</v>
      </c>
      <c r="G303" s="2519" t="str">
        <f>"13-04-2024 12:00"</f>
        <v>13-04-2024 12:00</v>
      </c>
      <c r="H303" s="2514">
        <v>0.67</v>
      </c>
      <c r="I303" s="2519"/>
      <c r="J303" s="2514"/>
      <c r="K303" s="2519"/>
      <c r="L303" s="2514"/>
      <c r="M303" s="2519"/>
      <c r="N303" s="2514"/>
      <c r="O303" s="2519"/>
      <c r="P303" s="2514"/>
      <c r="Q303" s="2519"/>
      <c r="R303" s="2514"/>
      <c r="S303" s="2519"/>
      <c r="T303" s="2514"/>
      <c r="U303" s="2519"/>
      <c r="V303" s="2514"/>
      <c r="W303" s="2519"/>
      <c r="X303" s="2514"/>
    </row>
    <row r="304" spans="1:24" ht="14.4">
      <c r="A304" s="2519" t="str">
        <f>"13-01-2024 14:00"</f>
        <v>13-01-2024 14:00</v>
      </c>
      <c r="B304" s="2514">
        <v>0.39</v>
      </c>
      <c r="C304" s="2519" t="str">
        <f>"13-02-2024 13:00"</f>
        <v>13-02-2024 13:00</v>
      </c>
      <c r="D304" s="2514">
        <v>0.46</v>
      </c>
      <c r="E304" s="2519" t="str">
        <f>"13-03-2024 13:00"</f>
        <v>13-03-2024 13:00</v>
      </c>
      <c r="F304" s="2514">
        <v>0.33</v>
      </c>
      <c r="G304" s="2519" t="str">
        <f>"13-04-2024 13:00"</f>
        <v>13-04-2024 13:00</v>
      </c>
      <c r="H304" s="2514">
        <v>1.41</v>
      </c>
      <c r="I304" s="2519"/>
      <c r="J304" s="2514"/>
      <c r="K304" s="2519"/>
      <c r="L304" s="2514"/>
      <c r="M304" s="2519"/>
      <c r="N304" s="2514"/>
      <c r="O304" s="2519"/>
      <c r="P304" s="2514"/>
      <c r="Q304" s="2519"/>
      <c r="R304" s="2514"/>
      <c r="S304" s="2519"/>
      <c r="T304" s="2514"/>
      <c r="U304" s="2519"/>
      <c r="V304" s="2514"/>
      <c r="W304" s="2519"/>
      <c r="X304" s="2514"/>
    </row>
    <row r="305" spans="1:24" ht="14.4">
      <c r="A305" s="2519" t="str">
        <f>"13-01-2024 15:00"</f>
        <v>13-01-2024 15:00</v>
      </c>
      <c r="B305" s="2514">
        <v>0.38</v>
      </c>
      <c r="C305" s="2519" t="str">
        <f>"13-02-2024 14:00"</f>
        <v>13-02-2024 14:00</v>
      </c>
      <c r="D305" s="2514">
        <v>0.34</v>
      </c>
      <c r="E305" s="2519" t="str">
        <f>"13-03-2024 14:00"</f>
        <v>13-03-2024 14:00</v>
      </c>
      <c r="F305" s="2514">
        <v>0.37</v>
      </c>
      <c r="G305" s="2519" t="str">
        <f>"13-04-2024 14:00"</f>
        <v>13-04-2024 14:00</v>
      </c>
      <c r="H305" s="2514">
        <v>1.4</v>
      </c>
      <c r="I305" s="2519"/>
      <c r="J305" s="2514"/>
      <c r="K305" s="2519"/>
      <c r="L305" s="2514"/>
      <c r="M305" s="2519"/>
      <c r="N305" s="2514"/>
      <c r="O305" s="2519"/>
      <c r="P305" s="2514"/>
      <c r="Q305" s="2519"/>
      <c r="R305" s="2514"/>
      <c r="S305" s="2519"/>
      <c r="T305" s="2514"/>
      <c r="U305" s="2519"/>
      <c r="V305" s="2514"/>
      <c r="W305" s="2519"/>
      <c r="X305" s="2514"/>
    </row>
    <row r="306" spans="1:24" ht="14.4">
      <c r="A306" s="2519" t="str">
        <f>"13-01-2024 16:00"</f>
        <v>13-01-2024 16:00</v>
      </c>
      <c r="B306" s="2514">
        <v>0.37</v>
      </c>
      <c r="C306" s="2519" t="str">
        <f>"13-02-2024 15:00"</f>
        <v>13-02-2024 15:00</v>
      </c>
      <c r="D306" s="2514">
        <v>0.28000000000000003</v>
      </c>
      <c r="E306" s="2519" t="str">
        <f>"13-03-2024 15:00"</f>
        <v>13-03-2024 15:00</v>
      </c>
      <c r="F306" s="2514">
        <v>0.33</v>
      </c>
      <c r="G306" s="2519" t="str">
        <f>"13-04-2024 15:00"</f>
        <v>13-04-2024 15:00</v>
      </c>
      <c r="H306" s="2514">
        <v>0.43</v>
      </c>
      <c r="I306" s="2519"/>
      <c r="J306" s="2514"/>
      <c r="K306" s="2519"/>
      <c r="L306" s="2514"/>
      <c r="M306" s="2519"/>
      <c r="N306" s="2514"/>
      <c r="O306" s="2519"/>
      <c r="P306" s="2514"/>
      <c r="Q306" s="2519"/>
      <c r="R306" s="2514"/>
      <c r="S306" s="2519"/>
      <c r="T306" s="2514"/>
      <c r="U306" s="2519"/>
      <c r="V306" s="2514"/>
      <c r="W306" s="2519"/>
      <c r="X306" s="2514"/>
    </row>
    <row r="307" spans="1:24" ht="14.4">
      <c r="A307" s="2519" t="str">
        <f>"13-01-2024 17:00"</f>
        <v>13-01-2024 17:00</v>
      </c>
      <c r="B307" s="2514">
        <v>0.33</v>
      </c>
      <c r="C307" s="2519" t="str">
        <f>"13-02-2024 16:00"</f>
        <v>13-02-2024 16:00</v>
      </c>
      <c r="D307" s="2514">
        <v>0.41</v>
      </c>
      <c r="E307" s="2519" t="str">
        <f>"13-03-2024 16:00"</f>
        <v>13-03-2024 16:00</v>
      </c>
      <c r="F307" s="2514">
        <v>0.52</v>
      </c>
      <c r="G307" s="2519" t="str">
        <f>"13-04-2024 16:00"</f>
        <v>13-04-2024 16:00</v>
      </c>
      <c r="H307" s="2514">
        <v>0.49</v>
      </c>
      <c r="I307" s="2519"/>
      <c r="J307" s="2514"/>
      <c r="K307" s="2519"/>
      <c r="L307" s="2514"/>
      <c r="M307" s="2519"/>
      <c r="N307" s="2514"/>
      <c r="O307" s="2519"/>
      <c r="P307" s="2514"/>
      <c r="Q307" s="2519"/>
      <c r="R307" s="2514"/>
      <c r="S307" s="2519"/>
      <c r="T307" s="2514"/>
      <c r="U307" s="2519"/>
      <c r="V307" s="2514"/>
      <c r="W307" s="2519"/>
      <c r="X307" s="2514"/>
    </row>
    <row r="308" spans="1:24" ht="14.4">
      <c r="A308" s="2519" t="str">
        <f>"13-01-2024 18:00"</f>
        <v>13-01-2024 18:00</v>
      </c>
      <c r="B308" s="2514">
        <v>0.47</v>
      </c>
      <c r="C308" s="2519" t="str">
        <f>"13-02-2024 17:00"</f>
        <v>13-02-2024 17:00</v>
      </c>
      <c r="D308" s="2514">
        <v>0.65</v>
      </c>
      <c r="E308" s="2519" t="str">
        <f>"13-03-2024 17:00"</f>
        <v>13-03-2024 17:00</v>
      </c>
      <c r="F308" s="2514">
        <v>1.53</v>
      </c>
      <c r="G308" s="2519" t="str">
        <f>"13-04-2024 17:00"</f>
        <v>13-04-2024 17:00</v>
      </c>
      <c r="H308" s="2514">
        <v>0.81</v>
      </c>
      <c r="I308" s="2519"/>
      <c r="J308" s="2514"/>
      <c r="K308" s="2519"/>
      <c r="L308" s="2514"/>
      <c r="M308" s="2519"/>
      <c r="N308" s="2514"/>
      <c r="O308" s="2519"/>
      <c r="P308" s="2514"/>
      <c r="Q308" s="2519"/>
      <c r="R308" s="2514"/>
      <c r="S308" s="2519"/>
      <c r="T308" s="2514"/>
      <c r="U308" s="2519"/>
      <c r="V308" s="2514"/>
      <c r="W308" s="2519"/>
      <c r="X308" s="2514"/>
    </row>
    <row r="309" spans="1:24" ht="14.4">
      <c r="A309" s="2519" t="str">
        <f>"13-01-2024 19:00"</f>
        <v>13-01-2024 19:00</v>
      </c>
      <c r="B309" s="2514">
        <v>0.33</v>
      </c>
      <c r="C309" s="2519" t="str">
        <f>"13-02-2024 18:00"</f>
        <v>13-02-2024 18:00</v>
      </c>
      <c r="D309" s="2514">
        <v>0.38</v>
      </c>
      <c r="E309" s="2519" t="str">
        <f>"13-03-2024 18:00"</f>
        <v>13-03-2024 18:00</v>
      </c>
      <c r="F309" s="2514">
        <v>0.42</v>
      </c>
      <c r="G309" s="2519" t="str">
        <f>"13-04-2024 18:00"</f>
        <v>13-04-2024 18:00</v>
      </c>
      <c r="H309" s="2514">
        <v>0.51</v>
      </c>
      <c r="I309" s="2519"/>
      <c r="J309" s="2514"/>
      <c r="K309" s="2519"/>
      <c r="L309" s="2514"/>
      <c r="M309" s="2519"/>
      <c r="N309" s="2514"/>
      <c r="O309" s="2519"/>
      <c r="P309" s="2514"/>
      <c r="Q309" s="2519"/>
      <c r="R309" s="2514"/>
      <c r="S309" s="2519"/>
      <c r="T309" s="2514"/>
      <c r="U309" s="2519"/>
      <c r="V309" s="2514"/>
      <c r="W309" s="2519"/>
      <c r="X309" s="2514"/>
    </row>
    <row r="310" spans="1:24" ht="14.4">
      <c r="A310" s="2519" t="str">
        <f>"13-01-2024 20:00"</f>
        <v>13-01-2024 20:00</v>
      </c>
      <c r="B310" s="2514">
        <v>0.37</v>
      </c>
      <c r="C310" s="2519" t="str">
        <f>"13-02-2024 19:00"</f>
        <v>13-02-2024 19:00</v>
      </c>
      <c r="D310" s="2514">
        <v>0.47</v>
      </c>
      <c r="E310" s="2519" t="str">
        <f>"13-03-2024 19:00"</f>
        <v>13-03-2024 19:00</v>
      </c>
      <c r="F310" s="2514">
        <v>0.33</v>
      </c>
      <c r="G310" s="2519" t="str">
        <f>"13-04-2024 19:00"</f>
        <v>13-04-2024 19:00</v>
      </c>
      <c r="H310" s="2514">
        <v>0.4</v>
      </c>
      <c r="I310" s="2519"/>
      <c r="J310" s="2514"/>
      <c r="K310" s="2519"/>
      <c r="L310" s="2514"/>
      <c r="M310" s="2519"/>
      <c r="N310" s="2514"/>
      <c r="O310" s="2519"/>
      <c r="P310" s="2514"/>
      <c r="Q310" s="2519"/>
      <c r="R310" s="2514"/>
      <c r="S310" s="2519"/>
      <c r="T310" s="2514"/>
      <c r="U310" s="2519"/>
      <c r="V310" s="2514"/>
      <c r="W310" s="2519"/>
      <c r="X310" s="2514"/>
    </row>
    <row r="311" spans="1:24" ht="14.4">
      <c r="A311" s="2519" t="str">
        <f>"13-01-2024 21:00"</f>
        <v>13-01-2024 21:00</v>
      </c>
      <c r="B311" s="2514">
        <v>0.41</v>
      </c>
      <c r="C311" s="2519" t="str">
        <f>"13-02-2024 20:00"</f>
        <v>13-02-2024 20:00</v>
      </c>
      <c r="D311" s="2514">
        <v>0.37</v>
      </c>
      <c r="E311" s="2519" t="str">
        <f>"13-03-2024 20:00"</f>
        <v>13-03-2024 20:00</v>
      </c>
      <c r="F311" s="2514">
        <v>0.48</v>
      </c>
      <c r="G311" s="2519" t="str">
        <f>"13-04-2024 20:00"</f>
        <v>13-04-2024 20:00</v>
      </c>
      <c r="H311" s="2514">
        <v>0.39</v>
      </c>
      <c r="I311" s="2519"/>
      <c r="J311" s="2514"/>
      <c r="K311" s="2519"/>
      <c r="L311" s="2514"/>
      <c r="M311" s="2519"/>
      <c r="N311" s="2514"/>
      <c r="O311" s="2519"/>
      <c r="P311" s="2514"/>
      <c r="Q311" s="2519"/>
      <c r="R311" s="2514"/>
      <c r="S311" s="2519"/>
      <c r="T311" s="2514"/>
      <c r="U311" s="2519"/>
      <c r="V311" s="2514"/>
      <c r="W311" s="2519"/>
      <c r="X311" s="2514"/>
    </row>
    <row r="312" spans="1:24" ht="14.4">
      <c r="A312" s="2519" t="str">
        <f>"13-01-2024 22:00"</f>
        <v>13-01-2024 22:00</v>
      </c>
      <c r="B312" s="2514">
        <v>0.35</v>
      </c>
      <c r="C312" s="2519" t="str">
        <f>"13-02-2024 21:00"</f>
        <v>13-02-2024 21:00</v>
      </c>
      <c r="D312" s="2514">
        <v>0.41</v>
      </c>
      <c r="E312" s="2519" t="str">
        <f>"13-03-2024 21:00"</f>
        <v>13-03-2024 21:00</v>
      </c>
      <c r="F312" s="2514">
        <v>0.38</v>
      </c>
      <c r="G312" s="2519" t="str">
        <f>"13-04-2024 21:00"</f>
        <v>13-04-2024 21:00</v>
      </c>
      <c r="H312" s="2514">
        <v>0.49</v>
      </c>
      <c r="I312" s="2519"/>
      <c r="J312" s="2514"/>
      <c r="K312" s="2519"/>
      <c r="L312" s="2514"/>
      <c r="M312" s="2519"/>
      <c r="N312" s="2514"/>
      <c r="O312" s="2519"/>
      <c r="P312" s="2514"/>
      <c r="Q312" s="2519"/>
      <c r="R312" s="2514"/>
      <c r="S312" s="2519"/>
      <c r="T312" s="2514"/>
      <c r="U312" s="2519"/>
      <c r="V312" s="2514"/>
      <c r="W312" s="2519"/>
      <c r="X312" s="2514"/>
    </row>
    <row r="313" spans="1:24" ht="14.4">
      <c r="A313" s="2519" t="str">
        <f>"13-01-2024 23:00"</f>
        <v>13-01-2024 23:00</v>
      </c>
      <c r="B313" s="2514">
        <v>0.19</v>
      </c>
      <c r="C313" s="2519" t="str">
        <f>"13-02-2024 22:00"</f>
        <v>13-02-2024 22:00</v>
      </c>
      <c r="D313" s="2514">
        <v>0.31</v>
      </c>
      <c r="E313" s="2519" t="str">
        <f>"13-03-2024 22:00"</f>
        <v>13-03-2024 22:00</v>
      </c>
      <c r="F313" s="2514">
        <v>0.38</v>
      </c>
      <c r="G313" s="2519" t="str">
        <f>"13-04-2024 22:00"</f>
        <v>13-04-2024 22:00</v>
      </c>
      <c r="H313" s="2514">
        <v>0.34</v>
      </c>
      <c r="I313" s="2519"/>
      <c r="J313" s="2514"/>
      <c r="K313" s="2519"/>
      <c r="L313" s="2514"/>
      <c r="M313" s="2519"/>
      <c r="N313" s="2514"/>
      <c r="O313" s="2519"/>
      <c r="P313" s="2514"/>
      <c r="Q313" s="2519"/>
      <c r="R313" s="2514"/>
      <c r="S313" s="2519"/>
      <c r="T313" s="2514"/>
      <c r="U313" s="2519"/>
      <c r="V313" s="2514"/>
      <c r="W313" s="2519"/>
      <c r="X313" s="2514"/>
    </row>
    <row r="314" spans="1:24" s="2506" customFormat="1" ht="14.4">
      <c r="A314" s="2520" t="str">
        <f>"14-01-2024 00:00"</f>
        <v>14-01-2024 00:00</v>
      </c>
      <c r="B314" s="2521">
        <v>0.14000000000000001</v>
      </c>
      <c r="C314" s="2520" t="str">
        <f>"13-02-2024 23:00"</f>
        <v>13-02-2024 23:00</v>
      </c>
      <c r="D314" s="2521">
        <v>0.28999999999999998</v>
      </c>
      <c r="E314" s="2520" t="str">
        <f>"13-03-2024 23:00"</f>
        <v>13-03-2024 23:00</v>
      </c>
      <c r="F314" s="2521">
        <v>0.23</v>
      </c>
      <c r="G314" s="2520" t="str">
        <f>"13-04-2024 23:00"</f>
        <v>13-04-2024 23:00</v>
      </c>
      <c r="H314" s="2521">
        <v>0.28000000000000003</v>
      </c>
      <c r="I314" s="2520"/>
      <c r="J314" s="2521"/>
      <c r="K314" s="2520"/>
      <c r="L314" s="2521"/>
      <c r="M314" s="2520"/>
      <c r="N314" s="2521"/>
      <c r="O314" s="2520"/>
      <c r="P314" s="2521"/>
      <c r="Q314" s="2520"/>
      <c r="R314" s="2521"/>
      <c r="S314" s="2520"/>
      <c r="T314" s="2521"/>
      <c r="U314" s="2520"/>
      <c r="V314" s="2521"/>
      <c r="W314" s="2520"/>
      <c r="X314" s="2521"/>
    </row>
    <row r="315" spans="1:24" ht="14.4">
      <c r="A315" s="2528" t="str">
        <f>"14-01-2024 01:00"</f>
        <v>14-01-2024 01:00</v>
      </c>
      <c r="B315" s="2523">
        <v>0.13</v>
      </c>
      <c r="C315" s="2528" t="str">
        <f>"14-02-2024 00:00"</f>
        <v>14-02-2024 00:00</v>
      </c>
      <c r="D315" s="2523">
        <v>0.16</v>
      </c>
      <c r="E315" s="2528" t="str">
        <f>"14-03-2024 00:00"</f>
        <v>14-03-2024 00:00</v>
      </c>
      <c r="F315" s="2523">
        <v>0.13</v>
      </c>
      <c r="G315" s="2528" t="str">
        <f>"14-04-2024 00:00"</f>
        <v>14-04-2024 00:00</v>
      </c>
      <c r="H315" s="2523">
        <v>0.18</v>
      </c>
      <c r="I315" s="2528"/>
      <c r="J315" s="2523"/>
      <c r="K315" s="2528"/>
      <c r="L315" s="2523"/>
      <c r="M315" s="2528"/>
      <c r="N315" s="2523"/>
      <c r="O315" s="2528"/>
      <c r="P315" s="2523"/>
      <c r="Q315" s="2528"/>
      <c r="R315" s="2523"/>
      <c r="S315" s="2528"/>
      <c r="T315" s="2523"/>
      <c r="U315" s="2528"/>
      <c r="V315" s="2523"/>
      <c r="W315" s="2528"/>
      <c r="X315" s="2523"/>
    </row>
    <row r="316" spans="1:24" ht="14.4">
      <c r="A316" s="2518" t="str">
        <f>"14-01-2024 02:00"</f>
        <v>14-01-2024 02:00</v>
      </c>
      <c r="B316" s="2514">
        <v>0.12</v>
      </c>
      <c r="C316" s="2518" t="str">
        <f>"14-02-2024 01:00"</f>
        <v>14-02-2024 01:00</v>
      </c>
      <c r="D316" s="2514">
        <v>0.14000000000000001</v>
      </c>
      <c r="E316" s="2518" t="str">
        <f>"14-03-2024 01:00"</f>
        <v>14-03-2024 01:00</v>
      </c>
      <c r="F316" s="2514">
        <v>0.16</v>
      </c>
      <c r="G316" s="2518" t="str">
        <f>"14-04-2024 01:00"</f>
        <v>14-04-2024 01:00</v>
      </c>
      <c r="H316" s="2514">
        <v>0.16</v>
      </c>
      <c r="I316" s="2518"/>
      <c r="J316" s="2514"/>
      <c r="K316" s="2518"/>
      <c r="L316" s="2514"/>
      <c r="M316" s="2518"/>
      <c r="N316" s="2514"/>
      <c r="O316" s="2518"/>
      <c r="P316" s="2514"/>
      <c r="Q316" s="2518"/>
      <c r="R316" s="2514"/>
      <c r="S316" s="2518"/>
      <c r="T316" s="2514"/>
      <c r="U316" s="2518"/>
      <c r="V316" s="2514"/>
      <c r="W316" s="2518"/>
      <c r="X316" s="2514"/>
    </row>
    <row r="317" spans="1:24" ht="14.4">
      <c r="A317" s="2518" t="str">
        <f>"14-01-2024 03:00"</f>
        <v>14-01-2024 03:00</v>
      </c>
      <c r="B317" s="2514">
        <v>0.14000000000000001</v>
      </c>
      <c r="C317" s="2518" t="str">
        <f>"14-02-2024 02:00"</f>
        <v>14-02-2024 02:00</v>
      </c>
      <c r="D317" s="2514">
        <v>0.15</v>
      </c>
      <c r="E317" s="2518" t="str">
        <f>"14-03-2024 02:00"</f>
        <v>14-03-2024 02:00</v>
      </c>
      <c r="F317" s="2514">
        <v>0.19</v>
      </c>
      <c r="G317" s="2518" t="str">
        <f>"14-04-2024 02:00"</f>
        <v>14-04-2024 02:00</v>
      </c>
      <c r="H317" s="2514">
        <v>0.19</v>
      </c>
      <c r="I317" s="2518"/>
      <c r="J317" s="2514"/>
      <c r="K317" s="2518"/>
      <c r="L317" s="2514"/>
      <c r="M317" s="2518"/>
      <c r="N317" s="2514"/>
      <c r="O317" s="2518"/>
      <c r="P317" s="2514"/>
      <c r="Q317" s="2518"/>
      <c r="R317" s="2514"/>
      <c r="S317" s="2518"/>
      <c r="T317" s="2514"/>
      <c r="U317" s="2518"/>
      <c r="V317" s="2514"/>
      <c r="W317" s="2518"/>
      <c r="X317" s="2514"/>
    </row>
    <row r="318" spans="1:24" ht="14.4">
      <c r="A318" s="2518" t="str">
        <f>"14-01-2024 04:00"</f>
        <v>14-01-2024 04:00</v>
      </c>
      <c r="B318" s="2514">
        <v>0.13</v>
      </c>
      <c r="C318" s="2518" t="str">
        <f>"14-02-2024 03:00"</f>
        <v>14-02-2024 03:00</v>
      </c>
      <c r="D318" s="2514">
        <v>0.13</v>
      </c>
      <c r="E318" s="2518" t="str">
        <f>"14-03-2024 03:00"</f>
        <v>14-03-2024 03:00</v>
      </c>
      <c r="F318" s="2514">
        <v>0.21</v>
      </c>
      <c r="G318" s="2518" t="str">
        <f>"14-04-2024 03:00"</f>
        <v>14-04-2024 03:00</v>
      </c>
      <c r="H318" s="2514">
        <v>0.21</v>
      </c>
      <c r="I318" s="2518"/>
      <c r="J318" s="2514"/>
      <c r="K318" s="2518"/>
      <c r="L318" s="2514"/>
      <c r="M318" s="2518"/>
      <c r="N318" s="2514"/>
      <c r="O318" s="2518"/>
      <c r="P318" s="2514"/>
      <c r="Q318" s="2518"/>
      <c r="R318" s="2514"/>
      <c r="S318" s="2518"/>
      <c r="T318" s="2514"/>
      <c r="U318" s="2518"/>
      <c r="V318" s="2514"/>
      <c r="W318" s="2518"/>
      <c r="X318" s="2514"/>
    </row>
    <row r="319" spans="1:24" ht="14.4">
      <c r="A319" s="2518" t="str">
        <f>"14-01-2024 05:00"</f>
        <v>14-01-2024 05:00</v>
      </c>
      <c r="B319" s="2514">
        <v>0.12</v>
      </c>
      <c r="C319" s="2518" t="str">
        <f>"14-02-2024 04:00"</f>
        <v>14-02-2024 04:00</v>
      </c>
      <c r="D319" s="2514">
        <v>0.13</v>
      </c>
      <c r="E319" s="2518" t="str">
        <f>"14-03-2024 04:00"</f>
        <v>14-03-2024 04:00</v>
      </c>
      <c r="F319" s="2514">
        <v>0.11</v>
      </c>
      <c r="G319" s="2518" t="str">
        <f>"14-04-2024 04:00"</f>
        <v>14-04-2024 04:00</v>
      </c>
      <c r="H319" s="2514">
        <v>0.21</v>
      </c>
      <c r="I319" s="2518"/>
      <c r="J319" s="2514"/>
      <c r="K319" s="2518"/>
      <c r="L319" s="2514"/>
      <c r="M319" s="2518"/>
      <c r="N319" s="2514"/>
      <c r="O319" s="2518"/>
      <c r="P319" s="2514"/>
      <c r="Q319" s="2518"/>
      <c r="R319" s="2514"/>
      <c r="S319" s="2518"/>
      <c r="T319" s="2514"/>
      <c r="U319" s="2518"/>
      <c r="V319" s="2514"/>
      <c r="W319" s="2518"/>
      <c r="X319" s="2514"/>
    </row>
    <row r="320" spans="1:24" ht="14.4">
      <c r="A320" s="2518" t="str">
        <f>"14-01-2024 06:00"</f>
        <v>14-01-2024 06:00</v>
      </c>
      <c r="B320" s="2514">
        <v>0.15</v>
      </c>
      <c r="C320" s="2518" t="str">
        <f>"14-02-2024 05:00"</f>
        <v>14-02-2024 05:00</v>
      </c>
      <c r="D320" s="2514">
        <v>0.16</v>
      </c>
      <c r="E320" s="2518" t="str">
        <f>"14-03-2024 05:00"</f>
        <v>14-03-2024 05:00</v>
      </c>
      <c r="F320" s="2514">
        <v>0.17</v>
      </c>
      <c r="G320" s="2518" t="str">
        <f>"14-04-2024 05:00"</f>
        <v>14-04-2024 05:00</v>
      </c>
      <c r="H320" s="2514">
        <v>0.16</v>
      </c>
      <c r="I320" s="2518"/>
      <c r="J320" s="2514"/>
      <c r="K320" s="2518"/>
      <c r="L320" s="2514"/>
      <c r="M320" s="2518"/>
      <c r="N320" s="2514"/>
      <c r="O320" s="2518"/>
      <c r="P320" s="2514"/>
      <c r="Q320" s="2518"/>
      <c r="R320" s="2514"/>
      <c r="S320" s="2518"/>
      <c r="T320" s="2514"/>
      <c r="U320" s="2518"/>
      <c r="V320" s="2514"/>
      <c r="W320" s="2518"/>
      <c r="X320" s="2514"/>
    </row>
    <row r="321" spans="1:24" ht="14.4">
      <c r="A321" s="2518" t="str">
        <f>"14-01-2024 07:00"</f>
        <v>14-01-2024 07:00</v>
      </c>
      <c r="B321" s="2514">
        <v>0.17</v>
      </c>
      <c r="C321" s="2518" t="str">
        <f>"14-02-2024 06:00"</f>
        <v>14-02-2024 06:00</v>
      </c>
      <c r="D321" s="2514">
        <v>0.15</v>
      </c>
      <c r="E321" s="2518" t="str">
        <f>"14-03-2024 06:00"</f>
        <v>14-03-2024 06:00</v>
      </c>
      <c r="F321" s="2514">
        <v>0.13</v>
      </c>
      <c r="G321" s="2518" t="str">
        <f>"14-04-2024 06:00"</f>
        <v>14-04-2024 06:00</v>
      </c>
      <c r="H321" s="2514">
        <v>0.2</v>
      </c>
      <c r="I321" s="2518"/>
      <c r="J321" s="2514"/>
      <c r="K321" s="2518"/>
      <c r="L321" s="2514"/>
      <c r="M321" s="2518"/>
      <c r="N321" s="2514"/>
      <c r="O321" s="2518"/>
      <c r="P321" s="2514"/>
      <c r="Q321" s="2518"/>
      <c r="R321" s="2514"/>
      <c r="S321" s="2518"/>
      <c r="T321" s="2514"/>
      <c r="U321" s="2518"/>
      <c r="V321" s="2514"/>
      <c r="W321" s="2518"/>
      <c r="X321" s="2514"/>
    </row>
    <row r="322" spans="1:24" ht="14.4">
      <c r="A322" s="2518" t="str">
        <f>"14-01-2024 08:00"</f>
        <v>14-01-2024 08:00</v>
      </c>
      <c r="B322" s="2514">
        <v>0.33</v>
      </c>
      <c r="C322" s="2518" t="str">
        <f>"14-02-2024 07:00"</f>
        <v>14-02-2024 07:00</v>
      </c>
      <c r="D322" s="2514">
        <v>0.21</v>
      </c>
      <c r="E322" s="2518" t="str">
        <f>"14-03-2024 07:00"</f>
        <v>14-03-2024 07:00</v>
      </c>
      <c r="F322" s="2514">
        <v>0.28999999999999998</v>
      </c>
      <c r="G322" s="2518" t="str">
        <f>"14-04-2024 07:00"</f>
        <v>14-04-2024 07:00</v>
      </c>
      <c r="H322" s="2514">
        <v>0.21</v>
      </c>
      <c r="I322" s="2518"/>
      <c r="J322" s="2514"/>
      <c r="K322" s="2518"/>
      <c r="L322" s="2514"/>
      <c r="M322" s="2518"/>
      <c r="N322" s="2514"/>
      <c r="O322" s="2518"/>
      <c r="P322" s="2514"/>
      <c r="Q322" s="2518"/>
      <c r="R322" s="2514"/>
      <c r="S322" s="2518"/>
      <c r="T322" s="2514"/>
      <c r="U322" s="2518"/>
      <c r="V322" s="2514"/>
      <c r="W322" s="2518"/>
      <c r="X322" s="2514"/>
    </row>
    <row r="323" spans="1:24" ht="14.4">
      <c r="A323" s="2518" t="str">
        <f>"14-01-2024 09:00"</f>
        <v>14-01-2024 09:00</v>
      </c>
      <c r="B323" s="2514">
        <v>0.34</v>
      </c>
      <c r="C323" s="2518" t="str">
        <f>"14-02-2024 08:00"</f>
        <v>14-02-2024 08:00</v>
      </c>
      <c r="D323" s="2514">
        <v>0.6</v>
      </c>
      <c r="E323" s="2518" t="str">
        <f>"14-03-2024 08:00"</f>
        <v>14-03-2024 08:00</v>
      </c>
      <c r="F323" s="2514">
        <v>0.68</v>
      </c>
      <c r="G323" s="2518" t="str">
        <f>"14-04-2024 08:00"</f>
        <v>14-04-2024 08:00</v>
      </c>
      <c r="H323" s="2514">
        <v>0.41</v>
      </c>
      <c r="I323" s="2518"/>
      <c r="J323" s="2514"/>
      <c r="K323" s="2518"/>
      <c r="L323" s="2514"/>
      <c r="M323" s="2518"/>
      <c r="N323" s="2514"/>
      <c r="O323" s="2518"/>
      <c r="P323" s="2514"/>
      <c r="Q323" s="2518"/>
      <c r="R323" s="2514"/>
      <c r="S323" s="2518"/>
      <c r="T323" s="2514"/>
      <c r="U323" s="2518"/>
      <c r="V323" s="2514"/>
      <c r="W323" s="2518"/>
      <c r="X323" s="2514"/>
    </row>
    <row r="324" spans="1:24" ht="14.4">
      <c r="A324" s="2518" t="str">
        <f>"14-01-2024 10:00"</f>
        <v>14-01-2024 10:00</v>
      </c>
      <c r="B324" s="2514">
        <v>0.36</v>
      </c>
      <c r="C324" s="2518" t="str">
        <f>"14-02-2024 09:00"</f>
        <v>14-02-2024 09:00</v>
      </c>
      <c r="D324" s="2514">
        <v>0.25</v>
      </c>
      <c r="E324" s="2518" t="str">
        <f>"14-03-2024 09:00"</f>
        <v>14-03-2024 09:00</v>
      </c>
      <c r="F324" s="2514">
        <v>0.3</v>
      </c>
      <c r="G324" s="2518" t="str">
        <f>"14-04-2024 09:00"</f>
        <v>14-04-2024 09:00</v>
      </c>
      <c r="H324" s="2514">
        <v>0.31</v>
      </c>
      <c r="I324" s="2518"/>
      <c r="J324" s="2514"/>
      <c r="K324" s="2518"/>
      <c r="L324" s="2514"/>
      <c r="M324" s="2518"/>
      <c r="N324" s="2514"/>
      <c r="O324" s="2518"/>
      <c r="P324" s="2514"/>
      <c r="Q324" s="2518"/>
      <c r="R324" s="2514"/>
      <c r="S324" s="2518"/>
      <c r="T324" s="2514"/>
      <c r="U324" s="2518"/>
      <c r="V324" s="2514"/>
      <c r="W324" s="2518"/>
      <c r="X324" s="2514"/>
    </row>
    <row r="325" spans="1:24" ht="14.4">
      <c r="A325" s="2518" t="str">
        <f>"14-01-2024 11:00"</f>
        <v>14-01-2024 11:00</v>
      </c>
      <c r="B325" s="2514">
        <v>0.56000000000000005</v>
      </c>
      <c r="C325" s="2518" t="str">
        <f>"14-02-2024 10:00"</f>
        <v>14-02-2024 10:00</v>
      </c>
      <c r="D325" s="2514">
        <v>0.25</v>
      </c>
      <c r="E325" s="2518" t="str">
        <f>"14-03-2024 10:00"</f>
        <v>14-03-2024 10:00</v>
      </c>
      <c r="F325" s="2514">
        <v>0.34</v>
      </c>
      <c r="G325" s="2518" t="str">
        <f>"14-04-2024 10:00"</f>
        <v>14-04-2024 10:00</v>
      </c>
      <c r="H325" s="2514">
        <v>0.36</v>
      </c>
      <c r="I325" s="2518"/>
      <c r="J325" s="2514"/>
      <c r="K325" s="2518"/>
      <c r="L325" s="2514"/>
      <c r="M325" s="2518"/>
      <c r="N325" s="2514"/>
      <c r="O325" s="2518"/>
      <c r="P325" s="2514"/>
      <c r="Q325" s="2518"/>
      <c r="R325" s="2514"/>
      <c r="S325" s="2518"/>
      <c r="T325" s="2514"/>
      <c r="U325" s="2518"/>
      <c r="V325" s="2514"/>
      <c r="W325" s="2518"/>
      <c r="X325" s="2514"/>
    </row>
    <row r="326" spans="1:24" ht="14.4">
      <c r="A326" s="2518" t="str">
        <f>"14-01-2024 12:00"</f>
        <v>14-01-2024 12:00</v>
      </c>
      <c r="B326" s="2514">
        <v>0.17</v>
      </c>
      <c r="C326" s="2518" t="str">
        <f>"14-02-2024 11:00"</f>
        <v>14-02-2024 11:00</v>
      </c>
      <c r="D326" s="2514">
        <v>0.27</v>
      </c>
      <c r="E326" s="2518" t="str">
        <f>"14-03-2024 11:00"</f>
        <v>14-03-2024 11:00</v>
      </c>
      <c r="F326" s="2514">
        <v>0.46</v>
      </c>
      <c r="G326" s="2518" t="str">
        <f>"14-04-2024 11:00"</f>
        <v>14-04-2024 11:00</v>
      </c>
      <c r="H326" s="2514">
        <v>1.1599999999999999</v>
      </c>
      <c r="I326" s="2518"/>
      <c r="J326" s="2514"/>
      <c r="K326" s="2518"/>
      <c r="L326" s="2514"/>
      <c r="M326" s="2518"/>
      <c r="N326" s="2514"/>
      <c r="O326" s="2518"/>
      <c r="P326" s="2514"/>
      <c r="Q326" s="2518"/>
      <c r="R326" s="2514"/>
      <c r="S326" s="2518"/>
      <c r="T326" s="2514"/>
      <c r="U326" s="2518"/>
      <c r="V326" s="2514"/>
      <c r="W326" s="2518"/>
      <c r="X326" s="2514"/>
    </row>
    <row r="327" spans="1:24" ht="14.4">
      <c r="A327" s="2518" t="str">
        <f>"14-01-2024 13:00"</f>
        <v>14-01-2024 13:00</v>
      </c>
      <c r="B327" s="2514">
        <v>0.23</v>
      </c>
      <c r="C327" s="2518" t="str">
        <f>"14-02-2024 12:00"</f>
        <v>14-02-2024 12:00</v>
      </c>
      <c r="D327" s="2514">
        <v>0.43</v>
      </c>
      <c r="E327" s="2518" t="str">
        <f>"14-03-2024 12:00"</f>
        <v>14-03-2024 12:00</v>
      </c>
      <c r="F327" s="2514">
        <v>0.39</v>
      </c>
      <c r="G327" s="2518" t="str">
        <f>"14-04-2024 12:00"</f>
        <v>14-04-2024 12:00</v>
      </c>
      <c r="H327" s="2514">
        <v>0.47</v>
      </c>
      <c r="I327" s="2518"/>
      <c r="J327" s="2514"/>
      <c r="K327" s="2518"/>
      <c r="L327" s="2514"/>
      <c r="M327" s="2518"/>
      <c r="N327" s="2514"/>
      <c r="O327" s="2518"/>
      <c r="P327" s="2514"/>
      <c r="Q327" s="2518"/>
      <c r="R327" s="2514"/>
      <c r="S327" s="2518"/>
      <c r="T327" s="2514"/>
      <c r="U327" s="2518"/>
      <c r="V327" s="2514"/>
      <c r="W327" s="2518"/>
      <c r="X327" s="2514"/>
    </row>
    <row r="328" spans="1:24" ht="14.4">
      <c r="A328" s="2518" t="str">
        <f>"14-01-2024 14:00"</f>
        <v>14-01-2024 14:00</v>
      </c>
      <c r="B328" s="2514">
        <v>0.37</v>
      </c>
      <c r="C328" s="2518" t="str">
        <f>"14-02-2024 13:00"</f>
        <v>14-02-2024 13:00</v>
      </c>
      <c r="D328" s="2514">
        <v>1.1499999999999999</v>
      </c>
      <c r="E328" s="2518" t="str">
        <f>"14-03-2024 13:00"</f>
        <v>14-03-2024 13:00</v>
      </c>
      <c r="F328" s="2514">
        <v>0.6</v>
      </c>
      <c r="G328" s="2518" t="str">
        <f>"14-04-2024 13:00"</f>
        <v>14-04-2024 13:00</v>
      </c>
      <c r="H328" s="2514">
        <v>1.46</v>
      </c>
      <c r="I328" s="2518"/>
      <c r="J328" s="2514"/>
      <c r="K328" s="2518"/>
      <c r="L328" s="2514"/>
      <c r="M328" s="2518"/>
      <c r="N328" s="2514"/>
      <c r="O328" s="2518"/>
      <c r="P328" s="2514"/>
      <c r="Q328" s="2518"/>
      <c r="R328" s="2514"/>
      <c r="S328" s="2518"/>
      <c r="T328" s="2514"/>
      <c r="U328" s="2518"/>
      <c r="V328" s="2514"/>
      <c r="W328" s="2518"/>
      <c r="X328" s="2514"/>
    </row>
    <row r="329" spans="1:24" ht="14.4">
      <c r="A329" s="2518" t="str">
        <f>"14-01-2024 15:00"</f>
        <v>14-01-2024 15:00</v>
      </c>
      <c r="B329" s="2514">
        <v>0.32</v>
      </c>
      <c r="C329" s="2518" t="str">
        <f>"14-02-2024 14:00"</f>
        <v>14-02-2024 14:00</v>
      </c>
      <c r="D329" s="2514">
        <v>0.52</v>
      </c>
      <c r="E329" s="2518" t="str">
        <f>"14-03-2024 14:00"</f>
        <v>14-03-2024 14:00</v>
      </c>
      <c r="F329" s="2514">
        <v>0.32</v>
      </c>
      <c r="G329" s="2518" t="str">
        <f>"14-04-2024 14:00"</f>
        <v>14-04-2024 14:00</v>
      </c>
      <c r="H329" s="2514">
        <v>1.34</v>
      </c>
      <c r="I329" s="2518"/>
      <c r="J329" s="2514"/>
      <c r="K329" s="2518"/>
      <c r="L329" s="2514"/>
      <c r="M329" s="2518"/>
      <c r="N329" s="2514"/>
      <c r="O329" s="2518"/>
      <c r="P329" s="2514"/>
      <c r="Q329" s="2518"/>
      <c r="R329" s="2514"/>
      <c r="S329" s="2518"/>
      <c r="T329" s="2514"/>
      <c r="U329" s="2518"/>
      <c r="V329" s="2514"/>
      <c r="W329" s="2518"/>
      <c r="X329" s="2514"/>
    </row>
    <row r="330" spans="1:24" ht="14.4">
      <c r="A330" s="2518" t="str">
        <f>"14-01-2024 16:00"</f>
        <v>14-01-2024 16:00</v>
      </c>
      <c r="B330" s="2514">
        <v>0.38</v>
      </c>
      <c r="C330" s="2518" t="str">
        <f>"14-02-2024 15:00"</f>
        <v>14-02-2024 15:00</v>
      </c>
      <c r="D330" s="2514">
        <v>2.2799999999999998</v>
      </c>
      <c r="E330" s="2518" t="str">
        <f>"14-03-2024 15:00"</f>
        <v>14-03-2024 15:00</v>
      </c>
      <c r="F330" s="2514">
        <v>0.38</v>
      </c>
      <c r="G330" s="2518" t="str">
        <f>"14-04-2024 15:00"</f>
        <v>14-04-2024 15:00</v>
      </c>
      <c r="H330" s="2514">
        <v>1.58</v>
      </c>
      <c r="I330" s="2518"/>
      <c r="J330" s="2514"/>
      <c r="K330" s="2518"/>
      <c r="L330" s="2514"/>
      <c r="M330" s="2518"/>
      <c r="N330" s="2514"/>
      <c r="O330" s="2518"/>
      <c r="P330" s="2514"/>
      <c r="Q330" s="2518"/>
      <c r="R330" s="2514"/>
      <c r="S330" s="2518"/>
      <c r="T330" s="2514"/>
      <c r="U330" s="2518"/>
      <c r="V330" s="2514"/>
      <c r="W330" s="2518"/>
      <c r="X330" s="2514"/>
    </row>
    <row r="331" spans="1:24" ht="14.4">
      <c r="A331" s="2518" t="str">
        <f>"14-01-2024 17:00"</f>
        <v>14-01-2024 17:00</v>
      </c>
      <c r="B331" s="2514">
        <v>0.32</v>
      </c>
      <c r="C331" s="2518" t="str">
        <f>"14-02-2024 16:00"</f>
        <v>14-02-2024 16:00</v>
      </c>
      <c r="D331" s="2514">
        <v>1.52</v>
      </c>
      <c r="E331" s="2518" t="str">
        <f>"14-03-2024 16:00"</f>
        <v>14-03-2024 16:00</v>
      </c>
      <c r="F331" s="2514">
        <v>0.42</v>
      </c>
      <c r="G331" s="2518" t="str">
        <f>"14-04-2024 16:00"</f>
        <v>14-04-2024 16:00</v>
      </c>
      <c r="H331" s="2514">
        <v>0.51</v>
      </c>
      <c r="I331" s="2518"/>
      <c r="J331" s="2514"/>
      <c r="K331" s="2518"/>
      <c r="L331" s="2514"/>
      <c r="M331" s="2518"/>
      <c r="N331" s="2514"/>
      <c r="O331" s="2518"/>
      <c r="P331" s="2514"/>
      <c r="Q331" s="2518"/>
      <c r="R331" s="2514"/>
      <c r="S331" s="2518"/>
      <c r="T331" s="2514"/>
      <c r="U331" s="2518"/>
      <c r="V331" s="2514"/>
      <c r="W331" s="2518"/>
      <c r="X331" s="2514"/>
    </row>
    <row r="332" spans="1:24" ht="14.4">
      <c r="A332" s="2518" t="str">
        <f>"14-01-2024 18:00"</f>
        <v>14-01-2024 18:00</v>
      </c>
      <c r="B332" s="2514">
        <v>0.7</v>
      </c>
      <c r="C332" s="2518" t="str">
        <f>"14-02-2024 17:00"</f>
        <v>14-02-2024 17:00</v>
      </c>
      <c r="D332" s="2514">
        <v>0.56999999999999995</v>
      </c>
      <c r="E332" s="2518" t="str">
        <f>"14-03-2024 17:00"</f>
        <v>14-03-2024 17:00</v>
      </c>
      <c r="F332" s="2514">
        <v>0.57999999999999996</v>
      </c>
      <c r="G332" s="2518" t="str">
        <f>"14-04-2024 17:00"</f>
        <v>14-04-2024 17:00</v>
      </c>
      <c r="H332" s="2514">
        <v>0.84</v>
      </c>
      <c r="I332" s="2518"/>
      <c r="J332" s="2514"/>
      <c r="K332" s="2518"/>
      <c r="L332" s="2514"/>
      <c r="M332" s="2518"/>
      <c r="N332" s="2514"/>
      <c r="O332" s="2518"/>
      <c r="P332" s="2514"/>
      <c r="Q332" s="2518"/>
      <c r="R332" s="2514"/>
      <c r="S332" s="2518"/>
      <c r="T332" s="2514"/>
      <c r="U332" s="2518"/>
      <c r="V332" s="2514"/>
      <c r="W332" s="2518"/>
      <c r="X332" s="2514"/>
    </row>
    <row r="333" spans="1:24" ht="14.4">
      <c r="A333" s="2518" t="str">
        <f>"14-01-2024 19:00"</f>
        <v>14-01-2024 19:00</v>
      </c>
      <c r="B333" s="2514">
        <v>0.41</v>
      </c>
      <c r="C333" s="2518" t="str">
        <f>"14-02-2024 18:00"</f>
        <v>14-02-2024 18:00</v>
      </c>
      <c r="D333" s="2514">
        <v>1.56</v>
      </c>
      <c r="E333" s="2518" t="str">
        <f>"14-03-2024 18:00"</f>
        <v>14-03-2024 18:00</v>
      </c>
      <c r="F333" s="2514">
        <v>0.37</v>
      </c>
      <c r="G333" s="2518" t="str">
        <f>"14-04-2024 18:00"</f>
        <v>14-04-2024 18:00</v>
      </c>
      <c r="H333" s="2514">
        <v>0.63</v>
      </c>
      <c r="I333" s="2518"/>
      <c r="J333" s="2514"/>
      <c r="K333" s="2518"/>
      <c r="L333" s="2514"/>
      <c r="M333" s="2518"/>
      <c r="N333" s="2514"/>
      <c r="O333" s="2518"/>
      <c r="P333" s="2514"/>
      <c r="Q333" s="2518"/>
      <c r="R333" s="2514"/>
      <c r="S333" s="2518"/>
      <c r="T333" s="2514"/>
      <c r="U333" s="2518"/>
      <c r="V333" s="2514"/>
      <c r="W333" s="2518"/>
      <c r="X333" s="2514"/>
    </row>
    <row r="334" spans="1:24" ht="14.4">
      <c r="A334" s="2518" t="str">
        <f>"14-01-2024 20:00"</f>
        <v>14-01-2024 20:00</v>
      </c>
      <c r="B334" s="2514">
        <v>0.33</v>
      </c>
      <c r="C334" s="2518" t="str">
        <f>"14-02-2024 19:00"</f>
        <v>14-02-2024 19:00</v>
      </c>
      <c r="D334" s="2514">
        <v>1.19</v>
      </c>
      <c r="E334" s="2518" t="str">
        <f>"14-03-2024 19:00"</f>
        <v>14-03-2024 19:00</v>
      </c>
      <c r="F334" s="2514">
        <v>0.34</v>
      </c>
      <c r="G334" s="2518" t="str">
        <f>"14-04-2024 19:00"</f>
        <v>14-04-2024 19:00</v>
      </c>
      <c r="H334" s="2514">
        <v>0.44</v>
      </c>
      <c r="I334" s="2518"/>
      <c r="J334" s="2514"/>
      <c r="K334" s="2518"/>
      <c r="L334" s="2514"/>
      <c r="M334" s="2518"/>
      <c r="N334" s="2514"/>
      <c r="O334" s="2518"/>
      <c r="P334" s="2514"/>
      <c r="Q334" s="2518"/>
      <c r="R334" s="2514"/>
      <c r="S334" s="2518"/>
      <c r="T334" s="2514"/>
      <c r="U334" s="2518"/>
      <c r="V334" s="2514"/>
      <c r="W334" s="2518"/>
      <c r="X334" s="2514"/>
    </row>
    <row r="335" spans="1:24" ht="14.4">
      <c r="A335" s="2518" t="str">
        <f>"14-01-2024 21:00"</f>
        <v>14-01-2024 21:00</v>
      </c>
      <c r="B335" s="2514">
        <v>0.36</v>
      </c>
      <c r="C335" s="2518" t="str">
        <f>"14-02-2024 20:00"</f>
        <v>14-02-2024 20:00</v>
      </c>
      <c r="D335" s="2514">
        <v>0.42</v>
      </c>
      <c r="E335" s="2518" t="str">
        <f>"14-03-2024 20:00"</f>
        <v>14-03-2024 20:00</v>
      </c>
      <c r="F335" s="2514">
        <v>0.45</v>
      </c>
      <c r="G335" s="2518" t="str">
        <f>"14-04-2024 20:00"</f>
        <v>14-04-2024 20:00</v>
      </c>
      <c r="H335" s="2514">
        <v>0.35</v>
      </c>
      <c r="I335" s="2518"/>
      <c r="J335" s="2514"/>
      <c r="K335" s="2518"/>
      <c r="L335" s="2514"/>
      <c r="M335" s="2518"/>
      <c r="N335" s="2514"/>
      <c r="O335" s="2518"/>
      <c r="P335" s="2514"/>
      <c r="Q335" s="2518"/>
      <c r="R335" s="2514"/>
      <c r="S335" s="2518"/>
      <c r="T335" s="2514"/>
      <c r="U335" s="2518"/>
      <c r="V335" s="2514"/>
      <c r="W335" s="2518"/>
      <c r="X335" s="2514"/>
    </row>
    <row r="336" spans="1:24" ht="14.4">
      <c r="A336" s="2518" t="str">
        <f>"14-01-2024 22:00"</f>
        <v>14-01-2024 22:00</v>
      </c>
      <c r="B336" s="2514">
        <v>0.36</v>
      </c>
      <c r="C336" s="2518" t="str">
        <f>"14-02-2024 21:00"</f>
        <v>14-02-2024 21:00</v>
      </c>
      <c r="D336" s="2514">
        <v>0.41</v>
      </c>
      <c r="E336" s="2518" t="str">
        <f>"14-03-2024 21:00"</f>
        <v>14-03-2024 21:00</v>
      </c>
      <c r="F336" s="2514">
        <v>0.4</v>
      </c>
      <c r="G336" s="2518" t="str">
        <f>"14-04-2024 21:00"</f>
        <v>14-04-2024 21:00</v>
      </c>
      <c r="H336" s="2514">
        <v>0.5</v>
      </c>
      <c r="I336" s="2518"/>
      <c r="J336" s="2514"/>
      <c r="K336" s="2518"/>
      <c r="L336" s="2514"/>
      <c r="M336" s="2518"/>
      <c r="N336" s="2514"/>
      <c r="O336" s="2518"/>
      <c r="P336" s="2514"/>
      <c r="Q336" s="2518"/>
      <c r="R336" s="2514"/>
      <c r="S336" s="2518"/>
      <c r="T336" s="2514"/>
      <c r="U336" s="2518"/>
      <c r="V336" s="2514"/>
      <c r="W336" s="2518"/>
      <c r="X336" s="2514"/>
    </row>
    <row r="337" spans="1:24" ht="14.4">
      <c r="A337" s="2518" t="str">
        <f>"14-01-2024 23:00"</f>
        <v>14-01-2024 23:00</v>
      </c>
      <c r="B337" s="2514">
        <v>0.28000000000000003</v>
      </c>
      <c r="C337" s="2518" t="str">
        <f>"14-02-2024 22:00"</f>
        <v>14-02-2024 22:00</v>
      </c>
      <c r="D337" s="2514">
        <v>0.28999999999999998</v>
      </c>
      <c r="E337" s="2518" t="str">
        <f>"14-03-2024 22:00"</f>
        <v>14-03-2024 22:00</v>
      </c>
      <c r="F337" s="2514">
        <v>0.19</v>
      </c>
      <c r="G337" s="2518" t="str">
        <f>"14-04-2024 22:00"</f>
        <v>14-04-2024 22:00</v>
      </c>
      <c r="H337" s="2514">
        <v>0.39</v>
      </c>
      <c r="I337" s="2518"/>
      <c r="J337" s="2514"/>
      <c r="K337" s="2518"/>
      <c r="L337" s="2514"/>
      <c r="M337" s="2518"/>
      <c r="N337" s="2514"/>
      <c r="O337" s="2518"/>
      <c r="P337" s="2514"/>
      <c r="Q337" s="2518"/>
      <c r="R337" s="2514"/>
      <c r="S337" s="2518"/>
      <c r="T337" s="2514"/>
      <c r="U337" s="2518"/>
      <c r="V337" s="2514"/>
      <c r="W337" s="2518"/>
      <c r="X337" s="2514"/>
    </row>
    <row r="338" spans="1:24" s="2506" customFormat="1" ht="14.4">
      <c r="A338" s="2529" t="str">
        <f>"15-01-2024 00:00"</f>
        <v>15-01-2024 00:00</v>
      </c>
      <c r="B338" s="2521">
        <v>0.13</v>
      </c>
      <c r="C338" s="2529" t="str">
        <f>"14-02-2024 23:00"</f>
        <v>14-02-2024 23:00</v>
      </c>
      <c r="D338" s="2521">
        <v>0.18</v>
      </c>
      <c r="E338" s="2529" t="str">
        <f>"14-03-2024 23:00"</f>
        <v>14-03-2024 23:00</v>
      </c>
      <c r="F338" s="2521">
        <v>0.16</v>
      </c>
      <c r="G338" s="2529" t="str">
        <f>"14-04-2024 23:00"</f>
        <v>14-04-2024 23:00</v>
      </c>
      <c r="H338" s="2521">
        <v>0.21</v>
      </c>
      <c r="I338" s="2529"/>
      <c r="J338" s="2521"/>
      <c r="K338" s="2529"/>
      <c r="L338" s="2521"/>
      <c r="M338" s="2529"/>
      <c r="N338" s="2521"/>
      <c r="O338" s="2529"/>
      <c r="P338" s="2521"/>
      <c r="Q338" s="2529"/>
      <c r="R338" s="2521"/>
      <c r="S338" s="2529"/>
      <c r="T338" s="2521"/>
      <c r="U338" s="2529"/>
      <c r="V338" s="2521"/>
      <c r="W338" s="2529"/>
      <c r="X338" s="2521"/>
    </row>
    <row r="339" spans="1:24" ht="14.4">
      <c r="A339" s="2522" t="str">
        <f>"15-01-2024 01:00"</f>
        <v>15-01-2024 01:00</v>
      </c>
      <c r="B339" s="2523">
        <v>0.12</v>
      </c>
      <c r="C339" s="2522" t="str">
        <f>"15-02-2024 00:00"</f>
        <v>15-02-2024 00:00</v>
      </c>
      <c r="D339" s="2523">
        <v>0.27</v>
      </c>
      <c r="E339" s="2522" t="str">
        <f>"15-03-2024 00:00"</f>
        <v>15-03-2024 00:00</v>
      </c>
      <c r="F339" s="2523">
        <v>0.21</v>
      </c>
      <c r="G339" s="2522" t="str">
        <f>"15-04-2024 00:00"</f>
        <v>15-04-2024 00:00</v>
      </c>
      <c r="H339" s="2523">
        <v>0.22</v>
      </c>
      <c r="I339" s="2522"/>
      <c r="J339" s="2523"/>
      <c r="K339" s="2522"/>
      <c r="L339" s="2523"/>
      <c r="M339" s="2522"/>
      <c r="N339" s="2523"/>
      <c r="O339" s="2522"/>
      <c r="P339" s="2523"/>
      <c r="Q339" s="2522"/>
      <c r="R339" s="2523"/>
      <c r="S339" s="2522"/>
      <c r="T339" s="2523"/>
      <c r="U339" s="2522"/>
      <c r="V339" s="2523"/>
      <c r="W339" s="2522"/>
      <c r="X339" s="2523"/>
    </row>
    <row r="340" spans="1:24" ht="14.4">
      <c r="A340" s="2519" t="str">
        <f>"15-01-2024 02:00"</f>
        <v>15-01-2024 02:00</v>
      </c>
      <c r="B340" s="2514">
        <v>0.22</v>
      </c>
      <c r="C340" s="2519" t="str">
        <f>"15-02-2024 01:00"</f>
        <v>15-02-2024 01:00</v>
      </c>
      <c r="D340" s="2514">
        <v>0.19</v>
      </c>
      <c r="E340" s="2519" t="str">
        <f>"15-03-2024 01:00"</f>
        <v>15-03-2024 01:00</v>
      </c>
      <c r="F340" s="2514">
        <v>0.16</v>
      </c>
      <c r="G340" s="2519" t="str">
        <f>"15-04-2024 01:00"</f>
        <v>15-04-2024 01:00</v>
      </c>
      <c r="H340" s="2514">
        <v>0.14000000000000001</v>
      </c>
      <c r="I340" s="2519"/>
      <c r="J340" s="2514"/>
      <c r="K340" s="2519"/>
      <c r="L340" s="2514"/>
      <c r="M340" s="2519"/>
      <c r="N340" s="2514"/>
      <c r="O340" s="2519"/>
      <c r="P340" s="2514"/>
      <c r="Q340" s="2519"/>
      <c r="R340" s="2514"/>
      <c r="S340" s="2519"/>
      <c r="T340" s="2514"/>
      <c r="U340" s="2519"/>
      <c r="V340" s="2514"/>
      <c r="W340" s="2519"/>
      <c r="X340" s="2514"/>
    </row>
    <row r="341" spans="1:24" ht="14.4">
      <c r="A341" s="2519" t="str">
        <f>"15-01-2024 03:00"</f>
        <v>15-01-2024 03:00</v>
      </c>
      <c r="B341" s="2514">
        <v>0.18</v>
      </c>
      <c r="C341" s="2519" t="str">
        <f>"15-02-2024 02:00"</f>
        <v>15-02-2024 02:00</v>
      </c>
      <c r="D341" s="2514">
        <v>0.17</v>
      </c>
      <c r="E341" s="2519" t="str">
        <f>"15-03-2024 02:00"</f>
        <v>15-03-2024 02:00</v>
      </c>
      <c r="F341" s="2514">
        <v>0.14000000000000001</v>
      </c>
      <c r="G341" s="2519" t="str">
        <f>"15-04-2024 02:00"</f>
        <v>15-04-2024 02:00</v>
      </c>
      <c r="H341" s="2514">
        <v>0.23</v>
      </c>
      <c r="I341" s="2519"/>
      <c r="J341" s="2514"/>
      <c r="K341" s="2519"/>
      <c r="L341" s="2514"/>
      <c r="M341" s="2519"/>
      <c r="N341" s="2514"/>
      <c r="O341" s="2519"/>
      <c r="P341" s="2514"/>
      <c r="Q341" s="2519"/>
      <c r="R341" s="2514"/>
      <c r="S341" s="2519"/>
      <c r="T341" s="2514"/>
      <c r="U341" s="2519"/>
      <c r="V341" s="2514"/>
      <c r="W341" s="2519"/>
      <c r="X341" s="2514"/>
    </row>
    <row r="342" spans="1:24" ht="14.4">
      <c r="A342" s="2519" t="str">
        <f>"15-01-2024 04:00"</f>
        <v>15-01-2024 04:00</v>
      </c>
      <c r="B342" s="2514">
        <v>0.18</v>
      </c>
      <c r="C342" s="2519" t="str">
        <f>"15-02-2024 03:00"</f>
        <v>15-02-2024 03:00</v>
      </c>
      <c r="D342" s="2514">
        <v>0.2</v>
      </c>
      <c r="E342" s="2519" t="str">
        <f>"15-03-2024 03:00"</f>
        <v>15-03-2024 03:00</v>
      </c>
      <c r="F342" s="2514">
        <v>0.21</v>
      </c>
      <c r="G342" s="2519" t="str">
        <f>"15-04-2024 03:00"</f>
        <v>15-04-2024 03:00</v>
      </c>
      <c r="H342" s="2514">
        <v>0.17</v>
      </c>
      <c r="I342" s="2519"/>
      <c r="J342" s="2514"/>
      <c r="K342" s="2519"/>
      <c r="L342" s="2514"/>
      <c r="M342" s="2519"/>
      <c r="N342" s="2514"/>
      <c r="O342" s="2519"/>
      <c r="P342" s="2514"/>
      <c r="Q342" s="2519"/>
      <c r="R342" s="2514"/>
      <c r="S342" s="2519"/>
      <c r="T342" s="2514"/>
      <c r="U342" s="2519"/>
      <c r="V342" s="2514"/>
      <c r="W342" s="2519"/>
      <c r="X342" s="2514"/>
    </row>
    <row r="343" spans="1:24" ht="14.4">
      <c r="A343" s="2519" t="str">
        <f>"15-01-2024 05:00"</f>
        <v>15-01-2024 05:00</v>
      </c>
      <c r="B343" s="2514">
        <v>0.13</v>
      </c>
      <c r="C343" s="2519" t="str">
        <f>"15-02-2024 04:00"</f>
        <v>15-02-2024 04:00</v>
      </c>
      <c r="D343" s="2514">
        <v>0.16</v>
      </c>
      <c r="E343" s="2519" t="str">
        <f>"15-03-2024 04:00"</f>
        <v>15-03-2024 04:00</v>
      </c>
      <c r="F343" s="2514">
        <v>0.21</v>
      </c>
      <c r="G343" s="2519" t="str">
        <f>"15-04-2024 04:00"</f>
        <v>15-04-2024 04:00</v>
      </c>
      <c r="H343" s="2514">
        <v>0.21</v>
      </c>
      <c r="I343" s="2519"/>
      <c r="J343" s="2514"/>
      <c r="K343" s="2519"/>
      <c r="L343" s="2514"/>
      <c r="M343" s="2519"/>
      <c r="N343" s="2514"/>
      <c r="O343" s="2519"/>
      <c r="P343" s="2514"/>
      <c r="Q343" s="2519"/>
      <c r="R343" s="2514"/>
      <c r="S343" s="2519"/>
      <c r="T343" s="2514"/>
      <c r="U343" s="2519"/>
      <c r="V343" s="2514"/>
      <c r="W343" s="2519"/>
      <c r="X343" s="2514"/>
    </row>
    <row r="344" spans="1:24" ht="14.4">
      <c r="A344" s="2519" t="str">
        <f>"15-01-2024 06:00"</f>
        <v>15-01-2024 06:00</v>
      </c>
      <c r="B344" s="2514">
        <v>0.08</v>
      </c>
      <c r="C344" s="2519" t="str">
        <f>"15-02-2024 05:00"</f>
        <v>15-02-2024 05:00</v>
      </c>
      <c r="D344" s="2514">
        <v>0.12</v>
      </c>
      <c r="E344" s="2519" t="str">
        <f>"15-03-2024 05:00"</f>
        <v>15-03-2024 05:00</v>
      </c>
      <c r="F344" s="2514">
        <v>0.26</v>
      </c>
      <c r="G344" s="2519" t="str">
        <f>"15-04-2024 05:00"</f>
        <v>15-04-2024 05:00</v>
      </c>
      <c r="H344" s="2514">
        <v>0.13</v>
      </c>
      <c r="I344" s="2519"/>
      <c r="J344" s="2514"/>
      <c r="K344" s="2519"/>
      <c r="L344" s="2514"/>
      <c r="M344" s="2519"/>
      <c r="N344" s="2514"/>
      <c r="O344" s="2519"/>
      <c r="P344" s="2514"/>
      <c r="Q344" s="2519"/>
      <c r="R344" s="2514"/>
      <c r="S344" s="2519"/>
      <c r="T344" s="2514"/>
      <c r="U344" s="2519"/>
      <c r="V344" s="2514"/>
      <c r="W344" s="2519"/>
      <c r="X344" s="2514"/>
    </row>
    <row r="345" spans="1:24" ht="14.4">
      <c r="A345" s="2519" t="str">
        <f>"15-01-2024 07:00"</f>
        <v>15-01-2024 07:00</v>
      </c>
      <c r="B345" s="2514">
        <v>0.15</v>
      </c>
      <c r="C345" s="2519" t="str">
        <f>"15-02-2024 06:00"</f>
        <v>15-02-2024 06:00</v>
      </c>
      <c r="D345" s="2514">
        <v>0.25</v>
      </c>
      <c r="E345" s="2519" t="str">
        <f>"15-03-2024 06:00"</f>
        <v>15-03-2024 06:00</v>
      </c>
      <c r="F345" s="2514">
        <v>0.22</v>
      </c>
      <c r="G345" s="2519" t="str">
        <f>"15-04-2024 06:00"</f>
        <v>15-04-2024 06:00</v>
      </c>
      <c r="H345" s="2514">
        <v>0.22</v>
      </c>
      <c r="I345" s="2519"/>
      <c r="J345" s="2514"/>
      <c r="K345" s="2519"/>
      <c r="L345" s="2514"/>
      <c r="M345" s="2519"/>
      <c r="N345" s="2514"/>
      <c r="O345" s="2519"/>
      <c r="P345" s="2514"/>
      <c r="Q345" s="2519"/>
      <c r="R345" s="2514"/>
      <c r="S345" s="2519"/>
      <c r="T345" s="2514"/>
      <c r="U345" s="2519"/>
      <c r="V345" s="2514"/>
      <c r="W345" s="2519"/>
      <c r="X345" s="2514"/>
    </row>
    <row r="346" spans="1:24" ht="14.4">
      <c r="A346" s="2519" t="str">
        <f>"15-01-2024 08:00"</f>
        <v>15-01-2024 08:00</v>
      </c>
      <c r="B346" s="2514">
        <v>0.15</v>
      </c>
      <c r="C346" s="2519" t="str">
        <f>"15-02-2024 07:00"</f>
        <v>15-02-2024 07:00</v>
      </c>
      <c r="D346" s="2514">
        <v>0.56999999999999995</v>
      </c>
      <c r="E346" s="2519" t="str">
        <f>"15-03-2024 07:00"</f>
        <v>15-03-2024 07:00</v>
      </c>
      <c r="F346" s="2514">
        <v>0.28000000000000003</v>
      </c>
      <c r="G346" s="2519" t="str">
        <f>"15-04-2024 07:00"</f>
        <v>15-04-2024 07:00</v>
      </c>
      <c r="H346" s="2514">
        <v>0.17</v>
      </c>
      <c r="I346" s="2519"/>
      <c r="J346" s="2514"/>
      <c r="K346" s="2519"/>
      <c r="L346" s="2514"/>
      <c r="M346" s="2519"/>
      <c r="N346" s="2514"/>
      <c r="O346" s="2519"/>
      <c r="P346" s="2514"/>
      <c r="Q346" s="2519"/>
      <c r="R346" s="2514"/>
      <c r="S346" s="2519"/>
      <c r="T346" s="2514"/>
      <c r="U346" s="2519"/>
      <c r="V346" s="2514"/>
      <c r="W346" s="2519"/>
      <c r="X346" s="2514"/>
    </row>
    <row r="347" spans="1:24" ht="14.4">
      <c r="A347" s="2519" t="str">
        <f>"15-01-2024 09:00"</f>
        <v>15-01-2024 09:00</v>
      </c>
      <c r="B347" s="2514">
        <v>0.2</v>
      </c>
      <c r="C347" s="2519" t="str">
        <f>"15-02-2024 08:00"</f>
        <v>15-02-2024 08:00</v>
      </c>
      <c r="D347" s="2514">
        <v>0.37</v>
      </c>
      <c r="E347" s="2519" t="str">
        <f>"15-03-2024 08:00"</f>
        <v>15-03-2024 08:00</v>
      </c>
      <c r="F347" s="2514">
        <v>0.14000000000000001</v>
      </c>
      <c r="G347" s="2519" t="str">
        <f>"15-04-2024 08:00"</f>
        <v>15-04-2024 08:00</v>
      </c>
      <c r="H347" s="2514">
        <v>0.48</v>
      </c>
      <c r="I347" s="2519"/>
      <c r="J347" s="2514"/>
      <c r="K347" s="2519"/>
      <c r="L347" s="2514"/>
      <c r="M347" s="2519"/>
      <c r="N347" s="2514"/>
      <c r="O347" s="2519"/>
      <c r="P347" s="2514"/>
      <c r="Q347" s="2519"/>
      <c r="R347" s="2514"/>
      <c r="S347" s="2519"/>
      <c r="T347" s="2514"/>
      <c r="U347" s="2519"/>
      <c r="V347" s="2514"/>
      <c r="W347" s="2519"/>
      <c r="X347" s="2514"/>
    </row>
    <row r="348" spans="1:24" ht="14.4">
      <c r="A348" s="2519" t="str">
        <f>"15-01-2024 10:00"</f>
        <v>15-01-2024 10:00</v>
      </c>
      <c r="B348" s="2514">
        <v>0.4</v>
      </c>
      <c r="C348" s="2519" t="str">
        <f>"15-02-2024 09:00"</f>
        <v>15-02-2024 09:00</v>
      </c>
      <c r="D348" s="2514">
        <v>0.38</v>
      </c>
      <c r="E348" s="2519" t="str">
        <f>"15-03-2024 09:00"</f>
        <v>15-03-2024 09:00</v>
      </c>
      <c r="F348" s="2514">
        <v>0.23</v>
      </c>
      <c r="G348" s="2519" t="str">
        <f>"15-04-2024 09:00"</f>
        <v>15-04-2024 09:00</v>
      </c>
      <c r="H348" s="2514">
        <v>0.32</v>
      </c>
      <c r="I348" s="2519"/>
      <c r="J348" s="2514"/>
      <c r="K348" s="2519"/>
      <c r="L348" s="2514"/>
      <c r="M348" s="2519"/>
      <c r="N348" s="2514"/>
      <c r="O348" s="2519"/>
      <c r="P348" s="2514"/>
      <c r="Q348" s="2519"/>
      <c r="R348" s="2514"/>
      <c r="S348" s="2519"/>
      <c r="T348" s="2514"/>
      <c r="U348" s="2519"/>
      <c r="V348" s="2514"/>
      <c r="W348" s="2519"/>
      <c r="X348" s="2514"/>
    </row>
    <row r="349" spans="1:24" ht="14.4">
      <c r="A349" s="2519" t="str">
        <f>"15-01-2024 11:00"</f>
        <v>15-01-2024 11:00</v>
      </c>
      <c r="B349" s="2514">
        <v>0.27</v>
      </c>
      <c r="C349" s="2519" t="str">
        <f>"15-02-2024 10:00"</f>
        <v>15-02-2024 10:00</v>
      </c>
      <c r="D349" s="2514">
        <v>0.36</v>
      </c>
      <c r="E349" s="2519" t="str">
        <f>"15-03-2024 10:00"</f>
        <v>15-03-2024 10:00</v>
      </c>
      <c r="F349" s="2514">
        <v>0.35</v>
      </c>
      <c r="G349" s="2519" t="str">
        <f>"15-04-2024 10:00"</f>
        <v>15-04-2024 10:00</v>
      </c>
      <c r="H349" s="2514">
        <v>0.55000000000000004</v>
      </c>
      <c r="I349" s="2519"/>
      <c r="J349" s="2514"/>
      <c r="K349" s="2519"/>
      <c r="L349" s="2514"/>
      <c r="M349" s="2519"/>
      <c r="N349" s="2514"/>
      <c r="O349" s="2519"/>
      <c r="P349" s="2514"/>
      <c r="Q349" s="2519"/>
      <c r="R349" s="2514"/>
      <c r="S349" s="2519"/>
      <c r="T349" s="2514"/>
      <c r="U349" s="2519"/>
      <c r="V349" s="2514"/>
      <c r="W349" s="2519"/>
      <c r="X349" s="2514"/>
    </row>
    <row r="350" spans="1:24" ht="14.4">
      <c r="A350" s="2519" t="str">
        <f>"15-01-2024 12:00"</f>
        <v>15-01-2024 12:00</v>
      </c>
      <c r="B350" s="2514">
        <v>0.46</v>
      </c>
      <c r="C350" s="2519" t="str">
        <f>"15-02-2024 11:00"</f>
        <v>15-02-2024 11:00</v>
      </c>
      <c r="D350" s="2514">
        <v>0.22</v>
      </c>
      <c r="E350" s="2519" t="str">
        <f>"15-03-2024 11:00"</f>
        <v>15-03-2024 11:00</v>
      </c>
      <c r="F350" s="2514">
        <v>0.31</v>
      </c>
      <c r="G350" s="2519" t="str">
        <f>"15-04-2024 11:00"</f>
        <v>15-04-2024 11:00</v>
      </c>
      <c r="H350" s="2514">
        <v>0.23</v>
      </c>
      <c r="I350" s="2519"/>
      <c r="J350" s="2514"/>
      <c r="K350" s="2519"/>
      <c r="L350" s="2514"/>
      <c r="M350" s="2519"/>
      <c r="N350" s="2514"/>
      <c r="O350" s="2519"/>
      <c r="P350" s="2514"/>
      <c r="Q350" s="2519"/>
      <c r="R350" s="2514"/>
      <c r="S350" s="2519"/>
      <c r="T350" s="2514"/>
      <c r="U350" s="2519"/>
      <c r="V350" s="2514"/>
      <c r="W350" s="2519"/>
      <c r="X350" s="2514"/>
    </row>
    <row r="351" spans="1:24" ht="14.4">
      <c r="A351" s="2519" t="str">
        <f>"15-01-2024 13:00"</f>
        <v>15-01-2024 13:00</v>
      </c>
      <c r="B351" s="2514">
        <v>0.39</v>
      </c>
      <c r="C351" s="2519" t="str">
        <f>"15-02-2024 12:00"</f>
        <v>15-02-2024 12:00</v>
      </c>
      <c r="D351" s="2514">
        <v>0.56999999999999995</v>
      </c>
      <c r="E351" s="2519" t="str">
        <f>"15-03-2024 12:00"</f>
        <v>15-03-2024 12:00</v>
      </c>
      <c r="F351" s="2514">
        <v>0.33</v>
      </c>
      <c r="G351" s="2519" t="str">
        <f>"15-04-2024 12:00"</f>
        <v>15-04-2024 12:00</v>
      </c>
      <c r="H351" s="2514">
        <v>0.21</v>
      </c>
      <c r="I351" s="2519"/>
      <c r="J351" s="2514"/>
      <c r="K351" s="2519"/>
      <c r="L351" s="2514"/>
      <c r="M351" s="2519"/>
      <c r="N351" s="2514"/>
      <c r="O351" s="2519"/>
      <c r="P351" s="2514"/>
      <c r="Q351" s="2519"/>
      <c r="R351" s="2514"/>
      <c r="S351" s="2519"/>
      <c r="T351" s="2514"/>
      <c r="U351" s="2519"/>
      <c r="V351" s="2514"/>
      <c r="W351" s="2519"/>
      <c r="X351" s="2514"/>
    </row>
    <row r="352" spans="1:24" ht="14.4">
      <c r="A352" s="2519" t="str">
        <f>"15-01-2024 14:00"</f>
        <v>15-01-2024 14:00</v>
      </c>
      <c r="B352" s="2514">
        <v>0.28000000000000003</v>
      </c>
      <c r="C352" s="2519" t="str">
        <f>"15-02-2024 13:00"</f>
        <v>15-02-2024 13:00</v>
      </c>
      <c r="D352" s="2514">
        <v>0.37</v>
      </c>
      <c r="E352" s="2519" t="str">
        <f>"15-03-2024 13:00"</f>
        <v>15-03-2024 13:00</v>
      </c>
      <c r="F352" s="2514">
        <v>0.44</v>
      </c>
      <c r="G352" s="2519" t="str">
        <f>"15-04-2024 13:00"</f>
        <v>15-04-2024 13:00</v>
      </c>
      <c r="H352" s="2514">
        <v>0.25</v>
      </c>
      <c r="I352" s="2519"/>
      <c r="J352" s="2514"/>
      <c r="K352" s="2519"/>
      <c r="L352" s="2514"/>
      <c r="M352" s="2519"/>
      <c r="N352" s="2514"/>
      <c r="O352" s="2519"/>
      <c r="P352" s="2514"/>
      <c r="Q352" s="2519"/>
      <c r="R352" s="2514"/>
      <c r="S352" s="2519"/>
      <c r="T352" s="2514"/>
      <c r="U352" s="2519"/>
      <c r="V352" s="2514"/>
      <c r="W352" s="2519"/>
      <c r="X352" s="2514"/>
    </row>
    <row r="353" spans="1:24" ht="14.4">
      <c r="A353" s="2519" t="str">
        <f>"15-01-2024 15:00"</f>
        <v>15-01-2024 15:00</v>
      </c>
      <c r="B353" s="2514">
        <v>0.33</v>
      </c>
      <c r="C353" s="2519" t="str">
        <f>"15-02-2024 14:00"</f>
        <v>15-02-2024 14:00</v>
      </c>
      <c r="D353" s="2514">
        <v>0.33</v>
      </c>
      <c r="E353" s="2519" t="str">
        <f>"15-03-2024 14:00"</f>
        <v>15-03-2024 14:00</v>
      </c>
      <c r="F353" s="2514">
        <v>0.77</v>
      </c>
      <c r="G353" s="2519" t="str">
        <f>"15-04-2024 14:00"</f>
        <v>15-04-2024 14:00</v>
      </c>
      <c r="H353" s="2514">
        <v>0.46</v>
      </c>
      <c r="I353" s="2519"/>
      <c r="J353" s="2514"/>
      <c r="K353" s="2519"/>
      <c r="L353" s="2514"/>
      <c r="M353" s="2519"/>
      <c r="N353" s="2514"/>
      <c r="O353" s="2519"/>
      <c r="P353" s="2514"/>
      <c r="Q353" s="2519"/>
      <c r="R353" s="2514"/>
      <c r="S353" s="2519"/>
      <c r="T353" s="2514"/>
      <c r="U353" s="2519"/>
      <c r="V353" s="2514"/>
      <c r="W353" s="2519"/>
      <c r="X353" s="2514"/>
    </row>
    <row r="354" spans="1:24" ht="14.4">
      <c r="A354" s="2519" t="str">
        <f>"15-01-2024 16:00"</f>
        <v>15-01-2024 16:00</v>
      </c>
      <c r="B354" s="2514">
        <v>0.35</v>
      </c>
      <c r="C354" s="2519" t="str">
        <f>"15-02-2024 15:00"</f>
        <v>15-02-2024 15:00</v>
      </c>
      <c r="D354" s="2514">
        <v>0.43</v>
      </c>
      <c r="E354" s="2519" t="str">
        <f>"15-03-2024 15:00"</f>
        <v>15-03-2024 15:00</v>
      </c>
      <c r="F354" s="2514">
        <v>0.32</v>
      </c>
      <c r="G354" s="2519" t="str">
        <f>"15-04-2024 15:00"</f>
        <v>15-04-2024 15:00</v>
      </c>
      <c r="H354" s="2514">
        <v>0.31</v>
      </c>
      <c r="I354" s="2519"/>
      <c r="J354" s="2514"/>
      <c r="K354" s="2519"/>
      <c r="L354" s="2514"/>
      <c r="M354" s="2519"/>
      <c r="N354" s="2514"/>
      <c r="O354" s="2519"/>
      <c r="P354" s="2514"/>
      <c r="Q354" s="2519"/>
      <c r="R354" s="2514"/>
      <c r="S354" s="2519"/>
      <c r="T354" s="2514"/>
      <c r="U354" s="2519"/>
      <c r="V354" s="2514"/>
      <c r="W354" s="2519"/>
      <c r="X354" s="2514"/>
    </row>
    <row r="355" spans="1:24" ht="14.4">
      <c r="A355" s="2519" t="str">
        <f>"15-01-2024 17:00"</f>
        <v>15-01-2024 17:00</v>
      </c>
      <c r="B355" s="2514">
        <v>0.44</v>
      </c>
      <c r="C355" s="2519" t="str">
        <f>"15-02-2024 16:00"</f>
        <v>15-02-2024 16:00</v>
      </c>
      <c r="D355" s="2514">
        <v>0.32</v>
      </c>
      <c r="E355" s="2519" t="str">
        <f>"15-03-2024 16:00"</f>
        <v>15-03-2024 16:00</v>
      </c>
      <c r="F355" s="2514">
        <v>0.36</v>
      </c>
      <c r="G355" s="2519" t="str">
        <f>"15-04-2024 16:00"</f>
        <v>15-04-2024 16:00</v>
      </c>
      <c r="H355" s="2514">
        <v>0.45</v>
      </c>
      <c r="I355" s="2519"/>
      <c r="J355" s="2514"/>
      <c r="K355" s="2519"/>
      <c r="L355" s="2514"/>
      <c r="M355" s="2519"/>
      <c r="N355" s="2514"/>
      <c r="O355" s="2519"/>
      <c r="P355" s="2514"/>
      <c r="Q355" s="2519"/>
      <c r="R355" s="2514"/>
      <c r="S355" s="2519"/>
      <c r="T355" s="2514"/>
      <c r="U355" s="2519"/>
      <c r="V355" s="2514"/>
      <c r="W355" s="2519"/>
      <c r="X355" s="2514"/>
    </row>
    <row r="356" spans="1:24" ht="14.4">
      <c r="A356" s="2519" t="str">
        <f>"15-01-2024 18:00"</f>
        <v>15-01-2024 18:00</v>
      </c>
      <c r="B356" s="2514">
        <v>0.55000000000000004</v>
      </c>
      <c r="C356" s="2519" t="str">
        <f>"15-02-2024 17:00"</f>
        <v>15-02-2024 17:00</v>
      </c>
      <c r="D356" s="2514">
        <v>0.91</v>
      </c>
      <c r="E356" s="2519" t="str">
        <f>"15-03-2024 17:00"</f>
        <v>15-03-2024 17:00</v>
      </c>
      <c r="F356" s="2514">
        <v>0.53</v>
      </c>
      <c r="G356" s="2519" t="str">
        <f>"15-04-2024 17:00"</f>
        <v>15-04-2024 17:00</v>
      </c>
      <c r="H356" s="2514">
        <v>0.3</v>
      </c>
      <c r="I356" s="2519"/>
      <c r="J356" s="2514"/>
      <c r="K356" s="2519"/>
      <c r="L356" s="2514"/>
      <c r="M356" s="2519"/>
      <c r="N356" s="2514"/>
      <c r="O356" s="2519"/>
      <c r="P356" s="2514"/>
      <c r="Q356" s="2519"/>
      <c r="R356" s="2514"/>
      <c r="S356" s="2519"/>
      <c r="T356" s="2514"/>
      <c r="U356" s="2519"/>
      <c r="V356" s="2514"/>
      <c r="W356" s="2519"/>
      <c r="X356" s="2514"/>
    </row>
    <row r="357" spans="1:24" ht="14.4">
      <c r="A357" s="2519" t="str">
        <f>"15-01-2024 19:00"</f>
        <v>15-01-2024 19:00</v>
      </c>
      <c r="B357" s="2514">
        <v>0.46</v>
      </c>
      <c r="C357" s="2519" t="str">
        <f>"15-02-2024 18:00"</f>
        <v>15-02-2024 18:00</v>
      </c>
      <c r="D357" s="2514">
        <v>0.35</v>
      </c>
      <c r="E357" s="2519" t="str">
        <f>"15-03-2024 18:00"</f>
        <v>15-03-2024 18:00</v>
      </c>
      <c r="F357" s="2514">
        <v>0.35</v>
      </c>
      <c r="G357" s="2519" t="str">
        <f>"15-04-2024 18:00"</f>
        <v>15-04-2024 18:00</v>
      </c>
      <c r="H357" s="2514">
        <v>0.44</v>
      </c>
      <c r="I357" s="2519"/>
      <c r="J357" s="2514"/>
      <c r="K357" s="2519"/>
      <c r="L357" s="2514"/>
      <c r="M357" s="2519"/>
      <c r="N357" s="2514"/>
      <c r="O357" s="2519"/>
      <c r="P357" s="2514"/>
      <c r="Q357" s="2519"/>
      <c r="R357" s="2514"/>
      <c r="S357" s="2519"/>
      <c r="T357" s="2514"/>
      <c r="U357" s="2519"/>
      <c r="V357" s="2514"/>
      <c r="W357" s="2519"/>
      <c r="X357" s="2514"/>
    </row>
    <row r="358" spans="1:24" ht="14.4">
      <c r="A358" s="2519" t="str">
        <f>"15-01-2024 20:00"</f>
        <v>15-01-2024 20:00</v>
      </c>
      <c r="B358" s="2514">
        <v>0.45</v>
      </c>
      <c r="C358" s="2519" t="str">
        <f>"15-02-2024 19:00"</f>
        <v>15-02-2024 19:00</v>
      </c>
      <c r="D358" s="2514">
        <v>0.32</v>
      </c>
      <c r="E358" s="2519" t="str">
        <f>"15-03-2024 19:00"</f>
        <v>15-03-2024 19:00</v>
      </c>
      <c r="F358" s="2514">
        <v>0.36</v>
      </c>
      <c r="G358" s="2519" t="str">
        <f>"15-04-2024 19:00"</f>
        <v>15-04-2024 19:00</v>
      </c>
      <c r="H358" s="2514">
        <v>0.42</v>
      </c>
      <c r="I358" s="2519"/>
      <c r="J358" s="2514"/>
      <c r="K358" s="2519"/>
      <c r="L358" s="2514"/>
      <c r="M358" s="2519"/>
      <c r="N358" s="2514"/>
      <c r="O358" s="2519"/>
      <c r="P358" s="2514"/>
      <c r="Q358" s="2519"/>
      <c r="R358" s="2514"/>
      <c r="S358" s="2519"/>
      <c r="T358" s="2514"/>
      <c r="U358" s="2519"/>
      <c r="V358" s="2514"/>
      <c r="W358" s="2519"/>
      <c r="X358" s="2514"/>
    </row>
    <row r="359" spans="1:24" ht="14.4">
      <c r="A359" s="2519" t="str">
        <f>"15-01-2024 21:00"</f>
        <v>15-01-2024 21:00</v>
      </c>
      <c r="B359" s="2514">
        <v>0.46</v>
      </c>
      <c r="C359" s="2519" t="str">
        <f>"15-02-2024 20:00"</f>
        <v>15-02-2024 20:00</v>
      </c>
      <c r="D359" s="2514">
        <v>0.35</v>
      </c>
      <c r="E359" s="2519" t="str">
        <f>"15-03-2024 20:00"</f>
        <v>15-03-2024 20:00</v>
      </c>
      <c r="F359" s="2514">
        <v>0.45</v>
      </c>
      <c r="G359" s="2519" t="str">
        <f>"15-04-2024 20:00"</f>
        <v>15-04-2024 20:00</v>
      </c>
      <c r="H359" s="2514">
        <v>0.42</v>
      </c>
      <c r="I359" s="2519"/>
      <c r="J359" s="2514"/>
      <c r="K359" s="2519"/>
      <c r="L359" s="2514"/>
      <c r="M359" s="2519"/>
      <c r="N359" s="2514"/>
      <c r="O359" s="2519"/>
      <c r="P359" s="2514"/>
      <c r="Q359" s="2519"/>
      <c r="R359" s="2514"/>
      <c r="S359" s="2519"/>
      <c r="T359" s="2514"/>
      <c r="U359" s="2519"/>
      <c r="V359" s="2514"/>
      <c r="W359" s="2519"/>
      <c r="X359" s="2514"/>
    </row>
    <row r="360" spans="1:24" ht="14.4">
      <c r="A360" s="2519" t="str">
        <f>"15-01-2024 22:00"</f>
        <v>15-01-2024 22:00</v>
      </c>
      <c r="B360" s="2514">
        <v>0.44</v>
      </c>
      <c r="C360" s="2519" t="str">
        <f>"15-02-2024 21:00"</f>
        <v>15-02-2024 21:00</v>
      </c>
      <c r="D360" s="2514">
        <v>0.3</v>
      </c>
      <c r="E360" s="2519" t="str">
        <f>"15-03-2024 21:00"</f>
        <v>15-03-2024 21:00</v>
      </c>
      <c r="F360" s="2514">
        <v>0.38</v>
      </c>
      <c r="G360" s="2519" t="str">
        <f>"15-04-2024 21:00"</f>
        <v>15-04-2024 21:00</v>
      </c>
      <c r="H360" s="2514">
        <v>0.45</v>
      </c>
      <c r="I360" s="2519"/>
      <c r="J360" s="2514"/>
      <c r="K360" s="2519"/>
      <c r="L360" s="2514"/>
      <c r="M360" s="2519"/>
      <c r="N360" s="2514"/>
      <c r="O360" s="2519"/>
      <c r="P360" s="2514"/>
      <c r="Q360" s="2519"/>
      <c r="R360" s="2514"/>
      <c r="S360" s="2519"/>
      <c r="T360" s="2514"/>
      <c r="U360" s="2519"/>
      <c r="V360" s="2514"/>
      <c r="W360" s="2519"/>
      <c r="X360" s="2514"/>
    </row>
    <row r="361" spans="1:24" ht="14.4">
      <c r="A361" s="2519" t="str">
        <f>"15-01-2024 23:00"</f>
        <v>15-01-2024 23:00</v>
      </c>
      <c r="B361" s="2514">
        <v>0.17</v>
      </c>
      <c r="C361" s="2519" t="str">
        <f>"15-02-2024 22:00"</f>
        <v>15-02-2024 22:00</v>
      </c>
      <c r="D361" s="2514">
        <v>0.15</v>
      </c>
      <c r="E361" s="2519" t="str">
        <f>"15-03-2024 22:00"</f>
        <v>15-03-2024 22:00</v>
      </c>
      <c r="F361" s="2514">
        <v>0.28000000000000003</v>
      </c>
      <c r="G361" s="2519" t="str">
        <f>"15-04-2024 22:00"</f>
        <v>15-04-2024 22:00</v>
      </c>
      <c r="H361" s="2514">
        <v>0.38</v>
      </c>
      <c r="I361" s="2519"/>
      <c r="J361" s="2514"/>
      <c r="K361" s="2519"/>
      <c r="L361" s="2514"/>
      <c r="M361" s="2519"/>
      <c r="N361" s="2514"/>
      <c r="O361" s="2519"/>
      <c r="P361" s="2514"/>
      <c r="Q361" s="2519"/>
      <c r="R361" s="2514"/>
      <c r="S361" s="2519"/>
      <c r="T361" s="2514"/>
      <c r="U361" s="2519"/>
      <c r="V361" s="2514"/>
      <c r="W361" s="2519"/>
      <c r="X361" s="2514"/>
    </row>
    <row r="362" spans="1:24" s="2506" customFormat="1" ht="14.4">
      <c r="A362" s="2520" t="str">
        <f>"16-01-2024 00:00"</f>
        <v>16-01-2024 00:00</v>
      </c>
      <c r="B362" s="2521">
        <v>0.11</v>
      </c>
      <c r="C362" s="2520" t="str">
        <f>"15-02-2024 23:00"</f>
        <v>15-02-2024 23:00</v>
      </c>
      <c r="D362" s="2521">
        <v>0.13</v>
      </c>
      <c r="E362" s="2520" t="str">
        <f>"15-03-2024 23:00"</f>
        <v>15-03-2024 23:00</v>
      </c>
      <c r="F362" s="2521">
        <v>0.19</v>
      </c>
      <c r="G362" s="2520" t="str">
        <f>"15-04-2024 23:00"</f>
        <v>15-04-2024 23:00</v>
      </c>
      <c r="H362" s="2521">
        <v>0.24</v>
      </c>
      <c r="I362" s="2520"/>
      <c r="J362" s="2521"/>
      <c r="K362" s="2520"/>
      <c r="L362" s="2521"/>
      <c r="M362" s="2520"/>
      <c r="N362" s="2521"/>
      <c r="O362" s="2520"/>
      <c r="P362" s="2521"/>
      <c r="Q362" s="2520"/>
      <c r="R362" s="2521"/>
      <c r="S362" s="2520"/>
      <c r="T362" s="2521"/>
      <c r="U362" s="2520"/>
      <c r="V362" s="2521"/>
      <c r="W362" s="2520"/>
      <c r="X362" s="2521"/>
    </row>
    <row r="363" spans="1:24" ht="14.4">
      <c r="A363" s="2528" t="str">
        <f>"16-01-2024 01:00"</f>
        <v>16-01-2024 01:00</v>
      </c>
      <c r="B363" s="2523">
        <v>0.14000000000000001</v>
      </c>
      <c r="C363" s="2528" t="str">
        <f>"16-02-2024 00:00"</f>
        <v>16-02-2024 00:00</v>
      </c>
      <c r="D363" s="2523">
        <v>0.2</v>
      </c>
      <c r="E363" s="2528" t="str">
        <f>"16-03-2024 00:00"</f>
        <v>16-03-2024 00:00</v>
      </c>
      <c r="F363" s="2523">
        <v>0.16</v>
      </c>
      <c r="G363" s="2528" t="str">
        <f>"16-04-2024 00:00"</f>
        <v>16-04-2024 00:00</v>
      </c>
      <c r="H363" s="2523">
        <v>0.22</v>
      </c>
      <c r="I363" s="2528"/>
      <c r="J363" s="2523"/>
      <c r="K363" s="2528"/>
      <c r="L363" s="2523"/>
      <c r="M363" s="2528"/>
      <c r="N363" s="2523"/>
      <c r="O363" s="2528"/>
      <c r="P363" s="2523"/>
      <c r="Q363" s="2528"/>
      <c r="R363" s="2523"/>
      <c r="S363" s="2528"/>
      <c r="T363" s="2523"/>
      <c r="U363" s="2528"/>
      <c r="V363" s="2523"/>
      <c r="W363" s="2528"/>
      <c r="X363" s="2523"/>
    </row>
    <row r="364" spans="1:24" ht="14.4">
      <c r="A364" s="2518" t="str">
        <f>"16-01-2024 02:00"</f>
        <v>16-01-2024 02:00</v>
      </c>
      <c r="B364" s="2514">
        <v>0.14000000000000001</v>
      </c>
      <c r="C364" s="2518" t="str">
        <f>"16-02-2024 01:00"</f>
        <v>16-02-2024 01:00</v>
      </c>
      <c r="D364" s="2514">
        <v>0.23</v>
      </c>
      <c r="E364" s="2518" t="str">
        <f>"16-03-2024 01:00"</f>
        <v>16-03-2024 01:00</v>
      </c>
      <c r="F364" s="2514">
        <v>0.14000000000000001</v>
      </c>
      <c r="G364" s="2518" t="str">
        <f>"16-04-2024 01:00"</f>
        <v>16-04-2024 01:00</v>
      </c>
      <c r="H364" s="2514">
        <v>0.18</v>
      </c>
      <c r="I364" s="2518"/>
      <c r="J364" s="2514"/>
      <c r="K364" s="2518"/>
      <c r="L364" s="2514"/>
      <c r="M364" s="2518"/>
      <c r="N364" s="2514"/>
      <c r="O364" s="2518"/>
      <c r="P364" s="2514"/>
      <c r="Q364" s="2518"/>
      <c r="R364" s="2514"/>
      <c r="S364" s="2518"/>
      <c r="T364" s="2514"/>
      <c r="U364" s="2518"/>
      <c r="V364" s="2514"/>
      <c r="W364" s="2518"/>
      <c r="X364" s="2514"/>
    </row>
    <row r="365" spans="1:24" ht="14.4">
      <c r="A365" s="2518" t="str">
        <f>"16-01-2024 03:00"</f>
        <v>16-01-2024 03:00</v>
      </c>
      <c r="B365" s="2514">
        <v>0.11</v>
      </c>
      <c r="C365" s="2518" t="str">
        <f>"16-02-2024 02:00"</f>
        <v>16-02-2024 02:00</v>
      </c>
      <c r="D365" s="2514">
        <v>0.14000000000000001</v>
      </c>
      <c r="E365" s="2518" t="str">
        <f>"16-03-2024 02:00"</f>
        <v>16-03-2024 02:00</v>
      </c>
      <c r="F365" s="2514">
        <v>0.22</v>
      </c>
      <c r="G365" s="2518" t="str">
        <f>"16-04-2024 02:00"</f>
        <v>16-04-2024 02:00</v>
      </c>
      <c r="H365" s="2514">
        <v>0.18</v>
      </c>
      <c r="I365" s="2518"/>
      <c r="J365" s="2514"/>
      <c r="K365" s="2518"/>
      <c r="L365" s="2514"/>
      <c r="M365" s="2518"/>
      <c r="N365" s="2514"/>
      <c r="O365" s="2518"/>
      <c r="P365" s="2514"/>
      <c r="Q365" s="2518"/>
      <c r="R365" s="2514"/>
      <c r="S365" s="2518"/>
      <c r="T365" s="2514"/>
      <c r="U365" s="2518"/>
      <c r="V365" s="2514"/>
      <c r="W365" s="2518"/>
      <c r="X365" s="2514"/>
    </row>
    <row r="366" spans="1:24" ht="14.4">
      <c r="A366" s="2518" t="str">
        <f>"16-01-2024 04:00"</f>
        <v>16-01-2024 04:00</v>
      </c>
      <c r="B366" s="2514">
        <v>0.11</v>
      </c>
      <c r="C366" s="2518" t="str">
        <f>"16-02-2024 03:00"</f>
        <v>16-02-2024 03:00</v>
      </c>
      <c r="D366" s="2514">
        <v>0.15</v>
      </c>
      <c r="E366" s="2518" t="str">
        <f>"16-03-2024 03:00"</f>
        <v>16-03-2024 03:00</v>
      </c>
      <c r="F366" s="2514">
        <v>0.16</v>
      </c>
      <c r="G366" s="2518" t="str">
        <f>"16-04-2024 03:00"</f>
        <v>16-04-2024 03:00</v>
      </c>
      <c r="H366" s="2514">
        <v>0.15</v>
      </c>
      <c r="I366" s="2518"/>
      <c r="J366" s="2514"/>
      <c r="K366" s="2518"/>
      <c r="L366" s="2514"/>
      <c r="M366" s="2518"/>
      <c r="N366" s="2514"/>
      <c r="O366" s="2518"/>
      <c r="P366" s="2514"/>
      <c r="Q366" s="2518"/>
      <c r="R366" s="2514"/>
      <c r="S366" s="2518"/>
      <c r="T366" s="2514"/>
      <c r="U366" s="2518"/>
      <c r="V366" s="2514"/>
      <c r="W366" s="2518"/>
      <c r="X366" s="2514"/>
    </row>
    <row r="367" spans="1:24" ht="14.4">
      <c r="A367" s="2518" t="str">
        <f>"16-01-2024 05:00"</f>
        <v>16-01-2024 05:00</v>
      </c>
      <c r="B367" s="2514">
        <v>0.14000000000000001</v>
      </c>
      <c r="C367" s="2518" t="str">
        <f>"16-02-2024 04:00"</f>
        <v>16-02-2024 04:00</v>
      </c>
      <c r="D367" s="2514">
        <v>0.13</v>
      </c>
      <c r="E367" s="2518" t="str">
        <f>"16-03-2024 04:00"</f>
        <v>16-03-2024 04:00</v>
      </c>
      <c r="F367" s="2514">
        <v>0.12</v>
      </c>
      <c r="G367" s="2518" t="str">
        <f>"16-04-2024 04:00"</f>
        <v>16-04-2024 04:00</v>
      </c>
      <c r="H367" s="2514">
        <v>0.25</v>
      </c>
      <c r="I367" s="2518"/>
      <c r="J367" s="2514"/>
      <c r="K367" s="2518"/>
      <c r="L367" s="2514"/>
      <c r="M367" s="2518"/>
      <c r="N367" s="2514"/>
      <c r="O367" s="2518"/>
      <c r="P367" s="2514"/>
      <c r="Q367" s="2518"/>
      <c r="R367" s="2514"/>
      <c r="S367" s="2518"/>
      <c r="T367" s="2514"/>
      <c r="U367" s="2518"/>
      <c r="V367" s="2514"/>
      <c r="W367" s="2518"/>
      <c r="X367" s="2514"/>
    </row>
    <row r="368" spans="1:24" ht="14.4">
      <c r="A368" s="2518" t="str">
        <f>"16-01-2024 06:00"</f>
        <v>16-01-2024 06:00</v>
      </c>
      <c r="B368" s="2514">
        <v>0.21</v>
      </c>
      <c r="C368" s="2518" t="str">
        <f>"16-02-2024 05:00"</f>
        <v>16-02-2024 05:00</v>
      </c>
      <c r="D368" s="2514">
        <v>0.16</v>
      </c>
      <c r="E368" s="2518" t="str">
        <f>"16-03-2024 05:00"</f>
        <v>16-03-2024 05:00</v>
      </c>
      <c r="F368" s="2514">
        <v>0.22</v>
      </c>
      <c r="G368" s="2518" t="str">
        <f>"16-04-2024 05:00"</f>
        <v>16-04-2024 05:00</v>
      </c>
      <c r="H368" s="2514">
        <v>0.23</v>
      </c>
      <c r="I368" s="2518"/>
      <c r="J368" s="2514"/>
      <c r="K368" s="2518"/>
      <c r="L368" s="2514"/>
      <c r="M368" s="2518"/>
      <c r="N368" s="2514"/>
      <c r="O368" s="2518"/>
      <c r="P368" s="2514"/>
      <c r="Q368" s="2518"/>
      <c r="R368" s="2514"/>
      <c r="S368" s="2518"/>
      <c r="T368" s="2514"/>
      <c r="U368" s="2518"/>
      <c r="V368" s="2514"/>
      <c r="W368" s="2518"/>
      <c r="X368" s="2514"/>
    </row>
    <row r="369" spans="1:24" ht="14.4">
      <c r="A369" s="2518" t="str">
        <f>"16-01-2024 07:00"</f>
        <v>16-01-2024 07:00</v>
      </c>
      <c r="B369" s="2514">
        <v>0.15</v>
      </c>
      <c r="C369" s="2518" t="str">
        <f>"16-02-2024 06:00"</f>
        <v>16-02-2024 06:00</v>
      </c>
      <c r="D369" s="2514">
        <v>0.15</v>
      </c>
      <c r="E369" s="2518" t="str">
        <f>"16-03-2024 06:00"</f>
        <v>16-03-2024 06:00</v>
      </c>
      <c r="F369" s="2514">
        <v>0.24</v>
      </c>
      <c r="G369" s="2518" t="str">
        <f>"16-04-2024 06:00"</f>
        <v>16-04-2024 06:00</v>
      </c>
      <c r="H369" s="2514">
        <v>0.22</v>
      </c>
      <c r="I369" s="2518"/>
      <c r="J369" s="2514"/>
      <c r="K369" s="2518"/>
      <c r="L369" s="2514"/>
      <c r="M369" s="2518"/>
      <c r="N369" s="2514"/>
      <c r="O369" s="2518"/>
      <c r="P369" s="2514"/>
      <c r="Q369" s="2518"/>
      <c r="R369" s="2514"/>
      <c r="S369" s="2518"/>
      <c r="T369" s="2514"/>
      <c r="U369" s="2518"/>
      <c r="V369" s="2514"/>
      <c r="W369" s="2518"/>
      <c r="X369" s="2514"/>
    </row>
    <row r="370" spans="1:24" ht="14.4">
      <c r="A370" s="2518" t="str">
        <f>"16-01-2024 08:00"</f>
        <v>16-01-2024 08:00</v>
      </c>
      <c r="B370" s="2514">
        <v>0.13</v>
      </c>
      <c r="C370" s="2518" t="str">
        <f>"16-02-2024 07:00"</f>
        <v>16-02-2024 07:00</v>
      </c>
      <c r="D370" s="2514">
        <v>0.43</v>
      </c>
      <c r="E370" s="2518" t="str">
        <f>"16-03-2024 07:00"</f>
        <v>16-03-2024 07:00</v>
      </c>
      <c r="F370" s="2514">
        <v>0.48</v>
      </c>
      <c r="G370" s="2518" t="str">
        <f>"16-04-2024 07:00"</f>
        <v>16-04-2024 07:00</v>
      </c>
      <c r="H370" s="2514">
        <v>0.63</v>
      </c>
      <c r="I370" s="2518"/>
      <c r="J370" s="2514"/>
      <c r="K370" s="2518"/>
      <c r="L370" s="2514"/>
      <c r="M370" s="2518"/>
      <c r="N370" s="2514"/>
      <c r="O370" s="2518"/>
      <c r="P370" s="2514"/>
      <c r="Q370" s="2518"/>
      <c r="R370" s="2514"/>
      <c r="S370" s="2518"/>
      <c r="T370" s="2514"/>
      <c r="U370" s="2518"/>
      <c r="V370" s="2514"/>
      <c r="W370" s="2518"/>
      <c r="X370" s="2514"/>
    </row>
    <row r="371" spans="1:24" ht="14.4">
      <c r="A371" s="2518" t="str">
        <f>"16-01-2024 09:00"</f>
        <v>16-01-2024 09:00</v>
      </c>
      <c r="B371" s="2514">
        <v>0.13</v>
      </c>
      <c r="C371" s="2518" t="str">
        <f>"16-02-2024 08:00"</f>
        <v>16-02-2024 08:00</v>
      </c>
      <c r="D371" s="2514">
        <v>0.25</v>
      </c>
      <c r="E371" s="2518" t="str">
        <f>"16-03-2024 08:00"</f>
        <v>16-03-2024 08:00</v>
      </c>
      <c r="F371" s="2514">
        <v>0.42</v>
      </c>
      <c r="G371" s="2518" t="str">
        <f>"16-04-2024 08:00"</f>
        <v>16-04-2024 08:00</v>
      </c>
      <c r="H371" s="2514">
        <v>1.48</v>
      </c>
      <c r="I371" s="2518"/>
      <c r="J371" s="2514"/>
      <c r="K371" s="2518"/>
      <c r="L371" s="2514"/>
      <c r="M371" s="2518"/>
      <c r="N371" s="2514"/>
      <c r="O371" s="2518"/>
      <c r="P371" s="2514"/>
      <c r="Q371" s="2518"/>
      <c r="R371" s="2514"/>
      <c r="S371" s="2518"/>
      <c r="T371" s="2514"/>
      <c r="U371" s="2518"/>
      <c r="V371" s="2514"/>
      <c r="W371" s="2518"/>
      <c r="X371" s="2514"/>
    </row>
    <row r="372" spans="1:24" ht="14.4">
      <c r="A372" s="2518" t="str">
        <f>"16-01-2024 10:00"</f>
        <v>16-01-2024 10:00</v>
      </c>
      <c r="B372" s="2514">
        <v>0.14000000000000001</v>
      </c>
      <c r="C372" s="2518" t="str">
        <f>"16-02-2024 09:00"</f>
        <v>16-02-2024 09:00</v>
      </c>
      <c r="D372" s="2514">
        <v>0.43</v>
      </c>
      <c r="E372" s="2518" t="str">
        <f>"16-03-2024 09:00"</f>
        <v>16-03-2024 09:00</v>
      </c>
      <c r="F372" s="2514">
        <v>0.24</v>
      </c>
      <c r="G372" s="2518" t="str">
        <f>"16-04-2024 09:00"</f>
        <v>16-04-2024 09:00</v>
      </c>
      <c r="H372" s="2514">
        <v>0.69</v>
      </c>
      <c r="I372" s="2518"/>
      <c r="J372" s="2514"/>
      <c r="K372" s="2518"/>
      <c r="L372" s="2514"/>
      <c r="M372" s="2518"/>
      <c r="N372" s="2514"/>
      <c r="O372" s="2518"/>
      <c r="P372" s="2514"/>
      <c r="Q372" s="2518"/>
      <c r="R372" s="2514"/>
      <c r="S372" s="2518"/>
      <c r="T372" s="2514"/>
      <c r="U372" s="2518"/>
      <c r="V372" s="2514"/>
      <c r="W372" s="2518"/>
      <c r="X372" s="2514"/>
    </row>
    <row r="373" spans="1:24" ht="14.4">
      <c r="A373" s="2518" t="str">
        <f>"16-01-2024 11:00"</f>
        <v>16-01-2024 11:00</v>
      </c>
      <c r="B373" s="2514">
        <v>0.13</v>
      </c>
      <c r="C373" s="2518" t="str">
        <f>"16-02-2024 10:00"</f>
        <v>16-02-2024 10:00</v>
      </c>
      <c r="D373" s="2514">
        <v>0.35</v>
      </c>
      <c r="E373" s="2518" t="str">
        <f>"16-03-2024 10:00"</f>
        <v>16-03-2024 10:00</v>
      </c>
      <c r="F373" s="2514">
        <v>0.53</v>
      </c>
      <c r="G373" s="2518" t="str">
        <f>"16-04-2024 10:00"</f>
        <v>16-04-2024 10:00</v>
      </c>
      <c r="H373" s="2514">
        <v>0.28999999999999998</v>
      </c>
      <c r="I373" s="2518"/>
      <c r="J373" s="2514"/>
      <c r="K373" s="2518"/>
      <c r="L373" s="2514"/>
      <c r="M373" s="2518"/>
      <c r="N373" s="2514"/>
      <c r="O373" s="2518"/>
      <c r="P373" s="2514"/>
      <c r="Q373" s="2518"/>
      <c r="R373" s="2514"/>
      <c r="S373" s="2518"/>
      <c r="T373" s="2514"/>
      <c r="U373" s="2518"/>
      <c r="V373" s="2514"/>
      <c r="W373" s="2518"/>
      <c r="X373" s="2514"/>
    </row>
    <row r="374" spans="1:24" ht="14.4">
      <c r="A374" s="2518" t="str">
        <f>"16-01-2024 12:00"</f>
        <v>16-01-2024 12:00</v>
      </c>
      <c r="B374" s="2514">
        <v>0.22</v>
      </c>
      <c r="C374" s="2518" t="str">
        <f>"16-02-2024 11:00"</f>
        <v>16-02-2024 11:00</v>
      </c>
      <c r="D374" s="2514">
        <v>0.53</v>
      </c>
      <c r="E374" s="2518" t="str">
        <f>"16-03-2024 11:00"</f>
        <v>16-03-2024 11:00</v>
      </c>
      <c r="F374" s="2514">
        <v>0.41</v>
      </c>
      <c r="G374" s="2518" t="str">
        <f>"16-04-2024 11:00"</f>
        <v>16-04-2024 11:00</v>
      </c>
      <c r="H374" s="2514">
        <v>0.31</v>
      </c>
      <c r="I374" s="2518"/>
      <c r="J374" s="2514"/>
      <c r="K374" s="2518"/>
      <c r="L374" s="2514"/>
      <c r="M374" s="2518"/>
      <c r="N374" s="2514"/>
      <c r="O374" s="2518"/>
      <c r="P374" s="2514"/>
      <c r="Q374" s="2518"/>
      <c r="R374" s="2514"/>
      <c r="S374" s="2518"/>
      <c r="T374" s="2514"/>
      <c r="U374" s="2518"/>
      <c r="V374" s="2514"/>
      <c r="W374" s="2518"/>
      <c r="X374" s="2514"/>
    </row>
    <row r="375" spans="1:24" ht="14.4">
      <c r="A375" s="2518" t="str">
        <f>"16-01-2024 13:00"</f>
        <v>16-01-2024 13:00</v>
      </c>
      <c r="B375" s="2514">
        <v>0.55000000000000004</v>
      </c>
      <c r="C375" s="2518" t="str">
        <f>"16-02-2024 12:00"</f>
        <v>16-02-2024 12:00</v>
      </c>
      <c r="D375" s="2514">
        <v>0.81</v>
      </c>
      <c r="E375" s="2518" t="str">
        <f>"16-03-2024 12:00"</f>
        <v>16-03-2024 12:00</v>
      </c>
      <c r="F375" s="2514">
        <v>0.43</v>
      </c>
      <c r="G375" s="2518" t="str">
        <f>"16-04-2024 12:00"</f>
        <v>16-04-2024 12:00</v>
      </c>
      <c r="H375" s="2514">
        <v>0.6</v>
      </c>
      <c r="I375" s="2518"/>
      <c r="J375" s="2514"/>
      <c r="K375" s="2518"/>
      <c r="L375" s="2514"/>
      <c r="M375" s="2518"/>
      <c r="N375" s="2514"/>
      <c r="O375" s="2518"/>
      <c r="P375" s="2514"/>
      <c r="Q375" s="2518"/>
      <c r="R375" s="2514"/>
      <c r="S375" s="2518"/>
      <c r="T375" s="2514"/>
      <c r="U375" s="2518"/>
      <c r="V375" s="2514"/>
      <c r="W375" s="2518"/>
      <c r="X375" s="2514"/>
    </row>
    <row r="376" spans="1:24" ht="14.4">
      <c r="A376" s="2518" t="str">
        <f>"16-01-2024 14:00"</f>
        <v>16-01-2024 14:00</v>
      </c>
      <c r="B376" s="2514">
        <v>0.28000000000000003</v>
      </c>
      <c r="C376" s="2518" t="str">
        <f>"16-02-2024 13:00"</f>
        <v>16-02-2024 13:00</v>
      </c>
      <c r="D376" s="2514">
        <v>0.43</v>
      </c>
      <c r="E376" s="2518" t="str">
        <f>"16-03-2024 13:00"</f>
        <v>16-03-2024 13:00</v>
      </c>
      <c r="F376" s="2514">
        <v>0.4</v>
      </c>
      <c r="G376" s="2518" t="str">
        <f>"16-04-2024 13:00"</f>
        <v>16-04-2024 13:00</v>
      </c>
      <c r="H376" s="2514">
        <v>0.34</v>
      </c>
      <c r="I376" s="2518"/>
      <c r="J376" s="2514"/>
      <c r="K376" s="2518"/>
      <c r="L376" s="2514"/>
      <c r="M376" s="2518"/>
      <c r="N376" s="2514"/>
      <c r="O376" s="2518"/>
      <c r="P376" s="2514"/>
      <c r="Q376" s="2518"/>
      <c r="R376" s="2514"/>
      <c r="S376" s="2518"/>
      <c r="T376" s="2514"/>
      <c r="U376" s="2518"/>
      <c r="V376" s="2514"/>
      <c r="W376" s="2518"/>
      <c r="X376" s="2514"/>
    </row>
    <row r="377" spans="1:24" ht="14.4">
      <c r="A377" s="2518" t="str">
        <f>"16-01-2024 15:00"</f>
        <v>16-01-2024 15:00</v>
      </c>
      <c r="B377" s="2514">
        <v>0.3</v>
      </c>
      <c r="C377" s="2518" t="str">
        <f>"16-02-2024 14:00"</f>
        <v>16-02-2024 14:00</v>
      </c>
      <c r="D377" s="2514">
        <v>0.74</v>
      </c>
      <c r="E377" s="2518" t="str">
        <f>"16-03-2024 14:00"</f>
        <v>16-03-2024 14:00</v>
      </c>
      <c r="F377" s="2514">
        <v>0.41</v>
      </c>
      <c r="G377" s="2518" t="str">
        <f>"16-04-2024 14:00"</f>
        <v>16-04-2024 14:00</v>
      </c>
      <c r="H377" s="2514">
        <v>0.44</v>
      </c>
      <c r="I377" s="2518"/>
      <c r="J377" s="2514"/>
      <c r="K377" s="2518"/>
      <c r="L377" s="2514"/>
      <c r="M377" s="2518"/>
      <c r="N377" s="2514"/>
      <c r="O377" s="2518"/>
      <c r="P377" s="2514"/>
      <c r="Q377" s="2518"/>
      <c r="R377" s="2514"/>
      <c r="S377" s="2518"/>
      <c r="T377" s="2514"/>
      <c r="U377" s="2518"/>
      <c r="V377" s="2514"/>
      <c r="W377" s="2518"/>
      <c r="X377" s="2514"/>
    </row>
    <row r="378" spans="1:24" ht="14.4">
      <c r="A378" s="2518" t="str">
        <f>"16-01-2024 16:00"</f>
        <v>16-01-2024 16:00</v>
      </c>
      <c r="B378" s="2514">
        <v>0.45</v>
      </c>
      <c r="C378" s="2518" t="str">
        <f>"16-02-2024 15:00"</f>
        <v>16-02-2024 15:00</v>
      </c>
      <c r="D378" s="2514">
        <v>0.41</v>
      </c>
      <c r="E378" s="2518" t="str">
        <f>"16-03-2024 15:00"</f>
        <v>16-03-2024 15:00</v>
      </c>
      <c r="F378" s="2514">
        <v>0.4</v>
      </c>
      <c r="G378" s="2518" t="str">
        <f>"16-04-2024 15:00"</f>
        <v>16-04-2024 15:00</v>
      </c>
      <c r="H378" s="2514">
        <v>0.34</v>
      </c>
      <c r="I378" s="2518"/>
      <c r="J378" s="2514"/>
      <c r="K378" s="2518"/>
      <c r="L378" s="2514"/>
      <c r="M378" s="2518"/>
      <c r="N378" s="2514"/>
      <c r="O378" s="2518"/>
      <c r="P378" s="2514"/>
      <c r="Q378" s="2518"/>
      <c r="R378" s="2514"/>
      <c r="S378" s="2518"/>
      <c r="T378" s="2514"/>
      <c r="U378" s="2518"/>
      <c r="V378" s="2514"/>
      <c r="W378" s="2518"/>
      <c r="X378" s="2514"/>
    </row>
    <row r="379" spans="1:24" ht="14.4">
      <c r="A379" s="2518" t="str">
        <f>"16-01-2024 17:00"</f>
        <v>16-01-2024 17:00</v>
      </c>
      <c r="B379" s="2514">
        <v>0.59</v>
      </c>
      <c r="C379" s="2518" t="str">
        <f>"16-02-2024 16:00"</f>
        <v>16-02-2024 16:00</v>
      </c>
      <c r="D379" s="2514">
        <v>0.47</v>
      </c>
      <c r="E379" s="2518" t="str">
        <f>"16-03-2024 16:00"</f>
        <v>16-03-2024 16:00</v>
      </c>
      <c r="F379" s="2514">
        <v>0.34</v>
      </c>
      <c r="G379" s="2518" t="str">
        <f>"16-04-2024 16:00"</f>
        <v>16-04-2024 16:00</v>
      </c>
      <c r="H379" s="2514">
        <v>0.34</v>
      </c>
      <c r="I379" s="2518"/>
      <c r="J379" s="2514"/>
      <c r="K379" s="2518"/>
      <c r="L379" s="2514"/>
      <c r="M379" s="2518"/>
      <c r="N379" s="2514"/>
      <c r="O379" s="2518"/>
      <c r="P379" s="2514"/>
      <c r="Q379" s="2518"/>
      <c r="R379" s="2514"/>
      <c r="S379" s="2518"/>
      <c r="T379" s="2514"/>
      <c r="U379" s="2518"/>
      <c r="V379" s="2514"/>
      <c r="W379" s="2518"/>
      <c r="X379" s="2514"/>
    </row>
    <row r="380" spans="1:24" ht="14.4">
      <c r="A380" s="2518" t="str">
        <f>"16-01-2024 18:00"</f>
        <v>16-01-2024 18:00</v>
      </c>
      <c r="B380" s="2514">
        <v>0.99</v>
      </c>
      <c r="C380" s="2518" t="str">
        <f>"16-02-2024 17:00"</f>
        <v>16-02-2024 17:00</v>
      </c>
      <c r="D380" s="2514">
        <v>0.76</v>
      </c>
      <c r="E380" s="2518" t="str">
        <f>"16-03-2024 17:00"</f>
        <v>16-03-2024 17:00</v>
      </c>
      <c r="F380" s="2514">
        <v>0.61</v>
      </c>
      <c r="G380" s="2518" t="str">
        <f>"16-04-2024 17:00"</f>
        <v>16-04-2024 17:00</v>
      </c>
      <c r="H380" s="2514">
        <v>0.46</v>
      </c>
      <c r="I380" s="2518"/>
      <c r="J380" s="2514"/>
      <c r="K380" s="2518"/>
      <c r="L380" s="2514"/>
      <c r="M380" s="2518"/>
      <c r="N380" s="2514"/>
      <c r="O380" s="2518"/>
      <c r="P380" s="2514"/>
      <c r="Q380" s="2518"/>
      <c r="R380" s="2514"/>
      <c r="S380" s="2518"/>
      <c r="T380" s="2514"/>
      <c r="U380" s="2518"/>
      <c r="V380" s="2514"/>
      <c r="W380" s="2518"/>
      <c r="X380" s="2514"/>
    </row>
    <row r="381" spans="1:24" ht="14.4">
      <c r="A381" s="2518" t="str">
        <f>"16-01-2024 19:00"</f>
        <v>16-01-2024 19:00</v>
      </c>
      <c r="B381" s="2514">
        <v>0.41</v>
      </c>
      <c r="C381" s="2518" t="str">
        <f>"16-02-2024 18:00"</f>
        <v>16-02-2024 18:00</v>
      </c>
      <c r="D381" s="2514">
        <v>0.39</v>
      </c>
      <c r="E381" s="2518" t="str">
        <f>"16-03-2024 18:00"</f>
        <v>16-03-2024 18:00</v>
      </c>
      <c r="F381" s="2514">
        <v>0.34</v>
      </c>
      <c r="G381" s="2518" t="str">
        <f>"16-04-2024 18:00"</f>
        <v>16-04-2024 18:00</v>
      </c>
      <c r="H381" s="2514">
        <v>0.52</v>
      </c>
      <c r="I381" s="2518"/>
      <c r="J381" s="2514"/>
      <c r="K381" s="2518"/>
      <c r="L381" s="2514"/>
      <c r="M381" s="2518"/>
      <c r="N381" s="2514"/>
      <c r="O381" s="2518"/>
      <c r="P381" s="2514"/>
      <c r="Q381" s="2518"/>
      <c r="R381" s="2514"/>
      <c r="S381" s="2518"/>
      <c r="T381" s="2514"/>
      <c r="U381" s="2518"/>
      <c r="V381" s="2514"/>
      <c r="W381" s="2518"/>
      <c r="X381" s="2514"/>
    </row>
    <row r="382" spans="1:24" ht="14.4">
      <c r="A382" s="2518" t="str">
        <f>"16-01-2024 20:00"</f>
        <v>16-01-2024 20:00</v>
      </c>
      <c r="B382" s="2514">
        <v>0.39</v>
      </c>
      <c r="C382" s="2518" t="str">
        <f>"16-02-2024 19:00"</f>
        <v>16-02-2024 19:00</v>
      </c>
      <c r="D382" s="2514">
        <v>0.45</v>
      </c>
      <c r="E382" s="2518" t="str">
        <f>"16-03-2024 19:00"</f>
        <v>16-03-2024 19:00</v>
      </c>
      <c r="F382" s="2514">
        <v>0.36</v>
      </c>
      <c r="G382" s="2518" t="str">
        <f>"16-04-2024 19:00"</f>
        <v>16-04-2024 19:00</v>
      </c>
      <c r="H382" s="2514">
        <v>0.39</v>
      </c>
      <c r="I382" s="2518"/>
      <c r="J382" s="2514"/>
      <c r="K382" s="2518"/>
      <c r="L382" s="2514"/>
      <c r="M382" s="2518"/>
      <c r="N382" s="2514"/>
      <c r="O382" s="2518"/>
      <c r="P382" s="2514"/>
      <c r="Q382" s="2518"/>
      <c r="R382" s="2514"/>
      <c r="S382" s="2518"/>
      <c r="T382" s="2514"/>
      <c r="U382" s="2518"/>
      <c r="V382" s="2514"/>
      <c r="W382" s="2518"/>
      <c r="X382" s="2514"/>
    </row>
    <row r="383" spans="1:24" ht="14.4">
      <c r="A383" s="2518" t="str">
        <f>"16-01-2024 21:00"</f>
        <v>16-01-2024 21:00</v>
      </c>
      <c r="B383" s="2514">
        <v>0.34</v>
      </c>
      <c r="C383" s="2518" t="str">
        <f>"16-02-2024 20:00"</f>
        <v>16-02-2024 20:00</v>
      </c>
      <c r="D383" s="2514">
        <v>0.48</v>
      </c>
      <c r="E383" s="2518" t="str">
        <f>"16-03-2024 20:00"</f>
        <v>16-03-2024 20:00</v>
      </c>
      <c r="F383" s="2514">
        <v>0.41</v>
      </c>
      <c r="G383" s="2518" t="str">
        <f>"16-04-2024 20:00"</f>
        <v>16-04-2024 20:00</v>
      </c>
      <c r="H383" s="2514">
        <v>0.45</v>
      </c>
      <c r="I383" s="2518"/>
      <c r="J383" s="2514"/>
      <c r="K383" s="2518"/>
      <c r="L383" s="2514"/>
      <c r="M383" s="2518"/>
      <c r="N383" s="2514"/>
      <c r="O383" s="2518"/>
      <c r="P383" s="2514"/>
      <c r="Q383" s="2518"/>
      <c r="R383" s="2514"/>
      <c r="S383" s="2518"/>
      <c r="T383" s="2514"/>
      <c r="U383" s="2518"/>
      <c r="V383" s="2514"/>
      <c r="W383" s="2518"/>
      <c r="X383" s="2514"/>
    </row>
    <row r="384" spans="1:24" ht="14.4">
      <c r="A384" s="2518" t="str">
        <f>"16-01-2024 22:00"</f>
        <v>16-01-2024 22:00</v>
      </c>
      <c r="B384" s="2514">
        <v>0.37</v>
      </c>
      <c r="C384" s="2518" t="str">
        <f>"16-02-2024 21:00"</f>
        <v>16-02-2024 21:00</v>
      </c>
      <c r="D384" s="2514">
        <v>0.38</v>
      </c>
      <c r="E384" s="2518" t="str">
        <f>"16-03-2024 21:00"</f>
        <v>16-03-2024 21:00</v>
      </c>
      <c r="F384" s="2514">
        <v>0.4</v>
      </c>
      <c r="G384" s="2518" t="str">
        <f>"16-04-2024 21:00"</f>
        <v>16-04-2024 21:00</v>
      </c>
      <c r="H384" s="2514">
        <v>0.28999999999999998</v>
      </c>
      <c r="I384" s="2518"/>
      <c r="J384" s="2514"/>
      <c r="K384" s="2518"/>
      <c r="L384" s="2514"/>
      <c r="M384" s="2518"/>
      <c r="N384" s="2514"/>
      <c r="O384" s="2518"/>
      <c r="P384" s="2514"/>
      <c r="Q384" s="2518"/>
      <c r="R384" s="2514"/>
      <c r="S384" s="2518"/>
      <c r="T384" s="2514"/>
      <c r="U384" s="2518"/>
      <c r="V384" s="2514"/>
      <c r="W384" s="2518"/>
      <c r="X384" s="2514"/>
    </row>
    <row r="385" spans="1:24" ht="14.4">
      <c r="A385" s="2518" t="str">
        <f>"16-01-2024 23:00"</f>
        <v>16-01-2024 23:00</v>
      </c>
      <c r="B385" s="2514">
        <v>0.22</v>
      </c>
      <c r="C385" s="2518" t="str">
        <f>"16-02-2024 22:00"</f>
        <v>16-02-2024 22:00</v>
      </c>
      <c r="D385" s="2514">
        <v>0.17</v>
      </c>
      <c r="E385" s="2518" t="str">
        <f>"16-03-2024 22:00"</f>
        <v>16-03-2024 22:00</v>
      </c>
      <c r="F385" s="2514">
        <v>0.28999999999999998</v>
      </c>
      <c r="G385" s="2518" t="str">
        <f>"16-04-2024 22:00"</f>
        <v>16-04-2024 22:00</v>
      </c>
      <c r="H385" s="2514">
        <v>0.22</v>
      </c>
      <c r="I385" s="2518"/>
      <c r="J385" s="2514"/>
      <c r="K385" s="2518"/>
      <c r="L385" s="2514"/>
      <c r="M385" s="2518"/>
      <c r="N385" s="2514"/>
      <c r="O385" s="2518"/>
      <c r="P385" s="2514"/>
      <c r="Q385" s="2518"/>
      <c r="R385" s="2514"/>
      <c r="S385" s="2518"/>
      <c r="T385" s="2514"/>
      <c r="U385" s="2518"/>
      <c r="V385" s="2514"/>
      <c r="W385" s="2518"/>
      <c r="X385" s="2514"/>
    </row>
    <row r="386" spans="1:24" s="2506" customFormat="1" ht="14.4">
      <c r="A386" s="2529" t="str">
        <f>"17-01-2024 00:00"</f>
        <v>17-01-2024 00:00</v>
      </c>
      <c r="B386" s="2521">
        <v>0.11</v>
      </c>
      <c r="C386" s="2529" t="str">
        <f>"16-02-2024 23:00"</f>
        <v>16-02-2024 23:00</v>
      </c>
      <c r="D386" s="2521">
        <v>0.17</v>
      </c>
      <c r="E386" s="2529" t="str">
        <f>"16-03-2024 23:00"</f>
        <v>16-03-2024 23:00</v>
      </c>
      <c r="F386" s="2521">
        <v>0.14000000000000001</v>
      </c>
      <c r="G386" s="2529" t="str">
        <f>"16-04-2024 23:00"</f>
        <v>16-04-2024 23:00</v>
      </c>
      <c r="H386" s="2521">
        <v>0.15</v>
      </c>
      <c r="I386" s="2529"/>
      <c r="J386" s="2521"/>
      <c r="K386" s="2529"/>
      <c r="L386" s="2521"/>
      <c r="M386" s="2529"/>
      <c r="N386" s="2521"/>
      <c r="O386" s="2529"/>
      <c r="P386" s="2521"/>
      <c r="Q386" s="2529"/>
      <c r="R386" s="2521"/>
      <c r="S386" s="2529"/>
      <c r="T386" s="2521"/>
      <c r="U386" s="2529"/>
      <c r="V386" s="2521"/>
      <c r="W386" s="2529"/>
      <c r="X386" s="2521"/>
    </row>
    <row r="387" spans="1:24" ht="14.4">
      <c r="A387" s="2522" t="str">
        <f>"17-01-2024 01:00"</f>
        <v>17-01-2024 01:00</v>
      </c>
      <c r="B387" s="2523">
        <v>0.14000000000000001</v>
      </c>
      <c r="C387" s="2522" t="str">
        <f>"17-02-2024 00:00"</f>
        <v>17-02-2024 00:00</v>
      </c>
      <c r="D387" s="2523">
        <v>0.28000000000000003</v>
      </c>
      <c r="E387" s="2522" t="str">
        <f>"17-03-2024 00:00"</f>
        <v>17-03-2024 00:00</v>
      </c>
      <c r="F387" s="2523">
        <v>0.22</v>
      </c>
      <c r="G387" s="2522" t="str">
        <f>"17-04-2024 00:00"</f>
        <v>17-04-2024 00:00</v>
      </c>
      <c r="H387" s="2523">
        <v>0.19</v>
      </c>
      <c r="I387" s="2522"/>
      <c r="J387" s="2523"/>
      <c r="K387" s="2522"/>
      <c r="L387" s="2523"/>
      <c r="M387" s="2522"/>
      <c r="N387" s="2523"/>
      <c r="O387" s="2522"/>
      <c r="P387" s="2523"/>
      <c r="Q387" s="2522"/>
      <c r="R387" s="2523"/>
      <c r="S387" s="2522"/>
      <c r="T387" s="2523"/>
      <c r="U387" s="2522"/>
      <c r="V387" s="2523"/>
      <c r="W387" s="2522"/>
      <c r="X387" s="2523"/>
    </row>
    <row r="388" spans="1:24" ht="14.4">
      <c r="A388" s="2519" t="str">
        <f>"17-01-2024 02:00"</f>
        <v>17-01-2024 02:00</v>
      </c>
      <c r="B388" s="2514">
        <v>0.14000000000000001</v>
      </c>
      <c r="C388" s="2519" t="str">
        <f>"17-02-2024 01:00"</f>
        <v>17-02-2024 01:00</v>
      </c>
      <c r="D388" s="2514">
        <v>0.16</v>
      </c>
      <c r="E388" s="2519" t="str">
        <f>"17-03-2024 01:00"</f>
        <v>17-03-2024 01:00</v>
      </c>
      <c r="F388" s="2514">
        <v>0.12</v>
      </c>
      <c r="G388" s="2519" t="str">
        <f>"17-04-2024 01:00"</f>
        <v>17-04-2024 01:00</v>
      </c>
      <c r="H388" s="2514">
        <v>0.18</v>
      </c>
      <c r="I388" s="2519"/>
      <c r="J388" s="2514"/>
      <c r="K388" s="2519"/>
      <c r="L388" s="2514"/>
      <c r="M388" s="2519"/>
      <c r="N388" s="2514"/>
      <c r="O388" s="2519"/>
      <c r="P388" s="2514"/>
      <c r="Q388" s="2519"/>
      <c r="R388" s="2514"/>
      <c r="S388" s="2519"/>
      <c r="T388" s="2514"/>
      <c r="U388" s="2519"/>
      <c r="V388" s="2514"/>
      <c r="W388" s="2519"/>
      <c r="X388" s="2514"/>
    </row>
    <row r="389" spans="1:24" ht="14.4">
      <c r="A389" s="2519" t="str">
        <f>"17-01-2024 03:00"</f>
        <v>17-01-2024 03:00</v>
      </c>
      <c r="B389" s="2514">
        <v>0.11</v>
      </c>
      <c r="C389" s="2519" t="str">
        <f>"17-02-2024 02:00"</f>
        <v>17-02-2024 02:00</v>
      </c>
      <c r="D389" s="2514">
        <v>0.16</v>
      </c>
      <c r="E389" s="2519" t="str">
        <f>"17-03-2024 02:00"</f>
        <v>17-03-2024 02:00</v>
      </c>
      <c r="F389" s="2514">
        <v>0.16</v>
      </c>
      <c r="G389" s="2519" t="str">
        <f>"17-04-2024 02:00"</f>
        <v>17-04-2024 02:00</v>
      </c>
      <c r="H389" s="2514">
        <v>0.14000000000000001</v>
      </c>
      <c r="I389" s="2519"/>
      <c r="J389" s="2514"/>
      <c r="K389" s="2519"/>
      <c r="L389" s="2514"/>
      <c r="M389" s="2519"/>
      <c r="N389" s="2514"/>
      <c r="O389" s="2519"/>
      <c r="P389" s="2514"/>
      <c r="Q389" s="2519"/>
      <c r="R389" s="2514"/>
      <c r="S389" s="2519"/>
      <c r="T389" s="2514"/>
      <c r="U389" s="2519"/>
      <c r="V389" s="2514"/>
      <c r="W389" s="2519"/>
      <c r="X389" s="2514"/>
    </row>
    <row r="390" spans="1:24" ht="14.4">
      <c r="A390" s="2519" t="str">
        <f>"17-01-2024 04:00"</f>
        <v>17-01-2024 04:00</v>
      </c>
      <c r="B390" s="2514">
        <v>0.14000000000000001</v>
      </c>
      <c r="C390" s="2519" t="str">
        <f>"17-02-2024 03:00"</f>
        <v>17-02-2024 03:00</v>
      </c>
      <c r="D390" s="2514">
        <v>0.21</v>
      </c>
      <c r="E390" s="2519" t="str">
        <f>"17-03-2024 03:00"</f>
        <v>17-03-2024 03:00</v>
      </c>
      <c r="F390" s="2514">
        <v>0.14000000000000001</v>
      </c>
      <c r="G390" s="2519" t="str">
        <f>"17-04-2024 03:00"</f>
        <v>17-04-2024 03:00</v>
      </c>
      <c r="H390" s="2514">
        <v>0.2</v>
      </c>
      <c r="I390" s="2519"/>
      <c r="J390" s="2514"/>
      <c r="K390" s="2519"/>
      <c r="L390" s="2514"/>
      <c r="M390" s="2519"/>
      <c r="N390" s="2514"/>
      <c r="O390" s="2519"/>
      <c r="P390" s="2514"/>
      <c r="Q390" s="2519"/>
      <c r="R390" s="2514"/>
      <c r="S390" s="2519"/>
      <c r="T390" s="2514"/>
      <c r="U390" s="2519"/>
      <c r="V390" s="2514"/>
      <c r="W390" s="2519"/>
      <c r="X390" s="2514"/>
    </row>
    <row r="391" spans="1:24" ht="14.4">
      <c r="A391" s="2519" t="str">
        <f>"17-01-2024 05:00"</f>
        <v>17-01-2024 05:00</v>
      </c>
      <c r="B391" s="2514">
        <v>0.23</v>
      </c>
      <c r="C391" s="2519" t="str">
        <f>"17-02-2024 04:00"</f>
        <v>17-02-2024 04:00</v>
      </c>
      <c r="D391" s="2514">
        <v>0.24</v>
      </c>
      <c r="E391" s="2519" t="str">
        <f>"17-03-2024 04:00"</f>
        <v>17-03-2024 04:00</v>
      </c>
      <c r="F391" s="2514">
        <v>0.2</v>
      </c>
      <c r="G391" s="2519" t="str">
        <f>"17-04-2024 04:00"</f>
        <v>17-04-2024 04:00</v>
      </c>
      <c r="H391" s="2514">
        <v>0.16</v>
      </c>
      <c r="I391" s="2519"/>
      <c r="J391" s="2514"/>
      <c r="K391" s="2519"/>
      <c r="L391" s="2514"/>
      <c r="M391" s="2519"/>
      <c r="N391" s="2514"/>
      <c r="O391" s="2519"/>
      <c r="P391" s="2514"/>
      <c r="Q391" s="2519"/>
      <c r="R391" s="2514"/>
      <c r="S391" s="2519"/>
      <c r="T391" s="2514"/>
      <c r="U391" s="2519"/>
      <c r="V391" s="2514"/>
      <c r="W391" s="2519"/>
      <c r="X391" s="2514"/>
    </row>
    <row r="392" spans="1:24" ht="14.4">
      <c r="A392" s="2519" t="str">
        <f>"17-01-2024 06:00"</f>
        <v>17-01-2024 06:00</v>
      </c>
      <c r="B392" s="2514">
        <v>0.17</v>
      </c>
      <c r="C392" s="2519" t="str">
        <f>"17-02-2024 05:00"</f>
        <v>17-02-2024 05:00</v>
      </c>
      <c r="D392" s="2514">
        <v>0.13</v>
      </c>
      <c r="E392" s="2519" t="str">
        <f>"17-03-2024 05:00"</f>
        <v>17-03-2024 05:00</v>
      </c>
      <c r="F392" s="2514">
        <v>0.2</v>
      </c>
      <c r="G392" s="2519" t="str">
        <f>"17-04-2024 05:00"</f>
        <v>17-04-2024 05:00</v>
      </c>
      <c r="H392" s="2514">
        <v>0.17</v>
      </c>
      <c r="I392" s="2519"/>
      <c r="J392" s="2514"/>
      <c r="K392" s="2519"/>
      <c r="L392" s="2514"/>
      <c r="M392" s="2519"/>
      <c r="N392" s="2514"/>
      <c r="O392" s="2519"/>
      <c r="P392" s="2514"/>
      <c r="Q392" s="2519"/>
      <c r="R392" s="2514"/>
      <c r="S392" s="2519"/>
      <c r="T392" s="2514"/>
      <c r="U392" s="2519"/>
      <c r="V392" s="2514"/>
      <c r="W392" s="2519"/>
      <c r="X392" s="2514"/>
    </row>
    <row r="393" spans="1:24" ht="14.4">
      <c r="A393" s="2519" t="str">
        <f>"17-01-2024 07:00"</f>
        <v>17-01-2024 07:00</v>
      </c>
      <c r="B393" s="2514">
        <v>0.13</v>
      </c>
      <c r="C393" s="2519" t="str">
        <f>"17-02-2024 06:00"</f>
        <v>17-02-2024 06:00</v>
      </c>
      <c r="D393" s="2514">
        <v>0.3</v>
      </c>
      <c r="E393" s="2519" t="str">
        <f>"17-03-2024 06:00"</f>
        <v>17-03-2024 06:00</v>
      </c>
      <c r="F393" s="2514">
        <v>0.17</v>
      </c>
      <c r="G393" s="2519" t="str">
        <f>"17-04-2024 06:00"</f>
        <v>17-04-2024 06:00</v>
      </c>
      <c r="H393" s="2514">
        <v>0.17</v>
      </c>
      <c r="I393" s="2519"/>
      <c r="J393" s="2514"/>
      <c r="K393" s="2519"/>
      <c r="L393" s="2514"/>
      <c r="M393" s="2519"/>
      <c r="N393" s="2514"/>
      <c r="O393" s="2519"/>
      <c r="P393" s="2514"/>
      <c r="Q393" s="2519"/>
      <c r="R393" s="2514"/>
      <c r="S393" s="2519"/>
      <c r="T393" s="2514"/>
      <c r="U393" s="2519"/>
      <c r="V393" s="2514"/>
      <c r="W393" s="2519"/>
      <c r="X393" s="2514"/>
    </row>
    <row r="394" spans="1:24" ht="14.4">
      <c r="A394" s="2519" t="str">
        <f>"17-01-2024 08:00"</f>
        <v>17-01-2024 08:00</v>
      </c>
      <c r="B394" s="2514">
        <v>0.15</v>
      </c>
      <c r="C394" s="2519" t="str">
        <f>"17-02-2024 07:00"</f>
        <v>17-02-2024 07:00</v>
      </c>
      <c r="D394" s="2514">
        <v>1.03</v>
      </c>
      <c r="E394" s="2519" t="str">
        <f>"17-03-2024 07:00"</f>
        <v>17-03-2024 07:00</v>
      </c>
      <c r="F394" s="2514">
        <v>0.27</v>
      </c>
      <c r="G394" s="2519" t="str">
        <f>"17-04-2024 07:00"</f>
        <v>17-04-2024 07:00</v>
      </c>
      <c r="H394" s="2514">
        <v>0.26</v>
      </c>
      <c r="I394" s="2519"/>
      <c r="J394" s="2514"/>
      <c r="K394" s="2519"/>
      <c r="L394" s="2514"/>
      <c r="M394" s="2519"/>
      <c r="N394" s="2514"/>
      <c r="O394" s="2519"/>
      <c r="P394" s="2514"/>
      <c r="Q394" s="2519"/>
      <c r="R394" s="2514"/>
      <c r="S394" s="2519"/>
      <c r="T394" s="2514"/>
      <c r="U394" s="2519"/>
      <c r="V394" s="2514"/>
      <c r="W394" s="2519"/>
      <c r="X394" s="2514"/>
    </row>
    <row r="395" spans="1:24" ht="14.4">
      <c r="A395" s="2519" t="str">
        <f>"17-01-2024 09:00"</f>
        <v>17-01-2024 09:00</v>
      </c>
      <c r="B395" s="2514">
        <v>0.33</v>
      </c>
      <c r="C395" s="2519" t="str">
        <f>"17-02-2024 08:00"</f>
        <v>17-02-2024 08:00</v>
      </c>
      <c r="D395" s="2514">
        <v>0.53</v>
      </c>
      <c r="E395" s="2519" t="str">
        <f>"17-03-2024 08:00"</f>
        <v>17-03-2024 08:00</v>
      </c>
      <c r="F395" s="2514">
        <v>0.41</v>
      </c>
      <c r="G395" s="2519" t="str">
        <f>"17-04-2024 08:00"</f>
        <v>17-04-2024 08:00</v>
      </c>
      <c r="H395" s="2514">
        <v>0.64</v>
      </c>
      <c r="I395" s="2519"/>
      <c r="J395" s="2514"/>
      <c r="K395" s="2519"/>
      <c r="L395" s="2514"/>
      <c r="M395" s="2519"/>
      <c r="N395" s="2514"/>
      <c r="O395" s="2519"/>
      <c r="P395" s="2514"/>
      <c r="Q395" s="2519"/>
      <c r="R395" s="2514"/>
      <c r="S395" s="2519"/>
      <c r="T395" s="2514"/>
      <c r="U395" s="2519"/>
      <c r="V395" s="2514"/>
      <c r="W395" s="2519"/>
      <c r="X395" s="2514"/>
    </row>
    <row r="396" spans="1:24" ht="14.4">
      <c r="A396" s="2519" t="str">
        <f>"17-01-2024 10:00"</f>
        <v>17-01-2024 10:00</v>
      </c>
      <c r="B396" s="2514">
        <v>0.37</v>
      </c>
      <c r="C396" s="2519" t="str">
        <f>"17-02-2024 09:00"</f>
        <v>17-02-2024 09:00</v>
      </c>
      <c r="D396" s="2514">
        <v>0.35</v>
      </c>
      <c r="E396" s="2519" t="str">
        <f>"17-03-2024 09:00"</f>
        <v>17-03-2024 09:00</v>
      </c>
      <c r="F396" s="2514">
        <v>0.25</v>
      </c>
      <c r="G396" s="2519" t="str">
        <f>"17-04-2024 09:00"</f>
        <v>17-04-2024 09:00</v>
      </c>
      <c r="H396" s="2514">
        <v>0.16</v>
      </c>
      <c r="I396" s="2519"/>
      <c r="J396" s="2514"/>
      <c r="K396" s="2519"/>
      <c r="L396" s="2514"/>
      <c r="M396" s="2519"/>
      <c r="N396" s="2514"/>
      <c r="O396" s="2519"/>
      <c r="P396" s="2514"/>
      <c r="Q396" s="2519"/>
      <c r="R396" s="2514"/>
      <c r="S396" s="2519"/>
      <c r="T396" s="2514"/>
      <c r="U396" s="2519"/>
      <c r="V396" s="2514"/>
      <c r="W396" s="2519"/>
      <c r="X396" s="2514"/>
    </row>
    <row r="397" spans="1:24" ht="14.4">
      <c r="A397" s="2519" t="str">
        <f>"17-01-2024 11:00"</f>
        <v>17-01-2024 11:00</v>
      </c>
      <c r="B397" s="2514">
        <v>0.31</v>
      </c>
      <c r="C397" s="2519" t="str">
        <f>"17-02-2024 10:00"</f>
        <v>17-02-2024 10:00</v>
      </c>
      <c r="D397" s="2514">
        <v>0.35</v>
      </c>
      <c r="E397" s="2519" t="str">
        <f>"17-03-2024 10:00"</f>
        <v>17-03-2024 10:00</v>
      </c>
      <c r="F397" s="2514">
        <v>0.28999999999999998</v>
      </c>
      <c r="G397" s="2519" t="str">
        <f>"17-04-2024 10:00"</f>
        <v>17-04-2024 10:00</v>
      </c>
      <c r="H397" s="2514">
        <v>0.24</v>
      </c>
      <c r="I397" s="2519"/>
      <c r="J397" s="2514"/>
      <c r="K397" s="2519"/>
      <c r="L397" s="2514"/>
      <c r="M397" s="2519"/>
      <c r="N397" s="2514"/>
      <c r="O397" s="2519"/>
      <c r="P397" s="2514"/>
      <c r="Q397" s="2519"/>
      <c r="R397" s="2514"/>
      <c r="S397" s="2519"/>
      <c r="T397" s="2514"/>
      <c r="U397" s="2519"/>
      <c r="V397" s="2514"/>
      <c r="W397" s="2519"/>
      <c r="X397" s="2514"/>
    </row>
    <row r="398" spans="1:24" ht="14.4">
      <c r="A398" s="2519" t="str">
        <f>"17-01-2024 12:00"</f>
        <v>17-01-2024 12:00</v>
      </c>
      <c r="B398" s="2514">
        <v>0.53</v>
      </c>
      <c r="C398" s="2519" t="str">
        <f>"17-02-2024 11:00"</f>
        <v>17-02-2024 11:00</v>
      </c>
      <c r="D398" s="2514">
        <v>0.8</v>
      </c>
      <c r="E398" s="2519" t="str">
        <f>"17-03-2024 11:00"</f>
        <v>17-03-2024 11:00</v>
      </c>
      <c r="F398" s="2514">
        <v>0.4</v>
      </c>
      <c r="G398" s="2519" t="str">
        <f>"17-04-2024 11:00"</f>
        <v>17-04-2024 11:00</v>
      </c>
      <c r="H398" s="2514">
        <v>0.49</v>
      </c>
      <c r="I398" s="2519"/>
      <c r="J398" s="2514"/>
      <c r="K398" s="2519"/>
      <c r="L398" s="2514"/>
      <c r="M398" s="2519"/>
      <c r="N398" s="2514"/>
      <c r="O398" s="2519"/>
      <c r="P398" s="2514"/>
      <c r="Q398" s="2519"/>
      <c r="R398" s="2514"/>
      <c r="S398" s="2519"/>
      <c r="T398" s="2514"/>
      <c r="U398" s="2519"/>
      <c r="V398" s="2514"/>
      <c r="W398" s="2519"/>
      <c r="X398" s="2514"/>
    </row>
    <row r="399" spans="1:24" ht="14.4">
      <c r="A399" s="2519" t="str">
        <f>"17-01-2024 13:00"</f>
        <v>17-01-2024 13:00</v>
      </c>
      <c r="B399" s="2514">
        <v>0.35</v>
      </c>
      <c r="C399" s="2519" t="str">
        <f>"17-02-2024 12:00"</f>
        <v>17-02-2024 12:00</v>
      </c>
      <c r="D399" s="2514">
        <v>0.53</v>
      </c>
      <c r="E399" s="2519" t="str">
        <f>"17-03-2024 12:00"</f>
        <v>17-03-2024 12:00</v>
      </c>
      <c r="F399" s="2514">
        <v>0.48</v>
      </c>
      <c r="G399" s="2519" t="str">
        <f>"17-04-2024 12:00"</f>
        <v>17-04-2024 12:00</v>
      </c>
      <c r="H399" s="2514">
        <v>0.26</v>
      </c>
      <c r="I399" s="2519"/>
      <c r="J399" s="2514"/>
      <c r="K399" s="2519"/>
      <c r="L399" s="2514"/>
      <c r="M399" s="2519"/>
      <c r="N399" s="2514"/>
      <c r="O399" s="2519"/>
      <c r="P399" s="2514"/>
      <c r="Q399" s="2519"/>
      <c r="R399" s="2514"/>
      <c r="S399" s="2519"/>
      <c r="T399" s="2514"/>
      <c r="U399" s="2519"/>
      <c r="V399" s="2514"/>
      <c r="W399" s="2519"/>
      <c r="X399" s="2514"/>
    </row>
    <row r="400" spans="1:24" ht="14.4">
      <c r="A400" s="2519" t="str">
        <f>"17-01-2024 14:00"</f>
        <v>17-01-2024 14:00</v>
      </c>
      <c r="B400" s="2514">
        <v>0.35</v>
      </c>
      <c r="C400" s="2519" t="str">
        <f>"17-02-2024 13:00"</f>
        <v>17-02-2024 13:00</v>
      </c>
      <c r="D400" s="2514">
        <v>0.64</v>
      </c>
      <c r="E400" s="2519" t="str">
        <f>"17-03-2024 13:00"</f>
        <v>17-03-2024 13:00</v>
      </c>
      <c r="F400" s="2514">
        <v>0.43</v>
      </c>
      <c r="G400" s="2519" t="str">
        <f>"17-04-2024 13:00"</f>
        <v>17-04-2024 13:00</v>
      </c>
      <c r="H400" s="2514">
        <v>0.37</v>
      </c>
      <c r="I400" s="2519"/>
      <c r="J400" s="2514"/>
      <c r="K400" s="2519"/>
      <c r="L400" s="2514"/>
      <c r="M400" s="2519"/>
      <c r="N400" s="2514"/>
      <c r="O400" s="2519"/>
      <c r="P400" s="2514"/>
      <c r="Q400" s="2519"/>
      <c r="R400" s="2514"/>
      <c r="S400" s="2519"/>
      <c r="T400" s="2514"/>
      <c r="U400" s="2519"/>
      <c r="V400" s="2514"/>
      <c r="W400" s="2519"/>
      <c r="X400" s="2514"/>
    </row>
    <row r="401" spans="1:24" ht="14.4">
      <c r="A401" s="2519" t="str">
        <f>"17-01-2024 15:00"</f>
        <v>17-01-2024 15:00</v>
      </c>
      <c r="B401" s="2514">
        <v>0.53</v>
      </c>
      <c r="C401" s="2519" t="str">
        <f>"17-02-2024 14:00"</f>
        <v>17-02-2024 14:00</v>
      </c>
      <c r="D401" s="2514">
        <v>0.54</v>
      </c>
      <c r="E401" s="2519" t="str">
        <f>"17-03-2024 14:00"</f>
        <v>17-03-2024 14:00</v>
      </c>
      <c r="F401" s="2514">
        <v>0.45</v>
      </c>
      <c r="G401" s="2519" t="str">
        <f>"17-04-2024 14:00"</f>
        <v>17-04-2024 14:00</v>
      </c>
      <c r="H401" s="2514">
        <v>0.28000000000000003</v>
      </c>
      <c r="I401" s="2519"/>
      <c r="J401" s="2514"/>
      <c r="K401" s="2519"/>
      <c r="L401" s="2514"/>
      <c r="M401" s="2519"/>
      <c r="N401" s="2514"/>
      <c r="O401" s="2519"/>
      <c r="P401" s="2514"/>
      <c r="Q401" s="2519"/>
      <c r="R401" s="2514"/>
      <c r="S401" s="2519"/>
      <c r="T401" s="2514"/>
      <c r="U401" s="2519"/>
      <c r="V401" s="2514"/>
      <c r="W401" s="2519"/>
      <c r="X401" s="2514"/>
    </row>
    <row r="402" spans="1:24" ht="14.4">
      <c r="A402" s="2519" t="str">
        <f>"17-01-2024 16:00"</f>
        <v>17-01-2024 16:00</v>
      </c>
      <c r="B402" s="2514">
        <v>0.32</v>
      </c>
      <c r="C402" s="2519" t="str">
        <f>"17-02-2024 15:00"</f>
        <v>17-02-2024 15:00</v>
      </c>
      <c r="D402" s="2514">
        <v>0.32</v>
      </c>
      <c r="E402" s="2519" t="str">
        <f>"17-03-2024 15:00"</f>
        <v>17-03-2024 15:00</v>
      </c>
      <c r="F402" s="2514">
        <v>0.4</v>
      </c>
      <c r="G402" s="2519" t="str">
        <f>"17-04-2024 15:00"</f>
        <v>17-04-2024 15:00</v>
      </c>
      <c r="H402" s="2514">
        <v>0.39</v>
      </c>
      <c r="I402" s="2519"/>
      <c r="J402" s="2514"/>
      <c r="K402" s="2519"/>
      <c r="L402" s="2514"/>
      <c r="M402" s="2519"/>
      <c r="N402" s="2514"/>
      <c r="O402" s="2519"/>
      <c r="P402" s="2514"/>
      <c r="Q402" s="2519"/>
      <c r="R402" s="2514"/>
      <c r="S402" s="2519"/>
      <c r="T402" s="2514"/>
      <c r="U402" s="2519"/>
      <c r="V402" s="2514"/>
      <c r="W402" s="2519"/>
      <c r="X402" s="2514"/>
    </row>
    <row r="403" spans="1:24" ht="14.4">
      <c r="A403" s="2519" t="str">
        <f>"17-01-2024 17:00"</f>
        <v>17-01-2024 17:00</v>
      </c>
      <c r="B403" s="2514">
        <v>0.38</v>
      </c>
      <c r="C403" s="2519" t="str">
        <f>"17-02-2024 16:00"</f>
        <v>17-02-2024 16:00</v>
      </c>
      <c r="D403" s="2514">
        <v>1.03</v>
      </c>
      <c r="E403" s="2519" t="str">
        <f>"17-03-2024 16:00"</f>
        <v>17-03-2024 16:00</v>
      </c>
      <c r="F403" s="2514">
        <v>0.36</v>
      </c>
      <c r="G403" s="2519" t="str">
        <f>"17-04-2024 16:00"</f>
        <v>17-04-2024 16:00</v>
      </c>
      <c r="H403" s="2514">
        <v>0.39</v>
      </c>
      <c r="I403" s="2519"/>
      <c r="J403" s="2514"/>
      <c r="K403" s="2519"/>
      <c r="L403" s="2514"/>
      <c r="M403" s="2519"/>
      <c r="N403" s="2514"/>
      <c r="O403" s="2519"/>
      <c r="P403" s="2514"/>
      <c r="Q403" s="2519"/>
      <c r="R403" s="2514"/>
      <c r="S403" s="2519"/>
      <c r="T403" s="2514"/>
      <c r="U403" s="2519"/>
      <c r="V403" s="2514"/>
      <c r="W403" s="2519"/>
      <c r="X403" s="2514"/>
    </row>
    <row r="404" spans="1:24" ht="14.4">
      <c r="A404" s="2519" t="str">
        <f>"17-01-2024 18:00"</f>
        <v>17-01-2024 18:00</v>
      </c>
      <c r="B404" s="2514">
        <v>0.34</v>
      </c>
      <c r="C404" s="2519" t="str">
        <f>"17-02-2024 17:00"</f>
        <v>17-02-2024 17:00</v>
      </c>
      <c r="D404" s="2514">
        <v>1.1599999999999999</v>
      </c>
      <c r="E404" s="2519" t="str">
        <f>"17-03-2024 17:00"</f>
        <v>17-03-2024 17:00</v>
      </c>
      <c r="F404" s="2514">
        <v>0.49</v>
      </c>
      <c r="G404" s="2519" t="str">
        <f>"17-04-2024 17:00"</f>
        <v>17-04-2024 17:00</v>
      </c>
      <c r="H404" s="2514">
        <v>0.36</v>
      </c>
      <c r="I404" s="2519"/>
      <c r="J404" s="2514"/>
      <c r="K404" s="2519"/>
      <c r="L404" s="2514"/>
      <c r="M404" s="2519"/>
      <c r="N404" s="2514"/>
      <c r="O404" s="2519"/>
      <c r="P404" s="2514"/>
      <c r="Q404" s="2519"/>
      <c r="R404" s="2514"/>
      <c r="S404" s="2519"/>
      <c r="T404" s="2514"/>
      <c r="U404" s="2519"/>
      <c r="V404" s="2514"/>
      <c r="W404" s="2519"/>
      <c r="X404" s="2514"/>
    </row>
    <row r="405" spans="1:24" ht="14.4">
      <c r="A405" s="2519" t="str">
        <f>"17-01-2024 19:00"</f>
        <v>17-01-2024 19:00</v>
      </c>
      <c r="B405" s="2514">
        <v>0.4</v>
      </c>
      <c r="C405" s="2519" t="str">
        <f>"17-02-2024 18:00"</f>
        <v>17-02-2024 18:00</v>
      </c>
      <c r="D405" s="2514">
        <v>0.47</v>
      </c>
      <c r="E405" s="2519" t="str">
        <f>"17-03-2024 18:00"</f>
        <v>17-03-2024 18:00</v>
      </c>
      <c r="F405" s="2514">
        <v>0.35</v>
      </c>
      <c r="G405" s="2519" t="str">
        <f>"17-04-2024 18:00"</f>
        <v>17-04-2024 18:00</v>
      </c>
      <c r="H405" s="2514">
        <v>0.6</v>
      </c>
      <c r="I405" s="2519"/>
      <c r="J405" s="2514"/>
      <c r="K405" s="2519"/>
      <c r="L405" s="2514"/>
      <c r="M405" s="2519"/>
      <c r="N405" s="2514"/>
      <c r="O405" s="2519"/>
      <c r="P405" s="2514"/>
      <c r="Q405" s="2519"/>
      <c r="R405" s="2514"/>
      <c r="S405" s="2519"/>
      <c r="T405" s="2514"/>
      <c r="U405" s="2519"/>
      <c r="V405" s="2514"/>
      <c r="W405" s="2519"/>
      <c r="X405" s="2514"/>
    </row>
    <row r="406" spans="1:24" ht="14.4">
      <c r="A406" s="2519" t="str">
        <f>"17-01-2024 20:00"</f>
        <v>17-01-2024 20:00</v>
      </c>
      <c r="B406" s="2514">
        <v>0.36</v>
      </c>
      <c r="C406" s="2519" t="str">
        <f>"17-02-2024 19:00"</f>
        <v>17-02-2024 19:00</v>
      </c>
      <c r="D406" s="2514">
        <v>0.42</v>
      </c>
      <c r="E406" s="2519" t="str">
        <f>"17-03-2024 19:00"</f>
        <v>17-03-2024 19:00</v>
      </c>
      <c r="F406" s="2514">
        <v>0.43</v>
      </c>
      <c r="G406" s="2519" t="str">
        <f>"17-04-2024 19:00"</f>
        <v>17-04-2024 19:00</v>
      </c>
      <c r="H406" s="2514">
        <v>0.24</v>
      </c>
      <c r="I406" s="2519"/>
      <c r="J406" s="2514"/>
      <c r="K406" s="2519"/>
      <c r="L406" s="2514"/>
      <c r="M406" s="2519"/>
      <c r="N406" s="2514"/>
      <c r="O406" s="2519"/>
      <c r="P406" s="2514"/>
      <c r="Q406" s="2519"/>
      <c r="R406" s="2514"/>
      <c r="S406" s="2519"/>
      <c r="T406" s="2514"/>
      <c r="U406" s="2519"/>
      <c r="V406" s="2514"/>
      <c r="W406" s="2519"/>
      <c r="X406" s="2514"/>
    </row>
    <row r="407" spans="1:24" ht="14.4">
      <c r="A407" s="2519" t="str">
        <f>"17-01-2024 21:00"</f>
        <v>17-01-2024 21:00</v>
      </c>
      <c r="B407" s="2514">
        <v>0.39</v>
      </c>
      <c r="C407" s="2519" t="str">
        <f>"17-02-2024 20:00"</f>
        <v>17-02-2024 20:00</v>
      </c>
      <c r="D407" s="2514">
        <v>0.38</v>
      </c>
      <c r="E407" s="2519" t="str">
        <f>"17-03-2024 20:00"</f>
        <v>17-03-2024 20:00</v>
      </c>
      <c r="F407" s="2514">
        <v>0.38</v>
      </c>
      <c r="G407" s="2519" t="str">
        <f>"17-04-2024 20:00"</f>
        <v>17-04-2024 20:00</v>
      </c>
      <c r="H407" s="2514">
        <v>0.32</v>
      </c>
      <c r="I407" s="2519"/>
      <c r="J407" s="2514"/>
      <c r="K407" s="2519"/>
      <c r="L407" s="2514"/>
      <c r="M407" s="2519"/>
      <c r="N407" s="2514"/>
      <c r="O407" s="2519"/>
      <c r="P407" s="2514"/>
      <c r="Q407" s="2519"/>
      <c r="R407" s="2514"/>
      <c r="S407" s="2519"/>
      <c r="T407" s="2514"/>
      <c r="U407" s="2519"/>
      <c r="V407" s="2514"/>
      <c r="W407" s="2519"/>
      <c r="X407" s="2514"/>
    </row>
    <row r="408" spans="1:24" ht="14.4">
      <c r="A408" s="2519" t="str">
        <f>"17-01-2024 22:00"</f>
        <v>17-01-2024 22:00</v>
      </c>
      <c r="B408" s="2514">
        <v>0.38</v>
      </c>
      <c r="C408" s="2519" t="str">
        <f>"17-02-2024 21:00"</f>
        <v>17-02-2024 21:00</v>
      </c>
      <c r="D408" s="2514">
        <v>0.4</v>
      </c>
      <c r="E408" s="2519" t="str">
        <f>"17-03-2024 21:00"</f>
        <v>17-03-2024 21:00</v>
      </c>
      <c r="F408" s="2514">
        <v>0.37</v>
      </c>
      <c r="G408" s="2519" t="str">
        <f>"17-04-2024 21:00"</f>
        <v>17-04-2024 21:00</v>
      </c>
      <c r="H408" s="2514">
        <v>0.48</v>
      </c>
      <c r="I408" s="2519"/>
      <c r="J408" s="2514"/>
      <c r="K408" s="2519"/>
      <c r="L408" s="2514"/>
      <c r="M408" s="2519"/>
      <c r="N408" s="2514"/>
      <c r="O408" s="2519"/>
      <c r="P408" s="2514"/>
      <c r="Q408" s="2519"/>
      <c r="R408" s="2514"/>
      <c r="S408" s="2519"/>
      <c r="T408" s="2514"/>
      <c r="U408" s="2519"/>
      <c r="V408" s="2514"/>
      <c r="W408" s="2519"/>
      <c r="X408" s="2514"/>
    </row>
    <row r="409" spans="1:24" ht="14.4">
      <c r="A409" s="2519" t="str">
        <f>"17-01-2024 23:00"</f>
        <v>17-01-2024 23:00</v>
      </c>
      <c r="B409" s="2514">
        <v>0.21</v>
      </c>
      <c r="C409" s="2519" t="str">
        <f>"17-02-2024 22:00"</f>
        <v>17-02-2024 22:00</v>
      </c>
      <c r="D409" s="2514">
        <v>0.24</v>
      </c>
      <c r="E409" s="2519" t="str">
        <f>"17-03-2024 22:00"</f>
        <v>17-03-2024 22:00</v>
      </c>
      <c r="F409" s="2514">
        <v>0.34</v>
      </c>
      <c r="G409" s="2519" t="str">
        <f>"17-04-2024 22:00"</f>
        <v>17-04-2024 22:00</v>
      </c>
      <c r="H409" s="2514">
        <v>0.35</v>
      </c>
      <c r="I409" s="2519"/>
      <c r="J409" s="2514"/>
      <c r="K409" s="2519"/>
      <c r="L409" s="2514"/>
      <c r="M409" s="2519"/>
      <c r="N409" s="2514"/>
      <c r="O409" s="2519"/>
      <c r="P409" s="2514"/>
      <c r="Q409" s="2519"/>
      <c r="R409" s="2514"/>
      <c r="S409" s="2519"/>
      <c r="T409" s="2514"/>
      <c r="U409" s="2519"/>
      <c r="V409" s="2514"/>
      <c r="W409" s="2519"/>
      <c r="X409" s="2514"/>
    </row>
    <row r="410" spans="1:24" s="2506" customFormat="1" ht="14.4">
      <c r="A410" s="2520" t="str">
        <f>"18-01-2024 00:00"</f>
        <v>18-01-2024 00:00</v>
      </c>
      <c r="B410" s="2521">
        <v>0.11</v>
      </c>
      <c r="C410" s="2520" t="str">
        <f>"17-02-2024 23:00"</f>
        <v>17-02-2024 23:00</v>
      </c>
      <c r="D410" s="2521">
        <v>0.2</v>
      </c>
      <c r="E410" s="2520" t="str">
        <f>"17-03-2024 23:00"</f>
        <v>17-03-2024 23:00</v>
      </c>
      <c r="F410" s="2521">
        <v>0.21</v>
      </c>
      <c r="G410" s="2520" t="str">
        <f>"17-04-2024 23:00"</f>
        <v>17-04-2024 23:00</v>
      </c>
      <c r="H410" s="2521">
        <v>0.28999999999999998</v>
      </c>
      <c r="I410" s="2520"/>
      <c r="J410" s="2521"/>
      <c r="K410" s="2520"/>
      <c r="L410" s="2521"/>
      <c r="M410" s="2520"/>
      <c r="N410" s="2521"/>
      <c r="O410" s="2520"/>
      <c r="P410" s="2521"/>
      <c r="Q410" s="2520"/>
      <c r="R410" s="2521"/>
      <c r="S410" s="2520"/>
      <c r="T410" s="2521"/>
      <c r="U410" s="2520"/>
      <c r="V410" s="2521"/>
      <c r="W410" s="2520"/>
      <c r="X410" s="2521"/>
    </row>
    <row r="411" spans="1:24" ht="14.4">
      <c r="A411" s="2528" t="str">
        <f>"18-01-2024 01:00"</f>
        <v>18-01-2024 01:00</v>
      </c>
      <c r="B411" s="2523">
        <v>0.13</v>
      </c>
      <c r="C411" s="2528" t="str">
        <f>"18-02-2024 00:00"</f>
        <v>18-02-2024 00:00</v>
      </c>
      <c r="D411" s="2523">
        <v>0.21</v>
      </c>
      <c r="E411" s="2528" t="str">
        <f>"18-03-2024 00:00"</f>
        <v>18-03-2024 00:00</v>
      </c>
      <c r="F411" s="2523">
        <v>0.15</v>
      </c>
      <c r="G411" s="2528" t="str">
        <f>"18-04-2024 00:00"</f>
        <v>18-04-2024 00:00</v>
      </c>
      <c r="H411" s="2523">
        <v>0.15</v>
      </c>
      <c r="I411" s="2528"/>
      <c r="J411" s="2523"/>
      <c r="K411" s="2528"/>
      <c r="L411" s="2523"/>
      <c r="M411" s="2528"/>
      <c r="N411" s="2523"/>
      <c r="O411" s="2528"/>
      <c r="P411" s="2523"/>
      <c r="Q411" s="2528"/>
      <c r="R411" s="2523"/>
      <c r="S411" s="2528"/>
      <c r="T411" s="2523"/>
      <c r="U411" s="2528"/>
      <c r="V411" s="2523"/>
      <c r="W411" s="2528"/>
      <c r="X411" s="2523"/>
    </row>
    <row r="412" spans="1:24" ht="14.4">
      <c r="A412" s="2518" t="str">
        <f>"18-01-2024 02:00"</f>
        <v>18-01-2024 02:00</v>
      </c>
      <c r="B412" s="2514">
        <v>0.15</v>
      </c>
      <c r="C412" s="2518" t="str">
        <f>"18-02-2024 01:00"</f>
        <v>18-02-2024 01:00</v>
      </c>
      <c r="D412" s="2514">
        <v>0.22</v>
      </c>
      <c r="E412" s="2518" t="str">
        <f>"18-03-2024 01:00"</f>
        <v>18-03-2024 01:00</v>
      </c>
      <c r="F412" s="2514">
        <v>0.14000000000000001</v>
      </c>
      <c r="G412" s="2518" t="str">
        <f>"18-04-2024 01:00"</f>
        <v>18-04-2024 01:00</v>
      </c>
      <c r="H412" s="2514">
        <v>0.16</v>
      </c>
      <c r="I412" s="2518"/>
      <c r="J412" s="2514"/>
      <c r="K412" s="2518"/>
      <c r="L412" s="2514"/>
      <c r="M412" s="2518"/>
      <c r="N412" s="2514"/>
      <c r="O412" s="2518"/>
      <c r="P412" s="2514"/>
      <c r="Q412" s="2518"/>
      <c r="R412" s="2514"/>
      <c r="S412" s="2518"/>
      <c r="T412" s="2514"/>
      <c r="U412" s="2518"/>
      <c r="V412" s="2514"/>
      <c r="W412" s="2518"/>
      <c r="X412" s="2514"/>
    </row>
    <row r="413" spans="1:24" ht="14.4">
      <c r="A413" s="2518" t="str">
        <f>"18-01-2024 03:00"</f>
        <v>18-01-2024 03:00</v>
      </c>
      <c r="B413" s="2514">
        <v>0.11</v>
      </c>
      <c r="C413" s="2518" t="str">
        <f>"18-02-2024 02:00"</f>
        <v>18-02-2024 02:00</v>
      </c>
      <c r="D413" s="2514">
        <v>0.24</v>
      </c>
      <c r="E413" s="2518" t="str">
        <f>"18-03-2024 02:00"</f>
        <v>18-03-2024 02:00</v>
      </c>
      <c r="F413" s="2514">
        <v>0.12</v>
      </c>
      <c r="G413" s="2518" t="str">
        <f>"18-04-2024 02:00"</f>
        <v>18-04-2024 02:00</v>
      </c>
      <c r="H413" s="2514">
        <v>0.23</v>
      </c>
      <c r="I413" s="2518"/>
      <c r="J413" s="2514"/>
      <c r="K413" s="2518"/>
      <c r="L413" s="2514"/>
      <c r="M413" s="2518"/>
      <c r="N413" s="2514"/>
      <c r="O413" s="2518"/>
      <c r="P413" s="2514"/>
      <c r="Q413" s="2518"/>
      <c r="R413" s="2514"/>
      <c r="S413" s="2518"/>
      <c r="T413" s="2514"/>
      <c r="U413" s="2518"/>
      <c r="V413" s="2514"/>
      <c r="W413" s="2518"/>
      <c r="X413" s="2514"/>
    </row>
    <row r="414" spans="1:24" ht="14.4">
      <c r="A414" s="2518" t="str">
        <f>"18-01-2024 04:00"</f>
        <v>18-01-2024 04:00</v>
      </c>
      <c r="B414" s="2514">
        <v>0.13</v>
      </c>
      <c r="C414" s="2518" t="str">
        <f>"18-02-2024 03:00"</f>
        <v>18-02-2024 03:00</v>
      </c>
      <c r="D414" s="2514">
        <v>0.2</v>
      </c>
      <c r="E414" s="2518" t="str">
        <f>"18-03-2024 03:00"</f>
        <v>18-03-2024 03:00</v>
      </c>
      <c r="F414" s="2514">
        <v>0.24</v>
      </c>
      <c r="G414" s="2518" t="str">
        <f>"18-04-2024 03:00"</f>
        <v>18-04-2024 03:00</v>
      </c>
      <c r="H414" s="2514">
        <v>0.11</v>
      </c>
      <c r="I414" s="2518"/>
      <c r="J414" s="2514"/>
      <c r="K414" s="2518"/>
      <c r="L414" s="2514"/>
      <c r="M414" s="2518"/>
      <c r="N414" s="2514"/>
      <c r="O414" s="2518"/>
      <c r="P414" s="2514"/>
      <c r="Q414" s="2518"/>
      <c r="R414" s="2514"/>
      <c r="S414" s="2518"/>
      <c r="T414" s="2514"/>
      <c r="U414" s="2518"/>
      <c r="V414" s="2514"/>
      <c r="W414" s="2518"/>
      <c r="X414" s="2514"/>
    </row>
    <row r="415" spans="1:24" ht="14.4">
      <c r="A415" s="2518" t="str">
        <f>"18-01-2024 05:00"</f>
        <v>18-01-2024 05:00</v>
      </c>
      <c r="B415" s="2514">
        <v>0.18</v>
      </c>
      <c r="C415" s="2518" t="str">
        <f>"18-02-2024 04:00"</f>
        <v>18-02-2024 04:00</v>
      </c>
      <c r="D415" s="2514">
        <v>0.27</v>
      </c>
      <c r="E415" s="2518" t="str">
        <f>"18-03-2024 04:00"</f>
        <v>18-03-2024 04:00</v>
      </c>
      <c r="F415" s="2514">
        <v>0.12</v>
      </c>
      <c r="G415" s="2518" t="str">
        <f>"18-04-2024 04:00"</f>
        <v>18-04-2024 04:00</v>
      </c>
      <c r="H415" s="2514">
        <v>0.22</v>
      </c>
      <c r="I415" s="2518"/>
      <c r="J415" s="2514"/>
      <c r="K415" s="2518"/>
      <c r="L415" s="2514"/>
      <c r="M415" s="2518"/>
      <c r="N415" s="2514"/>
      <c r="O415" s="2518"/>
      <c r="P415" s="2514"/>
      <c r="Q415" s="2518"/>
      <c r="R415" s="2514"/>
      <c r="S415" s="2518"/>
      <c r="T415" s="2514"/>
      <c r="U415" s="2518"/>
      <c r="V415" s="2514"/>
      <c r="W415" s="2518"/>
      <c r="X415" s="2514"/>
    </row>
    <row r="416" spans="1:24" ht="14.4">
      <c r="A416" s="2518" t="str">
        <f>"18-01-2024 06:00"</f>
        <v>18-01-2024 06:00</v>
      </c>
      <c r="B416" s="2514">
        <v>0.18</v>
      </c>
      <c r="C416" s="2518" t="str">
        <f>"18-02-2024 05:00"</f>
        <v>18-02-2024 05:00</v>
      </c>
      <c r="D416" s="2514">
        <v>0.13</v>
      </c>
      <c r="E416" s="2518" t="str">
        <f>"18-03-2024 05:00"</f>
        <v>18-03-2024 05:00</v>
      </c>
      <c r="F416" s="2514">
        <v>0.15</v>
      </c>
      <c r="G416" s="2518" t="str">
        <f>"18-04-2024 05:00"</f>
        <v>18-04-2024 05:00</v>
      </c>
      <c r="H416" s="2514">
        <v>0.15</v>
      </c>
      <c r="I416" s="2518"/>
      <c r="J416" s="2514"/>
      <c r="K416" s="2518"/>
      <c r="L416" s="2514"/>
      <c r="M416" s="2518"/>
      <c r="N416" s="2514"/>
      <c r="O416" s="2518"/>
      <c r="P416" s="2514"/>
      <c r="Q416" s="2518"/>
      <c r="R416" s="2514"/>
      <c r="S416" s="2518"/>
      <c r="T416" s="2514"/>
      <c r="U416" s="2518"/>
      <c r="V416" s="2514"/>
      <c r="W416" s="2518"/>
      <c r="X416" s="2514"/>
    </row>
    <row r="417" spans="1:24" ht="14.4">
      <c r="A417" s="2518" t="str">
        <f>"18-01-2024 07:00"</f>
        <v>18-01-2024 07:00</v>
      </c>
      <c r="B417" s="2514">
        <v>0.1</v>
      </c>
      <c r="C417" s="2518" t="str">
        <f>"18-02-2024 06:00"</f>
        <v>18-02-2024 06:00</v>
      </c>
      <c r="D417" s="2514">
        <v>0.2</v>
      </c>
      <c r="E417" s="2518" t="str">
        <f>"18-03-2024 06:00"</f>
        <v>18-03-2024 06:00</v>
      </c>
      <c r="F417" s="2514">
        <v>0.28999999999999998</v>
      </c>
      <c r="G417" s="2518" t="str">
        <f>"18-04-2024 06:00"</f>
        <v>18-04-2024 06:00</v>
      </c>
      <c r="H417" s="2514">
        <v>0.22</v>
      </c>
      <c r="I417" s="2518"/>
      <c r="J417" s="2514"/>
      <c r="K417" s="2518"/>
      <c r="L417" s="2514"/>
      <c r="M417" s="2518"/>
      <c r="N417" s="2514"/>
      <c r="O417" s="2518"/>
      <c r="P417" s="2514"/>
      <c r="Q417" s="2518"/>
      <c r="R417" s="2514"/>
      <c r="S417" s="2518"/>
      <c r="T417" s="2514"/>
      <c r="U417" s="2518"/>
      <c r="V417" s="2514"/>
      <c r="W417" s="2518"/>
      <c r="X417" s="2514"/>
    </row>
    <row r="418" spans="1:24" ht="14.4">
      <c r="A418" s="2518" t="str">
        <f>"18-01-2024 08:00"</f>
        <v>18-01-2024 08:00</v>
      </c>
      <c r="B418" s="2514">
        <v>0.14000000000000001</v>
      </c>
      <c r="C418" s="2518" t="str">
        <f>"18-02-2024 07:00"</f>
        <v>18-02-2024 07:00</v>
      </c>
      <c r="D418" s="2514">
        <v>0.37</v>
      </c>
      <c r="E418" s="2518" t="str">
        <f>"18-03-2024 07:00"</f>
        <v>18-03-2024 07:00</v>
      </c>
      <c r="F418" s="2514">
        <v>0.61</v>
      </c>
      <c r="G418" s="2518" t="str">
        <f>"18-04-2024 07:00"</f>
        <v>18-04-2024 07:00</v>
      </c>
      <c r="H418" s="2514">
        <v>0.53</v>
      </c>
      <c r="I418" s="2518"/>
      <c r="J418" s="2514"/>
      <c r="K418" s="2518"/>
      <c r="L418" s="2514"/>
      <c r="M418" s="2518"/>
      <c r="N418" s="2514"/>
      <c r="O418" s="2518"/>
      <c r="P418" s="2514"/>
      <c r="Q418" s="2518"/>
      <c r="R418" s="2514"/>
      <c r="S418" s="2518"/>
      <c r="T418" s="2514"/>
      <c r="U418" s="2518"/>
      <c r="V418" s="2514"/>
      <c r="W418" s="2518"/>
      <c r="X418" s="2514"/>
    </row>
    <row r="419" spans="1:24" ht="14.4">
      <c r="A419" s="2518" t="str">
        <f>"18-01-2024 09:00"</f>
        <v>18-01-2024 09:00</v>
      </c>
      <c r="B419" s="2514">
        <v>0.2</v>
      </c>
      <c r="C419" s="2518" t="str">
        <f>"18-02-2024 08:00"</f>
        <v>18-02-2024 08:00</v>
      </c>
      <c r="D419" s="2514">
        <v>0.26</v>
      </c>
      <c r="E419" s="2518" t="str">
        <f>"18-03-2024 08:00"</f>
        <v>18-03-2024 08:00</v>
      </c>
      <c r="F419" s="2514">
        <v>0.34</v>
      </c>
      <c r="G419" s="2518" t="str">
        <f>"18-04-2024 08:00"</f>
        <v>18-04-2024 08:00</v>
      </c>
      <c r="H419" s="2514">
        <v>0.21</v>
      </c>
      <c r="I419" s="2518"/>
      <c r="J419" s="2514"/>
      <c r="K419" s="2518"/>
      <c r="L419" s="2514"/>
      <c r="M419" s="2518"/>
      <c r="N419" s="2514"/>
      <c r="O419" s="2518"/>
      <c r="P419" s="2514"/>
      <c r="Q419" s="2518"/>
      <c r="R419" s="2514"/>
      <c r="S419" s="2518"/>
      <c r="T419" s="2514"/>
      <c r="U419" s="2518"/>
      <c r="V419" s="2514"/>
      <c r="W419" s="2518"/>
      <c r="X419" s="2514"/>
    </row>
    <row r="420" spans="1:24" ht="14.4">
      <c r="A420" s="2518" t="str">
        <f>"18-01-2024 10:00"</f>
        <v>18-01-2024 10:00</v>
      </c>
      <c r="B420" s="2514">
        <v>0.18</v>
      </c>
      <c r="C420" s="2518" t="str">
        <f>"18-02-2024 09:00"</f>
        <v>18-02-2024 09:00</v>
      </c>
      <c r="D420" s="2514">
        <v>0.3</v>
      </c>
      <c r="E420" s="2518" t="str">
        <f>"18-03-2024 09:00"</f>
        <v>18-03-2024 09:00</v>
      </c>
      <c r="F420" s="2514">
        <v>1.02</v>
      </c>
      <c r="G420" s="2518" t="str">
        <f>"18-04-2024 09:00"</f>
        <v>18-04-2024 09:00</v>
      </c>
      <c r="H420" s="2514">
        <v>0.35</v>
      </c>
      <c r="I420" s="2518"/>
      <c r="J420" s="2514"/>
      <c r="K420" s="2518"/>
      <c r="L420" s="2514"/>
      <c r="M420" s="2518"/>
      <c r="N420" s="2514"/>
      <c r="O420" s="2518"/>
      <c r="P420" s="2514"/>
      <c r="Q420" s="2518"/>
      <c r="R420" s="2514"/>
      <c r="S420" s="2518"/>
      <c r="T420" s="2514"/>
      <c r="U420" s="2518"/>
      <c r="V420" s="2514"/>
      <c r="W420" s="2518"/>
      <c r="X420" s="2514"/>
    </row>
    <row r="421" spans="1:24" ht="14.4">
      <c r="A421" s="2518" t="str">
        <f>"18-01-2024 11:00"</f>
        <v>18-01-2024 11:00</v>
      </c>
      <c r="B421" s="2514">
        <v>0.39</v>
      </c>
      <c r="C421" s="2518" t="str">
        <f>"18-02-2024 10:00"</f>
        <v>18-02-2024 10:00</v>
      </c>
      <c r="D421" s="2514">
        <v>0.31</v>
      </c>
      <c r="E421" s="2518" t="str">
        <f>"18-03-2024 10:00"</f>
        <v>18-03-2024 10:00</v>
      </c>
      <c r="F421" s="2514">
        <v>0.79</v>
      </c>
      <c r="G421" s="2518" t="str">
        <f>"18-04-2024 10:00"</f>
        <v>18-04-2024 10:00</v>
      </c>
      <c r="H421" s="2514">
        <v>0.32</v>
      </c>
      <c r="I421" s="2518"/>
      <c r="J421" s="2514"/>
      <c r="K421" s="2518"/>
      <c r="L421" s="2514"/>
      <c r="M421" s="2518"/>
      <c r="N421" s="2514"/>
      <c r="O421" s="2518"/>
      <c r="P421" s="2514"/>
      <c r="Q421" s="2518"/>
      <c r="R421" s="2514"/>
      <c r="S421" s="2518"/>
      <c r="T421" s="2514"/>
      <c r="U421" s="2518"/>
      <c r="V421" s="2514"/>
      <c r="W421" s="2518"/>
      <c r="X421" s="2514"/>
    </row>
    <row r="422" spans="1:24" ht="14.4">
      <c r="A422" s="2518" t="str">
        <f>"18-01-2024 12:00"</f>
        <v>18-01-2024 12:00</v>
      </c>
      <c r="B422" s="2514">
        <v>0.38</v>
      </c>
      <c r="C422" s="2518" t="str">
        <f>"18-02-2024 11:00"</f>
        <v>18-02-2024 11:00</v>
      </c>
      <c r="D422" s="2514">
        <v>0.33</v>
      </c>
      <c r="E422" s="2518" t="str">
        <f>"18-03-2024 11:00"</f>
        <v>18-03-2024 11:00</v>
      </c>
      <c r="F422" s="2514">
        <v>1.1599999999999999</v>
      </c>
      <c r="G422" s="2518" t="str">
        <f>"18-04-2024 11:00"</f>
        <v>18-04-2024 11:00</v>
      </c>
      <c r="H422" s="2514">
        <v>0.45</v>
      </c>
      <c r="I422" s="2518"/>
      <c r="J422" s="2514"/>
      <c r="K422" s="2518"/>
      <c r="L422" s="2514"/>
      <c r="M422" s="2518"/>
      <c r="N422" s="2514"/>
      <c r="O422" s="2518"/>
      <c r="P422" s="2514"/>
      <c r="Q422" s="2518"/>
      <c r="R422" s="2514"/>
      <c r="S422" s="2518"/>
      <c r="T422" s="2514"/>
      <c r="U422" s="2518"/>
      <c r="V422" s="2514"/>
      <c r="W422" s="2518"/>
      <c r="X422" s="2514"/>
    </row>
    <row r="423" spans="1:24" ht="14.4">
      <c r="A423" s="2518" t="str">
        <f>"18-01-2024 13:00"</f>
        <v>18-01-2024 13:00</v>
      </c>
      <c r="B423" s="2514">
        <v>0.46</v>
      </c>
      <c r="C423" s="2518" t="str">
        <f>"18-02-2024 12:00"</f>
        <v>18-02-2024 12:00</v>
      </c>
      <c r="D423" s="2514">
        <v>0.54</v>
      </c>
      <c r="E423" s="2518" t="str">
        <f>"18-03-2024 12:00"</f>
        <v>18-03-2024 12:00</v>
      </c>
      <c r="F423" s="2514">
        <v>1.52</v>
      </c>
      <c r="G423" s="2518" t="str">
        <f>"18-04-2024 12:00"</f>
        <v>18-04-2024 12:00</v>
      </c>
      <c r="H423" s="2514">
        <v>0.42</v>
      </c>
      <c r="I423" s="2518"/>
      <c r="J423" s="2514"/>
      <c r="K423" s="2518"/>
      <c r="L423" s="2514"/>
      <c r="M423" s="2518"/>
      <c r="N423" s="2514"/>
      <c r="O423" s="2518"/>
      <c r="P423" s="2514"/>
      <c r="Q423" s="2518"/>
      <c r="R423" s="2514"/>
      <c r="S423" s="2518"/>
      <c r="T423" s="2514"/>
      <c r="U423" s="2518"/>
      <c r="V423" s="2514"/>
      <c r="W423" s="2518"/>
      <c r="X423" s="2514"/>
    </row>
    <row r="424" spans="1:24" ht="14.4">
      <c r="A424" s="2518" t="str">
        <f>"18-01-2024 14:00"</f>
        <v>18-01-2024 14:00</v>
      </c>
      <c r="B424" s="2514">
        <v>0.28999999999999998</v>
      </c>
      <c r="C424" s="2518" t="str">
        <f>"18-02-2024 13:00"</f>
        <v>18-02-2024 13:00</v>
      </c>
      <c r="D424" s="2514">
        <v>0.45</v>
      </c>
      <c r="E424" s="2518" t="str">
        <f>"18-03-2024 13:00"</f>
        <v>18-03-2024 13:00</v>
      </c>
      <c r="F424" s="2514">
        <v>1.5</v>
      </c>
      <c r="G424" s="2518" t="str">
        <f>"18-04-2024 13:00"</f>
        <v>18-04-2024 13:00</v>
      </c>
      <c r="H424" s="2514">
        <v>0.3</v>
      </c>
      <c r="I424" s="2518"/>
      <c r="J424" s="2514"/>
      <c r="K424" s="2518"/>
      <c r="L424" s="2514"/>
      <c r="M424" s="2518"/>
      <c r="N424" s="2514"/>
      <c r="O424" s="2518"/>
      <c r="P424" s="2514"/>
      <c r="Q424" s="2518"/>
      <c r="R424" s="2514"/>
      <c r="S424" s="2518"/>
      <c r="T424" s="2514"/>
      <c r="U424" s="2518"/>
      <c r="V424" s="2514"/>
      <c r="W424" s="2518"/>
      <c r="X424" s="2514"/>
    </row>
    <row r="425" spans="1:24" ht="14.4">
      <c r="A425" s="2518" t="str">
        <f>"18-01-2024 15:00"</f>
        <v>18-01-2024 15:00</v>
      </c>
      <c r="B425" s="2514">
        <v>0.52</v>
      </c>
      <c r="C425" s="2518" t="str">
        <f>"18-02-2024 14:00"</f>
        <v>18-02-2024 14:00</v>
      </c>
      <c r="D425" s="2514">
        <v>0.44</v>
      </c>
      <c r="E425" s="2518" t="str">
        <f>"18-03-2024 14:00"</f>
        <v>18-03-2024 14:00</v>
      </c>
      <c r="F425" s="2514">
        <v>1.56</v>
      </c>
      <c r="G425" s="2518" t="str">
        <f>"18-04-2024 14:00"</f>
        <v>18-04-2024 14:00</v>
      </c>
      <c r="H425" s="2514">
        <v>0.44</v>
      </c>
      <c r="I425" s="2518"/>
      <c r="J425" s="2514"/>
      <c r="K425" s="2518"/>
      <c r="L425" s="2514"/>
      <c r="M425" s="2518"/>
      <c r="N425" s="2514"/>
      <c r="O425" s="2518"/>
      <c r="P425" s="2514"/>
      <c r="Q425" s="2518"/>
      <c r="R425" s="2514"/>
      <c r="S425" s="2518"/>
      <c r="T425" s="2514"/>
      <c r="U425" s="2518"/>
      <c r="V425" s="2514"/>
      <c r="W425" s="2518"/>
      <c r="X425" s="2514"/>
    </row>
    <row r="426" spans="1:24" ht="14.4">
      <c r="A426" s="2518" t="str">
        <f>"18-01-2024 16:00"</f>
        <v>18-01-2024 16:00</v>
      </c>
      <c r="B426" s="2514">
        <v>0.39</v>
      </c>
      <c r="C426" s="2518" t="str">
        <f>"18-02-2024 15:00"</f>
        <v>18-02-2024 15:00</v>
      </c>
      <c r="D426" s="2514">
        <v>0.32</v>
      </c>
      <c r="E426" s="2518" t="str">
        <f>"18-03-2024 15:00"</f>
        <v>18-03-2024 15:00</v>
      </c>
      <c r="F426" s="2514">
        <v>0.54</v>
      </c>
      <c r="G426" s="2518" t="str">
        <f>"18-04-2024 15:00"</f>
        <v>18-04-2024 15:00</v>
      </c>
      <c r="H426" s="2514">
        <v>0.33</v>
      </c>
      <c r="I426" s="2518"/>
      <c r="J426" s="2514"/>
      <c r="K426" s="2518"/>
      <c r="L426" s="2514"/>
      <c r="M426" s="2518"/>
      <c r="N426" s="2514"/>
      <c r="O426" s="2518"/>
      <c r="P426" s="2514"/>
      <c r="Q426" s="2518"/>
      <c r="R426" s="2514"/>
      <c r="S426" s="2518"/>
      <c r="T426" s="2514"/>
      <c r="U426" s="2518"/>
      <c r="V426" s="2514"/>
      <c r="W426" s="2518"/>
      <c r="X426" s="2514"/>
    </row>
    <row r="427" spans="1:24" ht="14.4">
      <c r="A427" s="2518" t="str">
        <f>"18-01-2024 17:00"</f>
        <v>18-01-2024 17:00</v>
      </c>
      <c r="B427" s="2514">
        <v>0.41</v>
      </c>
      <c r="C427" s="2518" t="str">
        <f>"18-02-2024 16:00"</f>
        <v>18-02-2024 16:00</v>
      </c>
      <c r="D427" s="2514">
        <v>0.38</v>
      </c>
      <c r="E427" s="2518" t="str">
        <f>"18-03-2024 16:00"</f>
        <v>18-03-2024 16:00</v>
      </c>
      <c r="F427" s="2514">
        <v>0.49</v>
      </c>
      <c r="G427" s="2518" t="str">
        <f>"18-04-2024 16:00"</f>
        <v>18-04-2024 16:00</v>
      </c>
      <c r="H427" s="2514">
        <v>0.49</v>
      </c>
      <c r="I427" s="2518"/>
      <c r="J427" s="2514"/>
      <c r="K427" s="2518"/>
      <c r="L427" s="2514"/>
      <c r="M427" s="2518"/>
      <c r="N427" s="2514"/>
      <c r="O427" s="2518"/>
      <c r="P427" s="2514"/>
      <c r="Q427" s="2518"/>
      <c r="R427" s="2514"/>
      <c r="S427" s="2518"/>
      <c r="T427" s="2514"/>
      <c r="U427" s="2518"/>
      <c r="V427" s="2514"/>
      <c r="W427" s="2518"/>
      <c r="X427" s="2514"/>
    </row>
    <row r="428" spans="1:24" ht="14.4">
      <c r="A428" s="2518" t="str">
        <f>"18-01-2024 18:00"</f>
        <v>18-01-2024 18:00</v>
      </c>
      <c r="B428" s="2514">
        <v>0.69</v>
      </c>
      <c r="C428" s="2518" t="str">
        <f>"18-02-2024 17:00"</f>
        <v>18-02-2024 17:00</v>
      </c>
      <c r="D428" s="2514">
        <v>0.86</v>
      </c>
      <c r="E428" s="2518" t="str">
        <f>"18-03-2024 17:00"</f>
        <v>18-03-2024 17:00</v>
      </c>
      <c r="F428" s="2514">
        <v>0.78</v>
      </c>
      <c r="G428" s="2518" t="str">
        <f>"18-04-2024 17:00"</f>
        <v>18-04-2024 17:00</v>
      </c>
      <c r="H428" s="2514">
        <v>0.65</v>
      </c>
      <c r="I428" s="2518"/>
      <c r="J428" s="2514"/>
      <c r="K428" s="2518"/>
      <c r="L428" s="2514"/>
      <c r="M428" s="2518"/>
      <c r="N428" s="2514"/>
      <c r="O428" s="2518"/>
      <c r="P428" s="2514"/>
      <c r="Q428" s="2518"/>
      <c r="R428" s="2514"/>
      <c r="S428" s="2518"/>
      <c r="T428" s="2514"/>
      <c r="U428" s="2518"/>
      <c r="V428" s="2514"/>
      <c r="W428" s="2518"/>
      <c r="X428" s="2514"/>
    </row>
    <row r="429" spans="1:24" ht="14.4">
      <c r="A429" s="2518" t="str">
        <f>"18-01-2024 19:00"</f>
        <v>18-01-2024 19:00</v>
      </c>
      <c r="B429" s="2514">
        <v>0.45</v>
      </c>
      <c r="C429" s="2518" t="str">
        <f>"18-02-2024 18:00"</f>
        <v>18-02-2024 18:00</v>
      </c>
      <c r="D429" s="2514">
        <v>0.45</v>
      </c>
      <c r="E429" s="2518" t="str">
        <f>"18-03-2024 18:00"</f>
        <v>18-03-2024 18:00</v>
      </c>
      <c r="F429" s="2514">
        <v>0.44</v>
      </c>
      <c r="G429" s="2518" t="str">
        <f>"18-04-2024 18:00"</f>
        <v>18-04-2024 18:00</v>
      </c>
      <c r="H429" s="2514">
        <v>0.33</v>
      </c>
      <c r="I429" s="2518"/>
      <c r="J429" s="2514"/>
      <c r="K429" s="2518"/>
      <c r="L429" s="2514"/>
      <c r="M429" s="2518"/>
      <c r="N429" s="2514"/>
      <c r="O429" s="2518"/>
      <c r="P429" s="2514"/>
      <c r="Q429" s="2518"/>
      <c r="R429" s="2514"/>
      <c r="S429" s="2518"/>
      <c r="T429" s="2514"/>
      <c r="U429" s="2518"/>
      <c r="V429" s="2514"/>
      <c r="W429" s="2518"/>
      <c r="X429" s="2514"/>
    </row>
    <row r="430" spans="1:24" ht="14.4">
      <c r="A430" s="2518" t="str">
        <f>"18-01-2024 20:00"</f>
        <v>18-01-2024 20:00</v>
      </c>
      <c r="B430" s="2514">
        <v>0.34</v>
      </c>
      <c r="C430" s="2518" t="str">
        <f>"18-02-2024 19:00"</f>
        <v>18-02-2024 19:00</v>
      </c>
      <c r="D430" s="2514">
        <v>0.5</v>
      </c>
      <c r="E430" s="2518" t="str">
        <f>"18-03-2024 19:00"</f>
        <v>18-03-2024 19:00</v>
      </c>
      <c r="F430" s="2514">
        <v>0.45</v>
      </c>
      <c r="G430" s="2518" t="str">
        <f>"18-04-2024 19:00"</f>
        <v>18-04-2024 19:00</v>
      </c>
      <c r="H430" s="2514">
        <v>0.4</v>
      </c>
      <c r="I430" s="2518"/>
      <c r="J430" s="2514"/>
      <c r="K430" s="2518"/>
      <c r="L430" s="2514"/>
      <c r="M430" s="2518"/>
      <c r="N430" s="2514"/>
      <c r="O430" s="2518"/>
      <c r="P430" s="2514"/>
      <c r="Q430" s="2518"/>
      <c r="R430" s="2514"/>
      <c r="S430" s="2518"/>
      <c r="T430" s="2514"/>
      <c r="U430" s="2518"/>
      <c r="V430" s="2514"/>
      <c r="W430" s="2518"/>
      <c r="X430" s="2514"/>
    </row>
    <row r="431" spans="1:24" ht="14.4">
      <c r="A431" s="2518" t="str">
        <f>"18-01-2024 21:00"</f>
        <v>18-01-2024 21:00</v>
      </c>
      <c r="B431" s="2514">
        <v>0.4</v>
      </c>
      <c r="C431" s="2518" t="str">
        <f>"18-02-2024 20:00"</f>
        <v>18-02-2024 20:00</v>
      </c>
      <c r="D431" s="2514">
        <v>0.45</v>
      </c>
      <c r="E431" s="2518" t="str">
        <f>"18-03-2024 20:00"</f>
        <v>18-03-2024 20:00</v>
      </c>
      <c r="F431" s="2514">
        <v>0.48</v>
      </c>
      <c r="G431" s="2518" t="str">
        <f>"18-04-2024 20:00"</f>
        <v>18-04-2024 20:00</v>
      </c>
      <c r="H431" s="2514">
        <v>0.42</v>
      </c>
      <c r="I431" s="2518"/>
      <c r="J431" s="2514"/>
      <c r="K431" s="2518"/>
      <c r="L431" s="2514"/>
      <c r="M431" s="2518"/>
      <c r="N431" s="2514"/>
      <c r="O431" s="2518"/>
      <c r="P431" s="2514"/>
      <c r="Q431" s="2518"/>
      <c r="R431" s="2514"/>
      <c r="S431" s="2518"/>
      <c r="T431" s="2514"/>
      <c r="U431" s="2518"/>
      <c r="V431" s="2514"/>
      <c r="W431" s="2518"/>
      <c r="X431" s="2514"/>
    </row>
    <row r="432" spans="1:24" ht="14.4">
      <c r="A432" s="2518" t="str">
        <f>"18-01-2024 22:00"</f>
        <v>18-01-2024 22:00</v>
      </c>
      <c r="B432" s="2514">
        <v>0.42</v>
      </c>
      <c r="C432" s="2518" t="str">
        <f>"18-02-2024 21:00"</f>
        <v>18-02-2024 21:00</v>
      </c>
      <c r="D432" s="2514">
        <v>0.37</v>
      </c>
      <c r="E432" s="2518" t="str">
        <f>"18-03-2024 21:00"</f>
        <v>18-03-2024 21:00</v>
      </c>
      <c r="F432" s="2514">
        <v>0.5</v>
      </c>
      <c r="G432" s="2518" t="str">
        <f>"18-04-2024 21:00"</f>
        <v>18-04-2024 21:00</v>
      </c>
      <c r="H432" s="2514">
        <v>0.37</v>
      </c>
      <c r="I432" s="2518"/>
      <c r="J432" s="2514"/>
      <c r="K432" s="2518"/>
      <c r="L432" s="2514"/>
      <c r="M432" s="2518"/>
      <c r="N432" s="2514"/>
      <c r="O432" s="2518"/>
      <c r="P432" s="2514"/>
      <c r="Q432" s="2518"/>
      <c r="R432" s="2514"/>
      <c r="S432" s="2518"/>
      <c r="T432" s="2514"/>
      <c r="U432" s="2518"/>
      <c r="V432" s="2514"/>
      <c r="W432" s="2518"/>
      <c r="X432" s="2514"/>
    </row>
    <row r="433" spans="1:24" ht="14.4">
      <c r="A433" s="2518" t="str">
        <f>"18-01-2024 23:00"</f>
        <v>18-01-2024 23:00</v>
      </c>
      <c r="B433" s="2514">
        <v>0.26</v>
      </c>
      <c r="C433" s="2518" t="str">
        <f>"18-02-2024 22:00"</f>
        <v>18-02-2024 22:00</v>
      </c>
      <c r="D433" s="2514">
        <v>0.39</v>
      </c>
      <c r="E433" s="2518" t="str">
        <f>"18-03-2024 22:00"</f>
        <v>18-03-2024 22:00</v>
      </c>
      <c r="F433" s="2514">
        <v>0.28000000000000003</v>
      </c>
      <c r="G433" s="2518" t="str">
        <f>"18-04-2024 22:00"</f>
        <v>18-04-2024 22:00</v>
      </c>
      <c r="H433" s="2514">
        <v>0.32</v>
      </c>
      <c r="I433" s="2518"/>
      <c r="J433" s="2514"/>
      <c r="K433" s="2518"/>
      <c r="L433" s="2514"/>
      <c r="M433" s="2518"/>
      <c r="N433" s="2514"/>
      <c r="O433" s="2518"/>
      <c r="P433" s="2514"/>
      <c r="Q433" s="2518"/>
      <c r="R433" s="2514"/>
      <c r="S433" s="2518"/>
      <c r="T433" s="2514"/>
      <c r="U433" s="2518"/>
      <c r="V433" s="2514"/>
      <c r="W433" s="2518"/>
      <c r="X433" s="2514"/>
    </row>
    <row r="434" spans="1:24" s="2506" customFormat="1" ht="14.4">
      <c r="A434" s="2529" t="str">
        <f>"19-01-2024 00:00"</f>
        <v>19-01-2024 00:00</v>
      </c>
      <c r="B434" s="2521">
        <v>0.12</v>
      </c>
      <c r="C434" s="2529" t="str">
        <f>"18-02-2024 23:00"</f>
        <v>18-02-2024 23:00</v>
      </c>
      <c r="D434" s="2521">
        <v>0.17</v>
      </c>
      <c r="E434" s="2529" t="str">
        <f>"18-03-2024 23:00"</f>
        <v>18-03-2024 23:00</v>
      </c>
      <c r="F434" s="2521">
        <v>0.22</v>
      </c>
      <c r="G434" s="2529" t="str">
        <f>"18-04-2024 23:00"</f>
        <v>18-04-2024 23:00</v>
      </c>
      <c r="H434" s="2521">
        <v>0.13</v>
      </c>
      <c r="I434" s="2529"/>
      <c r="J434" s="2521"/>
      <c r="K434" s="2529"/>
      <c r="L434" s="2521"/>
      <c r="M434" s="2529"/>
      <c r="N434" s="2521"/>
      <c r="O434" s="2529"/>
      <c r="P434" s="2521"/>
      <c r="Q434" s="2529"/>
      <c r="R434" s="2521"/>
      <c r="S434" s="2529"/>
      <c r="T434" s="2521"/>
      <c r="U434" s="2529"/>
      <c r="V434" s="2521"/>
      <c r="W434" s="2529"/>
      <c r="X434" s="2521"/>
    </row>
    <row r="435" spans="1:24" ht="14.4">
      <c r="A435" s="2522" t="str">
        <f>"19-01-2024 01:00"</f>
        <v>19-01-2024 01:00</v>
      </c>
      <c r="B435" s="2523">
        <v>0.14000000000000001</v>
      </c>
      <c r="C435" s="2522" t="str">
        <f>"19-02-2024 00:00"</f>
        <v>19-02-2024 00:00</v>
      </c>
      <c r="D435" s="2523">
        <v>0.22</v>
      </c>
      <c r="E435" s="2522" t="str">
        <f>"19-03-2024 00:00"</f>
        <v>19-03-2024 00:00</v>
      </c>
      <c r="F435" s="2523">
        <v>0.32</v>
      </c>
      <c r="G435" s="2522" t="str">
        <f>"19-04-2024 00:00"</f>
        <v>19-04-2024 00:00</v>
      </c>
      <c r="H435" s="2523">
        <v>0.22</v>
      </c>
      <c r="I435" s="2522"/>
      <c r="J435" s="2523"/>
      <c r="K435" s="2522"/>
      <c r="L435" s="2523"/>
      <c r="M435" s="2522"/>
      <c r="N435" s="2523"/>
      <c r="O435" s="2522"/>
      <c r="P435" s="2523"/>
      <c r="Q435" s="2522"/>
      <c r="R435" s="2523"/>
      <c r="S435" s="2522"/>
      <c r="T435" s="2523"/>
      <c r="U435" s="2522"/>
      <c r="V435" s="2523"/>
      <c r="W435" s="2522"/>
      <c r="X435" s="2523"/>
    </row>
    <row r="436" spans="1:24" ht="14.4">
      <c r="A436" s="2519" t="str">
        <f>"19-01-2024 02:00"</f>
        <v>19-01-2024 02:00</v>
      </c>
      <c r="B436" s="2514">
        <v>0.15</v>
      </c>
      <c r="C436" s="2519" t="str">
        <f>"19-02-2024 01:00"</f>
        <v>19-02-2024 01:00</v>
      </c>
      <c r="D436" s="2514">
        <v>0.2</v>
      </c>
      <c r="E436" s="2519" t="str">
        <f>"19-03-2024 01:00"</f>
        <v>19-03-2024 01:00</v>
      </c>
      <c r="F436" s="2514">
        <v>0.26</v>
      </c>
      <c r="G436" s="2519" t="str">
        <f>"19-04-2024 01:00"</f>
        <v>19-04-2024 01:00</v>
      </c>
      <c r="H436" s="2514">
        <v>0.13</v>
      </c>
      <c r="I436" s="2519"/>
      <c r="J436" s="2514"/>
      <c r="K436" s="2519"/>
      <c r="L436" s="2514"/>
      <c r="M436" s="2519"/>
      <c r="N436" s="2514"/>
      <c r="O436" s="2519"/>
      <c r="P436" s="2514"/>
      <c r="Q436" s="2519"/>
      <c r="R436" s="2514"/>
      <c r="S436" s="2519"/>
      <c r="T436" s="2514"/>
      <c r="U436" s="2519"/>
      <c r="V436" s="2514"/>
      <c r="W436" s="2519"/>
      <c r="X436" s="2514"/>
    </row>
    <row r="437" spans="1:24" ht="14.4">
      <c r="A437" s="2519" t="str">
        <f>"19-01-2024 03:00"</f>
        <v>19-01-2024 03:00</v>
      </c>
      <c r="B437" s="2514">
        <v>0.12</v>
      </c>
      <c r="C437" s="2519" t="str">
        <f>"19-02-2024 02:00"</f>
        <v>19-02-2024 02:00</v>
      </c>
      <c r="D437" s="2514">
        <v>0.16</v>
      </c>
      <c r="E437" s="2519" t="str">
        <f>"19-03-2024 02:00"</f>
        <v>19-03-2024 02:00</v>
      </c>
      <c r="F437" s="2514">
        <v>0.23</v>
      </c>
      <c r="G437" s="2519" t="str">
        <f>"19-04-2024 02:00"</f>
        <v>19-04-2024 02:00</v>
      </c>
      <c r="H437" s="2514">
        <v>0.18</v>
      </c>
      <c r="I437" s="2519"/>
      <c r="J437" s="2514"/>
      <c r="K437" s="2519"/>
      <c r="L437" s="2514"/>
      <c r="M437" s="2519"/>
      <c r="N437" s="2514"/>
      <c r="O437" s="2519"/>
      <c r="P437" s="2514"/>
      <c r="Q437" s="2519"/>
      <c r="R437" s="2514"/>
      <c r="S437" s="2519"/>
      <c r="T437" s="2514"/>
      <c r="U437" s="2519"/>
      <c r="V437" s="2514"/>
      <c r="W437" s="2519"/>
      <c r="X437" s="2514"/>
    </row>
    <row r="438" spans="1:24" ht="14.4">
      <c r="A438" s="2519" t="str">
        <f>"19-01-2024 04:00"</f>
        <v>19-01-2024 04:00</v>
      </c>
      <c r="B438" s="2514">
        <v>0.21</v>
      </c>
      <c r="C438" s="2519" t="str">
        <f>"19-02-2024 03:00"</f>
        <v>19-02-2024 03:00</v>
      </c>
      <c r="D438" s="2514">
        <v>0.15</v>
      </c>
      <c r="E438" s="2519" t="str">
        <f>"19-03-2024 03:00"</f>
        <v>19-03-2024 03:00</v>
      </c>
      <c r="F438" s="2514">
        <v>0.25</v>
      </c>
      <c r="G438" s="2519" t="str">
        <f>"19-04-2024 03:00"</f>
        <v>19-04-2024 03:00</v>
      </c>
      <c r="H438" s="2514">
        <v>0.21</v>
      </c>
      <c r="I438" s="2519"/>
      <c r="J438" s="2514"/>
      <c r="K438" s="2519"/>
      <c r="L438" s="2514"/>
      <c r="M438" s="2519"/>
      <c r="N438" s="2514"/>
      <c r="O438" s="2519"/>
      <c r="P438" s="2514"/>
      <c r="Q438" s="2519"/>
      <c r="R438" s="2514"/>
      <c r="S438" s="2519"/>
      <c r="T438" s="2514"/>
      <c r="U438" s="2519"/>
      <c r="V438" s="2514"/>
      <c r="W438" s="2519"/>
      <c r="X438" s="2514"/>
    </row>
    <row r="439" spans="1:24" ht="14.4">
      <c r="A439" s="2519" t="str">
        <f>"19-01-2024 05:00"</f>
        <v>19-01-2024 05:00</v>
      </c>
      <c r="B439" s="2514">
        <v>0.21</v>
      </c>
      <c r="C439" s="2519" t="str">
        <f>"19-02-2024 04:00"</f>
        <v>19-02-2024 04:00</v>
      </c>
      <c r="D439" s="2514">
        <v>0.24</v>
      </c>
      <c r="E439" s="2519" t="str">
        <f>"19-03-2024 04:00"</f>
        <v>19-03-2024 04:00</v>
      </c>
      <c r="F439" s="2514">
        <v>0.22</v>
      </c>
      <c r="G439" s="2519" t="str">
        <f>"19-04-2024 04:00"</f>
        <v>19-04-2024 04:00</v>
      </c>
      <c r="H439" s="2514">
        <v>0.11</v>
      </c>
      <c r="I439" s="2519"/>
      <c r="J439" s="2514"/>
      <c r="K439" s="2519"/>
      <c r="L439" s="2514"/>
      <c r="M439" s="2519"/>
      <c r="N439" s="2514"/>
      <c r="O439" s="2519"/>
      <c r="P439" s="2514"/>
      <c r="Q439" s="2519"/>
      <c r="R439" s="2514"/>
      <c r="S439" s="2519"/>
      <c r="T439" s="2514"/>
      <c r="U439" s="2519"/>
      <c r="V439" s="2514"/>
      <c r="W439" s="2519"/>
      <c r="X439" s="2514"/>
    </row>
    <row r="440" spans="1:24" ht="14.4">
      <c r="A440" s="2519" t="str">
        <f>"19-01-2024 06:00"</f>
        <v>19-01-2024 06:00</v>
      </c>
      <c r="B440" s="2514">
        <v>0.19</v>
      </c>
      <c r="C440" s="2519" t="str">
        <f>"19-02-2024 05:00"</f>
        <v>19-02-2024 05:00</v>
      </c>
      <c r="D440" s="2514">
        <v>0.2</v>
      </c>
      <c r="E440" s="2519" t="str">
        <f>"19-03-2024 05:00"</f>
        <v>19-03-2024 05:00</v>
      </c>
      <c r="F440" s="2514">
        <v>0.32</v>
      </c>
      <c r="G440" s="2519" t="str">
        <f>"19-04-2024 05:00"</f>
        <v>19-04-2024 05:00</v>
      </c>
      <c r="H440" s="2514">
        <v>0.22</v>
      </c>
      <c r="I440" s="2519"/>
      <c r="J440" s="2514"/>
      <c r="K440" s="2519"/>
      <c r="L440" s="2514"/>
      <c r="M440" s="2519"/>
      <c r="N440" s="2514"/>
      <c r="O440" s="2519"/>
      <c r="P440" s="2514"/>
      <c r="Q440" s="2519"/>
      <c r="R440" s="2514"/>
      <c r="S440" s="2519"/>
      <c r="T440" s="2514"/>
      <c r="U440" s="2519"/>
      <c r="V440" s="2514"/>
      <c r="W440" s="2519"/>
      <c r="X440" s="2514"/>
    </row>
    <row r="441" spans="1:24" ht="14.4">
      <c r="A441" s="2519" t="str">
        <f>"19-01-2024 07:00"</f>
        <v>19-01-2024 07:00</v>
      </c>
      <c r="B441" s="2514">
        <v>0.17</v>
      </c>
      <c r="C441" s="2519" t="str">
        <f>"19-02-2024 06:00"</f>
        <v>19-02-2024 06:00</v>
      </c>
      <c r="D441" s="2514">
        <v>0.18</v>
      </c>
      <c r="E441" s="2519" t="str">
        <f>"19-03-2024 06:00"</f>
        <v>19-03-2024 06:00</v>
      </c>
      <c r="F441" s="2514">
        <v>0.23</v>
      </c>
      <c r="G441" s="2519" t="str">
        <f>"19-04-2024 06:00"</f>
        <v>19-04-2024 06:00</v>
      </c>
      <c r="H441" s="2514">
        <v>0.24</v>
      </c>
      <c r="I441" s="2519"/>
      <c r="J441" s="2514"/>
      <c r="K441" s="2519"/>
      <c r="L441" s="2514"/>
      <c r="M441" s="2519"/>
      <c r="N441" s="2514"/>
      <c r="O441" s="2519"/>
      <c r="P441" s="2514"/>
      <c r="Q441" s="2519"/>
      <c r="R441" s="2514"/>
      <c r="S441" s="2519"/>
      <c r="T441" s="2514"/>
      <c r="U441" s="2519"/>
      <c r="V441" s="2514"/>
      <c r="W441" s="2519"/>
      <c r="X441" s="2514"/>
    </row>
    <row r="442" spans="1:24" ht="14.4">
      <c r="A442" s="2519" t="str">
        <f>"19-01-2024 08:00"</f>
        <v>19-01-2024 08:00</v>
      </c>
      <c r="B442" s="2514">
        <v>0.27</v>
      </c>
      <c r="C442" s="2519" t="str">
        <f>"19-02-2024 07:00"</f>
        <v>19-02-2024 07:00</v>
      </c>
      <c r="D442" s="2514">
        <v>0.27</v>
      </c>
      <c r="E442" s="2519" t="str">
        <f>"19-03-2024 07:00"</f>
        <v>19-03-2024 07:00</v>
      </c>
      <c r="F442" s="2514">
        <v>0.21</v>
      </c>
      <c r="G442" s="2519" t="str">
        <f>"19-04-2024 07:00"</f>
        <v>19-04-2024 07:00</v>
      </c>
      <c r="H442" s="2514">
        <v>0.4</v>
      </c>
      <c r="I442" s="2519"/>
      <c r="J442" s="2514"/>
      <c r="K442" s="2519"/>
      <c r="L442" s="2514"/>
      <c r="M442" s="2519"/>
      <c r="N442" s="2514"/>
      <c r="O442" s="2519"/>
      <c r="P442" s="2514"/>
      <c r="Q442" s="2519"/>
      <c r="R442" s="2514"/>
      <c r="S442" s="2519"/>
      <c r="T442" s="2514"/>
      <c r="U442" s="2519"/>
      <c r="V442" s="2514"/>
      <c r="W442" s="2519"/>
      <c r="X442" s="2514"/>
    </row>
    <row r="443" spans="1:24" ht="14.4">
      <c r="A443" s="2519" t="str">
        <f>"19-01-2024 09:00"</f>
        <v>19-01-2024 09:00</v>
      </c>
      <c r="B443" s="2514">
        <v>0.21</v>
      </c>
      <c r="C443" s="2519" t="str">
        <f>"19-02-2024 08:00"</f>
        <v>19-02-2024 08:00</v>
      </c>
      <c r="D443" s="2514">
        <v>0.22</v>
      </c>
      <c r="E443" s="2519" t="str">
        <f>"19-03-2024 08:00"</f>
        <v>19-03-2024 08:00</v>
      </c>
      <c r="F443" s="2514">
        <v>0.5</v>
      </c>
      <c r="G443" s="2519" t="str">
        <f>"19-04-2024 08:00"</f>
        <v>19-04-2024 08:00</v>
      </c>
      <c r="H443" s="2514">
        <v>0.28999999999999998</v>
      </c>
      <c r="I443" s="2519"/>
      <c r="J443" s="2514"/>
      <c r="K443" s="2519"/>
      <c r="L443" s="2514"/>
      <c r="M443" s="2519"/>
      <c r="N443" s="2514"/>
      <c r="O443" s="2519"/>
      <c r="P443" s="2514"/>
      <c r="Q443" s="2519"/>
      <c r="R443" s="2514"/>
      <c r="S443" s="2519"/>
      <c r="T443" s="2514"/>
      <c r="U443" s="2519"/>
      <c r="V443" s="2514"/>
      <c r="W443" s="2519"/>
      <c r="X443" s="2514"/>
    </row>
    <row r="444" spans="1:24" ht="14.4">
      <c r="A444" s="2519" t="str">
        <f>"19-01-2024 10:00"</f>
        <v>19-01-2024 10:00</v>
      </c>
      <c r="B444" s="2514">
        <v>0.26</v>
      </c>
      <c r="C444" s="2519" t="str">
        <f>"19-02-2024 09:00"</f>
        <v>19-02-2024 09:00</v>
      </c>
      <c r="D444" s="2514">
        <v>0.33</v>
      </c>
      <c r="E444" s="2519" t="str">
        <f>"19-03-2024 09:00"</f>
        <v>19-03-2024 09:00</v>
      </c>
      <c r="F444" s="2514">
        <v>0.3</v>
      </c>
      <c r="G444" s="2519" t="str">
        <f>"19-04-2024 09:00"</f>
        <v>19-04-2024 09:00</v>
      </c>
      <c r="H444" s="2514">
        <v>0.2</v>
      </c>
      <c r="I444" s="2519"/>
      <c r="J444" s="2514"/>
      <c r="K444" s="2519"/>
      <c r="L444" s="2514"/>
      <c r="M444" s="2519"/>
      <c r="N444" s="2514"/>
      <c r="O444" s="2519"/>
      <c r="P444" s="2514"/>
      <c r="Q444" s="2519"/>
      <c r="R444" s="2514"/>
      <c r="S444" s="2519"/>
      <c r="T444" s="2514"/>
      <c r="U444" s="2519"/>
      <c r="V444" s="2514"/>
      <c r="W444" s="2519"/>
      <c r="X444" s="2514"/>
    </row>
    <row r="445" spans="1:24" ht="14.4">
      <c r="A445" s="2519" t="str">
        <f>"19-01-2024 11:00"</f>
        <v>19-01-2024 11:00</v>
      </c>
      <c r="B445" s="2514">
        <v>0.6</v>
      </c>
      <c r="C445" s="2519" t="str">
        <f>"19-02-2024 10:00"</f>
        <v>19-02-2024 10:00</v>
      </c>
      <c r="D445" s="2514">
        <v>0.34</v>
      </c>
      <c r="E445" s="2519" t="str">
        <f>"19-03-2024 10:00"</f>
        <v>19-03-2024 10:00</v>
      </c>
      <c r="F445" s="2514">
        <v>0.33</v>
      </c>
      <c r="G445" s="2519" t="str">
        <f>"19-04-2024 10:00"</f>
        <v>19-04-2024 10:00</v>
      </c>
      <c r="H445" s="2514">
        <v>0.36</v>
      </c>
      <c r="I445" s="2519"/>
      <c r="J445" s="2514"/>
      <c r="K445" s="2519"/>
      <c r="L445" s="2514"/>
      <c r="M445" s="2519"/>
      <c r="N445" s="2514"/>
      <c r="O445" s="2519"/>
      <c r="P445" s="2514"/>
      <c r="Q445" s="2519"/>
      <c r="R445" s="2514"/>
      <c r="S445" s="2519"/>
      <c r="T445" s="2514"/>
      <c r="U445" s="2519"/>
      <c r="V445" s="2514"/>
      <c r="W445" s="2519"/>
      <c r="X445" s="2514"/>
    </row>
    <row r="446" spans="1:24" ht="14.4">
      <c r="A446" s="2519" t="str">
        <f>"19-01-2024 12:00"</f>
        <v>19-01-2024 12:00</v>
      </c>
      <c r="B446" s="2514">
        <v>0.31</v>
      </c>
      <c r="C446" s="2519" t="str">
        <f>"19-02-2024 11:00"</f>
        <v>19-02-2024 11:00</v>
      </c>
      <c r="D446" s="2514">
        <v>0.47</v>
      </c>
      <c r="E446" s="2519" t="str">
        <f>"19-03-2024 11:00"</f>
        <v>19-03-2024 11:00</v>
      </c>
      <c r="F446" s="2514">
        <v>0.55000000000000004</v>
      </c>
      <c r="G446" s="2519" t="str">
        <f>"19-04-2024 11:00"</f>
        <v>19-04-2024 11:00</v>
      </c>
      <c r="H446" s="2514">
        <v>0.48</v>
      </c>
      <c r="I446" s="2519"/>
      <c r="J446" s="2514"/>
      <c r="K446" s="2519"/>
      <c r="L446" s="2514"/>
      <c r="M446" s="2519"/>
      <c r="N446" s="2514"/>
      <c r="O446" s="2519"/>
      <c r="P446" s="2514"/>
      <c r="Q446" s="2519"/>
      <c r="R446" s="2514"/>
      <c r="S446" s="2519"/>
      <c r="T446" s="2514"/>
      <c r="U446" s="2519"/>
      <c r="V446" s="2514"/>
      <c r="W446" s="2519"/>
      <c r="X446" s="2514"/>
    </row>
    <row r="447" spans="1:24" ht="14.4">
      <c r="A447" s="2519" t="str">
        <f>"19-01-2024 13:00"</f>
        <v>19-01-2024 13:00</v>
      </c>
      <c r="B447" s="2514">
        <v>0.26</v>
      </c>
      <c r="C447" s="2519" t="str">
        <f>"19-02-2024 12:00"</f>
        <v>19-02-2024 12:00</v>
      </c>
      <c r="D447" s="2514">
        <v>0.54</v>
      </c>
      <c r="E447" s="2519" t="str">
        <f>"19-03-2024 12:00"</f>
        <v>19-03-2024 12:00</v>
      </c>
      <c r="F447" s="2514">
        <v>0.46</v>
      </c>
      <c r="G447" s="2519" t="str">
        <f>"19-04-2024 12:00"</f>
        <v>19-04-2024 12:00</v>
      </c>
      <c r="H447" s="2514">
        <v>0.43</v>
      </c>
      <c r="I447" s="2519"/>
      <c r="J447" s="2514"/>
      <c r="K447" s="2519"/>
      <c r="L447" s="2514"/>
      <c r="M447" s="2519"/>
      <c r="N447" s="2514"/>
      <c r="O447" s="2519"/>
      <c r="P447" s="2514"/>
      <c r="Q447" s="2519"/>
      <c r="R447" s="2514"/>
      <c r="S447" s="2519"/>
      <c r="T447" s="2514"/>
      <c r="U447" s="2519"/>
      <c r="V447" s="2514"/>
      <c r="W447" s="2519"/>
      <c r="X447" s="2514"/>
    </row>
    <row r="448" spans="1:24" ht="14.4">
      <c r="A448" s="2519" t="str">
        <f>"19-01-2024 14:00"</f>
        <v>19-01-2024 14:00</v>
      </c>
      <c r="B448" s="2514">
        <v>0.34</v>
      </c>
      <c r="C448" s="2519" t="str">
        <f>"19-02-2024 13:00"</f>
        <v>19-02-2024 13:00</v>
      </c>
      <c r="D448" s="2514">
        <v>0.52</v>
      </c>
      <c r="E448" s="2519" t="str">
        <f>"19-03-2024 13:00"</f>
        <v>19-03-2024 13:00</v>
      </c>
      <c r="F448" s="2514">
        <v>0.38</v>
      </c>
      <c r="G448" s="2519" t="str">
        <f>"19-04-2024 13:00"</f>
        <v>19-04-2024 13:00</v>
      </c>
      <c r="H448" s="2514">
        <v>0.43</v>
      </c>
      <c r="I448" s="2519"/>
      <c r="J448" s="2514"/>
      <c r="K448" s="2519"/>
      <c r="L448" s="2514"/>
      <c r="M448" s="2519"/>
      <c r="N448" s="2514"/>
      <c r="O448" s="2519"/>
      <c r="P448" s="2514"/>
      <c r="Q448" s="2519"/>
      <c r="R448" s="2514"/>
      <c r="S448" s="2519"/>
      <c r="T448" s="2514"/>
      <c r="U448" s="2519"/>
      <c r="V448" s="2514"/>
      <c r="W448" s="2519"/>
      <c r="X448" s="2514"/>
    </row>
    <row r="449" spans="1:24" ht="14.4">
      <c r="A449" s="2519" t="str">
        <f>"19-01-2024 15:00"</f>
        <v>19-01-2024 15:00</v>
      </c>
      <c r="B449" s="2514">
        <v>0.3</v>
      </c>
      <c r="C449" s="2519" t="str">
        <f>"19-02-2024 14:00"</f>
        <v>19-02-2024 14:00</v>
      </c>
      <c r="D449" s="2514">
        <v>0.42</v>
      </c>
      <c r="E449" s="2519" t="str">
        <f>"19-03-2024 14:00"</f>
        <v>19-03-2024 14:00</v>
      </c>
      <c r="F449" s="2514">
        <v>0.48</v>
      </c>
      <c r="G449" s="2519" t="str">
        <f>"19-04-2024 14:00"</f>
        <v>19-04-2024 14:00</v>
      </c>
      <c r="H449" s="2514">
        <v>0.33</v>
      </c>
      <c r="I449" s="2519"/>
      <c r="J449" s="2514"/>
      <c r="K449" s="2519"/>
      <c r="L449" s="2514"/>
      <c r="M449" s="2519"/>
      <c r="N449" s="2514"/>
      <c r="O449" s="2519"/>
      <c r="P449" s="2514"/>
      <c r="Q449" s="2519"/>
      <c r="R449" s="2514"/>
      <c r="S449" s="2519"/>
      <c r="T449" s="2514"/>
      <c r="U449" s="2519"/>
      <c r="V449" s="2514"/>
      <c r="W449" s="2519"/>
      <c r="X449" s="2514"/>
    </row>
    <row r="450" spans="1:24" ht="14.4">
      <c r="A450" s="2519" t="str">
        <f>"19-01-2024 16:00"</f>
        <v>19-01-2024 16:00</v>
      </c>
      <c r="B450" s="2514">
        <v>0.32</v>
      </c>
      <c r="C450" s="2519" t="str">
        <f>"19-02-2024 15:00"</f>
        <v>19-02-2024 15:00</v>
      </c>
      <c r="D450" s="2514">
        <v>0.44</v>
      </c>
      <c r="E450" s="2519" t="str">
        <f>"19-03-2024 15:00"</f>
        <v>19-03-2024 15:00</v>
      </c>
      <c r="F450" s="2514">
        <v>0.43</v>
      </c>
      <c r="G450" s="2519" t="str">
        <f>"19-04-2024 15:00"</f>
        <v>19-04-2024 15:00</v>
      </c>
      <c r="H450" s="2514">
        <v>0.42</v>
      </c>
      <c r="I450" s="2519"/>
      <c r="J450" s="2514"/>
      <c r="K450" s="2519"/>
      <c r="L450" s="2514"/>
      <c r="M450" s="2519"/>
      <c r="N450" s="2514"/>
      <c r="O450" s="2519"/>
      <c r="P450" s="2514"/>
      <c r="Q450" s="2519"/>
      <c r="R450" s="2514"/>
      <c r="S450" s="2519"/>
      <c r="T450" s="2514"/>
      <c r="U450" s="2519"/>
      <c r="V450" s="2514"/>
      <c r="W450" s="2519"/>
      <c r="X450" s="2514"/>
    </row>
    <row r="451" spans="1:24" ht="14.4">
      <c r="A451" s="2519" t="str">
        <f>"19-01-2024 17:00"</f>
        <v>19-01-2024 17:00</v>
      </c>
      <c r="B451" s="2514">
        <v>0.38</v>
      </c>
      <c r="C451" s="2519" t="str">
        <f>"19-02-2024 16:00"</f>
        <v>19-02-2024 16:00</v>
      </c>
      <c r="D451" s="2514">
        <v>0.41</v>
      </c>
      <c r="E451" s="2519" t="str">
        <f>"19-03-2024 16:00"</f>
        <v>19-03-2024 16:00</v>
      </c>
      <c r="F451" s="2514">
        <v>0.23</v>
      </c>
      <c r="G451" s="2519" t="str">
        <f>"19-04-2024 16:00"</f>
        <v>19-04-2024 16:00</v>
      </c>
      <c r="H451" s="2514">
        <v>0.42</v>
      </c>
      <c r="I451" s="2519"/>
      <c r="J451" s="2514"/>
      <c r="K451" s="2519"/>
      <c r="L451" s="2514"/>
      <c r="M451" s="2519"/>
      <c r="N451" s="2514"/>
      <c r="O451" s="2519"/>
      <c r="P451" s="2514"/>
      <c r="Q451" s="2519"/>
      <c r="R451" s="2514"/>
      <c r="S451" s="2519"/>
      <c r="T451" s="2514"/>
      <c r="U451" s="2519"/>
      <c r="V451" s="2514"/>
      <c r="W451" s="2519"/>
      <c r="X451" s="2514"/>
    </row>
    <row r="452" spans="1:24" ht="14.4">
      <c r="A452" s="2519" t="str">
        <f>"19-01-2024 18:00"</f>
        <v>19-01-2024 18:00</v>
      </c>
      <c r="B452" s="2514">
        <v>0.33</v>
      </c>
      <c r="C452" s="2519" t="str">
        <f>"19-02-2024 17:00"</f>
        <v>19-02-2024 17:00</v>
      </c>
      <c r="D452" s="2514">
        <v>0.78</v>
      </c>
      <c r="E452" s="2519" t="str">
        <f>"19-03-2024 17:00"</f>
        <v>19-03-2024 17:00</v>
      </c>
      <c r="F452" s="2514">
        <v>0.17</v>
      </c>
      <c r="G452" s="2519" t="str">
        <f>"19-04-2024 17:00"</f>
        <v>19-04-2024 17:00</v>
      </c>
      <c r="H452" s="2514">
        <v>0.64</v>
      </c>
      <c r="I452" s="2519"/>
      <c r="J452" s="2514"/>
      <c r="K452" s="2519"/>
      <c r="L452" s="2514"/>
      <c r="M452" s="2519"/>
      <c r="N452" s="2514"/>
      <c r="O452" s="2519"/>
      <c r="P452" s="2514"/>
      <c r="Q452" s="2519"/>
      <c r="R452" s="2514"/>
      <c r="S452" s="2519"/>
      <c r="T452" s="2514"/>
      <c r="U452" s="2519"/>
      <c r="V452" s="2514"/>
      <c r="W452" s="2519"/>
      <c r="X452" s="2514"/>
    </row>
    <row r="453" spans="1:24" ht="14.4">
      <c r="A453" s="2519" t="str">
        <f>"19-01-2024 19:00"</f>
        <v>19-01-2024 19:00</v>
      </c>
      <c r="B453" s="2514">
        <v>0.42</v>
      </c>
      <c r="C453" s="2519" t="str">
        <f>"19-02-2024 18:00"</f>
        <v>19-02-2024 18:00</v>
      </c>
      <c r="D453" s="2514">
        <v>0.42</v>
      </c>
      <c r="E453" s="2519" t="str">
        <f>"19-03-2024 18:00"</f>
        <v>19-03-2024 18:00</v>
      </c>
      <c r="F453" s="2514">
        <v>0.21</v>
      </c>
      <c r="G453" s="2519" t="str">
        <f>"19-04-2024 18:00"</f>
        <v>19-04-2024 18:00</v>
      </c>
      <c r="H453" s="2514">
        <v>0.4</v>
      </c>
      <c r="I453" s="2519"/>
      <c r="J453" s="2514"/>
      <c r="K453" s="2519"/>
      <c r="L453" s="2514"/>
      <c r="M453" s="2519"/>
      <c r="N453" s="2514"/>
      <c r="O453" s="2519"/>
      <c r="P453" s="2514"/>
      <c r="Q453" s="2519"/>
      <c r="R453" s="2514"/>
      <c r="S453" s="2519"/>
      <c r="T453" s="2514"/>
      <c r="U453" s="2519"/>
      <c r="V453" s="2514"/>
      <c r="W453" s="2519"/>
      <c r="X453" s="2514"/>
    </row>
    <row r="454" spans="1:24" ht="14.4">
      <c r="A454" s="2519" t="str">
        <f>"19-01-2024 20:00"</f>
        <v>19-01-2024 20:00</v>
      </c>
      <c r="B454" s="2514">
        <v>0.4</v>
      </c>
      <c r="C454" s="2519" t="str">
        <f>"19-02-2024 19:00"</f>
        <v>19-02-2024 19:00</v>
      </c>
      <c r="D454" s="2514">
        <v>0.49</v>
      </c>
      <c r="E454" s="2519" t="str">
        <f>"19-03-2024 19:00"</f>
        <v>19-03-2024 19:00</v>
      </c>
      <c r="F454" s="2514">
        <v>0.24</v>
      </c>
      <c r="G454" s="2519" t="str">
        <f>"19-04-2024 19:00"</f>
        <v>19-04-2024 19:00</v>
      </c>
      <c r="H454" s="2514">
        <v>0.28999999999999998</v>
      </c>
      <c r="I454" s="2519"/>
      <c r="J454" s="2514"/>
      <c r="K454" s="2519"/>
      <c r="L454" s="2514"/>
      <c r="M454" s="2519"/>
      <c r="N454" s="2514"/>
      <c r="O454" s="2519"/>
      <c r="P454" s="2514"/>
      <c r="Q454" s="2519"/>
      <c r="R454" s="2514"/>
      <c r="S454" s="2519"/>
      <c r="T454" s="2514"/>
      <c r="U454" s="2519"/>
      <c r="V454" s="2514"/>
      <c r="W454" s="2519"/>
      <c r="X454" s="2514"/>
    </row>
    <row r="455" spans="1:24" ht="14.4">
      <c r="A455" s="2519" t="str">
        <f>"19-01-2024 21:00"</f>
        <v>19-01-2024 21:00</v>
      </c>
      <c r="B455" s="2514">
        <v>0.38</v>
      </c>
      <c r="C455" s="2519" t="str">
        <f>"19-02-2024 20:00"</f>
        <v>19-02-2024 20:00</v>
      </c>
      <c r="D455" s="2514">
        <v>0.47</v>
      </c>
      <c r="E455" s="2519" t="str">
        <f>"19-03-2024 20:00"</f>
        <v>19-03-2024 20:00</v>
      </c>
      <c r="F455" s="2514">
        <v>0.33</v>
      </c>
      <c r="G455" s="2519" t="str">
        <f>"19-04-2024 20:00"</f>
        <v>19-04-2024 20:00</v>
      </c>
      <c r="H455" s="2514">
        <v>0.51</v>
      </c>
      <c r="I455" s="2519"/>
      <c r="J455" s="2514"/>
      <c r="K455" s="2519"/>
      <c r="L455" s="2514"/>
      <c r="M455" s="2519"/>
      <c r="N455" s="2514"/>
      <c r="O455" s="2519"/>
      <c r="P455" s="2514"/>
      <c r="Q455" s="2519"/>
      <c r="R455" s="2514"/>
      <c r="S455" s="2519"/>
      <c r="T455" s="2514"/>
      <c r="U455" s="2519"/>
      <c r="V455" s="2514"/>
      <c r="W455" s="2519"/>
      <c r="X455" s="2514"/>
    </row>
    <row r="456" spans="1:24" ht="14.4">
      <c r="A456" s="2519" t="str">
        <f>"19-01-2024 22:00"</f>
        <v>19-01-2024 22:00</v>
      </c>
      <c r="B456" s="2514">
        <v>0.33</v>
      </c>
      <c r="C456" s="2519" t="str">
        <f>"19-02-2024 21:00"</f>
        <v>19-02-2024 21:00</v>
      </c>
      <c r="D456" s="2514">
        <v>0.44</v>
      </c>
      <c r="E456" s="2519" t="str">
        <f>"19-03-2024 21:00"</f>
        <v>19-03-2024 21:00</v>
      </c>
      <c r="F456" s="2514">
        <v>0.4</v>
      </c>
      <c r="G456" s="2519" t="str">
        <f>"19-04-2024 21:00"</f>
        <v>19-04-2024 21:00</v>
      </c>
      <c r="H456" s="2514">
        <v>0.34</v>
      </c>
      <c r="I456" s="2519"/>
      <c r="J456" s="2514"/>
      <c r="K456" s="2519"/>
      <c r="L456" s="2514"/>
      <c r="M456" s="2519"/>
      <c r="N456" s="2514"/>
      <c r="O456" s="2519"/>
      <c r="P456" s="2514"/>
      <c r="Q456" s="2519"/>
      <c r="R456" s="2514"/>
      <c r="S456" s="2519"/>
      <c r="T456" s="2514"/>
      <c r="U456" s="2519"/>
      <c r="V456" s="2514"/>
      <c r="W456" s="2519"/>
      <c r="X456" s="2514"/>
    </row>
    <row r="457" spans="1:24" ht="14.4">
      <c r="A457" s="2519" t="str">
        <f>"19-01-2024 23:00"</f>
        <v>19-01-2024 23:00</v>
      </c>
      <c r="B457" s="2514">
        <v>0.34</v>
      </c>
      <c r="C457" s="2519" t="str">
        <f>"19-02-2024 22:00"</f>
        <v>19-02-2024 22:00</v>
      </c>
      <c r="D457" s="2514">
        <v>0.23</v>
      </c>
      <c r="E457" s="2519" t="str">
        <f>"19-03-2024 22:00"</f>
        <v>19-03-2024 22:00</v>
      </c>
      <c r="F457" s="2514">
        <v>0.23</v>
      </c>
      <c r="G457" s="2519" t="str">
        <f>"19-04-2024 22:00"</f>
        <v>19-04-2024 22:00</v>
      </c>
      <c r="H457" s="2514">
        <v>0.31</v>
      </c>
      <c r="I457" s="2519"/>
      <c r="J457" s="2514"/>
      <c r="K457" s="2519"/>
      <c r="L457" s="2514"/>
      <c r="M457" s="2519"/>
      <c r="N457" s="2514"/>
      <c r="O457" s="2519"/>
      <c r="P457" s="2514"/>
      <c r="Q457" s="2519"/>
      <c r="R457" s="2514"/>
      <c r="S457" s="2519"/>
      <c r="T457" s="2514"/>
      <c r="U457" s="2519"/>
      <c r="V457" s="2514"/>
      <c r="W457" s="2519"/>
      <c r="X457" s="2514"/>
    </row>
    <row r="458" spans="1:24" s="2506" customFormat="1" ht="14.4">
      <c r="A458" s="2520" t="str">
        <f>"20-01-2024 00:00"</f>
        <v>20-01-2024 00:00</v>
      </c>
      <c r="B458" s="2521">
        <v>0.2</v>
      </c>
      <c r="C458" s="2520" t="str">
        <f>"19-02-2024 23:00"</f>
        <v>19-02-2024 23:00</v>
      </c>
      <c r="D458" s="2521">
        <v>0.26</v>
      </c>
      <c r="E458" s="2520" t="str">
        <f>"19-03-2024 23:00"</f>
        <v>19-03-2024 23:00</v>
      </c>
      <c r="F458" s="2521">
        <v>0.21</v>
      </c>
      <c r="G458" s="2520" t="str">
        <f>"19-04-2024 23:00"</f>
        <v>19-04-2024 23:00</v>
      </c>
      <c r="H458" s="2521">
        <v>0.23</v>
      </c>
      <c r="I458" s="2520"/>
      <c r="J458" s="2521"/>
      <c r="K458" s="2520"/>
      <c r="L458" s="2521"/>
      <c r="M458" s="2520"/>
      <c r="N458" s="2521"/>
      <c r="O458" s="2520"/>
      <c r="P458" s="2521"/>
      <c r="Q458" s="2520"/>
      <c r="R458" s="2521"/>
      <c r="S458" s="2520"/>
      <c r="T458" s="2521"/>
      <c r="U458" s="2520"/>
      <c r="V458" s="2521"/>
      <c r="W458" s="2520"/>
      <c r="X458" s="2521"/>
    </row>
    <row r="459" spans="1:24" ht="14.4">
      <c r="A459" s="2528" t="str">
        <f>"20-01-2024 01:00"</f>
        <v>20-01-2024 01:00</v>
      </c>
      <c r="B459" s="2523">
        <v>0.12</v>
      </c>
      <c r="C459" s="2528" t="str">
        <f>"20-02-2024 00:00"</f>
        <v>20-02-2024 00:00</v>
      </c>
      <c r="D459" s="2523">
        <v>0.19</v>
      </c>
      <c r="E459" s="2528" t="str">
        <f>"20-03-2024 00:00"</f>
        <v>20-03-2024 00:00</v>
      </c>
      <c r="F459" s="2523">
        <v>0.19</v>
      </c>
      <c r="G459" s="2528" t="str">
        <f>"20-04-2024 00:00"</f>
        <v>20-04-2024 00:00</v>
      </c>
      <c r="H459" s="2523">
        <v>0.12</v>
      </c>
      <c r="I459" s="2528"/>
      <c r="J459" s="2523"/>
      <c r="K459" s="2528"/>
      <c r="L459" s="2523"/>
      <c r="M459" s="2528"/>
      <c r="N459" s="2523"/>
      <c r="O459" s="2528"/>
      <c r="P459" s="2523"/>
      <c r="Q459" s="2528"/>
      <c r="R459" s="2523"/>
      <c r="S459" s="2528"/>
      <c r="T459" s="2523"/>
      <c r="U459" s="2528"/>
      <c r="V459" s="2523"/>
      <c r="W459" s="2528"/>
      <c r="X459" s="2523"/>
    </row>
    <row r="460" spans="1:24" ht="14.4">
      <c r="A460" s="2518" t="str">
        <f>"20-01-2024 02:00"</f>
        <v>20-01-2024 02:00</v>
      </c>
      <c r="B460" s="2514">
        <v>0.18</v>
      </c>
      <c r="C460" s="2518" t="str">
        <f>"20-02-2024 01:00"</f>
        <v>20-02-2024 01:00</v>
      </c>
      <c r="D460" s="2514">
        <v>0.17</v>
      </c>
      <c r="E460" s="2518" t="str">
        <f>"20-03-2024 01:00"</f>
        <v>20-03-2024 01:00</v>
      </c>
      <c r="F460" s="2514">
        <v>0.12</v>
      </c>
      <c r="G460" s="2518" t="str">
        <f>"20-04-2024 01:00"</f>
        <v>20-04-2024 01:00</v>
      </c>
      <c r="H460" s="2514">
        <v>0.2</v>
      </c>
      <c r="I460" s="2518"/>
      <c r="J460" s="2514"/>
      <c r="K460" s="2518"/>
      <c r="L460" s="2514"/>
      <c r="M460" s="2518"/>
      <c r="N460" s="2514"/>
      <c r="O460" s="2518"/>
      <c r="P460" s="2514"/>
      <c r="Q460" s="2518"/>
      <c r="R460" s="2514"/>
      <c r="S460" s="2518"/>
      <c r="T460" s="2514"/>
      <c r="U460" s="2518"/>
      <c r="V460" s="2514"/>
      <c r="W460" s="2518"/>
      <c r="X460" s="2514"/>
    </row>
    <row r="461" spans="1:24" ht="14.4">
      <c r="A461" s="2518" t="str">
        <f>"20-01-2024 03:00"</f>
        <v>20-01-2024 03:00</v>
      </c>
      <c r="B461" s="2514">
        <v>0.21</v>
      </c>
      <c r="C461" s="2518" t="str">
        <f>"20-02-2024 02:00"</f>
        <v>20-02-2024 02:00</v>
      </c>
      <c r="D461" s="2514">
        <v>0.22</v>
      </c>
      <c r="E461" s="2518" t="str">
        <f>"20-03-2024 02:00"</f>
        <v>20-03-2024 02:00</v>
      </c>
      <c r="F461" s="2514">
        <v>0.16</v>
      </c>
      <c r="G461" s="2518" t="str">
        <f>"20-04-2024 02:00"</f>
        <v>20-04-2024 02:00</v>
      </c>
      <c r="H461" s="2514">
        <v>0.15</v>
      </c>
      <c r="I461" s="2518"/>
      <c r="J461" s="2514"/>
      <c r="K461" s="2518"/>
      <c r="L461" s="2514"/>
      <c r="M461" s="2518"/>
      <c r="N461" s="2514"/>
      <c r="O461" s="2518"/>
      <c r="P461" s="2514"/>
      <c r="Q461" s="2518"/>
      <c r="R461" s="2514"/>
      <c r="S461" s="2518"/>
      <c r="T461" s="2514"/>
      <c r="U461" s="2518"/>
      <c r="V461" s="2514"/>
      <c r="W461" s="2518"/>
      <c r="X461" s="2514"/>
    </row>
    <row r="462" spans="1:24" ht="14.4">
      <c r="A462" s="2518" t="str">
        <f>"20-01-2024 04:00"</f>
        <v>20-01-2024 04:00</v>
      </c>
      <c r="B462" s="2514">
        <v>0.18</v>
      </c>
      <c r="C462" s="2518" t="str">
        <f>"20-02-2024 03:00"</f>
        <v>20-02-2024 03:00</v>
      </c>
      <c r="D462" s="2514">
        <v>0.14000000000000001</v>
      </c>
      <c r="E462" s="2518" t="str">
        <f>"20-03-2024 03:00"</f>
        <v>20-03-2024 03:00</v>
      </c>
      <c r="F462" s="2514">
        <v>0.12</v>
      </c>
      <c r="G462" s="2518" t="str">
        <f>"20-04-2024 03:00"</f>
        <v>20-04-2024 03:00</v>
      </c>
      <c r="H462" s="2514">
        <v>0.17</v>
      </c>
      <c r="I462" s="2518"/>
      <c r="J462" s="2514"/>
      <c r="K462" s="2518"/>
      <c r="L462" s="2514"/>
      <c r="M462" s="2518"/>
      <c r="N462" s="2514"/>
      <c r="O462" s="2518"/>
      <c r="P462" s="2514"/>
      <c r="Q462" s="2518"/>
      <c r="R462" s="2514"/>
      <c r="S462" s="2518"/>
      <c r="T462" s="2514"/>
      <c r="U462" s="2518"/>
      <c r="V462" s="2514"/>
      <c r="W462" s="2518"/>
      <c r="X462" s="2514"/>
    </row>
    <row r="463" spans="1:24" ht="14.4">
      <c r="A463" s="2518" t="str">
        <f>"20-01-2024 05:00"</f>
        <v>20-01-2024 05:00</v>
      </c>
      <c r="B463" s="2514">
        <v>0.14000000000000001</v>
      </c>
      <c r="C463" s="2518" t="str">
        <f>"20-02-2024 04:00"</f>
        <v>20-02-2024 04:00</v>
      </c>
      <c r="D463" s="2514">
        <v>0.17</v>
      </c>
      <c r="E463" s="2518" t="str">
        <f>"20-03-2024 04:00"</f>
        <v>20-03-2024 04:00</v>
      </c>
      <c r="F463" s="2514">
        <v>0.21</v>
      </c>
      <c r="G463" s="2518" t="str">
        <f>"20-04-2024 04:00"</f>
        <v>20-04-2024 04:00</v>
      </c>
      <c r="H463" s="2514">
        <v>0.17</v>
      </c>
      <c r="I463" s="2518"/>
      <c r="J463" s="2514"/>
      <c r="K463" s="2518"/>
      <c r="L463" s="2514"/>
      <c r="M463" s="2518"/>
      <c r="N463" s="2514"/>
      <c r="O463" s="2518"/>
      <c r="P463" s="2514"/>
      <c r="Q463" s="2518"/>
      <c r="R463" s="2514"/>
      <c r="S463" s="2518"/>
      <c r="T463" s="2514"/>
      <c r="U463" s="2518"/>
      <c r="V463" s="2514"/>
      <c r="W463" s="2518"/>
      <c r="X463" s="2514"/>
    </row>
    <row r="464" spans="1:24" ht="14.4">
      <c r="A464" s="2518" t="str">
        <f>"20-01-2024 06:00"</f>
        <v>20-01-2024 06:00</v>
      </c>
      <c r="B464" s="2514">
        <v>0.12</v>
      </c>
      <c r="C464" s="2518" t="str">
        <f>"20-02-2024 05:00"</f>
        <v>20-02-2024 05:00</v>
      </c>
      <c r="D464" s="2514">
        <v>0.23</v>
      </c>
      <c r="E464" s="2518" t="str">
        <f>"20-03-2024 05:00"</f>
        <v>20-03-2024 05:00</v>
      </c>
      <c r="F464" s="2514">
        <v>0.15</v>
      </c>
      <c r="G464" s="2518" t="str">
        <f>"20-04-2024 05:00"</f>
        <v>20-04-2024 05:00</v>
      </c>
      <c r="H464" s="2514">
        <v>0.17</v>
      </c>
      <c r="I464" s="2518"/>
      <c r="J464" s="2514"/>
      <c r="K464" s="2518"/>
      <c r="L464" s="2514"/>
      <c r="M464" s="2518"/>
      <c r="N464" s="2514"/>
      <c r="O464" s="2518"/>
      <c r="P464" s="2514"/>
      <c r="Q464" s="2518"/>
      <c r="R464" s="2514"/>
      <c r="S464" s="2518"/>
      <c r="T464" s="2514"/>
      <c r="U464" s="2518"/>
      <c r="V464" s="2514"/>
      <c r="W464" s="2518"/>
      <c r="X464" s="2514"/>
    </row>
    <row r="465" spans="1:24" ht="14.4">
      <c r="A465" s="2518" t="str">
        <f>"20-01-2024 07:00"</f>
        <v>20-01-2024 07:00</v>
      </c>
      <c r="B465" s="2514">
        <v>0.13</v>
      </c>
      <c r="C465" s="2518" t="str">
        <f>"20-02-2024 06:00"</f>
        <v>20-02-2024 06:00</v>
      </c>
      <c r="D465" s="2514">
        <v>0.23</v>
      </c>
      <c r="E465" s="2518" t="str">
        <f>"20-03-2024 06:00"</f>
        <v>20-03-2024 06:00</v>
      </c>
      <c r="F465" s="2514">
        <v>0.14000000000000001</v>
      </c>
      <c r="G465" s="2518" t="str">
        <f>"20-04-2024 06:00"</f>
        <v>20-04-2024 06:00</v>
      </c>
      <c r="H465" s="2514">
        <v>0.12</v>
      </c>
      <c r="I465" s="2518"/>
      <c r="J465" s="2514"/>
      <c r="K465" s="2518"/>
      <c r="L465" s="2514"/>
      <c r="M465" s="2518"/>
      <c r="N465" s="2514"/>
      <c r="O465" s="2518"/>
      <c r="P465" s="2514"/>
      <c r="Q465" s="2518"/>
      <c r="R465" s="2514"/>
      <c r="S465" s="2518"/>
      <c r="T465" s="2514"/>
      <c r="U465" s="2518"/>
      <c r="V465" s="2514"/>
      <c r="W465" s="2518"/>
      <c r="X465" s="2514"/>
    </row>
    <row r="466" spans="1:24" ht="14.4">
      <c r="A466" s="2518" t="str">
        <f>"20-01-2024 08:00"</f>
        <v>20-01-2024 08:00</v>
      </c>
      <c r="B466" s="2514">
        <v>0.19</v>
      </c>
      <c r="C466" s="2518" t="str">
        <f>"20-02-2024 07:00"</f>
        <v>20-02-2024 07:00</v>
      </c>
      <c r="D466" s="2514">
        <v>0.26</v>
      </c>
      <c r="E466" s="2518" t="str">
        <f>"20-03-2024 07:00"</f>
        <v>20-03-2024 07:00</v>
      </c>
      <c r="F466" s="2514">
        <v>0.44</v>
      </c>
      <c r="G466" s="2518" t="str">
        <f>"20-04-2024 07:00"</f>
        <v>20-04-2024 07:00</v>
      </c>
      <c r="H466" s="2514">
        <v>0.28999999999999998</v>
      </c>
      <c r="I466" s="2518"/>
      <c r="J466" s="2514"/>
      <c r="K466" s="2518"/>
      <c r="L466" s="2514"/>
      <c r="M466" s="2518"/>
      <c r="N466" s="2514"/>
      <c r="O466" s="2518"/>
      <c r="P466" s="2514"/>
      <c r="Q466" s="2518"/>
      <c r="R466" s="2514"/>
      <c r="S466" s="2518"/>
      <c r="T466" s="2514"/>
      <c r="U466" s="2518"/>
      <c r="V466" s="2514"/>
      <c r="W466" s="2518"/>
      <c r="X466" s="2514"/>
    </row>
    <row r="467" spans="1:24" ht="14.4">
      <c r="A467" s="2518" t="str">
        <f>"20-01-2024 09:00"</f>
        <v>20-01-2024 09:00</v>
      </c>
      <c r="B467" s="2514">
        <v>0.33</v>
      </c>
      <c r="C467" s="2518" t="str">
        <f>"20-02-2024 08:00"</f>
        <v>20-02-2024 08:00</v>
      </c>
      <c r="D467" s="2514">
        <v>0.53</v>
      </c>
      <c r="E467" s="2518" t="str">
        <f>"20-03-2024 08:00"</f>
        <v>20-03-2024 08:00</v>
      </c>
      <c r="F467" s="2514">
        <v>0.59</v>
      </c>
      <c r="G467" s="2518" t="str">
        <f>"20-04-2024 08:00"</f>
        <v>20-04-2024 08:00</v>
      </c>
      <c r="H467" s="2514">
        <v>0.38</v>
      </c>
      <c r="I467" s="2518"/>
      <c r="J467" s="2514"/>
      <c r="K467" s="2518"/>
      <c r="L467" s="2514"/>
      <c r="M467" s="2518"/>
      <c r="N467" s="2514"/>
      <c r="O467" s="2518"/>
      <c r="P467" s="2514"/>
      <c r="Q467" s="2518"/>
      <c r="R467" s="2514"/>
      <c r="S467" s="2518"/>
      <c r="T467" s="2514"/>
      <c r="U467" s="2518"/>
      <c r="V467" s="2514"/>
      <c r="W467" s="2518"/>
      <c r="X467" s="2514"/>
    </row>
    <row r="468" spans="1:24" ht="14.4">
      <c r="A468" s="2518" t="str">
        <f>"20-01-2024 10:00"</f>
        <v>20-01-2024 10:00</v>
      </c>
      <c r="B468" s="2514">
        <v>0.35</v>
      </c>
      <c r="C468" s="2518" t="str">
        <f>"20-02-2024 09:00"</f>
        <v>20-02-2024 09:00</v>
      </c>
      <c r="D468" s="2514">
        <v>0.45</v>
      </c>
      <c r="E468" s="2518" t="str">
        <f>"20-03-2024 09:00"</f>
        <v>20-03-2024 09:00</v>
      </c>
      <c r="F468" s="2514">
        <v>0.31</v>
      </c>
      <c r="G468" s="2518" t="str">
        <f>"20-04-2024 09:00"</f>
        <v>20-04-2024 09:00</v>
      </c>
      <c r="H468" s="2514">
        <v>0.27</v>
      </c>
      <c r="I468" s="2518"/>
      <c r="J468" s="2514"/>
      <c r="K468" s="2518"/>
      <c r="L468" s="2514"/>
      <c r="M468" s="2518"/>
      <c r="N468" s="2514"/>
      <c r="O468" s="2518"/>
      <c r="P468" s="2514"/>
      <c r="Q468" s="2518"/>
      <c r="R468" s="2514"/>
      <c r="S468" s="2518"/>
      <c r="T468" s="2514"/>
      <c r="U468" s="2518"/>
      <c r="V468" s="2514"/>
      <c r="W468" s="2518"/>
      <c r="X468" s="2514"/>
    </row>
    <row r="469" spans="1:24" ht="14.4">
      <c r="A469" s="2518" t="str">
        <f>"20-01-2024 11:00"</f>
        <v>20-01-2024 11:00</v>
      </c>
      <c r="B469" s="2514">
        <v>0.28999999999999998</v>
      </c>
      <c r="C469" s="2518" t="str">
        <f>"20-02-2024 10:00"</f>
        <v>20-02-2024 10:00</v>
      </c>
      <c r="D469" s="2514">
        <v>0.26</v>
      </c>
      <c r="E469" s="2518" t="str">
        <f>"20-03-2024 10:00"</f>
        <v>20-03-2024 10:00</v>
      </c>
      <c r="F469" s="2514">
        <v>0.3</v>
      </c>
      <c r="G469" s="2518" t="str">
        <f>"20-04-2024 10:00"</f>
        <v>20-04-2024 10:00</v>
      </c>
      <c r="H469" s="2514">
        <v>0.23</v>
      </c>
      <c r="I469" s="2518"/>
      <c r="J469" s="2514"/>
      <c r="K469" s="2518"/>
      <c r="L469" s="2514"/>
      <c r="M469" s="2518"/>
      <c r="N469" s="2514"/>
      <c r="O469" s="2518"/>
      <c r="P469" s="2514"/>
      <c r="Q469" s="2518"/>
      <c r="R469" s="2514"/>
      <c r="S469" s="2518"/>
      <c r="T469" s="2514"/>
      <c r="U469" s="2518"/>
      <c r="V469" s="2514"/>
      <c r="W469" s="2518"/>
      <c r="X469" s="2514"/>
    </row>
    <row r="470" spans="1:24" ht="14.4">
      <c r="A470" s="2518" t="str">
        <f>"20-01-2024 12:00"</f>
        <v>20-01-2024 12:00</v>
      </c>
      <c r="B470" s="2514">
        <v>0.42</v>
      </c>
      <c r="C470" s="2518" t="str">
        <f>"20-02-2024 11:00"</f>
        <v>20-02-2024 11:00</v>
      </c>
      <c r="D470" s="2514">
        <v>0.42</v>
      </c>
      <c r="E470" s="2518" t="str">
        <f>"20-03-2024 11:00"</f>
        <v>20-03-2024 11:00</v>
      </c>
      <c r="F470" s="2514">
        <v>0.28000000000000003</v>
      </c>
      <c r="G470" s="2518" t="str">
        <f>"20-04-2024 11:00"</f>
        <v>20-04-2024 11:00</v>
      </c>
      <c r="H470" s="2514">
        <v>0.68</v>
      </c>
      <c r="I470" s="2518"/>
      <c r="J470" s="2514"/>
      <c r="K470" s="2518"/>
      <c r="L470" s="2514"/>
      <c r="M470" s="2518"/>
      <c r="N470" s="2514"/>
      <c r="O470" s="2518"/>
      <c r="P470" s="2514"/>
      <c r="Q470" s="2518"/>
      <c r="R470" s="2514"/>
      <c r="S470" s="2518"/>
      <c r="T470" s="2514"/>
      <c r="U470" s="2518"/>
      <c r="V470" s="2514"/>
      <c r="W470" s="2518"/>
      <c r="X470" s="2514"/>
    </row>
    <row r="471" spans="1:24" ht="14.4">
      <c r="A471" s="2518" t="str">
        <f>"20-01-2024 13:00"</f>
        <v>20-01-2024 13:00</v>
      </c>
      <c r="B471" s="2514">
        <v>0.3</v>
      </c>
      <c r="C471" s="2518" t="str">
        <f>"20-02-2024 12:00"</f>
        <v>20-02-2024 12:00</v>
      </c>
      <c r="D471" s="2514">
        <v>0.39</v>
      </c>
      <c r="E471" s="2518" t="str">
        <f>"20-03-2024 12:00"</f>
        <v>20-03-2024 12:00</v>
      </c>
      <c r="F471" s="2514">
        <v>0.34</v>
      </c>
      <c r="G471" s="2518" t="str">
        <f>"20-04-2024 12:00"</f>
        <v>20-04-2024 12:00</v>
      </c>
      <c r="H471" s="2514">
        <v>0.4</v>
      </c>
      <c r="I471" s="2518"/>
      <c r="J471" s="2514"/>
      <c r="K471" s="2518"/>
      <c r="L471" s="2514"/>
      <c r="M471" s="2518"/>
      <c r="N471" s="2514"/>
      <c r="O471" s="2518"/>
      <c r="P471" s="2514"/>
      <c r="Q471" s="2518"/>
      <c r="R471" s="2514"/>
      <c r="S471" s="2518"/>
      <c r="T471" s="2514"/>
      <c r="U471" s="2518"/>
      <c r="V471" s="2514"/>
      <c r="W471" s="2518"/>
      <c r="X471" s="2514"/>
    </row>
    <row r="472" spans="1:24" ht="14.4">
      <c r="A472" s="2518" t="str">
        <f>"20-01-2024 14:00"</f>
        <v>20-01-2024 14:00</v>
      </c>
      <c r="B472" s="2514">
        <v>0.36</v>
      </c>
      <c r="C472" s="2518" t="str">
        <f>"20-02-2024 13:00"</f>
        <v>20-02-2024 13:00</v>
      </c>
      <c r="D472" s="2514">
        <v>0.44</v>
      </c>
      <c r="E472" s="2518" t="str">
        <f>"20-03-2024 13:00"</f>
        <v>20-03-2024 13:00</v>
      </c>
      <c r="F472" s="2514">
        <v>0.32</v>
      </c>
      <c r="G472" s="2518" t="str">
        <f>"20-04-2024 13:00"</f>
        <v>20-04-2024 13:00</v>
      </c>
      <c r="H472" s="2514">
        <v>0.33</v>
      </c>
      <c r="I472" s="2518"/>
      <c r="J472" s="2514"/>
      <c r="K472" s="2518"/>
      <c r="L472" s="2514"/>
      <c r="M472" s="2518"/>
      <c r="N472" s="2514"/>
      <c r="O472" s="2518"/>
      <c r="P472" s="2514"/>
      <c r="Q472" s="2518"/>
      <c r="R472" s="2514"/>
      <c r="S472" s="2518"/>
      <c r="T472" s="2514"/>
      <c r="U472" s="2518"/>
      <c r="V472" s="2514"/>
      <c r="W472" s="2518"/>
      <c r="X472" s="2514"/>
    </row>
    <row r="473" spans="1:24" ht="14.4">
      <c r="A473" s="2518" t="str">
        <f>"20-01-2024 15:00"</f>
        <v>20-01-2024 15:00</v>
      </c>
      <c r="B473" s="2514">
        <v>0.52</v>
      </c>
      <c r="C473" s="2518" t="str">
        <f>"20-02-2024 14:00"</f>
        <v>20-02-2024 14:00</v>
      </c>
      <c r="D473" s="2514">
        <v>0.4</v>
      </c>
      <c r="E473" s="2518" t="str">
        <f>"20-03-2024 14:00"</f>
        <v>20-03-2024 14:00</v>
      </c>
      <c r="F473" s="2514">
        <v>0.35</v>
      </c>
      <c r="G473" s="2518" t="str">
        <f>"20-04-2024 14:00"</f>
        <v>20-04-2024 14:00</v>
      </c>
      <c r="H473" s="2514">
        <v>0.37</v>
      </c>
      <c r="I473" s="2518"/>
      <c r="J473" s="2514"/>
      <c r="K473" s="2518"/>
      <c r="L473" s="2514"/>
      <c r="M473" s="2518"/>
      <c r="N473" s="2514"/>
      <c r="O473" s="2518"/>
      <c r="P473" s="2514"/>
      <c r="Q473" s="2518"/>
      <c r="R473" s="2514"/>
      <c r="S473" s="2518"/>
      <c r="T473" s="2514"/>
      <c r="U473" s="2518"/>
      <c r="V473" s="2514"/>
      <c r="W473" s="2518"/>
      <c r="X473" s="2514"/>
    </row>
    <row r="474" spans="1:24" ht="14.4">
      <c r="A474" s="2518" t="str">
        <f>"20-01-2024 16:00"</f>
        <v>20-01-2024 16:00</v>
      </c>
      <c r="B474" s="2514">
        <v>0.46</v>
      </c>
      <c r="C474" s="2518" t="str">
        <f>"20-02-2024 15:00"</f>
        <v>20-02-2024 15:00</v>
      </c>
      <c r="D474" s="2514">
        <v>0.34</v>
      </c>
      <c r="E474" s="2518" t="str">
        <f>"20-03-2024 15:00"</f>
        <v>20-03-2024 15:00</v>
      </c>
      <c r="F474" s="2514">
        <v>0.31</v>
      </c>
      <c r="G474" s="2518" t="str">
        <f>"20-04-2024 15:00"</f>
        <v>20-04-2024 15:00</v>
      </c>
      <c r="H474" s="2514">
        <v>0.47</v>
      </c>
      <c r="I474" s="2518"/>
      <c r="J474" s="2514"/>
      <c r="K474" s="2518"/>
      <c r="L474" s="2514"/>
      <c r="M474" s="2518"/>
      <c r="N474" s="2514"/>
      <c r="O474" s="2518"/>
      <c r="P474" s="2514"/>
      <c r="Q474" s="2518"/>
      <c r="R474" s="2514"/>
      <c r="S474" s="2518"/>
      <c r="T474" s="2514"/>
      <c r="U474" s="2518"/>
      <c r="V474" s="2514"/>
      <c r="W474" s="2518"/>
      <c r="X474" s="2514"/>
    </row>
    <row r="475" spans="1:24" ht="14.4">
      <c r="A475" s="2518" t="str">
        <f>"20-01-2024 17:00"</f>
        <v>20-01-2024 17:00</v>
      </c>
      <c r="B475" s="2514">
        <v>0.4</v>
      </c>
      <c r="C475" s="2518" t="str">
        <f>"20-02-2024 16:00"</f>
        <v>20-02-2024 16:00</v>
      </c>
      <c r="D475" s="2514">
        <v>0.49</v>
      </c>
      <c r="E475" s="2518" t="str">
        <f>"20-03-2024 16:00"</f>
        <v>20-03-2024 16:00</v>
      </c>
      <c r="F475" s="2514">
        <v>0.42</v>
      </c>
      <c r="G475" s="2518" t="str">
        <f>"20-04-2024 16:00"</f>
        <v>20-04-2024 16:00</v>
      </c>
      <c r="H475" s="2514">
        <v>0.35</v>
      </c>
      <c r="I475" s="2518"/>
      <c r="J475" s="2514"/>
      <c r="K475" s="2518"/>
      <c r="L475" s="2514"/>
      <c r="M475" s="2518"/>
      <c r="N475" s="2514"/>
      <c r="O475" s="2518"/>
      <c r="P475" s="2514"/>
      <c r="Q475" s="2518"/>
      <c r="R475" s="2514"/>
      <c r="S475" s="2518"/>
      <c r="T475" s="2514"/>
      <c r="U475" s="2518"/>
      <c r="V475" s="2514"/>
      <c r="W475" s="2518"/>
      <c r="X475" s="2514"/>
    </row>
    <row r="476" spans="1:24" ht="14.4">
      <c r="A476" s="2518" t="str">
        <f>"20-01-2024 18:00"</f>
        <v>20-01-2024 18:00</v>
      </c>
      <c r="B476" s="2514">
        <v>0.48</v>
      </c>
      <c r="C476" s="2518" t="str">
        <f>"20-02-2024 17:00"</f>
        <v>20-02-2024 17:00</v>
      </c>
      <c r="D476" s="2514">
        <v>0.59</v>
      </c>
      <c r="E476" s="2518" t="str">
        <f>"20-03-2024 17:00"</f>
        <v>20-03-2024 17:00</v>
      </c>
      <c r="F476" s="2514">
        <v>0.44</v>
      </c>
      <c r="G476" s="2518" t="str">
        <f>"20-04-2024 17:00"</f>
        <v>20-04-2024 17:00</v>
      </c>
      <c r="H476" s="2514">
        <v>0.92</v>
      </c>
      <c r="I476" s="2518"/>
      <c r="J476" s="2514"/>
      <c r="K476" s="2518"/>
      <c r="L476" s="2514"/>
      <c r="M476" s="2518"/>
      <c r="N476" s="2514"/>
      <c r="O476" s="2518"/>
      <c r="P476" s="2514"/>
      <c r="Q476" s="2518"/>
      <c r="R476" s="2514"/>
      <c r="S476" s="2518"/>
      <c r="T476" s="2514"/>
      <c r="U476" s="2518"/>
      <c r="V476" s="2514"/>
      <c r="W476" s="2518"/>
      <c r="X476" s="2514"/>
    </row>
    <row r="477" spans="1:24" ht="14.4">
      <c r="A477" s="2518" t="str">
        <f>"20-01-2024 19:00"</f>
        <v>20-01-2024 19:00</v>
      </c>
      <c r="B477" s="2514">
        <v>0.33</v>
      </c>
      <c r="C477" s="2518" t="str">
        <f>"20-02-2024 18:00"</f>
        <v>20-02-2024 18:00</v>
      </c>
      <c r="D477" s="2514">
        <v>0.48</v>
      </c>
      <c r="E477" s="2518" t="str">
        <f>"20-03-2024 18:00"</f>
        <v>20-03-2024 18:00</v>
      </c>
      <c r="F477" s="2514">
        <v>0.38</v>
      </c>
      <c r="G477" s="2518" t="str">
        <f>"20-04-2024 18:00"</f>
        <v>20-04-2024 18:00</v>
      </c>
      <c r="H477" s="2514">
        <v>0.42</v>
      </c>
      <c r="I477" s="2518"/>
      <c r="J477" s="2514"/>
      <c r="K477" s="2518"/>
      <c r="L477" s="2514"/>
      <c r="M477" s="2518"/>
      <c r="N477" s="2514"/>
      <c r="O477" s="2518"/>
      <c r="P477" s="2514"/>
      <c r="Q477" s="2518"/>
      <c r="R477" s="2514"/>
      <c r="S477" s="2518"/>
      <c r="T477" s="2514"/>
      <c r="U477" s="2518"/>
      <c r="V477" s="2514"/>
      <c r="W477" s="2518"/>
      <c r="X477" s="2514"/>
    </row>
    <row r="478" spans="1:24" ht="14.4">
      <c r="A478" s="2518" t="str">
        <f>"20-01-2024 20:00"</f>
        <v>20-01-2024 20:00</v>
      </c>
      <c r="B478" s="2514">
        <v>0.39</v>
      </c>
      <c r="C478" s="2518" t="str">
        <f>"20-02-2024 19:00"</f>
        <v>20-02-2024 19:00</v>
      </c>
      <c r="D478" s="2514">
        <v>0.44</v>
      </c>
      <c r="E478" s="2518" t="str">
        <f>"20-03-2024 19:00"</f>
        <v>20-03-2024 19:00</v>
      </c>
      <c r="F478" s="2514">
        <v>0.39</v>
      </c>
      <c r="G478" s="2518" t="str">
        <f>"20-04-2024 19:00"</f>
        <v>20-04-2024 19:00</v>
      </c>
      <c r="H478" s="2514">
        <v>0.3</v>
      </c>
      <c r="I478" s="2518"/>
      <c r="J478" s="2514"/>
      <c r="K478" s="2518"/>
      <c r="L478" s="2514"/>
      <c r="M478" s="2518"/>
      <c r="N478" s="2514"/>
      <c r="O478" s="2518"/>
      <c r="P478" s="2514"/>
      <c r="Q478" s="2518"/>
      <c r="R478" s="2514"/>
      <c r="S478" s="2518"/>
      <c r="T478" s="2514"/>
      <c r="U478" s="2518"/>
      <c r="V478" s="2514"/>
      <c r="W478" s="2518"/>
      <c r="X478" s="2514"/>
    </row>
    <row r="479" spans="1:24" ht="14.4">
      <c r="A479" s="2518" t="str">
        <f>"20-01-2024 21:00"</f>
        <v>20-01-2024 21:00</v>
      </c>
      <c r="B479" s="2514">
        <v>0.35</v>
      </c>
      <c r="C479" s="2518" t="str">
        <f>"20-02-2024 20:00"</f>
        <v>20-02-2024 20:00</v>
      </c>
      <c r="D479" s="2514">
        <v>0.53</v>
      </c>
      <c r="E479" s="2518" t="str">
        <f>"20-03-2024 20:00"</f>
        <v>20-03-2024 20:00</v>
      </c>
      <c r="F479" s="2514">
        <v>0.39</v>
      </c>
      <c r="G479" s="2518" t="str">
        <f>"20-04-2024 20:00"</f>
        <v>20-04-2024 20:00</v>
      </c>
      <c r="H479" s="2514">
        <v>0.36</v>
      </c>
      <c r="I479" s="2518"/>
      <c r="J479" s="2514"/>
      <c r="K479" s="2518"/>
      <c r="L479" s="2514"/>
      <c r="M479" s="2518"/>
      <c r="N479" s="2514"/>
      <c r="O479" s="2518"/>
      <c r="P479" s="2514"/>
      <c r="Q479" s="2518"/>
      <c r="R479" s="2514"/>
      <c r="S479" s="2518"/>
      <c r="T479" s="2514"/>
      <c r="U479" s="2518"/>
      <c r="V479" s="2514"/>
      <c r="W479" s="2518"/>
      <c r="X479" s="2514"/>
    </row>
    <row r="480" spans="1:24" ht="14.4">
      <c r="A480" s="2518" t="str">
        <f>"20-01-2024 22:00"</f>
        <v>20-01-2024 22:00</v>
      </c>
      <c r="B480" s="2514">
        <v>0.41</v>
      </c>
      <c r="C480" s="2518" t="str">
        <f>"20-02-2024 21:00"</f>
        <v>20-02-2024 21:00</v>
      </c>
      <c r="D480" s="2514">
        <v>0.47</v>
      </c>
      <c r="E480" s="2518" t="str">
        <f>"20-03-2024 21:00"</f>
        <v>20-03-2024 21:00</v>
      </c>
      <c r="F480" s="2514">
        <v>0.48</v>
      </c>
      <c r="G480" s="2518" t="str">
        <f>"20-04-2024 21:00"</f>
        <v>20-04-2024 21:00</v>
      </c>
      <c r="H480" s="2514">
        <v>0.44</v>
      </c>
      <c r="I480" s="2518"/>
      <c r="J480" s="2514"/>
      <c r="K480" s="2518"/>
      <c r="L480" s="2514"/>
      <c r="M480" s="2518"/>
      <c r="N480" s="2514"/>
      <c r="O480" s="2518"/>
      <c r="P480" s="2514"/>
      <c r="Q480" s="2518"/>
      <c r="R480" s="2514"/>
      <c r="S480" s="2518"/>
      <c r="T480" s="2514"/>
      <c r="U480" s="2518"/>
      <c r="V480" s="2514"/>
      <c r="W480" s="2518"/>
      <c r="X480" s="2514"/>
    </row>
    <row r="481" spans="1:24" ht="14.4">
      <c r="A481" s="2518" t="str">
        <f>"20-01-2024 23:00"</f>
        <v>20-01-2024 23:00</v>
      </c>
      <c r="B481" s="2514">
        <v>0.27</v>
      </c>
      <c r="C481" s="2518" t="str">
        <f>"20-02-2024 22:00"</f>
        <v>20-02-2024 22:00</v>
      </c>
      <c r="D481" s="2514">
        <v>0.31</v>
      </c>
      <c r="E481" s="2518" t="str">
        <f>"20-03-2024 22:00"</f>
        <v>20-03-2024 22:00</v>
      </c>
      <c r="F481" s="2514">
        <v>0.23</v>
      </c>
      <c r="G481" s="2518" t="str">
        <f>"20-04-2024 22:00"</f>
        <v>20-04-2024 22:00</v>
      </c>
      <c r="H481" s="2514">
        <v>0.32</v>
      </c>
      <c r="I481" s="2518"/>
      <c r="J481" s="2514"/>
      <c r="K481" s="2518"/>
      <c r="L481" s="2514"/>
      <c r="M481" s="2518"/>
      <c r="N481" s="2514"/>
      <c r="O481" s="2518"/>
      <c r="P481" s="2514"/>
      <c r="Q481" s="2518"/>
      <c r="R481" s="2514"/>
      <c r="S481" s="2518"/>
      <c r="T481" s="2514"/>
      <c r="U481" s="2518"/>
      <c r="V481" s="2514"/>
      <c r="W481" s="2518"/>
      <c r="X481" s="2514"/>
    </row>
    <row r="482" spans="1:24" s="2506" customFormat="1" ht="14.4">
      <c r="A482" s="2529" t="str">
        <f>"21-01-2024 00:00"</f>
        <v>21-01-2024 00:00</v>
      </c>
      <c r="B482" s="2521">
        <v>0.16</v>
      </c>
      <c r="C482" s="2529" t="str">
        <f>"20-02-2024 23:00"</f>
        <v>20-02-2024 23:00</v>
      </c>
      <c r="D482" s="2521">
        <v>0.21</v>
      </c>
      <c r="E482" s="2529" t="str">
        <f>"20-03-2024 23:00"</f>
        <v>20-03-2024 23:00</v>
      </c>
      <c r="F482" s="2521">
        <v>0.21</v>
      </c>
      <c r="G482" s="2529" t="str">
        <f>"20-04-2024 23:00"</f>
        <v>20-04-2024 23:00</v>
      </c>
      <c r="H482" s="2521">
        <v>0.15</v>
      </c>
      <c r="I482" s="2529"/>
      <c r="J482" s="2521"/>
      <c r="K482" s="2529"/>
      <c r="L482" s="2521"/>
      <c r="M482" s="2529"/>
      <c r="N482" s="2521"/>
      <c r="O482" s="2529"/>
      <c r="P482" s="2521"/>
      <c r="Q482" s="2529"/>
      <c r="R482" s="2521"/>
      <c r="S482" s="2529"/>
      <c r="T482" s="2521"/>
      <c r="U482" s="2529"/>
      <c r="V482" s="2521"/>
      <c r="W482" s="2529"/>
      <c r="X482" s="2521"/>
    </row>
    <row r="483" spans="1:24" ht="14.4">
      <c r="A483" s="2522" t="str">
        <f>"21-01-2024 01:00"</f>
        <v>21-01-2024 01:00</v>
      </c>
      <c r="B483" s="2523">
        <v>0.12</v>
      </c>
      <c r="C483" s="2522" t="str">
        <f>"21-02-2024 00:00"</f>
        <v>21-02-2024 00:00</v>
      </c>
      <c r="D483" s="2523">
        <v>0.22</v>
      </c>
      <c r="E483" s="2522" t="str">
        <f>"21-03-2024 00:00"</f>
        <v>21-03-2024 00:00</v>
      </c>
      <c r="F483" s="2523">
        <v>0.15</v>
      </c>
      <c r="G483" s="2522" t="str">
        <f>"21-04-2024 00:00"</f>
        <v>21-04-2024 00:00</v>
      </c>
      <c r="H483" s="2523">
        <v>0.19</v>
      </c>
      <c r="I483" s="2522"/>
      <c r="J483" s="2523"/>
      <c r="K483" s="2522"/>
      <c r="L483" s="2523"/>
      <c r="M483" s="2522"/>
      <c r="N483" s="2523"/>
      <c r="O483" s="2522"/>
      <c r="P483" s="2523"/>
      <c r="Q483" s="2522"/>
      <c r="R483" s="2523"/>
      <c r="S483" s="2522"/>
      <c r="T483" s="2523"/>
      <c r="U483" s="2522"/>
      <c r="V483" s="2523"/>
      <c r="W483" s="2522"/>
      <c r="X483" s="2523"/>
    </row>
    <row r="484" spans="1:24" ht="14.4">
      <c r="A484" s="2519" t="str">
        <f>"21-01-2024 02:00"</f>
        <v>21-01-2024 02:00</v>
      </c>
      <c r="B484" s="2514">
        <v>0.13</v>
      </c>
      <c r="C484" s="2519" t="str">
        <f>"21-02-2024 01:00"</f>
        <v>21-02-2024 01:00</v>
      </c>
      <c r="D484" s="2514">
        <v>0.18</v>
      </c>
      <c r="E484" s="2519" t="str">
        <f>"21-03-2024 01:00"</f>
        <v>21-03-2024 01:00</v>
      </c>
      <c r="F484" s="2514">
        <v>0.14000000000000001</v>
      </c>
      <c r="G484" s="2519" t="str">
        <f>"21-04-2024 01:00"</f>
        <v>21-04-2024 01:00</v>
      </c>
      <c r="H484" s="2514">
        <v>0.13</v>
      </c>
      <c r="I484" s="2519"/>
      <c r="J484" s="2514"/>
      <c r="K484" s="2519"/>
      <c r="L484" s="2514"/>
      <c r="M484" s="2519"/>
      <c r="N484" s="2514"/>
      <c r="O484" s="2519"/>
      <c r="P484" s="2514"/>
      <c r="Q484" s="2519"/>
      <c r="R484" s="2514"/>
      <c r="S484" s="2519"/>
      <c r="T484" s="2514"/>
      <c r="U484" s="2519"/>
      <c r="V484" s="2514"/>
      <c r="W484" s="2519"/>
      <c r="X484" s="2514"/>
    </row>
    <row r="485" spans="1:24" ht="14.4">
      <c r="A485" s="2519" t="str">
        <f>"21-01-2024 03:00"</f>
        <v>21-01-2024 03:00</v>
      </c>
      <c r="B485" s="2514">
        <v>0.14000000000000001</v>
      </c>
      <c r="C485" s="2519" t="str">
        <f>"21-02-2024 02:00"</f>
        <v>21-02-2024 02:00</v>
      </c>
      <c r="D485" s="2514">
        <v>0.14000000000000001</v>
      </c>
      <c r="E485" s="2519" t="str">
        <f>"21-03-2024 02:00"</f>
        <v>21-03-2024 02:00</v>
      </c>
      <c r="F485" s="2514">
        <v>0.18</v>
      </c>
      <c r="G485" s="2519" t="str">
        <f>"21-04-2024 02:00"</f>
        <v>21-04-2024 02:00</v>
      </c>
      <c r="H485" s="2514">
        <v>0.23</v>
      </c>
      <c r="I485" s="2519"/>
      <c r="J485" s="2514"/>
      <c r="K485" s="2519"/>
      <c r="L485" s="2514"/>
      <c r="M485" s="2519"/>
      <c r="N485" s="2514"/>
      <c r="O485" s="2519"/>
      <c r="P485" s="2514"/>
      <c r="Q485" s="2519"/>
      <c r="R485" s="2514"/>
      <c r="S485" s="2519"/>
      <c r="T485" s="2514"/>
      <c r="U485" s="2519"/>
      <c r="V485" s="2514"/>
      <c r="W485" s="2519"/>
      <c r="X485" s="2514"/>
    </row>
    <row r="486" spans="1:24" ht="14.4">
      <c r="A486" s="2519" t="str">
        <f>"21-01-2024 04:00"</f>
        <v>21-01-2024 04:00</v>
      </c>
      <c r="B486" s="2514">
        <v>0.14000000000000001</v>
      </c>
      <c r="C486" s="2519" t="str">
        <f>"21-02-2024 03:00"</f>
        <v>21-02-2024 03:00</v>
      </c>
      <c r="D486" s="2514">
        <v>0.27</v>
      </c>
      <c r="E486" s="2519" t="str">
        <f>"21-03-2024 03:00"</f>
        <v>21-03-2024 03:00</v>
      </c>
      <c r="F486" s="2514">
        <v>0.15</v>
      </c>
      <c r="G486" s="2519" t="str">
        <f>"21-04-2024 03:00"</f>
        <v>21-04-2024 03:00</v>
      </c>
      <c r="H486" s="2514">
        <v>0.12</v>
      </c>
      <c r="I486" s="2519"/>
      <c r="J486" s="2514"/>
      <c r="K486" s="2519"/>
      <c r="L486" s="2514"/>
      <c r="M486" s="2519"/>
      <c r="N486" s="2514"/>
      <c r="O486" s="2519"/>
      <c r="P486" s="2514"/>
      <c r="Q486" s="2519"/>
      <c r="R486" s="2514"/>
      <c r="S486" s="2519"/>
      <c r="T486" s="2514"/>
      <c r="U486" s="2519"/>
      <c r="V486" s="2514"/>
      <c r="W486" s="2519"/>
      <c r="X486" s="2514"/>
    </row>
    <row r="487" spans="1:24" ht="14.4">
      <c r="A487" s="2519" t="str">
        <f>"21-01-2024 05:00"</f>
        <v>21-01-2024 05:00</v>
      </c>
      <c r="B487" s="2514">
        <v>0.22</v>
      </c>
      <c r="C487" s="2519" t="str">
        <f>"21-02-2024 04:00"</f>
        <v>21-02-2024 04:00</v>
      </c>
      <c r="D487" s="2514">
        <v>0.19</v>
      </c>
      <c r="E487" s="2519" t="str">
        <f>"21-03-2024 04:00"</f>
        <v>21-03-2024 04:00</v>
      </c>
      <c r="F487" s="2514">
        <v>0.17</v>
      </c>
      <c r="G487" s="2519" t="str">
        <f>"21-04-2024 04:00"</f>
        <v>21-04-2024 04:00</v>
      </c>
      <c r="H487" s="2514">
        <v>0.17</v>
      </c>
      <c r="I487" s="2519"/>
      <c r="J487" s="2514"/>
      <c r="K487" s="2519"/>
      <c r="L487" s="2514"/>
      <c r="M487" s="2519"/>
      <c r="N487" s="2514"/>
      <c r="O487" s="2519"/>
      <c r="P487" s="2514"/>
      <c r="Q487" s="2519"/>
      <c r="R487" s="2514"/>
      <c r="S487" s="2519"/>
      <c r="T487" s="2514"/>
      <c r="U487" s="2519"/>
      <c r="V487" s="2514"/>
      <c r="W487" s="2519"/>
      <c r="X487" s="2514"/>
    </row>
    <row r="488" spans="1:24" ht="14.4">
      <c r="A488" s="2519" t="str">
        <f>"21-01-2024 06:00"</f>
        <v>21-01-2024 06:00</v>
      </c>
      <c r="B488" s="2514">
        <v>0.19</v>
      </c>
      <c r="C488" s="2519" t="str">
        <f>"21-02-2024 05:00"</f>
        <v>21-02-2024 05:00</v>
      </c>
      <c r="D488" s="2514">
        <v>0.23</v>
      </c>
      <c r="E488" s="2519" t="str">
        <f>"21-03-2024 05:00"</f>
        <v>21-03-2024 05:00</v>
      </c>
      <c r="F488" s="2514">
        <v>0.13</v>
      </c>
      <c r="G488" s="2519" t="str">
        <f>"21-04-2024 05:00"</f>
        <v>21-04-2024 05:00</v>
      </c>
      <c r="H488" s="2514">
        <v>0.2</v>
      </c>
      <c r="I488" s="2519"/>
      <c r="J488" s="2514"/>
      <c r="K488" s="2519"/>
      <c r="L488" s="2514"/>
      <c r="M488" s="2519"/>
      <c r="N488" s="2514"/>
      <c r="O488" s="2519"/>
      <c r="P488" s="2514"/>
      <c r="Q488" s="2519"/>
      <c r="R488" s="2514"/>
      <c r="S488" s="2519"/>
      <c r="T488" s="2514"/>
      <c r="U488" s="2519"/>
      <c r="V488" s="2514"/>
      <c r="W488" s="2519"/>
      <c r="X488" s="2514"/>
    </row>
    <row r="489" spans="1:24" ht="14.4">
      <c r="A489" s="2519" t="str">
        <f>"21-01-2024 07:00"</f>
        <v>21-01-2024 07:00</v>
      </c>
      <c r="B489" s="2514">
        <v>0.21</v>
      </c>
      <c r="C489" s="2519" t="str">
        <f>"21-02-2024 06:00"</f>
        <v>21-02-2024 06:00</v>
      </c>
      <c r="D489" s="2514">
        <v>0.21</v>
      </c>
      <c r="E489" s="2519" t="str">
        <f>"21-03-2024 06:00"</f>
        <v>21-03-2024 06:00</v>
      </c>
      <c r="F489" s="2514">
        <v>0.25</v>
      </c>
      <c r="G489" s="2519" t="str">
        <f>"21-04-2024 06:00"</f>
        <v>21-04-2024 06:00</v>
      </c>
      <c r="H489" s="2514">
        <v>0.46</v>
      </c>
      <c r="I489" s="2519"/>
      <c r="J489" s="2514"/>
      <c r="K489" s="2519"/>
      <c r="L489" s="2514"/>
      <c r="M489" s="2519"/>
      <c r="N489" s="2514"/>
      <c r="O489" s="2519"/>
      <c r="P489" s="2514"/>
      <c r="Q489" s="2519"/>
      <c r="R489" s="2514"/>
      <c r="S489" s="2519"/>
      <c r="T489" s="2514"/>
      <c r="U489" s="2519"/>
      <c r="V489" s="2514"/>
      <c r="W489" s="2519"/>
      <c r="X489" s="2514"/>
    </row>
    <row r="490" spans="1:24" ht="14.4">
      <c r="A490" s="2519" t="str">
        <f>"21-01-2024 08:00"</f>
        <v>21-01-2024 08:00</v>
      </c>
      <c r="B490" s="2514">
        <v>0.15</v>
      </c>
      <c r="C490" s="2519" t="str">
        <f>"21-02-2024 07:00"</f>
        <v>21-02-2024 07:00</v>
      </c>
      <c r="D490" s="2514">
        <v>0.23</v>
      </c>
      <c r="E490" s="2519" t="str">
        <f>"21-03-2024 07:00"</f>
        <v>21-03-2024 07:00</v>
      </c>
      <c r="F490" s="2514">
        <v>0.24</v>
      </c>
      <c r="G490" s="2519" t="str">
        <f>"21-04-2024 07:00"</f>
        <v>21-04-2024 07:00</v>
      </c>
      <c r="H490" s="2514">
        <v>0.43</v>
      </c>
      <c r="I490" s="2519"/>
      <c r="J490" s="2514"/>
      <c r="K490" s="2519"/>
      <c r="L490" s="2514"/>
      <c r="M490" s="2519"/>
      <c r="N490" s="2514"/>
      <c r="O490" s="2519"/>
      <c r="P490" s="2514"/>
      <c r="Q490" s="2519"/>
      <c r="R490" s="2514"/>
      <c r="S490" s="2519"/>
      <c r="T490" s="2514"/>
      <c r="U490" s="2519"/>
      <c r="V490" s="2514"/>
      <c r="W490" s="2519"/>
      <c r="X490" s="2514"/>
    </row>
    <row r="491" spans="1:24" ht="14.4">
      <c r="A491" s="2519" t="str">
        <f>"21-01-2024 09:00"</f>
        <v>21-01-2024 09:00</v>
      </c>
      <c r="B491" s="2514">
        <v>0.25</v>
      </c>
      <c r="C491" s="2519" t="str">
        <f>"21-02-2024 08:00"</f>
        <v>21-02-2024 08:00</v>
      </c>
      <c r="D491" s="2514">
        <v>0.49</v>
      </c>
      <c r="E491" s="2519" t="str">
        <f>"21-03-2024 08:00"</f>
        <v>21-03-2024 08:00</v>
      </c>
      <c r="F491" s="2514">
        <v>0.39</v>
      </c>
      <c r="G491" s="2519" t="str">
        <f>"21-04-2024 08:00"</f>
        <v>21-04-2024 08:00</v>
      </c>
      <c r="H491" s="2514">
        <v>0.28000000000000003</v>
      </c>
      <c r="I491" s="2519"/>
      <c r="J491" s="2514"/>
      <c r="K491" s="2519"/>
      <c r="L491" s="2514"/>
      <c r="M491" s="2519"/>
      <c r="N491" s="2514"/>
      <c r="O491" s="2519"/>
      <c r="P491" s="2514"/>
      <c r="Q491" s="2519"/>
      <c r="R491" s="2514"/>
      <c r="S491" s="2519"/>
      <c r="T491" s="2514"/>
      <c r="U491" s="2519"/>
      <c r="V491" s="2514"/>
      <c r="W491" s="2519"/>
      <c r="X491" s="2514"/>
    </row>
    <row r="492" spans="1:24" ht="14.4">
      <c r="A492" s="2519" t="str">
        <f>"21-01-2024 10:00"</f>
        <v>21-01-2024 10:00</v>
      </c>
      <c r="B492" s="2514">
        <v>0.61</v>
      </c>
      <c r="C492" s="2519" t="str">
        <f>"21-02-2024 09:00"</f>
        <v>21-02-2024 09:00</v>
      </c>
      <c r="D492" s="2514">
        <v>0.4</v>
      </c>
      <c r="E492" s="2519" t="str">
        <f>"21-03-2024 09:00"</f>
        <v>21-03-2024 09:00</v>
      </c>
      <c r="F492" s="2514">
        <v>0.55000000000000004</v>
      </c>
      <c r="G492" s="2519" t="str">
        <f>"21-04-2024 09:00"</f>
        <v>21-04-2024 09:00</v>
      </c>
      <c r="H492" s="2514">
        <v>0.35</v>
      </c>
      <c r="I492" s="2519"/>
      <c r="J492" s="2514"/>
      <c r="K492" s="2519"/>
      <c r="L492" s="2514"/>
      <c r="M492" s="2519"/>
      <c r="N492" s="2514"/>
      <c r="O492" s="2519"/>
      <c r="P492" s="2514"/>
      <c r="Q492" s="2519"/>
      <c r="R492" s="2514"/>
      <c r="S492" s="2519"/>
      <c r="T492" s="2514"/>
      <c r="U492" s="2519"/>
      <c r="V492" s="2514"/>
      <c r="W492" s="2519"/>
      <c r="X492" s="2514"/>
    </row>
    <row r="493" spans="1:24" ht="14.4">
      <c r="A493" s="2519" t="str">
        <f>"21-01-2024 11:00"</f>
        <v>21-01-2024 11:00</v>
      </c>
      <c r="B493" s="2514">
        <v>0.22</v>
      </c>
      <c r="C493" s="2519" t="str">
        <f>"21-02-2024 10:00"</f>
        <v>21-02-2024 10:00</v>
      </c>
      <c r="D493" s="2514">
        <v>0.6</v>
      </c>
      <c r="E493" s="2519" t="str">
        <f>"21-03-2024 10:00"</f>
        <v>21-03-2024 10:00</v>
      </c>
      <c r="F493" s="2514">
        <v>0.32</v>
      </c>
      <c r="G493" s="2519" t="str">
        <f>"21-04-2024 10:00"</f>
        <v>21-04-2024 10:00</v>
      </c>
      <c r="H493" s="2514">
        <v>0.28000000000000003</v>
      </c>
      <c r="I493" s="2519"/>
      <c r="J493" s="2514"/>
      <c r="K493" s="2519"/>
      <c r="L493" s="2514"/>
      <c r="M493" s="2519"/>
      <c r="N493" s="2514"/>
      <c r="O493" s="2519"/>
      <c r="P493" s="2514"/>
      <c r="Q493" s="2519"/>
      <c r="R493" s="2514"/>
      <c r="S493" s="2519"/>
      <c r="T493" s="2514"/>
      <c r="U493" s="2519"/>
      <c r="V493" s="2514"/>
      <c r="W493" s="2519"/>
      <c r="X493" s="2514"/>
    </row>
    <row r="494" spans="1:24" ht="14.4">
      <c r="A494" s="2519" t="str">
        <f>"21-01-2024 12:00"</f>
        <v>21-01-2024 12:00</v>
      </c>
      <c r="B494" s="2514">
        <v>0.33</v>
      </c>
      <c r="C494" s="2519" t="str">
        <f>"21-02-2024 11:00"</f>
        <v>21-02-2024 11:00</v>
      </c>
      <c r="D494" s="2514">
        <v>0.28999999999999998</v>
      </c>
      <c r="E494" s="2519" t="str">
        <f>"21-03-2024 11:00"</f>
        <v>21-03-2024 11:00</v>
      </c>
      <c r="F494" s="2514">
        <v>0.43</v>
      </c>
      <c r="G494" s="2519" t="str">
        <f>"21-04-2024 11:00"</f>
        <v>21-04-2024 11:00</v>
      </c>
      <c r="H494" s="2514">
        <v>0.45</v>
      </c>
      <c r="I494" s="2519"/>
      <c r="J494" s="2514"/>
      <c r="K494" s="2519"/>
      <c r="L494" s="2514"/>
      <c r="M494" s="2519"/>
      <c r="N494" s="2514"/>
      <c r="O494" s="2519"/>
      <c r="P494" s="2514"/>
      <c r="Q494" s="2519"/>
      <c r="R494" s="2514"/>
      <c r="S494" s="2519"/>
      <c r="T494" s="2514"/>
      <c r="U494" s="2519"/>
      <c r="V494" s="2514"/>
      <c r="W494" s="2519"/>
      <c r="X494" s="2514"/>
    </row>
    <row r="495" spans="1:24" ht="14.4">
      <c r="A495" s="2519" t="str">
        <f>"21-01-2024 13:00"</f>
        <v>21-01-2024 13:00</v>
      </c>
      <c r="B495" s="2514">
        <v>0.4</v>
      </c>
      <c r="C495" s="2519" t="str">
        <f>"21-02-2024 12:00"</f>
        <v>21-02-2024 12:00</v>
      </c>
      <c r="D495" s="2514">
        <v>0.3</v>
      </c>
      <c r="E495" s="2519" t="str">
        <f>"21-03-2024 12:00"</f>
        <v>21-03-2024 12:00</v>
      </c>
      <c r="F495" s="2514">
        <v>0.24</v>
      </c>
      <c r="G495" s="2519" t="str">
        <f>"21-04-2024 12:00"</f>
        <v>21-04-2024 12:00</v>
      </c>
      <c r="H495" s="2514">
        <v>0.3</v>
      </c>
      <c r="I495" s="2519"/>
      <c r="J495" s="2514"/>
      <c r="K495" s="2519"/>
      <c r="L495" s="2514"/>
      <c r="M495" s="2519"/>
      <c r="N495" s="2514"/>
      <c r="O495" s="2519"/>
      <c r="P495" s="2514"/>
      <c r="Q495" s="2519"/>
      <c r="R495" s="2514"/>
      <c r="S495" s="2519"/>
      <c r="T495" s="2514"/>
      <c r="U495" s="2519"/>
      <c r="V495" s="2514"/>
      <c r="W495" s="2519"/>
      <c r="X495" s="2514"/>
    </row>
    <row r="496" spans="1:24" ht="14.4">
      <c r="A496" s="2519" t="str">
        <f>"21-01-2024 14:00"</f>
        <v>21-01-2024 14:00</v>
      </c>
      <c r="B496" s="2514">
        <v>0.37</v>
      </c>
      <c r="C496" s="2519" t="str">
        <f>"21-02-2024 13:00"</f>
        <v>21-02-2024 13:00</v>
      </c>
      <c r="D496" s="2514">
        <v>0.51</v>
      </c>
      <c r="E496" s="2519" t="str">
        <f>"21-03-2024 13:00"</f>
        <v>21-03-2024 13:00</v>
      </c>
      <c r="F496" s="2514">
        <v>0.16</v>
      </c>
      <c r="G496" s="2519" t="str">
        <f>"21-04-2024 13:00"</f>
        <v>21-04-2024 13:00</v>
      </c>
      <c r="H496" s="2514">
        <v>0.34</v>
      </c>
      <c r="I496" s="2519"/>
      <c r="J496" s="2514"/>
      <c r="K496" s="2519"/>
      <c r="L496" s="2514"/>
      <c r="M496" s="2519"/>
      <c r="N496" s="2514"/>
      <c r="O496" s="2519"/>
      <c r="P496" s="2514"/>
      <c r="Q496" s="2519"/>
      <c r="R496" s="2514"/>
      <c r="S496" s="2519"/>
      <c r="T496" s="2514"/>
      <c r="U496" s="2519"/>
      <c r="V496" s="2514"/>
      <c r="W496" s="2519"/>
      <c r="X496" s="2514"/>
    </row>
    <row r="497" spans="1:24" ht="14.4">
      <c r="A497" s="2519" t="str">
        <f>"21-01-2024 15:00"</f>
        <v>21-01-2024 15:00</v>
      </c>
      <c r="B497" s="2514">
        <v>0.39</v>
      </c>
      <c r="C497" s="2519" t="str">
        <f>"21-02-2024 14:00"</f>
        <v>21-02-2024 14:00</v>
      </c>
      <c r="D497" s="2514">
        <v>0.39</v>
      </c>
      <c r="E497" s="2519" t="str">
        <f>"21-03-2024 14:00"</f>
        <v>21-03-2024 14:00</v>
      </c>
      <c r="F497" s="2514">
        <v>0.35</v>
      </c>
      <c r="G497" s="2519" t="str">
        <f>"21-04-2024 14:00"</f>
        <v>21-04-2024 14:00</v>
      </c>
      <c r="H497" s="2514">
        <v>0.49</v>
      </c>
      <c r="I497" s="2519"/>
      <c r="J497" s="2514"/>
      <c r="K497" s="2519"/>
      <c r="L497" s="2514"/>
      <c r="M497" s="2519"/>
      <c r="N497" s="2514"/>
      <c r="O497" s="2519"/>
      <c r="P497" s="2514"/>
      <c r="Q497" s="2519"/>
      <c r="R497" s="2514"/>
      <c r="S497" s="2519"/>
      <c r="T497" s="2514"/>
      <c r="U497" s="2519"/>
      <c r="V497" s="2514"/>
      <c r="W497" s="2519"/>
      <c r="X497" s="2514"/>
    </row>
    <row r="498" spans="1:24" ht="14.4">
      <c r="A498" s="2519" t="str">
        <f>"21-01-2024 16:00"</f>
        <v>21-01-2024 16:00</v>
      </c>
      <c r="B498" s="2514">
        <v>0.41</v>
      </c>
      <c r="C498" s="2519" t="str">
        <f>"21-02-2024 15:00"</f>
        <v>21-02-2024 15:00</v>
      </c>
      <c r="D498" s="2514">
        <v>0.46</v>
      </c>
      <c r="E498" s="2519" t="str">
        <f>"21-03-2024 15:00"</f>
        <v>21-03-2024 15:00</v>
      </c>
      <c r="F498" s="2514">
        <v>0.32</v>
      </c>
      <c r="G498" s="2519" t="str">
        <f>"21-04-2024 15:00"</f>
        <v>21-04-2024 15:00</v>
      </c>
      <c r="H498" s="2514">
        <v>0.33</v>
      </c>
      <c r="I498" s="2519"/>
      <c r="J498" s="2514"/>
      <c r="K498" s="2519"/>
      <c r="L498" s="2514"/>
      <c r="M498" s="2519"/>
      <c r="N498" s="2514"/>
      <c r="O498" s="2519"/>
      <c r="P498" s="2514"/>
      <c r="Q498" s="2519"/>
      <c r="R498" s="2514"/>
      <c r="S498" s="2519"/>
      <c r="T498" s="2514"/>
      <c r="U498" s="2519"/>
      <c r="V498" s="2514"/>
      <c r="W498" s="2519"/>
      <c r="X498" s="2514"/>
    </row>
    <row r="499" spans="1:24" ht="14.4">
      <c r="A499" s="2519" t="str">
        <f>"21-01-2024 17:00"</f>
        <v>21-01-2024 17:00</v>
      </c>
      <c r="B499" s="2514">
        <v>0.45</v>
      </c>
      <c r="C499" s="2519" t="str">
        <f>"21-02-2024 16:00"</f>
        <v>21-02-2024 16:00</v>
      </c>
      <c r="D499" s="2514">
        <v>0.44</v>
      </c>
      <c r="E499" s="2519" t="str">
        <f>"21-03-2024 16:00"</f>
        <v>21-03-2024 16:00</v>
      </c>
      <c r="F499" s="2514">
        <v>0.23</v>
      </c>
      <c r="G499" s="2519" t="str">
        <f>"21-04-2024 16:00"</f>
        <v>21-04-2024 16:00</v>
      </c>
      <c r="H499" s="2514">
        <v>0.25</v>
      </c>
      <c r="I499" s="2519"/>
      <c r="J499" s="2514"/>
      <c r="K499" s="2519"/>
      <c r="L499" s="2514"/>
      <c r="M499" s="2519"/>
      <c r="N499" s="2514"/>
      <c r="O499" s="2519"/>
      <c r="P499" s="2514"/>
      <c r="Q499" s="2519"/>
      <c r="R499" s="2514"/>
      <c r="S499" s="2519"/>
      <c r="T499" s="2514"/>
      <c r="U499" s="2519"/>
      <c r="V499" s="2514"/>
      <c r="W499" s="2519"/>
      <c r="X499" s="2514"/>
    </row>
    <row r="500" spans="1:24" ht="14.4">
      <c r="A500" s="2519" t="str">
        <f>"21-01-2024 18:00"</f>
        <v>21-01-2024 18:00</v>
      </c>
      <c r="B500" s="2514">
        <v>0.47</v>
      </c>
      <c r="C500" s="2519" t="str">
        <f>"21-02-2024 17:00"</f>
        <v>21-02-2024 17:00</v>
      </c>
      <c r="D500" s="2514">
        <v>1.03</v>
      </c>
      <c r="E500" s="2519" t="str">
        <f>"21-03-2024 17:00"</f>
        <v>21-03-2024 17:00</v>
      </c>
      <c r="F500" s="2514">
        <v>0.13</v>
      </c>
      <c r="G500" s="2519" t="str">
        <f>"21-04-2024 17:00"</f>
        <v>21-04-2024 17:00</v>
      </c>
      <c r="H500" s="2514">
        <v>0.39</v>
      </c>
      <c r="I500" s="2519"/>
      <c r="J500" s="2514"/>
      <c r="K500" s="2519"/>
      <c r="L500" s="2514"/>
      <c r="M500" s="2519"/>
      <c r="N500" s="2514"/>
      <c r="O500" s="2519"/>
      <c r="P500" s="2514"/>
      <c r="Q500" s="2519"/>
      <c r="R500" s="2514"/>
      <c r="S500" s="2519"/>
      <c r="T500" s="2514"/>
      <c r="U500" s="2519"/>
      <c r="V500" s="2514"/>
      <c r="W500" s="2519"/>
      <c r="X500" s="2514"/>
    </row>
    <row r="501" spans="1:24" ht="14.4">
      <c r="A501" s="2519" t="str">
        <f>"21-01-2024 19:00"</f>
        <v>21-01-2024 19:00</v>
      </c>
      <c r="B501" s="2514">
        <v>0.47</v>
      </c>
      <c r="C501" s="2519" t="str">
        <f>"21-02-2024 18:00"</f>
        <v>21-02-2024 18:00</v>
      </c>
      <c r="D501" s="2514">
        <v>1.26</v>
      </c>
      <c r="E501" s="2519" t="str">
        <f>"21-03-2024 18:00"</f>
        <v>21-03-2024 18:00</v>
      </c>
      <c r="F501" s="2514">
        <v>0.47</v>
      </c>
      <c r="G501" s="2519" t="str">
        <f>"21-04-2024 18:00"</f>
        <v>21-04-2024 18:00</v>
      </c>
      <c r="H501" s="2514">
        <v>0.4</v>
      </c>
      <c r="I501" s="2519"/>
      <c r="J501" s="2514"/>
      <c r="K501" s="2519"/>
      <c r="L501" s="2514"/>
      <c r="M501" s="2519"/>
      <c r="N501" s="2514"/>
      <c r="O501" s="2519"/>
      <c r="P501" s="2514"/>
      <c r="Q501" s="2519"/>
      <c r="R501" s="2514"/>
      <c r="S501" s="2519"/>
      <c r="T501" s="2514"/>
      <c r="U501" s="2519"/>
      <c r="V501" s="2514"/>
      <c r="W501" s="2519"/>
      <c r="X501" s="2514"/>
    </row>
    <row r="502" spans="1:24" ht="14.4">
      <c r="A502" s="2519" t="str">
        <f>"21-01-2024 20:00"</f>
        <v>21-01-2024 20:00</v>
      </c>
      <c r="B502" s="2514">
        <v>0.36</v>
      </c>
      <c r="C502" s="2519" t="str">
        <f>"21-02-2024 19:00"</f>
        <v>21-02-2024 19:00</v>
      </c>
      <c r="D502" s="2514">
        <v>0.52</v>
      </c>
      <c r="E502" s="2519" t="str">
        <f>"21-03-2024 19:00"</f>
        <v>21-03-2024 19:00</v>
      </c>
      <c r="F502" s="2514">
        <v>0.45</v>
      </c>
      <c r="G502" s="2519" t="str">
        <f>"21-04-2024 19:00"</f>
        <v>21-04-2024 19:00</v>
      </c>
      <c r="H502" s="2514">
        <v>0.34</v>
      </c>
      <c r="I502" s="2519"/>
      <c r="J502" s="2514"/>
      <c r="K502" s="2519"/>
      <c r="L502" s="2514"/>
      <c r="M502" s="2519"/>
      <c r="N502" s="2514"/>
      <c r="O502" s="2519"/>
      <c r="P502" s="2514"/>
      <c r="Q502" s="2519"/>
      <c r="R502" s="2514"/>
      <c r="S502" s="2519"/>
      <c r="T502" s="2514"/>
      <c r="U502" s="2519"/>
      <c r="V502" s="2514"/>
      <c r="W502" s="2519"/>
      <c r="X502" s="2514"/>
    </row>
    <row r="503" spans="1:24" ht="14.4">
      <c r="A503" s="2519" t="str">
        <f>"21-01-2024 21:00"</f>
        <v>21-01-2024 21:00</v>
      </c>
      <c r="B503" s="2514">
        <v>0.3</v>
      </c>
      <c r="C503" s="2519" t="str">
        <f>"21-02-2024 20:00"</f>
        <v>21-02-2024 20:00</v>
      </c>
      <c r="D503" s="2514">
        <v>0.6</v>
      </c>
      <c r="E503" s="2519" t="str">
        <f>"21-03-2024 20:00"</f>
        <v>21-03-2024 20:00</v>
      </c>
      <c r="F503" s="2514">
        <v>0.41</v>
      </c>
      <c r="G503" s="2519" t="str">
        <f>"21-04-2024 20:00"</f>
        <v>21-04-2024 20:00</v>
      </c>
      <c r="H503" s="2514">
        <v>0.38</v>
      </c>
      <c r="I503" s="2519"/>
      <c r="J503" s="2514"/>
      <c r="K503" s="2519"/>
      <c r="L503" s="2514"/>
      <c r="M503" s="2519"/>
      <c r="N503" s="2514"/>
      <c r="O503" s="2519"/>
      <c r="P503" s="2514"/>
      <c r="Q503" s="2519"/>
      <c r="R503" s="2514"/>
      <c r="S503" s="2519"/>
      <c r="T503" s="2514"/>
      <c r="U503" s="2519"/>
      <c r="V503" s="2514"/>
      <c r="W503" s="2519"/>
      <c r="X503" s="2514"/>
    </row>
    <row r="504" spans="1:24" ht="14.4">
      <c r="A504" s="2519" t="str">
        <f>"21-01-2024 22:00"</f>
        <v>21-01-2024 22:00</v>
      </c>
      <c r="B504" s="2514">
        <v>0.33</v>
      </c>
      <c r="C504" s="2519" t="str">
        <f>"21-02-2024 21:00"</f>
        <v>21-02-2024 21:00</v>
      </c>
      <c r="D504" s="2514">
        <v>0.48</v>
      </c>
      <c r="E504" s="2519" t="str">
        <f>"21-03-2024 21:00"</f>
        <v>21-03-2024 21:00</v>
      </c>
      <c r="F504" s="2514">
        <v>0.41</v>
      </c>
      <c r="G504" s="2519" t="str">
        <f>"21-04-2024 21:00"</f>
        <v>21-04-2024 21:00</v>
      </c>
      <c r="H504" s="2514">
        <v>0.36</v>
      </c>
      <c r="I504" s="2519"/>
      <c r="J504" s="2514"/>
      <c r="K504" s="2519"/>
      <c r="L504" s="2514"/>
      <c r="M504" s="2519"/>
      <c r="N504" s="2514"/>
      <c r="O504" s="2519"/>
      <c r="P504" s="2514"/>
      <c r="Q504" s="2519"/>
      <c r="R504" s="2514"/>
      <c r="S504" s="2519"/>
      <c r="T504" s="2514"/>
      <c r="U504" s="2519"/>
      <c r="V504" s="2514"/>
      <c r="W504" s="2519"/>
      <c r="X504" s="2514"/>
    </row>
    <row r="505" spans="1:24" ht="14.4">
      <c r="A505" s="2519" t="str">
        <f>"21-01-2024 23:00"</f>
        <v>21-01-2024 23:00</v>
      </c>
      <c r="B505" s="2514">
        <v>0.15</v>
      </c>
      <c r="C505" s="2519" t="str">
        <f>"21-02-2024 22:00"</f>
        <v>21-02-2024 22:00</v>
      </c>
      <c r="D505" s="2514">
        <v>0.42</v>
      </c>
      <c r="E505" s="2519" t="str">
        <f>"21-03-2024 22:00"</f>
        <v>21-03-2024 22:00</v>
      </c>
      <c r="F505" s="2514">
        <v>0.14000000000000001</v>
      </c>
      <c r="G505" s="2519" t="str">
        <f>"21-04-2024 22:00"</f>
        <v>21-04-2024 22:00</v>
      </c>
      <c r="H505" s="2514">
        <v>0.18</v>
      </c>
      <c r="I505" s="2519"/>
      <c r="J505" s="2514"/>
      <c r="K505" s="2519"/>
      <c r="L505" s="2514"/>
      <c r="M505" s="2519"/>
      <c r="N505" s="2514"/>
      <c r="O505" s="2519"/>
      <c r="P505" s="2514"/>
      <c r="Q505" s="2519"/>
      <c r="R505" s="2514"/>
      <c r="S505" s="2519"/>
      <c r="T505" s="2514"/>
      <c r="U505" s="2519"/>
      <c r="V505" s="2514"/>
      <c r="W505" s="2519"/>
      <c r="X505" s="2514"/>
    </row>
    <row r="506" spans="1:24" s="2506" customFormat="1" ht="14.4">
      <c r="A506" s="2520" t="str">
        <f>"22-01-2024 00:00"</f>
        <v>22-01-2024 00:00</v>
      </c>
      <c r="B506" s="2521">
        <v>0.19</v>
      </c>
      <c r="C506" s="2520" t="str">
        <f>"21-02-2024 23:00"</f>
        <v>21-02-2024 23:00</v>
      </c>
      <c r="D506" s="2521">
        <v>0.32</v>
      </c>
      <c r="E506" s="2520" t="str">
        <f>"21-03-2024 23:00"</f>
        <v>21-03-2024 23:00</v>
      </c>
      <c r="F506" s="2521">
        <v>0.19</v>
      </c>
      <c r="G506" s="2520" t="str">
        <f>"21-04-2024 23:00"</f>
        <v>21-04-2024 23:00</v>
      </c>
      <c r="H506" s="2521">
        <v>0.21</v>
      </c>
      <c r="I506" s="2520"/>
      <c r="J506" s="2521"/>
      <c r="K506" s="2520"/>
      <c r="L506" s="2521"/>
      <c r="M506" s="2520"/>
      <c r="N506" s="2521"/>
      <c r="O506" s="2520"/>
      <c r="P506" s="2521"/>
      <c r="Q506" s="2520"/>
      <c r="R506" s="2521"/>
      <c r="S506" s="2520"/>
      <c r="T506" s="2521"/>
      <c r="U506" s="2520"/>
      <c r="V506" s="2521"/>
      <c r="W506" s="2520"/>
      <c r="X506" s="2521"/>
    </row>
    <row r="507" spans="1:24" ht="14.4">
      <c r="A507" s="2528" t="str">
        <f>"22-01-2024 01:00"</f>
        <v>22-01-2024 01:00</v>
      </c>
      <c r="B507" s="2523">
        <v>0.24</v>
      </c>
      <c r="C507" s="2528" t="str">
        <f>"22-02-2024 00:00"</f>
        <v>22-02-2024 00:00</v>
      </c>
      <c r="D507" s="2523">
        <v>0.16</v>
      </c>
      <c r="E507" s="2528" t="str">
        <f>"22-03-2024 00:00"</f>
        <v>22-03-2024 00:00</v>
      </c>
      <c r="F507" s="2523">
        <v>0.14000000000000001</v>
      </c>
      <c r="G507" s="2528" t="str">
        <f>"22-04-2024 00:00"</f>
        <v>22-04-2024 00:00</v>
      </c>
      <c r="H507" s="2523">
        <v>0.16</v>
      </c>
      <c r="I507" s="2528"/>
      <c r="J507" s="2523"/>
      <c r="K507" s="2528"/>
      <c r="L507" s="2523"/>
      <c r="M507" s="2528"/>
      <c r="N507" s="2523"/>
      <c r="O507" s="2528"/>
      <c r="P507" s="2523"/>
      <c r="Q507" s="2528"/>
      <c r="R507" s="2523"/>
      <c r="S507" s="2528"/>
      <c r="T507" s="2523"/>
      <c r="U507" s="2528"/>
      <c r="V507" s="2523"/>
      <c r="W507" s="2528"/>
      <c r="X507" s="2523"/>
    </row>
    <row r="508" spans="1:24" ht="14.4">
      <c r="A508" s="2518" t="str">
        <f>"22-01-2024 02:00"</f>
        <v>22-01-2024 02:00</v>
      </c>
      <c r="B508" s="2514">
        <v>0.19</v>
      </c>
      <c r="C508" s="2518" t="str">
        <f>"22-02-2024 01:00"</f>
        <v>22-02-2024 01:00</v>
      </c>
      <c r="D508" s="2514">
        <v>0.21</v>
      </c>
      <c r="E508" s="2518" t="str">
        <f>"22-03-2024 01:00"</f>
        <v>22-03-2024 01:00</v>
      </c>
      <c r="F508" s="2514">
        <v>0.17</v>
      </c>
      <c r="G508" s="2518" t="str">
        <f>"22-04-2024 01:00"</f>
        <v>22-04-2024 01:00</v>
      </c>
      <c r="H508" s="2514">
        <v>0.19</v>
      </c>
      <c r="I508" s="2518"/>
      <c r="J508" s="2514"/>
      <c r="K508" s="2518"/>
      <c r="L508" s="2514"/>
      <c r="M508" s="2518"/>
      <c r="N508" s="2514"/>
      <c r="O508" s="2518"/>
      <c r="P508" s="2514"/>
      <c r="Q508" s="2518"/>
      <c r="R508" s="2514"/>
      <c r="S508" s="2518"/>
      <c r="T508" s="2514"/>
      <c r="U508" s="2518"/>
      <c r="V508" s="2514"/>
      <c r="W508" s="2518"/>
      <c r="X508" s="2514"/>
    </row>
    <row r="509" spans="1:24" ht="14.4">
      <c r="A509" s="2518" t="str">
        <f>"22-01-2024 03:00"</f>
        <v>22-01-2024 03:00</v>
      </c>
      <c r="B509" s="2514">
        <v>0.22</v>
      </c>
      <c r="C509" s="2518" t="str">
        <f>"22-02-2024 02:00"</f>
        <v>22-02-2024 02:00</v>
      </c>
      <c r="D509" s="2514">
        <v>0.22</v>
      </c>
      <c r="E509" s="2518" t="str">
        <f>"22-03-2024 02:00"</f>
        <v>22-03-2024 02:00</v>
      </c>
      <c r="F509" s="2514">
        <v>0.19</v>
      </c>
      <c r="G509" s="2518" t="str">
        <f>"22-04-2024 02:00"</f>
        <v>22-04-2024 02:00</v>
      </c>
      <c r="H509" s="2514">
        <v>0.18</v>
      </c>
      <c r="I509" s="2518"/>
      <c r="J509" s="2514"/>
      <c r="K509" s="2518"/>
      <c r="L509" s="2514"/>
      <c r="M509" s="2518"/>
      <c r="N509" s="2514"/>
      <c r="O509" s="2518"/>
      <c r="P509" s="2514"/>
      <c r="Q509" s="2518"/>
      <c r="R509" s="2514"/>
      <c r="S509" s="2518"/>
      <c r="T509" s="2514"/>
      <c r="U509" s="2518"/>
      <c r="V509" s="2514"/>
      <c r="W509" s="2518"/>
      <c r="X509" s="2514"/>
    </row>
    <row r="510" spans="1:24" ht="14.4">
      <c r="A510" s="2518" t="str">
        <f>"22-01-2024 04:00"</f>
        <v>22-01-2024 04:00</v>
      </c>
      <c r="B510" s="2514">
        <v>0.22</v>
      </c>
      <c r="C510" s="2518" t="str">
        <f>"22-02-2024 03:00"</f>
        <v>22-02-2024 03:00</v>
      </c>
      <c r="D510" s="2514">
        <v>0.26</v>
      </c>
      <c r="E510" s="2518" t="str">
        <f>"22-03-2024 03:00"</f>
        <v>22-03-2024 03:00</v>
      </c>
      <c r="F510" s="2514">
        <v>0.16</v>
      </c>
      <c r="G510" s="2518" t="str">
        <f>"22-04-2024 03:00"</f>
        <v>22-04-2024 03:00</v>
      </c>
      <c r="H510" s="2514">
        <v>0.14000000000000001</v>
      </c>
      <c r="I510" s="2518"/>
      <c r="J510" s="2514"/>
      <c r="K510" s="2518"/>
      <c r="L510" s="2514"/>
      <c r="M510" s="2518"/>
      <c r="N510" s="2514"/>
      <c r="O510" s="2518"/>
      <c r="P510" s="2514"/>
      <c r="Q510" s="2518"/>
      <c r="R510" s="2514"/>
      <c r="S510" s="2518"/>
      <c r="T510" s="2514"/>
      <c r="U510" s="2518"/>
      <c r="V510" s="2514"/>
      <c r="W510" s="2518"/>
      <c r="X510" s="2514"/>
    </row>
    <row r="511" spans="1:24" ht="14.4">
      <c r="A511" s="2518" t="str">
        <f>"22-01-2024 05:00"</f>
        <v>22-01-2024 05:00</v>
      </c>
      <c r="B511" s="2514">
        <v>0.18</v>
      </c>
      <c r="C511" s="2518" t="str">
        <f>"22-02-2024 04:00"</f>
        <v>22-02-2024 04:00</v>
      </c>
      <c r="D511" s="2514">
        <v>0.17</v>
      </c>
      <c r="E511" s="2518" t="str">
        <f>"22-03-2024 04:00"</f>
        <v>22-03-2024 04:00</v>
      </c>
      <c r="F511" s="2514">
        <v>0.13</v>
      </c>
      <c r="G511" s="2518" t="str">
        <f>"22-04-2024 04:00"</f>
        <v>22-04-2024 04:00</v>
      </c>
      <c r="H511" s="2514">
        <v>0.16</v>
      </c>
      <c r="I511" s="2518"/>
      <c r="J511" s="2514"/>
      <c r="K511" s="2518"/>
      <c r="L511" s="2514"/>
      <c r="M511" s="2518"/>
      <c r="N511" s="2514"/>
      <c r="O511" s="2518"/>
      <c r="P511" s="2514"/>
      <c r="Q511" s="2518"/>
      <c r="R511" s="2514"/>
      <c r="S511" s="2518"/>
      <c r="T511" s="2514"/>
      <c r="U511" s="2518"/>
      <c r="V511" s="2514"/>
      <c r="W511" s="2518"/>
      <c r="X511" s="2514"/>
    </row>
    <row r="512" spans="1:24" ht="14.4">
      <c r="A512" s="2518" t="str">
        <f>"22-01-2024 06:00"</f>
        <v>22-01-2024 06:00</v>
      </c>
      <c r="B512" s="2514">
        <v>0.26</v>
      </c>
      <c r="C512" s="2518" t="str">
        <f>"22-02-2024 05:00"</f>
        <v>22-02-2024 05:00</v>
      </c>
      <c r="D512" s="2514">
        <v>0.18</v>
      </c>
      <c r="E512" s="2518" t="str">
        <f>"22-03-2024 05:00"</f>
        <v>22-03-2024 05:00</v>
      </c>
      <c r="F512" s="2514">
        <v>0.23</v>
      </c>
      <c r="G512" s="2518" t="str">
        <f>"22-04-2024 05:00"</f>
        <v>22-04-2024 05:00</v>
      </c>
      <c r="H512" s="2514">
        <v>0.19</v>
      </c>
      <c r="I512" s="2518"/>
      <c r="J512" s="2514"/>
      <c r="K512" s="2518"/>
      <c r="L512" s="2514"/>
      <c r="M512" s="2518"/>
      <c r="N512" s="2514"/>
      <c r="O512" s="2518"/>
      <c r="P512" s="2514"/>
      <c r="Q512" s="2518"/>
      <c r="R512" s="2514"/>
      <c r="S512" s="2518"/>
      <c r="T512" s="2514"/>
      <c r="U512" s="2518"/>
      <c r="V512" s="2514"/>
      <c r="W512" s="2518"/>
      <c r="X512" s="2514"/>
    </row>
    <row r="513" spans="1:24" ht="14.4">
      <c r="A513" s="2518" t="str">
        <f>"22-01-2024 07:00"</f>
        <v>22-01-2024 07:00</v>
      </c>
      <c r="B513" s="2514">
        <v>0.21</v>
      </c>
      <c r="C513" s="2518" t="str">
        <f>"22-02-2024 06:00"</f>
        <v>22-02-2024 06:00</v>
      </c>
      <c r="D513" s="2514">
        <v>0.21</v>
      </c>
      <c r="E513" s="2518" t="str">
        <f>"22-03-2024 06:00"</f>
        <v>22-03-2024 06:00</v>
      </c>
      <c r="F513" s="2514">
        <v>0.6</v>
      </c>
      <c r="G513" s="2518" t="str">
        <f>"22-04-2024 06:00"</f>
        <v>22-04-2024 06:00</v>
      </c>
      <c r="H513" s="2514">
        <v>0.21</v>
      </c>
      <c r="I513" s="2518"/>
      <c r="J513" s="2514"/>
      <c r="K513" s="2518"/>
      <c r="L513" s="2514"/>
      <c r="M513" s="2518"/>
      <c r="N513" s="2514"/>
      <c r="O513" s="2518"/>
      <c r="P513" s="2514"/>
      <c r="Q513" s="2518"/>
      <c r="R513" s="2514"/>
      <c r="S513" s="2518"/>
      <c r="T513" s="2514"/>
      <c r="U513" s="2518"/>
      <c r="V513" s="2514"/>
      <c r="W513" s="2518"/>
      <c r="X513" s="2514"/>
    </row>
    <row r="514" spans="1:24" ht="14.4">
      <c r="A514" s="2518" t="str">
        <f>"22-01-2024 08:00"</f>
        <v>22-01-2024 08:00</v>
      </c>
      <c r="B514" s="2514">
        <v>0.2</v>
      </c>
      <c r="C514" s="2518" t="str">
        <f>"22-02-2024 07:00"</f>
        <v>22-02-2024 07:00</v>
      </c>
      <c r="D514" s="2514">
        <v>0.27</v>
      </c>
      <c r="E514" s="2518" t="str">
        <f>"22-03-2024 07:00"</f>
        <v>22-03-2024 07:00</v>
      </c>
      <c r="F514" s="2514">
        <v>0.36</v>
      </c>
      <c r="G514" s="2518" t="str">
        <f>"22-04-2024 07:00"</f>
        <v>22-04-2024 07:00</v>
      </c>
      <c r="H514" s="2514">
        <v>0.21</v>
      </c>
      <c r="I514" s="2518"/>
      <c r="J514" s="2514"/>
      <c r="K514" s="2518"/>
      <c r="L514" s="2514"/>
      <c r="M514" s="2518"/>
      <c r="N514" s="2514"/>
      <c r="O514" s="2518"/>
      <c r="P514" s="2514"/>
      <c r="Q514" s="2518"/>
      <c r="R514" s="2514"/>
      <c r="S514" s="2518"/>
      <c r="T514" s="2514"/>
      <c r="U514" s="2518"/>
      <c r="V514" s="2514"/>
      <c r="W514" s="2518"/>
      <c r="X514" s="2514"/>
    </row>
    <row r="515" spans="1:24" ht="14.4">
      <c r="A515" s="2518" t="str">
        <f>"22-01-2024 09:00"</f>
        <v>22-01-2024 09:00</v>
      </c>
      <c r="B515" s="2514">
        <v>0.31</v>
      </c>
      <c r="C515" s="2518" t="str">
        <f>"22-02-2024 08:00"</f>
        <v>22-02-2024 08:00</v>
      </c>
      <c r="D515" s="2514">
        <v>0.36</v>
      </c>
      <c r="E515" s="2518" t="str">
        <f>"22-03-2024 08:00"</f>
        <v>22-03-2024 08:00</v>
      </c>
      <c r="F515" s="2514">
        <v>0.49</v>
      </c>
      <c r="G515" s="2518" t="str">
        <f>"22-04-2024 08:00"</f>
        <v>22-04-2024 08:00</v>
      </c>
      <c r="H515" s="2514">
        <v>0.48</v>
      </c>
      <c r="I515" s="2518"/>
      <c r="J515" s="2514"/>
      <c r="K515" s="2518"/>
      <c r="L515" s="2514"/>
      <c r="M515" s="2518"/>
      <c r="N515" s="2514"/>
      <c r="O515" s="2518"/>
      <c r="P515" s="2514"/>
      <c r="Q515" s="2518"/>
      <c r="R515" s="2514"/>
      <c r="S515" s="2518"/>
      <c r="T515" s="2514"/>
      <c r="U515" s="2518"/>
      <c r="V515" s="2514"/>
      <c r="W515" s="2518"/>
      <c r="X515" s="2514"/>
    </row>
    <row r="516" spans="1:24" ht="14.4">
      <c r="A516" s="2518" t="str">
        <f>"22-01-2024 10:00"</f>
        <v>22-01-2024 10:00</v>
      </c>
      <c r="B516" s="2514">
        <v>0.45</v>
      </c>
      <c r="C516" s="2518" t="str">
        <f>"22-02-2024 09:00"</f>
        <v>22-02-2024 09:00</v>
      </c>
      <c r="D516" s="2514">
        <v>0.47</v>
      </c>
      <c r="E516" s="2518" t="str">
        <f>"22-03-2024 09:00"</f>
        <v>22-03-2024 09:00</v>
      </c>
      <c r="F516" s="2514">
        <v>0.35</v>
      </c>
      <c r="G516" s="2518" t="str">
        <f>"22-04-2024 09:00"</f>
        <v>22-04-2024 09:00</v>
      </c>
      <c r="H516" s="2514">
        <v>0.42</v>
      </c>
      <c r="I516" s="2518"/>
      <c r="J516" s="2514"/>
      <c r="K516" s="2518"/>
      <c r="L516" s="2514"/>
      <c r="M516" s="2518"/>
      <c r="N516" s="2514"/>
      <c r="O516" s="2518"/>
      <c r="P516" s="2514"/>
      <c r="Q516" s="2518"/>
      <c r="R516" s="2514"/>
      <c r="S516" s="2518"/>
      <c r="T516" s="2514"/>
      <c r="U516" s="2518"/>
      <c r="V516" s="2514"/>
      <c r="W516" s="2518"/>
      <c r="X516" s="2514"/>
    </row>
    <row r="517" spans="1:24" ht="14.4">
      <c r="A517" s="2518" t="str">
        <f>"22-01-2024 11:00"</f>
        <v>22-01-2024 11:00</v>
      </c>
      <c r="B517" s="2514">
        <v>0.52</v>
      </c>
      <c r="C517" s="2518" t="str">
        <f>"22-02-2024 10:00"</f>
        <v>22-02-2024 10:00</v>
      </c>
      <c r="D517" s="2514">
        <v>0.3</v>
      </c>
      <c r="E517" s="2518" t="str">
        <f>"22-03-2024 10:00"</f>
        <v>22-03-2024 10:00</v>
      </c>
      <c r="F517" s="2514">
        <v>0.75</v>
      </c>
      <c r="G517" s="2518" t="str">
        <f>"22-04-2024 10:00"</f>
        <v>22-04-2024 10:00</v>
      </c>
      <c r="H517" s="2514">
        <v>0.33</v>
      </c>
      <c r="I517" s="2518"/>
      <c r="J517" s="2514"/>
      <c r="K517" s="2518"/>
      <c r="L517" s="2514"/>
      <c r="M517" s="2518"/>
      <c r="N517" s="2514"/>
      <c r="O517" s="2518"/>
      <c r="P517" s="2514"/>
      <c r="Q517" s="2518"/>
      <c r="R517" s="2514"/>
      <c r="S517" s="2518"/>
      <c r="T517" s="2514"/>
      <c r="U517" s="2518"/>
      <c r="V517" s="2514"/>
      <c r="W517" s="2518"/>
      <c r="X517" s="2514"/>
    </row>
    <row r="518" spans="1:24" ht="14.4">
      <c r="A518" s="2518" t="str">
        <f>"22-01-2024 12:00"</f>
        <v>22-01-2024 12:00</v>
      </c>
      <c r="B518" s="2514">
        <v>0.42</v>
      </c>
      <c r="C518" s="2518" t="str">
        <f>"22-02-2024 11:00"</f>
        <v>22-02-2024 11:00</v>
      </c>
      <c r="D518" s="2514">
        <v>0.21</v>
      </c>
      <c r="E518" s="2518" t="str">
        <f>"22-03-2024 11:00"</f>
        <v>22-03-2024 11:00</v>
      </c>
      <c r="F518" s="2514">
        <v>1.2</v>
      </c>
      <c r="G518" s="2518" t="str">
        <f>"22-04-2024 11:00"</f>
        <v>22-04-2024 11:00</v>
      </c>
      <c r="H518" s="2514">
        <v>0.31</v>
      </c>
      <c r="I518" s="2518"/>
      <c r="J518" s="2514"/>
      <c r="K518" s="2518"/>
      <c r="L518" s="2514"/>
      <c r="M518" s="2518"/>
      <c r="N518" s="2514"/>
      <c r="O518" s="2518"/>
      <c r="P518" s="2514"/>
      <c r="Q518" s="2518"/>
      <c r="R518" s="2514"/>
      <c r="S518" s="2518"/>
      <c r="T518" s="2514"/>
      <c r="U518" s="2518"/>
      <c r="V518" s="2514"/>
      <c r="W518" s="2518"/>
      <c r="X518" s="2514"/>
    </row>
    <row r="519" spans="1:24" ht="14.4">
      <c r="A519" s="2518" t="str">
        <f>"22-01-2024 13:00"</f>
        <v>22-01-2024 13:00</v>
      </c>
      <c r="B519" s="2514">
        <v>0.34</v>
      </c>
      <c r="C519" s="2518" t="str">
        <f>"22-02-2024 12:00"</f>
        <v>22-02-2024 12:00</v>
      </c>
      <c r="D519" s="2514">
        <v>0.56999999999999995</v>
      </c>
      <c r="E519" s="2518" t="str">
        <f>"22-03-2024 12:00"</f>
        <v>22-03-2024 12:00</v>
      </c>
      <c r="F519" s="2514">
        <v>0.39</v>
      </c>
      <c r="G519" s="2518" t="str">
        <f>"22-04-2024 12:00"</f>
        <v>22-04-2024 12:00</v>
      </c>
      <c r="H519" s="2514">
        <v>0.28000000000000003</v>
      </c>
      <c r="I519" s="2518"/>
      <c r="J519" s="2514"/>
      <c r="K519" s="2518"/>
      <c r="L519" s="2514"/>
      <c r="M519" s="2518"/>
      <c r="N519" s="2514"/>
      <c r="O519" s="2518"/>
      <c r="P519" s="2514"/>
      <c r="Q519" s="2518"/>
      <c r="R519" s="2514"/>
      <c r="S519" s="2518"/>
      <c r="T519" s="2514"/>
      <c r="U519" s="2518"/>
      <c r="V519" s="2514"/>
      <c r="W519" s="2518"/>
      <c r="X519" s="2514"/>
    </row>
    <row r="520" spans="1:24" ht="14.4">
      <c r="A520" s="2518" t="str">
        <f>"22-01-2024 14:00"</f>
        <v>22-01-2024 14:00</v>
      </c>
      <c r="B520" s="2514">
        <v>0.38</v>
      </c>
      <c r="C520" s="2518" t="str">
        <f>"22-02-2024 13:00"</f>
        <v>22-02-2024 13:00</v>
      </c>
      <c r="D520" s="2514">
        <v>0.34</v>
      </c>
      <c r="E520" s="2518" t="str">
        <f>"22-03-2024 13:00"</f>
        <v>22-03-2024 13:00</v>
      </c>
      <c r="F520" s="2514">
        <v>0.41</v>
      </c>
      <c r="G520" s="2518" t="str">
        <f>"22-04-2024 13:00"</f>
        <v>22-04-2024 13:00</v>
      </c>
      <c r="H520" s="2514">
        <v>0.24</v>
      </c>
      <c r="I520" s="2518"/>
      <c r="J520" s="2514"/>
      <c r="K520" s="2518"/>
      <c r="L520" s="2514"/>
      <c r="M520" s="2518"/>
      <c r="N520" s="2514"/>
      <c r="O520" s="2518"/>
      <c r="P520" s="2514"/>
      <c r="Q520" s="2518"/>
      <c r="R520" s="2514"/>
      <c r="S520" s="2518"/>
      <c r="T520" s="2514"/>
      <c r="U520" s="2518"/>
      <c r="V520" s="2514"/>
      <c r="W520" s="2518"/>
      <c r="X520" s="2514"/>
    </row>
    <row r="521" spans="1:24" ht="14.4">
      <c r="A521" s="2518" t="str">
        <f>"22-01-2024 15:00"</f>
        <v>22-01-2024 15:00</v>
      </c>
      <c r="B521" s="2514">
        <v>0.81</v>
      </c>
      <c r="C521" s="2518" t="str">
        <f>"22-02-2024 14:00"</f>
        <v>22-02-2024 14:00</v>
      </c>
      <c r="D521" s="2514">
        <v>0.48</v>
      </c>
      <c r="E521" s="2518" t="str">
        <f>"22-03-2024 14:00"</f>
        <v>22-03-2024 14:00</v>
      </c>
      <c r="F521" s="2514">
        <v>0.33</v>
      </c>
      <c r="G521" s="2518" t="str">
        <f>"22-04-2024 14:00"</f>
        <v>22-04-2024 14:00</v>
      </c>
      <c r="H521" s="2514">
        <v>0.17</v>
      </c>
      <c r="I521" s="2518"/>
      <c r="J521" s="2514"/>
      <c r="K521" s="2518"/>
      <c r="L521" s="2514"/>
      <c r="M521" s="2518"/>
      <c r="N521" s="2514"/>
      <c r="O521" s="2518"/>
      <c r="P521" s="2514"/>
      <c r="Q521" s="2518"/>
      <c r="R521" s="2514"/>
      <c r="S521" s="2518"/>
      <c r="T521" s="2514"/>
      <c r="U521" s="2518"/>
      <c r="V521" s="2514"/>
      <c r="W521" s="2518"/>
      <c r="X521" s="2514"/>
    </row>
    <row r="522" spans="1:24" ht="14.4">
      <c r="A522" s="2518" t="str">
        <f>"22-01-2024 16:00"</f>
        <v>22-01-2024 16:00</v>
      </c>
      <c r="B522" s="2514">
        <v>0.48</v>
      </c>
      <c r="C522" s="2518" t="str">
        <f>"22-02-2024 15:00"</f>
        <v>22-02-2024 15:00</v>
      </c>
      <c r="D522" s="2514">
        <v>0.47</v>
      </c>
      <c r="E522" s="2518" t="str">
        <f>"22-03-2024 15:00"</f>
        <v>22-03-2024 15:00</v>
      </c>
      <c r="F522" s="2514">
        <v>0.31</v>
      </c>
      <c r="G522" s="2518" t="str">
        <f>"22-04-2024 15:00"</f>
        <v>22-04-2024 15:00</v>
      </c>
      <c r="H522" s="2514">
        <v>0.33</v>
      </c>
      <c r="I522" s="2518"/>
      <c r="J522" s="2514"/>
      <c r="K522" s="2518"/>
      <c r="L522" s="2514"/>
      <c r="M522" s="2518"/>
      <c r="N522" s="2514"/>
      <c r="O522" s="2518"/>
      <c r="P522" s="2514"/>
      <c r="Q522" s="2518"/>
      <c r="R522" s="2514"/>
      <c r="S522" s="2518"/>
      <c r="T522" s="2514"/>
      <c r="U522" s="2518"/>
      <c r="V522" s="2514"/>
      <c r="W522" s="2518"/>
      <c r="X522" s="2514"/>
    </row>
    <row r="523" spans="1:24" ht="14.4">
      <c r="A523" s="2518" t="str">
        <f>"22-01-2024 17:00"</f>
        <v>22-01-2024 17:00</v>
      </c>
      <c r="B523" s="2514">
        <v>0.36</v>
      </c>
      <c r="C523" s="2518" t="str">
        <f>"22-02-2024 16:00"</f>
        <v>22-02-2024 16:00</v>
      </c>
      <c r="D523" s="2514">
        <v>0.37</v>
      </c>
      <c r="E523" s="2518" t="str">
        <f>"22-03-2024 16:00"</f>
        <v>22-03-2024 16:00</v>
      </c>
      <c r="F523" s="2514">
        <v>0.45</v>
      </c>
      <c r="G523" s="2518" t="str">
        <f>"22-04-2024 16:00"</f>
        <v>22-04-2024 16:00</v>
      </c>
      <c r="H523" s="2514">
        <v>0.33</v>
      </c>
      <c r="I523" s="2518"/>
      <c r="J523" s="2514"/>
      <c r="K523" s="2518"/>
      <c r="L523" s="2514"/>
      <c r="M523" s="2518"/>
      <c r="N523" s="2514"/>
      <c r="O523" s="2518"/>
      <c r="P523" s="2514"/>
      <c r="Q523" s="2518"/>
      <c r="R523" s="2514"/>
      <c r="S523" s="2518"/>
      <c r="T523" s="2514"/>
      <c r="U523" s="2518"/>
      <c r="V523" s="2514"/>
      <c r="W523" s="2518"/>
      <c r="X523" s="2514"/>
    </row>
    <row r="524" spans="1:24" ht="14.4">
      <c r="A524" s="2518" t="str">
        <f>"22-01-2024 18:00"</f>
        <v>22-01-2024 18:00</v>
      </c>
      <c r="B524" s="2514">
        <v>1.01</v>
      </c>
      <c r="C524" s="2518" t="str">
        <f>"22-02-2024 17:00"</f>
        <v>22-02-2024 17:00</v>
      </c>
      <c r="D524" s="2514">
        <v>0.75</v>
      </c>
      <c r="E524" s="2518" t="str">
        <f>"22-03-2024 17:00"</f>
        <v>22-03-2024 17:00</v>
      </c>
      <c r="F524" s="2514">
        <v>0.49</v>
      </c>
      <c r="G524" s="2518" t="str">
        <f>"22-04-2024 17:00"</f>
        <v>22-04-2024 17:00</v>
      </c>
      <c r="H524" s="2514">
        <v>0.93</v>
      </c>
      <c r="I524" s="2518"/>
      <c r="J524" s="2514"/>
      <c r="K524" s="2518"/>
      <c r="L524" s="2514"/>
      <c r="M524" s="2518"/>
      <c r="N524" s="2514"/>
      <c r="O524" s="2518"/>
      <c r="P524" s="2514"/>
      <c r="Q524" s="2518"/>
      <c r="R524" s="2514"/>
      <c r="S524" s="2518"/>
      <c r="T524" s="2514"/>
      <c r="U524" s="2518"/>
      <c r="V524" s="2514"/>
      <c r="W524" s="2518"/>
      <c r="X524" s="2514"/>
    </row>
    <row r="525" spans="1:24" ht="14.4">
      <c r="A525" s="2518" t="str">
        <f>"22-01-2024 19:00"</f>
        <v>22-01-2024 19:00</v>
      </c>
      <c r="B525" s="2514">
        <v>0.48</v>
      </c>
      <c r="C525" s="2518" t="str">
        <f>"22-02-2024 18:00"</f>
        <v>22-02-2024 18:00</v>
      </c>
      <c r="D525" s="2514">
        <v>0.61</v>
      </c>
      <c r="E525" s="2518" t="str">
        <f>"22-03-2024 18:00"</f>
        <v>22-03-2024 18:00</v>
      </c>
      <c r="F525" s="2514">
        <v>0.4</v>
      </c>
      <c r="G525" s="2518" t="str">
        <f>"22-04-2024 18:00"</f>
        <v>22-04-2024 18:00</v>
      </c>
      <c r="H525" s="2514">
        <v>0.45</v>
      </c>
      <c r="I525" s="2518"/>
      <c r="J525" s="2514"/>
      <c r="K525" s="2518"/>
      <c r="L525" s="2514"/>
      <c r="M525" s="2518"/>
      <c r="N525" s="2514"/>
      <c r="O525" s="2518"/>
      <c r="P525" s="2514"/>
      <c r="Q525" s="2518"/>
      <c r="R525" s="2514"/>
      <c r="S525" s="2518"/>
      <c r="T525" s="2514"/>
      <c r="U525" s="2518"/>
      <c r="V525" s="2514"/>
      <c r="W525" s="2518"/>
      <c r="X525" s="2514"/>
    </row>
    <row r="526" spans="1:24" ht="14.4">
      <c r="A526" s="2518" t="str">
        <f>"22-01-2024 20:00"</f>
        <v>22-01-2024 20:00</v>
      </c>
      <c r="B526" s="2514">
        <v>0.52</v>
      </c>
      <c r="C526" s="2518" t="str">
        <f>"22-02-2024 19:00"</f>
        <v>22-02-2024 19:00</v>
      </c>
      <c r="D526" s="2514">
        <v>0.56999999999999995</v>
      </c>
      <c r="E526" s="2518" t="str">
        <f>"22-03-2024 19:00"</f>
        <v>22-03-2024 19:00</v>
      </c>
      <c r="F526" s="2514">
        <v>0.36</v>
      </c>
      <c r="G526" s="2518" t="str">
        <f>"22-04-2024 19:00"</f>
        <v>22-04-2024 19:00</v>
      </c>
      <c r="H526" s="2514">
        <v>0.34</v>
      </c>
      <c r="I526" s="2518"/>
      <c r="J526" s="2514"/>
      <c r="K526" s="2518"/>
      <c r="L526" s="2514"/>
      <c r="M526" s="2518"/>
      <c r="N526" s="2514"/>
      <c r="O526" s="2518"/>
      <c r="P526" s="2514"/>
      <c r="Q526" s="2518"/>
      <c r="R526" s="2514"/>
      <c r="S526" s="2518"/>
      <c r="T526" s="2514"/>
      <c r="U526" s="2518"/>
      <c r="V526" s="2514"/>
      <c r="W526" s="2518"/>
      <c r="X526" s="2514"/>
    </row>
    <row r="527" spans="1:24" ht="14.4">
      <c r="A527" s="2518" t="str">
        <f>"22-01-2024 21:00"</f>
        <v>22-01-2024 21:00</v>
      </c>
      <c r="B527" s="2514">
        <v>0.46</v>
      </c>
      <c r="C527" s="2518" t="str">
        <f>"22-02-2024 20:00"</f>
        <v>22-02-2024 20:00</v>
      </c>
      <c r="D527" s="2514">
        <v>0.5</v>
      </c>
      <c r="E527" s="2518" t="str">
        <f>"22-03-2024 20:00"</f>
        <v>22-03-2024 20:00</v>
      </c>
      <c r="F527" s="2514">
        <v>0.38</v>
      </c>
      <c r="G527" s="2518" t="str">
        <f>"22-04-2024 20:00"</f>
        <v>22-04-2024 20:00</v>
      </c>
      <c r="H527" s="2514">
        <v>0.35</v>
      </c>
      <c r="I527" s="2518"/>
      <c r="J527" s="2514"/>
      <c r="K527" s="2518"/>
      <c r="L527" s="2514"/>
      <c r="M527" s="2518"/>
      <c r="N527" s="2514"/>
      <c r="O527" s="2518"/>
      <c r="P527" s="2514"/>
      <c r="Q527" s="2518"/>
      <c r="R527" s="2514"/>
      <c r="S527" s="2518"/>
      <c r="T527" s="2514"/>
      <c r="U527" s="2518"/>
      <c r="V527" s="2514"/>
      <c r="W527" s="2518"/>
      <c r="X527" s="2514"/>
    </row>
    <row r="528" spans="1:24" ht="14.4">
      <c r="A528" s="2518" t="str">
        <f>"22-01-2024 22:00"</f>
        <v>22-01-2024 22:00</v>
      </c>
      <c r="B528" s="2514">
        <v>0.36</v>
      </c>
      <c r="C528" s="2518" t="str">
        <f>"22-02-2024 21:00"</f>
        <v>22-02-2024 21:00</v>
      </c>
      <c r="D528" s="2514">
        <v>0.49</v>
      </c>
      <c r="E528" s="2518" t="str">
        <f>"22-03-2024 21:00"</f>
        <v>22-03-2024 21:00</v>
      </c>
      <c r="F528" s="2514">
        <v>0.5</v>
      </c>
      <c r="G528" s="2518" t="str">
        <f>"22-04-2024 21:00"</f>
        <v>22-04-2024 21:00</v>
      </c>
      <c r="H528" s="2514">
        <v>0.34</v>
      </c>
      <c r="I528" s="2518"/>
      <c r="J528" s="2514"/>
      <c r="K528" s="2518"/>
      <c r="L528" s="2514"/>
      <c r="M528" s="2518"/>
      <c r="N528" s="2514"/>
      <c r="O528" s="2518"/>
      <c r="P528" s="2514"/>
      <c r="Q528" s="2518"/>
      <c r="R528" s="2514"/>
      <c r="S528" s="2518"/>
      <c r="T528" s="2514"/>
      <c r="U528" s="2518"/>
      <c r="V528" s="2514"/>
      <c r="W528" s="2518"/>
      <c r="X528" s="2514"/>
    </row>
    <row r="529" spans="1:24" ht="14.4">
      <c r="A529" s="2518" t="str">
        <f>"22-01-2024 23:00"</f>
        <v>22-01-2024 23:00</v>
      </c>
      <c r="B529" s="2514">
        <v>0.37</v>
      </c>
      <c r="C529" s="2518" t="str">
        <f>"22-02-2024 22:00"</f>
        <v>22-02-2024 22:00</v>
      </c>
      <c r="D529" s="2514">
        <v>0.27</v>
      </c>
      <c r="E529" s="2518" t="str">
        <f>"22-03-2024 22:00"</f>
        <v>22-03-2024 22:00</v>
      </c>
      <c r="F529" s="2514">
        <v>0.25</v>
      </c>
      <c r="G529" s="2518" t="str">
        <f>"22-04-2024 22:00"</f>
        <v>22-04-2024 22:00</v>
      </c>
      <c r="H529" s="2514">
        <v>0.14000000000000001</v>
      </c>
      <c r="I529" s="2518"/>
      <c r="J529" s="2514"/>
      <c r="K529" s="2518"/>
      <c r="L529" s="2514"/>
      <c r="M529" s="2518"/>
      <c r="N529" s="2514"/>
      <c r="O529" s="2518"/>
      <c r="P529" s="2514"/>
      <c r="Q529" s="2518"/>
      <c r="R529" s="2514"/>
      <c r="S529" s="2518"/>
      <c r="T529" s="2514"/>
      <c r="U529" s="2518"/>
      <c r="V529" s="2514"/>
      <c r="W529" s="2518"/>
      <c r="X529" s="2514"/>
    </row>
    <row r="530" spans="1:24" s="2506" customFormat="1" ht="14.4">
      <c r="A530" s="2529" t="str">
        <f>"23-01-2024 00:00"</f>
        <v>23-01-2024 00:00</v>
      </c>
      <c r="B530" s="2521">
        <v>0.17</v>
      </c>
      <c r="C530" s="2529" t="str">
        <f>"22-02-2024 23:00"</f>
        <v>22-02-2024 23:00</v>
      </c>
      <c r="D530" s="2521">
        <v>0.21</v>
      </c>
      <c r="E530" s="2529" t="str">
        <f>"22-03-2024 23:00"</f>
        <v>22-03-2024 23:00</v>
      </c>
      <c r="F530" s="2521">
        <v>0.23</v>
      </c>
      <c r="G530" s="2529" t="str">
        <f>"22-04-2024 23:00"</f>
        <v>22-04-2024 23:00</v>
      </c>
      <c r="H530" s="2521">
        <v>0.21</v>
      </c>
      <c r="I530" s="2529"/>
      <c r="J530" s="2521"/>
      <c r="K530" s="2529"/>
      <c r="L530" s="2521"/>
      <c r="M530" s="2529"/>
      <c r="N530" s="2521"/>
      <c r="O530" s="2529"/>
      <c r="P530" s="2521"/>
      <c r="Q530" s="2529"/>
      <c r="R530" s="2521"/>
      <c r="S530" s="2529"/>
      <c r="T530" s="2521"/>
      <c r="U530" s="2529"/>
      <c r="V530" s="2521"/>
      <c r="W530" s="2529"/>
      <c r="X530" s="2521"/>
    </row>
    <row r="531" spans="1:24" ht="14.4">
      <c r="A531" s="2522" t="str">
        <f>"23-01-2024 01:00"</f>
        <v>23-01-2024 01:00</v>
      </c>
      <c r="B531" s="2523">
        <v>0.16</v>
      </c>
      <c r="C531" s="2522" t="str">
        <f>"23-02-2024 00:00"</f>
        <v>23-02-2024 00:00</v>
      </c>
      <c r="D531" s="2523">
        <v>0.26</v>
      </c>
      <c r="E531" s="2522" t="str">
        <f>"23-03-2024 00:00"</f>
        <v>23-03-2024 00:00</v>
      </c>
      <c r="F531" s="2523">
        <v>0.14000000000000001</v>
      </c>
      <c r="G531" s="2522" t="str">
        <f>"23-04-2024 00:00"</f>
        <v>23-04-2024 00:00</v>
      </c>
      <c r="H531" s="2523">
        <v>0.14000000000000001</v>
      </c>
      <c r="I531" s="2522"/>
      <c r="J531" s="2523"/>
      <c r="K531" s="2522"/>
      <c r="L531" s="2523"/>
      <c r="M531" s="2522"/>
      <c r="N531" s="2523"/>
      <c r="O531" s="2522"/>
      <c r="P531" s="2523"/>
      <c r="Q531" s="2522"/>
      <c r="R531" s="2523"/>
      <c r="S531" s="2522"/>
      <c r="T531" s="2523"/>
      <c r="U531" s="2522"/>
      <c r="V531" s="2523"/>
      <c r="W531" s="2522"/>
      <c r="X531" s="2523"/>
    </row>
    <row r="532" spans="1:24" ht="14.4">
      <c r="A532" s="2519" t="str">
        <f>"23-01-2024 02:00"</f>
        <v>23-01-2024 02:00</v>
      </c>
      <c r="B532" s="2514">
        <v>0.11</v>
      </c>
      <c r="C532" s="2519" t="str">
        <f>"23-02-2024 01:00"</f>
        <v>23-02-2024 01:00</v>
      </c>
      <c r="D532" s="2514">
        <v>0.22</v>
      </c>
      <c r="E532" s="2519" t="str">
        <f>"23-03-2024 01:00"</f>
        <v>23-03-2024 01:00</v>
      </c>
      <c r="F532" s="2514">
        <v>0.16</v>
      </c>
      <c r="G532" s="2519" t="str">
        <f>"23-04-2024 01:00"</f>
        <v>23-04-2024 01:00</v>
      </c>
      <c r="H532" s="2514">
        <v>0.14000000000000001</v>
      </c>
      <c r="I532" s="2519"/>
      <c r="J532" s="2514"/>
      <c r="K532" s="2519"/>
      <c r="L532" s="2514"/>
      <c r="M532" s="2519"/>
      <c r="N532" s="2514"/>
      <c r="O532" s="2519"/>
      <c r="P532" s="2514"/>
      <c r="Q532" s="2519"/>
      <c r="R532" s="2514"/>
      <c r="S532" s="2519"/>
      <c r="T532" s="2514"/>
      <c r="U532" s="2519"/>
      <c r="V532" s="2514"/>
      <c r="W532" s="2519"/>
      <c r="X532" s="2514"/>
    </row>
    <row r="533" spans="1:24" ht="14.4">
      <c r="A533" s="2519" t="str">
        <f>"23-01-2024 03:00"</f>
        <v>23-01-2024 03:00</v>
      </c>
      <c r="B533" s="2514">
        <v>0.18</v>
      </c>
      <c r="C533" s="2519" t="str">
        <f>"23-02-2024 02:00"</f>
        <v>23-02-2024 02:00</v>
      </c>
      <c r="D533" s="2514">
        <v>0.23</v>
      </c>
      <c r="E533" s="2519" t="str">
        <f>"23-03-2024 02:00"</f>
        <v>23-03-2024 02:00</v>
      </c>
      <c r="F533" s="2514">
        <v>0.18</v>
      </c>
      <c r="G533" s="2519" t="str">
        <f>"23-04-2024 02:00"</f>
        <v>23-04-2024 02:00</v>
      </c>
      <c r="H533" s="2514">
        <v>0.19</v>
      </c>
      <c r="I533" s="2519"/>
      <c r="J533" s="2514"/>
      <c r="K533" s="2519"/>
      <c r="L533" s="2514"/>
      <c r="M533" s="2519"/>
      <c r="N533" s="2514"/>
      <c r="O533" s="2519"/>
      <c r="P533" s="2514"/>
      <c r="Q533" s="2519"/>
      <c r="R533" s="2514"/>
      <c r="S533" s="2519"/>
      <c r="T533" s="2514"/>
      <c r="U533" s="2519"/>
      <c r="V533" s="2514"/>
      <c r="W533" s="2519"/>
      <c r="X533" s="2514"/>
    </row>
    <row r="534" spans="1:24" ht="14.4">
      <c r="A534" s="2519" t="str">
        <f>"23-01-2024 04:00"</f>
        <v>23-01-2024 04:00</v>
      </c>
      <c r="B534" s="2514">
        <v>0.22</v>
      </c>
      <c r="C534" s="2519" t="str">
        <f>"23-02-2024 03:00"</f>
        <v>23-02-2024 03:00</v>
      </c>
      <c r="D534" s="2514">
        <v>0.16</v>
      </c>
      <c r="E534" s="2519" t="str">
        <f>"23-03-2024 03:00"</f>
        <v>23-03-2024 03:00</v>
      </c>
      <c r="F534" s="2514">
        <v>0.16</v>
      </c>
      <c r="G534" s="2519" t="str">
        <f>"23-04-2024 03:00"</f>
        <v>23-04-2024 03:00</v>
      </c>
      <c r="H534" s="2514">
        <v>0.15</v>
      </c>
      <c r="I534" s="2519"/>
      <c r="J534" s="2514"/>
      <c r="K534" s="2519"/>
      <c r="L534" s="2514"/>
      <c r="M534" s="2519"/>
      <c r="N534" s="2514"/>
      <c r="O534" s="2519"/>
      <c r="P534" s="2514"/>
      <c r="Q534" s="2519"/>
      <c r="R534" s="2514"/>
      <c r="S534" s="2519"/>
      <c r="T534" s="2514"/>
      <c r="U534" s="2519"/>
      <c r="V534" s="2514"/>
      <c r="W534" s="2519"/>
      <c r="X534" s="2514"/>
    </row>
    <row r="535" spans="1:24" ht="14.4">
      <c r="A535" s="2519" t="str">
        <f>"23-01-2024 05:00"</f>
        <v>23-01-2024 05:00</v>
      </c>
      <c r="B535" s="2514">
        <v>0.21</v>
      </c>
      <c r="C535" s="2519" t="str">
        <f>"23-02-2024 04:00"</f>
        <v>23-02-2024 04:00</v>
      </c>
      <c r="D535" s="2514">
        <v>0.21</v>
      </c>
      <c r="E535" s="2519" t="str">
        <f>"23-03-2024 04:00"</f>
        <v>23-03-2024 04:00</v>
      </c>
      <c r="F535" s="2514">
        <v>0.13</v>
      </c>
      <c r="G535" s="2519" t="str">
        <f>"23-04-2024 04:00"</f>
        <v>23-04-2024 04:00</v>
      </c>
      <c r="H535" s="2514">
        <v>0.14000000000000001</v>
      </c>
      <c r="I535" s="2519"/>
      <c r="J535" s="2514"/>
      <c r="K535" s="2519"/>
      <c r="L535" s="2514"/>
      <c r="M535" s="2519"/>
      <c r="N535" s="2514"/>
      <c r="O535" s="2519"/>
      <c r="P535" s="2514"/>
      <c r="Q535" s="2519"/>
      <c r="R535" s="2514"/>
      <c r="S535" s="2519"/>
      <c r="T535" s="2514"/>
      <c r="U535" s="2519"/>
      <c r="V535" s="2514"/>
      <c r="W535" s="2519"/>
      <c r="X535" s="2514"/>
    </row>
    <row r="536" spans="1:24" ht="14.4">
      <c r="A536" s="2519" t="str">
        <f>"23-01-2024 06:00"</f>
        <v>23-01-2024 06:00</v>
      </c>
      <c r="B536" s="2514">
        <v>0.23</v>
      </c>
      <c r="C536" s="2519" t="str">
        <f>"23-02-2024 05:00"</f>
        <v>23-02-2024 05:00</v>
      </c>
      <c r="D536" s="2514">
        <v>0.28999999999999998</v>
      </c>
      <c r="E536" s="2519" t="str">
        <f>"23-03-2024 05:00"</f>
        <v>23-03-2024 05:00</v>
      </c>
      <c r="F536" s="2514">
        <v>0.23</v>
      </c>
      <c r="G536" s="2519" t="str">
        <f>"23-04-2024 05:00"</f>
        <v>23-04-2024 05:00</v>
      </c>
      <c r="H536" s="2514">
        <v>0.24</v>
      </c>
      <c r="I536" s="2519"/>
      <c r="J536" s="2514"/>
      <c r="K536" s="2519"/>
      <c r="L536" s="2514"/>
      <c r="M536" s="2519"/>
      <c r="N536" s="2514"/>
      <c r="O536" s="2519"/>
      <c r="P536" s="2514"/>
      <c r="Q536" s="2519"/>
      <c r="R536" s="2514"/>
      <c r="S536" s="2519"/>
      <c r="T536" s="2514"/>
      <c r="U536" s="2519"/>
      <c r="V536" s="2514"/>
      <c r="W536" s="2519"/>
      <c r="X536" s="2514"/>
    </row>
    <row r="537" spans="1:24" ht="14.4">
      <c r="A537" s="2519" t="str">
        <f>"23-01-2024 07:00"</f>
        <v>23-01-2024 07:00</v>
      </c>
      <c r="B537" s="2514">
        <v>0.21</v>
      </c>
      <c r="C537" s="2519" t="str">
        <f>"23-02-2024 06:00"</f>
        <v>23-02-2024 06:00</v>
      </c>
      <c r="D537" s="2514">
        <v>0.39</v>
      </c>
      <c r="E537" s="2519" t="str">
        <f>"23-03-2024 06:00"</f>
        <v>23-03-2024 06:00</v>
      </c>
      <c r="F537" s="2514">
        <v>0.18</v>
      </c>
      <c r="G537" s="2519" t="str">
        <f>"23-04-2024 06:00"</f>
        <v>23-04-2024 06:00</v>
      </c>
      <c r="H537" s="2514">
        <v>0.17</v>
      </c>
      <c r="I537" s="2519"/>
      <c r="J537" s="2514"/>
      <c r="K537" s="2519"/>
      <c r="L537" s="2514"/>
      <c r="M537" s="2519"/>
      <c r="N537" s="2514"/>
      <c r="O537" s="2519"/>
      <c r="P537" s="2514"/>
      <c r="Q537" s="2519"/>
      <c r="R537" s="2514"/>
      <c r="S537" s="2519"/>
      <c r="T537" s="2514"/>
      <c r="U537" s="2519"/>
      <c r="V537" s="2514"/>
      <c r="W537" s="2519"/>
      <c r="X537" s="2514"/>
    </row>
    <row r="538" spans="1:24" ht="14.4">
      <c r="A538" s="2519" t="str">
        <f>"23-01-2024 08:00"</f>
        <v>23-01-2024 08:00</v>
      </c>
      <c r="B538" s="2514">
        <v>0.41</v>
      </c>
      <c r="C538" s="2519" t="str">
        <f>"23-02-2024 07:00"</f>
        <v>23-02-2024 07:00</v>
      </c>
      <c r="D538" s="2514">
        <v>0.5</v>
      </c>
      <c r="E538" s="2519" t="str">
        <f>"23-03-2024 07:00"</f>
        <v>23-03-2024 07:00</v>
      </c>
      <c r="F538" s="2514">
        <v>0.25</v>
      </c>
      <c r="G538" s="2519" t="str">
        <f>"23-04-2024 07:00"</f>
        <v>23-04-2024 07:00</v>
      </c>
      <c r="H538" s="2514">
        <v>0.19</v>
      </c>
      <c r="I538" s="2519"/>
      <c r="J538" s="2514"/>
      <c r="K538" s="2519"/>
      <c r="L538" s="2514"/>
      <c r="M538" s="2519"/>
      <c r="N538" s="2514"/>
      <c r="O538" s="2519"/>
      <c r="P538" s="2514"/>
      <c r="Q538" s="2519"/>
      <c r="R538" s="2514"/>
      <c r="S538" s="2519"/>
      <c r="T538" s="2514"/>
      <c r="U538" s="2519"/>
      <c r="V538" s="2514"/>
      <c r="W538" s="2519"/>
      <c r="X538" s="2514"/>
    </row>
    <row r="539" spans="1:24" ht="14.4">
      <c r="A539" s="2519" t="str">
        <f>"23-01-2024 09:00"</f>
        <v>23-01-2024 09:00</v>
      </c>
      <c r="B539" s="2514">
        <v>0.21</v>
      </c>
      <c r="C539" s="2519" t="str">
        <f>"23-02-2024 08:00"</f>
        <v>23-02-2024 08:00</v>
      </c>
      <c r="D539" s="2514">
        <v>0.36</v>
      </c>
      <c r="E539" s="2519" t="str">
        <f>"23-03-2024 08:00"</f>
        <v>23-03-2024 08:00</v>
      </c>
      <c r="F539" s="2514">
        <v>0.38</v>
      </c>
      <c r="G539" s="2519" t="str">
        <f>"23-04-2024 08:00"</f>
        <v>23-04-2024 08:00</v>
      </c>
      <c r="H539" s="2514">
        <v>0.27</v>
      </c>
      <c r="I539" s="2519"/>
      <c r="J539" s="2514"/>
      <c r="K539" s="2519"/>
      <c r="L539" s="2514"/>
      <c r="M539" s="2519"/>
      <c r="N539" s="2514"/>
      <c r="O539" s="2519"/>
      <c r="P539" s="2514"/>
      <c r="Q539" s="2519"/>
      <c r="R539" s="2514"/>
      <c r="S539" s="2519"/>
      <c r="T539" s="2514"/>
      <c r="U539" s="2519"/>
      <c r="V539" s="2514"/>
      <c r="W539" s="2519"/>
      <c r="X539" s="2514"/>
    </row>
    <row r="540" spans="1:24" ht="14.4">
      <c r="A540" s="2519" t="str">
        <f>"23-01-2024 10:00"</f>
        <v>23-01-2024 10:00</v>
      </c>
      <c r="B540" s="2514">
        <v>0.28999999999999998</v>
      </c>
      <c r="C540" s="2519" t="str">
        <f>"23-02-2024 09:00"</f>
        <v>23-02-2024 09:00</v>
      </c>
      <c r="D540" s="2514">
        <v>0.53</v>
      </c>
      <c r="E540" s="2519" t="str">
        <f>"23-03-2024 09:00"</f>
        <v>23-03-2024 09:00</v>
      </c>
      <c r="F540" s="2514">
        <v>0.33</v>
      </c>
      <c r="G540" s="2519" t="str">
        <f>"23-04-2024 09:00"</f>
        <v>23-04-2024 09:00</v>
      </c>
      <c r="H540" s="2514">
        <v>0.4</v>
      </c>
      <c r="I540" s="2519"/>
      <c r="J540" s="2514"/>
      <c r="K540" s="2519"/>
      <c r="L540" s="2514"/>
      <c r="M540" s="2519"/>
      <c r="N540" s="2514"/>
      <c r="O540" s="2519"/>
      <c r="P540" s="2514"/>
      <c r="Q540" s="2519"/>
      <c r="R540" s="2514"/>
      <c r="S540" s="2519"/>
      <c r="T540" s="2514"/>
      <c r="U540" s="2519"/>
      <c r="V540" s="2514"/>
      <c r="W540" s="2519"/>
      <c r="X540" s="2514"/>
    </row>
    <row r="541" spans="1:24" ht="14.4">
      <c r="A541" s="2519" t="str">
        <f>"23-01-2024 11:00"</f>
        <v>23-01-2024 11:00</v>
      </c>
      <c r="B541" s="2514">
        <v>0.25</v>
      </c>
      <c r="C541" s="2519" t="str">
        <f>"23-02-2024 10:00"</f>
        <v>23-02-2024 10:00</v>
      </c>
      <c r="D541" s="2514">
        <v>0.2</v>
      </c>
      <c r="E541" s="2519" t="str">
        <f>"23-03-2024 10:00"</f>
        <v>23-03-2024 10:00</v>
      </c>
      <c r="F541" s="2514">
        <v>0.56999999999999995</v>
      </c>
      <c r="G541" s="2519" t="str">
        <f>"23-04-2024 10:00"</f>
        <v>23-04-2024 10:00</v>
      </c>
      <c r="H541" s="2514">
        <v>0.3</v>
      </c>
      <c r="I541" s="2519"/>
      <c r="J541" s="2514"/>
      <c r="K541" s="2519"/>
      <c r="L541" s="2514"/>
      <c r="M541" s="2519"/>
      <c r="N541" s="2514"/>
      <c r="O541" s="2519"/>
      <c r="P541" s="2514"/>
      <c r="Q541" s="2519"/>
      <c r="R541" s="2514"/>
      <c r="S541" s="2519"/>
      <c r="T541" s="2514"/>
      <c r="U541" s="2519"/>
      <c r="V541" s="2514"/>
      <c r="W541" s="2519"/>
      <c r="X541" s="2514"/>
    </row>
    <row r="542" spans="1:24" ht="14.4">
      <c r="A542" s="2519" t="str">
        <f>"23-01-2024 12:00"</f>
        <v>23-01-2024 12:00</v>
      </c>
      <c r="B542" s="2514">
        <v>0.27</v>
      </c>
      <c r="C542" s="2519" t="str">
        <f>"23-02-2024 11:00"</f>
        <v>23-02-2024 11:00</v>
      </c>
      <c r="D542" s="2514">
        <v>0.21</v>
      </c>
      <c r="E542" s="2519" t="str">
        <f>"23-03-2024 11:00"</f>
        <v>23-03-2024 11:00</v>
      </c>
      <c r="F542" s="2514">
        <v>0.31</v>
      </c>
      <c r="G542" s="2519" t="str">
        <f>"23-04-2024 11:00"</f>
        <v>23-04-2024 11:00</v>
      </c>
      <c r="H542" s="2514">
        <v>0.28999999999999998</v>
      </c>
      <c r="I542" s="2519"/>
      <c r="J542" s="2514"/>
      <c r="K542" s="2519"/>
      <c r="L542" s="2514"/>
      <c r="M542" s="2519"/>
      <c r="N542" s="2514"/>
      <c r="O542" s="2519"/>
      <c r="P542" s="2514"/>
      <c r="Q542" s="2519"/>
      <c r="R542" s="2514"/>
      <c r="S542" s="2519"/>
      <c r="T542" s="2514"/>
      <c r="U542" s="2519"/>
      <c r="V542" s="2514"/>
      <c r="W542" s="2519"/>
      <c r="X542" s="2514"/>
    </row>
    <row r="543" spans="1:24" ht="14.4">
      <c r="A543" s="2519" t="str">
        <f>"23-01-2024 13:00"</f>
        <v>23-01-2024 13:00</v>
      </c>
      <c r="B543" s="2514">
        <v>0.31</v>
      </c>
      <c r="C543" s="2519" t="str">
        <f>"23-02-2024 12:00"</f>
        <v>23-02-2024 12:00</v>
      </c>
      <c r="D543" s="2514">
        <v>0.38</v>
      </c>
      <c r="E543" s="2519" t="str">
        <f>"23-03-2024 12:00"</f>
        <v>23-03-2024 12:00</v>
      </c>
      <c r="F543" s="2514">
        <v>0.46</v>
      </c>
      <c r="G543" s="2519" t="str">
        <f>"23-04-2024 12:00"</f>
        <v>23-04-2024 12:00</v>
      </c>
      <c r="H543" s="2514">
        <v>0.56000000000000005</v>
      </c>
      <c r="I543" s="2519"/>
      <c r="J543" s="2514"/>
      <c r="K543" s="2519"/>
      <c r="L543" s="2514"/>
      <c r="M543" s="2519"/>
      <c r="N543" s="2514"/>
      <c r="O543" s="2519"/>
      <c r="P543" s="2514"/>
      <c r="Q543" s="2519"/>
      <c r="R543" s="2514"/>
      <c r="S543" s="2519"/>
      <c r="T543" s="2514"/>
      <c r="U543" s="2519"/>
      <c r="V543" s="2514"/>
      <c r="W543" s="2519"/>
      <c r="X543" s="2514"/>
    </row>
    <row r="544" spans="1:24" ht="14.4">
      <c r="A544" s="2519" t="str">
        <f>"23-01-2024 14:00"</f>
        <v>23-01-2024 14:00</v>
      </c>
      <c r="B544" s="2514">
        <v>0.5</v>
      </c>
      <c r="C544" s="2519" t="str">
        <f>"23-02-2024 13:00"</f>
        <v>23-02-2024 13:00</v>
      </c>
      <c r="D544" s="2514">
        <v>0.28000000000000003</v>
      </c>
      <c r="E544" s="2519" t="str">
        <f>"23-03-2024 13:00"</f>
        <v>23-03-2024 13:00</v>
      </c>
      <c r="F544" s="2514">
        <v>0.41</v>
      </c>
      <c r="G544" s="2519" t="str">
        <f>"23-04-2024 13:00"</f>
        <v>23-04-2024 13:00</v>
      </c>
      <c r="H544" s="2514">
        <v>0.35</v>
      </c>
      <c r="I544" s="2519"/>
      <c r="J544" s="2514"/>
      <c r="K544" s="2519"/>
      <c r="L544" s="2514"/>
      <c r="M544" s="2519"/>
      <c r="N544" s="2514"/>
      <c r="O544" s="2519"/>
      <c r="P544" s="2514"/>
      <c r="Q544" s="2519"/>
      <c r="R544" s="2514"/>
      <c r="S544" s="2519"/>
      <c r="T544" s="2514"/>
      <c r="U544" s="2519"/>
      <c r="V544" s="2514"/>
      <c r="W544" s="2519"/>
      <c r="X544" s="2514"/>
    </row>
    <row r="545" spans="1:24" ht="14.4">
      <c r="A545" s="2519" t="str">
        <f>"23-01-2024 15:00"</f>
        <v>23-01-2024 15:00</v>
      </c>
      <c r="B545" s="2514">
        <v>0.69</v>
      </c>
      <c r="C545" s="2519" t="str">
        <f>"23-02-2024 14:00"</f>
        <v>23-02-2024 14:00</v>
      </c>
      <c r="D545" s="2514">
        <v>0.41</v>
      </c>
      <c r="E545" s="2519" t="str">
        <f>"23-03-2024 14:00"</f>
        <v>23-03-2024 14:00</v>
      </c>
      <c r="F545" s="2514">
        <v>0.36</v>
      </c>
      <c r="G545" s="2519" t="str">
        <f>"23-04-2024 14:00"</f>
        <v>23-04-2024 14:00</v>
      </c>
      <c r="H545" s="2514">
        <v>0.43</v>
      </c>
      <c r="I545" s="2519"/>
      <c r="J545" s="2514"/>
      <c r="K545" s="2519"/>
      <c r="L545" s="2514"/>
      <c r="M545" s="2519"/>
      <c r="N545" s="2514"/>
      <c r="O545" s="2519"/>
      <c r="P545" s="2514"/>
      <c r="Q545" s="2519"/>
      <c r="R545" s="2514"/>
      <c r="S545" s="2519"/>
      <c r="T545" s="2514"/>
      <c r="U545" s="2519"/>
      <c r="V545" s="2514"/>
      <c r="W545" s="2519"/>
      <c r="X545" s="2514"/>
    </row>
    <row r="546" spans="1:24" ht="14.4">
      <c r="A546" s="2519" t="str">
        <f>"23-01-2024 16:00"</f>
        <v>23-01-2024 16:00</v>
      </c>
      <c r="B546" s="2514">
        <v>0.4</v>
      </c>
      <c r="C546" s="2519" t="str">
        <f>"23-02-2024 15:00"</f>
        <v>23-02-2024 15:00</v>
      </c>
      <c r="D546" s="2514">
        <v>0.35</v>
      </c>
      <c r="E546" s="2519" t="str">
        <f>"23-03-2024 15:00"</f>
        <v>23-03-2024 15:00</v>
      </c>
      <c r="F546" s="2514">
        <v>0.47</v>
      </c>
      <c r="G546" s="2519" t="str">
        <f>"23-04-2024 15:00"</f>
        <v>23-04-2024 15:00</v>
      </c>
      <c r="H546" s="2514">
        <v>0.46</v>
      </c>
      <c r="I546" s="2519"/>
      <c r="J546" s="2514"/>
      <c r="K546" s="2519"/>
      <c r="L546" s="2514"/>
      <c r="M546" s="2519"/>
      <c r="N546" s="2514"/>
      <c r="O546" s="2519"/>
      <c r="P546" s="2514"/>
      <c r="Q546" s="2519"/>
      <c r="R546" s="2514"/>
      <c r="S546" s="2519"/>
      <c r="T546" s="2514"/>
      <c r="U546" s="2519"/>
      <c r="V546" s="2514"/>
      <c r="W546" s="2519"/>
      <c r="X546" s="2514"/>
    </row>
    <row r="547" spans="1:24" ht="14.4">
      <c r="A547" s="2519" t="str">
        <f>"23-01-2024 17:00"</f>
        <v>23-01-2024 17:00</v>
      </c>
      <c r="B547" s="2514">
        <v>0.42</v>
      </c>
      <c r="C547" s="2519" t="str">
        <f>"23-02-2024 16:00"</f>
        <v>23-02-2024 16:00</v>
      </c>
      <c r="D547" s="2514">
        <v>0.35</v>
      </c>
      <c r="E547" s="2519" t="str">
        <f>"23-03-2024 16:00"</f>
        <v>23-03-2024 16:00</v>
      </c>
      <c r="F547" s="2514">
        <v>0.37</v>
      </c>
      <c r="G547" s="2519" t="str">
        <f>"23-04-2024 16:00"</f>
        <v>23-04-2024 16:00</v>
      </c>
      <c r="H547" s="2514">
        <v>0.34</v>
      </c>
      <c r="I547" s="2519"/>
      <c r="J547" s="2514"/>
      <c r="K547" s="2519"/>
      <c r="L547" s="2514"/>
      <c r="M547" s="2519"/>
      <c r="N547" s="2514"/>
      <c r="O547" s="2519"/>
      <c r="P547" s="2514"/>
      <c r="Q547" s="2519"/>
      <c r="R547" s="2514"/>
      <c r="S547" s="2519"/>
      <c r="T547" s="2514"/>
      <c r="U547" s="2519"/>
      <c r="V547" s="2514"/>
      <c r="W547" s="2519"/>
      <c r="X547" s="2514"/>
    </row>
    <row r="548" spans="1:24" ht="14.4">
      <c r="A548" s="2519" t="str">
        <f>"23-01-2024 18:00"</f>
        <v>23-01-2024 18:00</v>
      </c>
      <c r="B548" s="2514">
        <v>0.71</v>
      </c>
      <c r="C548" s="2519" t="str">
        <f>"23-02-2024 17:00"</f>
        <v>23-02-2024 17:00</v>
      </c>
      <c r="D548" s="2514">
        <v>0.81</v>
      </c>
      <c r="E548" s="2519" t="str">
        <f>"23-03-2024 17:00"</f>
        <v>23-03-2024 17:00</v>
      </c>
      <c r="F548" s="2514">
        <v>0.7</v>
      </c>
      <c r="G548" s="2519" t="str">
        <f>"23-04-2024 17:00"</f>
        <v>23-04-2024 17:00</v>
      </c>
      <c r="H548" s="2514">
        <v>0.55000000000000004</v>
      </c>
      <c r="I548" s="2519"/>
      <c r="J548" s="2514"/>
      <c r="K548" s="2519"/>
      <c r="L548" s="2514"/>
      <c r="M548" s="2519"/>
      <c r="N548" s="2514"/>
      <c r="O548" s="2519"/>
      <c r="P548" s="2514"/>
      <c r="Q548" s="2519"/>
      <c r="R548" s="2514"/>
      <c r="S548" s="2519"/>
      <c r="T548" s="2514"/>
      <c r="U548" s="2519"/>
      <c r="V548" s="2514"/>
      <c r="W548" s="2519"/>
      <c r="X548" s="2514"/>
    </row>
    <row r="549" spans="1:24" ht="14.4">
      <c r="A549" s="2519" t="str">
        <f>"23-01-2024 19:00"</f>
        <v>23-01-2024 19:00</v>
      </c>
      <c r="B549" s="2514">
        <v>0.62</v>
      </c>
      <c r="C549" s="2519" t="str">
        <f>"23-02-2024 18:00"</f>
        <v>23-02-2024 18:00</v>
      </c>
      <c r="D549" s="2514">
        <v>0.42</v>
      </c>
      <c r="E549" s="2519" t="str">
        <f>"23-03-2024 18:00"</f>
        <v>23-03-2024 18:00</v>
      </c>
      <c r="F549" s="2514">
        <v>0.6</v>
      </c>
      <c r="G549" s="2519" t="str">
        <f>"23-04-2024 18:00"</f>
        <v>23-04-2024 18:00</v>
      </c>
      <c r="H549" s="2514">
        <v>0.4</v>
      </c>
      <c r="I549" s="2519"/>
      <c r="J549" s="2514"/>
      <c r="K549" s="2519"/>
      <c r="L549" s="2514"/>
      <c r="M549" s="2519"/>
      <c r="N549" s="2514"/>
      <c r="O549" s="2519"/>
      <c r="P549" s="2514"/>
      <c r="Q549" s="2519"/>
      <c r="R549" s="2514"/>
      <c r="S549" s="2519"/>
      <c r="T549" s="2514"/>
      <c r="U549" s="2519"/>
      <c r="V549" s="2514"/>
      <c r="W549" s="2519"/>
      <c r="X549" s="2514"/>
    </row>
    <row r="550" spans="1:24" ht="14.4">
      <c r="A550" s="2519" t="str">
        <f>"23-01-2024 20:00"</f>
        <v>23-01-2024 20:00</v>
      </c>
      <c r="B550" s="2514">
        <v>0.56000000000000005</v>
      </c>
      <c r="C550" s="2519" t="str">
        <f>"23-02-2024 19:00"</f>
        <v>23-02-2024 19:00</v>
      </c>
      <c r="D550" s="2514">
        <v>0.41</v>
      </c>
      <c r="E550" s="2519" t="str">
        <f>"23-03-2024 19:00"</f>
        <v>23-03-2024 19:00</v>
      </c>
      <c r="F550" s="2514">
        <v>0.42</v>
      </c>
      <c r="G550" s="2519" t="str">
        <f>"23-04-2024 19:00"</f>
        <v>23-04-2024 19:00</v>
      </c>
      <c r="H550" s="2514">
        <v>0.32</v>
      </c>
      <c r="I550" s="2519"/>
      <c r="J550" s="2514"/>
      <c r="K550" s="2519"/>
      <c r="L550" s="2514"/>
      <c r="M550" s="2519"/>
      <c r="N550" s="2514"/>
      <c r="O550" s="2519"/>
      <c r="P550" s="2514"/>
      <c r="Q550" s="2519"/>
      <c r="R550" s="2514"/>
      <c r="S550" s="2519"/>
      <c r="T550" s="2514"/>
      <c r="U550" s="2519"/>
      <c r="V550" s="2514"/>
      <c r="W550" s="2519"/>
      <c r="X550" s="2514"/>
    </row>
    <row r="551" spans="1:24" ht="14.4">
      <c r="A551" s="2519" t="str">
        <f>"23-01-2024 21:00"</f>
        <v>23-01-2024 21:00</v>
      </c>
      <c r="B551" s="2514">
        <v>0.39</v>
      </c>
      <c r="C551" s="2519" t="str">
        <f>"23-02-2024 20:00"</f>
        <v>23-02-2024 20:00</v>
      </c>
      <c r="D551" s="2514">
        <v>0.5</v>
      </c>
      <c r="E551" s="2519" t="str">
        <f>"23-03-2024 20:00"</f>
        <v>23-03-2024 20:00</v>
      </c>
      <c r="F551" s="2514">
        <v>0.42</v>
      </c>
      <c r="G551" s="2519" t="str">
        <f>"23-04-2024 20:00"</f>
        <v>23-04-2024 20:00</v>
      </c>
      <c r="H551" s="2514">
        <v>0.34</v>
      </c>
      <c r="I551" s="2519"/>
      <c r="J551" s="2514"/>
      <c r="K551" s="2519"/>
      <c r="L551" s="2514"/>
      <c r="M551" s="2519"/>
      <c r="N551" s="2514"/>
      <c r="O551" s="2519"/>
      <c r="P551" s="2514"/>
      <c r="Q551" s="2519"/>
      <c r="R551" s="2514"/>
      <c r="S551" s="2519"/>
      <c r="T551" s="2514"/>
      <c r="U551" s="2519"/>
      <c r="V551" s="2514"/>
      <c r="W551" s="2519"/>
      <c r="X551" s="2514"/>
    </row>
    <row r="552" spans="1:24" ht="14.4">
      <c r="A552" s="2519" t="str">
        <f>"23-01-2024 22:00"</f>
        <v>23-01-2024 22:00</v>
      </c>
      <c r="B552" s="2514">
        <v>0.42</v>
      </c>
      <c r="C552" s="2519" t="str">
        <f>"23-02-2024 21:00"</f>
        <v>23-02-2024 21:00</v>
      </c>
      <c r="D552" s="2514">
        <v>0.4</v>
      </c>
      <c r="E552" s="2519" t="str">
        <f>"23-03-2024 21:00"</f>
        <v>23-03-2024 21:00</v>
      </c>
      <c r="F552" s="2514">
        <v>0.43</v>
      </c>
      <c r="G552" s="2519" t="str">
        <f>"23-04-2024 21:00"</f>
        <v>23-04-2024 21:00</v>
      </c>
      <c r="H552" s="2514">
        <v>0.28999999999999998</v>
      </c>
      <c r="I552" s="2519"/>
      <c r="J552" s="2514"/>
      <c r="K552" s="2519"/>
      <c r="L552" s="2514"/>
      <c r="M552" s="2519"/>
      <c r="N552" s="2514"/>
      <c r="O552" s="2519"/>
      <c r="P552" s="2514"/>
      <c r="Q552" s="2519"/>
      <c r="R552" s="2514"/>
      <c r="S552" s="2519"/>
      <c r="T552" s="2514"/>
      <c r="U552" s="2519"/>
      <c r="V552" s="2514"/>
      <c r="W552" s="2519"/>
      <c r="X552" s="2514"/>
    </row>
    <row r="553" spans="1:24" ht="14.4">
      <c r="A553" s="2519" t="str">
        <f>"23-01-2024 23:00"</f>
        <v>23-01-2024 23:00</v>
      </c>
      <c r="B553" s="2514">
        <v>0.21</v>
      </c>
      <c r="C553" s="2519" t="str">
        <f>"23-02-2024 22:00"</f>
        <v>23-02-2024 22:00</v>
      </c>
      <c r="D553" s="2514">
        <v>0.31</v>
      </c>
      <c r="E553" s="2519" t="str">
        <f>"23-03-2024 22:00"</f>
        <v>23-03-2024 22:00</v>
      </c>
      <c r="F553" s="2514">
        <v>0.36</v>
      </c>
      <c r="G553" s="2519" t="str">
        <f>"23-04-2024 22:00"</f>
        <v>23-04-2024 22:00</v>
      </c>
      <c r="H553" s="2514">
        <v>0.17</v>
      </c>
      <c r="I553" s="2519"/>
      <c r="J553" s="2514"/>
      <c r="K553" s="2519"/>
      <c r="L553" s="2514"/>
      <c r="M553" s="2519"/>
      <c r="N553" s="2514"/>
      <c r="O553" s="2519"/>
      <c r="P553" s="2514"/>
      <c r="Q553" s="2519"/>
      <c r="R553" s="2514"/>
      <c r="S553" s="2519"/>
      <c r="T553" s="2514"/>
      <c r="U553" s="2519"/>
      <c r="V553" s="2514"/>
      <c r="W553" s="2519"/>
      <c r="X553" s="2514"/>
    </row>
    <row r="554" spans="1:24" s="2506" customFormat="1" ht="14.4">
      <c r="A554" s="2520" t="str">
        <f>"24-01-2024 00:00"</f>
        <v>24-01-2024 00:00</v>
      </c>
      <c r="B554" s="2521">
        <v>0.21</v>
      </c>
      <c r="C554" s="2520" t="str">
        <f>"23-02-2024 23:00"</f>
        <v>23-02-2024 23:00</v>
      </c>
      <c r="D554" s="2521">
        <v>0.18</v>
      </c>
      <c r="E554" s="2520" t="str">
        <f>"23-03-2024 23:00"</f>
        <v>23-03-2024 23:00</v>
      </c>
      <c r="F554" s="2521">
        <v>0.21</v>
      </c>
      <c r="G554" s="2520" t="str">
        <f>"23-04-2024 23:00"</f>
        <v>23-04-2024 23:00</v>
      </c>
      <c r="H554" s="2521">
        <v>0.13</v>
      </c>
      <c r="I554" s="2520"/>
      <c r="J554" s="2521"/>
      <c r="K554" s="2520"/>
      <c r="L554" s="2521"/>
      <c r="M554" s="2520"/>
      <c r="N554" s="2521"/>
      <c r="O554" s="2520"/>
      <c r="P554" s="2521"/>
      <c r="Q554" s="2520"/>
      <c r="R554" s="2521"/>
      <c r="S554" s="2520"/>
      <c r="T554" s="2521"/>
      <c r="U554" s="2520"/>
      <c r="V554" s="2521"/>
      <c r="W554" s="2520"/>
      <c r="X554" s="2521"/>
    </row>
    <row r="555" spans="1:24" ht="14.4">
      <c r="A555" s="2528" t="str">
        <f>"24-01-2024 01:00"</f>
        <v>24-01-2024 01:00</v>
      </c>
      <c r="B555" s="2523">
        <v>0.16</v>
      </c>
      <c r="C555" s="2528" t="str">
        <f>"24-02-2024 00:00"</f>
        <v>24-02-2024 00:00</v>
      </c>
      <c r="D555" s="2523">
        <v>0.13</v>
      </c>
      <c r="E555" s="2528" t="str">
        <f>"24-03-2024 00:00"</f>
        <v>24-03-2024 00:00</v>
      </c>
      <c r="F555" s="2523">
        <v>0.17</v>
      </c>
      <c r="G555" s="2528" t="str">
        <f>"24-04-2024 00:00"</f>
        <v>24-04-2024 00:00</v>
      </c>
      <c r="H555" s="2523">
        <v>0.2</v>
      </c>
      <c r="I555" s="2528"/>
      <c r="J555" s="2523"/>
      <c r="K555" s="2528"/>
      <c r="L555" s="2523"/>
      <c r="M555" s="2528"/>
      <c r="N555" s="2523"/>
      <c r="O555" s="2528"/>
      <c r="P555" s="2523"/>
      <c r="Q555" s="2528"/>
      <c r="R555" s="2523"/>
      <c r="S555" s="2528"/>
      <c r="T555" s="2523"/>
      <c r="U555" s="2528"/>
      <c r="V555" s="2523"/>
      <c r="W555" s="2528"/>
      <c r="X555" s="2523"/>
    </row>
    <row r="556" spans="1:24" ht="14.4">
      <c r="A556" s="2518" t="str">
        <f>"24-01-2024 02:00"</f>
        <v>24-01-2024 02:00</v>
      </c>
      <c r="B556" s="2514">
        <v>0.13</v>
      </c>
      <c r="C556" s="2518" t="str">
        <f>"24-02-2024 01:00"</f>
        <v>24-02-2024 01:00</v>
      </c>
      <c r="D556" s="2514">
        <v>0.23</v>
      </c>
      <c r="E556" s="2518" t="str">
        <f>"24-03-2024 01:00"</f>
        <v>24-03-2024 01:00</v>
      </c>
      <c r="F556" s="2514">
        <v>0.16</v>
      </c>
      <c r="G556" s="2518" t="str">
        <f>"24-04-2024 01:00"</f>
        <v>24-04-2024 01:00</v>
      </c>
      <c r="H556" s="2514">
        <v>0.15</v>
      </c>
      <c r="I556" s="2518"/>
      <c r="J556" s="2514"/>
      <c r="K556" s="2518"/>
      <c r="L556" s="2514"/>
      <c r="M556" s="2518"/>
      <c r="N556" s="2514"/>
      <c r="O556" s="2518"/>
      <c r="P556" s="2514"/>
      <c r="Q556" s="2518"/>
      <c r="R556" s="2514"/>
      <c r="S556" s="2518"/>
      <c r="T556" s="2514"/>
      <c r="U556" s="2518"/>
      <c r="V556" s="2514"/>
      <c r="W556" s="2518"/>
      <c r="X556" s="2514"/>
    </row>
    <row r="557" spans="1:24" ht="14.4">
      <c r="A557" s="2518" t="str">
        <f>"24-01-2024 03:00"</f>
        <v>24-01-2024 03:00</v>
      </c>
      <c r="B557" s="2514">
        <v>0.16</v>
      </c>
      <c r="C557" s="2518" t="str">
        <f>"24-02-2024 02:00"</f>
        <v>24-02-2024 02:00</v>
      </c>
      <c r="D557" s="2514">
        <v>0.15</v>
      </c>
      <c r="E557" s="2518" t="str">
        <f>"24-03-2024 02:00"</f>
        <v>24-03-2024 02:00</v>
      </c>
      <c r="F557" s="2514">
        <v>0.18</v>
      </c>
      <c r="G557" s="2518" t="str">
        <f>"24-04-2024 02:00"</f>
        <v>24-04-2024 02:00</v>
      </c>
      <c r="H557" s="2514">
        <v>0.15</v>
      </c>
      <c r="I557" s="2518"/>
      <c r="J557" s="2514"/>
      <c r="K557" s="2518"/>
      <c r="L557" s="2514"/>
      <c r="M557" s="2518"/>
      <c r="N557" s="2514"/>
      <c r="O557" s="2518"/>
      <c r="P557" s="2514"/>
      <c r="Q557" s="2518"/>
      <c r="R557" s="2514"/>
      <c r="S557" s="2518"/>
      <c r="T557" s="2514"/>
      <c r="U557" s="2518"/>
      <c r="V557" s="2514"/>
      <c r="W557" s="2518"/>
      <c r="X557" s="2514"/>
    </row>
    <row r="558" spans="1:24" ht="14.4">
      <c r="A558" s="2518" t="str">
        <f>"24-01-2024 04:00"</f>
        <v>24-01-2024 04:00</v>
      </c>
      <c r="B558" s="2514">
        <v>0.17</v>
      </c>
      <c r="C558" s="2518" t="str">
        <f>"24-02-2024 03:00"</f>
        <v>24-02-2024 03:00</v>
      </c>
      <c r="D558" s="2514">
        <v>0.14000000000000001</v>
      </c>
      <c r="E558" s="2518" t="str">
        <f>"24-03-2024 03:00"</f>
        <v>24-03-2024 03:00</v>
      </c>
      <c r="F558" s="2514">
        <v>0.16</v>
      </c>
      <c r="G558" s="2518" t="str">
        <f>"24-04-2024 03:00"</f>
        <v>24-04-2024 03:00</v>
      </c>
      <c r="H558" s="2514">
        <v>0.19</v>
      </c>
      <c r="I558" s="2518"/>
      <c r="J558" s="2514"/>
      <c r="K558" s="2518"/>
      <c r="L558" s="2514"/>
      <c r="M558" s="2518"/>
      <c r="N558" s="2514"/>
      <c r="O558" s="2518"/>
      <c r="P558" s="2514"/>
      <c r="Q558" s="2518"/>
      <c r="R558" s="2514"/>
      <c r="S558" s="2518"/>
      <c r="T558" s="2514"/>
      <c r="U558" s="2518"/>
      <c r="V558" s="2514"/>
      <c r="W558" s="2518"/>
      <c r="X558" s="2514"/>
    </row>
    <row r="559" spans="1:24" ht="14.4">
      <c r="A559" s="2518" t="str">
        <f>"24-01-2024 05:00"</f>
        <v>24-01-2024 05:00</v>
      </c>
      <c r="B559" s="2514">
        <v>0.2</v>
      </c>
      <c r="C559" s="2518" t="str">
        <f>"24-02-2024 04:00"</f>
        <v>24-02-2024 04:00</v>
      </c>
      <c r="D559" s="2514">
        <v>0.23</v>
      </c>
      <c r="E559" s="2518" t="str">
        <f>"24-03-2024 04:00"</f>
        <v>24-03-2024 04:00</v>
      </c>
      <c r="F559" s="2514">
        <v>0.17</v>
      </c>
      <c r="G559" s="2518" t="str">
        <f>"24-04-2024 04:00"</f>
        <v>24-04-2024 04:00</v>
      </c>
      <c r="H559" s="2514">
        <v>0.16</v>
      </c>
      <c r="I559" s="2518"/>
      <c r="J559" s="2514"/>
      <c r="K559" s="2518"/>
      <c r="L559" s="2514"/>
      <c r="M559" s="2518"/>
      <c r="N559" s="2514"/>
      <c r="O559" s="2518"/>
      <c r="P559" s="2514"/>
      <c r="Q559" s="2518"/>
      <c r="R559" s="2514"/>
      <c r="S559" s="2518"/>
      <c r="T559" s="2514"/>
      <c r="U559" s="2518"/>
      <c r="V559" s="2514"/>
      <c r="W559" s="2518"/>
      <c r="X559" s="2514"/>
    </row>
    <row r="560" spans="1:24" ht="14.4">
      <c r="A560" s="2518" t="str">
        <f>"24-01-2024 06:00"</f>
        <v>24-01-2024 06:00</v>
      </c>
      <c r="B560" s="2514">
        <v>0.11</v>
      </c>
      <c r="C560" s="2518" t="str">
        <f>"24-02-2024 05:00"</f>
        <v>24-02-2024 05:00</v>
      </c>
      <c r="D560" s="2514">
        <v>0.13</v>
      </c>
      <c r="E560" s="2518" t="str">
        <f>"24-03-2024 05:00"</f>
        <v>24-03-2024 05:00</v>
      </c>
      <c r="F560" s="2514">
        <v>0.18</v>
      </c>
      <c r="G560" s="2518" t="str">
        <f>"24-04-2024 05:00"</f>
        <v>24-04-2024 05:00</v>
      </c>
      <c r="H560" s="2514">
        <v>0.14000000000000001</v>
      </c>
      <c r="I560" s="2518"/>
      <c r="J560" s="2514"/>
      <c r="K560" s="2518"/>
      <c r="L560" s="2514"/>
      <c r="M560" s="2518"/>
      <c r="N560" s="2514"/>
      <c r="O560" s="2518"/>
      <c r="P560" s="2514"/>
      <c r="Q560" s="2518"/>
      <c r="R560" s="2514"/>
      <c r="S560" s="2518"/>
      <c r="T560" s="2514"/>
      <c r="U560" s="2518"/>
      <c r="V560" s="2514"/>
      <c r="W560" s="2518"/>
      <c r="X560" s="2514"/>
    </row>
    <row r="561" spans="1:24" ht="14.4">
      <c r="A561" s="2518" t="str">
        <f>"24-01-2024 07:00"</f>
        <v>24-01-2024 07:00</v>
      </c>
      <c r="B561" s="2514">
        <v>0.16</v>
      </c>
      <c r="C561" s="2518" t="str">
        <f>"24-02-2024 06:00"</f>
        <v>24-02-2024 06:00</v>
      </c>
      <c r="D561" s="2514">
        <v>0.17</v>
      </c>
      <c r="E561" s="2518" t="str">
        <f>"24-03-2024 06:00"</f>
        <v>24-03-2024 06:00</v>
      </c>
      <c r="F561" s="2514">
        <v>0.21</v>
      </c>
      <c r="G561" s="2518" t="str">
        <f>"24-04-2024 06:00"</f>
        <v>24-04-2024 06:00</v>
      </c>
      <c r="H561" s="2514">
        <v>0.19</v>
      </c>
      <c r="I561" s="2518"/>
      <c r="J561" s="2514"/>
      <c r="K561" s="2518"/>
      <c r="L561" s="2514"/>
      <c r="M561" s="2518"/>
      <c r="N561" s="2514"/>
      <c r="O561" s="2518"/>
      <c r="P561" s="2514"/>
      <c r="Q561" s="2518"/>
      <c r="R561" s="2514"/>
      <c r="S561" s="2518"/>
      <c r="T561" s="2514"/>
      <c r="U561" s="2518"/>
      <c r="V561" s="2514"/>
      <c r="W561" s="2518"/>
      <c r="X561" s="2514"/>
    </row>
    <row r="562" spans="1:24" ht="14.4">
      <c r="A562" s="2518" t="str">
        <f>"24-01-2024 08:00"</f>
        <v>24-01-2024 08:00</v>
      </c>
      <c r="B562" s="2514">
        <v>0.22</v>
      </c>
      <c r="C562" s="2518" t="str">
        <f>"24-02-2024 07:00"</f>
        <v>24-02-2024 07:00</v>
      </c>
      <c r="D562" s="2514">
        <v>0.26</v>
      </c>
      <c r="E562" s="2518" t="str">
        <f>"24-03-2024 07:00"</f>
        <v>24-03-2024 07:00</v>
      </c>
      <c r="F562" s="2514">
        <v>0.28999999999999998</v>
      </c>
      <c r="G562" s="2518" t="str">
        <f>"24-04-2024 07:00"</f>
        <v>24-04-2024 07:00</v>
      </c>
      <c r="H562" s="2514">
        <v>0.15</v>
      </c>
      <c r="I562" s="2518"/>
      <c r="J562" s="2514"/>
      <c r="K562" s="2518"/>
      <c r="L562" s="2514"/>
      <c r="M562" s="2518"/>
      <c r="N562" s="2514"/>
      <c r="O562" s="2518"/>
      <c r="P562" s="2514"/>
      <c r="Q562" s="2518"/>
      <c r="R562" s="2514"/>
      <c r="S562" s="2518"/>
      <c r="T562" s="2514"/>
      <c r="U562" s="2518"/>
      <c r="V562" s="2514"/>
      <c r="W562" s="2518"/>
      <c r="X562" s="2514"/>
    </row>
    <row r="563" spans="1:24" ht="14.4">
      <c r="A563" s="2518" t="str">
        <f>"24-01-2024 09:00"</f>
        <v>24-01-2024 09:00</v>
      </c>
      <c r="B563" s="2514">
        <v>0.44</v>
      </c>
      <c r="C563" s="2518" t="str">
        <f>"24-02-2024 08:00"</f>
        <v>24-02-2024 08:00</v>
      </c>
      <c r="D563" s="2514">
        <v>0.26</v>
      </c>
      <c r="E563" s="2518" t="str">
        <f>"24-03-2024 08:00"</f>
        <v>24-03-2024 08:00</v>
      </c>
      <c r="F563" s="2514">
        <v>0.42</v>
      </c>
      <c r="G563" s="2518" t="str">
        <f>"24-04-2024 08:00"</f>
        <v>24-04-2024 08:00</v>
      </c>
      <c r="H563" s="2514">
        <v>0.14000000000000001</v>
      </c>
      <c r="I563" s="2518"/>
      <c r="J563" s="2514"/>
      <c r="K563" s="2518"/>
      <c r="L563" s="2514"/>
      <c r="M563" s="2518"/>
      <c r="N563" s="2514"/>
      <c r="O563" s="2518"/>
      <c r="P563" s="2514"/>
      <c r="Q563" s="2518"/>
      <c r="R563" s="2514"/>
      <c r="S563" s="2518"/>
      <c r="T563" s="2514"/>
      <c r="U563" s="2518"/>
      <c r="V563" s="2514"/>
      <c r="W563" s="2518"/>
      <c r="X563" s="2514"/>
    </row>
    <row r="564" spans="1:24" ht="14.4">
      <c r="A564" s="2518" t="str">
        <f>"24-01-2024 10:00"</f>
        <v>24-01-2024 10:00</v>
      </c>
      <c r="B564" s="2514">
        <v>0.27</v>
      </c>
      <c r="C564" s="2518" t="str">
        <f>"24-02-2024 09:00"</f>
        <v>24-02-2024 09:00</v>
      </c>
      <c r="D564" s="2514">
        <v>0.28000000000000003</v>
      </c>
      <c r="E564" s="2518" t="str">
        <f>"24-03-2024 09:00"</f>
        <v>24-03-2024 09:00</v>
      </c>
      <c r="F564" s="2514">
        <v>0.25</v>
      </c>
      <c r="G564" s="2518" t="str">
        <f>"24-04-2024 09:00"</f>
        <v>24-04-2024 09:00</v>
      </c>
      <c r="H564" s="2514">
        <v>0.51</v>
      </c>
      <c r="I564" s="2518"/>
      <c r="J564" s="2514"/>
      <c r="K564" s="2518"/>
      <c r="L564" s="2514"/>
      <c r="M564" s="2518"/>
      <c r="N564" s="2514"/>
      <c r="O564" s="2518"/>
      <c r="P564" s="2514"/>
      <c r="Q564" s="2518"/>
      <c r="R564" s="2514"/>
      <c r="S564" s="2518"/>
      <c r="T564" s="2514"/>
      <c r="U564" s="2518"/>
      <c r="V564" s="2514"/>
      <c r="W564" s="2518"/>
      <c r="X564" s="2514"/>
    </row>
    <row r="565" spans="1:24" ht="14.4">
      <c r="A565" s="2518" t="str">
        <f>"24-01-2024 11:00"</f>
        <v>24-01-2024 11:00</v>
      </c>
      <c r="B565" s="2514">
        <v>0.33</v>
      </c>
      <c r="C565" s="2518" t="str">
        <f>"24-02-2024 10:00"</f>
        <v>24-02-2024 10:00</v>
      </c>
      <c r="D565" s="2514">
        <v>0.41</v>
      </c>
      <c r="E565" s="2518" t="str">
        <f>"24-03-2024 10:00"</f>
        <v>24-03-2024 10:00</v>
      </c>
      <c r="F565" s="2514">
        <v>0.61</v>
      </c>
      <c r="G565" s="2518" t="str">
        <f>"24-04-2024 10:00"</f>
        <v>24-04-2024 10:00</v>
      </c>
      <c r="H565" s="2514">
        <v>0.48</v>
      </c>
      <c r="I565" s="2518"/>
      <c r="J565" s="2514"/>
      <c r="K565" s="2518"/>
      <c r="L565" s="2514"/>
      <c r="M565" s="2518"/>
      <c r="N565" s="2514"/>
      <c r="O565" s="2518"/>
      <c r="P565" s="2514"/>
      <c r="Q565" s="2518"/>
      <c r="R565" s="2514"/>
      <c r="S565" s="2518"/>
      <c r="T565" s="2514"/>
      <c r="U565" s="2518"/>
      <c r="V565" s="2514"/>
      <c r="W565" s="2518"/>
      <c r="X565" s="2514"/>
    </row>
    <row r="566" spans="1:24" ht="14.4">
      <c r="A566" s="2518" t="str">
        <f>"24-01-2024 12:00"</f>
        <v>24-01-2024 12:00</v>
      </c>
      <c r="B566" s="2514">
        <v>0.48</v>
      </c>
      <c r="C566" s="2518" t="str">
        <f>"24-02-2024 11:00"</f>
        <v>24-02-2024 11:00</v>
      </c>
      <c r="D566" s="2514">
        <v>0.22</v>
      </c>
      <c r="E566" s="2518" t="str">
        <f>"24-03-2024 11:00"</f>
        <v>24-03-2024 11:00</v>
      </c>
      <c r="F566" s="2514">
        <v>0.32</v>
      </c>
      <c r="G566" s="2518" t="str">
        <f>"24-04-2024 11:00"</f>
        <v>24-04-2024 11:00</v>
      </c>
      <c r="H566" s="2514">
        <v>0.32</v>
      </c>
      <c r="I566" s="2518"/>
      <c r="J566" s="2514"/>
      <c r="K566" s="2518"/>
      <c r="L566" s="2514"/>
      <c r="M566" s="2518"/>
      <c r="N566" s="2514"/>
      <c r="O566" s="2518"/>
      <c r="P566" s="2514"/>
      <c r="Q566" s="2518"/>
      <c r="R566" s="2514"/>
      <c r="S566" s="2518"/>
      <c r="T566" s="2514"/>
      <c r="U566" s="2518"/>
      <c r="V566" s="2514"/>
      <c r="W566" s="2518"/>
      <c r="X566" s="2514"/>
    </row>
    <row r="567" spans="1:24" ht="14.4">
      <c r="A567" s="2518" t="str">
        <f>"24-01-2024 13:00"</f>
        <v>24-01-2024 13:00</v>
      </c>
      <c r="B567" s="2514">
        <v>0.61</v>
      </c>
      <c r="C567" s="2518" t="str">
        <f>"24-02-2024 12:00"</f>
        <v>24-02-2024 12:00</v>
      </c>
      <c r="D567" s="2514">
        <v>0.44</v>
      </c>
      <c r="E567" s="2518" t="str">
        <f>"24-03-2024 12:00"</f>
        <v>24-03-2024 12:00</v>
      </c>
      <c r="F567" s="2514">
        <v>0.28000000000000003</v>
      </c>
      <c r="G567" s="2518" t="str">
        <f>"24-04-2024 12:00"</f>
        <v>24-04-2024 12:00</v>
      </c>
      <c r="H567" s="2514">
        <v>0.28999999999999998</v>
      </c>
      <c r="I567" s="2518"/>
      <c r="J567" s="2514"/>
      <c r="K567" s="2518"/>
      <c r="L567" s="2514"/>
      <c r="M567" s="2518"/>
      <c r="N567" s="2514"/>
      <c r="O567" s="2518"/>
      <c r="P567" s="2514"/>
      <c r="Q567" s="2518"/>
      <c r="R567" s="2514"/>
      <c r="S567" s="2518"/>
      <c r="T567" s="2514"/>
      <c r="U567" s="2518"/>
      <c r="V567" s="2514"/>
      <c r="W567" s="2518"/>
      <c r="X567" s="2514"/>
    </row>
    <row r="568" spans="1:24" ht="14.4">
      <c r="A568" s="2518" t="str">
        <f>"24-01-2024 14:00"</f>
        <v>24-01-2024 14:00</v>
      </c>
      <c r="B568" s="2514">
        <v>0.46</v>
      </c>
      <c r="C568" s="2518" t="str">
        <f>"24-02-2024 13:00"</f>
        <v>24-02-2024 13:00</v>
      </c>
      <c r="D568" s="2514">
        <v>0.49</v>
      </c>
      <c r="E568" s="2518" t="str">
        <f>"24-03-2024 13:00"</f>
        <v>24-03-2024 13:00</v>
      </c>
      <c r="F568" s="2514">
        <v>0.46</v>
      </c>
      <c r="G568" s="2518" t="str">
        <f>"24-04-2024 13:00"</f>
        <v>24-04-2024 13:00</v>
      </c>
      <c r="H568" s="2514">
        <v>0.28000000000000003</v>
      </c>
      <c r="I568" s="2518"/>
      <c r="J568" s="2514"/>
      <c r="K568" s="2518"/>
      <c r="L568" s="2514"/>
      <c r="M568" s="2518"/>
      <c r="N568" s="2514"/>
      <c r="O568" s="2518"/>
      <c r="P568" s="2514"/>
      <c r="Q568" s="2518"/>
      <c r="R568" s="2514"/>
      <c r="S568" s="2518"/>
      <c r="T568" s="2514"/>
      <c r="U568" s="2518"/>
      <c r="V568" s="2514"/>
      <c r="W568" s="2518"/>
      <c r="X568" s="2514"/>
    </row>
    <row r="569" spans="1:24" ht="14.4">
      <c r="A569" s="2518" t="str">
        <f>"24-01-2024 15:00"</f>
        <v>24-01-2024 15:00</v>
      </c>
      <c r="B569" s="2514">
        <v>0.34</v>
      </c>
      <c r="C569" s="2518" t="str">
        <f>"24-02-2024 14:00"</f>
        <v>24-02-2024 14:00</v>
      </c>
      <c r="D569" s="2514">
        <v>0.32</v>
      </c>
      <c r="E569" s="2518" t="str">
        <f>"24-03-2024 14:00"</f>
        <v>24-03-2024 14:00</v>
      </c>
      <c r="F569" s="2514">
        <v>0.28000000000000003</v>
      </c>
      <c r="G569" s="2518" t="str">
        <f>"24-04-2024 14:00"</f>
        <v>24-04-2024 14:00</v>
      </c>
      <c r="H569" s="2514">
        <v>0.22</v>
      </c>
      <c r="I569" s="2518"/>
      <c r="J569" s="2514"/>
      <c r="K569" s="2518"/>
      <c r="L569" s="2514"/>
      <c r="M569" s="2518"/>
      <c r="N569" s="2514"/>
      <c r="O569" s="2518"/>
      <c r="P569" s="2514"/>
      <c r="Q569" s="2518"/>
      <c r="R569" s="2514"/>
      <c r="S569" s="2518"/>
      <c r="T569" s="2514"/>
      <c r="U569" s="2518"/>
      <c r="V569" s="2514"/>
      <c r="W569" s="2518"/>
      <c r="X569" s="2514"/>
    </row>
    <row r="570" spans="1:24" ht="14.4">
      <c r="A570" s="2518" t="str">
        <f>"24-01-2024 16:00"</f>
        <v>24-01-2024 16:00</v>
      </c>
      <c r="B570" s="2514">
        <v>0.39</v>
      </c>
      <c r="C570" s="2518" t="str">
        <f>"24-02-2024 15:00"</f>
        <v>24-02-2024 15:00</v>
      </c>
      <c r="D570" s="2514">
        <v>0.38</v>
      </c>
      <c r="E570" s="2518" t="str">
        <f>"24-03-2024 15:00"</f>
        <v>24-03-2024 15:00</v>
      </c>
      <c r="F570" s="2514">
        <v>0.28999999999999998</v>
      </c>
      <c r="G570" s="2518" t="str">
        <f>"24-04-2024 15:00"</f>
        <v>24-04-2024 15:00</v>
      </c>
      <c r="H570" s="2514">
        <v>0.25</v>
      </c>
      <c r="I570" s="2518"/>
      <c r="J570" s="2514"/>
      <c r="K570" s="2518"/>
      <c r="L570" s="2514"/>
      <c r="M570" s="2518"/>
      <c r="N570" s="2514"/>
      <c r="O570" s="2518"/>
      <c r="P570" s="2514"/>
      <c r="Q570" s="2518"/>
      <c r="R570" s="2514"/>
      <c r="S570" s="2518"/>
      <c r="T570" s="2514"/>
      <c r="U570" s="2518"/>
      <c r="V570" s="2514"/>
      <c r="W570" s="2518"/>
      <c r="X570" s="2514"/>
    </row>
    <row r="571" spans="1:24" ht="14.4">
      <c r="A571" s="2518" t="str">
        <f>"24-01-2024 17:00"</f>
        <v>24-01-2024 17:00</v>
      </c>
      <c r="B571" s="2514">
        <v>0.36</v>
      </c>
      <c r="C571" s="2518" t="str">
        <f>"24-02-2024 16:00"</f>
        <v>24-02-2024 16:00</v>
      </c>
      <c r="D571" s="2514">
        <v>0.44</v>
      </c>
      <c r="E571" s="2518" t="str">
        <f>"24-03-2024 16:00"</f>
        <v>24-03-2024 16:00</v>
      </c>
      <c r="F571" s="2514">
        <v>0.38</v>
      </c>
      <c r="G571" s="2518" t="str">
        <f>"24-04-2024 16:00"</f>
        <v>24-04-2024 16:00</v>
      </c>
      <c r="H571" s="2514">
        <v>0.22</v>
      </c>
      <c r="I571" s="2518"/>
      <c r="J571" s="2514"/>
      <c r="K571" s="2518"/>
      <c r="L571" s="2514"/>
      <c r="M571" s="2518"/>
      <c r="N571" s="2514"/>
      <c r="O571" s="2518"/>
      <c r="P571" s="2514"/>
      <c r="Q571" s="2518"/>
      <c r="R571" s="2514"/>
      <c r="S571" s="2518"/>
      <c r="T571" s="2514"/>
      <c r="U571" s="2518"/>
      <c r="V571" s="2514"/>
      <c r="W571" s="2518"/>
      <c r="X571" s="2514"/>
    </row>
    <row r="572" spans="1:24" ht="14.4">
      <c r="A572" s="2518" t="str">
        <f>"24-01-2024 18:00"</f>
        <v>24-01-2024 18:00</v>
      </c>
      <c r="B572" s="2514">
        <v>0.51</v>
      </c>
      <c r="C572" s="2518" t="str">
        <f>"24-02-2024 17:00"</f>
        <v>24-02-2024 17:00</v>
      </c>
      <c r="D572" s="2514">
        <v>0.68</v>
      </c>
      <c r="E572" s="2518" t="str">
        <f>"24-03-2024 17:00"</f>
        <v>24-03-2024 17:00</v>
      </c>
      <c r="F572" s="2514">
        <v>0.33</v>
      </c>
      <c r="G572" s="2518" t="str">
        <f>"24-04-2024 17:00"</f>
        <v>24-04-2024 17:00</v>
      </c>
      <c r="H572" s="2514">
        <v>0.35</v>
      </c>
      <c r="I572" s="2518"/>
      <c r="J572" s="2514"/>
      <c r="K572" s="2518"/>
      <c r="L572" s="2514"/>
      <c r="M572" s="2518"/>
      <c r="N572" s="2514"/>
      <c r="O572" s="2518"/>
      <c r="P572" s="2514"/>
      <c r="Q572" s="2518"/>
      <c r="R572" s="2514"/>
      <c r="S572" s="2518"/>
      <c r="T572" s="2514"/>
      <c r="U572" s="2518"/>
      <c r="V572" s="2514"/>
      <c r="W572" s="2518"/>
      <c r="X572" s="2514"/>
    </row>
    <row r="573" spans="1:24" ht="14.4">
      <c r="A573" s="2518" t="str">
        <f>"24-01-2024 19:00"</f>
        <v>24-01-2024 19:00</v>
      </c>
      <c r="B573" s="2514">
        <v>0.54</v>
      </c>
      <c r="C573" s="2518" t="str">
        <f>"24-02-2024 18:00"</f>
        <v>24-02-2024 18:00</v>
      </c>
      <c r="D573" s="2514">
        <v>0.4</v>
      </c>
      <c r="E573" s="2518" t="str">
        <f>"24-03-2024 18:00"</f>
        <v>24-03-2024 18:00</v>
      </c>
      <c r="F573" s="2514">
        <v>0.47</v>
      </c>
      <c r="G573" s="2518" t="str">
        <f>"24-04-2024 18:00"</f>
        <v>24-04-2024 18:00</v>
      </c>
      <c r="H573" s="2514">
        <v>0.39</v>
      </c>
      <c r="I573" s="2518"/>
      <c r="J573" s="2514"/>
      <c r="K573" s="2518"/>
      <c r="L573" s="2514"/>
      <c r="M573" s="2518"/>
      <c r="N573" s="2514"/>
      <c r="O573" s="2518"/>
      <c r="P573" s="2514"/>
      <c r="Q573" s="2518"/>
      <c r="R573" s="2514"/>
      <c r="S573" s="2518"/>
      <c r="T573" s="2514"/>
      <c r="U573" s="2518"/>
      <c r="V573" s="2514"/>
      <c r="W573" s="2518"/>
      <c r="X573" s="2514"/>
    </row>
    <row r="574" spans="1:24" ht="14.4">
      <c r="A574" s="2518" t="str">
        <f>"24-01-2024 20:00"</f>
        <v>24-01-2024 20:00</v>
      </c>
      <c r="B574" s="2514">
        <v>0.37</v>
      </c>
      <c r="C574" s="2518" t="str">
        <f>"24-02-2024 19:00"</f>
        <v>24-02-2024 19:00</v>
      </c>
      <c r="D574" s="2514">
        <v>0.5</v>
      </c>
      <c r="E574" s="2518" t="str">
        <f>"24-03-2024 19:00"</f>
        <v>24-03-2024 19:00</v>
      </c>
      <c r="F574" s="2514">
        <v>0.54</v>
      </c>
      <c r="G574" s="2518" t="str">
        <f>"24-04-2024 19:00"</f>
        <v>24-04-2024 19:00</v>
      </c>
      <c r="H574" s="2514">
        <v>0.41</v>
      </c>
      <c r="I574" s="2518"/>
      <c r="J574" s="2514"/>
      <c r="K574" s="2518"/>
      <c r="L574" s="2514"/>
      <c r="M574" s="2518"/>
      <c r="N574" s="2514"/>
      <c r="O574" s="2518"/>
      <c r="P574" s="2514"/>
      <c r="Q574" s="2518"/>
      <c r="R574" s="2514"/>
      <c r="S574" s="2518"/>
      <c r="T574" s="2514"/>
      <c r="U574" s="2518"/>
      <c r="V574" s="2514"/>
      <c r="W574" s="2518"/>
      <c r="X574" s="2514"/>
    </row>
    <row r="575" spans="1:24" ht="14.4">
      <c r="A575" s="2518" t="str">
        <f>"24-01-2024 21:00"</f>
        <v>24-01-2024 21:00</v>
      </c>
      <c r="B575" s="2514">
        <v>0.45</v>
      </c>
      <c r="C575" s="2518" t="str">
        <f>"24-02-2024 20:00"</f>
        <v>24-02-2024 20:00</v>
      </c>
      <c r="D575" s="2514">
        <v>0.53</v>
      </c>
      <c r="E575" s="2518" t="str">
        <f>"24-03-2024 20:00"</f>
        <v>24-03-2024 20:00</v>
      </c>
      <c r="F575" s="2514">
        <v>0.42</v>
      </c>
      <c r="G575" s="2518" t="str">
        <f>"24-04-2024 20:00"</f>
        <v>24-04-2024 20:00</v>
      </c>
      <c r="H575" s="2514">
        <v>0.39</v>
      </c>
      <c r="I575" s="2518"/>
      <c r="J575" s="2514"/>
      <c r="K575" s="2518"/>
      <c r="L575" s="2514"/>
      <c r="M575" s="2518"/>
      <c r="N575" s="2514"/>
      <c r="O575" s="2518"/>
      <c r="P575" s="2514"/>
      <c r="Q575" s="2518"/>
      <c r="R575" s="2514"/>
      <c r="S575" s="2518"/>
      <c r="T575" s="2514"/>
      <c r="U575" s="2518"/>
      <c r="V575" s="2514"/>
      <c r="W575" s="2518"/>
      <c r="X575" s="2514"/>
    </row>
    <row r="576" spans="1:24" ht="14.4">
      <c r="A576" s="2518" t="str">
        <f>"24-01-2024 22:00"</f>
        <v>24-01-2024 22:00</v>
      </c>
      <c r="B576" s="2514">
        <v>0.4</v>
      </c>
      <c r="C576" s="2518" t="str">
        <f>"24-02-2024 21:00"</f>
        <v>24-02-2024 21:00</v>
      </c>
      <c r="D576" s="2514">
        <v>0.5</v>
      </c>
      <c r="E576" s="2518" t="str">
        <f>"24-03-2024 21:00"</f>
        <v>24-03-2024 21:00</v>
      </c>
      <c r="F576" s="2514">
        <v>0.41</v>
      </c>
      <c r="G576" s="2518" t="str">
        <f>"24-04-2024 21:00"</f>
        <v>24-04-2024 21:00</v>
      </c>
      <c r="H576" s="2514">
        <v>0.4</v>
      </c>
      <c r="I576" s="2518"/>
      <c r="J576" s="2514"/>
      <c r="K576" s="2518"/>
      <c r="L576" s="2514"/>
      <c r="M576" s="2518"/>
      <c r="N576" s="2514"/>
      <c r="O576" s="2518"/>
      <c r="P576" s="2514"/>
      <c r="Q576" s="2518"/>
      <c r="R576" s="2514"/>
      <c r="S576" s="2518"/>
      <c r="T576" s="2514"/>
      <c r="U576" s="2518"/>
      <c r="V576" s="2514"/>
      <c r="W576" s="2518"/>
      <c r="X576" s="2514"/>
    </row>
    <row r="577" spans="1:24" ht="14.4">
      <c r="A577" s="2518" t="str">
        <f>"24-01-2024 23:00"</f>
        <v>24-01-2024 23:00</v>
      </c>
      <c r="B577" s="2514">
        <v>0.43</v>
      </c>
      <c r="C577" s="2518" t="str">
        <f>"24-02-2024 22:00"</f>
        <v>24-02-2024 22:00</v>
      </c>
      <c r="D577" s="2514">
        <v>0.35</v>
      </c>
      <c r="E577" s="2518" t="str">
        <f>"24-03-2024 22:00"</f>
        <v>24-03-2024 22:00</v>
      </c>
      <c r="F577" s="2514">
        <v>0.23</v>
      </c>
      <c r="G577" s="2518" t="str">
        <f>"24-04-2024 22:00"</f>
        <v>24-04-2024 22:00</v>
      </c>
      <c r="H577" s="2514">
        <v>0.28999999999999998</v>
      </c>
      <c r="I577" s="2518"/>
      <c r="J577" s="2514"/>
      <c r="K577" s="2518"/>
      <c r="L577" s="2514"/>
      <c r="M577" s="2518"/>
      <c r="N577" s="2514"/>
      <c r="O577" s="2518"/>
      <c r="P577" s="2514"/>
      <c r="Q577" s="2518"/>
      <c r="R577" s="2514"/>
      <c r="S577" s="2518"/>
      <c r="T577" s="2514"/>
      <c r="U577" s="2518"/>
      <c r="V577" s="2514"/>
      <c r="W577" s="2518"/>
      <c r="X577" s="2514"/>
    </row>
    <row r="578" spans="1:24" s="2506" customFormat="1" ht="14.4">
      <c r="A578" s="2529" t="str">
        <f>"25-01-2024 00:00"</f>
        <v>25-01-2024 00:00</v>
      </c>
      <c r="B578" s="2521">
        <v>0.21</v>
      </c>
      <c r="C578" s="2529" t="str">
        <f>"24-02-2024 23:00"</f>
        <v>24-02-2024 23:00</v>
      </c>
      <c r="D578" s="2521">
        <v>0.26</v>
      </c>
      <c r="E578" s="2529" t="str">
        <f>"24-03-2024 23:00"</f>
        <v>24-03-2024 23:00</v>
      </c>
      <c r="F578" s="2521">
        <v>0.19</v>
      </c>
      <c r="G578" s="2529" t="str">
        <f>"24-04-2024 23:00"</f>
        <v>24-04-2024 23:00</v>
      </c>
      <c r="H578" s="2521">
        <v>0.22</v>
      </c>
      <c r="I578" s="2529"/>
      <c r="J578" s="2521"/>
      <c r="K578" s="2529"/>
      <c r="L578" s="2521"/>
      <c r="M578" s="2529"/>
      <c r="N578" s="2521"/>
      <c r="O578" s="2529"/>
      <c r="P578" s="2521"/>
      <c r="Q578" s="2529"/>
      <c r="R578" s="2521"/>
      <c r="S578" s="2529"/>
      <c r="T578" s="2521"/>
      <c r="U578" s="2529"/>
      <c r="V578" s="2521"/>
      <c r="W578" s="2529"/>
      <c r="X578" s="2521"/>
    </row>
    <row r="579" spans="1:24" ht="14.4">
      <c r="A579" s="2522" t="str">
        <f>"25-01-2024 01:00"</f>
        <v>25-01-2024 01:00</v>
      </c>
      <c r="B579" s="2523">
        <v>0.18</v>
      </c>
      <c r="C579" s="2522" t="str">
        <f>"25-02-2024 00:00"</f>
        <v>25-02-2024 00:00</v>
      </c>
      <c r="D579" s="2523">
        <v>0.19</v>
      </c>
      <c r="E579" s="2522" t="str">
        <f>"25-03-2024 00:00"</f>
        <v>25-03-2024 00:00</v>
      </c>
      <c r="F579" s="2523">
        <v>0.16</v>
      </c>
      <c r="G579" s="2522" t="str">
        <f>"25-04-2024 00:00"</f>
        <v>25-04-2024 00:00</v>
      </c>
      <c r="H579" s="2523">
        <v>0.24</v>
      </c>
      <c r="I579" s="2522"/>
      <c r="J579" s="2523"/>
      <c r="K579" s="2522"/>
      <c r="L579" s="2523"/>
      <c r="M579" s="2522"/>
      <c r="N579" s="2523"/>
      <c r="O579" s="2522"/>
      <c r="P579" s="2523"/>
      <c r="Q579" s="2522"/>
      <c r="R579" s="2523"/>
      <c r="S579" s="2522"/>
      <c r="T579" s="2523"/>
      <c r="U579" s="2522"/>
      <c r="V579" s="2523"/>
      <c r="W579" s="2522"/>
      <c r="X579" s="2523"/>
    </row>
    <row r="580" spans="1:24" ht="14.4">
      <c r="A580" s="2519" t="str">
        <f>"25-01-2024 02:00"</f>
        <v>25-01-2024 02:00</v>
      </c>
      <c r="B580" s="2514">
        <v>0.24</v>
      </c>
      <c r="C580" s="2519" t="str">
        <f>"25-02-2024 01:00"</f>
        <v>25-02-2024 01:00</v>
      </c>
      <c r="D580" s="2514">
        <v>0.12</v>
      </c>
      <c r="E580" s="2519" t="str">
        <f>"25-03-2024 01:00"</f>
        <v>25-03-2024 01:00</v>
      </c>
      <c r="F580" s="2514">
        <v>0.17</v>
      </c>
      <c r="G580" s="2519" t="str">
        <f>"25-04-2024 01:00"</f>
        <v>25-04-2024 01:00</v>
      </c>
      <c r="H580" s="2514">
        <v>0.13</v>
      </c>
      <c r="I580" s="2519"/>
      <c r="J580" s="2514"/>
      <c r="K580" s="2519"/>
      <c r="L580" s="2514"/>
      <c r="M580" s="2519"/>
      <c r="N580" s="2514"/>
      <c r="O580" s="2519"/>
      <c r="P580" s="2514"/>
      <c r="Q580" s="2519"/>
      <c r="R580" s="2514"/>
      <c r="S580" s="2519"/>
      <c r="T580" s="2514"/>
      <c r="U580" s="2519"/>
      <c r="V580" s="2514"/>
      <c r="W580" s="2519"/>
      <c r="X580" s="2514"/>
    </row>
    <row r="581" spans="1:24" ht="14.4">
      <c r="A581" s="2519" t="str">
        <f>"25-01-2024 03:00"</f>
        <v>25-01-2024 03:00</v>
      </c>
      <c r="B581" s="2514">
        <v>0.09</v>
      </c>
      <c r="C581" s="2519" t="str">
        <f>"25-02-2024 02:00"</f>
        <v>25-02-2024 02:00</v>
      </c>
      <c r="D581" s="2514">
        <v>0.31</v>
      </c>
      <c r="E581" s="2519" t="str">
        <f>"25-03-2024 02:00"</f>
        <v>25-03-2024 02:00</v>
      </c>
      <c r="F581" s="2514">
        <v>0.17</v>
      </c>
      <c r="G581" s="2519" t="str">
        <f>"25-04-2024 02:00"</f>
        <v>25-04-2024 02:00</v>
      </c>
      <c r="H581" s="2514">
        <v>0.17</v>
      </c>
      <c r="I581" s="2519"/>
      <c r="J581" s="2514"/>
      <c r="K581" s="2519"/>
      <c r="L581" s="2514"/>
      <c r="M581" s="2519"/>
      <c r="N581" s="2514"/>
      <c r="O581" s="2519"/>
      <c r="P581" s="2514"/>
      <c r="Q581" s="2519"/>
      <c r="R581" s="2514"/>
      <c r="S581" s="2519"/>
      <c r="T581" s="2514"/>
      <c r="U581" s="2519"/>
      <c r="V581" s="2514"/>
      <c r="W581" s="2519"/>
      <c r="X581" s="2514"/>
    </row>
    <row r="582" spans="1:24" ht="14.4">
      <c r="A582" s="2519" t="str">
        <f>"25-01-2024 04:00"</f>
        <v>25-01-2024 04:00</v>
      </c>
      <c r="B582" s="2514">
        <v>0.17</v>
      </c>
      <c r="C582" s="2519" t="str">
        <f>"25-02-2024 03:00"</f>
        <v>25-02-2024 03:00</v>
      </c>
      <c r="D582" s="2514">
        <v>0.15</v>
      </c>
      <c r="E582" s="2519" t="str">
        <f>"25-03-2024 03:00"</f>
        <v>25-03-2024 03:00</v>
      </c>
      <c r="F582" s="2514">
        <v>0.16</v>
      </c>
      <c r="G582" s="2519" t="str">
        <f>"25-04-2024 03:00"</f>
        <v>25-04-2024 03:00</v>
      </c>
      <c r="H582" s="2514">
        <v>0.18</v>
      </c>
      <c r="I582" s="2519"/>
      <c r="J582" s="2514"/>
      <c r="K582" s="2519"/>
      <c r="L582" s="2514"/>
      <c r="M582" s="2519"/>
      <c r="N582" s="2514"/>
      <c r="O582" s="2519"/>
      <c r="P582" s="2514"/>
      <c r="Q582" s="2519"/>
      <c r="R582" s="2514"/>
      <c r="S582" s="2519"/>
      <c r="T582" s="2514"/>
      <c r="U582" s="2519"/>
      <c r="V582" s="2514"/>
      <c r="W582" s="2519"/>
      <c r="X582" s="2514"/>
    </row>
    <row r="583" spans="1:24" ht="14.4">
      <c r="A583" s="2519" t="str">
        <f>"25-01-2024 05:00"</f>
        <v>25-01-2024 05:00</v>
      </c>
      <c r="B583" s="2514">
        <v>0.12</v>
      </c>
      <c r="C583" s="2519" t="str">
        <f>"25-02-2024 04:00"</f>
        <v>25-02-2024 04:00</v>
      </c>
      <c r="D583" s="2514">
        <v>0.17</v>
      </c>
      <c r="E583" s="2519" t="str">
        <f>"25-03-2024 04:00"</f>
        <v>25-03-2024 04:00</v>
      </c>
      <c r="F583" s="2514">
        <v>0.17</v>
      </c>
      <c r="G583" s="2519" t="str">
        <f>"25-04-2024 04:00"</f>
        <v>25-04-2024 04:00</v>
      </c>
      <c r="H583" s="2514">
        <v>0.16</v>
      </c>
      <c r="I583" s="2519"/>
      <c r="J583" s="2514"/>
      <c r="K583" s="2519"/>
      <c r="L583" s="2514"/>
      <c r="M583" s="2519"/>
      <c r="N583" s="2514"/>
      <c r="O583" s="2519"/>
      <c r="P583" s="2514"/>
      <c r="Q583" s="2519"/>
      <c r="R583" s="2514"/>
      <c r="S583" s="2519"/>
      <c r="T583" s="2514"/>
      <c r="U583" s="2519"/>
      <c r="V583" s="2514"/>
      <c r="W583" s="2519"/>
      <c r="X583" s="2514"/>
    </row>
    <row r="584" spans="1:24" ht="14.4">
      <c r="A584" s="2519" t="str">
        <f>"25-01-2024 06:00"</f>
        <v>25-01-2024 06:00</v>
      </c>
      <c r="B584" s="2514">
        <v>0.2</v>
      </c>
      <c r="C584" s="2519" t="str">
        <f>"25-02-2024 05:00"</f>
        <v>25-02-2024 05:00</v>
      </c>
      <c r="D584" s="2514">
        <v>0.19</v>
      </c>
      <c r="E584" s="2519" t="str">
        <f>"25-03-2024 05:00"</f>
        <v>25-03-2024 05:00</v>
      </c>
      <c r="F584" s="2514">
        <v>0.18</v>
      </c>
      <c r="G584" s="2519" t="str">
        <f>"25-04-2024 05:00"</f>
        <v>25-04-2024 05:00</v>
      </c>
      <c r="H584" s="2514">
        <v>0.13</v>
      </c>
      <c r="I584" s="2519"/>
      <c r="J584" s="2514"/>
      <c r="K584" s="2519"/>
      <c r="L584" s="2514"/>
      <c r="M584" s="2519"/>
      <c r="N584" s="2514"/>
      <c r="O584" s="2519"/>
      <c r="P584" s="2514"/>
      <c r="Q584" s="2519"/>
      <c r="R584" s="2514"/>
      <c r="S584" s="2519"/>
      <c r="T584" s="2514"/>
      <c r="U584" s="2519"/>
      <c r="V584" s="2514"/>
      <c r="W584" s="2519"/>
      <c r="X584" s="2514"/>
    </row>
    <row r="585" spans="1:24" ht="14.4">
      <c r="A585" s="2519" t="str">
        <f>"25-01-2024 07:00"</f>
        <v>25-01-2024 07:00</v>
      </c>
      <c r="B585" s="2514">
        <v>0.2</v>
      </c>
      <c r="C585" s="2519" t="str">
        <f>"25-02-2024 06:00"</f>
        <v>25-02-2024 06:00</v>
      </c>
      <c r="D585" s="2514">
        <v>0.18</v>
      </c>
      <c r="E585" s="2519" t="str">
        <f>"25-03-2024 06:00"</f>
        <v>25-03-2024 06:00</v>
      </c>
      <c r="F585" s="2514">
        <v>0.18</v>
      </c>
      <c r="G585" s="2519" t="str">
        <f>"25-04-2024 06:00"</f>
        <v>25-04-2024 06:00</v>
      </c>
      <c r="H585" s="2514">
        <v>0.31</v>
      </c>
      <c r="I585" s="2519"/>
      <c r="J585" s="2514"/>
      <c r="K585" s="2519"/>
      <c r="L585" s="2514"/>
      <c r="M585" s="2519"/>
      <c r="N585" s="2514"/>
      <c r="O585" s="2519"/>
      <c r="P585" s="2514"/>
      <c r="Q585" s="2519"/>
      <c r="R585" s="2514"/>
      <c r="S585" s="2519"/>
      <c r="T585" s="2514"/>
      <c r="U585" s="2519"/>
      <c r="V585" s="2514"/>
      <c r="W585" s="2519"/>
      <c r="X585" s="2514"/>
    </row>
    <row r="586" spans="1:24" ht="14.4">
      <c r="A586" s="2519" t="str">
        <f>"25-01-2024 08:00"</f>
        <v>25-01-2024 08:00</v>
      </c>
      <c r="B586" s="2514">
        <v>0.33</v>
      </c>
      <c r="C586" s="2519" t="str">
        <f>"25-02-2024 07:00"</f>
        <v>25-02-2024 07:00</v>
      </c>
      <c r="D586" s="2514">
        <v>0.18</v>
      </c>
      <c r="E586" s="2519" t="str">
        <f>"25-03-2024 07:00"</f>
        <v>25-03-2024 07:00</v>
      </c>
      <c r="F586" s="2514">
        <v>0.23</v>
      </c>
      <c r="G586" s="2519" t="str">
        <f>"25-04-2024 07:00"</f>
        <v>25-04-2024 07:00</v>
      </c>
      <c r="H586" s="2514">
        <v>0.39</v>
      </c>
      <c r="I586" s="2519"/>
      <c r="J586" s="2514"/>
      <c r="K586" s="2519"/>
      <c r="L586" s="2514"/>
      <c r="M586" s="2519"/>
      <c r="N586" s="2514"/>
      <c r="O586" s="2519"/>
      <c r="P586" s="2514"/>
      <c r="Q586" s="2519"/>
      <c r="R586" s="2514"/>
      <c r="S586" s="2519"/>
      <c r="T586" s="2514"/>
      <c r="U586" s="2519"/>
      <c r="V586" s="2514"/>
      <c r="W586" s="2519"/>
      <c r="X586" s="2514"/>
    </row>
    <row r="587" spans="1:24" ht="14.4">
      <c r="A587" s="2519" t="str">
        <f>"25-01-2024 09:00"</f>
        <v>25-01-2024 09:00</v>
      </c>
      <c r="B587" s="2514">
        <v>0.34</v>
      </c>
      <c r="C587" s="2519" t="str">
        <f>"25-02-2024 08:00"</f>
        <v>25-02-2024 08:00</v>
      </c>
      <c r="D587" s="2514">
        <v>0.23</v>
      </c>
      <c r="E587" s="2519" t="str">
        <f>"25-03-2024 08:00"</f>
        <v>25-03-2024 08:00</v>
      </c>
      <c r="F587" s="2514">
        <v>0.28999999999999998</v>
      </c>
      <c r="G587" s="2519" t="str">
        <f>"25-04-2024 08:00"</f>
        <v>25-04-2024 08:00</v>
      </c>
      <c r="H587" s="2514">
        <v>0.24</v>
      </c>
      <c r="I587" s="2519"/>
      <c r="J587" s="2514"/>
      <c r="K587" s="2519"/>
      <c r="L587" s="2514"/>
      <c r="M587" s="2519"/>
      <c r="N587" s="2514"/>
      <c r="O587" s="2519"/>
      <c r="P587" s="2514"/>
      <c r="Q587" s="2519"/>
      <c r="R587" s="2514"/>
      <c r="S587" s="2519"/>
      <c r="T587" s="2514"/>
      <c r="U587" s="2519"/>
      <c r="V587" s="2514"/>
      <c r="W587" s="2519"/>
      <c r="X587" s="2514"/>
    </row>
    <row r="588" spans="1:24" ht="14.4">
      <c r="A588" s="2519" t="str">
        <f>"25-01-2024 10:00"</f>
        <v>25-01-2024 10:00</v>
      </c>
      <c r="B588" s="2514">
        <v>0.36</v>
      </c>
      <c r="C588" s="2519" t="str">
        <f>"25-02-2024 09:00"</f>
        <v>25-02-2024 09:00</v>
      </c>
      <c r="D588" s="2514">
        <v>0.48</v>
      </c>
      <c r="E588" s="2519" t="str">
        <f>"25-03-2024 09:00"</f>
        <v>25-03-2024 09:00</v>
      </c>
      <c r="F588" s="2514">
        <v>0.48</v>
      </c>
      <c r="G588" s="2519" t="str">
        <f>"25-04-2024 09:00"</f>
        <v>25-04-2024 09:00</v>
      </c>
      <c r="H588" s="2514">
        <v>0.4</v>
      </c>
      <c r="I588" s="2519"/>
      <c r="J588" s="2514"/>
      <c r="K588" s="2519"/>
      <c r="L588" s="2514"/>
      <c r="M588" s="2519"/>
      <c r="N588" s="2514"/>
      <c r="O588" s="2519"/>
      <c r="P588" s="2514"/>
      <c r="Q588" s="2519"/>
      <c r="R588" s="2514"/>
      <c r="S588" s="2519"/>
      <c r="T588" s="2514"/>
      <c r="U588" s="2519"/>
      <c r="V588" s="2514"/>
      <c r="W588" s="2519"/>
      <c r="X588" s="2514"/>
    </row>
    <row r="589" spans="1:24" ht="14.4">
      <c r="A589" s="2519" t="str">
        <f>"25-01-2024 11:00"</f>
        <v>25-01-2024 11:00</v>
      </c>
      <c r="B589" s="2514">
        <v>0.51</v>
      </c>
      <c r="C589" s="2519" t="str">
        <f>"25-02-2024 10:00"</f>
        <v>25-02-2024 10:00</v>
      </c>
      <c r="D589" s="2514">
        <v>0.44</v>
      </c>
      <c r="E589" s="2519" t="str">
        <f>"25-03-2024 10:00"</f>
        <v>25-03-2024 10:00</v>
      </c>
      <c r="F589" s="2514">
        <v>0.55000000000000004</v>
      </c>
      <c r="G589" s="2519" t="str">
        <f>"25-04-2024 10:00"</f>
        <v>25-04-2024 10:00</v>
      </c>
      <c r="H589" s="2514">
        <v>0.28000000000000003</v>
      </c>
      <c r="I589" s="2519"/>
      <c r="J589" s="2514"/>
      <c r="K589" s="2519"/>
      <c r="L589" s="2514"/>
      <c r="M589" s="2519"/>
      <c r="N589" s="2514"/>
      <c r="O589" s="2519"/>
      <c r="P589" s="2514"/>
      <c r="Q589" s="2519"/>
      <c r="R589" s="2514"/>
      <c r="S589" s="2519"/>
      <c r="T589" s="2514"/>
      <c r="U589" s="2519"/>
      <c r="V589" s="2514"/>
      <c r="W589" s="2519"/>
      <c r="X589" s="2514"/>
    </row>
    <row r="590" spans="1:24" ht="14.4">
      <c r="A590" s="2519" t="str">
        <f>"25-01-2024 12:00"</f>
        <v>25-01-2024 12:00</v>
      </c>
      <c r="B590" s="2514">
        <v>0.74</v>
      </c>
      <c r="C590" s="2519" t="str">
        <f>"25-02-2024 11:00"</f>
        <v>25-02-2024 11:00</v>
      </c>
      <c r="D590" s="2514">
        <v>0.44</v>
      </c>
      <c r="E590" s="2519" t="str">
        <f>"25-03-2024 11:00"</f>
        <v>25-03-2024 11:00</v>
      </c>
      <c r="F590" s="2514">
        <v>0.47</v>
      </c>
      <c r="G590" s="2519" t="str">
        <f>"25-04-2024 11:00"</f>
        <v>25-04-2024 11:00</v>
      </c>
      <c r="H590" s="2514">
        <v>0.31</v>
      </c>
      <c r="I590" s="2519"/>
      <c r="J590" s="2514"/>
      <c r="K590" s="2519"/>
      <c r="L590" s="2514"/>
      <c r="M590" s="2519"/>
      <c r="N590" s="2514"/>
      <c r="O590" s="2519"/>
      <c r="P590" s="2514"/>
      <c r="Q590" s="2519"/>
      <c r="R590" s="2514"/>
      <c r="S590" s="2519"/>
      <c r="T590" s="2514"/>
      <c r="U590" s="2519"/>
      <c r="V590" s="2514"/>
      <c r="W590" s="2519"/>
      <c r="X590" s="2514"/>
    </row>
    <row r="591" spans="1:24" ht="14.4">
      <c r="A591" s="2519" t="str">
        <f>"25-01-2024 13:00"</f>
        <v>25-01-2024 13:00</v>
      </c>
      <c r="B591" s="2514">
        <v>0.84</v>
      </c>
      <c r="C591" s="2519" t="str">
        <f>"25-02-2024 12:00"</f>
        <v>25-02-2024 12:00</v>
      </c>
      <c r="D591" s="2514">
        <v>0.39</v>
      </c>
      <c r="E591" s="2519" t="str">
        <f>"25-03-2024 12:00"</f>
        <v>25-03-2024 12:00</v>
      </c>
      <c r="F591" s="2514">
        <v>0.26</v>
      </c>
      <c r="G591" s="2519" t="str">
        <f>"25-04-2024 12:00"</f>
        <v>25-04-2024 12:00</v>
      </c>
      <c r="H591" s="2514">
        <v>0.51</v>
      </c>
      <c r="I591" s="2519"/>
      <c r="J591" s="2514"/>
      <c r="K591" s="2519"/>
      <c r="L591" s="2514"/>
      <c r="M591" s="2519"/>
      <c r="N591" s="2514"/>
      <c r="O591" s="2519"/>
      <c r="P591" s="2514"/>
      <c r="Q591" s="2519"/>
      <c r="R591" s="2514"/>
      <c r="S591" s="2519"/>
      <c r="T591" s="2514"/>
      <c r="U591" s="2519"/>
      <c r="V591" s="2514"/>
      <c r="W591" s="2519"/>
      <c r="X591" s="2514"/>
    </row>
    <row r="592" spans="1:24" ht="14.4">
      <c r="A592" s="2519" t="str">
        <f>"25-01-2024 14:00"</f>
        <v>25-01-2024 14:00</v>
      </c>
      <c r="B592" s="2514">
        <v>0.53</v>
      </c>
      <c r="C592" s="2519" t="str">
        <f>"25-02-2024 13:00"</f>
        <v>25-02-2024 13:00</v>
      </c>
      <c r="D592" s="2514">
        <v>0.39</v>
      </c>
      <c r="E592" s="2519" t="str">
        <f>"25-03-2024 13:00"</f>
        <v>25-03-2024 13:00</v>
      </c>
      <c r="F592" s="2514">
        <v>0.53</v>
      </c>
      <c r="G592" s="2519" t="str">
        <f>"25-04-2024 13:00"</f>
        <v>25-04-2024 13:00</v>
      </c>
      <c r="H592" s="2514">
        <v>0.5</v>
      </c>
      <c r="I592" s="2519"/>
      <c r="J592" s="2514"/>
      <c r="K592" s="2519"/>
      <c r="L592" s="2514"/>
      <c r="M592" s="2519"/>
      <c r="N592" s="2514"/>
      <c r="O592" s="2519"/>
      <c r="P592" s="2514"/>
      <c r="Q592" s="2519"/>
      <c r="R592" s="2514"/>
      <c r="S592" s="2519"/>
      <c r="T592" s="2514"/>
      <c r="U592" s="2519"/>
      <c r="V592" s="2514"/>
      <c r="W592" s="2519"/>
      <c r="X592" s="2514"/>
    </row>
    <row r="593" spans="1:24" ht="14.4">
      <c r="A593" s="2519" t="str">
        <f>"25-01-2024 15:00"</f>
        <v>25-01-2024 15:00</v>
      </c>
      <c r="B593" s="2514">
        <v>0.43</v>
      </c>
      <c r="C593" s="2519" t="str">
        <f>"25-02-2024 14:00"</f>
        <v>25-02-2024 14:00</v>
      </c>
      <c r="D593" s="2514">
        <v>0.39</v>
      </c>
      <c r="E593" s="2519" t="str">
        <f>"25-03-2024 14:00"</f>
        <v>25-03-2024 14:00</v>
      </c>
      <c r="F593" s="2514">
        <v>0.51</v>
      </c>
      <c r="G593" s="2519" t="str">
        <f>"25-04-2024 14:00"</f>
        <v>25-04-2024 14:00</v>
      </c>
      <c r="H593" s="2514">
        <v>0.33</v>
      </c>
      <c r="I593" s="2519"/>
      <c r="J593" s="2514"/>
      <c r="K593" s="2519"/>
      <c r="L593" s="2514"/>
      <c r="M593" s="2519"/>
      <c r="N593" s="2514"/>
      <c r="O593" s="2519"/>
      <c r="P593" s="2514"/>
      <c r="Q593" s="2519"/>
      <c r="R593" s="2514"/>
      <c r="S593" s="2519"/>
      <c r="T593" s="2514"/>
      <c r="U593" s="2519"/>
      <c r="V593" s="2514"/>
      <c r="W593" s="2519"/>
      <c r="X593" s="2514"/>
    </row>
    <row r="594" spans="1:24" ht="14.4">
      <c r="A594" s="2519" t="str">
        <f>"25-01-2024 16:00"</f>
        <v>25-01-2024 16:00</v>
      </c>
      <c r="B594" s="2514">
        <v>0.4</v>
      </c>
      <c r="C594" s="2519" t="str">
        <f>"25-02-2024 15:00"</f>
        <v>25-02-2024 15:00</v>
      </c>
      <c r="D594" s="2514">
        <v>0.4</v>
      </c>
      <c r="E594" s="2519" t="str">
        <f>"25-03-2024 15:00"</f>
        <v>25-03-2024 15:00</v>
      </c>
      <c r="F594" s="2514">
        <v>0.37</v>
      </c>
      <c r="G594" s="2519" t="str">
        <f>"25-04-2024 15:00"</f>
        <v>25-04-2024 15:00</v>
      </c>
      <c r="H594" s="2514">
        <v>0.46</v>
      </c>
      <c r="I594" s="2519"/>
      <c r="J594" s="2514"/>
      <c r="K594" s="2519"/>
      <c r="L594" s="2514"/>
      <c r="M594" s="2519"/>
      <c r="N594" s="2514"/>
      <c r="O594" s="2519"/>
      <c r="P594" s="2514"/>
      <c r="Q594" s="2519"/>
      <c r="R594" s="2514"/>
      <c r="S594" s="2519"/>
      <c r="T594" s="2514"/>
      <c r="U594" s="2519"/>
      <c r="V594" s="2514"/>
      <c r="W594" s="2519"/>
      <c r="X594" s="2514"/>
    </row>
    <row r="595" spans="1:24" ht="14.4">
      <c r="A595" s="2519" t="str">
        <f>"25-01-2024 17:00"</f>
        <v>25-01-2024 17:00</v>
      </c>
      <c r="B595" s="2514">
        <v>0.46</v>
      </c>
      <c r="C595" s="2519" t="str">
        <f>"25-02-2024 16:00"</f>
        <v>25-02-2024 16:00</v>
      </c>
      <c r="D595" s="2514">
        <v>0.4</v>
      </c>
      <c r="E595" s="2519" t="str">
        <f>"25-03-2024 16:00"</f>
        <v>25-03-2024 16:00</v>
      </c>
      <c r="F595" s="2514">
        <v>0.33</v>
      </c>
      <c r="G595" s="2519" t="str">
        <f>"25-04-2024 16:00"</f>
        <v>25-04-2024 16:00</v>
      </c>
      <c r="H595" s="2514">
        <v>0.28999999999999998</v>
      </c>
      <c r="I595" s="2519"/>
      <c r="J595" s="2514"/>
      <c r="K595" s="2519"/>
      <c r="L595" s="2514"/>
      <c r="M595" s="2519"/>
      <c r="N595" s="2514"/>
      <c r="O595" s="2519"/>
      <c r="P595" s="2514"/>
      <c r="Q595" s="2519"/>
      <c r="R595" s="2514"/>
      <c r="S595" s="2519"/>
      <c r="T595" s="2514"/>
      <c r="U595" s="2519"/>
      <c r="V595" s="2514"/>
      <c r="W595" s="2519"/>
      <c r="X595" s="2514"/>
    </row>
    <row r="596" spans="1:24" ht="14.4">
      <c r="A596" s="2519" t="str">
        <f>"25-01-2024 18:00"</f>
        <v>25-01-2024 18:00</v>
      </c>
      <c r="B596" s="2514">
        <v>1.55</v>
      </c>
      <c r="C596" s="2519" t="str">
        <f>"25-02-2024 17:00"</f>
        <v>25-02-2024 17:00</v>
      </c>
      <c r="D596" s="2514">
        <v>0.41</v>
      </c>
      <c r="E596" s="2519" t="str">
        <f>"25-03-2024 17:00"</f>
        <v>25-03-2024 17:00</v>
      </c>
      <c r="F596" s="2514">
        <v>0.71</v>
      </c>
      <c r="G596" s="2519" t="str">
        <f>"25-04-2024 17:00"</f>
        <v>25-04-2024 17:00</v>
      </c>
      <c r="H596" s="2514">
        <v>0.82</v>
      </c>
      <c r="I596" s="2519"/>
      <c r="J596" s="2514"/>
      <c r="K596" s="2519"/>
      <c r="L596" s="2514"/>
      <c r="M596" s="2519"/>
      <c r="N596" s="2514"/>
      <c r="O596" s="2519"/>
      <c r="P596" s="2514"/>
      <c r="Q596" s="2519"/>
      <c r="R596" s="2514"/>
      <c r="S596" s="2519"/>
      <c r="T596" s="2514"/>
      <c r="U596" s="2519"/>
      <c r="V596" s="2514"/>
      <c r="W596" s="2519"/>
      <c r="X596" s="2514"/>
    </row>
    <row r="597" spans="1:24" ht="14.4">
      <c r="A597" s="2519" t="str">
        <f>"25-01-2024 19:00"</f>
        <v>25-01-2024 19:00</v>
      </c>
      <c r="B597" s="2514">
        <v>0.41</v>
      </c>
      <c r="C597" s="2519" t="str">
        <f>"25-02-2024 18:00"</f>
        <v>25-02-2024 18:00</v>
      </c>
      <c r="D597" s="2514">
        <v>0.57999999999999996</v>
      </c>
      <c r="E597" s="2519" t="str">
        <f>"25-03-2024 18:00"</f>
        <v>25-03-2024 18:00</v>
      </c>
      <c r="F597" s="2514">
        <v>0.45</v>
      </c>
      <c r="G597" s="2519" t="str">
        <f>"25-04-2024 18:00"</f>
        <v>25-04-2024 18:00</v>
      </c>
      <c r="H597" s="2514">
        <v>0.31</v>
      </c>
      <c r="I597" s="2519"/>
      <c r="J597" s="2514"/>
      <c r="K597" s="2519"/>
      <c r="L597" s="2514"/>
      <c r="M597" s="2519"/>
      <c r="N597" s="2514"/>
      <c r="O597" s="2519"/>
      <c r="P597" s="2514"/>
      <c r="Q597" s="2519"/>
      <c r="R597" s="2514"/>
      <c r="S597" s="2519"/>
      <c r="T597" s="2514"/>
      <c r="U597" s="2519"/>
      <c r="V597" s="2514"/>
      <c r="W597" s="2519"/>
      <c r="X597" s="2514"/>
    </row>
    <row r="598" spans="1:24" ht="14.4">
      <c r="A598" s="2519" t="str">
        <f>"25-01-2024 20:00"</f>
        <v>25-01-2024 20:00</v>
      </c>
      <c r="B598" s="2514">
        <v>0.42</v>
      </c>
      <c r="C598" s="2519" t="str">
        <f>"25-02-2024 19:00"</f>
        <v>25-02-2024 19:00</v>
      </c>
      <c r="D598" s="2514">
        <v>0.75</v>
      </c>
      <c r="E598" s="2519" t="str">
        <f>"25-03-2024 19:00"</f>
        <v>25-03-2024 19:00</v>
      </c>
      <c r="F598" s="2514">
        <v>0.34</v>
      </c>
      <c r="G598" s="2519" t="str">
        <f>"25-04-2024 19:00"</f>
        <v>25-04-2024 19:00</v>
      </c>
      <c r="H598" s="2514">
        <v>0.34</v>
      </c>
      <c r="I598" s="2519"/>
      <c r="J598" s="2514"/>
      <c r="K598" s="2519"/>
      <c r="L598" s="2514"/>
      <c r="M598" s="2519"/>
      <c r="N598" s="2514"/>
      <c r="O598" s="2519"/>
      <c r="P598" s="2514"/>
      <c r="Q598" s="2519"/>
      <c r="R598" s="2514"/>
      <c r="S598" s="2519"/>
      <c r="T598" s="2514"/>
      <c r="U598" s="2519"/>
      <c r="V598" s="2514"/>
      <c r="W598" s="2519"/>
      <c r="X598" s="2514"/>
    </row>
    <row r="599" spans="1:24" ht="14.4">
      <c r="A599" s="2519" t="str">
        <f>"25-01-2024 21:00"</f>
        <v>25-01-2024 21:00</v>
      </c>
      <c r="B599" s="2514">
        <v>0.69</v>
      </c>
      <c r="C599" s="2519" t="str">
        <f>"25-02-2024 20:00"</f>
        <v>25-02-2024 20:00</v>
      </c>
      <c r="D599" s="2514">
        <v>0.51</v>
      </c>
      <c r="E599" s="2519" t="str">
        <f>"25-03-2024 20:00"</f>
        <v>25-03-2024 20:00</v>
      </c>
      <c r="F599" s="2514">
        <v>0.43</v>
      </c>
      <c r="G599" s="2519" t="str">
        <f>"25-04-2024 20:00"</f>
        <v>25-04-2024 20:00</v>
      </c>
      <c r="H599" s="2514">
        <v>0.45</v>
      </c>
      <c r="I599" s="2519"/>
      <c r="J599" s="2514"/>
      <c r="K599" s="2519"/>
      <c r="L599" s="2514"/>
      <c r="M599" s="2519"/>
      <c r="N599" s="2514"/>
      <c r="O599" s="2519"/>
      <c r="P599" s="2514"/>
      <c r="Q599" s="2519"/>
      <c r="R599" s="2514"/>
      <c r="S599" s="2519"/>
      <c r="T599" s="2514"/>
      <c r="U599" s="2519"/>
      <c r="V599" s="2514"/>
      <c r="W599" s="2519"/>
      <c r="X599" s="2514"/>
    </row>
    <row r="600" spans="1:24" ht="14.4">
      <c r="A600" s="2519" t="str">
        <f>"25-01-2024 22:00"</f>
        <v>25-01-2024 22:00</v>
      </c>
      <c r="B600" s="2514">
        <v>0.45</v>
      </c>
      <c r="C600" s="2519" t="str">
        <f>"25-02-2024 21:00"</f>
        <v>25-02-2024 21:00</v>
      </c>
      <c r="D600" s="2514">
        <v>0.57999999999999996</v>
      </c>
      <c r="E600" s="2519" t="str">
        <f>"25-03-2024 21:00"</f>
        <v>25-03-2024 21:00</v>
      </c>
      <c r="F600" s="2514">
        <v>0.39</v>
      </c>
      <c r="G600" s="2519" t="str">
        <f>"25-04-2024 21:00"</f>
        <v>25-04-2024 21:00</v>
      </c>
      <c r="H600" s="2514">
        <v>0.31</v>
      </c>
      <c r="I600" s="2519"/>
      <c r="J600" s="2514"/>
      <c r="K600" s="2519"/>
      <c r="L600" s="2514"/>
      <c r="M600" s="2519"/>
      <c r="N600" s="2514"/>
      <c r="O600" s="2519"/>
      <c r="P600" s="2514"/>
      <c r="Q600" s="2519"/>
      <c r="R600" s="2514"/>
      <c r="S600" s="2519"/>
      <c r="T600" s="2514"/>
      <c r="U600" s="2519"/>
      <c r="V600" s="2514"/>
      <c r="W600" s="2519"/>
      <c r="X600" s="2514"/>
    </row>
    <row r="601" spans="1:24" ht="14.4">
      <c r="A601" s="2519" t="str">
        <f>"25-01-2024 23:00"</f>
        <v>25-01-2024 23:00</v>
      </c>
      <c r="B601" s="2514">
        <v>0.37</v>
      </c>
      <c r="C601" s="2519" t="str">
        <f>"25-02-2024 22:00"</f>
        <v>25-02-2024 22:00</v>
      </c>
      <c r="D601" s="2514">
        <v>0.3</v>
      </c>
      <c r="E601" s="2519" t="str">
        <f>"25-03-2024 22:00"</f>
        <v>25-03-2024 22:00</v>
      </c>
      <c r="F601" s="2514">
        <v>0.23</v>
      </c>
      <c r="G601" s="2519" t="str">
        <f>"25-04-2024 22:00"</f>
        <v>25-04-2024 22:00</v>
      </c>
      <c r="H601" s="2514">
        <v>0.23</v>
      </c>
      <c r="I601" s="2519"/>
      <c r="J601" s="2514"/>
      <c r="K601" s="2519"/>
      <c r="L601" s="2514"/>
      <c r="M601" s="2519"/>
      <c r="N601" s="2514"/>
      <c r="O601" s="2519"/>
      <c r="P601" s="2514"/>
      <c r="Q601" s="2519"/>
      <c r="R601" s="2514"/>
      <c r="S601" s="2519"/>
      <c r="T601" s="2514"/>
      <c r="U601" s="2519"/>
      <c r="V601" s="2514"/>
      <c r="W601" s="2519"/>
      <c r="X601" s="2514"/>
    </row>
    <row r="602" spans="1:24" s="2506" customFormat="1" ht="14.4">
      <c r="A602" s="2520" t="str">
        <f>"26-01-2024 00:00"</f>
        <v>26-01-2024 00:00</v>
      </c>
      <c r="B602" s="2521">
        <v>0.31</v>
      </c>
      <c r="C602" s="2520" t="str">
        <f>"25-02-2024 23:00"</f>
        <v>25-02-2024 23:00</v>
      </c>
      <c r="D602" s="2521">
        <v>0.21</v>
      </c>
      <c r="E602" s="2520" t="str">
        <f>"25-03-2024 23:00"</f>
        <v>25-03-2024 23:00</v>
      </c>
      <c r="F602" s="2521">
        <v>0.18</v>
      </c>
      <c r="G602" s="2520" t="str">
        <f>"25-04-2024 23:00"</f>
        <v>25-04-2024 23:00</v>
      </c>
      <c r="H602" s="2521">
        <v>0.12</v>
      </c>
      <c r="I602" s="2520"/>
      <c r="J602" s="2521"/>
      <c r="K602" s="2520"/>
      <c r="L602" s="2521"/>
      <c r="M602" s="2520"/>
      <c r="N602" s="2521"/>
      <c r="O602" s="2520"/>
      <c r="P602" s="2521"/>
      <c r="Q602" s="2520"/>
      <c r="R602" s="2521"/>
      <c r="S602" s="2520"/>
      <c r="T602" s="2521"/>
      <c r="U602" s="2520"/>
      <c r="V602" s="2521"/>
      <c r="W602" s="2520"/>
      <c r="X602" s="2521"/>
    </row>
    <row r="603" spans="1:24" ht="14.4">
      <c r="A603" s="2528" t="str">
        <f>"26-01-2024 01:00"</f>
        <v>26-01-2024 01:00</v>
      </c>
      <c r="B603" s="2530">
        <v>0.21</v>
      </c>
      <c r="C603" s="2528"/>
      <c r="D603" s="2530"/>
      <c r="E603" s="2528" t="str">
        <f>"26-03-2024 00:00"</f>
        <v>26-03-2024 00:00</v>
      </c>
      <c r="F603" s="2530">
        <v>0.19</v>
      </c>
      <c r="G603" s="2528" t="str">
        <f>"26-04-2024 00:00"</f>
        <v>26-04-2024 00:00</v>
      </c>
      <c r="H603" s="2530">
        <v>0.21</v>
      </c>
      <c r="I603" s="2528"/>
      <c r="J603" s="2530"/>
      <c r="K603" s="2528"/>
      <c r="L603" s="2530"/>
      <c r="M603" s="2528"/>
      <c r="N603" s="2530"/>
      <c r="O603" s="2528"/>
      <c r="P603" s="2530"/>
      <c r="Q603" s="2528"/>
      <c r="R603" s="2530"/>
      <c r="S603" s="2528"/>
      <c r="T603" s="2530"/>
      <c r="U603" s="2528"/>
      <c r="V603" s="2530"/>
      <c r="W603" s="2528"/>
      <c r="X603" s="2530"/>
    </row>
    <row r="604" spans="1:24" ht="14.4">
      <c r="A604" s="2518" t="str">
        <f>"26-01-2024 02:00"</f>
        <v>26-01-2024 02:00</v>
      </c>
      <c r="B604" s="2524">
        <v>0.14000000000000001</v>
      </c>
      <c r="C604" s="2518"/>
      <c r="D604" s="2524"/>
      <c r="E604" s="2518" t="str">
        <f>"26-03-2024 01:00"</f>
        <v>26-03-2024 01:00</v>
      </c>
      <c r="F604" s="2524">
        <v>0.21</v>
      </c>
      <c r="G604" s="2518" t="str">
        <f>"26-04-2024 01:00"</f>
        <v>26-04-2024 01:00</v>
      </c>
      <c r="H604" s="2524">
        <v>0.14000000000000001</v>
      </c>
      <c r="I604" s="2518"/>
      <c r="J604" s="2524"/>
      <c r="K604" s="2518"/>
      <c r="L604" s="2524"/>
      <c r="M604" s="2518"/>
      <c r="N604" s="2524"/>
      <c r="O604" s="2518"/>
      <c r="P604" s="2524"/>
      <c r="Q604" s="2518"/>
      <c r="R604" s="2524"/>
      <c r="S604" s="2518"/>
      <c r="T604" s="2524"/>
      <c r="U604" s="2518"/>
      <c r="V604" s="2524"/>
      <c r="W604" s="2518"/>
      <c r="X604" s="2524"/>
    </row>
    <row r="605" spans="1:24" ht="14.4">
      <c r="A605" s="2518" t="str">
        <f>"26-01-2024 03:00"</f>
        <v>26-01-2024 03:00</v>
      </c>
      <c r="B605" s="2524">
        <v>0.13</v>
      </c>
      <c r="C605" s="2518"/>
      <c r="D605" s="2524"/>
      <c r="E605" s="2518" t="str">
        <f>"26-03-2024 02:00"</f>
        <v>26-03-2024 02:00</v>
      </c>
      <c r="F605" s="2524">
        <v>0.18</v>
      </c>
      <c r="G605" s="2518" t="str">
        <f>"26-04-2024 02:00"</f>
        <v>26-04-2024 02:00</v>
      </c>
      <c r="H605" s="2524">
        <v>0.19</v>
      </c>
      <c r="I605" s="2518"/>
      <c r="J605" s="2524"/>
      <c r="K605" s="2518"/>
      <c r="L605" s="2524"/>
      <c r="M605" s="2518"/>
      <c r="N605" s="2524"/>
      <c r="O605" s="2518"/>
      <c r="P605" s="2524"/>
      <c r="Q605" s="2518"/>
      <c r="R605" s="2524"/>
      <c r="S605" s="2518"/>
      <c r="T605" s="2524"/>
      <c r="U605" s="2518"/>
      <c r="V605" s="2524"/>
      <c r="W605" s="2518"/>
      <c r="X605" s="2524"/>
    </row>
    <row r="606" spans="1:24" ht="14.4">
      <c r="A606" s="2518" t="str">
        <f>"26-01-2024 04:00"</f>
        <v>26-01-2024 04:00</v>
      </c>
      <c r="B606" s="2524">
        <v>0.18</v>
      </c>
      <c r="C606" s="2518"/>
      <c r="D606" s="2524"/>
      <c r="E606" s="2518" t="str">
        <f>"26-03-2024 03:00"</f>
        <v>26-03-2024 03:00</v>
      </c>
      <c r="F606" s="2524">
        <v>0.15</v>
      </c>
      <c r="G606" s="2518" t="str">
        <f>"26-04-2024 03:00"</f>
        <v>26-04-2024 03:00</v>
      </c>
      <c r="H606" s="2524">
        <v>0.16</v>
      </c>
      <c r="I606" s="2518"/>
      <c r="J606" s="2524"/>
      <c r="K606" s="2518"/>
      <c r="L606" s="2524"/>
      <c r="M606" s="2518"/>
      <c r="N606" s="2524"/>
      <c r="O606" s="2518"/>
      <c r="P606" s="2524"/>
      <c r="Q606" s="2518"/>
      <c r="R606" s="2524"/>
      <c r="S606" s="2518"/>
      <c r="T606" s="2524"/>
      <c r="U606" s="2518"/>
      <c r="V606" s="2524"/>
      <c r="W606" s="2518"/>
      <c r="X606" s="2524"/>
    </row>
    <row r="607" spans="1:24" ht="14.4">
      <c r="A607" s="2518" t="str">
        <f>"26-01-2024 05:00"</f>
        <v>26-01-2024 05:00</v>
      </c>
      <c r="B607" s="2524">
        <v>0.23</v>
      </c>
      <c r="C607" s="2518"/>
      <c r="D607" s="2524"/>
      <c r="E607" s="2518" t="str">
        <f>"26-03-2024 04:00"</f>
        <v>26-03-2024 04:00</v>
      </c>
      <c r="F607" s="2524">
        <v>0.19</v>
      </c>
      <c r="G607" s="2518" t="str">
        <f>"26-04-2024 04:00"</f>
        <v>26-04-2024 04:00</v>
      </c>
      <c r="H607" s="2524">
        <v>0.15</v>
      </c>
      <c r="I607" s="2518"/>
      <c r="J607" s="2524"/>
      <c r="K607" s="2518"/>
      <c r="L607" s="2524"/>
      <c r="M607" s="2518"/>
      <c r="N607" s="2524"/>
      <c r="O607" s="2518"/>
      <c r="P607" s="2524"/>
      <c r="Q607" s="2518"/>
      <c r="R607" s="2524"/>
      <c r="S607" s="2518"/>
      <c r="T607" s="2524"/>
      <c r="U607" s="2518"/>
      <c r="V607" s="2524"/>
      <c r="W607" s="2518"/>
      <c r="X607" s="2524"/>
    </row>
    <row r="608" spans="1:24" ht="14.4">
      <c r="A608" s="2518" t="str">
        <f>"26-01-2024 06:00"</f>
        <v>26-01-2024 06:00</v>
      </c>
      <c r="B608" s="2524">
        <v>0.23</v>
      </c>
      <c r="C608" s="2518"/>
      <c r="D608" s="2524"/>
      <c r="E608" s="2518" t="str">
        <f>"26-03-2024 05:00"</f>
        <v>26-03-2024 05:00</v>
      </c>
      <c r="F608" s="2524">
        <v>0.16</v>
      </c>
      <c r="G608" s="2518" t="str">
        <f>"26-04-2024 05:00"</f>
        <v>26-04-2024 05:00</v>
      </c>
      <c r="H608" s="2524">
        <v>0.2</v>
      </c>
      <c r="I608" s="2518"/>
      <c r="J608" s="2524"/>
      <c r="K608" s="2518"/>
      <c r="L608" s="2524"/>
      <c r="M608" s="2518"/>
      <c r="N608" s="2524"/>
      <c r="O608" s="2518"/>
      <c r="P608" s="2524"/>
      <c r="Q608" s="2518"/>
      <c r="R608" s="2524"/>
      <c r="S608" s="2518"/>
      <c r="T608" s="2524"/>
      <c r="U608" s="2518"/>
      <c r="V608" s="2524"/>
      <c r="W608" s="2518"/>
      <c r="X608" s="2524"/>
    </row>
    <row r="609" spans="1:24" ht="14.4">
      <c r="A609" s="2518" t="str">
        <f>"26-01-2024 07:00"</f>
        <v>26-01-2024 07:00</v>
      </c>
      <c r="B609" s="2524">
        <v>0.18</v>
      </c>
      <c r="C609" s="2518"/>
      <c r="D609" s="2524"/>
      <c r="E609" s="2518" t="str">
        <f>"26-03-2024 06:00"</f>
        <v>26-03-2024 06:00</v>
      </c>
      <c r="F609" s="2524">
        <v>0.17</v>
      </c>
      <c r="G609" s="2518" t="str">
        <f>"26-04-2024 06:00"</f>
        <v>26-04-2024 06:00</v>
      </c>
      <c r="H609" s="2524">
        <v>0.13</v>
      </c>
      <c r="I609" s="2518"/>
      <c r="J609" s="2524"/>
      <c r="K609" s="2518"/>
      <c r="L609" s="2524"/>
      <c r="M609" s="2518"/>
      <c r="N609" s="2524"/>
      <c r="O609" s="2518"/>
      <c r="P609" s="2524"/>
      <c r="Q609" s="2518"/>
      <c r="R609" s="2524"/>
      <c r="S609" s="2518"/>
      <c r="T609" s="2524"/>
      <c r="U609" s="2518"/>
      <c r="V609" s="2524"/>
      <c r="W609" s="2518"/>
      <c r="X609" s="2524"/>
    </row>
    <row r="610" spans="1:24" ht="14.4">
      <c r="A610" s="2518" t="str">
        <f>"26-01-2024 08:00"</f>
        <v>26-01-2024 08:00</v>
      </c>
      <c r="B610" s="2524">
        <v>0.34</v>
      </c>
      <c r="C610" s="2518"/>
      <c r="D610" s="2524"/>
      <c r="E610" s="2518" t="str">
        <f>"26-03-2024 07:00"</f>
        <v>26-03-2024 07:00</v>
      </c>
      <c r="F610" s="2524">
        <v>0.3</v>
      </c>
      <c r="G610" s="2518" t="str">
        <f>"26-04-2024 07:00"</f>
        <v>26-04-2024 07:00</v>
      </c>
      <c r="H610" s="2524">
        <v>0.21</v>
      </c>
      <c r="I610" s="2518"/>
      <c r="J610" s="2524"/>
      <c r="K610" s="2518"/>
      <c r="L610" s="2524"/>
      <c r="M610" s="2518"/>
      <c r="N610" s="2524"/>
      <c r="O610" s="2518"/>
      <c r="P610" s="2524"/>
      <c r="Q610" s="2518"/>
      <c r="R610" s="2524"/>
      <c r="S610" s="2518"/>
      <c r="T610" s="2524"/>
      <c r="U610" s="2518"/>
      <c r="V610" s="2524"/>
      <c r="W610" s="2518"/>
      <c r="X610" s="2524"/>
    </row>
    <row r="611" spans="1:24" ht="14.4">
      <c r="A611" s="2518" t="str">
        <f>"26-01-2024 09:00"</f>
        <v>26-01-2024 09:00</v>
      </c>
      <c r="B611" s="2524">
        <v>0.26</v>
      </c>
      <c r="C611" s="2518"/>
      <c r="D611" s="2524"/>
      <c r="E611" s="2518" t="str">
        <f>"26-03-2024 08:00"</f>
        <v>26-03-2024 08:00</v>
      </c>
      <c r="F611" s="2524">
        <v>0.35</v>
      </c>
      <c r="G611" s="2518" t="str">
        <f>"26-04-2024 08:00"</f>
        <v>26-04-2024 08:00</v>
      </c>
      <c r="H611" s="2524">
        <v>0.21</v>
      </c>
      <c r="I611" s="2518"/>
      <c r="J611" s="2524"/>
      <c r="K611" s="2518"/>
      <c r="L611" s="2524"/>
      <c r="M611" s="2518"/>
      <c r="N611" s="2524"/>
      <c r="O611" s="2518"/>
      <c r="P611" s="2524"/>
      <c r="Q611" s="2518"/>
      <c r="R611" s="2524"/>
      <c r="S611" s="2518"/>
      <c r="T611" s="2524"/>
      <c r="U611" s="2518"/>
      <c r="V611" s="2524"/>
      <c r="W611" s="2518"/>
      <c r="X611" s="2524"/>
    </row>
    <row r="612" spans="1:24" ht="14.4">
      <c r="A612" s="2518" t="str">
        <f>"26-01-2024 10:00"</f>
        <v>26-01-2024 10:00</v>
      </c>
      <c r="B612" s="2524">
        <v>0.24</v>
      </c>
      <c r="C612" s="2518"/>
      <c r="D612" s="2524"/>
      <c r="E612" s="2518" t="str">
        <f>"26-03-2024 09:00"</f>
        <v>26-03-2024 09:00</v>
      </c>
      <c r="F612" s="2524">
        <v>0.28000000000000003</v>
      </c>
      <c r="G612" s="2518" t="str">
        <f>"26-04-2024 09:00"</f>
        <v>26-04-2024 09:00</v>
      </c>
      <c r="H612" s="2524">
        <v>0.46</v>
      </c>
      <c r="I612" s="2518"/>
      <c r="J612" s="2524"/>
      <c r="K612" s="2518"/>
      <c r="L612" s="2524"/>
      <c r="M612" s="2518"/>
      <c r="N612" s="2524"/>
      <c r="O612" s="2518"/>
      <c r="P612" s="2524"/>
      <c r="Q612" s="2518"/>
      <c r="R612" s="2524"/>
      <c r="S612" s="2518"/>
      <c r="T612" s="2524"/>
      <c r="U612" s="2518"/>
      <c r="V612" s="2524"/>
      <c r="W612" s="2518"/>
      <c r="X612" s="2524"/>
    </row>
    <row r="613" spans="1:24" ht="14.4">
      <c r="A613" s="2518" t="str">
        <f>"26-01-2024 11:00"</f>
        <v>26-01-2024 11:00</v>
      </c>
      <c r="B613" s="2524">
        <v>0.39</v>
      </c>
      <c r="C613" s="2518"/>
      <c r="D613" s="2524"/>
      <c r="E613" s="2518" t="str">
        <f>"26-03-2024 10:00"</f>
        <v>26-03-2024 10:00</v>
      </c>
      <c r="F613" s="2524">
        <v>0.35</v>
      </c>
      <c r="G613" s="2518" t="str">
        <f>"26-04-2024 10:00"</f>
        <v>26-04-2024 10:00</v>
      </c>
      <c r="H613" s="2524">
        <v>0.34</v>
      </c>
      <c r="I613" s="2518"/>
      <c r="J613" s="2524"/>
      <c r="K613" s="2518"/>
      <c r="L613" s="2524"/>
      <c r="M613" s="2518"/>
      <c r="N613" s="2524"/>
      <c r="O613" s="2518"/>
      <c r="P613" s="2524"/>
      <c r="Q613" s="2518"/>
      <c r="R613" s="2524"/>
      <c r="S613" s="2518"/>
      <c r="T613" s="2524"/>
      <c r="U613" s="2518"/>
      <c r="V613" s="2524"/>
      <c r="W613" s="2518"/>
      <c r="X613" s="2524"/>
    </row>
    <row r="614" spans="1:24" ht="14.4">
      <c r="A614" s="2518" t="str">
        <f>"26-01-2024 12:00"</f>
        <v>26-01-2024 12:00</v>
      </c>
      <c r="B614" s="2524">
        <v>0.4</v>
      </c>
      <c r="C614" s="2518"/>
      <c r="D614" s="2524"/>
      <c r="E614" s="2518" t="str">
        <f>"26-03-2024 11:00"</f>
        <v>26-03-2024 11:00</v>
      </c>
      <c r="F614" s="2524">
        <v>0.28999999999999998</v>
      </c>
      <c r="G614" s="2518" t="str">
        <f>"26-04-2024 11:00"</f>
        <v>26-04-2024 11:00</v>
      </c>
      <c r="H614" s="2524">
        <v>0.48</v>
      </c>
      <c r="I614" s="2518"/>
      <c r="J614" s="2524"/>
      <c r="K614" s="2518"/>
      <c r="L614" s="2524"/>
      <c r="M614" s="2518"/>
      <c r="N614" s="2524"/>
      <c r="O614" s="2518"/>
      <c r="P614" s="2524"/>
      <c r="Q614" s="2518"/>
      <c r="R614" s="2524"/>
      <c r="S614" s="2518"/>
      <c r="T614" s="2524"/>
      <c r="U614" s="2518"/>
      <c r="V614" s="2524"/>
      <c r="W614" s="2518"/>
      <c r="X614" s="2524"/>
    </row>
    <row r="615" spans="1:24" ht="14.4">
      <c r="A615" s="2518" t="str">
        <f>"26-01-2024 13:00"</f>
        <v>26-01-2024 13:00</v>
      </c>
      <c r="B615" s="2524">
        <v>0.28000000000000003</v>
      </c>
      <c r="C615" s="2518"/>
      <c r="D615" s="2524"/>
      <c r="E615" s="2518" t="str">
        <f>"26-03-2024 12:00"</f>
        <v>26-03-2024 12:00</v>
      </c>
      <c r="F615" s="2524">
        <v>0.27</v>
      </c>
      <c r="G615" s="2518" t="str">
        <f>"26-04-2024 12:00"</f>
        <v>26-04-2024 12:00</v>
      </c>
      <c r="H615" s="2524">
        <v>0.34</v>
      </c>
      <c r="I615" s="2518"/>
      <c r="J615" s="2524"/>
      <c r="K615" s="2518"/>
      <c r="L615" s="2524"/>
      <c r="M615" s="2518"/>
      <c r="N615" s="2524"/>
      <c r="O615" s="2518"/>
      <c r="P615" s="2524"/>
      <c r="Q615" s="2518"/>
      <c r="R615" s="2524"/>
      <c r="S615" s="2518"/>
      <c r="T615" s="2524"/>
      <c r="U615" s="2518"/>
      <c r="V615" s="2524"/>
      <c r="W615" s="2518"/>
      <c r="X615" s="2524"/>
    </row>
    <row r="616" spans="1:24" ht="14.4">
      <c r="A616" s="2518" t="str">
        <f>"26-01-2024 14:00"</f>
        <v>26-01-2024 14:00</v>
      </c>
      <c r="B616" s="2524">
        <v>0.53</v>
      </c>
      <c r="C616" s="2518"/>
      <c r="D616" s="2524"/>
      <c r="E616" s="2518" t="str">
        <f>"26-03-2024 13:00"</f>
        <v>26-03-2024 13:00</v>
      </c>
      <c r="F616" s="2524">
        <v>0.45</v>
      </c>
      <c r="G616" s="2518" t="str">
        <f>"26-04-2024 13:00"</f>
        <v>26-04-2024 13:00</v>
      </c>
      <c r="H616" s="2524">
        <v>0.28999999999999998</v>
      </c>
      <c r="I616" s="2518"/>
      <c r="J616" s="2524"/>
      <c r="K616" s="2518"/>
      <c r="L616" s="2524"/>
      <c r="M616" s="2518"/>
      <c r="N616" s="2524"/>
      <c r="O616" s="2518"/>
      <c r="P616" s="2524"/>
      <c r="Q616" s="2518"/>
      <c r="R616" s="2524"/>
      <c r="S616" s="2518"/>
      <c r="T616" s="2524"/>
      <c r="U616" s="2518"/>
      <c r="V616" s="2524"/>
      <c r="W616" s="2518"/>
      <c r="X616" s="2524"/>
    </row>
    <row r="617" spans="1:24" ht="14.4">
      <c r="A617" s="2518" t="str">
        <f>"26-01-2024 15:00"</f>
        <v>26-01-2024 15:00</v>
      </c>
      <c r="B617" s="2524">
        <v>0.41</v>
      </c>
      <c r="C617" s="2518"/>
      <c r="D617" s="2524"/>
      <c r="E617" s="2518" t="str">
        <f>"26-03-2024 14:00"</f>
        <v>26-03-2024 14:00</v>
      </c>
      <c r="F617" s="2524">
        <v>0.63</v>
      </c>
      <c r="G617" s="2518" t="str">
        <f>"26-04-2024 14:00"</f>
        <v>26-04-2024 14:00</v>
      </c>
      <c r="H617" s="2524">
        <v>0.4</v>
      </c>
      <c r="I617" s="2518"/>
      <c r="J617" s="2524"/>
      <c r="K617" s="2518"/>
      <c r="L617" s="2524"/>
      <c r="M617" s="2518"/>
      <c r="N617" s="2524"/>
      <c r="O617" s="2518"/>
      <c r="P617" s="2524"/>
      <c r="Q617" s="2518"/>
      <c r="R617" s="2524"/>
      <c r="S617" s="2518"/>
      <c r="T617" s="2524"/>
      <c r="U617" s="2518"/>
      <c r="V617" s="2524"/>
      <c r="W617" s="2518"/>
      <c r="X617" s="2524"/>
    </row>
    <row r="618" spans="1:24" ht="14.4">
      <c r="A618" s="2518" t="str">
        <f>"26-01-2024 16:00"</f>
        <v>26-01-2024 16:00</v>
      </c>
      <c r="B618" s="2524">
        <v>0.56000000000000005</v>
      </c>
      <c r="C618" s="2518"/>
      <c r="D618" s="2524"/>
      <c r="E618" s="2518" t="str">
        <f>"26-03-2024 15:00"</f>
        <v>26-03-2024 15:00</v>
      </c>
      <c r="F618" s="2524">
        <v>0.47</v>
      </c>
      <c r="G618" s="2518" t="str">
        <f>"26-04-2024 15:00"</f>
        <v>26-04-2024 15:00</v>
      </c>
      <c r="H618" s="2524">
        <v>0.4</v>
      </c>
      <c r="I618" s="2518"/>
      <c r="J618" s="2524"/>
      <c r="K618" s="2518"/>
      <c r="L618" s="2524"/>
      <c r="M618" s="2518"/>
      <c r="N618" s="2524"/>
      <c r="O618" s="2518"/>
      <c r="P618" s="2524"/>
      <c r="Q618" s="2518"/>
      <c r="R618" s="2524"/>
      <c r="S618" s="2518"/>
      <c r="T618" s="2524"/>
      <c r="U618" s="2518"/>
      <c r="V618" s="2524"/>
      <c r="W618" s="2518"/>
      <c r="X618" s="2524"/>
    </row>
    <row r="619" spans="1:24" ht="14.4">
      <c r="A619" s="2518" t="str">
        <f>"26-01-2024 17:00"</f>
        <v>26-01-2024 17:00</v>
      </c>
      <c r="B619" s="2524">
        <v>0.45</v>
      </c>
      <c r="C619" s="2518"/>
      <c r="D619" s="2524"/>
      <c r="E619" s="2518" t="str">
        <f>"26-03-2024 16:00"</f>
        <v>26-03-2024 16:00</v>
      </c>
      <c r="F619" s="2524">
        <v>0.33</v>
      </c>
      <c r="G619" s="2518" t="str">
        <f>"26-04-2024 16:00"</f>
        <v>26-04-2024 16:00</v>
      </c>
      <c r="H619" s="2524">
        <v>0.39</v>
      </c>
      <c r="I619" s="2518"/>
      <c r="J619" s="2524"/>
      <c r="K619" s="2518"/>
      <c r="L619" s="2524"/>
      <c r="M619" s="2518"/>
      <c r="N619" s="2524"/>
      <c r="O619" s="2518"/>
      <c r="P619" s="2524"/>
      <c r="Q619" s="2518"/>
      <c r="R619" s="2524"/>
      <c r="S619" s="2518"/>
      <c r="T619" s="2524"/>
      <c r="U619" s="2518"/>
      <c r="V619" s="2524"/>
      <c r="W619" s="2518"/>
      <c r="X619" s="2524"/>
    </row>
    <row r="620" spans="1:24" ht="14.4">
      <c r="A620" s="2518" t="str">
        <f>"26-01-2024 18:00"</f>
        <v>26-01-2024 18:00</v>
      </c>
      <c r="B620" s="2524">
        <v>0.56000000000000005</v>
      </c>
      <c r="C620" s="2518"/>
      <c r="D620" s="2524"/>
      <c r="E620" s="2518" t="str">
        <f>"26-03-2024 17:00"</f>
        <v>26-03-2024 17:00</v>
      </c>
      <c r="F620" s="2524">
        <v>0.6</v>
      </c>
      <c r="G620" s="2518" t="str">
        <f>"26-04-2024 17:00"</f>
        <v>26-04-2024 17:00</v>
      </c>
      <c r="H620" s="2524">
        <v>1.27</v>
      </c>
      <c r="I620" s="2518"/>
      <c r="J620" s="2524"/>
      <c r="K620" s="2518"/>
      <c r="L620" s="2524"/>
      <c r="M620" s="2518"/>
      <c r="N620" s="2524"/>
      <c r="O620" s="2518"/>
      <c r="P620" s="2524"/>
      <c r="Q620" s="2518"/>
      <c r="R620" s="2524"/>
      <c r="S620" s="2518"/>
      <c r="T620" s="2524"/>
      <c r="U620" s="2518"/>
      <c r="V620" s="2524"/>
      <c r="W620" s="2518"/>
      <c r="X620" s="2524"/>
    </row>
    <row r="621" spans="1:24" ht="14.4">
      <c r="A621" s="2518" t="str">
        <f>"26-01-2024 19:00"</f>
        <v>26-01-2024 19:00</v>
      </c>
      <c r="B621" s="2524">
        <v>0.63</v>
      </c>
      <c r="C621" s="2518"/>
      <c r="D621" s="2524"/>
      <c r="E621" s="2518" t="str">
        <f>"26-03-2024 18:00"</f>
        <v>26-03-2024 18:00</v>
      </c>
      <c r="F621" s="2524">
        <v>0.5</v>
      </c>
      <c r="G621" s="2518" t="str">
        <f>"26-04-2024 18:00"</f>
        <v>26-04-2024 18:00</v>
      </c>
      <c r="H621" s="2524">
        <v>0.39</v>
      </c>
      <c r="I621" s="2518"/>
      <c r="J621" s="2524"/>
      <c r="K621" s="2518"/>
      <c r="L621" s="2524"/>
      <c r="M621" s="2518"/>
      <c r="N621" s="2524"/>
      <c r="O621" s="2518"/>
      <c r="P621" s="2524"/>
      <c r="Q621" s="2518"/>
      <c r="R621" s="2524"/>
      <c r="S621" s="2518"/>
      <c r="T621" s="2524"/>
      <c r="U621" s="2518"/>
      <c r="V621" s="2524"/>
      <c r="W621" s="2518"/>
      <c r="X621" s="2524"/>
    </row>
    <row r="622" spans="1:24" ht="14.4">
      <c r="A622" s="2518" t="str">
        <f>"26-01-2024 20:00"</f>
        <v>26-01-2024 20:00</v>
      </c>
      <c r="B622" s="2524">
        <v>0.57999999999999996</v>
      </c>
      <c r="C622" s="2518"/>
      <c r="D622" s="2524"/>
      <c r="E622" s="2518" t="str">
        <f>"26-03-2024 19:00"</f>
        <v>26-03-2024 19:00</v>
      </c>
      <c r="F622" s="2524">
        <v>0.38</v>
      </c>
      <c r="G622" s="2518" t="str">
        <f>"26-04-2024 19:00"</f>
        <v>26-04-2024 19:00</v>
      </c>
      <c r="H622" s="2524">
        <v>0.36</v>
      </c>
      <c r="I622" s="2518"/>
      <c r="J622" s="2524"/>
      <c r="K622" s="2518"/>
      <c r="L622" s="2524"/>
      <c r="M622" s="2518"/>
      <c r="N622" s="2524"/>
      <c r="O622" s="2518"/>
      <c r="P622" s="2524"/>
      <c r="Q622" s="2518"/>
      <c r="R622" s="2524"/>
      <c r="S622" s="2518"/>
      <c r="T622" s="2524"/>
      <c r="U622" s="2518"/>
      <c r="V622" s="2524"/>
      <c r="W622" s="2518"/>
      <c r="X622" s="2524"/>
    </row>
    <row r="623" spans="1:24" ht="14.4">
      <c r="A623" s="2518" t="str">
        <f>"26-01-2024 21:00"</f>
        <v>26-01-2024 21:00</v>
      </c>
      <c r="B623" s="2524">
        <v>0.43</v>
      </c>
      <c r="C623" s="2518"/>
      <c r="D623" s="2524"/>
      <c r="E623" s="2518" t="str">
        <f>"26-03-2024 20:00"</f>
        <v>26-03-2024 20:00</v>
      </c>
      <c r="F623" s="2524">
        <v>0.43</v>
      </c>
      <c r="G623" s="2518" t="str">
        <f>"26-04-2024 20:00"</f>
        <v>26-04-2024 20:00</v>
      </c>
      <c r="H623" s="2524">
        <v>0.37</v>
      </c>
      <c r="I623" s="2518"/>
      <c r="J623" s="2524"/>
      <c r="K623" s="2518"/>
      <c r="L623" s="2524"/>
      <c r="M623" s="2518"/>
      <c r="N623" s="2524"/>
      <c r="O623" s="2518"/>
      <c r="P623" s="2524"/>
      <c r="Q623" s="2518"/>
      <c r="R623" s="2524"/>
      <c r="S623" s="2518"/>
      <c r="T623" s="2524"/>
      <c r="U623" s="2518"/>
      <c r="V623" s="2524"/>
      <c r="W623" s="2518"/>
      <c r="X623" s="2524"/>
    </row>
    <row r="624" spans="1:24" ht="14.4">
      <c r="A624" s="2518" t="str">
        <f>"26-01-2024 22:00"</f>
        <v>26-01-2024 22:00</v>
      </c>
      <c r="B624" s="2524">
        <v>0.57999999999999996</v>
      </c>
      <c r="C624" s="2518"/>
      <c r="D624" s="2524"/>
      <c r="E624" s="2518" t="str">
        <f>"26-03-2024 21:00"</f>
        <v>26-03-2024 21:00</v>
      </c>
      <c r="F624" s="2524">
        <v>0.38</v>
      </c>
      <c r="G624" s="2518" t="str">
        <f>"26-04-2024 21:00"</f>
        <v>26-04-2024 21:00</v>
      </c>
      <c r="H624" s="2524">
        <v>0.42</v>
      </c>
      <c r="I624" s="2518"/>
      <c r="J624" s="2524"/>
      <c r="K624" s="2518"/>
      <c r="L624" s="2524"/>
      <c r="M624" s="2518"/>
      <c r="N624" s="2524"/>
      <c r="O624" s="2518"/>
      <c r="P624" s="2524"/>
      <c r="Q624" s="2518"/>
      <c r="R624" s="2524"/>
      <c r="S624" s="2518"/>
      <c r="T624" s="2524"/>
      <c r="U624" s="2518"/>
      <c r="V624" s="2524"/>
      <c r="W624" s="2518"/>
      <c r="X624" s="2524"/>
    </row>
    <row r="625" spans="1:24" ht="14.4">
      <c r="A625" s="2518" t="str">
        <f>"26-01-2024 23:00"</f>
        <v>26-01-2024 23:00</v>
      </c>
      <c r="B625" s="2524">
        <v>0.47</v>
      </c>
      <c r="C625" s="2518"/>
      <c r="D625" s="2524"/>
      <c r="E625" s="2518" t="str">
        <f>"26-03-2024 22:00"</f>
        <v>26-03-2024 22:00</v>
      </c>
      <c r="F625" s="2524">
        <v>0.28000000000000003</v>
      </c>
      <c r="G625" s="2518" t="str">
        <f>"26-04-2024 22:00"</f>
        <v>26-04-2024 22:00</v>
      </c>
      <c r="H625" s="2524">
        <v>0.3</v>
      </c>
      <c r="I625" s="2518"/>
      <c r="J625" s="2524"/>
      <c r="K625" s="2518"/>
      <c r="L625" s="2524"/>
      <c r="M625" s="2518"/>
      <c r="N625" s="2524"/>
      <c r="O625" s="2518"/>
      <c r="P625" s="2524"/>
      <c r="Q625" s="2518"/>
      <c r="R625" s="2524"/>
      <c r="S625" s="2518"/>
      <c r="T625" s="2524"/>
      <c r="U625" s="2518"/>
      <c r="V625" s="2524"/>
      <c r="W625" s="2518"/>
      <c r="X625" s="2524"/>
    </row>
    <row r="626" spans="1:24" s="2506" customFormat="1" ht="14.4">
      <c r="A626" s="2529" t="str">
        <f>"27-01-2024 00:00"</f>
        <v>27-01-2024 00:00</v>
      </c>
      <c r="B626" s="2531">
        <v>0.37</v>
      </c>
      <c r="C626" s="2529"/>
      <c r="D626" s="2531"/>
      <c r="E626" s="2529" t="str">
        <f>"26-03-2024 23:00"</f>
        <v>26-03-2024 23:00</v>
      </c>
      <c r="F626" s="2531">
        <v>0.2</v>
      </c>
      <c r="G626" s="2529" t="str">
        <f>"26-04-2024 23:00"</f>
        <v>26-04-2024 23:00</v>
      </c>
      <c r="H626" s="2531">
        <v>0.15</v>
      </c>
      <c r="I626" s="2529"/>
      <c r="J626" s="2531"/>
      <c r="K626" s="2529"/>
      <c r="L626" s="2531"/>
      <c r="M626" s="2529"/>
      <c r="N626" s="2531"/>
      <c r="O626" s="2529"/>
      <c r="P626" s="2531"/>
      <c r="Q626" s="2529"/>
      <c r="R626" s="2531"/>
      <c r="S626" s="2529"/>
      <c r="T626" s="2531"/>
      <c r="U626" s="2529"/>
      <c r="V626" s="2531"/>
      <c r="W626" s="2529"/>
      <c r="X626" s="2531"/>
    </row>
    <row r="627" spans="1:24" ht="14.4">
      <c r="A627" s="2522" t="str">
        <f>"27-01-2024 01:00"</f>
        <v>27-01-2024 01:00</v>
      </c>
      <c r="B627" s="2530">
        <v>0.16</v>
      </c>
      <c r="C627" s="2522"/>
      <c r="D627" s="2530"/>
      <c r="E627" s="2522" t="str">
        <f>"27-03-2024 00:00"</f>
        <v>27-03-2024 00:00</v>
      </c>
      <c r="F627" s="2530">
        <v>0.15</v>
      </c>
      <c r="G627" s="2522" t="str">
        <f>"27-04-2024 00:00"</f>
        <v>27-04-2024 00:00</v>
      </c>
      <c r="H627" s="2530">
        <v>0.2</v>
      </c>
      <c r="I627" s="2522"/>
      <c r="J627" s="2530"/>
      <c r="K627" s="2522"/>
      <c r="L627" s="2530"/>
      <c r="M627" s="2522"/>
      <c r="N627" s="2530"/>
      <c r="O627" s="2522"/>
      <c r="P627" s="2530"/>
      <c r="Q627" s="2522"/>
      <c r="R627" s="2530"/>
      <c r="S627" s="2522"/>
      <c r="T627" s="2530"/>
      <c r="U627" s="2522"/>
      <c r="V627" s="2530"/>
      <c r="W627" s="2522"/>
      <c r="X627" s="2530"/>
    </row>
    <row r="628" spans="1:24" ht="14.4">
      <c r="A628" s="2519" t="str">
        <f>"27-01-2024 02:00"</f>
        <v>27-01-2024 02:00</v>
      </c>
      <c r="B628" s="2524">
        <v>0.1</v>
      </c>
      <c r="C628" s="2519"/>
      <c r="D628" s="2524"/>
      <c r="E628" s="2519" t="str">
        <f>"27-03-2024 01:00"</f>
        <v>27-03-2024 01:00</v>
      </c>
      <c r="F628" s="2524">
        <v>0.19</v>
      </c>
      <c r="G628" s="2519" t="str">
        <f>"27-04-2024 01:00"</f>
        <v>27-04-2024 01:00</v>
      </c>
      <c r="H628" s="2524">
        <v>0.16</v>
      </c>
      <c r="I628" s="2519"/>
      <c r="J628" s="2524"/>
      <c r="K628" s="2519"/>
      <c r="L628" s="2524"/>
      <c r="M628" s="2519"/>
      <c r="N628" s="2524"/>
      <c r="O628" s="2519"/>
      <c r="P628" s="2524"/>
      <c r="Q628" s="2519"/>
      <c r="R628" s="2524"/>
      <c r="S628" s="2519"/>
      <c r="T628" s="2524"/>
      <c r="U628" s="2519"/>
      <c r="V628" s="2524"/>
      <c r="W628" s="2519"/>
      <c r="X628" s="2524"/>
    </row>
    <row r="629" spans="1:24" ht="14.4">
      <c r="A629" s="2519" t="str">
        <f>"27-01-2024 03:00"</f>
        <v>27-01-2024 03:00</v>
      </c>
      <c r="B629" s="2524">
        <v>0.17</v>
      </c>
      <c r="C629" s="2519"/>
      <c r="D629" s="2524"/>
      <c r="E629" s="2519" t="str">
        <f>"27-03-2024 02:00"</f>
        <v>27-03-2024 02:00</v>
      </c>
      <c r="F629" s="2524">
        <v>0.15</v>
      </c>
      <c r="G629" s="2519" t="str">
        <f>"27-04-2024 02:00"</f>
        <v>27-04-2024 02:00</v>
      </c>
      <c r="H629" s="2524">
        <v>0.15</v>
      </c>
      <c r="I629" s="2519"/>
      <c r="J629" s="2524"/>
      <c r="K629" s="2519"/>
      <c r="L629" s="2524"/>
      <c r="M629" s="2519"/>
      <c r="N629" s="2524"/>
      <c r="O629" s="2519"/>
      <c r="P629" s="2524"/>
      <c r="Q629" s="2519"/>
      <c r="R629" s="2524"/>
      <c r="S629" s="2519"/>
      <c r="T629" s="2524"/>
      <c r="U629" s="2519"/>
      <c r="V629" s="2524"/>
      <c r="W629" s="2519"/>
      <c r="X629" s="2524"/>
    </row>
    <row r="630" spans="1:24" ht="14.4">
      <c r="A630" s="2519" t="str">
        <f>"27-01-2024 04:00"</f>
        <v>27-01-2024 04:00</v>
      </c>
      <c r="B630" s="2524">
        <v>0.18</v>
      </c>
      <c r="C630" s="2519"/>
      <c r="D630" s="2524"/>
      <c r="E630" s="2519" t="str">
        <f>"27-03-2024 03:00"</f>
        <v>27-03-2024 03:00</v>
      </c>
      <c r="F630" s="2524">
        <v>0.17</v>
      </c>
      <c r="G630" s="2519" t="str">
        <f>"27-04-2024 03:00"</f>
        <v>27-04-2024 03:00</v>
      </c>
      <c r="H630" s="2524">
        <v>0.19</v>
      </c>
      <c r="I630" s="2519"/>
      <c r="J630" s="2524"/>
      <c r="K630" s="2519"/>
      <c r="L630" s="2524"/>
      <c r="M630" s="2519"/>
      <c r="N630" s="2524"/>
      <c r="O630" s="2519"/>
      <c r="P630" s="2524"/>
      <c r="Q630" s="2519"/>
      <c r="R630" s="2524"/>
      <c r="S630" s="2519"/>
      <c r="T630" s="2524"/>
      <c r="U630" s="2519"/>
      <c r="V630" s="2524"/>
      <c r="W630" s="2519"/>
      <c r="X630" s="2524"/>
    </row>
    <row r="631" spans="1:24" ht="14.4">
      <c r="A631" s="2519" t="str">
        <f>"27-01-2024 05:00"</f>
        <v>27-01-2024 05:00</v>
      </c>
      <c r="B631" s="2524">
        <v>0.13</v>
      </c>
      <c r="C631" s="2519"/>
      <c r="D631" s="2524"/>
      <c r="E631" s="2519" t="str">
        <f>"27-03-2024 04:00"</f>
        <v>27-03-2024 04:00</v>
      </c>
      <c r="F631" s="2524">
        <v>0.18</v>
      </c>
      <c r="G631" s="2519" t="str">
        <f>"27-04-2024 04:00"</f>
        <v>27-04-2024 04:00</v>
      </c>
      <c r="H631" s="2524">
        <v>0.13</v>
      </c>
      <c r="I631" s="2519"/>
      <c r="J631" s="2524"/>
      <c r="K631" s="2519"/>
      <c r="L631" s="2524"/>
      <c r="M631" s="2519"/>
      <c r="N631" s="2524"/>
      <c r="O631" s="2519"/>
      <c r="P631" s="2524"/>
      <c r="Q631" s="2519"/>
      <c r="R631" s="2524"/>
      <c r="S631" s="2519"/>
      <c r="T631" s="2524"/>
      <c r="U631" s="2519"/>
      <c r="V631" s="2524"/>
      <c r="W631" s="2519"/>
      <c r="X631" s="2524"/>
    </row>
    <row r="632" spans="1:24" ht="14.4">
      <c r="A632" s="2519" t="str">
        <f>"27-01-2024 06:00"</f>
        <v>27-01-2024 06:00</v>
      </c>
      <c r="B632" s="2524">
        <v>0.15</v>
      </c>
      <c r="C632" s="2519"/>
      <c r="D632" s="2524"/>
      <c r="E632" s="2519" t="str">
        <f>"27-03-2024 05:00"</f>
        <v>27-03-2024 05:00</v>
      </c>
      <c r="F632" s="2524">
        <v>0.2</v>
      </c>
      <c r="G632" s="2519" t="str">
        <f>"27-04-2024 05:00"</f>
        <v>27-04-2024 05:00</v>
      </c>
      <c r="H632" s="2524">
        <v>0.23</v>
      </c>
      <c r="I632" s="2519"/>
      <c r="J632" s="2524"/>
      <c r="K632" s="2519"/>
      <c r="L632" s="2524"/>
      <c r="M632" s="2519"/>
      <c r="N632" s="2524"/>
      <c r="O632" s="2519"/>
      <c r="P632" s="2524"/>
      <c r="Q632" s="2519"/>
      <c r="R632" s="2524"/>
      <c r="S632" s="2519"/>
      <c r="T632" s="2524"/>
      <c r="U632" s="2519"/>
      <c r="V632" s="2524"/>
      <c r="W632" s="2519"/>
      <c r="X632" s="2524"/>
    </row>
    <row r="633" spans="1:24" ht="14.4">
      <c r="A633" s="2519" t="str">
        <f>"27-01-2024 07:00"</f>
        <v>27-01-2024 07:00</v>
      </c>
      <c r="B633" s="2524">
        <v>0.3</v>
      </c>
      <c r="C633" s="2519"/>
      <c r="D633" s="2524"/>
      <c r="E633" s="2519" t="str">
        <f>"27-03-2024 06:00"</f>
        <v>27-03-2024 06:00</v>
      </c>
      <c r="F633" s="2524">
        <v>0.62</v>
      </c>
      <c r="G633" s="2519" t="str">
        <f>"27-04-2024 06:00"</f>
        <v>27-04-2024 06:00</v>
      </c>
      <c r="H633" s="2524">
        <v>0.19</v>
      </c>
      <c r="I633" s="2519"/>
      <c r="J633" s="2524"/>
      <c r="K633" s="2519"/>
      <c r="L633" s="2524"/>
      <c r="M633" s="2519"/>
      <c r="N633" s="2524"/>
      <c r="O633" s="2519"/>
      <c r="P633" s="2524"/>
      <c r="Q633" s="2519"/>
      <c r="R633" s="2524"/>
      <c r="S633" s="2519"/>
      <c r="T633" s="2524"/>
      <c r="U633" s="2519"/>
      <c r="V633" s="2524"/>
      <c r="W633" s="2519"/>
      <c r="X633" s="2524"/>
    </row>
    <row r="634" spans="1:24" ht="14.4">
      <c r="A634" s="2519" t="str">
        <f>"27-01-2024 08:00"</f>
        <v>27-01-2024 08:00</v>
      </c>
      <c r="B634" s="2524">
        <v>0.44</v>
      </c>
      <c r="C634" s="2519"/>
      <c r="D634" s="2524"/>
      <c r="E634" s="2519" t="str">
        <f>"27-03-2024 07:00"</f>
        <v>27-03-2024 07:00</v>
      </c>
      <c r="F634" s="2524">
        <v>0.4</v>
      </c>
      <c r="G634" s="2519" t="str">
        <f>"27-04-2024 07:00"</f>
        <v>27-04-2024 07:00</v>
      </c>
      <c r="H634" s="2524">
        <v>0.35</v>
      </c>
      <c r="I634" s="2519"/>
      <c r="J634" s="2524"/>
      <c r="K634" s="2519"/>
      <c r="L634" s="2524"/>
      <c r="M634" s="2519"/>
      <c r="N634" s="2524"/>
      <c r="O634" s="2519"/>
      <c r="P634" s="2524"/>
      <c r="Q634" s="2519"/>
      <c r="R634" s="2524"/>
      <c r="S634" s="2519"/>
      <c r="T634" s="2524"/>
      <c r="U634" s="2519"/>
      <c r="V634" s="2524"/>
      <c r="W634" s="2519"/>
      <c r="X634" s="2524"/>
    </row>
    <row r="635" spans="1:24" ht="14.4">
      <c r="A635" s="2519" t="str">
        <f>"27-01-2024 09:00"</f>
        <v>27-01-2024 09:00</v>
      </c>
      <c r="B635" s="2524">
        <v>0.24</v>
      </c>
      <c r="C635" s="2519"/>
      <c r="D635" s="2524"/>
      <c r="E635" s="2519" t="str">
        <f>"27-03-2024 08:00"</f>
        <v>27-03-2024 08:00</v>
      </c>
      <c r="F635" s="2524">
        <v>0.25</v>
      </c>
      <c r="G635" s="2519" t="str">
        <f>"27-04-2024 08:00"</f>
        <v>27-04-2024 08:00</v>
      </c>
      <c r="H635" s="2524">
        <v>0.31</v>
      </c>
      <c r="I635" s="2519"/>
      <c r="J635" s="2524"/>
      <c r="K635" s="2519"/>
      <c r="L635" s="2524"/>
      <c r="M635" s="2519"/>
      <c r="N635" s="2524"/>
      <c r="O635" s="2519"/>
      <c r="P635" s="2524"/>
      <c r="Q635" s="2519"/>
      <c r="R635" s="2524"/>
      <c r="S635" s="2519"/>
      <c r="T635" s="2524"/>
      <c r="U635" s="2519"/>
      <c r="V635" s="2524"/>
      <c r="W635" s="2519"/>
      <c r="X635" s="2524"/>
    </row>
    <row r="636" spans="1:24" ht="14.4">
      <c r="A636" s="2519" t="str">
        <f>"27-01-2024 10:00"</f>
        <v>27-01-2024 10:00</v>
      </c>
      <c r="B636" s="2524">
        <v>0.28000000000000003</v>
      </c>
      <c r="C636" s="2519"/>
      <c r="D636" s="2524"/>
      <c r="E636" s="2519" t="str">
        <f>"27-03-2024 09:00"</f>
        <v>27-03-2024 09:00</v>
      </c>
      <c r="F636" s="2524">
        <v>0.18</v>
      </c>
      <c r="G636" s="2519" t="str">
        <f>"27-04-2024 09:00"</f>
        <v>27-04-2024 09:00</v>
      </c>
      <c r="H636" s="2524">
        <v>0.24</v>
      </c>
      <c r="I636" s="2519"/>
      <c r="J636" s="2524"/>
      <c r="K636" s="2519"/>
      <c r="L636" s="2524"/>
      <c r="M636" s="2519"/>
      <c r="N636" s="2524"/>
      <c r="O636" s="2519"/>
      <c r="P636" s="2524"/>
      <c r="Q636" s="2519"/>
      <c r="R636" s="2524"/>
      <c r="S636" s="2519"/>
      <c r="T636" s="2524"/>
      <c r="U636" s="2519"/>
      <c r="V636" s="2524"/>
      <c r="W636" s="2519"/>
      <c r="X636" s="2524"/>
    </row>
    <row r="637" spans="1:24" ht="14.4">
      <c r="A637" s="2519" t="str">
        <f>"27-01-2024 11:00"</f>
        <v>27-01-2024 11:00</v>
      </c>
      <c r="B637" s="2524">
        <v>0.32</v>
      </c>
      <c r="C637" s="2519"/>
      <c r="D637" s="2524"/>
      <c r="E637" s="2519" t="str">
        <f>"27-03-2024 10:00"</f>
        <v>27-03-2024 10:00</v>
      </c>
      <c r="F637" s="2524">
        <v>0.39</v>
      </c>
      <c r="G637" s="2519" t="str">
        <f>"27-04-2024 10:00"</f>
        <v>27-04-2024 10:00</v>
      </c>
      <c r="H637" s="2524">
        <v>0.41</v>
      </c>
      <c r="I637" s="2519"/>
      <c r="J637" s="2524"/>
      <c r="K637" s="2519"/>
      <c r="L637" s="2524"/>
      <c r="M637" s="2519"/>
      <c r="N637" s="2524"/>
      <c r="O637" s="2519"/>
      <c r="P637" s="2524"/>
      <c r="Q637" s="2519"/>
      <c r="R637" s="2524"/>
      <c r="S637" s="2519"/>
      <c r="T637" s="2524"/>
      <c r="U637" s="2519"/>
      <c r="V637" s="2524"/>
      <c r="W637" s="2519"/>
      <c r="X637" s="2524"/>
    </row>
    <row r="638" spans="1:24" ht="14.4">
      <c r="A638" s="2519" t="str">
        <f>"27-01-2024 12:00"</f>
        <v>27-01-2024 12:00</v>
      </c>
      <c r="B638" s="2524">
        <v>0.59</v>
      </c>
      <c r="C638" s="2519"/>
      <c r="D638" s="2524"/>
      <c r="E638" s="2519" t="str">
        <f>"27-03-2024 11:00"</f>
        <v>27-03-2024 11:00</v>
      </c>
      <c r="F638" s="2524">
        <v>0.28000000000000003</v>
      </c>
      <c r="G638" s="2519" t="str">
        <f>"27-04-2024 11:00"</f>
        <v>27-04-2024 11:00</v>
      </c>
      <c r="H638" s="2524">
        <v>0.43</v>
      </c>
      <c r="I638" s="2519"/>
      <c r="J638" s="2524"/>
      <c r="K638" s="2519"/>
      <c r="L638" s="2524"/>
      <c r="M638" s="2519"/>
      <c r="N638" s="2524"/>
      <c r="O638" s="2519"/>
      <c r="P638" s="2524"/>
      <c r="Q638" s="2519"/>
      <c r="R638" s="2524"/>
      <c r="S638" s="2519"/>
      <c r="T638" s="2524"/>
      <c r="U638" s="2519"/>
      <c r="V638" s="2524"/>
      <c r="W638" s="2519"/>
      <c r="X638" s="2524"/>
    </row>
    <row r="639" spans="1:24" ht="14.4">
      <c r="A639" s="2519" t="str">
        <f>"27-01-2024 13:00"</f>
        <v>27-01-2024 13:00</v>
      </c>
      <c r="B639" s="2524">
        <v>0.32</v>
      </c>
      <c r="C639" s="2519"/>
      <c r="D639" s="2524"/>
      <c r="E639" s="2519" t="str">
        <f>"27-03-2024 12:00"</f>
        <v>27-03-2024 12:00</v>
      </c>
      <c r="F639" s="2524">
        <v>0.37</v>
      </c>
      <c r="G639" s="2519" t="str">
        <f>"27-04-2024 12:00"</f>
        <v>27-04-2024 12:00</v>
      </c>
      <c r="H639" s="2524">
        <v>0.91</v>
      </c>
      <c r="I639" s="2519"/>
      <c r="J639" s="2524"/>
      <c r="K639" s="2519"/>
      <c r="L639" s="2524"/>
      <c r="M639" s="2519"/>
      <c r="N639" s="2524"/>
      <c r="O639" s="2519"/>
      <c r="P639" s="2524"/>
      <c r="Q639" s="2519"/>
      <c r="R639" s="2524"/>
      <c r="S639" s="2519"/>
      <c r="T639" s="2524"/>
      <c r="U639" s="2519"/>
      <c r="V639" s="2524"/>
      <c r="W639" s="2519"/>
      <c r="X639" s="2524"/>
    </row>
    <row r="640" spans="1:24" ht="14.4">
      <c r="A640" s="2519" t="str">
        <f>"27-01-2024 14:00"</f>
        <v>27-01-2024 14:00</v>
      </c>
      <c r="B640" s="2524">
        <v>0.47</v>
      </c>
      <c r="C640" s="2519"/>
      <c r="D640" s="2524"/>
      <c r="E640" s="2519" t="str">
        <f>"27-03-2024 13:00"</f>
        <v>27-03-2024 13:00</v>
      </c>
      <c r="F640" s="2524">
        <v>0.32</v>
      </c>
      <c r="G640" s="2519" t="str">
        <f>"27-04-2024 13:00"</f>
        <v>27-04-2024 13:00</v>
      </c>
      <c r="H640" s="2524">
        <v>0.3</v>
      </c>
      <c r="I640" s="2519"/>
      <c r="J640" s="2524"/>
      <c r="K640" s="2519"/>
      <c r="L640" s="2524"/>
      <c r="M640" s="2519"/>
      <c r="N640" s="2524"/>
      <c r="O640" s="2519"/>
      <c r="P640" s="2524"/>
      <c r="Q640" s="2519"/>
      <c r="R640" s="2524"/>
      <c r="S640" s="2519"/>
      <c r="T640" s="2524"/>
      <c r="U640" s="2519"/>
      <c r="V640" s="2524"/>
      <c r="W640" s="2519"/>
      <c r="X640" s="2524"/>
    </row>
    <row r="641" spans="1:24" ht="14.4">
      <c r="A641" s="2519" t="str">
        <f>"27-01-2024 15:00"</f>
        <v>27-01-2024 15:00</v>
      </c>
      <c r="B641" s="2524">
        <v>0.51</v>
      </c>
      <c r="C641" s="2519"/>
      <c r="D641" s="2524"/>
      <c r="E641" s="2519" t="str">
        <f>"27-03-2024 14:00"</f>
        <v>27-03-2024 14:00</v>
      </c>
      <c r="F641" s="2524">
        <v>0.31</v>
      </c>
      <c r="G641" s="2519" t="str">
        <f>"27-04-2024 14:00"</f>
        <v>27-04-2024 14:00</v>
      </c>
      <c r="H641" s="2524">
        <v>0.31</v>
      </c>
      <c r="I641" s="2519"/>
      <c r="J641" s="2524"/>
      <c r="K641" s="2519"/>
      <c r="L641" s="2524"/>
      <c r="M641" s="2519"/>
      <c r="N641" s="2524"/>
      <c r="O641" s="2519"/>
      <c r="P641" s="2524"/>
      <c r="Q641" s="2519"/>
      <c r="R641" s="2524"/>
      <c r="S641" s="2519"/>
      <c r="T641" s="2524"/>
      <c r="U641" s="2519"/>
      <c r="V641" s="2524"/>
      <c r="W641" s="2519"/>
      <c r="X641" s="2524"/>
    </row>
    <row r="642" spans="1:24" ht="14.4">
      <c r="A642" s="2519" t="str">
        <f>"27-01-2024 16:00"</f>
        <v>27-01-2024 16:00</v>
      </c>
      <c r="B642" s="2524">
        <v>0.52</v>
      </c>
      <c r="C642" s="2519"/>
      <c r="D642" s="2524"/>
      <c r="E642" s="2519" t="str">
        <f>"27-03-2024 15:00"</f>
        <v>27-03-2024 15:00</v>
      </c>
      <c r="F642" s="2524">
        <v>0.33</v>
      </c>
      <c r="G642" s="2519" t="str">
        <f>"27-04-2024 15:00"</f>
        <v>27-04-2024 15:00</v>
      </c>
      <c r="H642" s="2524">
        <v>0.3</v>
      </c>
      <c r="I642" s="2519"/>
      <c r="J642" s="2524"/>
      <c r="K642" s="2519"/>
      <c r="L642" s="2524"/>
      <c r="M642" s="2519"/>
      <c r="N642" s="2524"/>
      <c r="O642" s="2519"/>
      <c r="P642" s="2524"/>
      <c r="Q642" s="2519"/>
      <c r="R642" s="2524"/>
      <c r="S642" s="2519"/>
      <c r="T642" s="2524"/>
      <c r="U642" s="2519"/>
      <c r="V642" s="2524"/>
      <c r="W642" s="2519"/>
      <c r="X642" s="2524"/>
    </row>
    <row r="643" spans="1:24" ht="14.4">
      <c r="A643" s="2519" t="str">
        <f>"27-01-2024 17:00"</f>
        <v>27-01-2024 17:00</v>
      </c>
      <c r="B643" s="2524">
        <v>0.38</v>
      </c>
      <c r="C643" s="2519"/>
      <c r="D643" s="2524"/>
      <c r="E643" s="2519" t="str">
        <f>"27-03-2024 16:00"</f>
        <v>27-03-2024 16:00</v>
      </c>
      <c r="F643" s="2524">
        <v>0.41</v>
      </c>
      <c r="G643" s="2519" t="str">
        <f>"27-04-2024 16:00"</f>
        <v>27-04-2024 16:00</v>
      </c>
      <c r="H643" s="2524">
        <v>0.41</v>
      </c>
      <c r="I643" s="2519"/>
      <c r="J643" s="2524"/>
      <c r="K643" s="2519"/>
      <c r="L643" s="2524"/>
      <c r="M643" s="2519"/>
      <c r="N643" s="2524"/>
      <c r="O643" s="2519"/>
      <c r="P643" s="2524"/>
      <c r="Q643" s="2519"/>
      <c r="R643" s="2524"/>
      <c r="S643" s="2519"/>
      <c r="T643" s="2524"/>
      <c r="U643" s="2519"/>
      <c r="V643" s="2524"/>
      <c r="W643" s="2519"/>
      <c r="X643" s="2524"/>
    </row>
    <row r="644" spans="1:24" ht="14.4">
      <c r="A644" s="2519" t="str">
        <f>"27-01-2024 18:00"</f>
        <v>27-01-2024 18:00</v>
      </c>
      <c r="B644" s="2524">
        <v>0.71</v>
      </c>
      <c r="C644" s="2519"/>
      <c r="D644" s="2524"/>
      <c r="E644" s="2519" t="str">
        <f>"27-03-2024 17:00"</f>
        <v>27-03-2024 17:00</v>
      </c>
      <c r="F644" s="2524">
        <v>0.72</v>
      </c>
      <c r="G644" s="2519" t="str">
        <f>"27-04-2024 17:00"</f>
        <v>27-04-2024 17:00</v>
      </c>
      <c r="H644" s="2524">
        <v>0.54</v>
      </c>
      <c r="I644" s="2519"/>
      <c r="J644" s="2524"/>
      <c r="K644" s="2519"/>
      <c r="L644" s="2524"/>
      <c r="M644" s="2519"/>
      <c r="N644" s="2524"/>
      <c r="O644" s="2519"/>
      <c r="P644" s="2524"/>
      <c r="Q644" s="2519"/>
      <c r="R644" s="2524"/>
      <c r="S644" s="2519"/>
      <c r="T644" s="2524"/>
      <c r="U644" s="2519"/>
      <c r="V644" s="2524"/>
      <c r="W644" s="2519"/>
      <c r="X644" s="2524"/>
    </row>
    <row r="645" spans="1:24" ht="14.4">
      <c r="A645" s="2519" t="str">
        <f>"27-01-2024 19:00"</f>
        <v>27-01-2024 19:00</v>
      </c>
      <c r="B645" s="2524">
        <v>0.53</v>
      </c>
      <c r="C645" s="2519"/>
      <c r="D645" s="2524"/>
      <c r="E645" s="2519" t="str">
        <f>"27-03-2024 18:00"</f>
        <v>27-03-2024 18:00</v>
      </c>
      <c r="F645" s="2524">
        <v>0.44</v>
      </c>
      <c r="G645" s="2519" t="str">
        <f>"27-04-2024 18:00"</f>
        <v>27-04-2024 18:00</v>
      </c>
      <c r="H645" s="2524">
        <v>0.38</v>
      </c>
      <c r="I645" s="2519"/>
      <c r="J645" s="2524"/>
      <c r="K645" s="2519"/>
      <c r="L645" s="2524"/>
      <c r="M645" s="2519"/>
      <c r="N645" s="2524"/>
      <c r="O645" s="2519"/>
      <c r="P645" s="2524"/>
      <c r="Q645" s="2519"/>
      <c r="R645" s="2524"/>
      <c r="S645" s="2519"/>
      <c r="T645" s="2524"/>
      <c r="U645" s="2519"/>
      <c r="V645" s="2524"/>
      <c r="W645" s="2519"/>
      <c r="X645" s="2524"/>
    </row>
    <row r="646" spans="1:24" ht="14.4">
      <c r="A646" s="2519" t="str">
        <f>"27-01-2024 20:00"</f>
        <v>27-01-2024 20:00</v>
      </c>
      <c r="B646" s="2524">
        <v>0.54</v>
      </c>
      <c r="C646" s="2519"/>
      <c r="D646" s="2524"/>
      <c r="E646" s="2519" t="str">
        <f>"27-03-2024 19:00"</f>
        <v>27-03-2024 19:00</v>
      </c>
      <c r="F646" s="2524">
        <v>0.42</v>
      </c>
      <c r="G646" s="2519" t="str">
        <f>"27-04-2024 19:00"</f>
        <v>27-04-2024 19:00</v>
      </c>
      <c r="H646" s="2524">
        <v>0.36</v>
      </c>
      <c r="I646" s="2519"/>
      <c r="J646" s="2524"/>
      <c r="K646" s="2519"/>
      <c r="L646" s="2524"/>
      <c r="M646" s="2519"/>
      <c r="N646" s="2524"/>
      <c r="O646" s="2519"/>
      <c r="P646" s="2524"/>
      <c r="Q646" s="2519"/>
      <c r="R646" s="2524"/>
      <c r="S646" s="2519"/>
      <c r="T646" s="2524"/>
      <c r="U646" s="2519"/>
      <c r="V646" s="2524"/>
      <c r="W646" s="2519"/>
      <c r="X646" s="2524"/>
    </row>
    <row r="647" spans="1:24" ht="14.4">
      <c r="A647" s="2519" t="str">
        <f>"27-01-2024 21:00"</f>
        <v>27-01-2024 21:00</v>
      </c>
      <c r="B647" s="2524">
        <v>0.39</v>
      </c>
      <c r="C647" s="2519"/>
      <c r="D647" s="2524"/>
      <c r="E647" s="2519" t="str">
        <f>"27-03-2024 20:00"</f>
        <v>27-03-2024 20:00</v>
      </c>
      <c r="F647" s="2524">
        <v>0.44</v>
      </c>
      <c r="G647" s="2519" t="str">
        <f>"27-04-2024 20:00"</f>
        <v>27-04-2024 20:00</v>
      </c>
      <c r="H647" s="2524">
        <v>0.38</v>
      </c>
      <c r="I647" s="2519"/>
      <c r="J647" s="2524"/>
      <c r="K647" s="2519"/>
      <c r="L647" s="2524"/>
      <c r="M647" s="2519"/>
      <c r="N647" s="2524"/>
      <c r="O647" s="2519"/>
      <c r="P647" s="2524"/>
      <c r="Q647" s="2519"/>
      <c r="R647" s="2524"/>
      <c r="S647" s="2519"/>
      <c r="T647" s="2524"/>
      <c r="U647" s="2519"/>
      <c r="V647" s="2524"/>
      <c r="W647" s="2519"/>
      <c r="X647" s="2524"/>
    </row>
    <row r="648" spans="1:24" ht="14.4">
      <c r="A648" s="2519" t="str">
        <f>"27-01-2024 22:00"</f>
        <v>27-01-2024 22:00</v>
      </c>
      <c r="B648" s="2524">
        <v>0.34</v>
      </c>
      <c r="C648" s="2519"/>
      <c r="D648" s="2524"/>
      <c r="E648" s="2519" t="str">
        <f>"27-03-2024 21:00"</f>
        <v>27-03-2024 21:00</v>
      </c>
      <c r="F648" s="2524">
        <v>0.37</v>
      </c>
      <c r="G648" s="2519" t="str">
        <f>"27-04-2024 21:00"</f>
        <v>27-04-2024 21:00</v>
      </c>
      <c r="H648" s="2524">
        <v>0.42</v>
      </c>
      <c r="I648" s="2519"/>
      <c r="J648" s="2524"/>
      <c r="K648" s="2519"/>
      <c r="L648" s="2524"/>
      <c r="M648" s="2519"/>
      <c r="N648" s="2524"/>
      <c r="O648" s="2519"/>
      <c r="P648" s="2524"/>
      <c r="Q648" s="2519"/>
      <c r="R648" s="2524"/>
      <c r="S648" s="2519"/>
      <c r="T648" s="2524"/>
      <c r="U648" s="2519"/>
      <c r="V648" s="2524"/>
      <c r="W648" s="2519"/>
      <c r="X648" s="2524"/>
    </row>
    <row r="649" spans="1:24" ht="14.4">
      <c r="A649" s="2519" t="str">
        <f>"27-01-2024 23:00"</f>
        <v>27-01-2024 23:00</v>
      </c>
      <c r="B649" s="2524">
        <v>0.49</v>
      </c>
      <c r="C649" s="2519"/>
      <c r="D649" s="2524"/>
      <c r="E649" s="2519" t="str">
        <f>"27-03-2024 22:00"</f>
        <v>27-03-2024 22:00</v>
      </c>
      <c r="F649" s="2524">
        <v>0.18</v>
      </c>
      <c r="G649" s="2519" t="str">
        <f>"27-04-2024 22:00"</f>
        <v>27-04-2024 22:00</v>
      </c>
      <c r="H649" s="2524">
        <v>0.27</v>
      </c>
      <c r="I649" s="2519"/>
      <c r="J649" s="2524"/>
      <c r="K649" s="2519"/>
      <c r="L649" s="2524"/>
      <c r="M649" s="2519"/>
      <c r="N649" s="2524"/>
      <c r="O649" s="2519"/>
      <c r="P649" s="2524"/>
      <c r="Q649" s="2519"/>
      <c r="R649" s="2524"/>
      <c r="S649" s="2519"/>
      <c r="T649" s="2524"/>
      <c r="U649" s="2519"/>
      <c r="V649" s="2524"/>
      <c r="W649" s="2519"/>
      <c r="X649" s="2524"/>
    </row>
    <row r="650" spans="1:24" s="2510" customFormat="1" ht="14.4">
      <c r="A650" s="2532" t="str">
        <f>"28-01-2024 00:00"</f>
        <v>28-01-2024 00:00</v>
      </c>
      <c r="B650" s="2533">
        <v>0.23</v>
      </c>
      <c r="C650" s="2532"/>
      <c r="D650" s="2533"/>
      <c r="E650" s="2532" t="str">
        <f>"27-03-2024 23:00"</f>
        <v>27-03-2024 23:00</v>
      </c>
      <c r="F650" s="2533">
        <v>0.22</v>
      </c>
      <c r="G650" s="2532" t="str">
        <f>"27-04-2024 23:00"</f>
        <v>27-04-2024 23:00</v>
      </c>
      <c r="H650" s="2533">
        <v>0.18</v>
      </c>
      <c r="I650" s="2532"/>
      <c r="J650" s="2533"/>
      <c r="K650" s="2532"/>
      <c r="L650" s="2533"/>
      <c r="M650" s="2532"/>
      <c r="N650" s="2533"/>
      <c r="O650" s="2532"/>
      <c r="P650" s="2533"/>
      <c r="Q650" s="2532"/>
      <c r="R650" s="2533"/>
      <c r="S650" s="2532"/>
      <c r="T650" s="2533"/>
      <c r="U650" s="2532"/>
      <c r="V650" s="2533"/>
      <c r="W650" s="2532"/>
      <c r="X650" s="2533"/>
    </row>
    <row r="651" spans="1:24" ht="14.4">
      <c r="A651" s="2528" t="str">
        <f>"28-01-2024 01:00"</f>
        <v>28-01-2024 01:00</v>
      </c>
      <c r="B651" s="2530">
        <v>0.22</v>
      </c>
      <c r="C651" s="2528"/>
      <c r="D651" s="2530"/>
      <c r="E651" s="2528" t="str">
        <f>"28-03-2024 00:00"</f>
        <v>28-03-2024 00:00</v>
      </c>
      <c r="F651" s="2530">
        <v>0.15</v>
      </c>
      <c r="G651" s="2528" t="str">
        <f>"28-04-2024 00:00"</f>
        <v>28-04-2024 00:00</v>
      </c>
      <c r="H651" s="2530">
        <v>0.21</v>
      </c>
      <c r="I651" s="2528"/>
      <c r="J651" s="2530"/>
      <c r="K651" s="2528"/>
      <c r="L651" s="2530"/>
      <c r="M651" s="2528"/>
      <c r="N651" s="2530"/>
      <c r="O651" s="2528"/>
      <c r="P651" s="2530"/>
      <c r="Q651" s="2528"/>
      <c r="R651" s="2530"/>
      <c r="S651" s="2528"/>
      <c r="T651" s="2530"/>
      <c r="U651" s="2528"/>
      <c r="V651" s="2530"/>
      <c r="W651" s="2528"/>
      <c r="X651" s="2530"/>
    </row>
    <row r="652" spans="1:24" ht="14.4">
      <c r="A652" s="2518" t="str">
        <f>"28-01-2024 02:00"</f>
        <v>28-01-2024 02:00</v>
      </c>
      <c r="B652" s="2524">
        <v>0.21</v>
      </c>
      <c r="C652" s="2518"/>
      <c r="D652" s="2524"/>
      <c r="E652" s="2518" t="str">
        <f>"28-03-2024 01:00"</f>
        <v>28-03-2024 01:00</v>
      </c>
      <c r="F652" s="2524">
        <v>0.19</v>
      </c>
      <c r="G652" s="2518" t="str">
        <f>"28-04-2024 01:00"</f>
        <v>28-04-2024 01:00</v>
      </c>
      <c r="H652" s="2524">
        <v>0.12</v>
      </c>
      <c r="I652" s="2518"/>
      <c r="J652" s="2524"/>
      <c r="K652" s="2518"/>
      <c r="L652" s="2524"/>
      <c r="M652" s="2518"/>
      <c r="N652" s="2524"/>
      <c r="O652" s="2518"/>
      <c r="P652" s="2524"/>
      <c r="Q652" s="2518"/>
      <c r="R652" s="2524"/>
      <c r="S652" s="2518"/>
      <c r="T652" s="2524"/>
      <c r="U652" s="2518"/>
      <c r="V652" s="2524"/>
      <c r="W652" s="2518"/>
      <c r="X652" s="2524"/>
    </row>
    <row r="653" spans="1:24" ht="14.4">
      <c r="A653" s="2518" t="str">
        <f>"28-01-2024 03:00"</f>
        <v>28-01-2024 03:00</v>
      </c>
      <c r="B653" s="2524">
        <v>0.2</v>
      </c>
      <c r="C653" s="2518"/>
      <c r="D653" s="2524"/>
      <c r="E653" s="2518" t="str">
        <f>"28-03-2024 02:00"</f>
        <v>28-03-2024 02:00</v>
      </c>
      <c r="F653" s="2524">
        <v>0.19</v>
      </c>
      <c r="G653" s="2518" t="str">
        <f>"28-04-2024 02:00"</f>
        <v>28-04-2024 02:00</v>
      </c>
      <c r="H653" s="2524">
        <v>0.22</v>
      </c>
      <c r="I653" s="2518"/>
      <c r="J653" s="2524"/>
      <c r="K653" s="2518"/>
      <c r="L653" s="2524"/>
      <c r="M653" s="2518"/>
      <c r="N653" s="2524"/>
      <c r="O653" s="2518"/>
      <c r="P653" s="2524"/>
      <c r="Q653" s="2518"/>
      <c r="R653" s="2524"/>
      <c r="S653" s="2518"/>
      <c r="T653" s="2524"/>
      <c r="U653" s="2518"/>
      <c r="V653" s="2524"/>
      <c r="W653" s="2518"/>
      <c r="X653" s="2524"/>
    </row>
    <row r="654" spans="1:24" ht="14.4">
      <c r="A654" s="2518" t="str">
        <f>"28-01-2024 04:00"</f>
        <v>28-01-2024 04:00</v>
      </c>
      <c r="B654" s="2524">
        <v>0.13</v>
      </c>
      <c r="C654" s="2518"/>
      <c r="D654" s="2524"/>
      <c r="E654" s="2518" t="str">
        <f>"28-03-2024 03:00"</f>
        <v>28-03-2024 03:00</v>
      </c>
      <c r="F654" s="2524">
        <v>0.12</v>
      </c>
      <c r="G654" s="2518" t="str">
        <f>"28-04-2024 03:00"</f>
        <v>28-04-2024 03:00</v>
      </c>
      <c r="H654" s="2524">
        <v>0.17</v>
      </c>
      <c r="I654" s="2518"/>
      <c r="J654" s="2524"/>
      <c r="K654" s="2518"/>
      <c r="L654" s="2524"/>
      <c r="M654" s="2518"/>
      <c r="N654" s="2524"/>
      <c r="O654" s="2518"/>
      <c r="P654" s="2524"/>
      <c r="Q654" s="2518"/>
      <c r="R654" s="2524"/>
      <c r="S654" s="2518"/>
      <c r="T654" s="2524"/>
      <c r="U654" s="2518"/>
      <c r="V654" s="2524"/>
      <c r="W654" s="2518"/>
      <c r="X654" s="2524"/>
    </row>
    <row r="655" spans="1:24" ht="14.4">
      <c r="A655" s="2518" t="str">
        <f>"28-01-2024 05:00"</f>
        <v>28-01-2024 05:00</v>
      </c>
      <c r="B655" s="2524">
        <v>0.11</v>
      </c>
      <c r="C655" s="2518"/>
      <c r="D655" s="2524"/>
      <c r="E655" s="2518" t="str">
        <f>"28-03-2024 04:00"</f>
        <v>28-03-2024 04:00</v>
      </c>
      <c r="F655" s="2524">
        <v>0.21</v>
      </c>
      <c r="G655" s="2518" t="str">
        <f>"28-04-2024 04:00"</f>
        <v>28-04-2024 04:00</v>
      </c>
      <c r="H655" s="2524">
        <v>0.11</v>
      </c>
      <c r="I655" s="2518"/>
      <c r="J655" s="2524"/>
      <c r="K655" s="2518"/>
      <c r="L655" s="2524"/>
      <c r="M655" s="2518"/>
      <c r="N655" s="2524"/>
      <c r="O655" s="2518"/>
      <c r="P655" s="2524"/>
      <c r="Q655" s="2518"/>
      <c r="R655" s="2524"/>
      <c r="S655" s="2518"/>
      <c r="T655" s="2524"/>
      <c r="U655" s="2518"/>
      <c r="V655" s="2524"/>
      <c r="W655" s="2518"/>
      <c r="X655" s="2524"/>
    </row>
    <row r="656" spans="1:24" ht="14.4">
      <c r="A656" s="2518" t="str">
        <f>"28-01-2024 06:00"</f>
        <v>28-01-2024 06:00</v>
      </c>
      <c r="B656" s="2524">
        <v>0.23</v>
      </c>
      <c r="C656" s="2518"/>
      <c r="D656" s="2524"/>
      <c r="E656" s="2518" t="str">
        <f>"28-03-2024 05:00"</f>
        <v>28-03-2024 05:00</v>
      </c>
      <c r="F656" s="2524">
        <v>0.17</v>
      </c>
      <c r="G656" s="2518" t="str">
        <f>"28-04-2024 05:00"</f>
        <v>28-04-2024 05:00</v>
      </c>
      <c r="H656" s="2524">
        <v>0.25</v>
      </c>
      <c r="I656" s="2518"/>
      <c r="J656" s="2524"/>
      <c r="K656" s="2518"/>
      <c r="L656" s="2524"/>
      <c r="M656" s="2518"/>
      <c r="N656" s="2524"/>
      <c r="O656" s="2518"/>
      <c r="P656" s="2524"/>
      <c r="Q656" s="2518"/>
      <c r="R656" s="2524"/>
      <c r="S656" s="2518"/>
      <c r="T656" s="2524"/>
      <c r="U656" s="2518"/>
      <c r="V656" s="2524"/>
      <c r="W656" s="2518"/>
      <c r="X656" s="2524"/>
    </row>
    <row r="657" spans="1:24" ht="14.4">
      <c r="A657" s="2518" t="str">
        <f>"28-01-2024 07:00"</f>
        <v>28-01-2024 07:00</v>
      </c>
      <c r="B657" s="2524">
        <v>0.18</v>
      </c>
      <c r="C657" s="2518"/>
      <c r="D657" s="2524"/>
      <c r="E657" s="2518" t="str">
        <f>"28-03-2024 06:00"</f>
        <v>28-03-2024 06:00</v>
      </c>
      <c r="F657" s="2524">
        <v>0.18</v>
      </c>
      <c r="G657" s="2518" t="str">
        <f>"28-04-2024 06:00"</f>
        <v>28-04-2024 06:00</v>
      </c>
      <c r="H657" s="2524">
        <v>0.13</v>
      </c>
      <c r="I657" s="2518"/>
      <c r="J657" s="2524"/>
      <c r="K657" s="2518"/>
      <c r="L657" s="2524"/>
      <c r="M657" s="2518"/>
      <c r="N657" s="2524"/>
      <c r="O657" s="2518"/>
      <c r="P657" s="2524"/>
      <c r="Q657" s="2518"/>
      <c r="R657" s="2524"/>
      <c r="S657" s="2518"/>
      <c r="T657" s="2524"/>
      <c r="U657" s="2518"/>
      <c r="V657" s="2524"/>
      <c r="W657" s="2518"/>
      <c r="X657" s="2524"/>
    </row>
    <row r="658" spans="1:24" ht="14.4">
      <c r="A658" s="2518" t="str">
        <f>"28-01-2024 08:00"</f>
        <v>28-01-2024 08:00</v>
      </c>
      <c r="B658" s="2524">
        <v>0.24</v>
      </c>
      <c r="C658" s="2518"/>
      <c r="D658" s="2524"/>
      <c r="E658" s="2518" t="str">
        <f>"28-03-2024 07:00"</f>
        <v>28-03-2024 07:00</v>
      </c>
      <c r="F658" s="2524">
        <v>0.39</v>
      </c>
      <c r="G658" s="2518" t="str">
        <f>"28-04-2024 07:00"</f>
        <v>28-04-2024 07:00</v>
      </c>
      <c r="H658" s="2524">
        <v>0.26</v>
      </c>
      <c r="I658" s="2518"/>
      <c r="J658" s="2524"/>
      <c r="K658" s="2518"/>
      <c r="L658" s="2524"/>
      <c r="M658" s="2518"/>
      <c r="N658" s="2524"/>
      <c r="O658" s="2518"/>
      <c r="P658" s="2524"/>
      <c r="Q658" s="2518"/>
      <c r="R658" s="2524"/>
      <c r="S658" s="2518"/>
      <c r="T658" s="2524"/>
      <c r="U658" s="2518"/>
      <c r="V658" s="2524"/>
      <c r="W658" s="2518"/>
      <c r="X658" s="2524"/>
    </row>
    <row r="659" spans="1:24" ht="14.4">
      <c r="A659" s="2518" t="str">
        <f>"28-01-2024 09:00"</f>
        <v>28-01-2024 09:00</v>
      </c>
      <c r="B659" s="2524">
        <v>0.59</v>
      </c>
      <c r="C659" s="2518"/>
      <c r="D659" s="2524"/>
      <c r="E659" s="2518" t="str">
        <f>"28-03-2024 08:00"</f>
        <v>28-03-2024 08:00</v>
      </c>
      <c r="F659" s="2524">
        <v>0.28999999999999998</v>
      </c>
      <c r="G659" s="2518" t="str">
        <f>"28-04-2024 08:00"</f>
        <v>28-04-2024 08:00</v>
      </c>
      <c r="H659" s="2524">
        <v>0.36</v>
      </c>
      <c r="I659" s="2518"/>
      <c r="J659" s="2524"/>
      <c r="K659" s="2518"/>
      <c r="L659" s="2524"/>
      <c r="M659" s="2518"/>
      <c r="N659" s="2524"/>
      <c r="O659" s="2518"/>
      <c r="P659" s="2524"/>
      <c r="Q659" s="2518"/>
      <c r="R659" s="2524"/>
      <c r="S659" s="2518"/>
      <c r="T659" s="2524"/>
      <c r="U659" s="2518"/>
      <c r="V659" s="2524"/>
      <c r="W659" s="2518"/>
      <c r="X659" s="2524"/>
    </row>
    <row r="660" spans="1:24" ht="14.4">
      <c r="A660" s="2518" t="str">
        <f>"28-01-2024 10:00"</f>
        <v>28-01-2024 10:00</v>
      </c>
      <c r="B660" s="2524">
        <v>0.27</v>
      </c>
      <c r="C660" s="2518"/>
      <c r="D660" s="2524"/>
      <c r="E660" s="2518" t="str">
        <f>"28-03-2024 09:00"</f>
        <v>28-03-2024 09:00</v>
      </c>
      <c r="F660" s="2524">
        <v>0.26</v>
      </c>
      <c r="G660" s="2518" t="str">
        <f>"28-04-2024 09:00"</f>
        <v>28-04-2024 09:00</v>
      </c>
      <c r="H660" s="2524">
        <v>0.27</v>
      </c>
      <c r="I660" s="2518"/>
      <c r="J660" s="2524"/>
      <c r="K660" s="2518"/>
      <c r="L660" s="2524"/>
      <c r="M660" s="2518"/>
      <c r="N660" s="2524"/>
      <c r="O660" s="2518"/>
      <c r="P660" s="2524"/>
      <c r="Q660" s="2518"/>
      <c r="R660" s="2524"/>
      <c r="S660" s="2518"/>
      <c r="T660" s="2524"/>
      <c r="U660" s="2518"/>
      <c r="V660" s="2524"/>
      <c r="W660" s="2518"/>
      <c r="X660" s="2524"/>
    </row>
    <row r="661" spans="1:24" ht="14.4">
      <c r="A661" s="2518" t="str">
        <f>"28-01-2024 11:00"</f>
        <v>28-01-2024 11:00</v>
      </c>
      <c r="B661" s="2524">
        <v>0.4</v>
      </c>
      <c r="C661" s="2518"/>
      <c r="D661" s="2524"/>
      <c r="E661" s="2518" t="str">
        <f>"28-03-2024 10:00"</f>
        <v>28-03-2024 10:00</v>
      </c>
      <c r="F661" s="2524">
        <v>0.35</v>
      </c>
      <c r="G661" s="2518" t="str">
        <f>"28-04-2024 10:00"</f>
        <v>28-04-2024 10:00</v>
      </c>
      <c r="H661" s="2524">
        <v>0.37</v>
      </c>
      <c r="I661" s="2518"/>
      <c r="J661" s="2524"/>
      <c r="K661" s="2518"/>
      <c r="L661" s="2524"/>
      <c r="M661" s="2518"/>
      <c r="N661" s="2524"/>
      <c r="O661" s="2518"/>
      <c r="P661" s="2524"/>
      <c r="Q661" s="2518"/>
      <c r="R661" s="2524"/>
      <c r="S661" s="2518"/>
      <c r="T661" s="2524"/>
      <c r="U661" s="2518"/>
      <c r="V661" s="2524"/>
      <c r="W661" s="2518"/>
      <c r="X661" s="2524"/>
    </row>
    <row r="662" spans="1:24" ht="14.4">
      <c r="A662" s="2518" t="str">
        <f>"28-01-2024 12:00"</f>
        <v>28-01-2024 12:00</v>
      </c>
      <c r="B662" s="2524">
        <v>0.48</v>
      </c>
      <c r="C662" s="2518"/>
      <c r="D662" s="2524"/>
      <c r="E662" s="2518" t="str">
        <f>"28-03-2024 11:00"</f>
        <v>28-03-2024 11:00</v>
      </c>
      <c r="F662" s="2524">
        <v>0.37</v>
      </c>
      <c r="G662" s="2518" t="str">
        <f>"28-04-2024 11:00"</f>
        <v>28-04-2024 11:00</v>
      </c>
      <c r="H662" s="2524">
        <v>0.48</v>
      </c>
      <c r="I662" s="2518"/>
      <c r="J662" s="2524"/>
      <c r="K662" s="2518"/>
      <c r="L662" s="2524"/>
      <c r="M662" s="2518"/>
      <c r="N662" s="2524"/>
      <c r="O662" s="2518"/>
      <c r="P662" s="2524"/>
      <c r="Q662" s="2518"/>
      <c r="R662" s="2524"/>
      <c r="S662" s="2518"/>
      <c r="T662" s="2524"/>
      <c r="U662" s="2518"/>
      <c r="V662" s="2524"/>
      <c r="W662" s="2518"/>
      <c r="X662" s="2524"/>
    </row>
    <row r="663" spans="1:24" ht="14.4">
      <c r="A663" s="2518" t="str">
        <f>"28-01-2024 13:00"</f>
        <v>28-01-2024 13:00</v>
      </c>
      <c r="B663" s="2524">
        <v>0.4</v>
      </c>
      <c r="C663" s="2518"/>
      <c r="D663" s="2524"/>
      <c r="E663" s="2518" t="str">
        <f>"28-03-2024 12:00"</f>
        <v>28-03-2024 12:00</v>
      </c>
      <c r="F663" s="2524">
        <v>0.34</v>
      </c>
      <c r="G663" s="2518" t="str">
        <f>"28-04-2024 12:00"</f>
        <v>28-04-2024 12:00</v>
      </c>
      <c r="H663" s="2524">
        <v>0.35</v>
      </c>
      <c r="I663" s="2518"/>
      <c r="J663" s="2524"/>
      <c r="K663" s="2518"/>
      <c r="L663" s="2524"/>
      <c r="M663" s="2518"/>
      <c r="N663" s="2524"/>
      <c r="O663" s="2518"/>
      <c r="P663" s="2524"/>
      <c r="Q663" s="2518"/>
      <c r="R663" s="2524"/>
      <c r="S663" s="2518"/>
      <c r="T663" s="2524"/>
      <c r="U663" s="2518"/>
      <c r="V663" s="2524"/>
      <c r="W663" s="2518"/>
      <c r="X663" s="2524"/>
    </row>
    <row r="664" spans="1:24" ht="14.4">
      <c r="A664" s="2518" t="str">
        <f>"28-01-2024 14:00"</f>
        <v>28-01-2024 14:00</v>
      </c>
      <c r="B664" s="2524">
        <v>0.37</v>
      </c>
      <c r="C664" s="2518"/>
      <c r="D664" s="2524"/>
      <c r="E664" s="2518" t="str">
        <f>"28-03-2024 13:00"</f>
        <v>28-03-2024 13:00</v>
      </c>
      <c r="F664" s="2524">
        <v>0.49</v>
      </c>
      <c r="G664" s="2518" t="str">
        <f>"28-04-2024 13:00"</f>
        <v>28-04-2024 13:00</v>
      </c>
      <c r="H664" s="2524">
        <v>0.93</v>
      </c>
      <c r="I664" s="2518"/>
      <c r="J664" s="2524"/>
      <c r="K664" s="2518"/>
      <c r="L664" s="2524"/>
      <c r="M664" s="2518"/>
      <c r="N664" s="2524"/>
      <c r="O664" s="2518"/>
      <c r="P664" s="2524"/>
      <c r="Q664" s="2518"/>
      <c r="R664" s="2524"/>
      <c r="S664" s="2518"/>
      <c r="T664" s="2524"/>
      <c r="U664" s="2518"/>
      <c r="V664" s="2524"/>
      <c r="W664" s="2518"/>
      <c r="X664" s="2524"/>
    </row>
    <row r="665" spans="1:24" ht="14.4">
      <c r="A665" s="2518" t="str">
        <f>"28-01-2024 15:00"</f>
        <v>28-01-2024 15:00</v>
      </c>
      <c r="B665" s="2524">
        <v>0.39</v>
      </c>
      <c r="C665" s="2518"/>
      <c r="D665" s="2524"/>
      <c r="E665" s="2518" t="str">
        <f>"28-03-2024 14:00"</f>
        <v>28-03-2024 14:00</v>
      </c>
      <c r="F665" s="2524">
        <v>0.3</v>
      </c>
      <c r="G665" s="2518" t="str">
        <f>"28-04-2024 14:00"</f>
        <v>28-04-2024 14:00</v>
      </c>
      <c r="H665" s="2524">
        <v>0.36</v>
      </c>
      <c r="I665" s="2518"/>
      <c r="J665" s="2524"/>
      <c r="K665" s="2518"/>
      <c r="L665" s="2524"/>
      <c r="M665" s="2518"/>
      <c r="N665" s="2524"/>
      <c r="O665" s="2518"/>
      <c r="P665" s="2524"/>
      <c r="Q665" s="2518"/>
      <c r="R665" s="2524"/>
      <c r="S665" s="2518"/>
      <c r="T665" s="2524"/>
      <c r="U665" s="2518"/>
      <c r="V665" s="2524"/>
      <c r="W665" s="2518"/>
      <c r="X665" s="2524"/>
    </row>
    <row r="666" spans="1:24" ht="14.4">
      <c r="A666" s="2518" t="str">
        <f>"28-01-2024 16:00"</f>
        <v>28-01-2024 16:00</v>
      </c>
      <c r="B666" s="2524">
        <v>0.63</v>
      </c>
      <c r="C666" s="2518"/>
      <c r="D666" s="2524"/>
      <c r="E666" s="2518" t="str">
        <f>"28-03-2024 15:00"</f>
        <v>28-03-2024 15:00</v>
      </c>
      <c r="F666" s="2524">
        <v>0.32</v>
      </c>
      <c r="G666" s="2518" t="str">
        <f>"28-04-2024 15:00"</f>
        <v>28-04-2024 15:00</v>
      </c>
      <c r="H666" s="2524">
        <v>0.4</v>
      </c>
      <c r="I666" s="2518"/>
      <c r="J666" s="2524"/>
      <c r="K666" s="2518"/>
      <c r="L666" s="2524"/>
      <c r="M666" s="2518"/>
      <c r="N666" s="2524"/>
      <c r="O666" s="2518"/>
      <c r="P666" s="2524"/>
      <c r="Q666" s="2518"/>
      <c r="R666" s="2524"/>
      <c r="S666" s="2518"/>
      <c r="T666" s="2524"/>
      <c r="U666" s="2518"/>
      <c r="V666" s="2524"/>
      <c r="W666" s="2518"/>
      <c r="X666" s="2524"/>
    </row>
    <row r="667" spans="1:24" ht="14.4">
      <c r="A667" s="2518" t="str">
        <f>"28-01-2024 17:00"</f>
        <v>28-01-2024 17:00</v>
      </c>
      <c r="B667" s="2524">
        <v>0.39</v>
      </c>
      <c r="C667" s="2518"/>
      <c r="D667" s="2524"/>
      <c r="E667" s="2518" t="str">
        <f>"28-03-2024 16:00"</f>
        <v>28-03-2024 16:00</v>
      </c>
      <c r="F667" s="2524">
        <v>0.38</v>
      </c>
      <c r="G667" s="2518" t="str">
        <f>"28-04-2024 16:00"</f>
        <v>28-04-2024 16:00</v>
      </c>
      <c r="H667" s="2524">
        <v>1.41</v>
      </c>
      <c r="I667" s="2518"/>
      <c r="J667" s="2524"/>
      <c r="K667" s="2518"/>
      <c r="L667" s="2524"/>
      <c r="M667" s="2518"/>
      <c r="N667" s="2524"/>
      <c r="O667" s="2518"/>
      <c r="P667" s="2524"/>
      <c r="Q667" s="2518"/>
      <c r="R667" s="2524"/>
      <c r="S667" s="2518"/>
      <c r="T667" s="2524"/>
      <c r="U667" s="2518"/>
      <c r="V667" s="2524"/>
      <c r="W667" s="2518"/>
      <c r="X667" s="2524"/>
    </row>
    <row r="668" spans="1:24" ht="14.4">
      <c r="A668" s="2518" t="str">
        <f>"28-01-2024 18:00"</f>
        <v>28-01-2024 18:00</v>
      </c>
      <c r="B668" s="2524">
        <v>0.54</v>
      </c>
      <c r="C668" s="2518"/>
      <c r="D668" s="2524"/>
      <c r="E668" s="2518" t="str">
        <f>"28-03-2024 17:00"</f>
        <v>28-03-2024 17:00</v>
      </c>
      <c r="F668" s="2524">
        <v>0.62</v>
      </c>
      <c r="G668" s="2518" t="str">
        <f>"28-04-2024 17:00"</f>
        <v>28-04-2024 17:00</v>
      </c>
      <c r="H668" s="2524">
        <v>1.39</v>
      </c>
      <c r="I668" s="2518"/>
      <c r="J668" s="2524"/>
      <c r="K668" s="2518"/>
      <c r="L668" s="2524"/>
      <c r="M668" s="2518"/>
      <c r="N668" s="2524"/>
      <c r="O668" s="2518"/>
      <c r="P668" s="2524"/>
      <c r="Q668" s="2518"/>
      <c r="R668" s="2524"/>
      <c r="S668" s="2518"/>
      <c r="T668" s="2524"/>
      <c r="U668" s="2518"/>
      <c r="V668" s="2524"/>
      <c r="W668" s="2518"/>
      <c r="X668" s="2524"/>
    </row>
    <row r="669" spans="1:24" ht="14.4">
      <c r="A669" s="2518" t="str">
        <f>"28-01-2024 19:00"</f>
        <v>28-01-2024 19:00</v>
      </c>
      <c r="B669" s="2524">
        <v>0.65</v>
      </c>
      <c r="C669" s="2518"/>
      <c r="D669" s="2524"/>
      <c r="E669" s="2518" t="str">
        <f>"28-03-2024 18:00"</f>
        <v>28-03-2024 18:00</v>
      </c>
      <c r="F669" s="2524">
        <v>0.38</v>
      </c>
      <c r="G669" s="2518" t="str">
        <f>"28-04-2024 18:00"</f>
        <v>28-04-2024 18:00</v>
      </c>
      <c r="H669" s="2524">
        <v>0.39</v>
      </c>
      <c r="I669" s="2518"/>
      <c r="J669" s="2524"/>
      <c r="K669" s="2518"/>
      <c r="L669" s="2524"/>
      <c r="M669" s="2518"/>
      <c r="N669" s="2524"/>
      <c r="O669" s="2518"/>
      <c r="P669" s="2524"/>
      <c r="Q669" s="2518"/>
      <c r="R669" s="2524"/>
      <c r="S669" s="2518"/>
      <c r="T669" s="2524"/>
      <c r="U669" s="2518"/>
      <c r="V669" s="2524"/>
      <c r="W669" s="2518"/>
      <c r="X669" s="2524"/>
    </row>
    <row r="670" spans="1:24" ht="14.4">
      <c r="A670" s="2518" t="str">
        <f>"28-01-2024 20:00"</f>
        <v>28-01-2024 20:00</v>
      </c>
      <c r="B670" s="2524">
        <v>0.38</v>
      </c>
      <c r="C670" s="2518"/>
      <c r="D670" s="2524"/>
      <c r="E670" s="2518" t="str">
        <f>"28-03-2024 19:00"</f>
        <v>28-03-2024 19:00</v>
      </c>
      <c r="F670" s="2524">
        <v>0.42</v>
      </c>
      <c r="G670" s="2518" t="str">
        <f>"28-04-2024 19:00"</f>
        <v>28-04-2024 19:00</v>
      </c>
      <c r="H670" s="2524">
        <v>0.41</v>
      </c>
      <c r="I670" s="2518"/>
      <c r="J670" s="2524"/>
      <c r="K670" s="2518"/>
      <c r="L670" s="2524"/>
      <c r="M670" s="2518"/>
      <c r="N670" s="2524"/>
      <c r="O670" s="2518"/>
      <c r="P670" s="2524"/>
      <c r="Q670" s="2518"/>
      <c r="R670" s="2524"/>
      <c r="S670" s="2518"/>
      <c r="T670" s="2524"/>
      <c r="U670" s="2518"/>
      <c r="V670" s="2524"/>
      <c r="W670" s="2518"/>
      <c r="X670" s="2524"/>
    </row>
    <row r="671" spans="1:24" ht="14.4">
      <c r="A671" s="2518" t="str">
        <f>"28-01-2024 21:00"</f>
        <v>28-01-2024 21:00</v>
      </c>
      <c r="B671" s="2524">
        <v>0.34</v>
      </c>
      <c r="C671" s="2518"/>
      <c r="D671" s="2524"/>
      <c r="E671" s="2518" t="str">
        <f>"28-03-2024 20:00"</f>
        <v>28-03-2024 20:00</v>
      </c>
      <c r="F671" s="2524">
        <v>0.45</v>
      </c>
      <c r="G671" s="2518" t="str">
        <f>"28-04-2024 20:00"</f>
        <v>28-04-2024 20:00</v>
      </c>
      <c r="H671" s="2524">
        <v>0.42</v>
      </c>
      <c r="I671" s="2518"/>
      <c r="J671" s="2524"/>
      <c r="K671" s="2518"/>
      <c r="L671" s="2524"/>
      <c r="M671" s="2518"/>
      <c r="N671" s="2524"/>
      <c r="O671" s="2518"/>
      <c r="P671" s="2524"/>
      <c r="Q671" s="2518"/>
      <c r="R671" s="2524"/>
      <c r="S671" s="2518"/>
      <c r="T671" s="2524"/>
      <c r="U671" s="2518"/>
      <c r="V671" s="2524"/>
      <c r="W671" s="2518"/>
      <c r="X671" s="2524"/>
    </row>
    <row r="672" spans="1:24" ht="14.4">
      <c r="A672" s="2518" t="str">
        <f>"28-01-2024 22:00"</f>
        <v>28-01-2024 22:00</v>
      </c>
      <c r="B672" s="2524">
        <v>0.39</v>
      </c>
      <c r="C672" s="2518"/>
      <c r="D672" s="2524"/>
      <c r="E672" s="2518" t="str">
        <f>"28-03-2024 21:00"</f>
        <v>28-03-2024 21:00</v>
      </c>
      <c r="F672" s="2524">
        <v>0.48</v>
      </c>
      <c r="G672" s="2518" t="str">
        <f>"28-04-2024 21:00"</f>
        <v>28-04-2024 21:00</v>
      </c>
      <c r="H672" s="2524">
        <v>0.39</v>
      </c>
      <c r="I672" s="2518"/>
      <c r="J672" s="2524"/>
      <c r="K672" s="2518"/>
      <c r="L672" s="2524"/>
      <c r="M672" s="2518"/>
      <c r="N672" s="2524"/>
      <c r="O672" s="2518"/>
      <c r="P672" s="2524"/>
      <c r="Q672" s="2518"/>
      <c r="R672" s="2524"/>
      <c r="S672" s="2518"/>
      <c r="T672" s="2524"/>
      <c r="U672" s="2518"/>
      <c r="V672" s="2524"/>
      <c r="W672" s="2518"/>
      <c r="X672" s="2524"/>
    </row>
    <row r="673" spans="1:24" ht="14.4">
      <c r="A673" s="2518" t="str">
        <f>"28-01-2024 23:00"</f>
        <v>28-01-2024 23:00</v>
      </c>
      <c r="B673" s="2524">
        <v>0.33</v>
      </c>
      <c r="C673" s="2518"/>
      <c r="D673" s="2524"/>
      <c r="E673" s="2518" t="str">
        <f>"28-03-2024 22:00"</f>
        <v>28-03-2024 22:00</v>
      </c>
      <c r="F673" s="2524">
        <v>0.38</v>
      </c>
      <c r="G673" s="2518" t="str">
        <f>"28-04-2024 22:00"</f>
        <v>28-04-2024 22:00</v>
      </c>
      <c r="H673" s="2524">
        <v>0.27</v>
      </c>
      <c r="I673" s="2518"/>
      <c r="J673" s="2524"/>
      <c r="K673" s="2518"/>
      <c r="L673" s="2524"/>
      <c r="M673" s="2518"/>
      <c r="N673" s="2524"/>
      <c r="O673" s="2518"/>
      <c r="P673" s="2524"/>
      <c r="Q673" s="2518"/>
      <c r="R673" s="2524"/>
      <c r="S673" s="2518"/>
      <c r="T673" s="2524"/>
      <c r="U673" s="2518"/>
      <c r="V673" s="2524"/>
      <c r="W673" s="2518"/>
      <c r="X673" s="2524"/>
    </row>
    <row r="674" spans="1:24" s="2506" customFormat="1" ht="14.4">
      <c r="A674" s="2529" t="str">
        <f>"29-01-2024 00:00"</f>
        <v>29-01-2024 00:00</v>
      </c>
      <c r="B674" s="2531">
        <v>0.12</v>
      </c>
      <c r="C674" s="2529"/>
      <c r="D674" s="2531"/>
      <c r="E674" s="2529" t="str">
        <f>"28-03-2024 23:00"</f>
        <v>28-03-2024 23:00</v>
      </c>
      <c r="F674" s="2531">
        <v>0.16</v>
      </c>
      <c r="G674" s="2529" t="str">
        <f>"28-04-2024 23:00"</f>
        <v>28-04-2024 23:00</v>
      </c>
      <c r="H674" s="2531">
        <v>0.24</v>
      </c>
      <c r="I674" s="2529"/>
      <c r="J674" s="2531"/>
      <c r="K674" s="2529"/>
      <c r="L674" s="2531"/>
      <c r="M674" s="2529"/>
      <c r="N674" s="2531"/>
      <c r="O674" s="2529"/>
      <c r="P674" s="2531"/>
      <c r="Q674" s="2529"/>
      <c r="R674" s="2531"/>
      <c r="S674" s="2529"/>
      <c r="T674" s="2531"/>
      <c r="U674" s="2529"/>
      <c r="V674" s="2531"/>
      <c r="W674" s="2529"/>
      <c r="X674" s="2531"/>
    </row>
    <row r="675" spans="1:24" ht="14.4">
      <c r="A675" s="2522" t="str">
        <f>"29-01-2024 01:00"</f>
        <v>29-01-2024 01:00</v>
      </c>
      <c r="B675" s="2530">
        <v>0.15</v>
      </c>
      <c r="C675" s="2522"/>
      <c r="D675" s="2530"/>
      <c r="E675" s="2522" t="str">
        <f>"29-03-2024 00:00"</f>
        <v>29-03-2024 00:00</v>
      </c>
      <c r="F675" s="2530">
        <v>0.16</v>
      </c>
      <c r="G675" s="2522" t="str">
        <f>"29-04-2024 00:00"</f>
        <v>29-04-2024 00:00</v>
      </c>
      <c r="H675" s="2530">
        <v>0.23</v>
      </c>
      <c r="I675" s="2522"/>
      <c r="J675" s="2530"/>
      <c r="K675" s="2522"/>
      <c r="L675" s="2530"/>
      <c r="M675" s="2522"/>
      <c r="N675" s="2530"/>
      <c r="O675" s="2522"/>
      <c r="P675" s="2530"/>
      <c r="Q675" s="2522"/>
      <c r="R675" s="2530"/>
      <c r="S675" s="2522"/>
      <c r="T675" s="2530"/>
      <c r="U675" s="2522"/>
      <c r="V675" s="2530"/>
      <c r="W675" s="2522"/>
      <c r="X675" s="2530"/>
    </row>
    <row r="676" spans="1:24" ht="14.4">
      <c r="A676" s="2519" t="str">
        <f>"29-01-2024 02:00"</f>
        <v>29-01-2024 02:00</v>
      </c>
      <c r="B676" s="2524">
        <v>0.19</v>
      </c>
      <c r="C676" s="2519"/>
      <c r="D676" s="2524"/>
      <c r="E676" s="2519" t="str">
        <f>"29-03-2024 01:00"</f>
        <v>29-03-2024 01:00</v>
      </c>
      <c r="F676" s="2524">
        <v>0.17</v>
      </c>
      <c r="G676" s="2519" t="str">
        <f>"29-04-2024 01:00"</f>
        <v>29-04-2024 01:00</v>
      </c>
      <c r="H676" s="2524">
        <v>0.22</v>
      </c>
      <c r="I676" s="2519"/>
      <c r="J676" s="2524"/>
      <c r="K676" s="2519"/>
      <c r="L676" s="2524"/>
      <c r="M676" s="2519"/>
      <c r="N676" s="2524"/>
      <c r="O676" s="2519"/>
      <c r="P676" s="2524"/>
      <c r="Q676" s="2519"/>
      <c r="R676" s="2524"/>
      <c r="S676" s="2519"/>
      <c r="T676" s="2524"/>
      <c r="U676" s="2519"/>
      <c r="V676" s="2524"/>
      <c r="W676" s="2519"/>
      <c r="X676" s="2524"/>
    </row>
    <row r="677" spans="1:24" ht="14.4">
      <c r="A677" s="2519" t="str">
        <f>"29-01-2024 03:00"</f>
        <v>29-01-2024 03:00</v>
      </c>
      <c r="B677" s="2524">
        <v>0.13</v>
      </c>
      <c r="C677" s="2519"/>
      <c r="D677" s="2524"/>
      <c r="E677" s="2519" t="str">
        <f>"29-03-2024 02:00"</f>
        <v>29-03-2024 02:00</v>
      </c>
      <c r="F677" s="2524">
        <v>0.17</v>
      </c>
      <c r="G677" s="2519" t="str">
        <f>"29-04-2024 02:00"</f>
        <v>29-04-2024 02:00</v>
      </c>
      <c r="H677" s="2524">
        <v>0.27</v>
      </c>
      <c r="I677" s="2519"/>
      <c r="J677" s="2524"/>
      <c r="K677" s="2519"/>
      <c r="L677" s="2524"/>
      <c r="M677" s="2519"/>
      <c r="N677" s="2524"/>
      <c r="O677" s="2519"/>
      <c r="P677" s="2524"/>
      <c r="Q677" s="2519"/>
      <c r="R677" s="2524"/>
      <c r="S677" s="2519"/>
      <c r="T677" s="2524"/>
      <c r="U677" s="2519"/>
      <c r="V677" s="2524"/>
      <c r="W677" s="2519"/>
      <c r="X677" s="2524"/>
    </row>
    <row r="678" spans="1:24" ht="14.4">
      <c r="A678" s="2519" t="str">
        <f>"29-01-2024 04:00"</f>
        <v>29-01-2024 04:00</v>
      </c>
      <c r="B678" s="2524">
        <v>0.14000000000000001</v>
      </c>
      <c r="C678" s="2519"/>
      <c r="D678" s="2524"/>
      <c r="E678" s="2519" t="str">
        <f>"29-03-2024 03:00"</f>
        <v>29-03-2024 03:00</v>
      </c>
      <c r="F678" s="2524">
        <v>0.18</v>
      </c>
      <c r="G678" s="2519" t="str">
        <f>"29-04-2024 03:00"</f>
        <v>29-04-2024 03:00</v>
      </c>
      <c r="H678" s="2524">
        <v>0.14000000000000001</v>
      </c>
      <c r="I678" s="2519"/>
      <c r="J678" s="2524"/>
      <c r="K678" s="2519"/>
      <c r="L678" s="2524"/>
      <c r="M678" s="2519"/>
      <c r="N678" s="2524"/>
      <c r="O678" s="2519"/>
      <c r="P678" s="2524"/>
      <c r="Q678" s="2519"/>
      <c r="R678" s="2524"/>
      <c r="S678" s="2519"/>
      <c r="T678" s="2524"/>
      <c r="U678" s="2519"/>
      <c r="V678" s="2524"/>
      <c r="W678" s="2519"/>
      <c r="X678" s="2524"/>
    </row>
    <row r="679" spans="1:24" ht="14.4">
      <c r="A679" s="2519" t="str">
        <f>"29-01-2024 05:00"</f>
        <v>29-01-2024 05:00</v>
      </c>
      <c r="B679" s="2524">
        <v>0.16</v>
      </c>
      <c r="C679" s="2519"/>
      <c r="D679" s="2524"/>
      <c r="E679" s="2519" t="str">
        <f>"29-03-2024 04:00"</f>
        <v>29-03-2024 04:00</v>
      </c>
      <c r="F679" s="2524">
        <v>0.17</v>
      </c>
      <c r="G679" s="2519" t="str">
        <f>"29-04-2024 04:00"</f>
        <v>29-04-2024 04:00</v>
      </c>
      <c r="H679" s="2524">
        <v>0.15</v>
      </c>
      <c r="I679" s="2519"/>
      <c r="J679" s="2524"/>
      <c r="K679" s="2519"/>
      <c r="L679" s="2524"/>
      <c r="M679" s="2519"/>
      <c r="N679" s="2524"/>
      <c r="O679" s="2519"/>
      <c r="P679" s="2524"/>
      <c r="Q679" s="2519"/>
      <c r="R679" s="2524"/>
      <c r="S679" s="2519"/>
      <c r="T679" s="2524"/>
      <c r="U679" s="2519"/>
      <c r="V679" s="2524"/>
      <c r="W679" s="2519"/>
      <c r="X679" s="2524"/>
    </row>
    <row r="680" spans="1:24" ht="14.4">
      <c r="A680" s="2519" t="str">
        <f>"29-01-2024 06:00"</f>
        <v>29-01-2024 06:00</v>
      </c>
      <c r="B680" s="2524">
        <v>0.28999999999999998</v>
      </c>
      <c r="C680" s="2519"/>
      <c r="D680" s="2524"/>
      <c r="E680" s="2519" t="str">
        <f>"29-03-2024 05:00"</f>
        <v>29-03-2024 05:00</v>
      </c>
      <c r="F680" s="2524">
        <v>0.17</v>
      </c>
      <c r="G680" s="2519" t="str">
        <f>"29-04-2024 05:00"</f>
        <v>29-04-2024 05:00</v>
      </c>
      <c r="H680" s="2524">
        <v>0.17</v>
      </c>
      <c r="I680" s="2519"/>
      <c r="J680" s="2524"/>
      <c r="K680" s="2519"/>
      <c r="L680" s="2524"/>
      <c r="M680" s="2519"/>
      <c r="N680" s="2524"/>
      <c r="O680" s="2519"/>
      <c r="P680" s="2524"/>
      <c r="Q680" s="2519"/>
      <c r="R680" s="2524"/>
      <c r="S680" s="2519"/>
      <c r="T680" s="2524"/>
      <c r="U680" s="2519"/>
      <c r="V680" s="2524"/>
      <c r="W680" s="2519"/>
      <c r="X680" s="2524"/>
    </row>
    <row r="681" spans="1:24" ht="14.4">
      <c r="A681" s="2519" t="str">
        <f>"29-01-2024 07:00"</f>
        <v>29-01-2024 07:00</v>
      </c>
      <c r="B681" s="2524">
        <v>0.22</v>
      </c>
      <c r="C681" s="2519"/>
      <c r="D681" s="2524"/>
      <c r="E681" s="2519" t="str">
        <f>"29-03-2024 06:00"</f>
        <v>29-03-2024 06:00</v>
      </c>
      <c r="F681" s="2524">
        <v>0.46</v>
      </c>
      <c r="G681" s="2519" t="str">
        <f>"29-04-2024 06:00"</f>
        <v>29-04-2024 06:00</v>
      </c>
      <c r="H681" s="2524">
        <v>0.23</v>
      </c>
      <c r="I681" s="2519"/>
      <c r="J681" s="2524"/>
      <c r="K681" s="2519"/>
      <c r="L681" s="2524"/>
      <c r="M681" s="2519"/>
      <c r="N681" s="2524"/>
      <c r="O681" s="2519"/>
      <c r="P681" s="2524"/>
      <c r="Q681" s="2519"/>
      <c r="R681" s="2524"/>
      <c r="S681" s="2519"/>
      <c r="T681" s="2524"/>
      <c r="U681" s="2519"/>
      <c r="V681" s="2524"/>
      <c r="W681" s="2519"/>
      <c r="X681" s="2524"/>
    </row>
    <row r="682" spans="1:24" ht="14.4">
      <c r="A682" s="2519" t="str">
        <f>"29-01-2024 08:00"</f>
        <v>29-01-2024 08:00</v>
      </c>
      <c r="B682" s="2524">
        <v>0.42</v>
      </c>
      <c r="C682" s="2519"/>
      <c r="D682" s="2524"/>
      <c r="E682" s="2519" t="str">
        <f>"29-03-2024 07:00"</f>
        <v>29-03-2024 07:00</v>
      </c>
      <c r="F682" s="2524">
        <v>0.48</v>
      </c>
      <c r="G682" s="2519" t="str">
        <f>"29-04-2024 07:00"</f>
        <v>29-04-2024 07:00</v>
      </c>
      <c r="H682" s="2524">
        <v>0.5</v>
      </c>
      <c r="I682" s="2519"/>
      <c r="J682" s="2524"/>
      <c r="K682" s="2519"/>
      <c r="L682" s="2524"/>
      <c r="M682" s="2519"/>
      <c r="N682" s="2524"/>
      <c r="O682" s="2519"/>
      <c r="P682" s="2524"/>
      <c r="Q682" s="2519"/>
      <c r="R682" s="2524"/>
      <c r="S682" s="2519"/>
      <c r="T682" s="2524"/>
      <c r="U682" s="2519"/>
      <c r="V682" s="2524"/>
      <c r="W682" s="2519"/>
      <c r="X682" s="2524"/>
    </row>
    <row r="683" spans="1:24" ht="14.4">
      <c r="A683" s="2519" t="str">
        <f>"29-01-2024 09:00"</f>
        <v>29-01-2024 09:00</v>
      </c>
      <c r="B683" s="2524">
        <v>0.33</v>
      </c>
      <c r="C683" s="2519"/>
      <c r="D683" s="2524"/>
      <c r="E683" s="2519" t="str">
        <f>"29-03-2024 08:00"</f>
        <v>29-03-2024 08:00</v>
      </c>
      <c r="F683" s="2524">
        <v>0.31</v>
      </c>
      <c r="G683" s="2519" t="str">
        <f>"29-04-2024 08:00"</f>
        <v>29-04-2024 08:00</v>
      </c>
      <c r="H683" s="2524">
        <v>0.34</v>
      </c>
      <c r="I683" s="2519"/>
      <c r="J683" s="2524"/>
      <c r="K683" s="2519"/>
      <c r="L683" s="2524"/>
      <c r="M683" s="2519"/>
      <c r="N683" s="2524"/>
      <c r="O683" s="2519"/>
      <c r="P683" s="2524"/>
      <c r="Q683" s="2519"/>
      <c r="R683" s="2524"/>
      <c r="S683" s="2519"/>
      <c r="T683" s="2524"/>
      <c r="U683" s="2519"/>
      <c r="V683" s="2524"/>
      <c r="W683" s="2519"/>
      <c r="X683" s="2524"/>
    </row>
    <row r="684" spans="1:24" ht="14.4">
      <c r="A684" s="2519" t="str">
        <f>"29-01-2024 10:00"</f>
        <v>29-01-2024 10:00</v>
      </c>
      <c r="B684" s="2524">
        <v>0.33</v>
      </c>
      <c r="C684" s="2519"/>
      <c r="D684" s="2524"/>
      <c r="E684" s="2519" t="str">
        <f>"29-03-2024 09:00"</f>
        <v>29-03-2024 09:00</v>
      </c>
      <c r="F684" s="2524">
        <v>0.32</v>
      </c>
      <c r="G684" s="2519" t="str">
        <f>"29-04-2024 09:00"</f>
        <v>29-04-2024 09:00</v>
      </c>
      <c r="H684" s="2524">
        <v>0.15</v>
      </c>
      <c r="I684" s="2519"/>
      <c r="J684" s="2524"/>
      <c r="K684" s="2519"/>
      <c r="L684" s="2524"/>
      <c r="M684" s="2519"/>
      <c r="N684" s="2524"/>
      <c r="O684" s="2519"/>
      <c r="P684" s="2524"/>
      <c r="Q684" s="2519"/>
      <c r="R684" s="2524"/>
      <c r="S684" s="2519"/>
      <c r="T684" s="2524"/>
      <c r="U684" s="2519"/>
      <c r="V684" s="2524"/>
      <c r="W684" s="2519"/>
      <c r="X684" s="2524"/>
    </row>
    <row r="685" spans="1:24" ht="14.4">
      <c r="A685" s="2519" t="str">
        <f>"29-01-2024 11:00"</f>
        <v>29-01-2024 11:00</v>
      </c>
      <c r="B685" s="2524">
        <v>0.39</v>
      </c>
      <c r="C685" s="2519"/>
      <c r="D685" s="2524"/>
      <c r="E685" s="2519" t="str">
        <f>"29-03-2024 10:00"</f>
        <v>29-03-2024 10:00</v>
      </c>
      <c r="F685" s="2524">
        <v>0.19</v>
      </c>
      <c r="G685" s="2519" t="str">
        <f>"29-04-2024 10:00"</f>
        <v>29-04-2024 10:00</v>
      </c>
      <c r="H685" s="2524">
        <v>0.51</v>
      </c>
      <c r="I685" s="2519"/>
      <c r="J685" s="2524"/>
      <c r="K685" s="2519"/>
      <c r="L685" s="2524"/>
      <c r="M685" s="2519"/>
      <c r="N685" s="2524"/>
      <c r="O685" s="2519"/>
      <c r="P685" s="2524"/>
      <c r="Q685" s="2519"/>
      <c r="R685" s="2524"/>
      <c r="S685" s="2519"/>
      <c r="T685" s="2524"/>
      <c r="U685" s="2519"/>
      <c r="V685" s="2524"/>
      <c r="W685" s="2519"/>
      <c r="X685" s="2524"/>
    </row>
    <row r="686" spans="1:24" ht="14.4">
      <c r="A686" s="2519" t="str">
        <f>"29-01-2024 12:00"</f>
        <v>29-01-2024 12:00</v>
      </c>
      <c r="B686" s="2524">
        <v>0.62</v>
      </c>
      <c r="C686" s="2519"/>
      <c r="D686" s="2524"/>
      <c r="E686" s="2519" t="str">
        <f>"29-03-2024 11:00"</f>
        <v>29-03-2024 11:00</v>
      </c>
      <c r="F686" s="2524">
        <v>0.25</v>
      </c>
      <c r="G686" s="2519" t="str">
        <f>"29-04-2024 11:00"</f>
        <v>29-04-2024 11:00</v>
      </c>
      <c r="H686" s="2524">
        <v>0.43</v>
      </c>
      <c r="I686" s="2519"/>
      <c r="J686" s="2524"/>
      <c r="K686" s="2519"/>
      <c r="L686" s="2524"/>
      <c r="M686" s="2519"/>
      <c r="N686" s="2524"/>
      <c r="O686" s="2519"/>
      <c r="P686" s="2524"/>
      <c r="Q686" s="2519"/>
      <c r="R686" s="2524"/>
      <c r="S686" s="2519"/>
      <c r="T686" s="2524"/>
      <c r="U686" s="2519"/>
      <c r="V686" s="2524"/>
      <c r="W686" s="2519"/>
      <c r="X686" s="2524"/>
    </row>
    <row r="687" spans="1:24" ht="14.4">
      <c r="A687" s="2519" t="str">
        <f>"29-01-2024 13:00"</f>
        <v>29-01-2024 13:00</v>
      </c>
      <c r="B687" s="2524">
        <v>0.45</v>
      </c>
      <c r="C687" s="2519"/>
      <c r="D687" s="2524"/>
      <c r="E687" s="2519" t="str">
        <f>"29-03-2024 12:00"</f>
        <v>29-03-2024 12:00</v>
      </c>
      <c r="F687" s="2524">
        <v>0.52</v>
      </c>
      <c r="G687" s="2519" t="str">
        <f>"29-04-2024 12:00"</f>
        <v>29-04-2024 12:00</v>
      </c>
      <c r="H687" s="2524">
        <v>0.41</v>
      </c>
      <c r="I687" s="2519"/>
      <c r="J687" s="2524"/>
      <c r="K687" s="2519"/>
      <c r="L687" s="2524"/>
      <c r="M687" s="2519"/>
      <c r="N687" s="2524"/>
      <c r="O687" s="2519"/>
      <c r="P687" s="2524"/>
      <c r="Q687" s="2519"/>
      <c r="R687" s="2524"/>
      <c r="S687" s="2519"/>
      <c r="T687" s="2524"/>
      <c r="U687" s="2519"/>
      <c r="V687" s="2524"/>
      <c r="W687" s="2519"/>
      <c r="X687" s="2524"/>
    </row>
    <row r="688" spans="1:24" ht="14.4">
      <c r="A688" s="2519" t="str">
        <f>"29-01-2024 14:00"</f>
        <v>29-01-2024 14:00</v>
      </c>
      <c r="B688" s="2524">
        <v>0.42</v>
      </c>
      <c r="C688" s="2519"/>
      <c r="D688" s="2524"/>
      <c r="E688" s="2519" t="str">
        <f>"29-03-2024 13:00"</f>
        <v>29-03-2024 13:00</v>
      </c>
      <c r="F688" s="2524">
        <v>0.35</v>
      </c>
      <c r="G688" s="2519" t="str">
        <f>"29-04-2024 13:00"</f>
        <v>29-04-2024 13:00</v>
      </c>
      <c r="H688" s="2524">
        <v>0.31</v>
      </c>
      <c r="I688" s="2519"/>
      <c r="J688" s="2524"/>
      <c r="K688" s="2519"/>
      <c r="L688" s="2524"/>
      <c r="M688" s="2519"/>
      <c r="N688" s="2524"/>
      <c r="O688" s="2519"/>
      <c r="P688" s="2524"/>
      <c r="Q688" s="2519"/>
      <c r="R688" s="2524"/>
      <c r="S688" s="2519"/>
      <c r="T688" s="2524"/>
      <c r="U688" s="2519"/>
      <c r="V688" s="2524"/>
      <c r="W688" s="2519"/>
      <c r="X688" s="2524"/>
    </row>
    <row r="689" spans="1:24" ht="14.4">
      <c r="A689" s="2519" t="str">
        <f>"29-01-2024 15:00"</f>
        <v>29-01-2024 15:00</v>
      </c>
      <c r="B689" s="2524">
        <v>0.51</v>
      </c>
      <c r="C689" s="2519"/>
      <c r="D689" s="2524"/>
      <c r="E689" s="2519" t="str">
        <f>"29-03-2024 14:00"</f>
        <v>29-03-2024 14:00</v>
      </c>
      <c r="F689" s="2524">
        <v>0.4</v>
      </c>
      <c r="G689" s="2519" t="str">
        <f>"29-04-2024 14:00"</f>
        <v>29-04-2024 14:00</v>
      </c>
      <c r="H689" s="2524">
        <v>0.4</v>
      </c>
      <c r="I689" s="2519"/>
      <c r="J689" s="2524"/>
      <c r="K689" s="2519"/>
      <c r="L689" s="2524"/>
      <c r="M689" s="2519"/>
      <c r="N689" s="2524"/>
      <c r="O689" s="2519"/>
      <c r="P689" s="2524"/>
      <c r="Q689" s="2519"/>
      <c r="R689" s="2524"/>
      <c r="S689" s="2519"/>
      <c r="T689" s="2524"/>
      <c r="U689" s="2519"/>
      <c r="V689" s="2524"/>
      <c r="W689" s="2519"/>
      <c r="X689" s="2524"/>
    </row>
    <row r="690" spans="1:24" ht="14.4">
      <c r="A690" s="2519" t="str">
        <f>"29-01-2024 16:00"</f>
        <v>29-01-2024 16:00</v>
      </c>
      <c r="B690" s="2524">
        <v>0.49</v>
      </c>
      <c r="C690" s="2519"/>
      <c r="D690" s="2524"/>
      <c r="E690" s="2519" t="str">
        <f>"29-03-2024 15:00"</f>
        <v>29-03-2024 15:00</v>
      </c>
      <c r="F690" s="2524">
        <v>0.46</v>
      </c>
      <c r="G690" s="2519" t="str">
        <f>"29-04-2024 15:00"</f>
        <v>29-04-2024 15:00</v>
      </c>
      <c r="H690" s="2524">
        <v>0.35</v>
      </c>
      <c r="I690" s="2519"/>
      <c r="J690" s="2524"/>
      <c r="K690" s="2519"/>
      <c r="L690" s="2524"/>
      <c r="M690" s="2519"/>
      <c r="N690" s="2524"/>
      <c r="O690" s="2519"/>
      <c r="P690" s="2524"/>
      <c r="Q690" s="2519"/>
      <c r="R690" s="2524"/>
      <c r="S690" s="2519"/>
      <c r="T690" s="2524"/>
      <c r="U690" s="2519"/>
      <c r="V690" s="2524"/>
      <c r="W690" s="2519"/>
      <c r="X690" s="2524"/>
    </row>
    <row r="691" spans="1:24" ht="14.4">
      <c r="A691" s="2519" t="str">
        <f>"29-01-2024 17:00"</f>
        <v>29-01-2024 17:00</v>
      </c>
      <c r="B691" s="2524">
        <v>0.46</v>
      </c>
      <c r="C691" s="2519"/>
      <c r="D691" s="2524"/>
      <c r="E691" s="2519" t="str">
        <f>"29-03-2024 16:00"</f>
        <v>29-03-2024 16:00</v>
      </c>
      <c r="F691" s="2524">
        <v>0.35</v>
      </c>
      <c r="G691" s="2519" t="str">
        <f>"29-04-2024 16:00"</f>
        <v>29-04-2024 16:00</v>
      </c>
      <c r="H691" s="2524">
        <v>0.44</v>
      </c>
      <c r="I691" s="2519"/>
      <c r="J691" s="2524"/>
      <c r="K691" s="2519"/>
      <c r="L691" s="2524"/>
      <c r="M691" s="2519"/>
      <c r="N691" s="2524"/>
      <c r="O691" s="2519"/>
      <c r="P691" s="2524"/>
      <c r="Q691" s="2519"/>
      <c r="R691" s="2524"/>
      <c r="S691" s="2519"/>
      <c r="T691" s="2524"/>
      <c r="U691" s="2519"/>
      <c r="V691" s="2524"/>
      <c r="W691" s="2519"/>
      <c r="X691" s="2524"/>
    </row>
    <row r="692" spans="1:24" ht="14.4">
      <c r="A692" s="2519" t="str">
        <f>"29-01-2024 18:00"</f>
        <v>29-01-2024 18:00</v>
      </c>
      <c r="B692" s="2524">
        <v>0.5</v>
      </c>
      <c r="C692" s="2519"/>
      <c r="D692" s="2524"/>
      <c r="E692" s="2519" t="str">
        <f>"29-03-2024 17:00"</f>
        <v>29-03-2024 17:00</v>
      </c>
      <c r="F692" s="2524">
        <v>0.66</v>
      </c>
      <c r="G692" s="2519" t="str">
        <f>"29-04-2024 17:00"</f>
        <v>29-04-2024 17:00</v>
      </c>
      <c r="H692" s="2524">
        <v>0.49</v>
      </c>
      <c r="I692" s="2519"/>
      <c r="J692" s="2524"/>
      <c r="K692" s="2519"/>
      <c r="L692" s="2524"/>
      <c r="M692" s="2519"/>
      <c r="N692" s="2524"/>
      <c r="O692" s="2519"/>
      <c r="P692" s="2524"/>
      <c r="Q692" s="2519"/>
      <c r="R692" s="2524"/>
      <c r="S692" s="2519"/>
      <c r="T692" s="2524"/>
      <c r="U692" s="2519"/>
      <c r="V692" s="2524"/>
      <c r="W692" s="2519"/>
      <c r="X692" s="2524"/>
    </row>
    <row r="693" spans="1:24" ht="14.4">
      <c r="A693" s="2519" t="str">
        <f>"29-01-2024 19:00"</f>
        <v>29-01-2024 19:00</v>
      </c>
      <c r="B693" s="2524">
        <v>0.5</v>
      </c>
      <c r="C693" s="2519"/>
      <c r="D693" s="2524"/>
      <c r="E693" s="2519" t="str">
        <f>"29-03-2024 18:00"</f>
        <v>29-03-2024 18:00</v>
      </c>
      <c r="F693" s="2524">
        <v>0.56999999999999995</v>
      </c>
      <c r="G693" s="2519" t="str">
        <f>"29-04-2024 18:00"</f>
        <v>29-04-2024 18:00</v>
      </c>
      <c r="H693" s="2524">
        <v>0.42</v>
      </c>
      <c r="I693" s="2519"/>
      <c r="J693" s="2524"/>
      <c r="K693" s="2519"/>
      <c r="L693" s="2524"/>
      <c r="M693" s="2519"/>
      <c r="N693" s="2524"/>
      <c r="O693" s="2519"/>
      <c r="P693" s="2524"/>
      <c r="Q693" s="2519"/>
      <c r="R693" s="2524"/>
      <c r="S693" s="2519"/>
      <c r="T693" s="2524"/>
      <c r="U693" s="2519"/>
      <c r="V693" s="2524"/>
      <c r="W693" s="2519"/>
      <c r="X693" s="2524"/>
    </row>
    <row r="694" spans="1:24" ht="14.4">
      <c r="A694" s="2519" t="str">
        <f>"29-01-2024 20:00"</f>
        <v>29-01-2024 20:00</v>
      </c>
      <c r="B694" s="2524">
        <v>0.46</v>
      </c>
      <c r="C694" s="2519"/>
      <c r="D694" s="2524"/>
      <c r="E694" s="2519" t="str">
        <f>"29-03-2024 19:00"</f>
        <v>29-03-2024 19:00</v>
      </c>
      <c r="F694" s="2524">
        <v>0.43</v>
      </c>
      <c r="G694" s="2519" t="str">
        <f>"29-04-2024 19:00"</f>
        <v>29-04-2024 19:00</v>
      </c>
      <c r="H694" s="2524">
        <v>0.26</v>
      </c>
      <c r="I694" s="2519"/>
      <c r="J694" s="2524"/>
      <c r="K694" s="2519"/>
      <c r="L694" s="2524"/>
      <c r="M694" s="2519"/>
      <c r="N694" s="2524"/>
      <c r="O694" s="2519"/>
      <c r="P694" s="2524"/>
      <c r="Q694" s="2519"/>
      <c r="R694" s="2524"/>
      <c r="S694" s="2519"/>
      <c r="T694" s="2524"/>
      <c r="U694" s="2519"/>
      <c r="V694" s="2524"/>
      <c r="W694" s="2519"/>
      <c r="X694" s="2524"/>
    </row>
    <row r="695" spans="1:24" ht="14.4">
      <c r="A695" s="2519" t="str">
        <f>"29-01-2024 21:00"</f>
        <v>29-01-2024 21:00</v>
      </c>
      <c r="B695" s="2524">
        <v>0.47</v>
      </c>
      <c r="C695" s="2519"/>
      <c r="D695" s="2524"/>
      <c r="E695" s="2519" t="str">
        <f>"29-03-2024 20:00"</f>
        <v>29-03-2024 20:00</v>
      </c>
      <c r="F695" s="2524">
        <v>0.42</v>
      </c>
      <c r="G695" s="2519" t="str">
        <f>"29-04-2024 20:00"</f>
        <v>29-04-2024 20:00</v>
      </c>
      <c r="H695" s="2524">
        <v>0.39</v>
      </c>
      <c r="I695" s="2519"/>
      <c r="J695" s="2524"/>
      <c r="K695" s="2519"/>
      <c r="L695" s="2524"/>
      <c r="M695" s="2519"/>
      <c r="N695" s="2524"/>
      <c r="O695" s="2519"/>
      <c r="P695" s="2524"/>
      <c r="Q695" s="2519"/>
      <c r="R695" s="2524"/>
      <c r="S695" s="2519"/>
      <c r="T695" s="2524"/>
      <c r="U695" s="2519"/>
      <c r="V695" s="2524"/>
      <c r="W695" s="2519"/>
      <c r="X695" s="2524"/>
    </row>
    <row r="696" spans="1:24" ht="14.4">
      <c r="A696" s="2519" t="str">
        <f>"29-01-2024 22:00"</f>
        <v>29-01-2024 22:00</v>
      </c>
      <c r="B696" s="2524">
        <v>0.44</v>
      </c>
      <c r="C696" s="2519"/>
      <c r="D696" s="2524"/>
      <c r="E696" s="2519" t="str">
        <f>"29-03-2024 21:00"</f>
        <v>29-03-2024 21:00</v>
      </c>
      <c r="F696" s="2524">
        <v>0.24</v>
      </c>
      <c r="G696" s="2519" t="str">
        <f>"29-04-2024 21:00"</f>
        <v>29-04-2024 21:00</v>
      </c>
      <c r="H696" s="2524">
        <v>0.28999999999999998</v>
      </c>
      <c r="I696" s="2519"/>
      <c r="J696" s="2524"/>
      <c r="K696" s="2519"/>
      <c r="L696" s="2524"/>
      <c r="M696" s="2519"/>
      <c r="N696" s="2524"/>
      <c r="O696" s="2519"/>
      <c r="P696" s="2524"/>
      <c r="Q696" s="2519"/>
      <c r="R696" s="2524"/>
      <c r="S696" s="2519"/>
      <c r="T696" s="2524"/>
      <c r="U696" s="2519"/>
      <c r="V696" s="2524"/>
      <c r="W696" s="2519"/>
      <c r="X696" s="2524"/>
    </row>
    <row r="697" spans="1:24" ht="14.4">
      <c r="A697" s="2519" t="str">
        <f>"29-01-2024 23:00"</f>
        <v>29-01-2024 23:00</v>
      </c>
      <c r="B697" s="2524">
        <v>0.44</v>
      </c>
      <c r="C697" s="2519"/>
      <c r="D697" s="2524"/>
      <c r="E697" s="2519" t="str">
        <f>"29-03-2024 22:00"</f>
        <v>29-03-2024 22:00</v>
      </c>
      <c r="F697" s="2524">
        <v>0.18</v>
      </c>
      <c r="G697" s="2519" t="str">
        <f>"29-04-2024 22:00"</f>
        <v>29-04-2024 22:00</v>
      </c>
      <c r="H697" s="2524">
        <v>0.24</v>
      </c>
      <c r="I697" s="2519"/>
      <c r="J697" s="2524"/>
      <c r="K697" s="2519"/>
      <c r="L697" s="2524"/>
      <c r="M697" s="2519"/>
      <c r="N697" s="2524"/>
      <c r="O697" s="2519"/>
      <c r="P697" s="2524"/>
      <c r="Q697" s="2519"/>
      <c r="R697" s="2524"/>
      <c r="S697" s="2519"/>
      <c r="T697" s="2524"/>
      <c r="U697" s="2519"/>
      <c r="V697" s="2524"/>
      <c r="W697" s="2519"/>
      <c r="X697" s="2524"/>
    </row>
    <row r="698" spans="1:24" s="2506" customFormat="1" ht="14.4">
      <c r="A698" s="2520" t="str">
        <f>"30-01-2024 00:00"</f>
        <v>30-01-2024 00:00</v>
      </c>
      <c r="B698" s="2531">
        <v>0.23</v>
      </c>
      <c r="C698" s="2520"/>
      <c r="D698" s="2531"/>
      <c r="E698" s="2520" t="str">
        <f>"29-03-2024 23:00"</f>
        <v>29-03-2024 23:00</v>
      </c>
      <c r="F698" s="2531">
        <v>0.16</v>
      </c>
      <c r="G698" s="2520" t="str">
        <f>"29-04-2024 23:00"</f>
        <v>29-04-2024 23:00</v>
      </c>
      <c r="H698" s="2531">
        <v>0.18</v>
      </c>
      <c r="I698" s="2520"/>
      <c r="J698" s="2531"/>
      <c r="K698" s="2520"/>
      <c r="L698" s="2531"/>
      <c r="M698" s="2520"/>
      <c r="N698" s="2531"/>
      <c r="O698" s="2520"/>
      <c r="P698" s="2531"/>
      <c r="Q698" s="2520"/>
      <c r="R698" s="2531"/>
      <c r="S698" s="2520"/>
      <c r="T698" s="2531"/>
      <c r="U698" s="2520"/>
      <c r="V698" s="2531"/>
      <c r="W698" s="2520"/>
      <c r="X698" s="2531"/>
    </row>
    <row r="699" spans="1:24" ht="14.4">
      <c r="A699" s="2528" t="str">
        <f>"30-01-2024 01:00"</f>
        <v>30-01-2024 01:00</v>
      </c>
      <c r="B699" s="2534">
        <v>0.2</v>
      </c>
      <c r="C699" s="2528"/>
      <c r="D699" s="2534"/>
      <c r="E699" s="2528" t="str">
        <f>"30-03-2024 00:00"</f>
        <v>30-03-2024 00:00</v>
      </c>
      <c r="F699" s="2534">
        <v>0.19</v>
      </c>
      <c r="G699" s="2528" t="str">
        <f>"30-04-2024 00:00"</f>
        <v>30-04-2024 00:00</v>
      </c>
      <c r="H699" s="2534">
        <v>0.16</v>
      </c>
      <c r="I699" s="2528"/>
      <c r="J699" s="2534"/>
      <c r="K699" s="2528"/>
      <c r="L699" s="2534"/>
      <c r="M699" s="2528"/>
      <c r="N699" s="2534"/>
      <c r="O699" s="2528"/>
      <c r="P699" s="2534"/>
      <c r="Q699" s="2528"/>
      <c r="R699" s="2534"/>
      <c r="S699" s="2528"/>
      <c r="T699" s="2534"/>
      <c r="U699" s="2528"/>
      <c r="V699" s="2534"/>
      <c r="W699" s="2528"/>
      <c r="X699" s="2534"/>
    </row>
    <row r="700" spans="1:24" ht="14.4">
      <c r="A700" s="2518" t="str">
        <f>"30-01-2024 02:00"</f>
        <v>30-01-2024 02:00</v>
      </c>
      <c r="B700" s="2525">
        <v>0.21</v>
      </c>
      <c r="C700" s="2518"/>
      <c r="D700" s="2525"/>
      <c r="E700" s="2518" t="str">
        <f>"30-03-2024 01:00"</f>
        <v>30-03-2024 01:00</v>
      </c>
      <c r="F700" s="2525">
        <v>0.16</v>
      </c>
      <c r="G700" s="2518" t="str">
        <f>"30-04-2024 01:00"</f>
        <v>30-04-2024 01:00</v>
      </c>
      <c r="H700" s="2525">
        <v>0.15</v>
      </c>
      <c r="I700" s="2518"/>
      <c r="J700" s="2525"/>
      <c r="K700" s="2518"/>
      <c r="L700" s="2525"/>
      <c r="M700" s="2518"/>
      <c r="N700" s="2525"/>
      <c r="O700" s="2518"/>
      <c r="P700" s="2525"/>
      <c r="Q700" s="2518"/>
      <c r="R700" s="2525"/>
      <c r="S700" s="2518"/>
      <c r="T700" s="2525"/>
      <c r="U700" s="2518"/>
      <c r="V700" s="2525"/>
      <c r="W700" s="2518"/>
      <c r="X700" s="2525"/>
    </row>
    <row r="701" spans="1:24" ht="14.4">
      <c r="A701" s="2518" t="str">
        <f>"30-01-2024 03:00"</f>
        <v>30-01-2024 03:00</v>
      </c>
      <c r="B701" s="2525">
        <v>0.19</v>
      </c>
      <c r="C701" s="2518"/>
      <c r="D701" s="2525"/>
      <c r="E701" s="2518" t="str">
        <f>"30-03-2024 02:00"</f>
        <v>30-03-2024 02:00</v>
      </c>
      <c r="F701" s="2525">
        <v>0.2</v>
      </c>
      <c r="G701" s="2518" t="str">
        <f>"30-04-2024 02:00"</f>
        <v>30-04-2024 02:00</v>
      </c>
      <c r="H701" s="2525">
        <v>0.17</v>
      </c>
      <c r="I701" s="2518"/>
      <c r="J701" s="2525"/>
      <c r="K701" s="2518"/>
      <c r="L701" s="2525"/>
      <c r="M701" s="2518"/>
      <c r="N701" s="2525"/>
      <c r="O701" s="2518"/>
      <c r="P701" s="2525"/>
      <c r="Q701" s="2518"/>
      <c r="R701" s="2525"/>
      <c r="S701" s="2518"/>
      <c r="T701" s="2525"/>
      <c r="U701" s="2518"/>
      <c r="V701" s="2525"/>
      <c r="W701" s="2518"/>
      <c r="X701" s="2525"/>
    </row>
    <row r="702" spans="1:24" ht="14.4">
      <c r="A702" s="2518" t="str">
        <f>"30-01-2024 04:00"</f>
        <v>30-01-2024 04:00</v>
      </c>
      <c r="B702" s="2525">
        <v>0.21</v>
      </c>
      <c r="C702" s="2518"/>
      <c r="D702" s="2525"/>
      <c r="E702" s="2518" t="str">
        <f>"30-03-2024 03:00"</f>
        <v>30-03-2024 03:00</v>
      </c>
      <c r="F702" s="2525">
        <v>0.14000000000000001</v>
      </c>
      <c r="G702" s="2518" t="str">
        <f>"30-04-2024 03:00"</f>
        <v>30-04-2024 03:00</v>
      </c>
      <c r="H702" s="2525">
        <v>0.21</v>
      </c>
      <c r="I702" s="2518"/>
      <c r="J702" s="2525"/>
      <c r="K702" s="2518"/>
      <c r="L702" s="2525"/>
      <c r="M702" s="2518"/>
      <c r="N702" s="2525"/>
      <c r="O702" s="2518"/>
      <c r="P702" s="2525"/>
      <c r="Q702" s="2518"/>
      <c r="R702" s="2525"/>
      <c r="S702" s="2518"/>
      <c r="T702" s="2525"/>
      <c r="U702" s="2518"/>
      <c r="V702" s="2525"/>
      <c r="W702" s="2518"/>
      <c r="X702" s="2525"/>
    </row>
    <row r="703" spans="1:24" ht="14.4">
      <c r="A703" s="2518" t="str">
        <f>"30-01-2024 05:00"</f>
        <v>30-01-2024 05:00</v>
      </c>
      <c r="B703" s="2525">
        <v>0.11</v>
      </c>
      <c r="C703" s="2518"/>
      <c r="D703" s="2525"/>
      <c r="E703" s="2518" t="str">
        <f>"30-03-2024 04:00"</f>
        <v>30-03-2024 04:00</v>
      </c>
      <c r="F703" s="2525">
        <v>0.16</v>
      </c>
      <c r="G703" s="2518" t="str">
        <f>"30-04-2024 04:00"</f>
        <v>30-04-2024 04:00</v>
      </c>
      <c r="H703" s="2525">
        <v>0.14000000000000001</v>
      </c>
      <c r="I703" s="2518"/>
      <c r="J703" s="2525"/>
      <c r="K703" s="2518"/>
      <c r="L703" s="2525"/>
      <c r="M703" s="2518"/>
      <c r="N703" s="2525"/>
      <c r="O703" s="2518"/>
      <c r="P703" s="2525"/>
      <c r="Q703" s="2518"/>
      <c r="R703" s="2525"/>
      <c r="S703" s="2518"/>
      <c r="T703" s="2525"/>
      <c r="U703" s="2518"/>
      <c r="V703" s="2525"/>
      <c r="W703" s="2518"/>
      <c r="X703" s="2525"/>
    </row>
    <row r="704" spans="1:24" ht="14.4">
      <c r="A704" s="2518" t="str">
        <f>"30-01-2024 06:00"</f>
        <v>30-01-2024 06:00</v>
      </c>
      <c r="B704" s="2525">
        <v>0.16</v>
      </c>
      <c r="C704" s="2518"/>
      <c r="D704" s="2525"/>
      <c r="E704" s="2518" t="str">
        <f>"30-03-2024 05:00"</f>
        <v>30-03-2024 05:00</v>
      </c>
      <c r="F704" s="2525">
        <v>0.2</v>
      </c>
      <c r="G704" s="2518" t="str">
        <f>"30-04-2024 05:00"</f>
        <v>30-04-2024 05:00</v>
      </c>
      <c r="H704" s="2525">
        <v>0.34</v>
      </c>
      <c r="I704" s="2518"/>
      <c r="J704" s="2525"/>
      <c r="K704" s="2518"/>
      <c r="L704" s="2525"/>
      <c r="M704" s="2518"/>
      <c r="N704" s="2525"/>
      <c r="O704" s="2518"/>
      <c r="P704" s="2525"/>
      <c r="Q704" s="2518"/>
      <c r="R704" s="2525"/>
      <c r="S704" s="2518"/>
      <c r="T704" s="2525"/>
      <c r="U704" s="2518"/>
      <c r="V704" s="2525"/>
      <c r="W704" s="2518"/>
      <c r="X704" s="2525"/>
    </row>
    <row r="705" spans="1:24" ht="14.4">
      <c r="A705" s="2518" t="str">
        <f>"30-01-2024 07:00"</f>
        <v>30-01-2024 07:00</v>
      </c>
      <c r="B705" s="2525">
        <v>0.22</v>
      </c>
      <c r="C705" s="2518"/>
      <c r="D705" s="2525"/>
      <c r="E705" s="2518" t="str">
        <f>"30-03-2024 06:00"</f>
        <v>30-03-2024 06:00</v>
      </c>
      <c r="F705" s="2525">
        <v>0.16</v>
      </c>
      <c r="G705" s="2518" t="str">
        <f>"30-04-2024 06:00"</f>
        <v>30-04-2024 06:00</v>
      </c>
      <c r="H705" s="2525">
        <v>0.28000000000000003</v>
      </c>
      <c r="I705" s="2518"/>
      <c r="J705" s="2525"/>
      <c r="K705" s="2518"/>
      <c r="L705" s="2525"/>
      <c r="M705" s="2518"/>
      <c r="N705" s="2525"/>
      <c r="O705" s="2518"/>
      <c r="P705" s="2525"/>
      <c r="Q705" s="2518"/>
      <c r="R705" s="2525"/>
      <c r="S705" s="2518"/>
      <c r="T705" s="2525"/>
      <c r="U705" s="2518"/>
      <c r="V705" s="2525"/>
      <c r="W705" s="2518"/>
      <c r="X705" s="2525"/>
    </row>
    <row r="706" spans="1:24" ht="14.4">
      <c r="A706" s="2518" t="str">
        <f>"30-01-2024 08:00"</f>
        <v>30-01-2024 08:00</v>
      </c>
      <c r="B706" s="2525">
        <v>0.32</v>
      </c>
      <c r="C706" s="2518"/>
      <c r="D706" s="2525"/>
      <c r="E706" s="2518" t="str">
        <f>"30-03-2024 07:00"</f>
        <v>30-03-2024 07:00</v>
      </c>
      <c r="F706" s="2525">
        <v>0.25</v>
      </c>
      <c r="G706" s="2518" t="str">
        <f>"30-04-2024 07:00"</f>
        <v>30-04-2024 07:00</v>
      </c>
      <c r="H706" s="2525">
        <v>0.41</v>
      </c>
      <c r="I706" s="2518"/>
      <c r="J706" s="2525"/>
      <c r="K706" s="2518"/>
      <c r="L706" s="2525"/>
      <c r="M706" s="2518"/>
      <c r="N706" s="2525"/>
      <c r="O706" s="2518"/>
      <c r="P706" s="2525"/>
      <c r="Q706" s="2518"/>
      <c r="R706" s="2525"/>
      <c r="S706" s="2518"/>
      <c r="T706" s="2525"/>
      <c r="U706" s="2518"/>
      <c r="V706" s="2525"/>
      <c r="W706" s="2518"/>
      <c r="X706" s="2525"/>
    </row>
    <row r="707" spans="1:24" ht="14.4">
      <c r="A707" s="2518" t="str">
        <f>"30-01-2024 09:00"</f>
        <v>30-01-2024 09:00</v>
      </c>
      <c r="B707" s="2525">
        <v>0.28000000000000003</v>
      </c>
      <c r="C707" s="2518"/>
      <c r="D707" s="2525"/>
      <c r="E707" s="2518" t="str">
        <f>"30-03-2024 08:00"</f>
        <v>30-03-2024 08:00</v>
      </c>
      <c r="F707" s="2525">
        <v>0.36</v>
      </c>
      <c r="G707" s="2518" t="str">
        <f>"30-04-2024 08:00"</f>
        <v>30-04-2024 08:00</v>
      </c>
      <c r="H707" s="2525">
        <v>0.26</v>
      </c>
      <c r="I707" s="2518"/>
      <c r="J707" s="2525"/>
      <c r="K707" s="2518"/>
      <c r="L707" s="2525"/>
      <c r="M707" s="2518"/>
      <c r="N707" s="2525"/>
      <c r="O707" s="2518"/>
      <c r="P707" s="2525"/>
      <c r="Q707" s="2518"/>
      <c r="R707" s="2525"/>
      <c r="S707" s="2518"/>
      <c r="T707" s="2525"/>
      <c r="U707" s="2518"/>
      <c r="V707" s="2525"/>
      <c r="W707" s="2518"/>
      <c r="X707" s="2525"/>
    </row>
    <row r="708" spans="1:24" ht="14.4">
      <c r="A708" s="2518" t="str">
        <f>"30-01-2024 10:00"</f>
        <v>30-01-2024 10:00</v>
      </c>
      <c r="B708" s="2525">
        <v>0.31</v>
      </c>
      <c r="C708" s="2518"/>
      <c r="D708" s="2525"/>
      <c r="E708" s="2518" t="str">
        <f>"30-03-2024 09:00"</f>
        <v>30-03-2024 09:00</v>
      </c>
      <c r="F708" s="2525">
        <v>0.3</v>
      </c>
      <c r="G708" s="2518" t="str">
        <f>"30-04-2024 09:00"</f>
        <v>30-04-2024 09:00</v>
      </c>
      <c r="H708" s="2525">
        <v>0.35</v>
      </c>
      <c r="I708" s="2518"/>
      <c r="J708" s="2525"/>
      <c r="K708" s="2518"/>
      <c r="L708" s="2525"/>
      <c r="M708" s="2518"/>
      <c r="N708" s="2525"/>
      <c r="O708" s="2518"/>
      <c r="P708" s="2525"/>
      <c r="Q708" s="2518"/>
      <c r="R708" s="2525"/>
      <c r="S708" s="2518"/>
      <c r="T708" s="2525"/>
      <c r="U708" s="2518"/>
      <c r="V708" s="2525"/>
      <c r="W708" s="2518"/>
      <c r="X708" s="2525"/>
    </row>
    <row r="709" spans="1:24" ht="14.4">
      <c r="A709" s="2518" t="str">
        <f>"30-01-2024 11:00"</f>
        <v>30-01-2024 11:00</v>
      </c>
      <c r="B709" s="2525">
        <v>0.34</v>
      </c>
      <c r="C709" s="2518"/>
      <c r="D709" s="2525"/>
      <c r="E709" s="2518" t="str">
        <f>"30-03-2024 10:00"</f>
        <v>30-03-2024 10:00</v>
      </c>
      <c r="F709" s="2525">
        <v>0.31</v>
      </c>
      <c r="G709" s="2518" t="str">
        <f>"30-04-2024 10:00"</f>
        <v>30-04-2024 10:00</v>
      </c>
      <c r="H709" s="2525">
        <v>0.26</v>
      </c>
      <c r="I709" s="2518"/>
      <c r="J709" s="2525"/>
      <c r="K709" s="2518"/>
      <c r="L709" s="2525"/>
      <c r="M709" s="2518"/>
      <c r="N709" s="2525"/>
      <c r="O709" s="2518"/>
      <c r="P709" s="2525"/>
      <c r="Q709" s="2518"/>
      <c r="R709" s="2525"/>
      <c r="S709" s="2518"/>
      <c r="T709" s="2525"/>
      <c r="U709" s="2518"/>
      <c r="V709" s="2525"/>
      <c r="W709" s="2518"/>
      <c r="X709" s="2525"/>
    </row>
    <row r="710" spans="1:24" ht="14.4">
      <c r="A710" s="2518" t="str">
        <f>"30-01-2024 12:00"</f>
        <v>30-01-2024 12:00</v>
      </c>
      <c r="B710" s="2525">
        <v>0.66</v>
      </c>
      <c r="C710" s="2518"/>
      <c r="D710" s="2525"/>
      <c r="E710" s="2518" t="str">
        <f>"30-03-2024 11:00"</f>
        <v>30-03-2024 11:00</v>
      </c>
      <c r="F710" s="2525">
        <v>0.28000000000000003</v>
      </c>
      <c r="G710" s="2518" t="str">
        <f>"30-04-2024 11:00"</f>
        <v>30-04-2024 11:00</v>
      </c>
      <c r="H710" s="2525">
        <v>0.56000000000000005</v>
      </c>
      <c r="I710" s="2518"/>
      <c r="J710" s="2525"/>
      <c r="K710" s="2518"/>
      <c r="L710" s="2525"/>
      <c r="M710" s="2518"/>
      <c r="N710" s="2525"/>
      <c r="O710" s="2518"/>
      <c r="P710" s="2525"/>
      <c r="Q710" s="2518"/>
      <c r="R710" s="2525"/>
      <c r="S710" s="2518"/>
      <c r="T710" s="2525"/>
      <c r="U710" s="2518"/>
      <c r="V710" s="2525"/>
      <c r="W710" s="2518"/>
      <c r="X710" s="2525"/>
    </row>
    <row r="711" spans="1:24" ht="14.4">
      <c r="A711" s="2518" t="str">
        <f>"30-01-2024 13:00"</f>
        <v>30-01-2024 13:00</v>
      </c>
      <c r="B711" s="2525">
        <v>0.56999999999999995</v>
      </c>
      <c r="C711" s="2518"/>
      <c r="D711" s="2525"/>
      <c r="E711" s="2518" t="str">
        <f>"30-03-2024 12:00"</f>
        <v>30-03-2024 12:00</v>
      </c>
      <c r="F711" s="2525">
        <v>0.55000000000000004</v>
      </c>
      <c r="G711" s="2518" t="str">
        <f>"30-04-2024 12:00"</f>
        <v>30-04-2024 12:00</v>
      </c>
      <c r="H711" s="2525">
        <v>0.27</v>
      </c>
      <c r="I711" s="2518"/>
      <c r="J711" s="2525"/>
      <c r="K711" s="2518"/>
      <c r="L711" s="2525"/>
      <c r="M711" s="2518"/>
      <c r="N711" s="2525"/>
      <c r="O711" s="2518"/>
      <c r="P711" s="2525"/>
      <c r="Q711" s="2518"/>
      <c r="R711" s="2525"/>
      <c r="S711" s="2518"/>
      <c r="T711" s="2525"/>
      <c r="U711" s="2518"/>
      <c r="V711" s="2525"/>
      <c r="W711" s="2518"/>
      <c r="X711" s="2525"/>
    </row>
    <row r="712" spans="1:24" ht="14.4">
      <c r="A712" s="2518" t="str">
        <f>"30-01-2024 14:00"</f>
        <v>30-01-2024 14:00</v>
      </c>
      <c r="B712" s="2525">
        <v>0.48</v>
      </c>
      <c r="C712" s="2518"/>
      <c r="D712" s="2525"/>
      <c r="E712" s="2518" t="str">
        <f>"30-03-2024 13:00"</f>
        <v>30-03-2024 13:00</v>
      </c>
      <c r="F712" s="2525">
        <v>0.97</v>
      </c>
      <c r="G712" s="2518" t="str">
        <f>"30-04-2024 13:00"</f>
        <v>30-04-2024 13:00</v>
      </c>
      <c r="H712" s="2525">
        <v>0.43</v>
      </c>
      <c r="I712" s="2518"/>
      <c r="J712" s="2525"/>
      <c r="K712" s="2518"/>
      <c r="L712" s="2525"/>
      <c r="M712" s="2518"/>
      <c r="N712" s="2525"/>
      <c r="O712" s="2518"/>
      <c r="P712" s="2525"/>
      <c r="Q712" s="2518"/>
      <c r="R712" s="2525"/>
      <c r="S712" s="2518"/>
      <c r="T712" s="2525"/>
      <c r="U712" s="2518"/>
      <c r="V712" s="2525"/>
      <c r="W712" s="2518"/>
      <c r="X712" s="2525"/>
    </row>
    <row r="713" spans="1:24" ht="14.4">
      <c r="A713" s="2518" t="str">
        <f>"30-01-2024 15:00"</f>
        <v>30-01-2024 15:00</v>
      </c>
      <c r="B713" s="2525">
        <v>0.53</v>
      </c>
      <c r="C713" s="2518"/>
      <c r="D713" s="2525"/>
      <c r="E713" s="2518" t="str">
        <f>"30-03-2024 14:00"</f>
        <v>30-03-2024 14:00</v>
      </c>
      <c r="F713" s="2525">
        <v>0.47</v>
      </c>
      <c r="G713" s="2518" t="str">
        <f>"30-04-2024 14:00"</f>
        <v>30-04-2024 14:00</v>
      </c>
      <c r="H713" s="2525">
        <v>0.26</v>
      </c>
      <c r="I713" s="2518"/>
      <c r="J713" s="2525"/>
      <c r="K713" s="2518"/>
      <c r="L713" s="2525"/>
      <c r="M713" s="2518"/>
      <c r="N713" s="2525"/>
      <c r="O713" s="2518"/>
      <c r="P713" s="2525"/>
      <c r="Q713" s="2518"/>
      <c r="R713" s="2525"/>
      <c r="S713" s="2518"/>
      <c r="T713" s="2525"/>
      <c r="U713" s="2518"/>
      <c r="V713" s="2525"/>
      <c r="W713" s="2518"/>
      <c r="X713" s="2525"/>
    </row>
    <row r="714" spans="1:24" ht="14.4">
      <c r="A714" s="2518" t="str">
        <f>"30-01-2024 16:00"</f>
        <v>30-01-2024 16:00</v>
      </c>
      <c r="B714" s="2525">
        <v>0.41</v>
      </c>
      <c r="C714" s="2518"/>
      <c r="D714" s="2525"/>
      <c r="E714" s="2518" t="str">
        <f>"30-03-2024 15:00"</f>
        <v>30-03-2024 15:00</v>
      </c>
      <c r="F714" s="2525">
        <v>0.44</v>
      </c>
      <c r="G714" s="2518" t="str">
        <f>"30-04-2024 15:00"</f>
        <v>30-04-2024 15:00</v>
      </c>
      <c r="H714" s="2525">
        <v>0.36</v>
      </c>
      <c r="I714" s="2518"/>
      <c r="J714" s="2525"/>
      <c r="K714" s="2518"/>
      <c r="L714" s="2525"/>
      <c r="M714" s="2518"/>
      <c r="N714" s="2525"/>
      <c r="O714" s="2518"/>
      <c r="P714" s="2525"/>
      <c r="Q714" s="2518"/>
      <c r="R714" s="2525"/>
      <c r="S714" s="2518"/>
      <c r="T714" s="2525"/>
      <c r="U714" s="2518"/>
      <c r="V714" s="2525"/>
      <c r="W714" s="2518"/>
      <c r="X714" s="2525"/>
    </row>
    <row r="715" spans="1:24" ht="14.4">
      <c r="A715" s="2518" t="str">
        <f>"30-01-2024 17:00"</f>
        <v>30-01-2024 17:00</v>
      </c>
      <c r="B715" s="2525">
        <v>0.51</v>
      </c>
      <c r="C715" s="2518"/>
      <c r="D715" s="2525"/>
      <c r="E715" s="2518" t="str">
        <f>"30-03-2024 16:00"</f>
        <v>30-03-2024 16:00</v>
      </c>
      <c r="F715" s="2525">
        <v>0.42</v>
      </c>
      <c r="G715" s="2518" t="str">
        <f>"30-04-2024 16:00"</f>
        <v>30-04-2024 16:00</v>
      </c>
      <c r="H715" s="2525">
        <v>0.34</v>
      </c>
      <c r="I715" s="2518"/>
      <c r="J715" s="2525"/>
      <c r="K715" s="2518"/>
      <c r="L715" s="2525"/>
      <c r="M715" s="2518"/>
      <c r="N715" s="2525"/>
      <c r="O715" s="2518"/>
      <c r="P715" s="2525"/>
      <c r="Q715" s="2518"/>
      <c r="R715" s="2525"/>
      <c r="S715" s="2518"/>
      <c r="T715" s="2525"/>
      <c r="U715" s="2518"/>
      <c r="V715" s="2525"/>
      <c r="W715" s="2518"/>
      <c r="X715" s="2525"/>
    </row>
    <row r="716" spans="1:24" ht="14.4">
      <c r="A716" s="2518" t="str">
        <f>"30-01-2024 18:00"</f>
        <v>30-01-2024 18:00</v>
      </c>
      <c r="B716" s="2525">
        <v>0.74</v>
      </c>
      <c r="C716" s="2518"/>
      <c r="D716" s="2525"/>
      <c r="E716" s="2518" t="str">
        <f>"30-03-2024 17:00"</f>
        <v>30-03-2024 17:00</v>
      </c>
      <c r="F716" s="2525">
        <v>0.76</v>
      </c>
      <c r="G716" s="2518" t="str">
        <f>"30-04-2024 17:00"</f>
        <v>30-04-2024 17:00</v>
      </c>
      <c r="H716" s="2525">
        <v>0.6</v>
      </c>
      <c r="I716" s="2518"/>
      <c r="J716" s="2525"/>
      <c r="K716" s="2518"/>
      <c r="L716" s="2525"/>
      <c r="M716" s="2518"/>
      <c r="N716" s="2525"/>
      <c r="O716" s="2518"/>
      <c r="P716" s="2525"/>
      <c r="Q716" s="2518"/>
      <c r="R716" s="2525"/>
      <c r="S716" s="2518"/>
      <c r="T716" s="2525"/>
      <c r="U716" s="2518"/>
      <c r="V716" s="2525"/>
      <c r="W716" s="2518"/>
      <c r="X716" s="2525"/>
    </row>
    <row r="717" spans="1:24" ht="14.4">
      <c r="A717" s="2518" t="str">
        <f>"30-01-2024 19:00"</f>
        <v>30-01-2024 19:00</v>
      </c>
      <c r="B717" s="2525">
        <v>0.48</v>
      </c>
      <c r="C717" s="2518"/>
      <c r="D717" s="2525"/>
      <c r="E717" s="2518" t="str">
        <f>"30-03-2024 18:00"</f>
        <v>30-03-2024 18:00</v>
      </c>
      <c r="F717" s="2525">
        <v>0.39</v>
      </c>
      <c r="G717" s="2518" t="str">
        <f>"30-04-2024 18:00"</f>
        <v>30-04-2024 18:00</v>
      </c>
      <c r="H717" s="2525">
        <v>0.28000000000000003</v>
      </c>
      <c r="I717" s="2518"/>
      <c r="J717" s="2525"/>
      <c r="K717" s="2518"/>
      <c r="L717" s="2525"/>
      <c r="M717" s="2518"/>
      <c r="N717" s="2525"/>
      <c r="O717" s="2518"/>
      <c r="P717" s="2525"/>
      <c r="Q717" s="2518"/>
      <c r="R717" s="2525"/>
      <c r="S717" s="2518"/>
      <c r="T717" s="2525"/>
      <c r="U717" s="2518"/>
      <c r="V717" s="2525"/>
      <c r="W717" s="2518"/>
      <c r="X717" s="2525"/>
    </row>
    <row r="718" spans="1:24" ht="14.4">
      <c r="A718" s="2518" t="str">
        <f>"30-01-2024 20:00"</f>
        <v>30-01-2024 20:00</v>
      </c>
      <c r="B718" s="2525">
        <v>0.51</v>
      </c>
      <c r="C718" s="2518"/>
      <c r="D718" s="2525"/>
      <c r="E718" s="2518" t="str">
        <f>"30-03-2024 19:00"</f>
        <v>30-03-2024 19:00</v>
      </c>
      <c r="F718" s="2525">
        <v>0.45</v>
      </c>
      <c r="G718" s="2518" t="str">
        <f>"30-04-2024 19:00"</f>
        <v>30-04-2024 19:00</v>
      </c>
      <c r="H718" s="2525">
        <v>0.46</v>
      </c>
      <c r="I718" s="2518"/>
      <c r="J718" s="2525"/>
      <c r="K718" s="2518"/>
      <c r="L718" s="2525"/>
      <c r="M718" s="2518"/>
      <c r="N718" s="2525"/>
      <c r="O718" s="2518"/>
      <c r="P718" s="2525"/>
      <c r="Q718" s="2518"/>
      <c r="R718" s="2525"/>
      <c r="S718" s="2518"/>
      <c r="T718" s="2525"/>
      <c r="U718" s="2518"/>
      <c r="V718" s="2525"/>
      <c r="W718" s="2518"/>
      <c r="X718" s="2525"/>
    </row>
    <row r="719" spans="1:24" ht="14.4">
      <c r="A719" s="2518" t="str">
        <f>"30-01-2024 21:00"</f>
        <v>30-01-2024 21:00</v>
      </c>
      <c r="B719" s="2525">
        <v>0.47</v>
      </c>
      <c r="C719" s="2518"/>
      <c r="D719" s="2525"/>
      <c r="E719" s="2518" t="str">
        <f>"30-03-2024 20:00"</f>
        <v>30-03-2024 20:00</v>
      </c>
      <c r="F719" s="2525">
        <v>0.35</v>
      </c>
      <c r="G719" s="2518" t="str">
        <f>"30-04-2024 20:00"</f>
        <v>30-04-2024 20:00</v>
      </c>
      <c r="H719" s="2525">
        <v>0.41</v>
      </c>
      <c r="I719" s="2518"/>
      <c r="J719" s="2525"/>
      <c r="K719" s="2518"/>
      <c r="L719" s="2525"/>
      <c r="M719" s="2518"/>
      <c r="N719" s="2525"/>
      <c r="O719" s="2518"/>
      <c r="P719" s="2525"/>
      <c r="Q719" s="2518"/>
      <c r="R719" s="2525"/>
      <c r="S719" s="2518"/>
      <c r="T719" s="2525"/>
      <c r="U719" s="2518"/>
      <c r="V719" s="2525"/>
      <c r="W719" s="2518"/>
      <c r="X719" s="2525"/>
    </row>
    <row r="720" spans="1:24" ht="14.4">
      <c r="A720" s="2518" t="str">
        <f>"30-01-2024 22:00"</f>
        <v>30-01-2024 22:00</v>
      </c>
      <c r="B720" s="2525">
        <v>0.39</v>
      </c>
      <c r="C720" s="2518"/>
      <c r="D720" s="2525"/>
      <c r="E720" s="2518" t="str">
        <f>"30-03-2024 21:00"</f>
        <v>30-03-2024 21:00</v>
      </c>
      <c r="F720" s="2525">
        <v>0.43</v>
      </c>
      <c r="G720" s="2518" t="str">
        <f>"30-04-2024 21:00"</f>
        <v>30-04-2024 21:00</v>
      </c>
      <c r="H720" s="2525">
        <v>0.36</v>
      </c>
      <c r="I720" s="2518"/>
      <c r="J720" s="2525"/>
      <c r="K720" s="2518"/>
      <c r="L720" s="2525"/>
      <c r="M720" s="2518"/>
      <c r="N720" s="2525"/>
      <c r="O720" s="2518"/>
      <c r="P720" s="2525"/>
      <c r="Q720" s="2518"/>
      <c r="R720" s="2525"/>
      <c r="S720" s="2518"/>
      <c r="T720" s="2525"/>
      <c r="U720" s="2518"/>
      <c r="V720" s="2525"/>
      <c r="W720" s="2518"/>
      <c r="X720" s="2525"/>
    </row>
    <row r="721" spans="1:24" ht="14.4">
      <c r="A721" s="2518" t="str">
        <f>"30-01-2024 23:00"</f>
        <v>30-01-2024 23:00</v>
      </c>
      <c r="B721" s="2525">
        <v>0.35</v>
      </c>
      <c r="C721" s="2518"/>
      <c r="D721" s="2525"/>
      <c r="E721" s="2518" t="str">
        <f>"30-03-2024 22:00"</f>
        <v>30-03-2024 22:00</v>
      </c>
      <c r="F721" s="2525">
        <v>0.24</v>
      </c>
      <c r="G721" s="2518" t="str">
        <f>"30-04-2024 22:00"</f>
        <v>30-04-2024 22:00</v>
      </c>
      <c r="H721" s="2525">
        <v>0.22</v>
      </c>
      <c r="I721" s="2518"/>
      <c r="J721" s="2525"/>
      <c r="K721" s="2518"/>
      <c r="L721" s="2525"/>
      <c r="M721" s="2518"/>
      <c r="N721" s="2525"/>
      <c r="O721" s="2518"/>
      <c r="P721" s="2525"/>
      <c r="Q721" s="2518"/>
      <c r="R721" s="2525"/>
      <c r="S721" s="2518"/>
      <c r="T721" s="2525"/>
      <c r="U721" s="2518"/>
      <c r="V721" s="2525"/>
      <c r="W721" s="2518"/>
      <c r="X721" s="2525"/>
    </row>
    <row r="722" spans="1:24" s="2506" customFormat="1" ht="14.4">
      <c r="A722" s="2529" t="str">
        <f>"31-01-2024 00:00"</f>
        <v>31-01-2024 00:00</v>
      </c>
      <c r="B722" s="2533">
        <v>0.25</v>
      </c>
      <c r="C722" s="2529"/>
      <c r="D722" s="2533"/>
      <c r="E722" s="2529" t="str">
        <f>"30-03-2024 23:00"</f>
        <v>30-03-2024 23:00</v>
      </c>
      <c r="F722" s="2533">
        <v>0.21</v>
      </c>
      <c r="G722" s="2529" t="str">
        <f>"30-04-2024 23:00"</f>
        <v>30-04-2024 23:00</v>
      </c>
      <c r="H722" s="2533">
        <v>0.23</v>
      </c>
      <c r="I722" s="2529"/>
      <c r="J722" s="2533"/>
      <c r="K722" s="2529"/>
      <c r="L722" s="2533"/>
      <c r="M722" s="2529"/>
      <c r="N722" s="2533"/>
      <c r="O722" s="2529"/>
      <c r="P722" s="2533"/>
      <c r="Q722" s="2529"/>
      <c r="R722" s="2533"/>
      <c r="S722" s="2529"/>
      <c r="T722" s="2533"/>
      <c r="U722" s="2529"/>
      <c r="V722" s="2533"/>
      <c r="W722" s="2529"/>
      <c r="X722" s="2533"/>
    </row>
    <row r="723" spans="1:24" ht="14.4">
      <c r="A723" s="2522"/>
      <c r="B723" s="2535">
        <v>0.19</v>
      </c>
      <c r="C723" s="2522"/>
      <c r="D723" s="2535"/>
      <c r="E723" s="2522" t="str">
        <f>"31-03-2024 00:00"</f>
        <v>31-03-2024 00:00</v>
      </c>
      <c r="F723" s="2535">
        <v>0.17</v>
      </c>
      <c r="G723" s="2522"/>
      <c r="H723" s="2535"/>
      <c r="I723" s="2522"/>
      <c r="J723" s="2535"/>
      <c r="K723" s="2522"/>
      <c r="L723" s="2535"/>
      <c r="M723" s="2522"/>
      <c r="N723" s="2535"/>
      <c r="O723" s="2522"/>
      <c r="P723" s="2535"/>
      <c r="Q723" s="2522"/>
      <c r="R723" s="2535"/>
      <c r="S723" s="2522"/>
      <c r="T723" s="2535"/>
      <c r="U723" s="2522"/>
      <c r="V723" s="2535"/>
      <c r="W723" s="2522"/>
      <c r="X723" s="2535"/>
    </row>
    <row r="724" spans="1:24" ht="14.4">
      <c r="A724" s="2519"/>
      <c r="B724" s="2526">
        <v>0.28000000000000003</v>
      </c>
      <c r="C724" s="2519"/>
      <c r="D724" s="2526"/>
      <c r="E724" s="2519" t="str">
        <f>"31-03-2024 01:00"</f>
        <v>31-03-2024 01:00</v>
      </c>
      <c r="F724" s="2526">
        <v>0.18</v>
      </c>
      <c r="G724" s="2519"/>
      <c r="H724" s="2526"/>
      <c r="I724" s="2519"/>
      <c r="J724" s="2526"/>
      <c r="K724" s="2519"/>
      <c r="L724" s="2526"/>
      <c r="M724" s="2519"/>
      <c r="N724" s="2526"/>
      <c r="O724" s="2519"/>
      <c r="P724" s="2526"/>
      <c r="Q724" s="2519"/>
      <c r="R724" s="2526"/>
      <c r="S724" s="2519"/>
      <c r="T724" s="2526"/>
      <c r="U724" s="2519"/>
      <c r="V724" s="2526"/>
      <c r="W724" s="2519"/>
      <c r="X724" s="2526"/>
    </row>
    <row r="725" spans="1:24" ht="14.4">
      <c r="A725" s="2519"/>
      <c r="B725" s="2526">
        <v>0.25</v>
      </c>
      <c r="C725" s="2519"/>
      <c r="D725" s="2526"/>
      <c r="E725" s="2519" t="str">
        <f>"31-03-2024 03:00"</f>
        <v>31-03-2024 03:00</v>
      </c>
      <c r="F725" s="2526">
        <v>0.19</v>
      </c>
      <c r="G725" s="2519"/>
      <c r="H725" s="2526"/>
      <c r="I725" s="2519"/>
      <c r="J725" s="2526"/>
      <c r="K725" s="2519"/>
      <c r="L725" s="2526"/>
      <c r="M725" s="2519"/>
      <c r="N725" s="2526"/>
      <c r="O725" s="2519"/>
      <c r="P725" s="2526"/>
      <c r="Q725" s="2519"/>
      <c r="R725" s="2526"/>
      <c r="S725" s="2519"/>
      <c r="T725" s="2526"/>
      <c r="U725" s="2519"/>
      <c r="V725" s="2526"/>
      <c r="W725" s="2519"/>
      <c r="X725" s="2526"/>
    </row>
    <row r="726" spans="1:24" ht="14.4">
      <c r="A726" s="2519"/>
      <c r="B726" s="2526">
        <v>0.22</v>
      </c>
      <c r="C726" s="2519"/>
      <c r="D726" s="2526"/>
      <c r="E726" s="2519" t="str">
        <f>"31-03-2024 04:00"</f>
        <v>31-03-2024 04:00</v>
      </c>
      <c r="F726" s="2526">
        <v>0.21</v>
      </c>
      <c r="G726" s="2519"/>
      <c r="H726" s="2526"/>
      <c r="I726" s="2519"/>
      <c r="J726" s="2526"/>
      <c r="K726" s="2519"/>
      <c r="L726" s="2526"/>
      <c r="M726" s="2519"/>
      <c r="N726" s="2526"/>
      <c r="O726" s="2519"/>
      <c r="P726" s="2526"/>
      <c r="Q726" s="2519"/>
      <c r="R726" s="2526"/>
      <c r="S726" s="2519"/>
      <c r="T726" s="2526"/>
      <c r="U726" s="2519"/>
      <c r="V726" s="2526"/>
      <c r="W726" s="2519"/>
      <c r="X726" s="2526"/>
    </row>
    <row r="727" spans="1:24" ht="14.4">
      <c r="A727" s="2519"/>
      <c r="B727" s="2526">
        <v>0.25</v>
      </c>
      <c r="C727" s="2519"/>
      <c r="D727" s="2526"/>
      <c r="E727" s="2519" t="str">
        <f>"31-03-2024 05:00"</f>
        <v>31-03-2024 05:00</v>
      </c>
      <c r="F727" s="2526">
        <v>0.21</v>
      </c>
      <c r="G727" s="2519"/>
      <c r="H727" s="2526"/>
      <c r="I727" s="2519"/>
      <c r="J727" s="2526"/>
      <c r="K727" s="2519"/>
      <c r="L727" s="2526"/>
      <c r="M727" s="2519"/>
      <c r="N727" s="2526"/>
      <c r="O727" s="2519"/>
      <c r="P727" s="2526"/>
      <c r="Q727" s="2519"/>
      <c r="R727" s="2526"/>
      <c r="S727" s="2519"/>
      <c r="T727" s="2526"/>
      <c r="U727" s="2519"/>
      <c r="V727" s="2526"/>
      <c r="W727" s="2519"/>
      <c r="X727" s="2526"/>
    </row>
    <row r="728" spans="1:24" ht="14.4">
      <c r="A728" s="2519"/>
      <c r="B728" s="2526">
        <v>0.24</v>
      </c>
      <c r="C728" s="2519"/>
      <c r="D728" s="2526"/>
      <c r="E728" s="2519" t="str">
        <f>"31-03-2024 06:00"</f>
        <v>31-03-2024 06:00</v>
      </c>
      <c r="F728" s="2526">
        <v>0.32</v>
      </c>
      <c r="G728" s="2519"/>
      <c r="H728" s="2526"/>
      <c r="I728" s="2519"/>
      <c r="J728" s="2526"/>
      <c r="K728" s="2519"/>
      <c r="L728" s="2526"/>
      <c r="M728" s="2519"/>
      <c r="N728" s="2526"/>
      <c r="O728" s="2519"/>
      <c r="P728" s="2526"/>
      <c r="Q728" s="2519"/>
      <c r="R728" s="2526"/>
      <c r="S728" s="2519"/>
      <c r="T728" s="2526"/>
      <c r="U728" s="2519"/>
      <c r="V728" s="2526"/>
      <c r="W728" s="2519"/>
      <c r="X728" s="2526"/>
    </row>
    <row r="729" spans="1:24" ht="14.4">
      <c r="A729" s="2519"/>
      <c r="B729" s="2526">
        <v>0.41</v>
      </c>
      <c r="C729" s="2519"/>
      <c r="D729" s="2526"/>
      <c r="E729" s="2519" t="str">
        <f>"31-03-2024 07:00"</f>
        <v>31-03-2024 07:00</v>
      </c>
      <c r="F729" s="2526">
        <v>0.31</v>
      </c>
      <c r="G729" s="2519"/>
      <c r="H729" s="2526"/>
      <c r="I729" s="2519"/>
      <c r="J729" s="2526"/>
      <c r="K729" s="2519"/>
      <c r="L729" s="2526"/>
      <c r="M729" s="2519"/>
      <c r="N729" s="2526"/>
      <c r="O729" s="2519"/>
      <c r="P729" s="2526"/>
      <c r="Q729" s="2519"/>
      <c r="R729" s="2526"/>
      <c r="S729" s="2519"/>
      <c r="T729" s="2526"/>
      <c r="U729" s="2519"/>
      <c r="V729" s="2526"/>
      <c r="W729" s="2519"/>
      <c r="X729" s="2526"/>
    </row>
    <row r="730" spans="1:24" ht="14.4">
      <c r="A730" s="2519"/>
      <c r="B730" s="2526">
        <v>0.35</v>
      </c>
      <c r="C730" s="2519"/>
      <c r="D730" s="2526"/>
      <c r="E730" s="2519" t="str">
        <f>"31-03-2024 08:00"</f>
        <v>31-03-2024 08:00</v>
      </c>
      <c r="F730" s="2526">
        <v>0.61</v>
      </c>
      <c r="G730" s="2519"/>
      <c r="H730" s="2526"/>
      <c r="I730" s="2519"/>
      <c r="J730" s="2526"/>
      <c r="K730" s="2519"/>
      <c r="L730" s="2526"/>
      <c r="M730" s="2519"/>
      <c r="N730" s="2526"/>
      <c r="O730" s="2519"/>
      <c r="P730" s="2526"/>
      <c r="Q730" s="2519"/>
      <c r="R730" s="2526"/>
      <c r="S730" s="2519"/>
      <c r="T730" s="2526"/>
      <c r="U730" s="2519"/>
      <c r="V730" s="2526"/>
      <c r="W730" s="2519"/>
      <c r="X730" s="2526"/>
    </row>
    <row r="731" spans="1:24" ht="14.4">
      <c r="A731" s="2519"/>
      <c r="B731" s="2526">
        <v>0.72</v>
      </c>
      <c r="C731" s="2519"/>
      <c r="D731" s="2526"/>
      <c r="E731" s="2519" t="str">
        <f>"31-03-2024 09:00"</f>
        <v>31-03-2024 09:00</v>
      </c>
      <c r="F731" s="2526">
        <v>0.39</v>
      </c>
      <c r="G731" s="2519"/>
      <c r="H731" s="2526"/>
      <c r="I731" s="2519"/>
      <c r="J731" s="2526"/>
      <c r="K731" s="2519"/>
      <c r="L731" s="2526"/>
      <c r="M731" s="2519"/>
      <c r="N731" s="2526"/>
      <c r="O731" s="2519"/>
      <c r="P731" s="2526"/>
      <c r="Q731" s="2519"/>
      <c r="R731" s="2526"/>
      <c r="S731" s="2519"/>
      <c r="T731" s="2526"/>
      <c r="U731" s="2519"/>
      <c r="V731" s="2526"/>
      <c r="W731" s="2519"/>
      <c r="X731" s="2526"/>
    </row>
    <row r="732" spans="1:24" ht="14.4">
      <c r="A732" s="2519"/>
      <c r="B732" s="2526">
        <v>0.36</v>
      </c>
      <c r="C732" s="2519"/>
      <c r="D732" s="2526"/>
      <c r="E732" s="2519" t="str">
        <f>"31-03-2024 10:00"</f>
        <v>31-03-2024 10:00</v>
      </c>
      <c r="F732" s="2526">
        <v>0.24</v>
      </c>
      <c r="G732" s="2519"/>
      <c r="H732" s="2526"/>
      <c r="I732" s="2519"/>
      <c r="J732" s="2526"/>
      <c r="K732" s="2519"/>
      <c r="L732" s="2526"/>
      <c r="M732" s="2519"/>
      <c r="N732" s="2526"/>
      <c r="O732" s="2519"/>
      <c r="P732" s="2526"/>
      <c r="Q732" s="2519"/>
      <c r="R732" s="2526"/>
      <c r="S732" s="2519"/>
      <c r="T732" s="2526"/>
      <c r="U732" s="2519"/>
      <c r="V732" s="2526"/>
      <c r="W732" s="2519"/>
      <c r="X732" s="2526"/>
    </row>
    <row r="733" spans="1:24" ht="14.4">
      <c r="A733" s="2519"/>
      <c r="B733" s="2526">
        <v>0.38</v>
      </c>
      <c r="C733" s="2519"/>
      <c r="D733" s="2526"/>
      <c r="E733" s="2519" t="str">
        <f>"31-03-2024 11:00"</f>
        <v>31-03-2024 11:00</v>
      </c>
      <c r="F733" s="2526">
        <v>0.4</v>
      </c>
      <c r="G733" s="2519"/>
      <c r="H733" s="2526"/>
      <c r="I733" s="2519"/>
      <c r="J733" s="2526"/>
      <c r="K733" s="2519"/>
      <c r="L733" s="2526"/>
      <c r="M733" s="2519"/>
      <c r="N733" s="2526"/>
      <c r="O733" s="2519"/>
      <c r="P733" s="2526"/>
      <c r="Q733" s="2519"/>
      <c r="R733" s="2526"/>
      <c r="S733" s="2519"/>
      <c r="T733" s="2526"/>
      <c r="U733" s="2519"/>
      <c r="V733" s="2526"/>
      <c r="W733" s="2519"/>
      <c r="X733" s="2526"/>
    </row>
    <row r="734" spans="1:24" ht="14.4">
      <c r="A734" s="2519"/>
      <c r="B734" s="2526">
        <v>0.21</v>
      </c>
      <c r="C734" s="2519"/>
      <c r="D734" s="2526"/>
      <c r="E734" s="2519" t="str">
        <f>"31-03-2024 12:00"</f>
        <v>31-03-2024 12:00</v>
      </c>
      <c r="F734" s="2526">
        <v>0.56999999999999995</v>
      </c>
      <c r="G734" s="2519"/>
      <c r="H734" s="2526"/>
      <c r="I734" s="2519"/>
      <c r="J734" s="2526"/>
      <c r="K734" s="2519"/>
      <c r="L734" s="2526"/>
      <c r="M734" s="2519"/>
      <c r="N734" s="2526"/>
      <c r="O734" s="2519"/>
      <c r="P734" s="2526"/>
      <c r="Q734" s="2519"/>
      <c r="R734" s="2526"/>
      <c r="S734" s="2519"/>
      <c r="T734" s="2526"/>
      <c r="U734" s="2519"/>
      <c r="V734" s="2526"/>
      <c r="W734" s="2519"/>
      <c r="X734" s="2526"/>
    </row>
    <row r="735" spans="1:24" ht="14.4">
      <c r="A735" s="2519"/>
      <c r="B735" s="2526">
        <v>0.55000000000000004</v>
      </c>
      <c r="C735" s="2519"/>
      <c r="D735" s="2526"/>
      <c r="E735" s="2519" t="str">
        <f>"31-03-2024 13:00"</f>
        <v>31-03-2024 13:00</v>
      </c>
      <c r="F735" s="2526">
        <v>0.6</v>
      </c>
      <c r="G735" s="2519"/>
      <c r="H735" s="2526"/>
      <c r="I735" s="2519"/>
      <c r="J735" s="2526"/>
      <c r="K735" s="2519"/>
      <c r="L735" s="2526"/>
      <c r="M735" s="2519"/>
      <c r="N735" s="2526"/>
      <c r="O735" s="2519"/>
      <c r="P735" s="2526"/>
      <c r="Q735" s="2519"/>
      <c r="R735" s="2526"/>
      <c r="S735" s="2519"/>
      <c r="T735" s="2526"/>
      <c r="U735" s="2519"/>
      <c r="V735" s="2526"/>
      <c r="W735" s="2519"/>
      <c r="X735" s="2526"/>
    </row>
    <row r="736" spans="1:24" ht="14.4">
      <c r="A736" s="2519"/>
      <c r="B736" s="2526">
        <v>0.16</v>
      </c>
      <c r="C736" s="2519"/>
      <c r="D736" s="2526"/>
      <c r="E736" s="2519" t="str">
        <f>"31-03-2024 14:00"</f>
        <v>31-03-2024 14:00</v>
      </c>
      <c r="F736" s="2526">
        <v>0.21</v>
      </c>
      <c r="G736" s="2519"/>
      <c r="H736" s="2526"/>
      <c r="I736" s="2519"/>
      <c r="J736" s="2526"/>
      <c r="K736" s="2519"/>
      <c r="L736" s="2526"/>
      <c r="M736" s="2519"/>
      <c r="N736" s="2526"/>
      <c r="O736" s="2519"/>
      <c r="P736" s="2526"/>
      <c r="Q736" s="2519"/>
      <c r="R736" s="2526"/>
      <c r="S736" s="2519"/>
      <c r="T736" s="2526"/>
      <c r="U736" s="2519"/>
      <c r="V736" s="2526"/>
      <c r="W736" s="2519"/>
      <c r="X736" s="2526"/>
    </row>
    <row r="737" spans="1:24" ht="14.4">
      <c r="A737" s="2519"/>
      <c r="B737" s="2526">
        <v>0.26</v>
      </c>
      <c r="C737" s="2519"/>
      <c r="D737" s="2526"/>
      <c r="E737" s="2519" t="str">
        <f>"31-03-2024 15:00"</f>
        <v>31-03-2024 15:00</v>
      </c>
      <c r="F737" s="2526">
        <v>0.27</v>
      </c>
      <c r="G737" s="2519"/>
      <c r="H737" s="2526"/>
      <c r="I737" s="2519"/>
      <c r="J737" s="2526"/>
      <c r="K737" s="2519"/>
      <c r="L737" s="2526"/>
      <c r="M737" s="2519"/>
      <c r="N737" s="2526"/>
      <c r="O737" s="2519"/>
      <c r="P737" s="2526"/>
      <c r="Q737" s="2519"/>
      <c r="R737" s="2526"/>
      <c r="S737" s="2519"/>
      <c r="T737" s="2526"/>
      <c r="U737" s="2519"/>
      <c r="V737" s="2526"/>
      <c r="W737" s="2519"/>
      <c r="X737" s="2526"/>
    </row>
    <row r="738" spans="1:24" ht="14.4">
      <c r="A738" s="2519"/>
      <c r="B738" s="2526">
        <v>0.28999999999999998</v>
      </c>
      <c r="C738" s="2519"/>
      <c r="D738" s="2526"/>
      <c r="E738" s="2519" t="str">
        <f>"31-03-2024 16:00"</f>
        <v>31-03-2024 16:00</v>
      </c>
      <c r="F738" s="2526">
        <v>0.4</v>
      </c>
      <c r="G738" s="2519"/>
      <c r="H738" s="2526"/>
      <c r="I738" s="2519"/>
      <c r="J738" s="2526"/>
      <c r="K738" s="2519"/>
      <c r="L738" s="2526"/>
      <c r="M738" s="2519"/>
      <c r="N738" s="2526"/>
      <c r="O738" s="2519"/>
      <c r="P738" s="2526"/>
      <c r="Q738" s="2519"/>
      <c r="R738" s="2526"/>
      <c r="S738" s="2519"/>
      <c r="T738" s="2526"/>
      <c r="U738" s="2519"/>
      <c r="V738" s="2526"/>
      <c r="W738" s="2519"/>
      <c r="X738" s="2526"/>
    </row>
    <row r="739" spans="1:24" ht="14.4">
      <c r="A739" s="2519"/>
      <c r="B739" s="2526">
        <v>0.4</v>
      </c>
      <c r="C739" s="2519"/>
      <c r="D739" s="2526"/>
      <c r="E739" s="2519" t="str">
        <f>"31-03-2024 17:00"</f>
        <v>31-03-2024 17:00</v>
      </c>
      <c r="F739" s="2526">
        <v>0.35</v>
      </c>
      <c r="G739" s="2519"/>
      <c r="H739" s="2526"/>
      <c r="I739" s="2519"/>
      <c r="J739" s="2526"/>
      <c r="K739" s="2519"/>
      <c r="L739" s="2526"/>
      <c r="M739" s="2519"/>
      <c r="N739" s="2526"/>
      <c r="O739" s="2519"/>
      <c r="P739" s="2526"/>
      <c r="Q739" s="2519"/>
      <c r="R739" s="2526"/>
      <c r="S739" s="2519"/>
      <c r="T739" s="2526"/>
      <c r="U739" s="2519"/>
      <c r="V739" s="2526"/>
      <c r="W739" s="2519"/>
      <c r="X739" s="2526"/>
    </row>
    <row r="740" spans="1:24" ht="14.4">
      <c r="A740" s="2519"/>
      <c r="B740" s="2526">
        <v>0.62</v>
      </c>
      <c r="C740" s="2519"/>
      <c r="D740" s="2526"/>
      <c r="E740" s="2519" t="str">
        <f>"31-03-2024 18:00"</f>
        <v>31-03-2024 18:00</v>
      </c>
      <c r="F740" s="2526">
        <v>0.46</v>
      </c>
      <c r="G740" s="2519"/>
      <c r="H740" s="2526"/>
      <c r="I740" s="2519"/>
      <c r="J740" s="2526"/>
      <c r="K740" s="2519"/>
      <c r="L740" s="2526"/>
      <c r="M740" s="2519"/>
      <c r="N740" s="2526"/>
      <c r="O740" s="2519"/>
      <c r="P740" s="2526"/>
      <c r="Q740" s="2519"/>
      <c r="R740" s="2526"/>
      <c r="S740" s="2519"/>
      <c r="T740" s="2526"/>
      <c r="U740" s="2519"/>
      <c r="V740" s="2526"/>
      <c r="W740" s="2519"/>
      <c r="X740" s="2526"/>
    </row>
    <row r="741" spans="1:24" ht="14.4">
      <c r="A741" s="2519"/>
      <c r="B741" s="2526">
        <v>0.47</v>
      </c>
      <c r="C741" s="2519"/>
      <c r="D741" s="2526"/>
      <c r="E741" s="2519" t="str">
        <f>"31-03-2024 19:00"</f>
        <v>31-03-2024 19:00</v>
      </c>
      <c r="F741" s="2526">
        <v>0.35</v>
      </c>
      <c r="G741" s="2519"/>
      <c r="H741" s="2526"/>
      <c r="I741" s="2519"/>
      <c r="J741" s="2526"/>
      <c r="K741" s="2519"/>
      <c r="L741" s="2526"/>
      <c r="M741" s="2519"/>
      <c r="N741" s="2526"/>
      <c r="O741" s="2519"/>
      <c r="P741" s="2526"/>
      <c r="Q741" s="2519"/>
      <c r="R741" s="2526"/>
      <c r="S741" s="2519"/>
      <c r="T741" s="2526"/>
      <c r="U741" s="2519"/>
      <c r="V741" s="2526"/>
      <c r="W741" s="2519"/>
      <c r="X741" s="2526"/>
    </row>
    <row r="742" spans="1:24" ht="14.4">
      <c r="A742" s="2519"/>
      <c r="B742" s="2526">
        <v>0.5</v>
      </c>
      <c r="C742" s="2519"/>
      <c r="D742" s="2526"/>
      <c r="E742" s="2519" t="str">
        <f>"31-03-2024 20:00"</f>
        <v>31-03-2024 20:00</v>
      </c>
      <c r="F742" s="2526">
        <v>0.42</v>
      </c>
      <c r="G742" s="2519"/>
      <c r="H742" s="2526"/>
      <c r="I742" s="2519"/>
      <c r="J742" s="2526"/>
      <c r="K742" s="2519"/>
      <c r="L742" s="2526"/>
      <c r="M742" s="2519"/>
      <c r="N742" s="2526"/>
      <c r="O742" s="2519"/>
      <c r="P742" s="2526"/>
      <c r="Q742" s="2519"/>
      <c r="R742" s="2526"/>
      <c r="S742" s="2519"/>
      <c r="T742" s="2526"/>
      <c r="U742" s="2519"/>
      <c r="V742" s="2526"/>
      <c r="W742" s="2519"/>
      <c r="X742" s="2526"/>
    </row>
    <row r="743" spans="1:24" ht="14.4">
      <c r="A743" s="2519"/>
      <c r="B743" s="2526">
        <v>0.51</v>
      </c>
      <c r="C743" s="2519"/>
      <c r="D743" s="2526"/>
      <c r="E743" s="2519" t="str">
        <f>"31-03-2024 21:00"</f>
        <v>31-03-2024 21:00</v>
      </c>
      <c r="F743" s="2526">
        <v>0.28000000000000003</v>
      </c>
      <c r="G743" s="2519"/>
      <c r="H743" s="2526"/>
      <c r="I743" s="2519"/>
      <c r="J743" s="2526"/>
      <c r="K743" s="2519"/>
      <c r="L743" s="2526"/>
      <c r="M743" s="2519"/>
      <c r="N743" s="2526"/>
      <c r="O743" s="2519"/>
      <c r="P743" s="2526"/>
      <c r="Q743" s="2519"/>
      <c r="R743" s="2526"/>
      <c r="S743" s="2519"/>
      <c r="T743" s="2526"/>
      <c r="U743" s="2519"/>
      <c r="V743" s="2526"/>
      <c r="W743" s="2519"/>
      <c r="X743" s="2526"/>
    </row>
    <row r="744" spans="1:24" ht="14.4">
      <c r="A744" s="2519"/>
      <c r="B744" s="2526">
        <v>0.44</v>
      </c>
      <c r="C744" s="2519"/>
      <c r="D744" s="2526"/>
      <c r="E744" s="2519" t="str">
        <f>"31-03-2024 22:00"</f>
        <v>31-03-2024 22:00</v>
      </c>
      <c r="F744" s="2526">
        <v>0.27</v>
      </c>
      <c r="G744" s="2519"/>
      <c r="H744" s="2526"/>
      <c r="I744" s="2519"/>
      <c r="J744" s="2526"/>
      <c r="K744" s="2519"/>
      <c r="L744" s="2526"/>
      <c r="M744" s="2519"/>
      <c r="N744" s="2526"/>
      <c r="O744" s="2519"/>
      <c r="P744" s="2526"/>
      <c r="Q744" s="2519"/>
      <c r="R744" s="2526"/>
      <c r="S744" s="2519"/>
      <c r="T744" s="2526"/>
      <c r="U744" s="2519"/>
      <c r="V744" s="2526"/>
      <c r="W744" s="2519"/>
      <c r="X744" s="2526"/>
    </row>
    <row r="745" spans="1:24" ht="14.4">
      <c r="A745" s="2519"/>
      <c r="B745" s="2526">
        <v>0.15</v>
      </c>
      <c r="C745" s="2519"/>
      <c r="D745" s="2526"/>
      <c r="E745" s="2519" t="str">
        <f>"31-03-2024 23:00"</f>
        <v>31-03-2024 23:00</v>
      </c>
      <c r="F745" s="2526">
        <v>0.18</v>
      </c>
      <c r="G745" s="2519"/>
      <c r="H745" s="2526"/>
      <c r="I745" s="2519"/>
      <c r="J745" s="2526"/>
      <c r="K745" s="2519"/>
      <c r="L745" s="2526"/>
      <c r="M745" s="2519"/>
      <c r="N745" s="2526"/>
      <c r="O745" s="2519"/>
      <c r="P745" s="2526"/>
      <c r="Q745" s="2519"/>
      <c r="R745" s="2526"/>
      <c r="S745" s="2519"/>
      <c r="T745" s="2526"/>
      <c r="U745" s="2519"/>
      <c r="V745" s="2526"/>
      <c r="W745" s="2519"/>
      <c r="X745" s="2526"/>
    </row>
    <row r="746" spans="1:24" s="2506" customFormat="1" ht="14.4">
      <c r="A746" s="2520"/>
      <c r="B746" s="2527">
        <v>0.22</v>
      </c>
      <c r="C746" s="2520"/>
      <c r="D746" s="2527"/>
      <c r="E746" s="2520"/>
      <c r="F746" s="2527"/>
      <c r="G746" s="2520"/>
      <c r="H746" s="2527"/>
      <c r="I746" s="2520"/>
      <c r="J746" s="2527"/>
      <c r="K746" s="2520"/>
      <c r="L746" s="2527"/>
      <c r="M746" s="2520"/>
      <c r="N746" s="2527"/>
      <c r="O746" s="2520"/>
      <c r="P746" s="2527"/>
      <c r="Q746" s="2520"/>
      <c r="R746" s="2527"/>
      <c r="S746" s="2520"/>
      <c r="T746" s="2527"/>
      <c r="U746" s="2520"/>
      <c r="V746" s="2527"/>
      <c r="W746" s="2520"/>
      <c r="X746" s="2527"/>
    </row>
    <row r="747" spans="1:24" thickBot="1">
      <c r="A747" s="2508"/>
      <c r="B747" s="2512"/>
      <c r="C747" s="2508"/>
      <c r="D747" s="2512"/>
      <c r="E747" s="2508"/>
      <c r="F747" s="2512"/>
      <c r="G747" s="2508"/>
      <c r="H747" s="2512"/>
      <c r="I747" s="2508"/>
      <c r="J747" s="2512"/>
      <c r="K747" s="2508"/>
      <c r="L747" s="2512"/>
      <c r="M747" s="2508"/>
      <c r="N747" s="2512"/>
      <c r="O747" s="2508"/>
      <c r="P747" s="2512"/>
      <c r="Q747" s="2508"/>
      <c r="R747" s="2512"/>
      <c r="S747" s="2508"/>
      <c r="T747" s="2512"/>
      <c r="U747" s="2508"/>
      <c r="V747" s="2512"/>
      <c r="W747" s="2508"/>
      <c r="X747" s="2512"/>
    </row>
    <row r="748" spans="1:24" thickBot="1">
      <c r="A748" s="2508"/>
      <c r="C748" s="2508"/>
      <c r="E748" s="2508"/>
      <c r="G748" s="2508"/>
      <c r="I748" s="2508"/>
      <c r="K748" s="2508"/>
      <c r="M748" s="2508"/>
      <c r="O748" s="2508"/>
      <c r="Q748" s="2508"/>
      <c r="S748" s="2508"/>
      <c r="U748" s="2508"/>
      <c r="W748" s="2508"/>
    </row>
    <row r="749" spans="1:24" thickBot="1">
      <c r="A749" s="2508"/>
      <c r="C749" s="2508"/>
      <c r="E749" s="2508"/>
      <c r="G749" s="2508"/>
      <c r="I749" s="2508"/>
      <c r="K749" s="2508"/>
      <c r="M749" s="2508"/>
      <c r="O749" s="2508"/>
      <c r="Q749" s="2508"/>
      <c r="S749" s="2508"/>
      <c r="U749" s="2508"/>
      <c r="W749" s="2508"/>
    </row>
    <row r="750" spans="1:24" thickBot="1">
      <c r="A750" s="2508"/>
      <c r="C750" s="2508"/>
      <c r="E750" s="2508"/>
      <c r="G750" s="2508"/>
      <c r="I750" s="2508"/>
      <c r="K750" s="2508"/>
      <c r="M750" s="2508"/>
      <c r="O750" s="2508"/>
      <c r="Q750" s="2508"/>
      <c r="S750" s="2508"/>
      <c r="U750" s="2508"/>
      <c r="W750" s="2508"/>
    </row>
    <row r="751" spans="1:24" thickBot="1">
      <c r="A751" s="2508"/>
      <c r="C751" s="2508"/>
      <c r="E751" s="2508"/>
      <c r="G751" s="2508"/>
      <c r="I751" s="2508"/>
      <c r="K751" s="2508"/>
      <c r="M751" s="2508"/>
      <c r="O751" s="2508"/>
      <c r="Q751" s="2508"/>
      <c r="S751" s="2508"/>
      <c r="U751" s="2508"/>
      <c r="W751" s="2508"/>
    </row>
    <row r="752" spans="1:24" thickBot="1">
      <c r="A752" s="2508"/>
      <c r="C752" s="2508"/>
      <c r="E752" s="2508"/>
      <c r="G752" s="2508"/>
      <c r="I752" s="2508"/>
      <c r="K752" s="2508"/>
      <c r="M752" s="2508"/>
      <c r="O752" s="2508"/>
      <c r="Q752" s="2508"/>
      <c r="S752" s="2508"/>
      <c r="U752" s="2508"/>
      <c r="W752" s="2508"/>
    </row>
    <row r="753" spans="1:23" thickBot="1">
      <c r="A753" s="2508"/>
      <c r="C753" s="2508"/>
      <c r="E753" s="2508"/>
      <c r="G753" s="2508"/>
      <c r="I753" s="2508"/>
      <c r="K753" s="2508"/>
      <c r="M753" s="2508"/>
      <c r="O753" s="2508"/>
      <c r="Q753" s="2508"/>
      <c r="S753" s="2508"/>
      <c r="U753" s="2508"/>
      <c r="W753" s="2508"/>
    </row>
    <row r="754" spans="1:23" thickBot="1">
      <c r="A754" s="2508"/>
      <c r="C754" s="2508"/>
      <c r="E754" s="2508"/>
      <c r="G754" s="2508"/>
      <c r="I754" s="2508"/>
      <c r="K754" s="2508"/>
      <c r="M754" s="2508"/>
      <c r="O754" s="2508"/>
      <c r="Q754" s="2508"/>
      <c r="S754" s="2508"/>
      <c r="U754" s="2508"/>
      <c r="W754" s="2508"/>
    </row>
    <row r="755" spans="1:23" thickBot="1">
      <c r="A755" s="2508"/>
      <c r="C755" s="2508"/>
      <c r="E755" s="2508"/>
      <c r="G755" s="2508"/>
      <c r="I755" s="2508"/>
      <c r="K755" s="2508"/>
      <c r="M755" s="2508"/>
      <c r="O755" s="2508"/>
      <c r="Q755" s="2508"/>
      <c r="S755" s="2508"/>
      <c r="U755" s="2508"/>
      <c r="W755" s="2508"/>
    </row>
    <row r="756" spans="1:23" thickBot="1">
      <c r="A756" s="2508"/>
      <c r="C756" s="2508"/>
      <c r="E756" s="2508"/>
      <c r="G756" s="2508"/>
      <c r="I756" s="2508"/>
      <c r="K756" s="2508"/>
      <c r="M756" s="2508"/>
      <c r="O756" s="2508"/>
      <c r="Q756" s="2508"/>
      <c r="S756" s="2508"/>
      <c r="U756" s="2508"/>
      <c r="W756" s="2508"/>
    </row>
    <row r="757" spans="1:23" thickBot="1">
      <c r="A757" s="2508"/>
      <c r="C757" s="2508"/>
      <c r="E757" s="2508"/>
      <c r="G757" s="2508"/>
      <c r="I757" s="2508"/>
      <c r="K757" s="2508"/>
      <c r="M757" s="2508"/>
      <c r="O757" s="2508"/>
      <c r="Q757" s="2508"/>
      <c r="S757" s="2508"/>
      <c r="U757" s="2508"/>
      <c r="W757" s="2508"/>
    </row>
    <row r="758" spans="1:23" thickBot="1">
      <c r="A758" s="2508"/>
      <c r="C758" s="2508"/>
      <c r="E758" s="2508"/>
      <c r="G758" s="2508"/>
      <c r="I758" s="2508"/>
      <c r="K758" s="2508"/>
      <c r="M758" s="2508"/>
      <c r="O758" s="2508"/>
      <c r="Q758" s="2508"/>
      <c r="S758" s="2508"/>
      <c r="U758" s="2508"/>
      <c r="W758" s="2508"/>
    </row>
    <row r="759" spans="1:23" thickBot="1">
      <c r="A759" s="2508"/>
      <c r="C759" s="2508"/>
      <c r="E759" s="2508"/>
      <c r="G759" s="2508"/>
      <c r="I759" s="2508"/>
      <c r="K759" s="2508"/>
      <c r="M759" s="2508"/>
      <c r="O759" s="2508"/>
      <c r="Q759" s="2508"/>
      <c r="S759" s="2508"/>
      <c r="U759" s="2508"/>
      <c r="W759" s="2508"/>
    </row>
    <row r="760" spans="1:23" thickBot="1">
      <c r="A760" s="2508"/>
      <c r="C760" s="2508"/>
      <c r="E760" s="2508"/>
      <c r="G760" s="2508"/>
      <c r="I760" s="2508"/>
      <c r="K760" s="2508"/>
      <c r="M760" s="2508"/>
      <c r="O760" s="2508"/>
      <c r="Q760" s="2508"/>
      <c r="S760" s="2508"/>
      <c r="U760" s="2508"/>
      <c r="W760" s="2508"/>
    </row>
    <row r="761" spans="1:23" thickBot="1">
      <c r="A761" s="2508"/>
      <c r="C761" s="2508"/>
      <c r="E761" s="2508"/>
      <c r="G761" s="2508"/>
      <c r="I761" s="2508"/>
      <c r="K761" s="2508"/>
      <c r="M761" s="2508"/>
      <c r="O761" s="2508"/>
      <c r="Q761" s="2508"/>
      <c r="S761" s="2508"/>
      <c r="U761" s="2508"/>
      <c r="W761" s="2508"/>
    </row>
    <row r="762" spans="1:23" thickBot="1">
      <c r="A762" s="2508"/>
      <c r="C762" s="2508"/>
      <c r="E762" s="2508"/>
      <c r="G762" s="2508"/>
      <c r="I762" s="2508"/>
      <c r="K762" s="2508"/>
      <c r="M762" s="2508"/>
      <c r="O762" s="2508"/>
      <c r="Q762" s="2508"/>
      <c r="S762" s="2508"/>
      <c r="U762" s="2508"/>
      <c r="W762" s="2508"/>
    </row>
    <row r="763" spans="1:23" thickBot="1">
      <c r="A763" s="2508"/>
      <c r="C763" s="2508"/>
      <c r="E763" s="2508"/>
      <c r="G763" s="2508"/>
      <c r="I763" s="2508"/>
      <c r="K763" s="2508"/>
      <c r="M763" s="2508"/>
      <c r="O763" s="2508"/>
      <c r="Q763" s="2508"/>
      <c r="S763" s="2508"/>
      <c r="U763" s="2508"/>
      <c r="W763" s="2508"/>
    </row>
    <row r="764" spans="1:23" thickBot="1">
      <c r="A764" s="2508"/>
      <c r="C764" s="2508"/>
      <c r="E764" s="2508"/>
      <c r="G764" s="2508"/>
      <c r="I764" s="2508"/>
      <c r="K764" s="2508"/>
      <c r="M764" s="2508"/>
      <c r="O764" s="2508"/>
      <c r="Q764" s="2508"/>
      <c r="S764" s="2508"/>
      <c r="U764" s="2508"/>
      <c r="W764" s="2508"/>
    </row>
    <row r="765" spans="1:23" thickBot="1">
      <c r="A765" s="2508"/>
      <c r="C765" s="2508"/>
      <c r="E765" s="2508"/>
      <c r="G765" s="2508"/>
      <c r="I765" s="2508"/>
      <c r="K765" s="2508"/>
      <c r="M765" s="2508"/>
      <c r="O765" s="2508"/>
      <c r="Q765" s="2508"/>
      <c r="S765" s="2508"/>
      <c r="U765" s="2508"/>
      <c r="W765" s="2508"/>
    </row>
    <row r="766" spans="1:23" thickBot="1">
      <c r="A766" s="2508"/>
      <c r="C766" s="2508"/>
      <c r="E766" s="2508"/>
      <c r="G766" s="2508"/>
      <c r="I766" s="2508"/>
      <c r="K766" s="2508"/>
      <c r="M766" s="2508"/>
      <c r="O766" s="2508"/>
      <c r="Q766" s="2508"/>
      <c r="S766" s="2508"/>
      <c r="U766" s="2508"/>
      <c r="W766" s="2508"/>
    </row>
    <row r="767" spans="1:23" thickBot="1">
      <c r="A767" s="2508"/>
      <c r="C767" s="2508"/>
      <c r="E767" s="2508"/>
      <c r="G767" s="2508"/>
      <c r="I767" s="2508"/>
      <c r="K767" s="2508"/>
      <c r="M767" s="2508"/>
      <c r="O767" s="2508"/>
      <c r="Q767" s="2508"/>
      <c r="S767" s="2508"/>
      <c r="U767" s="2508"/>
      <c r="W767" s="2508"/>
    </row>
    <row r="768" spans="1:23" thickBot="1">
      <c r="A768" s="2508"/>
      <c r="C768" s="2508"/>
      <c r="E768" s="2508"/>
      <c r="G768" s="2508"/>
      <c r="I768" s="2508"/>
      <c r="K768" s="2508"/>
      <c r="M768" s="2508"/>
      <c r="O768" s="2508"/>
      <c r="Q768" s="2508"/>
      <c r="S768" s="2508"/>
      <c r="U768" s="2508"/>
      <c r="W768" s="2508"/>
    </row>
    <row r="769" spans="1:23" thickBot="1">
      <c r="A769" s="2508"/>
      <c r="C769" s="2508"/>
      <c r="E769" s="2508"/>
      <c r="G769" s="2508"/>
      <c r="I769" s="2508"/>
      <c r="K769" s="2508"/>
      <c r="M769" s="2508"/>
      <c r="O769" s="2508"/>
      <c r="Q769" s="2508"/>
      <c r="S769" s="2508"/>
      <c r="U769" s="2508"/>
      <c r="W769" s="2508"/>
    </row>
    <row r="770" spans="1:23" thickBot="1">
      <c r="A770" s="2509"/>
      <c r="C770" s="2509"/>
      <c r="E770" s="2509"/>
      <c r="G770" s="2509"/>
      <c r="I770" s="2509"/>
      <c r="K770" s="2509"/>
      <c r="M770" s="2509"/>
      <c r="O770" s="2509"/>
      <c r="Q770" s="2509"/>
      <c r="S770" s="2509"/>
      <c r="U770" s="2509"/>
      <c r="W770" s="2509"/>
    </row>
  </sheetData>
  <mergeCells count="6">
    <mergeCell ref="O1:P1"/>
    <mergeCell ref="S1:T1"/>
    <mergeCell ref="U1:V1"/>
    <mergeCell ref="W1:X1"/>
    <mergeCell ref="Q1:R1"/>
    <mergeCell ref="M1:N1"/>
  </mergeCells>
  <conditionalFormatting sqref="D123:D146">
    <cfRule type="colorScale" priority="33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147:D170">
    <cfRule type="colorScale" priority="33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171:D194">
    <cfRule type="colorScale" priority="33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195:D218">
    <cfRule type="colorScale" priority="33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219:D242">
    <cfRule type="colorScale" priority="33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243:D266">
    <cfRule type="colorScale" priority="33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267:D290">
    <cfRule type="colorScale" priority="33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291:D314">
    <cfRule type="colorScale" priority="33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315:D338">
    <cfRule type="colorScale" priority="33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339:D362">
    <cfRule type="colorScale" priority="33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363:D386">
    <cfRule type="colorScale" priority="33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387:D410">
    <cfRule type="colorScale" priority="33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411:D434">
    <cfRule type="colorScale" priority="33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435:D458">
    <cfRule type="colorScale" priority="33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459:D482">
    <cfRule type="colorScale" priority="33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483:D506">
    <cfRule type="colorScale" priority="33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507:D530">
    <cfRule type="colorScale" priority="33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531:D554">
    <cfRule type="colorScale" priority="33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555:D578">
    <cfRule type="colorScale" priority="33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579:D602">
    <cfRule type="colorScale" priority="33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603:D626">
    <cfRule type="colorScale" priority="32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627:D650">
    <cfRule type="colorScale" priority="32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651:D674">
    <cfRule type="colorScale" priority="32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675:D698">
    <cfRule type="colorScale" priority="32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3:D26">
    <cfRule type="colorScale" priority="32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27:D50">
    <cfRule type="colorScale" priority="32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51:D74">
    <cfRule type="colorScale" priority="32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75:D98">
    <cfRule type="colorScale" priority="32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D99:D122">
    <cfRule type="colorScale" priority="32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79:B602">
    <cfRule type="colorScale" priority="32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32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32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32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32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32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32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32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32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32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32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32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32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32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32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32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32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32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32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32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32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32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32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32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32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32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32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32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32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32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123:B146">
    <cfRule type="colorScale" priority="32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147:B170">
    <cfRule type="colorScale" priority="32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171:B194">
    <cfRule type="colorScale" priority="32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195:B218">
    <cfRule type="colorScale" priority="32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219:B242">
    <cfRule type="colorScale" priority="32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243:B266">
    <cfRule type="colorScale" priority="32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267:B290">
    <cfRule type="colorScale" priority="32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291:B314">
    <cfRule type="colorScale" priority="32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315:B338">
    <cfRule type="colorScale" priority="32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339:B362">
    <cfRule type="colorScale" priority="32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363:B386">
    <cfRule type="colorScale" priority="32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387:B410">
    <cfRule type="colorScale" priority="32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411:B434">
    <cfRule type="colorScale" priority="32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435:B458">
    <cfRule type="colorScale" priority="32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459:B482">
    <cfRule type="colorScale" priority="32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483:B506">
    <cfRule type="colorScale" priority="32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07:B530">
    <cfRule type="colorScale" priority="32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31:B554">
    <cfRule type="colorScale" priority="32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55:B578">
    <cfRule type="colorScale" priority="32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79:B602">
    <cfRule type="colorScale" priority="32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603:B626">
    <cfRule type="colorScale" priority="32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627:B650">
    <cfRule type="colorScale" priority="32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651:B674">
    <cfRule type="colorScale" priority="32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675:B698">
    <cfRule type="colorScale" priority="32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3:B26">
    <cfRule type="colorScale" priority="32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27:B50">
    <cfRule type="colorScale" priority="32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51:B74">
    <cfRule type="colorScale" priority="32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75:B98">
    <cfRule type="colorScale" priority="31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B99:B122">
    <cfRule type="colorScale" priority="31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31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31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31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31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31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31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31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31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31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31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31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31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31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31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31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31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31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31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31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31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31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31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31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31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31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31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31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31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31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31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31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31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31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31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31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31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31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31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31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31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31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31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31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31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31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31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31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31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31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31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31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31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31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31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31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31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31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31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31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31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31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31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31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31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31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31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31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31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31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31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31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31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31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31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31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31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31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31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31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31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31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31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31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31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31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31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31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31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31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31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31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31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31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31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31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31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30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30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30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30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30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30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30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30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30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30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30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30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30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30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30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30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30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30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30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30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30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30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30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30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30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30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30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30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30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30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30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30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30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30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30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30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30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30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30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30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30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30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30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30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30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30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30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30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30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30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30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30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30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30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30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30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30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30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30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30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30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30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30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30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30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30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30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30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30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30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30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30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30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30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30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30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30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30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23:J146">
    <cfRule type="colorScale" priority="30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30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30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30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30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30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30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30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30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30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30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30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30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30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30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30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30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30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30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30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9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9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9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9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9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9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9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9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9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299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29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9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9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9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9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9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9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9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9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9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9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9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9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9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9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9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9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9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9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9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9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9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9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9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9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9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9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9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9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296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29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9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9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9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9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9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9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9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9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9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9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9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9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9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9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9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9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9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9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9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9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9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9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9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9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9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9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9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9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23:J146">
    <cfRule type="colorScale" priority="29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9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9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9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9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9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9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9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9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9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9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9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9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9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9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9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9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9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9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9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9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9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9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9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9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9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9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9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9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2901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29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8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8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8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8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8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8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8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8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8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8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8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8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8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8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8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8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8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8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8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8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8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8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8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8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8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8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8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8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2871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28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8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8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8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8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8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8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8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8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8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8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8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8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8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8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8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8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8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8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8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8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8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8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8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8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8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8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8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8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28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28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28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28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28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28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28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28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28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28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28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28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28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28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28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28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28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28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28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28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28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28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28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28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28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28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28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28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28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281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28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28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28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28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28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28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28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28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28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28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28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28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27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27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27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27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27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27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27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27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27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27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27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27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27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27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27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27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27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278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27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27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27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27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27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27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27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27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27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27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27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27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27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27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27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27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27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27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27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27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27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27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27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27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27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27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27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27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27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27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27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27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27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27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27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27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27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27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27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27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27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27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27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27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27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27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27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27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27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27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27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27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27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27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27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27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27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27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272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27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27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27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27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27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27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27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27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27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27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27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27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27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27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27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27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27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27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27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27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27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27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27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26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26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26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26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26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26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269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26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26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26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26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26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26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26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26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26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26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26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26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26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26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26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26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26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26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26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26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26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26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26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26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26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26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26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26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26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23:P146">
    <cfRule type="colorScale" priority="26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47:P170">
    <cfRule type="colorScale" priority="26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71:P194">
    <cfRule type="colorScale" priority="26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95:P218">
    <cfRule type="colorScale" priority="26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19:P242">
    <cfRule type="colorScale" priority="26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43:P266">
    <cfRule type="colorScale" priority="26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67:P290">
    <cfRule type="colorScale" priority="26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91:P314">
    <cfRule type="colorScale" priority="26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15:P338">
    <cfRule type="colorScale" priority="26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39:P362">
    <cfRule type="colorScale" priority="26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63:P386">
    <cfRule type="colorScale" priority="26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87:P410">
    <cfRule type="colorScale" priority="26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11:P434">
    <cfRule type="colorScale" priority="26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35:P458">
    <cfRule type="colorScale" priority="26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59:P482">
    <cfRule type="colorScale" priority="26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83:P506">
    <cfRule type="colorScale" priority="26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07:P530">
    <cfRule type="colorScale" priority="26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31:P554">
    <cfRule type="colorScale" priority="26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55:P578">
    <cfRule type="colorScale" priority="26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79:P602">
    <cfRule type="colorScale" priority="26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03:P626">
    <cfRule type="colorScale" priority="26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27:P650">
    <cfRule type="colorScale" priority="26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51:P674">
    <cfRule type="colorScale" priority="26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75:P698">
    <cfRule type="colorScale" priority="26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:P26">
    <cfRule type="colorScale" priority="26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7:P50">
    <cfRule type="colorScale" priority="26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1:P74">
    <cfRule type="colorScale" priority="26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75:P98">
    <cfRule type="colorScale" priority="26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99:P122">
    <cfRule type="colorScale" priority="26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O3:O31">
    <cfRule type="colorScale" priority="263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P123:P146">
    <cfRule type="colorScale" priority="26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47:P170">
    <cfRule type="colorScale" priority="26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71:P194">
    <cfRule type="colorScale" priority="26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95:P218">
    <cfRule type="colorScale" priority="26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19:P242">
    <cfRule type="colorScale" priority="26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43:P266">
    <cfRule type="colorScale" priority="26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67:P290">
    <cfRule type="colorScale" priority="26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91:P314">
    <cfRule type="colorScale" priority="26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15:P338">
    <cfRule type="colorScale" priority="26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39:P362">
    <cfRule type="colorScale" priority="26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63:P386">
    <cfRule type="colorScale" priority="26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87:P410">
    <cfRule type="colorScale" priority="26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11:P434">
    <cfRule type="colorScale" priority="26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35:P458">
    <cfRule type="colorScale" priority="26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59:P482">
    <cfRule type="colorScale" priority="26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83:P506">
    <cfRule type="colorScale" priority="26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07:P530">
    <cfRule type="colorScale" priority="26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31:P554">
    <cfRule type="colorScale" priority="26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55:P578">
    <cfRule type="colorScale" priority="26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79:P602">
    <cfRule type="colorScale" priority="26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03:P626">
    <cfRule type="colorScale" priority="26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27:P650">
    <cfRule type="colorScale" priority="26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51:P674">
    <cfRule type="colorScale" priority="26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75:P698">
    <cfRule type="colorScale" priority="26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:P26">
    <cfRule type="colorScale" priority="26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7:P50">
    <cfRule type="colorScale" priority="26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1:P74">
    <cfRule type="colorScale" priority="26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75:P98">
    <cfRule type="colorScale" priority="26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99:P122">
    <cfRule type="colorScale" priority="26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O3:O31">
    <cfRule type="colorScale" priority="260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P123:P146">
    <cfRule type="colorScale" priority="26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47:P170">
    <cfRule type="colorScale" priority="26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71:P194">
    <cfRule type="colorScale" priority="26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95:P218">
    <cfRule type="colorScale" priority="26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19:P242">
    <cfRule type="colorScale" priority="25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43:P266">
    <cfRule type="colorScale" priority="25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67:P290">
    <cfRule type="colorScale" priority="25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91:P314">
    <cfRule type="colorScale" priority="25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15:P338">
    <cfRule type="colorScale" priority="25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39:P362">
    <cfRule type="colorScale" priority="25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63:P386">
    <cfRule type="colorScale" priority="25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87:P410">
    <cfRule type="colorScale" priority="25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11:P434">
    <cfRule type="colorScale" priority="25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35:P458">
    <cfRule type="colorScale" priority="25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59:P482">
    <cfRule type="colorScale" priority="25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83:P506">
    <cfRule type="colorScale" priority="25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07:P530">
    <cfRule type="colorScale" priority="25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31:P554">
    <cfRule type="colorScale" priority="25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55:P578">
    <cfRule type="colorScale" priority="25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79:P602">
    <cfRule type="colorScale" priority="25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03:P626">
    <cfRule type="colorScale" priority="25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27:P650">
    <cfRule type="colorScale" priority="25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51:P674">
    <cfRule type="colorScale" priority="25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75:P698">
    <cfRule type="colorScale" priority="25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:P26">
    <cfRule type="colorScale" priority="25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7:P50">
    <cfRule type="colorScale" priority="25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1:P74">
    <cfRule type="colorScale" priority="25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75:P98">
    <cfRule type="colorScale" priority="25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99:P122">
    <cfRule type="colorScale" priority="25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23:R146">
    <cfRule type="colorScale" priority="25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25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25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25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25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25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25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25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25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25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25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25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25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25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25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25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25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25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25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25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25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25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25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25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25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25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25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25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25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Q3:Q31">
    <cfRule type="colorScale" priority="2545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R123:R146">
    <cfRule type="colorScale" priority="25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25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25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25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25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25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25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25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25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25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25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25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25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25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25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25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25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25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25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25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25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25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25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25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25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25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25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25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25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Q3:Q31">
    <cfRule type="colorScale" priority="2515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R123:R146">
    <cfRule type="colorScale" priority="25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25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25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25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25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25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25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25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25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25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25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25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25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25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25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24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24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24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24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24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24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24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24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24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24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24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24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24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24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23:T146">
    <cfRule type="colorScale" priority="24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24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24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24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24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24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24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24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24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24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24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24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24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24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24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24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24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24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24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24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24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24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24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24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24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24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24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24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24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2456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24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24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24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24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24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24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24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24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24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24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24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24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24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24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24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24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24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24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24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24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24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24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24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24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24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24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24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24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24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2426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24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24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24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24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24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24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24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24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24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24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24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24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24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24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24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24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24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24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24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24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24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24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24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24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24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24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23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23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23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23:V146">
    <cfRule type="colorScale" priority="23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23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23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23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23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23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23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23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23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23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23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23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23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23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23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23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23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23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23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23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23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23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23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23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3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3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3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3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3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236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23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23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23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23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23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23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23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23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23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23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23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23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23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23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23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23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23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23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23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23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23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23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23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23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3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3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3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3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3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233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23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23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23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23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23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23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23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23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23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23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23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23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23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23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23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23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23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23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23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23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23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23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23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23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3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3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3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3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3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23:X146">
    <cfRule type="colorScale" priority="23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47:X170">
    <cfRule type="colorScale" priority="23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71:X194">
    <cfRule type="colorScale" priority="23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95:X218">
    <cfRule type="colorScale" priority="23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19:X242">
    <cfRule type="colorScale" priority="23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43:X266">
    <cfRule type="colorScale" priority="23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67:X290">
    <cfRule type="colorScale" priority="23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91:X314">
    <cfRule type="colorScale" priority="23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15:X338">
    <cfRule type="colorScale" priority="22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39:X362">
    <cfRule type="colorScale" priority="22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63:X386">
    <cfRule type="colorScale" priority="22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87:X410">
    <cfRule type="colorScale" priority="22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11:X434">
    <cfRule type="colorScale" priority="22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35:X458">
    <cfRule type="colorScale" priority="22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59:X482">
    <cfRule type="colorScale" priority="22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83:X506">
    <cfRule type="colorScale" priority="22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07:X530">
    <cfRule type="colorScale" priority="22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31:X554">
    <cfRule type="colorScale" priority="22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55:X578">
    <cfRule type="colorScale" priority="22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79:X602">
    <cfRule type="colorScale" priority="22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03:X626">
    <cfRule type="colorScale" priority="22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27:X650">
    <cfRule type="colorScale" priority="22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51:X674">
    <cfRule type="colorScale" priority="22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75:X698">
    <cfRule type="colorScale" priority="22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:X26">
    <cfRule type="colorScale" priority="22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7:X50">
    <cfRule type="colorScale" priority="22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1:X74">
    <cfRule type="colorScale" priority="22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75:X98">
    <cfRule type="colorScale" priority="22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99:X122">
    <cfRule type="colorScale" priority="22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W3:W31">
    <cfRule type="colorScale" priority="227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X123:X146">
    <cfRule type="colorScale" priority="22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47:X170">
    <cfRule type="colorScale" priority="22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71:X194">
    <cfRule type="colorScale" priority="22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95:X218">
    <cfRule type="colorScale" priority="22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19:X242">
    <cfRule type="colorScale" priority="22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43:X266">
    <cfRule type="colorScale" priority="22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67:X290">
    <cfRule type="colorScale" priority="22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91:X314">
    <cfRule type="colorScale" priority="22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15:X338">
    <cfRule type="colorScale" priority="22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39:X362">
    <cfRule type="colorScale" priority="22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63:X386">
    <cfRule type="colorScale" priority="22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87:X410">
    <cfRule type="colorScale" priority="22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11:X434">
    <cfRule type="colorScale" priority="22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35:X458">
    <cfRule type="colorScale" priority="22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59:X482">
    <cfRule type="colorScale" priority="22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83:X506">
    <cfRule type="colorScale" priority="22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07:X530">
    <cfRule type="colorScale" priority="22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31:X554">
    <cfRule type="colorScale" priority="22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55:X578">
    <cfRule type="colorScale" priority="22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79:X602">
    <cfRule type="colorScale" priority="22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03:X626">
    <cfRule type="colorScale" priority="22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27:X650">
    <cfRule type="colorScale" priority="22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51:X674">
    <cfRule type="colorScale" priority="22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75:X698">
    <cfRule type="colorScale" priority="22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:X26">
    <cfRule type="colorScale" priority="22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7:X50">
    <cfRule type="colorScale" priority="22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1:X74">
    <cfRule type="colorScale" priority="22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75:X98">
    <cfRule type="colorScale" priority="22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99:X122">
    <cfRule type="colorScale" priority="22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W3:W31">
    <cfRule type="colorScale" priority="224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X123:X146">
    <cfRule type="colorScale" priority="22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47:X170">
    <cfRule type="colorScale" priority="22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71:X194">
    <cfRule type="colorScale" priority="22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95:X218">
    <cfRule type="colorScale" priority="22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19:X242">
    <cfRule type="colorScale" priority="22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43:X266">
    <cfRule type="colorScale" priority="22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67:X290">
    <cfRule type="colorScale" priority="22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91:X314">
    <cfRule type="colorScale" priority="22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15:X338">
    <cfRule type="colorScale" priority="22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39:X362">
    <cfRule type="colorScale" priority="22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63:X386">
    <cfRule type="colorScale" priority="22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87:X410">
    <cfRule type="colorScale" priority="22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11:X434">
    <cfRule type="colorScale" priority="22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35:X458">
    <cfRule type="colorScale" priority="22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59:X482">
    <cfRule type="colorScale" priority="22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83:X506">
    <cfRule type="colorScale" priority="22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07:X530">
    <cfRule type="colorScale" priority="22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31:X554">
    <cfRule type="colorScale" priority="22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55:X578">
    <cfRule type="colorScale" priority="22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79:X602">
    <cfRule type="colorScale" priority="22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03:X626">
    <cfRule type="colorScale" priority="22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27:X650">
    <cfRule type="colorScale" priority="22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51:X674">
    <cfRule type="colorScale" priority="22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75:X698">
    <cfRule type="colorScale" priority="22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:X26">
    <cfRule type="colorScale" priority="22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7:X50">
    <cfRule type="colorScale" priority="22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1:X74">
    <cfRule type="colorScale" priority="22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75:X98">
    <cfRule type="colorScale" priority="22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99:X122">
    <cfRule type="colorScale" priority="22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22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22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22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22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22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22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22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22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22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22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22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22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22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22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22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22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22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22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22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21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21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21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21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21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21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21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21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21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21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21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21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21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21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21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21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21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21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21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21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21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21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21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21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21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21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21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21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21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21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21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21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21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21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21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21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21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21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21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21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21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21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21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21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21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21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21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21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21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21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21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21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21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21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21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21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21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21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21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21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21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21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21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21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21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21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21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21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21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21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21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21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21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21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21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21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21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21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21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21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21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21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21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21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21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21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21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21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21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21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21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21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21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21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21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21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21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20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20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20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20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20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20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20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20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20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20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20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20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20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20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20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20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20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20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20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20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20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20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20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20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20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20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20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20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20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4:H147">
    <cfRule type="colorScale" priority="20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8:H171">
    <cfRule type="colorScale" priority="20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2:H195">
    <cfRule type="colorScale" priority="20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6:H219">
    <cfRule type="colorScale" priority="20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20:H243">
    <cfRule type="colorScale" priority="20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4:H267">
    <cfRule type="colorScale" priority="20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8:H291">
    <cfRule type="colorScale" priority="20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2:H315">
    <cfRule type="colorScale" priority="20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6:H339">
    <cfRule type="colorScale" priority="20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40:H363">
    <cfRule type="colorScale" priority="20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4:H387">
    <cfRule type="colorScale" priority="20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8:H411">
    <cfRule type="colorScale" priority="20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2:H435">
    <cfRule type="colorScale" priority="20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6:H459">
    <cfRule type="colorScale" priority="20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60:H483">
    <cfRule type="colorScale" priority="20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4:H507">
    <cfRule type="colorScale" priority="20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8:H531">
    <cfRule type="colorScale" priority="20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2:H555">
    <cfRule type="colorScale" priority="20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6:H579">
    <cfRule type="colorScale" priority="20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80:H603">
    <cfRule type="colorScale" priority="20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4:H627">
    <cfRule type="colorScale" priority="20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8:H651">
    <cfRule type="colorScale" priority="20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2:H675">
    <cfRule type="colorScale" priority="20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6:H699">
    <cfRule type="colorScale" priority="20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:H27">
    <cfRule type="colorScale" priority="20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8:H51">
    <cfRule type="colorScale" priority="20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2:H75">
    <cfRule type="colorScale" priority="20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6:H99">
    <cfRule type="colorScale" priority="20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00:H123">
    <cfRule type="colorScale" priority="20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23:J146">
    <cfRule type="colorScale" priority="20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0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0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0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0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0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0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0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0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0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0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0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20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20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20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20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20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20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20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20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20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20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20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20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20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20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20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20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20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201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20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20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20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20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20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20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20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20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20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20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20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20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9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9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9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9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9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9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9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9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9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9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9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9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9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9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9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9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9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198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19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9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9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9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9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9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9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9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9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9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9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9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9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9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9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9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9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9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9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9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9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9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9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9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9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9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9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9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9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23:J146">
    <cfRule type="colorScale" priority="19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9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9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9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9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9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9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9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9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9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9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9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9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9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9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9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9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9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9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9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9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9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9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9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9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9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9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9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9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192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19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9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9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9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9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9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9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9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9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9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9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9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9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9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9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9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9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9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9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9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9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9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9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8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8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8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8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8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8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189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18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8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8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8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8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8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8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8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8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8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8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8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8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8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8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8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8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8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8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8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8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8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8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8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8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8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8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8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8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I3:I31">
    <cfRule type="colorScale" priority="186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J123:J146">
    <cfRule type="colorScale" priority="18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8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8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8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8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8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8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8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8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8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8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8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8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8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8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8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8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8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8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8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8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8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8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8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8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8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8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8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8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23:J146">
    <cfRule type="colorScale" priority="18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47:J170">
    <cfRule type="colorScale" priority="18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71:J194">
    <cfRule type="colorScale" priority="18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195:J218">
    <cfRule type="colorScale" priority="18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19:J242">
    <cfRule type="colorScale" priority="18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43:J266">
    <cfRule type="colorScale" priority="18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67:J290">
    <cfRule type="colorScale" priority="18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91:J314">
    <cfRule type="colorScale" priority="18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15:J338">
    <cfRule type="colorScale" priority="18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39:J362">
    <cfRule type="colorScale" priority="18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63:J386">
    <cfRule type="colorScale" priority="18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87:J410">
    <cfRule type="colorScale" priority="18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11:J434">
    <cfRule type="colorScale" priority="18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35:J458">
    <cfRule type="colorScale" priority="18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59:J482">
    <cfRule type="colorScale" priority="18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483:J506">
    <cfRule type="colorScale" priority="18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07:J530">
    <cfRule type="colorScale" priority="18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31:J554">
    <cfRule type="colorScale" priority="18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55:J578">
    <cfRule type="colorScale" priority="18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79:J602">
    <cfRule type="colorScale" priority="18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03:J626">
    <cfRule type="colorScale" priority="18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27:J650">
    <cfRule type="colorScale" priority="18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51:J674">
    <cfRule type="colorScale" priority="18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675:J698">
    <cfRule type="colorScale" priority="18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3:J26">
    <cfRule type="colorScale" priority="18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27:J50">
    <cfRule type="colorScale" priority="18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51:J74">
    <cfRule type="colorScale" priority="18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75:J98">
    <cfRule type="colorScale" priority="18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J99:J122">
    <cfRule type="colorScale" priority="18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18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8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8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8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8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7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7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7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7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7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7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7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7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7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7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7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7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7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7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7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7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7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7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7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7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7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7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7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7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775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7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7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7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7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7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7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7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7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7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7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7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7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7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7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7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7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7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7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7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7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7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7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7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7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7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7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7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7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7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745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7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7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7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7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7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7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7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7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7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7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7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7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7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7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7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7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7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7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7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7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7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7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7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7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7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7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7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7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7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17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7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7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7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7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7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7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7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7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7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7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7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7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7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7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7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6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6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6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6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6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6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6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6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6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6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6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6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6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686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6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6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6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6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6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6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6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6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6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6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6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6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6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6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6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6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6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6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6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6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6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6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6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6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6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6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6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6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6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656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6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6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6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6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6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6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6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6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6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6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6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6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6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6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6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6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6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6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6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6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6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6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6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6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6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6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6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6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6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16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6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6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6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6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6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6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6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6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6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6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6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6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6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6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6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6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6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6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6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6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6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6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6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6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6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6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5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5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59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5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5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5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5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5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5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5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5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5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5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5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5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5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5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5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5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5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5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5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5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5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5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5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5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5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5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5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5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5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56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5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5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5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5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5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5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5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5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5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5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5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5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5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5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5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5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5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5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5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5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5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5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5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5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5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5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5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5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5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15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5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5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5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5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5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5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5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5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5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5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5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5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5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5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5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5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5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5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5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5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5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5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5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5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5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5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5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5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50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5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5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5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5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5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5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5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5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4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4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4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4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4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4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4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4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4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4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4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4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4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4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4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4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4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4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4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4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4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47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4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4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4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4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4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4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4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4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4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4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4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4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4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4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4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4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4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4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4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4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4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4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4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4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4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4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4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4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4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K3:K31">
    <cfRule type="colorScale" priority="144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L123:L146">
    <cfRule type="colorScale" priority="14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4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4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4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4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4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4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4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4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4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4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4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4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4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4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4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4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4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4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4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4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4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4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4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4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4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4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4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4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23:L146">
    <cfRule type="colorScale" priority="14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47:L170">
    <cfRule type="colorScale" priority="14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71:L194">
    <cfRule type="colorScale" priority="14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195:L218">
    <cfRule type="colorScale" priority="14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19:L242">
    <cfRule type="colorScale" priority="14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43:L266">
    <cfRule type="colorScale" priority="14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67:L290">
    <cfRule type="colorScale" priority="14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91:L314">
    <cfRule type="colorScale" priority="14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15:L338">
    <cfRule type="colorScale" priority="14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39:L362">
    <cfRule type="colorScale" priority="14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63:L386">
    <cfRule type="colorScale" priority="14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87:L410">
    <cfRule type="colorScale" priority="14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11:L434">
    <cfRule type="colorScale" priority="14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35:L458">
    <cfRule type="colorScale" priority="14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59:L482">
    <cfRule type="colorScale" priority="14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483:L506">
    <cfRule type="colorScale" priority="14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07:L530">
    <cfRule type="colorScale" priority="14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31:L554">
    <cfRule type="colorScale" priority="14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55:L578">
    <cfRule type="colorScale" priority="14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79:L602">
    <cfRule type="colorScale" priority="13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03:L626">
    <cfRule type="colorScale" priority="13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27:L650">
    <cfRule type="colorScale" priority="13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51:L674">
    <cfRule type="colorScale" priority="13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675:L698">
    <cfRule type="colorScale" priority="13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3:L26">
    <cfRule type="colorScale" priority="13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27:L50">
    <cfRule type="colorScale" priority="13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51:L74">
    <cfRule type="colorScale" priority="13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75:L98">
    <cfRule type="colorScale" priority="13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L99:L122">
    <cfRule type="colorScale" priority="13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13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3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3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3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3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3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3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3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3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3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3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3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3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3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3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3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3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3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3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3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3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3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3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3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3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3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3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3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3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36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3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3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3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3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3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3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3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3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3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3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3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3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3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3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3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3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3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3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3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3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3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3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3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3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3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3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3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3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3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33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3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3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3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3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3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3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3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3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3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3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3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3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3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3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3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3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3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3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3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3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3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3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3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3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3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3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3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3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3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13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2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2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2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2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2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2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2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2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2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2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2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2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2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2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2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2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2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2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2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2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2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2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2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2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2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2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2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2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271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2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2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2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2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2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2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2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2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2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2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2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2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2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2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2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2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2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2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2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2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2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2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2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2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2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2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2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2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2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241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2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2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2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2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2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2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2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2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2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2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2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2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2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2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2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2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2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2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2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2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2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2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2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2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2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2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2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2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2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12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2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2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2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2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2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2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2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2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2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2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2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1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1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1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1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1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1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1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1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1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1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1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1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1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1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1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1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1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18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1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1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1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1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1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1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1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1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1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1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1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1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1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1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1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1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1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1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1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1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1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1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1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1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1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1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1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1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1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15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1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1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1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1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1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1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1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1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1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1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1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1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1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1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1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1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1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1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1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1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1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1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1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1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1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1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1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1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1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11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1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1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1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1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1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1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1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1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1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1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1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1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1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1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1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1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1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1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1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1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1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1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0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0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0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0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0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0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09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0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0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0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0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0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0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0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0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0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0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0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0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0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0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0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0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0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0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0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0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0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0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0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0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0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0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0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0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0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06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0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0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0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0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0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0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0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0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0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0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0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0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0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0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0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0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0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0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0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0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0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0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0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0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0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0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0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0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0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10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0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0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0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10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10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10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10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10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10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10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10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10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10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10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10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10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10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10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10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10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10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10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10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10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10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10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10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10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100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10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10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10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10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9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9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9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9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9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9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9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9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9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9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9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9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9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9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9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9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9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9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9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9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9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9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9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9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9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97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9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9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9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9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9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9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9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9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9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9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9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9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9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9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9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9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9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9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9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9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9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9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9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9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9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9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9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9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9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M3:M31">
    <cfRule type="colorScale" priority="94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N123:N146">
    <cfRule type="colorScale" priority="9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9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9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9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9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9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9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9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9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9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9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9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9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9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9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9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9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9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9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9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9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9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9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9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9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9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9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9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9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23:N146">
    <cfRule type="colorScale" priority="9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47:N170">
    <cfRule type="colorScale" priority="9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71:N194">
    <cfRule type="colorScale" priority="9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195:N218">
    <cfRule type="colorScale" priority="9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19:N242">
    <cfRule type="colorScale" priority="9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43:N266">
    <cfRule type="colorScale" priority="9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67:N290">
    <cfRule type="colorScale" priority="9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91:N314">
    <cfRule type="colorScale" priority="9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15:N338">
    <cfRule type="colorScale" priority="9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39:N362">
    <cfRule type="colorScale" priority="9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63:N386">
    <cfRule type="colorScale" priority="9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87:N410">
    <cfRule type="colorScale" priority="9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11:N434">
    <cfRule type="colorScale" priority="9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35:N458">
    <cfRule type="colorScale" priority="9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59:N482">
    <cfRule type="colorScale" priority="9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483:N506">
    <cfRule type="colorScale" priority="8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07:N530">
    <cfRule type="colorScale" priority="8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31:N554">
    <cfRule type="colorScale" priority="8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55:N578">
    <cfRule type="colorScale" priority="8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79:N602">
    <cfRule type="colorScale" priority="8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03:N626">
    <cfRule type="colorScale" priority="8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27:N650">
    <cfRule type="colorScale" priority="8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51:N674">
    <cfRule type="colorScale" priority="8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675:N698">
    <cfRule type="colorScale" priority="8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3:N26">
    <cfRule type="colorScale" priority="8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27:N50">
    <cfRule type="colorScale" priority="8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51:N74">
    <cfRule type="colorScale" priority="8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75:N98">
    <cfRule type="colorScale" priority="8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N99:N122">
    <cfRule type="colorScale" priority="8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23:P146">
    <cfRule type="colorScale" priority="8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47:P170">
    <cfRule type="colorScale" priority="8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71:P194">
    <cfRule type="colorScale" priority="8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195:P218">
    <cfRule type="colorScale" priority="8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19:P242">
    <cfRule type="colorScale" priority="8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43:P266">
    <cfRule type="colorScale" priority="8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67:P290">
    <cfRule type="colorScale" priority="8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91:P314">
    <cfRule type="colorScale" priority="8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15:P338">
    <cfRule type="colorScale" priority="8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39:P362">
    <cfRule type="colorScale" priority="8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63:P386">
    <cfRule type="colorScale" priority="8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87:P410">
    <cfRule type="colorScale" priority="8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11:P434">
    <cfRule type="colorScale" priority="8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35:P458">
    <cfRule type="colorScale" priority="8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59:P482">
    <cfRule type="colorScale" priority="8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483:P506">
    <cfRule type="colorScale" priority="8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07:P530">
    <cfRule type="colorScale" priority="8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31:P554">
    <cfRule type="colorScale" priority="8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55:P578">
    <cfRule type="colorScale" priority="8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79:P602">
    <cfRule type="colorScale" priority="8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03:P626">
    <cfRule type="colorScale" priority="8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27:P650">
    <cfRule type="colorScale" priority="8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51:P674">
    <cfRule type="colorScale" priority="8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675:P698">
    <cfRule type="colorScale" priority="8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3:P26">
    <cfRule type="colorScale" priority="8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27:P50">
    <cfRule type="colorScale" priority="8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51:P74">
    <cfRule type="colorScale" priority="8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75:P98">
    <cfRule type="colorScale" priority="8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P99:P122">
    <cfRule type="colorScale" priority="8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23:R146">
    <cfRule type="colorScale" priority="8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8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8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8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8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8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8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8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8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8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8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8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8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8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8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8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8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8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8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8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8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8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8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8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8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8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8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8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8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Q3:Q31">
    <cfRule type="colorScale" priority="82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R123:R146">
    <cfRule type="colorScale" priority="8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8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8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8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8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8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8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8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8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8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8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8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8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8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8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8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8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8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8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8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8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8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8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8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8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8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8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7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7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Q3:Q31">
    <cfRule type="colorScale" priority="797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R123:R146">
    <cfRule type="colorScale" priority="7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7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7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7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7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7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7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7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7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7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7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7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7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7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7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7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7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7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7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7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7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7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7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7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7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7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7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7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7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23:R146">
    <cfRule type="colorScale" priority="7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47:R170">
    <cfRule type="colorScale" priority="7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71:R194">
    <cfRule type="colorScale" priority="7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195:R218">
    <cfRule type="colorScale" priority="7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19:R242">
    <cfRule type="colorScale" priority="7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43:R266">
    <cfRule type="colorScale" priority="7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67:R290">
    <cfRule type="colorScale" priority="7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91:R314">
    <cfRule type="colorScale" priority="7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15:R338">
    <cfRule type="colorScale" priority="7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39:R362">
    <cfRule type="colorScale" priority="7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63:R386">
    <cfRule type="colorScale" priority="7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87:R410">
    <cfRule type="colorScale" priority="7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11:R434">
    <cfRule type="colorScale" priority="7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35:R458">
    <cfRule type="colorScale" priority="7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59:R482">
    <cfRule type="colorScale" priority="7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483:R506">
    <cfRule type="colorScale" priority="7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07:R530">
    <cfRule type="colorScale" priority="7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31:R554">
    <cfRule type="colorScale" priority="7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55:R578">
    <cfRule type="colorScale" priority="7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79:R602">
    <cfRule type="colorScale" priority="7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03:R626">
    <cfRule type="colorScale" priority="7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27:R650">
    <cfRule type="colorScale" priority="7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51:R674">
    <cfRule type="colorScale" priority="7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675:R698">
    <cfRule type="colorScale" priority="7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3:R26">
    <cfRule type="colorScale" priority="7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27:R50">
    <cfRule type="colorScale" priority="7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51:R74">
    <cfRule type="colorScale" priority="7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75:R98">
    <cfRule type="colorScale" priority="7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R99:R122">
    <cfRule type="colorScale" priority="7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23:T146">
    <cfRule type="colorScale" priority="7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7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7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7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7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7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7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7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7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7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7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7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7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7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7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7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7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7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7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7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7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7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7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7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7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7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7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7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7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709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7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7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7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7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7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7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7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7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7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6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6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6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6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6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6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6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6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6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6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6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6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6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6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6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6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6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6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6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6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679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6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6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6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6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6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6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6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6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6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6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6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6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6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6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6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6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6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6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6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6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6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6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6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6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6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6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6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6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6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23:T146">
    <cfRule type="colorScale" priority="6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6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6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6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6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6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6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6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6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6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6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6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6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6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6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6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6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6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6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6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6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6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6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6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6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6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6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6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6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62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6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6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6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6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6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6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6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6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6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6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6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6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6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6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6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6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6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6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6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6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5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5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5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5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5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5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5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5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5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S3:S31">
    <cfRule type="colorScale" priority="590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T123:T146">
    <cfRule type="colorScale" priority="5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5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5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5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5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5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5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5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5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5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5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5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5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5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5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5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5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5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5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5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5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5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5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5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5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5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5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5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5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23:T146">
    <cfRule type="colorScale" priority="5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47:T170">
    <cfRule type="colorScale" priority="5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71:T194">
    <cfRule type="colorScale" priority="5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195:T218">
    <cfRule type="colorScale" priority="5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19:T242">
    <cfRule type="colorScale" priority="5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43:T266">
    <cfRule type="colorScale" priority="5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67:T290">
    <cfRule type="colorScale" priority="5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91:T314">
    <cfRule type="colorScale" priority="5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15:T338">
    <cfRule type="colorScale" priority="5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39:T362">
    <cfRule type="colorScale" priority="5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63:T386">
    <cfRule type="colorScale" priority="5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87:T410">
    <cfRule type="colorScale" priority="5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11:T434">
    <cfRule type="colorScale" priority="5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35:T458">
    <cfRule type="colorScale" priority="5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59:T482">
    <cfRule type="colorScale" priority="5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483:T506">
    <cfRule type="colorScale" priority="5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07:T530">
    <cfRule type="colorScale" priority="5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31:T554">
    <cfRule type="colorScale" priority="5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55:T578">
    <cfRule type="colorScale" priority="5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79:T602">
    <cfRule type="colorScale" priority="5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03:T626">
    <cfRule type="colorScale" priority="5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27:T650">
    <cfRule type="colorScale" priority="5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51:T674">
    <cfRule type="colorScale" priority="5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675:T698">
    <cfRule type="colorScale" priority="5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3:T26">
    <cfRule type="colorScale" priority="5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27:T50">
    <cfRule type="colorScale" priority="5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51:T74">
    <cfRule type="colorScale" priority="5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75:T98">
    <cfRule type="colorScale" priority="5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T99:T122">
    <cfRule type="colorScale" priority="5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23:V146">
    <cfRule type="colorScale" priority="5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5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5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5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5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5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5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5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5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5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5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5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5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5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5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5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5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5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5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5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5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5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5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5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5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5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5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5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5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50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5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5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4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4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4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4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4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4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4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4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4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4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4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4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4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4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4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4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4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4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4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4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4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4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4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4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4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4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4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472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4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4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4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4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4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4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4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4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4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4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4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4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4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4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4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4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4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4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4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4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4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4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4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4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4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4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4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4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4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23:V146">
    <cfRule type="colorScale" priority="4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4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4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4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4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4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4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4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4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4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4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4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4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4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4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4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4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4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4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4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4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4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4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4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4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4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4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4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4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41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4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4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4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4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4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4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4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4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4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4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4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4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4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3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3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3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3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3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3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3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3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3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3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3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3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3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3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3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3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383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3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3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3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3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3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3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3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3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3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3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3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3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3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3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3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3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3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3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3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3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3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3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3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3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3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3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3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3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3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23:V146">
    <cfRule type="colorScale" priority="3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3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3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3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3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3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3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3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3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3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3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3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3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3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3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3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3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3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3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3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3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3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3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3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3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3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3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3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3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32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3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3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3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3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3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3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3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3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3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3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3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3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3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3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3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3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3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3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3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3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3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3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3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3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U3:U31">
    <cfRule type="colorScale" priority="294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V123:V146">
    <cfRule type="colorScale" priority="2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2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2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2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2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2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2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2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2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2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2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2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2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2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2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2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2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2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2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2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2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2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2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2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23:V146">
    <cfRule type="colorScale" priority="2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47:V170">
    <cfRule type="colorScale" priority="2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71:V194">
    <cfRule type="colorScale" priority="2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195:V218">
    <cfRule type="colorScale" priority="2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19:V242">
    <cfRule type="colorScale" priority="2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43:V266">
    <cfRule type="colorScale" priority="2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67:V290">
    <cfRule type="colorScale" priority="2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91:V314">
    <cfRule type="colorScale" priority="2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15:V338">
    <cfRule type="colorScale" priority="2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39:V362">
    <cfRule type="colorScale" priority="2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63:V386">
    <cfRule type="colorScale" priority="2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87:V410">
    <cfRule type="colorScale" priority="2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11:V434">
    <cfRule type="colorScale" priority="2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35:V458">
    <cfRule type="colorScale" priority="2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59:V482">
    <cfRule type="colorScale" priority="2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483:V506">
    <cfRule type="colorScale" priority="2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07:V530">
    <cfRule type="colorScale" priority="2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31:V554">
    <cfRule type="colorScale" priority="2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55:V578">
    <cfRule type="colorScale" priority="2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79:V602">
    <cfRule type="colorScale" priority="2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03:V626">
    <cfRule type="colorScale" priority="2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27:V650">
    <cfRule type="colorScale" priority="2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51:V674">
    <cfRule type="colorScale" priority="2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675:V698">
    <cfRule type="colorScale" priority="2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3:V26">
    <cfRule type="colorScale" priority="2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27:V50">
    <cfRule type="colorScale" priority="2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51:V74">
    <cfRule type="colorScale" priority="2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75:V98">
    <cfRule type="colorScale" priority="2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V99:V122">
    <cfRule type="colorScale" priority="2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23:X146">
    <cfRule type="colorScale" priority="2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47:X170">
    <cfRule type="colorScale" priority="2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71:X194">
    <cfRule type="colorScale" priority="2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195:X218">
    <cfRule type="colorScale" priority="2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19:X242">
    <cfRule type="colorScale" priority="2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43:X266">
    <cfRule type="colorScale" priority="2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67:X290">
    <cfRule type="colorScale" priority="2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91:X314">
    <cfRule type="colorScale" priority="2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15:X338">
    <cfRule type="colorScale" priority="2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39:X362">
    <cfRule type="colorScale" priority="2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63:X386">
    <cfRule type="colorScale" priority="2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87:X410">
    <cfRule type="colorScale" priority="2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11:X434">
    <cfRule type="colorScale" priority="2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35:X458">
    <cfRule type="colorScale" priority="2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59:X482">
    <cfRule type="colorScale" priority="2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483:X506">
    <cfRule type="colorScale" priority="2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07:X530">
    <cfRule type="colorScale" priority="2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31:X554">
    <cfRule type="colorScale" priority="2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55:X578">
    <cfRule type="colorScale" priority="2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79:X602">
    <cfRule type="colorScale" priority="2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03:X626">
    <cfRule type="colorScale" priority="2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27:X650">
    <cfRule type="colorScale" priority="2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51:X674">
    <cfRule type="colorScale" priority="2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675:X698">
    <cfRule type="colorScale" priority="2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3:X26">
    <cfRule type="colorScale" priority="2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27:X50">
    <cfRule type="colorScale" priority="2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51:X74">
    <cfRule type="colorScale" priority="2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75:X98">
    <cfRule type="colorScale" priority="2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X99:X122">
    <cfRule type="colorScale" priority="2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23:F146">
    <cfRule type="colorScale" priority="2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47:F170">
    <cfRule type="colorScale" priority="2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71:F194">
    <cfRule type="colorScale" priority="2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195:F218">
    <cfRule type="colorScale" priority="2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19:F242">
    <cfRule type="colorScale" priority="2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43:F266">
    <cfRule type="colorScale" priority="2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67:F290">
    <cfRule type="colorScale" priority="2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91:F314">
    <cfRule type="colorScale" priority="1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15:F338">
    <cfRule type="colorScale" priority="1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39:F362">
    <cfRule type="colorScale" priority="1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63:F386">
    <cfRule type="colorScale" priority="1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87:F410">
    <cfRule type="colorScale" priority="1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11:F434">
    <cfRule type="colorScale" priority="1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35:F458">
    <cfRule type="colorScale" priority="1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59:F482">
    <cfRule type="colorScale" priority="1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483:F506">
    <cfRule type="colorScale" priority="1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07:F530">
    <cfRule type="colorScale" priority="1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31:F554">
    <cfRule type="colorScale" priority="1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55:F578">
    <cfRule type="colorScale" priority="1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79:F602">
    <cfRule type="colorScale" priority="1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03:F626">
    <cfRule type="colorScale" priority="1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27:F650">
    <cfRule type="colorScale" priority="1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51:F674">
    <cfRule type="colorScale" priority="1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675:F698">
    <cfRule type="colorScale" priority="1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3:F26">
    <cfRule type="colorScale" priority="1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27:F50">
    <cfRule type="colorScale" priority="1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51:F74">
    <cfRule type="colorScale" priority="1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75:F98">
    <cfRule type="colorScale" priority="1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F99:F122">
    <cfRule type="colorScale" priority="1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1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1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1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1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1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1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1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1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1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1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1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1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1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1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1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1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1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1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1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1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1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1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1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1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1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1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1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1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1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1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1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1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1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1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1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1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1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1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1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1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1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1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1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1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1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1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1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1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1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1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1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1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1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1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1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1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1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1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1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1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1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1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1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1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1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1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1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1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10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10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10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10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10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10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10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10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10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10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9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9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9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9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9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9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9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9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9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9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8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8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8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8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8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8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8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8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8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8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7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7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7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7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7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7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7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7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7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7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6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6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6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6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6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6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6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6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6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6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5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5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5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5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5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5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5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5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5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5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4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4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4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4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4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4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4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4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4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4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3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3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3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3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3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3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3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23:H146">
    <cfRule type="colorScale" priority="3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47:H170">
    <cfRule type="colorScale" priority="3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71:H194">
    <cfRule type="colorScale" priority="3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195:H218">
    <cfRule type="colorScale" priority="2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19:H242">
    <cfRule type="colorScale" priority="2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43:H266">
    <cfRule type="colorScale" priority="2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67:H290">
    <cfRule type="colorScale" priority="2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91:H314">
    <cfRule type="colorScale" priority="2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15:H338">
    <cfRule type="colorScale" priority="2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39:H362">
    <cfRule type="colorScale" priority="2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63:H386">
    <cfRule type="colorScale" priority="2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87:H410">
    <cfRule type="colorScale" priority="2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11:H434">
    <cfRule type="colorScale" priority="2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35:H458">
    <cfRule type="colorScale" priority="1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59:H482">
    <cfRule type="colorScale" priority="1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483:H506">
    <cfRule type="colorScale" priority="1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07:H530">
    <cfRule type="colorScale" priority="1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31:H554">
    <cfRule type="colorScale" priority="1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55:H578">
    <cfRule type="colorScale" priority="14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79:H602">
    <cfRule type="colorScale" priority="13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03:H626">
    <cfRule type="colorScale" priority="12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27:H650">
    <cfRule type="colorScale" priority="11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51:H674">
    <cfRule type="colorScale" priority="10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675:H698">
    <cfRule type="colorScale" priority="9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3:H26">
    <cfRule type="colorScale" priority="8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27:H50">
    <cfRule type="colorScale" priority="7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51:H74">
    <cfRule type="colorScale" priority="6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75:H98">
    <cfRule type="colorScale" priority="5">
      <colorScale>
        <cfvo type="min" val="0"/>
        <cfvo type="max" val="0"/>
        <color theme="6" tint="0.59999389629810485"/>
        <color theme="6" tint="-0.249977111117893"/>
      </colorScale>
    </cfRule>
  </conditionalFormatting>
  <conditionalFormatting sqref="H99:H122">
    <cfRule type="colorScale" priority="4">
      <colorScale>
        <cfvo type="min" val="0"/>
        <cfvo type="max" val="0"/>
        <color theme="6" tint="0.59999389629810485"/>
        <color theme="6" tint="-0.249977111117893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O240"/>
  <sheetViews>
    <sheetView workbookViewId="0">
      <pane ySplit="3" topLeftCell="A192" activePane="bottomLeft" state="frozen"/>
      <selection activeCell="F28" sqref="F28:G35"/>
      <selection pane="bottomLeft" activeCell="K229" sqref="K229"/>
    </sheetView>
  </sheetViews>
  <sheetFormatPr defaultRowHeight="14.4"/>
  <cols>
    <col min="1" max="1" width="10.33203125" style="2255" bestFit="1" customWidth="1"/>
    <col min="2" max="2" width="14" style="2255" customWidth="1"/>
    <col min="3" max="7" width="8.88671875" style="2255"/>
    <col min="8" max="8" width="8.88671875" style="2277"/>
    <col min="9" max="9" width="8.88671875" style="2255"/>
    <col min="10" max="10" width="8.88671875" style="2277"/>
    <col min="11" max="16384" width="8.88671875" style="2255"/>
  </cols>
  <sheetData>
    <row r="1" spans="1:41">
      <c r="A1" s="2409"/>
      <c r="B1" s="2410">
        <f>MAX(B5:B84)</f>
        <v>45291</v>
      </c>
      <c r="C1" s="2409">
        <f>B1-B5</f>
        <v>79</v>
      </c>
      <c r="D1" s="2409">
        <f>B1-B53</f>
        <v>31</v>
      </c>
      <c r="E1" s="2411">
        <f>SUM($E54:$E84)</f>
        <v>1378</v>
      </c>
      <c r="F1" s="2409" t="s">
        <v>1589</v>
      </c>
      <c r="G1" s="2411">
        <f>SUM($E85:$E115)</f>
        <v>1516</v>
      </c>
      <c r="H1" s="2412" t="s">
        <v>1639</v>
      </c>
      <c r="I1" s="2411">
        <f>SUM($I54:$I84)</f>
        <v>31.01</v>
      </c>
      <c r="J1" s="2413">
        <f>I1/D1</f>
        <v>1.0003225806451614</v>
      </c>
      <c r="K1" s="2409"/>
      <c r="L1" s="2411">
        <f>SUM($I85:$I115)</f>
        <v>30.38</v>
      </c>
      <c r="M1" s="2411">
        <f>SUM($I116:$I144)</f>
        <v>25.459999999999997</v>
      </c>
      <c r="N1" s="2411">
        <f>SUM($E116:$E144)</f>
        <v>1140</v>
      </c>
      <c r="O1" s="2409"/>
      <c r="P1" s="2409"/>
      <c r="Q1" s="2409"/>
      <c r="R1" s="2409"/>
      <c r="S1" s="2409"/>
      <c r="T1" s="2409"/>
      <c r="U1" s="2409"/>
      <c r="V1" s="2409"/>
      <c r="W1" s="2409"/>
      <c r="X1" s="2409"/>
      <c r="Y1" s="2409"/>
      <c r="Z1" s="2409"/>
      <c r="AA1" s="2409"/>
      <c r="AB1" s="2409"/>
    </row>
    <row r="2" spans="1:41">
      <c r="A2" s="2414" t="s">
        <v>1617</v>
      </c>
      <c r="B2" s="2414" t="s">
        <v>1616</v>
      </c>
      <c r="C2" s="2414" t="s">
        <v>1616</v>
      </c>
      <c r="D2" s="2414" t="s">
        <v>1615</v>
      </c>
      <c r="E2" s="2414" t="s">
        <v>1210</v>
      </c>
      <c r="F2" s="2414" t="s">
        <v>1614</v>
      </c>
      <c r="G2" s="2414"/>
      <c r="H2" s="2415" t="s">
        <v>1640</v>
      </c>
      <c r="I2" s="2416">
        <f>SUM(I5:I85)</f>
        <v>73.330000000000041</v>
      </c>
      <c r="J2" s="2417">
        <f>I2/$C$1</f>
        <v>0.92822784810126635</v>
      </c>
      <c r="K2" s="2414" t="s">
        <v>1613</v>
      </c>
      <c r="L2" s="2414" t="s">
        <v>1612</v>
      </c>
      <c r="M2" s="2414" t="s">
        <v>1612</v>
      </c>
      <c r="N2" s="2414"/>
      <c r="O2" s="2414" t="s">
        <v>1611</v>
      </c>
      <c r="P2" s="2414" t="s">
        <v>1611</v>
      </c>
      <c r="Q2" s="2414" t="s">
        <v>1611</v>
      </c>
      <c r="R2" s="2414"/>
      <c r="S2" s="2414" t="s">
        <v>1610</v>
      </c>
      <c r="T2" s="2414" t="s">
        <v>1609</v>
      </c>
      <c r="U2" s="2414"/>
      <c r="V2" s="2414"/>
      <c r="W2" s="2414" t="s">
        <v>1608</v>
      </c>
      <c r="X2" s="2414" t="s">
        <v>1607</v>
      </c>
      <c r="Y2" s="2414" t="s">
        <v>1606</v>
      </c>
      <c r="Z2" s="2414"/>
      <c r="AA2" s="2414" t="s">
        <v>1605</v>
      </c>
      <c r="AB2" s="2414"/>
      <c r="AO2" s="2255" t="s">
        <v>1604</v>
      </c>
    </row>
    <row r="3" spans="1:41">
      <c r="A3" s="2414" t="s">
        <v>1603</v>
      </c>
      <c r="B3" s="2414" t="s">
        <v>1114</v>
      </c>
      <c r="C3" s="2414" t="s">
        <v>1602</v>
      </c>
      <c r="D3" s="2414" t="s">
        <v>1601</v>
      </c>
      <c r="E3" s="2414">
        <f>SUM($E$85:$E$263)</f>
        <v>4392</v>
      </c>
      <c r="F3" s="2414" t="s">
        <v>1589</v>
      </c>
      <c r="G3" s="2414"/>
      <c r="H3" s="2418" t="s">
        <v>1601</v>
      </c>
      <c r="I3" s="2451" t="s">
        <v>1618</v>
      </c>
      <c r="J3" s="2418"/>
      <c r="K3" s="2414" t="s">
        <v>1357</v>
      </c>
      <c r="L3" s="2414" t="s">
        <v>1210</v>
      </c>
      <c r="M3" s="2414" t="s">
        <v>1600</v>
      </c>
      <c r="N3" s="2414"/>
      <c r="O3" s="2414" t="s">
        <v>1599</v>
      </c>
      <c r="P3" s="2414" t="s">
        <v>1598</v>
      </c>
      <c r="Q3" s="2414" t="s">
        <v>1597</v>
      </c>
      <c r="R3" s="2414"/>
      <c r="S3" s="2414" t="s">
        <v>1596</v>
      </c>
      <c r="T3" s="2414" t="s">
        <v>1596</v>
      </c>
      <c r="U3" s="2414" t="s">
        <v>1595</v>
      </c>
      <c r="V3" s="2414"/>
      <c r="W3" s="2414" t="s">
        <v>1594</v>
      </c>
      <c r="X3" s="2414" t="s">
        <v>1593</v>
      </c>
      <c r="Y3" s="2414" t="s">
        <v>1593</v>
      </c>
      <c r="Z3" s="2414"/>
      <c r="AA3" s="2414" t="s">
        <v>1592</v>
      </c>
      <c r="AB3" s="2414" t="s">
        <v>1591</v>
      </c>
    </row>
    <row r="4" spans="1:41" s="1721" customFormat="1" ht="13.2">
      <c r="A4" s="2406">
        <v>58091715</v>
      </c>
      <c r="B4" s="2407">
        <v>45211</v>
      </c>
      <c r="C4" s="2406" t="s">
        <v>1590</v>
      </c>
      <c r="D4" s="2406">
        <v>51487</v>
      </c>
      <c r="E4" s="2406"/>
      <c r="F4" s="2406"/>
      <c r="G4" s="2406"/>
      <c r="H4" s="2406">
        <v>2247.35</v>
      </c>
      <c r="I4" s="2406"/>
      <c r="J4" s="2408"/>
      <c r="K4" s="2406">
        <v>56448</v>
      </c>
      <c r="L4" s="2406"/>
      <c r="M4" s="2406"/>
      <c r="N4" s="2406"/>
      <c r="O4" s="2406">
        <v>162872</v>
      </c>
      <c r="P4" s="2406">
        <v>111404</v>
      </c>
      <c r="Q4" s="2406"/>
      <c r="R4" s="2406"/>
      <c r="S4" s="2406">
        <v>0</v>
      </c>
      <c r="T4" s="2406">
        <v>0</v>
      </c>
      <c r="U4" s="2406"/>
      <c r="V4" s="2406"/>
      <c r="W4" s="2406">
        <v>0</v>
      </c>
      <c r="X4" s="2406">
        <v>0</v>
      </c>
      <c r="Y4" s="2406">
        <v>0</v>
      </c>
      <c r="Z4" s="2406"/>
      <c r="AA4" s="2406"/>
      <c r="AB4" s="2406"/>
    </row>
    <row r="5" spans="1:41" s="1721" customFormat="1" ht="13.2">
      <c r="A5" s="2406">
        <v>58091715</v>
      </c>
      <c r="B5" s="2407">
        <v>45212</v>
      </c>
      <c r="C5" s="2406" t="s">
        <v>1130</v>
      </c>
      <c r="D5" s="2406">
        <v>51500</v>
      </c>
      <c r="E5" s="2406">
        <v>13</v>
      </c>
      <c r="F5" s="2406" t="s">
        <v>1589</v>
      </c>
      <c r="G5" s="2406"/>
      <c r="H5" s="2406">
        <v>2247.7399999999998</v>
      </c>
      <c r="I5" s="2406">
        <v>0.39</v>
      </c>
      <c r="J5" s="2408"/>
      <c r="K5" s="2406">
        <v>56472</v>
      </c>
      <c r="L5" s="2406">
        <v>24</v>
      </c>
      <c r="M5" s="2406" t="s">
        <v>1588</v>
      </c>
      <c r="N5" s="2406"/>
      <c r="O5" s="2406">
        <v>162941</v>
      </c>
      <c r="P5" s="2406">
        <v>111443</v>
      </c>
      <c r="Q5" s="2406" t="s">
        <v>1587</v>
      </c>
      <c r="R5" s="2406"/>
      <c r="S5" s="2406">
        <v>176.92</v>
      </c>
      <c r="T5" s="2406">
        <v>100</v>
      </c>
      <c r="U5" s="2406">
        <v>28.66</v>
      </c>
      <c r="V5" s="2406"/>
      <c r="W5" s="2406">
        <v>27</v>
      </c>
      <c r="X5" s="2406">
        <v>0</v>
      </c>
      <c r="Y5" s="2406">
        <v>0</v>
      </c>
      <c r="Z5" s="2406"/>
      <c r="AA5" s="2406"/>
      <c r="AB5" s="2406"/>
    </row>
    <row r="6" spans="1:41" s="1721" customFormat="1" ht="13.2">
      <c r="A6" s="2406">
        <v>58091715</v>
      </c>
      <c r="B6" s="2407">
        <v>45213</v>
      </c>
      <c r="C6" s="2406" t="s">
        <v>1128</v>
      </c>
      <c r="D6" s="2406">
        <v>51524</v>
      </c>
      <c r="E6" s="2406">
        <v>24</v>
      </c>
      <c r="F6" s="2406" t="s">
        <v>1589</v>
      </c>
      <c r="G6" s="2406"/>
      <c r="H6" s="2406">
        <v>2248.4899999999998</v>
      </c>
      <c r="I6" s="2406">
        <v>0.75</v>
      </c>
      <c r="J6" s="2408"/>
      <c r="K6" s="2406">
        <v>56496</v>
      </c>
      <c r="L6" s="2406">
        <v>24</v>
      </c>
      <c r="M6" s="2406" t="s">
        <v>1588</v>
      </c>
      <c r="N6" s="2406"/>
      <c r="O6" s="2406">
        <v>162996</v>
      </c>
      <c r="P6" s="2406">
        <v>111474</v>
      </c>
      <c r="Q6" s="2406" t="s">
        <v>1587</v>
      </c>
      <c r="R6" s="2406"/>
      <c r="S6" s="2406">
        <v>73.33</v>
      </c>
      <c r="T6" s="2406">
        <v>41.33</v>
      </c>
      <c r="U6" s="2406">
        <v>27.52</v>
      </c>
      <c r="V6" s="2406"/>
      <c r="W6" s="2406">
        <v>27</v>
      </c>
      <c r="X6" s="2406">
        <v>0</v>
      </c>
      <c r="Y6" s="2406">
        <v>0</v>
      </c>
      <c r="Z6" s="2406"/>
      <c r="AA6" s="2406"/>
      <c r="AB6" s="2406"/>
    </row>
    <row r="7" spans="1:41" s="1721" customFormat="1" ht="13.2">
      <c r="A7" s="2406">
        <v>58091715</v>
      </c>
      <c r="B7" s="2407">
        <v>45214</v>
      </c>
      <c r="C7" s="2406" t="s">
        <v>1139</v>
      </c>
      <c r="D7" s="2406">
        <v>51546</v>
      </c>
      <c r="E7" s="2406">
        <v>22</v>
      </c>
      <c r="F7" s="2406" t="s">
        <v>1589</v>
      </c>
      <c r="G7" s="2406"/>
      <c r="H7" s="2406">
        <v>2249.19</v>
      </c>
      <c r="I7" s="2406">
        <v>0.7</v>
      </c>
      <c r="J7" s="2408"/>
      <c r="K7" s="2406">
        <v>56520</v>
      </c>
      <c r="L7" s="2406">
        <v>24</v>
      </c>
      <c r="M7" s="2406" t="s">
        <v>1588</v>
      </c>
      <c r="N7" s="2406"/>
      <c r="O7" s="2406">
        <v>163048</v>
      </c>
      <c r="P7" s="2406">
        <v>111504</v>
      </c>
      <c r="Q7" s="2406" t="s">
        <v>1587</v>
      </c>
      <c r="R7" s="2406"/>
      <c r="S7" s="2406">
        <v>74.290000000000006</v>
      </c>
      <c r="T7" s="2406">
        <v>42.86</v>
      </c>
      <c r="U7" s="2406">
        <v>27.02</v>
      </c>
      <c r="V7" s="2406"/>
      <c r="W7" s="2406">
        <v>27</v>
      </c>
      <c r="X7" s="2406">
        <v>0</v>
      </c>
      <c r="Y7" s="2406">
        <v>0</v>
      </c>
      <c r="Z7" s="2406"/>
      <c r="AA7" s="2406"/>
      <c r="AB7" s="2406"/>
    </row>
    <row r="8" spans="1:41" s="1721" customFormat="1" ht="13.2">
      <c r="A8" s="2406">
        <v>58091715</v>
      </c>
      <c r="B8" s="2407">
        <v>45215</v>
      </c>
      <c r="C8" s="2406" t="s">
        <v>1138</v>
      </c>
      <c r="D8" s="2406">
        <v>51574</v>
      </c>
      <c r="E8" s="2406">
        <v>28</v>
      </c>
      <c r="F8" s="2406" t="s">
        <v>1589</v>
      </c>
      <c r="G8" s="2406"/>
      <c r="H8" s="2406">
        <v>2250.16</v>
      </c>
      <c r="I8" s="2406">
        <v>0.97</v>
      </c>
      <c r="J8" s="2408"/>
      <c r="K8" s="2406">
        <v>56544</v>
      </c>
      <c r="L8" s="2406">
        <v>24</v>
      </c>
      <c r="M8" s="2406" t="s">
        <v>1588</v>
      </c>
      <c r="N8" s="2406"/>
      <c r="O8" s="2406">
        <v>163120</v>
      </c>
      <c r="P8" s="2406">
        <v>111548</v>
      </c>
      <c r="Q8" s="2406" t="s">
        <v>1587</v>
      </c>
      <c r="R8" s="2406"/>
      <c r="S8" s="2406">
        <v>74.23</v>
      </c>
      <c r="T8" s="2406">
        <v>45.36</v>
      </c>
      <c r="U8" s="2406">
        <v>24.82</v>
      </c>
      <c r="V8" s="2406"/>
      <c r="W8" s="2406">
        <v>27</v>
      </c>
      <c r="X8" s="2406">
        <v>0</v>
      </c>
      <c r="Y8" s="2406">
        <v>0</v>
      </c>
      <c r="Z8" s="2406"/>
      <c r="AA8" s="2406"/>
      <c r="AB8" s="2406"/>
    </row>
    <row r="9" spans="1:41" s="1721" customFormat="1" ht="13.2">
      <c r="A9" s="2406">
        <v>58091715</v>
      </c>
      <c r="B9" s="2407">
        <v>45216</v>
      </c>
      <c r="C9" s="2406" t="s">
        <v>1137</v>
      </c>
      <c r="D9" s="2406">
        <v>51609</v>
      </c>
      <c r="E9" s="2406">
        <v>35</v>
      </c>
      <c r="F9" s="2406" t="s">
        <v>1589</v>
      </c>
      <c r="G9" s="2406"/>
      <c r="H9" s="2406">
        <v>2251.2399999999998</v>
      </c>
      <c r="I9" s="2406">
        <v>1.08</v>
      </c>
      <c r="J9" s="2408"/>
      <c r="K9" s="2406">
        <v>56568</v>
      </c>
      <c r="L9" s="2406">
        <v>24</v>
      </c>
      <c r="M9" s="2406" t="s">
        <v>1588</v>
      </c>
      <c r="N9" s="2406"/>
      <c r="O9" s="2406">
        <v>163202</v>
      </c>
      <c r="P9" s="2406">
        <v>111595</v>
      </c>
      <c r="Q9" s="2406" t="s">
        <v>1587</v>
      </c>
      <c r="R9" s="2406"/>
      <c r="S9" s="2406">
        <v>75.930000000000007</v>
      </c>
      <c r="T9" s="2406">
        <v>43.52</v>
      </c>
      <c r="U9" s="2406">
        <v>27.87</v>
      </c>
      <c r="V9" s="2406"/>
      <c r="W9" s="2406">
        <v>27</v>
      </c>
      <c r="X9" s="2406">
        <v>0</v>
      </c>
      <c r="Y9" s="2406">
        <v>0</v>
      </c>
      <c r="Z9" s="2406"/>
      <c r="AA9" s="2406"/>
      <c r="AB9" s="2406"/>
    </row>
    <row r="10" spans="1:41" s="1721" customFormat="1" ht="13.2">
      <c r="A10" s="2406">
        <v>58091715</v>
      </c>
      <c r="B10" s="2407">
        <v>45217</v>
      </c>
      <c r="C10" s="2406" t="s">
        <v>1131</v>
      </c>
      <c r="D10" s="2406">
        <v>51631</v>
      </c>
      <c r="E10" s="2406">
        <v>22</v>
      </c>
      <c r="F10" s="2406" t="s">
        <v>1589</v>
      </c>
      <c r="G10" s="2406"/>
      <c r="H10" s="2406">
        <v>2251.9</v>
      </c>
      <c r="I10" s="2406">
        <v>0.66</v>
      </c>
      <c r="J10" s="2408"/>
      <c r="K10" s="2406">
        <v>56592</v>
      </c>
      <c r="L10" s="2406">
        <v>24</v>
      </c>
      <c r="M10" s="2406" t="s">
        <v>1588</v>
      </c>
      <c r="N10" s="2406"/>
      <c r="O10" s="2406">
        <v>163250</v>
      </c>
      <c r="P10" s="2406">
        <v>111620</v>
      </c>
      <c r="Q10" s="2406" t="s">
        <v>1587</v>
      </c>
      <c r="R10" s="2406"/>
      <c r="S10" s="2406">
        <v>72.73</v>
      </c>
      <c r="T10" s="2406">
        <v>37.880000000000003</v>
      </c>
      <c r="U10" s="2406">
        <v>28.66</v>
      </c>
      <c r="V10" s="2406"/>
      <c r="W10" s="2406">
        <v>27</v>
      </c>
      <c r="X10" s="2406">
        <v>0</v>
      </c>
      <c r="Y10" s="2406">
        <v>0</v>
      </c>
      <c r="Z10" s="2406"/>
      <c r="AA10" s="2406"/>
      <c r="AB10" s="2406"/>
    </row>
    <row r="11" spans="1:41" s="1721" customFormat="1" ht="13.2">
      <c r="A11" s="2406">
        <v>58091715</v>
      </c>
      <c r="B11" s="2407">
        <v>45218</v>
      </c>
      <c r="C11" s="2406" t="s">
        <v>1136</v>
      </c>
      <c r="D11" s="2406">
        <v>51662</v>
      </c>
      <c r="E11" s="2406">
        <v>31</v>
      </c>
      <c r="F11" s="2406" t="s">
        <v>1589</v>
      </c>
      <c r="G11" s="2406"/>
      <c r="H11" s="2406">
        <v>2252.73</v>
      </c>
      <c r="I11" s="2406">
        <v>0.83</v>
      </c>
      <c r="J11" s="2408"/>
      <c r="K11" s="2406">
        <v>56616</v>
      </c>
      <c r="L11" s="2406">
        <v>24</v>
      </c>
      <c r="M11" s="2406" t="s">
        <v>1588</v>
      </c>
      <c r="N11" s="2406"/>
      <c r="O11" s="2406">
        <v>163312</v>
      </c>
      <c r="P11" s="2406">
        <v>111652</v>
      </c>
      <c r="Q11" s="2406" t="s">
        <v>1587</v>
      </c>
      <c r="R11" s="2406"/>
      <c r="S11" s="2406">
        <v>74.7</v>
      </c>
      <c r="T11" s="2406">
        <v>38.549999999999997</v>
      </c>
      <c r="U11" s="2406">
        <v>32.119999999999997</v>
      </c>
      <c r="V11" s="2406"/>
      <c r="W11" s="2406">
        <v>27</v>
      </c>
      <c r="X11" s="2406">
        <v>0</v>
      </c>
      <c r="Y11" s="2406">
        <v>0</v>
      </c>
      <c r="Z11" s="2406"/>
      <c r="AA11" s="2406"/>
      <c r="AB11" s="2406"/>
    </row>
    <row r="12" spans="1:41" s="1721" customFormat="1" ht="13.2">
      <c r="A12" s="2406">
        <v>58091715</v>
      </c>
      <c r="B12" s="2407">
        <v>45219</v>
      </c>
      <c r="C12" s="2406" t="s">
        <v>1130</v>
      </c>
      <c r="D12" s="2406">
        <v>51700</v>
      </c>
      <c r="E12" s="2406">
        <v>38</v>
      </c>
      <c r="F12" s="2406" t="s">
        <v>1589</v>
      </c>
      <c r="G12" s="2406"/>
      <c r="H12" s="2406">
        <v>2253.79</v>
      </c>
      <c r="I12" s="2406">
        <v>1.06</v>
      </c>
      <c r="J12" s="2408"/>
      <c r="K12" s="2406">
        <v>56640</v>
      </c>
      <c r="L12" s="2406">
        <v>24</v>
      </c>
      <c r="M12" s="2406" t="s">
        <v>1588</v>
      </c>
      <c r="N12" s="2406"/>
      <c r="O12" s="2406">
        <v>163392</v>
      </c>
      <c r="P12" s="2406">
        <v>111693</v>
      </c>
      <c r="Q12" s="2406" t="s">
        <v>1587</v>
      </c>
      <c r="R12" s="2406"/>
      <c r="S12" s="2406">
        <v>75.47</v>
      </c>
      <c r="T12" s="2406">
        <v>38.68</v>
      </c>
      <c r="U12" s="2406">
        <v>30.83</v>
      </c>
      <c r="V12" s="2406"/>
      <c r="W12" s="2406">
        <v>27</v>
      </c>
      <c r="X12" s="2406">
        <v>0</v>
      </c>
      <c r="Y12" s="2406">
        <v>0</v>
      </c>
      <c r="Z12" s="2406"/>
      <c r="AA12" s="2406"/>
      <c r="AB12" s="2406"/>
    </row>
    <row r="13" spans="1:41" s="1721" customFormat="1" ht="13.2">
      <c r="A13" s="2406">
        <v>58091715</v>
      </c>
      <c r="B13" s="2407">
        <v>45220</v>
      </c>
      <c r="C13" s="2406" t="s">
        <v>1128</v>
      </c>
      <c r="D13" s="2406">
        <v>51738</v>
      </c>
      <c r="E13" s="2406">
        <v>38</v>
      </c>
      <c r="F13" s="2406" t="s">
        <v>1589</v>
      </c>
      <c r="G13" s="2406"/>
      <c r="H13" s="2406">
        <v>2254.79</v>
      </c>
      <c r="I13" s="2406">
        <v>1</v>
      </c>
      <c r="J13" s="2408"/>
      <c r="K13" s="2406">
        <v>56664</v>
      </c>
      <c r="L13" s="2406">
        <v>24</v>
      </c>
      <c r="M13" s="2406" t="s">
        <v>1588</v>
      </c>
      <c r="N13" s="2406"/>
      <c r="O13" s="2406">
        <v>163467</v>
      </c>
      <c r="P13" s="2406">
        <v>111731</v>
      </c>
      <c r="Q13" s="2406" t="s">
        <v>1587</v>
      </c>
      <c r="R13" s="2406"/>
      <c r="S13" s="2406">
        <v>75</v>
      </c>
      <c r="T13" s="2406">
        <v>38</v>
      </c>
      <c r="U13" s="2406">
        <v>32.67</v>
      </c>
      <c r="V13" s="2406"/>
      <c r="W13" s="2406">
        <v>27</v>
      </c>
      <c r="X13" s="2406">
        <v>0</v>
      </c>
      <c r="Y13" s="2406">
        <v>0</v>
      </c>
      <c r="Z13" s="2406"/>
      <c r="AA13" s="2406"/>
      <c r="AB13" s="2406"/>
    </row>
    <row r="14" spans="1:41" s="1721" customFormat="1" ht="13.2">
      <c r="A14" s="2406">
        <v>58091715</v>
      </c>
      <c r="B14" s="2407">
        <v>45221</v>
      </c>
      <c r="C14" s="2406" t="s">
        <v>1139</v>
      </c>
      <c r="D14" s="2406">
        <v>51766</v>
      </c>
      <c r="E14" s="2406">
        <v>28</v>
      </c>
      <c r="F14" s="2406" t="s">
        <v>1589</v>
      </c>
      <c r="G14" s="2406"/>
      <c r="H14" s="2406">
        <v>2255.5300000000002</v>
      </c>
      <c r="I14" s="2406">
        <v>0.74</v>
      </c>
      <c r="J14" s="2408"/>
      <c r="K14" s="2406">
        <v>56688</v>
      </c>
      <c r="L14" s="2406">
        <v>24</v>
      </c>
      <c r="M14" s="2406" t="s">
        <v>1588</v>
      </c>
      <c r="N14" s="2406"/>
      <c r="O14" s="2406">
        <v>163521</v>
      </c>
      <c r="P14" s="2406">
        <v>111756</v>
      </c>
      <c r="Q14" s="2406" t="s">
        <v>1587</v>
      </c>
      <c r="R14" s="2406"/>
      <c r="S14" s="2406">
        <v>72.97</v>
      </c>
      <c r="T14" s="2406">
        <v>33.78</v>
      </c>
      <c r="U14" s="2406">
        <v>32.54</v>
      </c>
      <c r="V14" s="2406"/>
      <c r="W14" s="2406">
        <v>27</v>
      </c>
      <c r="X14" s="2406">
        <v>0</v>
      </c>
      <c r="Y14" s="2406">
        <v>0</v>
      </c>
      <c r="Z14" s="2406"/>
      <c r="AA14" s="2406"/>
      <c r="AB14" s="2406"/>
    </row>
    <row r="15" spans="1:41" s="1721" customFormat="1" ht="13.2">
      <c r="A15" s="2406">
        <v>58091715</v>
      </c>
      <c r="B15" s="2407">
        <v>45222</v>
      </c>
      <c r="C15" s="2406" t="s">
        <v>1138</v>
      </c>
      <c r="D15" s="2406">
        <v>51792</v>
      </c>
      <c r="E15" s="2406">
        <v>26</v>
      </c>
      <c r="F15" s="2406" t="s">
        <v>1589</v>
      </c>
      <c r="G15" s="2406"/>
      <c r="H15" s="2406">
        <v>2256.1999999999998</v>
      </c>
      <c r="I15" s="2406">
        <v>0.67</v>
      </c>
      <c r="J15" s="2408"/>
      <c r="K15" s="2406">
        <v>56712</v>
      </c>
      <c r="L15" s="2406">
        <v>24</v>
      </c>
      <c r="M15" s="2406" t="s">
        <v>1588</v>
      </c>
      <c r="N15" s="2406"/>
      <c r="O15" s="2406">
        <v>163570</v>
      </c>
      <c r="P15" s="2406">
        <v>111780</v>
      </c>
      <c r="Q15" s="2406" t="s">
        <v>1587</v>
      </c>
      <c r="R15" s="2406"/>
      <c r="S15" s="2406">
        <v>73.13</v>
      </c>
      <c r="T15" s="2406">
        <v>35.82</v>
      </c>
      <c r="U15" s="2406">
        <v>33.369999999999997</v>
      </c>
      <c r="V15" s="2406"/>
      <c r="W15" s="2406">
        <v>27</v>
      </c>
      <c r="X15" s="2406">
        <v>0</v>
      </c>
      <c r="Y15" s="2406">
        <v>0</v>
      </c>
      <c r="Z15" s="2406"/>
      <c r="AA15" s="2406"/>
      <c r="AB15" s="2406"/>
    </row>
    <row r="16" spans="1:41" s="1721" customFormat="1" ht="13.2">
      <c r="A16" s="2406">
        <v>58091715</v>
      </c>
      <c r="B16" s="2407">
        <v>45223</v>
      </c>
      <c r="C16" s="2406" t="s">
        <v>1137</v>
      </c>
      <c r="D16" s="2406">
        <v>51819</v>
      </c>
      <c r="E16" s="2406">
        <v>27</v>
      </c>
      <c r="F16" s="2406" t="s">
        <v>1589</v>
      </c>
      <c r="G16" s="2406"/>
      <c r="H16" s="2406">
        <v>2256.91</v>
      </c>
      <c r="I16" s="2406">
        <v>0.71</v>
      </c>
      <c r="J16" s="2408"/>
      <c r="K16" s="2406">
        <v>56736</v>
      </c>
      <c r="L16" s="2406">
        <v>24</v>
      </c>
      <c r="M16" s="2406" t="s">
        <v>1588</v>
      </c>
      <c r="N16" s="2406"/>
      <c r="O16" s="2406">
        <v>163622</v>
      </c>
      <c r="P16" s="2406">
        <v>111805</v>
      </c>
      <c r="Q16" s="2406" t="s">
        <v>1587</v>
      </c>
      <c r="R16" s="2406"/>
      <c r="S16" s="2406">
        <v>73.239999999999995</v>
      </c>
      <c r="T16" s="2406">
        <v>35.21</v>
      </c>
      <c r="U16" s="2406">
        <v>32.700000000000003</v>
      </c>
      <c r="V16" s="2406"/>
      <c r="W16" s="2406">
        <v>27</v>
      </c>
      <c r="X16" s="2406">
        <v>0</v>
      </c>
      <c r="Y16" s="2406">
        <v>0</v>
      </c>
      <c r="Z16" s="2406"/>
      <c r="AA16" s="2406"/>
      <c r="AB16" s="2406"/>
    </row>
    <row r="17" spans="1:28" s="1721" customFormat="1" ht="13.2">
      <c r="A17" s="2406">
        <v>58091715</v>
      </c>
      <c r="B17" s="2407">
        <v>45224</v>
      </c>
      <c r="C17" s="2406" t="s">
        <v>1131</v>
      </c>
      <c r="D17" s="2406">
        <v>51852</v>
      </c>
      <c r="E17" s="2406">
        <v>33</v>
      </c>
      <c r="F17" s="2406" t="s">
        <v>1589</v>
      </c>
      <c r="G17" s="2406"/>
      <c r="H17" s="2406">
        <v>2257.69</v>
      </c>
      <c r="I17" s="2406">
        <v>0.78</v>
      </c>
      <c r="J17" s="2408"/>
      <c r="K17" s="2406">
        <v>56760</v>
      </c>
      <c r="L17" s="2406">
        <v>24</v>
      </c>
      <c r="M17" s="2406" t="s">
        <v>1588</v>
      </c>
      <c r="N17" s="2406"/>
      <c r="O17" s="2406">
        <v>163680</v>
      </c>
      <c r="P17" s="2406">
        <v>111829</v>
      </c>
      <c r="Q17" s="2406" t="s">
        <v>1587</v>
      </c>
      <c r="R17" s="2406"/>
      <c r="S17" s="2406">
        <v>74.36</v>
      </c>
      <c r="T17" s="2406">
        <v>30.77</v>
      </c>
      <c r="U17" s="2406">
        <v>36.380000000000003</v>
      </c>
      <c r="V17" s="2406"/>
      <c r="W17" s="2406">
        <v>27</v>
      </c>
      <c r="X17" s="2406">
        <v>0</v>
      </c>
      <c r="Y17" s="2406">
        <v>0</v>
      </c>
      <c r="Z17" s="2406"/>
      <c r="AA17" s="2406"/>
      <c r="AB17" s="2406"/>
    </row>
    <row r="18" spans="1:28" s="1721" customFormat="1" ht="13.2">
      <c r="A18" s="2406">
        <v>58091715</v>
      </c>
      <c r="B18" s="2407">
        <v>45225</v>
      </c>
      <c r="C18" s="2406" t="s">
        <v>1136</v>
      </c>
      <c r="D18" s="2406">
        <v>51889</v>
      </c>
      <c r="E18" s="2406">
        <v>37</v>
      </c>
      <c r="F18" s="2406" t="s">
        <v>1589</v>
      </c>
      <c r="G18" s="2406"/>
      <c r="H18" s="2406">
        <v>2258.5300000000002</v>
      </c>
      <c r="I18" s="2406">
        <v>0.84</v>
      </c>
      <c r="J18" s="2408"/>
      <c r="K18" s="2406">
        <v>56784</v>
      </c>
      <c r="L18" s="2406">
        <v>24</v>
      </c>
      <c r="M18" s="2406" t="s">
        <v>1588</v>
      </c>
      <c r="N18" s="2406"/>
      <c r="O18" s="2406">
        <v>163742</v>
      </c>
      <c r="P18" s="2406">
        <v>111855</v>
      </c>
      <c r="Q18" s="2406" t="s">
        <v>1587</v>
      </c>
      <c r="R18" s="2406"/>
      <c r="S18" s="2406">
        <v>73.81</v>
      </c>
      <c r="T18" s="2406">
        <v>30.95</v>
      </c>
      <c r="U18" s="2406">
        <v>37.869999999999997</v>
      </c>
      <c r="V18" s="2406"/>
      <c r="W18" s="2406">
        <v>27</v>
      </c>
      <c r="X18" s="2406">
        <v>0</v>
      </c>
      <c r="Y18" s="2406">
        <v>0</v>
      </c>
      <c r="Z18" s="2406"/>
      <c r="AA18" s="2406"/>
      <c r="AB18" s="2406"/>
    </row>
    <row r="19" spans="1:28" s="1721" customFormat="1" ht="13.2">
      <c r="A19" s="2406">
        <v>58091715</v>
      </c>
      <c r="B19" s="2407">
        <v>45226</v>
      </c>
      <c r="C19" s="2406" t="s">
        <v>1130</v>
      </c>
      <c r="D19" s="2406">
        <v>51924</v>
      </c>
      <c r="E19" s="2406">
        <v>35</v>
      </c>
      <c r="F19" s="2406" t="s">
        <v>1589</v>
      </c>
      <c r="G19" s="2406"/>
      <c r="H19" s="2406">
        <v>2259.36</v>
      </c>
      <c r="I19" s="2406">
        <v>0.83</v>
      </c>
      <c r="J19" s="2408"/>
      <c r="K19" s="2406">
        <v>56808</v>
      </c>
      <c r="L19" s="2406">
        <v>24</v>
      </c>
      <c r="M19" s="2406" t="s">
        <v>1588</v>
      </c>
      <c r="N19" s="2406"/>
      <c r="O19" s="2406">
        <v>163803</v>
      </c>
      <c r="P19" s="2406">
        <v>111881</v>
      </c>
      <c r="Q19" s="2406" t="s">
        <v>1587</v>
      </c>
      <c r="R19" s="2406"/>
      <c r="S19" s="2406">
        <v>73.489999999999995</v>
      </c>
      <c r="T19" s="2406">
        <v>31.33</v>
      </c>
      <c r="U19" s="2406">
        <v>36.26</v>
      </c>
      <c r="V19" s="2406"/>
      <c r="W19" s="2406">
        <v>27</v>
      </c>
      <c r="X19" s="2406">
        <v>0</v>
      </c>
      <c r="Y19" s="2406">
        <v>0</v>
      </c>
      <c r="Z19" s="2406"/>
      <c r="AA19" s="2406"/>
      <c r="AB19" s="2406"/>
    </row>
    <row r="20" spans="1:28" s="1721" customFormat="1" ht="13.2">
      <c r="A20" s="2406">
        <v>58091715</v>
      </c>
      <c r="B20" s="2407">
        <v>45227</v>
      </c>
      <c r="C20" s="2406" t="s">
        <v>1128</v>
      </c>
      <c r="D20" s="2406">
        <v>51960</v>
      </c>
      <c r="E20" s="2406">
        <v>36</v>
      </c>
      <c r="F20" s="2406" t="s">
        <v>1589</v>
      </c>
      <c r="G20" s="2406"/>
      <c r="H20" s="2406">
        <v>2260.1999999999998</v>
      </c>
      <c r="I20" s="2406">
        <v>0.84</v>
      </c>
      <c r="J20" s="2408"/>
      <c r="K20" s="2406">
        <v>56832</v>
      </c>
      <c r="L20" s="2406">
        <v>24</v>
      </c>
      <c r="M20" s="2406" t="s">
        <v>1588</v>
      </c>
      <c r="N20" s="2406"/>
      <c r="O20" s="2406">
        <v>163865</v>
      </c>
      <c r="P20" s="2406">
        <v>111907</v>
      </c>
      <c r="Q20" s="2406" t="s">
        <v>1587</v>
      </c>
      <c r="R20" s="2406"/>
      <c r="S20" s="2406">
        <v>73.81</v>
      </c>
      <c r="T20" s="2406">
        <v>30.95</v>
      </c>
      <c r="U20" s="2406">
        <v>36.85</v>
      </c>
      <c r="V20" s="2406"/>
      <c r="W20" s="2406">
        <v>27</v>
      </c>
      <c r="X20" s="2406">
        <v>0</v>
      </c>
      <c r="Y20" s="2406">
        <v>0</v>
      </c>
      <c r="Z20" s="2406"/>
      <c r="AA20" s="2406"/>
      <c r="AB20" s="2406"/>
    </row>
    <row r="21" spans="1:28" s="1721" customFormat="1" ht="13.2">
      <c r="A21" s="2406">
        <v>58091715</v>
      </c>
      <c r="B21" s="2407">
        <v>45228</v>
      </c>
      <c r="C21" s="2406" t="s">
        <v>1139</v>
      </c>
      <c r="D21" s="2406">
        <v>51994</v>
      </c>
      <c r="E21" s="2406">
        <v>34</v>
      </c>
      <c r="F21" s="2406" t="s">
        <v>1589</v>
      </c>
      <c r="G21" s="2406"/>
      <c r="H21" s="2406">
        <v>2260.9899999999998</v>
      </c>
      <c r="I21" s="2406">
        <v>0.79</v>
      </c>
      <c r="J21" s="2408"/>
      <c r="K21" s="2406">
        <v>56856</v>
      </c>
      <c r="L21" s="2406">
        <v>24</v>
      </c>
      <c r="M21" s="2406" t="s">
        <v>1588</v>
      </c>
      <c r="N21" s="2406"/>
      <c r="O21" s="2406">
        <v>163923</v>
      </c>
      <c r="P21" s="2406">
        <v>111931</v>
      </c>
      <c r="Q21" s="2406" t="s">
        <v>1587</v>
      </c>
      <c r="R21" s="2406"/>
      <c r="S21" s="2406">
        <v>73.42</v>
      </c>
      <c r="T21" s="2406">
        <v>30.38</v>
      </c>
      <c r="U21" s="2406">
        <v>37.01</v>
      </c>
      <c r="V21" s="2406"/>
      <c r="W21" s="2406">
        <v>27</v>
      </c>
      <c r="X21" s="2406">
        <v>0</v>
      </c>
      <c r="Y21" s="2406">
        <v>0</v>
      </c>
      <c r="Z21" s="2406"/>
      <c r="AA21" s="2406"/>
      <c r="AB21" s="2406"/>
    </row>
    <row r="22" spans="1:28" s="1721" customFormat="1" ht="13.2">
      <c r="A22" s="2406">
        <v>58091715</v>
      </c>
      <c r="B22" s="2407">
        <v>45229</v>
      </c>
      <c r="C22" s="2406" t="s">
        <v>1138</v>
      </c>
      <c r="D22" s="2406">
        <v>52025</v>
      </c>
      <c r="E22" s="2406">
        <v>31</v>
      </c>
      <c r="F22" s="2406" t="s">
        <v>1589</v>
      </c>
      <c r="G22" s="2406"/>
      <c r="H22" s="2406">
        <v>2261.7199999999998</v>
      </c>
      <c r="I22" s="2406">
        <v>0.73</v>
      </c>
      <c r="J22" s="2408"/>
      <c r="K22" s="2406">
        <v>56880</v>
      </c>
      <c r="L22" s="2406">
        <v>24</v>
      </c>
      <c r="M22" s="2406" t="s">
        <v>1588</v>
      </c>
      <c r="N22" s="2406"/>
      <c r="O22" s="2406">
        <v>163977</v>
      </c>
      <c r="P22" s="2406">
        <v>111953</v>
      </c>
      <c r="Q22" s="2406" t="s">
        <v>1587</v>
      </c>
      <c r="R22" s="2406"/>
      <c r="S22" s="2406">
        <v>73.97</v>
      </c>
      <c r="T22" s="2406">
        <v>30.14</v>
      </c>
      <c r="U22" s="2406">
        <v>36.51</v>
      </c>
      <c r="V22" s="2406"/>
      <c r="W22" s="2406">
        <v>27</v>
      </c>
      <c r="X22" s="2406">
        <v>0</v>
      </c>
      <c r="Y22" s="2406">
        <v>0</v>
      </c>
      <c r="Z22" s="2406"/>
      <c r="AA22" s="2406"/>
      <c r="AB22" s="2406"/>
    </row>
    <row r="23" spans="1:28" s="1721" customFormat="1" ht="13.2">
      <c r="A23" s="2406">
        <v>58091715</v>
      </c>
      <c r="B23" s="2407">
        <v>45230</v>
      </c>
      <c r="C23" s="2406" t="s">
        <v>1137</v>
      </c>
      <c r="D23" s="2406">
        <v>52067</v>
      </c>
      <c r="E23" s="2406">
        <v>42</v>
      </c>
      <c r="F23" s="2406" t="s">
        <v>1589</v>
      </c>
      <c r="G23" s="2406">
        <f>SUM(E5:E23)</f>
        <v>580</v>
      </c>
      <c r="H23" s="2406">
        <v>2262.69</v>
      </c>
      <c r="I23" s="2406">
        <v>0.97</v>
      </c>
      <c r="J23" s="2408">
        <f>SUM(I5:I23)</f>
        <v>15.339999999999998</v>
      </c>
      <c r="K23" s="2406">
        <v>56904</v>
      </c>
      <c r="L23" s="2406">
        <v>24</v>
      </c>
      <c r="M23" s="2406" t="s">
        <v>1588</v>
      </c>
      <c r="N23" s="2406"/>
      <c r="O23" s="2406">
        <v>164049</v>
      </c>
      <c r="P23" s="2406">
        <v>111983</v>
      </c>
      <c r="Q23" s="2406" t="s">
        <v>1587</v>
      </c>
      <c r="R23" s="2406"/>
      <c r="S23" s="2406">
        <v>74.23</v>
      </c>
      <c r="T23" s="2406">
        <v>30.93</v>
      </c>
      <c r="U23" s="2406">
        <v>37.229999999999997</v>
      </c>
      <c r="V23" s="2406"/>
      <c r="W23" s="2406">
        <v>27</v>
      </c>
      <c r="X23" s="2406">
        <v>0</v>
      </c>
      <c r="Y23" s="2406">
        <v>0</v>
      </c>
      <c r="Z23" s="2406"/>
      <c r="AA23" s="2406"/>
      <c r="AB23" s="2406"/>
    </row>
    <row r="24" spans="1:28" s="1721" customFormat="1" ht="13.2">
      <c r="A24" s="2401">
        <v>58091715</v>
      </c>
      <c r="B24" s="2402">
        <v>45231</v>
      </c>
      <c r="C24" s="2401" t="s">
        <v>1131</v>
      </c>
      <c r="D24" s="2401">
        <v>52110</v>
      </c>
      <c r="E24" s="2401">
        <v>43</v>
      </c>
      <c r="F24" s="2401" t="s">
        <v>1589</v>
      </c>
      <c r="G24" s="2401"/>
      <c r="H24" s="2401">
        <v>2263.67</v>
      </c>
      <c r="I24" s="2401">
        <v>0.98</v>
      </c>
      <c r="J24" s="2403"/>
      <c r="K24" s="2401">
        <v>56928</v>
      </c>
      <c r="L24" s="2401">
        <v>24</v>
      </c>
      <c r="M24" s="2401" t="s">
        <v>1588</v>
      </c>
      <c r="N24" s="2401"/>
      <c r="O24" s="2401">
        <v>164123</v>
      </c>
      <c r="P24" s="2401">
        <v>112015</v>
      </c>
      <c r="Q24" s="2401" t="s">
        <v>1587</v>
      </c>
      <c r="R24" s="2401"/>
      <c r="S24" s="2401">
        <v>75.510000000000005</v>
      </c>
      <c r="T24" s="2401">
        <v>32.65</v>
      </c>
      <c r="U24" s="2401">
        <v>37.729999999999997</v>
      </c>
      <c r="V24" s="2401"/>
      <c r="W24" s="2401">
        <v>27</v>
      </c>
      <c r="X24" s="2401">
        <v>0</v>
      </c>
      <c r="Y24" s="2401">
        <v>0</v>
      </c>
      <c r="Z24" s="2401"/>
      <c r="AA24" s="2401"/>
    </row>
    <row r="25" spans="1:28" s="1721" customFormat="1" ht="13.2">
      <c r="A25" s="2401">
        <v>58091715</v>
      </c>
      <c r="B25" s="2402">
        <v>45232</v>
      </c>
      <c r="C25" s="2401" t="s">
        <v>1136</v>
      </c>
      <c r="D25" s="2401">
        <v>52140</v>
      </c>
      <c r="E25" s="2401">
        <v>30</v>
      </c>
      <c r="F25" s="2401" t="s">
        <v>1589</v>
      </c>
      <c r="G25" s="2401"/>
      <c r="H25" s="2401">
        <v>2264.37</v>
      </c>
      <c r="I25" s="2401">
        <v>0.7</v>
      </c>
      <c r="J25" s="2403"/>
      <c r="K25" s="2401">
        <v>56952</v>
      </c>
      <c r="L25" s="2401">
        <v>24</v>
      </c>
      <c r="M25" s="2401" t="s">
        <v>1588</v>
      </c>
      <c r="N25" s="2401"/>
      <c r="O25" s="2401">
        <v>164174</v>
      </c>
      <c r="P25" s="2401">
        <v>112036</v>
      </c>
      <c r="Q25" s="2401" t="s">
        <v>1587</v>
      </c>
      <c r="R25" s="2401"/>
      <c r="S25" s="2401">
        <v>72.86</v>
      </c>
      <c r="T25" s="2401">
        <v>30</v>
      </c>
      <c r="U25" s="2401">
        <v>36.85</v>
      </c>
      <c r="V25" s="2401"/>
      <c r="W25" s="2401">
        <v>27</v>
      </c>
      <c r="X25" s="2401">
        <v>0</v>
      </c>
      <c r="Y25" s="2401">
        <v>0</v>
      </c>
      <c r="Z25" s="2401"/>
      <c r="AA25" s="2401"/>
    </row>
    <row r="26" spans="1:28" s="1721" customFormat="1" ht="13.2">
      <c r="A26" s="2401">
        <v>58091715</v>
      </c>
      <c r="B26" s="2402">
        <v>45233</v>
      </c>
      <c r="C26" s="2401" t="s">
        <v>1130</v>
      </c>
      <c r="D26" s="2401">
        <v>52163</v>
      </c>
      <c r="E26" s="2401">
        <v>23</v>
      </c>
      <c r="F26" s="2401" t="s">
        <v>1589</v>
      </c>
      <c r="G26" s="2401"/>
      <c r="H26" s="2401">
        <v>2264.91</v>
      </c>
      <c r="I26" s="2401">
        <v>0.54</v>
      </c>
      <c r="J26" s="2403"/>
      <c r="K26" s="2401">
        <v>56976</v>
      </c>
      <c r="L26" s="2401">
        <v>24</v>
      </c>
      <c r="M26" s="2401" t="s">
        <v>1588</v>
      </c>
      <c r="N26" s="2401"/>
      <c r="O26" s="2401">
        <v>164214</v>
      </c>
      <c r="P26" s="2401">
        <v>112053</v>
      </c>
      <c r="Q26" s="2401" t="s">
        <v>1587</v>
      </c>
      <c r="R26" s="2401"/>
      <c r="S26" s="2401">
        <v>74.069999999999993</v>
      </c>
      <c r="T26" s="2401">
        <v>31.48</v>
      </c>
      <c r="U26" s="2401">
        <v>36.619999999999997</v>
      </c>
      <c r="V26" s="2401"/>
      <c r="W26" s="2401">
        <v>27</v>
      </c>
      <c r="X26" s="2401">
        <v>0</v>
      </c>
      <c r="Y26" s="2401">
        <v>0</v>
      </c>
      <c r="Z26" s="2401"/>
      <c r="AA26" s="2401"/>
    </row>
    <row r="27" spans="1:28" s="1721" customFormat="1" ht="13.2">
      <c r="A27" s="2401">
        <v>58091715</v>
      </c>
      <c r="B27" s="2402">
        <v>45234</v>
      </c>
      <c r="C27" s="2401" t="s">
        <v>1128</v>
      </c>
      <c r="D27" s="2401">
        <v>52191</v>
      </c>
      <c r="E27" s="2401">
        <v>28</v>
      </c>
      <c r="F27" s="2401" t="s">
        <v>1589</v>
      </c>
      <c r="G27" s="2401"/>
      <c r="H27" s="2401">
        <v>2265.56</v>
      </c>
      <c r="I27" s="2401">
        <v>0.65</v>
      </c>
      <c r="J27" s="2403"/>
      <c r="K27" s="2401">
        <v>57000</v>
      </c>
      <c r="L27" s="2401">
        <v>24</v>
      </c>
      <c r="M27" s="2401" t="s">
        <v>1588</v>
      </c>
      <c r="N27" s="2401"/>
      <c r="O27" s="2401">
        <v>164263</v>
      </c>
      <c r="P27" s="2401">
        <v>112073</v>
      </c>
      <c r="Q27" s="2401" t="s">
        <v>1587</v>
      </c>
      <c r="R27" s="2401"/>
      <c r="S27" s="2401">
        <v>75.38</v>
      </c>
      <c r="T27" s="2401">
        <v>30.77</v>
      </c>
      <c r="U27" s="2401">
        <v>37.04</v>
      </c>
      <c r="V27" s="2401"/>
      <c r="W27" s="2401">
        <v>27</v>
      </c>
      <c r="X27" s="2401">
        <v>0</v>
      </c>
      <c r="Y27" s="2401">
        <v>0</v>
      </c>
      <c r="Z27" s="2401"/>
      <c r="AA27" s="2401"/>
    </row>
    <row r="28" spans="1:28" s="1721" customFormat="1" ht="13.2">
      <c r="A28" s="2401">
        <v>58091715</v>
      </c>
      <c r="B28" s="2402">
        <v>45235</v>
      </c>
      <c r="C28" s="2401" t="s">
        <v>1139</v>
      </c>
      <c r="D28" s="2401">
        <v>52221</v>
      </c>
      <c r="E28" s="2401">
        <v>30</v>
      </c>
      <c r="F28" s="2401" t="s">
        <v>1589</v>
      </c>
      <c r="G28" s="2401"/>
      <c r="H28" s="2401">
        <v>2266.2199999999998</v>
      </c>
      <c r="I28" s="2401">
        <v>0.66</v>
      </c>
      <c r="J28" s="2403"/>
      <c r="K28" s="2401">
        <v>57024</v>
      </c>
      <c r="L28" s="2401">
        <v>24</v>
      </c>
      <c r="M28" s="2401" t="s">
        <v>1588</v>
      </c>
      <c r="N28" s="2401"/>
      <c r="O28" s="2401">
        <v>164312</v>
      </c>
      <c r="P28" s="2401">
        <v>112093</v>
      </c>
      <c r="Q28" s="2401" t="s">
        <v>1587</v>
      </c>
      <c r="R28" s="2401"/>
      <c r="S28" s="2401">
        <v>74.239999999999995</v>
      </c>
      <c r="T28" s="2401">
        <v>30.3</v>
      </c>
      <c r="U28" s="2401">
        <v>39.08</v>
      </c>
      <c r="V28" s="2401"/>
      <c r="W28" s="2401">
        <v>27</v>
      </c>
      <c r="X28" s="2401">
        <v>0</v>
      </c>
      <c r="Y28" s="2401">
        <v>0</v>
      </c>
      <c r="Z28" s="2401"/>
      <c r="AA28" s="2401"/>
    </row>
    <row r="29" spans="1:28" s="1721" customFormat="1" ht="13.2">
      <c r="A29" s="2401">
        <v>58091715</v>
      </c>
      <c r="B29" s="2402">
        <v>45236</v>
      </c>
      <c r="C29" s="2401" t="s">
        <v>1138</v>
      </c>
      <c r="D29" s="2401">
        <v>52247</v>
      </c>
      <c r="E29" s="2401">
        <v>26</v>
      </c>
      <c r="F29" s="2401" t="s">
        <v>1589</v>
      </c>
      <c r="G29" s="2401"/>
      <c r="H29" s="2401">
        <v>2266.88</v>
      </c>
      <c r="I29" s="2401">
        <v>0.66</v>
      </c>
      <c r="J29" s="2403"/>
      <c r="K29" s="2401">
        <v>57048</v>
      </c>
      <c r="L29" s="2401">
        <v>24</v>
      </c>
      <c r="M29" s="2401" t="s">
        <v>1588</v>
      </c>
      <c r="N29" s="2401"/>
      <c r="O29" s="2401">
        <v>164360</v>
      </c>
      <c r="P29" s="2401">
        <v>112114</v>
      </c>
      <c r="Q29" s="2401" t="s">
        <v>1587</v>
      </c>
      <c r="R29" s="2401"/>
      <c r="S29" s="2401">
        <v>72.73</v>
      </c>
      <c r="T29" s="2401">
        <v>31.82</v>
      </c>
      <c r="U29" s="2401">
        <v>33.869999999999997</v>
      </c>
      <c r="V29" s="2401"/>
      <c r="W29" s="2401">
        <v>27</v>
      </c>
      <c r="X29" s="2401">
        <v>0</v>
      </c>
      <c r="Y29" s="2401">
        <v>0</v>
      </c>
      <c r="Z29" s="2401"/>
      <c r="AA29" s="2401"/>
    </row>
    <row r="30" spans="1:28" s="1721" customFormat="1" ht="13.2">
      <c r="A30" s="2401">
        <v>58091715</v>
      </c>
      <c r="B30" s="2402">
        <v>45237</v>
      </c>
      <c r="C30" s="2401" t="s">
        <v>1137</v>
      </c>
      <c r="D30" s="2401">
        <v>52274</v>
      </c>
      <c r="E30" s="2401">
        <v>27</v>
      </c>
      <c r="F30" s="2401" t="s">
        <v>1589</v>
      </c>
      <c r="G30" s="2401"/>
      <c r="H30" s="2401">
        <v>2267.4899999999998</v>
      </c>
      <c r="I30" s="2401">
        <v>0.61</v>
      </c>
      <c r="J30" s="2403"/>
      <c r="K30" s="2401">
        <v>57072</v>
      </c>
      <c r="L30" s="2401">
        <v>24</v>
      </c>
      <c r="M30" s="2401" t="s">
        <v>1588</v>
      </c>
      <c r="N30" s="2401"/>
      <c r="O30" s="2401">
        <v>164405</v>
      </c>
      <c r="P30" s="2401">
        <v>112133</v>
      </c>
      <c r="Q30" s="2401" t="s">
        <v>1587</v>
      </c>
      <c r="R30" s="2401"/>
      <c r="S30" s="2401">
        <v>73.77</v>
      </c>
      <c r="T30" s="2401">
        <v>31.15</v>
      </c>
      <c r="U30" s="2401">
        <v>38.06</v>
      </c>
      <c r="V30" s="2401"/>
      <c r="W30" s="2401">
        <v>27</v>
      </c>
      <c r="X30" s="2401">
        <v>0</v>
      </c>
      <c r="Y30" s="2401">
        <v>0</v>
      </c>
      <c r="Z30" s="2401"/>
      <c r="AA30" s="2401"/>
    </row>
    <row r="31" spans="1:28" s="1721" customFormat="1" ht="13.2">
      <c r="A31" s="2401">
        <v>58091715</v>
      </c>
      <c r="B31" s="2402">
        <v>45238</v>
      </c>
      <c r="C31" s="2401" t="s">
        <v>1131</v>
      </c>
      <c r="D31" s="2401">
        <v>52302</v>
      </c>
      <c r="E31" s="2401">
        <v>28</v>
      </c>
      <c r="F31" s="2401" t="s">
        <v>1589</v>
      </c>
      <c r="G31" s="2401"/>
      <c r="H31" s="2401">
        <v>2268.16</v>
      </c>
      <c r="I31" s="2401">
        <v>0.67</v>
      </c>
      <c r="J31" s="2403"/>
      <c r="K31" s="2401">
        <v>57096</v>
      </c>
      <c r="L31" s="2401">
        <v>24</v>
      </c>
      <c r="M31" s="2401" t="s">
        <v>1588</v>
      </c>
      <c r="N31" s="2401"/>
      <c r="O31" s="2401">
        <v>164453</v>
      </c>
      <c r="P31" s="2401">
        <v>112153</v>
      </c>
      <c r="Q31" s="2401" t="s">
        <v>1587</v>
      </c>
      <c r="R31" s="2401"/>
      <c r="S31" s="2401">
        <v>71.64</v>
      </c>
      <c r="T31" s="2401">
        <v>29.85</v>
      </c>
      <c r="U31" s="2401">
        <v>35.93</v>
      </c>
      <c r="V31" s="2401"/>
      <c r="W31" s="2401">
        <v>28</v>
      </c>
      <c r="X31" s="2401">
        <v>0</v>
      </c>
      <c r="Y31" s="2401">
        <v>0</v>
      </c>
      <c r="Z31" s="2401"/>
      <c r="AA31" s="2401"/>
    </row>
    <row r="32" spans="1:28" s="1721" customFormat="1" ht="13.2">
      <c r="A32" s="2401">
        <v>58091715</v>
      </c>
      <c r="B32" s="2402">
        <v>45239</v>
      </c>
      <c r="C32" s="2401" t="s">
        <v>1136</v>
      </c>
      <c r="D32" s="2401">
        <v>52334</v>
      </c>
      <c r="E32" s="2401">
        <v>32</v>
      </c>
      <c r="F32" s="2401" t="s">
        <v>1589</v>
      </c>
      <c r="G32" s="2401"/>
      <c r="H32" s="2401">
        <v>2268.91</v>
      </c>
      <c r="I32" s="2401">
        <v>0.75</v>
      </c>
      <c r="J32" s="2403"/>
      <c r="K32" s="2401">
        <v>57120</v>
      </c>
      <c r="L32" s="2401">
        <v>24</v>
      </c>
      <c r="M32" s="2401" t="s">
        <v>1588</v>
      </c>
      <c r="N32" s="2401"/>
      <c r="O32" s="2401">
        <v>164509</v>
      </c>
      <c r="P32" s="2401">
        <v>112177</v>
      </c>
      <c r="Q32" s="2401" t="s">
        <v>1587</v>
      </c>
      <c r="R32" s="2401"/>
      <c r="S32" s="2401">
        <v>74.67</v>
      </c>
      <c r="T32" s="2401">
        <v>32</v>
      </c>
      <c r="U32" s="2401">
        <v>36.69</v>
      </c>
      <c r="V32" s="2401"/>
      <c r="W32" s="2401">
        <v>27</v>
      </c>
      <c r="X32" s="2401">
        <v>0</v>
      </c>
      <c r="Y32" s="2401">
        <v>0</v>
      </c>
      <c r="Z32" s="2401"/>
      <c r="AA32" s="2401"/>
    </row>
    <row r="33" spans="1:27" s="1721" customFormat="1" ht="13.2">
      <c r="A33" s="2401">
        <v>58091715</v>
      </c>
      <c r="B33" s="2402">
        <v>45240</v>
      </c>
      <c r="C33" s="2401" t="s">
        <v>1130</v>
      </c>
      <c r="D33" s="2401">
        <v>52369</v>
      </c>
      <c r="E33" s="2401">
        <v>35</v>
      </c>
      <c r="F33" s="2401" t="s">
        <v>1589</v>
      </c>
      <c r="G33" s="2401"/>
      <c r="H33" s="2401">
        <v>2269.7399999999998</v>
      </c>
      <c r="I33" s="2401">
        <v>0.83</v>
      </c>
      <c r="J33" s="2403"/>
      <c r="K33" s="2401">
        <v>57144</v>
      </c>
      <c r="L33" s="2401">
        <v>24</v>
      </c>
      <c r="M33" s="2401" t="s">
        <v>1588</v>
      </c>
      <c r="N33" s="2401"/>
      <c r="O33" s="2401">
        <v>164570</v>
      </c>
      <c r="P33" s="2401">
        <v>112202</v>
      </c>
      <c r="Q33" s="2401" t="s">
        <v>1587</v>
      </c>
      <c r="R33" s="2401"/>
      <c r="S33" s="2401">
        <v>73.489999999999995</v>
      </c>
      <c r="T33" s="2401">
        <v>30.12</v>
      </c>
      <c r="U33" s="2401">
        <v>36.26</v>
      </c>
      <c r="V33" s="2401"/>
      <c r="W33" s="2401">
        <v>27</v>
      </c>
      <c r="X33" s="2401">
        <v>0</v>
      </c>
      <c r="Y33" s="2401">
        <v>0</v>
      </c>
      <c r="Z33" s="2401"/>
      <c r="AA33" s="2401"/>
    </row>
    <row r="34" spans="1:27" s="1721" customFormat="1" ht="13.2">
      <c r="A34" s="2401">
        <v>58091715</v>
      </c>
      <c r="B34" s="2402">
        <v>45241</v>
      </c>
      <c r="C34" s="2401" t="s">
        <v>1128</v>
      </c>
      <c r="D34" s="2401">
        <v>52404</v>
      </c>
      <c r="E34" s="2401">
        <v>35</v>
      </c>
      <c r="F34" s="2401" t="s">
        <v>1589</v>
      </c>
      <c r="G34" s="2401"/>
      <c r="H34" s="2401">
        <v>2270.52</v>
      </c>
      <c r="I34" s="2401">
        <v>0.78</v>
      </c>
      <c r="J34" s="2403"/>
      <c r="K34" s="2401">
        <v>57168</v>
      </c>
      <c r="L34" s="2401">
        <v>24</v>
      </c>
      <c r="M34" s="2401" t="s">
        <v>1588</v>
      </c>
      <c r="N34" s="2401"/>
      <c r="O34" s="2401">
        <v>164628</v>
      </c>
      <c r="P34" s="2401">
        <v>112226</v>
      </c>
      <c r="Q34" s="2401" t="s">
        <v>1587</v>
      </c>
      <c r="R34" s="2401"/>
      <c r="S34" s="2401">
        <v>74.36</v>
      </c>
      <c r="T34" s="2401">
        <v>30.77</v>
      </c>
      <c r="U34" s="2401">
        <v>38.58</v>
      </c>
      <c r="V34" s="2401"/>
      <c r="W34" s="2401">
        <v>27</v>
      </c>
      <c r="X34" s="2401">
        <v>0</v>
      </c>
      <c r="Y34" s="2401">
        <v>0</v>
      </c>
      <c r="Z34" s="2401"/>
      <c r="AA34" s="2401"/>
    </row>
    <row r="35" spans="1:27" s="1721" customFormat="1" ht="13.2">
      <c r="A35" s="2401">
        <v>58091715</v>
      </c>
      <c r="B35" s="2402">
        <v>45242</v>
      </c>
      <c r="C35" s="2401" t="s">
        <v>1139</v>
      </c>
      <c r="D35" s="2401">
        <v>52436</v>
      </c>
      <c r="E35" s="2401">
        <v>32</v>
      </c>
      <c r="F35" s="2401" t="s">
        <v>1589</v>
      </c>
      <c r="G35" s="2401"/>
      <c r="H35" s="2401">
        <v>2271.2600000000002</v>
      </c>
      <c r="I35" s="2401">
        <v>0.74</v>
      </c>
      <c r="J35" s="2403"/>
      <c r="K35" s="2401">
        <v>57192</v>
      </c>
      <c r="L35" s="2401">
        <v>24</v>
      </c>
      <c r="M35" s="2401" t="s">
        <v>1588</v>
      </c>
      <c r="N35" s="2401"/>
      <c r="O35" s="2401">
        <v>164683</v>
      </c>
      <c r="P35" s="2401">
        <v>112249</v>
      </c>
      <c r="Q35" s="2401" t="s">
        <v>1587</v>
      </c>
      <c r="R35" s="2401"/>
      <c r="S35" s="2401">
        <v>74.319999999999993</v>
      </c>
      <c r="T35" s="2401">
        <v>31.08</v>
      </c>
      <c r="U35" s="2401">
        <v>37.18</v>
      </c>
      <c r="V35" s="2401"/>
      <c r="W35" s="2401">
        <v>27</v>
      </c>
      <c r="X35" s="2401">
        <v>0</v>
      </c>
      <c r="Y35" s="2401">
        <v>0</v>
      </c>
      <c r="Z35" s="2401"/>
      <c r="AA35" s="2401"/>
    </row>
    <row r="36" spans="1:27" s="1721" customFormat="1" ht="13.2">
      <c r="A36" s="2401">
        <v>58091715</v>
      </c>
      <c r="B36" s="2402">
        <v>45243</v>
      </c>
      <c r="C36" s="2401" t="s">
        <v>1138</v>
      </c>
      <c r="D36" s="2401">
        <v>52471</v>
      </c>
      <c r="E36" s="2401">
        <v>35</v>
      </c>
      <c r="F36" s="2401" t="s">
        <v>1589</v>
      </c>
      <c r="G36" s="2401"/>
      <c r="H36" s="2401">
        <v>2272.0700000000002</v>
      </c>
      <c r="I36" s="2401">
        <v>0.81</v>
      </c>
      <c r="J36" s="2403"/>
      <c r="K36" s="2401">
        <v>57216</v>
      </c>
      <c r="L36" s="2401">
        <v>24</v>
      </c>
      <c r="M36" s="2401" t="s">
        <v>1588</v>
      </c>
      <c r="N36" s="2401"/>
      <c r="O36" s="2401">
        <v>164743</v>
      </c>
      <c r="P36" s="2401">
        <v>112274</v>
      </c>
      <c r="Q36" s="2401" t="s">
        <v>1587</v>
      </c>
      <c r="R36" s="2401"/>
      <c r="S36" s="2401">
        <v>74.069999999999993</v>
      </c>
      <c r="T36" s="2401">
        <v>30.86</v>
      </c>
      <c r="U36" s="2401">
        <v>37.15</v>
      </c>
      <c r="V36" s="2401"/>
      <c r="W36" s="2401">
        <v>27</v>
      </c>
      <c r="X36" s="2401">
        <v>0</v>
      </c>
      <c r="Y36" s="2401">
        <v>0</v>
      </c>
      <c r="Z36" s="2401"/>
      <c r="AA36" s="2401"/>
    </row>
    <row r="37" spans="1:27" s="1721" customFormat="1" ht="13.2">
      <c r="A37" s="2401">
        <v>58091715</v>
      </c>
      <c r="B37" s="2402">
        <v>45244</v>
      </c>
      <c r="C37" s="2401" t="s">
        <v>1137</v>
      </c>
      <c r="D37" s="2401">
        <v>52512</v>
      </c>
      <c r="E37" s="2401">
        <v>41</v>
      </c>
      <c r="F37" s="2401" t="s">
        <v>1589</v>
      </c>
      <c r="G37" s="2401"/>
      <c r="H37" s="2401">
        <v>2273</v>
      </c>
      <c r="I37" s="2401">
        <v>0.93</v>
      </c>
      <c r="J37" s="2403"/>
      <c r="K37" s="2401">
        <v>57240</v>
      </c>
      <c r="L37" s="2401">
        <v>24</v>
      </c>
      <c r="M37" s="2401" t="s">
        <v>1588</v>
      </c>
      <c r="N37" s="2401"/>
      <c r="O37" s="2401">
        <v>164812</v>
      </c>
      <c r="P37" s="2401">
        <v>112302</v>
      </c>
      <c r="Q37" s="2401" t="s">
        <v>1587</v>
      </c>
      <c r="R37" s="2401"/>
      <c r="S37" s="2401">
        <v>74.19</v>
      </c>
      <c r="T37" s="2401">
        <v>30.11</v>
      </c>
      <c r="U37" s="2401">
        <v>37.909999999999997</v>
      </c>
      <c r="V37" s="2401"/>
      <c r="W37" s="2401">
        <v>27</v>
      </c>
      <c r="X37" s="2401">
        <v>0</v>
      </c>
      <c r="Y37" s="2401">
        <v>0</v>
      </c>
      <c r="Z37" s="2401"/>
      <c r="AA37" s="2401"/>
    </row>
    <row r="38" spans="1:27" s="1721" customFormat="1" ht="13.2">
      <c r="A38" s="2401">
        <v>58091715</v>
      </c>
      <c r="B38" s="2402">
        <v>45245</v>
      </c>
      <c r="C38" s="2401" t="s">
        <v>1131</v>
      </c>
      <c r="D38" s="2401">
        <v>52554</v>
      </c>
      <c r="E38" s="2401">
        <v>42</v>
      </c>
      <c r="F38" s="2401" t="s">
        <v>1589</v>
      </c>
      <c r="G38" s="2401"/>
      <c r="H38" s="2401">
        <v>2273.9299999999998</v>
      </c>
      <c r="I38" s="2401">
        <v>0.93</v>
      </c>
      <c r="J38" s="2403"/>
      <c r="K38" s="2401">
        <v>57264</v>
      </c>
      <c r="L38" s="2401">
        <v>24</v>
      </c>
      <c r="M38" s="2401" t="s">
        <v>1588</v>
      </c>
      <c r="N38" s="2401"/>
      <c r="O38" s="2401">
        <v>164882</v>
      </c>
      <c r="P38" s="2401">
        <v>112330</v>
      </c>
      <c r="Q38" s="2401" t="s">
        <v>1587</v>
      </c>
      <c r="R38" s="2401"/>
      <c r="S38" s="2401">
        <v>75.27</v>
      </c>
      <c r="T38" s="2401">
        <v>30.11</v>
      </c>
      <c r="U38" s="2401">
        <v>38.83</v>
      </c>
      <c r="V38" s="2401"/>
      <c r="W38" s="2401">
        <v>27</v>
      </c>
      <c r="X38" s="2401">
        <v>0</v>
      </c>
      <c r="Y38" s="2401">
        <v>0</v>
      </c>
      <c r="Z38" s="2401"/>
      <c r="AA38" s="2401"/>
    </row>
    <row r="39" spans="1:27" s="1721" customFormat="1" ht="13.2">
      <c r="A39" s="2401">
        <v>58091715</v>
      </c>
      <c r="B39" s="2402">
        <v>45246</v>
      </c>
      <c r="C39" s="2401" t="s">
        <v>1136</v>
      </c>
      <c r="D39" s="2401">
        <v>52591</v>
      </c>
      <c r="E39" s="2401">
        <v>37</v>
      </c>
      <c r="F39" s="2401" t="s">
        <v>1589</v>
      </c>
      <c r="G39" s="2401"/>
      <c r="H39" s="2401">
        <v>2274.7800000000002</v>
      </c>
      <c r="I39" s="2401">
        <v>0.85</v>
      </c>
      <c r="J39" s="2403"/>
      <c r="K39" s="2401">
        <v>57288</v>
      </c>
      <c r="L39" s="2401">
        <v>24</v>
      </c>
      <c r="M39" s="2401" t="s">
        <v>1588</v>
      </c>
      <c r="N39" s="2401"/>
      <c r="O39" s="2401">
        <v>164946</v>
      </c>
      <c r="P39" s="2401">
        <v>112356</v>
      </c>
      <c r="Q39" s="2401" t="s">
        <v>1587</v>
      </c>
      <c r="R39" s="2401"/>
      <c r="S39" s="2401">
        <v>75.290000000000006</v>
      </c>
      <c r="T39" s="2401">
        <v>30.59</v>
      </c>
      <c r="U39" s="2401">
        <v>37.43</v>
      </c>
      <c r="V39" s="2401"/>
      <c r="W39" s="2401">
        <v>27</v>
      </c>
      <c r="X39" s="2401">
        <v>0</v>
      </c>
      <c r="Y39" s="2401">
        <v>0</v>
      </c>
      <c r="Z39" s="2401"/>
      <c r="AA39" s="2401"/>
    </row>
    <row r="40" spans="1:27" s="1721" customFormat="1" ht="13.2">
      <c r="A40" s="2401">
        <v>58091715</v>
      </c>
      <c r="B40" s="2402">
        <v>45247</v>
      </c>
      <c r="C40" s="2401" t="s">
        <v>1130</v>
      </c>
      <c r="D40" s="2401">
        <v>52637</v>
      </c>
      <c r="E40" s="2401">
        <v>46</v>
      </c>
      <c r="F40" s="2401" t="s">
        <v>1589</v>
      </c>
      <c r="G40" s="2401"/>
      <c r="H40" s="2401">
        <v>2275.86</v>
      </c>
      <c r="I40" s="2401">
        <v>1.08</v>
      </c>
      <c r="J40" s="2403"/>
      <c r="K40" s="2401">
        <v>57312</v>
      </c>
      <c r="L40" s="2401">
        <v>24</v>
      </c>
      <c r="M40" s="2401" t="s">
        <v>1588</v>
      </c>
      <c r="N40" s="2401"/>
      <c r="O40" s="2401">
        <v>165026</v>
      </c>
      <c r="P40" s="2401">
        <v>112391</v>
      </c>
      <c r="Q40" s="2401" t="s">
        <v>1587</v>
      </c>
      <c r="R40" s="2401"/>
      <c r="S40" s="2401">
        <v>74.069999999999993</v>
      </c>
      <c r="T40" s="2401">
        <v>32.409999999999997</v>
      </c>
      <c r="U40" s="2401">
        <v>36.619999999999997</v>
      </c>
      <c r="V40" s="2401"/>
      <c r="W40" s="2401">
        <v>27</v>
      </c>
      <c r="X40" s="2401">
        <v>0</v>
      </c>
      <c r="Y40" s="2401">
        <v>0</v>
      </c>
      <c r="Z40" s="2401"/>
      <c r="AA40" s="2401"/>
    </row>
    <row r="41" spans="1:27" s="1721" customFormat="1" ht="13.2">
      <c r="A41" s="2401">
        <v>58091715</v>
      </c>
      <c r="B41" s="2402">
        <v>45248</v>
      </c>
      <c r="C41" s="2401" t="s">
        <v>1128</v>
      </c>
      <c r="D41" s="2401">
        <v>52673</v>
      </c>
      <c r="E41" s="2401">
        <v>36</v>
      </c>
      <c r="F41" s="2401" t="s">
        <v>1589</v>
      </c>
      <c r="G41" s="2401"/>
      <c r="H41" s="2401">
        <v>2276.6799999999998</v>
      </c>
      <c r="I41" s="2401">
        <v>0.82</v>
      </c>
      <c r="J41" s="2403"/>
      <c r="K41" s="2401">
        <v>57336</v>
      </c>
      <c r="L41" s="2401">
        <v>24</v>
      </c>
      <c r="M41" s="2401" t="s">
        <v>1588</v>
      </c>
      <c r="N41" s="2401"/>
      <c r="O41" s="2401">
        <v>165088</v>
      </c>
      <c r="P41" s="2401">
        <v>112417</v>
      </c>
      <c r="Q41" s="2401" t="s">
        <v>1587</v>
      </c>
      <c r="R41" s="2401"/>
      <c r="S41" s="2401">
        <v>75.61</v>
      </c>
      <c r="T41" s="2401">
        <v>31.71</v>
      </c>
      <c r="U41" s="2401">
        <v>37.75</v>
      </c>
      <c r="V41" s="2401"/>
      <c r="W41" s="2401">
        <v>27</v>
      </c>
      <c r="X41" s="2401">
        <v>0</v>
      </c>
      <c r="Y41" s="2401">
        <v>0</v>
      </c>
      <c r="Z41" s="2401"/>
      <c r="AA41" s="2401"/>
    </row>
    <row r="42" spans="1:27" s="1721" customFormat="1" ht="13.2">
      <c r="A42" s="2401">
        <v>58091715</v>
      </c>
      <c r="B42" s="2402">
        <v>45249</v>
      </c>
      <c r="C42" s="2401" t="s">
        <v>1139</v>
      </c>
      <c r="D42" s="2401">
        <v>52709</v>
      </c>
      <c r="E42" s="2401">
        <v>36</v>
      </c>
      <c r="F42" s="2401" t="s">
        <v>1589</v>
      </c>
      <c r="G42" s="2401"/>
      <c r="H42" s="2401">
        <v>2277.4899999999998</v>
      </c>
      <c r="I42" s="2401">
        <v>0.81</v>
      </c>
      <c r="J42" s="2403"/>
      <c r="K42" s="2401">
        <v>57360</v>
      </c>
      <c r="L42" s="2401">
        <v>24</v>
      </c>
      <c r="M42" s="2401" t="s">
        <v>1588</v>
      </c>
      <c r="N42" s="2401"/>
      <c r="O42" s="2401">
        <v>165149</v>
      </c>
      <c r="P42" s="2401">
        <v>112441</v>
      </c>
      <c r="Q42" s="2401" t="s">
        <v>1587</v>
      </c>
      <c r="R42" s="2401"/>
      <c r="S42" s="2401">
        <v>75.31</v>
      </c>
      <c r="T42" s="2401">
        <v>29.63</v>
      </c>
      <c r="U42" s="2401">
        <v>38.22</v>
      </c>
      <c r="V42" s="2401"/>
      <c r="W42" s="2401">
        <v>27</v>
      </c>
      <c r="X42" s="2401">
        <v>0</v>
      </c>
      <c r="Y42" s="2401">
        <v>0</v>
      </c>
      <c r="Z42" s="2401"/>
      <c r="AA42" s="2401"/>
    </row>
    <row r="43" spans="1:27" s="1721" customFormat="1" ht="13.2">
      <c r="A43" s="2401">
        <v>58091715</v>
      </c>
      <c r="B43" s="2402">
        <v>45250</v>
      </c>
      <c r="C43" s="2401" t="s">
        <v>1138</v>
      </c>
      <c r="D43" s="2401">
        <v>52747</v>
      </c>
      <c r="E43" s="2401">
        <v>38</v>
      </c>
      <c r="F43" s="2401" t="s">
        <v>1589</v>
      </c>
      <c r="G43" s="2401"/>
      <c r="H43" s="2401">
        <v>2278.35</v>
      </c>
      <c r="I43" s="2401">
        <v>0.86</v>
      </c>
      <c r="J43" s="2403"/>
      <c r="K43" s="2401">
        <v>57384</v>
      </c>
      <c r="L43" s="2401">
        <v>24</v>
      </c>
      <c r="M43" s="2401" t="s">
        <v>1588</v>
      </c>
      <c r="N43" s="2401"/>
      <c r="O43" s="2401">
        <v>165212</v>
      </c>
      <c r="P43" s="2401">
        <v>112467</v>
      </c>
      <c r="Q43" s="2401" t="s">
        <v>1587</v>
      </c>
      <c r="R43" s="2401"/>
      <c r="S43" s="2401">
        <v>73.260000000000005</v>
      </c>
      <c r="T43" s="2401">
        <v>30.23</v>
      </c>
      <c r="U43" s="2401">
        <v>37.99</v>
      </c>
      <c r="V43" s="2401"/>
      <c r="W43" s="2401">
        <v>27</v>
      </c>
      <c r="X43" s="2401">
        <v>0</v>
      </c>
      <c r="Y43" s="2401">
        <v>0</v>
      </c>
      <c r="Z43" s="2401"/>
      <c r="AA43" s="2401"/>
    </row>
    <row r="44" spans="1:27" s="1721" customFormat="1" ht="13.2">
      <c r="A44" s="2401">
        <v>58091715</v>
      </c>
      <c r="B44" s="2402">
        <v>45251</v>
      </c>
      <c r="C44" s="2401" t="s">
        <v>1137</v>
      </c>
      <c r="D44" s="2401">
        <v>52785</v>
      </c>
      <c r="E44" s="2401">
        <v>38</v>
      </c>
      <c r="F44" s="2401" t="s">
        <v>1589</v>
      </c>
      <c r="G44" s="2401"/>
      <c r="H44" s="2401">
        <v>2279.2399999999998</v>
      </c>
      <c r="I44" s="2401">
        <v>0.89</v>
      </c>
      <c r="J44" s="2403"/>
      <c r="K44" s="2401">
        <v>57408</v>
      </c>
      <c r="L44" s="2401">
        <v>24</v>
      </c>
      <c r="M44" s="2401" t="s">
        <v>1588</v>
      </c>
      <c r="N44" s="2401"/>
      <c r="O44" s="2401">
        <v>165279</v>
      </c>
      <c r="P44" s="2401">
        <v>112495</v>
      </c>
      <c r="Q44" s="2401" t="s">
        <v>1587</v>
      </c>
      <c r="R44" s="2401"/>
      <c r="S44" s="2401">
        <v>75.28</v>
      </c>
      <c r="T44" s="2401">
        <v>31.46</v>
      </c>
      <c r="U44" s="2401">
        <v>36.71</v>
      </c>
      <c r="V44" s="2401"/>
      <c r="W44" s="2401">
        <v>27</v>
      </c>
      <c r="X44" s="2401">
        <v>0</v>
      </c>
      <c r="Y44" s="2401">
        <v>0</v>
      </c>
      <c r="Z44" s="2401"/>
      <c r="AA44" s="2401"/>
    </row>
    <row r="45" spans="1:27" s="1721" customFormat="1" ht="13.2">
      <c r="A45" s="2401">
        <v>58091715</v>
      </c>
      <c r="B45" s="2402">
        <v>45252</v>
      </c>
      <c r="C45" s="2401" t="s">
        <v>1131</v>
      </c>
      <c r="D45" s="2401">
        <v>52829</v>
      </c>
      <c r="E45" s="2401">
        <v>44</v>
      </c>
      <c r="F45" s="2401" t="s">
        <v>1589</v>
      </c>
      <c r="G45" s="2401"/>
      <c r="H45" s="2401">
        <v>2280.2199999999998</v>
      </c>
      <c r="I45" s="2401">
        <v>0.98</v>
      </c>
      <c r="J45" s="2403"/>
      <c r="K45" s="2401">
        <v>57432</v>
      </c>
      <c r="L45" s="2401">
        <v>24</v>
      </c>
      <c r="M45" s="2401" t="s">
        <v>1588</v>
      </c>
      <c r="N45" s="2401"/>
      <c r="O45" s="2401">
        <v>165353</v>
      </c>
      <c r="P45" s="2401">
        <v>112525</v>
      </c>
      <c r="Q45" s="2401" t="s">
        <v>1587</v>
      </c>
      <c r="R45" s="2401"/>
      <c r="S45" s="2401">
        <v>75.510000000000005</v>
      </c>
      <c r="T45" s="2401">
        <v>30.61</v>
      </c>
      <c r="U45" s="2401">
        <v>38.61</v>
      </c>
      <c r="V45" s="2401"/>
      <c r="W45" s="2401">
        <v>27</v>
      </c>
      <c r="X45" s="2401">
        <v>0</v>
      </c>
      <c r="Y45" s="2401">
        <v>0</v>
      </c>
      <c r="Z45" s="2401"/>
      <c r="AA45" s="2401"/>
    </row>
    <row r="46" spans="1:27" s="1721" customFormat="1" ht="13.2">
      <c r="A46" s="2401">
        <v>58091715</v>
      </c>
      <c r="B46" s="2402">
        <v>45253</v>
      </c>
      <c r="C46" s="2401" t="s">
        <v>1136</v>
      </c>
      <c r="D46" s="2401">
        <v>52863</v>
      </c>
      <c r="E46" s="2401">
        <v>34</v>
      </c>
      <c r="F46" s="2401" t="s">
        <v>1589</v>
      </c>
      <c r="G46" s="2401"/>
      <c r="H46" s="2401">
        <v>2281</v>
      </c>
      <c r="I46" s="2401">
        <v>0.78</v>
      </c>
      <c r="J46" s="2403"/>
      <c r="K46" s="2401">
        <v>57456</v>
      </c>
      <c r="L46" s="2401">
        <v>24</v>
      </c>
      <c r="M46" s="2401" t="s">
        <v>1588</v>
      </c>
      <c r="N46" s="2401"/>
      <c r="O46" s="2401">
        <v>165411</v>
      </c>
      <c r="P46" s="2401">
        <v>112550</v>
      </c>
      <c r="Q46" s="2401" t="s">
        <v>1587</v>
      </c>
      <c r="R46" s="2401"/>
      <c r="S46" s="2401">
        <v>74.36</v>
      </c>
      <c r="T46" s="2401">
        <v>32.049999999999997</v>
      </c>
      <c r="U46" s="2401">
        <v>37.479999999999997</v>
      </c>
      <c r="V46" s="2401"/>
      <c r="W46" s="2401">
        <v>27</v>
      </c>
      <c r="X46" s="2401">
        <v>0</v>
      </c>
      <c r="Y46" s="2401">
        <v>0</v>
      </c>
      <c r="Z46" s="2401"/>
      <c r="AA46" s="2401"/>
    </row>
    <row r="47" spans="1:27" s="1721" customFormat="1" ht="13.2">
      <c r="A47" s="2401">
        <v>58091715</v>
      </c>
      <c r="B47" s="2402">
        <v>45254</v>
      </c>
      <c r="C47" s="2401" t="s">
        <v>1130</v>
      </c>
      <c r="D47" s="2401">
        <v>52903</v>
      </c>
      <c r="E47" s="2401">
        <v>40</v>
      </c>
      <c r="F47" s="2401" t="s">
        <v>1589</v>
      </c>
      <c r="G47" s="2401"/>
      <c r="H47" s="2401">
        <v>2281.88</v>
      </c>
      <c r="I47" s="2401">
        <v>0.88</v>
      </c>
      <c r="J47" s="2403"/>
      <c r="K47" s="2401">
        <v>57480</v>
      </c>
      <c r="L47" s="2401">
        <v>24</v>
      </c>
      <c r="M47" s="2401" t="s">
        <v>1588</v>
      </c>
      <c r="N47" s="2401"/>
      <c r="O47" s="2401">
        <v>165478</v>
      </c>
      <c r="P47" s="2401">
        <v>112577</v>
      </c>
      <c r="Q47" s="2401" t="s">
        <v>1587</v>
      </c>
      <c r="R47" s="2401"/>
      <c r="S47" s="2401">
        <v>76.14</v>
      </c>
      <c r="T47" s="2401">
        <v>30.68</v>
      </c>
      <c r="U47" s="2401">
        <v>39.08</v>
      </c>
      <c r="V47" s="2401"/>
      <c r="W47" s="2401">
        <v>27</v>
      </c>
      <c r="X47" s="2401">
        <v>0</v>
      </c>
      <c r="Y47" s="2401">
        <v>0</v>
      </c>
      <c r="Z47" s="2401"/>
      <c r="AA47" s="2401"/>
    </row>
    <row r="48" spans="1:27" s="1721" customFormat="1" ht="13.2">
      <c r="A48" s="2401">
        <v>58091715</v>
      </c>
      <c r="B48" s="2402">
        <v>45255</v>
      </c>
      <c r="C48" s="2401" t="s">
        <v>1128</v>
      </c>
      <c r="D48" s="2401">
        <v>52948</v>
      </c>
      <c r="E48" s="2401">
        <v>45</v>
      </c>
      <c r="F48" s="2401" t="s">
        <v>1589</v>
      </c>
      <c r="G48" s="2401"/>
      <c r="H48" s="2401">
        <v>2282.9</v>
      </c>
      <c r="I48" s="2401">
        <v>1.02</v>
      </c>
      <c r="J48" s="2403"/>
      <c r="K48" s="2401">
        <v>57504</v>
      </c>
      <c r="L48" s="2401">
        <v>24</v>
      </c>
      <c r="M48" s="2401" t="s">
        <v>1588</v>
      </c>
      <c r="N48" s="2401"/>
      <c r="O48" s="2401">
        <v>165555</v>
      </c>
      <c r="P48" s="2401">
        <v>112608</v>
      </c>
      <c r="Q48" s="2401" t="s">
        <v>1587</v>
      </c>
      <c r="R48" s="2401"/>
      <c r="S48" s="2401">
        <v>75.489999999999995</v>
      </c>
      <c r="T48" s="2401">
        <v>30.39</v>
      </c>
      <c r="U48" s="2401">
        <v>37.94</v>
      </c>
      <c r="V48" s="2401"/>
      <c r="W48" s="2401">
        <v>27</v>
      </c>
      <c r="X48" s="2401">
        <v>0</v>
      </c>
      <c r="Y48" s="2401">
        <v>0</v>
      </c>
      <c r="Z48" s="2401"/>
      <c r="AA48" s="2401"/>
    </row>
    <row r="49" spans="1:28" s="1721" customFormat="1" ht="13.2">
      <c r="A49" s="2401">
        <v>58091715</v>
      </c>
      <c r="B49" s="2402">
        <v>45256</v>
      </c>
      <c r="C49" s="2401" t="s">
        <v>1139</v>
      </c>
      <c r="D49" s="2401">
        <v>52999</v>
      </c>
      <c r="E49" s="2401">
        <v>51</v>
      </c>
      <c r="F49" s="2401" t="s">
        <v>1589</v>
      </c>
      <c r="G49" s="2401"/>
      <c r="H49" s="2401">
        <v>2284.02</v>
      </c>
      <c r="I49" s="2401">
        <v>1.1200000000000001</v>
      </c>
      <c r="J49" s="2403"/>
      <c r="K49" s="2401">
        <v>57528</v>
      </c>
      <c r="L49" s="2401">
        <v>24</v>
      </c>
      <c r="M49" s="2401" t="s">
        <v>1588</v>
      </c>
      <c r="N49" s="2401"/>
      <c r="O49" s="2401">
        <v>165641</v>
      </c>
      <c r="P49" s="2401">
        <v>112643</v>
      </c>
      <c r="Q49" s="2401" t="s">
        <v>1587</v>
      </c>
      <c r="R49" s="2401"/>
      <c r="S49" s="2401">
        <v>76.790000000000006</v>
      </c>
      <c r="T49" s="2401">
        <v>31.25</v>
      </c>
      <c r="U49" s="2401">
        <v>39.15</v>
      </c>
      <c r="V49" s="2401"/>
      <c r="W49" s="2401">
        <v>27</v>
      </c>
      <c r="X49" s="2401">
        <v>0</v>
      </c>
      <c r="Y49" s="2401">
        <v>0</v>
      </c>
      <c r="Z49" s="2401"/>
      <c r="AA49" s="2401"/>
    </row>
    <row r="50" spans="1:28" s="1721" customFormat="1" ht="13.2">
      <c r="A50" s="2401">
        <v>58091715</v>
      </c>
      <c r="B50" s="2402">
        <v>45257</v>
      </c>
      <c r="C50" s="2401" t="s">
        <v>1138</v>
      </c>
      <c r="D50" s="2401">
        <v>53052</v>
      </c>
      <c r="E50" s="2401">
        <v>53</v>
      </c>
      <c r="F50" s="2401" t="s">
        <v>1589</v>
      </c>
      <c r="G50" s="2401"/>
      <c r="H50" s="2401">
        <v>2285.1999999999998</v>
      </c>
      <c r="I50" s="2401">
        <v>1.18</v>
      </c>
      <c r="J50" s="2403"/>
      <c r="K50" s="2401">
        <v>57552</v>
      </c>
      <c r="L50" s="2401">
        <v>24</v>
      </c>
      <c r="M50" s="2401" t="s">
        <v>1588</v>
      </c>
      <c r="N50" s="2401"/>
      <c r="O50" s="2401">
        <v>165731</v>
      </c>
      <c r="P50" s="2401">
        <v>112680</v>
      </c>
      <c r="Q50" s="2401" t="s">
        <v>1587</v>
      </c>
      <c r="R50" s="2401"/>
      <c r="S50" s="2401">
        <v>76.27</v>
      </c>
      <c r="T50" s="2401">
        <v>31.36</v>
      </c>
      <c r="U50" s="2401">
        <v>38.619999999999997</v>
      </c>
      <c r="V50" s="2401"/>
      <c r="W50" s="2401">
        <v>27</v>
      </c>
      <c r="X50" s="2401">
        <v>0</v>
      </c>
      <c r="Y50" s="2401">
        <v>0</v>
      </c>
      <c r="Z50" s="2401"/>
      <c r="AA50" s="2401"/>
    </row>
    <row r="51" spans="1:28" s="1721" customFormat="1" ht="13.2">
      <c r="A51" s="2401">
        <v>58091715</v>
      </c>
      <c r="B51" s="2402">
        <v>45258</v>
      </c>
      <c r="C51" s="2401" t="s">
        <v>1137</v>
      </c>
      <c r="D51" s="2401">
        <v>53103</v>
      </c>
      <c r="E51" s="2401">
        <v>51</v>
      </c>
      <c r="F51" s="2401" t="s">
        <v>1589</v>
      </c>
      <c r="G51" s="2401"/>
      <c r="H51" s="2401">
        <v>2286.36</v>
      </c>
      <c r="I51" s="2401">
        <v>1.1599999999999999</v>
      </c>
      <c r="J51" s="2403"/>
      <c r="K51" s="2401">
        <v>57576</v>
      </c>
      <c r="L51" s="2401">
        <v>24</v>
      </c>
      <c r="M51" s="2401" t="s">
        <v>1588</v>
      </c>
      <c r="N51" s="2401"/>
      <c r="O51" s="2401">
        <v>165820</v>
      </c>
      <c r="P51" s="2401">
        <v>112718</v>
      </c>
      <c r="Q51" s="2401" t="s">
        <v>1587</v>
      </c>
      <c r="R51" s="2401"/>
      <c r="S51" s="2401">
        <v>76.72</v>
      </c>
      <c r="T51" s="2401">
        <v>32.76</v>
      </c>
      <c r="U51" s="2401">
        <v>37.799999999999997</v>
      </c>
      <c r="V51" s="2401"/>
      <c r="W51" s="2401">
        <v>27</v>
      </c>
      <c r="X51" s="2401">
        <v>0</v>
      </c>
      <c r="Y51" s="2401">
        <v>0</v>
      </c>
      <c r="Z51" s="2401"/>
      <c r="AA51" s="2401"/>
    </row>
    <row r="52" spans="1:28" s="1721" customFormat="1" ht="13.2">
      <c r="A52" s="2401">
        <v>58091715</v>
      </c>
      <c r="B52" s="2402">
        <v>45259</v>
      </c>
      <c r="C52" s="2401" t="s">
        <v>1131</v>
      </c>
      <c r="D52" s="2401">
        <v>53156</v>
      </c>
      <c r="E52" s="2401">
        <v>53</v>
      </c>
      <c r="F52" s="2401" t="s">
        <v>1589</v>
      </c>
      <c r="G52" s="2401"/>
      <c r="H52" s="2401">
        <v>2287.5500000000002</v>
      </c>
      <c r="I52" s="2401">
        <v>1.19</v>
      </c>
      <c r="J52" s="2403"/>
      <c r="K52" s="2401">
        <v>57600</v>
      </c>
      <c r="L52" s="2401">
        <v>24</v>
      </c>
      <c r="M52" s="2401" t="s">
        <v>1588</v>
      </c>
      <c r="N52" s="2401"/>
      <c r="O52" s="2401">
        <v>165910</v>
      </c>
      <c r="P52" s="2401">
        <v>112756</v>
      </c>
      <c r="Q52" s="2401" t="s">
        <v>1587</v>
      </c>
      <c r="R52" s="2401"/>
      <c r="S52" s="2401">
        <v>75.63</v>
      </c>
      <c r="T52" s="2401">
        <v>31.93</v>
      </c>
      <c r="U52" s="2401">
        <v>38.299999999999997</v>
      </c>
      <c r="V52" s="2401"/>
      <c r="W52" s="2401">
        <v>27</v>
      </c>
      <c r="X52" s="2401">
        <v>0</v>
      </c>
      <c r="Y52" s="2401">
        <v>0</v>
      </c>
      <c r="Z52" s="2401"/>
      <c r="AA52" s="2401"/>
    </row>
    <row r="53" spans="1:28" s="1721" customFormat="1" ht="13.2">
      <c r="A53" s="2401">
        <v>58091715</v>
      </c>
      <c r="B53" s="2402">
        <v>45260</v>
      </c>
      <c r="C53" s="2401" t="s">
        <v>1136</v>
      </c>
      <c r="D53" s="2401">
        <v>53210</v>
      </c>
      <c r="E53" s="2401">
        <v>54</v>
      </c>
      <c r="F53" s="2401" t="s">
        <v>1589</v>
      </c>
      <c r="G53" s="2401">
        <f>SUM(E24:E53)</f>
        <v>1143</v>
      </c>
      <c r="H53" s="2401">
        <v>2288.7399999999998</v>
      </c>
      <c r="I53" s="2401">
        <v>1.19</v>
      </c>
      <c r="J53" s="2403">
        <f>SUM(I24:I53)</f>
        <v>26.050000000000004</v>
      </c>
      <c r="K53" s="2401">
        <v>57624</v>
      </c>
      <c r="L53" s="2401">
        <v>24</v>
      </c>
      <c r="M53" s="2401" t="s">
        <v>1588</v>
      </c>
      <c r="N53" s="2401"/>
      <c r="O53" s="2401">
        <v>166001</v>
      </c>
      <c r="P53" s="2401">
        <v>112793</v>
      </c>
      <c r="Q53" s="2401" t="s">
        <v>1587</v>
      </c>
      <c r="R53" s="2401"/>
      <c r="S53" s="2401">
        <v>76.47</v>
      </c>
      <c r="T53" s="2401">
        <v>31.09</v>
      </c>
      <c r="U53" s="2401">
        <v>39.020000000000003</v>
      </c>
      <c r="V53" s="2401"/>
      <c r="W53" s="2401">
        <v>27</v>
      </c>
      <c r="X53" s="2401">
        <v>0</v>
      </c>
      <c r="Y53" s="2401">
        <v>0</v>
      </c>
      <c r="Z53" s="2401"/>
      <c r="AA53" s="2401"/>
    </row>
    <row r="54" spans="1:28" s="1721" customFormat="1" ht="13.2">
      <c r="A54" s="2406">
        <v>58091715</v>
      </c>
      <c r="B54" s="2407">
        <v>45261</v>
      </c>
      <c r="C54" s="2406" t="s">
        <v>1130</v>
      </c>
      <c r="D54" s="2406">
        <v>53259</v>
      </c>
      <c r="E54" s="2406">
        <v>49</v>
      </c>
      <c r="F54" s="2406" t="s">
        <v>1589</v>
      </c>
      <c r="G54" s="2406"/>
      <c r="H54" s="2406">
        <v>2289.83</v>
      </c>
      <c r="I54" s="2406">
        <v>1.0900000000000001</v>
      </c>
      <c r="J54" s="2408"/>
      <c r="K54" s="2406">
        <v>57648</v>
      </c>
      <c r="L54" s="2406">
        <v>24</v>
      </c>
      <c r="M54" s="2406" t="s">
        <v>1588</v>
      </c>
      <c r="N54" s="2406"/>
      <c r="O54" s="2406">
        <v>166084</v>
      </c>
      <c r="P54" s="2406">
        <v>112827</v>
      </c>
      <c r="Q54" s="2406" t="s">
        <v>1587</v>
      </c>
      <c r="R54" s="2406"/>
      <c r="S54" s="2406">
        <v>76.150000000000006</v>
      </c>
      <c r="T54" s="2406">
        <v>31.19</v>
      </c>
      <c r="U54" s="2406">
        <v>38.65</v>
      </c>
      <c r="V54" s="2406"/>
      <c r="W54" s="2406">
        <v>27</v>
      </c>
      <c r="X54" s="2406">
        <v>0</v>
      </c>
      <c r="Y54" s="2406">
        <v>0</v>
      </c>
      <c r="Z54" s="2406"/>
      <c r="AA54" s="2406"/>
      <c r="AB54" s="2406"/>
    </row>
    <row r="55" spans="1:28" s="1721" customFormat="1" ht="13.2">
      <c r="A55" s="2406">
        <v>58091715</v>
      </c>
      <c r="B55" s="2407">
        <v>45262</v>
      </c>
      <c r="C55" s="2406" t="s">
        <v>1128</v>
      </c>
      <c r="D55" s="2406">
        <v>53319</v>
      </c>
      <c r="E55" s="2406">
        <v>60</v>
      </c>
      <c r="F55" s="2406" t="s">
        <v>1589</v>
      </c>
      <c r="G55" s="2406"/>
      <c r="H55" s="2406">
        <v>2291.14</v>
      </c>
      <c r="I55" s="2406">
        <v>1.31</v>
      </c>
      <c r="J55" s="2408"/>
      <c r="K55" s="2406">
        <v>57672</v>
      </c>
      <c r="L55" s="2406">
        <v>24</v>
      </c>
      <c r="M55" s="2406" t="s">
        <v>1588</v>
      </c>
      <c r="N55" s="2406"/>
      <c r="O55" s="2406">
        <v>166185</v>
      </c>
      <c r="P55" s="2406">
        <v>112868</v>
      </c>
      <c r="Q55" s="2406" t="s">
        <v>1587</v>
      </c>
      <c r="R55" s="2406"/>
      <c r="S55" s="2406">
        <v>77.099999999999994</v>
      </c>
      <c r="T55" s="2406">
        <v>31.3</v>
      </c>
      <c r="U55" s="2406">
        <v>39.380000000000003</v>
      </c>
      <c r="V55" s="2406"/>
      <c r="W55" s="2406">
        <v>27</v>
      </c>
      <c r="X55" s="2406">
        <v>0</v>
      </c>
      <c r="Y55" s="2406">
        <v>0</v>
      </c>
      <c r="Z55" s="2406"/>
      <c r="AA55" s="2406"/>
      <c r="AB55" s="2406"/>
    </row>
    <row r="56" spans="1:28" s="1721" customFormat="1" ht="13.2">
      <c r="A56" s="2406">
        <v>58091715</v>
      </c>
      <c r="B56" s="2407">
        <v>45263</v>
      </c>
      <c r="C56" s="2406" t="s">
        <v>1139</v>
      </c>
      <c r="D56" s="2406">
        <v>53378</v>
      </c>
      <c r="E56" s="2406">
        <v>59</v>
      </c>
      <c r="F56" s="2406" t="s">
        <v>1589</v>
      </c>
      <c r="G56" s="2406"/>
      <c r="H56" s="2406">
        <v>2292.44</v>
      </c>
      <c r="I56" s="2406">
        <v>1.3</v>
      </c>
      <c r="J56" s="2408"/>
      <c r="K56" s="2406">
        <v>57696</v>
      </c>
      <c r="L56" s="2406">
        <v>24</v>
      </c>
      <c r="M56" s="2406" t="s">
        <v>1588</v>
      </c>
      <c r="N56" s="2406"/>
      <c r="O56" s="2406">
        <v>166285</v>
      </c>
      <c r="P56" s="2406">
        <v>112909</v>
      </c>
      <c r="Q56" s="2406" t="s">
        <v>1587</v>
      </c>
      <c r="R56" s="2406"/>
      <c r="S56" s="2406">
        <v>76.92</v>
      </c>
      <c r="T56" s="2406">
        <v>31.54</v>
      </c>
      <c r="U56" s="2406">
        <v>39.020000000000003</v>
      </c>
      <c r="V56" s="2406"/>
      <c r="W56" s="2406">
        <v>27</v>
      </c>
      <c r="X56" s="2406">
        <v>0</v>
      </c>
      <c r="Y56" s="2406">
        <v>0</v>
      </c>
      <c r="Z56" s="2406"/>
      <c r="AA56" s="2406"/>
      <c r="AB56" s="2406"/>
    </row>
    <row r="57" spans="1:28" s="1721" customFormat="1" ht="13.2">
      <c r="A57" s="2406">
        <v>58091715</v>
      </c>
      <c r="B57" s="2407">
        <v>45264</v>
      </c>
      <c r="C57" s="2406" t="s">
        <v>1138</v>
      </c>
      <c r="D57" s="2406">
        <v>53426</v>
      </c>
      <c r="E57" s="2406">
        <v>48</v>
      </c>
      <c r="F57" s="2406" t="s">
        <v>1589</v>
      </c>
      <c r="G57" s="2406"/>
      <c r="H57" s="2406">
        <v>2293.52</v>
      </c>
      <c r="I57" s="2406">
        <v>1.08</v>
      </c>
      <c r="J57" s="2408"/>
      <c r="K57" s="2406">
        <v>57720</v>
      </c>
      <c r="L57" s="2406">
        <v>24</v>
      </c>
      <c r="M57" s="2406" t="s">
        <v>1588</v>
      </c>
      <c r="N57" s="2406"/>
      <c r="O57" s="2406">
        <v>166367</v>
      </c>
      <c r="P57" s="2406">
        <v>112943</v>
      </c>
      <c r="Q57" s="2406" t="s">
        <v>1587</v>
      </c>
      <c r="R57" s="2406"/>
      <c r="S57" s="2406">
        <v>75.930000000000007</v>
      </c>
      <c r="T57" s="2406">
        <v>31.48</v>
      </c>
      <c r="U57" s="2406">
        <v>38.22</v>
      </c>
      <c r="V57" s="2406"/>
      <c r="W57" s="2406">
        <v>27</v>
      </c>
      <c r="X57" s="2406">
        <v>0</v>
      </c>
      <c r="Y57" s="2406">
        <v>0</v>
      </c>
      <c r="Z57" s="2406"/>
      <c r="AA57" s="2406"/>
      <c r="AB57" s="2406"/>
    </row>
    <row r="58" spans="1:28" s="1721" customFormat="1" ht="13.2">
      <c r="A58" s="2406">
        <v>58091715</v>
      </c>
      <c r="B58" s="2407">
        <v>45265</v>
      </c>
      <c r="C58" s="2406" t="s">
        <v>1137</v>
      </c>
      <c r="D58" s="2406">
        <v>53475</v>
      </c>
      <c r="E58" s="2406">
        <v>49</v>
      </c>
      <c r="F58" s="2406" t="s">
        <v>1589</v>
      </c>
      <c r="G58" s="2406"/>
      <c r="H58" s="2406">
        <v>2294.62</v>
      </c>
      <c r="I58" s="2406">
        <v>1.1000000000000001</v>
      </c>
      <c r="J58" s="2408"/>
      <c r="K58" s="2406">
        <v>57744</v>
      </c>
      <c r="L58" s="2406">
        <v>24</v>
      </c>
      <c r="M58" s="2406" t="s">
        <v>1588</v>
      </c>
      <c r="N58" s="2406"/>
      <c r="O58" s="2406">
        <v>166451</v>
      </c>
      <c r="P58" s="2406">
        <v>112978</v>
      </c>
      <c r="Q58" s="2406" t="s">
        <v>1587</v>
      </c>
      <c r="R58" s="2406"/>
      <c r="S58" s="2406">
        <v>76.36</v>
      </c>
      <c r="T58" s="2406">
        <v>31.82</v>
      </c>
      <c r="U58" s="2406">
        <v>38.299999999999997</v>
      </c>
      <c r="V58" s="2406"/>
      <c r="W58" s="2406">
        <v>27</v>
      </c>
      <c r="X58" s="2406">
        <v>0</v>
      </c>
      <c r="Y58" s="2406">
        <v>0</v>
      </c>
      <c r="Z58" s="2406"/>
      <c r="AA58" s="2406"/>
      <c r="AB58" s="2406"/>
    </row>
    <row r="59" spans="1:28" s="1721" customFormat="1" ht="13.2">
      <c r="A59" s="2406">
        <v>58091715</v>
      </c>
      <c r="B59" s="2407">
        <v>45266</v>
      </c>
      <c r="C59" s="2406" t="s">
        <v>1131</v>
      </c>
      <c r="D59" s="2406">
        <v>53524</v>
      </c>
      <c r="E59" s="2406">
        <v>49</v>
      </c>
      <c r="F59" s="2406" t="s">
        <v>1589</v>
      </c>
      <c r="G59" s="2406"/>
      <c r="H59" s="2406">
        <v>2295.71</v>
      </c>
      <c r="I59" s="2406">
        <v>1.0900000000000001</v>
      </c>
      <c r="J59" s="2408"/>
      <c r="K59" s="2406">
        <v>57768</v>
      </c>
      <c r="L59" s="2406">
        <v>24</v>
      </c>
      <c r="M59" s="2406" t="s">
        <v>1588</v>
      </c>
      <c r="N59" s="2406"/>
      <c r="O59" s="2406">
        <v>166533</v>
      </c>
      <c r="P59" s="2406">
        <v>113011</v>
      </c>
      <c r="Q59" s="2406" t="s">
        <v>1587</v>
      </c>
      <c r="R59" s="2406"/>
      <c r="S59" s="2406">
        <v>75.23</v>
      </c>
      <c r="T59" s="2406">
        <v>30.28</v>
      </c>
      <c r="U59" s="2406">
        <v>38.65</v>
      </c>
      <c r="V59" s="2406"/>
      <c r="W59" s="2406">
        <v>27</v>
      </c>
      <c r="X59" s="2406">
        <v>0</v>
      </c>
      <c r="Y59" s="2406">
        <v>0</v>
      </c>
      <c r="Z59" s="2406"/>
      <c r="AA59" s="2406"/>
      <c r="AB59" s="2406"/>
    </row>
    <row r="60" spans="1:28" s="1721" customFormat="1" ht="13.2">
      <c r="A60" s="2406">
        <v>58091715</v>
      </c>
      <c r="B60" s="2407">
        <v>45267</v>
      </c>
      <c r="C60" s="2406" t="s">
        <v>1136</v>
      </c>
      <c r="D60" s="2406">
        <v>53571</v>
      </c>
      <c r="E60" s="2406">
        <v>47</v>
      </c>
      <c r="F60" s="2406" t="s">
        <v>1589</v>
      </c>
      <c r="G60" s="2406"/>
      <c r="H60" s="2406">
        <v>2296.77</v>
      </c>
      <c r="I60" s="2406">
        <v>1.06</v>
      </c>
      <c r="J60" s="2408"/>
      <c r="K60" s="2406">
        <v>57792</v>
      </c>
      <c r="L60" s="2406">
        <v>24</v>
      </c>
      <c r="M60" s="2406" t="s">
        <v>1588</v>
      </c>
      <c r="N60" s="2406"/>
      <c r="O60" s="2406">
        <v>166613</v>
      </c>
      <c r="P60" s="2406">
        <v>113044</v>
      </c>
      <c r="Q60" s="2406" t="s">
        <v>1587</v>
      </c>
      <c r="R60" s="2406"/>
      <c r="S60" s="2406">
        <v>75.47</v>
      </c>
      <c r="T60" s="2406">
        <v>31.13</v>
      </c>
      <c r="U60" s="2406">
        <v>38.130000000000003</v>
      </c>
      <c r="V60" s="2406"/>
      <c r="W60" s="2406">
        <v>27</v>
      </c>
      <c r="X60" s="2406">
        <v>0</v>
      </c>
      <c r="Y60" s="2406">
        <v>0</v>
      </c>
      <c r="Z60" s="2406"/>
      <c r="AA60" s="2406"/>
      <c r="AB60" s="2406"/>
    </row>
    <row r="61" spans="1:28" s="1721" customFormat="1" ht="13.2">
      <c r="A61" s="2406">
        <v>58091715</v>
      </c>
      <c r="B61" s="2407">
        <v>45268</v>
      </c>
      <c r="C61" s="2406" t="s">
        <v>1130</v>
      </c>
      <c r="D61" s="2406">
        <v>53619</v>
      </c>
      <c r="E61" s="2406">
        <v>48</v>
      </c>
      <c r="F61" s="2406" t="s">
        <v>1589</v>
      </c>
      <c r="G61" s="2406"/>
      <c r="H61" s="2406">
        <v>2297.84</v>
      </c>
      <c r="I61" s="2406">
        <v>1.07</v>
      </c>
      <c r="J61" s="2408"/>
      <c r="K61" s="2406">
        <v>57816</v>
      </c>
      <c r="L61" s="2406">
        <v>24</v>
      </c>
      <c r="M61" s="2406" t="s">
        <v>1588</v>
      </c>
      <c r="N61" s="2406"/>
      <c r="O61" s="2406">
        <v>166694</v>
      </c>
      <c r="P61" s="2406">
        <v>113077</v>
      </c>
      <c r="Q61" s="2406" t="s">
        <v>1587</v>
      </c>
      <c r="R61" s="2406"/>
      <c r="S61" s="2406">
        <v>75.7</v>
      </c>
      <c r="T61" s="2406">
        <v>30.84</v>
      </c>
      <c r="U61" s="2406">
        <v>38.57</v>
      </c>
      <c r="V61" s="2406"/>
      <c r="W61" s="2406">
        <v>27</v>
      </c>
      <c r="X61" s="2406">
        <v>0</v>
      </c>
      <c r="Y61" s="2406">
        <v>0</v>
      </c>
      <c r="Z61" s="2406"/>
      <c r="AA61" s="2406"/>
      <c r="AB61" s="2406"/>
    </row>
    <row r="62" spans="1:28" s="1721" customFormat="1" ht="13.2">
      <c r="A62" s="2406">
        <v>58091715</v>
      </c>
      <c r="B62" s="2407">
        <v>45269</v>
      </c>
      <c r="C62" s="2406" t="s">
        <v>1128</v>
      </c>
      <c r="D62" s="2406">
        <v>53664</v>
      </c>
      <c r="E62" s="2406">
        <v>45</v>
      </c>
      <c r="F62" s="2406" t="s">
        <v>1589</v>
      </c>
      <c r="G62" s="2406"/>
      <c r="H62" s="2406">
        <v>2298.86</v>
      </c>
      <c r="I62" s="2406">
        <v>1.02</v>
      </c>
      <c r="J62" s="2408"/>
      <c r="K62" s="2406">
        <v>57840</v>
      </c>
      <c r="L62" s="2406">
        <v>24</v>
      </c>
      <c r="M62" s="2406" t="s">
        <v>1588</v>
      </c>
      <c r="N62" s="2406"/>
      <c r="O62" s="2406">
        <v>166770</v>
      </c>
      <c r="P62" s="2406">
        <v>113108</v>
      </c>
      <c r="Q62" s="2406" t="s">
        <v>1587</v>
      </c>
      <c r="R62" s="2406"/>
      <c r="S62" s="2406">
        <v>74.510000000000005</v>
      </c>
      <c r="T62" s="2406">
        <v>30.39</v>
      </c>
      <c r="U62" s="2406">
        <v>37.94</v>
      </c>
      <c r="V62" s="2406"/>
      <c r="W62" s="2406">
        <v>27</v>
      </c>
      <c r="X62" s="2406">
        <v>0</v>
      </c>
      <c r="Y62" s="2406">
        <v>0</v>
      </c>
      <c r="Z62" s="2406"/>
      <c r="AA62" s="2406"/>
      <c r="AB62" s="2406"/>
    </row>
    <row r="63" spans="1:28" s="1721" customFormat="1" ht="13.2">
      <c r="A63" s="2406">
        <v>58091715</v>
      </c>
      <c r="B63" s="2407">
        <v>45270</v>
      </c>
      <c r="C63" s="2406" t="s">
        <v>1139</v>
      </c>
      <c r="D63" s="2406">
        <v>53711</v>
      </c>
      <c r="E63" s="2406">
        <v>47</v>
      </c>
      <c r="F63" s="2406" t="s">
        <v>1589</v>
      </c>
      <c r="G63" s="2406"/>
      <c r="H63" s="2406">
        <v>2299.92</v>
      </c>
      <c r="I63" s="2406">
        <v>1.06</v>
      </c>
      <c r="J63" s="2408"/>
      <c r="K63" s="2406">
        <v>57864</v>
      </c>
      <c r="L63" s="2406">
        <v>24</v>
      </c>
      <c r="M63" s="2406" t="s">
        <v>1588</v>
      </c>
      <c r="N63" s="2406"/>
      <c r="O63" s="2406">
        <v>166851</v>
      </c>
      <c r="P63" s="2406">
        <v>113142</v>
      </c>
      <c r="Q63" s="2406" t="s">
        <v>1587</v>
      </c>
      <c r="R63" s="2406"/>
      <c r="S63" s="2406">
        <v>76.42</v>
      </c>
      <c r="T63" s="2406">
        <v>32.08</v>
      </c>
      <c r="U63" s="2406">
        <v>38.130000000000003</v>
      </c>
      <c r="V63" s="2406"/>
      <c r="W63" s="2406">
        <v>27</v>
      </c>
      <c r="X63" s="2406">
        <v>0</v>
      </c>
      <c r="Y63" s="2406">
        <v>0</v>
      </c>
      <c r="Z63" s="2406"/>
      <c r="AA63" s="2406"/>
      <c r="AB63" s="2406"/>
    </row>
    <row r="64" spans="1:28" s="1721" customFormat="1" ht="13.2">
      <c r="A64" s="2406">
        <v>58091715</v>
      </c>
      <c r="B64" s="2407">
        <v>45271</v>
      </c>
      <c r="C64" s="2406" t="s">
        <v>1138</v>
      </c>
      <c r="D64" s="2406">
        <v>53752</v>
      </c>
      <c r="E64" s="2406">
        <v>41</v>
      </c>
      <c r="F64" s="2406" t="s">
        <v>1589</v>
      </c>
      <c r="G64" s="2406"/>
      <c r="H64" s="2406">
        <v>2300.87</v>
      </c>
      <c r="I64" s="2406">
        <v>0.95</v>
      </c>
      <c r="J64" s="2408"/>
      <c r="K64" s="2406">
        <v>57888</v>
      </c>
      <c r="L64" s="2406">
        <v>24</v>
      </c>
      <c r="M64" s="2406" t="s">
        <v>1588</v>
      </c>
      <c r="N64" s="2406"/>
      <c r="O64" s="2406">
        <v>166922</v>
      </c>
      <c r="P64" s="2406">
        <v>113171</v>
      </c>
      <c r="Q64" s="2406" t="s">
        <v>1587</v>
      </c>
      <c r="R64" s="2406"/>
      <c r="S64" s="2406">
        <v>74.739999999999995</v>
      </c>
      <c r="T64" s="2406">
        <v>30.53</v>
      </c>
      <c r="U64" s="2406">
        <v>37.11</v>
      </c>
      <c r="V64" s="2406"/>
      <c r="W64" s="2406">
        <v>27</v>
      </c>
      <c r="X64" s="2406">
        <v>0</v>
      </c>
      <c r="Y64" s="2406">
        <v>0</v>
      </c>
      <c r="Z64" s="2406"/>
      <c r="AA64" s="2406"/>
      <c r="AB64" s="2406"/>
    </row>
    <row r="65" spans="1:28" s="1721" customFormat="1" ht="13.2">
      <c r="A65" s="2406">
        <v>58091715</v>
      </c>
      <c r="B65" s="2407">
        <v>45272</v>
      </c>
      <c r="C65" s="2406" t="s">
        <v>1137</v>
      </c>
      <c r="D65" s="2406">
        <v>53797</v>
      </c>
      <c r="E65" s="2406">
        <v>45</v>
      </c>
      <c r="F65" s="2406" t="s">
        <v>1589</v>
      </c>
      <c r="G65" s="2406"/>
      <c r="H65" s="2406">
        <v>2301.89</v>
      </c>
      <c r="I65" s="2406">
        <v>1.02</v>
      </c>
      <c r="J65" s="2408"/>
      <c r="K65" s="2406">
        <v>57912</v>
      </c>
      <c r="L65" s="2406">
        <v>24</v>
      </c>
      <c r="M65" s="2406" t="s">
        <v>1588</v>
      </c>
      <c r="N65" s="2406"/>
      <c r="O65" s="2406">
        <v>166999</v>
      </c>
      <c r="P65" s="2406">
        <v>113203</v>
      </c>
      <c r="Q65" s="2406" t="s">
        <v>1587</v>
      </c>
      <c r="R65" s="2406"/>
      <c r="S65" s="2406">
        <v>75.489999999999995</v>
      </c>
      <c r="T65" s="2406">
        <v>31.37</v>
      </c>
      <c r="U65" s="2406">
        <v>37.94</v>
      </c>
      <c r="V65" s="2406"/>
      <c r="W65" s="2406">
        <v>27</v>
      </c>
      <c r="X65" s="2406">
        <v>0</v>
      </c>
      <c r="Y65" s="2406">
        <v>0</v>
      </c>
      <c r="Z65" s="2406"/>
      <c r="AA65" s="2406"/>
      <c r="AB65" s="2406"/>
    </row>
    <row r="66" spans="1:28" s="1721" customFormat="1" ht="13.2">
      <c r="A66" s="2406">
        <v>58091715</v>
      </c>
      <c r="B66" s="2407">
        <v>45273</v>
      </c>
      <c r="C66" s="2406" t="s">
        <v>1131</v>
      </c>
      <c r="D66" s="2406">
        <v>53846</v>
      </c>
      <c r="E66" s="2406">
        <v>49</v>
      </c>
      <c r="F66" s="2406" t="s">
        <v>1589</v>
      </c>
      <c r="G66" s="2406"/>
      <c r="H66" s="2406">
        <v>2302.9899999999998</v>
      </c>
      <c r="I66" s="2406">
        <v>1.1000000000000001</v>
      </c>
      <c r="J66" s="2408"/>
      <c r="K66" s="2406">
        <v>57936</v>
      </c>
      <c r="L66" s="2406">
        <v>24</v>
      </c>
      <c r="M66" s="2406" t="s">
        <v>1588</v>
      </c>
      <c r="N66" s="2406"/>
      <c r="O66" s="2406">
        <v>167082</v>
      </c>
      <c r="P66" s="2406">
        <v>113237</v>
      </c>
      <c r="Q66" s="2406" t="s">
        <v>1587</v>
      </c>
      <c r="R66" s="2406"/>
      <c r="S66" s="2406">
        <v>75.45</v>
      </c>
      <c r="T66" s="2406">
        <v>30.91</v>
      </c>
      <c r="U66" s="2406">
        <v>38.299999999999997</v>
      </c>
      <c r="V66" s="2406"/>
      <c r="W66" s="2406">
        <v>27</v>
      </c>
      <c r="X66" s="2406">
        <v>0</v>
      </c>
      <c r="Y66" s="2406">
        <v>0</v>
      </c>
      <c r="Z66" s="2406"/>
      <c r="AA66" s="2406"/>
      <c r="AB66" s="2406"/>
    </row>
    <row r="67" spans="1:28" s="1721" customFormat="1" ht="13.2">
      <c r="A67" s="2406">
        <v>58091715</v>
      </c>
      <c r="B67" s="2407">
        <v>45274</v>
      </c>
      <c r="C67" s="2406" t="s">
        <v>1136</v>
      </c>
      <c r="D67" s="2406">
        <v>53895</v>
      </c>
      <c r="E67" s="2406">
        <v>49</v>
      </c>
      <c r="F67" s="2406" t="s">
        <v>1589</v>
      </c>
      <c r="G67" s="2406"/>
      <c r="H67" s="2406">
        <v>2304.1</v>
      </c>
      <c r="I67" s="2406">
        <v>1.1100000000000001</v>
      </c>
      <c r="J67" s="2408"/>
      <c r="K67" s="2406">
        <v>57960</v>
      </c>
      <c r="L67" s="2406">
        <v>24</v>
      </c>
      <c r="M67" s="2406" t="s">
        <v>1588</v>
      </c>
      <c r="N67" s="2406"/>
      <c r="O67" s="2406">
        <v>167166</v>
      </c>
      <c r="P67" s="2406">
        <v>113272</v>
      </c>
      <c r="Q67" s="2406" t="s">
        <v>1587</v>
      </c>
      <c r="R67" s="2406"/>
      <c r="S67" s="2406">
        <v>75.680000000000007</v>
      </c>
      <c r="T67" s="2406">
        <v>31.53</v>
      </c>
      <c r="U67" s="2406">
        <v>37.96</v>
      </c>
      <c r="V67" s="2406"/>
      <c r="W67" s="2406">
        <v>27</v>
      </c>
      <c r="X67" s="2406">
        <v>0</v>
      </c>
      <c r="Y67" s="2406">
        <v>0</v>
      </c>
      <c r="Z67" s="2406"/>
      <c r="AA67" s="2406"/>
      <c r="AB67" s="2406"/>
    </row>
    <row r="68" spans="1:28" s="1721" customFormat="1" ht="13.2">
      <c r="A68" s="2406">
        <v>58091715</v>
      </c>
      <c r="B68" s="2407">
        <v>45275</v>
      </c>
      <c r="C68" s="2406" t="s">
        <v>1130</v>
      </c>
      <c r="D68" s="2406">
        <v>53936</v>
      </c>
      <c r="E68" s="2406">
        <v>41</v>
      </c>
      <c r="F68" s="2406" t="s">
        <v>1589</v>
      </c>
      <c r="G68" s="2406"/>
      <c r="H68" s="2406">
        <v>2305.02</v>
      </c>
      <c r="I68" s="2406">
        <v>0.92</v>
      </c>
      <c r="J68" s="2408"/>
      <c r="K68" s="2406">
        <v>57984</v>
      </c>
      <c r="L68" s="2406">
        <v>24</v>
      </c>
      <c r="M68" s="2406" t="s">
        <v>1588</v>
      </c>
      <c r="N68" s="2406"/>
      <c r="O68" s="2406">
        <v>167235</v>
      </c>
      <c r="P68" s="2406">
        <v>113301</v>
      </c>
      <c r="Q68" s="2406" t="s">
        <v>1587</v>
      </c>
      <c r="R68" s="2406"/>
      <c r="S68" s="2406">
        <v>75</v>
      </c>
      <c r="T68" s="2406">
        <v>31.52</v>
      </c>
      <c r="U68" s="2406">
        <v>38.32</v>
      </c>
      <c r="V68" s="2406"/>
      <c r="W68" s="2406">
        <v>27</v>
      </c>
      <c r="X68" s="2406">
        <v>0</v>
      </c>
      <c r="Y68" s="2406">
        <v>0</v>
      </c>
      <c r="Z68" s="2406"/>
      <c r="AA68" s="2406"/>
      <c r="AB68" s="2406"/>
    </row>
    <row r="69" spans="1:28" s="1721" customFormat="1" ht="13.2">
      <c r="A69" s="2406">
        <v>58091715</v>
      </c>
      <c r="B69" s="2407">
        <v>45276</v>
      </c>
      <c r="C69" s="2406" t="s">
        <v>1128</v>
      </c>
      <c r="D69" s="2406">
        <v>53969</v>
      </c>
      <c r="E69" s="2406">
        <v>33</v>
      </c>
      <c r="F69" s="2406" t="s">
        <v>1589</v>
      </c>
      <c r="G69" s="2406"/>
      <c r="H69" s="2406">
        <v>2305.79</v>
      </c>
      <c r="I69" s="2406">
        <v>0.77</v>
      </c>
      <c r="J69" s="2408"/>
      <c r="K69" s="2406">
        <v>58008</v>
      </c>
      <c r="L69" s="2406">
        <v>24</v>
      </c>
      <c r="M69" s="2406" t="s">
        <v>1588</v>
      </c>
      <c r="N69" s="2406"/>
      <c r="O69" s="2406">
        <v>167293</v>
      </c>
      <c r="P69" s="2406">
        <v>113325</v>
      </c>
      <c r="Q69" s="2406" t="s">
        <v>1587</v>
      </c>
      <c r="R69" s="2406"/>
      <c r="S69" s="2406">
        <v>75.319999999999993</v>
      </c>
      <c r="T69" s="2406">
        <v>31.17</v>
      </c>
      <c r="U69" s="2406">
        <v>36.85</v>
      </c>
      <c r="V69" s="2406"/>
      <c r="W69" s="2406">
        <v>27</v>
      </c>
      <c r="X69" s="2406">
        <v>0</v>
      </c>
      <c r="Y69" s="2406">
        <v>0</v>
      </c>
      <c r="Z69" s="2406"/>
      <c r="AA69" s="2406"/>
      <c r="AB69" s="2406"/>
    </row>
    <row r="70" spans="1:28" s="1721" customFormat="1" ht="13.2">
      <c r="A70" s="2406">
        <v>58091715</v>
      </c>
      <c r="B70" s="2407">
        <v>45277</v>
      </c>
      <c r="C70" s="2406" t="s">
        <v>1139</v>
      </c>
      <c r="D70" s="2406">
        <v>54000</v>
      </c>
      <c r="E70" s="2406">
        <v>31</v>
      </c>
      <c r="F70" s="2406" t="s">
        <v>1589</v>
      </c>
      <c r="G70" s="2406"/>
      <c r="H70" s="2406">
        <v>2306.4899999999998</v>
      </c>
      <c r="I70" s="2406">
        <v>0.7</v>
      </c>
      <c r="J70" s="2408"/>
      <c r="K70" s="2406">
        <v>58032</v>
      </c>
      <c r="L70" s="2406">
        <v>24</v>
      </c>
      <c r="M70" s="2406" t="s">
        <v>1588</v>
      </c>
      <c r="N70" s="2406"/>
      <c r="O70" s="2406">
        <v>167344</v>
      </c>
      <c r="P70" s="2406">
        <v>113346</v>
      </c>
      <c r="Q70" s="2406" t="s">
        <v>1587</v>
      </c>
      <c r="R70" s="2406"/>
      <c r="S70" s="2406">
        <v>72.86</v>
      </c>
      <c r="T70" s="2406">
        <v>30</v>
      </c>
      <c r="U70" s="2406">
        <v>38.08</v>
      </c>
      <c r="V70" s="2406"/>
      <c r="W70" s="2406">
        <v>27</v>
      </c>
      <c r="X70" s="2406">
        <v>0</v>
      </c>
      <c r="Y70" s="2406">
        <v>0</v>
      </c>
      <c r="Z70" s="2406"/>
      <c r="AA70" s="2406"/>
      <c r="AB70" s="2406"/>
    </row>
    <row r="71" spans="1:28" s="1721" customFormat="1" ht="13.2">
      <c r="A71" s="2406">
        <v>58091715</v>
      </c>
      <c r="B71" s="2407">
        <v>45278</v>
      </c>
      <c r="C71" s="2406" t="s">
        <v>1138</v>
      </c>
      <c r="D71" s="2406">
        <v>54028</v>
      </c>
      <c r="E71" s="2406">
        <v>28</v>
      </c>
      <c r="F71" s="2406" t="s">
        <v>1589</v>
      </c>
      <c r="G71" s="2406"/>
      <c r="H71" s="2406">
        <v>2307.16</v>
      </c>
      <c r="I71" s="2406">
        <v>0.67</v>
      </c>
      <c r="J71" s="2408"/>
      <c r="K71" s="2406">
        <v>58056</v>
      </c>
      <c r="L71" s="2406">
        <v>24</v>
      </c>
      <c r="M71" s="2406" t="s">
        <v>1588</v>
      </c>
      <c r="N71" s="2406"/>
      <c r="O71" s="2406">
        <v>167393</v>
      </c>
      <c r="P71" s="2406">
        <v>113366</v>
      </c>
      <c r="Q71" s="2406" t="s">
        <v>1587</v>
      </c>
      <c r="R71" s="2406"/>
      <c r="S71" s="2406">
        <v>73.13</v>
      </c>
      <c r="T71" s="2406">
        <v>29.85</v>
      </c>
      <c r="U71" s="2406">
        <v>35.93</v>
      </c>
      <c r="V71" s="2406"/>
      <c r="W71" s="2406">
        <v>27</v>
      </c>
      <c r="X71" s="2406">
        <v>0</v>
      </c>
      <c r="Y71" s="2406">
        <v>0</v>
      </c>
      <c r="Z71" s="2406"/>
      <c r="AA71" s="2406"/>
      <c r="AB71" s="2406"/>
    </row>
    <row r="72" spans="1:28" s="1721" customFormat="1" ht="13.2">
      <c r="A72" s="2406">
        <v>58091715</v>
      </c>
      <c r="B72" s="2407">
        <v>45279</v>
      </c>
      <c r="C72" s="2406" t="s">
        <v>1137</v>
      </c>
      <c r="D72" s="2406">
        <v>54066</v>
      </c>
      <c r="E72" s="2406">
        <v>38</v>
      </c>
      <c r="F72" s="2406" t="s">
        <v>1589</v>
      </c>
      <c r="G72" s="2406"/>
      <c r="H72" s="2406">
        <v>2308.0100000000002</v>
      </c>
      <c r="I72" s="2406">
        <v>0.85</v>
      </c>
      <c r="J72" s="2408"/>
      <c r="K72" s="2406">
        <v>58080</v>
      </c>
      <c r="L72" s="2406">
        <v>24</v>
      </c>
      <c r="M72" s="2406" t="s">
        <v>1588</v>
      </c>
      <c r="N72" s="2406"/>
      <c r="O72" s="2406">
        <v>167455</v>
      </c>
      <c r="P72" s="2406">
        <v>113391</v>
      </c>
      <c r="Q72" s="2406" t="s">
        <v>1587</v>
      </c>
      <c r="R72" s="2406"/>
      <c r="S72" s="2406">
        <v>72.94</v>
      </c>
      <c r="T72" s="2406">
        <v>29.41</v>
      </c>
      <c r="U72" s="2406">
        <v>38.44</v>
      </c>
      <c r="V72" s="2406"/>
      <c r="W72" s="2406">
        <v>27</v>
      </c>
      <c r="X72" s="2406">
        <v>0</v>
      </c>
      <c r="Y72" s="2406">
        <v>0</v>
      </c>
      <c r="Z72" s="2406"/>
      <c r="AA72" s="2406"/>
      <c r="AB72" s="2406"/>
    </row>
    <row r="73" spans="1:28" s="1721" customFormat="1" ht="13.2">
      <c r="A73" s="2406">
        <v>58091715</v>
      </c>
      <c r="B73" s="2407">
        <v>45280</v>
      </c>
      <c r="C73" s="2406" t="s">
        <v>1131</v>
      </c>
      <c r="D73" s="2406">
        <v>54106</v>
      </c>
      <c r="E73" s="2406">
        <v>40</v>
      </c>
      <c r="F73" s="2406" t="s">
        <v>1589</v>
      </c>
      <c r="G73" s="2406"/>
      <c r="H73" s="2406">
        <v>2308.91</v>
      </c>
      <c r="I73" s="2406">
        <v>0.9</v>
      </c>
      <c r="J73" s="2408"/>
      <c r="K73" s="2406">
        <v>58104</v>
      </c>
      <c r="L73" s="2406">
        <v>24</v>
      </c>
      <c r="M73" s="2406" t="s">
        <v>1588</v>
      </c>
      <c r="N73" s="2406"/>
      <c r="O73" s="2406">
        <v>167523</v>
      </c>
      <c r="P73" s="2406">
        <v>113419</v>
      </c>
      <c r="Q73" s="2406" t="s">
        <v>1587</v>
      </c>
      <c r="R73" s="2406"/>
      <c r="S73" s="2406">
        <v>75.56</v>
      </c>
      <c r="T73" s="2406">
        <v>31.11</v>
      </c>
      <c r="U73" s="2406">
        <v>38.22</v>
      </c>
      <c r="V73" s="2406"/>
      <c r="W73" s="2406">
        <v>27</v>
      </c>
      <c r="X73" s="2406">
        <v>0</v>
      </c>
      <c r="Y73" s="2406">
        <v>0</v>
      </c>
      <c r="Z73" s="2406"/>
      <c r="AA73" s="2406"/>
      <c r="AB73" s="2406"/>
    </row>
    <row r="74" spans="1:28" s="1721" customFormat="1" ht="13.2">
      <c r="A74" s="2406">
        <v>58091715</v>
      </c>
      <c r="B74" s="2407">
        <v>45281</v>
      </c>
      <c r="C74" s="2406" t="s">
        <v>1136</v>
      </c>
      <c r="D74" s="2406">
        <v>54147</v>
      </c>
      <c r="E74" s="2406">
        <v>41</v>
      </c>
      <c r="F74" s="2406" t="s">
        <v>1589</v>
      </c>
      <c r="G74" s="2406"/>
      <c r="H74" s="2406">
        <v>2309.84</v>
      </c>
      <c r="I74" s="2406">
        <v>0.93</v>
      </c>
      <c r="J74" s="2408"/>
      <c r="K74" s="2406">
        <v>58128</v>
      </c>
      <c r="L74" s="2406">
        <v>24</v>
      </c>
      <c r="M74" s="2406" t="s">
        <v>1588</v>
      </c>
      <c r="N74" s="2406"/>
      <c r="O74" s="2406">
        <v>167593</v>
      </c>
      <c r="P74" s="2406">
        <v>113448</v>
      </c>
      <c r="Q74" s="2406" t="s">
        <v>1587</v>
      </c>
      <c r="R74" s="2406"/>
      <c r="S74" s="2406">
        <v>75.27</v>
      </c>
      <c r="T74" s="2406">
        <v>31.18</v>
      </c>
      <c r="U74" s="2406">
        <v>37.909999999999997</v>
      </c>
      <c r="V74" s="2406"/>
      <c r="W74" s="2406">
        <v>27</v>
      </c>
      <c r="X74" s="2406">
        <v>0</v>
      </c>
      <c r="Y74" s="2406">
        <v>0</v>
      </c>
      <c r="Z74" s="2406"/>
      <c r="AA74" s="2406"/>
      <c r="AB74" s="2406"/>
    </row>
    <row r="75" spans="1:28" s="1721" customFormat="1" ht="13.2">
      <c r="A75" s="2406">
        <v>58091715</v>
      </c>
      <c r="B75" s="2407">
        <v>45282</v>
      </c>
      <c r="C75" s="2406" t="s">
        <v>1130</v>
      </c>
      <c r="D75" s="2406">
        <v>54192</v>
      </c>
      <c r="E75" s="2406">
        <v>45</v>
      </c>
      <c r="F75" s="2406" t="s">
        <v>1589</v>
      </c>
      <c r="G75" s="2406"/>
      <c r="H75" s="2406">
        <v>2310.86</v>
      </c>
      <c r="I75" s="2406">
        <v>1.02</v>
      </c>
      <c r="J75" s="2408"/>
      <c r="K75" s="2406">
        <v>58152</v>
      </c>
      <c r="L75" s="2406">
        <v>24</v>
      </c>
      <c r="M75" s="2406" t="s">
        <v>1588</v>
      </c>
      <c r="N75" s="2406"/>
      <c r="O75" s="2406">
        <v>167669</v>
      </c>
      <c r="P75" s="2406">
        <v>113478</v>
      </c>
      <c r="Q75" s="2406" t="s">
        <v>1587</v>
      </c>
      <c r="R75" s="2406"/>
      <c r="S75" s="2406">
        <v>74.510000000000005</v>
      </c>
      <c r="T75" s="2406">
        <v>29.41</v>
      </c>
      <c r="U75" s="2406">
        <v>37.94</v>
      </c>
      <c r="V75" s="2406"/>
      <c r="W75" s="2406">
        <v>27</v>
      </c>
      <c r="X75" s="2406">
        <v>0</v>
      </c>
      <c r="Y75" s="2406">
        <v>0</v>
      </c>
      <c r="Z75" s="2406"/>
      <c r="AA75" s="2406"/>
      <c r="AB75" s="2406"/>
    </row>
    <row r="76" spans="1:28" s="1721" customFormat="1" ht="13.2">
      <c r="A76" s="2406">
        <v>58091715</v>
      </c>
      <c r="B76" s="2407">
        <v>45283</v>
      </c>
      <c r="C76" s="2406" t="s">
        <v>1128</v>
      </c>
      <c r="D76" s="2406">
        <v>54241</v>
      </c>
      <c r="E76" s="2406">
        <v>49</v>
      </c>
      <c r="F76" s="2406" t="s">
        <v>1589</v>
      </c>
      <c r="G76" s="2406"/>
      <c r="H76" s="2406">
        <v>2311.9499999999998</v>
      </c>
      <c r="I76" s="2406">
        <v>1.0900000000000001</v>
      </c>
      <c r="J76" s="2408"/>
      <c r="K76" s="2406">
        <v>58176</v>
      </c>
      <c r="L76" s="2406">
        <v>24</v>
      </c>
      <c r="M76" s="2406" t="s">
        <v>1588</v>
      </c>
      <c r="N76" s="2406"/>
      <c r="O76" s="2406">
        <v>167751</v>
      </c>
      <c r="P76" s="2406">
        <v>113511</v>
      </c>
      <c r="Q76" s="2406" t="s">
        <v>1587</v>
      </c>
      <c r="R76" s="2406"/>
      <c r="S76" s="2406">
        <v>75.23</v>
      </c>
      <c r="T76" s="2406">
        <v>30.28</v>
      </c>
      <c r="U76" s="2406">
        <v>38.65</v>
      </c>
      <c r="V76" s="2406"/>
      <c r="W76" s="2406">
        <v>27</v>
      </c>
      <c r="X76" s="2406">
        <v>0</v>
      </c>
      <c r="Y76" s="2406">
        <v>0</v>
      </c>
      <c r="Z76" s="2406"/>
      <c r="AA76" s="2406"/>
      <c r="AB76" s="2406"/>
    </row>
    <row r="77" spans="1:28" s="1721" customFormat="1" ht="13.2">
      <c r="A77" s="2406">
        <v>58091715</v>
      </c>
      <c r="B77" s="2407">
        <v>45284</v>
      </c>
      <c r="C77" s="2406" t="s">
        <v>1139</v>
      </c>
      <c r="D77" s="2406">
        <v>54289</v>
      </c>
      <c r="E77" s="2406">
        <v>48</v>
      </c>
      <c r="F77" s="2406" t="s">
        <v>1589</v>
      </c>
      <c r="G77" s="2406"/>
      <c r="H77" s="2406">
        <v>2313.0300000000002</v>
      </c>
      <c r="I77" s="2406">
        <v>1.08</v>
      </c>
      <c r="J77" s="2408"/>
      <c r="K77" s="2406">
        <v>58200</v>
      </c>
      <c r="L77" s="2406">
        <v>24</v>
      </c>
      <c r="M77" s="2406" t="s">
        <v>1588</v>
      </c>
      <c r="N77" s="2406"/>
      <c r="O77" s="2406">
        <v>167832</v>
      </c>
      <c r="P77" s="2406">
        <v>113544</v>
      </c>
      <c r="Q77" s="2406" t="s">
        <v>1587</v>
      </c>
      <c r="R77" s="2406"/>
      <c r="S77" s="2406">
        <v>75</v>
      </c>
      <c r="T77" s="2406">
        <v>30.56</v>
      </c>
      <c r="U77" s="2406">
        <v>38.22</v>
      </c>
      <c r="V77" s="2406"/>
      <c r="W77" s="2406">
        <v>27</v>
      </c>
      <c r="X77" s="2406">
        <v>0</v>
      </c>
      <c r="Y77" s="2406">
        <v>0</v>
      </c>
      <c r="Z77" s="2406"/>
      <c r="AA77" s="2406"/>
      <c r="AB77" s="2406"/>
    </row>
    <row r="78" spans="1:28" s="1721" customFormat="1" ht="13.2">
      <c r="A78" s="2406">
        <v>58091715</v>
      </c>
      <c r="B78" s="2407">
        <v>45285</v>
      </c>
      <c r="C78" s="2406" t="s">
        <v>1138</v>
      </c>
      <c r="D78" s="2406">
        <v>54329</v>
      </c>
      <c r="E78" s="2406">
        <v>40</v>
      </c>
      <c r="F78" s="2406" t="s">
        <v>1589</v>
      </c>
      <c r="G78" s="2406"/>
      <c r="H78" s="2406">
        <v>2313.9299999999998</v>
      </c>
      <c r="I78" s="2406">
        <v>0.9</v>
      </c>
      <c r="J78" s="2408"/>
      <c r="K78" s="2406">
        <v>58224</v>
      </c>
      <c r="L78" s="2406">
        <v>24</v>
      </c>
      <c r="M78" s="2406" t="s">
        <v>1588</v>
      </c>
      <c r="N78" s="2406"/>
      <c r="O78" s="2406">
        <v>167899</v>
      </c>
      <c r="P78" s="2406">
        <v>113572</v>
      </c>
      <c r="Q78" s="2406" t="s">
        <v>1587</v>
      </c>
      <c r="R78" s="2406"/>
      <c r="S78" s="2406">
        <v>74.44</v>
      </c>
      <c r="T78" s="2406">
        <v>31.11</v>
      </c>
      <c r="U78" s="2406">
        <v>38.22</v>
      </c>
      <c r="V78" s="2406"/>
      <c r="W78" s="2406">
        <v>27</v>
      </c>
      <c r="X78" s="2406">
        <v>0</v>
      </c>
      <c r="Y78" s="2406">
        <v>0</v>
      </c>
      <c r="Z78" s="2406"/>
      <c r="AA78" s="2406"/>
      <c r="AB78" s="2406"/>
    </row>
    <row r="79" spans="1:28" s="1721" customFormat="1" ht="13.2">
      <c r="A79" s="2406">
        <v>58091715</v>
      </c>
      <c r="B79" s="2407">
        <v>45286</v>
      </c>
      <c r="C79" s="2406" t="s">
        <v>1137</v>
      </c>
      <c r="D79" s="2406">
        <v>54374</v>
      </c>
      <c r="E79" s="2406">
        <v>45</v>
      </c>
      <c r="F79" s="2406" t="s">
        <v>1589</v>
      </c>
      <c r="G79" s="2406"/>
      <c r="H79" s="2406">
        <v>2314.91</v>
      </c>
      <c r="I79" s="2406">
        <v>0.98</v>
      </c>
      <c r="J79" s="2408"/>
      <c r="K79" s="2406">
        <v>58248</v>
      </c>
      <c r="L79" s="2406">
        <v>24</v>
      </c>
      <c r="M79" s="2406" t="s">
        <v>1588</v>
      </c>
      <c r="N79" s="2406"/>
      <c r="O79" s="2406">
        <v>167972</v>
      </c>
      <c r="P79" s="2406">
        <v>113600</v>
      </c>
      <c r="Q79" s="2406" t="s">
        <v>1587</v>
      </c>
      <c r="R79" s="2406"/>
      <c r="S79" s="2406">
        <v>74.489999999999995</v>
      </c>
      <c r="T79" s="2406">
        <v>28.57</v>
      </c>
      <c r="U79" s="2406">
        <v>39.479999999999997</v>
      </c>
      <c r="V79" s="2406"/>
      <c r="W79" s="2406">
        <v>27</v>
      </c>
      <c r="X79" s="2406">
        <v>0</v>
      </c>
      <c r="Y79" s="2406">
        <v>0</v>
      </c>
      <c r="Z79" s="2406"/>
      <c r="AA79" s="2406"/>
      <c r="AB79" s="2406"/>
    </row>
    <row r="80" spans="1:28" s="1721" customFormat="1" ht="13.2">
      <c r="A80" s="2406">
        <v>58091715</v>
      </c>
      <c r="B80" s="2407">
        <v>45287</v>
      </c>
      <c r="C80" s="2406" t="s">
        <v>1131</v>
      </c>
      <c r="D80" s="2406">
        <v>54420</v>
      </c>
      <c r="E80" s="2406">
        <v>46</v>
      </c>
      <c r="F80" s="2406" t="s">
        <v>1589</v>
      </c>
      <c r="G80" s="2406"/>
      <c r="H80" s="2406">
        <v>2316</v>
      </c>
      <c r="I80" s="2406">
        <v>1.0900000000000001</v>
      </c>
      <c r="J80" s="2408"/>
      <c r="K80" s="2406">
        <v>58272</v>
      </c>
      <c r="L80" s="2406">
        <v>24</v>
      </c>
      <c r="M80" s="2406" t="s">
        <v>1588</v>
      </c>
      <c r="N80" s="2406"/>
      <c r="O80" s="2406">
        <v>168055</v>
      </c>
      <c r="P80" s="2406">
        <v>113636</v>
      </c>
      <c r="Q80" s="2406" t="s">
        <v>1587</v>
      </c>
      <c r="R80" s="2406"/>
      <c r="S80" s="2406">
        <v>76.150000000000006</v>
      </c>
      <c r="T80" s="2406">
        <v>33.03</v>
      </c>
      <c r="U80" s="2406">
        <v>36.29</v>
      </c>
      <c r="V80" s="2406"/>
      <c r="W80" s="2406">
        <v>27</v>
      </c>
      <c r="X80" s="2406">
        <v>0</v>
      </c>
      <c r="Y80" s="2406">
        <v>0</v>
      </c>
      <c r="Z80" s="2406"/>
      <c r="AA80" s="2406"/>
      <c r="AB80" s="2406"/>
    </row>
    <row r="81" spans="1:28" s="1721" customFormat="1" ht="13.2">
      <c r="A81" s="2406">
        <v>58091715</v>
      </c>
      <c r="B81" s="2407">
        <v>45288</v>
      </c>
      <c r="C81" s="2406" t="s">
        <v>1136</v>
      </c>
      <c r="D81" s="2406">
        <v>54459</v>
      </c>
      <c r="E81" s="2406">
        <v>39</v>
      </c>
      <c r="F81" s="2406" t="s">
        <v>1589</v>
      </c>
      <c r="G81" s="2406"/>
      <c r="H81" s="2406">
        <v>2316.89</v>
      </c>
      <c r="I81" s="2406">
        <v>0.89</v>
      </c>
      <c r="J81" s="2408"/>
      <c r="K81" s="2406">
        <v>58296</v>
      </c>
      <c r="L81" s="2406">
        <v>24</v>
      </c>
      <c r="M81" s="2406" t="s">
        <v>1588</v>
      </c>
      <c r="N81" s="2406"/>
      <c r="O81" s="2406">
        <v>168121</v>
      </c>
      <c r="P81" s="2406">
        <v>113663</v>
      </c>
      <c r="Q81" s="2406" t="s">
        <v>1587</v>
      </c>
      <c r="R81" s="2406"/>
      <c r="S81" s="2406">
        <v>74.16</v>
      </c>
      <c r="T81" s="2406">
        <v>30.34</v>
      </c>
      <c r="U81" s="2406">
        <v>37.68</v>
      </c>
      <c r="V81" s="2406"/>
      <c r="W81" s="2406">
        <v>27</v>
      </c>
      <c r="X81" s="2406">
        <v>0</v>
      </c>
      <c r="Y81" s="2406">
        <v>0</v>
      </c>
      <c r="Z81" s="2406"/>
      <c r="AA81" s="2406"/>
      <c r="AB81" s="2406"/>
    </row>
    <row r="82" spans="1:28" s="1721" customFormat="1" ht="13.2">
      <c r="A82" s="2406">
        <v>58091715</v>
      </c>
      <c r="B82" s="2407">
        <v>45289</v>
      </c>
      <c r="C82" s="2406" t="s">
        <v>1130</v>
      </c>
      <c r="D82" s="2406">
        <v>54498</v>
      </c>
      <c r="E82" s="2406">
        <v>39</v>
      </c>
      <c r="F82" s="2406" t="s">
        <v>1589</v>
      </c>
      <c r="G82" s="2406"/>
      <c r="H82" s="2406">
        <v>2317.7800000000002</v>
      </c>
      <c r="I82" s="2406">
        <v>0.89</v>
      </c>
      <c r="J82" s="2408"/>
      <c r="K82" s="2406">
        <v>58320</v>
      </c>
      <c r="L82" s="2406">
        <v>24</v>
      </c>
      <c r="M82" s="2406" t="s">
        <v>1588</v>
      </c>
      <c r="N82" s="2406"/>
      <c r="O82" s="2406">
        <v>168187</v>
      </c>
      <c r="P82" s="2406">
        <v>113690</v>
      </c>
      <c r="Q82" s="2406" t="s">
        <v>1587</v>
      </c>
      <c r="R82" s="2406"/>
      <c r="S82" s="2406">
        <v>74.16</v>
      </c>
      <c r="T82" s="2406">
        <v>30.34</v>
      </c>
      <c r="U82" s="2406">
        <v>37.68</v>
      </c>
      <c r="V82" s="2406"/>
      <c r="W82" s="2406">
        <v>27</v>
      </c>
      <c r="X82" s="2406">
        <v>0</v>
      </c>
      <c r="Y82" s="2406">
        <v>0</v>
      </c>
      <c r="Z82" s="2406"/>
      <c r="AA82" s="2406"/>
      <c r="AB82" s="2406"/>
    </row>
    <row r="83" spans="1:28" s="1721" customFormat="1" ht="13.2">
      <c r="A83" s="2406">
        <v>58091715</v>
      </c>
      <c r="B83" s="2407">
        <v>45290</v>
      </c>
      <c r="C83" s="2406" t="s">
        <v>1128</v>
      </c>
      <c r="D83" s="2406">
        <v>54541</v>
      </c>
      <c r="E83" s="2406">
        <v>43</v>
      </c>
      <c r="F83" s="2406" t="s">
        <v>1589</v>
      </c>
      <c r="G83" s="2406"/>
      <c r="H83" s="2406">
        <v>2318.7399999999998</v>
      </c>
      <c r="I83" s="2406">
        <v>0.96</v>
      </c>
      <c r="J83" s="2408"/>
      <c r="K83" s="2406">
        <v>58344</v>
      </c>
      <c r="L83" s="2406">
        <v>24</v>
      </c>
      <c r="M83" s="2406" t="s">
        <v>1588</v>
      </c>
      <c r="N83" s="2406"/>
      <c r="O83" s="2406">
        <v>168258</v>
      </c>
      <c r="P83" s="2406">
        <v>113718</v>
      </c>
      <c r="Q83" s="2406" t="s">
        <v>1587</v>
      </c>
      <c r="R83" s="2406"/>
      <c r="S83" s="2406">
        <v>73.959999999999994</v>
      </c>
      <c r="T83" s="2406">
        <v>29.17</v>
      </c>
      <c r="U83" s="2406">
        <v>38.51</v>
      </c>
      <c r="V83" s="2406"/>
      <c r="W83" s="2406">
        <v>27</v>
      </c>
      <c r="X83" s="2406">
        <v>0</v>
      </c>
      <c r="Y83" s="2406">
        <v>0</v>
      </c>
      <c r="Z83" s="2406"/>
      <c r="AA83" s="2406"/>
      <c r="AB83" s="2406"/>
    </row>
    <row r="84" spans="1:28" s="1721" customFormat="1" ht="13.2">
      <c r="A84" s="2406">
        <v>58091715</v>
      </c>
      <c r="B84" s="2407">
        <v>45291</v>
      </c>
      <c r="C84" s="2406" t="s">
        <v>1139</v>
      </c>
      <c r="D84" s="2406">
        <v>54588</v>
      </c>
      <c r="E84" s="2406">
        <v>47</v>
      </c>
      <c r="F84" s="2406" t="s">
        <v>1589</v>
      </c>
      <c r="G84" s="2406">
        <f>SUM(E54:E84)</f>
        <v>1378</v>
      </c>
      <c r="H84" s="2406">
        <v>2319.75</v>
      </c>
      <c r="I84" s="2406">
        <v>1.01</v>
      </c>
      <c r="J84" s="2408">
        <f>SUM(I54:I84)</f>
        <v>31.01</v>
      </c>
      <c r="K84" s="2406">
        <v>58368</v>
      </c>
      <c r="L84" s="2406">
        <v>24</v>
      </c>
      <c r="M84" s="2406" t="s">
        <v>1588</v>
      </c>
      <c r="N84" s="2406"/>
      <c r="O84" s="2406">
        <v>168333</v>
      </c>
      <c r="P84" s="2406">
        <v>113747</v>
      </c>
      <c r="Q84" s="2406" t="s">
        <v>1587</v>
      </c>
      <c r="R84" s="2406"/>
      <c r="S84" s="2406">
        <v>74.260000000000005</v>
      </c>
      <c r="T84" s="2406">
        <v>28.71</v>
      </c>
      <c r="U84" s="2406">
        <v>40.01</v>
      </c>
      <c r="V84" s="2406"/>
      <c r="W84" s="2406">
        <v>27</v>
      </c>
      <c r="X84" s="2406">
        <v>0</v>
      </c>
      <c r="Y84" s="2406">
        <v>0</v>
      </c>
      <c r="Z84" s="2406"/>
      <c r="AA84" s="2406"/>
      <c r="AB84" s="2406"/>
    </row>
    <row r="85" spans="1:28" s="1721" customFormat="1" ht="13.2">
      <c r="A85" s="2401">
        <v>58091715</v>
      </c>
      <c r="B85" s="2402">
        <v>45292</v>
      </c>
      <c r="C85" s="2401" t="s">
        <v>1138</v>
      </c>
      <c r="D85" s="2401">
        <v>54630</v>
      </c>
      <c r="E85" s="2401">
        <v>42</v>
      </c>
      <c r="F85" s="2401" t="s">
        <v>1589</v>
      </c>
      <c r="G85" s="2401"/>
      <c r="H85" s="2401">
        <v>2320.6799999999998</v>
      </c>
      <c r="I85" s="2401">
        <v>0.93</v>
      </c>
      <c r="J85" s="2403"/>
      <c r="K85" s="2401">
        <v>58392</v>
      </c>
      <c r="L85" s="2401">
        <v>24</v>
      </c>
      <c r="M85" s="2401" t="s">
        <v>1588</v>
      </c>
      <c r="N85" s="2401"/>
      <c r="O85" s="2401">
        <v>168403</v>
      </c>
      <c r="P85" s="2401">
        <v>113775</v>
      </c>
      <c r="Q85" s="2401" t="s">
        <v>1587</v>
      </c>
      <c r="R85" s="2401"/>
      <c r="S85" s="2401">
        <v>75.27</v>
      </c>
      <c r="T85" s="2401">
        <v>30.11</v>
      </c>
      <c r="U85" s="2401">
        <v>38.83</v>
      </c>
      <c r="V85" s="2401"/>
      <c r="W85" s="2401">
        <v>27</v>
      </c>
      <c r="X85" s="2401">
        <v>0</v>
      </c>
      <c r="Y85" s="2401">
        <v>0</v>
      </c>
      <c r="Z85" s="2401"/>
      <c r="AA85" s="2401"/>
    </row>
    <row r="86" spans="1:28" s="1721" customFormat="1" ht="13.2">
      <c r="A86" s="2401">
        <v>58091715</v>
      </c>
      <c r="B86" s="2402">
        <v>45293</v>
      </c>
      <c r="C86" s="2401" t="s">
        <v>1137</v>
      </c>
      <c r="D86" s="2401">
        <v>54679</v>
      </c>
      <c r="E86" s="2401">
        <v>49</v>
      </c>
      <c r="F86" s="2401" t="s">
        <v>1589</v>
      </c>
      <c r="G86" s="2401"/>
      <c r="H86" s="2401">
        <v>2321.79</v>
      </c>
      <c r="I86" s="2401">
        <v>1.1100000000000001</v>
      </c>
      <c r="J86" s="2403"/>
      <c r="K86" s="2401">
        <v>58416</v>
      </c>
      <c r="L86" s="2401">
        <v>24</v>
      </c>
      <c r="M86" s="2401" t="s">
        <v>1588</v>
      </c>
      <c r="N86" s="2401"/>
      <c r="O86" s="2401">
        <v>168486</v>
      </c>
      <c r="P86" s="2401">
        <v>113809</v>
      </c>
      <c r="Q86" s="2401" t="s">
        <v>1587</v>
      </c>
      <c r="R86" s="2401"/>
      <c r="S86" s="2401">
        <v>74.77</v>
      </c>
      <c r="T86" s="2401">
        <v>30.63</v>
      </c>
      <c r="U86" s="2401">
        <v>37.96</v>
      </c>
      <c r="V86" s="2401"/>
      <c r="W86" s="2401">
        <v>27</v>
      </c>
      <c r="X86" s="2401">
        <v>0</v>
      </c>
      <c r="Y86" s="2401">
        <v>0</v>
      </c>
      <c r="Z86" s="2401"/>
      <c r="AA86" s="2401"/>
    </row>
    <row r="87" spans="1:28" s="1721" customFormat="1" ht="13.2">
      <c r="A87" s="2401">
        <v>58091715</v>
      </c>
      <c r="B87" s="2402">
        <v>45294</v>
      </c>
      <c r="C87" s="2401" t="s">
        <v>1131</v>
      </c>
      <c r="D87" s="2401">
        <v>54732</v>
      </c>
      <c r="E87" s="2401">
        <v>53</v>
      </c>
      <c r="F87" s="2401" t="s">
        <v>1589</v>
      </c>
      <c r="G87" s="2401"/>
      <c r="H87" s="2401">
        <v>2322.9699999999998</v>
      </c>
      <c r="I87" s="2401">
        <v>1.18</v>
      </c>
      <c r="J87" s="2403"/>
      <c r="K87" s="2401">
        <v>58440</v>
      </c>
      <c r="L87" s="2401">
        <v>24</v>
      </c>
      <c r="M87" s="2401" t="s">
        <v>1588</v>
      </c>
      <c r="N87" s="2401"/>
      <c r="O87" s="2401">
        <v>168576</v>
      </c>
      <c r="P87" s="2401">
        <v>113846</v>
      </c>
      <c r="Q87" s="2401" t="s">
        <v>1587</v>
      </c>
      <c r="R87" s="2401"/>
      <c r="S87" s="2401">
        <v>76.27</v>
      </c>
      <c r="T87" s="2401">
        <v>31.36</v>
      </c>
      <c r="U87" s="2401">
        <v>38.619999999999997</v>
      </c>
      <c r="V87" s="2401"/>
      <c r="W87" s="2401">
        <v>27</v>
      </c>
      <c r="X87" s="2401">
        <v>0</v>
      </c>
      <c r="Y87" s="2401">
        <v>0</v>
      </c>
      <c r="Z87" s="2401"/>
      <c r="AA87" s="2401"/>
    </row>
    <row r="88" spans="1:28" s="1721" customFormat="1" ht="13.2">
      <c r="A88" s="2401">
        <v>58091715</v>
      </c>
      <c r="B88" s="2402">
        <v>45295</v>
      </c>
      <c r="C88" s="2401" t="s">
        <v>1136</v>
      </c>
      <c r="D88" s="2401">
        <v>54793</v>
      </c>
      <c r="E88" s="2401">
        <v>61</v>
      </c>
      <c r="F88" s="2401" t="s">
        <v>1589</v>
      </c>
      <c r="G88" s="2401"/>
      <c r="H88" s="2401">
        <v>2324.3200000000002</v>
      </c>
      <c r="I88" s="2401">
        <v>1.35</v>
      </c>
      <c r="J88" s="2403"/>
      <c r="K88" s="2401">
        <v>58464</v>
      </c>
      <c r="L88" s="2401">
        <v>24</v>
      </c>
      <c r="M88" s="2401" t="s">
        <v>1588</v>
      </c>
      <c r="N88" s="2401"/>
      <c r="O88" s="2401">
        <v>168679</v>
      </c>
      <c r="P88" s="2401">
        <v>113888</v>
      </c>
      <c r="Q88" s="2401" t="s">
        <v>1587</v>
      </c>
      <c r="R88" s="2401"/>
      <c r="S88" s="2401">
        <v>76.3</v>
      </c>
      <c r="T88" s="2401">
        <v>31.11</v>
      </c>
      <c r="U88" s="2401">
        <v>38.85</v>
      </c>
      <c r="V88" s="2401"/>
      <c r="W88" s="2401">
        <v>27</v>
      </c>
      <c r="X88" s="2401">
        <v>0</v>
      </c>
      <c r="Y88" s="2401">
        <v>0</v>
      </c>
      <c r="Z88" s="2401"/>
      <c r="AA88" s="2401"/>
    </row>
    <row r="89" spans="1:28" s="1721" customFormat="1" ht="13.2">
      <c r="A89" s="2401">
        <v>58091715</v>
      </c>
      <c r="B89" s="2402">
        <v>45296</v>
      </c>
      <c r="C89" s="2401" t="s">
        <v>1130</v>
      </c>
      <c r="D89" s="2401">
        <v>54858</v>
      </c>
      <c r="E89" s="2401">
        <v>65</v>
      </c>
      <c r="F89" s="2401" t="s">
        <v>1589</v>
      </c>
      <c r="G89" s="2401"/>
      <c r="H89" s="2401">
        <v>2325.66</v>
      </c>
      <c r="I89" s="2401">
        <v>1.34</v>
      </c>
      <c r="J89" s="2403"/>
      <c r="K89" s="2401">
        <v>58488</v>
      </c>
      <c r="L89" s="2401">
        <v>24</v>
      </c>
      <c r="M89" s="2401" t="s">
        <v>1588</v>
      </c>
      <c r="N89" s="2401"/>
      <c r="O89" s="2401">
        <v>168786</v>
      </c>
      <c r="P89" s="2401">
        <v>113930</v>
      </c>
      <c r="Q89" s="2401" t="s">
        <v>1587</v>
      </c>
      <c r="R89" s="2401"/>
      <c r="S89" s="2401">
        <v>79.849999999999994</v>
      </c>
      <c r="T89" s="2401">
        <v>31.34</v>
      </c>
      <c r="U89" s="2401">
        <v>41.71</v>
      </c>
      <c r="V89" s="2401"/>
      <c r="W89" s="2401">
        <v>27</v>
      </c>
      <c r="X89" s="2401">
        <v>0</v>
      </c>
      <c r="Y89" s="2401">
        <v>0</v>
      </c>
      <c r="Z89" s="2401"/>
      <c r="AA89" s="2401"/>
    </row>
    <row r="90" spans="1:28" s="1721" customFormat="1" ht="13.2">
      <c r="A90" s="2401">
        <v>58091715</v>
      </c>
      <c r="B90" s="2402">
        <v>45297</v>
      </c>
      <c r="C90" s="2401" t="s">
        <v>1128</v>
      </c>
      <c r="D90" s="2401">
        <v>54915</v>
      </c>
      <c r="E90" s="2401">
        <v>57</v>
      </c>
      <c r="F90" s="2401" t="s">
        <v>1589</v>
      </c>
      <c r="G90" s="2401"/>
      <c r="H90" s="2401">
        <v>2326.7600000000002</v>
      </c>
      <c r="I90" s="2401">
        <v>1.1000000000000001</v>
      </c>
      <c r="J90" s="2403"/>
      <c r="K90" s="2401">
        <v>58512</v>
      </c>
      <c r="L90" s="2401">
        <v>24</v>
      </c>
      <c r="M90" s="2401" t="s">
        <v>1588</v>
      </c>
      <c r="N90" s="2401"/>
      <c r="O90" s="2401">
        <v>168879</v>
      </c>
      <c r="P90" s="2401">
        <v>113966</v>
      </c>
      <c r="Q90" s="2401" t="s">
        <v>1587</v>
      </c>
      <c r="R90" s="2401"/>
      <c r="S90" s="2401">
        <v>84.55</v>
      </c>
      <c r="T90" s="2401">
        <v>32.729999999999997</v>
      </c>
      <c r="U90" s="2401">
        <v>44.56</v>
      </c>
      <c r="V90" s="2401"/>
      <c r="W90" s="2401">
        <v>27</v>
      </c>
      <c r="X90" s="2401">
        <v>0</v>
      </c>
      <c r="Y90" s="2401">
        <v>0</v>
      </c>
      <c r="Z90" s="2401"/>
      <c r="AA90" s="2401"/>
    </row>
    <row r="91" spans="1:28" s="1721" customFormat="1" ht="13.2">
      <c r="A91" s="2401">
        <v>58091715</v>
      </c>
      <c r="B91" s="2402">
        <v>45298</v>
      </c>
      <c r="C91" s="2401" t="s">
        <v>1139</v>
      </c>
      <c r="D91" s="2401">
        <v>54984</v>
      </c>
      <c r="E91" s="2401">
        <v>69</v>
      </c>
      <c r="F91" s="2401" t="s">
        <v>1589</v>
      </c>
      <c r="G91" s="2401"/>
      <c r="H91" s="2401">
        <v>2328.1</v>
      </c>
      <c r="I91" s="2401">
        <v>1.34</v>
      </c>
      <c r="J91" s="2403"/>
      <c r="K91" s="2401">
        <v>58536</v>
      </c>
      <c r="L91" s="2401">
        <v>24</v>
      </c>
      <c r="M91" s="2401" t="s">
        <v>1588</v>
      </c>
      <c r="N91" s="2401"/>
      <c r="O91" s="2401">
        <v>168993</v>
      </c>
      <c r="P91" s="2401">
        <v>114011</v>
      </c>
      <c r="Q91" s="2401" t="s">
        <v>1587</v>
      </c>
      <c r="R91" s="2401"/>
      <c r="S91" s="2401">
        <v>85.07</v>
      </c>
      <c r="T91" s="2401">
        <v>33.58</v>
      </c>
      <c r="U91" s="2401">
        <v>44.28</v>
      </c>
      <c r="V91" s="2401"/>
      <c r="W91" s="2401">
        <v>27</v>
      </c>
      <c r="X91" s="2401">
        <v>0</v>
      </c>
      <c r="Y91" s="2401">
        <v>0</v>
      </c>
      <c r="Z91" s="2401"/>
      <c r="AA91" s="2401"/>
    </row>
    <row r="92" spans="1:28" s="1721" customFormat="1" ht="13.2">
      <c r="A92" s="2401">
        <v>58091715</v>
      </c>
      <c r="B92" s="2402">
        <v>45299</v>
      </c>
      <c r="C92" s="2401" t="s">
        <v>1138</v>
      </c>
      <c r="D92" s="2401">
        <v>55046</v>
      </c>
      <c r="E92" s="2401">
        <v>62</v>
      </c>
      <c r="F92" s="2401" t="s">
        <v>1589</v>
      </c>
      <c r="G92" s="2401"/>
      <c r="H92" s="2401">
        <v>2329.3200000000002</v>
      </c>
      <c r="I92" s="2401">
        <v>1.22</v>
      </c>
      <c r="J92" s="2403"/>
      <c r="K92" s="2401">
        <v>58560</v>
      </c>
      <c r="L92" s="2401">
        <v>24</v>
      </c>
      <c r="M92" s="2401" t="s">
        <v>1588</v>
      </c>
      <c r="N92" s="2401"/>
      <c r="O92" s="2401">
        <v>169096</v>
      </c>
      <c r="P92" s="2401">
        <v>114052</v>
      </c>
      <c r="Q92" s="2401" t="s">
        <v>1587</v>
      </c>
      <c r="R92" s="2401"/>
      <c r="S92" s="2401">
        <v>84.43</v>
      </c>
      <c r="T92" s="2401">
        <v>33.61</v>
      </c>
      <c r="U92" s="2401">
        <v>43.7</v>
      </c>
      <c r="V92" s="2401"/>
      <c r="W92" s="2401">
        <v>27</v>
      </c>
      <c r="X92" s="2401">
        <v>0</v>
      </c>
      <c r="Y92" s="2401">
        <v>0</v>
      </c>
      <c r="Z92" s="2401"/>
      <c r="AA92" s="2401"/>
    </row>
    <row r="93" spans="1:28" s="1721" customFormat="1" ht="13.2">
      <c r="A93" s="2401">
        <v>58091715</v>
      </c>
      <c r="B93" s="2402">
        <v>45300</v>
      </c>
      <c r="C93" s="2401" t="s">
        <v>1137</v>
      </c>
      <c r="D93" s="2401">
        <v>55105</v>
      </c>
      <c r="E93" s="2401">
        <v>59</v>
      </c>
      <c r="F93" s="2401" t="s">
        <v>1589</v>
      </c>
      <c r="G93" s="2401"/>
      <c r="H93" s="2401">
        <v>2330.4899999999998</v>
      </c>
      <c r="I93" s="2401">
        <v>1.17</v>
      </c>
      <c r="J93" s="2403"/>
      <c r="K93" s="2401">
        <v>58584</v>
      </c>
      <c r="L93" s="2401">
        <v>24</v>
      </c>
      <c r="M93" s="2401" t="s">
        <v>1588</v>
      </c>
      <c r="N93" s="2401"/>
      <c r="O93" s="2401">
        <v>169194</v>
      </c>
      <c r="P93" s="2401">
        <v>114090</v>
      </c>
      <c r="Q93" s="2401" t="s">
        <v>1587</v>
      </c>
      <c r="R93" s="2401"/>
      <c r="S93" s="2401">
        <v>83.76</v>
      </c>
      <c r="T93" s="2401">
        <v>32.479999999999997</v>
      </c>
      <c r="U93" s="2401">
        <v>43.36</v>
      </c>
      <c r="V93" s="2401"/>
      <c r="W93" s="2401">
        <v>27</v>
      </c>
      <c r="X93" s="2401">
        <v>0</v>
      </c>
      <c r="Y93" s="2401">
        <v>0</v>
      </c>
      <c r="Z93" s="2401"/>
      <c r="AA93" s="2401"/>
    </row>
    <row r="94" spans="1:28" s="1721" customFormat="1" ht="13.2">
      <c r="A94" s="2401">
        <v>58091715</v>
      </c>
      <c r="B94" s="2402">
        <v>45301</v>
      </c>
      <c r="C94" s="2401" t="s">
        <v>1131</v>
      </c>
      <c r="D94" s="2401">
        <v>55165</v>
      </c>
      <c r="E94" s="2401">
        <v>60</v>
      </c>
      <c r="F94" s="2401" t="s">
        <v>1589</v>
      </c>
      <c r="G94" s="2401"/>
      <c r="H94" s="2401">
        <v>2331.65</v>
      </c>
      <c r="I94" s="2401">
        <v>1.1599999999999999</v>
      </c>
      <c r="J94" s="2403"/>
      <c r="K94" s="2401">
        <v>58608</v>
      </c>
      <c r="L94" s="2401">
        <v>24</v>
      </c>
      <c r="M94" s="2401" t="s">
        <v>1588</v>
      </c>
      <c r="N94" s="2401"/>
      <c r="O94" s="2401">
        <v>169291</v>
      </c>
      <c r="P94" s="2401">
        <v>114128</v>
      </c>
      <c r="Q94" s="2401" t="s">
        <v>1587</v>
      </c>
      <c r="R94" s="2401"/>
      <c r="S94" s="2401">
        <v>83.62</v>
      </c>
      <c r="T94" s="2401">
        <v>32.76</v>
      </c>
      <c r="U94" s="2401">
        <v>44.48</v>
      </c>
      <c r="V94" s="2401"/>
      <c r="W94" s="2401">
        <v>27</v>
      </c>
      <c r="X94" s="2401">
        <v>0</v>
      </c>
      <c r="Y94" s="2401">
        <v>0</v>
      </c>
      <c r="Z94" s="2401"/>
      <c r="AA94" s="2401"/>
    </row>
    <row r="95" spans="1:28" s="1721" customFormat="1" ht="13.2">
      <c r="A95" s="2401">
        <v>58091715</v>
      </c>
      <c r="B95" s="2402">
        <v>45302</v>
      </c>
      <c r="C95" s="2401" t="s">
        <v>1136</v>
      </c>
      <c r="D95" s="2401">
        <v>55219</v>
      </c>
      <c r="E95" s="2401">
        <v>54</v>
      </c>
      <c r="F95" s="2401" t="s">
        <v>1589</v>
      </c>
      <c r="G95" s="2401"/>
      <c r="H95" s="2401">
        <v>2332.7199999999998</v>
      </c>
      <c r="I95" s="2401">
        <v>1.07</v>
      </c>
      <c r="J95" s="2403"/>
      <c r="K95" s="2401">
        <v>58632</v>
      </c>
      <c r="L95" s="2401">
        <v>24</v>
      </c>
      <c r="M95" s="2401" t="s">
        <v>1588</v>
      </c>
      <c r="N95" s="2401"/>
      <c r="O95" s="2401">
        <v>169380</v>
      </c>
      <c r="P95" s="2401">
        <v>114162</v>
      </c>
      <c r="Q95" s="2401" t="s">
        <v>1587</v>
      </c>
      <c r="R95" s="2401"/>
      <c r="S95" s="2401">
        <v>83.18</v>
      </c>
      <c r="T95" s="2401">
        <v>31.78</v>
      </c>
      <c r="U95" s="2401">
        <v>43.39</v>
      </c>
      <c r="V95" s="2401"/>
      <c r="W95" s="2401">
        <v>27</v>
      </c>
      <c r="X95" s="2401">
        <v>0</v>
      </c>
      <c r="Y95" s="2401">
        <v>0</v>
      </c>
      <c r="Z95" s="2401"/>
      <c r="AA95" s="2401"/>
    </row>
    <row r="96" spans="1:28" s="1721" customFormat="1" ht="13.2">
      <c r="A96" s="2401">
        <v>58091715</v>
      </c>
      <c r="B96" s="2402">
        <v>45303</v>
      </c>
      <c r="C96" s="2401" t="s">
        <v>1130</v>
      </c>
      <c r="D96" s="2401">
        <v>55278</v>
      </c>
      <c r="E96" s="2401">
        <v>59</v>
      </c>
      <c r="F96" s="2401" t="s">
        <v>1589</v>
      </c>
      <c r="G96" s="2401"/>
      <c r="H96" s="2401">
        <v>2333.84</v>
      </c>
      <c r="I96" s="2401">
        <v>1.1200000000000001</v>
      </c>
      <c r="J96" s="2403"/>
      <c r="K96" s="2401">
        <v>58656</v>
      </c>
      <c r="L96" s="2401">
        <v>24</v>
      </c>
      <c r="M96" s="2401" t="s">
        <v>1588</v>
      </c>
      <c r="N96" s="2401"/>
      <c r="O96" s="2401">
        <v>169473</v>
      </c>
      <c r="P96" s="2401">
        <v>114197</v>
      </c>
      <c r="Q96" s="2401" t="s">
        <v>1587</v>
      </c>
      <c r="R96" s="2401"/>
      <c r="S96" s="2401">
        <v>83.04</v>
      </c>
      <c r="T96" s="2401">
        <v>31.25</v>
      </c>
      <c r="U96" s="2401">
        <v>45.3</v>
      </c>
      <c r="V96" s="2401"/>
      <c r="W96" s="2401">
        <v>27</v>
      </c>
      <c r="X96" s="2401">
        <v>0</v>
      </c>
      <c r="Y96" s="2401">
        <v>0</v>
      </c>
      <c r="Z96" s="2401"/>
      <c r="AA96" s="2401"/>
    </row>
    <row r="97" spans="1:27" s="1721" customFormat="1" ht="13.2">
      <c r="A97" s="2401">
        <v>58091715</v>
      </c>
      <c r="B97" s="2402">
        <v>45304</v>
      </c>
      <c r="C97" s="2401" t="s">
        <v>1128</v>
      </c>
      <c r="D97" s="2401">
        <v>55320</v>
      </c>
      <c r="E97" s="2401">
        <v>42</v>
      </c>
      <c r="F97" s="2401" t="s">
        <v>1589</v>
      </c>
      <c r="G97" s="2401"/>
      <c r="H97" s="2401">
        <v>2334.6999999999998</v>
      </c>
      <c r="I97" s="2401">
        <v>0.86</v>
      </c>
      <c r="J97" s="2403"/>
      <c r="K97" s="2401">
        <v>58680</v>
      </c>
      <c r="L97" s="2401">
        <v>24</v>
      </c>
      <c r="M97" s="2401" t="s">
        <v>1588</v>
      </c>
      <c r="N97" s="2401"/>
      <c r="O97" s="2401">
        <v>169544</v>
      </c>
      <c r="P97" s="2401">
        <v>114225</v>
      </c>
      <c r="Q97" s="2401" t="s">
        <v>1587</v>
      </c>
      <c r="R97" s="2401"/>
      <c r="S97" s="2401">
        <v>82.56</v>
      </c>
      <c r="T97" s="2401">
        <v>32.56</v>
      </c>
      <c r="U97" s="2401">
        <v>41.99</v>
      </c>
      <c r="V97" s="2401"/>
      <c r="W97" s="2401">
        <v>27</v>
      </c>
      <c r="X97" s="2401">
        <v>0</v>
      </c>
      <c r="Y97" s="2401">
        <v>0</v>
      </c>
      <c r="Z97" s="2401"/>
      <c r="AA97" s="2401"/>
    </row>
    <row r="98" spans="1:27" s="1721" customFormat="1" ht="13.2">
      <c r="A98" s="2401">
        <v>58091715</v>
      </c>
      <c r="B98" s="2402">
        <v>45305</v>
      </c>
      <c r="C98" s="2401" t="s">
        <v>1139</v>
      </c>
      <c r="D98" s="2401">
        <v>55368</v>
      </c>
      <c r="E98" s="2401">
        <v>48</v>
      </c>
      <c r="F98" s="2401" t="s">
        <v>1589</v>
      </c>
      <c r="G98" s="2401"/>
      <c r="H98" s="2401">
        <v>2335.65</v>
      </c>
      <c r="I98" s="2401">
        <v>0.95</v>
      </c>
      <c r="J98" s="2403"/>
      <c r="K98" s="2401">
        <v>58704</v>
      </c>
      <c r="L98" s="2401">
        <v>24</v>
      </c>
      <c r="M98" s="2401" t="s">
        <v>1588</v>
      </c>
      <c r="N98" s="2401"/>
      <c r="O98" s="2401">
        <v>169622</v>
      </c>
      <c r="P98" s="2401">
        <v>114255</v>
      </c>
      <c r="Q98" s="2401" t="s">
        <v>1587</v>
      </c>
      <c r="R98" s="2401"/>
      <c r="S98" s="2401">
        <v>82.11</v>
      </c>
      <c r="T98" s="2401">
        <v>31.58</v>
      </c>
      <c r="U98" s="2401">
        <v>43.45</v>
      </c>
      <c r="V98" s="2401"/>
      <c r="W98" s="2401">
        <v>27</v>
      </c>
      <c r="X98" s="2401">
        <v>0</v>
      </c>
      <c r="Y98" s="2401">
        <v>0</v>
      </c>
      <c r="Z98" s="2401"/>
      <c r="AA98" s="2401"/>
    </row>
    <row r="99" spans="1:27" s="1721" customFormat="1" ht="13.2">
      <c r="A99" s="2401">
        <v>58091715</v>
      </c>
      <c r="B99" s="2402">
        <v>45306</v>
      </c>
      <c r="C99" s="2401" t="s">
        <v>1138</v>
      </c>
      <c r="D99" s="2401">
        <v>55419</v>
      </c>
      <c r="E99" s="2401">
        <v>51</v>
      </c>
      <c r="F99" s="2401" t="s">
        <v>1589</v>
      </c>
      <c r="G99" s="2401"/>
      <c r="H99" s="2401">
        <v>2336.67</v>
      </c>
      <c r="I99" s="2401">
        <v>1.02</v>
      </c>
      <c r="J99" s="2403"/>
      <c r="K99" s="2401">
        <v>58728</v>
      </c>
      <c r="L99" s="2401">
        <v>24</v>
      </c>
      <c r="M99" s="2401" t="s">
        <v>1588</v>
      </c>
      <c r="N99" s="2401"/>
      <c r="O99" s="2401">
        <v>169707</v>
      </c>
      <c r="P99" s="2401">
        <v>114290</v>
      </c>
      <c r="Q99" s="2401" t="s">
        <v>1587</v>
      </c>
      <c r="R99" s="2401"/>
      <c r="S99" s="2401">
        <v>83.33</v>
      </c>
      <c r="T99" s="2401">
        <v>34.31</v>
      </c>
      <c r="U99" s="2401">
        <v>42.99</v>
      </c>
      <c r="V99" s="2401"/>
      <c r="W99" s="2401">
        <v>27</v>
      </c>
      <c r="X99" s="2401">
        <v>0</v>
      </c>
      <c r="Y99" s="2401">
        <v>0</v>
      </c>
      <c r="Z99" s="2401"/>
      <c r="AA99" s="2401"/>
    </row>
    <row r="100" spans="1:27" s="1721" customFormat="1" ht="13.2">
      <c r="A100" s="2401">
        <v>58091715</v>
      </c>
      <c r="B100" s="2402">
        <v>45307</v>
      </c>
      <c r="C100" s="2401" t="s">
        <v>1137</v>
      </c>
      <c r="D100" s="2401">
        <v>55480</v>
      </c>
      <c r="E100" s="2401">
        <v>61</v>
      </c>
      <c r="F100" s="2401" t="s">
        <v>1589</v>
      </c>
      <c r="G100" s="2401"/>
      <c r="H100" s="2401">
        <v>2337.86</v>
      </c>
      <c r="I100" s="2401">
        <v>1.19</v>
      </c>
      <c r="J100" s="2403"/>
      <c r="K100" s="2401">
        <v>58752</v>
      </c>
      <c r="L100" s="2401">
        <v>24</v>
      </c>
      <c r="M100" s="2401" t="s">
        <v>1588</v>
      </c>
      <c r="N100" s="2401"/>
      <c r="O100" s="2401">
        <v>169807</v>
      </c>
      <c r="P100" s="2401">
        <v>114329</v>
      </c>
      <c r="Q100" s="2401" t="s">
        <v>1587</v>
      </c>
      <c r="R100" s="2401"/>
      <c r="S100" s="2401">
        <v>84.03</v>
      </c>
      <c r="T100" s="2401">
        <v>32.770000000000003</v>
      </c>
      <c r="U100" s="2401">
        <v>44.08</v>
      </c>
      <c r="V100" s="2401"/>
      <c r="W100" s="2401">
        <v>27</v>
      </c>
      <c r="X100" s="2401">
        <v>0</v>
      </c>
      <c r="Y100" s="2401">
        <v>0</v>
      </c>
      <c r="Z100" s="2401"/>
      <c r="AA100" s="2401"/>
    </row>
    <row r="101" spans="1:27" s="1721" customFormat="1" ht="13.2">
      <c r="A101" s="2401">
        <v>58091715</v>
      </c>
      <c r="B101" s="2402">
        <v>45308</v>
      </c>
      <c r="C101" s="2401" t="s">
        <v>1131</v>
      </c>
      <c r="D101" s="2401">
        <v>55531</v>
      </c>
      <c r="E101" s="2401">
        <v>51</v>
      </c>
      <c r="F101" s="2401" t="s">
        <v>1589</v>
      </c>
      <c r="G101" s="2401"/>
      <c r="H101" s="2401">
        <v>2338.9</v>
      </c>
      <c r="I101" s="2401">
        <v>1.04</v>
      </c>
      <c r="J101" s="2403"/>
      <c r="K101" s="2401">
        <v>58776</v>
      </c>
      <c r="L101" s="2401">
        <v>24</v>
      </c>
      <c r="M101" s="2401" t="s">
        <v>1588</v>
      </c>
      <c r="N101" s="2401"/>
      <c r="O101" s="2401">
        <v>169894</v>
      </c>
      <c r="P101" s="2401">
        <v>114364</v>
      </c>
      <c r="Q101" s="2401" t="s">
        <v>1587</v>
      </c>
      <c r="R101" s="2401"/>
      <c r="S101" s="2401">
        <v>83.65</v>
      </c>
      <c r="T101" s="2401">
        <v>33.65</v>
      </c>
      <c r="U101" s="2401">
        <v>42.17</v>
      </c>
      <c r="V101" s="2401"/>
      <c r="W101" s="2401">
        <v>27</v>
      </c>
      <c r="X101" s="2401">
        <v>0</v>
      </c>
      <c r="Y101" s="2401">
        <v>0</v>
      </c>
      <c r="Z101" s="2401"/>
      <c r="AA101" s="2401"/>
    </row>
    <row r="102" spans="1:27" s="1721" customFormat="1" ht="13.2">
      <c r="A102" s="2401">
        <v>58091715</v>
      </c>
      <c r="B102" s="2402">
        <v>45309</v>
      </c>
      <c r="C102" s="2401" t="s">
        <v>1136</v>
      </c>
      <c r="D102" s="2401">
        <v>55580</v>
      </c>
      <c r="E102" s="2401">
        <v>49</v>
      </c>
      <c r="F102" s="2401" t="s">
        <v>1589</v>
      </c>
      <c r="G102" s="2401"/>
      <c r="H102" s="2401">
        <v>2339.86</v>
      </c>
      <c r="I102" s="2401">
        <v>0.96</v>
      </c>
      <c r="J102" s="2403"/>
      <c r="K102" s="2401">
        <v>58800</v>
      </c>
      <c r="L102" s="2401">
        <v>24</v>
      </c>
      <c r="M102" s="2401" t="s">
        <v>1588</v>
      </c>
      <c r="N102" s="2401"/>
      <c r="O102" s="2401">
        <v>169972</v>
      </c>
      <c r="P102" s="2401">
        <v>114394</v>
      </c>
      <c r="Q102" s="2401" t="s">
        <v>1587</v>
      </c>
      <c r="R102" s="2401"/>
      <c r="S102" s="2401">
        <v>81.25</v>
      </c>
      <c r="T102" s="2401">
        <v>31.25</v>
      </c>
      <c r="U102" s="2401">
        <v>43.89</v>
      </c>
      <c r="V102" s="2401"/>
      <c r="W102" s="2401">
        <v>27</v>
      </c>
      <c r="X102" s="2401">
        <v>0</v>
      </c>
      <c r="Y102" s="2401">
        <v>0</v>
      </c>
      <c r="Z102" s="2401"/>
      <c r="AA102" s="2401"/>
    </row>
    <row r="103" spans="1:27" s="1721" customFormat="1" ht="13.2">
      <c r="A103" s="2401">
        <v>58091715</v>
      </c>
      <c r="B103" s="2402">
        <v>45310</v>
      </c>
      <c r="C103" s="2401" t="s">
        <v>1130</v>
      </c>
      <c r="D103" s="2401">
        <v>55633</v>
      </c>
      <c r="E103" s="2401">
        <v>53</v>
      </c>
      <c r="F103" s="2401" t="s">
        <v>1589</v>
      </c>
      <c r="G103" s="2401"/>
      <c r="H103" s="2401">
        <v>2340.85</v>
      </c>
      <c r="I103" s="2401">
        <v>0.99</v>
      </c>
      <c r="J103" s="2403"/>
      <c r="K103" s="2401">
        <v>58824</v>
      </c>
      <c r="L103" s="2401">
        <v>24</v>
      </c>
      <c r="M103" s="2401" t="s">
        <v>1588</v>
      </c>
      <c r="N103" s="2401"/>
      <c r="O103" s="2401">
        <v>170055</v>
      </c>
      <c r="P103" s="2401">
        <v>114423</v>
      </c>
      <c r="Q103" s="2401" t="s">
        <v>1587</v>
      </c>
      <c r="R103" s="2401"/>
      <c r="S103" s="2401">
        <v>83.84</v>
      </c>
      <c r="T103" s="2401">
        <v>29.29</v>
      </c>
      <c r="U103" s="2401">
        <v>46.03</v>
      </c>
      <c r="V103" s="2401"/>
      <c r="W103" s="2401">
        <v>27</v>
      </c>
      <c r="X103" s="2401">
        <v>0</v>
      </c>
      <c r="Y103" s="2401">
        <v>0</v>
      </c>
      <c r="Z103" s="2401"/>
      <c r="AA103" s="2401"/>
    </row>
    <row r="104" spans="1:27" s="1721" customFormat="1" ht="13.2">
      <c r="A104" s="2401">
        <v>58091715</v>
      </c>
      <c r="B104" s="2402">
        <v>45311</v>
      </c>
      <c r="C104" s="2401" t="s">
        <v>1128</v>
      </c>
      <c r="D104" s="2401">
        <v>55681</v>
      </c>
      <c r="E104" s="2401">
        <v>48</v>
      </c>
      <c r="F104" s="2401" t="s">
        <v>1589</v>
      </c>
      <c r="G104" s="2401"/>
      <c r="H104" s="2401">
        <v>2341.7600000000002</v>
      </c>
      <c r="I104" s="2401">
        <v>0.91</v>
      </c>
      <c r="J104" s="2403"/>
      <c r="K104" s="2401">
        <v>58848</v>
      </c>
      <c r="L104" s="2401">
        <v>24</v>
      </c>
      <c r="M104" s="2401" t="s">
        <v>1588</v>
      </c>
      <c r="N104" s="2401"/>
      <c r="O104" s="2401">
        <v>170130</v>
      </c>
      <c r="P104" s="2401">
        <v>114451</v>
      </c>
      <c r="Q104" s="2401" t="s">
        <v>1587</v>
      </c>
      <c r="R104" s="2401"/>
      <c r="S104" s="2401">
        <v>82.42</v>
      </c>
      <c r="T104" s="2401">
        <v>30.77</v>
      </c>
      <c r="U104" s="2401">
        <v>45.36</v>
      </c>
      <c r="V104" s="2401"/>
      <c r="W104" s="2401">
        <v>27</v>
      </c>
      <c r="X104" s="2401">
        <v>0</v>
      </c>
      <c r="Y104" s="2401">
        <v>0</v>
      </c>
      <c r="Z104" s="2401"/>
      <c r="AA104" s="2401"/>
    </row>
    <row r="105" spans="1:27" s="1721" customFormat="1" ht="13.2">
      <c r="A105" s="2401">
        <v>58091715</v>
      </c>
      <c r="B105" s="2402">
        <v>45312</v>
      </c>
      <c r="C105" s="2401" t="s">
        <v>1139</v>
      </c>
      <c r="D105" s="2401">
        <v>55728</v>
      </c>
      <c r="E105" s="2401">
        <v>47</v>
      </c>
      <c r="F105" s="2401" t="s">
        <v>1589</v>
      </c>
      <c r="G105" s="2401"/>
      <c r="H105" s="2401">
        <v>2342.69</v>
      </c>
      <c r="I105" s="2401">
        <v>0.93</v>
      </c>
      <c r="J105" s="2403"/>
      <c r="K105" s="2401">
        <v>58872</v>
      </c>
      <c r="L105" s="2401">
        <v>24</v>
      </c>
      <c r="M105" s="2401" t="s">
        <v>1588</v>
      </c>
      <c r="N105" s="2401"/>
      <c r="O105" s="2401">
        <v>170206</v>
      </c>
      <c r="P105" s="2401">
        <v>114480</v>
      </c>
      <c r="Q105" s="2401" t="s">
        <v>1587</v>
      </c>
      <c r="R105" s="2401"/>
      <c r="S105" s="2401">
        <v>81.72</v>
      </c>
      <c r="T105" s="2401">
        <v>31.18</v>
      </c>
      <c r="U105" s="2401">
        <v>43.46</v>
      </c>
      <c r="V105" s="2401"/>
      <c r="W105" s="2401">
        <v>27</v>
      </c>
      <c r="X105" s="2401">
        <v>0</v>
      </c>
      <c r="Y105" s="2401">
        <v>0</v>
      </c>
      <c r="Z105" s="2401"/>
      <c r="AA105" s="2401"/>
    </row>
    <row r="106" spans="1:27" s="1721" customFormat="1" ht="13.2">
      <c r="A106" s="2401">
        <v>58091715</v>
      </c>
      <c r="B106" s="2402">
        <v>45313</v>
      </c>
      <c r="C106" s="2401" t="s">
        <v>1138</v>
      </c>
      <c r="D106" s="2401">
        <v>55767</v>
      </c>
      <c r="E106" s="2401">
        <v>39</v>
      </c>
      <c r="F106" s="2401" t="s">
        <v>1589</v>
      </c>
      <c r="G106" s="2401"/>
      <c r="H106" s="2401">
        <v>2343.46</v>
      </c>
      <c r="I106" s="2401">
        <v>0.77</v>
      </c>
      <c r="J106" s="2403"/>
      <c r="K106" s="2401">
        <v>58896</v>
      </c>
      <c r="L106" s="2401">
        <v>24</v>
      </c>
      <c r="M106" s="2401" t="s">
        <v>1588</v>
      </c>
      <c r="N106" s="2401"/>
      <c r="O106" s="2401">
        <v>170269</v>
      </c>
      <c r="P106" s="2401">
        <v>114503</v>
      </c>
      <c r="Q106" s="2401" t="s">
        <v>1587</v>
      </c>
      <c r="R106" s="2401"/>
      <c r="S106" s="2401">
        <v>81.819999999999993</v>
      </c>
      <c r="T106" s="2401">
        <v>29.87</v>
      </c>
      <c r="U106" s="2401">
        <v>43.55</v>
      </c>
      <c r="V106" s="2401"/>
      <c r="W106" s="2401">
        <v>27</v>
      </c>
      <c r="X106" s="2401">
        <v>0</v>
      </c>
      <c r="Y106" s="2401">
        <v>0</v>
      </c>
      <c r="Z106" s="2401"/>
      <c r="AA106" s="2401"/>
    </row>
    <row r="107" spans="1:27" s="1721" customFormat="1" ht="13.2">
      <c r="A107" s="2401">
        <v>58091715</v>
      </c>
      <c r="B107" s="2402">
        <v>45314</v>
      </c>
      <c r="C107" s="2401" t="s">
        <v>1137</v>
      </c>
      <c r="D107" s="2401">
        <v>55803</v>
      </c>
      <c r="E107" s="2401">
        <v>36</v>
      </c>
      <c r="F107" s="2401" t="s">
        <v>1589</v>
      </c>
      <c r="G107" s="2401"/>
      <c r="H107" s="2401">
        <v>2344.16</v>
      </c>
      <c r="I107" s="2401">
        <v>0.7</v>
      </c>
      <c r="J107" s="2403"/>
      <c r="K107" s="2401">
        <v>58920</v>
      </c>
      <c r="L107" s="2401">
        <v>24</v>
      </c>
      <c r="M107" s="2401" t="s">
        <v>1588</v>
      </c>
      <c r="N107" s="2401"/>
      <c r="O107" s="2401">
        <v>170325</v>
      </c>
      <c r="P107" s="2401">
        <v>114524</v>
      </c>
      <c r="Q107" s="2401" t="s">
        <v>1587</v>
      </c>
      <c r="R107" s="2401"/>
      <c r="S107" s="2401">
        <v>80</v>
      </c>
      <c r="T107" s="2401">
        <v>30</v>
      </c>
      <c r="U107" s="2401">
        <v>44.22</v>
      </c>
      <c r="V107" s="2401"/>
      <c r="W107" s="2401">
        <v>27</v>
      </c>
      <c r="X107" s="2401">
        <v>0</v>
      </c>
      <c r="Y107" s="2401">
        <v>0</v>
      </c>
      <c r="Z107" s="2401"/>
      <c r="AA107" s="2401"/>
    </row>
    <row r="108" spans="1:27">
      <c r="A108" s="2404">
        <v>58091715</v>
      </c>
      <c r="B108" s="2402">
        <v>45315</v>
      </c>
      <c r="C108" s="2401" t="s">
        <v>1131</v>
      </c>
      <c r="D108" s="2404">
        <v>55837</v>
      </c>
      <c r="E108" s="2404">
        <v>34</v>
      </c>
      <c r="F108" s="2404" t="s">
        <v>1589</v>
      </c>
      <c r="G108" s="2404"/>
      <c r="H108" s="2405">
        <v>2344.86</v>
      </c>
      <c r="I108" s="2404">
        <v>0.7</v>
      </c>
      <c r="J108" s="2405"/>
      <c r="K108" s="2404">
        <v>58944</v>
      </c>
      <c r="L108" s="2404">
        <v>24</v>
      </c>
      <c r="M108" s="2404" t="s">
        <v>1588</v>
      </c>
      <c r="N108" s="2404"/>
      <c r="O108" s="2404">
        <v>170381</v>
      </c>
      <c r="P108" s="2404">
        <v>114545</v>
      </c>
      <c r="Q108" s="2404" t="s">
        <v>1587</v>
      </c>
      <c r="R108" s="2404"/>
      <c r="S108" s="2404">
        <v>80</v>
      </c>
      <c r="T108" s="2404">
        <v>30</v>
      </c>
      <c r="U108" s="2404">
        <v>41.76</v>
      </c>
      <c r="V108" s="2404"/>
      <c r="W108" s="2404">
        <v>27</v>
      </c>
      <c r="X108" s="2404">
        <v>0</v>
      </c>
      <c r="Y108" s="2404">
        <v>0</v>
      </c>
      <c r="Z108" s="2404"/>
      <c r="AA108" s="2404"/>
    </row>
    <row r="109" spans="1:27">
      <c r="A109" s="2404">
        <v>58091715</v>
      </c>
      <c r="B109" s="2402">
        <v>45316</v>
      </c>
      <c r="C109" s="2401" t="s">
        <v>1136</v>
      </c>
      <c r="D109" s="2404">
        <v>55876</v>
      </c>
      <c r="E109" s="2404">
        <v>39</v>
      </c>
      <c r="F109" s="2404" t="s">
        <v>1589</v>
      </c>
      <c r="G109" s="2404"/>
      <c r="H109" s="2405">
        <v>2345.59</v>
      </c>
      <c r="I109" s="2404">
        <v>0.73</v>
      </c>
      <c r="J109" s="2405"/>
      <c r="K109" s="2404">
        <v>58968</v>
      </c>
      <c r="L109" s="2404">
        <v>24</v>
      </c>
      <c r="M109" s="2404" t="s">
        <v>1588</v>
      </c>
      <c r="N109" s="2404"/>
      <c r="O109" s="2404">
        <v>170440</v>
      </c>
      <c r="P109" s="2404">
        <v>114566</v>
      </c>
      <c r="Q109" s="2404" t="s">
        <v>1587</v>
      </c>
      <c r="R109" s="2404"/>
      <c r="S109" s="2404">
        <v>80.819999999999993</v>
      </c>
      <c r="T109" s="2404">
        <v>28.77</v>
      </c>
      <c r="U109" s="2404">
        <v>45.94</v>
      </c>
      <c r="V109" s="2404"/>
      <c r="W109" s="2404">
        <v>27</v>
      </c>
      <c r="X109" s="2404">
        <v>0</v>
      </c>
      <c r="Y109" s="2404">
        <v>0</v>
      </c>
      <c r="Z109" s="2404"/>
      <c r="AA109" s="2404"/>
    </row>
    <row r="110" spans="1:27" s="1721" customFormat="1" ht="13.2">
      <c r="A110" s="2401">
        <v>58091715</v>
      </c>
      <c r="B110" s="2402">
        <v>45317</v>
      </c>
      <c r="C110" s="2401" t="s">
        <v>1130</v>
      </c>
      <c r="D110" s="2401">
        <v>55912</v>
      </c>
      <c r="E110" s="2401">
        <v>36</v>
      </c>
      <c r="F110" s="2401" t="s">
        <v>1589</v>
      </c>
      <c r="G110" s="2401"/>
      <c r="H110" s="2401">
        <v>2346.3200000000002</v>
      </c>
      <c r="I110" s="2401">
        <v>0.73</v>
      </c>
      <c r="J110" s="2403"/>
      <c r="K110" s="2401">
        <v>58992</v>
      </c>
      <c r="L110" s="2401">
        <v>24</v>
      </c>
      <c r="M110" s="2401" t="s">
        <v>1588</v>
      </c>
      <c r="N110" s="2401"/>
      <c r="O110" s="2401">
        <v>170499</v>
      </c>
      <c r="P110" s="2401">
        <v>114589</v>
      </c>
      <c r="Q110" s="2401" t="s">
        <v>1587</v>
      </c>
      <c r="R110" s="2401"/>
      <c r="S110" s="2401">
        <v>80.819999999999993</v>
      </c>
      <c r="T110" s="2401">
        <v>31.51</v>
      </c>
      <c r="U110" s="2401">
        <v>42.4</v>
      </c>
      <c r="V110" s="2401"/>
      <c r="W110" s="2401">
        <v>27</v>
      </c>
      <c r="X110" s="2401">
        <v>0</v>
      </c>
      <c r="Y110" s="2401">
        <v>0</v>
      </c>
      <c r="Z110" s="2401"/>
      <c r="AA110" s="2401"/>
    </row>
    <row r="111" spans="1:27" s="1721" customFormat="1" ht="13.2">
      <c r="A111" s="2401">
        <v>58091715</v>
      </c>
      <c r="B111" s="2402">
        <v>45318</v>
      </c>
      <c r="C111" s="2401" t="s">
        <v>1128</v>
      </c>
      <c r="D111" s="2401">
        <v>55954</v>
      </c>
      <c r="E111" s="2401">
        <v>42</v>
      </c>
      <c r="F111" s="2401" t="s">
        <v>1589</v>
      </c>
      <c r="G111" s="2401"/>
      <c r="H111" s="2401">
        <v>2347.11</v>
      </c>
      <c r="I111" s="2401">
        <v>0.79</v>
      </c>
      <c r="J111" s="2403"/>
      <c r="K111" s="2401">
        <v>59016</v>
      </c>
      <c r="L111" s="2401">
        <v>24</v>
      </c>
      <c r="M111" s="2401" t="s">
        <v>1588</v>
      </c>
      <c r="N111" s="2401"/>
      <c r="O111" s="2401">
        <v>170564</v>
      </c>
      <c r="P111" s="2401">
        <v>114612</v>
      </c>
      <c r="Q111" s="2401" t="s">
        <v>1587</v>
      </c>
      <c r="R111" s="2401"/>
      <c r="S111" s="2401">
        <v>82.28</v>
      </c>
      <c r="T111" s="2401">
        <v>29.11</v>
      </c>
      <c r="U111" s="2401">
        <v>45.71</v>
      </c>
      <c r="V111" s="2401"/>
      <c r="W111" s="2401">
        <v>27</v>
      </c>
      <c r="X111" s="2401">
        <v>0</v>
      </c>
      <c r="Y111" s="2401">
        <v>0</v>
      </c>
      <c r="Z111" s="2401"/>
      <c r="AA111" s="2401"/>
    </row>
    <row r="112" spans="1:27" s="1721" customFormat="1" ht="13.2">
      <c r="A112" s="2401">
        <v>58091715</v>
      </c>
      <c r="B112" s="2402">
        <v>45319</v>
      </c>
      <c r="C112" s="2401" t="s">
        <v>1139</v>
      </c>
      <c r="D112" s="2401">
        <v>55988</v>
      </c>
      <c r="E112" s="2401">
        <v>34</v>
      </c>
      <c r="F112" s="2401" t="s">
        <v>1589</v>
      </c>
      <c r="G112" s="2401"/>
      <c r="H112" s="2401">
        <v>2347.8000000000002</v>
      </c>
      <c r="I112" s="2401">
        <v>0.69</v>
      </c>
      <c r="J112" s="2403"/>
      <c r="K112" s="2401">
        <v>59040</v>
      </c>
      <c r="L112" s="2401">
        <v>24</v>
      </c>
      <c r="M112" s="2401" t="s">
        <v>1588</v>
      </c>
      <c r="N112" s="2401"/>
      <c r="O112" s="2401">
        <v>170619</v>
      </c>
      <c r="P112" s="2401">
        <v>114633</v>
      </c>
      <c r="Q112" s="2401" t="s">
        <v>1587</v>
      </c>
      <c r="R112" s="2401"/>
      <c r="S112" s="2401">
        <v>79.709999999999994</v>
      </c>
      <c r="T112" s="2401">
        <v>30.43</v>
      </c>
      <c r="U112" s="2401">
        <v>42.37</v>
      </c>
      <c r="V112" s="2401"/>
      <c r="W112" s="2401">
        <v>27</v>
      </c>
      <c r="X112" s="2401">
        <v>0</v>
      </c>
      <c r="Y112" s="2401">
        <v>0</v>
      </c>
      <c r="Z112" s="2401"/>
      <c r="AA112" s="2401"/>
    </row>
    <row r="113" spans="1:28" s="1721" customFormat="1" ht="13.2">
      <c r="A113" s="2401">
        <v>58091715</v>
      </c>
      <c r="B113" s="2402">
        <v>45320</v>
      </c>
      <c r="C113" s="2401" t="s">
        <v>1138</v>
      </c>
      <c r="D113" s="2401">
        <v>56029</v>
      </c>
      <c r="E113" s="2401">
        <v>41</v>
      </c>
      <c r="F113" s="2401" t="s">
        <v>1589</v>
      </c>
      <c r="G113" s="2401"/>
      <c r="H113" s="2401">
        <v>2348.58</v>
      </c>
      <c r="I113" s="2401">
        <v>0.78</v>
      </c>
      <c r="J113" s="2403"/>
      <c r="K113" s="2401">
        <v>59064</v>
      </c>
      <c r="L113" s="2401">
        <v>24</v>
      </c>
      <c r="M113" s="2401" t="s">
        <v>1588</v>
      </c>
      <c r="N113" s="2401"/>
      <c r="O113" s="2401">
        <v>170683</v>
      </c>
      <c r="P113" s="2401">
        <v>114655</v>
      </c>
      <c r="Q113" s="2401" t="s">
        <v>1587</v>
      </c>
      <c r="R113" s="2401"/>
      <c r="S113" s="2401">
        <v>82.05</v>
      </c>
      <c r="T113" s="2401">
        <v>28.21</v>
      </c>
      <c r="U113" s="2401">
        <v>45.2</v>
      </c>
      <c r="V113" s="2401"/>
      <c r="W113" s="2401">
        <v>27</v>
      </c>
      <c r="X113" s="2401">
        <v>0</v>
      </c>
      <c r="Y113" s="2401">
        <v>0</v>
      </c>
      <c r="Z113" s="2401"/>
      <c r="AA113" s="2401"/>
    </row>
    <row r="114" spans="1:28" s="1721" customFormat="1" ht="13.2">
      <c r="A114" s="2401">
        <v>58091715</v>
      </c>
      <c r="B114" s="2402">
        <v>45321</v>
      </c>
      <c r="C114" s="2401" t="s">
        <v>1137</v>
      </c>
      <c r="D114" s="2401">
        <v>56064</v>
      </c>
      <c r="E114" s="2401">
        <v>35</v>
      </c>
      <c r="F114" s="2401" t="s">
        <v>1589</v>
      </c>
      <c r="G114" s="2401"/>
      <c r="H114" s="2401">
        <v>2349.29</v>
      </c>
      <c r="I114" s="2401">
        <v>0.71</v>
      </c>
      <c r="J114" s="2403"/>
      <c r="K114" s="2401">
        <v>59088</v>
      </c>
      <c r="L114" s="2401">
        <v>24</v>
      </c>
      <c r="M114" s="2401" t="s">
        <v>1588</v>
      </c>
      <c r="N114" s="2401"/>
      <c r="O114" s="2401">
        <v>170739</v>
      </c>
      <c r="P114" s="2401">
        <v>114677</v>
      </c>
      <c r="Q114" s="2401" t="s">
        <v>1587</v>
      </c>
      <c r="R114" s="2401"/>
      <c r="S114" s="2401">
        <v>78.87</v>
      </c>
      <c r="T114" s="2401">
        <v>30.99</v>
      </c>
      <c r="U114" s="2401">
        <v>42.39</v>
      </c>
      <c r="V114" s="2401"/>
      <c r="W114" s="2401">
        <v>27</v>
      </c>
      <c r="X114" s="2401">
        <v>0</v>
      </c>
      <c r="Y114" s="2401">
        <v>0</v>
      </c>
      <c r="Z114" s="2401"/>
      <c r="AA114" s="2401"/>
    </row>
    <row r="115" spans="1:28" s="1721" customFormat="1" ht="13.2">
      <c r="A115" s="2401">
        <v>58091715</v>
      </c>
      <c r="B115" s="2402">
        <v>45322</v>
      </c>
      <c r="C115" s="2401" t="s">
        <v>1131</v>
      </c>
      <c r="D115" s="2401">
        <v>56104</v>
      </c>
      <c r="E115" s="2401">
        <v>40</v>
      </c>
      <c r="F115" s="2401" t="s">
        <v>1589</v>
      </c>
      <c r="G115" s="2406">
        <f>SUM(E85:E115)</f>
        <v>1516</v>
      </c>
      <c r="H115" s="2401">
        <v>2350.13</v>
      </c>
      <c r="I115" s="2401">
        <v>0.84</v>
      </c>
      <c r="J115" s="2408">
        <f>SUM(I85:I115)</f>
        <v>30.38</v>
      </c>
      <c r="K115" s="2401">
        <v>59112</v>
      </c>
      <c r="L115" s="2401">
        <v>24</v>
      </c>
      <c r="M115" s="2401" t="s">
        <v>1588</v>
      </c>
      <c r="N115" s="2401"/>
      <c r="O115" s="2401">
        <v>170804</v>
      </c>
      <c r="P115" s="2401">
        <v>114702</v>
      </c>
      <c r="Q115" s="2401" t="s">
        <v>1587</v>
      </c>
      <c r="R115" s="2401"/>
      <c r="S115" s="2401">
        <v>77.38</v>
      </c>
      <c r="T115" s="2401">
        <v>29.76</v>
      </c>
      <c r="U115" s="2401">
        <v>40.950000000000003</v>
      </c>
      <c r="V115" s="2401"/>
      <c r="W115" s="2401">
        <v>27</v>
      </c>
      <c r="X115" s="2401">
        <v>0</v>
      </c>
      <c r="Y115" s="2401">
        <v>0</v>
      </c>
      <c r="Z115" s="2401"/>
      <c r="AA115" s="2401"/>
    </row>
    <row r="116" spans="1:28" s="1721" customFormat="1" ht="13.2">
      <c r="A116" s="2406">
        <v>58091715</v>
      </c>
      <c r="B116" s="2407">
        <v>45323</v>
      </c>
      <c r="C116" s="2406" t="s">
        <v>1136</v>
      </c>
      <c r="D116" s="2406">
        <v>56143</v>
      </c>
      <c r="E116" s="2406">
        <v>39</v>
      </c>
      <c r="F116" s="2406" t="s">
        <v>1589</v>
      </c>
      <c r="G116" s="2406"/>
      <c r="H116" s="2406">
        <v>2351.0100000000002</v>
      </c>
      <c r="I116" s="2406">
        <v>0.88</v>
      </c>
      <c r="J116" s="2408"/>
      <c r="K116" s="2406">
        <v>59136</v>
      </c>
      <c r="L116" s="2406">
        <v>24</v>
      </c>
      <c r="M116" s="2406" t="s">
        <v>1588</v>
      </c>
      <c r="N116" s="2406"/>
      <c r="O116" s="2406">
        <v>170869</v>
      </c>
      <c r="P116" s="2406">
        <v>114728</v>
      </c>
      <c r="Q116" s="2406" t="s">
        <v>1587</v>
      </c>
      <c r="R116" s="2406"/>
      <c r="S116" s="2406">
        <v>73.86</v>
      </c>
      <c r="T116" s="2406">
        <v>29.55</v>
      </c>
      <c r="U116" s="2406">
        <v>38.11</v>
      </c>
      <c r="V116" s="2406"/>
      <c r="W116" s="2406">
        <v>27</v>
      </c>
      <c r="X116" s="2406">
        <v>0</v>
      </c>
      <c r="Y116" s="2406">
        <v>0</v>
      </c>
      <c r="Z116" s="2406"/>
      <c r="AA116" s="2406"/>
      <c r="AB116" s="2406"/>
    </row>
    <row r="117" spans="1:28" s="1721" customFormat="1" ht="13.2">
      <c r="A117" s="2406">
        <v>58091715</v>
      </c>
      <c r="B117" s="2407">
        <v>45324</v>
      </c>
      <c r="C117" s="2406" t="s">
        <v>1130</v>
      </c>
      <c r="D117" s="2406">
        <v>56182</v>
      </c>
      <c r="E117" s="2406">
        <v>39</v>
      </c>
      <c r="F117" s="2406" t="s">
        <v>1589</v>
      </c>
      <c r="G117" s="2406"/>
      <c r="H117" s="2406">
        <v>2351.91</v>
      </c>
      <c r="I117" s="2406">
        <v>0.9</v>
      </c>
      <c r="J117" s="2408"/>
      <c r="K117" s="2406">
        <v>59160</v>
      </c>
      <c r="L117" s="2406">
        <v>24</v>
      </c>
      <c r="M117" s="2406" t="s">
        <v>1588</v>
      </c>
      <c r="N117" s="2406"/>
      <c r="O117" s="2406">
        <v>170937</v>
      </c>
      <c r="P117" s="2406">
        <v>114756</v>
      </c>
      <c r="Q117" s="2406" t="s">
        <v>1587</v>
      </c>
      <c r="R117" s="2406"/>
      <c r="S117" s="2406">
        <v>75.56</v>
      </c>
      <c r="T117" s="2406">
        <v>31.11</v>
      </c>
      <c r="U117" s="2406">
        <v>37.26</v>
      </c>
      <c r="V117" s="2406"/>
      <c r="W117" s="2406">
        <v>27</v>
      </c>
      <c r="X117" s="2406">
        <v>0</v>
      </c>
      <c r="Y117" s="2406">
        <v>0</v>
      </c>
      <c r="Z117" s="2406"/>
      <c r="AA117" s="2406"/>
      <c r="AB117" s="2406"/>
    </row>
    <row r="118" spans="1:28" s="1721" customFormat="1" ht="13.2">
      <c r="A118" s="2406">
        <v>58091715</v>
      </c>
      <c r="B118" s="2407">
        <v>45325</v>
      </c>
      <c r="C118" s="2406" t="s">
        <v>1128</v>
      </c>
      <c r="D118" s="2406">
        <v>56214</v>
      </c>
      <c r="E118" s="2406">
        <v>32</v>
      </c>
      <c r="F118" s="2406" t="s">
        <v>1589</v>
      </c>
      <c r="G118" s="2406"/>
      <c r="H118" s="2406">
        <v>2352.63</v>
      </c>
      <c r="I118" s="2406">
        <v>0.72</v>
      </c>
      <c r="J118" s="2408"/>
      <c r="K118" s="2406">
        <v>59184</v>
      </c>
      <c r="L118" s="2406">
        <v>24</v>
      </c>
      <c r="M118" s="2406" t="s">
        <v>1588</v>
      </c>
      <c r="N118" s="2406"/>
      <c r="O118" s="2406">
        <v>170990</v>
      </c>
      <c r="P118" s="2406">
        <v>114777</v>
      </c>
      <c r="Q118" s="2406" t="s">
        <v>1587</v>
      </c>
      <c r="R118" s="2406"/>
      <c r="S118" s="2406">
        <v>73.61</v>
      </c>
      <c r="T118" s="2406">
        <v>29.17</v>
      </c>
      <c r="U118" s="2406">
        <v>38.22</v>
      </c>
      <c r="V118" s="2406"/>
      <c r="W118" s="2406">
        <v>27</v>
      </c>
      <c r="X118" s="2406">
        <v>0</v>
      </c>
      <c r="Y118" s="2406">
        <v>0</v>
      </c>
      <c r="Z118" s="2406"/>
      <c r="AA118" s="2406"/>
      <c r="AB118" s="2406"/>
    </row>
    <row r="119" spans="1:28" s="1721" customFormat="1" ht="13.2">
      <c r="A119" s="2406">
        <v>58091715</v>
      </c>
      <c r="B119" s="2407">
        <v>45326</v>
      </c>
      <c r="C119" s="2406" t="s">
        <v>1139</v>
      </c>
      <c r="D119" s="2406">
        <v>56252</v>
      </c>
      <c r="E119" s="2406">
        <v>38</v>
      </c>
      <c r="F119" s="2406" t="s">
        <v>1589</v>
      </c>
      <c r="G119" s="2406"/>
      <c r="H119" s="2406">
        <v>2353.48</v>
      </c>
      <c r="I119" s="2406">
        <v>0.85</v>
      </c>
      <c r="J119" s="2408"/>
      <c r="K119" s="2406">
        <v>59208</v>
      </c>
      <c r="L119" s="2406">
        <v>24</v>
      </c>
      <c r="M119" s="2406" t="s">
        <v>1588</v>
      </c>
      <c r="N119" s="2406"/>
      <c r="O119" s="2406">
        <v>171053</v>
      </c>
      <c r="P119" s="2406">
        <v>114803</v>
      </c>
      <c r="Q119" s="2406" t="s">
        <v>1587</v>
      </c>
      <c r="R119" s="2406"/>
      <c r="S119" s="2406">
        <v>74.12</v>
      </c>
      <c r="T119" s="2406">
        <v>30.59</v>
      </c>
      <c r="U119" s="2406">
        <v>38.44</v>
      </c>
      <c r="V119" s="2406"/>
      <c r="W119" s="2406">
        <v>27</v>
      </c>
      <c r="X119" s="2406">
        <v>0</v>
      </c>
      <c r="Y119" s="2406">
        <v>0</v>
      </c>
      <c r="Z119" s="2406"/>
      <c r="AA119" s="2406"/>
      <c r="AB119" s="2406"/>
    </row>
    <row r="120" spans="1:28" s="1721" customFormat="1" ht="13.2">
      <c r="A120" s="2406">
        <v>58091715</v>
      </c>
      <c r="B120" s="2407">
        <v>45327</v>
      </c>
      <c r="C120" s="2406" t="s">
        <v>1138</v>
      </c>
      <c r="D120" s="2406">
        <v>56294</v>
      </c>
      <c r="E120" s="2406">
        <v>42</v>
      </c>
      <c r="F120" s="2406" t="s">
        <v>1589</v>
      </c>
      <c r="G120" s="2406"/>
      <c r="H120" s="2406">
        <v>2354.44</v>
      </c>
      <c r="I120" s="2406">
        <v>0.96</v>
      </c>
      <c r="J120" s="2408"/>
      <c r="K120" s="2406">
        <v>59232</v>
      </c>
      <c r="L120" s="2406">
        <v>24</v>
      </c>
      <c r="M120" s="2406" t="s">
        <v>1588</v>
      </c>
      <c r="N120" s="2406"/>
      <c r="O120" s="2406">
        <v>171126</v>
      </c>
      <c r="P120" s="2406">
        <v>114833</v>
      </c>
      <c r="Q120" s="2406" t="s">
        <v>1587</v>
      </c>
      <c r="R120" s="2406"/>
      <c r="S120" s="2406">
        <v>76.040000000000006</v>
      </c>
      <c r="T120" s="2406">
        <v>31.25</v>
      </c>
      <c r="U120" s="2406">
        <v>37.619999999999997</v>
      </c>
      <c r="V120" s="2406"/>
      <c r="W120" s="2406">
        <v>27</v>
      </c>
      <c r="X120" s="2406">
        <v>0</v>
      </c>
      <c r="Y120" s="2406">
        <v>0</v>
      </c>
      <c r="Z120" s="2406"/>
      <c r="AA120" s="2406"/>
      <c r="AB120" s="2406"/>
    </row>
    <row r="121" spans="1:28" s="1721" customFormat="1" ht="13.2">
      <c r="A121" s="2406">
        <v>58091715</v>
      </c>
      <c r="B121" s="2407">
        <v>45328</v>
      </c>
      <c r="C121" s="2406" t="s">
        <v>1137</v>
      </c>
      <c r="D121" s="2406">
        <v>56340</v>
      </c>
      <c r="E121" s="2406">
        <v>46</v>
      </c>
      <c r="F121" s="2406" t="s">
        <v>1589</v>
      </c>
      <c r="G121" s="2406"/>
      <c r="H121" s="2406">
        <v>2355.4299999999998</v>
      </c>
      <c r="I121" s="2406">
        <v>0.99</v>
      </c>
      <c r="J121" s="2408"/>
      <c r="K121" s="2406">
        <v>59256</v>
      </c>
      <c r="L121" s="2406">
        <v>24</v>
      </c>
      <c r="M121" s="2406" t="s">
        <v>1588</v>
      </c>
      <c r="N121" s="2406"/>
      <c r="O121" s="2406">
        <v>171201</v>
      </c>
      <c r="P121" s="2406">
        <v>114862</v>
      </c>
      <c r="Q121" s="2406" t="s">
        <v>1587</v>
      </c>
      <c r="R121" s="2406"/>
      <c r="S121" s="2406">
        <v>75.760000000000005</v>
      </c>
      <c r="T121" s="2406">
        <v>29.29</v>
      </c>
      <c r="U121" s="2406">
        <v>39.950000000000003</v>
      </c>
      <c r="V121" s="2406"/>
      <c r="W121" s="2406">
        <v>27</v>
      </c>
      <c r="X121" s="2406">
        <v>0</v>
      </c>
      <c r="Y121" s="2406">
        <v>0</v>
      </c>
      <c r="Z121" s="2406"/>
      <c r="AA121" s="2406"/>
      <c r="AB121" s="2406"/>
    </row>
    <row r="122" spans="1:28" s="1721" customFormat="1" ht="13.2">
      <c r="A122" s="2406">
        <v>58091715</v>
      </c>
      <c r="B122" s="2407">
        <v>45329</v>
      </c>
      <c r="C122" s="2406" t="s">
        <v>1131</v>
      </c>
      <c r="D122" s="2406">
        <v>56385</v>
      </c>
      <c r="E122" s="2406">
        <v>45</v>
      </c>
      <c r="F122" s="2406" t="s">
        <v>1589</v>
      </c>
      <c r="G122" s="2406"/>
      <c r="H122" s="2406">
        <v>2356.41</v>
      </c>
      <c r="I122" s="2406">
        <v>0.98</v>
      </c>
      <c r="J122" s="2408"/>
      <c r="K122" s="2406">
        <v>59280</v>
      </c>
      <c r="L122" s="2406">
        <v>24</v>
      </c>
      <c r="M122" s="2406" t="s">
        <v>1588</v>
      </c>
      <c r="N122" s="2406"/>
      <c r="O122" s="2406">
        <v>171274</v>
      </c>
      <c r="P122" s="2406">
        <v>114891</v>
      </c>
      <c r="Q122" s="2406" t="s">
        <v>1587</v>
      </c>
      <c r="R122" s="2406"/>
      <c r="S122" s="2406">
        <v>74.489999999999995</v>
      </c>
      <c r="T122" s="2406">
        <v>29.59</v>
      </c>
      <c r="U122" s="2406">
        <v>39.479999999999997</v>
      </c>
      <c r="V122" s="2406"/>
      <c r="W122" s="2406">
        <v>27</v>
      </c>
      <c r="X122" s="2406">
        <v>0</v>
      </c>
      <c r="Y122" s="2406">
        <v>0</v>
      </c>
      <c r="Z122" s="2406"/>
      <c r="AA122" s="2406"/>
      <c r="AB122" s="2406"/>
    </row>
    <row r="123" spans="1:28" s="1721" customFormat="1" ht="13.2">
      <c r="A123" s="2406">
        <v>58091715</v>
      </c>
      <c r="B123" s="2407">
        <v>45330</v>
      </c>
      <c r="C123" s="2406" t="s">
        <v>1136</v>
      </c>
      <c r="D123" s="2406">
        <v>56426</v>
      </c>
      <c r="E123" s="2406">
        <v>41</v>
      </c>
      <c r="F123" s="2406" t="s">
        <v>1589</v>
      </c>
      <c r="G123" s="2406"/>
      <c r="H123" s="2406">
        <v>2357.33</v>
      </c>
      <c r="I123" s="2406">
        <v>0.92</v>
      </c>
      <c r="J123" s="2408"/>
      <c r="K123" s="2406">
        <v>59304</v>
      </c>
      <c r="L123" s="2406">
        <v>24</v>
      </c>
      <c r="M123" s="2406" t="s">
        <v>1588</v>
      </c>
      <c r="N123" s="2406"/>
      <c r="O123" s="2406">
        <v>171344</v>
      </c>
      <c r="P123" s="2406">
        <v>114919</v>
      </c>
      <c r="Q123" s="2406" t="s">
        <v>1587</v>
      </c>
      <c r="R123" s="2406"/>
      <c r="S123" s="2406">
        <v>76.09</v>
      </c>
      <c r="T123" s="2406">
        <v>30.43</v>
      </c>
      <c r="U123" s="2406">
        <v>38.32</v>
      </c>
      <c r="V123" s="2406"/>
      <c r="W123" s="2406">
        <v>27</v>
      </c>
      <c r="X123" s="2406">
        <v>0</v>
      </c>
      <c r="Y123" s="2406">
        <v>0</v>
      </c>
      <c r="Z123" s="2406"/>
      <c r="AA123" s="2406"/>
      <c r="AB123" s="2406"/>
    </row>
    <row r="124" spans="1:28" s="1721" customFormat="1" ht="13.2">
      <c r="A124" s="2406">
        <v>58091715</v>
      </c>
      <c r="B124" s="2407">
        <v>45331</v>
      </c>
      <c r="C124" s="2406" t="s">
        <v>1130</v>
      </c>
      <c r="D124" s="2406">
        <v>56477</v>
      </c>
      <c r="E124" s="2406">
        <v>51</v>
      </c>
      <c r="F124" s="2406" t="s">
        <v>1589</v>
      </c>
      <c r="G124" s="2406"/>
      <c r="H124" s="2406">
        <v>2358.44</v>
      </c>
      <c r="I124" s="2406">
        <v>1.1100000000000001</v>
      </c>
      <c r="J124" s="2408"/>
      <c r="K124" s="2406">
        <v>59328</v>
      </c>
      <c r="L124" s="2406">
        <v>24</v>
      </c>
      <c r="M124" s="2406" t="s">
        <v>1588</v>
      </c>
      <c r="N124" s="2406"/>
      <c r="O124" s="2406">
        <v>171428</v>
      </c>
      <c r="P124" s="2406">
        <v>114952</v>
      </c>
      <c r="Q124" s="2406" t="s">
        <v>1587</v>
      </c>
      <c r="R124" s="2406"/>
      <c r="S124" s="2406">
        <v>75.680000000000007</v>
      </c>
      <c r="T124" s="2406">
        <v>29.73</v>
      </c>
      <c r="U124" s="2406">
        <v>39.51</v>
      </c>
      <c r="V124" s="2406"/>
      <c r="W124" s="2406">
        <v>27</v>
      </c>
      <c r="X124" s="2406">
        <v>0</v>
      </c>
      <c r="Y124" s="2406">
        <v>0</v>
      </c>
      <c r="Z124" s="2406"/>
      <c r="AA124" s="2406"/>
      <c r="AB124" s="2406"/>
    </row>
    <row r="125" spans="1:28" s="1721" customFormat="1" ht="13.2">
      <c r="A125" s="2406">
        <v>58091715</v>
      </c>
      <c r="B125" s="2407">
        <v>45332</v>
      </c>
      <c r="C125" s="2406" t="s">
        <v>1128</v>
      </c>
      <c r="D125" s="2406">
        <v>56529</v>
      </c>
      <c r="E125" s="2406">
        <v>52</v>
      </c>
      <c r="F125" s="2406" t="s">
        <v>1589</v>
      </c>
      <c r="G125" s="2406"/>
      <c r="H125" s="2406">
        <v>2359.5700000000002</v>
      </c>
      <c r="I125" s="2406">
        <v>1.1299999999999999</v>
      </c>
      <c r="J125" s="2408"/>
      <c r="K125" s="2406">
        <v>59352</v>
      </c>
      <c r="L125" s="2406">
        <v>24</v>
      </c>
      <c r="M125" s="2406" t="s">
        <v>1588</v>
      </c>
      <c r="N125" s="2406"/>
      <c r="O125" s="2406">
        <v>171514</v>
      </c>
      <c r="P125" s="2406">
        <v>114987</v>
      </c>
      <c r="Q125" s="2406" t="s">
        <v>1587</v>
      </c>
      <c r="R125" s="2406"/>
      <c r="S125" s="2406">
        <v>76.11</v>
      </c>
      <c r="T125" s="2406">
        <v>30.97</v>
      </c>
      <c r="U125" s="2406">
        <v>39.57</v>
      </c>
      <c r="V125" s="2406"/>
      <c r="W125" s="2406">
        <v>27</v>
      </c>
      <c r="X125" s="2406">
        <v>0</v>
      </c>
      <c r="Y125" s="2406">
        <v>0</v>
      </c>
      <c r="Z125" s="2406"/>
      <c r="AA125" s="2406"/>
      <c r="AB125" s="2406"/>
    </row>
    <row r="126" spans="1:28" s="1721" customFormat="1" ht="13.2">
      <c r="A126" s="2406">
        <v>58091715</v>
      </c>
      <c r="B126" s="2407">
        <v>45333</v>
      </c>
      <c r="C126" s="2406" t="s">
        <v>1139</v>
      </c>
      <c r="D126" s="2406">
        <v>56576</v>
      </c>
      <c r="E126" s="2406">
        <v>47</v>
      </c>
      <c r="F126" s="2406" t="s">
        <v>1589</v>
      </c>
      <c r="G126" s="2406"/>
      <c r="H126" s="2406">
        <v>2360.6</v>
      </c>
      <c r="I126" s="2406">
        <v>1.03</v>
      </c>
      <c r="J126" s="2408"/>
      <c r="K126" s="2406">
        <v>59376</v>
      </c>
      <c r="L126" s="2406">
        <v>24</v>
      </c>
      <c r="M126" s="2406" t="s">
        <v>1588</v>
      </c>
      <c r="N126" s="2406"/>
      <c r="O126" s="2406">
        <v>171592</v>
      </c>
      <c r="P126" s="2406">
        <v>115018</v>
      </c>
      <c r="Q126" s="2406" t="s">
        <v>1587</v>
      </c>
      <c r="R126" s="2406"/>
      <c r="S126" s="2406">
        <v>75.73</v>
      </c>
      <c r="T126" s="2406">
        <v>30.1</v>
      </c>
      <c r="U126" s="2406">
        <v>39.24</v>
      </c>
      <c r="V126" s="2406"/>
      <c r="W126" s="2406">
        <v>27</v>
      </c>
      <c r="X126" s="2406">
        <v>0</v>
      </c>
      <c r="Y126" s="2406">
        <v>0</v>
      </c>
      <c r="Z126" s="2406"/>
      <c r="AA126" s="2406"/>
      <c r="AB126" s="2406"/>
    </row>
    <row r="127" spans="1:28" s="1721" customFormat="1" ht="13.2">
      <c r="A127" s="2406">
        <v>58091715</v>
      </c>
      <c r="B127" s="2407">
        <v>45334</v>
      </c>
      <c r="C127" s="2406" t="s">
        <v>1138</v>
      </c>
      <c r="D127" s="2406">
        <v>56625</v>
      </c>
      <c r="E127" s="2406">
        <v>49</v>
      </c>
      <c r="F127" s="2406" t="s">
        <v>1589</v>
      </c>
      <c r="G127" s="2406"/>
      <c r="H127" s="2406">
        <v>2361.67</v>
      </c>
      <c r="I127" s="2406">
        <v>1.07</v>
      </c>
      <c r="J127" s="2408"/>
      <c r="K127" s="2406">
        <v>59400</v>
      </c>
      <c r="L127" s="2406">
        <v>24</v>
      </c>
      <c r="M127" s="2406" t="s">
        <v>1588</v>
      </c>
      <c r="N127" s="2406"/>
      <c r="O127" s="2406">
        <v>171673</v>
      </c>
      <c r="P127" s="2406">
        <v>115050</v>
      </c>
      <c r="Q127" s="2406" t="s">
        <v>1587</v>
      </c>
      <c r="R127" s="2406"/>
      <c r="S127" s="2406">
        <v>75.7</v>
      </c>
      <c r="T127" s="2406">
        <v>29.91</v>
      </c>
      <c r="U127" s="2406">
        <v>39.380000000000003</v>
      </c>
      <c r="V127" s="2406"/>
      <c r="W127" s="2406">
        <v>27</v>
      </c>
      <c r="X127" s="2406">
        <v>0</v>
      </c>
      <c r="Y127" s="2406">
        <v>0</v>
      </c>
      <c r="Z127" s="2406"/>
      <c r="AA127" s="2406"/>
      <c r="AB127" s="2406"/>
    </row>
    <row r="128" spans="1:28" s="1721" customFormat="1" ht="13.2">
      <c r="A128" s="2406">
        <v>58091715</v>
      </c>
      <c r="B128" s="2407">
        <v>45335</v>
      </c>
      <c r="C128" s="2406" t="s">
        <v>1137</v>
      </c>
      <c r="D128" s="2406">
        <v>56665</v>
      </c>
      <c r="E128" s="2406">
        <v>40</v>
      </c>
      <c r="F128" s="2406" t="s">
        <v>1589</v>
      </c>
      <c r="G128" s="2406"/>
      <c r="H128" s="2406">
        <v>2362.63</v>
      </c>
      <c r="I128" s="2406">
        <v>0.96</v>
      </c>
      <c r="J128" s="2408"/>
      <c r="K128" s="2406">
        <v>59424</v>
      </c>
      <c r="L128" s="2406">
        <v>24</v>
      </c>
      <c r="M128" s="2406" t="s">
        <v>1588</v>
      </c>
      <c r="N128" s="2406"/>
      <c r="O128" s="2406">
        <v>171745</v>
      </c>
      <c r="P128" s="2406">
        <v>115082</v>
      </c>
      <c r="Q128" s="2406" t="s">
        <v>1587</v>
      </c>
      <c r="R128" s="2406"/>
      <c r="S128" s="2406">
        <v>75</v>
      </c>
      <c r="T128" s="2406">
        <v>33.33</v>
      </c>
      <c r="U128" s="2406">
        <v>35.83</v>
      </c>
      <c r="V128" s="2406"/>
      <c r="W128" s="2406">
        <v>27</v>
      </c>
      <c r="X128" s="2406">
        <v>0</v>
      </c>
      <c r="Y128" s="2406">
        <v>0</v>
      </c>
      <c r="Z128" s="2406"/>
      <c r="AA128" s="2406"/>
      <c r="AB128" s="2406"/>
    </row>
    <row r="129" spans="1:28" s="1721" customFormat="1" ht="13.2">
      <c r="A129" s="2406">
        <v>58091715</v>
      </c>
      <c r="B129" s="2407">
        <v>45336</v>
      </c>
      <c r="C129" s="2406" t="s">
        <v>1131</v>
      </c>
      <c r="D129" s="2406">
        <v>56705</v>
      </c>
      <c r="E129" s="2406">
        <v>40</v>
      </c>
      <c r="F129" s="2406" t="s">
        <v>1589</v>
      </c>
      <c r="G129" s="2406"/>
      <c r="H129" s="2406">
        <v>2363.5</v>
      </c>
      <c r="I129" s="2406">
        <v>0.87</v>
      </c>
      <c r="J129" s="2408"/>
      <c r="K129" s="2406">
        <v>59448</v>
      </c>
      <c r="L129" s="2406">
        <v>24</v>
      </c>
      <c r="M129" s="2406" t="s">
        <v>1588</v>
      </c>
      <c r="N129" s="2406"/>
      <c r="O129" s="2406">
        <v>171811</v>
      </c>
      <c r="P129" s="2406">
        <v>115107</v>
      </c>
      <c r="Q129" s="2406" t="s">
        <v>1587</v>
      </c>
      <c r="R129" s="2406"/>
      <c r="S129" s="2406">
        <v>75.86</v>
      </c>
      <c r="T129" s="2406">
        <v>28.74</v>
      </c>
      <c r="U129" s="2406">
        <v>39.53</v>
      </c>
      <c r="V129" s="2406"/>
      <c r="W129" s="2406">
        <v>27</v>
      </c>
      <c r="X129" s="2406">
        <v>0</v>
      </c>
      <c r="Y129" s="2406">
        <v>0</v>
      </c>
      <c r="Z129" s="2406"/>
      <c r="AA129" s="2406"/>
      <c r="AB129" s="2406"/>
    </row>
    <row r="130" spans="1:28" s="1721" customFormat="1" ht="13.2">
      <c r="A130" s="2406">
        <v>58091715</v>
      </c>
      <c r="B130" s="2407">
        <v>45337</v>
      </c>
      <c r="C130" s="2406" t="s">
        <v>1136</v>
      </c>
      <c r="D130" s="2406">
        <v>56745</v>
      </c>
      <c r="E130" s="2406">
        <v>40</v>
      </c>
      <c r="F130" s="2406" t="s">
        <v>1589</v>
      </c>
      <c r="G130" s="2406"/>
      <c r="H130" s="2406">
        <v>2364.37</v>
      </c>
      <c r="I130" s="2406">
        <v>0.87</v>
      </c>
      <c r="J130" s="2408"/>
      <c r="K130" s="2406">
        <v>59472</v>
      </c>
      <c r="L130" s="2406">
        <v>24</v>
      </c>
      <c r="M130" s="2406" t="s">
        <v>1588</v>
      </c>
      <c r="N130" s="2406"/>
      <c r="O130" s="2406">
        <v>171876</v>
      </c>
      <c r="P130" s="2406">
        <v>115133</v>
      </c>
      <c r="Q130" s="2406" t="s">
        <v>1587</v>
      </c>
      <c r="R130" s="2406"/>
      <c r="S130" s="2406">
        <v>74.709999999999994</v>
      </c>
      <c r="T130" s="2406">
        <v>29.89</v>
      </c>
      <c r="U130" s="2406">
        <v>39.53</v>
      </c>
      <c r="V130" s="2406"/>
      <c r="W130" s="2406">
        <v>27</v>
      </c>
      <c r="X130" s="2406">
        <v>0</v>
      </c>
      <c r="Y130" s="2406">
        <v>0</v>
      </c>
      <c r="Z130" s="2406"/>
      <c r="AA130" s="2406"/>
      <c r="AB130" s="2406"/>
    </row>
    <row r="131" spans="1:28" s="1721" customFormat="1" ht="13.2">
      <c r="A131" s="2406">
        <v>58091715</v>
      </c>
      <c r="B131" s="2407">
        <v>45338</v>
      </c>
      <c r="C131" s="2406" t="s">
        <v>1130</v>
      </c>
      <c r="D131" s="2406">
        <v>56778</v>
      </c>
      <c r="E131" s="2406">
        <v>33</v>
      </c>
      <c r="F131" s="2406" t="s">
        <v>1589</v>
      </c>
      <c r="G131" s="2406"/>
      <c r="H131" s="2406">
        <v>2365.12</v>
      </c>
      <c r="I131" s="2406">
        <v>0.75</v>
      </c>
      <c r="J131" s="2408"/>
      <c r="K131" s="2406">
        <v>59496</v>
      </c>
      <c r="L131" s="2406">
        <v>24</v>
      </c>
      <c r="M131" s="2406" t="s">
        <v>1588</v>
      </c>
      <c r="N131" s="2406"/>
      <c r="O131" s="2406">
        <v>171931</v>
      </c>
      <c r="P131" s="2406">
        <v>115155</v>
      </c>
      <c r="Q131" s="2406" t="s">
        <v>1587</v>
      </c>
      <c r="R131" s="2406"/>
      <c r="S131" s="2406">
        <v>73.33</v>
      </c>
      <c r="T131" s="2406">
        <v>29.33</v>
      </c>
      <c r="U131" s="2406">
        <v>37.83</v>
      </c>
      <c r="V131" s="2406"/>
      <c r="W131" s="2406">
        <v>27</v>
      </c>
      <c r="X131" s="2406">
        <v>0</v>
      </c>
      <c r="Y131" s="2406">
        <v>0</v>
      </c>
      <c r="Z131" s="2406"/>
      <c r="AA131" s="2406"/>
      <c r="AB131" s="2406"/>
    </row>
    <row r="132" spans="1:28" s="1721" customFormat="1" ht="13.2">
      <c r="A132" s="2406">
        <v>58091715</v>
      </c>
      <c r="B132" s="2407">
        <v>45339</v>
      </c>
      <c r="C132" s="2406" t="s">
        <v>1128</v>
      </c>
      <c r="D132" s="2406">
        <v>56814</v>
      </c>
      <c r="E132" s="2406">
        <v>36</v>
      </c>
      <c r="F132" s="2406" t="s">
        <v>1589</v>
      </c>
      <c r="G132" s="2406"/>
      <c r="H132" s="2406">
        <v>2365.92</v>
      </c>
      <c r="I132" s="2406">
        <v>0.8</v>
      </c>
      <c r="J132" s="2408"/>
      <c r="K132" s="2406">
        <v>59520</v>
      </c>
      <c r="L132" s="2406">
        <v>24</v>
      </c>
      <c r="M132" s="2406" t="s">
        <v>1588</v>
      </c>
      <c r="N132" s="2406"/>
      <c r="O132" s="2406">
        <v>171991</v>
      </c>
      <c r="P132" s="2406">
        <v>115179</v>
      </c>
      <c r="Q132" s="2406" t="s">
        <v>1587</v>
      </c>
      <c r="R132" s="2406"/>
      <c r="S132" s="2406">
        <v>75</v>
      </c>
      <c r="T132" s="2406">
        <v>30</v>
      </c>
      <c r="U132" s="2406">
        <v>38.69</v>
      </c>
      <c r="V132" s="2406"/>
      <c r="W132" s="2406">
        <v>27</v>
      </c>
      <c r="X132" s="2406">
        <v>0</v>
      </c>
      <c r="Y132" s="2406">
        <v>0</v>
      </c>
      <c r="Z132" s="2406"/>
      <c r="AA132" s="2406"/>
      <c r="AB132" s="2406"/>
    </row>
    <row r="133" spans="1:28" s="1721" customFormat="1" ht="13.2">
      <c r="A133" s="2406">
        <v>58091715</v>
      </c>
      <c r="B133" s="2407">
        <v>45340</v>
      </c>
      <c r="C133" s="2406" t="s">
        <v>1139</v>
      </c>
      <c r="D133" s="2406">
        <v>56852</v>
      </c>
      <c r="E133" s="2406">
        <v>38</v>
      </c>
      <c r="F133" s="2406" t="s">
        <v>1589</v>
      </c>
      <c r="G133" s="2406"/>
      <c r="H133" s="2406">
        <v>2366.77</v>
      </c>
      <c r="I133" s="2406">
        <v>0.85</v>
      </c>
      <c r="J133" s="2408"/>
      <c r="K133" s="2406">
        <v>59544</v>
      </c>
      <c r="L133" s="2406">
        <v>24</v>
      </c>
      <c r="M133" s="2406" t="s">
        <v>1588</v>
      </c>
      <c r="N133" s="2406"/>
      <c r="O133" s="2406">
        <v>172055</v>
      </c>
      <c r="P133" s="2406">
        <v>115205</v>
      </c>
      <c r="Q133" s="2406" t="s">
        <v>1587</v>
      </c>
      <c r="R133" s="2406"/>
      <c r="S133" s="2406">
        <v>75.290000000000006</v>
      </c>
      <c r="T133" s="2406">
        <v>30.59</v>
      </c>
      <c r="U133" s="2406">
        <v>38.44</v>
      </c>
      <c r="V133" s="2406"/>
      <c r="W133" s="2406">
        <v>27</v>
      </c>
      <c r="X133" s="2406">
        <v>0</v>
      </c>
      <c r="Y133" s="2406">
        <v>0</v>
      </c>
      <c r="Z133" s="2406"/>
      <c r="AA133" s="2406"/>
      <c r="AB133" s="2406"/>
    </row>
    <row r="134" spans="1:28" s="1721" customFormat="1" ht="13.2">
      <c r="A134" s="2406">
        <v>58091715</v>
      </c>
      <c r="B134" s="2407">
        <v>45341</v>
      </c>
      <c r="C134" s="2406" t="s">
        <v>1138</v>
      </c>
      <c r="D134" s="2406">
        <v>56890</v>
      </c>
      <c r="E134" s="2406">
        <v>38</v>
      </c>
      <c r="F134" s="2406" t="s">
        <v>1589</v>
      </c>
      <c r="G134" s="2406"/>
      <c r="H134" s="2406">
        <v>2367.63</v>
      </c>
      <c r="I134" s="2406">
        <v>0.86</v>
      </c>
      <c r="J134" s="2408"/>
      <c r="K134" s="2406">
        <v>59568</v>
      </c>
      <c r="L134" s="2406">
        <v>24</v>
      </c>
      <c r="M134" s="2406" t="s">
        <v>1588</v>
      </c>
      <c r="N134" s="2406"/>
      <c r="O134" s="2406">
        <v>172119</v>
      </c>
      <c r="P134" s="2406">
        <v>115230</v>
      </c>
      <c r="Q134" s="2406" t="s">
        <v>1587</v>
      </c>
      <c r="R134" s="2406"/>
      <c r="S134" s="2406">
        <v>74.42</v>
      </c>
      <c r="T134" s="2406">
        <v>29.07</v>
      </c>
      <c r="U134" s="2406">
        <v>37.99</v>
      </c>
      <c r="V134" s="2406"/>
      <c r="W134" s="2406">
        <v>27</v>
      </c>
      <c r="X134" s="2406">
        <v>0</v>
      </c>
      <c r="Y134" s="2406">
        <v>0</v>
      </c>
      <c r="Z134" s="2406"/>
      <c r="AA134" s="2406"/>
      <c r="AB134" s="2406"/>
    </row>
    <row r="135" spans="1:28" s="1721" customFormat="1" ht="13.2">
      <c r="A135" s="2406">
        <v>58091715</v>
      </c>
      <c r="B135" s="2407">
        <v>45342</v>
      </c>
      <c r="C135" s="2406" t="s">
        <v>1137</v>
      </c>
      <c r="D135" s="2406">
        <v>56922</v>
      </c>
      <c r="E135" s="2406">
        <v>32</v>
      </c>
      <c r="F135" s="2406" t="s">
        <v>1589</v>
      </c>
      <c r="G135" s="2406"/>
      <c r="H135" s="2406">
        <v>2368.36</v>
      </c>
      <c r="I135" s="2406">
        <v>0.73</v>
      </c>
      <c r="J135" s="2408"/>
      <c r="K135" s="2406">
        <v>59592</v>
      </c>
      <c r="L135" s="2406">
        <v>24</v>
      </c>
      <c r="M135" s="2406" t="s">
        <v>1588</v>
      </c>
      <c r="N135" s="2406"/>
      <c r="O135" s="2406">
        <v>172173</v>
      </c>
      <c r="P135" s="2406">
        <v>115252</v>
      </c>
      <c r="Q135" s="2406" t="s">
        <v>1587</v>
      </c>
      <c r="R135" s="2406"/>
      <c r="S135" s="2406">
        <v>73.97</v>
      </c>
      <c r="T135" s="2406">
        <v>30.14</v>
      </c>
      <c r="U135" s="2406">
        <v>37.69</v>
      </c>
      <c r="V135" s="2406"/>
      <c r="W135" s="2406">
        <v>27</v>
      </c>
      <c r="X135" s="2406">
        <v>0</v>
      </c>
      <c r="Y135" s="2406">
        <v>0</v>
      </c>
      <c r="Z135" s="2406"/>
      <c r="AA135" s="2406"/>
      <c r="AB135" s="2406"/>
    </row>
    <row r="136" spans="1:28" s="1721" customFormat="1" ht="13.2">
      <c r="A136" s="2406">
        <v>58091715</v>
      </c>
      <c r="B136" s="2407">
        <v>45343</v>
      </c>
      <c r="C136" s="2406" t="s">
        <v>1131</v>
      </c>
      <c r="D136" s="2406">
        <v>56951</v>
      </c>
      <c r="E136" s="2406">
        <v>29</v>
      </c>
      <c r="F136" s="2406" t="s">
        <v>1589</v>
      </c>
      <c r="G136" s="2406"/>
      <c r="H136" s="2406">
        <v>2369.0300000000002</v>
      </c>
      <c r="I136" s="2406">
        <v>0.67</v>
      </c>
      <c r="J136" s="2408"/>
      <c r="K136" s="2406">
        <v>59616</v>
      </c>
      <c r="L136" s="2406">
        <v>24</v>
      </c>
      <c r="M136" s="2406" t="s">
        <v>1588</v>
      </c>
      <c r="N136" s="2406"/>
      <c r="O136" s="2406">
        <v>172222</v>
      </c>
      <c r="P136" s="2406">
        <v>115272</v>
      </c>
      <c r="Q136" s="2406" t="s">
        <v>1587</v>
      </c>
      <c r="R136" s="2406"/>
      <c r="S136" s="2406">
        <v>73.13</v>
      </c>
      <c r="T136" s="2406">
        <v>29.85</v>
      </c>
      <c r="U136" s="2406">
        <v>37.22</v>
      </c>
      <c r="V136" s="2406"/>
      <c r="W136" s="2406">
        <v>27</v>
      </c>
      <c r="X136" s="2406">
        <v>0</v>
      </c>
      <c r="Y136" s="2406">
        <v>0</v>
      </c>
      <c r="Z136" s="2406"/>
      <c r="AA136" s="2406"/>
      <c r="AB136" s="2406"/>
    </row>
    <row r="137" spans="1:28" s="1721" customFormat="1" ht="13.2">
      <c r="A137" s="2406">
        <v>58091715</v>
      </c>
      <c r="B137" s="2407">
        <v>45344</v>
      </c>
      <c r="C137" s="2406" t="s">
        <v>1136</v>
      </c>
      <c r="D137" s="2406">
        <v>56984</v>
      </c>
      <c r="E137" s="2406">
        <v>33</v>
      </c>
      <c r="F137" s="2406" t="s">
        <v>1589</v>
      </c>
      <c r="G137" s="2406"/>
      <c r="H137" s="2406">
        <v>2369.77</v>
      </c>
      <c r="I137" s="2406">
        <v>0.74</v>
      </c>
      <c r="J137" s="2408"/>
      <c r="K137" s="2406">
        <v>59640</v>
      </c>
      <c r="L137" s="2406">
        <v>24</v>
      </c>
      <c r="M137" s="2406" t="s">
        <v>1588</v>
      </c>
      <c r="N137" s="2406"/>
      <c r="O137" s="2406">
        <v>172276</v>
      </c>
      <c r="P137" s="2406">
        <v>115293</v>
      </c>
      <c r="Q137" s="2406" t="s">
        <v>1587</v>
      </c>
      <c r="R137" s="2406"/>
      <c r="S137" s="2406">
        <v>72.97</v>
      </c>
      <c r="T137" s="2406">
        <v>28.38</v>
      </c>
      <c r="U137" s="2406">
        <v>38.35</v>
      </c>
      <c r="V137" s="2406"/>
      <c r="W137" s="2406">
        <v>27</v>
      </c>
      <c r="X137" s="2406">
        <v>0</v>
      </c>
      <c r="Y137" s="2406">
        <v>0</v>
      </c>
      <c r="Z137" s="2406"/>
      <c r="AA137" s="2406"/>
      <c r="AB137" s="2406"/>
    </row>
    <row r="138" spans="1:28" s="1721" customFormat="1" ht="13.2">
      <c r="A138" s="2406">
        <v>58091715</v>
      </c>
      <c r="B138" s="2407">
        <v>45345</v>
      </c>
      <c r="C138" s="2406" t="s">
        <v>1130</v>
      </c>
      <c r="D138" s="2406">
        <v>57015</v>
      </c>
      <c r="E138" s="2406">
        <v>31</v>
      </c>
      <c r="F138" s="2406" t="s">
        <v>1589</v>
      </c>
      <c r="G138" s="2406"/>
      <c r="H138" s="2406">
        <v>2370.48</v>
      </c>
      <c r="I138" s="2406">
        <v>0.71</v>
      </c>
      <c r="J138" s="2408"/>
      <c r="K138" s="2406">
        <v>59664</v>
      </c>
      <c r="L138" s="2406">
        <v>24</v>
      </c>
      <c r="M138" s="2406" t="s">
        <v>1588</v>
      </c>
      <c r="N138" s="2406"/>
      <c r="O138" s="2406">
        <v>172328</v>
      </c>
      <c r="P138" s="2406">
        <v>115315</v>
      </c>
      <c r="Q138" s="2406" t="s">
        <v>1587</v>
      </c>
      <c r="R138" s="2406"/>
      <c r="S138" s="2406">
        <v>73.239999999999995</v>
      </c>
      <c r="T138" s="2406">
        <v>30.99</v>
      </c>
      <c r="U138" s="2406">
        <v>37.54</v>
      </c>
      <c r="V138" s="2406"/>
      <c r="W138" s="2406">
        <v>27</v>
      </c>
      <c r="X138" s="2406">
        <v>0</v>
      </c>
      <c r="Y138" s="2406">
        <v>0</v>
      </c>
      <c r="Z138" s="2406"/>
      <c r="AA138" s="2406"/>
      <c r="AB138" s="2406"/>
    </row>
    <row r="139" spans="1:28" s="1721" customFormat="1" ht="13.2">
      <c r="A139" s="2406">
        <v>58091715</v>
      </c>
      <c r="B139" s="2407">
        <v>45346</v>
      </c>
      <c r="C139" s="2406" t="s">
        <v>1128</v>
      </c>
      <c r="D139" s="2406">
        <v>57051</v>
      </c>
      <c r="E139" s="2406">
        <v>36</v>
      </c>
      <c r="F139" s="2406" t="s">
        <v>1589</v>
      </c>
      <c r="G139" s="2406"/>
      <c r="H139" s="2406">
        <v>2371.3000000000002</v>
      </c>
      <c r="I139" s="2406">
        <v>0.82</v>
      </c>
      <c r="J139" s="2408"/>
      <c r="K139" s="2406">
        <v>59688</v>
      </c>
      <c r="L139" s="2406">
        <v>24</v>
      </c>
      <c r="M139" s="2406" t="s">
        <v>1588</v>
      </c>
      <c r="N139" s="2406"/>
      <c r="O139" s="2406">
        <v>172389</v>
      </c>
      <c r="P139" s="2406">
        <v>115340</v>
      </c>
      <c r="Q139" s="2406" t="s">
        <v>1587</v>
      </c>
      <c r="R139" s="2406"/>
      <c r="S139" s="2406">
        <v>74.39</v>
      </c>
      <c r="T139" s="2406">
        <v>30.49</v>
      </c>
      <c r="U139" s="2406">
        <v>37.75</v>
      </c>
      <c r="V139" s="2406"/>
      <c r="W139" s="2406">
        <v>27</v>
      </c>
      <c r="X139" s="2406">
        <v>0</v>
      </c>
      <c r="Y139" s="2406">
        <v>0</v>
      </c>
      <c r="Z139" s="2406"/>
      <c r="AA139" s="2406"/>
      <c r="AB139" s="2406"/>
    </row>
    <row r="140" spans="1:28" s="1721" customFormat="1" ht="13.2">
      <c r="A140" s="2406">
        <v>58091715</v>
      </c>
      <c r="B140" s="2407">
        <v>45347</v>
      </c>
      <c r="C140" s="2406" t="s">
        <v>1139</v>
      </c>
      <c r="D140" s="2406">
        <v>57088</v>
      </c>
      <c r="E140" s="2406">
        <v>37</v>
      </c>
      <c r="F140" s="2406" t="s">
        <v>1589</v>
      </c>
      <c r="G140" s="2406"/>
      <c r="H140" s="2406">
        <v>2372.11</v>
      </c>
      <c r="I140" s="2406">
        <v>0.81</v>
      </c>
      <c r="J140" s="2408"/>
      <c r="K140" s="2406">
        <v>59712</v>
      </c>
      <c r="L140" s="2406">
        <v>24</v>
      </c>
      <c r="M140" s="2406" t="s">
        <v>1588</v>
      </c>
      <c r="N140" s="2406"/>
      <c r="O140" s="2406">
        <v>172450</v>
      </c>
      <c r="P140" s="2406">
        <v>115363</v>
      </c>
      <c r="Q140" s="2406" t="s">
        <v>1587</v>
      </c>
      <c r="R140" s="2406"/>
      <c r="S140" s="2406">
        <v>75.31</v>
      </c>
      <c r="T140" s="2406">
        <v>28.4</v>
      </c>
      <c r="U140" s="2406">
        <v>39.28</v>
      </c>
      <c r="V140" s="2406"/>
      <c r="W140" s="2406">
        <v>27</v>
      </c>
      <c r="X140" s="2406">
        <v>0</v>
      </c>
      <c r="Y140" s="2406">
        <v>0</v>
      </c>
      <c r="Z140" s="2406"/>
      <c r="AA140" s="2406"/>
      <c r="AB140" s="2406"/>
    </row>
    <row r="141" spans="1:28" s="1721" customFormat="1" ht="13.2">
      <c r="A141" s="2406">
        <v>58091715</v>
      </c>
      <c r="B141" s="2407">
        <v>45348</v>
      </c>
      <c r="C141" s="2406" t="s">
        <v>1138</v>
      </c>
      <c r="D141" s="2406">
        <v>57126</v>
      </c>
      <c r="E141" s="2406">
        <v>38</v>
      </c>
      <c r="F141" s="2406" t="s">
        <v>1589</v>
      </c>
      <c r="G141" s="2406"/>
      <c r="H141" s="2406">
        <v>2372.9699999999998</v>
      </c>
      <c r="I141" s="2406">
        <v>0.86</v>
      </c>
      <c r="J141" s="2408"/>
      <c r="K141" s="2406">
        <v>59736</v>
      </c>
      <c r="L141" s="2406">
        <v>24</v>
      </c>
      <c r="M141" s="2406" t="s">
        <v>1588</v>
      </c>
      <c r="N141" s="2406"/>
      <c r="O141" s="2406">
        <v>172514</v>
      </c>
      <c r="P141" s="2406">
        <v>115389</v>
      </c>
      <c r="Q141" s="2406" t="s">
        <v>1587</v>
      </c>
      <c r="R141" s="2406"/>
      <c r="S141" s="2406">
        <v>74.42</v>
      </c>
      <c r="T141" s="2406">
        <v>30.23</v>
      </c>
      <c r="U141" s="2406">
        <v>37.99</v>
      </c>
      <c r="V141" s="2406"/>
      <c r="W141" s="2406">
        <v>27</v>
      </c>
      <c r="X141" s="2406">
        <v>0</v>
      </c>
      <c r="Y141" s="2406">
        <v>0</v>
      </c>
      <c r="Z141" s="2406"/>
      <c r="AA141" s="2406"/>
      <c r="AB141" s="2406"/>
    </row>
    <row r="142" spans="1:28" s="1721" customFormat="1" ht="13.2">
      <c r="A142" s="2406">
        <v>58091715</v>
      </c>
      <c r="B142" s="2407">
        <v>45349</v>
      </c>
      <c r="C142" s="2406" t="s">
        <v>1137</v>
      </c>
      <c r="D142" s="2406">
        <v>57169</v>
      </c>
      <c r="E142" s="2406">
        <v>43</v>
      </c>
      <c r="F142" s="2406" t="s">
        <v>1589</v>
      </c>
      <c r="G142" s="2406"/>
      <c r="H142" s="2406">
        <v>2373.92</v>
      </c>
      <c r="I142" s="2406">
        <v>0.95</v>
      </c>
      <c r="J142" s="2408"/>
      <c r="K142" s="2406">
        <v>59760</v>
      </c>
      <c r="L142" s="2406">
        <v>24</v>
      </c>
      <c r="M142" s="2406" t="s">
        <v>1588</v>
      </c>
      <c r="N142" s="2406"/>
      <c r="O142" s="2406">
        <v>172585</v>
      </c>
      <c r="P142" s="2406">
        <v>115418</v>
      </c>
      <c r="Q142" s="2406" t="s">
        <v>1587</v>
      </c>
      <c r="R142" s="2406"/>
      <c r="S142" s="2406">
        <v>74.739999999999995</v>
      </c>
      <c r="T142" s="2406">
        <v>30.53</v>
      </c>
      <c r="U142" s="2406">
        <v>38.92</v>
      </c>
      <c r="V142" s="2406"/>
      <c r="W142" s="2406">
        <v>27</v>
      </c>
      <c r="X142" s="2406">
        <v>0</v>
      </c>
      <c r="Y142" s="2406">
        <v>0</v>
      </c>
      <c r="Z142" s="2406"/>
      <c r="AA142" s="2406"/>
      <c r="AB142" s="2406"/>
    </row>
    <row r="143" spans="1:28" s="1721" customFormat="1" ht="13.2">
      <c r="A143" s="2406">
        <v>58091715</v>
      </c>
      <c r="B143" s="2407">
        <v>45350</v>
      </c>
      <c r="C143" s="2406" t="s">
        <v>1131</v>
      </c>
      <c r="D143" s="2406">
        <v>57206</v>
      </c>
      <c r="E143" s="2406">
        <v>37</v>
      </c>
      <c r="F143" s="2406" t="s">
        <v>1589</v>
      </c>
      <c r="G143" s="2406"/>
      <c r="H143" s="2406">
        <v>2374.75</v>
      </c>
      <c r="I143" s="2406">
        <v>0.83</v>
      </c>
      <c r="J143" s="2408"/>
      <c r="K143" s="2406">
        <v>59784</v>
      </c>
      <c r="L143" s="2406">
        <v>24</v>
      </c>
      <c r="M143" s="2406" t="s">
        <v>1588</v>
      </c>
      <c r="N143" s="2406"/>
      <c r="O143" s="2406">
        <v>172647</v>
      </c>
      <c r="P143" s="2406">
        <v>115443</v>
      </c>
      <c r="Q143" s="2406" t="s">
        <v>1587</v>
      </c>
      <c r="R143" s="2406"/>
      <c r="S143" s="2406">
        <v>74.7</v>
      </c>
      <c r="T143" s="2406">
        <v>30.12</v>
      </c>
      <c r="U143" s="2406">
        <v>38.33</v>
      </c>
      <c r="V143" s="2406"/>
      <c r="W143" s="2406">
        <v>27</v>
      </c>
      <c r="X143" s="2406">
        <v>0</v>
      </c>
      <c r="Y143" s="2406">
        <v>0</v>
      </c>
      <c r="Z143" s="2406"/>
      <c r="AA143" s="2406"/>
      <c r="AB143" s="2406"/>
    </row>
    <row r="144" spans="1:28" s="1721" customFormat="1" ht="13.2">
      <c r="A144" s="2406">
        <v>58091715</v>
      </c>
      <c r="B144" s="2407">
        <v>45351</v>
      </c>
      <c r="C144" s="2406" t="s">
        <v>1136</v>
      </c>
      <c r="D144" s="2406">
        <v>57244</v>
      </c>
      <c r="E144" s="2406">
        <v>38</v>
      </c>
      <c r="F144" s="2406" t="s">
        <v>1589</v>
      </c>
      <c r="G144" s="2406"/>
      <c r="H144" s="2406">
        <v>2375.59</v>
      </c>
      <c r="I144" s="2406">
        <v>0.84</v>
      </c>
      <c r="J144" s="2408"/>
      <c r="K144" s="2406">
        <v>59808</v>
      </c>
      <c r="L144" s="2406">
        <v>24</v>
      </c>
      <c r="M144" s="2406" t="s">
        <v>1588</v>
      </c>
      <c r="N144" s="2406"/>
      <c r="O144" s="2406">
        <v>172710</v>
      </c>
      <c r="P144" s="2406">
        <v>115468</v>
      </c>
      <c r="Q144" s="2406" t="s">
        <v>1587</v>
      </c>
      <c r="R144" s="2406"/>
      <c r="S144" s="2406">
        <v>75</v>
      </c>
      <c r="T144" s="2406">
        <v>29.76</v>
      </c>
      <c r="U144" s="2406">
        <v>38.9</v>
      </c>
      <c r="V144" s="2406"/>
      <c r="W144" s="2406">
        <v>27</v>
      </c>
      <c r="X144" s="2406">
        <v>0</v>
      </c>
      <c r="Y144" s="2406">
        <v>0</v>
      </c>
      <c r="Z144" s="2406"/>
      <c r="AA144" s="2406"/>
      <c r="AB144" s="2406"/>
    </row>
    <row r="145" spans="1:28" s="1721" customFormat="1" ht="13.2">
      <c r="A145" s="2401">
        <v>58091715</v>
      </c>
      <c r="B145" s="2402">
        <v>45352</v>
      </c>
      <c r="C145" s="2401" t="s">
        <v>1130</v>
      </c>
      <c r="D145" s="2401">
        <v>57278</v>
      </c>
      <c r="E145" s="2401">
        <v>34</v>
      </c>
      <c r="F145" s="2401" t="s">
        <v>1589</v>
      </c>
      <c r="G145" s="2401"/>
      <c r="H145" s="2401">
        <v>2376.37</v>
      </c>
      <c r="I145" s="2401">
        <v>0.78</v>
      </c>
      <c r="J145" s="2403"/>
      <c r="K145" s="2401">
        <v>59832</v>
      </c>
      <c r="L145" s="2401">
        <v>24</v>
      </c>
      <c r="M145" s="2401" t="s">
        <v>1588</v>
      </c>
      <c r="N145" s="2401"/>
      <c r="O145" s="2401">
        <v>172768</v>
      </c>
      <c r="P145" s="2401">
        <v>115491</v>
      </c>
      <c r="Q145" s="2401" t="s">
        <v>1587</v>
      </c>
      <c r="R145" s="2401"/>
      <c r="S145" s="2401">
        <v>74.36</v>
      </c>
      <c r="T145" s="2401">
        <v>29.49</v>
      </c>
      <c r="U145" s="2401">
        <v>37.479999999999997</v>
      </c>
      <c r="V145" s="2401"/>
      <c r="W145" s="2401">
        <v>27</v>
      </c>
      <c r="X145" s="2401">
        <v>0</v>
      </c>
      <c r="Y145" s="2401">
        <v>0</v>
      </c>
      <c r="Z145" s="2401"/>
      <c r="AA145" s="2401"/>
      <c r="AB145" s="2401"/>
    </row>
    <row r="146" spans="1:28" s="1721" customFormat="1" ht="13.2">
      <c r="A146" s="2401">
        <v>58091715</v>
      </c>
      <c r="B146" s="2402">
        <v>45353</v>
      </c>
      <c r="C146" s="2401" t="s">
        <v>1128</v>
      </c>
      <c r="D146" s="2401">
        <v>57314</v>
      </c>
      <c r="E146" s="2401">
        <v>36</v>
      </c>
      <c r="F146" s="2401" t="s">
        <v>1589</v>
      </c>
      <c r="G146" s="2401"/>
      <c r="H146" s="2401">
        <v>2377.16</v>
      </c>
      <c r="I146" s="2401">
        <v>0.79</v>
      </c>
      <c r="J146" s="2403"/>
      <c r="K146" s="2401">
        <v>59856</v>
      </c>
      <c r="L146" s="2401">
        <v>24</v>
      </c>
      <c r="M146" s="2401" t="s">
        <v>1588</v>
      </c>
      <c r="N146" s="2401"/>
      <c r="O146" s="2401">
        <v>172827</v>
      </c>
      <c r="P146" s="2401">
        <v>115515</v>
      </c>
      <c r="Q146" s="2401" t="s">
        <v>1587</v>
      </c>
      <c r="R146" s="2401"/>
      <c r="S146" s="2401">
        <v>74.680000000000007</v>
      </c>
      <c r="T146" s="2401">
        <v>30.38</v>
      </c>
      <c r="U146" s="2401">
        <v>39.18</v>
      </c>
      <c r="V146" s="2401"/>
      <c r="W146" s="2401">
        <v>27</v>
      </c>
      <c r="X146" s="2401">
        <v>0</v>
      </c>
      <c r="Y146" s="2401">
        <v>0</v>
      </c>
      <c r="Z146" s="2401"/>
      <c r="AA146" s="2401"/>
      <c r="AB146" s="2401"/>
    </row>
    <row r="147" spans="1:28" s="1721" customFormat="1" ht="13.2">
      <c r="A147" s="2401">
        <v>58091715</v>
      </c>
      <c r="B147" s="2402">
        <v>45354</v>
      </c>
      <c r="C147" s="2401" t="s">
        <v>1139</v>
      </c>
      <c r="D147" s="2401">
        <v>57350</v>
      </c>
      <c r="E147" s="2401">
        <v>36</v>
      </c>
      <c r="F147" s="2401" t="s">
        <v>1589</v>
      </c>
      <c r="G147" s="2401"/>
      <c r="H147" s="2401">
        <v>2377.98</v>
      </c>
      <c r="I147" s="2401">
        <v>0.82</v>
      </c>
      <c r="J147" s="2403"/>
      <c r="K147" s="2401">
        <v>59880</v>
      </c>
      <c r="L147" s="2401">
        <v>24</v>
      </c>
      <c r="M147" s="2401" t="s">
        <v>1588</v>
      </c>
      <c r="N147" s="2401"/>
      <c r="O147" s="2401">
        <v>172888</v>
      </c>
      <c r="P147" s="2401">
        <v>115540</v>
      </c>
      <c r="Q147" s="2401" t="s">
        <v>1587</v>
      </c>
      <c r="R147" s="2401"/>
      <c r="S147" s="2401">
        <v>74.39</v>
      </c>
      <c r="T147" s="2401">
        <v>30.49</v>
      </c>
      <c r="U147" s="2401">
        <v>37.75</v>
      </c>
      <c r="V147" s="2401"/>
      <c r="W147" s="2401">
        <v>27</v>
      </c>
      <c r="X147" s="2401">
        <v>0</v>
      </c>
      <c r="Y147" s="2401">
        <v>0</v>
      </c>
      <c r="Z147" s="2401"/>
      <c r="AA147" s="2401"/>
      <c r="AB147" s="2401"/>
    </row>
    <row r="148" spans="1:28" s="1721" customFormat="1" ht="13.2">
      <c r="A148" s="2401">
        <v>58091715</v>
      </c>
      <c r="B148" s="2402">
        <v>45355</v>
      </c>
      <c r="C148" s="2401" t="s">
        <v>1138</v>
      </c>
      <c r="D148" s="2401">
        <v>57384</v>
      </c>
      <c r="E148" s="2401">
        <v>34</v>
      </c>
      <c r="F148" s="2401" t="s">
        <v>1589</v>
      </c>
      <c r="G148" s="2401"/>
      <c r="H148" s="2401">
        <v>2378.75</v>
      </c>
      <c r="I148" s="2401">
        <v>0.77</v>
      </c>
      <c r="J148" s="2403"/>
      <c r="K148" s="2401">
        <v>59904</v>
      </c>
      <c r="L148" s="2401">
        <v>24</v>
      </c>
      <c r="M148" s="2401" t="s">
        <v>1588</v>
      </c>
      <c r="N148" s="2401"/>
      <c r="O148" s="2401">
        <v>172945</v>
      </c>
      <c r="P148" s="2401">
        <v>115563</v>
      </c>
      <c r="Q148" s="2401" t="s">
        <v>1587</v>
      </c>
      <c r="R148" s="2401"/>
      <c r="S148" s="2401">
        <v>74.03</v>
      </c>
      <c r="T148" s="2401">
        <v>29.87</v>
      </c>
      <c r="U148" s="2401">
        <v>37.97</v>
      </c>
      <c r="V148" s="2401"/>
      <c r="W148" s="2401">
        <v>27</v>
      </c>
      <c r="X148" s="2401">
        <v>0</v>
      </c>
      <c r="Y148" s="2401">
        <v>0</v>
      </c>
      <c r="Z148" s="2401"/>
      <c r="AA148" s="2401"/>
      <c r="AB148" s="2401"/>
    </row>
    <row r="149" spans="1:28" s="1721" customFormat="1" ht="13.2">
      <c r="A149" s="2401">
        <v>58091715</v>
      </c>
      <c r="B149" s="2402">
        <v>45356</v>
      </c>
      <c r="C149" s="2401" t="s">
        <v>1137</v>
      </c>
      <c r="D149" s="2401">
        <v>57417</v>
      </c>
      <c r="E149" s="2401">
        <v>33</v>
      </c>
      <c r="F149" s="2401" t="s">
        <v>1589</v>
      </c>
      <c r="G149" s="2401"/>
      <c r="H149" s="2401">
        <v>2379.4899999999998</v>
      </c>
      <c r="I149" s="2401">
        <v>0.74</v>
      </c>
      <c r="J149" s="2403"/>
      <c r="K149" s="2401">
        <v>59928</v>
      </c>
      <c r="L149" s="2401">
        <v>24</v>
      </c>
      <c r="M149" s="2401" t="s">
        <v>1588</v>
      </c>
      <c r="N149" s="2401"/>
      <c r="O149" s="2401">
        <v>173000</v>
      </c>
      <c r="P149" s="2401">
        <v>115585</v>
      </c>
      <c r="Q149" s="2401" t="s">
        <v>1587</v>
      </c>
      <c r="R149" s="2401"/>
      <c r="S149" s="2401">
        <v>74.319999999999993</v>
      </c>
      <c r="T149" s="2401">
        <v>29.73</v>
      </c>
      <c r="U149" s="2401">
        <v>38.35</v>
      </c>
      <c r="V149" s="2401"/>
      <c r="W149" s="2401">
        <v>27</v>
      </c>
      <c r="X149" s="2401">
        <v>0</v>
      </c>
      <c r="Y149" s="2401">
        <v>0</v>
      </c>
      <c r="Z149" s="2401"/>
      <c r="AA149" s="2401"/>
      <c r="AB149" s="2401"/>
    </row>
    <row r="150" spans="1:28" s="1721" customFormat="1" ht="13.2">
      <c r="A150" s="2401">
        <v>58091715</v>
      </c>
      <c r="B150" s="2402">
        <v>45357</v>
      </c>
      <c r="C150" s="2401" t="s">
        <v>1131</v>
      </c>
      <c r="D150" s="2401">
        <v>57462</v>
      </c>
      <c r="E150" s="2401">
        <v>45</v>
      </c>
      <c r="F150" s="2401" t="s">
        <v>1589</v>
      </c>
      <c r="G150" s="2401"/>
      <c r="H150" s="2401">
        <v>2380.4899999999998</v>
      </c>
      <c r="I150" s="2401">
        <v>1</v>
      </c>
      <c r="J150" s="2403"/>
      <c r="K150" s="2401">
        <v>59952</v>
      </c>
      <c r="L150" s="2401">
        <v>24</v>
      </c>
      <c r="M150" s="2401" t="s">
        <v>1588</v>
      </c>
      <c r="N150" s="2401"/>
      <c r="O150" s="2401">
        <v>173075</v>
      </c>
      <c r="P150" s="2401">
        <v>115615</v>
      </c>
      <c r="Q150" s="2401" t="s">
        <v>1587</v>
      </c>
      <c r="R150" s="2401"/>
      <c r="S150" s="2401">
        <v>75</v>
      </c>
      <c r="T150" s="2401">
        <v>30</v>
      </c>
      <c r="U150" s="2401">
        <v>38.69</v>
      </c>
      <c r="V150" s="2401"/>
      <c r="W150" s="2401">
        <v>27</v>
      </c>
      <c r="X150" s="2401">
        <v>0</v>
      </c>
      <c r="Y150" s="2401">
        <v>0</v>
      </c>
      <c r="Z150" s="2401"/>
      <c r="AA150" s="2401"/>
      <c r="AB150" s="2401"/>
    </row>
    <row r="151" spans="1:28" s="1721" customFormat="1" ht="13.2">
      <c r="A151" s="2401">
        <v>58091715</v>
      </c>
      <c r="B151" s="2402">
        <v>45358</v>
      </c>
      <c r="C151" s="2401" t="s">
        <v>1136</v>
      </c>
      <c r="D151" s="2401">
        <v>57493</v>
      </c>
      <c r="E151" s="2401">
        <v>31</v>
      </c>
      <c r="F151" s="2401" t="s">
        <v>1589</v>
      </c>
      <c r="G151" s="2401"/>
      <c r="H151" s="2401">
        <v>2381.1999999999998</v>
      </c>
      <c r="I151" s="2401">
        <v>0.71</v>
      </c>
      <c r="J151" s="2403"/>
      <c r="K151" s="2401">
        <v>59976</v>
      </c>
      <c r="L151" s="2401">
        <v>24</v>
      </c>
      <c r="M151" s="2401" t="s">
        <v>1588</v>
      </c>
      <c r="N151" s="2401"/>
      <c r="O151" s="2401">
        <v>173128</v>
      </c>
      <c r="P151" s="2401">
        <v>115637</v>
      </c>
      <c r="Q151" s="2401" t="s">
        <v>1587</v>
      </c>
      <c r="R151" s="2401"/>
      <c r="S151" s="2401">
        <v>74.650000000000006</v>
      </c>
      <c r="T151" s="2401">
        <v>30.99</v>
      </c>
      <c r="U151" s="2401">
        <v>37.54</v>
      </c>
      <c r="V151" s="2401"/>
      <c r="W151" s="2401">
        <v>27</v>
      </c>
      <c r="X151" s="2401">
        <v>0</v>
      </c>
      <c r="Y151" s="2401">
        <v>0</v>
      </c>
      <c r="Z151" s="2401"/>
      <c r="AA151" s="2401"/>
      <c r="AB151" s="2401"/>
    </row>
    <row r="152" spans="1:28" s="1721" customFormat="1" ht="13.2">
      <c r="A152" s="2401">
        <v>58091715</v>
      </c>
      <c r="B152" s="2402">
        <v>45359</v>
      </c>
      <c r="C152" s="2401" t="s">
        <v>1130</v>
      </c>
      <c r="D152" s="2401">
        <v>57529</v>
      </c>
      <c r="E152" s="2401">
        <v>36</v>
      </c>
      <c r="F152" s="2401" t="s">
        <v>1589</v>
      </c>
      <c r="G152" s="2401"/>
      <c r="H152" s="2401">
        <v>2382.04</v>
      </c>
      <c r="I152" s="2401">
        <v>0.84</v>
      </c>
      <c r="J152" s="2403"/>
      <c r="K152" s="2401">
        <v>60000</v>
      </c>
      <c r="L152" s="2401">
        <v>24</v>
      </c>
      <c r="M152" s="2401" t="s">
        <v>1588</v>
      </c>
      <c r="N152" s="2401"/>
      <c r="O152" s="2401">
        <v>173191</v>
      </c>
      <c r="P152" s="2401">
        <v>115664</v>
      </c>
      <c r="Q152" s="2401" t="s">
        <v>1587</v>
      </c>
      <c r="R152" s="2401"/>
      <c r="S152" s="2401">
        <v>75</v>
      </c>
      <c r="T152" s="2401">
        <v>32.14</v>
      </c>
      <c r="U152" s="2401">
        <v>36.85</v>
      </c>
      <c r="V152" s="2401"/>
      <c r="W152" s="2401">
        <v>27</v>
      </c>
      <c r="X152" s="2401">
        <v>0</v>
      </c>
      <c r="Y152" s="2401">
        <v>0</v>
      </c>
      <c r="Z152" s="2401"/>
      <c r="AA152" s="2401"/>
      <c r="AB152" s="2401"/>
    </row>
    <row r="153" spans="1:28" s="1721" customFormat="1" ht="13.2">
      <c r="A153" s="2401">
        <v>58091715</v>
      </c>
      <c r="B153" s="2402">
        <v>45360</v>
      </c>
      <c r="C153" s="2401" t="s">
        <v>1128</v>
      </c>
      <c r="D153" s="2401">
        <v>57576</v>
      </c>
      <c r="E153" s="2401">
        <v>47</v>
      </c>
      <c r="F153" s="2401" t="s">
        <v>1589</v>
      </c>
      <c r="G153" s="2401"/>
      <c r="H153" s="2401">
        <v>2383.06</v>
      </c>
      <c r="I153" s="2401">
        <v>1.02</v>
      </c>
      <c r="J153" s="2403"/>
      <c r="K153" s="2401">
        <v>60024</v>
      </c>
      <c r="L153" s="2401">
        <v>24</v>
      </c>
      <c r="M153" s="2401" t="s">
        <v>1588</v>
      </c>
      <c r="N153" s="2401"/>
      <c r="O153" s="2401">
        <v>173268</v>
      </c>
      <c r="P153" s="2401">
        <v>115694</v>
      </c>
      <c r="Q153" s="2401" t="s">
        <v>1587</v>
      </c>
      <c r="R153" s="2401"/>
      <c r="S153" s="2401">
        <v>75.489999999999995</v>
      </c>
      <c r="T153" s="2401">
        <v>29.41</v>
      </c>
      <c r="U153" s="2401">
        <v>39.619999999999997</v>
      </c>
      <c r="V153" s="2401"/>
      <c r="W153" s="2401">
        <v>27</v>
      </c>
      <c r="X153" s="2401">
        <v>0</v>
      </c>
      <c r="Y153" s="2401">
        <v>0</v>
      </c>
      <c r="Z153" s="2401"/>
      <c r="AA153" s="2401"/>
      <c r="AB153" s="2401"/>
    </row>
    <row r="154" spans="1:28" s="1721" customFormat="1" ht="13.2">
      <c r="A154" s="2401">
        <v>58091715</v>
      </c>
      <c r="B154" s="2402">
        <v>45361</v>
      </c>
      <c r="C154" s="2401" t="s">
        <v>1139</v>
      </c>
      <c r="D154" s="2401">
        <v>57620</v>
      </c>
      <c r="E154" s="2401">
        <v>44</v>
      </c>
      <c r="F154" s="2401" t="s">
        <v>1589</v>
      </c>
      <c r="G154" s="2401"/>
      <c r="H154" s="2401">
        <v>2384.0500000000002</v>
      </c>
      <c r="I154" s="2401">
        <v>0.99</v>
      </c>
      <c r="J154" s="2403"/>
      <c r="K154" s="2401">
        <v>60048</v>
      </c>
      <c r="L154" s="2401">
        <v>24</v>
      </c>
      <c r="M154" s="2401" t="s">
        <v>1588</v>
      </c>
      <c r="N154" s="2401"/>
      <c r="O154" s="2401">
        <v>173344</v>
      </c>
      <c r="P154" s="2401">
        <v>115725</v>
      </c>
      <c r="Q154" s="2401" t="s">
        <v>1587</v>
      </c>
      <c r="R154" s="2401"/>
      <c r="S154" s="2401">
        <v>76.77</v>
      </c>
      <c r="T154" s="2401">
        <v>31.31</v>
      </c>
      <c r="U154" s="2401">
        <v>38.22</v>
      </c>
      <c r="V154" s="2401"/>
      <c r="W154" s="2401">
        <v>27</v>
      </c>
      <c r="X154" s="2401">
        <v>0</v>
      </c>
      <c r="Y154" s="2401">
        <v>0</v>
      </c>
      <c r="Z154" s="2401"/>
      <c r="AA154" s="2401"/>
      <c r="AB154" s="2401"/>
    </row>
    <row r="155" spans="1:28" s="1721" customFormat="1" ht="13.2">
      <c r="A155" s="2401">
        <v>58091715</v>
      </c>
      <c r="B155" s="2402">
        <v>45362</v>
      </c>
      <c r="C155" s="2401" t="s">
        <v>1138</v>
      </c>
      <c r="D155" s="2401">
        <v>57653</v>
      </c>
      <c r="E155" s="2401">
        <v>33</v>
      </c>
      <c r="F155" s="2401" t="s">
        <v>1589</v>
      </c>
      <c r="G155" s="2401"/>
      <c r="H155" s="2401">
        <v>2384.79</v>
      </c>
      <c r="I155" s="2401">
        <v>0.74</v>
      </c>
      <c r="J155" s="2403"/>
      <c r="K155" s="2401">
        <v>60072</v>
      </c>
      <c r="L155" s="2401">
        <v>24</v>
      </c>
      <c r="M155" s="2401" t="s">
        <v>1588</v>
      </c>
      <c r="N155" s="2401"/>
      <c r="O155" s="2401">
        <v>173399</v>
      </c>
      <c r="P155" s="2401">
        <v>115748</v>
      </c>
      <c r="Q155" s="2401" t="s">
        <v>1587</v>
      </c>
      <c r="R155" s="2401"/>
      <c r="S155" s="2401">
        <v>74.319999999999993</v>
      </c>
      <c r="T155" s="2401">
        <v>31.08</v>
      </c>
      <c r="U155" s="2401">
        <v>38.35</v>
      </c>
      <c r="V155" s="2401"/>
      <c r="W155" s="2401">
        <v>27</v>
      </c>
      <c r="X155" s="2401">
        <v>0</v>
      </c>
      <c r="Y155" s="2401">
        <v>0</v>
      </c>
      <c r="Z155" s="2401"/>
      <c r="AA155" s="2401"/>
      <c r="AB155" s="2401"/>
    </row>
    <row r="156" spans="1:28" s="1721" customFormat="1" ht="13.2">
      <c r="A156" s="2401">
        <v>58091715</v>
      </c>
      <c r="B156" s="2402">
        <v>45363</v>
      </c>
      <c r="C156" s="2401" t="s">
        <v>1137</v>
      </c>
      <c r="D156" s="2401">
        <v>57688</v>
      </c>
      <c r="E156" s="2401">
        <v>35</v>
      </c>
      <c r="F156" s="2401" t="s">
        <v>1589</v>
      </c>
      <c r="G156" s="2401"/>
      <c r="H156" s="2401">
        <v>2385.59</v>
      </c>
      <c r="I156" s="2401">
        <v>0.8</v>
      </c>
      <c r="J156" s="2403"/>
      <c r="K156" s="2401">
        <v>60096</v>
      </c>
      <c r="L156" s="2401">
        <v>24</v>
      </c>
      <c r="M156" s="2401" t="s">
        <v>1588</v>
      </c>
      <c r="N156" s="2401"/>
      <c r="O156" s="2401">
        <v>173459</v>
      </c>
      <c r="P156" s="2401">
        <v>115772</v>
      </c>
      <c r="Q156" s="2401" t="s">
        <v>1587</v>
      </c>
      <c r="R156" s="2401"/>
      <c r="S156" s="2401">
        <v>75</v>
      </c>
      <c r="T156" s="2401">
        <v>30</v>
      </c>
      <c r="U156" s="2401">
        <v>37.619999999999997</v>
      </c>
      <c r="V156" s="2401"/>
      <c r="W156" s="2401">
        <v>27</v>
      </c>
      <c r="X156" s="2401">
        <v>0</v>
      </c>
      <c r="Y156" s="2401">
        <v>0</v>
      </c>
      <c r="Z156" s="2401"/>
      <c r="AA156" s="2401"/>
      <c r="AB156" s="2401"/>
    </row>
    <row r="157" spans="1:28" s="1721" customFormat="1" ht="13.2">
      <c r="A157" s="2401">
        <v>58091715</v>
      </c>
      <c r="B157" s="2402">
        <v>45364</v>
      </c>
      <c r="C157" s="2401" t="s">
        <v>1131</v>
      </c>
      <c r="D157" s="2401">
        <v>57719</v>
      </c>
      <c r="E157" s="2401">
        <v>31</v>
      </c>
      <c r="F157" s="2401" t="s">
        <v>1589</v>
      </c>
      <c r="G157" s="2401"/>
      <c r="H157" s="2401">
        <v>2386.3000000000002</v>
      </c>
      <c r="I157" s="2401">
        <v>0.71</v>
      </c>
      <c r="J157" s="2403"/>
      <c r="K157" s="2401">
        <v>60120</v>
      </c>
      <c r="L157" s="2401">
        <v>24</v>
      </c>
      <c r="M157" s="2401" t="s">
        <v>1588</v>
      </c>
      <c r="N157" s="2401"/>
      <c r="O157" s="2401">
        <v>173512</v>
      </c>
      <c r="P157" s="2401">
        <v>115794</v>
      </c>
      <c r="Q157" s="2401" t="s">
        <v>1587</v>
      </c>
      <c r="R157" s="2401"/>
      <c r="S157" s="2401">
        <v>74.650000000000006</v>
      </c>
      <c r="T157" s="2401">
        <v>30.99</v>
      </c>
      <c r="U157" s="2401">
        <v>37.54</v>
      </c>
      <c r="V157" s="2401"/>
      <c r="W157" s="2401">
        <v>27</v>
      </c>
      <c r="X157" s="2401">
        <v>0</v>
      </c>
      <c r="Y157" s="2401">
        <v>0</v>
      </c>
      <c r="Z157" s="2401"/>
      <c r="AA157" s="2401"/>
      <c r="AB157" s="2401"/>
    </row>
    <row r="158" spans="1:28" s="1721" customFormat="1" ht="13.2">
      <c r="A158" s="2401">
        <v>58091715</v>
      </c>
      <c r="B158" s="2402">
        <v>45365</v>
      </c>
      <c r="C158" s="2401" t="s">
        <v>1136</v>
      </c>
      <c r="D158" s="2401">
        <v>57748</v>
      </c>
      <c r="E158" s="2401">
        <v>29</v>
      </c>
      <c r="F158" s="2401" t="s">
        <v>1589</v>
      </c>
      <c r="G158" s="2401"/>
      <c r="H158" s="2401">
        <v>2386.98</v>
      </c>
      <c r="I158" s="2401">
        <v>0.68</v>
      </c>
      <c r="J158" s="2403"/>
      <c r="K158" s="2401">
        <v>60144</v>
      </c>
      <c r="L158" s="2401">
        <v>24</v>
      </c>
      <c r="M158" s="2401" t="s">
        <v>1588</v>
      </c>
      <c r="N158" s="2401"/>
      <c r="O158" s="2401">
        <v>173561</v>
      </c>
      <c r="P158" s="2401">
        <v>115815</v>
      </c>
      <c r="Q158" s="2401" t="s">
        <v>1587</v>
      </c>
      <c r="R158" s="2401"/>
      <c r="S158" s="2401">
        <v>72.06</v>
      </c>
      <c r="T158" s="2401">
        <v>30.88</v>
      </c>
      <c r="U158" s="2401">
        <v>36.67</v>
      </c>
      <c r="V158" s="2401"/>
      <c r="W158" s="2401">
        <v>28</v>
      </c>
      <c r="X158" s="2401">
        <v>0</v>
      </c>
      <c r="Y158" s="2401">
        <v>0</v>
      </c>
      <c r="Z158" s="2401"/>
      <c r="AA158" s="2401"/>
      <c r="AB158" s="2401"/>
    </row>
    <row r="159" spans="1:28" s="1721" customFormat="1" ht="13.2">
      <c r="A159" s="2401">
        <v>58091715</v>
      </c>
      <c r="B159" s="2402">
        <v>45366</v>
      </c>
      <c r="C159" s="2401" t="s">
        <v>1130</v>
      </c>
      <c r="D159" s="2401">
        <v>57772</v>
      </c>
      <c r="E159" s="2401">
        <v>24</v>
      </c>
      <c r="F159" s="2401" t="s">
        <v>1589</v>
      </c>
      <c r="G159" s="2401"/>
      <c r="H159" s="2401">
        <v>2387.5700000000002</v>
      </c>
      <c r="I159" s="2401">
        <v>0.59</v>
      </c>
      <c r="J159" s="2403"/>
      <c r="K159" s="2401">
        <v>60168</v>
      </c>
      <c r="L159" s="2401">
        <v>24</v>
      </c>
      <c r="M159" s="2401" t="s">
        <v>1588</v>
      </c>
      <c r="N159" s="2401"/>
      <c r="O159" s="2401">
        <v>173604</v>
      </c>
      <c r="P159" s="2401">
        <v>115834</v>
      </c>
      <c r="Q159" s="2401" t="s">
        <v>1587</v>
      </c>
      <c r="R159" s="2401"/>
      <c r="S159" s="2401">
        <v>72.88</v>
      </c>
      <c r="T159" s="2401">
        <v>32.200000000000003</v>
      </c>
      <c r="U159" s="2401">
        <v>34.979999999999997</v>
      </c>
      <c r="V159" s="2401"/>
      <c r="W159" s="2401">
        <v>27</v>
      </c>
      <c r="X159" s="2401">
        <v>0</v>
      </c>
      <c r="Y159" s="2401">
        <v>0</v>
      </c>
      <c r="Z159" s="2401"/>
      <c r="AA159" s="2401"/>
      <c r="AB159" s="2401"/>
    </row>
    <row r="160" spans="1:28" s="1721" customFormat="1" ht="13.2">
      <c r="A160" s="2401">
        <v>58091715</v>
      </c>
      <c r="B160" s="2402">
        <v>45367</v>
      </c>
      <c r="C160" s="2401" t="s">
        <v>1128</v>
      </c>
      <c r="D160" s="2401">
        <v>57805</v>
      </c>
      <c r="E160" s="2401">
        <v>33</v>
      </c>
      <c r="F160" s="2401" t="s">
        <v>1589</v>
      </c>
      <c r="G160" s="2401"/>
      <c r="H160" s="2401">
        <v>2388.3000000000002</v>
      </c>
      <c r="I160" s="2401">
        <v>0.73</v>
      </c>
      <c r="J160" s="2403"/>
      <c r="K160" s="2401">
        <v>60192</v>
      </c>
      <c r="L160" s="2401">
        <v>24</v>
      </c>
      <c r="M160" s="2401" t="s">
        <v>1588</v>
      </c>
      <c r="N160" s="2401"/>
      <c r="O160" s="2401">
        <v>173658</v>
      </c>
      <c r="P160" s="2401">
        <v>115854</v>
      </c>
      <c r="Q160" s="2401" t="s">
        <v>1587</v>
      </c>
      <c r="R160" s="2401"/>
      <c r="S160" s="2401">
        <v>73.97</v>
      </c>
      <c r="T160" s="2401">
        <v>27.4</v>
      </c>
      <c r="U160" s="2401">
        <v>38.869999999999997</v>
      </c>
      <c r="V160" s="2401"/>
      <c r="W160" s="2401">
        <v>27</v>
      </c>
      <c r="X160" s="2401">
        <v>0</v>
      </c>
      <c r="Y160" s="2401">
        <v>0</v>
      </c>
      <c r="Z160" s="2401"/>
      <c r="AA160" s="2401"/>
      <c r="AB160" s="2401"/>
    </row>
    <row r="161" spans="1:28" s="1721" customFormat="1" ht="13.2">
      <c r="A161" s="2401">
        <v>58091715</v>
      </c>
      <c r="B161" s="2402">
        <v>45368</v>
      </c>
      <c r="C161" s="2401" t="s">
        <v>1139</v>
      </c>
      <c r="D161" s="2401">
        <v>57834</v>
      </c>
      <c r="E161" s="2401">
        <v>29</v>
      </c>
      <c r="F161" s="2401" t="s">
        <v>1589</v>
      </c>
      <c r="G161" s="2401"/>
      <c r="H161" s="2401">
        <v>2388.96</v>
      </c>
      <c r="I161" s="2401">
        <v>0.66</v>
      </c>
      <c r="J161" s="2403"/>
      <c r="K161" s="2401">
        <v>60216</v>
      </c>
      <c r="L161" s="2401">
        <v>24</v>
      </c>
      <c r="M161" s="2401" t="s">
        <v>1588</v>
      </c>
      <c r="N161" s="2401"/>
      <c r="O161" s="2401">
        <v>173707</v>
      </c>
      <c r="P161" s="2401">
        <v>115875</v>
      </c>
      <c r="Q161" s="2401" t="s">
        <v>1587</v>
      </c>
      <c r="R161" s="2401"/>
      <c r="S161" s="2401">
        <v>74.239999999999995</v>
      </c>
      <c r="T161" s="2401">
        <v>31.82</v>
      </c>
      <c r="U161" s="2401">
        <v>37.78</v>
      </c>
      <c r="V161" s="2401"/>
      <c r="W161" s="2401">
        <v>27</v>
      </c>
      <c r="X161" s="2401">
        <v>0</v>
      </c>
      <c r="Y161" s="2401">
        <v>0</v>
      </c>
      <c r="Z161" s="2401"/>
      <c r="AA161" s="2401"/>
      <c r="AB161" s="2401"/>
    </row>
    <row r="162" spans="1:28" s="1721" customFormat="1" ht="13.2">
      <c r="A162" s="2401">
        <v>58091715</v>
      </c>
      <c r="B162" s="2402">
        <v>45369</v>
      </c>
      <c r="C162" s="2401" t="s">
        <v>1138</v>
      </c>
      <c r="D162" s="2401">
        <v>57868</v>
      </c>
      <c r="E162" s="2401">
        <v>34</v>
      </c>
      <c r="F162" s="2401" t="s">
        <v>1589</v>
      </c>
      <c r="G162" s="2401"/>
      <c r="H162" s="2401">
        <v>2389.7199999999998</v>
      </c>
      <c r="I162" s="2401">
        <v>0.76</v>
      </c>
      <c r="J162" s="2403"/>
      <c r="K162" s="2401">
        <v>60240</v>
      </c>
      <c r="L162" s="2401">
        <v>24</v>
      </c>
      <c r="M162" s="2401" t="s">
        <v>1588</v>
      </c>
      <c r="N162" s="2401"/>
      <c r="O162" s="2401">
        <v>173764</v>
      </c>
      <c r="P162" s="2401">
        <v>115898</v>
      </c>
      <c r="Q162" s="2401" t="s">
        <v>1587</v>
      </c>
      <c r="R162" s="2401"/>
      <c r="S162" s="2401">
        <v>75</v>
      </c>
      <c r="T162" s="2401">
        <v>30.26</v>
      </c>
      <c r="U162" s="2401">
        <v>38.47</v>
      </c>
      <c r="V162" s="2401"/>
      <c r="W162" s="2401">
        <v>27</v>
      </c>
      <c r="X162" s="2401">
        <v>0</v>
      </c>
      <c r="Y162" s="2401">
        <v>0</v>
      </c>
      <c r="Z162" s="2401"/>
      <c r="AA162" s="2401"/>
      <c r="AB162" s="2401"/>
    </row>
    <row r="163" spans="1:28" s="1721" customFormat="1" ht="13.2">
      <c r="A163" s="2401">
        <v>58091715</v>
      </c>
      <c r="B163" s="2402">
        <v>45370</v>
      </c>
      <c r="C163" s="2401" t="s">
        <v>1137</v>
      </c>
      <c r="D163" s="2401">
        <v>57905</v>
      </c>
      <c r="E163" s="2401">
        <v>37</v>
      </c>
      <c r="F163" s="2401" t="s">
        <v>1589</v>
      </c>
      <c r="G163" s="2401"/>
      <c r="H163" s="2401">
        <v>2390.5700000000002</v>
      </c>
      <c r="I163" s="2401">
        <v>0.85</v>
      </c>
      <c r="J163" s="2403"/>
      <c r="K163" s="2401">
        <v>60264</v>
      </c>
      <c r="L163" s="2401">
        <v>24</v>
      </c>
      <c r="M163" s="2401" t="s">
        <v>1588</v>
      </c>
      <c r="N163" s="2401"/>
      <c r="O163" s="2401">
        <v>173828</v>
      </c>
      <c r="P163" s="2401">
        <v>115924</v>
      </c>
      <c r="Q163" s="2401" t="s">
        <v>1587</v>
      </c>
      <c r="R163" s="2401"/>
      <c r="S163" s="2401">
        <v>75.290000000000006</v>
      </c>
      <c r="T163" s="2401">
        <v>30.59</v>
      </c>
      <c r="U163" s="2401">
        <v>37.43</v>
      </c>
      <c r="V163" s="2401"/>
      <c r="W163" s="2401">
        <v>27</v>
      </c>
      <c r="X163" s="2401">
        <v>0</v>
      </c>
      <c r="Y163" s="2401">
        <v>0</v>
      </c>
      <c r="Z163" s="2401"/>
      <c r="AA163" s="2401"/>
      <c r="AB163" s="2401"/>
    </row>
    <row r="164" spans="1:28" s="1721" customFormat="1" ht="13.2">
      <c r="A164" s="2401">
        <v>58091715</v>
      </c>
      <c r="B164" s="2402">
        <v>45371</v>
      </c>
      <c r="C164" s="2401" t="s">
        <v>1131</v>
      </c>
      <c r="D164" s="2401">
        <v>57932</v>
      </c>
      <c r="E164" s="2401">
        <v>27</v>
      </c>
      <c r="F164" s="2401" t="s">
        <v>1589</v>
      </c>
      <c r="G164" s="2401"/>
      <c r="H164" s="2401">
        <v>2391.19</v>
      </c>
      <c r="I164" s="2401">
        <v>0.62</v>
      </c>
      <c r="J164" s="2403"/>
      <c r="K164" s="2401">
        <v>60288</v>
      </c>
      <c r="L164" s="2401">
        <v>24</v>
      </c>
      <c r="M164" s="2401" t="s">
        <v>1588</v>
      </c>
      <c r="N164" s="2401"/>
      <c r="O164" s="2401">
        <v>173874</v>
      </c>
      <c r="P164" s="2401">
        <v>115943</v>
      </c>
      <c r="Q164" s="2401" t="s">
        <v>1587</v>
      </c>
      <c r="R164" s="2401"/>
      <c r="S164" s="2401">
        <v>74.19</v>
      </c>
      <c r="T164" s="2401">
        <v>30.65</v>
      </c>
      <c r="U164" s="2401">
        <v>37.450000000000003</v>
      </c>
      <c r="V164" s="2401"/>
      <c r="W164" s="2401">
        <v>27</v>
      </c>
      <c r="X164" s="2401">
        <v>0</v>
      </c>
      <c r="Y164" s="2401">
        <v>0</v>
      </c>
      <c r="Z164" s="2401"/>
      <c r="AA164" s="2401"/>
      <c r="AB164" s="2401"/>
    </row>
    <row r="165" spans="1:28" s="1721" customFormat="1" ht="13.2">
      <c r="A165" s="2401">
        <v>58091715</v>
      </c>
      <c r="B165" s="2402">
        <v>45372</v>
      </c>
      <c r="C165" s="2401" t="s">
        <v>1136</v>
      </c>
      <c r="D165" s="2401">
        <v>57963</v>
      </c>
      <c r="E165" s="2401">
        <v>31</v>
      </c>
      <c r="F165" s="2401" t="s">
        <v>1589</v>
      </c>
      <c r="G165" s="2401"/>
      <c r="H165" s="2401">
        <v>2391.89</v>
      </c>
      <c r="I165" s="2401">
        <v>0.7</v>
      </c>
      <c r="J165" s="2403"/>
      <c r="K165" s="2401">
        <v>60312</v>
      </c>
      <c r="L165" s="2401">
        <v>24</v>
      </c>
      <c r="M165" s="2401" t="s">
        <v>1588</v>
      </c>
      <c r="N165" s="2401"/>
      <c r="O165" s="2401">
        <v>173925</v>
      </c>
      <c r="P165" s="2401">
        <v>115965</v>
      </c>
      <c r="Q165" s="2401" t="s">
        <v>1587</v>
      </c>
      <c r="R165" s="2401"/>
      <c r="S165" s="2401">
        <v>72.86</v>
      </c>
      <c r="T165" s="2401">
        <v>31.43</v>
      </c>
      <c r="U165" s="2401">
        <v>38.08</v>
      </c>
      <c r="V165" s="2401"/>
      <c r="W165" s="2401">
        <v>27</v>
      </c>
      <c r="X165" s="2401">
        <v>0</v>
      </c>
      <c r="Y165" s="2401">
        <v>0</v>
      </c>
      <c r="Z165" s="2401"/>
      <c r="AA165" s="2401"/>
      <c r="AB165" s="2401"/>
    </row>
    <row r="166" spans="1:28" s="1721" customFormat="1" ht="13.2">
      <c r="A166" s="2401">
        <v>58091715</v>
      </c>
      <c r="B166" s="2402">
        <v>45373</v>
      </c>
      <c r="C166" s="2401" t="s">
        <v>1130</v>
      </c>
      <c r="D166" s="2401">
        <v>57988</v>
      </c>
      <c r="E166" s="2401">
        <v>25</v>
      </c>
      <c r="F166" s="2401" t="s">
        <v>1589</v>
      </c>
      <c r="G166" s="2401"/>
      <c r="H166" s="2401">
        <v>2392.48</v>
      </c>
      <c r="I166" s="2401">
        <v>0.59</v>
      </c>
      <c r="J166" s="2403"/>
      <c r="K166" s="2401">
        <v>60336</v>
      </c>
      <c r="L166" s="2401">
        <v>24</v>
      </c>
      <c r="M166" s="2401" t="s">
        <v>1588</v>
      </c>
      <c r="N166" s="2401"/>
      <c r="O166" s="2401">
        <v>173969</v>
      </c>
      <c r="P166" s="2401">
        <v>115983</v>
      </c>
      <c r="Q166" s="2401" t="s">
        <v>1587</v>
      </c>
      <c r="R166" s="2401"/>
      <c r="S166" s="2401">
        <v>74.58</v>
      </c>
      <c r="T166" s="2401">
        <v>30.51</v>
      </c>
      <c r="U166" s="2401">
        <v>36.43</v>
      </c>
      <c r="V166" s="2401"/>
      <c r="W166" s="2401">
        <v>27</v>
      </c>
      <c r="X166" s="2401">
        <v>0</v>
      </c>
      <c r="Y166" s="2401">
        <v>0</v>
      </c>
      <c r="Z166" s="2401"/>
      <c r="AA166" s="2401"/>
      <c r="AB166" s="2401"/>
    </row>
    <row r="167" spans="1:28" s="1721" customFormat="1" ht="13.2">
      <c r="A167" s="2401">
        <v>58091715</v>
      </c>
      <c r="B167" s="2402">
        <v>45374</v>
      </c>
      <c r="C167" s="2401" t="s">
        <v>1128</v>
      </c>
      <c r="D167" s="2401">
        <v>58014</v>
      </c>
      <c r="E167" s="2401">
        <v>26</v>
      </c>
      <c r="F167" s="2401" t="s">
        <v>1589</v>
      </c>
      <c r="G167" s="2401"/>
      <c r="H167" s="2401">
        <v>2393.08</v>
      </c>
      <c r="I167" s="2401">
        <v>0.6</v>
      </c>
      <c r="J167" s="2403"/>
      <c r="K167" s="2401">
        <v>60360</v>
      </c>
      <c r="L167" s="2401">
        <v>24</v>
      </c>
      <c r="M167" s="2401" t="s">
        <v>1588</v>
      </c>
      <c r="N167" s="2401"/>
      <c r="O167" s="2401">
        <v>174013</v>
      </c>
      <c r="P167" s="2401">
        <v>116001</v>
      </c>
      <c r="Q167" s="2401" t="s">
        <v>1587</v>
      </c>
      <c r="R167" s="2401"/>
      <c r="S167" s="2401">
        <v>73.33</v>
      </c>
      <c r="T167" s="2401">
        <v>30</v>
      </c>
      <c r="U167" s="2401">
        <v>37.26</v>
      </c>
      <c r="V167" s="2401"/>
      <c r="W167" s="2401">
        <v>27</v>
      </c>
      <c r="X167" s="2401">
        <v>0</v>
      </c>
      <c r="Y167" s="2401">
        <v>0</v>
      </c>
      <c r="Z167" s="2401"/>
      <c r="AA167" s="2401"/>
      <c r="AB167" s="2401"/>
    </row>
    <row r="168" spans="1:28" s="1721" customFormat="1" ht="13.2">
      <c r="A168" s="2401">
        <v>58091715</v>
      </c>
      <c r="B168" s="2402">
        <v>45375</v>
      </c>
      <c r="C168" s="2401" t="s">
        <v>1139</v>
      </c>
      <c r="D168" s="2401">
        <v>58041</v>
      </c>
      <c r="E168" s="2401">
        <v>27</v>
      </c>
      <c r="F168" s="2401" t="s">
        <v>1589</v>
      </c>
      <c r="G168" s="2401"/>
      <c r="H168" s="2401">
        <v>2393.7199999999998</v>
      </c>
      <c r="I168" s="2401">
        <v>0.64</v>
      </c>
      <c r="J168" s="2403"/>
      <c r="K168" s="2401">
        <v>60384</v>
      </c>
      <c r="L168" s="2401">
        <v>24</v>
      </c>
      <c r="M168" s="2401" t="s">
        <v>1588</v>
      </c>
      <c r="N168" s="2401"/>
      <c r="O168" s="2401">
        <v>174059</v>
      </c>
      <c r="P168" s="2401">
        <v>116020</v>
      </c>
      <c r="Q168" s="2401" t="s">
        <v>1587</v>
      </c>
      <c r="R168" s="2401"/>
      <c r="S168" s="2401">
        <v>71.87</v>
      </c>
      <c r="T168" s="2401">
        <v>29.69</v>
      </c>
      <c r="U168" s="2401">
        <v>36.28</v>
      </c>
      <c r="V168" s="2401"/>
      <c r="W168" s="2401">
        <v>28</v>
      </c>
      <c r="X168" s="2401">
        <v>0</v>
      </c>
      <c r="Y168" s="2401">
        <v>0</v>
      </c>
      <c r="Z168" s="2401"/>
      <c r="AA168" s="2401"/>
      <c r="AB168" s="2401"/>
    </row>
    <row r="169" spans="1:28" s="1721" customFormat="1" ht="13.2">
      <c r="A169" s="2401">
        <v>58091715</v>
      </c>
      <c r="B169" s="2402">
        <v>45376</v>
      </c>
      <c r="C169" s="2401" t="s">
        <v>1138</v>
      </c>
      <c r="D169" s="2401">
        <v>58071</v>
      </c>
      <c r="E169" s="2401">
        <v>30</v>
      </c>
      <c r="F169" s="2401" t="s">
        <v>1589</v>
      </c>
      <c r="G169" s="2401"/>
      <c r="H169" s="2401">
        <v>2394.39</v>
      </c>
      <c r="I169" s="2401">
        <v>0.67</v>
      </c>
      <c r="J169" s="2403"/>
      <c r="K169" s="2401">
        <v>60408</v>
      </c>
      <c r="L169" s="2401">
        <v>24</v>
      </c>
      <c r="M169" s="2401" t="s">
        <v>1588</v>
      </c>
      <c r="N169" s="2401"/>
      <c r="O169" s="2401">
        <v>174109</v>
      </c>
      <c r="P169" s="2401">
        <v>116040</v>
      </c>
      <c r="Q169" s="2401" t="s">
        <v>1587</v>
      </c>
      <c r="R169" s="2401"/>
      <c r="S169" s="2401">
        <v>74.63</v>
      </c>
      <c r="T169" s="2401">
        <v>29.85</v>
      </c>
      <c r="U169" s="2401">
        <v>38.5</v>
      </c>
      <c r="V169" s="2401"/>
      <c r="W169" s="2401">
        <v>27</v>
      </c>
      <c r="X169" s="2401">
        <v>0</v>
      </c>
      <c r="Y169" s="2401">
        <v>0</v>
      </c>
      <c r="Z169" s="2401"/>
      <c r="AA169" s="2401"/>
      <c r="AB169" s="2401"/>
    </row>
    <row r="170" spans="1:28" s="1721" customFormat="1" ht="13.2">
      <c r="A170" s="2401">
        <v>58091715</v>
      </c>
      <c r="B170" s="2402">
        <v>45377</v>
      </c>
      <c r="C170" s="2401" t="s">
        <v>1137</v>
      </c>
      <c r="D170" s="2401">
        <v>58099</v>
      </c>
      <c r="E170" s="2401">
        <v>28</v>
      </c>
      <c r="F170" s="2401" t="s">
        <v>1589</v>
      </c>
      <c r="G170" s="2401"/>
      <c r="H170" s="2401">
        <v>2395.06</v>
      </c>
      <c r="I170" s="2401">
        <v>0.67</v>
      </c>
      <c r="J170" s="2403"/>
      <c r="K170" s="2401">
        <v>60432</v>
      </c>
      <c r="L170" s="2401">
        <v>24</v>
      </c>
      <c r="M170" s="2401" t="s">
        <v>1588</v>
      </c>
      <c r="N170" s="2401"/>
      <c r="O170" s="2401">
        <v>174158</v>
      </c>
      <c r="P170" s="2401">
        <v>116061</v>
      </c>
      <c r="Q170" s="2401" t="s">
        <v>1587</v>
      </c>
      <c r="R170" s="2401"/>
      <c r="S170" s="2401">
        <v>73.13</v>
      </c>
      <c r="T170" s="2401">
        <v>31.34</v>
      </c>
      <c r="U170" s="2401">
        <v>35.93</v>
      </c>
      <c r="V170" s="2401"/>
      <c r="W170" s="2401">
        <v>27</v>
      </c>
      <c r="X170" s="2401">
        <v>0</v>
      </c>
      <c r="Y170" s="2401">
        <v>0</v>
      </c>
      <c r="Z170" s="2401"/>
      <c r="AA170" s="2401"/>
      <c r="AB170" s="2401"/>
    </row>
    <row r="171" spans="1:28" s="1721" customFormat="1" ht="13.2">
      <c r="A171" s="2401">
        <v>58091715</v>
      </c>
      <c r="B171" s="2402">
        <v>45378</v>
      </c>
      <c r="C171" s="2401" t="s">
        <v>1131</v>
      </c>
      <c r="D171" s="2401">
        <v>58129</v>
      </c>
      <c r="E171" s="2401">
        <v>30</v>
      </c>
      <c r="F171" s="2401" t="s">
        <v>1589</v>
      </c>
      <c r="G171" s="2401"/>
      <c r="H171" s="2401">
        <v>2395.7600000000002</v>
      </c>
      <c r="I171" s="2401">
        <v>0.7</v>
      </c>
      <c r="J171" s="2403"/>
      <c r="K171" s="2401">
        <v>60456</v>
      </c>
      <c r="L171" s="2401">
        <v>24</v>
      </c>
      <c r="M171" s="2401" t="s">
        <v>1588</v>
      </c>
      <c r="N171" s="2401"/>
      <c r="O171" s="2401">
        <v>174211</v>
      </c>
      <c r="P171" s="2401">
        <v>116083</v>
      </c>
      <c r="Q171" s="2401" t="s">
        <v>1587</v>
      </c>
      <c r="R171" s="2401"/>
      <c r="S171" s="2401">
        <v>75.709999999999994</v>
      </c>
      <c r="T171" s="2401">
        <v>31.43</v>
      </c>
      <c r="U171" s="2401">
        <v>36.85</v>
      </c>
      <c r="V171" s="2401"/>
      <c r="W171" s="2401">
        <v>27</v>
      </c>
      <c r="X171" s="2401">
        <v>0</v>
      </c>
      <c r="Y171" s="2401">
        <v>0</v>
      </c>
      <c r="Z171" s="2401"/>
      <c r="AA171" s="2401"/>
      <c r="AB171" s="2401"/>
    </row>
    <row r="172" spans="1:28" s="1721" customFormat="1" ht="13.2">
      <c r="A172" s="2401">
        <v>58091715</v>
      </c>
      <c r="B172" s="2402">
        <v>45379</v>
      </c>
      <c r="C172" s="2401" t="s">
        <v>1136</v>
      </c>
      <c r="D172" s="2401">
        <v>58161</v>
      </c>
      <c r="E172" s="2401">
        <v>32</v>
      </c>
      <c r="F172" s="2401" t="s">
        <v>1589</v>
      </c>
      <c r="G172" s="2401"/>
      <c r="H172" s="2401">
        <v>2396.4899999999998</v>
      </c>
      <c r="I172" s="2401">
        <v>0.73</v>
      </c>
      <c r="J172" s="2403"/>
      <c r="K172" s="2401">
        <v>60480</v>
      </c>
      <c r="L172" s="2401">
        <v>24</v>
      </c>
      <c r="M172" s="2401" t="s">
        <v>1588</v>
      </c>
      <c r="N172" s="2401"/>
      <c r="O172" s="2401">
        <v>174264</v>
      </c>
      <c r="P172" s="2401">
        <v>116105</v>
      </c>
      <c r="Q172" s="2401" t="s">
        <v>1587</v>
      </c>
      <c r="R172" s="2401"/>
      <c r="S172" s="2401">
        <v>72.599999999999994</v>
      </c>
      <c r="T172" s="2401">
        <v>30.14</v>
      </c>
      <c r="U172" s="2401">
        <v>37.69</v>
      </c>
      <c r="V172" s="2401"/>
      <c r="W172" s="2401">
        <v>27</v>
      </c>
      <c r="X172" s="2401">
        <v>0</v>
      </c>
      <c r="Y172" s="2401">
        <v>0</v>
      </c>
      <c r="Z172" s="2401"/>
      <c r="AA172" s="2401"/>
      <c r="AB172" s="2401"/>
    </row>
    <row r="173" spans="1:28" s="1721" customFormat="1" ht="13.2">
      <c r="A173" s="2401">
        <v>58091715</v>
      </c>
      <c r="B173" s="2402">
        <v>45380</v>
      </c>
      <c r="C173" s="2401" t="s">
        <v>1130</v>
      </c>
      <c r="D173" s="2401">
        <v>58192</v>
      </c>
      <c r="E173" s="2401">
        <v>31</v>
      </c>
      <c r="F173" s="2401" t="s">
        <v>1589</v>
      </c>
      <c r="G173" s="2401"/>
      <c r="H173" s="2401">
        <v>2397.1999999999998</v>
      </c>
      <c r="I173" s="2401">
        <v>0.71</v>
      </c>
      <c r="J173" s="2403"/>
      <c r="K173" s="2401">
        <v>60504</v>
      </c>
      <c r="L173" s="2401">
        <v>24</v>
      </c>
      <c r="M173" s="2401" t="s">
        <v>1588</v>
      </c>
      <c r="N173" s="2401"/>
      <c r="O173" s="2401">
        <v>174316</v>
      </c>
      <c r="P173" s="2401">
        <v>116126</v>
      </c>
      <c r="Q173" s="2401" t="s">
        <v>1587</v>
      </c>
      <c r="R173" s="2401"/>
      <c r="S173" s="2401">
        <v>73.239999999999995</v>
      </c>
      <c r="T173" s="2401">
        <v>29.58</v>
      </c>
      <c r="U173" s="2401">
        <v>37.54</v>
      </c>
      <c r="V173" s="2401"/>
      <c r="W173" s="2401">
        <v>27</v>
      </c>
      <c r="X173" s="2401">
        <v>0</v>
      </c>
      <c r="Y173" s="2401">
        <v>0</v>
      </c>
      <c r="Z173" s="2401"/>
      <c r="AA173" s="2401"/>
      <c r="AB173" s="2401"/>
    </row>
    <row r="174" spans="1:28" s="1721" customFormat="1" ht="13.2">
      <c r="A174" s="2401">
        <v>58091715</v>
      </c>
      <c r="B174" s="2402">
        <v>45381</v>
      </c>
      <c r="C174" s="2401" t="s">
        <v>1128</v>
      </c>
      <c r="D174" s="2401">
        <v>58223</v>
      </c>
      <c r="E174" s="2401">
        <v>31</v>
      </c>
      <c r="F174" s="2401" t="s">
        <v>1589</v>
      </c>
      <c r="G174" s="2401"/>
      <c r="H174" s="2401">
        <v>2397.9</v>
      </c>
      <c r="I174" s="2401">
        <v>0.7</v>
      </c>
      <c r="J174" s="2403"/>
      <c r="K174" s="2401">
        <v>60528</v>
      </c>
      <c r="L174" s="2401">
        <v>24</v>
      </c>
      <c r="M174" s="2401" t="s">
        <v>1588</v>
      </c>
      <c r="N174" s="2401"/>
      <c r="O174" s="2401">
        <v>174368</v>
      </c>
      <c r="P174" s="2401">
        <v>116147</v>
      </c>
      <c r="Q174" s="2401" t="s">
        <v>1587</v>
      </c>
      <c r="R174" s="2401"/>
      <c r="S174" s="2401">
        <v>74.290000000000006</v>
      </c>
      <c r="T174" s="2401">
        <v>30</v>
      </c>
      <c r="U174" s="2401">
        <v>38.08</v>
      </c>
      <c r="V174" s="2401"/>
      <c r="W174" s="2401">
        <v>27</v>
      </c>
      <c r="X174" s="2401">
        <v>0</v>
      </c>
      <c r="Y174" s="2401">
        <v>0</v>
      </c>
      <c r="Z174" s="2401"/>
      <c r="AA174" s="2401"/>
      <c r="AB174" s="2401"/>
    </row>
    <row r="175" spans="1:28" s="1721" customFormat="1" ht="13.2">
      <c r="A175" s="2401">
        <v>58091715</v>
      </c>
      <c r="B175" s="2402">
        <v>45382</v>
      </c>
      <c r="C175" s="2401" t="s">
        <v>1139</v>
      </c>
      <c r="D175" s="2401">
        <v>58257</v>
      </c>
      <c r="E175" s="2401">
        <v>34</v>
      </c>
      <c r="F175" s="2401" t="s">
        <v>1589</v>
      </c>
      <c r="G175" s="2401"/>
      <c r="H175" s="2401">
        <v>2398.6999999999998</v>
      </c>
      <c r="I175" s="2401">
        <v>0.8</v>
      </c>
      <c r="J175" s="2403"/>
      <c r="K175" s="2401">
        <v>60552</v>
      </c>
      <c r="L175" s="2401">
        <v>24</v>
      </c>
      <c r="M175" s="2401" t="s">
        <v>1588</v>
      </c>
      <c r="N175" s="2401"/>
      <c r="O175" s="2401">
        <v>174427</v>
      </c>
      <c r="P175" s="2401">
        <v>116171</v>
      </c>
      <c r="Q175" s="2401" t="s">
        <v>1587</v>
      </c>
      <c r="R175" s="2401"/>
      <c r="S175" s="2401">
        <v>73.75</v>
      </c>
      <c r="T175" s="2401">
        <v>30</v>
      </c>
      <c r="U175" s="2401">
        <v>36.54</v>
      </c>
      <c r="V175" s="2401"/>
      <c r="W175" s="2401">
        <v>27</v>
      </c>
      <c r="X175" s="2401">
        <v>0</v>
      </c>
      <c r="Y175" s="2401">
        <v>0</v>
      </c>
      <c r="Z175" s="2401"/>
      <c r="AA175" s="2401"/>
      <c r="AB175" s="2401"/>
    </row>
    <row r="176" spans="1:28" s="1721" customFormat="1" ht="13.2">
      <c r="A176" s="2406">
        <v>58091715</v>
      </c>
      <c r="B176" s="2407">
        <v>45383</v>
      </c>
      <c r="C176" s="2406" t="s">
        <v>1138</v>
      </c>
      <c r="D176" s="2406">
        <v>58285</v>
      </c>
      <c r="E176" s="2406">
        <v>28</v>
      </c>
      <c r="F176" s="2406" t="s">
        <v>1589</v>
      </c>
      <c r="G176" s="2406"/>
      <c r="H176" s="2406">
        <v>2399.33</v>
      </c>
      <c r="I176" s="2406">
        <v>0.63</v>
      </c>
      <c r="J176" s="2408"/>
      <c r="K176" s="2406">
        <v>60576</v>
      </c>
      <c r="L176" s="2406">
        <v>24</v>
      </c>
      <c r="M176" s="2406" t="s">
        <v>1588</v>
      </c>
      <c r="N176" s="2406"/>
      <c r="O176" s="2406">
        <v>174473</v>
      </c>
      <c r="P176" s="2406">
        <v>116190</v>
      </c>
      <c r="Q176" s="2406" t="s">
        <v>1587</v>
      </c>
      <c r="R176" s="2406"/>
      <c r="S176" s="2406">
        <v>73.02</v>
      </c>
      <c r="T176" s="2406">
        <v>30.16</v>
      </c>
      <c r="U176" s="2406">
        <v>38.22</v>
      </c>
      <c r="V176" s="2406"/>
      <c r="W176" s="2406">
        <v>27</v>
      </c>
      <c r="X176" s="2406">
        <v>0</v>
      </c>
      <c r="Y176" s="2406">
        <v>0</v>
      </c>
      <c r="Z176" s="2406"/>
      <c r="AA176" s="2406"/>
      <c r="AB176" s="2406"/>
    </row>
    <row r="177" spans="1:28" s="1721" customFormat="1" ht="13.2">
      <c r="A177" s="2406">
        <v>58091715</v>
      </c>
      <c r="B177" s="2407">
        <v>45384</v>
      </c>
      <c r="C177" s="2406" t="s">
        <v>1137</v>
      </c>
      <c r="D177" s="2406">
        <v>58321</v>
      </c>
      <c r="E177" s="2406">
        <v>36</v>
      </c>
      <c r="F177" s="2406" t="s">
        <v>1589</v>
      </c>
      <c r="G177" s="2406"/>
      <c r="H177" s="2406">
        <v>2400.12</v>
      </c>
      <c r="I177" s="2406">
        <v>0.79</v>
      </c>
      <c r="J177" s="2408"/>
      <c r="K177" s="2406">
        <v>60600</v>
      </c>
      <c r="L177" s="2406">
        <v>24</v>
      </c>
      <c r="M177" s="2406" t="s">
        <v>1588</v>
      </c>
      <c r="N177" s="2406"/>
      <c r="O177" s="2406">
        <v>174532</v>
      </c>
      <c r="P177" s="2406">
        <v>116213</v>
      </c>
      <c r="Q177" s="2406" t="s">
        <v>1587</v>
      </c>
      <c r="R177" s="2406"/>
      <c r="S177" s="2406">
        <v>74.680000000000007</v>
      </c>
      <c r="T177" s="2406">
        <v>29.11</v>
      </c>
      <c r="U177" s="2406">
        <v>39.18</v>
      </c>
      <c r="V177" s="2406"/>
      <c r="W177" s="2406">
        <v>27</v>
      </c>
      <c r="X177" s="2406">
        <v>0</v>
      </c>
      <c r="Y177" s="2406">
        <v>0</v>
      </c>
      <c r="Z177" s="2406"/>
      <c r="AA177" s="2406"/>
      <c r="AB177" s="2406"/>
    </row>
    <row r="178" spans="1:28" s="1721" customFormat="1" ht="13.2">
      <c r="A178" s="2406">
        <v>58091715</v>
      </c>
      <c r="B178" s="2407">
        <v>45385</v>
      </c>
      <c r="C178" s="2406" t="s">
        <v>1131</v>
      </c>
      <c r="D178" s="2406">
        <v>58362</v>
      </c>
      <c r="E178" s="2406">
        <v>41</v>
      </c>
      <c r="F178" s="2406" t="s">
        <v>1589</v>
      </c>
      <c r="G178" s="2406"/>
      <c r="H178" s="2406">
        <v>2401.02</v>
      </c>
      <c r="I178" s="2406">
        <v>0.9</v>
      </c>
      <c r="J178" s="2408"/>
      <c r="K178" s="2406">
        <v>60624</v>
      </c>
      <c r="L178" s="2406">
        <v>24</v>
      </c>
      <c r="M178" s="2406" t="s">
        <v>1588</v>
      </c>
      <c r="N178" s="2406"/>
      <c r="O178" s="2406">
        <v>174601</v>
      </c>
      <c r="P178" s="2406">
        <v>116240</v>
      </c>
      <c r="Q178" s="2406" t="s">
        <v>1587</v>
      </c>
      <c r="R178" s="2406"/>
      <c r="S178" s="2406">
        <v>76.67</v>
      </c>
      <c r="T178" s="2406">
        <v>30</v>
      </c>
      <c r="U178" s="2406">
        <v>39.17</v>
      </c>
      <c r="V178" s="2406"/>
      <c r="W178" s="2406">
        <v>27</v>
      </c>
      <c r="X178" s="2406">
        <v>0</v>
      </c>
      <c r="Y178" s="2406">
        <v>0</v>
      </c>
      <c r="Z178" s="2406"/>
      <c r="AA178" s="2406"/>
      <c r="AB178" s="2406"/>
    </row>
    <row r="179" spans="1:28" s="1721" customFormat="1" ht="13.2">
      <c r="A179" s="2406">
        <v>58091715</v>
      </c>
      <c r="B179" s="2407">
        <v>45386</v>
      </c>
      <c r="C179" s="2406" t="s">
        <v>1136</v>
      </c>
      <c r="D179" s="2406">
        <v>58402</v>
      </c>
      <c r="E179" s="2406">
        <v>40</v>
      </c>
      <c r="F179" s="2406" t="s">
        <v>1589</v>
      </c>
      <c r="G179" s="2406"/>
      <c r="H179" s="2406">
        <v>2401.91</v>
      </c>
      <c r="I179" s="2406">
        <v>0.89</v>
      </c>
      <c r="J179" s="2408"/>
      <c r="K179" s="2406">
        <v>60648</v>
      </c>
      <c r="L179" s="2406">
        <v>24</v>
      </c>
      <c r="M179" s="2406" t="s">
        <v>1588</v>
      </c>
      <c r="N179" s="2406"/>
      <c r="O179" s="2406">
        <v>174667</v>
      </c>
      <c r="P179" s="2406">
        <v>116267</v>
      </c>
      <c r="Q179" s="2406" t="s">
        <v>1587</v>
      </c>
      <c r="R179" s="2406"/>
      <c r="S179" s="2406">
        <v>74.16</v>
      </c>
      <c r="T179" s="2406">
        <v>30.34</v>
      </c>
      <c r="U179" s="2406">
        <v>38.65</v>
      </c>
      <c r="V179" s="2406"/>
      <c r="W179" s="2406">
        <v>27</v>
      </c>
      <c r="X179" s="2406">
        <v>0</v>
      </c>
      <c r="Y179" s="2406">
        <v>0</v>
      </c>
      <c r="Z179" s="2406"/>
      <c r="AA179" s="2406"/>
      <c r="AB179" s="2406"/>
    </row>
    <row r="180" spans="1:28" s="1721" customFormat="1" ht="13.2">
      <c r="A180" s="2406">
        <v>58091715</v>
      </c>
      <c r="B180" s="2407">
        <v>45387</v>
      </c>
      <c r="C180" s="2406" t="s">
        <v>1130</v>
      </c>
      <c r="D180" s="2406">
        <v>58437</v>
      </c>
      <c r="E180" s="2406">
        <v>35</v>
      </c>
      <c r="F180" s="2406" t="s">
        <v>1589</v>
      </c>
      <c r="G180" s="2406"/>
      <c r="H180" s="2406">
        <v>2402.69</v>
      </c>
      <c r="I180" s="2406">
        <v>0.78</v>
      </c>
      <c r="J180" s="2408"/>
      <c r="K180" s="2406">
        <v>60672</v>
      </c>
      <c r="L180" s="2406">
        <v>24</v>
      </c>
      <c r="M180" s="2406" t="s">
        <v>1588</v>
      </c>
      <c r="N180" s="2406"/>
      <c r="O180" s="2406">
        <v>174725</v>
      </c>
      <c r="P180" s="2406">
        <v>116290</v>
      </c>
      <c r="Q180" s="2406" t="s">
        <v>1587</v>
      </c>
      <c r="R180" s="2406"/>
      <c r="S180" s="2406">
        <v>74.36</v>
      </c>
      <c r="T180" s="2406">
        <v>29.49</v>
      </c>
      <c r="U180" s="2406">
        <v>38.58</v>
      </c>
      <c r="V180" s="2406"/>
      <c r="W180" s="2406">
        <v>27</v>
      </c>
      <c r="X180" s="2406">
        <v>0</v>
      </c>
      <c r="Y180" s="2406">
        <v>0</v>
      </c>
      <c r="Z180" s="2406"/>
      <c r="AA180" s="2406"/>
      <c r="AB180" s="2406"/>
    </row>
    <row r="181" spans="1:28" s="1721" customFormat="1" ht="13.2">
      <c r="A181" s="2406">
        <v>58091715</v>
      </c>
      <c r="B181" s="2407">
        <v>45388</v>
      </c>
      <c r="C181" s="2406" t="s">
        <v>1128</v>
      </c>
      <c r="D181" s="2406">
        <v>58464</v>
      </c>
      <c r="E181" s="2406">
        <v>27</v>
      </c>
      <c r="F181" s="2406" t="s">
        <v>1589</v>
      </c>
      <c r="G181" s="2406"/>
      <c r="H181" s="2406">
        <v>2403.31</v>
      </c>
      <c r="I181" s="2406">
        <v>0.62</v>
      </c>
      <c r="J181" s="2408"/>
      <c r="K181" s="2406">
        <v>60696</v>
      </c>
      <c r="L181" s="2406">
        <v>24</v>
      </c>
      <c r="M181" s="2406" t="s">
        <v>1588</v>
      </c>
      <c r="N181" s="2406"/>
      <c r="O181" s="2406">
        <v>174771</v>
      </c>
      <c r="P181" s="2406">
        <v>116308</v>
      </c>
      <c r="Q181" s="2406" t="s">
        <v>1587</v>
      </c>
      <c r="R181" s="2406"/>
      <c r="S181" s="2406">
        <v>74.19</v>
      </c>
      <c r="T181" s="2406">
        <v>29.03</v>
      </c>
      <c r="U181" s="2406">
        <v>37.450000000000003</v>
      </c>
      <c r="V181" s="2406"/>
      <c r="W181" s="2406">
        <v>27</v>
      </c>
      <c r="X181" s="2406">
        <v>0</v>
      </c>
      <c r="Y181" s="2406">
        <v>0</v>
      </c>
      <c r="Z181" s="2406"/>
      <c r="AA181" s="2406"/>
      <c r="AB181" s="2406"/>
    </row>
    <row r="182" spans="1:28" s="1721" customFormat="1" ht="13.2">
      <c r="A182" s="2406">
        <v>58091715</v>
      </c>
      <c r="B182" s="2407">
        <v>45389</v>
      </c>
      <c r="C182" s="2406" t="s">
        <v>1139</v>
      </c>
      <c r="D182" s="2406">
        <v>58484</v>
      </c>
      <c r="E182" s="2406">
        <v>20</v>
      </c>
      <c r="F182" s="2406" t="s">
        <v>1589</v>
      </c>
      <c r="G182" s="2406"/>
      <c r="H182" s="2406">
        <v>2403.8000000000002</v>
      </c>
      <c r="I182" s="2406">
        <v>0.49</v>
      </c>
      <c r="J182" s="2408"/>
      <c r="K182" s="2406">
        <v>60720</v>
      </c>
      <c r="L182" s="2406">
        <v>24</v>
      </c>
      <c r="M182" s="2406" t="s">
        <v>1588</v>
      </c>
      <c r="N182" s="2406"/>
      <c r="O182" s="2406">
        <v>174806</v>
      </c>
      <c r="P182" s="2406">
        <v>116324</v>
      </c>
      <c r="Q182" s="2406" t="s">
        <v>1587</v>
      </c>
      <c r="R182" s="2406"/>
      <c r="S182" s="2406">
        <v>71.430000000000007</v>
      </c>
      <c r="T182" s="2406">
        <v>32.65</v>
      </c>
      <c r="U182" s="2406">
        <v>35.1</v>
      </c>
      <c r="V182" s="2406"/>
      <c r="W182" s="2406">
        <v>28</v>
      </c>
      <c r="X182" s="2406">
        <v>0</v>
      </c>
      <c r="Y182" s="2406">
        <v>0</v>
      </c>
      <c r="Z182" s="2406"/>
      <c r="AA182" s="2406"/>
      <c r="AB182" s="2406"/>
    </row>
    <row r="183" spans="1:28" s="1721" customFormat="1" ht="13.2">
      <c r="A183" s="2406">
        <v>58091715</v>
      </c>
      <c r="B183" s="2407">
        <v>45390</v>
      </c>
      <c r="C183" s="2406" t="s">
        <v>1138</v>
      </c>
      <c r="D183" s="2406">
        <v>58499</v>
      </c>
      <c r="E183" s="2406">
        <v>15</v>
      </c>
      <c r="F183" s="2406" t="s">
        <v>1589</v>
      </c>
      <c r="G183" s="2406"/>
      <c r="H183" s="2406">
        <v>2404.1999999999998</v>
      </c>
      <c r="I183" s="2406">
        <v>0.4</v>
      </c>
      <c r="J183" s="2408"/>
      <c r="K183" s="2406">
        <v>60744</v>
      </c>
      <c r="L183" s="2406">
        <v>24</v>
      </c>
      <c r="M183" s="2406" t="s">
        <v>1588</v>
      </c>
      <c r="N183" s="2406"/>
      <c r="O183" s="2406">
        <v>174833</v>
      </c>
      <c r="P183" s="2406">
        <v>116337</v>
      </c>
      <c r="Q183" s="2406" t="s">
        <v>1587</v>
      </c>
      <c r="R183" s="2406"/>
      <c r="S183" s="2406">
        <v>67.5</v>
      </c>
      <c r="T183" s="2406">
        <v>32.5</v>
      </c>
      <c r="U183" s="2406">
        <v>32.24</v>
      </c>
      <c r="V183" s="2406"/>
      <c r="W183" s="2406">
        <v>29</v>
      </c>
      <c r="X183" s="2406">
        <v>0</v>
      </c>
      <c r="Y183" s="2406">
        <v>0</v>
      </c>
      <c r="Z183" s="2406"/>
      <c r="AA183" s="2406"/>
      <c r="AB183" s="2406"/>
    </row>
    <row r="184" spans="1:28" s="1721" customFormat="1" ht="13.2">
      <c r="A184" s="2406">
        <v>58091715</v>
      </c>
      <c r="B184" s="2407">
        <v>45391</v>
      </c>
      <c r="C184" s="2406" t="s">
        <v>1137</v>
      </c>
      <c r="D184" s="2406">
        <v>58516</v>
      </c>
      <c r="E184" s="2406">
        <v>17</v>
      </c>
      <c r="F184" s="2406" t="s">
        <v>1589</v>
      </c>
      <c r="G184" s="2406"/>
      <c r="H184" s="2406">
        <v>2404.65</v>
      </c>
      <c r="I184" s="2406">
        <v>0.45</v>
      </c>
      <c r="J184" s="2408"/>
      <c r="K184" s="2406">
        <v>60768</v>
      </c>
      <c r="L184" s="2406">
        <v>24</v>
      </c>
      <c r="M184" s="2406" t="s">
        <v>1588</v>
      </c>
      <c r="N184" s="2406"/>
      <c r="O184" s="2406">
        <v>174865</v>
      </c>
      <c r="P184" s="2406">
        <v>116350</v>
      </c>
      <c r="Q184" s="2406" t="s">
        <v>1587</v>
      </c>
      <c r="R184" s="2406"/>
      <c r="S184" s="2406">
        <v>71.11</v>
      </c>
      <c r="T184" s="2406">
        <v>28.89</v>
      </c>
      <c r="U184" s="2406">
        <v>32.479999999999997</v>
      </c>
      <c r="V184" s="2406"/>
      <c r="W184" s="2406">
        <v>28</v>
      </c>
      <c r="X184" s="2406">
        <v>0</v>
      </c>
      <c r="Y184" s="2406">
        <v>0</v>
      </c>
      <c r="Z184" s="2406"/>
      <c r="AA184" s="2406"/>
      <c r="AB184" s="2406"/>
    </row>
    <row r="185" spans="1:28" s="1721" customFormat="1" ht="13.2">
      <c r="A185" s="2406">
        <v>58091715</v>
      </c>
      <c r="B185" s="2407">
        <v>45392</v>
      </c>
      <c r="C185" s="2406" t="s">
        <v>1131</v>
      </c>
      <c r="D185" s="2406">
        <v>58535</v>
      </c>
      <c r="E185" s="2406">
        <v>19</v>
      </c>
      <c r="F185" s="2406" t="s">
        <v>1589</v>
      </c>
      <c r="G185" s="2406"/>
      <c r="H185" s="2406">
        <v>2405.12</v>
      </c>
      <c r="I185" s="2406">
        <v>0.47</v>
      </c>
      <c r="J185" s="2408"/>
      <c r="K185" s="2406">
        <v>60792</v>
      </c>
      <c r="L185" s="2406">
        <v>24</v>
      </c>
      <c r="M185" s="2406" t="s">
        <v>1588</v>
      </c>
      <c r="N185" s="2406"/>
      <c r="O185" s="2406">
        <v>174899</v>
      </c>
      <c r="P185" s="2406">
        <v>116365</v>
      </c>
      <c r="Q185" s="2406" t="s">
        <v>1587</v>
      </c>
      <c r="R185" s="2406"/>
      <c r="S185" s="2406">
        <v>72.34</v>
      </c>
      <c r="T185" s="2406">
        <v>31.91</v>
      </c>
      <c r="U185" s="2406">
        <v>34.76</v>
      </c>
      <c r="V185" s="2406"/>
      <c r="W185" s="2406">
        <v>28</v>
      </c>
      <c r="X185" s="2406">
        <v>0</v>
      </c>
      <c r="Y185" s="2406">
        <v>0</v>
      </c>
      <c r="Z185" s="2406"/>
      <c r="AA185" s="2406"/>
      <c r="AB185" s="2406"/>
    </row>
    <row r="186" spans="1:28" s="1721" customFormat="1" ht="13.2">
      <c r="A186" s="2406">
        <v>58091715</v>
      </c>
      <c r="B186" s="2407">
        <v>45393</v>
      </c>
      <c r="C186" s="2406" t="s">
        <v>1136</v>
      </c>
      <c r="D186" s="2406">
        <v>58555</v>
      </c>
      <c r="E186" s="2406">
        <v>20</v>
      </c>
      <c r="F186" s="2406" t="s">
        <v>1589</v>
      </c>
      <c r="G186" s="2406"/>
      <c r="H186" s="2406">
        <v>2405.58</v>
      </c>
      <c r="I186" s="2406">
        <v>0.46</v>
      </c>
      <c r="J186" s="2408"/>
      <c r="K186" s="2406">
        <v>60816</v>
      </c>
      <c r="L186" s="2406">
        <v>24</v>
      </c>
      <c r="M186" s="2406" t="s">
        <v>1588</v>
      </c>
      <c r="N186" s="2406"/>
      <c r="O186" s="2406">
        <v>174931</v>
      </c>
      <c r="P186" s="2406">
        <v>116378</v>
      </c>
      <c r="Q186" s="2406" t="s">
        <v>1587</v>
      </c>
      <c r="R186" s="2406"/>
      <c r="S186" s="2406">
        <v>69.569999999999993</v>
      </c>
      <c r="T186" s="2406">
        <v>28.26</v>
      </c>
      <c r="U186" s="2406">
        <v>37.39</v>
      </c>
      <c r="V186" s="2406"/>
      <c r="W186" s="2406">
        <v>28</v>
      </c>
      <c r="X186" s="2406">
        <v>0</v>
      </c>
      <c r="Y186" s="2406">
        <v>0</v>
      </c>
      <c r="Z186" s="2406"/>
      <c r="AA186" s="2406"/>
      <c r="AB186" s="2406"/>
    </row>
    <row r="187" spans="1:28" s="1721" customFormat="1" ht="13.2">
      <c r="A187" s="2406">
        <v>58091715</v>
      </c>
      <c r="B187" s="2407">
        <v>45394</v>
      </c>
      <c r="C187" s="2406" t="s">
        <v>1130</v>
      </c>
      <c r="D187" s="2406">
        <v>58574</v>
      </c>
      <c r="E187" s="2406">
        <v>19</v>
      </c>
      <c r="F187" s="2406" t="s">
        <v>1589</v>
      </c>
      <c r="G187" s="2406"/>
      <c r="H187" s="2406">
        <v>2406.0300000000002</v>
      </c>
      <c r="I187" s="2406">
        <v>0.45</v>
      </c>
      <c r="J187" s="2408"/>
      <c r="K187" s="2406">
        <v>60840</v>
      </c>
      <c r="L187" s="2406">
        <v>24</v>
      </c>
      <c r="M187" s="2406" t="s">
        <v>1588</v>
      </c>
      <c r="N187" s="2406"/>
      <c r="O187" s="2406">
        <v>174964</v>
      </c>
      <c r="P187" s="2406">
        <v>116391</v>
      </c>
      <c r="Q187" s="2406" t="s">
        <v>1587</v>
      </c>
      <c r="R187" s="2406"/>
      <c r="S187" s="2406">
        <v>73.33</v>
      </c>
      <c r="T187" s="2406">
        <v>28.89</v>
      </c>
      <c r="U187" s="2406">
        <v>36.31</v>
      </c>
      <c r="V187" s="2406"/>
      <c r="W187" s="2406">
        <v>27</v>
      </c>
      <c r="X187" s="2406">
        <v>0</v>
      </c>
      <c r="Y187" s="2406">
        <v>0</v>
      </c>
      <c r="Z187" s="2406"/>
      <c r="AA187" s="2406"/>
      <c r="AB187" s="2406"/>
    </row>
    <row r="188" spans="1:28" s="1721" customFormat="1" ht="13.2">
      <c r="A188" s="2406">
        <v>58091715</v>
      </c>
      <c r="B188" s="2407">
        <v>45395</v>
      </c>
      <c r="C188" s="2406" t="s">
        <v>1128</v>
      </c>
      <c r="D188" s="2406">
        <v>58596</v>
      </c>
      <c r="E188" s="2406">
        <v>22</v>
      </c>
      <c r="F188" s="2406" t="s">
        <v>1589</v>
      </c>
      <c r="G188" s="2406"/>
      <c r="H188" s="2406">
        <v>2406.5100000000002</v>
      </c>
      <c r="I188" s="2406">
        <v>0.48</v>
      </c>
      <c r="J188" s="2408"/>
      <c r="K188" s="2406">
        <v>60864</v>
      </c>
      <c r="L188" s="2406">
        <v>24</v>
      </c>
      <c r="M188" s="2406" t="s">
        <v>1588</v>
      </c>
      <c r="N188" s="2406"/>
      <c r="O188" s="2406">
        <v>174998</v>
      </c>
      <c r="P188" s="2406">
        <v>116405</v>
      </c>
      <c r="Q188" s="2406" t="s">
        <v>1587</v>
      </c>
      <c r="R188" s="2406"/>
      <c r="S188" s="2406">
        <v>70.83</v>
      </c>
      <c r="T188" s="2406">
        <v>29.17</v>
      </c>
      <c r="U188" s="2406">
        <v>39.409999999999997</v>
      </c>
      <c r="V188" s="2406"/>
      <c r="W188" s="2406">
        <v>28</v>
      </c>
      <c r="X188" s="2406">
        <v>0</v>
      </c>
      <c r="Y188" s="2406">
        <v>0</v>
      </c>
      <c r="Z188" s="2406"/>
      <c r="AA188" s="2406"/>
      <c r="AB188" s="2406"/>
    </row>
    <row r="189" spans="1:28" s="1721" customFormat="1" ht="13.2">
      <c r="A189" s="2406">
        <v>58091715</v>
      </c>
      <c r="B189" s="2407">
        <v>45396</v>
      </c>
      <c r="C189" s="2406" t="s">
        <v>1139</v>
      </c>
      <c r="D189" s="2406">
        <v>58612</v>
      </c>
      <c r="E189" s="2406">
        <v>16</v>
      </c>
      <c r="F189" s="2406" t="s">
        <v>1589</v>
      </c>
      <c r="G189" s="2406"/>
      <c r="H189" s="2406">
        <v>2406.92</v>
      </c>
      <c r="I189" s="2406">
        <v>0.41</v>
      </c>
      <c r="J189" s="2408"/>
      <c r="K189" s="2406">
        <v>60888</v>
      </c>
      <c r="L189" s="2406">
        <v>24</v>
      </c>
      <c r="M189" s="2406" t="s">
        <v>1588</v>
      </c>
      <c r="N189" s="2406"/>
      <c r="O189" s="2406">
        <v>175027</v>
      </c>
      <c r="P189" s="2406">
        <v>116417</v>
      </c>
      <c r="Q189" s="2406" t="s">
        <v>1587</v>
      </c>
      <c r="R189" s="2406"/>
      <c r="S189" s="2406">
        <v>70.73</v>
      </c>
      <c r="T189" s="2406">
        <v>29.27</v>
      </c>
      <c r="U189" s="2406">
        <v>33.56</v>
      </c>
      <c r="V189" s="2406"/>
      <c r="W189" s="2406">
        <v>28</v>
      </c>
      <c r="X189" s="2406">
        <v>0</v>
      </c>
      <c r="Y189" s="2406">
        <v>0</v>
      </c>
      <c r="Z189" s="2406"/>
      <c r="AA189" s="2406"/>
      <c r="AB189" s="2406"/>
    </row>
    <row r="190" spans="1:28" s="1721" customFormat="1" ht="13.2">
      <c r="A190" s="2406">
        <v>58091715</v>
      </c>
      <c r="B190" s="2407">
        <v>45397</v>
      </c>
      <c r="C190" s="2406" t="s">
        <v>1138</v>
      </c>
      <c r="D190" s="2406">
        <v>58634</v>
      </c>
      <c r="E190" s="2406">
        <v>22</v>
      </c>
      <c r="F190" s="2406" t="s">
        <v>1589</v>
      </c>
      <c r="G190" s="2406"/>
      <c r="H190" s="2406">
        <v>2407.46</v>
      </c>
      <c r="I190" s="2406">
        <v>0.54</v>
      </c>
      <c r="J190" s="2408"/>
      <c r="K190" s="2406">
        <v>60912</v>
      </c>
      <c r="L190" s="2406">
        <v>24</v>
      </c>
      <c r="M190" s="2406" t="s">
        <v>1588</v>
      </c>
      <c r="N190" s="2406"/>
      <c r="O190" s="2406">
        <v>175066</v>
      </c>
      <c r="P190" s="2406">
        <v>116433</v>
      </c>
      <c r="Q190" s="2406" t="s">
        <v>1587</v>
      </c>
      <c r="R190" s="2406"/>
      <c r="S190" s="2406">
        <v>72.22</v>
      </c>
      <c r="T190" s="2406">
        <v>29.63</v>
      </c>
      <c r="U190" s="2406">
        <v>35.03</v>
      </c>
      <c r="V190" s="2406"/>
      <c r="W190" s="2406">
        <v>28</v>
      </c>
      <c r="X190" s="2406">
        <v>0</v>
      </c>
      <c r="Y190" s="2406">
        <v>0</v>
      </c>
      <c r="Z190" s="2406"/>
      <c r="AA190" s="2406"/>
      <c r="AB190" s="2406"/>
    </row>
    <row r="191" spans="1:28" s="1721" customFormat="1" ht="13.2">
      <c r="A191" s="2406">
        <v>58091715</v>
      </c>
      <c r="B191" s="2407">
        <v>45398</v>
      </c>
      <c r="C191" s="2406" t="s">
        <v>1137</v>
      </c>
      <c r="D191" s="2406">
        <v>58657</v>
      </c>
      <c r="E191" s="2406">
        <v>23</v>
      </c>
      <c r="F191" s="2406" t="s">
        <v>1589</v>
      </c>
      <c r="G191" s="2406"/>
      <c r="H191" s="2406">
        <v>2407.9899999999998</v>
      </c>
      <c r="I191" s="2406">
        <v>0.53</v>
      </c>
      <c r="J191" s="2408"/>
      <c r="K191" s="2406">
        <v>60936</v>
      </c>
      <c r="L191" s="2406">
        <v>24</v>
      </c>
      <c r="M191" s="2406" t="s">
        <v>1588</v>
      </c>
      <c r="N191" s="2406"/>
      <c r="O191" s="2406">
        <v>175105</v>
      </c>
      <c r="P191" s="2406">
        <v>116449</v>
      </c>
      <c r="Q191" s="2406" t="s">
        <v>1587</v>
      </c>
      <c r="R191" s="2406"/>
      <c r="S191" s="2406">
        <v>73.58</v>
      </c>
      <c r="T191" s="2406">
        <v>30.19</v>
      </c>
      <c r="U191" s="2406">
        <v>37.31</v>
      </c>
      <c r="V191" s="2406"/>
      <c r="W191" s="2406">
        <v>27</v>
      </c>
      <c r="X191" s="2406">
        <v>0</v>
      </c>
      <c r="Y191" s="2406">
        <v>0</v>
      </c>
      <c r="Z191" s="2406"/>
      <c r="AA191" s="2406"/>
      <c r="AB191" s="2406"/>
    </row>
    <row r="192" spans="1:28" s="1721" customFormat="1" ht="13.2">
      <c r="A192" s="2406">
        <v>58091715</v>
      </c>
      <c r="B192" s="2407">
        <v>45399</v>
      </c>
      <c r="C192" s="2406" t="s">
        <v>1131</v>
      </c>
      <c r="D192" s="2406">
        <v>58677</v>
      </c>
      <c r="E192" s="2406">
        <v>20</v>
      </c>
      <c r="F192" s="2406" t="s">
        <v>1589</v>
      </c>
      <c r="G192" s="2406"/>
      <c r="H192" s="2406">
        <v>2408.46</v>
      </c>
      <c r="I192" s="2406">
        <v>0.47</v>
      </c>
      <c r="J192" s="2408"/>
      <c r="K192" s="2406">
        <v>60960</v>
      </c>
      <c r="L192" s="2406">
        <v>24</v>
      </c>
      <c r="M192" s="2406" t="s">
        <v>1588</v>
      </c>
      <c r="N192" s="2406"/>
      <c r="O192" s="2406">
        <v>175138</v>
      </c>
      <c r="P192" s="2406">
        <v>116463</v>
      </c>
      <c r="Q192" s="2406" t="s">
        <v>1587</v>
      </c>
      <c r="R192" s="2406"/>
      <c r="S192" s="2406">
        <v>70.209999999999994</v>
      </c>
      <c r="T192" s="2406">
        <v>29.79</v>
      </c>
      <c r="U192" s="2406">
        <v>36.590000000000003</v>
      </c>
      <c r="V192" s="2406"/>
      <c r="W192" s="2406">
        <v>28</v>
      </c>
      <c r="X192" s="2406">
        <v>0</v>
      </c>
      <c r="Y192" s="2406">
        <v>0</v>
      </c>
      <c r="Z192" s="2406"/>
      <c r="AA192" s="2406"/>
      <c r="AB192" s="2406"/>
    </row>
    <row r="193" spans="1:28" s="1721" customFormat="1" ht="13.2">
      <c r="A193" s="2406">
        <v>58091715</v>
      </c>
      <c r="B193" s="2407">
        <v>45400</v>
      </c>
      <c r="C193" s="2406" t="s">
        <v>1136</v>
      </c>
      <c r="D193" s="2406">
        <v>58694</v>
      </c>
      <c r="E193" s="2406">
        <v>17</v>
      </c>
      <c r="F193" s="2406" t="s">
        <v>1589</v>
      </c>
      <c r="G193" s="2406"/>
      <c r="H193" s="2406">
        <v>2408.89</v>
      </c>
      <c r="I193" s="2406">
        <v>0.43</v>
      </c>
      <c r="J193" s="2408"/>
      <c r="K193" s="2406">
        <v>60984</v>
      </c>
      <c r="L193" s="2406">
        <v>24</v>
      </c>
      <c r="M193" s="2406" t="s">
        <v>1588</v>
      </c>
      <c r="N193" s="2406"/>
      <c r="O193" s="2406">
        <v>175168</v>
      </c>
      <c r="P193" s="2406">
        <v>116476</v>
      </c>
      <c r="Q193" s="2406" t="s">
        <v>1587</v>
      </c>
      <c r="R193" s="2406"/>
      <c r="S193" s="2406">
        <v>69.77</v>
      </c>
      <c r="T193" s="2406">
        <v>30.23</v>
      </c>
      <c r="U193" s="2406">
        <v>33.99</v>
      </c>
      <c r="V193" s="2406"/>
      <c r="W193" s="2406">
        <v>28</v>
      </c>
      <c r="X193" s="2406">
        <v>0</v>
      </c>
      <c r="Y193" s="2406">
        <v>0</v>
      </c>
      <c r="Z193" s="2406"/>
      <c r="AA193" s="2406"/>
      <c r="AB193" s="2406"/>
    </row>
    <row r="194" spans="1:28" s="1721" customFormat="1" ht="13.2">
      <c r="A194" s="2406">
        <v>58091715</v>
      </c>
      <c r="B194" s="2407">
        <v>45401</v>
      </c>
      <c r="C194" s="2406" t="s">
        <v>1130</v>
      </c>
      <c r="D194" s="2406">
        <v>58716</v>
      </c>
      <c r="E194" s="2406">
        <v>22</v>
      </c>
      <c r="F194" s="2406" t="s">
        <v>1589</v>
      </c>
      <c r="G194" s="2406"/>
      <c r="H194" s="2406">
        <v>2409.4</v>
      </c>
      <c r="I194" s="2406">
        <v>0.51</v>
      </c>
      <c r="J194" s="2408"/>
      <c r="K194" s="2406">
        <v>61008</v>
      </c>
      <c r="L194" s="2406">
        <v>24</v>
      </c>
      <c r="M194" s="2406" t="s">
        <v>1588</v>
      </c>
      <c r="N194" s="2406"/>
      <c r="O194" s="2406">
        <v>175206</v>
      </c>
      <c r="P194" s="2406">
        <v>116492</v>
      </c>
      <c r="Q194" s="2406" t="s">
        <v>1587</v>
      </c>
      <c r="R194" s="2406"/>
      <c r="S194" s="2406">
        <v>74.510000000000005</v>
      </c>
      <c r="T194" s="2406">
        <v>31.37</v>
      </c>
      <c r="U194" s="2406">
        <v>37.090000000000003</v>
      </c>
      <c r="V194" s="2406"/>
      <c r="W194" s="2406">
        <v>27</v>
      </c>
      <c r="X194" s="2406">
        <v>0</v>
      </c>
      <c r="Y194" s="2406">
        <v>0</v>
      </c>
      <c r="Z194" s="2406"/>
      <c r="AA194" s="2406"/>
      <c r="AB194" s="2406"/>
    </row>
    <row r="195" spans="1:28" s="1721" customFormat="1" ht="13.2">
      <c r="A195" s="2406">
        <v>58091715</v>
      </c>
      <c r="B195" s="2407">
        <v>45402</v>
      </c>
      <c r="C195" s="2406" t="s">
        <v>1128</v>
      </c>
      <c r="D195" s="2406">
        <v>58742</v>
      </c>
      <c r="E195" s="2406">
        <v>26</v>
      </c>
      <c r="F195" s="2406" t="s">
        <v>1589</v>
      </c>
      <c r="G195" s="2406"/>
      <c r="H195" s="2406">
        <v>2410</v>
      </c>
      <c r="I195" s="2406">
        <v>0.6</v>
      </c>
      <c r="J195" s="2408"/>
      <c r="K195" s="2406">
        <v>61032</v>
      </c>
      <c r="L195" s="2406">
        <v>24</v>
      </c>
      <c r="M195" s="2406" t="s">
        <v>1588</v>
      </c>
      <c r="N195" s="2406"/>
      <c r="O195" s="2406">
        <v>175249</v>
      </c>
      <c r="P195" s="2406">
        <v>116509</v>
      </c>
      <c r="Q195" s="2406" t="s">
        <v>1587</v>
      </c>
      <c r="R195" s="2406"/>
      <c r="S195" s="2406">
        <v>71.67</v>
      </c>
      <c r="T195" s="2406">
        <v>28.33</v>
      </c>
      <c r="U195" s="2406">
        <v>37.26</v>
      </c>
      <c r="V195" s="2406"/>
      <c r="W195" s="2406">
        <v>28</v>
      </c>
      <c r="X195" s="2406">
        <v>0</v>
      </c>
      <c r="Y195" s="2406">
        <v>0</v>
      </c>
      <c r="Z195" s="2406"/>
      <c r="AA195" s="2406"/>
      <c r="AB195" s="2406"/>
    </row>
    <row r="196" spans="1:28" s="1721" customFormat="1" ht="13.2">
      <c r="A196" s="2406">
        <v>58091715</v>
      </c>
      <c r="B196" s="2407">
        <v>45403</v>
      </c>
      <c r="C196" s="2406" t="s">
        <v>1139</v>
      </c>
      <c r="D196" s="2406">
        <v>58764</v>
      </c>
      <c r="E196" s="2406">
        <v>22</v>
      </c>
      <c r="F196" s="2406" t="s">
        <v>1589</v>
      </c>
      <c r="G196" s="2406"/>
      <c r="H196" s="2406">
        <v>2410.54</v>
      </c>
      <c r="I196" s="2406">
        <v>0.54</v>
      </c>
      <c r="J196" s="2408"/>
      <c r="K196" s="2406">
        <v>61056</v>
      </c>
      <c r="L196" s="2406">
        <v>24</v>
      </c>
      <c r="M196" s="2406" t="s">
        <v>1588</v>
      </c>
      <c r="N196" s="2406"/>
      <c r="O196" s="2406">
        <v>175289</v>
      </c>
      <c r="P196" s="2406">
        <v>116527</v>
      </c>
      <c r="Q196" s="2406" t="s">
        <v>1587</v>
      </c>
      <c r="R196" s="2406"/>
      <c r="S196" s="2406">
        <v>74.069999999999993</v>
      </c>
      <c r="T196" s="2406">
        <v>33.33</v>
      </c>
      <c r="U196" s="2406">
        <v>35.03</v>
      </c>
      <c r="V196" s="2406"/>
      <c r="W196" s="2406">
        <v>27</v>
      </c>
      <c r="X196" s="2406">
        <v>0</v>
      </c>
      <c r="Y196" s="2406">
        <v>0</v>
      </c>
      <c r="Z196" s="2406"/>
      <c r="AA196" s="2406"/>
      <c r="AB196" s="2406"/>
    </row>
    <row r="197" spans="1:28" s="1721" customFormat="1" ht="13.2">
      <c r="A197" s="2406">
        <v>58091715</v>
      </c>
      <c r="B197" s="2407">
        <v>45404</v>
      </c>
      <c r="C197" s="2406" t="s">
        <v>1138</v>
      </c>
      <c r="D197" s="2406">
        <v>58776</v>
      </c>
      <c r="E197" s="2406">
        <v>12</v>
      </c>
      <c r="F197" s="2406" t="s">
        <v>1589</v>
      </c>
      <c r="G197" s="2406"/>
      <c r="H197" s="2406">
        <v>2410.87</v>
      </c>
      <c r="I197" s="2406">
        <v>0.33</v>
      </c>
      <c r="J197" s="2408"/>
      <c r="K197" s="2406">
        <v>61080</v>
      </c>
      <c r="L197" s="2406">
        <v>24</v>
      </c>
      <c r="M197" s="2406" t="s">
        <v>1588</v>
      </c>
      <c r="N197" s="2406"/>
      <c r="O197" s="2406">
        <v>175311</v>
      </c>
      <c r="P197" s="2406">
        <v>116537</v>
      </c>
      <c r="Q197" s="2406" t="s">
        <v>1587</v>
      </c>
      <c r="R197" s="2406"/>
      <c r="S197" s="2406">
        <v>66.67</v>
      </c>
      <c r="T197" s="2406">
        <v>30.3</v>
      </c>
      <c r="U197" s="2406">
        <v>31.27</v>
      </c>
      <c r="V197" s="2406"/>
      <c r="W197" s="2406">
        <v>29</v>
      </c>
      <c r="X197" s="2406">
        <v>0</v>
      </c>
      <c r="Y197" s="2406">
        <v>0</v>
      </c>
      <c r="Z197" s="2406"/>
      <c r="AA197" s="2406"/>
      <c r="AB197" s="2406"/>
    </row>
    <row r="198" spans="1:28" s="1721" customFormat="1" ht="13.2">
      <c r="A198" s="2406">
        <v>58091715</v>
      </c>
      <c r="B198" s="2407">
        <v>45405</v>
      </c>
      <c r="C198" s="2406" t="s">
        <v>1137</v>
      </c>
      <c r="D198" s="2406">
        <v>58802</v>
      </c>
      <c r="E198" s="2406">
        <v>26</v>
      </c>
      <c r="F198" s="2406" t="s">
        <v>1589</v>
      </c>
      <c r="G198" s="2406"/>
      <c r="H198" s="2406">
        <v>2411.48</v>
      </c>
      <c r="I198" s="2406">
        <v>0.61</v>
      </c>
      <c r="J198" s="2408"/>
      <c r="K198" s="2406">
        <v>61104</v>
      </c>
      <c r="L198" s="2406">
        <v>24</v>
      </c>
      <c r="M198" s="2406" t="s">
        <v>1588</v>
      </c>
      <c r="N198" s="2406"/>
      <c r="O198" s="2406">
        <v>175357</v>
      </c>
      <c r="P198" s="2406">
        <v>116557</v>
      </c>
      <c r="Q198" s="2406" t="s">
        <v>1587</v>
      </c>
      <c r="R198" s="2406"/>
      <c r="S198" s="2406">
        <v>75.41</v>
      </c>
      <c r="T198" s="2406">
        <v>32.79</v>
      </c>
      <c r="U198" s="2406">
        <v>36.65</v>
      </c>
      <c r="V198" s="2406"/>
      <c r="W198" s="2406">
        <v>27</v>
      </c>
      <c r="X198" s="2406">
        <v>0</v>
      </c>
      <c r="Y198" s="2406">
        <v>0</v>
      </c>
      <c r="Z198" s="2406"/>
      <c r="AA198" s="2406"/>
      <c r="AB198" s="2406"/>
    </row>
    <row r="199" spans="1:28" s="1721" customFormat="1" ht="13.2">
      <c r="A199" s="2406">
        <v>58091715</v>
      </c>
      <c r="B199" s="2407">
        <v>45406</v>
      </c>
      <c r="C199" s="2406" t="s">
        <v>1131</v>
      </c>
      <c r="D199" s="2406">
        <v>58821</v>
      </c>
      <c r="E199" s="2406">
        <v>19</v>
      </c>
      <c r="F199" s="2406" t="s">
        <v>1589</v>
      </c>
      <c r="G199" s="2406"/>
      <c r="H199" s="2406">
        <v>2411.96</v>
      </c>
      <c r="I199" s="2406">
        <v>0.48</v>
      </c>
      <c r="J199" s="2408"/>
      <c r="K199" s="2406">
        <v>61128</v>
      </c>
      <c r="L199" s="2406">
        <v>24</v>
      </c>
      <c r="M199" s="2406" t="s">
        <v>1588</v>
      </c>
      <c r="N199" s="2406"/>
      <c r="O199" s="2406">
        <v>175391</v>
      </c>
      <c r="P199" s="2406">
        <v>116572</v>
      </c>
      <c r="Q199" s="2406" t="s">
        <v>1587</v>
      </c>
      <c r="R199" s="2406"/>
      <c r="S199" s="2406">
        <v>70.83</v>
      </c>
      <c r="T199" s="2406">
        <v>31.25</v>
      </c>
      <c r="U199" s="2406">
        <v>34.04</v>
      </c>
      <c r="V199" s="2406"/>
      <c r="W199" s="2406">
        <v>28</v>
      </c>
      <c r="X199" s="2406">
        <v>0</v>
      </c>
      <c r="Y199" s="2406">
        <v>0</v>
      </c>
      <c r="Z199" s="2406"/>
      <c r="AA199" s="2406"/>
      <c r="AB199" s="2406"/>
    </row>
    <row r="200" spans="1:28" s="1721" customFormat="1" ht="13.2">
      <c r="A200" s="2406">
        <v>58091715</v>
      </c>
      <c r="B200" s="2407">
        <v>45407</v>
      </c>
      <c r="C200" s="2406" t="s">
        <v>1136</v>
      </c>
      <c r="D200" s="2406">
        <v>58839</v>
      </c>
      <c r="E200" s="2406">
        <v>18</v>
      </c>
      <c r="F200" s="2406" t="s">
        <v>1589</v>
      </c>
      <c r="G200" s="2406"/>
      <c r="H200" s="2406">
        <v>2412.42</v>
      </c>
      <c r="I200" s="2406">
        <v>0.46</v>
      </c>
      <c r="J200" s="2408"/>
      <c r="K200" s="2406">
        <v>61152</v>
      </c>
      <c r="L200" s="2406">
        <v>24</v>
      </c>
      <c r="M200" s="2406" t="s">
        <v>1588</v>
      </c>
      <c r="N200" s="2406"/>
      <c r="O200" s="2406">
        <v>175424</v>
      </c>
      <c r="P200" s="2406">
        <v>116587</v>
      </c>
      <c r="Q200" s="2406" t="s">
        <v>1587</v>
      </c>
      <c r="R200" s="2406"/>
      <c r="S200" s="2406">
        <v>71.739999999999995</v>
      </c>
      <c r="T200" s="2406">
        <v>32.61</v>
      </c>
      <c r="U200" s="2406">
        <v>33.65</v>
      </c>
      <c r="V200" s="2406"/>
      <c r="W200" s="2406">
        <v>28</v>
      </c>
      <c r="X200" s="2406">
        <v>0</v>
      </c>
      <c r="Y200" s="2406">
        <v>0</v>
      </c>
      <c r="Z200" s="2406"/>
      <c r="AA200" s="2406"/>
      <c r="AB200" s="2406"/>
    </row>
    <row r="201" spans="1:28" s="1721" customFormat="1" ht="13.2">
      <c r="A201" s="2406">
        <v>58091715</v>
      </c>
      <c r="B201" s="2407">
        <v>45408</v>
      </c>
      <c r="C201" s="2406" t="s">
        <v>1130</v>
      </c>
      <c r="D201" s="2406">
        <v>58857</v>
      </c>
      <c r="E201" s="2406">
        <v>18</v>
      </c>
      <c r="F201" s="2406" t="s">
        <v>1589</v>
      </c>
      <c r="G201" s="2406"/>
      <c r="H201" s="2406">
        <v>2412.87</v>
      </c>
      <c r="I201" s="2406">
        <v>0.45</v>
      </c>
      <c r="J201" s="2408"/>
      <c r="K201" s="2406">
        <v>61176</v>
      </c>
      <c r="L201" s="2406">
        <v>24</v>
      </c>
      <c r="M201" s="2406" t="s">
        <v>1588</v>
      </c>
      <c r="N201" s="2406"/>
      <c r="O201" s="2406">
        <v>175456</v>
      </c>
      <c r="P201" s="2406">
        <v>116601</v>
      </c>
      <c r="Q201" s="2406" t="s">
        <v>1587</v>
      </c>
      <c r="R201" s="2406"/>
      <c r="S201" s="2406">
        <v>71.11</v>
      </c>
      <c r="T201" s="2406">
        <v>31.11</v>
      </c>
      <c r="U201" s="2406">
        <v>34.39</v>
      </c>
      <c r="V201" s="2406"/>
      <c r="W201" s="2406">
        <v>28</v>
      </c>
      <c r="X201" s="2406">
        <v>0</v>
      </c>
      <c r="Y201" s="2406">
        <v>0</v>
      </c>
      <c r="Z201" s="2406"/>
      <c r="AA201" s="2406"/>
      <c r="AB201" s="2406"/>
    </row>
    <row r="202" spans="1:28" s="1721" customFormat="1" ht="13.2">
      <c r="A202" s="2406">
        <v>58091715</v>
      </c>
      <c r="B202" s="2407">
        <v>45409</v>
      </c>
      <c r="C202" s="2406" t="s">
        <v>1128</v>
      </c>
      <c r="D202" s="2406">
        <v>58882</v>
      </c>
      <c r="E202" s="2406">
        <v>25</v>
      </c>
      <c r="F202" s="2406" t="s">
        <v>1589</v>
      </c>
      <c r="G202" s="2406"/>
      <c r="H202" s="2406">
        <v>2413.4899999999998</v>
      </c>
      <c r="I202" s="2406">
        <v>0.62</v>
      </c>
      <c r="J202" s="2408"/>
      <c r="K202" s="2406">
        <v>61200</v>
      </c>
      <c r="L202" s="2406">
        <v>24</v>
      </c>
      <c r="M202" s="2406" t="s">
        <v>1588</v>
      </c>
      <c r="N202" s="2406"/>
      <c r="O202" s="2406">
        <v>175502</v>
      </c>
      <c r="P202" s="2406">
        <v>116621</v>
      </c>
      <c r="Q202" s="2406" t="s">
        <v>1587</v>
      </c>
      <c r="R202" s="2406"/>
      <c r="S202" s="2406">
        <v>74.19</v>
      </c>
      <c r="T202" s="2406">
        <v>32.26</v>
      </c>
      <c r="U202" s="2406">
        <v>34.67</v>
      </c>
      <c r="V202" s="2406"/>
      <c r="W202" s="2406">
        <v>27</v>
      </c>
      <c r="X202" s="2406">
        <v>0</v>
      </c>
      <c r="Y202" s="2406">
        <v>0</v>
      </c>
      <c r="Z202" s="2406"/>
      <c r="AA202" s="2406"/>
      <c r="AB202" s="2406"/>
    </row>
    <row r="203" spans="1:28" s="1721" customFormat="1" ht="13.2">
      <c r="A203" s="2406">
        <v>58091715</v>
      </c>
      <c r="B203" s="2407">
        <v>45410</v>
      </c>
      <c r="C203" s="2406" t="s">
        <v>1139</v>
      </c>
      <c r="D203" s="2406">
        <v>58899</v>
      </c>
      <c r="E203" s="2406">
        <v>17</v>
      </c>
      <c r="F203" s="2406" t="s">
        <v>1589</v>
      </c>
      <c r="G203" s="2406"/>
      <c r="H203" s="2406">
        <v>2413.94</v>
      </c>
      <c r="I203" s="2406">
        <v>0.45</v>
      </c>
      <c r="J203" s="2408"/>
      <c r="K203" s="2406">
        <v>61224</v>
      </c>
      <c r="L203" s="2406">
        <v>24</v>
      </c>
      <c r="M203" s="2406" t="s">
        <v>1588</v>
      </c>
      <c r="N203" s="2406"/>
      <c r="O203" s="2406">
        <v>175533</v>
      </c>
      <c r="P203" s="2406">
        <v>116636</v>
      </c>
      <c r="Q203" s="2406" t="s">
        <v>1587</v>
      </c>
      <c r="R203" s="2406"/>
      <c r="S203" s="2406">
        <v>68.89</v>
      </c>
      <c r="T203" s="2406">
        <v>33.33</v>
      </c>
      <c r="U203" s="2406">
        <v>32.479999999999997</v>
      </c>
      <c r="V203" s="2406"/>
      <c r="W203" s="2406">
        <v>29</v>
      </c>
      <c r="X203" s="2406">
        <v>0</v>
      </c>
      <c r="Y203" s="2406">
        <v>0</v>
      </c>
      <c r="Z203" s="2406"/>
      <c r="AA203" s="2406"/>
      <c r="AB203" s="2406"/>
    </row>
    <row r="204" spans="1:28" s="1721" customFormat="1" ht="13.2">
      <c r="A204" s="2406">
        <v>58091715</v>
      </c>
      <c r="B204" s="2407">
        <v>45411</v>
      </c>
      <c r="C204" s="2406" t="s">
        <v>1138</v>
      </c>
      <c r="D204" s="2406">
        <v>58911</v>
      </c>
      <c r="E204" s="2406">
        <v>12</v>
      </c>
      <c r="F204" s="2406" t="s">
        <v>1589</v>
      </c>
      <c r="G204" s="2406"/>
      <c r="H204" s="2406">
        <v>2414.29</v>
      </c>
      <c r="I204" s="2406">
        <v>0.35</v>
      </c>
      <c r="J204" s="2408"/>
      <c r="K204" s="2406">
        <v>61248</v>
      </c>
      <c r="L204" s="2406">
        <v>24</v>
      </c>
      <c r="M204" s="2406" t="s">
        <v>1588</v>
      </c>
      <c r="N204" s="2406"/>
      <c r="O204" s="2406">
        <v>175557</v>
      </c>
      <c r="P204" s="2406">
        <v>116648</v>
      </c>
      <c r="Q204" s="2406" t="s">
        <v>1587</v>
      </c>
      <c r="R204" s="2406"/>
      <c r="S204" s="2406">
        <v>68.569999999999993</v>
      </c>
      <c r="T204" s="2406">
        <v>34.29</v>
      </c>
      <c r="U204" s="2406">
        <v>29.48</v>
      </c>
      <c r="V204" s="2406"/>
      <c r="W204" s="2406">
        <v>29</v>
      </c>
      <c r="X204" s="2406">
        <v>0</v>
      </c>
      <c r="Y204" s="2406">
        <v>0</v>
      </c>
      <c r="Z204" s="2406"/>
      <c r="AA204" s="2406"/>
      <c r="AB204" s="2406"/>
    </row>
    <row r="205" spans="1:28" s="1721" customFormat="1" ht="13.2">
      <c r="A205" s="2406">
        <v>58091715</v>
      </c>
      <c r="B205" s="2407">
        <v>45412</v>
      </c>
      <c r="C205" s="2406" t="s">
        <v>1137</v>
      </c>
      <c r="D205" s="2406">
        <v>58924</v>
      </c>
      <c r="E205" s="2406">
        <v>13</v>
      </c>
      <c r="F205" s="2406" t="s">
        <v>1589</v>
      </c>
      <c r="G205" s="2406"/>
      <c r="H205" s="2406">
        <v>2414.63</v>
      </c>
      <c r="I205" s="2406">
        <v>0.34</v>
      </c>
      <c r="J205" s="2408"/>
      <c r="K205" s="2406">
        <v>61272</v>
      </c>
      <c r="L205" s="2406">
        <v>24</v>
      </c>
      <c r="M205" s="2406" t="s">
        <v>1588</v>
      </c>
      <c r="N205" s="2406"/>
      <c r="O205" s="2406">
        <v>175581</v>
      </c>
      <c r="P205" s="2406">
        <v>116659</v>
      </c>
      <c r="Q205" s="2406" t="s">
        <v>1587</v>
      </c>
      <c r="R205" s="2406"/>
      <c r="S205" s="2406">
        <v>70.59</v>
      </c>
      <c r="T205" s="2406">
        <v>32.35</v>
      </c>
      <c r="U205" s="2406">
        <v>32.880000000000003</v>
      </c>
      <c r="V205" s="2406"/>
      <c r="W205" s="2406">
        <v>28</v>
      </c>
      <c r="X205" s="2406">
        <v>0</v>
      </c>
      <c r="Y205" s="2406">
        <v>0</v>
      </c>
      <c r="Z205" s="2406"/>
      <c r="AA205" s="2406"/>
      <c r="AB205" s="2406"/>
    </row>
    <row r="206" spans="1:28" s="1721" customFormat="1" ht="13.2">
      <c r="A206" s="2401">
        <v>58091715</v>
      </c>
      <c r="B206" s="2402">
        <v>45413</v>
      </c>
      <c r="C206" s="2401" t="s">
        <v>1131</v>
      </c>
      <c r="D206" s="2401">
        <v>58934</v>
      </c>
      <c r="E206" s="2401">
        <v>10</v>
      </c>
      <c r="F206" s="2401" t="s">
        <v>1589</v>
      </c>
      <c r="G206" s="2401"/>
      <c r="H206" s="2401">
        <v>2414.9499999999998</v>
      </c>
      <c r="I206" s="2401">
        <v>0.32</v>
      </c>
      <c r="J206" s="2403"/>
      <c r="K206" s="2401">
        <v>61296</v>
      </c>
      <c r="L206" s="2401">
        <v>24</v>
      </c>
      <c r="M206" s="2401" t="s">
        <v>1588</v>
      </c>
      <c r="N206" s="2401"/>
      <c r="O206" s="2401">
        <v>175602</v>
      </c>
      <c r="P206" s="2401">
        <v>116669</v>
      </c>
      <c r="Q206" s="2401" t="s">
        <v>1587</v>
      </c>
      <c r="R206" s="2401"/>
      <c r="S206" s="2401">
        <v>65.62</v>
      </c>
      <c r="T206" s="2401">
        <v>31.25</v>
      </c>
      <c r="U206" s="2401">
        <v>26.87</v>
      </c>
      <c r="V206" s="2401"/>
      <c r="W206" s="2401">
        <v>30</v>
      </c>
      <c r="X206" s="2401">
        <v>0</v>
      </c>
      <c r="Y206" s="2401">
        <v>0</v>
      </c>
      <c r="Z206" s="2401"/>
      <c r="AA206" s="2401"/>
      <c r="AB206" s="2401"/>
    </row>
    <row r="207" spans="1:28" s="1721" customFormat="1" ht="13.2">
      <c r="A207" s="2401">
        <v>58091715</v>
      </c>
      <c r="B207" s="2402">
        <v>45414</v>
      </c>
      <c r="C207" s="2401" t="s">
        <v>1136</v>
      </c>
      <c r="D207" s="2401">
        <v>58945</v>
      </c>
      <c r="E207" s="2401">
        <v>11</v>
      </c>
      <c r="F207" s="2401" t="s">
        <v>1589</v>
      </c>
      <c r="G207" s="2401"/>
      <c r="H207" s="2401">
        <v>2415.2800000000002</v>
      </c>
      <c r="I207" s="2401">
        <v>0.33</v>
      </c>
      <c r="J207" s="2403"/>
      <c r="K207" s="2401">
        <v>61320</v>
      </c>
      <c r="L207" s="2401">
        <v>24</v>
      </c>
      <c r="M207" s="2401" t="s">
        <v>1588</v>
      </c>
      <c r="N207" s="2401"/>
      <c r="O207" s="2401">
        <v>175625</v>
      </c>
      <c r="P207" s="2401">
        <v>116681</v>
      </c>
      <c r="Q207" s="2401" t="s">
        <v>1587</v>
      </c>
      <c r="R207" s="2401"/>
      <c r="S207" s="2401">
        <v>69.7</v>
      </c>
      <c r="T207" s="2401">
        <v>36.36</v>
      </c>
      <c r="U207" s="2401">
        <v>28.66</v>
      </c>
      <c r="V207" s="2401"/>
      <c r="W207" s="2401">
        <v>28</v>
      </c>
      <c r="X207" s="2401">
        <v>0</v>
      </c>
      <c r="Y207" s="2401">
        <v>0</v>
      </c>
      <c r="Z207" s="2401"/>
      <c r="AA207" s="2401"/>
      <c r="AB207" s="2401"/>
    </row>
    <row r="208" spans="1:28" s="1721" customFormat="1" ht="13.2">
      <c r="A208" s="2401">
        <v>58091715</v>
      </c>
      <c r="B208" s="2402">
        <v>45415</v>
      </c>
      <c r="C208" s="2401" t="s">
        <v>1130</v>
      </c>
      <c r="D208" s="2401">
        <v>58953</v>
      </c>
      <c r="E208" s="2401">
        <v>8</v>
      </c>
      <c r="F208" s="2401" t="s">
        <v>1589</v>
      </c>
      <c r="G208" s="2401"/>
      <c r="H208" s="2401">
        <v>2415.54</v>
      </c>
      <c r="I208" s="2401">
        <v>0.26</v>
      </c>
      <c r="J208" s="2403"/>
      <c r="K208" s="2401">
        <v>61344</v>
      </c>
      <c r="L208" s="2401">
        <v>24</v>
      </c>
      <c r="M208" s="2401" t="s">
        <v>1588</v>
      </c>
      <c r="N208" s="2401"/>
      <c r="O208" s="2401">
        <v>175641</v>
      </c>
      <c r="P208" s="2401">
        <v>116691</v>
      </c>
      <c r="Q208" s="2401" t="s">
        <v>1587</v>
      </c>
      <c r="R208" s="2401"/>
      <c r="S208" s="2401">
        <v>61.54</v>
      </c>
      <c r="T208" s="2401">
        <v>38.46</v>
      </c>
      <c r="U208" s="2401">
        <v>26.46</v>
      </c>
      <c r="V208" s="2401"/>
      <c r="W208" s="2401">
        <v>31</v>
      </c>
      <c r="X208" s="2401">
        <v>0</v>
      </c>
      <c r="Y208" s="2401">
        <v>0</v>
      </c>
      <c r="Z208" s="2401"/>
      <c r="AA208" s="2401"/>
      <c r="AB208" s="2401"/>
    </row>
    <row r="209" spans="1:28" s="1721" customFormat="1" ht="13.2">
      <c r="A209" s="2401">
        <v>58091715</v>
      </c>
      <c r="B209" s="2402">
        <v>45416</v>
      </c>
      <c r="C209" s="2401" t="s">
        <v>1128</v>
      </c>
      <c r="D209" s="2401">
        <v>58965</v>
      </c>
      <c r="E209" s="2401">
        <v>12</v>
      </c>
      <c r="F209" s="2401" t="s">
        <v>1589</v>
      </c>
      <c r="G209" s="2401"/>
      <c r="H209" s="2401">
        <v>2415.91</v>
      </c>
      <c r="I209" s="2401">
        <v>0.37</v>
      </c>
      <c r="J209" s="2403"/>
      <c r="K209" s="2401">
        <v>61368</v>
      </c>
      <c r="L209" s="2401">
        <v>24</v>
      </c>
      <c r="M209" s="2401" t="s">
        <v>1588</v>
      </c>
      <c r="N209" s="2401"/>
      <c r="O209" s="2401">
        <v>175667</v>
      </c>
      <c r="P209" s="2401">
        <v>116704</v>
      </c>
      <c r="Q209" s="2401" t="s">
        <v>1587</v>
      </c>
      <c r="R209" s="2401"/>
      <c r="S209" s="2401">
        <v>70.27</v>
      </c>
      <c r="T209" s="2401">
        <v>35.14</v>
      </c>
      <c r="U209" s="2401">
        <v>27.89</v>
      </c>
      <c r="V209" s="2401"/>
      <c r="W209" s="2401">
        <v>28</v>
      </c>
      <c r="X209" s="2401">
        <v>0</v>
      </c>
      <c r="Y209" s="2401">
        <v>0</v>
      </c>
      <c r="Z209" s="2401"/>
      <c r="AA209" s="2401"/>
      <c r="AB209" s="2401"/>
    </row>
    <row r="210" spans="1:28" s="1721" customFormat="1" ht="13.2">
      <c r="A210" s="2401">
        <v>58091715</v>
      </c>
      <c r="B210" s="2402">
        <v>45417</v>
      </c>
      <c r="C210" s="2401" t="s">
        <v>1139</v>
      </c>
      <c r="D210" s="2401">
        <v>58980</v>
      </c>
      <c r="E210" s="2401">
        <v>15</v>
      </c>
      <c r="F210" s="2401" t="s">
        <v>1589</v>
      </c>
      <c r="G210" s="2401"/>
      <c r="H210" s="2401">
        <v>2416.3200000000002</v>
      </c>
      <c r="I210" s="2401">
        <v>0.41</v>
      </c>
      <c r="J210" s="2403"/>
      <c r="K210" s="2401">
        <v>61392</v>
      </c>
      <c r="L210" s="2401">
        <v>24</v>
      </c>
      <c r="M210" s="2401" t="s">
        <v>1588</v>
      </c>
      <c r="N210" s="2401"/>
      <c r="O210" s="2401">
        <v>175695</v>
      </c>
      <c r="P210" s="2401">
        <v>116717</v>
      </c>
      <c r="Q210" s="2401" t="s">
        <v>1587</v>
      </c>
      <c r="R210" s="2401"/>
      <c r="S210" s="2401">
        <v>68.290000000000006</v>
      </c>
      <c r="T210" s="2401">
        <v>31.71</v>
      </c>
      <c r="U210" s="2401">
        <v>31.46</v>
      </c>
      <c r="V210" s="2401"/>
      <c r="W210" s="2401">
        <v>29</v>
      </c>
      <c r="X210" s="2401">
        <v>0</v>
      </c>
      <c r="Y210" s="2401">
        <v>0</v>
      </c>
      <c r="Z210" s="2401"/>
      <c r="AA210" s="2401"/>
      <c r="AB210" s="2401"/>
    </row>
    <row r="211" spans="1:28" s="1721" customFormat="1" ht="13.2">
      <c r="A211" s="2401"/>
      <c r="B211" s="2402">
        <v>45418</v>
      </c>
      <c r="C211" s="2401" t="s">
        <v>1138</v>
      </c>
      <c r="D211" s="2401"/>
      <c r="E211" s="2401"/>
      <c r="F211" s="2401"/>
      <c r="G211" s="2401"/>
      <c r="H211" s="2401"/>
      <c r="I211" s="2401"/>
      <c r="J211" s="2403"/>
      <c r="K211" s="2401"/>
      <c r="L211" s="2401"/>
      <c r="M211" s="2401"/>
      <c r="N211" s="2401"/>
      <c r="O211" s="2401"/>
      <c r="P211" s="2401"/>
      <c r="Q211" s="2401"/>
      <c r="R211" s="2401"/>
      <c r="S211" s="2401"/>
      <c r="T211" s="2401"/>
      <c r="U211" s="2401"/>
      <c r="V211" s="2401"/>
      <c r="W211" s="2401"/>
      <c r="X211" s="2401"/>
      <c r="Y211" s="2401"/>
      <c r="Z211" s="2401"/>
      <c r="AA211" s="2401"/>
      <c r="AB211" s="2401"/>
    </row>
    <row r="212" spans="1:28" s="1721" customFormat="1" ht="13.2">
      <c r="A212" s="2401"/>
      <c r="B212" s="2402">
        <v>45419</v>
      </c>
      <c r="C212" s="2401" t="s">
        <v>1137</v>
      </c>
      <c r="D212" s="2401"/>
      <c r="E212" s="2401"/>
      <c r="F212" s="2401"/>
      <c r="G212" s="2401"/>
      <c r="H212" s="2401"/>
      <c r="I212" s="2401"/>
      <c r="J212" s="2403"/>
      <c r="K212" s="2401"/>
      <c r="L212" s="2401"/>
      <c r="M212" s="2401"/>
      <c r="N212" s="2401"/>
      <c r="O212" s="2401"/>
      <c r="P212" s="2401"/>
      <c r="Q212" s="2401"/>
      <c r="R212" s="2401"/>
      <c r="S212" s="2401"/>
      <c r="T212" s="2401"/>
      <c r="U212" s="2401"/>
      <c r="V212" s="2401"/>
      <c r="W212" s="2401"/>
      <c r="X212" s="2401"/>
      <c r="Y212" s="2401"/>
      <c r="Z212" s="2401"/>
      <c r="AA212" s="2401"/>
      <c r="AB212" s="2401"/>
    </row>
    <row r="213" spans="1:28" s="1721" customFormat="1" ht="13.2">
      <c r="A213" s="2401"/>
      <c r="B213" s="2402">
        <v>45420</v>
      </c>
      <c r="C213" s="2401" t="s">
        <v>1131</v>
      </c>
      <c r="D213" s="2401"/>
      <c r="E213" s="2401"/>
      <c r="F213" s="2401"/>
      <c r="G213" s="2401"/>
      <c r="H213" s="2401"/>
      <c r="I213" s="2401"/>
      <c r="J213" s="2403"/>
      <c r="K213" s="2401"/>
      <c r="L213" s="2401"/>
      <c r="M213" s="2401"/>
      <c r="N213" s="2401"/>
      <c r="O213" s="2401"/>
      <c r="P213" s="2401"/>
      <c r="Q213" s="2401"/>
      <c r="R213" s="2401"/>
      <c r="S213" s="2401"/>
      <c r="T213" s="2401"/>
      <c r="U213" s="2401"/>
      <c r="V213" s="2401"/>
      <c r="W213" s="2401"/>
      <c r="X213" s="2401"/>
      <c r="Y213" s="2401"/>
      <c r="Z213" s="2401"/>
      <c r="AA213" s="2401"/>
      <c r="AB213" s="2401"/>
    </row>
    <row r="214" spans="1:28" s="1721" customFormat="1" ht="13.2">
      <c r="A214" s="2401"/>
      <c r="B214" s="2402">
        <v>45421</v>
      </c>
      <c r="C214" s="2401" t="s">
        <v>1136</v>
      </c>
      <c r="D214" s="2401"/>
      <c r="E214" s="2401"/>
      <c r="F214" s="2401"/>
      <c r="G214" s="2401"/>
      <c r="H214" s="2401"/>
      <c r="I214" s="2401"/>
      <c r="J214" s="2403"/>
      <c r="K214" s="2401"/>
      <c r="L214" s="2401"/>
      <c r="M214" s="2401"/>
      <c r="N214" s="2401"/>
      <c r="O214" s="2401"/>
      <c r="P214" s="2401"/>
      <c r="Q214" s="2401"/>
      <c r="R214" s="2401"/>
      <c r="S214" s="2401"/>
      <c r="T214" s="2401"/>
      <c r="U214" s="2401"/>
      <c r="V214" s="2401"/>
      <c r="W214" s="2401"/>
      <c r="X214" s="2401"/>
      <c r="Y214" s="2401"/>
      <c r="Z214" s="2401"/>
      <c r="AA214" s="2401"/>
      <c r="AB214" s="2401"/>
    </row>
    <row r="215" spans="1:28" s="1721" customFormat="1" ht="13.2">
      <c r="A215" s="2401"/>
      <c r="B215" s="2402">
        <v>45422</v>
      </c>
      <c r="C215" s="2401" t="s">
        <v>1130</v>
      </c>
      <c r="D215" s="2401"/>
      <c r="E215" s="2401"/>
      <c r="F215" s="2401"/>
      <c r="G215" s="2401"/>
      <c r="H215" s="2401"/>
      <c r="I215" s="2401"/>
      <c r="J215" s="2403"/>
      <c r="K215" s="2401"/>
      <c r="L215" s="2401"/>
      <c r="M215" s="2401"/>
      <c r="N215" s="2401"/>
      <c r="O215" s="2401"/>
      <c r="P215" s="2401"/>
      <c r="Q215" s="2401"/>
      <c r="R215" s="2401"/>
      <c r="S215" s="2401"/>
      <c r="T215" s="2401"/>
      <c r="U215" s="2401"/>
      <c r="V215" s="2401"/>
      <c r="W215" s="2401"/>
      <c r="X215" s="2401"/>
      <c r="Y215" s="2401"/>
      <c r="Z215" s="2401"/>
      <c r="AA215" s="2401"/>
      <c r="AB215" s="2401"/>
    </row>
    <row r="216" spans="1:28" s="1721" customFormat="1" ht="13.2">
      <c r="A216" s="2401"/>
      <c r="B216" s="2402">
        <v>45423</v>
      </c>
      <c r="C216" s="2401" t="s">
        <v>1128</v>
      </c>
      <c r="D216" s="2401"/>
      <c r="E216" s="2401"/>
      <c r="F216" s="2401"/>
      <c r="G216" s="2401"/>
      <c r="H216" s="2401"/>
      <c r="I216" s="2401"/>
      <c r="J216" s="2403"/>
      <c r="K216" s="2401"/>
      <c r="L216" s="2401"/>
      <c r="M216" s="2401"/>
      <c r="N216" s="2401"/>
      <c r="O216" s="2401"/>
      <c r="P216" s="2401"/>
      <c r="Q216" s="2401"/>
      <c r="R216" s="2401"/>
      <c r="S216" s="2401"/>
      <c r="T216" s="2401"/>
      <c r="U216" s="2401"/>
      <c r="V216" s="2401"/>
      <c r="W216" s="2401"/>
      <c r="X216" s="2401"/>
      <c r="Y216" s="2401"/>
      <c r="Z216" s="2401"/>
      <c r="AA216" s="2401"/>
      <c r="AB216" s="2401"/>
    </row>
    <row r="217" spans="1:28" s="1721" customFormat="1" ht="13.2">
      <c r="A217" s="2401"/>
      <c r="B217" s="2402">
        <v>45424</v>
      </c>
      <c r="C217" s="2401" t="s">
        <v>1139</v>
      </c>
      <c r="D217" s="2401"/>
      <c r="E217" s="2401"/>
      <c r="F217" s="2401"/>
      <c r="G217" s="2401"/>
      <c r="H217" s="2401"/>
      <c r="I217" s="2401"/>
      <c r="J217" s="2403"/>
      <c r="K217" s="2401"/>
      <c r="L217" s="2401"/>
      <c r="M217" s="2401"/>
      <c r="N217" s="2401"/>
      <c r="O217" s="2401"/>
      <c r="P217" s="2401"/>
      <c r="Q217" s="2401"/>
      <c r="R217" s="2401"/>
      <c r="S217" s="2401"/>
      <c r="T217" s="2401"/>
      <c r="U217" s="2401"/>
      <c r="V217" s="2401"/>
      <c r="W217" s="2401"/>
      <c r="X217" s="2401"/>
      <c r="Y217" s="2401"/>
      <c r="Z217" s="2401"/>
      <c r="AA217" s="2401"/>
      <c r="AB217" s="2401"/>
    </row>
    <row r="218" spans="1:28" s="1721" customFormat="1" ht="13.2">
      <c r="A218" s="2401"/>
      <c r="B218" s="2402">
        <v>45425</v>
      </c>
      <c r="C218" s="2401" t="s">
        <v>1138</v>
      </c>
      <c r="D218" s="2401"/>
      <c r="E218" s="2401"/>
      <c r="F218" s="2401"/>
      <c r="G218" s="2401"/>
      <c r="H218" s="2401"/>
      <c r="I218" s="2401"/>
      <c r="J218" s="2403"/>
      <c r="K218" s="2401"/>
      <c r="L218" s="2401"/>
      <c r="M218" s="2401"/>
      <c r="N218" s="2401"/>
      <c r="O218" s="2401"/>
      <c r="P218" s="2401"/>
      <c r="Q218" s="2401"/>
      <c r="R218" s="2401"/>
      <c r="S218" s="2401"/>
      <c r="T218" s="2401"/>
      <c r="U218" s="2401"/>
      <c r="V218" s="2401"/>
      <c r="W218" s="2401"/>
      <c r="X218" s="2401"/>
      <c r="Y218" s="2401"/>
      <c r="Z218" s="2401"/>
      <c r="AA218" s="2401"/>
      <c r="AB218" s="2401"/>
    </row>
    <row r="219" spans="1:28" s="1721" customFormat="1" ht="13.2">
      <c r="A219" s="2401"/>
      <c r="B219" s="2402">
        <v>45426</v>
      </c>
      <c r="C219" s="2401" t="s">
        <v>1137</v>
      </c>
      <c r="D219" s="2401"/>
      <c r="E219" s="2401"/>
      <c r="F219" s="2401"/>
      <c r="G219" s="2401"/>
      <c r="H219" s="2401"/>
      <c r="I219" s="2401"/>
      <c r="J219" s="2403"/>
      <c r="K219" s="2401"/>
      <c r="L219" s="2401"/>
      <c r="M219" s="2401"/>
      <c r="N219" s="2401"/>
      <c r="O219" s="2401"/>
      <c r="P219" s="2401"/>
      <c r="Q219" s="2401"/>
      <c r="R219" s="2401"/>
      <c r="S219" s="2401"/>
      <c r="T219" s="2401"/>
      <c r="U219" s="2401"/>
      <c r="V219" s="2401"/>
      <c r="W219" s="2401"/>
      <c r="X219" s="2401"/>
      <c r="Y219" s="2401"/>
      <c r="Z219" s="2401"/>
      <c r="AA219" s="2401"/>
      <c r="AB219" s="2401"/>
    </row>
    <row r="220" spans="1:28" s="1721" customFormat="1" ht="13.2">
      <c r="A220" s="2401"/>
      <c r="B220" s="2402">
        <v>45427</v>
      </c>
      <c r="C220" s="2401" t="s">
        <v>1131</v>
      </c>
      <c r="D220" s="2401"/>
      <c r="E220" s="2401"/>
      <c r="F220" s="2401"/>
      <c r="G220" s="2401"/>
      <c r="H220" s="2401"/>
      <c r="I220" s="2401"/>
      <c r="J220" s="2403"/>
      <c r="K220" s="2401"/>
      <c r="L220" s="2401"/>
      <c r="M220" s="2401"/>
      <c r="N220" s="2401"/>
      <c r="O220" s="2401"/>
      <c r="P220" s="2401"/>
      <c r="Q220" s="2401"/>
      <c r="R220" s="2401"/>
      <c r="S220" s="2401"/>
      <c r="T220" s="2401"/>
      <c r="U220" s="2401"/>
      <c r="V220" s="2401"/>
      <c r="W220" s="2401"/>
      <c r="X220" s="2401"/>
      <c r="Y220" s="2401"/>
      <c r="Z220" s="2401"/>
      <c r="AA220" s="2401"/>
      <c r="AB220" s="2401"/>
    </row>
    <row r="221" spans="1:28" s="1721" customFormat="1" ht="13.2">
      <c r="A221" s="2401"/>
      <c r="B221" s="2402">
        <v>45428</v>
      </c>
      <c r="C221" s="2401" t="s">
        <v>1136</v>
      </c>
      <c r="D221" s="2401"/>
      <c r="E221" s="2401"/>
      <c r="F221" s="2401"/>
      <c r="G221" s="2401"/>
      <c r="H221" s="2401"/>
      <c r="I221" s="2401"/>
      <c r="J221" s="2403"/>
      <c r="K221" s="2401"/>
      <c r="L221" s="2401"/>
      <c r="M221" s="2401"/>
      <c r="N221" s="2401"/>
      <c r="O221" s="2401"/>
      <c r="P221" s="2401"/>
      <c r="Q221" s="2401"/>
      <c r="R221" s="2401"/>
      <c r="S221" s="2401"/>
      <c r="T221" s="2401"/>
      <c r="U221" s="2401"/>
      <c r="V221" s="2401"/>
      <c r="W221" s="2401"/>
      <c r="X221" s="2401"/>
      <c r="Y221" s="2401"/>
      <c r="Z221" s="2401"/>
      <c r="AA221" s="2401"/>
      <c r="AB221" s="2401"/>
    </row>
    <row r="222" spans="1:28" s="1721" customFormat="1" ht="13.2">
      <c r="A222" s="2401"/>
      <c r="B222" s="2402">
        <v>45429</v>
      </c>
      <c r="C222" s="2401" t="s">
        <v>1130</v>
      </c>
      <c r="D222" s="2401"/>
      <c r="E222" s="2401"/>
      <c r="F222" s="2401"/>
      <c r="G222" s="2401"/>
      <c r="H222" s="2401"/>
      <c r="I222" s="2401"/>
      <c r="J222" s="2403"/>
      <c r="K222" s="2401"/>
      <c r="L222" s="2401"/>
      <c r="M222" s="2401"/>
      <c r="N222" s="2401"/>
      <c r="O222" s="2401"/>
      <c r="P222" s="2401"/>
      <c r="Q222" s="2401"/>
      <c r="R222" s="2401"/>
      <c r="S222" s="2401"/>
      <c r="T222" s="2401"/>
      <c r="U222" s="2401"/>
      <c r="V222" s="2401"/>
      <c r="W222" s="2401"/>
      <c r="X222" s="2401"/>
      <c r="Y222" s="2401"/>
      <c r="Z222" s="2401"/>
      <c r="AA222" s="2401"/>
      <c r="AB222" s="2401"/>
    </row>
    <row r="223" spans="1:28" s="1721" customFormat="1" ht="13.2">
      <c r="A223" s="2401"/>
      <c r="B223" s="2402">
        <v>45430</v>
      </c>
      <c r="C223" s="2401" t="s">
        <v>1128</v>
      </c>
      <c r="D223" s="2401"/>
      <c r="E223" s="2401"/>
      <c r="F223" s="2401"/>
      <c r="G223" s="2401"/>
      <c r="H223" s="2401"/>
      <c r="I223" s="2401"/>
      <c r="J223" s="2403"/>
      <c r="K223" s="2401"/>
      <c r="L223" s="2401"/>
      <c r="M223" s="2401"/>
      <c r="N223" s="2401"/>
      <c r="O223" s="2401"/>
      <c r="P223" s="2401"/>
      <c r="Q223" s="2401"/>
      <c r="R223" s="2401"/>
      <c r="S223" s="2401"/>
      <c r="T223" s="2401"/>
      <c r="U223" s="2401"/>
      <c r="V223" s="2401"/>
      <c r="W223" s="2401"/>
      <c r="X223" s="2401"/>
      <c r="Y223" s="2401"/>
      <c r="Z223" s="2401"/>
      <c r="AA223" s="2401"/>
      <c r="AB223" s="2401"/>
    </row>
    <row r="224" spans="1:28" s="1721" customFormat="1" ht="13.2">
      <c r="A224" s="2401"/>
      <c r="B224" s="2402">
        <v>45431</v>
      </c>
      <c r="C224" s="2401" t="s">
        <v>1139</v>
      </c>
      <c r="D224" s="2401"/>
      <c r="E224" s="2401"/>
      <c r="F224" s="2401"/>
      <c r="G224" s="2401"/>
      <c r="H224" s="2401"/>
      <c r="I224" s="2401"/>
      <c r="J224" s="2403"/>
      <c r="K224" s="2401"/>
      <c r="L224" s="2401"/>
      <c r="M224" s="2401"/>
      <c r="N224" s="2401"/>
      <c r="O224" s="2401"/>
      <c r="P224" s="2401"/>
      <c r="Q224" s="2401"/>
      <c r="R224" s="2401"/>
      <c r="S224" s="2401"/>
      <c r="T224" s="2401"/>
      <c r="U224" s="2401"/>
      <c r="V224" s="2401"/>
      <c r="W224" s="2401"/>
      <c r="X224" s="2401"/>
      <c r="Y224" s="2401"/>
      <c r="Z224" s="2401"/>
      <c r="AA224" s="2401"/>
      <c r="AB224" s="2401"/>
    </row>
    <row r="225" spans="1:28" s="1721" customFormat="1" ht="13.2">
      <c r="A225" s="2401"/>
      <c r="B225" s="2402">
        <v>45432</v>
      </c>
      <c r="C225" s="2401" t="s">
        <v>1138</v>
      </c>
      <c r="D225" s="2401"/>
      <c r="E225" s="2401"/>
      <c r="F225" s="2401"/>
      <c r="G225" s="2401"/>
      <c r="H225" s="2401"/>
      <c r="I225" s="2401"/>
      <c r="J225" s="2403"/>
      <c r="K225" s="2401"/>
      <c r="L225" s="2401"/>
      <c r="M225" s="2401"/>
      <c r="N225" s="2401"/>
      <c r="O225" s="2401"/>
      <c r="P225" s="2401"/>
      <c r="Q225" s="2401"/>
      <c r="R225" s="2401"/>
      <c r="S225" s="2401"/>
      <c r="T225" s="2401"/>
      <c r="U225" s="2401"/>
      <c r="V225" s="2401"/>
      <c r="W225" s="2401"/>
      <c r="X225" s="2401"/>
      <c r="Y225" s="2401"/>
      <c r="Z225" s="2401"/>
      <c r="AA225" s="2401"/>
      <c r="AB225" s="2401"/>
    </row>
    <row r="226" spans="1:28" s="1721" customFormat="1" ht="13.2">
      <c r="A226" s="2401"/>
      <c r="B226" s="2402">
        <v>45433</v>
      </c>
      <c r="C226" s="2401" t="s">
        <v>1137</v>
      </c>
      <c r="D226" s="2401"/>
      <c r="E226" s="2401"/>
      <c r="F226" s="2401"/>
      <c r="G226" s="2401"/>
      <c r="H226" s="2401"/>
      <c r="I226" s="2401"/>
      <c r="J226" s="2403"/>
      <c r="K226" s="2401"/>
      <c r="L226" s="2401"/>
      <c r="M226" s="2401"/>
      <c r="N226" s="2401"/>
      <c r="O226" s="2401"/>
      <c r="P226" s="2401"/>
      <c r="Q226" s="2401"/>
      <c r="R226" s="2401"/>
      <c r="S226" s="2401"/>
      <c r="T226" s="2401"/>
      <c r="U226" s="2401"/>
      <c r="V226" s="2401"/>
      <c r="W226" s="2401"/>
      <c r="X226" s="2401"/>
      <c r="Y226" s="2401"/>
      <c r="Z226" s="2401"/>
      <c r="AA226" s="2401"/>
      <c r="AB226" s="2401"/>
    </row>
    <row r="227" spans="1:28" s="1721" customFormat="1" ht="13.2">
      <c r="A227" s="2401"/>
      <c r="B227" s="2402">
        <v>45434</v>
      </c>
      <c r="C227" s="2401" t="s">
        <v>1131</v>
      </c>
      <c r="D227" s="2401"/>
      <c r="E227" s="2401"/>
      <c r="F227" s="2401"/>
      <c r="G227" s="2401"/>
      <c r="H227" s="2401"/>
      <c r="I227" s="2401"/>
      <c r="J227" s="2403"/>
      <c r="K227" s="2401"/>
      <c r="L227" s="2401"/>
      <c r="M227" s="2401"/>
      <c r="N227" s="2401"/>
      <c r="O227" s="2401"/>
      <c r="P227" s="2401"/>
      <c r="Q227" s="2401"/>
      <c r="R227" s="2401"/>
      <c r="S227" s="2401"/>
      <c r="T227" s="2401"/>
      <c r="U227" s="2401"/>
      <c r="V227" s="2401"/>
      <c r="W227" s="2401"/>
      <c r="X227" s="2401"/>
      <c r="Y227" s="2401"/>
      <c r="Z227" s="2401"/>
      <c r="AA227" s="2401"/>
      <c r="AB227" s="2401"/>
    </row>
    <row r="228" spans="1:28" s="1721" customFormat="1" ht="13.2">
      <c r="A228" s="2401"/>
      <c r="B228" s="2402">
        <v>45435</v>
      </c>
      <c r="C228" s="2401" t="s">
        <v>1136</v>
      </c>
      <c r="D228" s="2401"/>
      <c r="E228" s="2401"/>
      <c r="F228" s="2401"/>
      <c r="G228" s="2401"/>
      <c r="H228" s="2401"/>
      <c r="I228" s="2401"/>
      <c r="J228" s="2403"/>
      <c r="K228" s="2401"/>
      <c r="L228" s="2401"/>
      <c r="M228" s="2401"/>
      <c r="N228" s="2401"/>
      <c r="O228" s="2401"/>
      <c r="P228" s="2401"/>
      <c r="Q228" s="2401"/>
      <c r="R228" s="2401"/>
      <c r="S228" s="2401"/>
      <c r="T228" s="2401"/>
      <c r="U228" s="2401"/>
      <c r="V228" s="2401"/>
      <c r="W228" s="2401"/>
      <c r="X228" s="2401"/>
      <c r="Y228" s="2401"/>
      <c r="Z228" s="2401"/>
      <c r="AA228" s="2401"/>
      <c r="AB228" s="2401"/>
    </row>
    <row r="229" spans="1:28" s="1721" customFormat="1" ht="13.2">
      <c r="A229" s="2401"/>
      <c r="B229" s="2402">
        <v>45436</v>
      </c>
      <c r="C229" s="2401" t="s">
        <v>1130</v>
      </c>
      <c r="D229" s="2401"/>
      <c r="E229" s="2401"/>
      <c r="F229" s="2401"/>
      <c r="G229" s="2401"/>
      <c r="H229" s="2401"/>
      <c r="I229" s="2401"/>
      <c r="J229" s="2403"/>
      <c r="K229" s="2401"/>
      <c r="L229" s="2401"/>
      <c r="M229" s="2401"/>
      <c r="N229" s="2401"/>
      <c r="O229" s="2401"/>
      <c r="P229" s="2401"/>
      <c r="Q229" s="2401"/>
      <c r="R229" s="2401"/>
      <c r="S229" s="2401"/>
      <c r="T229" s="2401"/>
      <c r="U229" s="2401"/>
      <c r="V229" s="2401"/>
      <c r="W229" s="2401"/>
      <c r="X229" s="2401"/>
      <c r="Y229" s="2401"/>
      <c r="Z229" s="2401"/>
      <c r="AA229" s="2401"/>
      <c r="AB229" s="2401"/>
    </row>
    <row r="230" spans="1:28" s="1721" customFormat="1" ht="13.2">
      <c r="A230" s="2401"/>
      <c r="B230" s="2402">
        <v>45437</v>
      </c>
      <c r="C230" s="2401" t="s">
        <v>1128</v>
      </c>
      <c r="D230" s="2401"/>
      <c r="E230" s="2401"/>
      <c r="F230" s="2401"/>
      <c r="G230" s="2401"/>
      <c r="H230" s="2401"/>
      <c r="I230" s="2401"/>
      <c r="J230" s="2403"/>
      <c r="K230" s="2401"/>
      <c r="L230" s="2401"/>
      <c r="M230" s="2401"/>
      <c r="N230" s="2401"/>
      <c r="O230" s="2401"/>
      <c r="P230" s="2401"/>
      <c r="Q230" s="2401"/>
      <c r="R230" s="2401"/>
      <c r="S230" s="2401"/>
      <c r="T230" s="2401"/>
      <c r="U230" s="2401"/>
      <c r="V230" s="2401"/>
      <c r="W230" s="2401"/>
      <c r="X230" s="2401"/>
      <c r="Y230" s="2401"/>
      <c r="Z230" s="2401"/>
      <c r="AA230" s="2401"/>
      <c r="AB230" s="2401"/>
    </row>
    <row r="231" spans="1:28" s="1721" customFormat="1" ht="13.2">
      <c r="A231" s="2401"/>
      <c r="B231" s="2402">
        <v>45438</v>
      </c>
      <c r="C231" s="2401" t="s">
        <v>1139</v>
      </c>
      <c r="D231" s="2401"/>
      <c r="E231" s="2401"/>
      <c r="F231" s="2401"/>
      <c r="G231" s="2401"/>
      <c r="H231" s="2401"/>
      <c r="I231" s="2401"/>
      <c r="J231" s="2403"/>
      <c r="K231" s="2401"/>
      <c r="L231" s="2401"/>
      <c r="M231" s="2401"/>
      <c r="N231" s="2401"/>
      <c r="O231" s="2401"/>
      <c r="P231" s="2401"/>
      <c r="Q231" s="2401"/>
      <c r="R231" s="2401"/>
      <c r="S231" s="2401"/>
      <c r="T231" s="2401"/>
      <c r="U231" s="2401"/>
      <c r="V231" s="2401"/>
      <c r="W231" s="2401"/>
      <c r="X231" s="2401"/>
      <c r="Y231" s="2401"/>
      <c r="Z231" s="2401"/>
      <c r="AA231" s="2401"/>
      <c r="AB231" s="2401"/>
    </row>
    <row r="232" spans="1:28" s="1721" customFormat="1" ht="13.2">
      <c r="A232" s="2401"/>
      <c r="B232" s="2402">
        <v>45439</v>
      </c>
      <c r="C232" s="2401" t="s">
        <v>1138</v>
      </c>
      <c r="D232" s="2401"/>
      <c r="E232" s="2401"/>
      <c r="F232" s="2401"/>
      <c r="G232" s="2401"/>
      <c r="H232" s="2401"/>
      <c r="I232" s="2401"/>
      <c r="J232" s="2403"/>
      <c r="K232" s="2401"/>
      <c r="L232" s="2401"/>
      <c r="M232" s="2401"/>
      <c r="N232" s="2401"/>
      <c r="O232" s="2401"/>
      <c r="P232" s="2401"/>
      <c r="Q232" s="2401"/>
      <c r="R232" s="2401"/>
      <c r="S232" s="2401"/>
      <c r="T232" s="2401"/>
      <c r="U232" s="2401"/>
      <c r="V232" s="2401"/>
      <c r="W232" s="2401"/>
      <c r="X232" s="2401"/>
      <c r="Y232" s="2401"/>
      <c r="Z232" s="2401"/>
      <c r="AA232" s="2401"/>
      <c r="AB232" s="2401"/>
    </row>
    <row r="233" spans="1:28" s="1721" customFormat="1" ht="13.2">
      <c r="A233" s="2401"/>
      <c r="B233" s="2402">
        <v>45440</v>
      </c>
      <c r="C233" s="2401" t="s">
        <v>1137</v>
      </c>
      <c r="D233" s="2401"/>
      <c r="E233" s="2401"/>
      <c r="F233" s="2401"/>
      <c r="G233" s="2401"/>
      <c r="H233" s="2401"/>
      <c r="I233" s="2401"/>
      <c r="J233" s="2403"/>
      <c r="K233" s="2401"/>
      <c r="L233" s="2401"/>
      <c r="M233" s="2401"/>
      <c r="N233" s="2401"/>
      <c r="O233" s="2401"/>
      <c r="P233" s="2401"/>
      <c r="Q233" s="2401"/>
      <c r="R233" s="2401"/>
      <c r="S233" s="2401"/>
      <c r="T233" s="2401"/>
      <c r="U233" s="2401"/>
      <c r="V233" s="2401"/>
      <c r="W233" s="2401"/>
      <c r="X233" s="2401"/>
      <c r="Y233" s="2401"/>
      <c r="Z233" s="2401"/>
      <c r="AA233" s="2401"/>
      <c r="AB233" s="2401"/>
    </row>
    <row r="234" spans="1:28" s="1721" customFormat="1" ht="13.2">
      <c r="A234" s="2401"/>
      <c r="B234" s="2402">
        <v>45441</v>
      </c>
      <c r="C234" s="2401" t="s">
        <v>1131</v>
      </c>
      <c r="D234" s="2401"/>
      <c r="E234" s="2401"/>
      <c r="F234" s="2401"/>
      <c r="G234" s="2401"/>
      <c r="H234" s="2401"/>
      <c r="I234" s="2401"/>
      <c r="J234" s="2403"/>
      <c r="K234" s="2401"/>
      <c r="L234" s="2401"/>
      <c r="M234" s="2401"/>
      <c r="N234" s="2401"/>
      <c r="O234" s="2401"/>
      <c r="P234" s="2401"/>
      <c r="Q234" s="2401"/>
      <c r="R234" s="2401"/>
      <c r="S234" s="2401"/>
      <c r="T234" s="2401"/>
      <c r="U234" s="2401"/>
      <c r="V234" s="2401"/>
      <c r="W234" s="2401"/>
      <c r="X234" s="2401"/>
      <c r="Y234" s="2401"/>
      <c r="Z234" s="2401"/>
      <c r="AA234" s="2401"/>
      <c r="AB234" s="2401"/>
    </row>
    <row r="235" spans="1:28" s="1721" customFormat="1" ht="13.2">
      <c r="A235" s="2401"/>
      <c r="B235" s="2402">
        <v>45442</v>
      </c>
      <c r="C235" s="2401" t="s">
        <v>1136</v>
      </c>
      <c r="D235" s="2401"/>
      <c r="E235" s="2401"/>
      <c r="F235" s="2401"/>
      <c r="G235" s="2401"/>
      <c r="H235" s="2401"/>
      <c r="I235" s="2401"/>
      <c r="J235" s="2403"/>
      <c r="K235" s="2401"/>
      <c r="L235" s="2401"/>
      <c r="M235" s="2401"/>
      <c r="N235" s="2401"/>
      <c r="O235" s="2401"/>
      <c r="P235" s="2401"/>
      <c r="Q235" s="2401"/>
      <c r="R235" s="2401"/>
      <c r="S235" s="2401"/>
      <c r="T235" s="2401"/>
      <c r="U235" s="2401"/>
      <c r="V235" s="2401"/>
      <c r="W235" s="2401"/>
      <c r="X235" s="2401"/>
      <c r="Y235" s="2401"/>
      <c r="Z235" s="2401"/>
      <c r="AA235" s="2401"/>
      <c r="AB235" s="2401"/>
    </row>
    <row r="236" spans="1:28" s="1721" customFormat="1" ht="13.2">
      <c r="A236" s="2401"/>
      <c r="B236" s="2402">
        <v>45443</v>
      </c>
      <c r="C236" s="2401" t="s">
        <v>1130</v>
      </c>
      <c r="D236" s="2401"/>
      <c r="E236" s="2401"/>
      <c r="F236" s="2401"/>
      <c r="G236" s="2401"/>
      <c r="H236" s="2401"/>
      <c r="I236" s="2401"/>
      <c r="J236" s="2403"/>
      <c r="K236" s="2401"/>
      <c r="L236" s="2401"/>
      <c r="M236" s="2401"/>
      <c r="N236" s="2401"/>
      <c r="O236" s="2401"/>
      <c r="P236" s="2401"/>
      <c r="Q236" s="2401"/>
      <c r="R236" s="2401"/>
      <c r="S236" s="2401"/>
      <c r="T236" s="2401"/>
      <c r="U236" s="2401"/>
      <c r="V236" s="2401"/>
      <c r="W236" s="2401"/>
      <c r="X236" s="2401"/>
      <c r="Y236" s="2401"/>
      <c r="Z236" s="2401"/>
      <c r="AA236" s="2401"/>
      <c r="AB236" s="2401"/>
    </row>
    <row r="237" spans="1:28" s="1721" customFormat="1" ht="13.2">
      <c r="A237" s="2406"/>
      <c r="B237" s="2402">
        <v>45444</v>
      </c>
      <c r="C237" s="2406" t="s">
        <v>1128</v>
      </c>
      <c r="D237" s="2406"/>
      <c r="E237" s="2406"/>
      <c r="F237" s="2406"/>
      <c r="G237" s="2406"/>
      <c r="H237" s="2406"/>
      <c r="I237" s="2406"/>
      <c r="J237" s="2408"/>
      <c r="K237" s="2406"/>
      <c r="L237" s="2406"/>
      <c r="M237" s="2406"/>
      <c r="N237" s="2406"/>
      <c r="O237" s="2406"/>
      <c r="P237" s="2406"/>
      <c r="Q237" s="2406"/>
      <c r="R237" s="2406"/>
      <c r="S237" s="2406"/>
      <c r="T237" s="2406"/>
      <c r="U237" s="2406"/>
      <c r="V237" s="2406"/>
      <c r="W237" s="2406"/>
      <c r="X237" s="2406"/>
      <c r="Y237" s="2406"/>
      <c r="Z237" s="2406"/>
      <c r="AA237" s="2406"/>
      <c r="AB237" s="2406"/>
    </row>
    <row r="238" spans="1:28" s="1721" customFormat="1" ht="13.2">
      <c r="A238" s="2406"/>
      <c r="B238" s="2402">
        <v>45445</v>
      </c>
      <c r="C238" s="2406" t="s">
        <v>1139</v>
      </c>
      <c r="D238" s="2406"/>
      <c r="E238" s="2406"/>
      <c r="F238" s="2406"/>
      <c r="G238" s="2406"/>
      <c r="H238" s="2406"/>
      <c r="I238" s="2406"/>
      <c r="J238" s="2408"/>
      <c r="K238" s="2406"/>
      <c r="L238" s="2406"/>
      <c r="M238" s="2406"/>
      <c r="N238" s="2406"/>
      <c r="O238" s="2406"/>
      <c r="P238" s="2406"/>
      <c r="Q238" s="2406"/>
      <c r="R238" s="2406"/>
      <c r="S238" s="2406"/>
      <c r="T238" s="2406"/>
      <c r="U238" s="2406"/>
      <c r="V238" s="2406"/>
      <c r="W238" s="2406"/>
      <c r="X238" s="2406"/>
      <c r="Y238" s="2406"/>
      <c r="Z238" s="2406"/>
      <c r="AA238" s="2406"/>
      <c r="AB238" s="2406"/>
    </row>
    <row r="239" spans="1:28" s="1721" customFormat="1" ht="13.2">
      <c r="A239" s="2406"/>
      <c r="B239" s="2402">
        <v>45446</v>
      </c>
      <c r="C239" s="2406" t="s">
        <v>1138</v>
      </c>
      <c r="D239" s="2406"/>
      <c r="E239" s="2406"/>
      <c r="F239" s="2406"/>
      <c r="G239" s="2406"/>
      <c r="H239" s="2406"/>
      <c r="I239" s="2406"/>
      <c r="J239" s="2408"/>
      <c r="K239" s="2406"/>
      <c r="L239" s="2406"/>
      <c r="M239" s="2406"/>
      <c r="N239" s="2406"/>
      <c r="O239" s="2406"/>
      <c r="P239" s="2406"/>
      <c r="Q239" s="2406"/>
      <c r="R239" s="2406"/>
      <c r="S239" s="2406"/>
      <c r="T239" s="2406"/>
      <c r="U239" s="2406"/>
      <c r="V239" s="2406"/>
      <c r="W239" s="2406"/>
      <c r="X239" s="2406"/>
      <c r="Y239" s="2406"/>
      <c r="Z239" s="2406"/>
      <c r="AA239" s="2406"/>
      <c r="AB239" s="2406"/>
    </row>
    <row r="240" spans="1:28" s="1721" customFormat="1" ht="13.2">
      <c r="A240" s="2406"/>
      <c r="B240" s="2402">
        <v>45447</v>
      </c>
      <c r="C240" s="2406" t="s">
        <v>1137</v>
      </c>
      <c r="D240" s="2406"/>
      <c r="E240" s="2406"/>
      <c r="F240" s="2406"/>
      <c r="G240" s="2406"/>
      <c r="H240" s="2406"/>
      <c r="I240" s="2406"/>
      <c r="J240" s="2408"/>
      <c r="K240" s="2406"/>
      <c r="L240" s="2406"/>
      <c r="M240" s="2406"/>
      <c r="N240" s="2406"/>
      <c r="O240" s="2406"/>
      <c r="P240" s="2406"/>
      <c r="Q240" s="2406"/>
      <c r="R240" s="2406"/>
      <c r="S240" s="2406"/>
      <c r="T240" s="2406"/>
      <c r="U240" s="2406"/>
      <c r="V240" s="2406"/>
      <c r="W240" s="2406"/>
      <c r="X240" s="2406"/>
      <c r="Y240" s="2406"/>
      <c r="Z240" s="2406"/>
      <c r="AA240" s="2406"/>
      <c r="AB240" s="2406"/>
    </row>
  </sheetData>
  <conditionalFormatting sqref="J3:J22 J24:J52 J54:J83 J85:J114">
    <cfRule type="colorScale" priority="293">
      <colorScale>
        <cfvo type="min" val="0"/>
        <cfvo type="max" val="0"/>
        <color theme="6" tint="0.79998168889431442"/>
        <color theme="9"/>
      </colorScale>
    </cfRule>
  </conditionalFormatting>
  <conditionalFormatting sqref="J119">
    <cfRule type="colorScale" priority="287">
      <colorScale>
        <cfvo type="min" val="0"/>
        <cfvo type="max" val="0"/>
        <color theme="6" tint="0.79998168889431442"/>
        <color theme="9"/>
      </colorScale>
    </cfRule>
  </conditionalFormatting>
  <conditionalFormatting sqref="J126">
    <cfRule type="colorScale" priority="283">
      <colorScale>
        <cfvo type="min" val="0"/>
        <cfvo type="max" val="0"/>
        <color theme="6" tint="0.79998168889431442"/>
        <color theme="9"/>
      </colorScale>
    </cfRule>
  </conditionalFormatting>
  <conditionalFormatting sqref="J127">
    <cfRule type="colorScale" priority="281">
      <colorScale>
        <cfvo type="min" val="0"/>
        <cfvo type="max" val="0"/>
        <color theme="6" tint="0.79998168889431442"/>
        <color theme="9"/>
      </colorScale>
    </cfRule>
  </conditionalFormatting>
  <conditionalFormatting sqref="J128">
    <cfRule type="colorScale" priority="279">
      <colorScale>
        <cfvo type="min" val="0"/>
        <cfvo type="max" val="0"/>
        <color theme="6" tint="0.79998168889431442"/>
        <color theme="9"/>
      </colorScale>
    </cfRule>
  </conditionalFormatting>
  <conditionalFormatting sqref="J129">
    <cfRule type="colorScale" priority="277">
      <colorScale>
        <cfvo type="min" val="0"/>
        <cfvo type="max" val="0"/>
        <color theme="6" tint="0.79998168889431442"/>
        <color theme="9"/>
      </colorScale>
    </cfRule>
  </conditionalFormatting>
  <conditionalFormatting sqref="J130">
    <cfRule type="colorScale" priority="275">
      <colorScale>
        <cfvo type="min" val="0"/>
        <cfvo type="max" val="0"/>
        <color theme="6" tint="0.79998168889431442"/>
        <color theme="9"/>
      </colorScale>
    </cfRule>
  </conditionalFormatting>
  <conditionalFormatting sqref="J131">
    <cfRule type="colorScale" priority="273">
      <colorScale>
        <cfvo type="min" val="0"/>
        <cfvo type="max" val="0"/>
        <color theme="6" tint="0.79998168889431442"/>
        <color theme="9"/>
      </colorScale>
    </cfRule>
  </conditionalFormatting>
  <conditionalFormatting sqref="J132">
    <cfRule type="colorScale" priority="271">
      <colorScale>
        <cfvo type="min" val="0"/>
        <cfvo type="max" val="0"/>
        <color theme="6" tint="0.79998168889431442"/>
        <color theme="9"/>
      </colorScale>
    </cfRule>
  </conditionalFormatting>
  <conditionalFormatting sqref="J133">
    <cfRule type="colorScale" priority="269">
      <colorScale>
        <cfvo type="min" val="0"/>
        <cfvo type="max" val="0"/>
        <color theme="6" tint="0.79998168889431442"/>
        <color theme="9"/>
      </colorScale>
    </cfRule>
  </conditionalFormatting>
  <conditionalFormatting sqref="J134">
    <cfRule type="colorScale" priority="265">
      <colorScale>
        <cfvo type="min" val="0"/>
        <cfvo type="max" val="0"/>
        <color theme="6" tint="0.79998168889431442"/>
        <color theme="9"/>
      </colorScale>
    </cfRule>
  </conditionalFormatting>
  <conditionalFormatting sqref="J135">
    <cfRule type="colorScale" priority="261">
      <colorScale>
        <cfvo type="min" val="0"/>
        <cfvo type="max" val="0"/>
        <color theme="6" tint="0.79998168889431442"/>
        <color theme="9"/>
      </colorScale>
    </cfRule>
  </conditionalFormatting>
  <conditionalFormatting sqref="J136">
    <cfRule type="colorScale" priority="257">
      <colorScale>
        <cfvo type="min" val="0"/>
        <cfvo type="max" val="0"/>
        <color theme="6" tint="0.79998168889431442"/>
        <color theme="9"/>
      </colorScale>
    </cfRule>
  </conditionalFormatting>
  <conditionalFormatting sqref="I4:I115">
    <cfRule type="colorScale" priority="306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I116:I144">
    <cfRule type="colorScale" priority="310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I54:I84">
    <cfRule type="colorScale" priority="31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I4:I23">
    <cfRule type="colorScale" priority="312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J137">
    <cfRule type="colorScale" priority="253">
      <colorScale>
        <cfvo type="min" val="0"/>
        <cfvo type="max" val="0"/>
        <color theme="6" tint="0.79998168889431442"/>
        <color theme="9"/>
      </colorScale>
    </cfRule>
  </conditionalFormatting>
  <conditionalFormatting sqref="J138">
    <cfRule type="colorScale" priority="249">
      <colorScale>
        <cfvo type="min" val="0"/>
        <cfvo type="max" val="0"/>
        <color theme="6" tint="0.79998168889431442"/>
        <color theme="9"/>
      </colorScale>
    </cfRule>
  </conditionalFormatting>
  <conditionalFormatting sqref="J139">
    <cfRule type="colorScale" priority="245">
      <colorScale>
        <cfvo type="min" val="0"/>
        <cfvo type="max" val="0"/>
        <color theme="6" tint="0.79998168889431442"/>
        <color theme="9"/>
      </colorScale>
    </cfRule>
  </conditionalFormatting>
  <conditionalFormatting sqref="J140">
    <cfRule type="colorScale" priority="241">
      <colorScale>
        <cfvo type="min" val="0"/>
        <cfvo type="max" val="0"/>
        <color theme="6" tint="0.79998168889431442"/>
        <color theme="9"/>
      </colorScale>
    </cfRule>
  </conditionalFormatting>
  <conditionalFormatting sqref="J141">
    <cfRule type="colorScale" priority="237">
      <colorScale>
        <cfvo type="min" val="0"/>
        <cfvo type="max" val="0"/>
        <color theme="6" tint="0.79998168889431442"/>
        <color theme="9"/>
      </colorScale>
    </cfRule>
  </conditionalFormatting>
  <conditionalFormatting sqref="J142">
    <cfRule type="colorScale" priority="233">
      <colorScale>
        <cfvo type="min" val="0"/>
        <cfvo type="max" val="0"/>
        <color theme="6" tint="0.79998168889431442"/>
        <color theme="9"/>
      </colorScale>
    </cfRule>
  </conditionalFormatting>
  <conditionalFormatting sqref="J143">
    <cfRule type="colorScale" priority="229">
      <colorScale>
        <cfvo type="min" val="0"/>
        <cfvo type="max" val="0"/>
        <color theme="6" tint="0.79998168889431442"/>
        <color theme="9"/>
      </colorScale>
    </cfRule>
  </conditionalFormatting>
  <conditionalFormatting sqref="J144">
    <cfRule type="colorScale" priority="225">
      <colorScale>
        <cfvo type="min" val="0"/>
        <cfvo type="max" val="0"/>
        <color theme="6" tint="0.79998168889431442"/>
        <color theme="9"/>
      </colorScale>
    </cfRule>
  </conditionalFormatting>
  <conditionalFormatting sqref="J145">
    <cfRule type="colorScale" priority="220">
      <colorScale>
        <cfvo type="min" val="0"/>
        <cfvo type="max" val="0"/>
        <color theme="6" tint="0.79998168889431442"/>
        <color theme="9"/>
      </colorScale>
    </cfRule>
  </conditionalFormatting>
  <conditionalFormatting sqref="J146">
    <cfRule type="colorScale" priority="215">
      <colorScale>
        <cfvo type="min" val="0"/>
        <cfvo type="max" val="0"/>
        <color theme="6" tint="0.79998168889431442"/>
        <color theme="9"/>
      </colorScale>
    </cfRule>
  </conditionalFormatting>
  <conditionalFormatting sqref="J147">
    <cfRule type="colorScale" priority="213">
      <colorScale>
        <cfvo type="min" val="0"/>
        <cfvo type="max" val="0"/>
        <color theme="6" tint="0.79998168889431442"/>
        <color theme="9"/>
      </colorScale>
    </cfRule>
  </conditionalFormatting>
  <conditionalFormatting sqref="J148">
    <cfRule type="colorScale" priority="211">
      <colorScale>
        <cfvo type="min" val="0"/>
        <cfvo type="max" val="0"/>
        <color theme="6" tint="0.79998168889431442"/>
        <color theme="9"/>
      </colorScale>
    </cfRule>
  </conditionalFormatting>
  <conditionalFormatting sqref="J149">
    <cfRule type="colorScale" priority="209">
      <colorScale>
        <cfvo type="min" val="0"/>
        <cfvo type="max" val="0"/>
        <color theme="6" tint="0.79998168889431442"/>
        <color theme="9"/>
      </colorScale>
    </cfRule>
  </conditionalFormatting>
  <conditionalFormatting sqref="J150">
    <cfRule type="colorScale" priority="207">
      <colorScale>
        <cfvo type="min" val="0"/>
        <cfvo type="max" val="0"/>
        <color theme="6" tint="0.79998168889431442"/>
        <color theme="9"/>
      </colorScale>
    </cfRule>
  </conditionalFormatting>
  <conditionalFormatting sqref="J151">
    <cfRule type="colorScale" priority="205">
      <colorScale>
        <cfvo type="min" val="0"/>
        <cfvo type="max" val="0"/>
        <color theme="6" tint="0.79998168889431442"/>
        <color theme="9"/>
      </colorScale>
    </cfRule>
  </conditionalFormatting>
  <conditionalFormatting sqref="J152">
    <cfRule type="colorScale" priority="203">
      <colorScale>
        <cfvo type="min" val="0"/>
        <cfvo type="max" val="0"/>
        <color theme="6" tint="0.79998168889431442"/>
        <color theme="9"/>
      </colorScale>
    </cfRule>
  </conditionalFormatting>
  <conditionalFormatting sqref="J153">
    <cfRule type="colorScale" priority="201">
      <colorScale>
        <cfvo type="min" val="0"/>
        <cfvo type="max" val="0"/>
        <color theme="6" tint="0.79998168889431442"/>
        <color theme="9"/>
      </colorScale>
    </cfRule>
  </conditionalFormatting>
  <conditionalFormatting sqref="J154">
    <cfRule type="colorScale" priority="199">
      <colorScale>
        <cfvo type="min" val="0"/>
        <cfvo type="max" val="0"/>
        <color theme="6" tint="0.79998168889431442"/>
        <color theme="9"/>
      </colorScale>
    </cfRule>
  </conditionalFormatting>
  <conditionalFormatting sqref="J155">
    <cfRule type="colorScale" priority="197">
      <colorScale>
        <cfvo type="min" val="0"/>
        <cfvo type="max" val="0"/>
        <color theme="6" tint="0.79998168889431442"/>
        <color theme="9"/>
      </colorScale>
    </cfRule>
  </conditionalFormatting>
  <conditionalFormatting sqref="J156">
    <cfRule type="colorScale" priority="195">
      <colorScale>
        <cfvo type="min" val="0"/>
        <cfvo type="max" val="0"/>
        <color theme="6" tint="0.79998168889431442"/>
        <color theme="9"/>
      </colorScale>
    </cfRule>
  </conditionalFormatting>
  <conditionalFormatting sqref="J157">
    <cfRule type="colorScale" priority="193">
      <colorScale>
        <cfvo type="min" val="0"/>
        <cfvo type="max" val="0"/>
        <color theme="6" tint="0.79998168889431442"/>
        <color theme="9"/>
      </colorScale>
    </cfRule>
  </conditionalFormatting>
  <conditionalFormatting sqref="J158">
    <cfRule type="colorScale" priority="191">
      <colorScale>
        <cfvo type="min" val="0"/>
        <cfvo type="max" val="0"/>
        <color theme="6" tint="0.79998168889431442"/>
        <color theme="9"/>
      </colorScale>
    </cfRule>
  </conditionalFormatting>
  <conditionalFormatting sqref="J159">
    <cfRule type="colorScale" priority="189">
      <colorScale>
        <cfvo type="min" val="0"/>
        <cfvo type="max" val="0"/>
        <color theme="6" tint="0.79998168889431442"/>
        <color theme="9"/>
      </colorScale>
    </cfRule>
  </conditionalFormatting>
  <conditionalFormatting sqref="J160">
    <cfRule type="colorScale" priority="187">
      <colorScale>
        <cfvo type="min" val="0"/>
        <cfvo type="max" val="0"/>
        <color theme="6" tint="0.79998168889431442"/>
        <color theme="9"/>
      </colorScale>
    </cfRule>
  </conditionalFormatting>
  <conditionalFormatting sqref="I145:I175">
    <cfRule type="colorScale" priority="186">
      <colorScale>
        <cfvo type="min" val="0"/>
        <cfvo type="max" val="0"/>
        <color theme="6" tint="0.79998168889431442"/>
        <color theme="9"/>
      </colorScale>
    </cfRule>
  </conditionalFormatting>
  <conditionalFormatting sqref="J161">
    <cfRule type="colorScale" priority="185">
      <colorScale>
        <cfvo type="min" val="0"/>
        <cfvo type="max" val="0"/>
        <color theme="6" tint="0.79998168889431442"/>
        <color theme="9"/>
      </colorScale>
    </cfRule>
  </conditionalFormatting>
  <conditionalFormatting sqref="J162">
    <cfRule type="colorScale" priority="182">
      <colorScale>
        <cfvo type="min" val="0"/>
        <cfvo type="max" val="0"/>
        <color theme="6" tint="0.79998168889431442"/>
        <color theme="9"/>
      </colorScale>
    </cfRule>
  </conditionalFormatting>
  <conditionalFormatting sqref="J164">
    <cfRule type="colorScale" priority="180">
      <colorScale>
        <cfvo type="min" val="0"/>
        <cfvo type="max" val="0"/>
        <color theme="6" tint="0.79998168889431442"/>
        <color theme="9"/>
      </colorScale>
    </cfRule>
  </conditionalFormatting>
  <conditionalFormatting sqref="J163">
    <cfRule type="colorScale" priority="178">
      <colorScale>
        <cfvo type="min" val="0"/>
        <cfvo type="max" val="0"/>
        <color theme="6" tint="0.79998168889431442"/>
        <color theme="9"/>
      </colorScale>
    </cfRule>
  </conditionalFormatting>
  <conditionalFormatting sqref="J165:J167">
    <cfRule type="colorScale" priority="176">
      <colorScale>
        <cfvo type="min" val="0"/>
        <cfvo type="max" val="0"/>
        <color theme="6" tint="0.79998168889431442"/>
        <color theme="9"/>
      </colorScale>
    </cfRule>
  </conditionalFormatting>
  <conditionalFormatting sqref="J168:J169">
    <cfRule type="colorScale" priority="174">
      <colorScale>
        <cfvo type="min" val="0"/>
        <cfvo type="max" val="0"/>
        <color theme="6" tint="0.79998168889431442"/>
        <color theme="9"/>
      </colorScale>
    </cfRule>
  </conditionalFormatting>
  <conditionalFormatting sqref="J170">
    <cfRule type="colorScale" priority="172">
      <colorScale>
        <cfvo type="min" val="0"/>
        <cfvo type="max" val="0"/>
        <color theme="6" tint="0.79998168889431442"/>
        <color theme="9"/>
      </colorScale>
    </cfRule>
  </conditionalFormatting>
  <conditionalFormatting sqref="J171">
    <cfRule type="colorScale" priority="170">
      <colorScale>
        <cfvo type="min" val="0"/>
        <cfvo type="max" val="0"/>
        <color theme="6" tint="0.79998168889431442"/>
        <color theme="9"/>
      </colorScale>
    </cfRule>
  </conditionalFormatting>
  <conditionalFormatting sqref="J172">
    <cfRule type="colorScale" priority="168">
      <colorScale>
        <cfvo type="min" val="0"/>
        <cfvo type="max" val="0"/>
        <color theme="6" tint="0.79998168889431442"/>
        <color theme="9"/>
      </colorScale>
    </cfRule>
  </conditionalFormatting>
  <conditionalFormatting sqref="J173:J174">
    <cfRule type="colorScale" priority="166">
      <colorScale>
        <cfvo type="min" val="0"/>
        <cfvo type="max" val="0"/>
        <color theme="6" tint="0.79998168889431442"/>
        <color theme="9"/>
      </colorScale>
    </cfRule>
  </conditionalFormatting>
  <conditionalFormatting sqref="J175">
    <cfRule type="colorScale" priority="164">
      <colorScale>
        <cfvo type="min" val="0"/>
        <cfvo type="max" val="0"/>
        <color theme="6" tint="0.79998168889431442"/>
        <color theme="9"/>
      </colorScale>
    </cfRule>
  </conditionalFormatting>
  <conditionalFormatting sqref="J176">
    <cfRule type="colorScale" priority="162">
      <colorScale>
        <cfvo type="min" val="0"/>
        <cfvo type="max" val="0"/>
        <color theme="6" tint="0.79998168889431442"/>
        <color theme="9"/>
      </colorScale>
    </cfRule>
  </conditionalFormatting>
  <conditionalFormatting sqref="J178">
    <cfRule type="colorScale" priority="160">
      <colorScale>
        <cfvo type="min" val="0"/>
        <cfvo type="max" val="0"/>
        <color theme="6" tint="0.79998168889431442"/>
        <color theme="9"/>
      </colorScale>
    </cfRule>
  </conditionalFormatting>
  <conditionalFormatting sqref="J177">
    <cfRule type="colorScale" priority="158">
      <colorScale>
        <cfvo type="min" val="0"/>
        <cfvo type="max" val="0"/>
        <color theme="6" tint="0.79998168889431442"/>
        <color theme="9"/>
      </colorScale>
    </cfRule>
  </conditionalFormatting>
  <conditionalFormatting sqref="J178">
    <cfRule type="colorScale" priority="156">
      <colorScale>
        <cfvo type="min" val="0"/>
        <cfvo type="max" val="0"/>
        <color theme="6" tint="0.79998168889431442"/>
        <color theme="9"/>
      </colorScale>
    </cfRule>
  </conditionalFormatting>
  <conditionalFormatting sqref="J179">
    <cfRule type="colorScale" priority="154">
      <colorScale>
        <cfvo type="min" val="0"/>
        <cfvo type="max" val="0"/>
        <color theme="6" tint="0.79998168889431442"/>
        <color theme="9"/>
      </colorScale>
    </cfRule>
  </conditionalFormatting>
  <conditionalFormatting sqref="J179">
    <cfRule type="colorScale" priority="153">
      <colorScale>
        <cfvo type="min" val="0"/>
        <cfvo type="max" val="0"/>
        <color theme="6" tint="0.79998168889431442"/>
        <color theme="9"/>
      </colorScale>
    </cfRule>
  </conditionalFormatting>
  <conditionalFormatting sqref="J180">
    <cfRule type="colorScale" priority="150">
      <colorScale>
        <cfvo type="min" val="0"/>
        <cfvo type="max" val="0"/>
        <color theme="6" tint="0.79998168889431442"/>
        <color theme="9"/>
      </colorScale>
    </cfRule>
  </conditionalFormatting>
  <conditionalFormatting sqref="J180">
    <cfRule type="colorScale" priority="149">
      <colorScale>
        <cfvo type="min" val="0"/>
        <cfvo type="max" val="0"/>
        <color theme="6" tint="0.79998168889431442"/>
        <color theme="9"/>
      </colorScale>
    </cfRule>
  </conditionalFormatting>
  <conditionalFormatting sqref="J181">
    <cfRule type="colorScale" priority="147">
      <colorScale>
        <cfvo type="min" val="0"/>
        <cfvo type="max" val="0"/>
        <color theme="6" tint="0.79998168889431442"/>
        <color theme="9"/>
      </colorScale>
    </cfRule>
  </conditionalFormatting>
  <conditionalFormatting sqref="J181">
    <cfRule type="colorScale" priority="146">
      <colorScale>
        <cfvo type="min" val="0"/>
        <cfvo type="max" val="0"/>
        <color theme="6" tint="0.79998168889431442"/>
        <color theme="9"/>
      </colorScale>
    </cfRule>
  </conditionalFormatting>
  <conditionalFormatting sqref="I176:I205">
    <cfRule type="colorScale" priority="145">
      <colorScale>
        <cfvo type="min" val="0"/>
        <cfvo type="max" val="0"/>
        <color theme="9" tint="0.79998168889431442"/>
        <color theme="9" tint="-0.249977111117893"/>
      </colorScale>
    </cfRule>
  </conditionalFormatting>
  <conditionalFormatting sqref="J182:J183">
    <cfRule type="colorScale" priority="144">
      <colorScale>
        <cfvo type="min" val="0"/>
        <cfvo type="max" val="0"/>
        <color theme="6" tint="0.79998168889431442"/>
        <color theme="9"/>
      </colorScale>
    </cfRule>
  </conditionalFormatting>
  <conditionalFormatting sqref="J182:J183">
    <cfRule type="colorScale" priority="143">
      <colorScale>
        <cfvo type="min" val="0"/>
        <cfvo type="max" val="0"/>
        <color theme="6" tint="0.79998168889431442"/>
        <color theme="9"/>
      </colorScale>
    </cfRule>
  </conditionalFormatting>
  <conditionalFormatting sqref="J184">
    <cfRule type="colorScale" priority="141">
      <colorScale>
        <cfvo type="min" val="0"/>
        <cfvo type="max" val="0"/>
        <color theme="6" tint="0.79998168889431442"/>
        <color theme="9"/>
      </colorScale>
    </cfRule>
  </conditionalFormatting>
  <conditionalFormatting sqref="J184">
    <cfRule type="colorScale" priority="140">
      <colorScale>
        <cfvo type="min" val="0"/>
        <cfvo type="max" val="0"/>
        <color theme="6" tint="0.79998168889431442"/>
        <color theme="9"/>
      </colorScale>
    </cfRule>
  </conditionalFormatting>
  <conditionalFormatting sqref="J185">
    <cfRule type="colorScale" priority="138">
      <colorScale>
        <cfvo type="min" val="0"/>
        <cfvo type="max" val="0"/>
        <color theme="6" tint="0.79998168889431442"/>
        <color theme="9"/>
      </colorScale>
    </cfRule>
  </conditionalFormatting>
  <conditionalFormatting sqref="J185">
    <cfRule type="colorScale" priority="137">
      <colorScale>
        <cfvo type="min" val="0"/>
        <cfvo type="max" val="0"/>
        <color theme="6" tint="0.79998168889431442"/>
        <color theme="9"/>
      </colorScale>
    </cfRule>
  </conditionalFormatting>
  <conditionalFormatting sqref="J186">
    <cfRule type="colorScale" priority="135">
      <colorScale>
        <cfvo type="min" val="0"/>
        <cfvo type="max" val="0"/>
        <color theme="6" tint="0.79998168889431442"/>
        <color theme="9"/>
      </colorScale>
    </cfRule>
  </conditionalFormatting>
  <conditionalFormatting sqref="J186">
    <cfRule type="colorScale" priority="134">
      <colorScale>
        <cfvo type="min" val="0"/>
        <cfvo type="max" val="0"/>
        <color theme="6" tint="0.79998168889431442"/>
        <color theme="9"/>
      </colorScale>
    </cfRule>
  </conditionalFormatting>
  <conditionalFormatting sqref="J187">
    <cfRule type="colorScale" priority="133">
      <colorScale>
        <cfvo type="min" val="0"/>
        <cfvo type="max" val="0"/>
        <color theme="6" tint="0.79998168889431442"/>
        <color theme="9"/>
      </colorScale>
    </cfRule>
  </conditionalFormatting>
  <conditionalFormatting sqref="J187">
    <cfRule type="colorScale" priority="132">
      <colorScale>
        <cfvo type="min" val="0"/>
        <cfvo type="max" val="0"/>
        <color theme="6" tint="0.79998168889431442"/>
        <color theme="9"/>
      </colorScale>
    </cfRule>
  </conditionalFormatting>
  <conditionalFormatting sqref="J188">
    <cfRule type="colorScale" priority="130">
      <colorScale>
        <cfvo type="min" val="0"/>
        <cfvo type="max" val="0"/>
        <color theme="6" tint="0.79998168889431442"/>
        <color theme="9"/>
      </colorScale>
    </cfRule>
  </conditionalFormatting>
  <conditionalFormatting sqref="J188">
    <cfRule type="colorScale" priority="129">
      <colorScale>
        <cfvo type="min" val="0"/>
        <cfvo type="max" val="0"/>
        <color theme="6" tint="0.79998168889431442"/>
        <color theme="9"/>
      </colorScale>
    </cfRule>
  </conditionalFormatting>
  <conditionalFormatting sqref="J189">
    <cfRule type="colorScale" priority="127">
      <colorScale>
        <cfvo type="min" val="0"/>
        <cfvo type="max" val="0"/>
        <color theme="6" tint="0.79998168889431442"/>
        <color theme="9"/>
      </colorScale>
    </cfRule>
  </conditionalFormatting>
  <conditionalFormatting sqref="J189">
    <cfRule type="colorScale" priority="126">
      <colorScale>
        <cfvo type="min" val="0"/>
        <cfvo type="max" val="0"/>
        <color theme="6" tint="0.79998168889431442"/>
        <color theme="9"/>
      </colorScale>
    </cfRule>
  </conditionalFormatting>
  <conditionalFormatting sqref="J190">
    <cfRule type="colorScale" priority="124">
      <colorScale>
        <cfvo type="min" val="0"/>
        <cfvo type="max" val="0"/>
        <color theme="6" tint="0.79998168889431442"/>
        <color theme="9"/>
      </colorScale>
    </cfRule>
  </conditionalFormatting>
  <conditionalFormatting sqref="J190">
    <cfRule type="colorScale" priority="123">
      <colorScale>
        <cfvo type="min" val="0"/>
        <cfvo type="max" val="0"/>
        <color theme="6" tint="0.79998168889431442"/>
        <color theme="9"/>
      </colorScale>
    </cfRule>
  </conditionalFormatting>
  <conditionalFormatting sqref="J191">
    <cfRule type="colorScale" priority="121">
      <colorScale>
        <cfvo type="min" val="0"/>
        <cfvo type="max" val="0"/>
        <color theme="6" tint="0.79998168889431442"/>
        <color theme="9"/>
      </colorScale>
    </cfRule>
  </conditionalFormatting>
  <conditionalFormatting sqref="J191">
    <cfRule type="colorScale" priority="120">
      <colorScale>
        <cfvo type="min" val="0"/>
        <cfvo type="max" val="0"/>
        <color theme="6" tint="0.79998168889431442"/>
        <color theme="9"/>
      </colorScale>
    </cfRule>
  </conditionalFormatting>
  <conditionalFormatting sqref="J192">
    <cfRule type="colorScale" priority="118">
      <colorScale>
        <cfvo type="min" val="0"/>
        <cfvo type="max" val="0"/>
        <color theme="6" tint="0.79998168889431442"/>
        <color theme="9"/>
      </colorScale>
    </cfRule>
  </conditionalFormatting>
  <conditionalFormatting sqref="J192">
    <cfRule type="colorScale" priority="117">
      <colorScale>
        <cfvo type="min" val="0"/>
        <cfvo type="max" val="0"/>
        <color theme="6" tint="0.79998168889431442"/>
        <color theme="9"/>
      </colorScale>
    </cfRule>
  </conditionalFormatting>
  <conditionalFormatting sqref="J193">
    <cfRule type="colorScale" priority="115">
      <colorScale>
        <cfvo type="min" val="0"/>
        <cfvo type="max" val="0"/>
        <color theme="6" tint="0.79998168889431442"/>
        <color theme="9"/>
      </colorScale>
    </cfRule>
  </conditionalFormatting>
  <conditionalFormatting sqref="J193">
    <cfRule type="colorScale" priority="114">
      <colorScale>
        <cfvo type="min" val="0"/>
        <cfvo type="max" val="0"/>
        <color theme="6" tint="0.79998168889431442"/>
        <color theme="9"/>
      </colorScale>
    </cfRule>
  </conditionalFormatting>
  <conditionalFormatting sqref="J194">
    <cfRule type="colorScale" priority="112">
      <colorScale>
        <cfvo type="min" val="0"/>
        <cfvo type="max" val="0"/>
        <color theme="6" tint="0.79998168889431442"/>
        <color theme="9"/>
      </colorScale>
    </cfRule>
  </conditionalFormatting>
  <conditionalFormatting sqref="J194">
    <cfRule type="colorScale" priority="111">
      <colorScale>
        <cfvo type="min" val="0"/>
        <cfvo type="max" val="0"/>
        <color theme="6" tint="0.79998168889431442"/>
        <color theme="9"/>
      </colorScale>
    </cfRule>
  </conditionalFormatting>
  <conditionalFormatting sqref="J195:J196">
    <cfRule type="colorScale" priority="109">
      <colorScale>
        <cfvo type="min" val="0"/>
        <cfvo type="max" val="0"/>
        <color theme="6" tint="0.79998168889431442"/>
        <color theme="9"/>
      </colorScale>
    </cfRule>
  </conditionalFormatting>
  <conditionalFormatting sqref="J195:J196">
    <cfRule type="colorScale" priority="108">
      <colorScale>
        <cfvo type="min" val="0"/>
        <cfvo type="max" val="0"/>
        <color theme="6" tint="0.79998168889431442"/>
        <color theme="9"/>
      </colorScale>
    </cfRule>
  </conditionalFormatting>
  <conditionalFormatting sqref="J197">
    <cfRule type="colorScale" priority="106">
      <colorScale>
        <cfvo type="min" val="0"/>
        <cfvo type="max" val="0"/>
        <color theme="6" tint="0.79998168889431442"/>
        <color theme="9"/>
      </colorScale>
    </cfRule>
  </conditionalFormatting>
  <conditionalFormatting sqref="J197">
    <cfRule type="colorScale" priority="105">
      <colorScale>
        <cfvo type="min" val="0"/>
        <cfvo type="max" val="0"/>
        <color theme="6" tint="0.79998168889431442"/>
        <color theme="9"/>
      </colorScale>
    </cfRule>
  </conditionalFormatting>
  <conditionalFormatting sqref="J198">
    <cfRule type="colorScale" priority="103">
      <colorScale>
        <cfvo type="min" val="0"/>
        <cfvo type="max" val="0"/>
        <color theme="6" tint="0.79998168889431442"/>
        <color theme="9"/>
      </colorScale>
    </cfRule>
  </conditionalFormatting>
  <conditionalFormatting sqref="J198">
    <cfRule type="colorScale" priority="102">
      <colorScale>
        <cfvo type="min" val="0"/>
        <cfvo type="max" val="0"/>
        <color theme="6" tint="0.79998168889431442"/>
        <color theme="9"/>
      </colorScale>
    </cfRule>
  </conditionalFormatting>
  <conditionalFormatting sqref="J199">
    <cfRule type="colorScale" priority="100">
      <colorScale>
        <cfvo type="min" val="0"/>
        <cfvo type="max" val="0"/>
        <color theme="6" tint="0.79998168889431442"/>
        <color theme="9"/>
      </colorScale>
    </cfRule>
  </conditionalFormatting>
  <conditionalFormatting sqref="J199">
    <cfRule type="colorScale" priority="99">
      <colorScale>
        <cfvo type="min" val="0"/>
        <cfvo type="max" val="0"/>
        <color theme="6" tint="0.79998168889431442"/>
        <color theme="9"/>
      </colorScale>
    </cfRule>
  </conditionalFormatting>
  <conditionalFormatting sqref="J200">
    <cfRule type="colorScale" priority="97">
      <colorScale>
        <cfvo type="min" val="0"/>
        <cfvo type="max" val="0"/>
        <color theme="6" tint="0.79998168889431442"/>
        <color theme="9"/>
      </colorScale>
    </cfRule>
  </conditionalFormatting>
  <conditionalFormatting sqref="J200">
    <cfRule type="colorScale" priority="96">
      <colorScale>
        <cfvo type="min" val="0"/>
        <cfvo type="max" val="0"/>
        <color theme="6" tint="0.79998168889431442"/>
        <color theme="9"/>
      </colorScale>
    </cfRule>
  </conditionalFormatting>
  <conditionalFormatting sqref="J201">
    <cfRule type="colorScale" priority="94">
      <colorScale>
        <cfvo type="min" val="0"/>
        <cfvo type="max" val="0"/>
        <color theme="6" tint="0.79998168889431442"/>
        <color theme="9"/>
      </colorScale>
    </cfRule>
  </conditionalFormatting>
  <conditionalFormatting sqref="J201">
    <cfRule type="colorScale" priority="93">
      <colorScale>
        <cfvo type="min" val="0"/>
        <cfvo type="max" val="0"/>
        <color theme="6" tint="0.79998168889431442"/>
        <color theme="9"/>
      </colorScale>
    </cfRule>
  </conditionalFormatting>
  <conditionalFormatting sqref="J202:J203">
    <cfRule type="colorScale" priority="91">
      <colorScale>
        <cfvo type="min" val="0"/>
        <cfvo type="max" val="0"/>
        <color theme="6" tint="0.79998168889431442"/>
        <color theme="9"/>
      </colorScale>
    </cfRule>
  </conditionalFormatting>
  <conditionalFormatting sqref="J202:J203">
    <cfRule type="colorScale" priority="90">
      <colorScale>
        <cfvo type="min" val="0"/>
        <cfvo type="max" val="0"/>
        <color theme="6" tint="0.79998168889431442"/>
        <color theme="9"/>
      </colorScale>
    </cfRule>
  </conditionalFormatting>
  <conditionalFormatting sqref="J204">
    <cfRule type="colorScale" priority="88">
      <colorScale>
        <cfvo type="min" val="0"/>
        <cfvo type="max" val="0"/>
        <color theme="6" tint="0.79998168889431442"/>
        <color theme="9"/>
      </colorScale>
    </cfRule>
  </conditionalFormatting>
  <conditionalFormatting sqref="J204">
    <cfRule type="colorScale" priority="87">
      <colorScale>
        <cfvo type="min" val="0"/>
        <cfvo type="max" val="0"/>
        <color theme="6" tint="0.79998168889431442"/>
        <color theme="9"/>
      </colorScale>
    </cfRule>
  </conditionalFormatting>
  <conditionalFormatting sqref="J205">
    <cfRule type="colorScale" priority="85">
      <colorScale>
        <cfvo type="min" val="0"/>
        <cfvo type="max" val="0"/>
        <color theme="6" tint="0.79998168889431442"/>
        <color theme="9"/>
      </colorScale>
    </cfRule>
  </conditionalFormatting>
  <conditionalFormatting sqref="J205">
    <cfRule type="colorScale" priority="84">
      <colorScale>
        <cfvo type="min" val="0"/>
        <cfvo type="max" val="0"/>
        <color theme="6" tint="0.79998168889431442"/>
        <color theme="9"/>
      </colorScale>
    </cfRule>
  </conditionalFormatting>
  <conditionalFormatting sqref="I206:I210">
    <cfRule type="colorScale" priority="83">
      <colorScale>
        <cfvo type="min" val="0"/>
        <cfvo type="max" val="0"/>
        <color theme="6" tint="0.79998168889431442"/>
        <color theme="9"/>
      </colorScale>
    </cfRule>
  </conditionalFormatting>
  <conditionalFormatting sqref="J206:J210">
    <cfRule type="colorScale" priority="82">
      <colorScale>
        <cfvo type="min" val="0"/>
        <cfvo type="max" val="0"/>
        <color theme="6" tint="0.79998168889431442"/>
        <color theme="9"/>
      </colorScale>
    </cfRule>
  </conditionalFormatting>
  <conditionalFormatting sqref="I211:I212">
    <cfRule type="colorScale" priority="81">
      <colorScale>
        <cfvo type="min" val="0"/>
        <cfvo type="max" val="0"/>
        <color theme="6" tint="0.79998168889431442"/>
        <color theme="9"/>
      </colorScale>
    </cfRule>
  </conditionalFormatting>
  <conditionalFormatting sqref="J211:J212">
    <cfRule type="colorScale" priority="80">
      <colorScale>
        <cfvo type="min" val="0"/>
        <cfvo type="max" val="0"/>
        <color theme="6" tint="0.79998168889431442"/>
        <color theme="9"/>
      </colorScale>
    </cfRule>
  </conditionalFormatting>
  <conditionalFormatting sqref="I213:I217">
    <cfRule type="colorScale" priority="79">
      <colorScale>
        <cfvo type="min" val="0"/>
        <cfvo type="max" val="0"/>
        <color theme="6" tint="0.79998168889431442"/>
        <color theme="9"/>
      </colorScale>
    </cfRule>
  </conditionalFormatting>
  <conditionalFormatting sqref="J213:J217">
    <cfRule type="colorScale" priority="78">
      <colorScale>
        <cfvo type="min" val="0"/>
        <cfvo type="max" val="0"/>
        <color theme="6" tint="0.79998168889431442"/>
        <color theme="9"/>
      </colorScale>
    </cfRule>
  </conditionalFormatting>
  <conditionalFormatting sqref="I218:I219">
    <cfRule type="colorScale" priority="77">
      <colorScale>
        <cfvo type="min" val="0"/>
        <cfvo type="max" val="0"/>
        <color theme="6" tint="0.79998168889431442"/>
        <color theme="9"/>
      </colorScale>
    </cfRule>
  </conditionalFormatting>
  <conditionalFormatting sqref="J218:J219">
    <cfRule type="colorScale" priority="76">
      <colorScale>
        <cfvo type="min" val="0"/>
        <cfvo type="max" val="0"/>
        <color theme="6" tint="0.79998168889431442"/>
        <color theme="9"/>
      </colorScale>
    </cfRule>
  </conditionalFormatting>
  <conditionalFormatting sqref="I213:I217">
    <cfRule type="colorScale" priority="75">
      <colorScale>
        <cfvo type="min" val="0"/>
        <cfvo type="max" val="0"/>
        <color theme="6" tint="0.79998168889431442"/>
        <color theme="9"/>
      </colorScale>
    </cfRule>
  </conditionalFormatting>
  <conditionalFormatting sqref="J213:J217">
    <cfRule type="colorScale" priority="74">
      <colorScale>
        <cfvo type="min" val="0"/>
        <cfvo type="max" val="0"/>
        <color theme="6" tint="0.79998168889431442"/>
        <color theme="9"/>
      </colorScale>
    </cfRule>
  </conditionalFormatting>
  <conditionalFormatting sqref="I218:I219">
    <cfRule type="colorScale" priority="73">
      <colorScale>
        <cfvo type="min" val="0"/>
        <cfvo type="max" val="0"/>
        <color theme="6" tint="0.79998168889431442"/>
        <color theme="9"/>
      </colorScale>
    </cfRule>
  </conditionalFormatting>
  <conditionalFormatting sqref="J218:J219">
    <cfRule type="colorScale" priority="72">
      <colorScale>
        <cfvo type="min" val="0"/>
        <cfvo type="max" val="0"/>
        <color theme="6" tint="0.79998168889431442"/>
        <color theme="9"/>
      </colorScale>
    </cfRule>
  </conditionalFormatting>
  <conditionalFormatting sqref="I213:I217">
    <cfRule type="colorScale" priority="71">
      <colorScale>
        <cfvo type="min" val="0"/>
        <cfvo type="max" val="0"/>
        <color theme="6" tint="0.79998168889431442"/>
        <color theme="9"/>
      </colorScale>
    </cfRule>
  </conditionalFormatting>
  <conditionalFormatting sqref="J213:J217">
    <cfRule type="colorScale" priority="70">
      <colorScale>
        <cfvo type="min" val="0"/>
        <cfvo type="max" val="0"/>
        <color theme="6" tint="0.79998168889431442"/>
        <color theme="9"/>
      </colorScale>
    </cfRule>
  </conditionalFormatting>
  <conditionalFormatting sqref="I218:I219">
    <cfRule type="colorScale" priority="69">
      <colorScale>
        <cfvo type="min" val="0"/>
        <cfvo type="max" val="0"/>
        <color theme="6" tint="0.79998168889431442"/>
        <color theme="9"/>
      </colorScale>
    </cfRule>
  </conditionalFormatting>
  <conditionalFormatting sqref="J218:J219">
    <cfRule type="colorScale" priority="68">
      <colorScale>
        <cfvo type="min" val="0"/>
        <cfvo type="max" val="0"/>
        <color theme="6" tint="0.79998168889431442"/>
        <color theme="9"/>
      </colorScale>
    </cfRule>
  </conditionalFormatting>
  <conditionalFormatting sqref="I213:I217">
    <cfRule type="colorScale" priority="67">
      <colorScale>
        <cfvo type="min" val="0"/>
        <cfvo type="max" val="0"/>
        <color theme="6" tint="0.79998168889431442"/>
        <color theme="9"/>
      </colorScale>
    </cfRule>
  </conditionalFormatting>
  <conditionalFormatting sqref="J213:J217">
    <cfRule type="colorScale" priority="66">
      <colorScale>
        <cfvo type="min" val="0"/>
        <cfvo type="max" val="0"/>
        <color theme="6" tint="0.79998168889431442"/>
        <color theme="9"/>
      </colorScale>
    </cfRule>
  </conditionalFormatting>
  <conditionalFormatting sqref="I218:I219">
    <cfRule type="colorScale" priority="65">
      <colorScale>
        <cfvo type="min" val="0"/>
        <cfvo type="max" val="0"/>
        <color theme="6" tint="0.79998168889431442"/>
        <color theme="9"/>
      </colorScale>
    </cfRule>
  </conditionalFormatting>
  <conditionalFormatting sqref="J218:J219">
    <cfRule type="colorScale" priority="64">
      <colorScale>
        <cfvo type="min" val="0"/>
        <cfvo type="max" val="0"/>
        <color theme="6" tint="0.79998168889431442"/>
        <color theme="9"/>
      </colorScale>
    </cfRule>
  </conditionalFormatting>
  <conditionalFormatting sqref="I220:I224">
    <cfRule type="colorScale" priority="62">
      <colorScale>
        <cfvo type="min" val="0"/>
        <cfvo type="max" val="0"/>
        <color theme="6" tint="0.79998168889431442"/>
        <color theme="9"/>
      </colorScale>
    </cfRule>
  </conditionalFormatting>
  <conditionalFormatting sqref="J220:J224">
    <cfRule type="colorScale" priority="61">
      <colorScale>
        <cfvo type="min" val="0"/>
        <cfvo type="max" val="0"/>
        <color theme="6" tint="0.79998168889431442"/>
        <color theme="9"/>
      </colorScale>
    </cfRule>
  </conditionalFormatting>
  <conditionalFormatting sqref="I225:I226">
    <cfRule type="colorScale" priority="60">
      <colorScale>
        <cfvo type="min" val="0"/>
        <cfvo type="max" val="0"/>
        <color theme="6" tint="0.79998168889431442"/>
        <color theme="9"/>
      </colorScale>
    </cfRule>
  </conditionalFormatting>
  <conditionalFormatting sqref="J225:J226">
    <cfRule type="colorScale" priority="59">
      <colorScale>
        <cfvo type="min" val="0"/>
        <cfvo type="max" val="0"/>
        <color theme="6" tint="0.79998168889431442"/>
        <color theme="9"/>
      </colorScale>
    </cfRule>
  </conditionalFormatting>
  <conditionalFormatting sqref="I220:I224">
    <cfRule type="colorScale" priority="58">
      <colorScale>
        <cfvo type="min" val="0"/>
        <cfvo type="max" val="0"/>
        <color theme="6" tint="0.79998168889431442"/>
        <color theme="9"/>
      </colorScale>
    </cfRule>
  </conditionalFormatting>
  <conditionalFormatting sqref="J220:J224">
    <cfRule type="colorScale" priority="57">
      <colorScale>
        <cfvo type="min" val="0"/>
        <cfvo type="max" val="0"/>
        <color theme="6" tint="0.79998168889431442"/>
        <color theme="9"/>
      </colorScale>
    </cfRule>
  </conditionalFormatting>
  <conditionalFormatting sqref="I225:I226">
    <cfRule type="colorScale" priority="56">
      <colorScale>
        <cfvo type="min" val="0"/>
        <cfvo type="max" val="0"/>
        <color theme="6" tint="0.79998168889431442"/>
        <color theme="9"/>
      </colorScale>
    </cfRule>
  </conditionalFormatting>
  <conditionalFormatting sqref="J225:J226">
    <cfRule type="colorScale" priority="55">
      <colorScale>
        <cfvo type="min" val="0"/>
        <cfvo type="max" val="0"/>
        <color theme="6" tint="0.79998168889431442"/>
        <color theme="9"/>
      </colorScale>
    </cfRule>
  </conditionalFormatting>
  <conditionalFormatting sqref="I220:I224">
    <cfRule type="colorScale" priority="54">
      <colorScale>
        <cfvo type="min" val="0"/>
        <cfvo type="max" val="0"/>
        <color theme="6" tint="0.79998168889431442"/>
        <color theme="9"/>
      </colorScale>
    </cfRule>
  </conditionalFormatting>
  <conditionalFormatting sqref="J220:J224">
    <cfRule type="colorScale" priority="53">
      <colorScale>
        <cfvo type="min" val="0"/>
        <cfvo type="max" val="0"/>
        <color theme="6" tint="0.79998168889431442"/>
        <color theme="9"/>
      </colorScale>
    </cfRule>
  </conditionalFormatting>
  <conditionalFormatting sqref="I225:I226">
    <cfRule type="colorScale" priority="52">
      <colorScale>
        <cfvo type="min" val="0"/>
        <cfvo type="max" val="0"/>
        <color theme="6" tint="0.79998168889431442"/>
        <color theme="9"/>
      </colorScale>
    </cfRule>
  </conditionalFormatting>
  <conditionalFormatting sqref="J225:J226">
    <cfRule type="colorScale" priority="51">
      <colorScale>
        <cfvo type="min" val="0"/>
        <cfvo type="max" val="0"/>
        <color theme="6" tint="0.79998168889431442"/>
        <color theme="9"/>
      </colorScale>
    </cfRule>
  </conditionalFormatting>
  <conditionalFormatting sqref="I220:I224">
    <cfRule type="colorScale" priority="50">
      <colorScale>
        <cfvo type="min" val="0"/>
        <cfvo type="max" val="0"/>
        <color theme="6" tint="0.79998168889431442"/>
        <color theme="9"/>
      </colorScale>
    </cfRule>
  </conditionalFormatting>
  <conditionalFormatting sqref="J220:J224">
    <cfRule type="colorScale" priority="49">
      <colorScale>
        <cfvo type="min" val="0"/>
        <cfvo type="max" val="0"/>
        <color theme="6" tint="0.79998168889431442"/>
        <color theme="9"/>
      </colorScale>
    </cfRule>
  </conditionalFormatting>
  <conditionalFormatting sqref="I225:I226">
    <cfRule type="colorScale" priority="48">
      <colorScale>
        <cfvo type="min" val="0"/>
        <cfvo type="max" val="0"/>
        <color theme="6" tint="0.79998168889431442"/>
        <color theme="9"/>
      </colorScale>
    </cfRule>
  </conditionalFormatting>
  <conditionalFormatting sqref="J225:J226">
    <cfRule type="colorScale" priority="47">
      <colorScale>
        <cfvo type="min" val="0"/>
        <cfvo type="max" val="0"/>
        <color theme="6" tint="0.79998168889431442"/>
        <color theme="9"/>
      </colorScale>
    </cfRule>
  </conditionalFormatting>
  <conditionalFormatting sqref="I227:I231">
    <cfRule type="colorScale" priority="46">
      <colorScale>
        <cfvo type="min" val="0"/>
        <cfvo type="max" val="0"/>
        <color theme="6" tint="0.79998168889431442"/>
        <color theme="9"/>
      </colorScale>
    </cfRule>
  </conditionalFormatting>
  <conditionalFormatting sqref="J227:J231">
    <cfRule type="colorScale" priority="45">
      <colorScale>
        <cfvo type="min" val="0"/>
        <cfvo type="max" val="0"/>
        <color theme="6" tint="0.79998168889431442"/>
        <color theme="9"/>
      </colorScale>
    </cfRule>
  </conditionalFormatting>
  <conditionalFormatting sqref="I232:I233">
    <cfRule type="colorScale" priority="44">
      <colorScale>
        <cfvo type="min" val="0"/>
        <cfvo type="max" val="0"/>
        <color theme="6" tint="0.79998168889431442"/>
        <color theme="9"/>
      </colorScale>
    </cfRule>
  </conditionalFormatting>
  <conditionalFormatting sqref="J232:J233">
    <cfRule type="colorScale" priority="43">
      <colorScale>
        <cfvo type="min" val="0"/>
        <cfvo type="max" val="0"/>
        <color theme="6" tint="0.79998168889431442"/>
        <color theme="9"/>
      </colorScale>
    </cfRule>
  </conditionalFormatting>
  <conditionalFormatting sqref="I227:I231">
    <cfRule type="colorScale" priority="42">
      <colorScale>
        <cfvo type="min" val="0"/>
        <cfvo type="max" val="0"/>
        <color theme="6" tint="0.79998168889431442"/>
        <color theme="9"/>
      </colorScale>
    </cfRule>
  </conditionalFormatting>
  <conditionalFormatting sqref="J227:J231">
    <cfRule type="colorScale" priority="41">
      <colorScale>
        <cfvo type="min" val="0"/>
        <cfvo type="max" val="0"/>
        <color theme="6" tint="0.79998168889431442"/>
        <color theme="9"/>
      </colorScale>
    </cfRule>
  </conditionalFormatting>
  <conditionalFormatting sqref="I232:I233">
    <cfRule type="colorScale" priority="40">
      <colorScale>
        <cfvo type="min" val="0"/>
        <cfvo type="max" val="0"/>
        <color theme="6" tint="0.79998168889431442"/>
        <color theme="9"/>
      </colorScale>
    </cfRule>
  </conditionalFormatting>
  <conditionalFormatting sqref="J232:J233">
    <cfRule type="colorScale" priority="39">
      <colorScale>
        <cfvo type="min" val="0"/>
        <cfvo type="max" val="0"/>
        <color theme="6" tint="0.79998168889431442"/>
        <color theme="9"/>
      </colorScale>
    </cfRule>
  </conditionalFormatting>
  <conditionalFormatting sqref="I227:I231">
    <cfRule type="colorScale" priority="38">
      <colorScale>
        <cfvo type="min" val="0"/>
        <cfvo type="max" val="0"/>
        <color theme="6" tint="0.79998168889431442"/>
        <color theme="9"/>
      </colorScale>
    </cfRule>
  </conditionalFormatting>
  <conditionalFormatting sqref="J227:J231">
    <cfRule type="colorScale" priority="37">
      <colorScale>
        <cfvo type="min" val="0"/>
        <cfvo type="max" val="0"/>
        <color theme="6" tint="0.79998168889431442"/>
        <color theme="9"/>
      </colorScale>
    </cfRule>
  </conditionalFormatting>
  <conditionalFormatting sqref="I232:I233">
    <cfRule type="colorScale" priority="36">
      <colorScale>
        <cfvo type="min" val="0"/>
        <cfvo type="max" val="0"/>
        <color theme="6" tint="0.79998168889431442"/>
        <color theme="9"/>
      </colorScale>
    </cfRule>
  </conditionalFormatting>
  <conditionalFormatting sqref="J232:J233">
    <cfRule type="colorScale" priority="35">
      <colorScale>
        <cfvo type="min" val="0"/>
        <cfvo type="max" val="0"/>
        <color theme="6" tint="0.79998168889431442"/>
        <color theme="9"/>
      </colorScale>
    </cfRule>
  </conditionalFormatting>
  <conditionalFormatting sqref="I227:I231">
    <cfRule type="colorScale" priority="34">
      <colorScale>
        <cfvo type="min" val="0"/>
        <cfvo type="max" val="0"/>
        <color theme="6" tint="0.79998168889431442"/>
        <color theme="9"/>
      </colorScale>
    </cfRule>
  </conditionalFormatting>
  <conditionalFormatting sqref="J227:J231">
    <cfRule type="colorScale" priority="33">
      <colorScale>
        <cfvo type="min" val="0"/>
        <cfvo type="max" val="0"/>
        <color theme="6" tint="0.79998168889431442"/>
        <color theme="9"/>
      </colorScale>
    </cfRule>
  </conditionalFormatting>
  <conditionalFormatting sqref="I232:I233">
    <cfRule type="colorScale" priority="32">
      <colorScale>
        <cfvo type="min" val="0"/>
        <cfvo type="max" val="0"/>
        <color theme="6" tint="0.79998168889431442"/>
        <color theme="9"/>
      </colorScale>
    </cfRule>
  </conditionalFormatting>
  <conditionalFormatting sqref="J232:J233">
    <cfRule type="colorScale" priority="31">
      <colorScale>
        <cfvo type="min" val="0"/>
        <cfvo type="max" val="0"/>
        <color theme="6" tint="0.79998168889431442"/>
        <color theme="9"/>
      </colorScale>
    </cfRule>
  </conditionalFormatting>
  <conditionalFormatting sqref="I234:I238">
    <cfRule type="colorScale" priority="30">
      <colorScale>
        <cfvo type="min" val="0"/>
        <cfvo type="max" val="0"/>
        <color theme="6" tint="0.79998168889431442"/>
        <color theme="9"/>
      </colorScale>
    </cfRule>
  </conditionalFormatting>
  <conditionalFormatting sqref="J234:J238">
    <cfRule type="colorScale" priority="29">
      <colorScale>
        <cfvo type="min" val="0"/>
        <cfvo type="max" val="0"/>
        <color theme="6" tint="0.79998168889431442"/>
        <color theme="9"/>
      </colorScale>
    </cfRule>
  </conditionalFormatting>
  <conditionalFormatting sqref="I239:I240">
    <cfRule type="colorScale" priority="28">
      <colorScale>
        <cfvo type="min" val="0"/>
        <cfvo type="max" val="0"/>
        <color theme="6" tint="0.79998168889431442"/>
        <color theme="9"/>
      </colorScale>
    </cfRule>
  </conditionalFormatting>
  <conditionalFormatting sqref="J239:J240">
    <cfRule type="colorScale" priority="27">
      <colorScale>
        <cfvo type="min" val="0"/>
        <cfvo type="max" val="0"/>
        <color theme="6" tint="0.79998168889431442"/>
        <color theme="9"/>
      </colorScale>
    </cfRule>
  </conditionalFormatting>
  <conditionalFormatting sqref="I234:I238">
    <cfRule type="colorScale" priority="26">
      <colorScale>
        <cfvo type="min" val="0"/>
        <cfvo type="max" val="0"/>
        <color theme="6" tint="0.79998168889431442"/>
        <color theme="9"/>
      </colorScale>
    </cfRule>
  </conditionalFormatting>
  <conditionalFormatting sqref="J234:J238">
    <cfRule type="colorScale" priority="25">
      <colorScale>
        <cfvo type="min" val="0"/>
        <cfvo type="max" val="0"/>
        <color theme="6" tint="0.79998168889431442"/>
        <color theme="9"/>
      </colorScale>
    </cfRule>
  </conditionalFormatting>
  <conditionalFormatting sqref="I239:I240">
    <cfRule type="colorScale" priority="24">
      <colorScale>
        <cfvo type="min" val="0"/>
        <cfvo type="max" val="0"/>
        <color theme="6" tint="0.79998168889431442"/>
        <color theme="9"/>
      </colorScale>
    </cfRule>
  </conditionalFormatting>
  <conditionalFormatting sqref="J239:J240">
    <cfRule type="colorScale" priority="23">
      <colorScale>
        <cfvo type="min" val="0"/>
        <cfvo type="max" val="0"/>
        <color theme="6" tint="0.79998168889431442"/>
        <color theme="9"/>
      </colorScale>
    </cfRule>
  </conditionalFormatting>
  <conditionalFormatting sqref="I234:I238">
    <cfRule type="colorScale" priority="22">
      <colorScale>
        <cfvo type="min" val="0"/>
        <cfvo type="max" val="0"/>
        <color theme="6" tint="0.79998168889431442"/>
        <color theme="9"/>
      </colorScale>
    </cfRule>
  </conditionalFormatting>
  <conditionalFormatting sqref="J234:J238">
    <cfRule type="colorScale" priority="21">
      <colorScale>
        <cfvo type="min" val="0"/>
        <cfvo type="max" val="0"/>
        <color theme="6" tint="0.79998168889431442"/>
        <color theme="9"/>
      </colorScale>
    </cfRule>
  </conditionalFormatting>
  <conditionalFormatting sqref="I239:I240">
    <cfRule type="colorScale" priority="20">
      <colorScale>
        <cfvo type="min" val="0"/>
        <cfvo type="max" val="0"/>
        <color theme="6" tint="0.79998168889431442"/>
        <color theme="9"/>
      </colorScale>
    </cfRule>
  </conditionalFormatting>
  <conditionalFormatting sqref="J239:J240">
    <cfRule type="colorScale" priority="19">
      <colorScale>
        <cfvo type="min" val="0"/>
        <cfvo type="max" val="0"/>
        <color theme="6" tint="0.79998168889431442"/>
        <color theme="9"/>
      </colorScale>
    </cfRule>
  </conditionalFormatting>
  <conditionalFormatting sqref="I234:I238">
    <cfRule type="colorScale" priority="18">
      <colorScale>
        <cfvo type="min" val="0"/>
        <cfvo type="max" val="0"/>
        <color theme="6" tint="0.79998168889431442"/>
        <color theme="9"/>
      </colorScale>
    </cfRule>
  </conditionalFormatting>
  <conditionalFormatting sqref="J234:J238">
    <cfRule type="colorScale" priority="17">
      <colorScale>
        <cfvo type="min" val="0"/>
        <cfvo type="max" val="0"/>
        <color theme="6" tint="0.79998168889431442"/>
        <color theme="9"/>
      </colorScale>
    </cfRule>
  </conditionalFormatting>
  <conditionalFormatting sqref="I239:I240">
    <cfRule type="colorScale" priority="16">
      <colorScale>
        <cfvo type="min" val="0"/>
        <cfvo type="max" val="0"/>
        <color theme="6" tint="0.79998168889431442"/>
        <color theme="9"/>
      </colorScale>
    </cfRule>
  </conditionalFormatting>
  <conditionalFormatting sqref="J239:J240">
    <cfRule type="colorScale" priority="15">
      <colorScale>
        <cfvo type="min" val="0"/>
        <cfvo type="max" val="0"/>
        <color theme="6" tint="0.79998168889431442"/>
        <color theme="9"/>
      </colorScale>
    </cfRule>
  </conditionalFormatting>
  <conditionalFormatting sqref="I239:I240">
    <cfRule type="colorScale" priority="14">
      <colorScale>
        <cfvo type="min" val="0"/>
        <cfvo type="max" val="0"/>
        <color theme="9" tint="0.79998168889431442"/>
        <color theme="9" tint="-0.249977111117893"/>
      </colorScale>
    </cfRule>
  </conditionalFormatting>
  <conditionalFormatting sqref="J239:J240">
    <cfRule type="colorScale" priority="13">
      <colorScale>
        <cfvo type="min" val="0"/>
        <cfvo type="max" val="0"/>
        <color theme="6" tint="0.79998168889431442"/>
        <color theme="9"/>
      </colorScale>
    </cfRule>
  </conditionalFormatting>
  <conditionalFormatting sqref="J239:J240">
    <cfRule type="colorScale" priority="12">
      <colorScale>
        <cfvo type="min" val="0"/>
        <cfvo type="max" val="0"/>
        <color theme="6" tint="0.79998168889431442"/>
        <color theme="9"/>
      </colorScale>
    </cfRule>
  </conditionalFormatting>
  <conditionalFormatting sqref="I237:I238">
    <cfRule type="colorScale" priority="11">
      <colorScale>
        <cfvo type="min" val="0"/>
        <cfvo type="max" val="0"/>
        <color theme="6" tint="0.79998168889431442"/>
        <color theme="9"/>
      </colorScale>
    </cfRule>
  </conditionalFormatting>
  <conditionalFormatting sqref="J237:J238">
    <cfRule type="colorScale" priority="10">
      <colorScale>
        <cfvo type="min" val="0"/>
        <cfvo type="max" val="0"/>
        <color theme="6" tint="0.79998168889431442"/>
        <color theme="9"/>
      </colorScale>
    </cfRule>
  </conditionalFormatting>
  <conditionalFormatting sqref="I237:I238">
    <cfRule type="colorScale" priority="9">
      <colorScale>
        <cfvo type="min" val="0"/>
        <cfvo type="max" val="0"/>
        <color theme="6" tint="0.79998168889431442"/>
        <color theme="9"/>
      </colorScale>
    </cfRule>
  </conditionalFormatting>
  <conditionalFormatting sqref="J237:J238">
    <cfRule type="colorScale" priority="8">
      <colorScale>
        <cfvo type="min" val="0"/>
        <cfvo type="max" val="0"/>
        <color theme="6" tint="0.79998168889431442"/>
        <color theme="9"/>
      </colorScale>
    </cfRule>
  </conditionalFormatting>
  <conditionalFormatting sqref="I237:I238">
    <cfRule type="colorScale" priority="7">
      <colorScale>
        <cfvo type="min" val="0"/>
        <cfvo type="max" val="0"/>
        <color theme="6" tint="0.79998168889431442"/>
        <color theme="9"/>
      </colorScale>
    </cfRule>
  </conditionalFormatting>
  <conditionalFormatting sqref="J237:J238">
    <cfRule type="colorScale" priority="6">
      <colorScale>
        <cfvo type="min" val="0"/>
        <cfvo type="max" val="0"/>
        <color theme="6" tint="0.79998168889431442"/>
        <color theme="9"/>
      </colorScale>
    </cfRule>
  </conditionalFormatting>
  <conditionalFormatting sqref="I237:I238">
    <cfRule type="colorScale" priority="5">
      <colorScale>
        <cfvo type="min" val="0"/>
        <cfvo type="max" val="0"/>
        <color theme="6" tint="0.79998168889431442"/>
        <color theme="9"/>
      </colorScale>
    </cfRule>
  </conditionalFormatting>
  <conditionalFormatting sqref="J237:J238">
    <cfRule type="colorScale" priority="4">
      <colorScale>
        <cfvo type="min" val="0"/>
        <cfvo type="max" val="0"/>
        <color theme="6" tint="0.79998168889431442"/>
        <color theme="9"/>
      </colorScale>
    </cfRule>
  </conditionalFormatting>
  <conditionalFormatting sqref="I237:I238">
    <cfRule type="colorScale" priority="3">
      <colorScale>
        <cfvo type="min" val="0"/>
        <cfvo type="max" val="0"/>
        <color theme="9" tint="0.79998168889431442"/>
        <color theme="9" tint="-0.249977111117893"/>
      </colorScale>
    </cfRule>
  </conditionalFormatting>
  <conditionalFormatting sqref="J237:J238">
    <cfRule type="colorScale" priority="2">
      <colorScale>
        <cfvo type="min" val="0"/>
        <cfvo type="max" val="0"/>
        <color theme="6" tint="0.79998168889431442"/>
        <color theme="9"/>
      </colorScale>
    </cfRule>
  </conditionalFormatting>
  <conditionalFormatting sqref="J237:J238">
    <cfRule type="colorScale" priority="1">
      <colorScale>
        <cfvo type="min" val="0"/>
        <cfvo type="max" val="0"/>
        <color theme="6" tint="0.79998168889431442"/>
        <color theme="9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T777"/>
  <sheetViews>
    <sheetView topLeftCell="AV1" zoomScaleNormal="100" workbookViewId="0">
      <pane ySplit="2" topLeftCell="A30" activePane="bottomLeft" state="frozen"/>
      <selection activeCell="AU1" sqref="AU1"/>
      <selection pane="bottomLeft" activeCell="BC52" sqref="BC52"/>
    </sheetView>
  </sheetViews>
  <sheetFormatPr defaultRowHeight="12"/>
  <cols>
    <col min="1" max="1" width="1.77734375" style="2420" customWidth="1"/>
    <col min="2" max="2" width="6.6640625" style="2421" customWidth="1"/>
    <col min="3" max="3" width="10.21875" style="2250" customWidth="1"/>
    <col min="4" max="6" width="10.109375" style="2250" customWidth="1"/>
    <col min="7" max="7" width="2.6640625" style="2250" customWidth="1"/>
    <col min="8" max="9" width="10.109375" style="2424" customWidth="1"/>
    <col min="10" max="10" width="1.77734375" style="2424" customWidth="1"/>
    <col min="11" max="11" width="1.77734375" style="2420" customWidth="1"/>
    <col min="12" max="12" width="6.6640625" style="2421" customWidth="1"/>
    <col min="13" max="13" width="10.21875" style="2250" customWidth="1"/>
    <col min="14" max="16" width="10.109375" style="2250" customWidth="1"/>
    <col min="17" max="17" width="2.6640625" style="2250" customWidth="1"/>
    <col min="18" max="19" width="10.109375" style="2424" customWidth="1"/>
    <col min="20" max="20" width="1.77734375" style="2424" customWidth="1"/>
    <col min="21" max="21" width="1.77734375" style="2420" customWidth="1"/>
    <col min="22" max="22" width="6.6640625" style="2421" customWidth="1"/>
    <col min="23" max="23" width="8.6640625" style="2250" customWidth="1"/>
    <col min="24" max="24" width="10.109375" style="2424" customWidth="1"/>
    <col min="25" max="25" width="8.6640625" style="2422" customWidth="1"/>
    <col min="26" max="26" width="10.109375" style="2250" customWidth="1"/>
    <col min="27" max="27" width="8.33203125" style="2423" customWidth="1"/>
    <col min="28" max="28" width="10.21875" style="2425" customWidth="1"/>
    <col min="29" max="29" width="1.77734375" style="2250" customWidth="1"/>
    <col min="30" max="31" width="10.109375" style="2424" customWidth="1"/>
    <col min="32" max="32" width="1.77734375" style="2424" customWidth="1"/>
    <col min="33" max="33" width="1.77734375" style="2420" customWidth="1"/>
    <col min="34" max="34" width="6.6640625" style="2421" customWidth="1"/>
    <col min="35" max="35" width="8.6640625" style="2250" customWidth="1"/>
    <col min="36" max="36" width="10.109375" style="2424" customWidth="1"/>
    <col min="37" max="37" width="8.6640625" style="2422" customWidth="1"/>
    <col min="38" max="38" width="10.109375" style="2250" customWidth="1"/>
    <col min="39" max="39" width="8.33203125" style="2423" customWidth="1"/>
    <col min="40" max="40" width="10.21875" style="2425" customWidth="1"/>
    <col min="41" max="41" width="1.77734375" style="2250" customWidth="1"/>
    <col min="42" max="45" width="10.109375" style="2424" customWidth="1"/>
    <col min="46" max="46" width="1.77734375" style="2424" customWidth="1"/>
    <col min="47" max="47" width="1.77734375" style="2420" customWidth="1"/>
    <col min="48" max="48" width="6.6640625" style="2421" customWidth="1"/>
    <col min="49" max="49" width="8.6640625" style="2250" customWidth="1"/>
    <col min="50" max="50" width="10.109375" style="2424" customWidth="1"/>
    <col min="51" max="51" width="9.109375" style="2422" customWidth="1"/>
    <col min="52" max="52" width="10.109375" style="2250" customWidth="1"/>
    <col min="53" max="53" width="8.33203125" style="2423" customWidth="1"/>
    <col min="54" max="54" width="10.21875" style="2425" customWidth="1"/>
    <col min="55" max="55" width="1.77734375" style="2250" customWidth="1"/>
    <col min="56" max="57" width="10.109375" style="2424" customWidth="1"/>
    <col min="58" max="58" width="1.77734375" style="2424" customWidth="1"/>
    <col min="59" max="59" width="1.77734375" style="2420" customWidth="1"/>
    <col min="60" max="60" width="10.44140625" style="2250" customWidth="1"/>
    <col min="61" max="61" width="3.21875" style="2463" customWidth="1"/>
    <col min="62" max="62" width="10" style="2250" customWidth="1"/>
    <col min="63" max="63" width="11" style="2421" customWidth="1"/>
    <col min="64" max="67" width="10" style="2421" customWidth="1"/>
    <col min="68" max="68" width="10" style="2430" customWidth="1"/>
    <col min="69" max="69" width="10.77734375" style="2421" customWidth="1"/>
    <col min="70" max="70" width="9.33203125" style="2250" customWidth="1"/>
    <col min="71" max="71" width="10.77734375" style="2421" customWidth="1"/>
    <col min="72" max="73" width="8.88671875" style="2421"/>
    <col min="74" max="74" width="9.88671875" style="2421" customWidth="1"/>
    <col min="75" max="75" width="8.88671875" style="2421"/>
    <col min="76" max="76" width="9.21875" style="2421" customWidth="1"/>
    <col min="77" max="77" width="8.88671875" style="2421"/>
    <col min="78" max="78" width="9.88671875" style="2421" customWidth="1"/>
    <col min="79" max="79" width="8.88671875" style="2421"/>
    <col min="80" max="80" width="11.5546875" style="2421" customWidth="1"/>
    <col min="81" max="82" width="8.88671875" style="2421"/>
    <col min="83" max="83" width="11.5546875" style="2421" customWidth="1"/>
    <col min="84" max="16384" width="8.88671875" style="2421"/>
  </cols>
  <sheetData>
    <row r="1" spans="1:82" ht="13.2" thickTop="1" thickBot="1">
      <c r="AV1" s="2727"/>
      <c r="AW1" s="2728"/>
      <c r="AX1" s="2716" t="str">
        <f t="shared" ref="AX1" si="0">IF(AY1&gt;0,AY1-#REF!,"")</f>
        <v/>
      </c>
      <c r="AY1" s="3080"/>
      <c r="AZ1" s="3081" t="str">
        <f t="shared" ref="AZ1" si="1">IF(BA1&gt;0,BA1-#REF!,"")</f>
        <v/>
      </c>
      <c r="BA1" s="3082"/>
      <c r="BB1" s="3082" t="str">
        <f t="shared" ref="BB1" si="2">IF(BA1&gt;0,BA1/AY1,"")</f>
        <v/>
      </c>
      <c r="BC1" s="3083" t="str">
        <f t="shared" ref="BC1:BC2" si="3">IF(AY1&gt;0,"*","")</f>
        <v/>
      </c>
      <c r="BD1" s="3075">
        <f>'varme 24'!E300</f>
        <v>0</v>
      </c>
      <c r="BE1" s="3076">
        <f>'varme 24'!I300</f>
        <v>0</v>
      </c>
      <c r="BF1" s="3083" t="str">
        <f t="shared" ref="BF1:BF2" si="4">IF(BD1&gt;0,"*","")</f>
        <v/>
      </c>
      <c r="BH1" s="2625" t="s">
        <v>1682</v>
      </c>
      <c r="BI1" s="2626"/>
      <c r="BJ1" s="2627">
        <f ca="1">TODAY()</f>
        <v>45428</v>
      </c>
      <c r="BK1" s="2628"/>
      <c r="BL1" s="2627">
        <v>45215</v>
      </c>
      <c r="BM1" s="2627">
        <v>45291</v>
      </c>
      <c r="BN1" s="2627">
        <v>45292</v>
      </c>
      <c r="BO1" s="2629">
        <v>45473</v>
      </c>
      <c r="BP1" s="3078" t="s">
        <v>1236</v>
      </c>
      <c r="BQ1" s="3078" t="s">
        <v>1171</v>
      </c>
    </row>
    <row r="2" spans="1:82" ht="13.2" thickTop="1" thickBot="1">
      <c r="AV2" s="2727"/>
      <c r="AW2" s="2728" t="str">
        <f t="shared" ref="AW2" si="5">IF(AX2&gt;0,AX2-AX1,"")</f>
        <v/>
      </c>
      <c r="AX2" s="2716"/>
      <c r="AY2" s="3080" t="str">
        <f t="shared" ref="AY2" si="6">IF(AZ2&gt;0,AZ2-AZ1,"")</f>
        <v/>
      </c>
      <c r="AZ2" s="3081"/>
      <c r="BA2" s="3082" t="str">
        <f t="shared" ref="BA2" si="7">IF(AZ2&gt;0,AZ2/AX2,"")</f>
        <v/>
      </c>
      <c r="BB2" s="3082" t="str">
        <f t="shared" ref="BB2" si="8">IF(AX2&gt;0,"*","")</f>
        <v/>
      </c>
      <c r="BC2" s="3083" t="str">
        <f t="shared" si="3"/>
        <v>*</v>
      </c>
      <c r="BD2" s="3075">
        <f>'varme 24'!E301</f>
        <v>0</v>
      </c>
      <c r="BE2" s="3076">
        <f>'varme 24'!I301</f>
        <v>0</v>
      </c>
      <c r="BF2" s="3083" t="str">
        <f t="shared" si="4"/>
        <v/>
      </c>
      <c r="BH2" s="2820" t="s">
        <v>1665</v>
      </c>
      <c r="BI2" s="2821"/>
      <c r="BJ2" s="2821"/>
      <c r="BK2" s="2630">
        <f>365/2</f>
        <v>182.5</v>
      </c>
      <c r="BL2" s="2631">
        <v>922.76</v>
      </c>
      <c r="BM2" s="2621" t="s">
        <v>1676</v>
      </c>
      <c r="BN2" s="2632">
        <f ca="1">BL2/BK2*BO2+158</f>
        <v>845.64580821917809</v>
      </c>
      <c r="BO2" s="2630">
        <f ca="1">BJ1-BN1</f>
        <v>136</v>
      </c>
      <c r="BP2" s="3077">
        <v>5970.99</v>
      </c>
      <c r="BQ2" s="3077">
        <f>BP2/6</f>
        <v>995.16499999999996</v>
      </c>
    </row>
    <row r="3" spans="1:82" ht="14.4" customHeight="1" thickTop="1" thickBot="1">
      <c r="B3" s="2574"/>
      <c r="C3" s="2573"/>
      <c r="D3" s="2827" t="s">
        <v>1168</v>
      </c>
      <c r="E3" s="2828"/>
      <c r="F3" s="2828"/>
      <c r="G3" s="2829"/>
      <c r="H3" s="2827" t="s">
        <v>1673</v>
      </c>
      <c r="I3" s="2828"/>
      <c r="J3" s="2829"/>
      <c r="L3" s="2574"/>
      <c r="M3" s="2575"/>
      <c r="N3" s="2827" t="s">
        <v>1168</v>
      </c>
      <c r="O3" s="2828"/>
      <c r="P3" s="2828"/>
      <c r="Q3" s="2829"/>
      <c r="R3" s="2827" t="s">
        <v>1673</v>
      </c>
      <c r="S3" s="2828"/>
      <c r="T3" s="2829"/>
      <c r="V3" s="2581"/>
      <c r="W3" s="2581"/>
      <c r="X3" s="2822" t="s">
        <v>1168</v>
      </c>
      <c r="Y3" s="2823"/>
      <c r="Z3" s="2823"/>
      <c r="AA3" s="2823"/>
      <c r="AB3" s="2823"/>
      <c r="AC3" s="2824"/>
      <c r="AD3" s="2822" t="s">
        <v>1673</v>
      </c>
      <c r="AE3" s="2823"/>
      <c r="AF3" s="2824"/>
      <c r="AH3" s="2581"/>
      <c r="AI3" s="2581"/>
      <c r="AJ3" s="2822" t="s">
        <v>1168</v>
      </c>
      <c r="AK3" s="2823"/>
      <c r="AL3" s="2823"/>
      <c r="AM3" s="2823"/>
      <c r="AN3" s="2823"/>
      <c r="AO3" s="2824"/>
      <c r="AP3" s="2822" t="s">
        <v>1673</v>
      </c>
      <c r="AQ3" s="2823"/>
      <c r="AR3" s="2823"/>
      <c r="AS3" s="2823"/>
      <c r="AT3" s="2824"/>
      <c r="AV3" s="2581"/>
      <c r="AW3" s="2581"/>
      <c r="AX3" s="3068" t="s">
        <v>1168</v>
      </c>
      <c r="AY3" s="3068"/>
      <c r="AZ3" s="3068"/>
      <c r="BA3" s="3068"/>
      <c r="BB3" s="3068"/>
      <c r="BC3" s="3068"/>
      <c r="BD3" s="2823" t="s">
        <v>1673</v>
      </c>
      <c r="BE3" s="2823"/>
      <c r="BF3" s="2824"/>
      <c r="BH3" s="2651" t="s">
        <v>1673</v>
      </c>
      <c r="BI3" s="2652"/>
      <c r="BJ3" s="2653">
        <v>0.32400000000000001</v>
      </c>
      <c r="BK3" s="2740" t="s">
        <v>1618</v>
      </c>
      <c r="BL3" s="2654">
        <v>1.25</v>
      </c>
      <c r="BM3" s="2655" t="s">
        <v>416</v>
      </c>
      <c r="BN3" s="2656" t="s">
        <v>1675</v>
      </c>
      <c r="BO3" s="2656" t="s">
        <v>567</v>
      </c>
      <c r="BP3" s="2657" t="s">
        <v>1688</v>
      </c>
      <c r="BQ3" s="2462" t="s">
        <v>1585</v>
      </c>
      <c r="BR3" s="2431"/>
      <c r="BS3" s="2432"/>
      <c r="BT3" s="2432"/>
      <c r="BU3" s="2433"/>
      <c r="BV3" s="2432"/>
    </row>
    <row r="4" spans="1:82" ht="14.4" customHeight="1" thickTop="1" thickBot="1">
      <c r="B4" s="2543"/>
      <c r="C4" s="2327"/>
      <c r="D4" s="2541" t="s">
        <v>1147</v>
      </c>
      <c r="E4" s="2537" t="s">
        <v>708</v>
      </c>
      <c r="F4" s="2537" t="s">
        <v>1146</v>
      </c>
      <c r="G4" s="2538"/>
      <c r="H4" s="2536" t="s">
        <v>1147</v>
      </c>
      <c r="I4" s="2539" t="s">
        <v>1618</v>
      </c>
      <c r="J4" s="2540"/>
      <c r="L4" s="2543"/>
      <c r="M4" s="2571"/>
      <c r="N4" s="2541" t="s">
        <v>1147</v>
      </c>
      <c r="O4" s="2537" t="s">
        <v>708</v>
      </c>
      <c r="P4" s="2537" t="s">
        <v>1146</v>
      </c>
      <c r="Q4" s="2538"/>
      <c r="R4" s="2536" t="s">
        <v>1147</v>
      </c>
      <c r="S4" s="2539" t="s">
        <v>1618</v>
      </c>
      <c r="T4" s="2540"/>
      <c r="V4" s="2544"/>
      <c r="W4" s="2499"/>
      <c r="X4" s="2558" t="s">
        <v>1147</v>
      </c>
      <c r="Y4" s="2559" t="s">
        <v>1163</v>
      </c>
      <c r="Z4" s="2560" t="s">
        <v>708</v>
      </c>
      <c r="AA4" s="2561" t="s">
        <v>1669</v>
      </c>
      <c r="AB4" s="2560" t="s">
        <v>1146</v>
      </c>
      <c r="AC4" s="2562"/>
      <c r="AD4" s="2561" t="s">
        <v>1147</v>
      </c>
      <c r="AE4" s="2563" t="s">
        <v>1618</v>
      </c>
      <c r="AF4" s="2564"/>
      <c r="AH4" s="2544"/>
      <c r="AI4" s="2499"/>
      <c r="AJ4" s="2558" t="s">
        <v>1147</v>
      </c>
      <c r="AK4" s="2559" t="s">
        <v>1163</v>
      </c>
      <c r="AL4" s="2560" t="s">
        <v>708</v>
      </c>
      <c r="AM4" s="2561" t="s">
        <v>1669</v>
      </c>
      <c r="AN4" s="2560" t="s">
        <v>1146</v>
      </c>
      <c r="AO4" s="2562"/>
      <c r="AP4" s="2558" t="s">
        <v>1147</v>
      </c>
      <c r="AQ4" s="2561"/>
      <c r="AR4" s="2563" t="s">
        <v>1618</v>
      </c>
      <c r="AS4" s="2563"/>
      <c r="AT4" s="2564"/>
      <c r="AV4" s="3069" t="s">
        <v>91</v>
      </c>
      <c r="AW4" s="3070"/>
      <c r="AX4" s="3064" t="s">
        <v>1147</v>
      </c>
      <c r="AY4" s="3062" t="s">
        <v>1163</v>
      </c>
      <c r="AZ4" s="3063" t="s">
        <v>708</v>
      </c>
      <c r="BA4" s="3064" t="s">
        <v>1669</v>
      </c>
      <c r="BB4" s="3063" t="s">
        <v>1146</v>
      </c>
      <c r="BC4" s="3063"/>
      <c r="BD4" s="3061" t="s">
        <v>1147</v>
      </c>
      <c r="BE4" s="3065" t="s">
        <v>1618</v>
      </c>
      <c r="BF4" s="3066"/>
      <c r="BH4" s="2658">
        <v>19</v>
      </c>
      <c r="BI4" s="2659">
        <v>19</v>
      </c>
      <c r="BJ4" s="2660">
        <f>580*0.324*1.25</f>
        <v>234.90000000000003</v>
      </c>
      <c r="BK4" s="2660"/>
      <c r="BL4" s="2660">
        <f>15.34*1.25</f>
        <v>19.175000000000001</v>
      </c>
      <c r="BM4" s="2660">
        <f>((814.28+644.82+750+111.09)*1.25)/180*BH4</f>
        <v>306.13618055555554</v>
      </c>
      <c r="BN4" s="2660">
        <f>BO4/BH4</f>
        <v>29.484798976608186</v>
      </c>
      <c r="BO4" s="2660">
        <f>SUM(BJ4:BM4)</f>
        <v>560.21118055555553</v>
      </c>
      <c r="BP4" s="2648">
        <v>472</v>
      </c>
      <c r="BQ4" s="2434" t="s">
        <v>1580</v>
      </c>
      <c r="BR4" s="2441"/>
      <c r="BS4" s="2432">
        <v>1</v>
      </c>
      <c r="BT4" s="2432">
        <f>BR4*BS4</f>
        <v>0</v>
      </c>
      <c r="BU4" s="2442"/>
      <c r="BV4" s="2432">
        <f>BT4*BU4</f>
        <v>0</v>
      </c>
    </row>
    <row r="5" spans="1:82" ht="14.4" customHeight="1" thickTop="1" thickBot="1">
      <c r="B5" s="2818" t="s">
        <v>83</v>
      </c>
      <c r="C5" s="2819"/>
      <c r="D5" s="2567">
        <f>SUM(D6:D36)</f>
        <v>269.16000000000003</v>
      </c>
      <c r="E5" s="2567">
        <v>492.88</v>
      </c>
      <c r="F5" s="2567">
        <f>E5/D5</f>
        <v>1.8311784812007725</v>
      </c>
      <c r="G5" s="2568"/>
      <c r="H5" s="2566">
        <f>SUM(H6:H36)</f>
        <v>1378</v>
      </c>
      <c r="I5" s="2569">
        <f>SUM(I6:I36)</f>
        <v>31.01</v>
      </c>
      <c r="J5" s="2570"/>
      <c r="L5" s="2825" t="s">
        <v>83</v>
      </c>
      <c r="M5" s="2826"/>
      <c r="N5" s="2553">
        <f>D5</f>
        <v>269.16000000000003</v>
      </c>
      <c r="O5" s="2553">
        <f>E5</f>
        <v>492.88</v>
      </c>
      <c r="P5" s="2553">
        <f>F5</f>
        <v>1.8311784812007725</v>
      </c>
      <c r="Q5" s="2555"/>
      <c r="R5" s="2554">
        <f>H5</f>
        <v>1378</v>
      </c>
      <c r="S5" s="2556">
        <f>I5</f>
        <v>31.01</v>
      </c>
      <c r="T5" s="2557"/>
      <c r="V5" s="2825" t="s">
        <v>83</v>
      </c>
      <c r="W5" s="2826"/>
      <c r="X5" s="2552">
        <v>8.68</v>
      </c>
      <c r="Y5" s="2554">
        <v>269.16000000000003</v>
      </c>
      <c r="Z5" s="2553">
        <v>15.9</v>
      </c>
      <c r="AA5" s="2553">
        <v>482.88</v>
      </c>
      <c r="AB5" s="2553">
        <f>AA5/Y5</f>
        <v>1.7940258582255906</v>
      </c>
      <c r="AC5" s="2555"/>
      <c r="AD5" s="2554">
        <v>1378</v>
      </c>
      <c r="AE5" s="2556">
        <v>31.01</v>
      </c>
      <c r="AF5" s="2557"/>
      <c r="AH5" s="2825" t="s">
        <v>83</v>
      </c>
      <c r="AI5" s="2826"/>
      <c r="AJ5" s="2552">
        <v>8.68</v>
      </c>
      <c r="AK5" s="2554">
        <v>269.16000000000003</v>
      </c>
      <c r="AL5" s="2553">
        <v>15.9</v>
      </c>
      <c r="AM5" s="2553">
        <v>482.88</v>
      </c>
      <c r="AN5" s="2553">
        <f>AM5/AK5</f>
        <v>1.7940258582255906</v>
      </c>
      <c r="AO5" s="2555"/>
      <c r="AP5" s="2552">
        <v>1378</v>
      </c>
      <c r="AQ5" s="2554"/>
      <c r="AR5" s="2556">
        <v>31.01</v>
      </c>
      <c r="AS5" s="2553">
        <f>BO6</f>
        <v>1120.5055821917808</v>
      </c>
      <c r="AT5" s="2557"/>
      <c r="AV5" s="3071"/>
      <c r="AW5" s="3072"/>
      <c r="AX5" s="2816">
        <f>SUM(AX6:AX35)</f>
        <v>242.76000000000005</v>
      </c>
      <c r="AY5" s="2816"/>
      <c r="AZ5" s="2817">
        <f>SUM(AZ6:AZ35)</f>
        <v>488.98000000000008</v>
      </c>
      <c r="BA5" s="2817"/>
      <c r="BB5" s="2703">
        <f>AZ5/AX5</f>
        <v>2.0142527599275004</v>
      </c>
      <c r="BC5" s="2736"/>
      <c r="BD5" s="2732">
        <f>SUM(BD6:BD35)</f>
        <v>665</v>
      </c>
      <c r="BE5" s="2714">
        <f>SUM(BE6:BE35)</f>
        <v>15.929999999999998</v>
      </c>
      <c r="BF5" s="2715"/>
      <c r="BH5" s="2661">
        <v>30</v>
      </c>
      <c r="BI5" s="2659">
        <v>30</v>
      </c>
      <c r="BJ5" s="2660">
        <f>1143*0.324*1.25</f>
        <v>462.91499999999996</v>
      </c>
      <c r="BK5" s="2660"/>
      <c r="BL5" s="2660">
        <f>26.05*1.25</f>
        <v>32.5625</v>
      </c>
      <c r="BM5" s="2660">
        <f>((814.28+644.82+750+111.09)*1.25)/180*BH5</f>
        <v>483.37291666666664</v>
      </c>
      <c r="BN5" s="2660">
        <f>BO5/BH5</f>
        <v>32.628347222222224</v>
      </c>
      <c r="BO5" s="2660">
        <f>SUM(BJ5:BM5)</f>
        <v>978.85041666666666</v>
      </c>
      <c r="BP5" s="2648">
        <v>630</v>
      </c>
      <c r="BQ5" s="2434" t="s">
        <v>1581</v>
      </c>
      <c r="BR5" s="2441">
        <v>89.73</v>
      </c>
      <c r="BS5" s="2432">
        <v>1</v>
      </c>
      <c r="BT5" s="2432">
        <f t="shared" ref="BT5:BV5" si="9">BR5*BS5</f>
        <v>89.73</v>
      </c>
      <c r="BU5" s="2442"/>
      <c r="BV5" s="2432">
        <f t="shared" si="9"/>
        <v>0</v>
      </c>
    </row>
    <row r="6" spans="1:82" ht="15" thickTop="1" thickBot="1">
      <c r="B6" s="2488" t="s">
        <v>1130</v>
      </c>
      <c r="C6" s="2489">
        <v>45261</v>
      </c>
      <c r="D6" s="2576">
        <v>8</v>
      </c>
      <c r="E6" s="2484"/>
      <c r="F6" s="2484"/>
      <c r="G6" s="2501" t="str">
        <f t="shared" ref="G6:G36" si="10">IF(D6&gt;0,"1","")</f>
        <v>1</v>
      </c>
      <c r="H6" s="2485">
        <v>49</v>
      </c>
      <c r="I6" s="2486">
        <v>1.0900000000000001</v>
      </c>
      <c r="J6" s="2487" t="str">
        <f t="shared" ref="J6:J36" si="11">IF(H6&gt;0,"1","")</f>
        <v>1</v>
      </c>
      <c r="L6" s="2818" t="s">
        <v>94</v>
      </c>
      <c r="M6" s="2819"/>
      <c r="N6" s="2567">
        <v>246.84</v>
      </c>
      <c r="O6" s="2567">
        <v>632.65</v>
      </c>
      <c r="P6" s="2567">
        <f>O6/N6</f>
        <v>2.562996272889321</v>
      </c>
      <c r="Q6" s="2568"/>
      <c r="R6" s="2566">
        <f>SUM(R7:R35)</f>
        <v>1441</v>
      </c>
      <c r="S6" s="2569">
        <f>SUM(S7:S37)</f>
        <v>30.38</v>
      </c>
      <c r="T6" s="2570"/>
      <c r="V6" s="2825" t="s">
        <v>94</v>
      </c>
      <c r="W6" s="2826"/>
      <c r="X6" s="2552">
        <v>7.96</v>
      </c>
      <c r="Y6" s="2554">
        <v>246.84</v>
      </c>
      <c r="Z6" s="2553">
        <v>20.41</v>
      </c>
      <c r="AA6" s="2553">
        <v>632.65</v>
      </c>
      <c r="AB6" s="2553">
        <f t="shared" ref="AB6:AB7" si="12">AA6/Y6</f>
        <v>2.562996272889321</v>
      </c>
      <c r="AC6" s="2555"/>
      <c r="AD6" s="2554">
        <v>1441</v>
      </c>
      <c r="AE6" s="2556">
        <v>30.38</v>
      </c>
      <c r="AF6" s="2557"/>
      <c r="AH6" s="2825" t="s">
        <v>94</v>
      </c>
      <c r="AI6" s="2826"/>
      <c r="AJ6" s="2552">
        <v>7.96</v>
      </c>
      <c r="AK6" s="2554">
        <v>246.84</v>
      </c>
      <c r="AL6" s="2553">
        <v>20.41</v>
      </c>
      <c r="AM6" s="2553">
        <v>632.65</v>
      </c>
      <c r="AN6" s="2553">
        <f t="shared" ref="AN6:AN7" si="13">AM6/AK6</f>
        <v>2.562996272889321</v>
      </c>
      <c r="AO6" s="2555"/>
      <c r="AP6" s="2552">
        <v>1441</v>
      </c>
      <c r="AQ6" s="2554"/>
      <c r="AR6" s="2556">
        <v>30.38</v>
      </c>
      <c r="AS6" s="2553">
        <f>BO8</f>
        <v>1144.6030821917809</v>
      </c>
      <c r="AT6" s="2557"/>
      <c r="AV6" s="2727" t="s">
        <v>1138</v>
      </c>
      <c r="AW6" s="2728">
        <v>45383</v>
      </c>
      <c r="AX6" s="2716">
        <v>10.18</v>
      </c>
      <c r="AY6" s="2723">
        <v>10.18</v>
      </c>
      <c r="AZ6" s="2660">
        <v>20.399999999999999</v>
      </c>
      <c r="BA6" s="2725">
        <v>20.399999999999999</v>
      </c>
      <c r="BB6" s="2660">
        <f t="shared" ref="BB6:BB7" si="14">IF(BA6&gt;0,BA6/AY6,"")</f>
        <v>2.0039292730844793</v>
      </c>
      <c r="BC6" s="2718" t="str">
        <f t="shared" ref="BC6:BC16" si="15">IF(AY6&gt;0,"*","")</f>
        <v>*</v>
      </c>
      <c r="BD6" s="2716">
        <v>28</v>
      </c>
      <c r="BE6" s="3079">
        <v>0.63</v>
      </c>
      <c r="BF6" s="2718" t="s">
        <v>189</v>
      </c>
      <c r="BH6" s="2662">
        <v>31</v>
      </c>
      <c r="BI6" s="2663">
        <v>31</v>
      </c>
      <c r="BJ6" s="2664">
        <f>1378*$BJ$3*$BL$3</f>
        <v>558.09</v>
      </c>
      <c r="BK6" s="2664">
        <f>AR5</f>
        <v>31.01</v>
      </c>
      <c r="BL6" s="2668">
        <f>BK6*$BL$3</f>
        <v>38.762500000000003</v>
      </c>
      <c r="BM6" s="2665">
        <f>((814.28+644.82+750+111.09)*$BL$3)/$BK$2*BH6</f>
        <v>492.64308219178082</v>
      </c>
      <c r="BN6" s="2665">
        <f>BO6/BH6</f>
        <v>36.145341361025189</v>
      </c>
      <c r="BO6" s="2665">
        <f>SUM(BJ6:BM6)</f>
        <v>1120.5055821917808</v>
      </c>
      <c r="BP6" s="2666">
        <v>630</v>
      </c>
      <c r="BQ6" s="2434" t="s">
        <v>1582</v>
      </c>
      <c r="BR6" s="2443">
        <v>91</v>
      </c>
      <c r="BS6" s="2432">
        <v>12.5</v>
      </c>
      <c r="BT6" s="2432">
        <v>814.28</v>
      </c>
      <c r="BU6" s="2444"/>
      <c r="BV6" s="2432">
        <v>814.28</v>
      </c>
    </row>
    <row r="7" spans="1:82" ht="15" thickTop="1" thickBot="1">
      <c r="B7" s="2488" t="s">
        <v>1128</v>
      </c>
      <c r="C7" s="2489">
        <v>45262</v>
      </c>
      <c r="D7" s="2576">
        <v>8.7799999999999994</v>
      </c>
      <c r="E7" s="2484"/>
      <c r="F7" s="2484"/>
      <c r="G7" s="2501" t="str">
        <f t="shared" si="10"/>
        <v>1</v>
      </c>
      <c r="H7" s="2485">
        <v>60</v>
      </c>
      <c r="I7" s="2486">
        <v>1.31</v>
      </c>
      <c r="J7" s="2487" t="str">
        <f t="shared" si="11"/>
        <v>1</v>
      </c>
      <c r="L7" s="2488" t="s">
        <v>1138</v>
      </c>
      <c r="M7" s="2489">
        <v>45292</v>
      </c>
      <c r="N7" s="2490"/>
      <c r="O7" s="2484"/>
      <c r="P7" s="2484"/>
      <c r="Q7" s="2501" t="str">
        <f t="shared" ref="Q7:Q37" si="16">IF(N7&gt;0,"1","")</f>
        <v/>
      </c>
      <c r="R7" s="2485">
        <v>42</v>
      </c>
      <c r="S7" s="2486">
        <v>0.93</v>
      </c>
      <c r="T7" s="2487" t="str">
        <f t="shared" ref="T7:T37" si="17">IF(R7&gt;0,"1","")</f>
        <v>1</v>
      </c>
      <c r="V7" s="2818" t="s">
        <v>93</v>
      </c>
      <c r="W7" s="2819"/>
      <c r="X7" s="2565">
        <v>8.68</v>
      </c>
      <c r="Y7" s="2566">
        <v>251.77</v>
      </c>
      <c r="Z7" s="2567" t="s">
        <v>1695</v>
      </c>
      <c r="AA7" s="2567">
        <v>602.59</v>
      </c>
      <c r="AB7" s="2553">
        <f t="shared" si="12"/>
        <v>2.3934146244588317</v>
      </c>
      <c r="AC7" s="2568"/>
      <c r="AD7" s="2566">
        <v>1140</v>
      </c>
      <c r="AE7" s="2569">
        <v>25.46</v>
      </c>
      <c r="AF7" s="2570"/>
      <c r="AH7" s="2825" t="s">
        <v>93</v>
      </c>
      <c r="AI7" s="2826"/>
      <c r="AJ7" s="2565">
        <v>8.68</v>
      </c>
      <c r="AK7" s="2713">
        <v>251.77</v>
      </c>
      <c r="AL7" s="2567">
        <v>2.78</v>
      </c>
      <c r="AM7" s="2567">
        <v>602.59</v>
      </c>
      <c r="AN7" s="2553">
        <f t="shared" si="13"/>
        <v>2.3934146244588317</v>
      </c>
      <c r="AO7" s="2568"/>
      <c r="AP7" s="2565">
        <v>1140</v>
      </c>
      <c r="AQ7" s="2566"/>
      <c r="AR7" s="2569">
        <v>25.46</v>
      </c>
      <c r="AS7" s="2553">
        <f>BO9</f>
        <v>979.84465753424649</v>
      </c>
      <c r="AT7" s="2570"/>
      <c r="AV7" s="2727" t="s">
        <v>1137</v>
      </c>
      <c r="AW7" s="2728">
        <v>45384</v>
      </c>
      <c r="AX7" s="2716">
        <v>7.44</v>
      </c>
      <c r="AY7" s="2723">
        <v>17.62</v>
      </c>
      <c r="AZ7" s="2660">
        <f>BA7-BA6</f>
        <v>14.560000000000002</v>
      </c>
      <c r="BA7" s="2725">
        <v>34.96</v>
      </c>
      <c r="BB7" s="2660">
        <f t="shared" si="14"/>
        <v>1.9841089670828602</v>
      </c>
      <c r="BC7" s="2718" t="str">
        <f t="shared" si="15"/>
        <v>*</v>
      </c>
      <c r="BD7" s="2716">
        <v>36</v>
      </c>
      <c r="BE7" s="3079">
        <v>0.79</v>
      </c>
      <c r="BF7" s="2718" t="s">
        <v>189</v>
      </c>
      <c r="BH7" s="2610">
        <v>2023</v>
      </c>
      <c r="BI7" s="2460">
        <f>SUM(BI4:BI6)</f>
        <v>80</v>
      </c>
      <c r="BJ7" s="2461">
        <f>SUM(BJ4:BJ6)</f>
        <v>1255.9050000000002</v>
      </c>
      <c r="BK7" s="2461"/>
      <c r="BL7" s="2461">
        <f>SUM(BL4:BL6)</f>
        <v>90.5</v>
      </c>
      <c r="BM7" s="2461">
        <f>SUM(BM4:BM6)</f>
        <v>1282.1521794140031</v>
      </c>
      <c r="BN7" s="2461">
        <f>BO7/BI7</f>
        <v>33.244589742675039</v>
      </c>
      <c r="BO7" s="2461">
        <f>SUM(BO4:BO6)</f>
        <v>2659.567179414003</v>
      </c>
      <c r="BP7" s="2611"/>
      <c r="BQ7" s="2434" t="s">
        <v>1583</v>
      </c>
      <c r="BR7" s="2431">
        <v>9898.6669999999995</v>
      </c>
      <c r="BS7" s="2432">
        <v>9.0999999999999998E-2</v>
      </c>
      <c r="BT7" s="2432">
        <v>644.82000000000005</v>
      </c>
      <c r="BU7" s="2433"/>
      <c r="BV7" s="2432">
        <v>644.82000000000005</v>
      </c>
    </row>
    <row r="8" spans="1:82" ht="15" thickTop="1" thickBot="1">
      <c r="B8" s="2488" t="s">
        <v>1139</v>
      </c>
      <c r="C8" s="2489">
        <v>45263</v>
      </c>
      <c r="D8" s="2576">
        <v>8.92</v>
      </c>
      <c r="E8" s="2484"/>
      <c r="F8" s="2484"/>
      <c r="G8" s="2501" t="str">
        <f t="shared" si="10"/>
        <v>1</v>
      </c>
      <c r="H8" s="2485">
        <v>59</v>
      </c>
      <c r="I8" s="2486">
        <v>1.3</v>
      </c>
      <c r="J8" s="2487" t="str">
        <f t="shared" si="11"/>
        <v>1</v>
      </c>
      <c r="L8" s="2488" t="s">
        <v>1137</v>
      </c>
      <c r="M8" s="2489">
        <v>45293</v>
      </c>
      <c r="N8" s="2490"/>
      <c r="O8" s="2484"/>
      <c r="P8" s="2484"/>
      <c r="Q8" s="2501" t="str">
        <f t="shared" si="16"/>
        <v/>
      </c>
      <c r="R8" s="2485">
        <v>49</v>
      </c>
      <c r="S8" s="2486">
        <v>1.1100000000000001</v>
      </c>
      <c r="T8" s="2487" t="str">
        <f t="shared" si="17"/>
        <v>1</v>
      </c>
      <c r="V8" s="2545" t="s">
        <v>1136</v>
      </c>
      <c r="W8" s="2546">
        <v>45323</v>
      </c>
      <c r="X8" s="2547">
        <v>9.14</v>
      </c>
      <c r="Y8" s="2548">
        <v>9.14</v>
      </c>
      <c r="Z8" s="2549">
        <v>20.56</v>
      </c>
      <c r="AA8" s="2550">
        <v>20.56</v>
      </c>
      <c r="AB8" s="2550">
        <v>2.25</v>
      </c>
      <c r="AC8" s="2551" t="s">
        <v>189</v>
      </c>
      <c r="AD8" s="2476">
        <v>39</v>
      </c>
      <c r="AE8" s="2477">
        <v>0.88</v>
      </c>
      <c r="AF8" s="2478" t="s">
        <v>189</v>
      </c>
      <c r="AH8" s="2813" t="s">
        <v>92</v>
      </c>
      <c r="AI8" s="2814"/>
      <c r="AJ8" s="2815">
        <f>MAX(AK9:AK39)</f>
        <v>243.84</v>
      </c>
      <c r="AK8" s="2816"/>
      <c r="AL8" s="2817">
        <f>MAX(AM9:AM39)</f>
        <v>569.11</v>
      </c>
      <c r="AM8" s="2817"/>
      <c r="AN8" s="2703">
        <f>AL8/AJ8</f>
        <v>2.3339484908136483</v>
      </c>
      <c r="AO8" s="2693"/>
      <c r="AP8" s="2618">
        <f>SUM(AP9:AP39)</f>
        <v>1013</v>
      </c>
      <c r="AQ8" s="2606">
        <f>SUM(AQ9:AQ39)/BI10</f>
        <v>13.220967741935484</v>
      </c>
      <c r="AR8" s="2619">
        <f>SUM(AR9:AR39)</f>
        <v>23.110000000000007</v>
      </c>
      <c r="AS8" s="2606">
        <f>BO10</f>
        <v>954.90558219178081</v>
      </c>
      <c r="AT8" s="2620"/>
      <c r="AV8" s="2727" t="s">
        <v>1131</v>
      </c>
      <c r="AW8" s="2728">
        <v>45385</v>
      </c>
      <c r="AX8" s="2716">
        <v>7.54</v>
      </c>
      <c r="AY8" s="2723">
        <v>25.16</v>
      </c>
      <c r="AZ8" s="2660">
        <f>IF(BA8&gt;0,BA8-BA7,"")</f>
        <v>17.21</v>
      </c>
      <c r="BA8" s="2725">
        <v>52.17</v>
      </c>
      <c r="BB8" s="2660">
        <f>IF(BA8&gt;0,BA8/AY8,"")</f>
        <v>2.0735294117647061</v>
      </c>
      <c r="BC8" s="2718" t="s">
        <v>189</v>
      </c>
      <c r="BD8" s="2716">
        <v>41</v>
      </c>
      <c r="BE8" s="3079">
        <v>0.9</v>
      </c>
      <c r="BF8" s="2718" t="s">
        <v>189</v>
      </c>
      <c r="BH8" s="2667">
        <v>31</v>
      </c>
      <c r="BI8" s="2659">
        <v>31</v>
      </c>
      <c r="BJ8" s="2668">
        <f>AP6*$BJ$3*$BL$3</f>
        <v>583.60500000000002</v>
      </c>
      <c r="BK8" s="2745">
        <f>AR6</f>
        <v>30.38</v>
      </c>
      <c r="BL8" s="2668">
        <f>BK8*$BL$3</f>
        <v>37.975000000000001</v>
      </c>
      <c r="BM8" s="2668">
        <f>((814.28+644.82+750+111.09)*1.25)/$BK$2*BH8</f>
        <v>492.64308219178082</v>
      </c>
      <c r="BN8" s="2668">
        <f>BO8/BH8</f>
        <v>36.922680070702611</v>
      </c>
      <c r="BO8" s="2668">
        <f>SUM(BJ8:BM8)</f>
        <v>1144.6030821917809</v>
      </c>
      <c r="BP8" s="2669">
        <v>630</v>
      </c>
      <c r="BQ8" s="2434" t="s">
        <v>1584</v>
      </c>
      <c r="BR8" s="2435"/>
      <c r="BS8" s="2436"/>
      <c r="BT8" s="2436">
        <v>536.89</v>
      </c>
      <c r="BU8" s="2437"/>
      <c r="BV8" s="2436">
        <v>750</v>
      </c>
    </row>
    <row r="9" spans="1:82" ht="13.2" thickTop="1" thickBot="1">
      <c r="B9" s="2488" t="s">
        <v>1138</v>
      </c>
      <c r="C9" s="2489">
        <v>45264</v>
      </c>
      <c r="D9" s="2576">
        <v>8.0500000000000007</v>
      </c>
      <c r="E9" s="2484"/>
      <c r="F9" s="2484"/>
      <c r="G9" s="2501" t="str">
        <f t="shared" si="10"/>
        <v>1</v>
      </c>
      <c r="H9" s="2485">
        <v>48</v>
      </c>
      <c r="I9" s="2486">
        <v>1.08</v>
      </c>
      <c r="J9" s="2487" t="str">
        <f t="shared" si="11"/>
        <v>1</v>
      </c>
      <c r="L9" s="2488" t="s">
        <v>1131</v>
      </c>
      <c r="M9" s="2489">
        <v>45294</v>
      </c>
      <c r="N9" s="2490"/>
      <c r="O9" s="2484"/>
      <c r="P9" s="2484"/>
      <c r="Q9" s="2501" t="str">
        <f t="shared" si="16"/>
        <v/>
      </c>
      <c r="R9" s="2485">
        <v>53</v>
      </c>
      <c r="S9" s="2486">
        <v>1.18</v>
      </c>
      <c r="T9" s="2487" t="str">
        <f t="shared" si="17"/>
        <v>1</v>
      </c>
      <c r="V9" s="2479" t="s">
        <v>1130</v>
      </c>
      <c r="W9" s="2480">
        <v>45324</v>
      </c>
      <c r="X9" s="2542">
        <v>7.43</v>
      </c>
      <c r="Y9" s="2481">
        <v>16.57</v>
      </c>
      <c r="Z9" s="2482">
        <v>17.05</v>
      </c>
      <c r="AA9" s="2483">
        <v>37.61</v>
      </c>
      <c r="AB9" s="2483">
        <v>2.29</v>
      </c>
      <c r="AC9" s="2551" t="s">
        <v>189</v>
      </c>
      <c r="AD9" s="2485">
        <v>39</v>
      </c>
      <c r="AE9" s="2486">
        <v>0.9</v>
      </c>
      <c r="AF9" s="2478" t="s">
        <v>189</v>
      </c>
      <c r="AH9" s="2643" t="s">
        <v>1130</v>
      </c>
      <c r="AI9" s="2644">
        <v>45352</v>
      </c>
      <c r="AJ9" s="2645">
        <f>AK9</f>
        <v>8.57</v>
      </c>
      <c r="AK9" s="2689">
        <v>8.57</v>
      </c>
      <c r="AL9" s="2646">
        <f>AM9</f>
        <v>21.08</v>
      </c>
      <c r="AM9" s="2690">
        <v>21.08</v>
      </c>
      <c r="AN9" s="2647">
        <f>IF(AJ9=0,0,AL9/AJ9)</f>
        <v>2.4597432905484244</v>
      </c>
      <c r="AO9" s="2648" t="s">
        <v>189</v>
      </c>
      <c r="AP9" s="2691">
        <f>'varme 24'!E145</f>
        <v>34</v>
      </c>
      <c r="AQ9" s="2640">
        <f>AP9*$BJ$3*1.25</f>
        <v>13.77</v>
      </c>
      <c r="AR9" s="2641">
        <f>'varme 24'!I145</f>
        <v>0.78</v>
      </c>
      <c r="AS9" s="2640">
        <v>0.98</v>
      </c>
      <c r="AT9" s="2642" t="s">
        <v>189</v>
      </c>
      <c r="AV9" s="2727" t="s">
        <v>1136</v>
      </c>
      <c r="AW9" s="2728">
        <v>45386</v>
      </c>
      <c r="AX9" s="2716">
        <v>6.79</v>
      </c>
      <c r="AY9" s="2723">
        <v>31.95</v>
      </c>
      <c r="AZ9" s="2660">
        <v>14.29</v>
      </c>
      <c r="BA9" s="2725">
        <v>66.459999999999994</v>
      </c>
      <c r="BB9" s="2660">
        <v>2.08</v>
      </c>
      <c r="BC9" s="2718" t="s">
        <v>189</v>
      </c>
      <c r="BD9" s="2716">
        <v>38</v>
      </c>
      <c r="BE9" s="3079">
        <v>0.89</v>
      </c>
      <c r="BF9" s="2718" t="s">
        <v>189</v>
      </c>
      <c r="BH9" s="2670">
        <v>29</v>
      </c>
      <c r="BI9" s="2659">
        <f>BH9-COUNTBLANK(AF$8:AF$36)</f>
        <v>29</v>
      </c>
      <c r="BJ9" s="2668">
        <f>AP7*$BJ$3*$BL$3</f>
        <v>461.70000000000005</v>
      </c>
      <c r="BK9" s="2745">
        <f>AR7</f>
        <v>25.46</v>
      </c>
      <c r="BL9" s="2668">
        <f>BK9*$BL$3</f>
        <v>31.825000000000003</v>
      </c>
      <c r="BM9" s="2668">
        <f>((814.28+644.82+750+111.09)*1.25)/$BK$2*BH9</f>
        <v>460.85965753424659</v>
      </c>
      <c r="BN9" s="2668">
        <f>BO9/BH9</f>
        <v>33.787746811525743</v>
      </c>
      <c r="BO9" s="2668">
        <f>BJ16/BI9*BH9</f>
        <v>979.84465753424649</v>
      </c>
      <c r="BP9" s="2669">
        <v>630</v>
      </c>
      <c r="BQ9" s="2434"/>
      <c r="BR9" s="2438"/>
      <c r="BS9" s="2439"/>
      <c r="BT9" s="2439">
        <f>SUM(BT4:BT8)</f>
        <v>2085.7199999999998</v>
      </c>
      <c r="BU9" s="2440"/>
      <c r="BV9" s="2439">
        <f>SUM(BV4:BV8)</f>
        <v>2209.1</v>
      </c>
    </row>
    <row r="10" spans="1:82" ht="13.2" thickTop="1" thickBot="1">
      <c r="B10" s="2488" t="s">
        <v>1137</v>
      </c>
      <c r="C10" s="2489">
        <v>45265</v>
      </c>
      <c r="D10" s="2576">
        <v>7.95</v>
      </c>
      <c r="E10" s="2484"/>
      <c r="F10" s="2484"/>
      <c r="G10" s="2501" t="str">
        <f t="shared" si="10"/>
        <v>1</v>
      </c>
      <c r="H10" s="2485">
        <v>49</v>
      </c>
      <c r="I10" s="2486">
        <v>1.1000000000000001</v>
      </c>
      <c r="J10" s="2487" t="str">
        <f t="shared" si="11"/>
        <v>1</v>
      </c>
      <c r="L10" s="2488" t="s">
        <v>1136</v>
      </c>
      <c r="M10" s="2489">
        <v>45295</v>
      </c>
      <c r="N10" s="2490"/>
      <c r="O10" s="2484"/>
      <c r="P10" s="2484"/>
      <c r="Q10" s="2501" t="str">
        <f t="shared" si="16"/>
        <v/>
      </c>
      <c r="R10" s="2485">
        <v>61</v>
      </c>
      <c r="S10" s="2486">
        <v>1.35</v>
      </c>
      <c r="T10" s="2487" t="str">
        <f t="shared" si="17"/>
        <v>1</v>
      </c>
      <c r="V10" s="2479" t="s">
        <v>1128</v>
      </c>
      <c r="W10" s="2480">
        <v>45325</v>
      </c>
      <c r="X10" s="2542">
        <v>7.82</v>
      </c>
      <c r="Y10" s="2481">
        <v>24.39</v>
      </c>
      <c r="Z10" s="2482">
        <v>17.13</v>
      </c>
      <c r="AA10" s="2483">
        <v>54.74</v>
      </c>
      <c r="AB10" s="2483">
        <v>2.19</v>
      </c>
      <c r="AC10" s="2551" t="s">
        <v>189</v>
      </c>
      <c r="AD10" s="2485">
        <v>32</v>
      </c>
      <c r="AE10" s="2486">
        <v>0.72</v>
      </c>
      <c r="AF10" s="2478" t="s">
        <v>189</v>
      </c>
      <c r="AH10" s="2643" t="s">
        <v>1128</v>
      </c>
      <c r="AI10" s="2644">
        <v>45353</v>
      </c>
      <c r="AJ10" s="2645">
        <v>7.82</v>
      </c>
      <c r="AK10" s="2689">
        <v>16.39</v>
      </c>
      <c r="AL10" s="2646">
        <v>19.21</v>
      </c>
      <c r="AM10" s="2690">
        <v>40.29</v>
      </c>
      <c r="AN10" s="2647">
        <v>2.4500000000000002</v>
      </c>
      <c r="AO10" s="2648" t="s">
        <v>189</v>
      </c>
      <c r="AP10" s="2692">
        <f>'varme 24'!E146</f>
        <v>36</v>
      </c>
      <c r="AQ10" s="2646">
        <f>AP10*$BJ$3*1.25</f>
        <v>14.58</v>
      </c>
      <c r="AR10" s="2649">
        <f>'varme 24'!I146</f>
        <v>0.79</v>
      </c>
      <c r="AS10" s="2646">
        <v>0.99</v>
      </c>
      <c r="AT10" s="2642" t="s">
        <v>189</v>
      </c>
      <c r="AV10" s="2727" t="s">
        <v>1130</v>
      </c>
      <c r="AW10" s="2728">
        <v>45387</v>
      </c>
      <c r="AX10" s="2716">
        <v>7.72</v>
      </c>
      <c r="AY10" s="2723">
        <v>39.67</v>
      </c>
      <c r="AZ10" s="2660">
        <v>15.27</v>
      </c>
      <c r="BA10" s="2725">
        <v>81.73</v>
      </c>
      <c r="BB10" s="2660">
        <v>2.06</v>
      </c>
      <c r="BC10" s="2718" t="s">
        <v>189</v>
      </c>
      <c r="BD10" s="2716">
        <v>35</v>
      </c>
      <c r="BE10" s="3079">
        <v>0.78</v>
      </c>
      <c r="BF10" s="2718" t="s">
        <v>189</v>
      </c>
      <c r="BH10" s="2671">
        <v>31</v>
      </c>
      <c r="BI10" s="2659">
        <f>BH10-COUNTBLANK(AT9:AT39)</f>
        <v>31</v>
      </c>
      <c r="BJ10" s="2668">
        <f>IF(AP8&gt;0,AP8*0.324*1.25,"")</f>
        <v>410.26499999999999</v>
      </c>
      <c r="BK10" s="2745">
        <f>AR8</f>
        <v>23.110000000000007</v>
      </c>
      <c r="BL10" s="2668">
        <f>BK10*$BL$3</f>
        <v>28.88750000000001</v>
      </c>
      <c r="BM10" s="2668">
        <f>((814.28+644.82+750+111.09)*1.25)/$BK$2*BI10</f>
        <v>492.64308219178082</v>
      </c>
      <c r="BN10" s="2668">
        <f>IF(BI10&gt;0,BO10/BH10,"")</f>
        <v>30.803405877154219</v>
      </c>
      <c r="BO10" s="2668">
        <f>SUM(BJ10:BM10)/BI10*BH10</f>
        <v>954.90558219178081</v>
      </c>
      <c r="BP10" s="2669">
        <v>630</v>
      </c>
      <c r="BQ10" s="2434" t="s">
        <v>1586</v>
      </c>
      <c r="BR10" s="2431"/>
      <c r="BS10" s="2432"/>
      <c r="BT10" s="2445">
        <f>BT9*1.25</f>
        <v>2607.1499999999996</v>
      </c>
      <c r="BU10" s="2433"/>
      <c r="BV10" s="2445">
        <f>BV9*1.25</f>
        <v>2761.375</v>
      </c>
    </row>
    <row r="11" spans="1:82" ht="13.2" thickTop="1" thickBot="1">
      <c r="B11" s="2488" t="s">
        <v>1131</v>
      </c>
      <c r="C11" s="2489">
        <v>45266</v>
      </c>
      <c r="D11" s="2576">
        <v>10.89</v>
      </c>
      <c r="E11" s="2484"/>
      <c r="F11" s="2484"/>
      <c r="G11" s="2501" t="str">
        <f t="shared" si="10"/>
        <v>1</v>
      </c>
      <c r="H11" s="2485">
        <v>49</v>
      </c>
      <c r="I11" s="2486">
        <v>1.0900000000000001</v>
      </c>
      <c r="J11" s="2487" t="str">
        <f t="shared" si="11"/>
        <v>1</v>
      </c>
      <c r="L11" s="2488" t="s">
        <v>1130</v>
      </c>
      <c r="M11" s="2489">
        <v>45296</v>
      </c>
      <c r="N11" s="2490"/>
      <c r="O11" s="2484"/>
      <c r="P11" s="2484"/>
      <c r="Q11" s="2501" t="str">
        <f t="shared" si="16"/>
        <v/>
      </c>
      <c r="R11" s="2485">
        <v>65</v>
      </c>
      <c r="S11" s="2486">
        <v>1.34</v>
      </c>
      <c r="T11" s="2487" t="str">
        <f t="shared" si="17"/>
        <v>1</v>
      </c>
      <c r="V11" s="2479" t="s">
        <v>1139</v>
      </c>
      <c r="W11" s="2480">
        <v>45326</v>
      </c>
      <c r="X11" s="2542">
        <v>7.82</v>
      </c>
      <c r="Y11" s="2481">
        <v>32.21</v>
      </c>
      <c r="Z11" s="2482">
        <v>15.46</v>
      </c>
      <c r="AA11" s="2483">
        <v>70.2</v>
      </c>
      <c r="AB11" s="2483">
        <v>1.98</v>
      </c>
      <c r="AC11" s="2551" t="s">
        <v>189</v>
      </c>
      <c r="AD11" s="2485">
        <v>38</v>
      </c>
      <c r="AE11" s="2486">
        <v>0.85</v>
      </c>
      <c r="AF11" s="2478" t="s">
        <v>189</v>
      </c>
      <c r="AH11" s="2643" t="s">
        <v>1139</v>
      </c>
      <c r="AI11" s="2644">
        <v>45354</v>
      </c>
      <c r="AJ11" s="2645">
        <v>7.42</v>
      </c>
      <c r="AK11" s="2689">
        <v>23.81</v>
      </c>
      <c r="AL11" s="2646">
        <v>17.84</v>
      </c>
      <c r="AM11" s="2690">
        <v>58.13</v>
      </c>
      <c r="AN11" s="2647">
        <v>2.4</v>
      </c>
      <c r="AO11" s="2648" t="s">
        <v>189</v>
      </c>
      <c r="AP11" s="2692">
        <f>'varme 24'!E147</f>
        <v>36</v>
      </c>
      <c r="AQ11" s="2646">
        <f>AP11*$BJ$3*1.25</f>
        <v>14.58</v>
      </c>
      <c r="AR11" s="2649">
        <f>'varme 24'!I147</f>
        <v>0.82</v>
      </c>
      <c r="AS11" s="2646">
        <v>1.03</v>
      </c>
      <c r="AT11" s="2642" t="s">
        <v>189</v>
      </c>
      <c r="AV11" s="2727" t="s">
        <v>1128</v>
      </c>
      <c r="AW11" s="2728">
        <v>45388</v>
      </c>
      <c r="AX11" s="2716">
        <v>7.77</v>
      </c>
      <c r="AY11" s="2723">
        <v>47.44</v>
      </c>
      <c r="AZ11" s="2660">
        <v>13.88</v>
      </c>
      <c r="BA11" s="2725">
        <f>BA10+AZ11</f>
        <v>95.61</v>
      </c>
      <c r="BB11" s="2660">
        <v>2.02</v>
      </c>
      <c r="BC11" s="2718" t="s">
        <v>189</v>
      </c>
      <c r="BD11" s="2716">
        <v>27</v>
      </c>
      <c r="BE11" s="3079">
        <v>0.62</v>
      </c>
      <c r="BF11" s="2718" t="s">
        <v>189</v>
      </c>
      <c r="BH11" s="2672">
        <v>30</v>
      </c>
      <c r="BI11" s="2659">
        <f>BH11-COUNTBLANK(BF6:BF35)</f>
        <v>30</v>
      </c>
      <c r="BJ11" s="2668">
        <f>IF(BD5&gt;0,BD5*0.324*1.25,"")</f>
        <v>269.32499999999999</v>
      </c>
      <c r="BK11" s="2745">
        <f>BE5</f>
        <v>15.929999999999998</v>
      </c>
      <c r="BL11" s="2668">
        <f>BK11*$BL$3</f>
        <v>19.912499999999998</v>
      </c>
      <c r="BM11" s="2668">
        <f>((814.28+644.82+750+111.09)*1.25)/$BK$2*BI11</f>
        <v>476.75136986301374</v>
      </c>
      <c r="BN11" s="2668">
        <f>IF(BI11&gt;0,BO11/BH11,"")</f>
        <v>26.063962328767122</v>
      </c>
      <c r="BO11" s="2668">
        <f>SUM(BJ11:BM11)/BI11*BH11</f>
        <v>781.9188698630137</v>
      </c>
      <c r="BP11" s="2669">
        <v>630</v>
      </c>
      <c r="BQ11" s="2446"/>
      <c r="BR11" s="2430"/>
      <c r="BS11" s="2430"/>
      <c r="BT11" s="2447"/>
      <c r="BU11" s="2448"/>
      <c r="BV11" s="2449"/>
      <c r="BW11" s="2450"/>
      <c r="BX11" s="2448"/>
      <c r="BY11" s="2450"/>
    </row>
    <row r="12" spans="1:82" ht="13.2" thickTop="1" thickBot="1">
      <c r="B12" s="2488" t="s">
        <v>1136</v>
      </c>
      <c r="C12" s="2489">
        <v>45267</v>
      </c>
      <c r="D12" s="2576">
        <v>10.09</v>
      </c>
      <c r="E12" s="2484"/>
      <c r="F12" s="2484"/>
      <c r="G12" s="2501" t="str">
        <f t="shared" si="10"/>
        <v>1</v>
      </c>
      <c r="H12" s="2485">
        <v>47</v>
      </c>
      <c r="I12" s="2486">
        <v>1.06</v>
      </c>
      <c r="J12" s="2487" t="str">
        <f t="shared" si="11"/>
        <v>1</v>
      </c>
      <c r="L12" s="2488" t="s">
        <v>1128</v>
      </c>
      <c r="M12" s="2489">
        <v>45297</v>
      </c>
      <c r="N12" s="2490"/>
      <c r="O12" s="2484"/>
      <c r="P12" s="2484"/>
      <c r="Q12" s="2501" t="str">
        <f t="shared" si="16"/>
        <v/>
      </c>
      <c r="R12" s="2485">
        <v>57</v>
      </c>
      <c r="S12" s="2486">
        <v>1.1000000000000001</v>
      </c>
      <c r="T12" s="2487" t="str">
        <f t="shared" si="17"/>
        <v>1</v>
      </c>
      <c r="V12" s="2479" t="s">
        <v>1138</v>
      </c>
      <c r="W12" s="2480">
        <v>45327</v>
      </c>
      <c r="X12" s="2542">
        <v>10.27</v>
      </c>
      <c r="Y12" s="2481">
        <v>42.48</v>
      </c>
      <c r="Z12" s="2482">
        <v>23.47</v>
      </c>
      <c r="AA12" s="2483">
        <v>93.67</v>
      </c>
      <c r="AB12" s="2483">
        <v>2.29</v>
      </c>
      <c r="AC12" s="2551" t="s">
        <v>189</v>
      </c>
      <c r="AD12" s="2485">
        <v>42</v>
      </c>
      <c r="AE12" s="2486">
        <v>0.96</v>
      </c>
      <c r="AF12" s="2478" t="s">
        <v>189</v>
      </c>
      <c r="AH12" s="2643" t="s">
        <v>1138</v>
      </c>
      <c r="AI12" s="2644">
        <v>45355</v>
      </c>
      <c r="AJ12" s="2645">
        <v>7.15</v>
      </c>
      <c r="AK12" s="2689">
        <v>30.96</v>
      </c>
      <c r="AL12" s="2646">
        <v>17.55</v>
      </c>
      <c r="AM12" s="2690">
        <v>75.680000000000007</v>
      </c>
      <c r="AN12" s="2647">
        <v>2.4500000000000002</v>
      </c>
      <c r="AO12" s="2648" t="s">
        <v>189</v>
      </c>
      <c r="AP12" s="2692">
        <v>34</v>
      </c>
      <c r="AQ12" s="2646">
        <f>AP12*$BJ$3*1.25</f>
        <v>13.77</v>
      </c>
      <c r="AR12" s="2649">
        <v>0.77</v>
      </c>
      <c r="AS12" s="2646">
        <v>0.96</v>
      </c>
      <c r="AT12" s="2642" t="s">
        <v>189</v>
      </c>
      <c r="AV12" s="2727" t="s">
        <v>1139</v>
      </c>
      <c r="AW12" s="2728">
        <v>45389</v>
      </c>
      <c r="AX12" s="2716">
        <v>7.19</v>
      </c>
      <c r="AY12" s="2723">
        <v>54.05</v>
      </c>
      <c r="AZ12" s="2660">
        <v>9.1999999999999993</v>
      </c>
      <c r="BA12" s="2725">
        <v>104.81</v>
      </c>
      <c r="BB12" s="2660">
        <v>1.94</v>
      </c>
      <c r="BC12" s="2718" t="s">
        <v>189</v>
      </c>
      <c r="BD12" s="2716">
        <v>20</v>
      </c>
      <c r="BE12" s="3079">
        <v>0.49</v>
      </c>
      <c r="BF12" s="2718" t="s">
        <v>189</v>
      </c>
      <c r="BH12" s="2674">
        <v>31</v>
      </c>
      <c r="BI12" s="2659">
        <f>BH12-COUNTBLANK(BF38:BF68)</f>
        <v>14</v>
      </c>
      <c r="BJ12" s="2668">
        <f>BD37*0.324</f>
        <v>50.544000000000004</v>
      </c>
      <c r="BK12" s="2745">
        <f>BE37</f>
        <v>4.7</v>
      </c>
      <c r="BL12" s="2668">
        <f>BK12*$BL$3</f>
        <v>5.875</v>
      </c>
      <c r="BM12" s="2668">
        <f>((814.28+644.82+750+111.09)*1.25)/$BK$2*BI12</f>
        <v>222.48397260273973</v>
      </c>
      <c r="BN12" s="2668"/>
      <c r="BO12" s="2668"/>
      <c r="BP12" s="2673"/>
      <c r="BQ12" s="2446">
        <v>0</v>
      </c>
      <c r="BR12" s="2430"/>
      <c r="BS12" s="2430"/>
      <c r="BT12" s="2447"/>
      <c r="BU12" s="2448"/>
      <c r="BV12" s="2449"/>
      <c r="BW12" s="2450"/>
      <c r="BX12" s="2448"/>
      <c r="BY12" s="2450"/>
    </row>
    <row r="13" spans="1:82" ht="13.2" thickTop="1" thickBot="1">
      <c r="B13" s="2488" t="s">
        <v>1130</v>
      </c>
      <c r="C13" s="2489">
        <v>45268</v>
      </c>
      <c r="D13" s="2576">
        <v>9.1199999999999992</v>
      </c>
      <c r="E13" s="2577"/>
      <c r="F13" s="2577"/>
      <c r="G13" s="2503" t="str">
        <f t="shared" si="10"/>
        <v>1</v>
      </c>
      <c r="H13" s="2485">
        <v>48</v>
      </c>
      <c r="I13" s="2486">
        <v>1.07</v>
      </c>
      <c r="J13" s="2487" t="str">
        <f t="shared" si="11"/>
        <v>1</v>
      </c>
      <c r="L13" s="2488" t="s">
        <v>1139</v>
      </c>
      <c r="M13" s="2489">
        <v>45298</v>
      </c>
      <c r="N13" s="2490"/>
      <c r="O13" s="2484"/>
      <c r="P13" s="2484"/>
      <c r="Q13" s="2501" t="str">
        <f t="shared" si="16"/>
        <v/>
      </c>
      <c r="R13" s="2485">
        <v>69</v>
      </c>
      <c r="S13" s="2486">
        <v>1.34</v>
      </c>
      <c r="T13" s="2487" t="str">
        <f t="shared" si="17"/>
        <v>1</v>
      </c>
      <c r="V13" s="2479" t="s">
        <v>1137</v>
      </c>
      <c r="W13" s="2480">
        <v>45328</v>
      </c>
      <c r="X13" s="2542">
        <v>8.64</v>
      </c>
      <c r="Y13" s="2481">
        <v>51.12</v>
      </c>
      <c r="Z13" s="2482">
        <v>20.68</v>
      </c>
      <c r="AA13" s="2483">
        <v>114.35</v>
      </c>
      <c r="AB13" s="2483">
        <v>2.39</v>
      </c>
      <c r="AC13" s="2551" t="s">
        <v>189</v>
      </c>
      <c r="AD13" s="2485">
        <v>46</v>
      </c>
      <c r="AE13" s="2486">
        <v>0.99</v>
      </c>
      <c r="AF13" s="2478" t="s">
        <v>189</v>
      </c>
      <c r="AH13" s="2643" t="s">
        <v>1137</v>
      </c>
      <c r="AI13" s="2644">
        <v>45356</v>
      </c>
      <c r="AJ13" s="2645">
        <v>7.65</v>
      </c>
      <c r="AK13" s="2689">
        <v>38.61</v>
      </c>
      <c r="AL13" s="2646">
        <v>18.54</v>
      </c>
      <c r="AM13" s="2690">
        <v>94.22</v>
      </c>
      <c r="AN13" s="2647">
        <v>2.42</v>
      </c>
      <c r="AO13" s="2648" t="s">
        <v>189</v>
      </c>
      <c r="AP13" s="2692">
        <v>33</v>
      </c>
      <c r="AQ13" s="2646">
        <v>13.37</v>
      </c>
      <c r="AR13" s="2649">
        <v>0.74</v>
      </c>
      <c r="AS13" s="2646">
        <v>0.93</v>
      </c>
      <c r="AT13" s="2642" t="s">
        <v>189</v>
      </c>
      <c r="AV13" s="2727" t="s">
        <v>1138</v>
      </c>
      <c r="AW13" s="2728">
        <v>45390</v>
      </c>
      <c r="AX13" s="2716">
        <v>7.32</v>
      </c>
      <c r="AY13" s="2723">
        <v>61.37</v>
      </c>
      <c r="AZ13" s="2660">
        <v>15.94</v>
      </c>
      <c r="BA13" s="2725">
        <v>120.75</v>
      </c>
      <c r="BB13" s="2660">
        <f>IF(BA13&gt;0,BA13/AY13,"")</f>
        <v>1.9675737330943459</v>
      </c>
      <c r="BC13" s="2718" t="s">
        <v>189</v>
      </c>
      <c r="BD13" s="2716">
        <v>15</v>
      </c>
      <c r="BE13" s="3079">
        <v>0.4</v>
      </c>
      <c r="BF13" s="2718" t="s">
        <v>189</v>
      </c>
      <c r="BH13" s="2675">
        <v>30</v>
      </c>
      <c r="BI13" s="2663"/>
      <c r="BJ13" s="2664"/>
      <c r="BK13" s="2745"/>
      <c r="BL13" s="2664"/>
      <c r="BM13" s="2668">
        <f>((814.28+644.82+750+111.09)*1.25)/$BK$2*BI13</f>
        <v>0</v>
      </c>
      <c r="BN13" s="2664" t="str">
        <f>IF(BI13&gt;0,BO13/BH13,"")</f>
        <v/>
      </c>
      <c r="BO13" s="2664" t="str">
        <f>IF(BI13&gt;0,BI13/BI13*BH13,"")</f>
        <v/>
      </c>
      <c r="BP13" s="2676"/>
      <c r="BQ13" s="2446"/>
      <c r="BR13" s="2430"/>
      <c r="BS13" s="2430"/>
      <c r="BT13" s="2447"/>
      <c r="BU13" s="2448"/>
      <c r="BV13" s="2449"/>
      <c r="BW13" s="2450"/>
      <c r="BX13" s="2448"/>
      <c r="BY13" s="2450"/>
    </row>
    <row r="14" spans="1:82" ht="13.2" thickTop="1" thickBot="1">
      <c r="B14" s="2488" t="s">
        <v>1128</v>
      </c>
      <c r="C14" s="2489">
        <v>45269</v>
      </c>
      <c r="D14" s="2576">
        <v>7.65</v>
      </c>
      <c r="E14" s="2577"/>
      <c r="F14" s="2577"/>
      <c r="G14" s="2503" t="str">
        <f t="shared" si="10"/>
        <v>1</v>
      </c>
      <c r="H14" s="2485">
        <v>45</v>
      </c>
      <c r="I14" s="2486">
        <v>1.02</v>
      </c>
      <c r="J14" s="2487" t="str">
        <f t="shared" si="11"/>
        <v>1</v>
      </c>
      <c r="L14" s="2488" t="s">
        <v>1138</v>
      </c>
      <c r="M14" s="2489">
        <v>45299</v>
      </c>
      <c r="N14" s="2490"/>
      <c r="O14" s="2484"/>
      <c r="P14" s="2484"/>
      <c r="Q14" s="2501" t="str">
        <f t="shared" si="16"/>
        <v/>
      </c>
      <c r="R14" s="2485">
        <v>62</v>
      </c>
      <c r="S14" s="2486">
        <v>1.22</v>
      </c>
      <c r="T14" s="2487" t="str">
        <f t="shared" si="17"/>
        <v>1</v>
      </c>
      <c r="V14" s="2479" t="s">
        <v>1131</v>
      </c>
      <c r="W14" s="2480">
        <v>45329</v>
      </c>
      <c r="X14" s="2542">
        <v>11.1</v>
      </c>
      <c r="Y14" s="2481">
        <v>62.22</v>
      </c>
      <c r="Z14" s="2482">
        <v>28.44</v>
      </c>
      <c r="AA14" s="2483">
        <v>142.79</v>
      </c>
      <c r="AB14" s="2483">
        <v>2.56</v>
      </c>
      <c r="AC14" s="2551" t="s">
        <v>189</v>
      </c>
      <c r="AD14" s="2485">
        <v>45</v>
      </c>
      <c r="AE14" s="2486">
        <v>0.98</v>
      </c>
      <c r="AF14" s="2478" t="s">
        <v>189</v>
      </c>
      <c r="AH14" s="2643" t="s">
        <v>1131</v>
      </c>
      <c r="AI14" s="2644">
        <v>45357</v>
      </c>
      <c r="AJ14" s="2645">
        <v>7.12</v>
      </c>
      <c r="AK14" s="2689">
        <v>45.73</v>
      </c>
      <c r="AL14" s="2646">
        <v>18.399999999999999</v>
      </c>
      <c r="AM14" s="2690">
        <v>112.62</v>
      </c>
      <c r="AN14" s="2647">
        <v>2.58</v>
      </c>
      <c r="AO14" s="2648" t="s">
        <v>189</v>
      </c>
      <c r="AP14" s="2692">
        <v>45</v>
      </c>
      <c r="AQ14" s="2646">
        <v>18.23</v>
      </c>
      <c r="AR14" s="2649">
        <v>1</v>
      </c>
      <c r="AS14" s="2646">
        <v>1.25</v>
      </c>
      <c r="AT14" s="2642" t="s">
        <v>189</v>
      </c>
      <c r="AV14" s="2727" t="s">
        <v>1137</v>
      </c>
      <c r="AW14" s="2728">
        <v>45391</v>
      </c>
      <c r="AX14" s="2716">
        <v>7.5</v>
      </c>
      <c r="AY14" s="2723">
        <v>68.87</v>
      </c>
      <c r="AZ14" s="2660">
        <v>14.71</v>
      </c>
      <c r="BA14" s="2725">
        <v>135.46</v>
      </c>
      <c r="BB14" s="2660">
        <v>1.97</v>
      </c>
      <c r="BC14" s="2718" t="s">
        <v>189</v>
      </c>
      <c r="BD14" s="2716">
        <v>17</v>
      </c>
      <c r="BE14" s="3079">
        <v>0.45</v>
      </c>
      <c r="BF14" s="2718" t="s">
        <v>189</v>
      </c>
      <c r="BH14" s="2613">
        <v>2024</v>
      </c>
      <c r="BI14" s="2614">
        <f>SUM(BI8:BI12)</f>
        <v>135</v>
      </c>
      <c r="BJ14" s="2616">
        <f>SUM(BJ8:BJ12)</f>
        <v>1775.4390000000003</v>
      </c>
      <c r="BK14" s="2616"/>
      <c r="BL14" s="2616">
        <f>SUM(BL8:BL12)</f>
        <v>124.47500000000002</v>
      </c>
      <c r="BM14" s="2616">
        <f>SUM(BM8:BM12)</f>
        <v>2145.3811643835616</v>
      </c>
      <c r="BN14" s="2616">
        <f>BO14/BI14</f>
        <v>28.602016235413497</v>
      </c>
      <c r="BO14" s="2616">
        <f>SUM(BO8:BO12)</f>
        <v>3861.2721917808221</v>
      </c>
      <c r="BP14" s="2617">
        <f>SUM(BP4:BP12)</f>
        <v>4252</v>
      </c>
      <c r="BQ14" s="2446"/>
      <c r="BR14" s="2430"/>
      <c r="BS14" s="2430"/>
      <c r="BT14" s="2447"/>
      <c r="BU14" s="2448"/>
      <c r="BV14" s="2449"/>
      <c r="BW14" s="2450"/>
      <c r="BX14" s="2448"/>
      <c r="BY14" s="2450"/>
      <c r="BZ14" s="2249"/>
      <c r="CA14" s="2249"/>
      <c r="CB14" s="2249"/>
      <c r="CC14" s="2249"/>
      <c r="CD14" s="2249"/>
    </row>
    <row r="15" spans="1:82" s="2249" customFormat="1" ht="13.2" thickTop="1" thickBot="1">
      <c r="A15" s="2251"/>
      <c r="B15" s="2488" t="s">
        <v>1139</v>
      </c>
      <c r="C15" s="2489">
        <v>45270</v>
      </c>
      <c r="D15" s="2576">
        <v>8.5299999999999994</v>
      </c>
      <c r="E15" s="2577"/>
      <c r="F15" s="2577"/>
      <c r="G15" s="2503" t="str">
        <f t="shared" si="10"/>
        <v>1</v>
      </c>
      <c r="H15" s="2485">
        <v>47</v>
      </c>
      <c r="I15" s="2486">
        <v>1.06</v>
      </c>
      <c r="J15" s="2487" t="str">
        <f t="shared" si="11"/>
        <v>1</v>
      </c>
      <c r="K15" s="2251"/>
      <c r="L15" s="2488" t="s">
        <v>1137</v>
      </c>
      <c r="M15" s="2489">
        <v>45300</v>
      </c>
      <c r="N15" s="2490"/>
      <c r="O15" s="2484"/>
      <c r="P15" s="2484"/>
      <c r="Q15" s="2501" t="str">
        <f t="shared" si="16"/>
        <v/>
      </c>
      <c r="R15" s="2485">
        <v>59</v>
      </c>
      <c r="S15" s="2486">
        <v>1.17</v>
      </c>
      <c r="T15" s="2487" t="str">
        <f t="shared" si="17"/>
        <v>1</v>
      </c>
      <c r="U15" s="2251"/>
      <c r="V15" s="2479" t="s">
        <v>1136</v>
      </c>
      <c r="W15" s="2480">
        <v>45330</v>
      </c>
      <c r="X15" s="2542">
        <v>7.75</v>
      </c>
      <c r="Y15" s="2481">
        <v>69.97</v>
      </c>
      <c r="Z15" s="2482">
        <v>20.64</v>
      </c>
      <c r="AA15" s="2483">
        <v>163.43</v>
      </c>
      <c r="AB15" s="2483">
        <v>2.66</v>
      </c>
      <c r="AC15" s="2551" t="s">
        <v>189</v>
      </c>
      <c r="AD15" s="2485">
        <v>41</v>
      </c>
      <c r="AE15" s="2486">
        <v>0.92</v>
      </c>
      <c r="AF15" s="2478" t="s">
        <v>189</v>
      </c>
      <c r="AG15" s="2251"/>
      <c r="AH15" s="2643" t="s">
        <v>1136</v>
      </c>
      <c r="AI15" s="2644">
        <v>45358</v>
      </c>
      <c r="AJ15" s="2645">
        <v>7.39</v>
      </c>
      <c r="AK15" s="2689">
        <v>53.12</v>
      </c>
      <c r="AL15" s="2646">
        <v>18.59</v>
      </c>
      <c r="AM15" s="2690">
        <v>131.21</v>
      </c>
      <c r="AN15" s="2647">
        <v>2.52</v>
      </c>
      <c r="AO15" s="2648" t="s">
        <v>189</v>
      </c>
      <c r="AP15" s="2692">
        <v>31</v>
      </c>
      <c r="AQ15" s="2646">
        <v>12.56</v>
      </c>
      <c r="AR15" s="2649">
        <v>0.71</v>
      </c>
      <c r="AS15" s="2646">
        <v>0.89</v>
      </c>
      <c r="AT15" s="2642" t="s">
        <v>189</v>
      </c>
      <c r="AU15" s="2251"/>
      <c r="AV15" s="2727" t="s">
        <v>1131</v>
      </c>
      <c r="AW15" s="2728">
        <v>45392</v>
      </c>
      <c r="AX15" s="2716">
        <v>8.06</v>
      </c>
      <c r="AY15" s="2723">
        <v>76.930000000000007</v>
      </c>
      <c r="AZ15" s="2660">
        <v>15.41</v>
      </c>
      <c r="BA15" s="2725">
        <v>150.87</v>
      </c>
      <c r="BB15" s="2660">
        <v>1.96</v>
      </c>
      <c r="BC15" s="2718" t="s">
        <v>189</v>
      </c>
      <c r="BD15" s="2716">
        <v>19</v>
      </c>
      <c r="BE15" s="3079">
        <v>0.47</v>
      </c>
      <c r="BF15" s="2718" t="s">
        <v>189</v>
      </c>
      <c r="BG15" s="2251"/>
      <c r="BH15" s="2430"/>
      <c r="BI15" s="2430"/>
      <c r="BJ15" s="2430"/>
      <c r="BK15" s="2430"/>
      <c r="BL15" s="2430"/>
      <c r="BM15" s="2446"/>
      <c r="BN15" s="2446"/>
      <c r="BO15" s="2446"/>
      <c r="BP15" s="2624"/>
      <c r="BQ15" s="2446"/>
      <c r="BR15" s="2430"/>
      <c r="BS15" s="2430"/>
      <c r="BT15" s="2447"/>
      <c r="BU15" s="2448"/>
      <c r="BV15" s="2449"/>
      <c r="BW15" s="2450"/>
      <c r="BX15" s="2448"/>
      <c r="BY15" s="2450"/>
    </row>
    <row r="16" spans="1:82" s="2249" customFormat="1" ht="13.2" thickTop="1" thickBot="1">
      <c r="A16" s="2251"/>
      <c r="B16" s="2488" t="s">
        <v>1138</v>
      </c>
      <c r="C16" s="2489">
        <v>45271</v>
      </c>
      <c r="D16" s="2576">
        <v>7.71</v>
      </c>
      <c r="E16" s="2577"/>
      <c r="F16" s="2577"/>
      <c r="G16" s="2503" t="str">
        <f t="shared" si="10"/>
        <v>1</v>
      </c>
      <c r="H16" s="2485">
        <v>41</v>
      </c>
      <c r="I16" s="2486">
        <v>0.95</v>
      </c>
      <c r="J16" s="2487" t="str">
        <f t="shared" si="11"/>
        <v>1</v>
      </c>
      <c r="K16" s="2251"/>
      <c r="L16" s="2488" t="s">
        <v>1131</v>
      </c>
      <c r="M16" s="2489">
        <v>45301</v>
      </c>
      <c r="N16" s="2490"/>
      <c r="O16" s="2484"/>
      <c r="P16" s="2484"/>
      <c r="Q16" s="2501" t="str">
        <f t="shared" si="16"/>
        <v/>
      </c>
      <c r="R16" s="2485">
        <v>60</v>
      </c>
      <c r="S16" s="2486">
        <v>1.1599999999999999</v>
      </c>
      <c r="T16" s="2487" t="str">
        <f t="shared" si="17"/>
        <v>1</v>
      </c>
      <c r="U16" s="2251"/>
      <c r="V16" s="2479" t="s">
        <v>1130</v>
      </c>
      <c r="W16" s="2480">
        <v>45331</v>
      </c>
      <c r="X16" s="2542">
        <v>7.17</v>
      </c>
      <c r="Y16" s="2481">
        <v>77.14</v>
      </c>
      <c r="Z16" s="2482">
        <v>17.32</v>
      </c>
      <c r="AA16" s="2483">
        <v>180.75</v>
      </c>
      <c r="AB16" s="2483">
        <v>2.42</v>
      </c>
      <c r="AC16" s="2551" t="s">
        <v>189</v>
      </c>
      <c r="AD16" s="2485">
        <v>51</v>
      </c>
      <c r="AE16" s="2486">
        <v>1.1100000000000001</v>
      </c>
      <c r="AF16" s="2478" t="s">
        <v>189</v>
      </c>
      <c r="AG16" s="2251"/>
      <c r="AH16" s="2643" t="s">
        <v>1130</v>
      </c>
      <c r="AI16" s="2644">
        <v>45359</v>
      </c>
      <c r="AJ16" s="2645">
        <v>7.88</v>
      </c>
      <c r="AK16" s="2689">
        <v>61</v>
      </c>
      <c r="AL16" s="2646">
        <v>19.989999999999998</v>
      </c>
      <c r="AM16" s="2690">
        <v>151.19999999999999</v>
      </c>
      <c r="AN16" s="2647">
        <v>2.54</v>
      </c>
      <c r="AO16" s="2648" t="s">
        <v>189</v>
      </c>
      <c r="AP16" s="2692">
        <v>36</v>
      </c>
      <c r="AQ16" s="2646">
        <v>14.58</v>
      </c>
      <c r="AR16" s="2649">
        <v>0.84</v>
      </c>
      <c r="AS16" s="2646">
        <v>1.05</v>
      </c>
      <c r="AT16" s="2642" t="s">
        <v>189</v>
      </c>
      <c r="AU16" s="2251"/>
      <c r="AV16" s="2727" t="s">
        <v>1136</v>
      </c>
      <c r="AW16" s="2728">
        <v>45393</v>
      </c>
      <c r="AX16" s="2716">
        <v>10.27</v>
      </c>
      <c r="AY16" s="2723">
        <v>87.2</v>
      </c>
      <c r="AZ16" s="2660">
        <v>18.95</v>
      </c>
      <c r="BA16" s="2725">
        <v>169.82</v>
      </c>
      <c r="BB16" s="2660">
        <v>1.95</v>
      </c>
      <c r="BC16" s="2718" t="str">
        <f t="shared" si="15"/>
        <v>*</v>
      </c>
      <c r="BD16" s="2716">
        <v>20</v>
      </c>
      <c r="BE16" s="3079">
        <v>0.46</v>
      </c>
      <c r="BF16" s="2718" t="s">
        <v>189</v>
      </c>
      <c r="BG16" s="2251"/>
      <c r="BH16" s="2633" t="s">
        <v>1683</v>
      </c>
      <c r="BI16" s="2634"/>
      <c r="BJ16" s="2635">
        <f>SUM(BJ9:BM9)</f>
        <v>979.84465753424661</v>
      </c>
      <c r="BK16" s="2636" t="s">
        <v>1684</v>
      </c>
      <c r="BL16" s="2637">
        <f>AA7</f>
        <v>602.59</v>
      </c>
      <c r="BM16" s="2638"/>
      <c r="BN16" s="2636"/>
      <c r="BO16" s="2639"/>
      <c r="BP16" s="2446"/>
      <c r="BQ16" s="2446"/>
      <c r="BR16" s="2430"/>
      <c r="BS16" s="2430"/>
      <c r="BT16" s="2447"/>
      <c r="BU16" s="2448"/>
      <c r="BV16" s="2449"/>
      <c r="BW16" s="2450"/>
      <c r="BX16" s="2448"/>
      <c r="BY16" s="2450"/>
      <c r="BZ16" s="2250"/>
      <c r="CA16" s="2250"/>
      <c r="CB16" s="2250"/>
      <c r="CC16" s="2250"/>
      <c r="CD16" s="2250"/>
    </row>
    <row r="17" spans="1:98" s="2250" customFormat="1" ht="13.2" thickTop="1" thickBot="1">
      <c r="A17" s="2252"/>
      <c r="B17" s="2488" t="s">
        <v>1137</v>
      </c>
      <c r="C17" s="2489">
        <v>45272</v>
      </c>
      <c r="D17" s="2576">
        <v>7.78</v>
      </c>
      <c r="E17" s="2577"/>
      <c r="F17" s="2577"/>
      <c r="G17" s="2503" t="str">
        <f t="shared" si="10"/>
        <v>1</v>
      </c>
      <c r="H17" s="2485">
        <v>45</v>
      </c>
      <c r="I17" s="2486">
        <v>1.02</v>
      </c>
      <c r="J17" s="2487" t="str">
        <f t="shared" si="11"/>
        <v>1</v>
      </c>
      <c r="K17" s="2252"/>
      <c r="L17" s="2488" t="s">
        <v>1136</v>
      </c>
      <c r="M17" s="2489">
        <v>45302</v>
      </c>
      <c r="N17" s="2490"/>
      <c r="O17" s="2484"/>
      <c r="P17" s="2484"/>
      <c r="Q17" s="2501" t="str">
        <f t="shared" si="16"/>
        <v/>
      </c>
      <c r="R17" s="2485">
        <v>54</v>
      </c>
      <c r="S17" s="2486">
        <v>1.07</v>
      </c>
      <c r="T17" s="2487" t="str">
        <f t="shared" si="17"/>
        <v>1</v>
      </c>
      <c r="U17" s="2252"/>
      <c r="V17" s="2479" t="s">
        <v>1128</v>
      </c>
      <c r="W17" s="2480">
        <v>45332</v>
      </c>
      <c r="X17" s="2542">
        <v>7.61</v>
      </c>
      <c r="Y17" s="2481">
        <v>84.75</v>
      </c>
      <c r="Z17" s="2482">
        <v>18.48</v>
      </c>
      <c r="AA17" s="2483">
        <v>199.23</v>
      </c>
      <c r="AB17" s="2483">
        <v>2.4300000000000002</v>
      </c>
      <c r="AC17" s="2551" t="s">
        <v>189</v>
      </c>
      <c r="AD17" s="2485">
        <v>52</v>
      </c>
      <c r="AE17" s="2486">
        <v>1.1299999999999999</v>
      </c>
      <c r="AF17" s="2478" t="s">
        <v>189</v>
      </c>
      <c r="AG17" s="2252"/>
      <c r="AH17" s="2643" t="s">
        <v>1128</v>
      </c>
      <c r="AI17" s="2644">
        <v>45360</v>
      </c>
      <c r="AJ17" s="2645">
        <v>6.19</v>
      </c>
      <c r="AK17" s="2689">
        <v>67.19</v>
      </c>
      <c r="AL17" s="2646">
        <v>13.51</v>
      </c>
      <c r="AM17" s="2690">
        <v>164.71</v>
      </c>
      <c r="AN17" s="2647">
        <v>2.1800000000000002</v>
      </c>
      <c r="AO17" s="2648" t="s">
        <v>189</v>
      </c>
      <c r="AP17" s="2692">
        <v>47</v>
      </c>
      <c r="AQ17" s="2646">
        <v>19.04</v>
      </c>
      <c r="AR17" s="2649">
        <v>1.02</v>
      </c>
      <c r="AS17" s="2646">
        <v>1.28</v>
      </c>
      <c r="AT17" s="2642" t="s">
        <v>189</v>
      </c>
      <c r="AU17" s="2252"/>
      <c r="AV17" s="2727" t="s">
        <v>1130</v>
      </c>
      <c r="AW17" s="2728">
        <v>45394</v>
      </c>
      <c r="AX17" s="2716">
        <v>7.79</v>
      </c>
      <c r="AY17" s="2723">
        <v>94.99</v>
      </c>
      <c r="AZ17" s="2660">
        <v>14.35</v>
      </c>
      <c r="BA17" s="2725">
        <v>184.17</v>
      </c>
      <c r="BB17" s="2660">
        <v>1.94</v>
      </c>
      <c r="BC17" s="2718" t="s">
        <v>189</v>
      </c>
      <c r="BD17" s="2716">
        <v>19</v>
      </c>
      <c r="BE17" s="3079">
        <v>0.45</v>
      </c>
      <c r="BF17" s="2718" t="str">
        <f>IF(BD17&gt;0,"*","")</f>
        <v>*</v>
      </c>
      <c r="BG17" s="2252"/>
      <c r="BH17" s="2430"/>
      <c r="BI17" s="2430"/>
      <c r="BJ17" s="2430"/>
      <c r="BK17" s="2430"/>
      <c r="BL17" s="2430"/>
      <c r="BM17" s="2446"/>
      <c r="BN17" s="2446"/>
      <c r="BO17" s="2446"/>
      <c r="BP17" s="2624"/>
      <c r="BQ17" s="2446"/>
      <c r="BR17" s="2430"/>
      <c r="BS17" s="2430"/>
      <c r="BT17" s="2447"/>
      <c r="BU17" s="2448"/>
      <c r="BV17" s="2449"/>
      <c r="BW17" s="2450"/>
      <c r="BX17" s="2448"/>
      <c r="BY17" s="2450"/>
    </row>
    <row r="18" spans="1:98" s="2250" customFormat="1" ht="13.2" thickTop="1" thickBot="1">
      <c r="A18" s="2252"/>
      <c r="B18" s="2488" t="s">
        <v>1131</v>
      </c>
      <c r="C18" s="2489">
        <v>45273</v>
      </c>
      <c r="D18" s="2576">
        <v>8.39</v>
      </c>
      <c r="E18" s="2577"/>
      <c r="F18" s="2577"/>
      <c r="G18" s="2503" t="str">
        <f t="shared" si="10"/>
        <v>1</v>
      </c>
      <c r="H18" s="2485">
        <v>49</v>
      </c>
      <c r="I18" s="2486">
        <v>1.1000000000000001</v>
      </c>
      <c r="J18" s="2487" t="str">
        <f t="shared" si="11"/>
        <v>1</v>
      </c>
      <c r="K18" s="2252"/>
      <c r="L18" s="2488" t="s">
        <v>1130</v>
      </c>
      <c r="M18" s="2489">
        <v>45303</v>
      </c>
      <c r="N18" s="2490"/>
      <c r="O18" s="2484"/>
      <c r="P18" s="2484"/>
      <c r="Q18" s="2501" t="str">
        <f t="shared" si="16"/>
        <v/>
      </c>
      <c r="R18" s="2485">
        <v>59</v>
      </c>
      <c r="S18" s="2486">
        <v>1.1200000000000001</v>
      </c>
      <c r="T18" s="2487" t="str">
        <f t="shared" si="17"/>
        <v>1</v>
      </c>
      <c r="U18" s="2252"/>
      <c r="V18" s="2479" t="s">
        <v>1139</v>
      </c>
      <c r="W18" s="2480">
        <v>45333</v>
      </c>
      <c r="X18" s="2542">
        <v>7.4</v>
      </c>
      <c r="Y18" s="2481">
        <v>92.15</v>
      </c>
      <c r="Z18" s="2482">
        <v>18.02</v>
      </c>
      <c r="AA18" s="2483">
        <v>217.25</v>
      </c>
      <c r="AB18" s="2483">
        <v>2.44</v>
      </c>
      <c r="AC18" s="2551" t="s">
        <v>189</v>
      </c>
      <c r="AD18" s="2485">
        <v>47</v>
      </c>
      <c r="AE18" s="2486">
        <v>1.03</v>
      </c>
      <c r="AF18" s="2478" t="s">
        <v>189</v>
      </c>
      <c r="AG18" s="2252"/>
      <c r="AH18" s="2643" t="s">
        <v>1139</v>
      </c>
      <c r="AI18" s="2644">
        <v>45361</v>
      </c>
      <c r="AJ18" s="2645">
        <v>7.53</v>
      </c>
      <c r="AK18" s="2689">
        <v>74.72</v>
      </c>
      <c r="AL18" s="2646">
        <v>16.46</v>
      </c>
      <c r="AM18" s="2690">
        <v>181.17</v>
      </c>
      <c r="AN18" s="2647">
        <v>2.19</v>
      </c>
      <c r="AO18" s="2648" t="s">
        <v>189</v>
      </c>
      <c r="AP18" s="2692">
        <v>44</v>
      </c>
      <c r="AQ18" s="2646">
        <v>17.82</v>
      </c>
      <c r="AR18" s="2649">
        <v>0.99</v>
      </c>
      <c r="AS18" s="2646">
        <v>1.24</v>
      </c>
      <c r="AT18" s="2642" t="s">
        <v>189</v>
      </c>
      <c r="AU18" s="2252"/>
      <c r="AV18" s="2727" t="s">
        <v>1128</v>
      </c>
      <c r="AW18" s="2728">
        <v>45395</v>
      </c>
      <c r="AX18" s="2716">
        <v>11.28</v>
      </c>
      <c r="AY18" s="2723">
        <v>106.27</v>
      </c>
      <c r="AZ18" s="2660">
        <v>17.309999999999999</v>
      </c>
      <c r="BA18" s="2725">
        <v>201.48</v>
      </c>
      <c r="BB18" s="2660">
        <v>1.9</v>
      </c>
      <c r="BC18" s="2718" t="s">
        <v>189</v>
      </c>
      <c r="BD18" s="2716">
        <v>22</v>
      </c>
      <c r="BE18" s="3079">
        <v>0.48</v>
      </c>
      <c r="BF18" s="2718" t="s">
        <v>189</v>
      </c>
      <c r="BG18" s="2252"/>
      <c r="BH18" s="2607" t="s">
        <v>1168</v>
      </c>
      <c r="BI18" s="2608"/>
      <c r="BJ18" s="2609"/>
      <c r="BK18" s="2609" t="s">
        <v>1681</v>
      </c>
      <c r="BL18" s="2609" t="s">
        <v>1685</v>
      </c>
      <c r="BM18" s="2470" t="s">
        <v>1675</v>
      </c>
      <c r="BN18" s="2609" t="s">
        <v>1686</v>
      </c>
      <c r="BO18" s="2612" t="s">
        <v>1672</v>
      </c>
      <c r="BP18" s="2622"/>
      <c r="BQ18" s="2446"/>
      <c r="BR18" s="2430"/>
      <c r="BS18" s="2430"/>
      <c r="BT18" s="2447"/>
      <c r="BU18" s="2448"/>
      <c r="BV18" s="2449"/>
      <c r="BW18" s="2450"/>
      <c r="BX18" s="2448"/>
      <c r="BY18" s="2450"/>
    </row>
    <row r="19" spans="1:98" s="2250" customFormat="1" ht="13.2" thickTop="1" thickBot="1">
      <c r="A19" s="2253"/>
      <c r="B19" s="2488" t="s">
        <v>1136</v>
      </c>
      <c r="C19" s="2489">
        <v>45274</v>
      </c>
      <c r="D19" s="2576">
        <v>10.16</v>
      </c>
      <c r="E19" s="2577"/>
      <c r="F19" s="2577"/>
      <c r="G19" s="2503" t="str">
        <f t="shared" si="10"/>
        <v>1</v>
      </c>
      <c r="H19" s="2485">
        <v>49</v>
      </c>
      <c r="I19" s="2486">
        <v>1.1100000000000001</v>
      </c>
      <c r="J19" s="2487" t="str">
        <f t="shared" si="11"/>
        <v>1</v>
      </c>
      <c r="K19" s="2253"/>
      <c r="L19" s="2488" t="s">
        <v>1128</v>
      </c>
      <c r="M19" s="2489">
        <v>45304</v>
      </c>
      <c r="N19" s="2490"/>
      <c r="O19" s="2484"/>
      <c r="P19" s="2484"/>
      <c r="Q19" s="2501" t="str">
        <f t="shared" si="16"/>
        <v/>
      </c>
      <c r="R19" s="2485">
        <v>42</v>
      </c>
      <c r="S19" s="2486">
        <v>0.86</v>
      </c>
      <c r="T19" s="2487" t="str">
        <f t="shared" si="17"/>
        <v>1</v>
      </c>
      <c r="U19" s="2253"/>
      <c r="V19" s="2479" t="s">
        <v>1138</v>
      </c>
      <c r="W19" s="2480">
        <v>45334</v>
      </c>
      <c r="X19" s="2542">
        <v>7.73</v>
      </c>
      <c r="Y19" s="2481">
        <v>99.88</v>
      </c>
      <c r="Z19" s="2482">
        <v>19.68</v>
      </c>
      <c r="AA19" s="2483">
        <v>236.93</v>
      </c>
      <c r="AB19" s="2483">
        <v>2.5499999999999998</v>
      </c>
      <c r="AC19" s="2551" t="s">
        <v>189</v>
      </c>
      <c r="AD19" s="2485">
        <v>49</v>
      </c>
      <c r="AE19" s="2486">
        <v>1.07</v>
      </c>
      <c r="AF19" s="2478" t="s">
        <v>189</v>
      </c>
      <c r="AG19" s="2253"/>
      <c r="AH19" s="2643" t="s">
        <v>1138</v>
      </c>
      <c r="AI19" s="2644">
        <v>45362</v>
      </c>
      <c r="AJ19" s="2645">
        <v>7.81</v>
      </c>
      <c r="AK19" s="2689">
        <v>82.53</v>
      </c>
      <c r="AL19" s="2646">
        <v>19.350000000000001</v>
      </c>
      <c r="AM19" s="2690">
        <v>200.52</v>
      </c>
      <c r="AN19" s="2647">
        <v>2.48</v>
      </c>
      <c r="AO19" s="2648" t="s">
        <v>189</v>
      </c>
      <c r="AP19" s="2692">
        <v>33</v>
      </c>
      <c r="AQ19" s="2646">
        <v>13.37</v>
      </c>
      <c r="AR19" s="2649">
        <v>0.74</v>
      </c>
      <c r="AS19" s="2646">
        <v>0.93</v>
      </c>
      <c r="AT19" s="2642" t="s">
        <v>189</v>
      </c>
      <c r="AU19" s="2253"/>
      <c r="AV19" s="2727" t="s">
        <v>1139</v>
      </c>
      <c r="AW19" s="2728">
        <v>45396</v>
      </c>
      <c r="AX19" s="2716">
        <v>7.19</v>
      </c>
      <c r="AY19" s="2723">
        <v>113.46</v>
      </c>
      <c r="AZ19" s="2660">
        <v>11.85</v>
      </c>
      <c r="BA19" s="2725">
        <v>213.33</v>
      </c>
      <c r="BB19" s="2660">
        <v>1.88</v>
      </c>
      <c r="BC19" s="2718" t="s">
        <v>189</v>
      </c>
      <c r="BD19" s="2716">
        <v>16</v>
      </c>
      <c r="BE19" s="3079">
        <v>0.41</v>
      </c>
      <c r="BF19" s="2718" t="s">
        <v>189</v>
      </c>
      <c r="BG19" s="2253"/>
      <c r="BH19" s="2677">
        <v>19</v>
      </c>
      <c r="BI19" s="2678">
        <v>19</v>
      </c>
      <c r="BJ19" s="2679">
        <v>154.82</v>
      </c>
      <c r="BK19" s="2679">
        <f>BJ19/BH19</f>
        <v>8.1484210526315781</v>
      </c>
      <c r="BL19" s="2680">
        <f>BN19/BJ19</f>
        <v>3.0055956322792512</v>
      </c>
      <c r="BM19" s="2680">
        <f>BN19/BH19</f>
        <v>24.490858725761772</v>
      </c>
      <c r="BN19" s="2680">
        <f>285.2/BI19*31</f>
        <v>465.32631578947365</v>
      </c>
      <c r="BO19" s="2681">
        <f>BO4+BN19</f>
        <v>1025.5374963450292</v>
      </c>
      <c r="BP19" s="2622"/>
      <c r="BQ19" s="2446"/>
      <c r="BR19" s="2430"/>
      <c r="BS19" s="2430"/>
      <c r="BT19" s="2447"/>
      <c r="BU19" s="2448"/>
      <c r="BV19" s="2449"/>
      <c r="BW19" s="2450"/>
      <c r="BX19" s="2448"/>
      <c r="BY19" s="2450"/>
    </row>
    <row r="20" spans="1:98" s="2250" customFormat="1" ht="13.2" thickTop="1" thickBot="1">
      <c r="A20" s="2254"/>
      <c r="B20" s="2488" t="s">
        <v>1130</v>
      </c>
      <c r="C20" s="2489">
        <v>45275</v>
      </c>
      <c r="D20" s="2576">
        <v>7.89</v>
      </c>
      <c r="E20" s="2484"/>
      <c r="F20" s="2484"/>
      <c r="G20" s="2501" t="str">
        <f t="shared" si="10"/>
        <v>1</v>
      </c>
      <c r="H20" s="2485">
        <v>41</v>
      </c>
      <c r="I20" s="2486">
        <v>0.92</v>
      </c>
      <c r="J20" s="2487" t="str">
        <f t="shared" si="11"/>
        <v>1</v>
      </c>
      <c r="K20" s="2254"/>
      <c r="L20" s="2488" t="s">
        <v>1139</v>
      </c>
      <c r="M20" s="2489">
        <v>45305</v>
      </c>
      <c r="N20" s="2490"/>
      <c r="O20" s="2484"/>
      <c r="P20" s="2484"/>
      <c r="Q20" s="2501" t="str">
        <f t="shared" si="16"/>
        <v/>
      </c>
      <c r="R20" s="2485">
        <v>48</v>
      </c>
      <c r="S20" s="2486">
        <v>0.95</v>
      </c>
      <c r="T20" s="2487" t="str">
        <f t="shared" si="17"/>
        <v>1</v>
      </c>
      <c r="U20" s="2254"/>
      <c r="V20" s="2479" t="s">
        <v>1137</v>
      </c>
      <c r="W20" s="2480">
        <v>45335</v>
      </c>
      <c r="X20" s="2542">
        <v>7.64</v>
      </c>
      <c r="Y20" s="2481">
        <v>107.52</v>
      </c>
      <c r="Z20" s="2482">
        <v>19.190000000000001</v>
      </c>
      <c r="AA20" s="2483">
        <v>256.12</v>
      </c>
      <c r="AB20" s="2483">
        <v>2.5099999999999998</v>
      </c>
      <c r="AC20" s="2551" t="s">
        <v>189</v>
      </c>
      <c r="AD20" s="2485">
        <v>40</v>
      </c>
      <c r="AE20" s="2486">
        <v>0.96</v>
      </c>
      <c r="AF20" s="2478" t="s">
        <v>189</v>
      </c>
      <c r="AG20" s="2254"/>
      <c r="AH20" s="2643" t="s">
        <v>1137</v>
      </c>
      <c r="AI20" s="2644">
        <v>45363</v>
      </c>
      <c r="AJ20" s="2645">
        <v>7.03</v>
      </c>
      <c r="AK20" s="2689">
        <v>89.56</v>
      </c>
      <c r="AL20" s="2646">
        <v>18.68</v>
      </c>
      <c r="AM20" s="2690">
        <v>219.2</v>
      </c>
      <c r="AN20" s="2647">
        <v>2.66</v>
      </c>
      <c r="AO20" s="2648" t="s">
        <v>189</v>
      </c>
      <c r="AP20" s="2692">
        <v>35</v>
      </c>
      <c r="AQ20" s="2646">
        <v>14.18</v>
      </c>
      <c r="AR20" s="2649">
        <v>0.8</v>
      </c>
      <c r="AS20" s="2646">
        <v>1</v>
      </c>
      <c r="AT20" s="2642" t="s">
        <v>189</v>
      </c>
      <c r="AU20" s="2254"/>
      <c r="AV20" s="2727" t="s">
        <v>1138</v>
      </c>
      <c r="AW20" s="2728">
        <v>45397</v>
      </c>
      <c r="AX20" s="2716">
        <v>12.69</v>
      </c>
      <c r="AY20" s="2723">
        <v>126.15</v>
      </c>
      <c r="AZ20" s="2660">
        <v>21.26</v>
      </c>
      <c r="BA20" s="2725">
        <v>234.59</v>
      </c>
      <c r="BB20" s="2660">
        <v>1.86</v>
      </c>
      <c r="BC20" s="2718" t="s">
        <v>189</v>
      </c>
      <c r="BD20" s="2716">
        <v>22</v>
      </c>
      <c r="BE20" s="3079">
        <v>0.54</v>
      </c>
      <c r="BF20" s="2718" t="s">
        <v>189</v>
      </c>
      <c r="BG20" s="2254"/>
      <c r="BH20" s="2661">
        <v>30</v>
      </c>
      <c r="BI20" s="2659">
        <v>30</v>
      </c>
      <c r="BJ20" s="2682">
        <v>267.05</v>
      </c>
      <c r="BK20" s="2682">
        <f t="shared" ref="BK20:BK21" si="18">BJ20/BH20</f>
        <v>8.9016666666666673</v>
      </c>
      <c r="BL20" s="2646">
        <f>BN20/BJ20</f>
        <v>2.0156150533607935</v>
      </c>
      <c r="BM20" s="2646">
        <f>BN20/BH20</f>
        <v>17.942333333333334</v>
      </c>
      <c r="BN20" s="2646">
        <v>538.27</v>
      </c>
      <c r="BO20" s="2669">
        <f>BO5+BN20</f>
        <v>1517.1204166666666</v>
      </c>
      <c r="BP20" s="2622"/>
      <c r="BQ20" s="2446"/>
      <c r="BR20" s="2430"/>
      <c r="BS20" s="2430"/>
      <c r="BT20" s="2447"/>
      <c r="BU20" s="2448"/>
      <c r="BV20" s="2449"/>
      <c r="BW20" s="2450"/>
      <c r="BX20" s="2448"/>
      <c r="BY20" s="2450"/>
    </row>
    <row r="21" spans="1:98" s="2250" customFormat="1" ht="13.2" thickTop="1" thickBot="1">
      <c r="A21" s="2253"/>
      <c r="B21" s="2488" t="s">
        <v>1128</v>
      </c>
      <c r="C21" s="2489">
        <v>45276</v>
      </c>
      <c r="D21" s="2576">
        <v>7.59</v>
      </c>
      <c r="E21" s="2484"/>
      <c r="F21" s="2484"/>
      <c r="G21" s="2501" t="str">
        <f t="shared" si="10"/>
        <v>1</v>
      </c>
      <c r="H21" s="2485">
        <v>33</v>
      </c>
      <c r="I21" s="2486">
        <v>0.77</v>
      </c>
      <c r="J21" s="2487" t="str">
        <f t="shared" si="11"/>
        <v>1</v>
      </c>
      <c r="K21" s="2253"/>
      <c r="L21" s="2488" t="s">
        <v>1138</v>
      </c>
      <c r="M21" s="2489">
        <v>45306</v>
      </c>
      <c r="N21" s="2490"/>
      <c r="O21" s="2484"/>
      <c r="P21" s="2484"/>
      <c r="Q21" s="2501" t="str">
        <f t="shared" si="16"/>
        <v/>
      </c>
      <c r="R21" s="2485">
        <v>51</v>
      </c>
      <c r="S21" s="2486">
        <v>1.02</v>
      </c>
      <c r="T21" s="2487" t="str">
        <f t="shared" si="17"/>
        <v>1</v>
      </c>
      <c r="U21" s="2253"/>
      <c r="V21" s="2479" t="s">
        <v>1131</v>
      </c>
      <c r="W21" s="2480">
        <v>45336</v>
      </c>
      <c r="X21" s="2542">
        <v>13.12</v>
      </c>
      <c r="Y21" s="2481">
        <v>120.64</v>
      </c>
      <c r="Z21" s="2482">
        <v>33.57</v>
      </c>
      <c r="AA21" s="2483">
        <v>289.69</v>
      </c>
      <c r="AB21" s="2483">
        <v>2.56</v>
      </c>
      <c r="AC21" s="2551" t="s">
        <v>189</v>
      </c>
      <c r="AD21" s="2485">
        <v>40</v>
      </c>
      <c r="AE21" s="2486">
        <v>0.87</v>
      </c>
      <c r="AF21" s="2478" t="s">
        <v>189</v>
      </c>
      <c r="AG21" s="2253"/>
      <c r="AH21" s="2643" t="s">
        <v>1131</v>
      </c>
      <c r="AI21" s="2644">
        <v>45364</v>
      </c>
      <c r="AJ21" s="2645">
        <v>8.7799999999999994</v>
      </c>
      <c r="AK21" s="2689">
        <v>98.34</v>
      </c>
      <c r="AL21" s="2646">
        <v>21.82</v>
      </c>
      <c r="AM21" s="2690">
        <v>241.02</v>
      </c>
      <c r="AN21" s="2647">
        <v>2.4900000000000002</v>
      </c>
      <c r="AO21" s="2648" t="s">
        <v>189</v>
      </c>
      <c r="AP21" s="2692">
        <v>31</v>
      </c>
      <c r="AQ21" s="2646">
        <v>12.56</v>
      </c>
      <c r="AR21" s="2649">
        <v>0.71</v>
      </c>
      <c r="AS21" s="2646">
        <v>0.89</v>
      </c>
      <c r="AT21" s="2642" t="s">
        <v>189</v>
      </c>
      <c r="AU21" s="2253"/>
      <c r="AV21" s="2727" t="s">
        <v>1137</v>
      </c>
      <c r="AW21" s="2728">
        <v>45398</v>
      </c>
      <c r="AX21" s="2716">
        <v>9.3699999999999992</v>
      </c>
      <c r="AY21" s="2723">
        <v>135.52000000000001</v>
      </c>
      <c r="AZ21" s="2660">
        <v>19.59</v>
      </c>
      <c r="BA21" s="2725">
        <v>254.18</v>
      </c>
      <c r="BB21" s="2660">
        <v>1.88</v>
      </c>
      <c r="BC21" s="2718" t="s">
        <v>189</v>
      </c>
      <c r="BD21" s="2716">
        <v>23</v>
      </c>
      <c r="BE21" s="3079">
        <v>0.53</v>
      </c>
      <c r="BF21" s="2718" t="s">
        <v>189</v>
      </c>
      <c r="BG21" s="2253"/>
      <c r="BH21" s="2662">
        <v>31</v>
      </c>
      <c r="BI21" s="2663">
        <v>31</v>
      </c>
      <c r="BJ21" s="2683">
        <v>269.16000000000003</v>
      </c>
      <c r="BK21" s="2683">
        <f t="shared" si="18"/>
        <v>8.6825806451612912</v>
      </c>
      <c r="BL21" s="2684">
        <f>BN21/BJ21</f>
        <v>1.8311784812007725</v>
      </c>
      <c r="BM21" s="2684">
        <f>BN21/BH21</f>
        <v>15.899354838709677</v>
      </c>
      <c r="BN21" s="2684">
        <v>492.88</v>
      </c>
      <c r="BO21" s="2685">
        <f>BO6+BN21</f>
        <v>1613.3855821917809</v>
      </c>
      <c r="BP21" s="2624"/>
      <c r="BQ21" s="2446"/>
      <c r="BR21" s="2430"/>
      <c r="BS21" s="2430"/>
      <c r="BT21" s="2447"/>
      <c r="BU21" s="2448"/>
      <c r="BV21" s="2449"/>
      <c r="BW21" s="2450"/>
      <c r="BX21" s="2448"/>
      <c r="BY21" s="2450"/>
    </row>
    <row r="22" spans="1:98" s="2250" customFormat="1" ht="13.2" thickTop="1" thickBot="1">
      <c r="A22" s="2253"/>
      <c r="B22" s="2488" t="s">
        <v>1139</v>
      </c>
      <c r="C22" s="2489">
        <v>45277</v>
      </c>
      <c r="D22" s="2576">
        <v>8</v>
      </c>
      <c r="E22" s="2484"/>
      <c r="F22" s="2484"/>
      <c r="G22" s="2501" t="str">
        <f t="shared" si="10"/>
        <v>1</v>
      </c>
      <c r="H22" s="2485">
        <v>31</v>
      </c>
      <c r="I22" s="2486">
        <v>0.7</v>
      </c>
      <c r="J22" s="2487" t="str">
        <f t="shared" si="11"/>
        <v>1</v>
      </c>
      <c r="K22" s="2253"/>
      <c r="L22" s="2488" t="s">
        <v>1137</v>
      </c>
      <c r="M22" s="2489">
        <v>45307</v>
      </c>
      <c r="N22" s="2490"/>
      <c r="O22" s="2484"/>
      <c r="P22" s="2484"/>
      <c r="Q22" s="2501" t="str">
        <f t="shared" si="16"/>
        <v/>
      </c>
      <c r="R22" s="2485">
        <v>61</v>
      </c>
      <c r="S22" s="2486">
        <v>1.19</v>
      </c>
      <c r="T22" s="2487" t="str">
        <f t="shared" si="17"/>
        <v>1</v>
      </c>
      <c r="U22" s="2253"/>
      <c r="V22" s="2479" t="s">
        <v>1136</v>
      </c>
      <c r="W22" s="2480">
        <v>45337</v>
      </c>
      <c r="X22" s="2542">
        <v>7.79</v>
      </c>
      <c r="Y22" s="2481">
        <v>128.43</v>
      </c>
      <c r="Z22" s="2482">
        <v>19.47</v>
      </c>
      <c r="AA22" s="2483">
        <v>309.16000000000003</v>
      </c>
      <c r="AB22" s="2483">
        <v>2.5</v>
      </c>
      <c r="AC22" s="2551" t="s">
        <v>189</v>
      </c>
      <c r="AD22" s="2485">
        <v>40</v>
      </c>
      <c r="AE22" s="2486">
        <v>0.87</v>
      </c>
      <c r="AF22" s="2478" t="s">
        <v>189</v>
      </c>
      <c r="AG22" s="2253"/>
      <c r="AH22" s="2643" t="s">
        <v>1136</v>
      </c>
      <c r="AI22" s="2644">
        <v>45365</v>
      </c>
      <c r="AJ22" s="2645">
        <v>7.77</v>
      </c>
      <c r="AK22" s="2689">
        <v>106.11</v>
      </c>
      <c r="AL22" s="2646">
        <v>18</v>
      </c>
      <c r="AM22" s="2690">
        <v>259.02</v>
      </c>
      <c r="AN22" s="2647">
        <v>2.3199999999999998</v>
      </c>
      <c r="AO22" s="2648" t="s">
        <v>189</v>
      </c>
      <c r="AP22" s="2692">
        <v>29</v>
      </c>
      <c r="AQ22" s="2646">
        <v>11.75</v>
      </c>
      <c r="AR22" s="2649">
        <v>0.68</v>
      </c>
      <c r="AS22" s="2646">
        <v>0.85</v>
      </c>
      <c r="AT22" s="2642" t="s">
        <v>189</v>
      </c>
      <c r="AU22" s="2253"/>
      <c r="AV22" s="2727" t="s">
        <v>1131</v>
      </c>
      <c r="AW22" s="2728">
        <v>45399</v>
      </c>
      <c r="AX22" s="2716">
        <v>7.33</v>
      </c>
      <c r="AY22" s="2723">
        <v>142.85</v>
      </c>
      <c r="AZ22" s="2660">
        <v>18.260000000000002</v>
      </c>
      <c r="BA22" s="2725">
        <v>272.44</v>
      </c>
      <c r="BB22" s="2660">
        <v>1.098901098901099E-2</v>
      </c>
      <c r="BC22" s="2718" t="s">
        <v>189</v>
      </c>
      <c r="BD22" s="2716">
        <v>20</v>
      </c>
      <c r="BE22" s="3079">
        <v>0.47</v>
      </c>
      <c r="BF22" s="2718" t="s">
        <v>189</v>
      </c>
      <c r="BG22" s="2253"/>
      <c r="BH22" s="2610">
        <v>2023</v>
      </c>
      <c r="BI22" s="2460">
        <f>SUM(BI19:BI21)</f>
        <v>80</v>
      </c>
      <c r="BJ22" s="2500">
        <f>SUM(BJ19:BJ21)</f>
        <v>691.03</v>
      </c>
      <c r="BK22" s="2500">
        <f>BJ22/BI22</f>
        <v>8.6378749999999993</v>
      </c>
      <c r="BL22" s="2461">
        <f>BN22/BJ22</f>
        <v>2.1655735869491535</v>
      </c>
      <c r="BM22" s="2461">
        <f>BN22/BI22</f>
        <v>18.705953947368421</v>
      </c>
      <c r="BN22" s="2461">
        <f>SUM(BN19:BN21)</f>
        <v>1496.4763157894736</v>
      </c>
      <c r="BO22" s="2611">
        <f>SUM(BO19:BO21)</f>
        <v>4156.0434952034775</v>
      </c>
      <c r="BP22" s="2622"/>
      <c r="BQ22" s="2446"/>
      <c r="BR22" s="2430"/>
      <c r="BS22" s="2430"/>
      <c r="BT22" s="2430"/>
      <c r="BU22" s="2430"/>
      <c r="BV22" s="2430"/>
      <c r="BW22" s="2430"/>
      <c r="BX22" s="2430"/>
      <c r="BY22" s="2430"/>
    </row>
    <row r="23" spans="1:98" s="2250" customFormat="1" ht="13.2" thickTop="1" thickBot="1">
      <c r="A23" s="2253"/>
      <c r="B23" s="2488" t="s">
        <v>1138</v>
      </c>
      <c r="C23" s="2489">
        <v>45278</v>
      </c>
      <c r="D23" s="2576">
        <v>8.08</v>
      </c>
      <c r="E23" s="2484"/>
      <c r="F23" s="2484"/>
      <c r="G23" s="2501" t="str">
        <f t="shared" si="10"/>
        <v>1</v>
      </c>
      <c r="H23" s="2485">
        <v>28</v>
      </c>
      <c r="I23" s="2486">
        <v>0.67</v>
      </c>
      <c r="J23" s="2487" t="str">
        <f t="shared" si="11"/>
        <v>1</v>
      </c>
      <c r="K23" s="2253"/>
      <c r="L23" s="2488" t="s">
        <v>1131</v>
      </c>
      <c r="M23" s="2489">
        <v>45308</v>
      </c>
      <c r="N23" s="2490"/>
      <c r="O23" s="2484"/>
      <c r="P23" s="2484"/>
      <c r="Q23" s="2501" t="str">
        <f t="shared" si="16"/>
        <v/>
      </c>
      <c r="R23" s="2485">
        <v>51</v>
      </c>
      <c r="S23" s="2486">
        <v>1.04</v>
      </c>
      <c r="T23" s="2487" t="str">
        <f t="shared" si="17"/>
        <v>1</v>
      </c>
      <c r="U23" s="2253"/>
      <c r="V23" s="2479" t="s">
        <v>1130</v>
      </c>
      <c r="W23" s="2480">
        <v>45338</v>
      </c>
      <c r="X23" s="2542">
        <v>8.81</v>
      </c>
      <c r="Y23" s="2481">
        <v>137.24</v>
      </c>
      <c r="Z23" s="2482">
        <v>20.57</v>
      </c>
      <c r="AA23" s="2483">
        <v>329.73</v>
      </c>
      <c r="AB23" s="2483">
        <v>2.33</v>
      </c>
      <c r="AC23" s="2551" t="s">
        <v>189</v>
      </c>
      <c r="AD23" s="2485">
        <v>33</v>
      </c>
      <c r="AE23" s="2486">
        <v>0.75</v>
      </c>
      <c r="AF23" s="2478" t="s">
        <v>189</v>
      </c>
      <c r="AG23" s="2253"/>
      <c r="AH23" s="2643" t="s">
        <v>1130</v>
      </c>
      <c r="AI23" s="2644">
        <v>45366</v>
      </c>
      <c r="AJ23" s="2645">
        <v>7.48</v>
      </c>
      <c r="AK23" s="2689">
        <v>113.59</v>
      </c>
      <c r="AL23" s="2646">
        <v>16.89</v>
      </c>
      <c r="AM23" s="2690">
        <v>275.91000000000003</v>
      </c>
      <c r="AN23" s="2647">
        <v>2.2599999999999998</v>
      </c>
      <c r="AO23" s="2648" t="s">
        <v>189</v>
      </c>
      <c r="AP23" s="2692">
        <v>24</v>
      </c>
      <c r="AQ23" s="2646">
        <v>9.7200000000000006</v>
      </c>
      <c r="AR23" s="2649">
        <v>0.59</v>
      </c>
      <c r="AS23" s="2646">
        <v>0.74</v>
      </c>
      <c r="AT23" s="2642" t="s">
        <v>189</v>
      </c>
      <c r="AU23" s="2253"/>
      <c r="AV23" s="2727" t="s">
        <v>1136</v>
      </c>
      <c r="AW23" s="2728">
        <v>45400</v>
      </c>
      <c r="AX23" s="2716">
        <v>7.7</v>
      </c>
      <c r="AY23" s="2723">
        <v>150.55000000000001</v>
      </c>
      <c r="AZ23" s="2660">
        <v>18.600000000000001</v>
      </c>
      <c r="BA23" s="2725">
        <v>291.04000000000002</v>
      </c>
      <c r="BB23" s="2660">
        <v>1.93</v>
      </c>
      <c r="BC23" s="2718" t="s">
        <v>189</v>
      </c>
      <c r="BD23" s="2716">
        <v>17</v>
      </c>
      <c r="BE23" s="3079">
        <v>0.43</v>
      </c>
      <c r="BF23" s="2718" t="s">
        <v>189</v>
      </c>
      <c r="BG23" s="2253"/>
      <c r="BH23" s="2667">
        <v>31</v>
      </c>
      <c r="BI23" s="2742">
        <v>31</v>
      </c>
      <c r="BJ23" s="2686">
        <v>246.84</v>
      </c>
      <c r="BK23" s="2686">
        <f t="shared" ref="BK23" si="19">BJ23/BH23</f>
        <v>7.9625806451612906</v>
      </c>
      <c r="BL23" s="2646">
        <f>BN23/BJ23</f>
        <v>2.73561821422784</v>
      </c>
      <c r="BM23" s="2646">
        <f>BN23/BH23</f>
        <v>21.782580645161289</v>
      </c>
      <c r="BN23" s="2646">
        <v>675.26</v>
      </c>
      <c r="BO23" s="2669">
        <f>BO8+BN23</f>
        <v>1819.8630821917809</v>
      </c>
      <c r="BP23" s="2622"/>
    </row>
    <row r="24" spans="1:98" s="2250" customFormat="1" ht="13.2" thickTop="1" thickBot="1">
      <c r="A24" s="2253"/>
      <c r="B24" s="2488" t="s">
        <v>1137</v>
      </c>
      <c r="C24" s="2489">
        <v>45279</v>
      </c>
      <c r="D24" s="2576">
        <v>7.48</v>
      </c>
      <c r="E24" s="2484"/>
      <c r="F24" s="2484"/>
      <c r="G24" s="2501" t="str">
        <f t="shared" si="10"/>
        <v>1</v>
      </c>
      <c r="H24" s="2485">
        <v>38</v>
      </c>
      <c r="I24" s="2486">
        <v>0.85</v>
      </c>
      <c r="J24" s="2487" t="str">
        <f t="shared" si="11"/>
        <v>1</v>
      </c>
      <c r="K24" s="2253"/>
      <c r="L24" s="2488" t="s">
        <v>1136</v>
      </c>
      <c r="M24" s="2489">
        <v>45309</v>
      </c>
      <c r="N24" s="2490"/>
      <c r="O24" s="2484"/>
      <c r="P24" s="2484"/>
      <c r="Q24" s="2501" t="str">
        <f t="shared" si="16"/>
        <v/>
      </c>
      <c r="R24" s="2485">
        <v>49</v>
      </c>
      <c r="S24" s="2486">
        <v>0.96</v>
      </c>
      <c r="T24" s="2487" t="str">
        <f t="shared" si="17"/>
        <v>1</v>
      </c>
      <c r="U24" s="2253"/>
      <c r="V24" s="2479" t="s">
        <v>1128</v>
      </c>
      <c r="W24" s="2480">
        <v>45339</v>
      </c>
      <c r="X24" s="2542">
        <v>10.87</v>
      </c>
      <c r="Y24" s="2481">
        <v>148.11000000000001</v>
      </c>
      <c r="Z24" s="2482">
        <v>26.54</v>
      </c>
      <c r="AA24" s="2483">
        <v>356.27</v>
      </c>
      <c r="AB24" s="2483">
        <v>2.44</v>
      </c>
      <c r="AC24" s="2551" t="s">
        <v>189</v>
      </c>
      <c r="AD24" s="2485">
        <v>36</v>
      </c>
      <c r="AE24" s="2486">
        <v>0.8</v>
      </c>
      <c r="AF24" s="2478" t="s">
        <v>189</v>
      </c>
      <c r="AG24" s="2253"/>
      <c r="AH24" s="2643" t="s">
        <v>1128</v>
      </c>
      <c r="AI24" s="2644">
        <v>45367</v>
      </c>
      <c r="AJ24" s="2645">
        <v>7.87</v>
      </c>
      <c r="AK24" s="2689">
        <v>121.46</v>
      </c>
      <c r="AL24" s="2646">
        <v>17.3</v>
      </c>
      <c r="AM24" s="2690">
        <v>293.20999999999998</v>
      </c>
      <c r="AN24" s="2647">
        <v>2.2000000000000002</v>
      </c>
      <c r="AO24" s="2648" t="s">
        <v>189</v>
      </c>
      <c r="AP24" s="2692">
        <v>33</v>
      </c>
      <c r="AQ24" s="2646">
        <v>13.37</v>
      </c>
      <c r="AR24" s="2649">
        <v>0.73</v>
      </c>
      <c r="AS24" s="2646">
        <v>0.91</v>
      </c>
      <c r="AT24" s="2642" t="s">
        <v>189</v>
      </c>
      <c r="AU24" s="2253"/>
      <c r="AV24" s="2727" t="s">
        <v>1130</v>
      </c>
      <c r="AW24" s="2728">
        <v>45401</v>
      </c>
      <c r="AX24" s="2716">
        <v>7.8</v>
      </c>
      <c r="AY24" s="2723">
        <v>158.35</v>
      </c>
      <c r="AZ24" s="2660">
        <v>15.96</v>
      </c>
      <c r="BA24" s="2725">
        <v>307</v>
      </c>
      <c r="BB24" s="2660">
        <v>1.94</v>
      </c>
      <c r="BC24" s="2718" t="s">
        <v>189</v>
      </c>
      <c r="BD24" s="2716">
        <v>22</v>
      </c>
      <c r="BE24" s="3079">
        <v>0.51</v>
      </c>
      <c r="BF24" s="2718" t="s">
        <v>189</v>
      </c>
      <c r="BG24" s="2253"/>
      <c r="BH24" s="2743">
        <v>29</v>
      </c>
      <c r="BI24" s="2742">
        <f>BH24-COUNTBLANK(AC$8:AC$36)</f>
        <v>29</v>
      </c>
      <c r="BJ24" s="2686">
        <f>Y7</f>
        <v>251.77</v>
      </c>
      <c r="BK24" s="2686">
        <f>BJ24/BH24</f>
        <v>8.6817241379310346</v>
      </c>
      <c r="BL24" s="2646">
        <f>BL16/BJ24</f>
        <v>2.3934146244588317</v>
      </c>
      <c r="BM24" s="2646">
        <f>BL16/BI24</f>
        <v>20.778965517241382</v>
      </c>
      <c r="BN24" s="2646">
        <f>BL16/BI24*BH24</f>
        <v>602.59</v>
      </c>
      <c r="BO24" s="2669">
        <f>BO9+BN24</f>
        <v>1582.4346575342465</v>
      </c>
      <c r="BP24" s="2623"/>
    </row>
    <row r="25" spans="1:98" s="2250" customFormat="1" ht="13.2" thickTop="1" thickBot="1">
      <c r="A25" s="2253"/>
      <c r="B25" s="2488" t="s">
        <v>1131</v>
      </c>
      <c r="C25" s="2489">
        <v>45280</v>
      </c>
      <c r="D25" s="2576">
        <v>10.119999999999999</v>
      </c>
      <c r="E25" s="2484"/>
      <c r="F25" s="2484"/>
      <c r="G25" s="2501" t="str">
        <f t="shared" si="10"/>
        <v>1</v>
      </c>
      <c r="H25" s="2485">
        <v>40</v>
      </c>
      <c r="I25" s="2486">
        <v>0.9</v>
      </c>
      <c r="J25" s="2487" t="str">
        <f t="shared" si="11"/>
        <v>1</v>
      </c>
      <c r="K25" s="2253"/>
      <c r="L25" s="2488" t="s">
        <v>1130</v>
      </c>
      <c r="M25" s="2489">
        <v>45310</v>
      </c>
      <c r="N25" s="2490"/>
      <c r="O25" s="2484"/>
      <c r="P25" s="2484"/>
      <c r="Q25" s="2501" t="str">
        <f t="shared" si="16"/>
        <v/>
      </c>
      <c r="R25" s="2485">
        <v>53</v>
      </c>
      <c r="S25" s="2486">
        <v>0.99</v>
      </c>
      <c r="T25" s="2487" t="str">
        <f t="shared" si="17"/>
        <v>1</v>
      </c>
      <c r="U25" s="2253"/>
      <c r="V25" s="2479" t="s">
        <v>1139</v>
      </c>
      <c r="W25" s="2480">
        <v>45340</v>
      </c>
      <c r="X25" s="2542">
        <v>8.36</v>
      </c>
      <c r="Y25" s="2481">
        <v>156.47</v>
      </c>
      <c r="Z25" s="2482">
        <v>19.61</v>
      </c>
      <c r="AA25" s="2483">
        <v>375.88</v>
      </c>
      <c r="AB25" s="2483">
        <v>2.35</v>
      </c>
      <c r="AC25" s="2551" t="s">
        <v>189</v>
      </c>
      <c r="AD25" s="2485">
        <v>38</v>
      </c>
      <c r="AE25" s="2486">
        <v>0.85</v>
      </c>
      <c r="AF25" s="2478" t="s">
        <v>189</v>
      </c>
      <c r="AG25" s="2253"/>
      <c r="AH25" s="2643" t="s">
        <v>1139</v>
      </c>
      <c r="AI25" s="2644">
        <v>45368</v>
      </c>
      <c r="AJ25" s="2645">
        <v>7.52</v>
      </c>
      <c r="AK25" s="2689">
        <v>128.97999999999999</v>
      </c>
      <c r="AL25" s="2646">
        <v>17.68</v>
      </c>
      <c r="AM25" s="2690">
        <v>310.89</v>
      </c>
      <c r="AN25" s="2647">
        <v>2.35</v>
      </c>
      <c r="AO25" s="2648" t="s">
        <v>189</v>
      </c>
      <c r="AP25" s="2692">
        <v>29</v>
      </c>
      <c r="AQ25" s="2646">
        <v>11.75</v>
      </c>
      <c r="AR25" s="2649">
        <v>0.66</v>
      </c>
      <c r="AS25" s="2646">
        <v>0.83</v>
      </c>
      <c r="AT25" s="2642" t="s">
        <v>189</v>
      </c>
      <c r="AU25" s="2253"/>
      <c r="AV25" s="2727" t="s">
        <v>1128</v>
      </c>
      <c r="AW25" s="2728">
        <v>45402</v>
      </c>
      <c r="AX25" s="2716">
        <v>7.77</v>
      </c>
      <c r="AY25" s="2723">
        <v>166.12</v>
      </c>
      <c r="AZ25" s="2660">
        <v>16</v>
      </c>
      <c r="BA25" s="2725">
        <v>323</v>
      </c>
      <c r="BB25" s="2660">
        <v>1.94</v>
      </c>
      <c r="BC25" s="2718" t="s">
        <v>189</v>
      </c>
      <c r="BD25" s="2716">
        <v>26</v>
      </c>
      <c r="BE25" s="3079">
        <v>0.6</v>
      </c>
      <c r="BF25" s="2718" t="s">
        <v>189</v>
      </c>
      <c r="BG25" s="2253"/>
      <c r="BH25" s="2744">
        <v>31</v>
      </c>
      <c r="BI25" s="2742">
        <f>BH25-COUNTBLANK(AO9:AO39)</f>
        <v>31</v>
      </c>
      <c r="BJ25" s="2686">
        <f>IF(AJ8&gt;0,AJ8,"")</f>
        <v>243.84</v>
      </c>
      <c r="BK25" s="2686">
        <f>AJ8/BI25</f>
        <v>7.8658064516129036</v>
      </c>
      <c r="BL25" s="2646">
        <f>AN8</f>
        <v>2.3339484908136483</v>
      </c>
      <c r="BM25" s="2646">
        <f>BN25/BI25</f>
        <v>20.186129032258062</v>
      </c>
      <c r="BN25" s="2646">
        <v>625.77</v>
      </c>
      <c r="BO25" s="2646">
        <f>IF($BL25&gt;0,BN25/BH25,"")</f>
        <v>20.186129032258062</v>
      </c>
      <c r="BP25" s="2623"/>
    </row>
    <row r="26" spans="1:98" s="2250" customFormat="1" ht="13.2" thickTop="1" thickBot="1">
      <c r="A26" s="2253"/>
      <c r="B26" s="2488" t="s">
        <v>1136</v>
      </c>
      <c r="C26" s="2489">
        <v>45281</v>
      </c>
      <c r="D26" s="2576">
        <v>11.6</v>
      </c>
      <c r="E26" s="2484"/>
      <c r="F26" s="2484"/>
      <c r="G26" s="2501" t="str">
        <f t="shared" si="10"/>
        <v>1</v>
      </c>
      <c r="H26" s="2485">
        <v>41</v>
      </c>
      <c r="I26" s="2486">
        <v>0.93</v>
      </c>
      <c r="J26" s="2487" t="str">
        <f t="shared" si="11"/>
        <v>1</v>
      </c>
      <c r="K26" s="2253"/>
      <c r="L26" s="2488" t="s">
        <v>1128</v>
      </c>
      <c r="M26" s="2489">
        <v>45311</v>
      </c>
      <c r="N26" s="2490"/>
      <c r="O26" s="2484"/>
      <c r="P26" s="2484"/>
      <c r="Q26" s="2501" t="str">
        <f t="shared" si="16"/>
        <v/>
      </c>
      <c r="R26" s="2485">
        <v>48</v>
      </c>
      <c r="S26" s="2486">
        <v>0.91</v>
      </c>
      <c r="T26" s="2487" t="str">
        <f t="shared" si="17"/>
        <v>1</v>
      </c>
      <c r="U26" s="2253"/>
      <c r="V26" s="2479" t="s">
        <v>1138</v>
      </c>
      <c r="W26" s="2480">
        <v>45341</v>
      </c>
      <c r="X26" s="2542">
        <v>8.4</v>
      </c>
      <c r="Y26" s="2481">
        <v>164.87</v>
      </c>
      <c r="Z26" s="2482">
        <v>20.56</v>
      </c>
      <c r="AA26" s="2483">
        <v>396.44</v>
      </c>
      <c r="AB26" s="2483">
        <v>2.4500000000000002</v>
      </c>
      <c r="AC26" s="2551" t="s">
        <v>189</v>
      </c>
      <c r="AD26" s="2485">
        <v>38</v>
      </c>
      <c r="AE26" s="2486">
        <v>0.86</v>
      </c>
      <c r="AF26" s="2478" t="s">
        <v>189</v>
      </c>
      <c r="AG26" s="2253"/>
      <c r="AH26" s="2643" t="s">
        <v>1138</v>
      </c>
      <c r="AI26" s="2644">
        <v>45369</v>
      </c>
      <c r="AJ26" s="2645">
        <v>13.89</v>
      </c>
      <c r="AK26" s="2689">
        <v>142.87</v>
      </c>
      <c r="AL26" s="2646">
        <v>33.35</v>
      </c>
      <c r="AM26" s="2690">
        <v>344.24</v>
      </c>
      <c r="AN26" s="2647">
        <v>2.4</v>
      </c>
      <c r="AO26" s="2648" t="s">
        <v>189</v>
      </c>
      <c r="AP26" s="2692">
        <v>34</v>
      </c>
      <c r="AQ26" s="2646">
        <v>13.77</v>
      </c>
      <c r="AR26" s="2649">
        <v>0.76</v>
      </c>
      <c r="AS26" s="2646">
        <v>0.95</v>
      </c>
      <c r="AT26" s="2642" t="s">
        <v>189</v>
      </c>
      <c r="AU26" s="2253"/>
      <c r="AV26" s="2727" t="s">
        <v>1139</v>
      </c>
      <c r="AW26" s="2728">
        <v>45403</v>
      </c>
      <c r="AX26" s="2716">
        <v>7.26</v>
      </c>
      <c r="AY26" s="2723">
        <v>173.38</v>
      </c>
      <c r="AZ26" s="2660">
        <v>14.47</v>
      </c>
      <c r="BA26" s="2725">
        <v>337.47</v>
      </c>
      <c r="BB26" s="2660">
        <v>1.95</v>
      </c>
      <c r="BC26" s="2718" t="s">
        <v>189</v>
      </c>
      <c r="BD26" s="2716">
        <v>22</v>
      </c>
      <c r="BE26" s="3079">
        <v>0.54</v>
      </c>
      <c r="BF26" s="2718" t="s">
        <v>189</v>
      </c>
      <c r="BG26" s="2253"/>
      <c r="BH26" s="2741">
        <v>30</v>
      </c>
      <c r="BI26" s="2742">
        <v>30</v>
      </c>
      <c r="BJ26" s="2686">
        <f>AX5</f>
        <v>242.76000000000005</v>
      </c>
      <c r="BK26" s="2686">
        <f>BJ26/30</f>
        <v>8.0920000000000023</v>
      </c>
      <c r="BL26" s="2646">
        <f>BB5</f>
        <v>2.0142527599275004</v>
      </c>
      <c r="BM26" s="2646">
        <f>BN26/BI26</f>
        <v>16.369333333333334</v>
      </c>
      <c r="BN26" s="2646">
        <f>BA35</f>
        <v>491.08</v>
      </c>
      <c r="BO26" s="2669">
        <f>IF($BL26&gt;0,BN26/BH26,"")</f>
        <v>16.369333333333334</v>
      </c>
      <c r="BP26" s="2623"/>
      <c r="CC26" s="2419"/>
      <c r="CD26" s="2419"/>
      <c r="CE26" s="2419"/>
      <c r="CF26" s="2419"/>
      <c r="CG26" s="2419"/>
    </row>
    <row r="27" spans="1:98" s="2250" customFormat="1" ht="13.2" thickTop="1" thickBot="1">
      <c r="A27" s="2253"/>
      <c r="B27" s="2488" t="s">
        <v>1130</v>
      </c>
      <c r="C27" s="2489">
        <v>45282</v>
      </c>
      <c r="D27" s="2576">
        <v>7.48</v>
      </c>
      <c r="E27" s="2577"/>
      <c r="F27" s="2577"/>
      <c r="G27" s="2503" t="str">
        <f t="shared" si="10"/>
        <v>1</v>
      </c>
      <c r="H27" s="2485">
        <v>45</v>
      </c>
      <c r="I27" s="2486">
        <v>1.02</v>
      </c>
      <c r="J27" s="2487" t="str">
        <f t="shared" si="11"/>
        <v>1</v>
      </c>
      <c r="K27" s="2253"/>
      <c r="L27" s="2488" t="s">
        <v>1139</v>
      </c>
      <c r="M27" s="2489">
        <v>45312</v>
      </c>
      <c r="N27" s="2490"/>
      <c r="O27" s="2484"/>
      <c r="P27" s="2484"/>
      <c r="Q27" s="2501" t="str">
        <f t="shared" si="16"/>
        <v/>
      </c>
      <c r="R27" s="2485">
        <v>47</v>
      </c>
      <c r="S27" s="2486">
        <v>0.93</v>
      </c>
      <c r="T27" s="2487" t="str">
        <f t="shared" si="17"/>
        <v>1</v>
      </c>
      <c r="U27" s="2253"/>
      <c r="V27" s="2479" t="s">
        <v>1137</v>
      </c>
      <c r="W27" s="2480">
        <v>45342</v>
      </c>
      <c r="X27" s="2542">
        <v>8.36</v>
      </c>
      <c r="Y27" s="2481">
        <v>173.23</v>
      </c>
      <c r="Z27" s="2482">
        <v>19.95</v>
      </c>
      <c r="AA27" s="2483">
        <v>416.39</v>
      </c>
      <c r="AB27" s="2483">
        <v>2.39</v>
      </c>
      <c r="AC27" s="2551" t="s">
        <v>189</v>
      </c>
      <c r="AD27" s="2485">
        <v>32</v>
      </c>
      <c r="AE27" s="2486">
        <v>0.73</v>
      </c>
      <c r="AF27" s="2478" t="s">
        <v>189</v>
      </c>
      <c r="AG27" s="2253"/>
      <c r="AH27" s="2643" t="s">
        <v>1137</v>
      </c>
      <c r="AI27" s="2644">
        <v>45370</v>
      </c>
      <c r="AJ27" s="2645">
        <v>7.49</v>
      </c>
      <c r="AK27" s="2689">
        <v>150.36000000000001</v>
      </c>
      <c r="AL27" s="2646">
        <v>17.68</v>
      </c>
      <c r="AM27" s="2690">
        <v>361.92</v>
      </c>
      <c r="AN27" s="2647">
        <v>2.36</v>
      </c>
      <c r="AO27" s="2648" t="s">
        <v>189</v>
      </c>
      <c r="AP27" s="2692">
        <v>37</v>
      </c>
      <c r="AQ27" s="2646">
        <v>14.99</v>
      </c>
      <c r="AR27" s="2649">
        <v>0.85</v>
      </c>
      <c r="AS27" s="2646">
        <v>1.06</v>
      </c>
      <c r="AT27" s="2642" t="s">
        <v>189</v>
      </c>
      <c r="AU27" s="2253"/>
      <c r="AV27" s="2727" t="s">
        <v>1138</v>
      </c>
      <c r="AW27" s="2728">
        <v>45404</v>
      </c>
      <c r="AX27" s="2716">
        <v>7.09</v>
      </c>
      <c r="AY27" s="2723">
        <v>180.47</v>
      </c>
      <c r="AZ27" s="2660">
        <v>17.57</v>
      </c>
      <c r="BA27" s="2725">
        <v>355.04</v>
      </c>
      <c r="BB27" s="2660">
        <v>1.97</v>
      </c>
      <c r="BC27" s="2718" t="s">
        <v>189</v>
      </c>
      <c r="BD27" s="2716">
        <v>12</v>
      </c>
      <c r="BE27" s="3079">
        <v>0.33</v>
      </c>
      <c r="BF27" s="2718" t="s">
        <v>189</v>
      </c>
      <c r="BG27" s="2253"/>
      <c r="BH27" s="2674">
        <v>31</v>
      </c>
      <c r="BI27" s="2742">
        <v>31</v>
      </c>
      <c r="BJ27" s="2686">
        <f>AX37</f>
        <v>128.38</v>
      </c>
      <c r="BK27" s="2687"/>
      <c r="BL27" s="2646"/>
      <c r="BM27" s="2668"/>
      <c r="BN27" s="2646"/>
      <c r="BO27" s="2673"/>
      <c r="BP27" s="2623"/>
      <c r="BW27" s="2421"/>
      <c r="BX27" s="2421"/>
      <c r="BY27" s="2421"/>
      <c r="BZ27" s="2421"/>
      <c r="CA27" s="2421"/>
      <c r="CB27" s="2421"/>
      <c r="CC27" s="2421"/>
      <c r="CD27" s="2421"/>
      <c r="CE27" s="2421"/>
      <c r="CF27" s="2421"/>
      <c r="CG27" s="2421"/>
      <c r="CH27" s="2419"/>
      <c r="CI27" s="2419"/>
      <c r="CJ27" s="2419"/>
      <c r="CK27" s="2419"/>
      <c r="CL27" s="2419"/>
    </row>
    <row r="28" spans="1:98" s="2250" customFormat="1" ht="13.2" thickTop="1" thickBot="1">
      <c r="A28" s="2253"/>
      <c r="B28" s="2488" t="s">
        <v>1128</v>
      </c>
      <c r="C28" s="2489">
        <v>45283</v>
      </c>
      <c r="D28" s="2576">
        <v>8.01</v>
      </c>
      <c r="E28" s="2577"/>
      <c r="F28" s="2577"/>
      <c r="G28" s="2503" t="str">
        <f t="shared" si="10"/>
        <v>1</v>
      </c>
      <c r="H28" s="2485">
        <v>49</v>
      </c>
      <c r="I28" s="2486">
        <v>1.0900000000000001</v>
      </c>
      <c r="J28" s="2487" t="str">
        <f t="shared" si="11"/>
        <v>1</v>
      </c>
      <c r="K28" s="2253"/>
      <c r="L28" s="2488" t="s">
        <v>1138</v>
      </c>
      <c r="M28" s="2489">
        <v>45313</v>
      </c>
      <c r="N28" s="2490"/>
      <c r="O28" s="2484"/>
      <c r="P28" s="2484"/>
      <c r="Q28" s="2501" t="str">
        <f t="shared" si="16"/>
        <v/>
      </c>
      <c r="R28" s="2485">
        <v>39</v>
      </c>
      <c r="S28" s="2486">
        <v>0.77</v>
      </c>
      <c r="T28" s="2487" t="str">
        <f t="shared" si="17"/>
        <v>1</v>
      </c>
      <c r="U28" s="2253"/>
      <c r="V28" s="2479" t="s">
        <v>1131</v>
      </c>
      <c r="W28" s="2480">
        <v>45343</v>
      </c>
      <c r="X28" s="2542">
        <v>10.18</v>
      </c>
      <c r="Y28" s="2481">
        <v>183.41</v>
      </c>
      <c r="Z28" s="2482">
        <v>24.35</v>
      </c>
      <c r="AA28" s="2483">
        <v>440.74</v>
      </c>
      <c r="AB28" s="2483">
        <v>2.39</v>
      </c>
      <c r="AC28" s="2551" t="s">
        <v>189</v>
      </c>
      <c r="AD28" s="2485">
        <v>29</v>
      </c>
      <c r="AE28" s="2486">
        <v>0.67</v>
      </c>
      <c r="AF28" s="2478" t="s">
        <v>189</v>
      </c>
      <c r="AG28" s="2253"/>
      <c r="AH28" s="2643" t="s">
        <v>1131</v>
      </c>
      <c r="AI28" s="2644">
        <v>45371</v>
      </c>
      <c r="AJ28" s="2645">
        <v>7.27</v>
      </c>
      <c r="AK28" s="2689">
        <v>157.63</v>
      </c>
      <c r="AL28" s="2646">
        <v>19.579999999999998</v>
      </c>
      <c r="AM28" s="2690">
        <v>381.5</v>
      </c>
      <c r="AN28" s="2647">
        <v>2.69</v>
      </c>
      <c r="AO28" s="2648" t="s">
        <v>189</v>
      </c>
      <c r="AP28" s="2692">
        <v>27</v>
      </c>
      <c r="AQ28" s="2646">
        <v>10.94</v>
      </c>
      <c r="AR28" s="2649">
        <v>0.62</v>
      </c>
      <c r="AS28" s="2646">
        <v>0.78</v>
      </c>
      <c r="AT28" s="2642" t="s">
        <v>189</v>
      </c>
      <c r="AU28" s="2253"/>
      <c r="AV28" s="2727" t="s">
        <v>1137</v>
      </c>
      <c r="AW28" s="2728">
        <v>45405</v>
      </c>
      <c r="AX28" s="2716">
        <v>6.96</v>
      </c>
      <c r="AY28" s="2723">
        <v>187.43</v>
      </c>
      <c r="AZ28" s="2660">
        <v>16.75</v>
      </c>
      <c r="BA28" s="2725">
        <v>371.79</v>
      </c>
      <c r="BB28" s="2660">
        <v>1.98</v>
      </c>
      <c r="BC28" s="2718" t="s">
        <v>189</v>
      </c>
      <c r="BD28" s="2716">
        <v>26</v>
      </c>
      <c r="BE28" s="3079">
        <v>0.61</v>
      </c>
      <c r="BF28" s="2718" t="s">
        <v>189</v>
      </c>
      <c r="BG28" s="2253"/>
      <c r="BH28" s="2675">
        <v>30</v>
      </c>
      <c r="BI28" s="2663"/>
      <c r="BJ28" s="2688"/>
      <c r="BK28" s="2688"/>
      <c r="BL28" s="2684"/>
      <c r="BM28" s="2664"/>
      <c r="BN28" s="2684"/>
      <c r="BO28" s="2676"/>
      <c r="BP28" s="2624"/>
      <c r="BW28" s="2421"/>
      <c r="BX28" s="2421"/>
      <c r="BY28" s="2421"/>
      <c r="BZ28" s="2421"/>
      <c r="CA28" s="2421"/>
      <c r="CB28" s="2421"/>
      <c r="CC28" s="2421"/>
      <c r="CD28" s="2421"/>
      <c r="CE28" s="2421"/>
      <c r="CF28" s="2421"/>
      <c r="CG28" s="2421"/>
      <c r="CH28" s="2421"/>
      <c r="CI28" s="2421"/>
      <c r="CJ28" s="2421"/>
      <c r="CK28" s="2421"/>
      <c r="CL28" s="2421"/>
      <c r="CM28" s="2419"/>
      <c r="CN28" s="2419"/>
      <c r="CO28" s="2419"/>
      <c r="CP28" s="2419"/>
      <c r="CQ28" s="2419"/>
      <c r="CR28" s="2419"/>
      <c r="CS28" s="2419"/>
      <c r="CT28" s="2419"/>
    </row>
    <row r="29" spans="1:98" s="2250" customFormat="1" ht="13.2" thickTop="1" thickBot="1">
      <c r="A29" s="2253"/>
      <c r="B29" s="2488" t="s">
        <v>1139</v>
      </c>
      <c r="C29" s="2489">
        <v>45284</v>
      </c>
      <c r="D29" s="2576">
        <v>5.52</v>
      </c>
      <c r="E29" s="2577"/>
      <c r="F29" s="2577"/>
      <c r="G29" s="2503" t="str">
        <f t="shared" si="10"/>
        <v>1</v>
      </c>
      <c r="H29" s="2485">
        <v>48</v>
      </c>
      <c r="I29" s="2486">
        <v>1.08</v>
      </c>
      <c r="J29" s="2487" t="str">
        <f t="shared" si="11"/>
        <v>1</v>
      </c>
      <c r="K29" s="2253"/>
      <c r="L29" s="2488" t="s">
        <v>1137</v>
      </c>
      <c r="M29" s="2489">
        <v>45314</v>
      </c>
      <c r="N29" s="2490"/>
      <c r="O29" s="2484"/>
      <c r="P29" s="2484"/>
      <c r="Q29" s="2501" t="str">
        <f t="shared" si="16"/>
        <v/>
      </c>
      <c r="R29" s="2485">
        <v>36</v>
      </c>
      <c r="S29" s="2486">
        <v>0.7</v>
      </c>
      <c r="T29" s="2487" t="str">
        <f t="shared" si="17"/>
        <v>1</v>
      </c>
      <c r="U29" s="2253"/>
      <c r="V29" s="2479" t="s">
        <v>1136</v>
      </c>
      <c r="W29" s="2480">
        <v>45344</v>
      </c>
      <c r="X29" s="2542">
        <v>8.65</v>
      </c>
      <c r="Y29" s="2481">
        <v>192.06</v>
      </c>
      <c r="Z29" s="2482">
        <v>20.2</v>
      </c>
      <c r="AA29" s="2483">
        <v>460.94</v>
      </c>
      <c r="AB29" s="2483">
        <v>2.34</v>
      </c>
      <c r="AC29" s="2551" t="s">
        <v>189</v>
      </c>
      <c r="AD29" s="2485">
        <v>33</v>
      </c>
      <c r="AE29" s="2486">
        <v>0.74</v>
      </c>
      <c r="AF29" s="2478" t="s">
        <v>189</v>
      </c>
      <c r="AG29" s="2253"/>
      <c r="AH29" s="2643" t="s">
        <v>1136</v>
      </c>
      <c r="AI29" s="2644">
        <v>45372</v>
      </c>
      <c r="AJ29" s="2645">
        <v>6.6</v>
      </c>
      <c r="AK29" s="2689">
        <v>164.23</v>
      </c>
      <c r="AL29" s="2646">
        <v>16.579999999999998</v>
      </c>
      <c r="AM29" s="2690">
        <v>398.48</v>
      </c>
      <c r="AN29" s="2647">
        <v>2.5099999999999998</v>
      </c>
      <c r="AO29" s="2648" t="s">
        <v>189</v>
      </c>
      <c r="AP29" s="2692">
        <v>31</v>
      </c>
      <c r="AQ29" s="2646">
        <v>12.56</v>
      </c>
      <c r="AR29" s="2649">
        <v>0.7</v>
      </c>
      <c r="AS29" s="2646">
        <v>0.88</v>
      </c>
      <c r="AT29" s="2642" t="s">
        <v>189</v>
      </c>
      <c r="AU29" s="2253"/>
      <c r="AV29" s="2727" t="s">
        <v>1131</v>
      </c>
      <c r="AW29" s="2728">
        <v>45406</v>
      </c>
      <c r="AX29" s="2716">
        <v>6.49</v>
      </c>
      <c r="AY29" s="2723">
        <v>193.92</v>
      </c>
      <c r="AZ29" s="2660">
        <v>15.7</v>
      </c>
      <c r="BA29" s="2725">
        <v>387.49</v>
      </c>
      <c r="BB29" s="2660">
        <v>2</v>
      </c>
      <c r="BC29" s="2718" t="s">
        <v>189</v>
      </c>
      <c r="BD29" s="2716">
        <v>19</v>
      </c>
      <c r="BE29" s="3079">
        <v>0.48</v>
      </c>
      <c r="BF29" s="2718" t="s">
        <v>189</v>
      </c>
      <c r="BG29" s="2253"/>
      <c r="BH29" s="2613">
        <v>2024</v>
      </c>
      <c r="BI29" s="2614">
        <f>SUM(BI23:BI26)</f>
        <v>121</v>
      </c>
      <c r="BJ29" s="2615">
        <f>SUM(BJ23:BJ26)</f>
        <v>985.21</v>
      </c>
      <c r="BK29" s="2615">
        <f>BJ29/BI29</f>
        <v>8.1422314049586788</v>
      </c>
      <c r="BL29" s="2616">
        <f>BN29/BJ29</f>
        <v>2.4306493031942424</v>
      </c>
      <c r="BM29" s="2616">
        <f>BN29/BI29</f>
        <v>19.790909090909089</v>
      </c>
      <c r="BN29" s="2616">
        <f>SUM(BN23:BN26)</f>
        <v>2394.6999999999998</v>
      </c>
      <c r="BO29" s="2617">
        <f>SUM(BO23:BO26)</f>
        <v>3438.8532020916191</v>
      </c>
      <c r="BP29" s="2446"/>
      <c r="BW29" s="2421"/>
      <c r="BX29" s="2421"/>
      <c r="BY29" s="2421"/>
      <c r="BZ29" s="2421"/>
      <c r="CA29" s="2421"/>
      <c r="CB29" s="2421"/>
      <c r="CC29" s="2421"/>
      <c r="CD29" s="2421"/>
      <c r="CE29" s="2421"/>
      <c r="CF29" s="2421"/>
      <c r="CG29" s="2421"/>
      <c r="CH29" s="2421"/>
      <c r="CI29" s="2421"/>
      <c r="CJ29" s="2421"/>
      <c r="CK29" s="2421"/>
      <c r="CL29" s="2421"/>
      <c r="CM29" s="2421"/>
      <c r="CN29" s="2421"/>
      <c r="CO29" s="2421"/>
      <c r="CP29" s="2421"/>
      <c r="CQ29" s="2421"/>
      <c r="CR29" s="2421"/>
      <c r="CS29" s="2421"/>
    </row>
    <row r="30" spans="1:98" s="2250" customFormat="1" ht="13.2" thickTop="1" thickBot="1">
      <c r="A30" s="2253"/>
      <c r="B30" s="2488" t="s">
        <v>1138</v>
      </c>
      <c r="C30" s="2489">
        <v>45285</v>
      </c>
      <c r="D30" s="2576">
        <v>8.56</v>
      </c>
      <c r="E30" s="2577"/>
      <c r="F30" s="2577"/>
      <c r="G30" s="2503" t="str">
        <f t="shared" si="10"/>
        <v>1</v>
      </c>
      <c r="H30" s="2485">
        <v>40</v>
      </c>
      <c r="I30" s="2486">
        <v>0.9</v>
      </c>
      <c r="J30" s="2487" t="str">
        <f t="shared" si="11"/>
        <v>1</v>
      </c>
      <c r="K30" s="2253"/>
      <c r="L30" s="2488" t="s">
        <v>1131</v>
      </c>
      <c r="M30" s="2489">
        <v>45315</v>
      </c>
      <c r="N30" s="2490"/>
      <c r="O30" s="2484"/>
      <c r="P30" s="2484"/>
      <c r="Q30" s="2501" t="str">
        <f t="shared" si="16"/>
        <v/>
      </c>
      <c r="R30" s="2485">
        <v>34</v>
      </c>
      <c r="S30" s="2486">
        <v>0.7</v>
      </c>
      <c r="T30" s="2487" t="str">
        <f t="shared" si="17"/>
        <v>1</v>
      </c>
      <c r="U30" s="2253"/>
      <c r="V30" s="2479" t="s">
        <v>1130</v>
      </c>
      <c r="W30" s="2480">
        <v>45345</v>
      </c>
      <c r="X30" s="2542">
        <v>8.36</v>
      </c>
      <c r="Y30" s="2481">
        <v>200.42</v>
      </c>
      <c r="Z30" s="2482">
        <v>18.47</v>
      </c>
      <c r="AA30" s="2483">
        <v>479.41</v>
      </c>
      <c r="AB30" s="2483">
        <v>2.21</v>
      </c>
      <c r="AC30" s="2551" t="s">
        <v>189</v>
      </c>
      <c r="AD30" s="2485">
        <v>31</v>
      </c>
      <c r="AE30" s="2486">
        <v>0.71</v>
      </c>
      <c r="AF30" s="2478" t="s">
        <v>189</v>
      </c>
      <c r="AG30" s="2253"/>
      <c r="AH30" s="2643" t="s">
        <v>1130</v>
      </c>
      <c r="AI30" s="2644">
        <v>45373</v>
      </c>
      <c r="AJ30" s="2645">
        <v>9.27</v>
      </c>
      <c r="AK30" s="2689">
        <v>173.5</v>
      </c>
      <c r="AL30" s="2646">
        <v>20.91</v>
      </c>
      <c r="AM30" s="2690">
        <v>419.39</v>
      </c>
      <c r="AN30" s="2647">
        <v>2.25</v>
      </c>
      <c r="AO30" s="2648" t="s">
        <v>189</v>
      </c>
      <c r="AP30" s="2692">
        <v>25</v>
      </c>
      <c r="AQ30" s="2646">
        <v>10.130000000000001</v>
      </c>
      <c r="AR30" s="2649">
        <v>0.59</v>
      </c>
      <c r="AS30" s="2646">
        <v>0.74</v>
      </c>
      <c r="AT30" s="2642" t="s">
        <v>189</v>
      </c>
      <c r="AU30" s="2253"/>
      <c r="AV30" s="2727" t="s">
        <v>1136</v>
      </c>
      <c r="AW30" s="2728">
        <v>45407</v>
      </c>
      <c r="AX30" s="2716">
        <v>7.61</v>
      </c>
      <c r="AY30" s="2723">
        <v>201.53</v>
      </c>
      <c r="AZ30" s="2660">
        <v>18.07</v>
      </c>
      <c r="BA30" s="2725">
        <v>405.56</v>
      </c>
      <c r="BB30" s="2660">
        <v>2.0099999999999998</v>
      </c>
      <c r="BC30" s="2718" t="s">
        <v>189</v>
      </c>
      <c r="BD30" s="2716">
        <v>18</v>
      </c>
      <c r="BE30" s="3079">
        <v>0.46</v>
      </c>
      <c r="BF30" s="2718" t="s">
        <v>189</v>
      </c>
      <c r="BG30" s="2253"/>
      <c r="BH30" s="2421"/>
      <c r="BI30" s="2421"/>
      <c r="BJ30" s="2421"/>
      <c r="BK30" s="2421"/>
      <c r="BL30" s="2421"/>
      <c r="BM30" s="2421"/>
      <c r="BP30" s="2446"/>
      <c r="BW30" s="2421"/>
      <c r="BX30" s="2421"/>
      <c r="BY30" s="2421"/>
      <c r="BZ30" s="2421"/>
      <c r="CA30" s="2421"/>
      <c r="CB30" s="2421"/>
      <c r="CC30" s="2421"/>
      <c r="CD30" s="2421"/>
      <c r="CE30" s="2421"/>
      <c r="CF30" s="2421"/>
      <c r="CG30" s="2421"/>
      <c r="CH30" s="2421"/>
      <c r="CI30" s="2421"/>
      <c r="CJ30" s="2421"/>
      <c r="CK30" s="2421"/>
      <c r="CL30" s="2421"/>
      <c r="CM30" s="2421"/>
      <c r="CN30" s="2421"/>
      <c r="CO30" s="2421"/>
      <c r="CP30" s="2421"/>
      <c r="CQ30" s="2421"/>
      <c r="CR30" s="2421"/>
      <c r="CS30" s="2421"/>
    </row>
    <row r="31" spans="1:98" s="2250" customFormat="1" ht="13.2" thickTop="1" thickBot="1">
      <c r="A31" s="2253"/>
      <c r="B31" s="2488" t="s">
        <v>1137</v>
      </c>
      <c r="C31" s="2489">
        <v>45286</v>
      </c>
      <c r="D31" s="2576">
        <v>10.82</v>
      </c>
      <c r="E31" s="2577"/>
      <c r="F31" s="2577"/>
      <c r="G31" s="2503" t="str">
        <f t="shared" si="10"/>
        <v>1</v>
      </c>
      <c r="H31" s="2485">
        <v>45</v>
      </c>
      <c r="I31" s="2486">
        <v>0.98</v>
      </c>
      <c r="J31" s="2487" t="str">
        <f t="shared" si="11"/>
        <v>1</v>
      </c>
      <c r="K31" s="2253"/>
      <c r="L31" s="2488" t="s">
        <v>1136</v>
      </c>
      <c r="M31" s="2489">
        <v>45316</v>
      </c>
      <c r="N31" s="2490"/>
      <c r="O31" s="2484"/>
      <c r="P31" s="2484"/>
      <c r="Q31" s="2501" t="str">
        <f t="shared" si="16"/>
        <v/>
      </c>
      <c r="R31" s="2485">
        <v>39</v>
      </c>
      <c r="S31" s="2486">
        <v>0.73</v>
      </c>
      <c r="T31" s="2487" t="str">
        <f t="shared" si="17"/>
        <v>1</v>
      </c>
      <c r="U31" s="2253"/>
      <c r="V31" s="2479" t="s">
        <v>1128</v>
      </c>
      <c r="W31" s="2480">
        <v>45346</v>
      </c>
      <c r="X31" s="2542">
        <v>7.9</v>
      </c>
      <c r="Y31" s="2481">
        <v>208.32</v>
      </c>
      <c r="Z31" s="2482">
        <v>18.75</v>
      </c>
      <c r="AA31" s="2483">
        <v>498.16</v>
      </c>
      <c r="AB31" s="2483">
        <v>2.37</v>
      </c>
      <c r="AC31" s="2551" t="s">
        <v>189</v>
      </c>
      <c r="AD31" s="2485">
        <v>36</v>
      </c>
      <c r="AE31" s="2486">
        <v>0.82</v>
      </c>
      <c r="AF31" s="2478" t="s">
        <v>189</v>
      </c>
      <c r="AG31" s="2253"/>
      <c r="AH31" s="2643" t="s">
        <v>1128</v>
      </c>
      <c r="AI31" s="2644">
        <v>45374</v>
      </c>
      <c r="AJ31" s="2645">
        <f>15.75-AJ32</f>
        <v>8.35</v>
      </c>
      <c r="AK31" s="2689">
        <f>AK30+AJ31</f>
        <v>181.85</v>
      </c>
      <c r="AL31" s="2646"/>
      <c r="AM31" s="2690"/>
      <c r="AN31" s="2647"/>
      <c r="AO31" s="2648" t="s">
        <v>189</v>
      </c>
      <c r="AP31" s="2692">
        <v>26</v>
      </c>
      <c r="AQ31" s="2646">
        <v>10.53</v>
      </c>
      <c r="AR31" s="2649">
        <v>0.6</v>
      </c>
      <c r="AS31" s="2646">
        <v>0.75</v>
      </c>
      <c r="AT31" s="2642" t="s">
        <v>189</v>
      </c>
      <c r="AU31" s="2253"/>
      <c r="AV31" s="2727" t="s">
        <v>1130</v>
      </c>
      <c r="AW31" s="2728">
        <v>45408</v>
      </c>
      <c r="AX31" s="2716">
        <v>7.96</v>
      </c>
      <c r="AY31" s="2723">
        <v>209.49</v>
      </c>
      <c r="AZ31" s="2660">
        <v>17.41</v>
      </c>
      <c r="BA31" s="2725">
        <f>BA30+17.41</f>
        <v>422.97</v>
      </c>
      <c r="BB31" s="2660">
        <f t="shared" ref="BB31:BB68" si="20">IF(BA31&gt;0,BA31/AY31,"")</f>
        <v>2.0190462551911788</v>
      </c>
      <c r="BC31" s="2718" t="s">
        <v>189</v>
      </c>
      <c r="BD31" s="2716">
        <v>18</v>
      </c>
      <c r="BE31" s="3079">
        <v>0.45</v>
      </c>
      <c r="BF31" s="2718" t="s">
        <v>189</v>
      </c>
      <c r="BG31" s="2253"/>
      <c r="BH31" s="2421"/>
      <c r="BI31" s="2421"/>
      <c r="BJ31" s="2421"/>
      <c r="BK31" s="2421"/>
      <c r="BL31" s="2421"/>
      <c r="BP31" s="2471"/>
      <c r="BW31" s="2421"/>
      <c r="BX31" s="2421"/>
      <c r="BY31" s="2421"/>
      <c r="BZ31" s="2421"/>
      <c r="CA31" s="2421"/>
      <c r="CB31" s="2421"/>
      <c r="CC31" s="2421"/>
      <c r="CD31" s="2421"/>
      <c r="CE31" s="2421"/>
      <c r="CF31" s="2421"/>
      <c r="CG31" s="2421"/>
      <c r="CH31" s="2421"/>
      <c r="CI31" s="2421"/>
      <c r="CJ31" s="2421"/>
      <c r="CK31" s="2421"/>
      <c r="CL31" s="2421"/>
      <c r="CM31" s="2421"/>
      <c r="CN31" s="2421"/>
      <c r="CO31" s="2421"/>
      <c r="CP31" s="2421"/>
      <c r="CQ31" s="2421"/>
      <c r="CR31" s="2421"/>
      <c r="CS31" s="2421"/>
    </row>
    <row r="32" spans="1:98" s="2250" customFormat="1" ht="13.2" thickTop="1" thickBot="1">
      <c r="A32" s="2253"/>
      <c r="B32" s="2488" t="s">
        <v>1131</v>
      </c>
      <c r="C32" s="2489">
        <v>45287</v>
      </c>
      <c r="D32" s="2576">
        <v>8.33</v>
      </c>
      <c r="E32" s="2577"/>
      <c r="F32" s="2577"/>
      <c r="G32" s="2503" t="str">
        <f t="shared" si="10"/>
        <v>1</v>
      </c>
      <c r="H32" s="2485">
        <v>46</v>
      </c>
      <c r="I32" s="2486">
        <v>1.0900000000000001</v>
      </c>
      <c r="J32" s="2487" t="str">
        <f t="shared" si="11"/>
        <v>1</v>
      </c>
      <c r="K32" s="2253"/>
      <c r="L32" s="2488" t="s">
        <v>1130</v>
      </c>
      <c r="M32" s="2489">
        <v>45317</v>
      </c>
      <c r="N32" s="2490"/>
      <c r="O32" s="2484"/>
      <c r="P32" s="2484"/>
      <c r="Q32" s="2501" t="str">
        <f t="shared" si="16"/>
        <v/>
      </c>
      <c r="R32" s="2485">
        <v>36</v>
      </c>
      <c r="S32" s="2486">
        <v>0.73</v>
      </c>
      <c r="T32" s="2487" t="str">
        <f t="shared" si="17"/>
        <v>1</v>
      </c>
      <c r="U32" s="2253"/>
      <c r="V32" s="2479" t="s">
        <v>1139</v>
      </c>
      <c r="W32" s="2480">
        <v>45347</v>
      </c>
      <c r="X32" s="2542">
        <v>8.36</v>
      </c>
      <c r="Y32" s="2481">
        <v>216.68</v>
      </c>
      <c r="Z32" s="2482">
        <v>20.399999999999999</v>
      </c>
      <c r="AA32" s="2483">
        <v>518.55999999999995</v>
      </c>
      <c r="AB32" s="2483">
        <v>2.44</v>
      </c>
      <c r="AC32" s="2551" t="s">
        <v>189</v>
      </c>
      <c r="AD32" s="2485">
        <v>37</v>
      </c>
      <c r="AE32" s="2486">
        <v>0.81</v>
      </c>
      <c r="AF32" s="2478" t="s">
        <v>189</v>
      </c>
      <c r="AG32" s="2253"/>
      <c r="AH32" s="2643" t="s">
        <v>1139</v>
      </c>
      <c r="AI32" s="2644">
        <v>45375</v>
      </c>
      <c r="AJ32" s="2645">
        <v>7.4</v>
      </c>
      <c r="AK32" s="2689">
        <v>189.25</v>
      </c>
      <c r="AL32" s="2646">
        <v>34.28</v>
      </c>
      <c r="AM32" s="2690">
        <v>453.67</v>
      </c>
      <c r="AN32" s="2647">
        <v>2.1800000000000002</v>
      </c>
      <c r="AO32" s="2648" t="str">
        <f t="shared" ref="AO32:AO39" si="21">IF(AK32&gt;0,"*","")</f>
        <v>*</v>
      </c>
      <c r="AP32" s="2692">
        <v>27</v>
      </c>
      <c r="AQ32" s="2646">
        <v>10.94</v>
      </c>
      <c r="AR32" s="2649">
        <v>0.64</v>
      </c>
      <c r="AS32" s="2646">
        <v>0.8</v>
      </c>
      <c r="AT32" s="2642" t="s">
        <v>189</v>
      </c>
      <c r="AU32" s="2253"/>
      <c r="AV32" s="2727" t="s">
        <v>1128</v>
      </c>
      <c r="AW32" s="2728">
        <v>45409</v>
      </c>
      <c r="AX32" s="2716">
        <v>7.75</v>
      </c>
      <c r="AY32" s="2723">
        <v>217.24</v>
      </c>
      <c r="AZ32" s="2660">
        <v>17.41</v>
      </c>
      <c r="BA32" s="2725">
        <v>440.38</v>
      </c>
      <c r="BB32" s="2660">
        <v>2.04</v>
      </c>
      <c r="BC32" s="2718" t="s">
        <v>189</v>
      </c>
      <c r="BD32" s="2716">
        <v>25</v>
      </c>
      <c r="BE32" s="3079">
        <v>0.62</v>
      </c>
      <c r="BF32" s="2718" t="s">
        <v>189</v>
      </c>
      <c r="BG32" s="2253"/>
      <c r="BH32" s="2421"/>
      <c r="BI32" s="2421"/>
      <c r="BJ32" s="2421"/>
      <c r="BK32" s="2421"/>
      <c r="BO32" s="2430"/>
      <c r="BV32" s="2421"/>
      <c r="BW32" s="2421"/>
      <c r="BX32" s="2421"/>
      <c r="BY32" s="2421"/>
      <c r="BZ32" s="2421"/>
      <c r="CA32" s="2421"/>
      <c r="CB32" s="2421"/>
      <c r="CC32" s="2421"/>
      <c r="CD32" s="2421"/>
      <c r="CE32" s="2421"/>
      <c r="CF32" s="2421"/>
      <c r="CG32" s="2421"/>
      <c r="CH32" s="2421"/>
      <c r="CI32" s="2421"/>
      <c r="CJ32" s="2421"/>
      <c r="CK32" s="2421"/>
      <c r="CL32" s="2421"/>
      <c r="CM32" s="2421"/>
      <c r="CN32" s="2421"/>
      <c r="CO32" s="2421"/>
      <c r="CP32" s="2421"/>
      <c r="CQ32" s="2421"/>
      <c r="CR32" s="2421"/>
    </row>
    <row r="33" spans="1:97" s="2419" customFormat="1" ht="13.2" thickTop="1" thickBot="1">
      <c r="A33" s="2301"/>
      <c r="B33" s="2488" t="s">
        <v>1136</v>
      </c>
      <c r="C33" s="2489">
        <v>45288</v>
      </c>
      <c r="D33" s="2576">
        <v>9.2200000000000006</v>
      </c>
      <c r="E33" s="2577"/>
      <c r="F33" s="2577"/>
      <c r="G33" s="2503" t="str">
        <f t="shared" si="10"/>
        <v>1</v>
      </c>
      <c r="H33" s="2485">
        <v>39</v>
      </c>
      <c r="I33" s="2486">
        <v>0.89</v>
      </c>
      <c r="J33" s="2487" t="str">
        <f t="shared" si="11"/>
        <v>1</v>
      </c>
      <c r="K33" s="2301"/>
      <c r="L33" s="2488" t="s">
        <v>1128</v>
      </c>
      <c r="M33" s="2489">
        <v>45318</v>
      </c>
      <c r="N33" s="2490"/>
      <c r="O33" s="2484"/>
      <c r="P33" s="2484"/>
      <c r="Q33" s="2501" t="str">
        <f t="shared" si="16"/>
        <v/>
      </c>
      <c r="R33" s="2485">
        <v>42</v>
      </c>
      <c r="S33" s="2486">
        <v>0.79</v>
      </c>
      <c r="T33" s="2487" t="str">
        <f t="shared" si="17"/>
        <v>1</v>
      </c>
      <c r="U33" s="2301"/>
      <c r="V33" s="2479" t="s">
        <v>1138</v>
      </c>
      <c r="W33" s="2480">
        <v>45348</v>
      </c>
      <c r="X33" s="2542">
        <v>7.85</v>
      </c>
      <c r="Y33" s="2481">
        <v>224.53</v>
      </c>
      <c r="Z33" s="2482">
        <v>19.170000000000002</v>
      </c>
      <c r="AA33" s="2483">
        <v>537.73</v>
      </c>
      <c r="AB33" s="2483">
        <v>2.44</v>
      </c>
      <c r="AC33" s="2551" t="s">
        <v>189</v>
      </c>
      <c r="AD33" s="2485">
        <v>38</v>
      </c>
      <c r="AE33" s="2486">
        <v>0.86</v>
      </c>
      <c r="AF33" s="2478" t="s">
        <v>189</v>
      </c>
      <c r="AG33" s="2301"/>
      <c r="AH33" s="2694" t="s">
        <v>1138</v>
      </c>
      <c r="AI33" s="2695">
        <v>45376</v>
      </c>
      <c r="AJ33" s="2645">
        <v>7.82</v>
      </c>
      <c r="AK33" s="2689">
        <v>197.07</v>
      </c>
      <c r="AL33" s="2646">
        <v>20.37</v>
      </c>
      <c r="AM33" s="2690">
        <v>474.04</v>
      </c>
      <c r="AN33" s="2647">
        <f t="shared" ref="AN33" si="22">IF(AJ33=0,0,AL33/AJ33)</f>
        <v>2.6048593350383631</v>
      </c>
      <c r="AO33" s="2697" t="str">
        <f t="shared" si="21"/>
        <v>*</v>
      </c>
      <c r="AP33" s="2692">
        <v>30</v>
      </c>
      <c r="AQ33" s="2646">
        <v>12.05</v>
      </c>
      <c r="AR33" s="2649">
        <v>0.67</v>
      </c>
      <c r="AS33" s="2646">
        <v>0.84</v>
      </c>
      <c r="AT33" s="2642" t="s">
        <v>189</v>
      </c>
      <c r="AU33" s="2301"/>
      <c r="AV33" s="2727" t="s">
        <v>1139</v>
      </c>
      <c r="AW33" s="2728">
        <v>45410</v>
      </c>
      <c r="AX33" s="2716">
        <v>9.91</v>
      </c>
      <c r="AY33" s="2723">
        <v>227.15</v>
      </c>
      <c r="AZ33" s="2660">
        <v>16.66</v>
      </c>
      <c r="BA33" s="2725">
        <v>457.04</v>
      </c>
      <c r="BB33" s="2660">
        <v>2.0099999999999998</v>
      </c>
      <c r="BC33" s="2718" t="s">
        <v>189</v>
      </c>
      <c r="BD33" s="2716">
        <v>17</v>
      </c>
      <c r="BE33" s="3079">
        <v>0.45</v>
      </c>
      <c r="BF33" s="2718" t="s">
        <v>189</v>
      </c>
      <c r="BG33" s="2301"/>
      <c r="BH33" s="2421"/>
      <c r="BI33" s="2421"/>
      <c r="BJ33" s="2421"/>
      <c r="BK33" s="2421"/>
      <c r="BL33" s="2250"/>
      <c r="BM33" s="2250"/>
      <c r="BN33" s="2250"/>
      <c r="BO33" s="2421"/>
      <c r="BP33" s="2430"/>
      <c r="BW33" s="2421"/>
      <c r="BX33" s="2421"/>
      <c r="BY33" s="2421"/>
      <c r="BZ33" s="2421"/>
      <c r="CA33" s="2421"/>
      <c r="CB33" s="2421"/>
      <c r="CC33" s="2421"/>
      <c r="CD33" s="2421"/>
      <c r="CE33" s="2421"/>
      <c r="CF33" s="2421"/>
      <c r="CG33" s="2421"/>
      <c r="CH33" s="2421"/>
      <c r="CI33" s="2421"/>
      <c r="CJ33" s="2421"/>
      <c r="CK33" s="2421"/>
      <c r="CL33" s="2421"/>
      <c r="CM33" s="2421"/>
      <c r="CN33" s="2421"/>
      <c r="CO33" s="2421"/>
      <c r="CP33" s="2421"/>
      <c r="CQ33" s="2421"/>
      <c r="CR33" s="2421"/>
      <c r="CS33" s="2421"/>
    </row>
    <row r="34" spans="1:97" ht="13.8" customHeight="1" thickTop="1" thickBot="1">
      <c r="B34" s="2488" t="s">
        <v>1130</v>
      </c>
      <c r="C34" s="2489">
        <v>45289</v>
      </c>
      <c r="D34" s="2576">
        <v>8.89</v>
      </c>
      <c r="E34" s="2484"/>
      <c r="F34" s="2484"/>
      <c r="G34" s="2501" t="str">
        <f t="shared" si="10"/>
        <v>1</v>
      </c>
      <c r="H34" s="2485">
        <v>39</v>
      </c>
      <c r="I34" s="2486">
        <v>0.89</v>
      </c>
      <c r="J34" s="2487" t="str">
        <f t="shared" si="11"/>
        <v>1</v>
      </c>
      <c r="L34" s="2488" t="s">
        <v>1139</v>
      </c>
      <c r="M34" s="2489">
        <v>45319</v>
      </c>
      <c r="N34" s="2490"/>
      <c r="O34" s="2484"/>
      <c r="P34" s="2484"/>
      <c r="Q34" s="2501" t="str">
        <f t="shared" si="16"/>
        <v/>
      </c>
      <c r="R34" s="2485">
        <v>34</v>
      </c>
      <c r="S34" s="2486">
        <v>0.69</v>
      </c>
      <c r="T34" s="2487" t="str">
        <f t="shared" si="17"/>
        <v>1</v>
      </c>
      <c r="V34" s="2479" t="s">
        <v>1137</v>
      </c>
      <c r="W34" s="2480">
        <v>45349</v>
      </c>
      <c r="X34" s="2542">
        <v>10.01</v>
      </c>
      <c r="Y34" s="2481">
        <v>234.54</v>
      </c>
      <c r="Z34" s="2482">
        <v>24.44</v>
      </c>
      <c r="AA34" s="2483">
        <v>562.16999999999996</v>
      </c>
      <c r="AB34" s="2483">
        <v>2.44</v>
      </c>
      <c r="AC34" s="2551" t="s">
        <v>189</v>
      </c>
      <c r="AD34" s="2485">
        <v>43</v>
      </c>
      <c r="AE34" s="2486">
        <v>0.95</v>
      </c>
      <c r="AF34" s="2478" t="s">
        <v>189</v>
      </c>
      <c r="AH34" s="2643" t="s">
        <v>1137</v>
      </c>
      <c r="AI34" s="2644">
        <v>45377</v>
      </c>
      <c r="AJ34" s="2645">
        <v>7.74</v>
      </c>
      <c r="AK34" s="2689">
        <v>204.81</v>
      </c>
      <c r="AL34" s="2646">
        <v>18.38</v>
      </c>
      <c r="AM34" s="2690">
        <v>492.42</v>
      </c>
      <c r="AN34" s="2647">
        <v>2.37</v>
      </c>
      <c r="AO34" s="2648" t="str">
        <f t="shared" si="21"/>
        <v>*</v>
      </c>
      <c r="AP34" s="2692">
        <v>28</v>
      </c>
      <c r="AQ34" s="2646">
        <v>11.34</v>
      </c>
      <c r="AR34" s="2649">
        <v>0.67</v>
      </c>
      <c r="AS34" s="2646">
        <v>0.84</v>
      </c>
      <c r="AT34" s="2650" t="str">
        <f t="shared" ref="AT34:AT39" si="23">IF(AP34&gt;0,"*","")</f>
        <v>*</v>
      </c>
      <c r="AV34" s="2727" t="s">
        <v>1138</v>
      </c>
      <c r="AW34" s="2728">
        <v>45411</v>
      </c>
      <c r="AX34" s="2716">
        <v>7.52</v>
      </c>
      <c r="AY34" s="2723">
        <v>234.67</v>
      </c>
      <c r="AZ34" s="2660">
        <v>16.82</v>
      </c>
      <c r="BA34" s="2725">
        <v>473.86</v>
      </c>
      <c r="BB34" s="2660">
        <v>2.02</v>
      </c>
      <c r="BC34" s="2718" t="s">
        <v>189</v>
      </c>
      <c r="BD34" s="2716">
        <v>12</v>
      </c>
      <c r="BE34" s="3079">
        <v>0.35</v>
      </c>
      <c r="BF34" s="2718" t="s">
        <v>189</v>
      </c>
      <c r="BH34" s="2421"/>
      <c r="BI34" s="2421"/>
      <c r="BJ34" s="2421"/>
      <c r="BL34" s="2250"/>
      <c r="BM34" s="2250"/>
      <c r="BN34" s="2250"/>
      <c r="BP34" s="2446"/>
      <c r="BR34" s="2421"/>
    </row>
    <row r="35" spans="1:97" ht="14.4" customHeight="1" thickTop="1" thickBot="1">
      <c r="A35" s="2421"/>
      <c r="B35" s="2488" t="s">
        <v>1128</v>
      </c>
      <c r="C35" s="2489">
        <v>45290</v>
      </c>
      <c r="D35" s="2576">
        <v>8.43</v>
      </c>
      <c r="E35" s="2484"/>
      <c r="F35" s="2484"/>
      <c r="G35" s="2501" t="str">
        <f t="shared" si="10"/>
        <v>1</v>
      </c>
      <c r="H35" s="2485">
        <v>43</v>
      </c>
      <c r="I35" s="2486">
        <v>0.96</v>
      </c>
      <c r="J35" s="2487" t="str">
        <f t="shared" si="11"/>
        <v>1</v>
      </c>
      <c r="K35" s="2421"/>
      <c r="L35" s="2488" t="s">
        <v>1138</v>
      </c>
      <c r="M35" s="2489">
        <v>45320</v>
      </c>
      <c r="N35" s="2490"/>
      <c r="O35" s="2484"/>
      <c r="P35" s="2484"/>
      <c r="Q35" s="2501" t="str">
        <f t="shared" si="16"/>
        <v/>
      </c>
      <c r="R35" s="2485">
        <v>41</v>
      </c>
      <c r="S35" s="2486">
        <v>0.78</v>
      </c>
      <c r="T35" s="2487" t="str">
        <f t="shared" si="17"/>
        <v>1</v>
      </c>
      <c r="U35" s="2421"/>
      <c r="V35" s="2479" t="s">
        <v>1131</v>
      </c>
      <c r="W35" s="2480">
        <v>45350</v>
      </c>
      <c r="X35" s="2542">
        <v>10.26</v>
      </c>
      <c r="Y35" s="2481">
        <v>244.8</v>
      </c>
      <c r="Z35" s="2482">
        <v>24.81</v>
      </c>
      <c r="AA35" s="2483">
        <v>586.98</v>
      </c>
      <c r="AB35" s="2483">
        <v>2.42</v>
      </c>
      <c r="AC35" s="2551" t="s">
        <v>189</v>
      </c>
      <c r="AD35" s="2485">
        <v>37</v>
      </c>
      <c r="AE35" s="2486">
        <v>0.83</v>
      </c>
      <c r="AF35" s="2478" t="s">
        <v>189</v>
      </c>
      <c r="AG35" s="2421"/>
      <c r="AH35" s="2643" t="s">
        <v>1131</v>
      </c>
      <c r="AI35" s="2644">
        <v>45378</v>
      </c>
      <c r="AJ35" s="2645">
        <v>7.69</v>
      </c>
      <c r="AK35" s="2689">
        <v>212.5</v>
      </c>
      <c r="AL35" s="2646">
        <v>19.420000000000002</v>
      </c>
      <c r="AM35" s="2690">
        <v>511.84</v>
      </c>
      <c r="AN35" s="2647">
        <v>2.59</v>
      </c>
      <c r="AO35" s="2648" t="str">
        <f t="shared" si="21"/>
        <v>*</v>
      </c>
      <c r="AP35" s="2692">
        <v>30</v>
      </c>
      <c r="AQ35" s="2646">
        <v>12.15</v>
      </c>
      <c r="AR35" s="2649">
        <v>0.7</v>
      </c>
      <c r="AS35" s="2646">
        <v>0.88</v>
      </c>
      <c r="AT35" s="2650" t="str">
        <f t="shared" si="23"/>
        <v>*</v>
      </c>
      <c r="AU35" s="2421"/>
      <c r="AV35" s="3067" t="s">
        <v>1137</v>
      </c>
      <c r="AW35" s="2729">
        <v>45412</v>
      </c>
      <c r="AX35" s="2717">
        <v>7.51</v>
      </c>
      <c r="AY35" s="2724">
        <v>242.18</v>
      </c>
      <c r="AZ35" s="2730">
        <v>15.12</v>
      </c>
      <c r="BA35" s="2726">
        <v>491.08</v>
      </c>
      <c r="BB35" s="2660">
        <v>2.02</v>
      </c>
      <c r="BC35" s="2719" t="s">
        <v>189</v>
      </c>
      <c r="BD35" s="2716">
        <v>13</v>
      </c>
      <c r="BE35" s="3079">
        <v>0.34</v>
      </c>
      <c r="BF35" s="2719" t="s">
        <v>189</v>
      </c>
      <c r="BG35" s="2421"/>
      <c r="BH35" s="2421"/>
      <c r="BI35" s="2421"/>
      <c r="BJ35" s="2421"/>
      <c r="BM35" s="2250"/>
      <c r="BN35" s="2250"/>
      <c r="BO35" s="2250"/>
      <c r="BP35" s="2471"/>
      <c r="BR35" s="2421"/>
    </row>
    <row r="36" spans="1:97" ht="15" customHeight="1" thickTop="1" thickBot="1">
      <c r="B36" s="2491" t="s">
        <v>1139</v>
      </c>
      <c r="C36" s="2492">
        <v>45291</v>
      </c>
      <c r="D36" s="2578">
        <v>11.12</v>
      </c>
      <c r="E36" s="2493"/>
      <c r="F36" s="2493"/>
      <c r="G36" s="2502" t="str">
        <f t="shared" si="10"/>
        <v>1</v>
      </c>
      <c r="H36" s="2497">
        <v>47</v>
      </c>
      <c r="I36" s="2498">
        <v>1.01</v>
      </c>
      <c r="J36" s="2496" t="str">
        <f t="shared" si="11"/>
        <v>1</v>
      </c>
      <c r="L36" s="2488" t="s">
        <v>1137</v>
      </c>
      <c r="M36" s="2489">
        <v>45321</v>
      </c>
      <c r="N36" s="2490"/>
      <c r="O36" s="2484"/>
      <c r="P36" s="2484"/>
      <c r="Q36" s="2501" t="str">
        <f t="shared" si="16"/>
        <v/>
      </c>
      <c r="R36" s="2485">
        <v>35</v>
      </c>
      <c r="S36" s="2486">
        <v>0.71</v>
      </c>
      <c r="T36" s="2487" t="str">
        <f t="shared" si="17"/>
        <v>1</v>
      </c>
      <c r="V36" s="2600" t="s">
        <v>1136</v>
      </c>
      <c r="W36" s="2601">
        <v>45351</v>
      </c>
      <c r="X36" s="2602">
        <v>6.97</v>
      </c>
      <c r="Y36" s="2603">
        <v>251.77</v>
      </c>
      <c r="Z36" s="2604">
        <v>15.61</v>
      </c>
      <c r="AA36" s="2605">
        <v>602.59</v>
      </c>
      <c r="AB36" s="2605">
        <v>2.2400000000000002</v>
      </c>
      <c r="AC36" s="2502" t="str">
        <f>IF(Y36&gt;0,"*","")</f>
        <v>*</v>
      </c>
      <c r="AD36" s="2494">
        <v>38</v>
      </c>
      <c r="AE36" s="2495">
        <v>0.84</v>
      </c>
      <c r="AF36" s="2496" t="str">
        <f>IF(AD36&gt;0,"*","")</f>
        <v>*</v>
      </c>
      <c r="AH36" s="2643" t="s">
        <v>1136</v>
      </c>
      <c r="AI36" s="2644">
        <v>45379</v>
      </c>
      <c r="AJ36" s="2645">
        <v>7.59</v>
      </c>
      <c r="AK36" s="2689">
        <v>220.09</v>
      </c>
      <c r="AL36" s="2646">
        <v>17.36</v>
      </c>
      <c r="AM36" s="2690">
        <v>529.20000000000005</v>
      </c>
      <c r="AN36" s="2647">
        <v>2.29</v>
      </c>
      <c r="AO36" s="2648" t="str">
        <f t="shared" si="21"/>
        <v>*</v>
      </c>
      <c r="AP36" s="2692">
        <v>32</v>
      </c>
      <c r="AQ36" s="2646">
        <v>12.56</v>
      </c>
      <c r="AR36" s="2649">
        <v>0.73</v>
      </c>
      <c r="AS36" s="2646">
        <v>0.91</v>
      </c>
      <c r="AT36" s="2650" t="str">
        <f t="shared" si="23"/>
        <v>*</v>
      </c>
      <c r="AV36" s="3069" t="s">
        <v>90</v>
      </c>
      <c r="AW36" s="3073"/>
      <c r="AX36" s="2558" t="s">
        <v>1147</v>
      </c>
      <c r="AY36" s="2559" t="s">
        <v>1163</v>
      </c>
      <c r="AZ36" s="2560" t="s">
        <v>708</v>
      </c>
      <c r="BA36" s="2561" t="s">
        <v>1669</v>
      </c>
      <c r="BB36" s="2560" t="s">
        <v>1146</v>
      </c>
      <c r="BC36" s="2560"/>
      <c r="BD36" s="2558" t="s">
        <v>1147</v>
      </c>
      <c r="BE36" s="2563" t="s">
        <v>1618</v>
      </c>
      <c r="BF36" s="2564"/>
      <c r="BH36" s="2421"/>
      <c r="BI36" s="2421"/>
      <c r="BJ36" s="2421"/>
      <c r="BM36" s="2250"/>
      <c r="BN36" s="2250"/>
      <c r="BO36" s="2250"/>
      <c r="BP36" s="2471"/>
      <c r="BR36" s="2421"/>
    </row>
    <row r="37" spans="1:97" ht="14.4" customHeight="1" thickTop="1" thickBot="1">
      <c r="D37" s="2424"/>
      <c r="E37" s="2424"/>
      <c r="F37" s="2424"/>
      <c r="G37" s="2424"/>
      <c r="H37" s="2465"/>
      <c r="I37" s="2572"/>
      <c r="L37" s="2491" t="s">
        <v>1131</v>
      </c>
      <c r="M37" s="2492">
        <v>45322</v>
      </c>
      <c r="N37" s="2494"/>
      <c r="O37" s="2493"/>
      <c r="P37" s="2493"/>
      <c r="Q37" s="2501" t="str">
        <f t="shared" si="16"/>
        <v/>
      </c>
      <c r="R37" s="2497">
        <v>40</v>
      </c>
      <c r="S37" s="2498">
        <v>0.84</v>
      </c>
      <c r="T37" s="2496" t="str">
        <f t="shared" si="17"/>
        <v>1</v>
      </c>
      <c r="V37" s="2468"/>
      <c r="W37" s="2469"/>
      <c r="X37" s="2464"/>
      <c r="Y37" s="2472"/>
      <c r="Z37" s="2473"/>
      <c r="AA37" s="2474"/>
      <c r="AB37" s="2474"/>
      <c r="AC37" s="2464"/>
      <c r="AD37" s="2467"/>
      <c r="AE37" s="2475"/>
      <c r="AF37" s="2421"/>
      <c r="AH37" s="2643" t="s">
        <v>1130</v>
      </c>
      <c r="AI37" s="2644">
        <v>45380</v>
      </c>
      <c r="AJ37" s="2645">
        <v>7.77</v>
      </c>
      <c r="AK37" s="2689">
        <v>227.86</v>
      </c>
      <c r="AL37" s="2646">
        <v>13.67</v>
      </c>
      <c r="AM37" s="2690">
        <v>542.87</v>
      </c>
      <c r="AN37" s="2647">
        <v>1.75</v>
      </c>
      <c r="AO37" s="2697" t="str">
        <f t="shared" si="21"/>
        <v>*</v>
      </c>
      <c r="AP37" s="2692">
        <f>'varme 24'!E173</f>
        <v>31</v>
      </c>
      <c r="AQ37" s="2646">
        <v>12.56</v>
      </c>
      <c r="AR37" s="2649">
        <v>0.71</v>
      </c>
      <c r="AS37" s="2646">
        <v>0.89</v>
      </c>
      <c r="AT37" s="2650" t="str">
        <f t="shared" si="23"/>
        <v>*</v>
      </c>
      <c r="AV37" s="3071"/>
      <c r="AW37" s="3074"/>
      <c r="AX37" s="2815">
        <f>MAX(AY38:AY66)</f>
        <v>128.38</v>
      </c>
      <c r="AY37" s="2816"/>
      <c r="AZ37" s="2817">
        <f>MAX(BA38:BA66)</f>
        <v>257.12</v>
      </c>
      <c r="BA37" s="2817"/>
      <c r="BB37" s="2703">
        <f>AZ37/AX37</f>
        <v>2.0028041751051568</v>
      </c>
      <c r="BC37" s="2731"/>
      <c r="BD37" s="2732">
        <f>SUM(BD38:BD66)</f>
        <v>156</v>
      </c>
      <c r="BE37" s="2714">
        <f>SUM(BE38:BE66)</f>
        <v>4.7</v>
      </c>
      <c r="BF37" s="2715"/>
      <c r="BH37" s="2421"/>
      <c r="BI37" s="2421"/>
      <c r="BJ37" s="2421"/>
      <c r="BM37" s="2250"/>
      <c r="BN37" s="2250"/>
      <c r="BO37" s="2250"/>
      <c r="BP37" s="2471"/>
      <c r="BR37" s="2421"/>
    </row>
    <row r="38" spans="1:97" ht="13.8" customHeight="1" thickTop="1" thickBot="1">
      <c r="B38" s="2488"/>
      <c r="C38" s="2489"/>
      <c r="D38" s="2576"/>
      <c r="E38" s="2484"/>
      <c r="F38" s="2484"/>
      <c r="G38" s="2501"/>
      <c r="H38" s="2485"/>
      <c r="I38" s="2486"/>
      <c r="J38" s="2487"/>
      <c r="L38" s="2488"/>
      <c r="M38" s="2489"/>
      <c r="N38" s="2490"/>
      <c r="O38" s="2484"/>
      <c r="P38" s="2484"/>
      <c r="Q38" s="2501"/>
      <c r="R38" s="2485"/>
      <c r="S38" s="2486"/>
      <c r="T38" s="2487"/>
      <c r="V38" s="2479"/>
      <c r="W38" s="2480"/>
      <c r="X38" s="2542"/>
      <c r="Y38" s="2481"/>
      <c r="Z38" s="2482"/>
      <c r="AA38" s="2483"/>
      <c r="AB38" s="2483"/>
      <c r="AC38" s="2551"/>
      <c r="AD38" s="2485"/>
      <c r="AE38" s="2486"/>
      <c r="AF38" s="2478"/>
      <c r="AH38" s="2643" t="s">
        <v>1128</v>
      </c>
      <c r="AI38" s="2644">
        <v>45381</v>
      </c>
      <c r="AJ38" s="2645">
        <v>8.39</v>
      </c>
      <c r="AK38" s="2689">
        <v>236.25</v>
      </c>
      <c r="AL38" s="2646">
        <v>13.66</v>
      </c>
      <c r="AM38" s="2690">
        <v>556.53</v>
      </c>
      <c r="AN38" s="2647">
        <v>1.63</v>
      </c>
      <c r="AO38" s="2648" t="str">
        <f t="shared" si="21"/>
        <v>*</v>
      </c>
      <c r="AP38" s="2692">
        <f>'varme 24'!E174</f>
        <v>31</v>
      </c>
      <c r="AQ38" s="2646">
        <v>12.56</v>
      </c>
      <c r="AR38" s="2649">
        <v>0.7</v>
      </c>
      <c r="AS38" s="2646">
        <v>0.88</v>
      </c>
      <c r="AT38" s="2650" t="str">
        <f t="shared" si="23"/>
        <v>*</v>
      </c>
      <c r="AV38" s="2727" t="s">
        <v>1131</v>
      </c>
      <c r="AW38" s="2728">
        <v>45413</v>
      </c>
      <c r="AX38" s="2716">
        <v>8.07</v>
      </c>
      <c r="AY38" s="2723">
        <v>8.07</v>
      </c>
      <c r="AZ38" s="2660">
        <v>13.56</v>
      </c>
      <c r="BA38" s="2725">
        <v>13.56</v>
      </c>
      <c r="BB38" s="2660">
        <v>1.68</v>
      </c>
      <c r="BC38" s="2718" t="str">
        <f t="shared" ref="BC38" si="24">IF(AY38&gt;0,"*","")</f>
        <v>*</v>
      </c>
      <c r="BD38" s="2716">
        <v>10</v>
      </c>
      <c r="BE38" s="3079">
        <v>0.32</v>
      </c>
      <c r="BF38" s="2718" t="s">
        <v>189</v>
      </c>
      <c r="BJ38" s="2421"/>
      <c r="BM38" s="2250"/>
      <c r="BN38" s="2250"/>
      <c r="BO38" s="2250"/>
      <c r="BP38" s="2471"/>
      <c r="BR38" s="2421"/>
    </row>
    <row r="39" spans="1:97" ht="13.8" customHeight="1" thickTop="1" thickBot="1">
      <c r="B39" s="2488"/>
      <c r="C39" s="2489"/>
      <c r="D39" s="2576"/>
      <c r="E39" s="2484"/>
      <c r="F39" s="2484"/>
      <c r="G39" s="2501"/>
      <c r="H39" s="2485"/>
      <c r="I39" s="2486"/>
      <c r="J39" s="2487"/>
      <c r="L39" s="2488"/>
      <c r="M39" s="2489"/>
      <c r="N39" s="2490"/>
      <c r="O39" s="2484"/>
      <c r="P39" s="2484"/>
      <c r="Q39" s="2501"/>
      <c r="R39" s="2485"/>
      <c r="S39" s="2486"/>
      <c r="T39" s="2487"/>
      <c r="V39" s="2479"/>
      <c r="W39" s="2480"/>
      <c r="X39" s="2542"/>
      <c r="Y39" s="2481"/>
      <c r="Z39" s="2482"/>
      <c r="AA39" s="2483"/>
      <c r="AB39" s="2483"/>
      <c r="AC39" s="2551"/>
      <c r="AD39" s="2485"/>
      <c r="AE39" s="2486"/>
      <c r="AF39" s="2478"/>
      <c r="AH39" s="2643" t="s">
        <v>1139</v>
      </c>
      <c r="AI39" s="2644">
        <v>45382</v>
      </c>
      <c r="AJ39" s="2645">
        <f t="shared" ref="AJ39" si="25">IF(AK39=0,0,AK39-AK38)</f>
        <v>7.5900000000000034</v>
      </c>
      <c r="AK39" s="2689">
        <v>243.84</v>
      </c>
      <c r="AL39" s="2646">
        <f t="shared" ref="AL39" si="26">IF(AM39=0,0,AM39-AM38)</f>
        <v>12.580000000000041</v>
      </c>
      <c r="AM39" s="2690">
        <v>569.11</v>
      </c>
      <c r="AN39" s="2647">
        <f t="shared" ref="AN39" si="27">IF(AJ39=0,0,AL39/AJ39)</f>
        <v>1.6574440052700969</v>
      </c>
      <c r="AO39" s="2648" t="str">
        <f t="shared" si="21"/>
        <v>*</v>
      </c>
      <c r="AP39" s="2692">
        <v>34</v>
      </c>
      <c r="AQ39" s="2646">
        <v>13.77</v>
      </c>
      <c r="AR39" s="2649">
        <v>0.8</v>
      </c>
      <c r="AS39" s="2646">
        <v>1</v>
      </c>
      <c r="AT39" s="2650" t="str">
        <f t="shared" si="23"/>
        <v>*</v>
      </c>
      <c r="AV39" s="2727" t="s">
        <v>1136</v>
      </c>
      <c r="AW39" s="2728">
        <v>45414</v>
      </c>
      <c r="AX39" s="2716">
        <v>7.5</v>
      </c>
      <c r="AY39" s="2723">
        <v>15.57</v>
      </c>
      <c r="AZ39" s="2660">
        <v>13.07</v>
      </c>
      <c r="BA39" s="2725">
        <v>26.63</v>
      </c>
      <c r="BB39" s="2660">
        <v>1.71</v>
      </c>
      <c r="BC39" s="2718" t="s">
        <v>189</v>
      </c>
      <c r="BD39" s="2716">
        <v>11</v>
      </c>
      <c r="BE39" s="3079">
        <v>0.33</v>
      </c>
      <c r="BF39" s="2718" t="s">
        <v>189</v>
      </c>
      <c r="BJ39" s="2421"/>
      <c r="BM39" s="2250"/>
      <c r="BN39" s="2250"/>
      <c r="BO39" s="2250"/>
      <c r="BP39" s="2471"/>
      <c r="BR39" s="2421"/>
    </row>
    <row r="40" spans="1:97" ht="13.8" customHeight="1" thickTop="1" thickBot="1">
      <c r="B40" s="2488"/>
      <c r="C40" s="2489"/>
      <c r="D40" s="2576"/>
      <c r="E40" s="2484"/>
      <c r="F40" s="2484"/>
      <c r="G40" s="2501"/>
      <c r="H40" s="2485"/>
      <c r="I40" s="2486"/>
      <c r="J40" s="2487"/>
      <c r="L40" s="2488"/>
      <c r="M40" s="2489"/>
      <c r="N40" s="2490"/>
      <c r="O40" s="2484"/>
      <c r="P40" s="2484"/>
      <c r="Q40" s="2501"/>
      <c r="R40" s="2485"/>
      <c r="S40" s="2486"/>
      <c r="T40" s="2487"/>
      <c r="V40" s="2479"/>
      <c r="W40" s="2480"/>
      <c r="X40" s="2542"/>
      <c r="Y40" s="2481"/>
      <c r="Z40" s="2482"/>
      <c r="AA40" s="2483"/>
      <c r="AB40" s="2483"/>
      <c r="AC40" s="2551"/>
      <c r="AD40" s="2485"/>
      <c r="AE40" s="2486"/>
      <c r="AF40" s="2478"/>
      <c r="AH40" s="2643"/>
      <c r="AI40" s="2644"/>
      <c r="AJ40" s="2645"/>
      <c r="AK40" s="2689"/>
      <c r="AL40" s="2646"/>
      <c r="AM40" s="2690"/>
      <c r="AN40" s="2647"/>
      <c r="AO40" s="2648"/>
      <c r="AP40" s="2692"/>
      <c r="AQ40" s="2646"/>
      <c r="AR40" s="2649"/>
      <c r="AS40" s="2646"/>
      <c r="AT40" s="2650"/>
      <c r="AV40" s="2727" t="s">
        <v>1130</v>
      </c>
      <c r="AW40" s="2728">
        <v>45415</v>
      </c>
      <c r="AX40" s="2716">
        <v>8.0399999999999991</v>
      </c>
      <c r="AY40" s="2723">
        <v>23.61</v>
      </c>
      <c r="AZ40" s="2660">
        <v>15.93</v>
      </c>
      <c r="BA40" s="2725">
        <v>42.56</v>
      </c>
      <c r="BB40" s="2660">
        <v>1.8</v>
      </c>
      <c r="BC40" s="2718" t="s">
        <v>189</v>
      </c>
      <c r="BD40" s="2716">
        <v>8</v>
      </c>
      <c r="BE40" s="3079">
        <v>0.26</v>
      </c>
      <c r="BF40" s="2718" t="s">
        <v>189</v>
      </c>
      <c r="BJ40" s="2421"/>
      <c r="BM40" s="2250"/>
      <c r="BN40" s="2250"/>
      <c r="BO40" s="2250"/>
      <c r="BP40" s="2471"/>
      <c r="BR40" s="2421"/>
    </row>
    <row r="41" spans="1:97" ht="13.8" customHeight="1" thickTop="1" thickBot="1">
      <c r="B41" s="2488"/>
      <c r="C41" s="2489"/>
      <c r="D41" s="2576"/>
      <c r="E41" s="2484"/>
      <c r="F41" s="2484"/>
      <c r="G41" s="2501"/>
      <c r="H41" s="2485"/>
      <c r="I41" s="2486"/>
      <c r="J41" s="2487"/>
      <c r="L41" s="2488"/>
      <c r="M41" s="2489"/>
      <c r="N41" s="2490"/>
      <c r="O41" s="2484"/>
      <c r="P41" s="2484"/>
      <c r="Q41" s="2501"/>
      <c r="R41" s="2485"/>
      <c r="S41" s="2486"/>
      <c r="T41" s="2487"/>
      <c r="V41" s="2479"/>
      <c r="W41" s="2480"/>
      <c r="X41" s="2542"/>
      <c r="Y41" s="2481"/>
      <c r="Z41" s="2482"/>
      <c r="AA41" s="2483"/>
      <c r="AB41" s="2483"/>
      <c r="AC41" s="2551"/>
      <c r="AD41" s="2485"/>
      <c r="AE41" s="2486"/>
      <c r="AF41" s="2478"/>
      <c r="AH41" s="2643"/>
      <c r="AI41" s="2644"/>
      <c r="AJ41" s="2645"/>
      <c r="AK41" s="2689"/>
      <c r="AL41" s="2646"/>
      <c r="AM41" s="2690"/>
      <c r="AN41" s="2647"/>
      <c r="AO41" s="2648"/>
      <c r="AP41" s="2692"/>
      <c r="AQ41" s="2646"/>
      <c r="AR41" s="2649"/>
      <c r="AS41" s="2646"/>
      <c r="AT41" s="2650"/>
      <c r="AV41" s="2727" t="s">
        <v>1128</v>
      </c>
      <c r="AW41" s="2728">
        <v>45416</v>
      </c>
      <c r="AX41" s="2716">
        <v>8.0299999999999994</v>
      </c>
      <c r="AY41" s="2723">
        <v>31.64</v>
      </c>
      <c r="AZ41" s="2660">
        <v>17.47</v>
      </c>
      <c r="BA41" s="2725">
        <v>60.03</v>
      </c>
      <c r="BB41" s="2660">
        <v>1.9</v>
      </c>
      <c r="BC41" s="2718" t="s">
        <v>189</v>
      </c>
      <c r="BD41" s="2716">
        <v>12</v>
      </c>
      <c r="BE41" s="3079">
        <v>0.37</v>
      </c>
      <c r="BF41" s="2718" t="s">
        <v>189</v>
      </c>
      <c r="BJ41" s="2421"/>
      <c r="BM41" s="2250"/>
      <c r="BN41" s="2250"/>
      <c r="BO41" s="2250"/>
      <c r="BP41" s="2471"/>
      <c r="BR41" s="2421"/>
    </row>
    <row r="42" spans="1:97" ht="13.8" customHeight="1" thickTop="1" thickBot="1">
      <c r="B42" s="2488"/>
      <c r="C42" s="2489"/>
      <c r="D42" s="2576"/>
      <c r="E42" s="2484"/>
      <c r="F42" s="2484"/>
      <c r="G42" s="2501"/>
      <c r="H42" s="2485"/>
      <c r="I42" s="2486"/>
      <c r="J42" s="2487"/>
      <c r="L42" s="2488"/>
      <c r="M42" s="2489"/>
      <c r="N42" s="2490"/>
      <c r="O42" s="2484"/>
      <c r="P42" s="2484"/>
      <c r="Q42" s="2501"/>
      <c r="R42" s="2485"/>
      <c r="S42" s="2486"/>
      <c r="T42" s="2487"/>
      <c r="V42" s="2479"/>
      <c r="W42" s="2480"/>
      <c r="X42" s="2542"/>
      <c r="Y42" s="2481"/>
      <c r="Z42" s="2482"/>
      <c r="AA42" s="2483"/>
      <c r="AB42" s="2483"/>
      <c r="AC42" s="2551"/>
      <c r="AD42" s="2485"/>
      <c r="AE42" s="2486"/>
      <c r="AF42" s="2478"/>
      <c r="AH42" s="2643" t="s">
        <v>1138</v>
      </c>
      <c r="AI42" s="2644">
        <v>45383</v>
      </c>
      <c r="AJ42" s="2645">
        <f t="shared" ref="AJ42" si="28">IF(AK42=0,0,AK42-AK41)</f>
        <v>0</v>
      </c>
      <c r="AK42" s="2689"/>
      <c r="AL42" s="2646">
        <f t="shared" ref="AL42" si="29">IF(AM42=0,0,AM42-AM41)</f>
        <v>0</v>
      </c>
      <c r="AM42" s="2690"/>
      <c r="AN42" s="2647">
        <f t="shared" ref="AN42" si="30">IF(AJ42=0,0,AL42/AJ42)</f>
        <v>0</v>
      </c>
      <c r="AO42" s="2648" t="str">
        <f t="shared" ref="AO42" si="31">IF(AK42&gt;0,"*","")</f>
        <v/>
      </c>
      <c r="AP42" s="2692">
        <f>'varme 24'!E178</f>
        <v>41</v>
      </c>
      <c r="AQ42" s="2646">
        <f>AP42*$BJ$3*1.25</f>
        <v>16.605</v>
      </c>
      <c r="AR42" s="2649">
        <f>'varme 24'!I178</f>
        <v>0.9</v>
      </c>
      <c r="AS42" s="2646">
        <f>AR42*$BL$3</f>
        <v>1.125</v>
      </c>
      <c r="AT42" s="2650" t="str">
        <f t="shared" ref="AT42" si="32">IF(AP42&gt;0,"*","")</f>
        <v>*</v>
      </c>
      <c r="AV42" s="2727" t="s">
        <v>1139</v>
      </c>
      <c r="AW42" s="2728">
        <v>45417</v>
      </c>
      <c r="AX42" s="2716">
        <v>9.84</v>
      </c>
      <c r="AY42" s="2723">
        <v>41.48</v>
      </c>
      <c r="AZ42" s="2660">
        <v>17.95</v>
      </c>
      <c r="BA42" s="2725">
        <f>BA41+AZ42</f>
        <v>77.98</v>
      </c>
      <c r="BB42" s="2660">
        <v>1.88</v>
      </c>
      <c r="BC42" s="2718" t="s">
        <v>189</v>
      </c>
      <c r="BD42" s="2716">
        <v>15</v>
      </c>
      <c r="BE42" s="3079">
        <v>0.41</v>
      </c>
      <c r="BF42" s="2718" t="s">
        <v>189</v>
      </c>
      <c r="BJ42" s="2421"/>
      <c r="BM42" s="2250"/>
      <c r="BN42" s="2250"/>
      <c r="BO42" s="2250"/>
      <c r="BP42" s="2471"/>
      <c r="BR42" s="2421"/>
    </row>
    <row r="43" spans="1:97" ht="13.8" customHeight="1" thickTop="1" thickBot="1">
      <c r="B43" s="2488"/>
      <c r="C43" s="2489"/>
      <c r="D43" s="2576"/>
      <c r="E43" s="2484"/>
      <c r="F43" s="2484"/>
      <c r="G43" s="2501"/>
      <c r="H43" s="2485"/>
      <c r="I43" s="2486"/>
      <c r="J43" s="2487"/>
      <c r="L43" s="2488"/>
      <c r="M43" s="2489"/>
      <c r="N43" s="2490"/>
      <c r="O43" s="2484"/>
      <c r="P43" s="2484"/>
      <c r="Q43" s="2501"/>
      <c r="R43" s="2485"/>
      <c r="S43" s="2486"/>
      <c r="T43" s="2487"/>
      <c r="V43" s="2479"/>
      <c r="W43" s="2480"/>
      <c r="X43" s="2542"/>
      <c r="Y43" s="2481"/>
      <c r="Z43" s="2482"/>
      <c r="AA43" s="2483"/>
      <c r="AB43" s="2483"/>
      <c r="AC43" s="2551"/>
      <c r="AD43" s="2485"/>
      <c r="AE43" s="2486"/>
      <c r="AF43" s="2478"/>
      <c r="AH43" s="2643"/>
      <c r="AI43" s="2644"/>
      <c r="AJ43" s="2645"/>
      <c r="AK43" s="2689"/>
      <c r="AL43" s="2646"/>
      <c r="AM43" s="2690"/>
      <c r="AN43" s="2647"/>
      <c r="AO43" s="2648"/>
      <c r="AP43" s="2692"/>
      <c r="AQ43" s="2646"/>
      <c r="AR43" s="2649"/>
      <c r="AS43" s="2646"/>
      <c r="AT43" s="2650"/>
      <c r="AV43" s="2727" t="s">
        <v>1138</v>
      </c>
      <c r="AW43" s="2728">
        <v>45418</v>
      </c>
      <c r="AX43" s="2716">
        <v>13.72</v>
      </c>
      <c r="AY43" s="2723">
        <v>55.2</v>
      </c>
      <c r="AZ43" s="2660">
        <f>AX43*BB44</f>
        <v>27.988800000000001</v>
      </c>
      <c r="BA43" s="2725">
        <f>BA42+AZ44</f>
        <v>94.42240000000001</v>
      </c>
      <c r="BB43" s="2660">
        <v>1.71</v>
      </c>
      <c r="BC43" s="2718" t="str">
        <f t="shared" ref="BC43" si="33">IF(AY43&gt;0,"*","")</f>
        <v>*</v>
      </c>
      <c r="BD43" s="2716">
        <v>17</v>
      </c>
      <c r="BE43" s="3079">
        <v>0.44</v>
      </c>
      <c r="BF43" s="2718" t="s">
        <v>189</v>
      </c>
      <c r="BH43" s="2421"/>
      <c r="BI43" s="2421"/>
      <c r="BJ43" s="2421"/>
      <c r="BM43" s="2250"/>
      <c r="BN43" s="2250"/>
      <c r="BO43" s="2250"/>
      <c r="BP43" s="2471"/>
      <c r="BR43" s="2421"/>
    </row>
    <row r="44" spans="1:97" ht="13.8" customHeight="1" thickTop="1" thickBot="1">
      <c r="B44" s="2488"/>
      <c r="C44" s="2489"/>
      <c r="D44" s="2576"/>
      <c r="E44" s="2484"/>
      <c r="F44" s="2484"/>
      <c r="G44" s="2501"/>
      <c r="H44" s="2485"/>
      <c r="I44" s="2486"/>
      <c r="J44" s="2487"/>
      <c r="L44" s="2488"/>
      <c r="M44" s="2489"/>
      <c r="N44" s="2490"/>
      <c r="O44" s="2484"/>
      <c r="P44" s="2484"/>
      <c r="Q44" s="2501"/>
      <c r="R44" s="2485"/>
      <c r="S44" s="2486"/>
      <c r="T44" s="2487"/>
      <c r="V44" s="2479"/>
      <c r="W44" s="2480"/>
      <c r="X44" s="2542"/>
      <c r="Y44" s="2481"/>
      <c r="Z44" s="2482"/>
      <c r="AA44" s="2483"/>
      <c r="AB44" s="2483"/>
      <c r="AC44" s="2551"/>
      <c r="AD44" s="2485"/>
      <c r="AE44" s="2486"/>
      <c r="AF44" s="2478"/>
      <c r="AH44" s="2643"/>
      <c r="AI44" s="2644"/>
      <c r="AJ44" s="2645"/>
      <c r="AK44" s="2689"/>
      <c r="AL44" s="2646"/>
      <c r="AM44" s="2690"/>
      <c r="AN44" s="2647"/>
      <c r="AO44" s="2648"/>
      <c r="AP44" s="2692"/>
      <c r="AQ44" s="2646"/>
      <c r="AR44" s="2649"/>
      <c r="AS44" s="2646"/>
      <c r="AT44" s="2650"/>
      <c r="AV44" s="2727" t="s">
        <v>1137</v>
      </c>
      <c r="AW44" s="2728">
        <v>45419</v>
      </c>
      <c r="AX44" s="2716">
        <v>8.06</v>
      </c>
      <c r="AY44" s="2723">
        <v>63.26</v>
      </c>
      <c r="AZ44" s="2660">
        <f>AX44*BB44</f>
        <v>16.442400000000003</v>
      </c>
      <c r="BA44" s="2725">
        <v>129.01</v>
      </c>
      <c r="BB44" s="2660">
        <v>2.04</v>
      </c>
      <c r="BC44" s="2718" t="s">
        <v>189</v>
      </c>
      <c r="BD44" s="2716">
        <v>16</v>
      </c>
      <c r="BE44" s="3079">
        <v>0.43</v>
      </c>
      <c r="BF44" s="2718" t="s">
        <v>189</v>
      </c>
      <c r="BH44" s="2421"/>
      <c r="BI44" s="2421"/>
      <c r="BJ44" s="2421"/>
      <c r="BM44" s="2250"/>
      <c r="BN44" s="2250"/>
      <c r="BO44" s="2250"/>
      <c r="BP44" s="2471"/>
      <c r="BR44" s="2421"/>
    </row>
    <row r="45" spans="1:97" ht="13.8" customHeight="1" thickTop="1" thickBot="1">
      <c r="B45" s="2488"/>
      <c r="C45" s="2489"/>
      <c r="D45" s="2576"/>
      <c r="E45" s="2484"/>
      <c r="F45" s="2484"/>
      <c r="G45" s="2501"/>
      <c r="H45" s="2485"/>
      <c r="I45" s="2486"/>
      <c r="J45" s="2487"/>
      <c r="L45" s="2488"/>
      <c r="M45" s="2489"/>
      <c r="N45" s="2490"/>
      <c r="O45" s="2484"/>
      <c r="P45" s="2484"/>
      <c r="Q45" s="2501"/>
      <c r="R45" s="2485"/>
      <c r="S45" s="2486"/>
      <c r="T45" s="2487"/>
      <c r="V45" s="2479"/>
      <c r="W45" s="2480"/>
      <c r="X45" s="2542"/>
      <c r="Y45" s="2481"/>
      <c r="Z45" s="2482"/>
      <c r="AA45" s="2483"/>
      <c r="AB45" s="2483"/>
      <c r="AC45" s="2551"/>
      <c r="AD45" s="2485"/>
      <c r="AE45" s="2486"/>
      <c r="AF45" s="2478"/>
      <c r="AH45" s="2643"/>
      <c r="AI45" s="2644"/>
      <c r="AJ45" s="2645"/>
      <c r="AK45" s="2689"/>
      <c r="AL45" s="2646"/>
      <c r="AM45" s="2690"/>
      <c r="AN45" s="2647"/>
      <c r="AO45" s="2648"/>
      <c r="AP45" s="2692"/>
      <c r="AQ45" s="2646"/>
      <c r="AR45" s="2649"/>
      <c r="AS45" s="2646"/>
      <c r="AT45" s="2650"/>
      <c r="AV45" s="2727" t="s">
        <v>1131</v>
      </c>
      <c r="AW45" s="2728">
        <v>45420</v>
      </c>
      <c r="AX45" s="2716">
        <v>10.59</v>
      </c>
      <c r="AY45" s="2723">
        <v>73.849999999999994</v>
      </c>
      <c r="AZ45" s="2660">
        <v>24.82</v>
      </c>
      <c r="BA45" s="2725">
        <v>153.83000000000001</v>
      </c>
      <c r="BB45" s="2660">
        <v>2.08</v>
      </c>
      <c r="BC45" s="2718" t="s">
        <v>189</v>
      </c>
      <c r="BD45" s="2716">
        <v>15</v>
      </c>
      <c r="BE45" s="3079">
        <v>0.43</v>
      </c>
      <c r="BF45" s="2718" t="s">
        <v>189</v>
      </c>
      <c r="BH45" s="2421"/>
      <c r="BI45" s="2421"/>
      <c r="BJ45" s="2421"/>
      <c r="BM45" s="2250"/>
      <c r="BN45" s="2250"/>
      <c r="BO45" s="2250"/>
      <c r="BP45" s="2471"/>
      <c r="BR45" s="2421"/>
    </row>
    <row r="46" spans="1:97" ht="13.8" customHeight="1" thickTop="1" thickBot="1">
      <c r="B46" s="2488"/>
      <c r="C46" s="2489"/>
      <c r="D46" s="2576"/>
      <c r="E46" s="2484"/>
      <c r="F46" s="2484"/>
      <c r="G46" s="2501"/>
      <c r="H46" s="2485"/>
      <c r="I46" s="2486"/>
      <c r="J46" s="2487"/>
      <c r="L46" s="2488"/>
      <c r="M46" s="2489"/>
      <c r="N46" s="2490"/>
      <c r="O46" s="2484"/>
      <c r="P46" s="2484"/>
      <c r="Q46" s="2501"/>
      <c r="R46" s="2485"/>
      <c r="S46" s="2486"/>
      <c r="T46" s="2487"/>
      <c r="V46" s="2479"/>
      <c r="W46" s="2480"/>
      <c r="X46" s="2542"/>
      <c r="Y46" s="2481"/>
      <c r="Z46" s="2482"/>
      <c r="AA46" s="2483"/>
      <c r="AB46" s="2483"/>
      <c r="AC46" s="2551"/>
      <c r="AD46" s="2485"/>
      <c r="AE46" s="2486"/>
      <c r="AF46" s="2478"/>
      <c r="AH46" s="2643"/>
      <c r="AI46" s="2644"/>
      <c r="AJ46" s="2645"/>
      <c r="AK46" s="2689"/>
      <c r="AL46" s="2646"/>
      <c r="AM46" s="2690"/>
      <c r="AN46" s="2647"/>
      <c r="AO46" s="2648"/>
      <c r="AP46" s="2692"/>
      <c r="AQ46" s="2646"/>
      <c r="AR46" s="2649"/>
      <c r="AS46" s="2646"/>
      <c r="AT46" s="2650"/>
      <c r="AV46" s="2727" t="s">
        <v>1136</v>
      </c>
      <c r="AW46" s="2728">
        <v>45421</v>
      </c>
      <c r="AX46" s="2716">
        <v>11.02</v>
      </c>
      <c r="AY46" s="2723">
        <v>84.87</v>
      </c>
      <c r="AZ46" s="2660">
        <v>22.08</v>
      </c>
      <c r="BA46" s="2725">
        <v>175.91</v>
      </c>
      <c r="BB46" s="2660">
        <v>2.0699999999999998</v>
      </c>
      <c r="BC46" s="2718" t="s">
        <v>189</v>
      </c>
      <c r="BD46" s="2716">
        <v>14</v>
      </c>
      <c r="BE46" s="3079">
        <v>0.38</v>
      </c>
      <c r="BF46" s="2718" t="s">
        <v>189</v>
      </c>
      <c r="BH46" s="2421"/>
      <c r="BI46" s="2421"/>
      <c r="BJ46" s="2421"/>
      <c r="BM46" s="2250"/>
      <c r="BN46" s="2250"/>
      <c r="BO46" s="2250"/>
      <c r="BP46" s="2471"/>
      <c r="BR46" s="2421"/>
    </row>
    <row r="47" spans="1:97" ht="13.8" customHeight="1" thickTop="1" thickBot="1">
      <c r="B47" s="2488"/>
      <c r="C47" s="2489"/>
      <c r="D47" s="2576"/>
      <c r="E47" s="2484"/>
      <c r="F47" s="2484"/>
      <c r="G47" s="2501"/>
      <c r="H47" s="2485"/>
      <c r="I47" s="2486"/>
      <c r="J47" s="2487"/>
      <c r="L47" s="2488"/>
      <c r="M47" s="2489"/>
      <c r="N47" s="2490"/>
      <c r="O47" s="2484"/>
      <c r="P47" s="2484"/>
      <c r="Q47" s="2501"/>
      <c r="R47" s="2485"/>
      <c r="S47" s="2486"/>
      <c r="T47" s="2487"/>
      <c r="V47" s="2479"/>
      <c r="W47" s="2480"/>
      <c r="X47" s="2542"/>
      <c r="Y47" s="2481"/>
      <c r="Z47" s="2482"/>
      <c r="AA47" s="2483"/>
      <c r="AB47" s="2483"/>
      <c r="AC47" s="2551"/>
      <c r="AD47" s="2485"/>
      <c r="AE47" s="2486"/>
      <c r="AF47" s="2478"/>
      <c r="AH47" s="2643"/>
      <c r="AI47" s="2644"/>
      <c r="AJ47" s="2645"/>
      <c r="AK47" s="2689"/>
      <c r="AL47" s="2646"/>
      <c r="AM47" s="2690"/>
      <c r="AN47" s="2647"/>
      <c r="AO47" s="2648"/>
      <c r="AP47" s="2692"/>
      <c r="AQ47" s="2646"/>
      <c r="AR47" s="2649"/>
      <c r="AS47" s="2646"/>
      <c r="AT47" s="2650"/>
      <c r="AV47" s="2727" t="s">
        <v>1130</v>
      </c>
      <c r="AW47" s="2728">
        <v>45422</v>
      </c>
      <c r="AX47" s="2716">
        <v>10.01</v>
      </c>
      <c r="AY47" s="2723">
        <v>94.88</v>
      </c>
      <c r="AZ47" s="2660">
        <v>21.97</v>
      </c>
      <c r="BA47" s="2725">
        <v>197.88</v>
      </c>
      <c r="BB47" s="2660">
        <v>2.09</v>
      </c>
      <c r="BC47" s="2718" t="s">
        <v>189</v>
      </c>
      <c r="BD47" s="2716">
        <v>15</v>
      </c>
      <c r="BE47" s="3079">
        <v>0.38</v>
      </c>
      <c r="BF47" s="2718" t="s">
        <v>189</v>
      </c>
      <c r="BH47" s="2421"/>
      <c r="BI47" s="2421"/>
      <c r="BJ47" s="2421"/>
      <c r="BM47" s="2250"/>
      <c r="BN47" s="2250"/>
      <c r="BO47" s="2250"/>
      <c r="BP47" s="2471"/>
      <c r="BR47" s="2421"/>
    </row>
    <row r="48" spans="1:97" ht="13.8" customHeight="1" thickTop="1" thickBot="1">
      <c r="B48" s="2488"/>
      <c r="C48" s="2489"/>
      <c r="D48" s="2576"/>
      <c r="E48" s="2484"/>
      <c r="F48" s="2484"/>
      <c r="G48" s="2501"/>
      <c r="H48" s="2485"/>
      <c r="I48" s="2486"/>
      <c r="J48" s="2487"/>
      <c r="L48" s="2488"/>
      <c r="M48" s="2489"/>
      <c r="N48" s="2490"/>
      <c r="O48" s="2484"/>
      <c r="P48" s="2484"/>
      <c r="Q48" s="2501"/>
      <c r="R48" s="2485"/>
      <c r="S48" s="2486"/>
      <c r="T48" s="2487"/>
      <c r="V48" s="2479"/>
      <c r="W48" s="2480"/>
      <c r="X48" s="2542"/>
      <c r="Y48" s="2481"/>
      <c r="Z48" s="2482"/>
      <c r="AA48" s="2483"/>
      <c r="AB48" s="2483"/>
      <c r="AC48" s="2551"/>
      <c r="AD48" s="2485"/>
      <c r="AE48" s="2486"/>
      <c r="AF48" s="2478"/>
      <c r="AH48" s="2643"/>
      <c r="AI48" s="2644"/>
      <c r="AJ48" s="2645"/>
      <c r="AK48" s="2689"/>
      <c r="AL48" s="2646"/>
      <c r="AM48" s="2690"/>
      <c r="AN48" s="2647"/>
      <c r="AO48" s="2648"/>
      <c r="AP48" s="2692"/>
      <c r="AQ48" s="2646"/>
      <c r="AR48" s="2649"/>
      <c r="AS48" s="2646"/>
      <c r="AT48" s="2650"/>
      <c r="AV48" s="2727" t="s">
        <v>1128</v>
      </c>
      <c r="AW48" s="2728">
        <v>45423</v>
      </c>
      <c r="AX48" s="2716">
        <v>8.92</v>
      </c>
      <c r="AY48" s="2723">
        <v>103.8</v>
      </c>
      <c r="AZ48" s="2660">
        <v>17.309999999999999</v>
      </c>
      <c r="BA48" s="2725">
        <v>215.19</v>
      </c>
      <c r="BB48" s="2696">
        <v>2.0699999999999998</v>
      </c>
      <c r="BC48" s="2718" t="s">
        <v>189</v>
      </c>
      <c r="BD48" s="2716">
        <v>10</v>
      </c>
      <c r="BE48" s="3079">
        <v>0.34</v>
      </c>
      <c r="BF48" s="2718" t="s">
        <v>189</v>
      </c>
      <c r="BH48" s="2421"/>
      <c r="BI48" s="2421"/>
      <c r="BJ48" s="2421"/>
      <c r="BM48" s="2250"/>
      <c r="BN48" s="2250"/>
      <c r="BO48" s="2250"/>
      <c r="BP48" s="2471"/>
      <c r="BR48" s="2421"/>
    </row>
    <row r="49" spans="2:70" ht="13.8" customHeight="1" thickTop="1" thickBot="1">
      <c r="B49" s="2488"/>
      <c r="C49" s="2489"/>
      <c r="D49" s="2576"/>
      <c r="E49" s="2484"/>
      <c r="F49" s="2484"/>
      <c r="G49" s="2501"/>
      <c r="H49" s="2485"/>
      <c r="I49" s="2486"/>
      <c r="J49" s="2487"/>
      <c r="L49" s="2488"/>
      <c r="M49" s="2489"/>
      <c r="N49" s="2490"/>
      <c r="O49" s="2484"/>
      <c r="P49" s="2484"/>
      <c r="Q49" s="2501"/>
      <c r="R49" s="2485"/>
      <c r="S49" s="2486"/>
      <c r="T49" s="2487"/>
      <c r="V49" s="2479"/>
      <c r="W49" s="2480"/>
      <c r="X49" s="2542"/>
      <c r="Y49" s="2481"/>
      <c r="Z49" s="2482"/>
      <c r="AA49" s="2483"/>
      <c r="AB49" s="2483"/>
      <c r="AC49" s="2551"/>
      <c r="AD49" s="2485"/>
      <c r="AE49" s="2486"/>
      <c r="AF49" s="2478"/>
      <c r="AH49" s="2643"/>
      <c r="AI49" s="2644"/>
      <c r="AJ49" s="2645"/>
      <c r="AK49" s="2689"/>
      <c r="AL49" s="2646"/>
      <c r="AM49" s="2690"/>
      <c r="AN49" s="2647"/>
      <c r="AO49" s="2648"/>
      <c r="AP49" s="2692"/>
      <c r="AQ49" s="2646"/>
      <c r="AR49" s="2649"/>
      <c r="AS49" s="2646"/>
      <c r="AT49" s="2650"/>
      <c r="AV49" s="2727" t="s">
        <v>1139</v>
      </c>
      <c r="AW49" s="2728">
        <v>45424</v>
      </c>
      <c r="AX49" s="2716">
        <v>8.3800000000000008</v>
      </c>
      <c r="AY49" s="2723">
        <v>112.18</v>
      </c>
      <c r="AZ49" s="2660">
        <v>14.19</v>
      </c>
      <c r="BA49" s="2725">
        <v>229.38</v>
      </c>
      <c r="BB49" s="2696">
        <v>2.04</v>
      </c>
      <c r="BC49" s="2718" t="s">
        <v>189</v>
      </c>
      <c r="BD49" s="2716">
        <v>6</v>
      </c>
      <c r="BE49" s="3079">
        <v>0.23</v>
      </c>
      <c r="BF49" s="2718" t="s">
        <v>189</v>
      </c>
      <c r="BH49" s="2421"/>
      <c r="BI49" s="2421"/>
      <c r="BJ49" s="2421"/>
      <c r="BM49" s="2250"/>
      <c r="BN49" s="2250"/>
      <c r="BO49" s="2250"/>
      <c r="BP49" s="2471"/>
      <c r="BR49" s="2421"/>
    </row>
    <row r="50" spans="2:70" ht="13.8" customHeight="1" thickTop="1" thickBot="1">
      <c r="B50" s="2488"/>
      <c r="C50" s="2489"/>
      <c r="D50" s="2576"/>
      <c r="E50" s="2484"/>
      <c r="F50" s="2484"/>
      <c r="G50" s="2501"/>
      <c r="H50" s="2485"/>
      <c r="I50" s="2486"/>
      <c r="J50" s="2487"/>
      <c r="L50" s="2488"/>
      <c r="M50" s="2489"/>
      <c r="N50" s="2490"/>
      <c r="O50" s="2484"/>
      <c r="P50" s="2484"/>
      <c r="Q50" s="2501"/>
      <c r="R50" s="2485"/>
      <c r="S50" s="2486"/>
      <c r="T50" s="2487"/>
      <c r="V50" s="2479"/>
      <c r="W50" s="2480"/>
      <c r="X50" s="2542"/>
      <c r="Y50" s="2481"/>
      <c r="Z50" s="2482"/>
      <c r="AA50" s="2483"/>
      <c r="AB50" s="2483"/>
      <c r="AC50" s="2551"/>
      <c r="AD50" s="2485"/>
      <c r="AE50" s="2486"/>
      <c r="AF50" s="2478"/>
      <c r="AH50" s="2643"/>
      <c r="AI50" s="2644"/>
      <c r="AJ50" s="2645"/>
      <c r="AK50" s="2689"/>
      <c r="AL50" s="2646"/>
      <c r="AM50" s="2690"/>
      <c r="AN50" s="2647"/>
      <c r="AO50" s="2648"/>
      <c r="AP50" s="2692"/>
      <c r="AQ50" s="2646"/>
      <c r="AR50" s="2649"/>
      <c r="AS50" s="2646"/>
      <c r="AT50" s="2650"/>
      <c r="AV50" s="2727" t="s">
        <v>1138</v>
      </c>
      <c r="AW50" s="2728">
        <v>45425</v>
      </c>
      <c r="AX50" s="2716">
        <v>8.16</v>
      </c>
      <c r="AY50" s="2723">
        <v>120.34</v>
      </c>
      <c r="AZ50" s="2660">
        <v>14.38</v>
      </c>
      <c r="BA50" s="2725">
        <v>243.76</v>
      </c>
      <c r="BB50" s="2696">
        <v>2.0299999999999998</v>
      </c>
      <c r="BC50" s="2718" t="s">
        <v>189</v>
      </c>
      <c r="BD50" s="2716">
        <v>4</v>
      </c>
      <c r="BE50" s="3079">
        <v>0.2</v>
      </c>
      <c r="BF50" s="2718" t="s">
        <v>189</v>
      </c>
      <c r="BH50" s="2421" t="s">
        <v>1708</v>
      </c>
      <c r="BI50" s="2421"/>
      <c r="BJ50" s="2421"/>
      <c r="BM50" s="2250"/>
      <c r="BN50" s="2250"/>
      <c r="BO50" s="2250"/>
      <c r="BP50" s="2471"/>
      <c r="BR50" s="2421"/>
    </row>
    <row r="51" spans="2:70" ht="13.8" customHeight="1" thickTop="1" thickBot="1">
      <c r="B51" s="2488"/>
      <c r="C51" s="2489"/>
      <c r="D51" s="2576"/>
      <c r="E51" s="2484"/>
      <c r="F51" s="2484"/>
      <c r="G51" s="2501"/>
      <c r="H51" s="2485"/>
      <c r="I51" s="2486"/>
      <c r="J51" s="2487"/>
      <c r="L51" s="2488"/>
      <c r="M51" s="2489"/>
      <c r="N51" s="2490"/>
      <c r="O51" s="2484"/>
      <c r="P51" s="2484"/>
      <c r="Q51" s="2501"/>
      <c r="R51" s="2485"/>
      <c r="S51" s="2486"/>
      <c r="T51" s="2487"/>
      <c r="V51" s="2479"/>
      <c r="W51" s="2480"/>
      <c r="X51" s="2542"/>
      <c r="Y51" s="2481"/>
      <c r="Z51" s="2482"/>
      <c r="AA51" s="2483"/>
      <c r="AB51" s="2483"/>
      <c r="AC51" s="2551"/>
      <c r="AD51" s="2485"/>
      <c r="AE51" s="2486"/>
      <c r="AF51" s="2478"/>
      <c r="AH51" s="2643"/>
      <c r="AI51" s="2644"/>
      <c r="AJ51" s="2645"/>
      <c r="AK51" s="2689"/>
      <c r="AL51" s="2646"/>
      <c r="AM51" s="2690"/>
      <c r="AN51" s="2647"/>
      <c r="AO51" s="2648"/>
      <c r="AP51" s="2692"/>
      <c r="AQ51" s="2646"/>
      <c r="AR51" s="2649"/>
      <c r="AS51" s="2646"/>
      <c r="AT51" s="2650"/>
      <c r="AV51" s="2727" t="s">
        <v>1137</v>
      </c>
      <c r="AW51" s="2728">
        <v>45426</v>
      </c>
      <c r="AX51" s="2716">
        <v>8.0399999999999991</v>
      </c>
      <c r="AY51" s="2723">
        <v>128.38</v>
      </c>
      <c r="AZ51" s="2660">
        <v>13.36</v>
      </c>
      <c r="BA51" s="2725">
        <v>257.12</v>
      </c>
      <c r="BB51" s="2696">
        <v>2</v>
      </c>
      <c r="BC51" s="2718" t="s">
        <v>189</v>
      </c>
      <c r="BD51" s="2716">
        <v>3</v>
      </c>
      <c r="BE51" s="3079">
        <v>0.18</v>
      </c>
      <c r="BF51" s="2718" t="s">
        <v>189</v>
      </c>
      <c r="BH51" s="2421"/>
      <c r="BI51" s="2421"/>
      <c r="BJ51" s="2421"/>
      <c r="BM51" s="2250"/>
      <c r="BN51" s="2250"/>
      <c r="BO51" s="2250"/>
      <c r="BP51" s="2471"/>
      <c r="BR51" s="2421"/>
    </row>
    <row r="52" spans="2:70" ht="13.8" customHeight="1" thickTop="1" thickBot="1">
      <c r="B52" s="2488"/>
      <c r="C52" s="2489"/>
      <c r="D52" s="2576"/>
      <c r="E52" s="2484"/>
      <c r="F52" s="2484"/>
      <c r="G52" s="2501"/>
      <c r="H52" s="2485"/>
      <c r="I52" s="2486"/>
      <c r="J52" s="2487"/>
      <c r="L52" s="2488"/>
      <c r="M52" s="2489"/>
      <c r="N52" s="2490"/>
      <c r="O52" s="2484"/>
      <c r="P52" s="2484"/>
      <c r="Q52" s="2501"/>
      <c r="R52" s="2485"/>
      <c r="S52" s="2486"/>
      <c r="T52" s="2487"/>
      <c r="V52" s="2479"/>
      <c r="W52" s="2480"/>
      <c r="X52" s="2542"/>
      <c r="Y52" s="2481"/>
      <c r="Z52" s="2482"/>
      <c r="AA52" s="2483"/>
      <c r="AB52" s="2483"/>
      <c r="AC52" s="2551"/>
      <c r="AD52" s="2485"/>
      <c r="AE52" s="2486"/>
      <c r="AF52" s="2478"/>
      <c r="AH52" s="2643"/>
      <c r="AI52" s="2644"/>
      <c r="AJ52" s="2645"/>
      <c r="AK52" s="2689"/>
      <c r="AL52" s="2646"/>
      <c r="AM52" s="2690"/>
      <c r="AN52" s="2647"/>
      <c r="AO52" s="2648"/>
      <c r="AP52" s="2692"/>
      <c r="AQ52" s="2646"/>
      <c r="AR52" s="2649"/>
      <c r="AS52" s="2646"/>
      <c r="AT52" s="2650"/>
      <c r="AV52" s="2727" t="s">
        <v>1131</v>
      </c>
      <c r="AW52" s="2728">
        <v>45427</v>
      </c>
      <c r="AX52" s="2716" t="str">
        <f t="shared" ref="AX45:AX68" si="34">IF(AY52&gt;0,AY52-AY51,"")</f>
        <v/>
      </c>
      <c r="AY52" s="2723"/>
      <c r="AZ52" s="2660" t="str">
        <f t="shared" ref="AZ46:AZ68" si="35">IF(BA52&gt;0,BA52-BA51,"")</f>
        <v/>
      </c>
      <c r="BA52" s="2725"/>
      <c r="BB52" s="2696" t="str">
        <f t="shared" si="20"/>
        <v/>
      </c>
      <c r="BC52" s="2718" t="str">
        <f t="shared" ref="BC45:BC68" si="36">IF(AY52&gt;0,"*","")</f>
        <v/>
      </c>
      <c r="BD52" s="2716">
        <v>0</v>
      </c>
      <c r="BE52" s="3079">
        <v>0</v>
      </c>
      <c r="BF52" s="2718" t="str">
        <f t="shared" ref="BF47:BF68" si="37">IF(BD52&gt;0,"*","")</f>
        <v/>
      </c>
      <c r="BH52" s="2421"/>
      <c r="BI52" s="2421"/>
      <c r="BJ52" s="2421"/>
      <c r="BM52" s="2250"/>
      <c r="BN52" s="2250"/>
      <c r="BO52" s="2250"/>
      <c r="BP52" s="2471"/>
      <c r="BR52" s="2421"/>
    </row>
    <row r="53" spans="2:70" ht="13.8" customHeight="1" thickTop="1" thickBot="1">
      <c r="B53" s="2488"/>
      <c r="C53" s="2489"/>
      <c r="D53" s="2576"/>
      <c r="E53" s="2484"/>
      <c r="F53" s="2484"/>
      <c r="G53" s="2501"/>
      <c r="H53" s="2485"/>
      <c r="I53" s="2486"/>
      <c r="J53" s="2487"/>
      <c r="L53" s="2488"/>
      <c r="M53" s="2489"/>
      <c r="N53" s="2490"/>
      <c r="O53" s="2484"/>
      <c r="P53" s="2484"/>
      <c r="Q53" s="2501"/>
      <c r="R53" s="2485"/>
      <c r="S53" s="2486"/>
      <c r="T53" s="2487"/>
      <c r="V53" s="2479"/>
      <c r="W53" s="2480"/>
      <c r="X53" s="2542"/>
      <c r="Y53" s="2481"/>
      <c r="Z53" s="2482"/>
      <c r="AA53" s="2483"/>
      <c r="AB53" s="2483"/>
      <c r="AC53" s="2551"/>
      <c r="AD53" s="2485"/>
      <c r="AE53" s="2486"/>
      <c r="AF53" s="2478"/>
      <c r="AH53" s="2643"/>
      <c r="AI53" s="2644"/>
      <c r="AJ53" s="2645"/>
      <c r="AK53" s="2689"/>
      <c r="AL53" s="2646"/>
      <c r="AM53" s="2690"/>
      <c r="AN53" s="2647"/>
      <c r="AO53" s="2648"/>
      <c r="AP53" s="2692"/>
      <c r="AQ53" s="2646"/>
      <c r="AR53" s="2649"/>
      <c r="AS53" s="2646"/>
      <c r="AT53" s="2650"/>
      <c r="AV53" s="2727" t="s">
        <v>1136</v>
      </c>
      <c r="AW53" s="2728">
        <v>45428</v>
      </c>
      <c r="AX53" s="2716" t="str">
        <f t="shared" si="34"/>
        <v/>
      </c>
      <c r="AY53" s="2723"/>
      <c r="AZ53" s="2660" t="str">
        <f t="shared" si="35"/>
        <v/>
      </c>
      <c r="BA53" s="2725"/>
      <c r="BB53" s="2696" t="str">
        <f t="shared" si="20"/>
        <v/>
      </c>
      <c r="BC53" s="2718" t="str">
        <f t="shared" si="36"/>
        <v/>
      </c>
      <c r="BD53" s="2716">
        <v>0</v>
      </c>
      <c r="BE53" s="3079">
        <v>0</v>
      </c>
      <c r="BF53" s="2718" t="str">
        <f t="shared" si="37"/>
        <v/>
      </c>
      <c r="BH53" s="2421"/>
      <c r="BI53" s="2421"/>
      <c r="BJ53" s="2421"/>
      <c r="BM53" s="2250"/>
      <c r="BN53" s="2250"/>
      <c r="BO53" s="2250"/>
      <c r="BP53" s="2471"/>
      <c r="BR53" s="2421"/>
    </row>
    <row r="54" spans="2:70" ht="13.8" customHeight="1" thickTop="1" thickBot="1">
      <c r="B54" s="2488"/>
      <c r="C54" s="2489"/>
      <c r="D54" s="2576"/>
      <c r="E54" s="2484"/>
      <c r="F54" s="2484"/>
      <c r="G54" s="2501"/>
      <c r="H54" s="2485"/>
      <c r="I54" s="2486"/>
      <c r="J54" s="2487"/>
      <c r="L54" s="2488"/>
      <c r="M54" s="2489"/>
      <c r="N54" s="2490"/>
      <c r="O54" s="2484"/>
      <c r="P54" s="2484"/>
      <c r="Q54" s="2501"/>
      <c r="R54" s="2485"/>
      <c r="S54" s="2486"/>
      <c r="T54" s="2487"/>
      <c r="V54" s="2479"/>
      <c r="W54" s="2480"/>
      <c r="X54" s="2542"/>
      <c r="Y54" s="2481"/>
      <c r="Z54" s="2482"/>
      <c r="AA54" s="2483"/>
      <c r="AB54" s="2483"/>
      <c r="AC54" s="2551"/>
      <c r="AD54" s="2485"/>
      <c r="AE54" s="2486"/>
      <c r="AF54" s="2478"/>
      <c r="AH54" s="2643"/>
      <c r="AI54" s="2644"/>
      <c r="AJ54" s="2645"/>
      <c r="AK54" s="2689"/>
      <c r="AL54" s="2646"/>
      <c r="AM54" s="2690"/>
      <c r="AN54" s="2647"/>
      <c r="AO54" s="2648"/>
      <c r="AP54" s="2692"/>
      <c r="AQ54" s="2646"/>
      <c r="AR54" s="2649"/>
      <c r="AS54" s="2646"/>
      <c r="AT54" s="2650"/>
      <c r="AV54" s="2727" t="s">
        <v>1130</v>
      </c>
      <c r="AW54" s="2728">
        <v>45429</v>
      </c>
      <c r="AX54" s="2716" t="str">
        <f t="shared" si="34"/>
        <v/>
      </c>
      <c r="AY54" s="2723"/>
      <c r="AZ54" s="2660" t="str">
        <f t="shared" si="35"/>
        <v/>
      </c>
      <c r="BA54" s="2725"/>
      <c r="BB54" s="2696" t="str">
        <f t="shared" si="20"/>
        <v/>
      </c>
      <c r="BC54" s="2718" t="str">
        <f t="shared" si="36"/>
        <v/>
      </c>
      <c r="BD54" s="2716">
        <v>0</v>
      </c>
      <c r="BE54" s="3079">
        <v>0</v>
      </c>
      <c r="BF54" s="2718" t="str">
        <f t="shared" si="37"/>
        <v/>
      </c>
      <c r="BH54" s="2421"/>
      <c r="BI54" s="2421"/>
      <c r="BJ54" s="2421"/>
      <c r="BM54" s="2250"/>
      <c r="BN54" s="2250"/>
      <c r="BO54" s="2250"/>
      <c r="BP54" s="2471"/>
      <c r="BR54" s="2421"/>
    </row>
    <row r="55" spans="2:70" ht="13.8" customHeight="1" thickTop="1" thickBot="1">
      <c r="B55" s="2488"/>
      <c r="C55" s="2489"/>
      <c r="D55" s="2576"/>
      <c r="E55" s="2484"/>
      <c r="F55" s="2484"/>
      <c r="G55" s="2501"/>
      <c r="H55" s="2485"/>
      <c r="I55" s="2486"/>
      <c r="J55" s="2487"/>
      <c r="L55" s="2488"/>
      <c r="M55" s="2489"/>
      <c r="N55" s="2490"/>
      <c r="O55" s="2484"/>
      <c r="P55" s="2484"/>
      <c r="Q55" s="2501"/>
      <c r="R55" s="2485"/>
      <c r="S55" s="2486"/>
      <c r="T55" s="2487"/>
      <c r="V55" s="2479"/>
      <c r="W55" s="2480"/>
      <c r="X55" s="2542"/>
      <c r="Y55" s="2481"/>
      <c r="Z55" s="2482"/>
      <c r="AA55" s="2483"/>
      <c r="AB55" s="2483"/>
      <c r="AC55" s="2551"/>
      <c r="AD55" s="2485"/>
      <c r="AE55" s="2486"/>
      <c r="AF55" s="2478"/>
      <c r="AH55" s="2643"/>
      <c r="AI55" s="2644"/>
      <c r="AJ55" s="2645"/>
      <c r="AK55" s="2689"/>
      <c r="AL55" s="2646"/>
      <c r="AM55" s="2690"/>
      <c r="AN55" s="2647"/>
      <c r="AO55" s="2648"/>
      <c r="AP55" s="2692"/>
      <c r="AQ55" s="2646"/>
      <c r="AR55" s="2649"/>
      <c r="AS55" s="2646"/>
      <c r="AT55" s="2650"/>
      <c r="AV55" s="2727" t="s">
        <v>1128</v>
      </c>
      <c r="AW55" s="2728">
        <v>45430</v>
      </c>
      <c r="AX55" s="2716" t="str">
        <f t="shared" si="34"/>
        <v/>
      </c>
      <c r="AY55" s="2723"/>
      <c r="AZ55" s="2660" t="str">
        <f t="shared" si="35"/>
        <v/>
      </c>
      <c r="BA55" s="2725"/>
      <c r="BB55" s="2696" t="str">
        <f t="shared" si="20"/>
        <v/>
      </c>
      <c r="BC55" s="2718" t="str">
        <f t="shared" si="36"/>
        <v/>
      </c>
      <c r="BD55" s="2716">
        <v>0</v>
      </c>
      <c r="BE55" s="3079">
        <v>0</v>
      </c>
      <c r="BF55" s="2718" t="str">
        <f t="shared" si="37"/>
        <v/>
      </c>
      <c r="BH55" s="2421"/>
      <c r="BI55" s="2421"/>
      <c r="BJ55" s="2421"/>
      <c r="BM55" s="2250"/>
      <c r="BN55" s="2250"/>
      <c r="BO55" s="2250"/>
      <c r="BP55" s="2471"/>
      <c r="BR55" s="2421"/>
    </row>
    <row r="56" spans="2:70" ht="13.8" customHeight="1" thickTop="1" thickBot="1">
      <c r="B56" s="2488"/>
      <c r="C56" s="2489"/>
      <c r="D56" s="2576"/>
      <c r="E56" s="2484"/>
      <c r="F56" s="2484"/>
      <c r="G56" s="2501"/>
      <c r="H56" s="2485"/>
      <c r="I56" s="2486"/>
      <c r="J56" s="2487"/>
      <c r="L56" s="2488"/>
      <c r="M56" s="2489"/>
      <c r="N56" s="2490"/>
      <c r="O56" s="2484"/>
      <c r="P56" s="2484"/>
      <c r="Q56" s="2501"/>
      <c r="R56" s="2485"/>
      <c r="S56" s="2486"/>
      <c r="T56" s="2487"/>
      <c r="V56" s="2479"/>
      <c r="W56" s="2480"/>
      <c r="X56" s="2542"/>
      <c r="Y56" s="2481"/>
      <c r="Z56" s="2482"/>
      <c r="AA56" s="2483"/>
      <c r="AB56" s="2483"/>
      <c r="AC56" s="2551"/>
      <c r="AD56" s="2485"/>
      <c r="AE56" s="2486"/>
      <c r="AF56" s="2478"/>
      <c r="AH56" s="2643"/>
      <c r="AI56" s="2644"/>
      <c r="AJ56" s="2645"/>
      <c r="AK56" s="2689"/>
      <c r="AL56" s="2646"/>
      <c r="AM56" s="2690"/>
      <c r="AN56" s="2647"/>
      <c r="AO56" s="2648"/>
      <c r="AP56" s="2692"/>
      <c r="AQ56" s="2646"/>
      <c r="AR56" s="2649"/>
      <c r="AS56" s="2646"/>
      <c r="AT56" s="2650"/>
      <c r="AV56" s="2727" t="s">
        <v>1139</v>
      </c>
      <c r="AW56" s="2728">
        <v>45431</v>
      </c>
      <c r="AX56" s="2716" t="str">
        <f t="shared" si="34"/>
        <v/>
      </c>
      <c r="AY56" s="2723"/>
      <c r="AZ56" s="2660" t="str">
        <f t="shared" si="35"/>
        <v/>
      </c>
      <c r="BA56" s="2725"/>
      <c r="BB56" s="2696" t="str">
        <f t="shared" si="20"/>
        <v/>
      </c>
      <c r="BC56" s="2718" t="str">
        <f t="shared" si="36"/>
        <v/>
      </c>
      <c r="BD56" s="2716">
        <v>0</v>
      </c>
      <c r="BE56" s="3079">
        <v>0</v>
      </c>
      <c r="BF56" s="2718" t="str">
        <f t="shared" si="37"/>
        <v/>
      </c>
      <c r="BH56" s="2421"/>
      <c r="BI56" s="2421"/>
      <c r="BJ56" s="2421"/>
      <c r="BL56" s="2420"/>
      <c r="BR56" s="2421"/>
    </row>
    <row r="57" spans="2:70" ht="13.8" customHeight="1" thickTop="1" thickBot="1">
      <c r="B57" s="2488"/>
      <c r="C57" s="2489"/>
      <c r="D57" s="2576"/>
      <c r="E57" s="2484"/>
      <c r="F57" s="2484"/>
      <c r="G57" s="2501"/>
      <c r="H57" s="2485"/>
      <c r="I57" s="2486"/>
      <c r="J57" s="2487"/>
      <c r="L57" s="2488"/>
      <c r="M57" s="2489"/>
      <c r="N57" s="2490"/>
      <c r="O57" s="2484"/>
      <c r="P57" s="2484"/>
      <c r="Q57" s="2501"/>
      <c r="R57" s="2485"/>
      <c r="S57" s="2486"/>
      <c r="T57" s="2487"/>
      <c r="V57" s="2479"/>
      <c r="W57" s="2480"/>
      <c r="X57" s="2542"/>
      <c r="Y57" s="2481"/>
      <c r="Z57" s="2482"/>
      <c r="AA57" s="2483"/>
      <c r="AB57" s="2483"/>
      <c r="AC57" s="2551"/>
      <c r="AD57" s="2485"/>
      <c r="AE57" s="2486"/>
      <c r="AF57" s="2478"/>
      <c r="AH57" s="2643"/>
      <c r="AI57" s="2644"/>
      <c r="AJ57" s="2645"/>
      <c r="AK57" s="2689"/>
      <c r="AL57" s="2646"/>
      <c r="AM57" s="2690"/>
      <c r="AN57" s="2647"/>
      <c r="AO57" s="2648"/>
      <c r="AP57" s="2692"/>
      <c r="AQ57" s="2646"/>
      <c r="AR57" s="2649"/>
      <c r="AS57" s="2646"/>
      <c r="AT57" s="2650"/>
      <c r="AV57" s="2727" t="s">
        <v>1138</v>
      </c>
      <c r="AW57" s="2728">
        <v>45432</v>
      </c>
      <c r="AX57" s="2716" t="str">
        <f t="shared" si="34"/>
        <v/>
      </c>
      <c r="AY57" s="2723"/>
      <c r="AZ57" s="2660" t="str">
        <f t="shared" si="35"/>
        <v/>
      </c>
      <c r="BA57" s="2725"/>
      <c r="BB57" s="2696" t="str">
        <f t="shared" si="20"/>
        <v/>
      </c>
      <c r="BC57" s="2718" t="str">
        <f t="shared" si="36"/>
        <v/>
      </c>
      <c r="BD57" s="2716">
        <v>0</v>
      </c>
      <c r="BE57" s="3079">
        <v>0</v>
      </c>
      <c r="BF57" s="2718" t="str">
        <f t="shared" si="37"/>
        <v/>
      </c>
      <c r="BH57" s="2421"/>
      <c r="BI57" s="2421"/>
      <c r="BJ57" s="2421"/>
      <c r="BL57" s="2420"/>
      <c r="BR57" s="2421"/>
    </row>
    <row r="58" spans="2:70" ht="13.8" customHeight="1" thickTop="1" thickBot="1">
      <c r="B58" s="2488"/>
      <c r="C58" s="2489"/>
      <c r="D58" s="2576"/>
      <c r="E58" s="2484"/>
      <c r="F58" s="2484"/>
      <c r="G58" s="2501"/>
      <c r="H58" s="2485"/>
      <c r="I58" s="2486"/>
      <c r="J58" s="2487"/>
      <c r="L58" s="2488"/>
      <c r="M58" s="2489"/>
      <c r="N58" s="2490"/>
      <c r="O58" s="2484"/>
      <c r="P58" s="2484"/>
      <c r="Q58" s="2501"/>
      <c r="R58" s="2485"/>
      <c r="S58" s="2486"/>
      <c r="T58" s="2487"/>
      <c r="V58" s="2479"/>
      <c r="W58" s="2480"/>
      <c r="X58" s="2542"/>
      <c r="Y58" s="2481"/>
      <c r="Z58" s="2482"/>
      <c r="AA58" s="2483"/>
      <c r="AB58" s="2483"/>
      <c r="AC58" s="2551"/>
      <c r="AD58" s="2485"/>
      <c r="AE58" s="2486"/>
      <c r="AF58" s="2478"/>
      <c r="AH58" s="2643"/>
      <c r="AI58" s="2644"/>
      <c r="AJ58" s="2645"/>
      <c r="AK58" s="2689"/>
      <c r="AL58" s="2646"/>
      <c r="AM58" s="2690"/>
      <c r="AN58" s="2647"/>
      <c r="AO58" s="2648"/>
      <c r="AP58" s="2692"/>
      <c r="AQ58" s="2646"/>
      <c r="AR58" s="2649"/>
      <c r="AS58" s="2646"/>
      <c r="AT58" s="2650"/>
      <c r="AV58" s="2727" t="s">
        <v>1137</v>
      </c>
      <c r="AW58" s="2728">
        <v>45433</v>
      </c>
      <c r="AX58" s="2716" t="str">
        <f t="shared" si="34"/>
        <v/>
      </c>
      <c r="AY58" s="2723"/>
      <c r="AZ58" s="2660" t="str">
        <f t="shared" si="35"/>
        <v/>
      </c>
      <c r="BA58" s="2725"/>
      <c r="BB58" s="2696" t="str">
        <f t="shared" si="20"/>
        <v/>
      </c>
      <c r="BC58" s="2718" t="str">
        <f t="shared" si="36"/>
        <v/>
      </c>
      <c r="BD58" s="2716">
        <v>0</v>
      </c>
      <c r="BE58" s="3079">
        <v>0</v>
      </c>
      <c r="BF58" s="2718" t="str">
        <f t="shared" si="37"/>
        <v/>
      </c>
      <c r="BH58" s="2421"/>
      <c r="BI58" s="2421"/>
      <c r="BJ58" s="2421"/>
      <c r="BM58" s="2250"/>
      <c r="BN58" s="2250"/>
      <c r="BO58" s="2250"/>
      <c r="BP58" s="2471"/>
      <c r="BR58" s="2421"/>
    </row>
    <row r="59" spans="2:70" ht="13.8" customHeight="1" thickTop="1" thickBot="1">
      <c r="B59" s="2488"/>
      <c r="C59" s="2489"/>
      <c r="D59" s="2576"/>
      <c r="E59" s="2484"/>
      <c r="F59" s="2484"/>
      <c r="G59" s="2501"/>
      <c r="H59" s="2485"/>
      <c r="I59" s="2486"/>
      <c r="J59" s="2487"/>
      <c r="L59" s="2488"/>
      <c r="M59" s="2489"/>
      <c r="N59" s="2490"/>
      <c r="O59" s="2484"/>
      <c r="P59" s="2484"/>
      <c r="Q59" s="2501"/>
      <c r="R59" s="2485"/>
      <c r="S59" s="2486"/>
      <c r="T59" s="2487"/>
      <c r="V59" s="2479"/>
      <c r="W59" s="2480"/>
      <c r="X59" s="2542"/>
      <c r="Y59" s="2481"/>
      <c r="Z59" s="2482"/>
      <c r="AA59" s="2483"/>
      <c r="AB59" s="2483"/>
      <c r="AC59" s="2551"/>
      <c r="AD59" s="2485"/>
      <c r="AE59" s="2486"/>
      <c r="AF59" s="2478"/>
      <c r="AH59" s="2643"/>
      <c r="AI59" s="2644"/>
      <c r="AJ59" s="2645"/>
      <c r="AK59" s="2689"/>
      <c r="AL59" s="2646"/>
      <c r="AM59" s="2690"/>
      <c r="AN59" s="2647"/>
      <c r="AO59" s="2648"/>
      <c r="AP59" s="2692"/>
      <c r="AQ59" s="2646"/>
      <c r="AR59" s="2649"/>
      <c r="AS59" s="2646"/>
      <c r="AT59" s="2650"/>
      <c r="AV59" s="2727" t="s">
        <v>1131</v>
      </c>
      <c r="AW59" s="2728">
        <v>45434</v>
      </c>
      <c r="AX59" s="2716" t="str">
        <f t="shared" si="34"/>
        <v/>
      </c>
      <c r="AY59" s="2723"/>
      <c r="AZ59" s="2660" t="str">
        <f t="shared" si="35"/>
        <v/>
      </c>
      <c r="BA59" s="2725"/>
      <c r="BB59" s="2696" t="str">
        <f t="shared" si="20"/>
        <v/>
      </c>
      <c r="BC59" s="2718" t="str">
        <f t="shared" si="36"/>
        <v/>
      </c>
      <c r="BD59" s="2716">
        <v>0</v>
      </c>
      <c r="BE59" s="3079">
        <v>0</v>
      </c>
      <c r="BF59" s="2718" t="str">
        <f t="shared" si="37"/>
        <v/>
      </c>
      <c r="BH59" s="2421"/>
      <c r="BI59" s="2421"/>
      <c r="BJ59" s="2421"/>
      <c r="BM59" s="2250"/>
      <c r="BN59" s="2250"/>
      <c r="BO59" s="2250"/>
      <c r="BP59" s="2471"/>
      <c r="BR59" s="2421"/>
    </row>
    <row r="60" spans="2:70" ht="13.8" customHeight="1" thickTop="1" thickBot="1">
      <c r="B60" s="2488"/>
      <c r="C60" s="2489"/>
      <c r="D60" s="2576"/>
      <c r="E60" s="2484"/>
      <c r="F60" s="2484"/>
      <c r="G60" s="2501"/>
      <c r="H60" s="2485"/>
      <c r="I60" s="2486"/>
      <c r="J60" s="2487"/>
      <c r="L60" s="2488"/>
      <c r="M60" s="2489"/>
      <c r="N60" s="2490"/>
      <c r="O60" s="2484"/>
      <c r="P60" s="2484"/>
      <c r="Q60" s="2501"/>
      <c r="R60" s="2485"/>
      <c r="S60" s="2486"/>
      <c r="T60" s="2487"/>
      <c r="V60" s="2479"/>
      <c r="W60" s="2480"/>
      <c r="X60" s="2542"/>
      <c r="Y60" s="2481"/>
      <c r="Z60" s="2482"/>
      <c r="AA60" s="2483"/>
      <c r="AB60" s="2483"/>
      <c r="AC60" s="2551"/>
      <c r="AD60" s="2485"/>
      <c r="AE60" s="2486"/>
      <c r="AF60" s="2478"/>
      <c r="AH60" s="2643"/>
      <c r="AI60" s="2644"/>
      <c r="AJ60" s="2645"/>
      <c r="AK60" s="2689"/>
      <c r="AL60" s="2646"/>
      <c r="AM60" s="2690"/>
      <c r="AN60" s="2647"/>
      <c r="AO60" s="2648"/>
      <c r="AP60" s="2692"/>
      <c r="AQ60" s="2646"/>
      <c r="AR60" s="2649"/>
      <c r="AS60" s="2646"/>
      <c r="AT60" s="2650"/>
      <c r="AV60" s="2727" t="s">
        <v>1136</v>
      </c>
      <c r="AW60" s="2728">
        <v>45435</v>
      </c>
      <c r="AX60" s="2716" t="str">
        <f t="shared" si="34"/>
        <v/>
      </c>
      <c r="AY60" s="2723"/>
      <c r="AZ60" s="2660" t="str">
        <f t="shared" si="35"/>
        <v/>
      </c>
      <c r="BA60" s="2725"/>
      <c r="BB60" s="2696" t="str">
        <f t="shared" si="20"/>
        <v/>
      </c>
      <c r="BC60" s="2718" t="str">
        <f t="shared" si="36"/>
        <v/>
      </c>
      <c r="BD60" s="2716">
        <v>0</v>
      </c>
      <c r="BE60" s="3079">
        <v>0</v>
      </c>
      <c r="BF60" s="2718" t="str">
        <f t="shared" si="37"/>
        <v/>
      </c>
      <c r="BH60" s="2421"/>
      <c r="BI60" s="2421"/>
      <c r="BJ60" s="2421"/>
      <c r="BM60" s="2250"/>
      <c r="BN60" s="2250"/>
      <c r="BO60" s="2250"/>
      <c r="BP60" s="2471"/>
      <c r="BR60" s="2421"/>
    </row>
    <row r="61" spans="2:70" ht="13.8" customHeight="1" thickTop="1" thickBot="1">
      <c r="B61" s="2488"/>
      <c r="C61" s="2489"/>
      <c r="D61" s="2576"/>
      <c r="E61" s="2484"/>
      <c r="F61" s="2484"/>
      <c r="G61" s="2501"/>
      <c r="H61" s="2485"/>
      <c r="I61" s="2486"/>
      <c r="J61" s="2487"/>
      <c r="L61" s="2488"/>
      <c r="M61" s="2489"/>
      <c r="N61" s="2490"/>
      <c r="O61" s="2484"/>
      <c r="P61" s="2484"/>
      <c r="Q61" s="2501"/>
      <c r="R61" s="2485"/>
      <c r="S61" s="2486"/>
      <c r="T61" s="2487"/>
      <c r="V61" s="2479"/>
      <c r="W61" s="2480"/>
      <c r="X61" s="2542"/>
      <c r="Y61" s="2481"/>
      <c r="Z61" s="2482"/>
      <c r="AA61" s="2483"/>
      <c r="AB61" s="2483"/>
      <c r="AC61" s="2551"/>
      <c r="AD61" s="2485"/>
      <c r="AE61" s="2486"/>
      <c r="AF61" s="2478"/>
      <c r="AH61" s="2643"/>
      <c r="AI61" s="2644"/>
      <c r="AJ61" s="2645"/>
      <c r="AK61" s="2689"/>
      <c r="AL61" s="2646"/>
      <c r="AM61" s="2690"/>
      <c r="AN61" s="2647"/>
      <c r="AO61" s="2648"/>
      <c r="AP61" s="2692"/>
      <c r="AQ61" s="2646"/>
      <c r="AR61" s="2649"/>
      <c r="AS61" s="2646"/>
      <c r="AT61" s="2650"/>
      <c r="AV61" s="2727" t="s">
        <v>1130</v>
      </c>
      <c r="AW61" s="2728">
        <v>45436</v>
      </c>
      <c r="AX61" s="2716" t="str">
        <f t="shared" si="34"/>
        <v/>
      </c>
      <c r="AY61" s="2723"/>
      <c r="AZ61" s="2660" t="str">
        <f t="shared" si="35"/>
        <v/>
      </c>
      <c r="BA61" s="2725"/>
      <c r="BB61" s="2696" t="str">
        <f t="shared" si="20"/>
        <v/>
      </c>
      <c r="BC61" s="2718" t="str">
        <f t="shared" si="36"/>
        <v/>
      </c>
      <c r="BD61" s="2716">
        <v>0</v>
      </c>
      <c r="BE61" s="3079">
        <v>0</v>
      </c>
      <c r="BF61" s="2718" t="str">
        <f t="shared" si="37"/>
        <v/>
      </c>
      <c r="BH61" s="2421"/>
      <c r="BI61" s="2421"/>
      <c r="BJ61" s="2421"/>
      <c r="BM61" s="2250"/>
      <c r="BN61" s="2250"/>
      <c r="BO61" s="2250"/>
      <c r="BP61" s="2471"/>
      <c r="BR61" s="2421"/>
    </row>
    <row r="62" spans="2:70" ht="13.8" customHeight="1" thickTop="1" thickBot="1">
      <c r="B62" s="2488"/>
      <c r="C62" s="2489"/>
      <c r="D62" s="2576"/>
      <c r="E62" s="2484"/>
      <c r="F62" s="2484"/>
      <c r="G62" s="2501"/>
      <c r="H62" s="2485"/>
      <c r="I62" s="2486"/>
      <c r="J62" s="2487"/>
      <c r="L62" s="2488"/>
      <c r="M62" s="2489"/>
      <c r="N62" s="2490"/>
      <c r="O62" s="2484"/>
      <c r="P62" s="2484"/>
      <c r="Q62" s="2501"/>
      <c r="R62" s="2485"/>
      <c r="S62" s="2486"/>
      <c r="T62" s="2487"/>
      <c r="V62" s="2479"/>
      <c r="W62" s="2480"/>
      <c r="X62" s="2542"/>
      <c r="Y62" s="2481"/>
      <c r="Z62" s="2482"/>
      <c r="AA62" s="2483"/>
      <c r="AB62" s="2483"/>
      <c r="AC62" s="2551"/>
      <c r="AD62" s="2485"/>
      <c r="AE62" s="2486"/>
      <c r="AF62" s="2478"/>
      <c r="AH62" s="2643"/>
      <c r="AI62" s="2644"/>
      <c r="AJ62" s="2645"/>
      <c r="AK62" s="2689"/>
      <c r="AL62" s="2646"/>
      <c r="AM62" s="2690"/>
      <c r="AN62" s="2647"/>
      <c r="AO62" s="2648"/>
      <c r="AP62" s="2692"/>
      <c r="AQ62" s="2646"/>
      <c r="AR62" s="2649"/>
      <c r="AS62" s="2646"/>
      <c r="AT62" s="2650"/>
      <c r="AV62" s="2727" t="s">
        <v>1128</v>
      </c>
      <c r="AW62" s="2728">
        <v>45437</v>
      </c>
      <c r="AX62" s="2716" t="str">
        <f t="shared" si="34"/>
        <v/>
      </c>
      <c r="AY62" s="2723"/>
      <c r="AZ62" s="2660" t="str">
        <f t="shared" si="35"/>
        <v/>
      </c>
      <c r="BA62" s="2725"/>
      <c r="BB62" s="2696" t="str">
        <f t="shared" si="20"/>
        <v/>
      </c>
      <c r="BC62" s="2718" t="str">
        <f t="shared" si="36"/>
        <v/>
      </c>
      <c r="BD62" s="2716">
        <v>0</v>
      </c>
      <c r="BE62" s="3079">
        <v>0</v>
      </c>
      <c r="BF62" s="2718" t="str">
        <f t="shared" si="37"/>
        <v/>
      </c>
      <c r="BH62" s="2421"/>
      <c r="BI62" s="2421"/>
      <c r="BJ62" s="2421"/>
      <c r="BM62" s="2250"/>
      <c r="BN62" s="2250"/>
      <c r="BO62" s="2250"/>
      <c r="BP62" s="2471"/>
      <c r="BR62" s="2421"/>
    </row>
    <row r="63" spans="2:70" ht="13.8" customHeight="1" thickTop="1" thickBot="1">
      <c r="B63" s="2488"/>
      <c r="C63" s="2489"/>
      <c r="D63" s="2576"/>
      <c r="E63" s="2484"/>
      <c r="F63" s="2484"/>
      <c r="G63" s="2501"/>
      <c r="H63" s="2485"/>
      <c r="I63" s="2486"/>
      <c r="J63" s="2487"/>
      <c r="L63" s="2488"/>
      <c r="M63" s="2489"/>
      <c r="N63" s="2490"/>
      <c r="O63" s="2484"/>
      <c r="P63" s="2484"/>
      <c r="Q63" s="2501"/>
      <c r="R63" s="2485"/>
      <c r="S63" s="2486"/>
      <c r="T63" s="2487"/>
      <c r="V63" s="2479"/>
      <c r="W63" s="2480"/>
      <c r="X63" s="2542"/>
      <c r="Y63" s="2481"/>
      <c r="Z63" s="2482"/>
      <c r="AA63" s="2483"/>
      <c r="AB63" s="2483"/>
      <c r="AC63" s="2551"/>
      <c r="AD63" s="2485"/>
      <c r="AE63" s="2486"/>
      <c r="AF63" s="2478"/>
      <c r="AH63" s="2643"/>
      <c r="AI63" s="2644"/>
      <c r="AJ63" s="2645"/>
      <c r="AK63" s="2689"/>
      <c r="AL63" s="2646"/>
      <c r="AM63" s="2690"/>
      <c r="AN63" s="2647"/>
      <c r="AO63" s="2648"/>
      <c r="AP63" s="2692"/>
      <c r="AQ63" s="2646"/>
      <c r="AR63" s="2649"/>
      <c r="AS63" s="2646"/>
      <c r="AT63" s="2650"/>
      <c r="AV63" s="2727" t="s">
        <v>1139</v>
      </c>
      <c r="AW63" s="2728">
        <v>45438</v>
      </c>
      <c r="AX63" s="2716" t="str">
        <f t="shared" si="34"/>
        <v/>
      </c>
      <c r="AY63" s="2723"/>
      <c r="AZ63" s="2660" t="str">
        <f t="shared" si="35"/>
        <v/>
      </c>
      <c r="BA63" s="2725"/>
      <c r="BB63" s="2696" t="str">
        <f t="shared" si="20"/>
        <v/>
      </c>
      <c r="BC63" s="2718" t="str">
        <f t="shared" si="36"/>
        <v/>
      </c>
      <c r="BD63" s="2716">
        <v>0</v>
      </c>
      <c r="BE63" s="3079">
        <v>0</v>
      </c>
      <c r="BF63" s="2718" t="str">
        <f t="shared" si="37"/>
        <v/>
      </c>
      <c r="BH63" s="2421"/>
      <c r="BI63" s="2421"/>
      <c r="BJ63" s="2421"/>
      <c r="BM63" s="2250"/>
      <c r="BN63" s="2250"/>
      <c r="BO63" s="2250"/>
      <c r="BP63" s="2471"/>
      <c r="BR63" s="2421"/>
    </row>
    <row r="64" spans="2:70" ht="13.8" customHeight="1" thickTop="1" thickBot="1">
      <c r="B64" s="2488"/>
      <c r="C64" s="2489"/>
      <c r="D64" s="2576"/>
      <c r="E64" s="2484"/>
      <c r="F64" s="2484"/>
      <c r="G64" s="2501"/>
      <c r="H64" s="2485"/>
      <c r="I64" s="2486"/>
      <c r="J64" s="2487"/>
      <c r="L64" s="2488"/>
      <c r="M64" s="2489"/>
      <c r="N64" s="2490"/>
      <c r="O64" s="2484"/>
      <c r="P64" s="2484"/>
      <c r="Q64" s="2501"/>
      <c r="R64" s="2485"/>
      <c r="S64" s="2486"/>
      <c r="T64" s="2487"/>
      <c r="V64" s="2479"/>
      <c r="W64" s="2480"/>
      <c r="X64" s="2542"/>
      <c r="Y64" s="2481"/>
      <c r="Z64" s="2482"/>
      <c r="AA64" s="2483"/>
      <c r="AB64" s="2483"/>
      <c r="AC64" s="2551"/>
      <c r="AD64" s="2485"/>
      <c r="AE64" s="2486"/>
      <c r="AF64" s="2478"/>
      <c r="AH64" s="2643"/>
      <c r="AI64" s="2644"/>
      <c r="AJ64" s="2645"/>
      <c r="AK64" s="2689"/>
      <c r="AL64" s="2646"/>
      <c r="AM64" s="2690"/>
      <c r="AN64" s="2647"/>
      <c r="AO64" s="2648"/>
      <c r="AP64" s="2692"/>
      <c r="AQ64" s="2646"/>
      <c r="AR64" s="2649"/>
      <c r="AS64" s="2646"/>
      <c r="AT64" s="2650"/>
      <c r="AV64" s="2727" t="s">
        <v>1138</v>
      </c>
      <c r="AW64" s="2728">
        <v>45439</v>
      </c>
      <c r="AX64" s="2716" t="str">
        <f t="shared" si="34"/>
        <v/>
      </c>
      <c r="AY64" s="2723"/>
      <c r="AZ64" s="2660" t="str">
        <f t="shared" si="35"/>
        <v/>
      </c>
      <c r="BA64" s="2725"/>
      <c r="BB64" s="2696" t="str">
        <f t="shared" si="20"/>
        <v/>
      </c>
      <c r="BC64" s="2718" t="str">
        <f t="shared" si="36"/>
        <v/>
      </c>
      <c r="BD64" s="2716">
        <v>0</v>
      </c>
      <c r="BE64" s="3079">
        <v>0</v>
      </c>
      <c r="BF64" s="2718" t="str">
        <f t="shared" si="37"/>
        <v/>
      </c>
      <c r="BH64" s="2421"/>
      <c r="BI64" s="2421"/>
      <c r="BJ64" s="2421"/>
      <c r="BM64" s="2250"/>
      <c r="BN64" s="2250"/>
      <c r="BO64" s="2250"/>
      <c r="BP64" s="2471"/>
      <c r="BR64" s="2421"/>
    </row>
    <row r="65" spans="1:70" ht="13.8" customHeight="1" thickTop="1" thickBot="1">
      <c r="B65" s="2488"/>
      <c r="C65" s="2489"/>
      <c r="D65" s="2576"/>
      <c r="E65" s="2484"/>
      <c r="F65" s="2484"/>
      <c r="G65" s="2501"/>
      <c r="H65" s="2485"/>
      <c r="I65" s="2486"/>
      <c r="J65" s="2487"/>
      <c r="L65" s="2488"/>
      <c r="M65" s="2489"/>
      <c r="N65" s="2490"/>
      <c r="O65" s="2484"/>
      <c r="P65" s="2484"/>
      <c r="Q65" s="2501"/>
      <c r="R65" s="2485"/>
      <c r="S65" s="2486"/>
      <c r="T65" s="2487"/>
      <c r="V65" s="2479"/>
      <c r="W65" s="2480"/>
      <c r="X65" s="2542"/>
      <c r="Y65" s="2481"/>
      <c r="Z65" s="2482"/>
      <c r="AA65" s="2483"/>
      <c r="AB65" s="2483"/>
      <c r="AC65" s="2551"/>
      <c r="AD65" s="2485"/>
      <c r="AE65" s="2486"/>
      <c r="AF65" s="2478"/>
      <c r="AH65" s="2643"/>
      <c r="AI65" s="2644"/>
      <c r="AJ65" s="2645"/>
      <c r="AK65" s="2689"/>
      <c r="AL65" s="2646"/>
      <c r="AM65" s="2690"/>
      <c r="AN65" s="2647"/>
      <c r="AO65" s="2648"/>
      <c r="AP65" s="2692"/>
      <c r="AQ65" s="2646"/>
      <c r="AR65" s="2649"/>
      <c r="AS65" s="2646"/>
      <c r="AT65" s="2650"/>
      <c r="AV65" s="2727" t="s">
        <v>1137</v>
      </c>
      <c r="AW65" s="2728">
        <v>45440</v>
      </c>
      <c r="AX65" s="2716" t="str">
        <f t="shared" si="34"/>
        <v/>
      </c>
      <c r="AY65" s="2723"/>
      <c r="AZ65" s="2660" t="str">
        <f t="shared" si="35"/>
        <v/>
      </c>
      <c r="BA65" s="2725"/>
      <c r="BB65" s="2696" t="str">
        <f t="shared" si="20"/>
        <v/>
      </c>
      <c r="BC65" s="2718" t="str">
        <f t="shared" si="36"/>
        <v/>
      </c>
      <c r="BD65" s="2716">
        <v>0</v>
      </c>
      <c r="BE65" s="3079">
        <v>0</v>
      </c>
      <c r="BF65" s="2718" t="str">
        <f t="shared" si="37"/>
        <v/>
      </c>
      <c r="BH65" s="2421"/>
      <c r="BI65" s="2421"/>
      <c r="BJ65" s="2421"/>
      <c r="BM65" s="2250"/>
      <c r="BN65" s="2250"/>
      <c r="BO65" s="2250"/>
      <c r="BP65" s="2471"/>
      <c r="BR65" s="2421"/>
    </row>
    <row r="66" spans="1:70" ht="13.8" customHeight="1" thickTop="1" thickBot="1">
      <c r="B66" s="2488"/>
      <c r="C66" s="2489"/>
      <c r="D66" s="2576"/>
      <c r="E66" s="2484"/>
      <c r="F66" s="2484"/>
      <c r="G66" s="2501"/>
      <c r="H66" s="2485"/>
      <c r="I66" s="2486"/>
      <c r="J66" s="2487"/>
      <c r="L66" s="2488"/>
      <c r="M66" s="2489"/>
      <c r="N66" s="2490"/>
      <c r="O66" s="2484"/>
      <c r="P66" s="2484"/>
      <c r="Q66" s="2501"/>
      <c r="R66" s="2485"/>
      <c r="S66" s="2486"/>
      <c r="T66" s="2487"/>
      <c r="V66" s="2479"/>
      <c r="W66" s="2480"/>
      <c r="X66" s="2542"/>
      <c r="Y66" s="2481"/>
      <c r="Z66" s="2482"/>
      <c r="AA66" s="2483"/>
      <c r="AB66" s="2483"/>
      <c r="AC66" s="2551"/>
      <c r="AD66" s="2485"/>
      <c r="AE66" s="2486"/>
      <c r="AF66" s="2478"/>
      <c r="AH66" s="2643"/>
      <c r="AI66" s="2644"/>
      <c r="AJ66" s="2645"/>
      <c r="AK66" s="2689"/>
      <c r="AL66" s="2646"/>
      <c r="AM66" s="2690"/>
      <c r="AN66" s="2647"/>
      <c r="AO66" s="2648"/>
      <c r="AP66" s="2692"/>
      <c r="AQ66" s="2646"/>
      <c r="AR66" s="2649"/>
      <c r="AS66" s="2646"/>
      <c r="AT66" s="2650"/>
      <c r="AV66" s="2727" t="s">
        <v>1131</v>
      </c>
      <c r="AW66" s="2728">
        <v>45441</v>
      </c>
      <c r="AX66" s="2716" t="str">
        <f t="shared" si="34"/>
        <v/>
      </c>
      <c r="AY66" s="2723"/>
      <c r="AZ66" s="2660" t="str">
        <f t="shared" si="35"/>
        <v/>
      </c>
      <c r="BA66" s="2725"/>
      <c r="BB66" s="2696" t="str">
        <f t="shared" si="20"/>
        <v/>
      </c>
      <c r="BC66" s="2718" t="str">
        <f t="shared" si="36"/>
        <v/>
      </c>
      <c r="BD66" s="2716">
        <v>0</v>
      </c>
      <c r="BE66" s="3079">
        <v>0</v>
      </c>
      <c r="BF66" s="2718" t="str">
        <f t="shared" si="37"/>
        <v/>
      </c>
      <c r="BH66" s="2421"/>
      <c r="BJ66" s="2421"/>
      <c r="BM66" s="2250"/>
      <c r="BN66" s="2250"/>
      <c r="BO66" s="2250"/>
      <c r="BP66" s="2471"/>
      <c r="BR66" s="2421"/>
    </row>
    <row r="67" spans="1:70" ht="13.8" customHeight="1" thickTop="1" thickBot="1">
      <c r="B67" s="2488"/>
      <c r="C67" s="2489"/>
      <c r="D67" s="2576"/>
      <c r="E67" s="2484"/>
      <c r="F67" s="2484"/>
      <c r="G67" s="2501"/>
      <c r="H67" s="2485"/>
      <c r="I67" s="2486"/>
      <c r="J67" s="2487"/>
      <c r="L67" s="2488"/>
      <c r="M67" s="2489"/>
      <c r="N67" s="2490"/>
      <c r="O67" s="2484"/>
      <c r="P67" s="2484"/>
      <c r="Q67" s="2501"/>
      <c r="R67" s="2485"/>
      <c r="S67" s="2486"/>
      <c r="T67" s="2487"/>
      <c r="V67" s="2479"/>
      <c r="W67" s="2480"/>
      <c r="X67" s="2542"/>
      <c r="Y67" s="2481"/>
      <c r="Z67" s="2482"/>
      <c r="AA67" s="2483"/>
      <c r="AB67" s="2483"/>
      <c r="AC67" s="2551"/>
      <c r="AD67" s="2485"/>
      <c r="AE67" s="2486"/>
      <c r="AF67" s="2478"/>
      <c r="AH67" s="2643"/>
      <c r="AI67" s="2644"/>
      <c r="AJ67" s="2645"/>
      <c r="AK67" s="2689"/>
      <c r="AL67" s="2646"/>
      <c r="AM67" s="2690"/>
      <c r="AN67" s="2647"/>
      <c r="AO67" s="2648"/>
      <c r="AP67" s="2692"/>
      <c r="AQ67" s="2646"/>
      <c r="AR67" s="2649"/>
      <c r="AS67" s="2646"/>
      <c r="AT67" s="2650"/>
      <c r="AV67" s="2727" t="s">
        <v>1136</v>
      </c>
      <c r="AW67" s="2728">
        <v>45442</v>
      </c>
      <c r="AX67" s="2716" t="str">
        <f t="shared" si="34"/>
        <v/>
      </c>
      <c r="AY67" s="2723"/>
      <c r="AZ67" s="2660" t="str">
        <f t="shared" si="35"/>
        <v/>
      </c>
      <c r="BA67" s="2725"/>
      <c r="BB67" s="2696" t="str">
        <f t="shared" si="20"/>
        <v/>
      </c>
      <c r="BC67" s="2718" t="str">
        <f t="shared" si="36"/>
        <v/>
      </c>
      <c r="BD67" s="2716">
        <v>0</v>
      </c>
      <c r="BE67" s="3079">
        <v>0</v>
      </c>
      <c r="BF67" s="2718" t="str">
        <f t="shared" si="37"/>
        <v/>
      </c>
      <c r="BH67" s="2421"/>
      <c r="BJ67" s="2421"/>
      <c r="BM67" s="2250"/>
      <c r="BN67" s="2250"/>
      <c r="BO67" s="2250"/>
      <c r="BP67" s="2471"/>
      <c r="BR67" s="2421"/>
    </row>
    <row r="68" spans="1:70" ht="13.8" customHeight="1" thickTop="1" thickBot="1">
      <c r="B68" s="2488"/>
      <c r="C68" s="2489"/>
      <c r="D68" s="2576"/>
      <c r="E68" s="2484"/>
      <c r="F68" s="2484"/>
      <c r="G68" s="2501"/>
      <c r="H68" s="2485"/>
      <c r="I68" s="2486"/>
      <c r="J68" s="2487"/>
      <c r="L68" s="2488"/>
      <c r="M68" s="2489"/>
      <c r="N68" s="2490"/>
      <c r="O68" s="2484"/>
      <c r="P68" s="2484"/>
      <c r="Q68" s="2501"/>
      <c r="R68" s="2485"/>
      <c r="S68" s="2486"/>
      <c r="T68" s="2487"/>
      <c r="V68" s="2479"/>
      <c r="W68" s="2480"/>
      <c r="X68" s="2542"/>
      <c r="Y68" s="2481"/>
      <c r="Z68" s="2482"/>
      <c r="AA68" s="2483"/>
      <c r="AB68" s="2483"/>
      <c r="AC68" s="2551"/>
      <c r="AD68" s="2485"/>
      <c r="AE68" s="2486"/>
      <c r="AF68" s="2478"/>
      <c r="AH68" s="2643"/>
      <c r="AI68" s="2644"/>
      <c r="AJ68" s="2645"/>
      <c r="AK68" s="2689"/>
      <c r="AL68" s="2646"/>
      <c r="AM68" s="2690"/>
      <c r="AN68" s="2647"/>
      <c r="AO68" s="2648"/>
      <c r="AP68" s="2692"/>
      <c r="AQ68" s="2646"/>
      <c r="AR68" s="2649"/>
      <c r="AS68" s="2646"/>
      <c r="AT68" s="2650"/>
      <c r="AV68" s="3053" t="s">
        <v>1130</v>
      </c>
      <c r="AW68" s="3054">
        <v>45443</v>
      </c>
      <c r="AX68" s="3055" t="str">
        <f t="shared" si="34"/>
        <v/>
      </c>
      <c r="AY68" s="3056"/>
      <c r="AZ68" s="3057" t="str">
        <f t="shared" si="35"/>
        <v/>
      </c>
      <c r="BA68" s="3058"/>
      <c r="BB68" s="3059" t="str">
        <f t="shared" si="20"/>
        <v/>
      </c>
      <c r="BC68" s="3060" t="str">
        <f t="shared" si="36"/>
        <v/>
      </c>
      <c r="BD68" s="3055">
        <v>0</v>
      </c>
      <c r="BE68" s="3079">
        <v>0</v>
      </c>
      <c r="BF68" s="3060" t="str">
        <f t="shared" si="37"/>
        <v/>
      </c>
      <c r="BH68" s="2421"/>
      <c r="BI68" s="2421"/>
      <c r="BJ68" s="2421"/>
      <c r="BM68" s="2250"/>
      <c r="BN68" s="2250"/>
      <c r="BO68" s="2250"/>
      <c r="BP68" s="2471"/>
      <c r="BR68" s="2421"/>
    </row>
    <row r="69" spans="1:70" ht="14.4" customHeight="1" thickTop="1">
      <c r="A69" s="2421"/>
      <c r="G69" s="2466"/>
      <c r="K69" s="2421"/>
      <c r="Q69" s="2466"/>
      <c r="U69" s="2421"/>
      <c r="AC69" s="2466"/>
      <c r="AG69" s="2421"/>
      <c r="AO69" s="2466"/>
      <c r="AU69" s="2421"/>
      <c r="AV69" s="3069" t="s">
        <v>89</v>
      </c>
      <c r="AW69" s="3073"/>
      <c r="AX69" s="3061" t="s">
        <v>1147</v>
      </c>
      <c r="AY69" s="3062" t="s">
        <v>1163</v>
      </c>
      <c r="AZ69" s="3063" t="s">
        <v>708</v>
      </c>
      <c r="BA69" s="3064" t="s">
        <v>1669</v>
      </c>
      <c r="BB69" s="3063" t="s">
        <v>1146</v>
      </c>
      <c r="BC69" s="3063"/>
      <c r="BD69" s="3061" t="s">
        <v>1147</v>
      </c>
      <c r="BE69" s="3065" t="s">
        <v>1618</v>
      </c>
      <c r="BF69" s="3066"/>
      <c r="BG69" s="2421"/>
      <c r="BH69" s="2421"/>
      <c r="BI69" s="2421"/>
      <c r="BJ69" s="2421"/>
      <c r="BM69" s="2250"/>
      <c r="BN69" s="2250"/>
      <c r="BO69" s="2250"/>
      <c r="BP69" s="2471"/>
      <c r="BR69" s="2421"/>
    </row>
    <row r="70" spans="1:70" ht="13.8" customHeight="1" thickBot="1">
      <c r="A70" s="2421"/>
      <c r="G70" s="2466"/>
      <c r="K70" s="2421"/>
      <c r="Q70" s="2466"/>
      <c r="U70" s="2421"/>
      <c r="AC70" s="2466"/>
      <c r="AG70" s="2421"/>
      <c r="AO70" s="2466"/>
      <c r="AU70" s="2421"/>
      <c r="AV70" s="3071"/>
      <c r="AW70" s="3074"/>
      <c r="AX70" s="2815">
        <f>SUM(AX71:AX99)</f>
        <v>0</v>
      </c>
      <c r="AY70" s="2816"/>
      <c r="AZ70" s="2817">
        <f>SUM(AZ71:AZ99)</f>
        <v>0</v>
      </c>
      <c r="BA70" s="2817"/>
      <c r="BB70" s="2703" t="e">
        <f>AZ70/AX70</f>
        <v>#DIV/0!</v>
      </c>
      <c r="BC70" s="2736"/>
      <c r="BD70" s="2732">
        <f>SUM(BD71:BD99)</f>
        <v>0</v>
      </c>
      <c r="BE70" s="2714">
        <f>SUM(BE71:BE99)</f>
        <v>0</v>
      </c>
      <c r="BF70" s="2715"/>
      <c r="BG70" s="2421"/>
      <c r="BH70" s="2421"/>
      <c r="BI70" s="2421"/>
      <c r="BJ70" s="2421"/>
      <c r="BM70" s="2250"/>
      <c r="BN70" s="2250"/>
      <c r="BO70" s="2250"/>
      <c r="BP70" s="2471"/>
      <c r="BR70" s="2421"/>
    </row>
    <row r="71" spans="1:70" ht="13.8" customHeight="1" thickTop="1" thickBot="1">
      <c r="B71" s="2488"/>
      <c r="C71" s="2489"/>
      <c r="D71" s="2576"/>
      <c r="E71" s="2484"/>
      <c r="F71" s="2484"/>
      <c r="G71" s="2501"/>
      <c r="H71" s="2485"/>
      <c r="I71" s="2486"/>
      <c r="J71" s="2487"/>
      <c r="L71" s="2488"/>
      <c r="M71" s="2489"/>
      <c r="N71" s="2490"/>
      <c r="O71" s="2484"/>
      <c r="P71" s="2484"/>
      <c r="Q71" s="2501"/>
      <c r="R71" s="2485"/>
      <c r="S71" s="2486"/>
      <c r="T71" s="2487"/>
      <c r="V71" s="2479"/>
      <c r="W71" s="2480"/>
      <c r="X71" s="2542"/>
      <c r="Y71" s="2481"/>
      <c r="Z71" s="2482"/>
      <c r="AA71" s="2483"/>
      <c r="AB71" s="2483"/>
      <c r="AC71" s="2551"/>
      <c r="AD71" s="2485"/>
      <c r="AE71" s="2486"/>
      <c r="AF71" s="2478"/>
      <c r="AH71" s="2643"/>
      <c r="AI71" s="2644"/>
      <c r="AJ71" s="2645"/>
      <c r="AK71" s="2689"/>
      <c r="AL71" s="2646"/>
      <c r="AM71" s="2690"/>
      <c r="AN71" s="2647"/>
      <c r="AO71" s="2648"/>
      <c r="AP71" s="2692"/>
      <c r="AQ71" s="2646"/>
      <c r="AR71" s="2649"/>
      <c r="AS71" s="2646"/>
      <c r="AT71" s="2650"/>
      <c r="AV71" s="2727" t="s">
        <v>1128</v>
      </c>
      <c r="AW71" s="2728">
        <v>45444</v>
      </c>
      <c r="AX71" s="2716" t="str">
        <f t="shared" ref="AX71" si="38">IF(AY71&gt;0,AY71-AY70,"")</f>
        <v/>
      </c>
      <c r="AY71" s="2723"/>
      <c r="AZ71" s="2660" t="str">
        <f t="shared" ref="AZ71" si="39">IF(BA71&gt;0,BA71-BA70,"")</f>
        <v/>
      </c>
      <c r="BA71" s="2725"/>
      <c r="BB71" s="2696" t="str">
        <f t="shared" ref="BB71" si="40">IF(BA71&gt;0,BA71/AY71,"")</f>
        <v/>
      </c>
      <c r="BC71" s="2718" t="str">
        <f t="shared" ref="BC71" si="41">IF(AY71&gt;0,"*","")</f>
        <v/>
      </c>
      <c r="BD71" s="2716">
        <f>'varme 24'!E237</f>
        <v>0</v>
      </c>
      <c r="BE71" s="3079">
        <f>'varme 24'!I237</f>
        <v>0</v>
      </c>
      <c r="BF71" s="2718" t="str">
        <f t="shared" ref="BF71" si="42">IF(BD71&gt;0,"*","")</f>
        <v/>
      </c>
      <c r="BH71" s="2421"/>
      <c r="BI71" s="2421"/>
      <c r="BJ71" s="2421"/>
      <c r="BM71" s="2250"/>
      <c r="BN71" s="2250"/>
      <c r="BO71" s="2250"/>
      <c r="BP71" s="2471"/>
      <c r="BR71" s="2421"/>
    </row>
    <row r="72" spans="1:70" ht="13.8" customHeight="1" thickTop="1" thickBot="1">
      <c r="B72" s="2488"/>
      <c r="C72" s="2489"/>
      <c r="D72" s="2576"/>
      <c r="E72" s="2484"/>
      <c r="F72" s="2484"/>
      <c r="G72" s="2501"/>
      <c r="H72" s="2485"/>
      <c r="I72" s="2486"/>
      <c r="J72" s="2487"/>
      <c r="L72" s="2488"/>
      <c r="M72" s="2489"/>
      <c r="N72" s="2490"/>
      <c r="O72" s="2484"/>
      <c r="P72" s="2484"/>
      <c r="Q72" s="2501"/>
      <c r="R72" s="2485"/>
      <c r="S72" s="2486"/>
      <c r="T72" s="2487"/>
      <c r="V72" s="2479"/>
      <c r="W72" s="2480"/>
      <c r="X72" s="2542"/>
      <c r="Y72" s="2481"/>
      <c r="Z72" s="2482"/>
      <c r="AA72" s="2483"/>
      <c r="AB72" s="2483"/>
      <c r="AC72" s="2551"/>
      <c r="AD72" s="2485"/>
      <c r="AE72" s="2486"/>
      <c r="AF72" s="2478"/>
      <c r="AH72" s="2643"/>
      <c r="AI72" s="2644"/>
      <c r="AJ72" s="2645"/>
      <c r="AK72" s="2689"/>
      <c r="AL72" s="2646"/>
      <c r="AM72" s="2690"/>
      <c r="AN72" s="2647"/>
      <c r="AO72" s="2648"/>
      <c r="AP72" s="2692"/>
      <c r="AQ72" s="2646"/>
      <c r="AR72" s="2649"/>
      <c r="AS72" s="2646"/>
      <c r="AT72" s="2650"/>
      <c r="AV72" s="2727" t="s">
        <v>1139</v>
      </c>
      <c r="AW72" s="2728">
        <v>45445</v>
      </c>
      <c r="AX72" s="2716" t="str">
        <f t="shared" ref="AX72:AX100" si="43">IF(AY72&gt;0,AY72-AY71,"")</f>
        <v/>
      </c>
      <c r="AY72" s="2723"/>
      <c r="AZ72" s="2660" t="str">
        <f t="shared" ref="AZ72:AZ100" si="44">IF(BA72&gt;0,BA72-BA71,"")</f>
        <v/>
      </c>
      <c r="BA72" s="2725"/>
      <c r="BB72" s="2696" t="str">
        <f t="shared" ref="BB72:BB103" si="45">IF(BA72&gt;0,BA72/AY72,"")</f>
        <v/>
      </c>
      <c r="BC72" s="2718" t="str">
        <f t="shared" ref="BC72:BC103" si="46">IF(AY72&gt;0,"*","")</f>
        <v/>
      </c>
      <c r="BD72" s="2716">
        <f>'varme 24'!E238</f>
        <v>0</v>
      </c>
      <c r="BE72" s="3079">
        <f>'varme 24'!I238</f>
        <v>0</v>
      </c>
      <c r="BF72" s="2718"/>
      <c r="BH72" s="2421"/>
      <c r="BI72" s="2421"/>
      <c r="BJ72" s="2421"/>
      <c r="BM72" s="2250"/>
      <c r="BN72" s="2250"/>
      <c r="BO72" s="2250"/>
      <c r="BP72" s="2471"/>
      <c r="BR72" s="2421"/>
    </row>
    <row r="73" spans="1:70" ht="13.8" customHeight="1" thickTop="1" thickBot="1">
      <c r="B73" s="2488"/>
      <c r="C73" s="2489"/>
      <c r="D73" s="2576"/>
      <c r="E73" s="2484"/>
      <c r="F73" s="2484"/>
      <c r="G73" s="2501"/>
      <c r="H73" s="2485"/>
      <c r="I73" s="2486"/>
      <c r="J73" s="2487"/>
      <c r="L73" s="2488"/>
      <c r="M73" s="2489"/>
      <c r="N73" s="2490"/>
      <c r="O73" s="2484"/>
      <c r="P73" s="2484"/>
      <c r="Q73" s="2501"/>
      <c r="R73" s="2485"/>
      <c r="S73" s="2486"/>
      <c r="T73" s="2487"/>
      <c r="V73" s="2479"/>
      <c r="W73" s="2480"/>
      <c r="X73" s="2542"/>
      <c r="Y73" s="2481"/>
      <c r="Z73" s="2482"/>
      <c r="AA73" s="2483"/>
      <c r="AB73" s="2483"/>
      <c r="AC73" s="2551"/>
      <c r="AD73" s="2485"/>
      <c r="AE73" s="2486"/>
      <c r="AF73" s="2478"/>
      <c r="AH73" s="2643"/>
      <c r="AI73" s="2644"/>
      <c r="AJ73" s="2645"/>
      <c r="AK73" s="2689"/>
      <c r="AL73" s="2646"/>
      <c r="AM73" s="2690"/>
      <c r="AN73" s="2647"/>
      <c r="AO73" s="2648"/>
      <c r="AP73" s="2692"/>
      <c r="AQ73" s="2646"/>
      <c r="AR73" s="2649"/>
      <c r="AS73" s="2646"/>
      <c r="AT73" s="2650"/>
      <c r="AV73" s="2727" t="s">
        <v>1138</v>
      </c>
      <c r="AW73" s="2728">
        <v>45446</v>
      </c>
      <c r="AX73" s="2716" t="str">
        <f t="shared" si="43"/>
        <v/>
      </c>
      <c r="AY73" s="2723"/>
      <c r="AZ73" s="2660" t="str">
        <f t="shared" si="44"/>
        <v/>
      </c>
      <c r="BA73" s="2725"/>
      <c r="BB73" s="2696" t="str">
        <f t="shared" si="45"/>
        <v/>
      </c>
      <c r="BC73" s="2718" t="str">
        <f t="shared" si="46"/>
        <v/>
      </c>
      <c r="BD73" s="2716">
        <f>'varme 24'!E239</f>
        <v>0</v>
      </c>
      <c r="BE73" s="3079">
        <f>'varme 24'!I239</f>
        <v>0</v>
      </c>
      <c r="BF73" s="2718"/>
      <c r="BH73" s="2421"/>
      <c r="BI73" s="2421"/>
      <c r="BJ73" s="2421"/>
      <c r="BM73" s="2250"/>
      <c r="BN73" s="2250"/>
      <c r="BO73" s="2250"/>
      <c r="BP73" s="2471"/>
      <c r="BR73" s="2421"/>
    </row>
    <row r="74" spans="1:70" ht="13.8" customHeight="1" thickTop="1" thickBot="1">
      <c r="B74" s="2488"/>
      <c r="C74" s="2489"/>
      <c r="D74" s="2576"/>
      <c r="E74" s="2484"/>
      <c r="F74" s="2484"/>
      <c r="G74" s="2501"/>
      <c r="H74" s="2485"/>
      <c r="I74" s="2486"/>
      <c r="J74" s="2487"/>
      <c r="L74" s="2488"/>
      <c r="M74" s="2489"/>
      <c r="N74" s="2490"/>
      <c r="O74" s="2484"/>
      <c r="P74" s="2484"/>
      <c r="Q74" s="2501"/>
      <c r="R74" s="2485"/>
      <c r="S74" s="2486"/>
      <c r="T74" s="2487"/>
      <c r="V74" s="2479"/>
      <c r="W74" s="2480"/>
      <c r="X74" s="2542"/>
      <c r="Y74" s="2481"/>
      <c r="Z74" s="2482"/>
      <c r="AA74" s="2483"/>
      <c r="AB74" s="2483"/>
      <c r="AC74" s="2551"/>
      <c r="AD74" s="2485"/>
      <c r="AE74" s="2486"/>
      <c r="AF74" s="2478"/>
      <c r="AH74" s="2643"/>
      <c r="AI74" s="2644"/>
      <c r="AJ74" s="2645"/>
      <c r="AK74" s="2689"/>
      <c r="AL74" s="2646"/>
      <c r="AM74" s="2690"/>
      <c r="AN74" s="2647"/>
      <c r="AO74" s="2648"/>
      <c r="AP74" s="2692"/>
      <c r="AQ74" s="2646"/>
      <c r="AR74" s="2649"/>
      <c r="AS74" s="2646"/>
      <c r="AT74" s="2650"/>
      <c r="AV74" s="2727" t="s">
        <v>1137</v>
      </c>
      <c r="AW74" s="2728">
        <v>45447</v>
      </c>
      <c r="AX74" s="2716" t="str">
        <f t="shared" si="43"/>
        <v/>
      </c>
      <c r="AY74" s="2723"/>
      <c r="AZ74" s="2660" t="str">
        <f t="shared" si="44"/>
        <v/>
      </c>
      <c r="BA74" s="2725"/>
      <c r="BB74" s="2696" t="str">
        <f t="shared" si="45"/>
        <v/>
      </c>
      <c r="BC74" s="2718" t="str">
        <f t="shared" si="46"/>
        <v/>
      </c>
      <c r="BD74" s="2716">
        <f>'varme 24'!E240</f>
        <v>0</v>
      </c>
      <c r="BE74" s="3079">
        <f>'varme 24'!I240</f>
        <v>0</v>
      </c>
      <c r="BF74" s="2718"/>
      <c r="BH74" s="2421"/>
      <c r="BI74" s="2421"/>
      <c r="BJ74" s="2421"/>
      <c r="BM74" s="2250"/>
      <c r="BN74" s="2250"/>
      <c r="BO74" s="2250"/>
      <c r="BP74" s="2471"/>
      <c r="BR74" s="2421"/>
    </row>
    <row r="75" spans="1:70" ht="13.8" customHeight="1" thickTop="1" thickBot="1">
      <c r="B75" s="2488"/>
      <c r="C75" s="2489"/>
      <c r="D75" s="2576"/>
      <c r="E75" s="2484"/>
      <c r="F75" s="2484"/>
      <c r="G75" s="2501"/>
      <c r="H75" s="2485"/>
      <c r="I75" s="2486"/>
      <c r="J75" s="2487"/>
      <c r="L75" s="2488"/>
      <c r="M75" s="2489"/>
      <c r="N75" s="2490"/>
      <c r="O75" s="2484"/>
      <c r="P75" s="2484"/>
      <c r="Q75" s="2501"/>
      <c r="R75" s="2485"/>
      <c r="S75" s="2486"/>
      <c r="T75" s="2487"/>
      <c r="V75" s="2479"/>
      <c r="W75" s="2480"/>
      <c r="X75" s="2542"/>
      <c r="Y75" s="2481"/>
      <c r="Z75" s="2482"/>
      <c r="AA75" s="2483"/>
      <c r="AB75" s="2483"/>
      <c r="AC75" s="2551"/>
      <c r="AD75" s="2485"/>
      <c r="AE75" s="2486"/>
      <c r="AF75" s="2478"/>
      <c r="AH75" s="2643"/>
      <c r="AI75" s="2644"/>
      <c r="AJ75" s="2645"/>
      <c r="AK75" s="2689"/>
      <c r="AL75" s="2646"/>
      <c r="AM75" s="2690"/>
      <c r="AN75" s="2647"/>
      <c r="AO75" s="2648"/>
      <c r="AP75" s="2692"/>
      <c r="AQ75" s="2646"/>
      <c r="AR75" s="2649"/>
      <c r="AS75" s="2646"/>
      <c r="AT75" s="2650"/>
      <c r="AV75" s="2727" t="s">
        <v>1131</v>
      </c>
      <c r="AW75" s="2728">
        <v>45448</v>
      </c>
      <c r="AX75" s="2716" t="str">
        <f t="shared" si="43"/>
        <v/>
      </c>
      <c r="AY75" s="2723"/>
      <c r="AZ75" s="2660" t="str">
        <f t="shared" si="44"/>
        <v/>
      </c>
      <c r="BA75" s="2725"/>
      <c r="BB75" s="2696" t="str">
        <f t="shared" si="45"/>
        <v/>
      </c>
      <c r="BC75" s="2718" t="str">
        <f t="shared" si="46"/>
        <v/>
      </c>
      <c r="BD75" s="2716">
        <f>'varme 24'!E241</f>
        <v>0</v>
      </c>
      <c r="BE75" s="3079">
        <f>'varme 24'!I241</f>
        <v>0</v>
      </c>
      <c r="BF75" s="2718"/>
      <c r="BH75" s="2421"/>
      <c r="BI75" s="2421"/>
      <c r="BJ75" s="2421"/>
      <c r="BM75" s="2250"/>
      <c r="BN75" s="2250"/>
      <c r="BO75" s="2250"/>
      <c r="BP75" s="2471"/>
      <c r="BR75" s="2421"/>
    </row>
    <row r="76" spans="1:70" ht="13.8" customHeight="1" thickTop="1" thickBot="1">
      <c r="B76" s="2488"/>
      <c r="C76" s="2489"/>
      <c r="D76" s="2576"/>
      <c r="E76" s="2484"/>
      <c r="F76" s="2484"/>
      <c r="G76" s="2501"/>
      <c r="H76" s="2485"/>
      <c r="I76" s="2486"/>
      <c r="J76" s="2487"/>
      <c r="L76" s="2488"/>
      <c r="M76" s="2489"/>
      <c r="N76" s="2490"/>
      <c r="O76" s="2484"/>
      <c r="P76" s="2484"/>
      <c r="Q76" s="2501"/>
      <c r="R76" s="2485"/>
      <c r="S76" s="2486"/>
      <c r="T76" s="2487"/>
      <c r="V76" s="2479"/>
      <c r="W76" s="2480"/>
      <c r="X76" s="2542"/>
      <c r="Y76" s="2481"/>
      <c r="Z76" s="2482"/>
      <c r="AA76" s="2483"/>
      <c r="AB76" s="2483"/>
      <c r="AC76" s="2551"/>
      <c r="AD76" s="2485"/>
      <c r="AE76" s="2486"/>
      <c r="AF76" s="2478"/>
      <c r="AH76" s="2643"/>
      <c r="AI76" s="2644"/>
      <c r="AJ76" s="2645"/>
      <c r="AK76" s="2689"/>
      <c r="AL76" s="2646"/>
      <c r="AM76" s="2690"/>
      <c r="AN76" s="2647"/>
      <c r="AO76" s="2648"/>
      <c r="AP76" s="2692"/>
      <c r="AQ76" s="2646"/>
      <c r="AR76" s="2649"/>
      <c r="AS76" s="2646"/>
      <c r="AT76" s="2650"/>
      <c r="AV76" s="2727" t="s">
        <v>1136</v>
      </c>
      <c r="AW76" s="2728">
        <v>45449</v>
      </c>
      <c r="AX76" s="2716" t="str">
        <f t="shared" si="43"/>
        <v/>
      </c>
      <c r="AY76" s="2723"/>
      <c r="AZ76" s="2660" t="str">
        <f t="shared" si="44"/>
        <v/>
      </c>
      <c r="BA76" s="2725"/>
      <c r="BB76" s="2696" t="str">
        <f t="shared" si="45"/>
        <v/>
      </c>
      <c r="BC76" s="2718" t="str">
        <f t="shared" si="46"/>
        <v/>
      </c>
      <c r="BD76" s="2716">
        <f>'varme 24'!E242</f>
        <v>0</v>
      </c>
      <c r="BE76" s="3079">
        <f>'varme 24'!I242</f>
        <v>0</v>
      </c>
      <c r="BF76" s="2718"/>
      <c r="BH76" s="2421"/>
      <c r="BI76" s="2421"/>
      <c r="BJ76" s="2421"/>
      <c r="BM76" s="2250"/>
      <c r="BN76" s="2250"/>
      <c r="BO76" s="2250"/>
      <c r="BP76" s="2471"/>
      <c r="BR76" s="2421"/>
    </row>
    <row r="77" spans="1:70" ht="13.8" customHeight="1" thickTop="1" thickBot="1">
      <c r="B77" s="2488"/>
      <c r="C77" s="2489"/>
      <c r="D77" s="2576"/>
      <c r="E77" s="2484"/>
      <c r="F77" s="2484"/>
      <c r="G77" s="2501"/>
      <c r="H77" s="2485"/>
      <c r="I77" s="2486"/>
      <c r="J77" s="2487"/>
      <c r="L77" s="2488"/>
      <c r="M77" s="2489"/>
      <c r="N77" s="2490"/>
      <c r="O77" s="2484"/>
      <c r="P77" s="2484"/>
      <c r="Q77" s="2501"/>
      <c r="R77" s="2485"/>
      <c r="S77" s="2486"/>
      <c r="T77" s="2487"/>
      <c r="V77" s="2479"/>
      <c r="W77" s="2480"/>
      <c r="X77" s="2542"/>
      <c r="Y77" s="2481"/>
      <c r="Z77" s="2482"/>
      <c r="AA77" s="2483"/>
      <c r="AB77" s="2483"/>
      <c r="AC77" s="2551"/>
      <c r="AD77" s="2485"/>
      <c r="AE77" s="2486"/>
      <c r="AF77" s="2478"/>
      <c r="AH77" s="2643"/>
      <c r="AI77" s="2644"/>
      <c r="AJ77" s="2645"/>
      <c r="AK77" s="2689"/>
      <c r="AL77" s="2646"/>
      <c r="AM77" s="2690"/>
      <c r="AN77" s="2647"/>
      <c r="AO77" s="2648"/>
      <c r="AP77" s="2692"/>
      <c r="AQ77" s="2646"/>
      <c r="AR77" s="2649"/>
      <c r="AS77" s="2646"/>
      <c r="AT77" s="2650"/>
      <c r="AV77" s="2727" t="s">
        <v>1130</v>
      </c>
      <c r="AW77" s="2728">
        <v>45450</v>
      </c>
      <c r="AX77" s="2716" t="str">
        <f t="shared" si="43"/>
        <v/>
      </c>
      <c r="AY77" s="2723"/>
      <c r="AZ77" s="2660" t="str">
        <f t="shared" si="44"/>
        <v/>
      </c>
      <c r="BA77" s="2725"/>
      <c r="BB77" s="2696" t="str">
        <f t="shared" si="45"/>
        <v/>
      </c>
      <c r="BC77" s="2718" t="str">
        <f t="shared" si="46"/>
        <v/>
      </c>
      <c r="BD77" s="2716">
        <f>'varme 24'!E243</f>
        <v>0</v>
      </c>
      <c r="BE77" s="3079">
        <f>'varme 24'!I243</f>
        <v>0</v>
      </c>
      <c r="BF77" s="2718"/>
      <c r="BH77" s="2421"/>
      <c r="BI77" s="2421"/>
      <c r="BJ77" s="2421"/>
      <c r="BM77" s="2250"/>
      <c r="BN77" s="2250"/>
      <c r="BO77" s="2250"/>
      <c r="BP77" s="2471"/>
      <c r="BR77" s="2421"/>
    </row>
    <row r="78" spans="1:70" ht="13.8" customHeight="1" thickTop="1" thickBot="1">
      <c r="B78" s="2488"/>
      <c r="C78" s="2489"/>
      <c r="D78" s="2576"/>
      <c r="E78" s="2484"/>
      <c r="F78" s="2484"/>
      <c r="G78" s="2501"/>
      <c r="H78" s="2485"/>
      <c r="I78" s="2486"/>
      <c r="J78" s="2487"/>
      <c r="L78" s="2488"/>
      <c r="M78" s="2489"/>
      <c r="N78" s="2490"/>
      <c r="O78" s="2484"/>
      <c r="P78" s="2484"/>
      <c r="Q78" s="2501"/>
      <c r="R78" s="2485"/>
      <c r="S78" s="2486"/>
      <c r="T78" s="2487"/>
      <c r="V78" s="2479"/>
      <c r="W78" s="2480"/>
      <c r="X78" s="2542"/>
      <c r="Y78" s="2481"/>
      <c r="Z78" s="2482"/>
      <c r="AA78" s="2483"/>
      <c r="AB78" s="2483"/>
      <c r="AC78" s="2551"/>
      <c r="AD78" s="2485"/>
      <c r="AE78" s="2486"/>
      <c r="AF78" s="2478"/>
      <c r="AH78" s="2643"/>
      <c r="AI78" s="2644"/>
      <c r="AJ78" s="2645"/>
      <c r="AK78" s="2689"/>
      <c r="AL78" s="2646"/>
      <c r="AM78" s="2690"/>
      <c r="AN78" s="2647"/>
      <c r="AO78" s="2648"/>
      <c r="AP78" s="2692"/>
      <c r="AQ78" s="2646"/>
      <c r="AR78" s="2649"/>
      <c r="AS78" s="2646"/>
      <c r="AT78" s="2650"/>
      <c r="AV78" s="2727" t="s">
        <v>1128</v>
      </c>
      <c r="AW78" s="2728">
        <v>45451</v>
      </c>
      <c r="AX78" s="2716" t="str">
        <f t="shared" si="43"/>
        <v/>
      </c>
      <c r="AY78" s="2723"/>
      <c r="AZ78" s="2660" t="str">
        <f t="shared" si="44"/>
        <v/>
      </c>
      <c r="BA78" s="2725"/>
      <c r="BB78" s="2696" t="str">
        <f t="shared" si="45"/>
        <v/>
      </c>
      <c r="BC78" s="2718" t="str">
        <f t="shared" si="46"/>
        <v/>
      </c>
      <c r="BD78" s="2716">
        <f>'varme 24'!E244</f>
        <v>0</v>
      </c>
      <c r="BE78" s="3079">
        <f>'varme 24'!I244</f>
        <v>0</v>
      </c>
      <c r="BF78" s="2718"/>
      <c r="BH78" s="2421"/>
      <c r="BI78" s="2421"/>
      <c r="BJ78" s="2421"/>
      <c r="BM78" s="2250"/>
      <c r="BN78" s="2250"/>
      <c r="BO78" s="2250"/>
      <c r="BP78" s="2471"/>
      <c r="BR78" s="2421"/>
    </row>
    <row r="79" spans="1:70" ht="13.8" customHeight="1" thickTop="1" thickBot="1">
      <c r="B79" s="2488"/>
      <c r="C79" s="2489"/>
      <c r="D79" s="2576"/>
      <c r="E79" s="2484"/>
      <c r="F79" s="2484"/>
      <c r="G79" s="2501"/>
      <c r="H79" s="2485"/>
      <c r="I79" s="2486"/>
      <c r="J79" s="2487"/>
      <c r="L79" s="2488"/>
      <c r="M79" s="2489"/>
      <c r="N79" s="2490"/>
      <c r="O79" s="2484"/>
      <c r="P79" s="2484"/>
      <c r="Q79" s="2501"/>
      <c r="R79" s="2485"/>
      <c r="S79" s="2486"/>
      <c r="T79" s="2487"/>
      <c r="V79" s="2479"/>
      <c r="W79" s="2480"/>
      <c r="X79" s="2542"/>
      <c r="Y79" s="2481"/>
      <c r="Z79" s="2482"/>
      <c r="AA79" s="2483"/>
      <c r="AB79" s="2483"/>
      <c r="AC79" s="2551"/>
      <c r="AD79" s="2485"/>
      <c r="AE79" s="2486"/>
      <c r="AF79" s="2478"/>
      <c r="AH79" s="2643"/>
      <c r="AI79" s="2644"/>
      <c r="AJ79" s="2645"/>
      <c r="AK79" s="2689"/>
      <c r="AL79" s="2646"/>
      <c r="AM79" s="2690"/>
      <c r="AN79" s="2647"/>
      <c r="AO79" s="2648"/>
      <c r="AP79" s="2692"/>
      <c r="AQ79" s="2646"/>
      <c r="AR79" s="2649"/>
      <c r="AS79" s="2646"/>
      <c r="AT79" s="2650"/>
      <c r="AV79" s="2727" t="s">
        <v>1139</v>
      </c>
      <c r="AW79" s="2728">
        <v>45452</v>
      </c>
      <c r="AX79" s="2716" t="str">
        <f t="shared" si="43"/>
        <v/>
      </c>
      <c r="AY79" s="2723"/>
      <c r="AZ79" s="2660" t="str">
        <f t="shared" si="44"/>
        <v/>
      </c>
      <c r="BA79" s="2725"/>
      <c r="BB79" s="2696" t="str">
        <f t="shared" si="45"/>
        <v/>
      </c>
      <c r="BC79" s="2718" t="str">
        <f t="shared" si="46"/>
        <v/>
      </c>
      <c r="BD79" s="2716">
        <f>'varme 24'!E245</f>
        <v>0</v>
      </c>
      <c r="BE79" s="3079">
        <f>'varme 24'!I245</f>
        <v>0</v>
      </c>
      <c r="BF79" s="2718"/>
      <c r="BH79" s="2421"/>
      <c r="BI79" s="2421"/>
      <c r="BJ79" s="2421"/>
      <c r="BM79" s="2250"/>
      <c r="BN79" s="2250"/>
      <c r="BO79" s="2250"/>
      <c r="BP79" s="2471"/>
      <c r="BR79" s="2421"/>
    </row>
    <row r="80" spans="1:70" ht="13.8" customHeight="1" thickTop="1" thickBot="1">
      <c r="B80" s="2488"/>
      <c r="C80" s="2489"/>
      <c r="D80" s="2576"/>
      <c r="E80" s="2484"/>
      <c r="F80" s="2484"/>
      <c r="G80" s="2501"/>
      <c r="H80" s="2485"/>
      <c r="I80" s="2486"/>
      <c r="J80" s="2487"/>
      <c r="L80" s="2488"/>
      <c r="M80" s="2489"/>
      <c r="N80" s="2490"/>
      <c r="O80" s="2484"/>
      <c r="P80" s="2484"/>
      <c r="Q80" s="2501"/>
      <c r="R80" s="2485"/>
      <c r="S80" s="2486"/>
      <c r="T80" s="2487"/>
      <c r="V80" s="2479"/>
      <c r="W80" s="2480"/>
      <c r="X80" s="2542"/>
      <c r="Y80" s="2481"/>
      <c r="Z80" s="2482"/>
      <c r="AA80" s="2483"/>
      <c r="AB80" s="2483"/>
      <c r="AC80" s="2551"/>
      <c r="AD80" s="2485"/>
      <c r="AE80" s="2486"/>
      <c r="AF80" s="2478"/>
      <c r="AH80" s="2643"/>
      <c r="AI80" s="2644"/>
      <c r="AJ80" s="2645"/>
      <c r="AK80" s="2689"/>
      <c r="AL80" s="2646"/>
      <c r="AM80" s="2690"/>
      <c r="AN80" s="2647"/>
      <c r="AO80" s="2648"/>
      <c r="AP80" s="2692"/>
      <c r="AQ80" s="2646"/>
      <c r="AR80" s="2649"/>
      <c r="AS80" s="2646"/>
      <c r="AT80" s="2650"/>
      <c r="AV80" s="2727" t="s">
        <v>1138</v>
      </c>
      <c r="AW80" s="2728">
        <v>45453</v>
      </c>
      <c r="AX80" s="2716" t="str">
        <f t="shared" si="43"/>
        <v/>
      </c>
      <c r="AY80" s="2723"/>
      <c r="AZ80" s="2660" t="str">
        <f t="shared" si="44"/>
        <v/>
      </c>
      <c r="BA80" s="2725"/>
      <c r="BB80" s="2696" t="str">
        <f t="shared" si="45"/>
        <v/>
      </c>
      <c r="BC80" s="2718" t="str">
        <f t="shared" si="46"/>
        <v/>
      </c>
      <c r="BD80" s="2716">
        <f>'varme 24'!E246</f>
        <v>0</v>
      </c>
      <c r="BE80" s="3079">
        <f>'varme 24'!I246</f>
        <v>0</v>
      </c>
      <c r="BF80" s="2718"/>
      <c r="BH80" s="2421"/>
      <c r="BI80" s="2421"/>
      <c r="BJ80" s="2421"/>
      <c r="BM80" s="2250"/>
      <c r="BN80" s="2250"/>
      <c r="BO80" s="2250"/>
      <c r="BP80" s="2471"/>
      <c r="BR80" s="2421"/>
    </row>
    <row r="81" spans="2:70" ht="13.8" customHeight="1" thickTop="1" thickBot="1">
      <c r="B81" s="2488"/>
      <c r="C81" s="2489"/>
      <c r="D81" s="2576"/>
      <c r="E81" s="2484"/>
      <c r="F81" s="2484"/>
      <c r="G81" s="2501"/>
      <c r="H81" s="2485"/>
      <c r="I81" s="2486"/>
      <c r="J81" s="2487"/>
      <c r="L81" s="2488"/>
      <c r="M81" s="2489"/>
      <c r="N81" s="2490"/>
      <c r="O81" s="2484"/>
      <c r="P81" s="2484"/>
      <c r="Q81" s="2501"/>
      <c r="R81" s="2485"/>
      <c r="S81" s="2486"/>
      <c r="T81" s="2487"/>
      <c r="V81" s="2479"/>
      <c r="W81" s="2480"/>
      <c r="X81" s="2542"/>
      <c r="Y81" s="2481"/>
      <c r="Z81" s="2482"/>
      <c r="AA81" s="2483"/>
      <c r="AB81" s="2483"/>
      <c r="AC81" s="2551"/>
      <c r="AD81" s="2485"/>
      <c r="AE81" s="2486"/>
      <c r="AF81" s="2478"/>
      <c r="AH81" s="2643"/>
      <c r="AI81" s="2644"/>
      <c r="AJ81" s="2645"/>
      <c r="AK81" s="2689"/>
      <c r="AL81" s="2646"/>
      <c r="AM81" s="2690"/>
      <c r="AN81" s="2647"/>
      <c r="AO81" s="2648"/>
      <c r="AP81" s="2692"/>
      <c r="AQ81" s="2646"/>
      <c r="AR81" s="2649"/>
      <c r="AS81" s="2646"/>
      <c r="AT81" s="2650"/>
      <c r="AV81" s="2727" t="s">
        <v>1137</v>
      </c>
      <c r="AW81" s="2728">
        <v>45454</v>
      </c>
      <c r="AX81" s="2716" t="str">
        <f t="shared" si="43"/>
        <v/>
      </c>
      <c r="AY81" s="2723"/>
      <c r="AZ81" s="2660" t="str">
        <f t="shared" si="44"/>
        <v/>
      </c>
      <c r="BA81" s="2725"/>
      <c r="BB81" s="2696" t="str">
        <f t="shared" si="45"/>
        <v/>
      </c>
      <c r="BC81" s="2718" t="str">
        <f t="shared" si="46"/>
        <v/>
      </c>
      <c r="BD81" s="2716">
        <f>'varme 24'!E247</f>
        <v>0</v>
      </c>
      <c r="BE81" s="3079">
        <f>'varme 24'!I247</f>
        <v>0</v>
      </c>
      <c r="BF81" s="2718"/>
      <c r="BH81" s="2421"/>
      <c r="BI81" s="2421"/>
      <c r="BJ81" s="2421"/>
      <c r="BM81" s="2250"/>
      <c r="BN81" s="2250"/>
      <c r="BO81" s="2250"/>
      <c r="BP81" s="2471"/>
      <c r="BR81" s="2421"/>
    </row>
    <row r="82" spans="2:70" ht="13.8" customHeight="1" thickTop="1" thickBot="1">
      <c r="B82" s="2488"/>
      <c r="C82" s="2489"/>
      <c r="D82" s="2576"/>
      <c r="E82" s="2484"/>
      <c r="F82" s="2484"/>
      <c r="G82" s="2501"/>
      <c r="H82" s="2485"/>
      <c r="I82" s="2486"/>
      <c r="J82" s="2487"/>
      <c r="L82" s="2488"/>
      <c r="M82" s="2489"/>
      <c r="N82" s="2490"/>
      <c r="O82" s="2484"/>
      <c r="P82" s="2484"/>
      <c r="Q82" s="2501"/>
      <c r="R82" s="2485"/>
      <c r="S82" s="2486"/>
      <c r="T82" s="2487"/>
      <c r="V82" s="2479"/>
      <c r="W82" s="2480"/>
      <c r="X82" s="2542"/>
      <c r="Y82" s="2481"/>
      <c r="Z82" s="2482"/>
      <c r="AA82" s="2483"/>
      <c r="AB82" s="2483"/>
      <c r="AC82" s="2551"/>
      <c r="AD82" s="2485"/>
      <c r="AE82" s="2486"/>
      <c r="AF82" s="2478"/>
      <c r="AH82" s="2643"/>
      <c r="AI82" s="2644"/>
      <c r="AJ82" s="2645"/>
      <c r="AK82" s="2689"/>
      <c r="AL82" s="2646"/>
      <c r="AM82" s="2690"/>
      <c r="AN82" s="2647"/>
      <c r="AO82" s="2648"/>
      <c r="AP82" s="2692"/>
      <c r="AQ82" s="2646"/>
      <c r="AR82" s="2649"/>
      <c r="AS82" s="2646"/>
      <c r="AT82" s="2650"/>
      <c r="AV82" s="2727" t="s">
        <v>1131</v>
      </c>
      <c r="AW82" s="2728">
        <v>45455</v>
      </c>
      <c r="AX82" s="2716" t="str">
        <f t="shared" si="43"/>
        <v/>
      </c>
      <c r="AY82" s="2723"/>
      <c r="AZ82" s="2660" t="str">
        <f t="shared" si="44"/>
        <v/>
      </c>
      <c r="BA82" s="2725"/>
      <c r="BB82" s="2696" t="str">
        <f t="shared" si="45"/>
        <v/>
      </c>
      <c r="BC82" s="2718" t="str">
        <f t="shared" si="46"/>
        <v/>
      </c>
      <c r="BD82" s="2716">
        <f>'varme 24'!E248</f>
        <v>0</v>
      </c>
      <c r="BE82" s="3079">
        <f>'varme 24'!I248</f>
        <v>0</v>
      </c>
      <c r="BF82" s="2718"/>
      <c r="BH82" s="2421"/>
      <c r="BI82" s="2421"/>
      <c r="BJ82" s="2421"/>
      <c r="BM82" s="2250"/>
      <c r="BN82" s="2250"/>
      <c r="BO82" s="2250"/>
      <c r="BP82" s="2471"/>
      <c r="BR82" s="2421"/>
    </row>
    <row r="83" spans="2:70" ht="13.8" customHeight="1" thickTop="1" thickBot="1">
      <c r="B83" s="2488"/>
      <c r="C83" s="2489"/>
      <c r="D83" s="2576"/>
      <c r="E83" s="2484"/>
      <c r="F83" s="2484"/>
      <c r="G83" s="2501"/>
      <c r="H83" s="2485"/>
      <c r="I83" s="2486"/>
      <c r="J83" s="2487"/>
      <c r="L83" s="2488"/>
      <c r="M83" s="2489"/>
      <c r="N83" s="2490"/>
      <c r="O83" s="2484"/>
      <c r="P83" s="2484"/>
      <c r="Q83" s="2501"/>
      <c r="R83" s="2485"/>
      <c r="S83" s="2486"/>
      <c r="T83" s="2487"/>
      <c r="V83" s="2479"/>
      <c r="W83" s="2480"/>
      <c r="X83" s="2542"/>
      <c r="Y83" s="2481"/>
      <c r="Z83" s="2482"/>
      <c r="AA83" s="2483"/>
      <c r="AB83" s="2483"/>
      <c r="AC83" s="2551"/>
      <c r="AD83" s="2485"/>
      <c r="AE83" s="2486"/>
      <c r="AF83" s="2478"/>
      <c r="AH83" s="2643"/>
      <c r="AI83" s="2644"/>
      <c r="AJ83" s="2645"/>
      <c r="AK83" s="2689"/>
      <c r="AL83" s="2646"/>
      <c r="AM83" s="2690"/>
      <c r="AN83" s="2647"/>
      <c r="AO83" s="2648"/>
      <c r="AP83" s="2692"/>
      <c r="AQ83" s="2646"/>
      <c r="AR83" s="2649"/>
      <c r="AS83" s="2646"/>
      <c r="AT83" s="2650"/>
      <c r="AV83" s="2727" t="s">
        <v>1136</v>
      </c>
      <c r="AW83" s="2728">
        <v>45456</v>
      </c>
      <c r="AX83" s="2716" t="str">
        <f t="shared" si="43"/>
        <v/>
      </c>
      <c r="AY83" s="2723"/>
      <c r="AZ83" s="2660" t="str">
        <f t="shared" si="44"/>
        <v/>
      </c>
      <c r="BA83" s="2725"/>
      <c r="BB83" s="2696" t="str">
        <f t="shared" si="45"/>
        <v/>
      </c>
      <c r="BC83" s="2718" t="str">
        <f t="shared" si="46"/>
        <v/>
      </c>
      <c r="BD83" s="2716">
        <f>'varme 24'!E249</f>
        <v>0</v>
      </c>
      <c r="BE83" s="3079">
        <f>'varme 24'!I249</f>
        <v>0</v>
      </c>
      <c r="BF83" s="2718"/>
      <c r="BH83" s="2421"/>
      <c r="BI83" s="2421"/>
      <c r="BJ83" s="2421"/>
      <c r="BM83" s="2250"/>
      <c r="BN83" s="2250"/>
      <c r="BO83" s="2250"/>
      <c r="BP83" s="2471"/>
      <c r="BR83" s="2421"/>
    </row>
    <row r="84" spans="2:70" ht="13.8" customHeight="1" thickTop="1" thickBot="1">
      <c r="B84" s="2488"/>
      <c r="C84" s="2489"/>
      <c r="D84" s="2576"/>
      <c r="E84" s="2484"/>
      <c r="F84" s="2484"/>
      <c r="G84" s="2501"/>
      <c r="H84" s="2485"/>
      <c r="I84" s="2486"/>
      <c r="J84" s="2487"/>
      <c r="L84" s="2488"/>
      <c r="M84" s="2489"/>
      <c r="N84" s="2490"/>
      <c r="O84" s="2484"/>
      <c r="P84" s="2484"/>
      <c r="Q84" s="2501"/>
      <c r="R84" s="2485"/>
      <c r="S84" s="2486"/>
      <c r="T84" s="2487"/>
      <c r="V84" s="2479"/>
      <c r="W84" s="2480"/>
      <c r="X84" s="2542"/>
      <c r="Y84" s="2481"/>
      <c r="Z84" s="2482"/>
      <c r="AA84" s="2483"/>
      <c r="AB84" s="2483"/>
      <c r="AC84" s="2551"/>
      <c r="AD84" s="2485"/>
      <c r="AE84" s="2486"/>
      <c r="AF84" s="2478"/>
      <c r="AH84" s="2643"/>
      <c r="AI84" s="2644"/>
      <c r="AJ84" s="2645"/>
      <c r="AK84" s="2689"/>
      <c r="AL84" s="2646"/>
      <c r="AM84" s="2690"/>
      <c r="AN84" s="2647"/>
      <c r="AO84" s="2648"/>
      <c r="AP84" s="2692"/>
      <c r="AQ84" s="2646"/>
      <c r="AR84" s="2649"/>
      <c r="AS84" s="2646"/>
      <c r="AT84" s="2650"/>
      <c r="AV84" s="2727" t="s">
        <v>1130</v>
      </c>
      <c r="AW84" s="2728">
        <v>45457</v>
      </c>
      <c r="AX84" s="2716" t="str">
        <f t="shared" si="43"/>
        <v/>
      </c>
      <c r="AY84" s="2723"/>
      <c r="AZ84" s="2660" t="str">
        <f t="shared" si="44"/>
        <v/>
      </c>
      <c r="BA84" s="2725"/>
      <c r="BB84" s="2696" t="str">
        <f t="shared" si="45"/>
        <v/>
      </c>
      <c r="BC84" s="2718" t="str">
        <f t="shared" si="46"/>
        <v/>
      </c>
      <c r="BD84" s="2716">
        <f>'varme 24'!E250</f>
        <v>0</v>
      </c>
      <c r="BE84" s="3079">
        <f>'varme 24'!I250</f>
        <v>0</v>
      </c>
      <c r="BF84" s="2718"/>
      <c r="BH84" s="2421"/>
      <c r="BI84" s="2421"/>
      <c r="BJ84" s="2421"/>
      <c r="BM84" s="2250"/>
      <c r="BN84" s="2250"/>
      <c r="BO84" s="2250"/>
      <c r="BP84" s="2471"/>
      <c r="BR84" s="2421"/>
    </row>
    <row r="85" spans="2:70" ht="13.8" customHeight="1" thickTop="1" thickBot="1">
      <c r="B85" s="2488"/>
      <c r="C85" s="2489"/>
      <c r="D85" s="2576"/>
      <c r="E85" s="2484"/>
      <c r="F85" s="2484"/>
      <c r="G85" s="2501"/>
      <c r="H85" s="2485"/>
      <c r="I85" s="2486"/>
      <c r="J85" s="2487"/>
      <c r="L85" s="2488"/>
      <c r="M85" s="2489"/>
      <c r="N85" s="2490"/>
      <c r="O85" s="2484"/>
      <c r="P85" s="2484"/>
      <c r="Q85" s="2501"/>
      <c r="R85" s="2485"/>
      <c r="S85" s="2486"/>
      <c r="T85" s="2487"/>
      <c r="V85" s="2479"/>
      <c r="W85" s="2480"/>
      <c r="X85" s="2542"/>
      <c r="Y85" s="2481"/>
      <c r="Z85" s="2482"/>
      <c r="AA85" s="2483"/>
      <c r="AB85" s="2483"/>
      <c r="AC85" s="2551"/>
      <c r="AD85" s="2485"/>
      <c r="AE85" s="2486"/>
      <c r="AF85" s="2478"/>
      <c r="AH85" s="2643"/>
      <c r="AI85" s="2644"/>
      <c r="AJ85" s="2645"/>
      <c r="AK85" s="2689"/>
      <c r="AL85" s="2646"/>
      <c r="AM85" s="2690"/>
      <c r="AN85" s="2647"/>
      <c r="AO85" s="2648"/>
      <c r="AP85" s="2692"/>
      <c r="AQ85" s="2646"/>
      <c r="AR85" s="2649"/>
      <c r="AS85" s="2646"/>
      <c r="AT85" s="2650"/>
      <c r="AV85" s="2727" t="s">
        <v>1128</v>
      </c>
      <c r="AW85" s="2728">
        <v>45458</v>
      </c>
      <c r="AX85" s="2716" t="str">
        <f t="shared" si="43"/>
        <v/>
      </c>
      <c r="AY85" s="2723"/>
      <c r="AZ85" s="2660" t="str">
        <f t="shared" si="44"/>
        <v/>
      </c>
      <c r="BA85" s="2725"/>
      <c r="BB85" s="2696" t="str">
        <f t="shared" si="45"/>
        <v/>
      </c>
      <c r="BC85" s="2718" t="str">
        <f t="shared" si="46"/>
        <v/>
      </c>
      <c r="BD85" s="2716">
        <f>'varme 24'!E251</f>
        <v>0</v>
      </c>
      <c r="BE85" s="3079">
        <f>'varme 24'!I251</f>
        <v>0</v>
      </c>
      <c r="BF85" s="2718"/>
      <c r="BH85" s="2421"/>
      <c r="BI85" s="2421"/>
      <c r="BJ85" s="2421"/>
      <c r="BM85" s="2250"/>
      <c r="BN85" s="2250"/>
      <c r="BO85" s="2250"/>
      <c r="BP85" s="2471"/>
      <c r="BR85" s="2421"/>
    </row>
    <row r="86" spans="2:70" ht="13.8" customHeight="1" thickTop="1" thickBot="1">
      <c r="B86" s="2488"/>
      <c r="C86" s="2489"/>
      <c r="D86" s="2576"/>
      <c r="E86" s="2484"/>
      <c r="F86" s="2484"/>
      <c r="G86" s="2501"/>
      <c r="H86" s="2485"/>
      <c r="I86" s="2486"/>
      <c r="J86" s="2487"/>
      <c r="L86" s="2488"/>
      <c r="M86" s="2489"/>
      <c r="N86" s="2490"/>
      <c r="O86" s="2484"/>
      <c r="P86" s="2484"/>
      <c r="Q86" s="2501"/>
      <c r="R86" s="2485"/>
      <c r="S86" s="2486"/>
      <c r="T86" s="2487"/>
      <c r="V86" s="2479"/>
      <c r="W86" s="2480"/>
      <c r="X86" s="2542"/>
      <c r="Y86" s="2481"/>
      <c r="Z86" s="2482"/>
      <c r="AA86" s="2483"/>
      <c r="AB86" s="2483"/>
      <c r="AC86" s="2551"/>
      <c r="AD86" s="2485"/>
      <c r="AE86" s="2486"/>
      <c r="AF86" s="2478"/>
      <c r="AH86" s="2643"/>
      <c r="AI86" s="2644"/>
      <c r="AJ86" s="2645"/>
      <c r="AK86" s="2689"/>
      <c r="AL86" s="2646"/>
      <c r="AM86" s="2690"/>
      <c r="AN86" s="2647"/>
      <c r="AO86" s="2648"/>
      <c r="AP86" s="2692"/>
      <c r="AQ86" s="2646"/>
      <c r="AR86" s="2649"/>
      <c r="AS86" s="2646"/>
      <c r="AT86" s="2650"/>
      <c r="AV86" s="2727" t="s">
        <v>1139</v>
      </c>
      <c r="AW86" s="2728">
        <v>45459</v>
      </c>
      <c r="AX86" s="2716" t="str">
        <f t="shared" si="43"/>
        <v/>
      </c>
      <c r="AY86" s="2723"/>
      <c r="AZ86" s="2660" t="str">
        <f t="shared" si="44"/>
        <v/>
      </c>
      <c r="BA86" s="2725"/>
      <c r="BB86" s="2696" t="str">
        <f t="shared" si="45"/>
        <v/>
      </c>
      <c r="BC86" s="2718" t="str">
        <f t="shared" si="46"/>
        <v/>
      </c>
      <c r="BD86" s="2716">
        <f>'varme 24'!E252</f>
        <v>0</v>
      </c>
      <c r="BE86" s="3079">
        <f>'varme 24'!I252</f>
        <v>0</v>
      </c>
      <c r="BF86" s="2718"/>
      <c r="BH86" s="2421"/>
      <c r="BI86" s="2421"/>
      <c r="BJ86" s="2421"/>
      <c r="BM86" s="2250"/>
      <c r="BN86" s="2250"/>
      <c r="BO86" s="2250"/>
      <c r="BP86" s="2471"/>
      <c r="BR86" s="2421"/>
    </row>
    <row r="87" spans="2:70" ht="13.8" customHeight="1" thickTop="1" thickBot="1">
      <c r="B87" s="2488"/>
      <c r="C87" s="2489"/>
      <c r="D87" s="2576"/>
      <c r="E87" s="2484"/>
      <c r="F87" s="2484"/>
      <c r="G87" s="2501"/>
      <c r="H87" s="2485"/>
      <c r="I87" s="2486"/>
      <c r="J87" s="2487"/>
      <c r="L87" s="2488"/>
      <c r="M87" s="2489"/>
      <c r="N87" s="2490"/>
      <c r="O87" s="2484"/>
      <c r="P87" s="2484"/>
      <c r="Q87" s="2501"/>
      <c r="R87" s="2485"/>
      <c r="S87" s="2486"/>
      <c r="T87" s="2487"/>
      <c r="V87" s="2479"/>
      <c r="W87" s="2480"/>
      <c r="X87" s="2542"/>
      <c r="Y87" s="2481"/>
      <c r="Z87" s="2482"/>
      <c r="AA87" s="2483"/>
      <c r="AB87" s="2483"/>
      <c r="AC87" s="2551"/>
      <c r="AD87" s="2485"/>
      <c r="AE87" s="2486"/>
      <c r="AF87" s="2478"/>
      <c r="AH87" s="2643"/>
      <c r="AI87" s="2644"/>
      <c r="AJ87" s="2645"/>
      <c r="AK87" s="2689"/>
      <c r="AL87" s="2646"/>
      <c r="AM87" s="2690"/>
      <c r="AN87" s="2647"/>
      <c r="AO87" s="2648"/>
      <c r="AP87" s="2692"/>
      <c r="AQ87" s="2646"/>
      <c r="AR87" s="2649"/>
      <c r="AS87" s="2646"/>
      <c r="AT87" s="2650"/>
      <c r="AV87" s="2727" t="s">
        <v>1138</v>
      </c>
      <c r="AW87" s="2728">
        <v>45460</v>
      </c>
      <c r="AX87" s="2716" t="str">
        <f t="shared" si="43"/>
        <v/>
      </c>
      <c r="AY87" s="2723"/>
      <c r="AZ87" s="2660" t="str">
        <f t="shared" si="44"/>
        <v/>
      </c>
      <c r="BA87" s="2725"/>
      <c r="BB87" s="2696" t="str">
        <f t="shared" si="45"/>
        <v/>
      </c>
      <c r="BC87" s="2718" t="str">
        <f t="shared" si="46"/>
        <v/>
      </c>
      <c r="BD87" s="2716">
        <f>'varme 24'!E253</f>
        <v>0</v>
      </c>
      <c r="BE87" s="3079">
        <f>'varme 24'!I253</f>
        <v>0</v>
      </c>
      <c r="BF87" s="2718"/>
      <c r="BH87" s="2421"/>
      <c r="BI87" s="2421"/>
      <c r="BJ87" s="2421"/>
      <c r="BM87" s="2250"/>
      <c r="BN87" s="2250"/>
      <c r="BO87" s="2250"/>
      <c r="BP87" s="2471"/>
      <c r="BR87" s="2421"/>
    </row>
    <row r="88" spans="2:70" ht="13.8" customHeight="1" thickTop="1" thickBot="1">
      <c r="B88" s="2488"/>
      <c r="C88" s="2489"/>
      <c r="D88" s="2576"/>
      <c r="E88" s="2484"/>
      <c r="F88" s="2484"/>
      <c r="G88" s="2501"/>
      <c r="H88" s="2485"/>
      <c r="I88" s="2486"/>
      <c r="J88" s="2487"/>
      <c r="L88" s="2488"/>
      <c r="M88" s="2489"/>
      <c r="N88" s="2490"/>
      <c r="O88" s="2484"/>
      <c r="P88" s="2484"/>
      <c r="Q88" s="2501"/>
      <c r="R88" s="2485"/>
      <c r="S88" s="2486"/>
      <c r="T88" s="2487"/>
      <c r="V88" s="2479"/>
      <c r="W88" s="2480"/>
      <c r="X88" s="2542"/>
      <c r="Y88" s="2481"/>
      <c r="Z88" s="2482"/>
      <c r="AA88" s="2483"/>
      <c r="AB88" s="2483"/>
      <c r="AC88" s="2551"/>
      <c r="AD88" s="2485"/>
      <c r="AE88" s="2486"/>
      <c r="AF88" s="2478"/>
      <c r="AH88" s="2643"/>
      <c r="AI88" s="2644"/>
      <c r="AJ88" s="2645"/>
      <c r="AK88" s="2689"/>
      <c r="AL88" s="2646"/>
      <c r="AM88" s="2690"/>
      <c r="AN88" s="2647"/>
      <c r="AO88" s="2648"/>
      <c r="AP88" s="2692"/>
      <c r="AQ88" s="2646"/>
      <c r="AR88" s="2649"/>
      <c r="AS88" s="2646"/>
      <c r="AT88" s="2650"/>
      <c r="AV88" s="2727" t="s">
        <v>1137</v>
      </c>
      <c r="AW88" s="2728">
        <v>45461</v>
      </c>
      <c r="AX88" s="2716" t="str">
        <f t="shared" si="43"/>
        <v/>
      </c>
      <c r="AY88" s="2723"/>
      <c r="AZ88" s="2660" t="str">
        <f t="shared" si="44"/>
        <v/>
      </c>
      <c r="BA88" s="2725"/>
      <c r="BB88" s="2696" t="str">
        <f t="shared" si="45"/>
        <v/>
      </c>
      <c r="BC88" s="2718" t="str">
        <f t="shared" si="46"/>
        <v/>
      </c>
      <c r="BD88" s="2716">
        <f>'varme 24'!E254</f>
        <v>0</v>
      </c>
      <c r="BE88" s="3079">
        <f>'varme 24'!I254</f>
        <v>0</v>
      </c>
      <c r="BF88" s="2718"/>
      <c r="BH88" s="2421"/>
      <c r="BI88" s="2421"/>
      <c r="BJ88" s="2421"/>
      <c r="BM88" s="2250"/>
      <c r="BN88" s="2250"/>
      <c r="BO88" s="2250"/>
      <c r="BP88" s="2471"/>
      <c r="BR88" s="2421"/>
    </row>
    <row r="89" spans="2:70" ht="13.8" customHeight="1" thickTop="1" thickBot="1">
      <c r="B89" s="2488"/>
      <c r="C89" s="2489"/>
      <c r="D89" s="2576"/>
      <c r="E89" s="2484"/>
      <c r="F89" s="2484"/>
      <c r="G89" s="2501"/>
      <c r="H89" s="2485"/>
      <c r="I89" s="2486"/>
      <c r="J89" s="2487"/>
      <c r="L89" s="2488"/>
      <c r="M89" s="2489"/>
      <c r="N89" s="2490"/>
      <c r="O89" s="2484"/>
      <c r="P89" s="2484"/>
      <c r="Q89" s="2501"/>
      <c r="R89" s="2485"/>
      <c r="S89" s="2486"/>
      <c r="T89" s="2487"/>
      <c r="V89" s="2479"/>
      <c r="W89" s="2480"/>
      <c r="X89" s="2542"/>
      <c r="Y89" s="2481"/>
      <c r="Z89" s="2482"/>
      <c r="AA89" s="2483"/>
      <c r="AB89" s="2483"/>
      <c r="AC89" s="2551"/>
      <c r="AD89" s="2485"/>
      <c r="AE89" s="2486"/>
      <c r="AF89" s="2478"/>
      <c r="AH89" s="2643"/>
      <c r="AI89" s="2644"/>
      <c r="AJ89" s="2645"/>
      <c r="AK89" s="2689"/>
      <c r="AL89" s="2646"/>
      <c r="AM89" s="2690"/>
      <c r="AN89" s="2647"/>
      <c r="AO89" s="2648"/>
      <c r="AP89" s="2692"/>
      <c r="AQ89" s="2646"/>
      <c r="AR89" s="2649"/>
      <c r="AS89" s="2646"/>
      <c r="AT89" s="2650"/>
      <c r="AV89" s="2727" t="s">
        <v>1131</v>
      </c>
      <c r="AW89" s="2728">
        <v>45462</v>
      </c>
      <c r="AX89" s="2716" t="str">
        <f t="shared" si="43"/>
        <v/>
      </c>
      <c r="AY89" s="2723"/>
      <c r="AZ89" s="2660" t="str">
        <f t="shared" si="44"/>
        <v/>
      </c>
      <c r="BA89" s="2725"/>
      <c r="BB89" s="2696" t="str">
        <f t="shared" si="45"/>
        <v/>
      </c>
      <c r="BC89" s="2718" t="str">
        <f t="shared" si="46"/>
        <v/>
      </c>
      <c r="BD89" s="2716">
        <f>'varme 24'!E255</f>
        <v>0</v>
      </c>
      <c r="BE89" s="3079">
        <f>'varme 24'!I255</f>
        <v>0</v>
      </c>
      <c r="BF89" s="2718"/>
      <c r="BH89" s="2421"/>
      <c r="BI89" s="2421"/>
      <c r="BJ89" s="2421"/>
      <c r="BL89" s="2420"/>
      <c r="BR89" s="2421"/>
    </row>
    <row r="90" spans="2:70" ht="13.8" customHeight="1" thickTop="1" thickBot="1">
      <c r="B90" s="2488"/>
      <c r="C90" s="2489"/>
      <c r="D90" s="2576"/>
      <c r="E90" s="2484"/>
      <c r="F90" s="2484"/>
      <c r="G90" s="2501"/>
      <c r="H90" s="2485"/>
      <c r="I90" s="2486"/>
      <c r="J90" s="2487"/>
      <c r="L90" s="2488"/>
      <c r="M90" s="2489"/>
      <c r="N90" s="2490"/>
      <c r="O90" s="2484"/>
      <c r="P90" s="2484"/>
      <c r="Q90" s="2501"/>
      <c r="R90" s="2485"/>
      <c r="S90" s="2486"/>
      <c r="T90" s="2487"/>
      <c r="V90" s="2479"/>
      <c r="W90" s="2480"/>
      <c r="X90" s="2542"/>
      <c r="Y90" s="2481"/>
      <c r="Z90" s="2482"/>
      <c r="AA90" s="2483"/>
      <c r="AB90" s="2483"/>
      <c r="AC90" s="2551"/>
      <c r="AD90" s="2485"/>
      <c r="AE90" s="2486"/>
      <c r="AF90" s="2478"/>
      <c r="AH90" s="2643"/>
      <c r="AI90" s="2644"/>
      <c r="AJ90" s="2645"/>
      <c r="AK90" s="2689"/>
      <c r="AL90" s="2646"/>
      <c r="AM90" s="2690"/>
      <c r="AN90" s="2647"/>
      <c r="AO90" s="2648"/>
      <c r="AP90" s="2692"/>
      <c r="AQ90" s="2646"/>
      <c r="AR90" s="2649"/>
      <c r="AS90" s="2646"/>
      <c r="AT90" s="2650"/>
      <c r="AV90" s="2727" t="s">
        <v>1136</v>
      </c>
      <c r="AW90" s="2728">
        <v>45463</v>
      </c>
      <c r="AX90" s="2716" t="str">
        <f t="shared" si="43"/>
        <v/>
      </c>
      <c r="AY90" s="2723"/>
      <c r="AZ90" s="2660" t="str">
        <f t="shared" si="44"/>
        <v/>
      </c>
      <c r="BA90" s="2725"/>
      <c r="BB90" s="2696" t="str">
        <f t="shared" si="45"/>
        <v/>
      </c>
      <c r="BC90" s="2718" t="str">
        <f t="shared" si="46"/>
        <v/>
      </c>
      <c r="BD90" s="2716">
        <f>'varme 24'!E256</f>
        <v>0</v>
      </c>
      <c r="BE90" s="3079">
        <f>'varme 24'!I256</f>
        <v>0</v>
      </c>
      <c r="BF90" s="2718"/>
      <c r="BH90" s="2421"/>
      <c r="BI90" s="2421"/>
      <c r="BJ90" s="2421"/>
      <c r="BL90" s="2420"/>
      <c r="BR90" s="2421"/>
    </row>
    <row r="91" spans="2:70" ht="13.8" customHeight="1" thickTop="1" thickBot="1">
      <c r="B91" s="2488"/>
      <c r="C91" s="2489"/>
      <c r="D91" s="2576"/>
      <c r="E91" s="2484"/>
      <c r="F91" s="2484"/>
      <c r="G91" s="2501"/>
      <c r="H91" s="2485"/>
      <c r="I91" s="2486"/>
      <c r="J91" s="2487"/>
      <c r="L91" s="2488"/>
      <c r="M91" s="2489"/>
      <c r="N91" s="2490"/>
      <c r="O91" s="2484"/>
      <c r="P91" s="2484"/>
      <c r="Q91" s="2501"/>
      <c r="R91" s="2485"/>
      <c r="S91" s="2486"/>
      <c r="T91" s="2487"/>
      <c r="V91" s="2479"/>
      <c r="W91" s="2480"/>
      <c r="X91" s="2542"/>
      <c r="Y91" s="2481"/>
      <c r="Z91" s="2482"/>
      <c r="AA91" s="2483"/>
      <c r="AB91" s="2483"/>
      <c r="AC91" s="2551"/>
      <c r="AD91" s="2485"/>
      <c r="AE91" s="2486"/>
      <c r="AF91" s="2478"/>
      <c r="AH91" s="2643"/>
      <c r="AI91" s="2644"/>
      <c r="AJ91" s="2645"/>
      <c r="AK91" s="2689"/>
      <c r="AL91" s="2646"/>
      <c r="AM91" s="2690"/>
      <c r="AN91" s="2647"/>
      <c r="AO91" s="2648"/>
      <c r="AP91" s="2692"/>
      <c r="AQ91" s="2646"/>
      <c r="AR91" s="2649"/>
      <c r="AS91" s="2646"/>
      <c r="AT91" s="2650"/>
      <c r="AV91" s="2727" t="s">
        <v>1130</v>
      </c>
      <c r="AW91" s="2728">
        <v>45464</v>
      </c>
      <c r="AX91" s="2716" t="str">
        <f t="shared" si="43"/>
        <v/>
      </c>
      <c r="AY91" s="2723"/>
      <c r="AZ91" s="2660" t="str">
        <f t="shared" si="44"/>
        <v/>
      </c>
      <c r="BA91" s="2725"/>
      <c r="BB91" s="2696" t="str">
        <f t="shared" si="45"/>
        <v/>
      </c>
      <c r="BC91" s="2718" t="str">
        <f t="shared" si="46"/>
        <v/>
      </c>
      <c r="BD91" s="2716">
        <f>'varme 24'!E257</f>
        <v>0</v>
      </c>
      <c r="BE91" s="3079">
        <f>'varme 24'!I257</f>
        <v>0</v>
      </c>
      <c r="BF91" s="2718"/>
      <c r="BH91" s="2421"/>
      <c r="BI91" s="2421"/>
      <c r="BJ91" s="2421"/>
      <c r="BL91" s="2420"/>
      <c r="BR91" s="2421"/>
    </row>
    <row r="92" spans="2:70" ht="13.8" customHeight="1" thickTop="1" thickBot="1">
      <c r="B92" s="2488"/>
      <c r="C92" s="2489"/>
      <c r="D92" s="2576"/>
      <c r="E92" s="2484"/>
      <c r="F92" s="2484"/>
      <c r="G92" s="2501"/>
      <c r="H92" s="2485"/>
      <c r="I92" s="2486"/>
      <c r="J92" s="2487"/>
      <c r="L92" s="2488"/>
      <c r="M92" s="2489"/>
      <c r="N92" s="2490"/>
      <c r="O92" s="2484"/>
      <c r="P92" s="2484"/>
      <c r="Q92" s="2501"/>
      <c r="R92" s="2485"/>
      <c r="S92" s="2486"/>
      <c r="T92" s="2487"/>
      <c r="V92" s="2479"/>
      <c r="W92" s="2480"/>
      <c r="X92" s="2542"/>
      <c r="Y92" s="2481"/>
      <c r="Z92" s="2482"/>
      <c r="AA92" s="2483"/>
      <c r="AB92" s="2483"/>
      <c r="AC92" s="2551"/>
      <c r="AD92" s="2485"/>
      <c r="AE92" s="2486"/>
      <c r="AF92" s="2478"/>
      <c r="AH92" s="2643"/>
      <c r="AI92" s="2644"/>
      <c r="AJ92" s="2645"/>
      <c r="AK92" s="2689"/>
      <c r="AL92" s="2646"/>
      <c r="AM92" s="2690"/>
      <c r="AN92" s="2647"/>
      <c r="AO92" s="2648"/>
      <c r="AP92" s="2692"/>
      <c r="AQ92" s="2646"/>
      <c r="AR92" s="2649"/>
      <c r="AS92" s="2646"/>
      <c r="AT92" s="2650"/>
      <c r="AV92" s="2727" t="s">
        <v>1128</v>
      </c>
      <c r="AW92" s="2728">
        <v>45465</v>
      </c>
      <c r="AX92" s="2716" t="str">
        <f t="shared" si="43"/>
        <v/>
      </c>
      <c r="AY92" s="2723"/>
      <c r="AZ92" s="2660" t="str">
        <f t="shared" si="44"/>
        <v/>
      </c>
      <c r="BA92" s="2725"/>
      <c r="BB92" s="2696" t="str">
        <f t="shared" si="45"/>
        <v/>
      </c>
      <c r="BC92" s="2718" t="str">
        <f t="shared" si="46"/>
        <v/>
      </c>
      <c r="BD92" s="2716">
        <f>'varme 24'!E258</f>
        <v>0</v>
      </c>
      <c r="BE92" s="3079">
        <f>'varme 24'!I258</f>
        <v>0</v>
      </c>
      <c r="BF92" s="2718"/>
      <c r="BH92" s="2421"/>
      <c r="BI92" s="2421"/>
      <c r="BJ92" s="2421"/>
      <c r="BL92" s="2420"/>
      <c r="BR92" s="2421"/>
    </row>
    <row r="93" spans="2:70" ht="13.8" customHeight="1" thickTop="1" thickBot="1">
      <c r="B93" s="2488"/>
      <c r="C93" s="2489"/>
      <c r="D93" s="2576"/>
      <c r="E93" s="2484"/>
      <c r="F93" s="2484"/>
      <c r="G93" s="2501"/>
      <c r="H93" s="2485"/>
      <c r="I93" s="2486"/>
      <c r="J93" s="2487"/>
      <c r="L93" s="2488"/>
      <c r="M93" s="2489"/>
      <c r="N93" s="2490"/>
      <c r="O93" s="2484"/>
      <c r="P93" s="2484"/>
      <c r="Q93" s="2501"/>
      <c r="R93" s="2485"/>
      <c r="S93" s="2486"/>
      <c r="T93" s="2487"/>
      <c r="V93" s="2479"/>
      <c r="W93" s="2480"/>
      <c r="X93" s="2542"/>
      <c r="Y93" s="2481"/>
      <c r="Z93" s="2482"/>
      <c r="AA93" s="2483"/>
      <c r="AB93" s="2483"/>
      <c r="AC93" s="2551"/>
      <c r="AD93" s="2485"/>
      <c r="AE93" s="2486"/>
      <c r="AF93" s="2478"/>
      <c r="AH93" s="2643"/>
      <c r="AI93" s="2644"/>
      <c r="AJ93" s="2645"/>
      <c r="AK93" s="2689"/>
      <c r="AL93" s="2646"/>
      <c r="AM93" s="2690"/>
      <c r="AN93" s="2647"/>
      <c r="AO93" s="2648"/>
      <c r="AP93" s="2692"/>
      <c r="AQ93" s="2646"/>
      <c r="AR93" s="2649"/>
      <c r="AS93" s="2646"/>
      <c r="AT93" s="2650"/>
      <c r="AV93" s="2727" t="s">
        <v>1139</v>
      </c>
      <c r="AW93" s="2728">
        <v>45466</v>
      </c>
      <c r="AX93" s="2716" t="str">
        <f t="shared" si="43"/>
        <v/>
      </c>
      <c r="AY93" s="2723"/>
      <c r="AZ93" s="2660" t="str">
        <f t="shared" si="44"/>
        <v/>
      </c>
      <c r="BA93" s="2725"/>
      <c r="BB93" s="2696" t="str">
        <f t="shared" si="45"/>
        <v/>
      </c>
      <c r="BC93" s="2718" t="str">
        <f t="shared" si="46"/>
        <v/>
      </c>
      <c r="BD93" s="2716">
        <f>'varme 24'!E259</f>
        <v>0</v>
      </c>
      <c r="BE93" s="3079">
        <f>'varme 24'!I259</f>
        <v>0</v>
      </c>
      <c r="BF93" s="2718"/>
      <c r="BH93" s="2421"/>
      <c r="BI93" s="2421"/>
      <c r="BJ93" s="2421"/>
      <c r="BL93" s="2420"/>
      <c r="BR93" s="2421"/>
    </row>
    <row r="94" spans="2:70" ht="13.8" customHeight="1" thickTop="1" thickBot="1">
      <c r="B94" s="2488"/>
      <c r="C94" s="2489"/>
      <c r="D94" s="2576"/>
      <c r="E94" s="2484"/>
      <c r="F94" s="2484"/>
      <c r="G94" s="2501"/>
      <c r="H94" s="2485"/>
      <c r="I94" s="2486"/>
      <c r="J94" s="2487"/>
      <c r="L94" s="2488"/>
      <c r="M94" s="2489"/>
      <c r="N94" s="2490"/>
      <c r="O94" s="2484"/>
      <c r="P94" s="2484"/>
      <c r="Q94" s="2501"/>
      <c r="R94" s="2485"/>
      <c r="S94" s="2486"/>
      <c r="T94" s="2487"/>
      <c r="V94" s="2479"/>
      <c r="W94" s="2480"/>
      <c r="X94" s="2542"/>
      <c r="Y94" s="2481"/>
      <c r="Z94" s="2482"/>
      <c r="AA94" s="2483"/>
      <c r="AB94" s="2483"/>
      <c r="AC94" s="2551"/>
      <c r="AD94" s="2485"/>
      <c r="AE94" s="2486"/>
      <c r="AF94" s="2478"/>
      <c r="AH94" s="2643"/>
      <c r="AI94" s="2644"/>
      <c r="AJ94" s="2645"/>
      <c r="AK94" s="2689"/>
      <c r="AL94" s="2646"/>
      <c r="AM94" s="2690"/>
      <c r="AN94" s="2647"/>
      <c r="AO94" s="2648"/>
      <c r="AP94" s="2692"/>
      <c r="AQ94" s="2646"/>
      <c r="AR94" s="2649"/>
      <c r="AS94" s="2646"/>
      <c r="AT94" s="2650"/>
      <c r="AV94" s="2727" t="s">
        <v>1138</v>
      </c>
      <c r="AW94" s="2728">
        <v>45467</v>
      </c>
      <c r="AX94" s="2716" t="str">
        <f t="shared" si="43"/>
        <v/>
      </c>
      <c r="AY94" s="2723"/>
      <c r="AZ94" s="2660" t="str">
        <f t="shared" si="44"/>
        <v/>
      </c>
      <c r="BA94" s="2725"/>
      <c r="BB94" s="2696" t="str">
        <f t="shared" si="45"/>
        <v/>
      </c>
      <c r="BC94" s="2718" t="str">
        <f t="shared" si="46"/>
        <v/>
      </c>
      <c r="BD94" s="2716">
        <f>'varme 24'!E260</f>
        <v>0</v>
      </c>
      <c r="BE94" s="3079">
        <f>'varme 24'!I260</f>
        <v>0</v>
      </c>
      <c r="BF94" s="2718"/>
      <c r="BH94" s="2421"/>
      <c r="BI94" s="2421"/>
      <c r="BJ94" s="2421"/>
      <c r="BL94" s="2420"/>
      <c r="BR94" s="2421"/>
    </row>
    <row r="95" spans="2:70" ht="13.8" customHeight="1" thickTop="1" thickBot="1">
      <c r="B95" s="2488"/>
      <c r="C95" s="2489"/>
      <c r="D95" s="2576"/>
      <c r="E95" s="2484"/>
      <c r="F95" s="2484"/>
      <c r="G95" s="2501"/>
      <c r="H95" s="2485"/>
      <c r="I95" s="2486"/>
      <c r="J95" s="2487"/>
      <c r="L95" s="2488"/>
      <c r="M95" s="2489"/>
      <c r="N95" s="2490"/>
      <c r="O95" s="2484"/>
      <c r="P95" s="2484"/>
      <c r="Q95" s="2501"/>
      <c r="R95" s="2485"/>
      <c r="S95" s="2486"/>
      <c r="T95" s="2487"/>
      <c r="V95" s="2479"/>
      <c r="W95" s="2480"/>
      <c r="X95" s="2542"/>
      <c r="Y95" s="2481"/>
      <c r="Z95" s="2482"/>
      <c r="AA95" s="2483"/>
      <c r="AB95" s="2483"/>
      <c r="AC95" s="2551"/>
      <c r="AD95" s="2485"/>
      <c r="AE95" s="2486"/>
      <c r="AF95" s="2478"/>
      <c r="AH95" s="2643"/>
      <c r="AI95" s="2644"/>
      <c r="AJ95" s="2645"/>
      <c r="AK95" s="2689"/>
      <c r="AL95" s="2646"/>
      <c r="AM95" s="2690"/>
      <c r="AN95" s="2647"/>
      <c r="AO95" s="2648"/>
      <c r="AP95" s="2692"/>
      <c r="AQ95" s="2646"/>
      <c r="AR95" s="2649"/>
      <c r="AS95" s="2646"/>
      <c r="AT95" s="2650"/>
      <c r="AV95" s="2727" t="s">
        <v>1137</v>
      </c>
      <c r="AW95" s="2728">
        <v>45468</v>
      </c>
      <c r="AX95" s="2716" t="str">
        <f t="shared" si="43"/>
        <v/>
      </c>
      <c r="AY95" s="2723"/>
      <c r="AZ95" s="2660" t="str">
        <f t="shared" si="44"/>
        <v/>
      </c>
      <c r="BA95" s="2725"/>
      <c r="BB95" s="2696" t="str">
        <f t="shared" si="45"/>
        <v/>
      </c>
      <c r="BC95" s="2718" t="str">
        <f t="shared" si="46"/>
        <v/>
      </c>
      <c r="BD95" s="2716">
        <f>'varme 24'!E261</f>
        <v>0</v>
      </c>
      <c r="BE95" s="3079">
        <f>'varme 24'!I261</f>
        <v>0</v>
      </c>
      <c r="BF95" s="2718"/>
      <c r="BH95" s="2421"/>
      <c r="BI95" s="2421"/>
      <c r="BJ95" s="2421"/>
      <c r="BL95" s="2420"/>
      <c r="BR95" s="2421"/>
    </row>
    <row r="96" spans="2:70" ht="13.8" customHeight="1" thickTop="1" thickBot="1">
      <c r="B96" s="2488"/>
      <c r="C96" s="2489"/>
      <c r="D96" s="2576"/>
      <c r="E96" s="2484"/>
      <c r="F96" s="2484"/>
      <c r="G96" s="2501"/>
      <c r="H96" s="2485"/>
      <c r="I96" s="2486"/>
      <c r="J96" s="2487"/>
      <c r="L96" s="2488"/>
      <c r="M96" s="2489"/>
      <c r="N96" s="2490"/>
      <c r="O96" s="2484"/>
      <c r="P96" s="2484"/>
      <c r="Q96" s="2501"/>
      <c r="R96" s="2485"/>
      <c r="S96" s="2486"/>
      <c r="T96" s="2487"/>
      <c r="V96" s="2479"/>
      <c r="W96" s="2480"/>
      <c r="X96" s="2542"/>
      <c r="Y96" s="2481"/>
      <c r="Z96" s="2482"/>
      <c r="AA96" s="2483"/>
      <c r="AB96" s="2483"/>
      <c r="AC96" s="2551"/>
      <c r="AD96" s="2485"/>
      <c r="AE96" s="2486"/>
      <c r="AF96" s="2478"/>
      <c r="AH96" s="2643"/>
      <c r="AI96" s="2644"/>
      <c r="AJ96" s="2645"/>
      <c r="AK96" s="2689"/>
      <c r="AL96" s="2646"/>
      <c r="AM96" s="2690"/>
      <c r="AN96" s="2647"/>
      <c r="AO96" s="2648"/>
      <c r="AP96" s="2692"/>
      <c r="AQ96" s="2646"/>
      <c r="AR96" s="2649"/>
      <c r="AS96" s="2646"/>
      <c r="AT96" s="2650"/>
      <c r="AV96" s="2727" t="s">
        <v>1131</v>
      </c>
      <c r="AW96" s="2728">
        <v>45469</v>
      </c>
      <c r="AX96" s="2716" t="str">
        <f t="shared" si="43"/>
        <v/>
      </c>
      <c r="AY96" s="2723"/>
      <c r="AZ96" s="2660" t="str">
        <f t="shared" si="44"/>
        <v/>
      </c>
      <c r="BA96" s="2725"/>
      <c r="BB96" s="2696" t="str">
        <f t="shared" si="45"/>
        <v/>
      </c>
      <c r="BC96" s="2718" t="str">
        <f t="shared" si="46"/>
        <v/>
      </c>
      <c r="BD96" s="2716">
        <f>'varme 24'!E262</f>
        <v>0</v>
      </c>
      <c r="BE96" s="3079">
        <f>'varme 24'!I262</f>
        <v>0</v>
      </c>
      <c r="BF96" s="2718"/>
      <c r="BH96" s="2421"/>
      <c r="BI96" s="2421"/>
      <c r="BJ96" s="2421"/>
      <c r="BL96" s="2420"/>
      <c r="BR96" s="2421"/>
    </row>
    <row r="97" spans="1:70" ht="13.8" customHeight="1" thickTop="1" thickBot="1">
      <c r="B97" s="2488"/>
      <c r="C97" s="2489"/>
      <c r="D97" s="2576"/>
      <c r="E97" s="2484"/>
      <c r="F97" s="2484"/>
      <c r="G97" s="2501"/>
      <c r="H97" s="2485"/>
      <c r="I97" s="2486"/>
      <c r="J97" s="2487"/>
      <c r="L97" s="2488"/>
      <c r="M97" s="2489"/>
      <c r="N97" s="2490"/>
      <c r="O97" s="2484"/>
      <c r="P97" s="2484"/>
      <c r="Q97" s="2501"/>
      <c r="R97" s="2485"/>
      <c r="S97" s="2486"/>
      <c r="T97" s="2487"/>
      <c r="V97" s="2479"/>
      <c r="W97" s="2480"/>
      <c r="X97" s="2542"/>
      <c r="Y97" s="2481"/>
      <c r="Z97" s="2482"/>
      <c r="AA97" s="2483"/>
      <c r="AB97" s="2483"/>
      <c r="AC97" s="2551"/>
      <c r="AD97" s="2485"/>
      <c r="AE97" s="2486"/>
      <c r="AF97" s="2478"/>
      <c r="AH97" s="2643"/>
      <c r="AI97" s="2644"/>
      <c r="AJ97" s="2645"/>
      <c r="AK97" s="2689"/>
      <c r="AL97" s="2646"/>
      <c r="AM97" s="2690"/>
      <c r="AN97" s="2647"/>
      <c r="AO97" s="2648"/>
      <c r="AP97" s="2692"/>
      <c r="AQ97" s="2646"/>
      <c r="AR97" s="2649"/>
      <c r="AS97" s="2646"/>
      <c r="AT97" s="2650"/>
      <c r="AV97" s="2727" t="s">
        <v>1136</v>
      </c>
      <c r="AW97" s="2728">
        <v>45470</v>
      </c>
      <c r="AX97" s="2716" t="str">
        <f t="shared" si="43"/>
        <v/>
      </c>
      <c r="AY97" s="2723"/>
      <c r="AZ97" s="2660" t="str">
        <f t="shared" si="44"/>
        <v/>
      </c>
      <c r="BA97" s="2725"/>
      <c r="BB97" s="2696" t="str">
        <f t="shared" si="45"/>
        <v/>
      </c>
      <c r="BC97" s="2718" t="str">
        <f t="shared" si="46"/>
        <v/>
      </c>
      <c r="BD97" s="2716">
        <f>'varme 24'!E263</f>
        <v>0</v>
      </c>
      <c r="BE97" s="3079">
        <f>'varme 24'!I263</f>
        <v>0</v>
      </c>
      <c r="BF97" s="2718"/>
      <c r="BH97" s="2421"/>
      <c r="BI97" s="2421"/>
      <c r="BJ97" s="2421"/>
      <c r="BL97" s="2420"/>
      <c r="BR97" s="2421"/>
    </row>
    <row r="98" spans="1:70" ht="13.8" customHeight="1" thickTop="1" thickBot="1">
      <c r="B98" s="2488"/>
      <c r="C98" s="2489"/>
      <c r="D98" s="2576"/>
      <c r="E98" s="2484"/>
      <c r="F98" s="2484"/>
      <c r="G98" s="2501"/>
      <c r="H98" s="2485"/>
      <c r="I98" s="2486"/>
      <c r="J98" s="2487"/>
      <c r="L98" s="2488"/>
      <c r="M98" s="2489"/>
      <c r="N98" s="2490"/>
      <c r="O98" s="2484"/>
      <c r="P98" s="2484"/>
      <c r="Q98" s="2501"/>
      <c r="R98" s="2485"/>
      <c r="S98" s="2486"/>
      <c r="T98" s="2487"/>
      <c r="V98" s="2479"/>
      <c r="W98" s="2480"/>
      <c r="X98" s="2542"/>
      <c r="Y98" s="2481"/>
      <c r="Z98" s="2482"/>
      <c r="AA98" s="2483"/>
      <c r="AB98" s="2483"/>
      <c r="AC98" s="2551"/>
      <c r="AD98" s="2485"/>
      <c r="AE98" s="2486"/>
      <c r="AF98" s="2478"/>
      <c r="AH98" s="2643"/>
      <c r="AI98" s="2644"/>
      <c r="AJ98" s="2645"/>
      <c r="AK98" s="2689"/>
      <c r="AL98" s="2646"/>
      <c r="AM98" s="2690"/>
      <c r="AN98" s="2647"/>
      <c r="AO98" s="2648"/>
      <c r="AP98" s="2692"/>
      <c r="AQ98" s="2646"/>
      <c r="AR98" s="2649"/>
      <c r="AS98" s="2646"/>
      <c r="AT98" s="2650"/>
      <c r="AV98" s="2727" t="s">
        <v>1130</v>
      </c>
      <c r="AW98" s="2728">
        <v>45471</v>
      </c>
      <c r="AX98" s="2716" t="str">
        <f t="shared" si="43"/>
        <v/>
      </c>
      <c r="AY98" s="2723"/>
      <c r="AZ98" s="2660" t="str">
        <f t="shared" si="44"/>
        <v/>
      </c>
      <c r="BA98" s="2725"/>
      <c r="BB98" s="2696" t="str">
        <f t="shared" si="45"/>
        <v/>
      </c>
      <c r="BC98" s="2718" t="str">
        <f t="shared" si="46"/>
        <v/>
      </c>
      <c r="BD98" s="2716">
        <f>'varme 24'!E264</f>
        <v>0</v>
      </c>
      <c r="BE98" s="3079">
        <f>'varme 24'!I264</f>
        <v>0</v>
      </c>
      <c r="BF98" s="2718"/>
      <c r="BH98" s="2421"/>
      <c r="BJ98" s="2421"/>
      <c r="BL98" s="2420"/>
      <c r="BR98" s="2421"/>
    </row>
    <row r="99" spans="1:70" ht="13.8" customHeight="1" thickTop="1" thickBot="1">
      <c r="B99" s="2488"/>
      <c r="C99" s="2489"/>
      <c r="D99" s="2576"/>
      <c r="E99" s="2484"/>
      <c r="F99" s="2484"/>
      <c r="G99" s="2501"/>
      <c r="H99" s="2485"/>
      <c r="I99" s="2486"/>
      <c r="J99" s="2487"/>
      <c r="L99" s="2488"/>
      <c r="M99" s="2489"/>
      <c r="N99" s="2490"/>
      <c r="O99" s="2484"/>
      <c r="P99" s="2484"/>
      <c r="Q99" s="2501"/>
      <c r="R99" s="2485"/>
      <c r="S99" s="2486"/>
      <c r="T99" s="2487"/>
      <c r="V99" s="2479"/>
      <c r="W99" s="2480"/>
      <c r="X99" s="2542"/>
      <c r="Y99" s="2481"/>
      <c r="Z99" s="2482"/>
      <c r="AA99" s="2483"/>
      <c r="AB99" s="2483"/>
      <c r="AC99" s="2551"/>
      <c r="AD99" s="2485"/>
      <c r="AE99" s="2486"/>
      <c r="AF99" s="2478"/>
      <c r="AH99" s="2643"/>
      <c r="AI99" s="2644"/>
      <c r="AJ99" s="2645"/>
      <c r="AK99" s="2689"/>
      <c r="AL99" s="2646"/>
      <c r="AM99" s="2690"/>
      <c r="AN99" s="2647"/>
      <c r="AO99" s="2648"/>
      <c r="AP99" s="2692"/>
      <c r="AQ99" s="2646"/>
      <c r="AR99" s="2649"/>
      <c r="AS99" s="2646"/>
      <c r="AT99" s="2650"/>
      <c r="AV99" s="2727" t="s">
        <v>1128</v>
      </c>
      <c r="AW99" s="2728">
        <v>45472</v>
      </c>
      <c r="AX99" s="2716" t="str">
        <f t="shared" si="43"/>
        <v/>
      </c>
      <c r="AY99" s="2723"/>
      <c r="AZ99" s="2660" t="str">
        <f t="shared" si="44"/>
        <v/>
      </c>
      <c r="BA99" s="2725"/>
      <c r="BB99" s="2696" t="str">
        <f t="shared" si="45"/>
        <v/>
      </c>
      <c r="BC99" s="2718" t="str">
        <f t="shared" si="46"/>
        <v/>
      </c>
      <c r="BD99" s="2716">
        <f>'varme 24'!E265</f>
        <v>0</v>
      </c>
      <c r="BE99" s="3079">
        <f>'varme 24'!I265</f>
        <v>0</v>
      </c>
      <c r="BF99" s="2718"/>
      <c r="BH99" s="2421"/>
      <c r="BJ99" s="2421"/>
      <c r="BL99" s="2420"/>
      <c r="BR99" s="2421"/>
    </row>
    <row r="100" spans="1:70" ht="13.8" customHeight="1" thickTop="1" thickBot="1">
      <c r="B100" s="2488"/>
      <c r="C100" s="2489"/>
      <c r="D100" s="2576"/>
      <c r="E100" s="2484"/>
      <c r="F100" s="2484"/>
      <c r="G100" s="2501"/>
      <c r="H100" s="2485"/>
      <c r="I100" s="2486"/>
      <c r="J100" s="2487"/>
      <c r="L100" s="2488"/>
      <c r="M100" s="2489"/>
      <c r="N100" s="2490"/>
      <c r="O100" s="2484"/>
      <c r="P100" s="2484"/>
      <c r="Q100" s="2501"/>
      <c r="R100" s="2485"/>
      <c r="S100" s="2486"/>
      <c r="T100" s="2487"/>
      <c r="V100" s="2479"/>
      <c r="W100" s="2480"/>
      <c r="X100" s="2542"/>
      <c r="Y100" s="2481"/>
      <c r="Z100" s="2482"/>
      <c r="AA100" s="2483"/>
      <c r="AB100" s="2483"/>
      <c r="AC100" s="2551"/>
      <c r="AD100" s="2485"/>
      <c r="AE100" s="2486"/>
      <c r="AF100" s="2478"/>
      <c r="AH100" s="2643"/>
      <c r="AI100" s="2644"/>
      <c r="AJ100" s="2645"/>
      <c r="AK100" s="2689"/>
      <c r="AL100" s="2646"/>
      <c r="AM100" s="2690"/>
      <c r="AN100" s="2647"/>
      <c r="AO100" s="2648"/>
      <c r="AP100" s="2692"/>
      <c r="AQ100" s="2646"/>
      <c r="AR100" s="2649"/>
      <c r="AS100" s="2646"/>
      <c r="AT100" s="2650"/>
      <c r="AV100" s="3067" t="s">
        <v>1139</v>
      </c>
      <c r="AW100" s="2729">
        <v>45473</v>
      </c>
      <c r="AX100" s="2717" t="str">
        <f t="shared" si="43"/>
        <v/>
      </c>
      <c r="AY100" s="2724"/>
      <c r="AZ100" s="2730" t="str">
        <f t="shared" si="44"/>
        <v/>
      </c>
      <c r="BA100" s="2726"/>
      <c r="BB100" s="2700" t="str">
        <f t="shared" si="45"/>
        <v/>
      </c>
      <c r="BC100" s="2719" t="str">
        <f t="shared" si="46"/>
        <v/>
      </c>
      <c r="BD100" s="2716">
        <f>'varme 24'!E266</f>
        <v>0</v>
      </c>
      <c r="BE100" s="3079">
        <f>'varme 24'!I266</f>
        <v>0</v>
      </c>
      <c r="BF100" s="2719"/>
      <c r="BH100" s="2421"/>
      <c r="BI100" s="2421"/>
      <c r="BJ100" s="2421"/>
      <c r="BL100" s="2420"/>
      <c r="BR100" s="2421"/>
    </row>
    <row r="101" spans="1:70" ht="14.4" customHeight="1" thickTop="1" thickBot="1">
      <c r="A101" s="2421"/>
      <c r="G101" s="2466"/>
      <c r="K101" s="2421"/>
      <c r="Q101" s="2466"/>
      <c r="U101" s="2421"/>
      <c r="AC101" s="2466"/>
      <c r="AG101" s="2421"/>
      <c r="AO101" s="2466"/>
      <c r="AU101" s="2421"/>
      <c r="AV101" s="3069" t="s">
        <v>89</v>
      </c>
      <c r="AW101" s="3073"/>
      <c r="AX101" s="3061" t="s">
        <v>1147</v>
      </c>
      <c r="AY101" s="3062" t="s">
        <v>1163</v>
      </c>
      <c r="AZ101" s="3063" t="s">
        <v>708</v>
      </c>
      <c r="BA101" s="3064" t="s">
        <v>1669</v>
      </c>
      <c r="BB101" s="3063" t="s">
        <v>1146</v>
      </c>
      <c r="BC101" s="3063"/>
      <c r="BD101" s="3055" t="s">
        <v>1147</v>
      </c>
      <c r="BE101" s="3079" t="s">
        <v>1618</v>
      </c>
      <c r="BF101" s="3066"/>
      <c r="BG101" s="2421"/>
      <c r="BH101" s="2421"/>
      <c r="BI101" s="2421"/>
      <c r="BJ101" s="2421"/>
      <c r="BL101" s="2420"/>
      <c r="BR101" s="2421"/>
    </row>
    <row r="102" spans="1:70" ht="13.8" customHeight="1" thickTop="1" thickBot="1">
      <c r="A102" s="2421"/>
      <c r="G102" s="2466"/>
      <c r="K102" s="2421"/>
      <c r="Q102" s="2466"/>
      <c r="U102" s="2421"/>
      <c r="AC102" s="2466"/>
      <c r="AG102" s="2421"/>
      <c r="AO102" s="2466"/>
      <c r="AU102" s="2421"/>
      <c r="AV102" s="3071"/>
      <c r="AW102" s="3074"/>
      <c r="AX102" s="2815">
        <f>SUM(AX106:AX134)</f>
        <v>0</v>
      </c>
      <c r="AY102" s="2816"/>
      <c r="AZ102" s="2817">
        <f>SUM(AZ106:AZ134)</f>
        <v>0</v>
      </c>
      <c r="BA102" s="2817"/>
      <c r="BB102" s="2703" t="e">
        <f>AZ102/AX102</f>
        <v>#DIV/0!</v>
      </c>
      <c r="BC102" s="2736"/>
      <c r="BD102" s="2732">
        <f>SUM(BD106:BD134)</f>
        <v>0</v>
      </c>
      <c r="BE102" s="2714">
        <f>SUM(BE106:BE134)</f>
        <v>0</v>
      </c>
      <c r="BF102" s="2715"/>
      <c r="BG102" s="2421"/>
      <c r="BH102" s="2421"/>
      <c r="BI102" s="2421"/>
      <c r="BJ102" s="2421"/>
      <c r="BL102" s="2420"/>
      <c r="BR102" s="2421"/>
    </row>
    <row r="103" spans="1:70" ht="13.8" customHeight="1" thickTop="1" thickBot="1">
      <c r="B103" s="2488"/>
      <c r="C103" s="2489"/>
      <c r="D103" s="2576"/>
      <c r="E103" s="2484"/>
      <c r="F103" s="2484"/>
      <c r="G103" s="2501"/>
      <c r="H103" s="2485"/>
      <c r="I103" s="2486"/>
      <c r="J103" s="2487"/>
      <c r="L103" s="2488"/>
      <c r="M103" s="2489"/>
      <c r="N103" s="2490"/>
      <c r="O103" s="2484"/>
      <c r="P103" s="2484"/>
      <c r="Q103" s="2501"/>
      <c r="R103" s="2485"/>
      <c r="S103" s="2486"/>
      <c r="T103" s="2487"/>
      <c r="V103" s="2479"/>
      <c r="W103" s="2480"/>
      <c r="X103" s="2542"/>
      <c r="Y103" s="2481"/>
      <c r="Z103" s="2482"/>
      <c r="AA103" s="2483"/>
      <c r="AB103" s="2483"/>
      <c r="AC103" s="2551"/>
      <c r="AD103" s="2485"/>
      <c r="AE103" s="2486"/>
      <c r="AF103" s="2478"/>
      <c r="AH103" s="2643"/>
      <c r="AI103" s="2644"/>
      <c r="AJ103" s="2645"/>
      <c r="AK103" s="2689"/>
      <c r="AL103" s="2646"/>
      <c r="AM103" s="2690"/>
      <c r="AN103" s="2647"/>
      <c r="AO103" s="2648"/>
      <c r="AP103" s="2692"/>
      <c r="AQ103" s="2646"/>
      <c r="AR103" s="2649"/>
      <c r="AS103" s="2646"/>
      <c r="AT103" s="2650"/>
      <c r="AV103" s="2727" t="s">
        <v>1138</v>
      </c>
      <c r="AW103" s="2728">
        <v>45474</v>
      </c>
      <c r="AX103" s="2716" t="str">
        <f>IF(AY103&gt;0,AY103-AY100,"")</f>
        <v/>
      </c>
      <c r="AY103" s="2723"/>
      <c r="AZ103" s="2660" t="str">
        <f>IF(BA103&gt;0,BA103-BA100,"")</f>
        <v/>
      </c>
      <c r="BA103" s="2725"/>
      <c r="BB103" s="2696" t="str">
        <f t="shared" si="45"/>
        <v/>
      </c>
      <c r="BC103" s="2718" t="str">
        <f t="shared" si="46"/>
        <v/>
      </c>
      <c r="BD103" s="2698">
        <f>'varme 24'!E267</f>
        <v>0</v>
      </c>
      <c r="BE103" s="2699">
        <f>'varme 24'!I267</f>
        <v>0</v>
      </c>
      <c r="BF103" s="2718"/>
      <c r="BH103" s="2421"/>
      <c r="BI103" s="2421"/>
      <c r="BJ103" s="2421"/>
      <c r="BL103" s="2420"/>
      <c r="BR103" s="2421"/>
    </row>
    <row r="104" spans="1:70" ht="13.8" customHeight="1" thickTop="1" thickBot="1">
      <c r="B104" s="2488"/>
      <c r="C104" s="2489"/>
      <c r="D104" s="2576"/>
      <c r="E104" s="2484"/>
      <c r="F104" s="2484"/>
      <c r="G104" s="2501"/>
      <c r="H104" s="2485"/>
      <c r="I104" s="2486"/>
      <c r="J104" s="2487"/>
      <c r="L104" s="2488"/>
      <c r="M104" s="2489"/>
      <c r="N104" s="2490"/>
      <c r="O104" s="2484"/>
      <c r="P104" s="2484"/>
      <c r="Q104" s="2501"/>
      <c r="R104" s="2485"/>
      <c r="S104" s="2486"/>
      <c r="T104" s="2487"/>
      <c r="V104" s="2479"/>
      <c r="W104" s="2480"/>
      <c r="X104" s="2542"/>
      <c r="Y104" s="2481"/>
      <c r="Z104" s="2482"/>
      <c r="AA104" s="2483"/>
      <c r="AB104" s="2483"/>
      <c r="AC104" s="2551"/>
      <c r="AD104" s="2485"/>
      <c r="AE104" s="2486"/>
      <c r="AF104" s="2478"/>
      <c r="AH104" s="2643"/>
      <c r="AI104" s="2644"/>
      <c r="AJ104" s="2645"/>
      <c r="AK104" s="2689"/>
      <c r="AL104" s="2646"/>
      <c r="AM104" s="2690"/>
      <c r="AN104" s="2647"/>
      <c r="AO104" s="2648"/>
      <c r="AP104" s="2692"/>
      <c r="AQ104" s="2646"/>
      <c r="AR104" s="2649"/>
      <c r="AS104" s="2646"/>
      <c r="AT104" s="2650"/>
      <c r="AV104" s="2727" t="s">
        <v>1137</v>
      </c>
      <c r="AW104" s="2728">
        <v>45475</v>
      </c>
      <c r="AX104" s="2716" t="str">
        <f>IF(AY104&gt;0,AY104-#REF!,"")</f>
        <v/>
      </c>
      <c r="AY104" s="2723"/>
      <c r="AZ104" s="2660" t="str">
        <f>IF(BA104&gt;0,BA104-#REF!,"")</f>
        <v/>
      </c>
      <c r="BA104" s="2725"/>
      <c r="BB104" s="2696" t="str">
        <f t="shared" ref="BB104:BB105" si="47">IF(BA104&gt;0,BA104/AY104,"")</f>
        <v/>
      </c>
      <c r="BC104" s="2718" t="str">
        <f t="shared" ref="BC104:BC105" si="48">IF(AY104&gt;0,"*","")</f>
        <v/>
      </c>
      <c r="BD104" s="2698">
        <f>'varme 24'!E270</f>
        <v>0</v>
      </c>
      <c r="BE104" s="2699">
        <f>'varme 24'!I270</f>
        <v>0</v>
      </c>
      <c r="BF104" s="2718"/>
      <c r="BH104" s="2421"/>
      <c r="BI104" s="2421"/>
      <c r="BJ104" s="2421"/>
      <c r="BL104" s="2420"/>
      <c r="BR104" s="2421"/>
    </row>
    <row r="105" spans="1:70" ht="13.8" customHeight="1" thickTop="1" thickBot="1">
      <c r="B105" s="2488"/>
      <c r="C105" s="2489"/>
      <c r="D105" s="2576"/>
      <c r="E105" s="2484"/>
      <c r="F105" s="2484"/>
      <c r="G105" s="2501"/>
      <c r="H105" s="2485"/>
      <c r="I105" s="2486"/>
      <c r="J105" s="2487"/>
      <c r="L105" s="2488"/>
      <c r="M105" s="2489"/>
      <c r="N105" s="2490"/>
      <c r="O105" s="2484"/>
      <c r="P105" s="2484"/>
      <c r="Q105" s="2501"/>
      <c r="R105" s="2485"/>
      <c r="S105" s="2486"/>
      <c r="T105" s="2487"/>
      <c r="V105" s="2479"/>
      <c r="W105" s="2480"/>
      <c r="X105" s="2542"/>
      <c r="Y105" s="2481"/>
      <c r="Z105" s="2482"/>
      <c r="AA105" s="2483"/>
      <c r="AB105" s="2483"/>
      <c r="AC105" s="2551"/>
      <c r="AD105" s="2485"/>
      <c r="AE105" s="2486"/>
      <c r="AF105" s="2478"/>
      <c r="AH105" s="2643"/>
      <c r="AI105" s="2644"/>
      <c r="AJ105" s="2645"/>
      <c r="AK105" s="2689"/>
      <c r="AL105" s="2646"/>
      <c r="AM105" s="2690"/>
      <c r="AN105" s="2647"/>
      <c r="AO105" s="2648"/>
      <c r="AP105" s="2692"/>
      <c r="AQ105" s="2646"/>
      <c r="AR105" s="2649"/>
      <c r="AS105" s="2646"/>
      <c r="AT105" s="2650"/>
      <c r="AV105" s="2727" t="s">
        <v>1131</v>
      </c>
      <c r="AW105" s="2728">
        <v>45476</v>
      </c>
      <c r="AX105" s="2716" t="str">
        <f t="shared" ref="AX105" si="49">IF(AY105&gt;0,AY105-AY104,"")</f>
        <v/>
      </c>
      <c r="AY105" s="2723"/>
      <c r="AZ105" s="2660" t="str">
        <f t="shared" ref="AZ105" si="50">IF(BA105&gt;0,BA105-BA104,"")</f>
        <v/>
      </c>
      <c r="BA105" s="2725"/>
      <c r="BB105" s="2696" t="str">
        <f t="shared" si="47"/>
        <v/>
      </c>
      <c r="BC105" s="2718" t="str">
        <f t="shared" si="48"/>
        <v/>
      </c>
      <c r="BD105" s="2698">
        <f>'varme 24'!E271</f>
        <v>0</v>
      </c>
      <c r="BE105" s="2699">
        <f>'varme 24'!I271</f>
        <v>0</v>
      </c>
      <c r="BF105" s="2718"/>
      <c r="BH105" s="2421"/>
      <c r="BI105" s="2421"/>
      <c r="BJ105" s="2421"/>
      <c r="BL105" s="2420"/>
      <c r="BR105" s="2421"/>
    </row>
    <row r="106" spans="1:70" ht="13.8" customHeight="1" thickTop="1" thickBot="1">
      <c r="B106" s="2488"/>
      <c r="C106" s="2489"/>
      <c r="D106" s="2576"/>
      <c r="E106" s="2484"/>
      <c r="F106" s="2484"/>
      <c r="G106" s="2501"/>
      <c r="H106" s="2485"/>
      <c r="I106" s="2486"/>
      <c r="J106" s="2487"/>
      <c r="L106" s="2488"/>
      <c r="M106" s="2489"/>
      <c r="N106" s="2490"/>
      <c r="O106" s="2484"/>
      <c r="P106" s="2484"/>
      <c r="Q106" s="2501"/>
      <c r="R106" s="2485"/>
      <c r="S106" s="2486"/>
      <c r="T106" s="2487"/>
      <c r="V106" s="2479"/>
      <c r="W106" s="2480"/>
      <c r="X106" s="2542"/>
      <c r="Y106" s="2481"/>
      <c r="Z106" s="2482"/>
      <c r="AA106" s="2483"/>
      <c r="AB106" s="2483"/>
      <c r="AC106" s="2551"/>
      <c r="AD106" s="2485"/>
      <c r="AE106" s="2486"/>
      <c r="AF106" s="2478"/>
      <c r="AH106" s="2643"/>
      <c r="AI106" s="2644"/>
      <c r="AJ106" s="2645"/>
      <c r="AK106" s="2689"/>
      <c r="AL106" s="2646"/>
      <c r="AM106" s="2690"/>
      <c r="AN106" s="2647"/>
      <c r="AO106" s="2648"/>
      <c r="AP106" s="2692"/>
      <c r="AQ106" s="2646"/>
      <c r="AR106" s="2649"/>
      <c r="AS106" s="2646"/>
      <c r="AT106" s="2650"/>
      <c r="AV106" s="2727" t="s">
        <v>1136</v>
      </c>
      <c r="AW106" s="2728">
        <v>45477</v>
      </c>
      <c r="AX106" s="2716" t="str">
        <f t="shared" ref="AX106:AX133" si="51">IF(AY106&gt;0,AY106-AY105,"")</f>
        <v/>
      </c>
      <c r="AY106" s="2723"/>
      <c r="AZ106" s="2660" t="str">
        <f t="shared" ref="AZ106:AZ133" si="52">IF(BA106&gt;0,BA106-BA105,"")</f>
        <v/>
      </c>
      <c r="BA106" s="2725"/>
      <c r="BB106" s="2696" t="str">
        <f t="shared" ref="BB106:BB133" si="53">IF(BA106&gt;0,BA106/AY106,"")</f>
        <v/>
      </c>
      <c r="BC106" s="2718" t="str">
        <f t="shared" ref="BC106:BC133" si="54">IF(AY106&gt;0,"*","")</f>
        <v/>
      </c>
      <c r="BD106" s="2698">
        <f>'varme 24'!E272</f>
        <v>0</v>
      </c>
      <c r="BE106" s="2699">
        <f>'varme 24'!I272</f>
        <v>0</v>
      </c>
      <c r="BF106" s="2718"/>
      <c r="BH106" s="2421"/>
      <c r="BI106" s="2421"/>
      <c r="BJ106" s="2421"/>
      <c r="BL106" s="2420"/>
      <c r="BR106" s="2421"/>
    </row>
    <row r="107" spans="1:70" ht="13.8" customHeight="1" thickTop="1" thickBot="1">
      <c r="B107" s="2488"/>
      <c r="C107" s="2489"/>
      <c r="D107" s="2576"/>
      <c r="E107" s="2484"/>
      <c r="F107" s="2484"/>
      <c r="G107" s="2501"/>
      <c r="H107" s="2485"/>
      <c r="I107" s="2486"/>
      <c r="J107" s="2487"/>
      <c r="L107" s="2488"/>
      <c r="M107" s="2489"/>
      <c r="N107" s="2490"/>
      <c r="O107" s="2484"/>
      <c r="P107" s="2484"/>
      <c r="Q107" s="2501"/>
      <c r="R107" s="2485"/>
      <c r="S107" s="2486"/>
      <c r="T107" s="2487"/>
      <c r="V107" s="2479"/>
      <c r="W107" s="2480"/>
      <c r="X107" s="2542"/>
      <c r="Y107" s="2481"/>
      <c r="Z107" s="2482"/>
      <c r="AA107" s="2483"/>
      <c r="AB107" s="2483"/>
      <c r="AC107" s="2551"/>
      <c r="AD107" s="2485"/>
      <c r="AE107" s="2486"/>
      <c r="AF107" s="2478"/>
      <c r="AH107" s="2643"/>
      <c r="AI107" s="2644"/>
      <c r="AJ107" s="2645"/>
      <c r="AK107" s="2689"/>
      <c r="AL107" s="2646"/>
      <c r="AM107" s="2690"/>
      <c r="AN107" s="2647"/>
      <c r="AO107" s="2648"/>
      <c r="AP107" s="2692"/>
      <c r="AQ107" s="2646"/>
      <c r="AR107" s="2649"/>
      <c r="AS107" s="2646"/>
      <c r="AT107" s="2650"/>
      <c r="AV107" s="2727" t="s">
        <v>1130</v>
      </c>
      <c r="AW107" s="2728">
        <v>45478</v>
      </c>
      <c r="AX107" s="2716" t="str">
        <f t="shared" si="51"/>
        <v/>
      </c>
      <c r="AY107" s="2723"/>
      <c r="AZ107" s="2660" t="str">
        <f t="shared" si="52"/>
        <v/>
      </c>
      <c r="BA107" s="2725"/>
      <c r="BB107" s="2696" t="str">
        <f t="shared" si="53"/>
        <v/>
      </c>
      <c r="BC107" s="2718" t="str">
        <f t="shared" si="54"/>
        <v/>
      </c>
      <c r="BD107" s="2698">
        <f>'varme 24'!E273</f>
        <v>0</v>
      </c>
      <c r="BE107" s="2699">
        <f>'varme 24'!I273</f>
        <v>0</v>
      </c>
      <c r="BF107" s="2718"/>
      <c r="BH107" s="2421"/>
      <c r="BI107" s="2421"/>
      <c r="BJ107" s="2421"/>
      <c r="BL107" s="2420"/>
      <c r="BR107" s="2421"/>
    </row>
    <row r="108" spans="1:70" ht="13.8" customHeight="1" thickTop="1" thickBot="1">
      <c r="B108" s="2488"/>
      <c r="C108" s="2489"/>
      <c r="D108" s="2576"/>
      <c r="E108" s="2484"/>
      <c r="F108" s="2484"/>
      <c r="G108" s="2501"/>
      <c r="H108" s="2485"/>
      <c r="I108" s="2486"/>
      <c r="J108" s="2487"/>
      <c r="L108" s="2488"/>
      <c r="M108" s="2489"/>
      <c r="N108" s="2490"/>
      <c r="O108" s="2484"/>
      <c r="P108" s="2484"/>
      <c r="Q108" s="2501"/>
      <c r="R108" s="2485"/>
      <c r="S108" s="2486"/>
      <c r="T108" s="2487"/>
      <c r="V108" s="2479"/>
      <c r="W108" s="2480"/>
      <c r="X108" s="2542"/>
      <c r="Y108" s="2481"/>
      <c r="Z108" s="2482"/>
      <c r="AA108" s="2483"/>
      <c r="AB108" s="2483"/>
      <c r="AC108" s="2551"/>
      <c r="AD108" s="2485"/>
      <c r="AE108" s="2486"/>
      <c r="AF108" s="2478"/>
      <c r="AH108" s="2643"/>
      <c r="AI108" s="2644"/>
      <c r="AJ108" s="2645"/>
      <c r="AK108" s="2689"/>
      <c r="AL108" s="2646"/>
      <c r="AM108" s="2690"/>
      <c r="AN108" s="2647"/>
      <c r="AO108" s="2648"/>
      <c r="AP108" s="2692"/>
      <c r="AQ108" s="2646"/>
      <c r="AR108" s="2649"/>
      <c r="AS108" s="2646"/>
      <c r="AT108" s="2650"/>
      <c r="AV108" s="2727" t="s">
        <v>1128</v>
      </c>
      <c r="AW108" s="2728">
        <v>45479</v>
      </c>
      <c r="AX108" s="2716" t="str">
        <f t="shared" si="51"/>
        <v/>
      </c>
      <c r="AY108" s="2723"/>
      <c r="AZ108" s="2660" t="str">
        <f t="shared" si="52"/>
        <v/>
      </c>
      <c r="BA108" s="2725"/>
      <c r="BB108" s="2696" t="str">
        <f t="shared" si="53"/>
        <v/>
      </c>
      <c r="BC108" s="2718" t="str">
        <f t="shared" si="54"/>
        <v/>
      </c>
      <c r="BD108" s="2698">
        <f>'varme 24'!E274</f>
        <v>0</v>
      </c>
      <c r="BE108" s="2699">
        <f>'varme 24'!I274</f>
        <v>0</v>
      </c>
      <c r="BF108" s="2718"/>
      <c r="BH108" s="2421"/>
      <c r="BI108" s="2421"/>
      <c r="BJ108" s="2421"/>
      <c r="BL108" s="2420"/>
      <c r="BR108" s="2421"/>
    </row>
    <row r="109" spans="1:70" ht="13.8" customHeight="1" thickTop="1" thickBot="1">
      <c r="B109" s="2488"/>
      <c r="C109" s="2489"/>
      <c r="D109" s="2576"/>
      <c r="E109" s="2484"/>
      <c r="F109" s="2484"/>
      <c r="G109" s="2501"/>
      <c r="H109" s="2485"/>
      <c r="I109" s="2486"/>
      <c r="J109" s="2487"/>
      <c r="L109" s="2488"/>
      <c r="M109" s="2489"/>
      <c r="N109" s="2490"/>
      <c r="O109" s="2484"/>
      <c r="P109" s="2484"/>
      <c r="Q109" s="2501"/>
      <c r="R109" s="2485"/>
      <c r="S109" s="2486"/>
      <c r="T109" s="2487"/>
      <c r="V109" s="2479"/>
      <c r="W109" s="2480"/>
      <c r="X109" s="2542"/>
      <c r="Y109" s="2481"/>
      <c r="Z109" s="2482"/>
      <c r="AA109" s="2483"/>
      <c r="AB109" s="2483"/>
      <c r="AC109" s="2551"/>
      <c r="AD109" s="2485"/>
      <c r="AE109" s="2486"/>
      <c r="AF109" s="2478"/>
      <c r="AH109" s="2643"/>
      <c r="AI109" s="2644"/>
      <c r="AJ109" s="2645"/>
      <c r="AK109" s="2689"/>
      <c r="AL109" s="2646"/>
      <c r="AM109" s="2690"/>
      <c r="AN109" s="2647"/>
      <c r="AO109" s="2648"/>
      <c r="AP109" s="2692"/>
      <c r="AQ109" s="2646"/>
      <c r="AR109" s="2649"/>
      <c r="AS109" s="2646"/>
      <c r="AT109" s="2650"/>
      <c r="AV109" s="2727" t="s">
        <v>1139</v>
      </c>
      <c r="AW109" s="2728">
        <v>45480</v>
      </c>
      <c r="AX109" s="2716" t="str">
        <f t="shared" si="51"/>
        <v/>
      </c>
      <c r="AY109" s="2723"/>
      <c r="AZ109" s="2660" t="str">
        <f t="shared" si="52"/>
        <v/>
      </c>
      <c r="BA109" s="2725"/>
      <c r="BB109" s="2696" t="str">
        <f t="shared" si="53"/>
        <v/>
      </c>
      <c r="BC109" s="2718" t="str">
        <f t="shared" si="54"/>
        <v/>
      </c>
      <c r="BD109" s="2698">
        <f>'varme 24'!E275</f>
        <v>0</v>
      </c>
      <c r="BE109" s="2699">
        <f>'varme 24'!I275</f>
        <v>0</v>
      </c>
      <c r="BF109" s="2718"/>
      <c r="BH109" s="2421"/>
      <c r="BI109" s="2421"/>
      <c r="BJ109" s="2421"/>
      <c r="BL109" s="2420"/>
      <c r="BR109" s="2421"/>
    </row>
    <row r="110" spans="1:70" ht="13.8" customHeight="1" thickTop="1" thickBot="1">
      <c r="B110" s="2488"/>
      <c r="C110" s="2489"/>
      <c r="D110" s="2576"/>
      <c r="E110" s="2484"/>
      <c r="F110" s="2484"/>
      <c r="G110" s="2501"/>
      <c r="H110" s="2485"/>
      <c r="I110" s="2486"/>
      <c r="J110" s="2487"/>
      <c r="L110" s="2488"/>
      <c r="M110" s="2489"/>
      <c r="N110" s="2490"/>
      <c r="O110" s="2484"/>
      <c r="P110" s="2484"/>
      <c r="Q110" s="2501"/>
      <c r="R110" s="2485"/>
      <c r="S110" s="2486"/>
      <c r="T110" s="2487"/>
      <c r="V110" s="2479"/>
      <c r="W110" s="2480"/>
      <c r="X110" s="2542"/>
      <c r="Y110" s="2481"/>
      <c r="Z110" s="2482"/>
      <c r="AA110" s="2483"/>
      <c r="AB110" s="2483"/>
      <c r="AC110" s="2551"/>
      <c r="AD110" s="2485"/>
      <c r="AE110" s="2486"/>
      <c r="AF110" s="2478"/>
      <c r="AH110" s="2643"/>
      <c r="AI110" s="2644"/>
      <c r="AJ110" s="2645"/>
      <c r="AK110" s="2689"/>
      <c r="AL110" s="2646"/>
      <c r="AM110" s="2690"/>
      <c r="AN110" s="2647"/>
      <c r="AO110" s="2648"/>
      <c r="AP110" s="2692"/>
      <c r="AQ110" s="2646"/>
      <c r="AR110" s="2649"/>
      <c r="AS110" s="2646"/>
      <c r="AT110" s="2650"/>
      <c r="AV110" s="2727" t="s">
        <v>1138</v>
      </c>
      <c r="AW110" s="2728">
        <v>45481</v>
      </c>
      <c r="AX110" s="2716" t="str">
        <f t="shared" si="51"/>
        <v/>
      </c>
      <c r="AY110" s="2723"/>
      <c r="AZ110" s="2660" t="str">
        <f t="shared" si="52"/>
        <v/>
      </c>
      <c r="BA110" s="2725"/>
      <c r="BB110" s="2696" t="str">
        <f t="shared" si="53"/>
        <v/>
      </c>
      <c r="BC110" s="2718" t="str">
        <f t="shared" si="54"/>
        <v/>
      </c>
      <c r="BD110" s="2698">
        <f>'varme 24'!E276</f>
        <v>0</v>
      </c>
      <c r="BE110" s="2699">
        <f>'varme 24'!I276</f>
        <v>0</v>
      </c>
      <c r="BF110" s="2718"/>
      <c r="BH110" s="2421"/>
      <c r="BI110" s="2421"/>
      <c r="BJ110" s="2421"/>
      <c r="BL110" s="2420"/>
      <c r="BR110" s="2421"/>
    </row>
    <row r="111" spans="1:70" ht="13.8" customHeight="1" thickTop="1" thickBot="1">
      <c r="B111" s="2488"/>
      <c r="C111" s="2489"/>
      <c r="D111" s="2576"/>
      <c r="E111" s="2484"/>
      <c r="F111" s="2484"/>
      <c r="G111" s="2501"/>
      <c r="H111" s="2485"/>
      <c r="I111" s="2486"/>
      <c r="J111" s="2487"/>
      <c r="L111" s="2488"/>
      <c r="M111" s="2489"/>
      <c r="N111" s="2490"/>
      <c r="O111" s="2484"/>
      <c r="P111" s="2484"/>
      <c r="Q111" s="2501"/>
      <c r="R111" s="2485"/>
      <c r="S111" s="2486"/>
      <c r="T111" s="2487"/>
      <c r="V111" s="2479"/>
      <c r="W111" s="2480"/>
      <c r="X111" s="2542"/>
      <c r="Y111" s="2481"/>
      <c r="Z111" s="2482"/>
      <c r="AA111" s="2483"/>
      <c r="AB111" s="2483"/>
      <c r="AC111" s="2551"/>
      <c r="AD111" s="2485"/>
      <c r="AE111" s="2486"/>
      <c r="AF111" s="2478"/>
      <c r="AH111" s="2643"/>
      <c r="AI111" s="2644"/>
      <c r="AJ111" s="2645"/>
      <c r="AK111" s="2689"/>
      <c r="AL111" s="2646"/>
      <c r="AM111" s="2690"/>
      <c r="AN111" s="2647"/>
      <c r="AO111" s="2648"/>
      <c r="AP111" s="2692"/>
      <c r="AQ111" s="2646"/>
      <c r="AR111" s="2649"/>
      <c r="AS111" s="2646"/>
      <c r="AT111" s="2650"/>
      <c r="AV111" s="2727" t="s">
        <v>1137</v>
      </c>
      <c r="AW111" s="2728">
        <v>45482</v>
      </c>
      <c r="AX111" s="2716" t="str">
        <f t="shared" si="51"/>
        <v/>
      </c>
      <c r="AY111" s="2723"/>
      <c r="AZ111" s="2660" t="str">
        <f t="shared" si="52"/>
        <v/>
      </c>
      <c r="BA111" s="2725"/>
      <c r="BB111" s="2696" t="str">
        <f t="shared" si="53"/>
        <v/>
      </c>
      <c r="BC111" s="2718" t="str">
        <f t="shared" si="54"/>
        <v/>
      </c>
      <c r="BD111" s="2698">
        <f>'varme 24'!E277</f>
        <v>0</v>
      </c>
      <c r="BE111" s="2699">
        <f>'varme 24'!I277</f>
        <v>0</v>
      </c>
      <c r="BF111" s="2718"/>
      <c r="BH111" s="2421"/>
      <c r="BI111" s="2421"/>
      <c r="BJ111" s="2421"/>
      <c r="BL111" s="2420"/>
      <c r="BR111" s="2421"/>
    </row>
    <row r="112" spans="1:70" ht="13.8" customHeight="1" thickTop="1" thickBot="1">
      <c r="B112" s="2488"/>
      <c r="C112" s="2489"/>
      <c r="D112" s="2576"/>
      <c r="E112" s="2484"/>
      <c r="F112" s="2484"/>
      <c r="G112" s="2501"/>
      <c r="H112" s="2485"/>
      <c r="I112" s="2486"/>
      <c r="J112" s="2487"/>
      <c r="L112" s="2488"/>
      <c r="M112" s="2489"/>
      <c r="N112" s="2490"/>
      <c r="O112" s="2484"/>
      <c r="P112" s="2484"/>
      <c r="Q112" s="2501"/>
      <c r="R112" s="2485"/>
      <c r="S112" s="2486"/>
      <c r="T112" s="2487"/>
      <c r="V112" s="2479"/>
      <c r="W112" s="2480"/>
      <c r="X112" s="2542"/>
      <c r="Y112" s="2481"/>
      <c r="Z112" s="2482"/>
      <c r="AA112" s="2483"/>
      <c r="AB112" s="2483"/>
      <c r="AC112" s="2551"/>
      <c r="AD112" s="2485"/>
      <c r="AE112" s="2486"/>
      <c r="AF112" s="2478"/>
      <c r="AH112" s="2643"/>
      <c r="AI112" s="2644"/>
      <c r="AJ112" s="2645"/>
      <c r="AK112" s="2689"/>
      <c r="AL112" s="2646"/>
      <c r="AM112" s="2690"/>
      <c r="AN112" s="2647"/>
      <c r="AO112" s="2648"/>
      <c r="AP112" s="2692"/>
      <c r="AQ112" s="2646"/>
      <c r="AR112" s="2649"/>
      <c r="AS112" s="2646"/>
      <c r="AT112" s="2650"/>
      <c r="AV112" s="2727" t="s">
        <v>1131</v>
      </c>
      <c r="AW112" s="2728">
        <v>45483</v>
      </c>
      <c r="AX112" s="2716" t="str">
        <f t="shared" si="51"/>
        <v/>
      </c>
      <c r="AY112" s="2723"/>
      <c r="AZ112" s="2660" t="str">
        <f t="shared" si="52"/>
        <v/>
      </c>
      <c r="BA112" s="2725"/>
      <c r="BB112" s="2696" t="str">
        <f t="shared" si="53"/>
        <v/>
      </c>
      <c r="BC112" s="2718" t="str">
        <f t="shared" si="54"/>
        <v/>
      </c>
      <c r="BD112" s="2698">
        <f>'varme 24'!E278</f>
        <v>0</v>
      </c>
      <c r="BE112" s="2699">
        <f>'varme 24'!I278</f>
        <v>0</v>
      </c>
      <c r="BF112" s="2718"/>
      <c r="BH112" s="2421"/>
      <c r="BI112" s="2421"/>
      <c r="BJ112" s="2421"/>
      <c r="BL112" s="2420"/>
      <c r="BR112" s="2421"/>
    </row>
    <row r="113" spans="2:70" ht="13.8" customHeight="1" thickTop="1" thickBot="1">
      <c r="B113" s="2488"/>
      <c r="C113" s="2489"/>
      <c r="D113" s="2576"/>
      <c r="E113" s="2484"/>
      <c r="F113" s="2484"/>
      <c r="G113" s="2501"/>
      <c r="H113" s="2485"/>
      <c r="I113" s="2486"/>
      <c r="J113" s="2487"/>
      <c r="L113" s="2488"/>
      <c r="M113" s="2489"/>
      <c r="N113" s="2490"/>
      <c r="O113" s="2484"/>
      <c r="P113" s="2484"/>
      <c r="Q113" s="2501"/>
      <c r="R113" s="2485"/>
      <c r="S113" s="2486"/>
      <c r="T113" s="2487"/>
      <c r="V113" s="2479"/>
      <c r="W113" s="2480"/>
      <c r="X113" s="2542"/>
      <c r="Y113" s="2481"/>
      <c r="Z113" s="2482"/>
      <c r="AA113" s="2483"/>
      <c r="AB113" s="2483"/>
      <c r="AC113" s="2551"/>
      <c r="AD113" s="2485"/>
      <c r="AE113" s="2486"/>
      <c r="AF113" s="2478"/>
      <c r="AH113" s="2643"/>
      <c r="AI113" s="2644"/>
      <c r="AJ113" s="2645"/>
      <c r="AK113" s="2689"/>
      <c r="AL113" s="2646"/>
      <c r="AM113" s="2690"/>
      <c r="AN113" s="2647"/>
      <c r="AO113" s="2648"/>
      <c r="AP113" s="2692"/>
      <c r="AQ113" s="2646"/>
      <c r="AR113" s="2649"/>
      <c r="AS113" s="2646"/>
      <c r="AT113" s="2650"/>
      <c r="AV113" s="2727" t="s">
        <v>1136</v>
      </c>
      <c r="AW113" s="2728">
        <v>45484</v>
      </c>
      <c r="AX113" s="2716" t="str">
        <f t="shared" si="51"/>
        <v/>
      </c>
      <c r="AY113" s="2723"/>
      <c r="AZ113" s="2660" t="str">
        <f t="shared" si="52"/>
        <v/>
      </c>
      <c r="BA113" s="2725"/>
      <c r="BB113" s="2696" t="str">
        <f t="shared" si="53"/>
        <v/>
      </c>
      <c r="BC113" s="2718" t="str">
        <f t="shared" si="54"/>
        <v/>
      </c>
      <c r="BD113" s="2698">
        <f>'varme 24'!E279</f>
        <v>0</v>
      </c>
      <c r="BE113" s="2699">
        <f>'varme 24'!I279</f>
        <v>0</v>
      </c>
      <c r="BF113" s="2718"/>
      <c r="BH113" s="2421"/>
      <c r="BI113" s="2421"/>
      <c r="BJ113" s="2421"/>
      <c r="BL113" s="2420"/>
      <c r="BR113" s="2421"/>
    </row>
    <row r="114" spans="2:70" ht="13.8" customHeight="1" thickTop="1" thickBot="1">
      <c r="B114" s="2488"/>
      <c r="C114" s="2489"/>
      <c r="D114" s="2576"/>
      <c r="E114" s="2484"/>
      <c r="F114" s="2484"/>
      <c r="G114" s="2501"/>
      <c r="H114" s="2485"/>
      <c r="I114" s="2486"/>
      <c r="J114" s="2487"/>
      <c r="L114" s="2488"/>
      <c r="M114" s="2489"/>
      <c r="N114" s="2490"/>
      <c r="O114" s="2484"/>
      <c r="P114" s="2484"/>
      <c r="Q114" s="2501"/>
      <c r="R114" s="2485"/>
      <c r="S114" s="2486"/>
      <c r="T114" s="2487"/>
      <c r="V114" s="2479"/>
      <c r="W114" s="2480"/>
      <c r="X114" s="2542"/>
      <c r="Y114" s="2481"/>
      <c r="Z114" s="2482"/>
      <c r="AA114" s="2483"/>
      <c r="AB114" s="2483"/>
      <c r="AC114" s="2551"/>
      <c r="AD114" s="2485"/>
      <c r="AE114" s="2486"/>
      <c r="AF114" s="2478"/>
      <c r="AH114" s="2643"/>
      <c r="AI114" s="2644"/>
      <c r="AJ114" s="2645"/>
      <c r="AK114" s="2689"/>
      <c r="AL114" s="2646"/>
      <c r="AM114" s="2690"/>
      <c r="AN114" s="2647"/>
      <c r="AO114" s="2648"/>
      <c r="AP114" s="2692"/>
      <c r="AQ114" s="2646"/>
      <c r="AR114" s="2649"/>
      <c r="AS114" s="2646"/>
      <c r="AT114" s="2650"/>
      <c r="AV114" s="2727" t="s">
        <v>1130</v>
      </c>
      <c r="AW114" s="2728">
        <v>45485</v>
      </c>
      <c r="AX114" s="2716" t="str">
        <f t="shared" si="51"/>
        <v/>
      </c>
      <c r="AY114" s="2723"/>
      <c r="AZ114" s="2660" t="str">
        <f t="shared" si="52"/>
        <v/>
      </c>
      <c r="BA114" s="2725"/>
      <c r="BB114" s="2696" t="str">
        <f t="shared" si="53"/>
        <v/>
      </c>
      <c r="BC114" s="2718" t="str">
        <f t="shared" si="54"/>
        <v/>
      </c>
      <c r="BD114" s="2698">
        <f>'varme 24'!E280</f>
        <v>0</v>
      </c>
      <c r="BE114" s="2699">
        <f>'varme 24'!I280</f>
        <v>0</v>
      </c>
      <c r="BF114" s="2718"/>
      <c r="BH114" s="2421"/>
      <c r="BI114" s="2421"/>
      <c r="BJ114" s="2421"/>
      <c r="BL114" s="2420"/>
      <c r="BR114" s="2421"/>
    </row>
    <row r="115" spans="2:70" ht="13.8" customHeight="1" thickTop="1" thickBot="1">
      <c r="B115" s="2488"/>
      <c r="C115" s="2489"/>
      <c r="D115" s="2576"/>
      <c r="E115" s="2484"/>
      <c r="F115" s="2484"/>
      <c r="G115" s="2501"/>
      <c r="H115" s="2485"/>
      <c r="I115" s="2486"/>
      <c r="J115" s="2487"/>
      <c r="L115" s="2488"/>
      <c r="M115" s="2489"/>
      <c r="N115" s="2490"/>
      <c r="O115" s="2484"/>
      <c r="P115" s="2484"/>
      <c r="Q115" s="2501"/>
      <c r="R115" s="2485"/>
      <c r="S115" s="2486"/>
      <c r="T115" s="2487"/>
      <c r="V115" s="2479"/>
      <c r="W115" s="2480"/>
      <c r="X115" s="2542"/>
      <c r="Y115" s="2481"/>
      <c r="Z115" s="2482"/>
      <c r="AA115" s="2483"/>
      <c r="AB115" s="2483"/>
      <c r="AC115" s="2551"/>
      <c r="AD115" s="2485"/>
      <c r="AE115" s="2486"/>
      <c r="AF115" s="2478"/>
      <c r="AH115" s="2643"/>
      <c r="AI115" s="2644"/>
      <c r="AJ115" s="2645"/>
      <c r="AK115" s="2689"/>
      <c r="AL115" s="2646"/>
      <c r="AM115" s="2690"/>
      <c r="AN115" s="2647"/>
      <c r="AO115" s="2648"/>
      <c r="AP115" s="2692"/>
      <c r="AQ115" s="2646"/>
      <c r="AR115" s="2649"/>
      <c r="AS115" s="2646"/>
      <c r="AT115" s="2650"/>
      <c r="AV115" s="2727" t="s">
        <v>1128</v>
      </c>
      <c r="AW115" s="2728">
        <v>45486</v>
      </c>
      <c r="AX115" s="2716" t="str">
        <f t="shared" si="51"/>
        <v/>
      </c>
      <c r="AY115" s="2723"/>
      <c r="AZ115" s="2660" t="str">
        <f t="shared" si="52"/>
        <v/>
      </c>
      <c r="BA115" s="2725"/>
      <c r="BB115" s="2696" t="str">
        <f t="shared" si="53"/>
        <v/>
      </c>
      <c r="BC115" s="2718" t="str">
        <f t="shared" si="54"/>
        <v/>
      </c>
      <c r="BD115" s="2698">
        <f>'varme 24'!E281</f>
        <v>0</v>
      </c>
      <c r="BE115" s="2699">
        <f>'varme 24'!I281</f>
        <v>0</v>
      </c>
      <c r="BF115" s="2718"/>
      <c r="BH115" s="2421"/>
      <c r="BI115" s="2421"/>
      <c r="BJ115" s="2421"/>
      <c r="BL115" s="2420"/>
      <c r="BR115" s="2421"/>
    </row>
    <row r="116" spans="2:70" ht="13.8" customHeight="1" thickTop="1" thickBot="1">
      <c r="B116" s="2488"/>
      <c r="C116" s="2489"/>
      <c r="D116" s="2576"/>
      <c r="E116" s="2484"/>
      <c r="F116" s="2484"/>
      <c r="G116" s="2501"/>
      <c r="H116" s="2485"/>
      <c r="I116" s="2486"/>
      <c r="J116" s="2487"/>
      <c r="L116" s="2488"/>
      <c r="M116" s="2489"/>
      <c r="N116" s="2490"/>
      <c r="O116" s="2484"/>
      <c r="P116" s="2484"/>
      <c r="Q116" s="2501"/>
      <c r="R116" s="2485"/>
      <c r="S116" s="2486"/>
      <c r="T116" s="2487"/>
      <c r="V116" s="2479"/>
      <c r="W116" s="2480"/>
      <c r="X116" s="2542"/>
      <c r="Y116" s="2481"/>
      <c r="Z116" s="2482"/>
      <c r="AA116" s="2483"/>
      <c r="AB116" s="2483"/>
      <c r="AC116" s="2551"/>
      <c r="AD116" s="2485"/>
      <c r="AE116" s="2486"/>
      <c r="AF116" s="2478"/>
      <c r="AH116" s="2643"/>
      <c r="AI116" s="2644"/>
      <c r="AJ116" s="2645"/>
      <c r="AK116" s="2689"/>
      <c r="AL116" s="2646"/>
      <c r="AM116" s="2690"/>
      <c r="AN116" s="2647"/>
      <c r="AO116" s="2648"/>
      <c r="AP116" s="2692"/>
      <c r="AQ116" s="2646"/>
      <c r="AR116" s="2649"/>
      <c r="AS116" s="2646"/>
      <c r="AT116" s="2650"/>
      <c r="AV116" s="2727" t="s">
        <v>1139</v>
      </c>
      <c r="AW116" s="2728">
        <v>45487</v>
      </c>
      <c r="AX116" s="2716" t="str">
        <f t="shared" si="51"/>
        <v/>
      </c>
      <c r="AY116" s="2723"/>
      <c r="AZ116" s="2660" t="str">
        <f t="shared" si="52"/>
        <v/>
      </c>
      <c r="BA116" s="2725"/>
      <c r="BB116" s="2696" t="str">
        <f t="shared" si="53"/>
        <v/>
      </c>
      <c r="BC116" s="2718" t="str">
        <f t="shared" si="54"/>
        <v/>
      </c>
      <c r="BD116" s="2698">
        <f>'varme 24'!E282</f>
        <v>0</v>
      </c>
      <c r="BE116" s="2699">
        <f>'varme 24'!I282</f>
        <v>0</v>
      </c>
      <c r="BF116" s="2718"/>
      <c r="BH116" s="2421"/>
      <c r="BI116" s="2421"/>
      <c r="BJ116" s="2421"/>
      <c r="BL116" s="2420"/>
      <c r="BR116" s="2421"/>
    </row>
    <row r="117" spans="2:70" ht="13.8" customHeight="1" thickTop="1" thickBot="1">
      <c r="B117" s="2488"/>
      <c r="C117" s="2489"/>
      <c r="D117" s="2576"/>
      <c r="E117" s="2484"/>
      <c r="F117" s="2484"/>
      <c r="G117" s="2501"/>
      <c r="H117" s="2485"/>
      <c r="I117" s="2486"/>
      <c r="J117" s="2487"/>
      <c r="L117" s="2488"/>
      <c r="M117" s="2489"/>
      <c r="N117" s="2490"/>
      <c r="O117" s="2484"/>
      <c r="P117" s="2484"/>
      <c r="Q117" s="2501"/>
      <c r="R117" s="2485"/>
      <c r="S117" s="2486"/>
      <c r="T117" s="2487"/>
      <c r="V117" s="2479"/>
      <c r="W117" s="2480"/>
      <c r="X117" s="2542"/>
      <c r="Y117" s="2481"/>
      <c r="Z117" s="2482"/>
      <c r="AA117" s="2483"/>
      <c r="AB117" s="2483"/>
      <c r="AC117" s="2551"/>
      <c r="AD117" s="2485"/>
      <c r="AE117" s="2486"/>
      <c r="AF117" s="2478"/>
      <c r="AH117" s="2643"/>
      <c r="AI117" s="2644"/>
      <c r="AJ117" s="2645"/>
      <c r="AK117" s="2689"/>
      <c r="AL117" s="2646"/>
      <c r="AM117" s="2690"/>
      <c r="AN117" s="2647"/>
      <c r="AO117" s="2648"/>
      <c r="AP117" s="2692"/>
      <c r="AQ117" s="2646"/>
      <c r="AR117" s="2649"/>
      <c r="AS117" s="2646"/>
      <c r="AT117" s="2650"/>
      <c r="AV117" s="2727" t="s">
        <v>1138</v>
      </c>
      <c r="AW117" s="2728">
        <v>45488</v>
      </c>
      <c r="AX117" s="2716" t="str">
        <f t="shared" si="51"/>
        <v/>
      </c>
      <c r="AY117" s="2723"/>
      <c r="AZ117" s="2660" t="str">
        <f t="shared" si="52"/>
        <v/>
      </c>
      <c r="BA117" s="2725"/>
      <c r="BB117" s="2696" t="str">
        <f t="shared" si="53"/>
        <v/>
      </c>
      <c r="BC117" s="2718" t="str">
        <f t="shared" si="54"/>
        <v/>
      </c>
      <c r="BD117" s="2698">
        <f>'varme 24'!E283</f>
        <v>0</v>
      </c>
      <c r="BE117" s="2699">
        <f>'varme 24'!I283</f>
        <v>0</v>
      </c>
      <c r="BF117" s="2718"/>
      <c r="BH117" s="2421"/>
      <c r="BI117" s="2421"/>
      <c r="BJ117" s="2421"/>
      <c r="BL117" s="2420"/>
      <c r="BR117" s="2421"/>
    </row>
    <row r="118" spans="2:70" ht="13.8" customHeight="1" thickTop="1" thickBot="1">
      <c r="B118" s="2488"/>
      <c r="C118" s="2489"/>
      <c r="D118" s="2576"/>
      <c r="E118" s="2484"/>
      <c r="F118" s="2484"/>
      <c r="G118" s="2501"/>
      <c r="H118" s="2485"/>
      <c r="I118" s="2486"/>
      <c r="J118" s="2487"/>
      <c r="L118" s="2488"/>
      <c r="M118" s="2489"/>
      <c r="N118" s="2490"/>
      <c r="O118" s="2484"/>
      <c r="P118" s="2484"/>
      <c r="Q118" s="2501"/>
      <c r="R118" s="2485"/>
      <c r="S118" s="2486"/>
      <c r="T118" s="2487"/>
      <c r="V118" s="2479"/>
      <c r="W118" s="2480"/>
      <c r="X118" s="2542"/>
      <c r="Y118" s="2481"/>
      <c r="Z118" s="2482"/>
      <c r="AA118" s="2483"/>
      <c r="AB118" s="2483"/>
      <c r="AC118" s="2551"/>
      <c r="AD118" s="2485"/>
      <c r="AE118" s="2486"/>
      <c r="AF118" s="2478"/>
      <c r="AH118" s="2643"/>
      <c r="AI118" s="2644"/>
      <c r="AJ118" s="2645"/>
      <c r="AK118" s="2689"/>
      <c r="AL118" s="2646"/>
      <c r="AM118" s="2690"/>
      <c r="AN118" s="2647"/>
      <c r="AO118" s="2648"/>
      <c r="AP118" s="2692"/>
      <c r="AQ118" s="2646"/>
      <c r="AR118" s="2649"/>
      <c r="AS118" s="2646"/>
      <c r="AT118" s="2650"/>
      <c r="AV118" s="2727" t="s">
        <v>1137</v>
      </c>
      <c r="AW118" s="2728">
        <v>45489</v>
      </c>
      <c r="AX118" s="2716" t="str">
        <f t="shared" si="51"/>
        <v/>
      </c>
      <c r="AY118" s="2723"/>
      <c r="AZ118" s="2660" t="str">
        <f t="shared" si="52"/>
        <v/>
      </c>
      <c r="BA118" s="2725"/>
      <c r="BB118" s="2696" t="str">
        <f t="shared" si="53"/>
        <v/>
      </c>
      <c r="BC118" s="2718" t="str">
        <f t="shared" si="54"/>
        <v/>
      </c>
      <c r="BD118" s="2698">
        <f>'varme 24'!E284</f>
        <v>0</v>
      </c>
      <c r="BE118" s="2699">
        <f>'varme 24'!I284</f>
        <v>0</v>
      </c>
      <c r="BF118" s="2718"/>
      <c r="BH118" s="2421"/>
      <c r="BI118" s="2421"/>
      <c r="BJ118" s="2421"/>
      <c r="BL118" s="2420"/>
      <c r="BR118" s="2421"/>
    </row>
    <row r="119" spans="2:70" ht="13.8" customHeight="1" thickTop="1" thickBot="1">
      <c r="B119" s="2488"/>
      <c r="C119" s="2489"/>
      <c r="D119" s="2576"/>
      <c r="E119" s="2484"/>
      <c r="F119" s="2484"/>
      <c r="G119" s="2501"/>
      <c r="H119" s="2485"/>
      <c r="I119" s="2486"/>
      <c r="J119" s="2487"/>
      <c r="L119" s="2488"/>
      <c r="M119" s="2489"/>
      <c r="N119" s="2490"/>
      <c r="O119" s="2484"/>
      <c r="P119" s="2484"/>
      <c r="Q119" s="2501"/>
      <c r="R119" s="2485"/>
      <c r="S119" s="2486"/>
      <c r="T119" s="2487"/>
      <c r="V119" s="2479"/>
      <c r="W119" s="2480"/>
      <c r="X119" s="2542"/>
      <c r="Y119" s="2481"/>
      <c r="Z119" s="2482"/>
      <c r="AA119" s="2483"/>
      <c r="AB119" s="2483"/>
      <c r="AC119" s="2551"/>
      <c r="AD119" s="2485"/>
      <c r="AE119" s="2486"/>
      <c r="AF119" s="2478"/>
      <c r="AH119" s="2643"/>
      <c r="AI119" s="2644"/>
      <c r="AJ119" s="2645"/>
      <c r="AK119" s="2689"/>
      <c r="AL119" s="2646"/>
      <c r="AM119" s="2690"/>
      <c r="AN119" s="2647"/>
      <c r="AO119" s="2648"/>
      <c r="AP119" s="2692"/>
      <c r="AQ119" s="2646"/>
      <c r="AR119" s="2649"/>
      <c r="AS119" s="2646"/>
      <c r="AT119" s="2650"/>
      <c r="AV119" s="2727" t="s">
        <v>1131</v>
      </c>
      <c r="AW119" s="2728">
        <v>45490</v>
      </c>
      <c r="AX119" s="2716" t="str">
        <f t="shared" si="51"/>
        <v/>
      </c>
      <c r="AY119" s="2723"/>
      <c r="AZ119" s="2660" t="str">
        <f t="shared" si="52"/>
        <v/>
      </c>
      <c r="BA119" s="2725"/>
      <c r="BB119" s="2696" t="str">
        <f t="shared" si="53"/>
        <v/>
      </c>
      <c r="BC119" s="2718" t="str">
        <f t="shared" si="54"/>
        <v/>
      </c>
      <c r="BD119" s="2698">
        <f>'varme 24'!E285</f>
        <v>0</v>
      </c>
      <c r="BE119" s="2699">
        <f>'varme 24'!I285</f>
        <v>0</v>
      </c>
      <c r="BF119" s="2718"/>
      <c r="BH119" s="2421"/>
      <c r="BI119" s="2421"/>
      <c r="BJ119" s="2421"/>
      <c r="BL119" s="2420"/>
      <c r="BR119" s="2421"/>
    </row>
    <row r="120" spans="2:70" ht="13.8" customHeight="1" thickTop="1" thickBot="1">
      <c r="B120" s="2488"/>
      <c r="C120" s="2489"/>
      <c r="D120" s="2576"/>
      <c r="E120" s="2484"/>
      <c r="F120" s="2484"/>
      <c r="G120" s="2501"/>
      <c r="H120" s="2485"/>
      <c r="I120" s="2486"/>
      <c r="J120" s="2487"/>
      <c r="L120" s="2488"/>
      <c r="M120" s="2489"/>
      <c r="N120" s="2490"/>
      <c r="O120" s="2484"/>
      <c r="P120" s="2484"/>
      <c r="Q120" s="2501"/>
      <c r="R120" s="2485"/>
      <c r="S120" s="2486"/>
      <c r="T120" s="2487"/>
      <c r="V120" s="2479"/>
      <c r="W120" s="2480"/>
      <c r="X120" s="2542"/>
      <c r="Y120" s="2481"/>
      <c r="Z120" s="2482"/>
      <c r="AA120" s="2483"/>
      <c r="AB120" s="2483"/>
      <c r="AC120" s="2551"/>
      <c r="AD120" s="2485"/>
      <c r="AE120" s="2486"/>
      <c r="AF120" s="2478"/>
      <c r="AH120" s="2643"/>
      <c r="AI120" s="2644"/>
      <c r="AJ120" s="2645"/>
      <c r="AK120" s="2689"/>
      <c r="AL120" s="2646"/>
      <c r="AM120" s="2690"/>
      <c r="AN120" s="2647"/>
      <c r="AO120" s="2648"/>
      <c r="AP120" s="2692"/>
      <c r="AQ120" s="2646"/>
      <c r="AR120" s="2649"/>
      <c r="AS120" s="2646"/>
      <c r="AT120" s="2650"/>
      <c r="AV120" s="2727" t="s">
        <v>1136</v>
      </c>
      <c r="AW120" s="2728">
        <v>45491</v>
      </c>
      <c r="AX120" s="2716" t="str">
        <f t="shared" si="51"/>
        <v/>
      </c>
      <c r="AY120" s="2723"/>
      <c r="AZ120" s="2660" t="str">
        <f t="shared" si="52"/>
        <v/>
      </c>
      <c r="BA120" s="2725"/>
      <c r="BB120" s="2696" t="str">
        <f t="shared" si="53"/>
        <v/>
      </c>
      <c r="BC120" s="2718" t="str">
        <f t="shared" si="54"/>
        <v/>
      </c>
      <c r="BD120" s="2698">
        <f>'varme 24'!E286</f>
        <v>0</v>
      </c>
      <c r="BE120" s="2699">
        <f>'varme 24'!I286</f>
        <v>0</v>
      </c>
      <c r="BF120" s="2718"/>
      <c r="BH120" s="2421"/>
      <c r="BI120" s="2421"/>
      <c r="BJ120" s="2421"/>
      <c r="BL120" s="2420"/>
      <c r="BR120" s="2421"/>
    </row>
    <row r="121" spans="2:70" ht="13.8" customHeight="1" thickTop="1" thickBot="1">
      <c r="B121" s="2488"/>
      <c r="C121" s="2489"/>
      <c r="D121" s="2576"/>
      <c r="E121" s="2484"/>
      <c r="F121" s="2484"/>
      <c r="G121" s="2501"/>
      <c r="H121" s="2485"/>
      <c r="I121" s="2486"/>
      <c r="J121" s="2487"/>
      <c r="L121" s="2488"/>
      <c r="M121" s="2489"/>
      <c r="N121" s="2490"/>
      <c r="O121" s="2484"/>
      <c r="P121" s="2484"/>
      <c r="Q121" s="2501"/>
      <c r="R121" s="2485"/>
      <c r="S121" s="2486"/>
      <c r="T121" s="2487"/>
      <c r="V121" s="2479"/>
      <c r="W121" s="2480"/>
      <c r="X121" s="2542"/>
      <c r="Y121" s="2481"/>
      <c r="Z121" s="2482"/>
      <c r="AA121" s="2483"/>
      <c r="AB121" s="2483"/>
      <c r="AC121" s="2551"/>
      <c r="AD121" s="2485"/>
      <c r="AE121" s="2486"/>
      <c r="AF121" s="2478"/>
      <c r="AH121" s="2643"/>
      <c r="AI121" s="2644"/>
      <c r="AJ121" s="2645"/>
      <c r="AK121" s="2689"/>
      <c r="AL121" s="2646"/>
      <c r="AM121" s="2690"/>
      <c r="AN121" s="2647"/>
      <c r="AO121" s="2648"/>
      <c r="AP121" s="2692"/>
      <c r="AQ121" s="2646"/>
      <c r="AR121" s="2649"/>
      <c r="AS121" s="2646"/>
      <c r="AT121" s="2650"/>
      <c r="AV121" s="2727" t="s">
        <v>1130</v>
      </c>
      <c r="AW121" s="2728">
        <v>45492</v>
      </c>
      <c r="AX121" s="2716" t="str">
        <f t="shared" si="51"/>
        <v/>
      </c>
      <c r="AY121" s="2723"/>
      <c r="AZ121" s="2660" t="str">
        <f t="shared" si="52"/>
        <v/>
      </c>
      <c r="BA121" s="2725"/>
      <c r="BB121" s="2696" t="str">
        <f t="shared" si="53"/>
        <v/>
      </c>
      <c r="BC121" s="2718" t="str">
        <f t="shared" si="54"/>
        <v/>
      </c>
      <c r="BD121" s="2698">
        <f>'varme 24'!E287</f>
        <v>0</v>
      </c>
      <c r="BE121" s="2699">
        <f>'varme 24'!I287</f>
        <v>0</v>
      </c>
      <c r="BF121" s="2718"/>
      <c r="BH121" s="2421"/>
      <c r="BI121" s="2421"/>
      <c r="BJ121" s="2421"/>
      <c r="BL121" s="2420"/>
      <c r="BR121" s="2421"/>
    </row>
    <row r="122" spans="2:70" ht="13.8" customHeight="1" thickTop="1" thickBot="1">
      <c r="B122" s="2488"/>
      <c r="C122" s="2489"/>
      <c r="D122" s="2576"/>
      <c r="E122" s="2484"/>
      <c r="F122" s="2484"/>
      <c r="G122" s="2501"/>
      <c r="H122" s="2485"/>
      <c r="I122" s="2486"/>
      <c r="J122" s="2487"/>
      <c r="L122" s="2488"/>
      <c r="M122" s="2489"/>
      <c r="N122" s="2490"/>
      <c r="O122" s="2484"/>
      <c r="P122" s="2484"/>
      <c r="Q122" s="2501"/>
      <c r="R122" s="2485"/>
      <c r="S122" s="2486"/>
      <c r="T122" s="2487"/>
      <c r="V122" s="2479"/>
      <c r="W122" s="2480"/>
      <c r="X122" s="2542"/>
      <c r="Y122" s="2481"/>
      <c r="Z122" s="2482"/>
      <c r="AA122" s="2483"/>
      <c r="AB122" s="2483"/>
      <c r="AC122" s="2551"/>
      <c r="AD122" s="2485"/>
      <c r="AE122" s="2486"/>
      <c r="AF122" s="2478"/>
      <c r="AH122" s="2643"/>
      <c r="AI122" s="2644"/>
      <c r="AJ122" s="2645"/>
      <c r="AK122" s="2689"/>
      <c r="AL122" s="2646"/>
      <c r="AM122" s="2690"/>
      <c r="AN122" s="2647"/>
      <c r="AO122" s="2648"/>
      <c r="AP122" s="2692"/>
      <c r="AQ122" s="2646"/>
      <c r="AR122" s="2649"/>
      <c r="AS122" s="2646"/>
      <c r="AT122" s="2650"/>
      <c r="AV122" s="2727" t="s">
        <v>1128</v>
      </c>
      <c r="AW122" s="2728">
        <v>45493</v>
      </c>
      <c r="AX122" s="2716" t="str">
        <f t="shared" si="51"/>
        <v/>
      </c>
      <c r="AY122" s="2723"/>
      <c r="AZ122" s="2660" t="str">
        <f t="shared" si="52"/>
        <v/>
      </c>
      <c r="BA122" s="2725"/>
      <c r="BB122" s="2696" t="str">
        <f t="shared" si="53"/>
        <v/>
      </c>
      <c r="BC122" s="2718" t="str">
        <f t="shared" si="54"/>
        <v/>
      </c>
      <c r="BD122" s="2698">
        <f>'varme 24'!E288</f>
        <v>0</v>
      </c>
      <c r="BE122" s="2699">
        <f>'varme 24'!I288</f>
        <v>0</v>
      </c>
      <c r="BF122" s="2718"/>
      <c r="BH122" s="2421"/>
      <c r="BI122" s="2421"/>
      <c r="BJ122" s="2421"/>
      <c r="BL122" s="2420"/>
      <c r="BR122" s="2421"/>
    </row>
    <row r="123" spans="2:70" ht="13.8" customHeight="1" thickTop="1" thickBot="1">
      <c r="B123" s="2488"/>
      <c r="C123" s="2489"/>
      <c r="D123" s="2576"/>
      <c r="E123" s="2484"/>
      <c r="F123" s="2484"/>
      <c r="G123" s="2501"/>
      <c r="H123" s="2485"/>
      <c r="I123" s="2486"/>
      <c r="J123" s="2487"/>
      <c r="L123" s="2488"/>
      <c r="M123" s="2489"/>
      <c r="N123" s="2490"/>
      <c r="O123" s="2484"/>
      <c r="P123" s="2484"/>
      <c r="Q123" s="2501"/>
      <c r="R123" s="2485"/>
      <c r="S123" s="2486"/>
      <c r="T123" s="2487"/>
      <c r="V123" s="2479"/>
      <c r="W123" s="2480"/>
      <c r="X123" s="2542"/>
      <c r="Y123" s="2481"/>
      <c r="Z123" s="2482"/>
      <c r="AA123" s="2483"/>
      <c r="AB123" s="2483"/>
      <c r="AC123" s="2551"/>
      <c r="AD123" s="2485"/>
      <c r="AE123" s="2486"/>
      <c r="AF123" s="2478"/>
      <c r="AH123" s="2643"/>
      <c r="AI123" s="2644"/>
      <c r="AJ123" s="2645"/>
      <c r="AK123" s="2689"/>
      <c r="AL123" s="2646"/>
      <c r="AM123" s="2690"/>
      <c r="AN123" s="2647"/>
      <c r="AO123" s="2648"/>
      <c r="AP123" s="2692"/>
      <c r="AQ123" s="2646"/>
      <c r="AR123" s="2649"/>
      <c r="AS123" s="2646"/>
      <c r="AT123" s="2650"/>
      <c r="AV123" s="2727" t="s">
        <v>1139</v>
      </c>
      <c r="AW123" s="2728">
        <v>45494</v>
      </c>
      <c r="AX123" s="2716" t="str">
        <f t="shared" si="51"/>
        <v/>
      </c>
      <c r="AY123" s="2723"/>
      <c r="AZ123" s="2660" t="str">
        <f t="shared" si="52"/>
        <v/>
      </c>
      <c r="BA123" s="2725"/>
      <c r="BB123" s="2696" t="str">
        <f t="shared" si="53"/>
        <v/>
      </c>
      <c r="BC123" s="2718" t="str">
        <f t="shared" si="54"/>
        <v/>
      </c>
      <c r="BD123" s="2698">
        <f>'varme 24'!E289</f>
        <v>0</v>
      </c>
      <c r="BE123" s="2699">
        <f>'varme 24'!I289</f>
        <v>0</v>
      </c>
      <c r="BF123" s="2718"/>
      <c r="BH123" s="2421"/>
      <c r="BI123" s="2421"/>
      <c r="BJ123" s="2421"/>
      <c r="BL123" s="2420"/>
      <c r="BR123" s="2421"/>
    </row>
    <row r="124" spans="2:70" ht="13.8" customHeight="1" thickTop="1" thickBot="1">
      <c r="B124" s="2488"/>
      <c r="C124" s="2489"/>
      <c r="D124" s="2576"/>
      <c r="E124" s="2484"/>
      <c r="F124" s="2484"/>
      <c r="G124" s="2501"/>
      <c r="H124" s="2485"/>
      <c r="I124" s="2486"/>
      <c r="J124" s="2487"/>
      <c r="L124" s="2488"/>
      <c r="M124" s="2489"/>
      <c r="N124" s="2490"/>
      <c r="O124" s="2484"/>
      <c r="P124" s="2484"/>
      <c r="Q124" s="2501"/>
      <c r="R124" s="2485"/>
      <c r="S124" s="2486"/>
      <c r="T124" s="2487"/>
      <c r="V124" s="2479"/>
      <c r="W124" s="2480"/>
      <c r="X124" s="2542"/>
      <c r="Y124" s="2481"/>
      <c r="Z124" s="2482"/>
      <c r="AA124" s="2483"/>
      <c r="AB124" s="2483"/>
      <c r="AC124" s="2551"/>
      <c r="AD124" s="2485"/>
      <c r="AE124" s="2486"/>
      <c r="AF124" s="2478"/>
      <c r="AH124" s="2643"/>
      <c r="AI124" s="2644"/>
      <c r="AJ124" s="2645"/>
      <c r="AK124" s="2689"/>
      <c r="AL124" s="2646"/>
      <c r="AM124" s="2690"/>
      <c r="AN124" s="2647"/>
      <c r="AO124" s="2648"/>
      <c r="AP124" s="2692"/>
      <c r="AQ124" s="2646"/>
      <c r="AR124" s="2649"/>
      <c r="AS124" s="2646"/>
      <c r="AT124" s="2650"/>
      <c r="AV124" s="2727" t="s">
        <v>1138</v>
      </c>
      <c r="AW124" s="2728">
        <v>45495</v>
      </c>
      <c r="AX124" s="2716" t="str">
        <f t="shared" si="51"/>
        <v/>
      </c>
      <c r="AY124" s="2723"/>
      <c r="AZ124" s="2660" t="str">
        <f t="shared" si="52"/>
        <v/>
      </c>
      <c r="BA124" s="2725"/>
      <c r="BB124" s="2696" t="str">
        <f t="shared" si="53"/>
        <v/>
      </c>
      <c r="BC124" s="2718" t="str">
        <f t="shared" si="54"/>
        <v/>
      </c>
      <c r="BD124" s="2698">
        <f>'varme 24'!E290</f>
        <v>0</v>
      </c>
      <c r="BE124" s="2699">
        <f>'varme 24'!I290</f>
        <v>0</v>
      </c>
      <c r="BF124" s="2718"/>
      <c r="BH124" s="2421"/>
      <c r="BI124" s="2421"/>
      <c r="BJ124" s="2421"/>
      <c r="BL124" s="2420"/>
      <c r="BR124" s="2421"/>
    </row>
    <row r="125" spans="2:70" ht="13.8" customHeight="1" thickTop="1" thickBot="1">
      <c r="B125" s="2488"/>
      <c r="C125" s="2489"/>
      <c r="D125" s="2576"/>
      <c r="E125" s="2484"/>
      <c r="F125" s="2484"/>
      <c r="G125" s="2501"/>
      <c r="H125" s="2485"/>
      <c r="I125" s="2486"/>
      <c r="J125" s="2487"/>
      <c r="L125" s="2488"/>
      <c r="M125" s="2489"/>
      <c r="N125" s="2490"/>
      <c r="O125" s="2484"/>
      <c r="P125" s="2484"/>
      <c r="Q125" s="2501"/>
      <c r="R125" s="2485"/>
      <c r="S125" s="2486"/>
      <c r="T125" s="2487"/>
      <c r="V125" s="2479"/>
      <c r="W125" s="2480"/>
      <c r="X125" s="2542"/>
      <c r="Y125" s="2481"/>
      <c r="Z125" s="2482"/>
      <c r="AA125" s="2483"/>
      <c r="AB125" s="2483"/>
      <c r="AC125" s="2551"/>
      <c r="AD125" s="2485"/>
      <c r="AE125" s="2486"/>
      <c r="AF125" s="2478"/>
      <c r="AH125" s="2643"/>
      <c r="AI125" s="2644"/>
      <c r="AJ125" s="2645"/>
      <c r="AK125" s="2689"/>
      <c r="AL125" s="2646"/>
      <c r="AM125" s="2690"/>
      <c r="AN125" s="2647"/>
      <c r="AO125" s="2648"/>
      <c r="AP125" s="2692"/>
      <c r="AQ125" s="2646"/>
      <c r="AR125" s="2649"/>
      <c r="AS125" s="2646"/>
      <c r="AT125" s="2650"/>
      <c r="AV125" s="2727" t="s">
        <v>1137</v>
      </c>
      <c r="AW125" s="2728">
        <v>45496</v>
      </c>
      <c r="AX125" s="2716" t="str">
        <f t="shared" si="51"/>
        <v/>
      </c>
      <c r="AY125" s="2723"/>
      <c r="AZ125" s="2660" t="str">
        <f t="shared" si="52"/>
        <v/>
      </c>
      <c r="BA125" s="2725"/>
      <c r="BB125" s="2696" t="str">
        <f t="shared" si="53"/>
        <v/>
      </c>
      <c r="BC125" s="2718" t="str">
        <f t="shared" si="54"/>
        <v/>
      </c>
      <c r="BD125" s="2698">
        <f>'varme 24'!E291</f>
        <v>0</v>
      </c>
      <c r="BE125" s="2699">
        <f>'varme 24'!I291</f>
        <v>0</v>
      </c>
      <c r="BF125" s="2718"/>
      <c r="BH125" s="2421"/>
      <c r="BI125" s="2421"/>
      <c r="BJ125" s="2421"/>
      <c r="BL125" s="2420"/>
      <c r="BR125" s="2421"/>
    </row>
    <row r="126" spans="2:70" ht="13.8" customHeight="1" thickTop="1" thickBot="1">
      <c r="B126" s="2488"/>
      <c r="C126" s="2489"/>
      <c r="D126" s="2576"/>
      <c r="E126" s="2484"/>
      <c r="F126" s="2484"/>
      <c r="G126" s="2501"/>
      <c r="H126" s="2485"/>
      <c r="I126" s="2486"/>
      <c r="J126" s="2487"/>
      <c r="L126" s="2488"/>
      <c r="M126" s="2489"/>
      <c r="N126" s="2490"/>
      <c r="O126" s="2484"/>
      <c r="P126" s="2484"/>
      <c r="Q126" s="2501"/>
      <c r="R126" s="2485"/>
      <c r="S126" s="2486"/>
      <c r="T126" s="2487"/>
      <c r="V126" s="2479"/>
      <c r="W126" s="2480"/>
      <c r="X126" s="2542"/>
      <c r="Y126" s="2481"/>
      <c r="Z126" s="2482"/>
      <c r="AA126" s="2483"/>
      <c r="AB126" s="2483"/>
      <c r="AC126" s="2551"/>
      <c r="AD126" s="2485"/>
      <c r="AE126" s="2486"/>
      <c r="AF126" s="2478"/>
      <c r="AH126" s="2643"/>
      <c r="AI126" s="2644"/>
      <c r="AJ126" s="2645"/>
      <c r="AK126" s="2689"/>
      <c r="AL126" s="2646"/>
      <c r="AM126" s="2690"/>
      <c r="AN126" s="2647"/>
      <c r="AO126" s="2648"/>
      <c r="AP126" s="2692"/>
      <c r="AQ126" s="2646"/>
      <c r="AR126" s="2649"/>
      <c r="AS126" s="2646"/>
      <c r="AT126" s="2650"/>
      <c r="AV126" s="2727" t="s">
        <v>1131</v>
      </c>
      <c r="AW126" s="2728">
        <v>45497</v>
      </c>
      <c r="AX126" s="2716" t="str">
        <f t="shared" si="51"/>
        <v/>
      </c>
      <c r="AY126" s="2723"/>
      <c r="AZ126" s="2660" t="str">
        <f t="shared" si="52"/>
        <v/>
      </c>
      <c r="BA126" s="2725"/>
      <c r="BB126" s="2696" t="str">
        <f t="shared" si="53"/>
        <v/>
      </c>
      <c r="BC126" s="2718" t="str">
        <f t="shared" si="54"/>
        <v/>
      </c>
      <c r="BD126" s="2698">
        <f>'varme 24'!E292</f>
        <v>0</v>
      </c>
      <c r="BE126" s="2699">
        <f>'varme 24'!I292</f>
        <v>0</v>
      </c>
      <c r="BF126" s="2718"/>
      <c r="BH126" s="2421"/>
      <c r="BI126" s="2421"/>
      <c r="BJ126" s="2421"/>
      <c r="BL126" s="2420"/>
      <c r="BR126" s="2421"/>
    </row>
    <row r="127" spans="2:70" ht="13.8" customHeight="1" thickTop="1" thickBot="1">
      <c r="B127" s="2488"/>
      <c r="C127" s="2489"/>
      <c r="D127" s="2576"/>
      <c r="E127" s="2484"/>
      <c r="F127" s="2484"/>
      <c r="G127" s="2501"/>
      <c r="H127" s="2485"/>
      <c r="I127" s="2486"/>
      <c r="J127" s="2487"/>
      <c r="L127" s="2488"/>
      <c r="M127" s="2489"/>
      <c r="N127" s="2490"/>
      <c r="O127" s="2484"/>
      <c r="P127" s="2484"/>
      <c r="Q127" s="2501"/>
      <c r="R127" s="2485"/>
      <c r="S127" s="2486"/>
      <c r="T127" s="2487"/>
      <c r="V127" s="2479"/>
      <c r="W127" s="2480"/>
      <c r="X127" s="2542"/>
      <c r="Y127" s="2481"/>
      <c r="Z127" s="2482"/>
      <c r="AA127" s="2483"/>
      <c r="AB127" s="2483"/>
      <c r="AC127" s="2551"/>
      <c r="AD127" s="2485"/>
      <c r="AE127" s="2486"/>
      <c r="AF127" s="2478"/>
      <c r="AH127" s="2643"/>
      <c r="AI127" s="2644"/>
      <c r="AJ127" s="2645"/>
      <c r="AK127" s="2689"/>
      <c r="AL127" s="2646"/>
      <c r="AM127" s="2690"/>
      <c r="AN127" s="2647"/>
      <c r="AO127" s="2648"/>
      <c r="AP127" s="2692"/>
      <c r="AQ127" s="2646"/>
      <c r="AR127" s="2649"/>
      <c r="AS127" s="2646"/>
      <c r="AT127" s="2650"/>
      <c r="AV127" s="2727" t="s">
        <v>1136</v>
      </c>
      <c r="AW127" s="2728">
        <v>45498</v>
      </c>
      <c r="AX127" s="2716" t="str">
        <f t="shared" si="51"/>
        <v/>
      </c>
      <c r="AY127" s="2723"/>
      <c r="AZ127" s="2660" t="str">
        <f t="shared" si="52"/>
        <v/>
      </c>
      <c r="BA127" s="2725"/>
      <c r="BB127" s="2696" t="str">
        <f t="shared" si="53"/>
        <v/>
      </c>
      <c r="BC127" s="2718" t="str">
        <f t="shared" si="54"/>
        <v/>
      </c>
      <c r="BD127" s="2698">
        <f>'varme 24'!E293</f>
        <v>0</v>
      </c>
      <c r="BE127" s="2699">
        <f>'varme 24'!I293</f>
        <v>0</v>
      </c>
      <c r="BF127" s="2718"/>
      <c r="BH127" s="2421"/>
      <c r="BI127" s="2421"/>
      <c r="BJ127" s="2421"/>
      <c r="BL127" s="2420"/>
      <c r="BR127" s="2421"/>
    </row>
    <row r="128" spans="2:70" ht="13.8" customHeight="1" thickTop="1" thickBot="1">
      <c r="B128" s="2488"/>
      <c r="C128" s="2489"/>
      <c r="D128" s="2576"/>
      <c r="E128" s="2484"/>
      <c r="F128" s="2484"/>
      <c r="G128" s="2501"/>
      <c r="H128" s="2485"/>
      <c r="I128" s="2486"/>
      <c r="J128" s="2487"/>
      <c r="L128" s="2488"/>
      <c r="M128" s="2489"/>
      <c r="N128" s="2490"/>
      <c r="O128" s="2484"/>
      <c r="P128" s="2484"/>
      <c r="Q128" s="2501"/>
      <c r="R128" s="2485"/>
      <c r="S128" s="2486"/>
      <c r="T128" s="2487"/>
      <c r="V128" s="2479"/>
      <c r="W128" s="2480"/>
      <c r="X128" s="2542"/>
      <c r="Y128" s="2481"/>
      <c r="Z128" s="2482"/>
      <c r="AA128" s="2483"/>
      <c r="AB128" s="2483"/>
      <c r="AC128" s="2551"/>
      <c r="AD128" s="2485"/>
      <c r="AE128" s="2486"/>
      <c r="AF128" s="2478"/>
      <c r="AH128" s="2643"/>
      <c r="AI128" s="2644"/>
      <c r="AJ128" s="2645"/>
      <c r="AK128" s="2689"/>
      <c r="AL128" s="2646"/>
      <c r="AM128" s="2690"/>
      <c r="AN128" s="2647"/>
      <c r="AO128" s="2648"/>
      <c r="AP128" s="2692"/>
      <c r="AQ128" s="2646"/>
      <c r="AR128" s="2649"/>
      <c r="AS128" s="2646"/>
      <c r="AT128" s="2650"/>
      <c r="AV128" s="2727" t="s">
        <v>1130</v>
      </c>
      <c r="AW128" s="2728">
        <v>45499</v>
      </c>
      <c r="AX128" s="2716" t="str">
        <f t="shared" si="51"/>
        <v/>
      </c>
      <c r="AY128" s="2723"/>
      <c r="AZ128" s="2660" t="str">
        <f t="shared" si="52"/>
        <v/>
      </c>
      <c r="BA128" s="2725"/>
      <c r="BB128" s="2696" t="str">
        <f t="shared" si="53"/>
        <v/>
      </c>
      <c r="BC128" s="2718" t="str">
        <f t="shared" si="54"/>
        <v/>
      </c>
      <c r="BD128" s="2698">
        <f>'varme 24'!E294</f>
        <v>0</v>
      </c>
      <c r="BE128" s="2699">
        <f>'varme 24'!I294</f>
        <v>0</v>
      </c>
      <c r="BF128" s="2718"/>
      <c r="BH128" s="2421"/>
      <c r="BI128" s="2421"/>
      <c r="BJ128" s="2421"/>
      <c r="BL128" s="2420"/>
      <c r="BR128" s="2421"/>
    </row>
    <row r="129" spans="1:70" ht="13.8" customHeight="1" thickTop="1" thickBot="1">
      <c r="B129" s="2488"/>
      <c r="C129" s="2489"/>
      <c r="D129" s="2576"/>
      <c r="E129" s="2484"/>
      <c r="F129" s="2484"/>
      <c r="G129" s="2501"/>
      <c r="H129" s="2485"/>
      <c r="I129" s="2486"/>
      <c r="J129" s="2487"/>
      <c r="L129" s="2488"/>
      <c r="M129" s="2489"/>
      <c r="N129" s="2490"/>
      <c r="O129" s="2484"/>
      <c r="P129" s="2484"/>
      <c r="Q129" s="2501"/>
      <c r="R129" s="2485"/>
      <c r="S129" s="2486"/>
      <c r="T129" s="2487"/>
      <c r="V129" s="2479"/>
      <c r="W129" s="2480"/>
      <c r="X129" s="2542"/>
      <c r="Y129" s="2481"/>
      <c r="Z129" s="2482"/>
      <c r="AA129" s="2483"/>
      <c r="AB129" s="2483"/>
      <c r="AC129" s="2551"/>
      <c r="AD129" s="2485"/>
      <c r="AE129" s="2486"/>
      <c r="AF129" s="2478"/>
      <c r="AH129" s="2643"/>
      <c r="AI129" s="2644"/>
      <c r="AJ129" s="2645"/>
      <c r="AK129" s="2689"/>
      <c r="AL129" s="2646"/>
      <c r="AM129" s="2690"/>
      <c r="AN129" s="2647"/>
      <c r="AO129" s="2648"/>
      <c r="AP129" s="2692"/>
      <c r="AQ129" s="2646"/>
      <c r="AR129" s="2649"/>
      <c r="AS129" s="2646"/>
      <c r="AT129" s="2650"/>
      <c r="AV129" s="2727" t="s">
        <v>1128</v>
      </c>
      <c r="AW129" s="2728">
        <v>45500</v>
      </c>
      <c r="AX129" s="2716" t="str">
        <f t="shared" si="51"/>
        <v/>
      </c>
      <c r="AY129" s="2723"/>
      <c r="AZ129" s="2660" t="str">
        <f t="shared" si="52"/>
        <v/>
      </c>
      <c r="BA129" s="2725"/>
      <c r="BB129" s="2696" t="str">
        <f t="shared" si="53"/>
        <v/>
      </c>
      <c r="BC129" s="2718" t="str">
        <f t="shared" si="54"/>
        <v/>
      </c>
      <c r="BD129" s="2698">
        <f>'varme 24'!E295</f>
        <v>0</v>
      </c>
      <c r="BE129" s="2699">
        <f>'varme 24'!I295</f>
        <v>0</v>
      </c>
      <c r="BF129" s="2718"/>
      <c r="BH129" s="2421"/>
      <c r="BI129" s="2421"/>
      <c r="BJ129" s="2421"/>
      <c r="BL129" s="2420"/>
      <c r="BR129" s="2421"/>
    </row>
    <row r="130" spans="1:70" ht="13.8" customHeight="1" thickTop="1" thickBot="1">
      <c r="B130" s="2488"/>
      <c r="C130" s="2489"/>
      <c r="D130" s="2576"/>
      <c r="E130" s="2484"/>
      <c r="F130" s="2484"/>
      <c r="G130" s="2501"/>
      <c r="H130" s="2485"/>
      <c r="I130" s="2486"/>
      <c r="J130" s="2487"/>
      <c r="L130" s="2488"/>
      <c r="M130" s="2489"/>
      <c r="N130" s="2490"/>
      <c r="O130" s="2484"/>
      <c r="P130" s="2484"/>
      <c r="Q130" s="2501"/>
      <c r="R130" s="2485"/>
      <c r="S130" s="2486"/>
      <c r="T130" s="2487"/>
      <c r="V130" s="2479"/>
      <c r="W130" s="2480"/>
      <c r="X130" s="2542"/>
      <c r="Y130" s="2481"/>
      <c r="Z130" s="2482"/>
      <c r="AA130" s="2483"/>
      <c r="AB130" s="2483"/>
      <c r="AC130" s="2551"/>
      <c r="AD130" s="2485"/>
      <c r="AE130" s="2486"/>
      <c r="AF130" s="2478"/>
      <c r="AH130" s="2643"/>
      <c r="AI130" s="2644"/>
      <c r="AJ130" s="2645"/>
      <c r="AK130" s="2689"/>
      <c r="AL130" s="2646"/>
      <c r="AM130" s="2690"/>
      <c r="AN130" s="2647"/>
      <c r="AO130" s="2648"/>
      <c r="AP130" s="2692"/>
      <c r="AQ130" s="2646"/>
      <c r="AR130" s="2649"/>
      <c r="AS130" s="2646"/>
      <c r="AT130" s="2650"/>
      <c r="AV130" s="2727" t="s">
        <v>1139</v>
      </c>
      <c r="AW130" s="2728">
        <v>45501</v>
      </c>
      <c r="AX130" s="2716" t="str">
        <f t="shared" si="51"/>
        <v/>
      </c>
      <c r="AY130" s="2723"/>
      <c r="AZ130" s="2660" t="str">
        <f t="shared" si="52"/>
        <v/>
      </c>
      <c r="BA130" s="2725"/>
      <c r="BB130" s="2696" t="str">
        <f t="shared" si="53"/>
        <v/>
      </c>
      <c r="BC130" s="2718" t="str">
        <f t="shared" si="54"/>
        <v/>
      </c>
      <c r="BD130" s="2698">
        <f>'varme 24'!E296</f>
        <v>0</v>
      </c>
      <c r="BE130" s="2699">
        <f>'varme 24'!I296</f>
        <v>0</v>
      </c>
      <c r="BF130" s="2718"/>
      <c r="BH130" s="2421"/>
      <c r="BI130" s="2421"/>
      <c r="BJ130" s="2421"/>
      <c r="BL130" s="2420"/>
      <c r="BR130" s="2421"/>
    </row>
    <row r="131" spans="1:70" ht="13.8" customHeight="1" thickTop="1" thickBot="1">
      <c r="B131" s="2488"/>
      <c r="C131" s="2489"/>
      <c r="D131" s="2576"/>
      <c r="E131" s="2484"/>
      <c r="F131" s="2484"/>
      <c r="G131" s="2501"/>
      <c r="H131" s="2485"/>
      <c r="I131" s="2486"/>
      <c r="J131" s="2487"/>
      <c r="L131" s="2488"/>
      <c r="M131" s="2489"/>
      <c r="N131" s="2490"/>
      <c r="O131" s="2484"/>
      <c r="P131" s="2484"/>
      <c r="Q131" s="2501"/>
      <c r="R131" s="2485"/>
      <c r="S131" s="2486"/>
      <c r="T131" s="2487"/>
      <c r="V131" s="2479"/>
      <c r="W131" s="2480"/>
      <c r="X131" s="2542"/>
      <c r="Y131" s="2481"/>
      <c r="Z131" s="2482"/>
      <c r="AA131" s="2483"/>
      <c r="AB131" s="2483"/>
      <c r="AC131" s="2551"/>
      <c r="AD131" s="2485"/>
      <c r="AE131" s="2486"/>
      <c r="AF131" s="2478"/>
      <c r="AH131" s="2643"/>
      <c r="AI131" s="2644"/>
      <c r="AJ131" s="2645"/>
      <c r="AK131" s="2689"/>
      <c r="AL131" s="2646"/>
      <c r="AM131" s="2690"/>
      <c r="AN131" s="2647"/>
      <c r="AO131" s="2648"/>
      <c r="AP131" s="2692"/>
      <c r="AQ131" s="2646"/>
      <c r="AR131" s="2649"/>
      <c r="AS131" s="2646"/>
      <c r="AT131" s="2650"/>
      <c r="AV131" s="2727" t="s">
        <v>1138</v>
      </c>
      <c r="AW131" s="2728">
        <v>45502</v>
      </c>
      <c r="AX131" s="2716" t="str">
        <f t="shared" si="51"/>
        <v/>
      </c>
      <c r="AY131" s="2723"/>
      <c r="AZ131" s="2660" t="str">
        <f t="shared" si="52"/>
        <v/>
      </c>
      <c r="BA131" s="2725"/>
      <c r="BB131" s="2696" t="str">
        <f t="shared" si="53"/>
        <v/>
      </c>
      <c r="BC131" s="2718" t="str">
        <f t="shared" si="54"/>
        <v/>
      </c>
      <c r="BD131" s="2698">
        <f>'varme 24'!E297</f>
        <v>0</v>
      </c>
      <c r="BE131" s="2699">
        <f>'varme 24'!I297</f>
        <v>0</v>
      </c>
      <c r="BF131" s="2718"/>
      <c r="BH131" s="2421"/>
      <c r="BJ131" s="2421"/>
      <c r="BL131" s="2420"/>
      <c r="BR131" s="2421"/>
    </row>
    <row r="132" spans="1:70" ht="13.8" customHeight="1" thickTop="1" thickBot="1">
      <c r="B132" s="2488"/>
      <c r="C132" s="2489"/>
      <c r="D132" s="2576"/>
      <c r="E132" s="2484"/>
      <c r="F132" s="2484"/>
      <c r="G132" s="2501"/>
      <c r="H132" s="2485"/>
      <c r="I132" s="2486"/>
      <c r="J132" s="2487"/>
      <c r="L132" s="2488"/>
      <c r="M132" s="2489"/>
      <c r="N132" s="2490"/>
      <c r="O132" s="2484"/>
      <c r="P132" s="2484"/>
      <c r="Q132" s="2501"/>
      <c r="R132" s="2485"/>
      <c r="S132" s="2486"/>
      <c r="T132" s="2487"/>
      <c r="V132" s="2479"/>
      <c r="W132" s="2480"/>
      <c r="X132" s="2542"/>
      <c r="Y132" s="2481"/>
      <c r="Z132" s="2482"/>
      <c r="AA132" s="2483"/>
      <c r="AB132" s="2483"/>
      <c r="AC132" s="2551"/>
      <c r="AD132" s="2485"/>
      <c r="AE132" s="2486"/>
      <c r="AF132" s="2478"/>
      <c r="AH132" s="2643"/>
      <c r="AI132" s="2644"/>
      <c r="AJ132" s="2645"/>
      <c r="AK132" s="2689"/>
      <c r="AL132" s="2646"/>
      <c r="AM132" s="2690"/>
      <c r="AN132" s="2647"/>
      <c r="AO132" s="2648"/>
      <c r="AP132" s="2692"/>
      <c r="AQ132" s="2646"/>
      <c r="AR132" s="2649"/>
      <c r="AS132" s="2646"/>
      <c r="AT132" s="2650"/>
      <c r="AV132" s="2727" t="s">
        <v>1137</v>
      </c>
      <c r="AW132" s="2728">
        <v>45503</v>
      </c>
      <c r="AX132" s="2716" t="str">
        <f t="shared" si="51"/>
        <v/>
      </c>
      <c r="AY132" s="2723"/>
      <c r="AZ132" s="2660" t="str">
        <f t="shared" si="52"/>
        <v/>
      </c>
      <c r="BA132" s="2725"/>
      <c r="BB132" s="2696" t="str">
        <f t="shared" si="53"/>
        <v/>
      </c>
      <c r="BC132" s="2718" t="str">
        <f t="shared" si="54"/>
        <v/>
      </c>
      <c r="BD132" s="2698">
        <f>'varme 24'!E298</f>
        <v>0</v>
      </c>
      <c r="BE132" s="2699">
        <f>'varme 24'!I298</f>
        <v>0</v>
      </c>
      <c r="BF132" s="2718"/>
      <c r="BH132" s="2421"/>
      <c r="BJ132" s="2421"/>
      <c r="BL132" s="2420"/>
      <c r="BR132" s="2421"/>
    </row>
    <row r="133" spans="1:70" ht="13.8" customHeight="1" thickTop="1" thickBot="1">
      <c r="B133" s="2488"/>
      <c r="C133" s="2489"/>
      <c r="D133" s="2576"/>
      <c r="E133" s="2484"/>
      <c r="F133" s="2484"/>
      <c r="G133" s="2501"/>
      <c r="H133" s="2485"/>
      <c r="I133" s="2486"/>
      <c r="J133" s="2487"/>
      <c r="L133" s="2488"/>
      <c r="M133" s="2489"/>
      <c r="N133" s="2490"/>
      <c r="O133" s="2484"/>
      <c r="P133" s="2484"/>
      <c r="Q133" s="2501"/>
      <c r="R133" s="2485"/>
      <c r="S133" s="2486"/>
      <c r="T133" s="2487"/>
      <c r="V133" s="2479"/>
      <c r="W133" s="2480"/>
      <c r="X133" s="2542"/>
      <c r="Y133" s="2481"/>
      <c r="Z133" s="2482"/>
      <c r="AA133" s="2483"/>
      <c r="AB133" s="2483"/>
      <c r="AC133" s="2551"/>
      <c r="AD133" s="2485"/>
      <c r="AE133" s="2486"/>
      <c r="AF133" s="2478"/>
      <c r="AH133" s="2643"/>
      <c r="AI133" s="2644"/>
      <c r="AJ133" s="2645"/>
      <c r="AK133" s="2689"/>
      <c r="AL133" s="2646"/>
      <c r="AM133" s="2690"/>
      <c r="AN133" s="2647"/>
      <c r="AO133" s="2648"/>
      <c r="AP133" s="2692"/>
      <c r="AQ133" s="2646"/>
      <c r="AR133" s="2649"/>
      <c r="AS133" s="2646"/>
      <c r="AT133" s="2650"/>
      <c r="AV133" s="3067" t="s">
        <v>1131</v>
      </c>
      <c r="AW133" s="2729">
        <v>45504</v>
      </c>
      <c r="AX133" s="2717" t="str">
        <f t="shared" si="51"/>
        <v/>
      </c>
      <c r="AY133" s="2724"/>
      <c r="AZ133" s="2730" t="str">
        <f t="shared" si="52"/>
        <v/>
      </c>
      <c r="BA133" s="2726"/>
      <c r="BB133" s="2700" t="str">
        <f t="shared" si="53"/>
        <v/>
      </c>
      <c r="BC133" s="2719" t="str">
        <f t="shared" si="54"/>
        <v/>
      </c>
      <c r="BD133" s="2701">
        <f>'varme 24'!E299</f>
        <v>0</v>
      </c>
      <c r="BE133" s="2702">
        <f>'varme 24'!I299</f>
        <v>0</v>
      </c>
      <c r="BF133" s="2719"/>
      <c r="BH133" s="2421"/>
      <c r="BJ133" s="2421"/>
      <c r="BL133" s="2420"/>
      <c r="BR133" s="2421"/>
    </row>
    <row r="134" spans="1:70" ht="12.6" thickTop="1">
      <c r="A134" s="2421"/>
      <c r="G134" s="2466"/>
      <c r="K134" s="2421"/>
      <c r="Q134" s="2466"/>
      <c r="U134" s="2421"/>
      <c r="AC134" s="2466"/>
      <c r="AG134" s="2421"/>
      <c r="AO134" s="2466"/>
      <c r="AU134" s="2421"/>
      <c r="BC134" s="2466"/>
      <c r="BG134" s="2421"/>
      <c r="BH134" s="2421"/>
      <c r="BJ134" s="2421"/>
      <c r="BL134" s="2420"/>
      <c r="BR134" s="2421"/>
    </row>
    <row r="135" spans="1:70">
      <c r="A135" s="2421"/>
      <c r="G135" s="2466"/>
      <c r="K135" s="2421"/>
      <c r="Q135" s="2466"/>
      <c r="U135" s="2421"/>
      <c r="AC135" s="2466"/>
      <c r="AG135" s="2421"/>
      <c r="AO135" s="2466"/>
      <c r="AU135" s="2421"/>
      <c r="BC135" s="2466"/>
      <c r="BG135" s="2421"/>
      <c r="BH135" s="2421"/>
      <c r="BJ135" s="2421"/>
      <c r="BL135" s="2420"/>
      <c r="BR135" s="2421"/>
    </row>
    <row r="136" spans="1:70">
      <c r="A136" s="2421"/>
      <c r="G136" s="2466"/>
      <c r="K136" s="2421"/>
      <c r="Q136" s="2466"/>
      <c r="U136" s="2421"/>
      <c r="AC136" s="2466"/>
      <c r="AG136" s="2421"/>
      <c r="AO136" s="2466"/>
      <c r="AU136" s="2421"/>
      <c r="BC136" s="2466"/>
      <c r="BG136" s="2421"/>
      <c r="BH136" s="2421"/>
      <c r="BJ136" s="2421"/>
      <c r="BL136" s="2420"/>
      <c r="BR136" s="2421"/>
    </row>
    <row r="137" spans="1:70">
      <c r="A137" s="2421"/>
      <c r="G137" s="2466"/>
      <c r="K137" s="2421"/>
      <c r="Q137" s="2466"/>
      <c r="U137" s="2421"/>
      <c r="AC137" s="2466"/>
      <c r="AG137" s="2421"/>
      <c r="AO137" s="2466"/>
      <c r="AU137" s="2421"/>
      <c r="BC137" s="2466"/>
      <c r="BG137" s="2421"/>
      <c r="BH137" s="2421"/>
      <c r="BJ137" s="2421"/>
      <c r="BL137" s="2420"/>
      <c r="BR137" s="2421"/>
    </row>
    <row r="138" spans="1:70">
      <c r="A138" s="2421"/>
      <c r="G138" s="2466"/>
      <c r="K138" s="2421"/>
      <c r="Q138" s="2466"/>
      <c r="U138" s="2421"/>
      <c r="AC138" s="2466"/>
      <c r="AG138" s="2421"/>
      <c r="AO138" s="2466"/>
      <c r="AU138" s="2421"/>
      <c r="BC138" s="2466"/>
      <c r="BG138" s="2421"/>
      <c r="BH138" s="2421"/>
      <c r="BJ138" s="2421"/>
      <c r="BL138" s="2420"/>
      <c r="BR138" s="2421"/>
    </row>
    <row r="139" spans="1:70">
      <c r="A139" s="2421"/>
      <c r="G139" s="2466"/>
      <c r="K139" s="2421"/>
      <c r="Q139" s="2466"/>
      <c r="U139" s="2421"/>
      <c r="AC139" s="2466"/>
      <c r="AG139" s="2421"/>
      <c r="AO139" s="2466"/>
      <c r="AU139" s="2421"/>
      <c r="BC139" s="2466"/>
      <c r="BG139" s="2421"/>
      <c r="BH139" s="2421"/>
      <c r="BJ139" s="2421"/>
      <c r="BL139" s="2420"/>
      <c r="BR139" s="2421"/>
    </row>
    <row r="140" spans="1:70">
      <c r="A140" s="2421"/>
      <c r="G140" s="2466"/>
      <c r="K140" s="2421"/>
      <c r="Q140" s="2466"/>
      <c r="U140" s="2421"/>
      <c r="AC140" s="2466"/>
      <c r="AG140" s="2421"/>
      <c r="AO140" s="2466"/>
      <c r="AU140" s="2421"/>
      <c r="BC140" s="2466"/>
      <c r="BG140" s="2421"/>
      <c r="BH140" s="2421"/>
      <c r="BJ140" s="2421"/>
      <c r="BL140" s="2420"/>
      <c r="BR140" s="2421"/>
    </row>
    <row r="141" spans="1:70">
      <c r="A141" s="2421"/>
      <c r="G141" s="2466"/>
      <c r="K141" s="2421"/>
      <c r="Q141" s="2466"/>
      <c r="U141" s="2421"/>
      <c r="AC141" s="2466"/>
      <c r="AG141" s="2421"/>
      <c r="AO141" s="2466"/>
      <c r="AU141" s="2421"/>
      <c r="BC141" s="2466"/>
      <c r="BG141" s="2421"/>
      <c r="BH141" s="2421"/>
      <c r="BJ141" s="2421"/>
      <c r="BL141" s="2420"/>
      <c r="BR141" s="2421"/>
    </row>
    <row r="142" spans="1:70">
      <c r="A142" s="2421"/>
      <c r="G142" s="2466"/>
      <c r="K142" s="2421"/>
      <c r="Q142" s="2466"/>
      <c r="U142" s="2421"/>
      <c r="AC142" s="2466"/>
      <c r="AG142" s="2421"/>
      <c r="AO142" s="2466"/>
      <c r="AU142" s="2421"/>
      <c r="BC142" s="2466"/>
      <c r="BG142" s="2421"/>
      <c r="BH142" s="2421"/>
      <c r="BJ142" s="2421"/>
      <c r="BL142" s="2420"/>
      <c r="BR142" s="2421"/>
    </row>
    <row r="143" spans="1:70">
      <c r="A143" s="2421"/>
      <c r="G143" s="2466"/>
      <c r="K143" s="2421"/>
      <c r="Q143" s="2466"/>
      <c r="U143" s="2421"/>
      <c r="AC143" s="2466"/>
      <c r="AG143" s="2421"/>
      <c r="AO143" s="2466"/>
      <c r="AU143" s="2421"/>
      <c r="BC143" s="2466"/>
      <c r="BG143" s="2421"/>
      <c r="BH143" s="2421"/>
      <c r="BJ143" s="2421"/>
      <c r="BL143" s="2420"/>
      <c r="BR143" s="2421"/>
    </row>
    <row r="144" spans="1:70">
      <c r="A144" s="2421"/>
      <c r="G144" s="2466"/>
      <c r="K144" s="2421"/>
      <c r="Q144" s="2466"/>
      <c r="U144" s="2421"/>
      <c r="AC144" s="2466"/>
      <c r="AG144" s="2421"/>
      <c r="AO144" s="2466"/>
      <c r="AU144" s="2421"/>
      <c r="BC144" s="2466"/>
      <c r="BG144" s="2421"/>
      <c r="BH144" s="2421"/>
      <c r="BJ144" s="2421"/>
      <c r="BL144" s="2420"/>
      <c r="BR144" s="2421"/>
    </row>
    <row r="145" spans="1:70">
      <c r="A145" s="2421"/>
      <c r="G145" s="2466"/>
      <c r="K145" s="2421"/>
      <c r="Q145" s="2466"/>
      <c r="U145" s="2421"/>
      <c r="AC145" s="2466"/>
      <c r="AG145" s="2421"/>
      <c r="AO145" s="2466"/>
      <c r="AU145" s="2421"/>
      <c r="BC145" s="2466"/>
      <c r="BG145" s="2421"/>
      <c r="BH145" s="2421"/>
      <c r="BJ145" s="2421"/>
      <c r="BL145" s="2420"/>
      <c r="BR145" s="2421"/>
    </row>
    <row r="146" spans="1:70">
      <c r="A146" s="2421"/>
      <c r="G146" s="2466"/>
      <c r="K146" s="2421"/>
      <c r="Q146" s="2466"/>
      <c r="U146" s="2421"/>
      <c r="AC146" s="2466"/>
      <c r="AG146" s="2421"/>
      <c r="AO146" s="2466"/>
      <c r="AU146" s="2421"/>
      <c r="BC146" s="2466"/>
      <c r="BG146" s="2421"/>
      <c r="BH146" s="2421"/>
      <c r="BJ146" s="2421"/>
      <c r="BL146" s="2420"/>
      <c r="BR146" s="2421"/>
    </row>
    <row r="147" spans="1:70">
      <c r="A147" s="2421"/>
      <c r="G147" s="2466"/>
      <c r="K147" s="2421"/>
      <c r="Q147" s="2466"/>
      <c r="U147" s="2421"/>
      <c r="AC147" s="2466"/>
      <c r="AG147" s="2421"/>
      <c r="AO147" s="2466"/>
      <c r="AU147" s="2421"/>
      <c r="BC147" s="2466"/>
      <c r="BG147" s="2421"/>
      <c r="BH147" s="2421"/>
      <c r="BJ147" s="2421"/>
      <c r="BL147" s="2420"/>
      <c r="BR147" s="2421"/>
    </row>
    <row r="148" spans="1:70">
      <c r="A148" s="2421"/>
      <c r="G148" s="2466"/>
      <c r="K148" s="2421"/>
      <c r="Q148" s="2466"/>
      <c r="U148" s="2421"/>
      <c r="AC148" s="2466"/>
      <c r="AG148" s="2421"/>
      <c r="AO148" s="2466"/>
      <c r="AU148" s="2421"/>
      <c r="BC148" s="2466"/>
      <c r="BG148" s="2421"/>
      <c r="BH148" s="2421"/>
      <c r="BJ148" s="2421"/>
      <c r="BL148" s="2420"/>
      <c r="BR148" s="2421"/>
    </row>
    <row r="149" spans="1:70">
      <c r="A149" s="2421"/>
      <c r="G149" s="2466"/>
      <c r="K149" s="2421"/>
      <c r="Q149" s="2466"/>
      <c r="U149" s="2421"/>
      <c r="AC149" s="2466"/>
      <c r="AG149" s="2421"/>
      <c r="AO149" s="2466"/>
      <c r="AU149" s="2421"/>
      <c r="BC149" s="2466"/>
      <c r="BG149" s="2421"/>
      <c r="BH149" s="2421"/>
      <c r="BJ149" s="2421"/>
      <c r="BL149" s="2420"/>
      <c r="BR149" s="2421"/>
    </row>
    <row r="150" spans="1:70">
      <c r="A150" s="2421"/>
      <c r="G150" s="2466"/>
      <c r="K150" s="2421"/>
      <c r="Q150" s="2466"/>
      <c r="U150" s="2421"/>
      <c r="AC150" s="2466"/>
      <c r="AG150" s="2421"/>
      <c r="AO150" s="2466"/>
      <c r="AU150" s="2421"/>
      <c r="BC150" s="2466"/>
      <c r="BG150" s="2421"/>
      <c r="BH150" s="2421"/>
      <c r="BJ150" s="2421"/>
      <c r="BL150" s="2420"/>
      <c r="BR150" s="2421"/>
    </row>
    <row r="151" spans="1:70">
      <c r="A151" s="2421"/>
      <c r="G151" s="2466"/>
      <c r="K151" s="2421"/>
      <c r="Q151" s="2466"/>
      <c r="U151" s="2421"/>
      <c r="AC151" s="2466"/>
      <c r="AG151" s="2421"/>
      <c r="AO151" s="2466"/>
      <c r="AU151" s="2421"/>
      <c r="BC151" s="2466"/>
      <c r="BG151" s="2421"/>
      <c r="BH151" s="2421"/>
      <c r="BJ151" s="2421"/>
      <c r="BL151" s="2420"/>
      <c r="BR151" s="2421"/>
    </row>
    <row r="152" spans="1:70">
      <c r="A152" s="2421"/>
      <c r="G152" s="2466"/>
      <c r="K152" s="2421"/>
      <c r="Q152" s="2466"/>
      <c r="U152" s="2421"/>
      <c r="AC152" s="2466"/>
      <c r="AG152" s="2421"/>
      <c r="AO152" s="2466"/>
      <c r="AU152" s="2421"/>
      <c r="BC152" s="2466"/>
      <c r="BG152" s="2421"/>
      <c r="BH152" s="2421"/>
      <c r="BJ152" s="2421"/>
      <c r="BL152" s="2420"/>
      <c r="BR152" s="2421"/>
    </row>
    <row r="153" spans="1:70">
      <c r="A153" s="2421"/>
      <c r="G153" s="2466"/>
      <c r="K153" s="2421"/>
      <c r="Q153" s="2466"/>
      <c r="U153" s="2421"/>
      <c r="AC153" s="2466"/>
      <c r="AG153" s="2421"/>
      <c r="AO153" s="2466"/>
      <c r="AU153" s="2421"/>
      <c r="BC153" s="2466"/>
      <c r="BG153" s="2421"/>
      <c r="BH153" s="2421"/>
      <c r="BJ153" s="2421"/>
      <c r="BL153" s="2420"/>
      <c r="BR153" s="2421"/>
    </row>
    <row r="154" spans="1:70">
      <c r="A154" s="2421"/>
      <c r="G154" s="2466"/>
      <c r="K154" s="2421"/>
      <c r="Q154" s="2466"/>
      <c r="U154" s="2421"/>
      <c r="AC154" s="2466"/>
      <c r="AG154" s="2421"/>
      <c r="AO154" s="2466"/>
      <c r="AU154" s="2421"/>
      <c r="BC154" s="2466"/>
      <c r="BG154" s="2421"/>
      <c r="BH154" s="2421"/>
      <c r="BJ154" s="2421"/>
      <c r="BL154" s="2420"/>
      <c r="BR154" s="2421"/>
    </row>
    <row r="155" spans="1:70">
      <c r="A155" s="2421"/>
      <c r="G155" s="2466"/>
      <c r="K155" s="2421"/>
      <c r="Q155" s="2466"/>
      <c r="U155" s="2421"/>
      <c r="AC155" s="2466"/>
      <c r="AG155" s="2421"/>
      <c r="AO155" s="2466"/>
      <c r="AU155" s="2421"/>
      <c r="BC155" s="2466"/>
      <c r="BG155" s="2421"/>
      <c r="BH155" s="2421"/>
      <c r="BJ155" s="2421"/>
      <c r="BL155" s="2420"/>
      <c r="BR155" s="2421"/>
    </row>
    <row r="156" spans="1:70">
      <c r="A156" s="2421"/>
      <c r="G156" s="2466"/>
      <c r="K156" s="2421"/>
      <c r="Q156" s="2466"/>
      <c r="U156" s="2421"/>
      <c r="AC156" s="2466"/>
      <c r="AG156" s="2421"/>
      <c r="AO156" s="2466"/>
      <c r="AU156" s="2421"/>
      <c r="BC156" s="2466"/>
      <c r="BG156" s="2421"/>
      <c r="BH156" s="2421"/>
      <c r="BJ156" s="2421"/>
      <c r="BL156" s="2420"/>
      <c r="BR156" s="2421"/>
    </row>
    <row r="157" spans="1:70">
      <c r="A157" s="2421"/>
      <c r="G157" s="2466"/>
      <c r="K157" s="2421"/>
      <c r="Q157" s="2466"/>
      <c r="U157" s="2421"/>
      <c r="AC157" s="2466"/>
      <c r="AG157" s="2421"/>
      <c r="AO157" s="2466"/>
      <c r="AU157" s="2421"/>
      <c r="BC157" s="2466"/>
      <c r="BG157" s="2421"/>
      <c r="BH157" s="2421"/>
      <c r="BJ157" s="2421"/>
      <c r="BL157" s="2420"/>
      <c r="BR157" s="2421"/>
    </row>
    <row r="158" spans="1:70">
      <c r="A158" s="2421"/>
      <c r="G158" s="2466"/>
      <c r="K158" s="2421"/>
      <c r="Q158" s="2466"/>
      <c r="U158" s="2421"/>
      <c r="AC158" s="2466"/>
      <c r="AG158" s="2421"/>
      <c r="AO158" s="2466"/>
      <c r="AU158" s="2421"/>
      <c r="BC158" s="2466"/>
      <c r="BG158" s="2421"/>
      <c r="BH158" s="2421"/>
      <c r="BJ158" s="2421"/>
      <c r="BL158" s="2420"/>
      <c r="BR158" s="2421"/>
    </row>
    <row r="159" spans="1:70">
      <c r="A159" s="2421"/>
      <c r="G159" s="2466"/>
      <c r="K159" s="2421"/>
      <c r="Q159" s="2466"/>
      <c r="U159" s="2421"/>
      <c r="AC159" s="2466"/>
      <c r="AG159" s="2421"/>
      <c r="AO159" s="2466"/>
      <c r="AU159" s="2421"/>
      <c r="BC159" s="2466"/>
      <c r="BG159" s="2421"/>
      <c r="BH159" s="2421"/>
      <c r="BJ159" s="2421"/>
      <c r="BL159" s="2420"/>
      <c r="BR159" s="2421"/>
    </row>
    <row r="160" spans="1:70">
      <c r="A160" s="2421"/>
      <c r="G160" s="2466"/>
      <c r="K160" s="2421"/>
      <c r="Q160" s="2466"/>
      <c r="U160" s="2421"/>
      <c r="AC160" s="2466"/>
      <c r="AG160" s="2421"/>
      <c r="AO160" s="2466"/>
      <c r="AU160" s="2421"/>
      <c r="BC160" s="2466"/>
      <c r="BG160" s="2421"/>
      <c r="BH160" s="2421"/>
      <c r="BJ160" s="2421"/>
      <c r="BL160" s="2420"/>
      <c r="BR160" s="2421"/>
    </row>
    <row r="161" spans="1:70">
      <c r="A161" s="2421"/>
      <c r="G161" s="2466"/>
      <c r="K161" s="2421"/>
      <c r="Q161" s="2466"/>
      <c r="U161" s="2421"/>
      <c r="AC161" s="2466"/>
      <c r="AG161" s="2421"/>
      <c r="AO161" s="2466"/>
      <c r="AU161" s="2421"/>
      <c r="BC161" s="2466"/>
      <c r="BG161" s="2421"/>
      <c r="BH161" s="2421"/>
      <c r="BJ161" s="2421"/>
      <c r="BL161" s="2420"/>
      <c r="BR161" s="2421"/>
    </row>
    <row r="162" spans="1:70">
      <c r="A162" s="2421"/>
      <c r="G162" s="2466"/>
      <c r="K162" s="2421"/>
      <c r="Q162" s="2466"/>
      <c r="U162" s="2421"/>
      <c r="AC162" s="2466"/>
      <c r="AG162" s="2421"/>
      <c r="AO162" s="2466"/>
      <c r="AU162" s="2421"/>
      <c r="BC162" s="2466"/>
      <c r="BG162" s="2421"/>
      <c r="BH162" s="2421"/>
      <c r="BJ162" s="2421"/>
      <c r="BL162" s="2420"/>
      <c r="BR162" s="2421"/>
    </row>
    <row r="163" spans="1:70">
      <c r="A163" s="2421"/>
      <c r="G163" s="2466"/>
      <c r="K163" s="2421"/>
      <c r="Q163" s="2466"/>
      <c r="U163" s="2421"/>
      <c r="AC163" s="2466"/>
      <c r="AG163" s="2421"/>
      <c r="AO163" s="2466"/>
      <c r="AU163" s="2421"/>
      <c r="BC163" s="2466"/>
      <c r="BG163" s="2421"/>
      <c r="BH163" s="2421"/>
      <c r="BJ163" s="2421"/>
      <c r="BL163" s="2420"/>
      <c r="BR163" s="2421"/>
    </row>
    <row r="164" spans="1:70">
      <c r="A164" s="2421"/>
      <c r="G164" s="2466"/>
      <c r="K164" s="2421"/>
      <c r="Q164" s="2466"/>
      <c r="U164" s="2421"/>
      <c r="AC164" s="2466"/>
      <c r="AG164" s="2421"/>
      <c r="AO164" s="2466"/>
      <c r="AU164" s="2421"/>
      <c r="BC164" s="2466"/>
      <c r="BG164" s="2421"/>
      <c r="BH164" s="2421"/>
      <c r="BJ164" s="2421"/>
      <c r="BL164" s="2420"/>
      <c r="BR164" s="2421"/>
    </row>
    <row r="165" spans="1:70">
      <c r="A165" s="2421"/>
      <c r="G165" s="2466"/>
      <c r="K165" s="2421"/>
      <c r="Q165" s="2466"/>
      <c r="U165" s="2421"/>
      <c r="AC165" s="2466"/>
      <c r="AG165" s="2421"/>
      <c r="AO165" s="2466"/>
      <c r="AU165" s="2421"/>
      <c r="BC165" s="2466"/>
      <c r="BG165" s="2421"/>
      <c r="BH165" s="2421"/>
      <c r="BJ165" s="2421"/>
      <c r="BL165" s="2420"/>
      <c r="BR165" s="2421"/>
    </row>
    <row r="166" spans="1:70">
      <c r="A166" s="2421"/>
      <c r="G166" s="2466"/>
      <c r="K166" s="2421"/>
      <c r="Q166" s="2466"/>
      <c r="U166" s="2421"/>
      <c r="AC166" s="2466"/>
      <c r="AG166" s="2421"/>
      <c r="AO166" s="2466"/>
      <c r="AU166" s="2421"/>
      <c r="BC166" s="2466"/>
      <c r="BG166" s="2421"/>
      <c r="BH166" s="2421"/>
      <c r="BJ166" s="2421"/>
      <c r="BL166" s="2420"/>
      <c r="BR166" s="2421"/>
    </row>
    <row r="167" spans="1:70">
      <c r="A167" s="2421"/>
      <c r="G167" s="2466"/>
      <c r="K167" s="2421"/>
      <c r="Q167" s="2466"/>
      <c r="U167" s="2421"/>
      <c r="AC167" s="2466"/>
      <c r="AG167" s="2421"/>
      <c r="AO167" s="2466"/>
      <c r="AU167" s="2421"/>
      <c r="BG167" s="2421"/>
      <c r="BH167" s="2421"/>
      <c r="BJ167" s="2421"/>
      <c r="BL167" s="2420"/>
      <c r="BR167" s="2421"/>
    </row>
    <row r="168" spans="1:70">
      <c r="A168" s="2421"/>
      <c r="G168" s="2466"/>
      <c r="K168" s="2421"/>
      <c r="Q168" s="2466"/>
      <c r="U168" s="2421"/>
      <c r="AC168" s="2466"/>
      <c r="AG168" s="2421"/>
      <c r="AO168" s="2466"/>
      <c r="AU168" s="2421"/>
      <c r="BG168" s="2421"/>
      <c r="BH168" s="2421"/>
      <c r="BJ168" s="2421"/>
      <c r="BL168" s="2420"/>
      <c r="BR168" s="2421"/>
    </row>
    <row r="169" spans="1:70">
      <c r="A169" s="2421"/>
      <c r="G169" s="2466"/>
      <c r="K169" s="2421"/>
      <c r="Q169" s="2466"/>
      <c r="U169" s="2421"/>
      <c r="AC169" s="2466"/>
      <c r="AG169" s="2421"/>
      <c r="AO169" s="2466"/>
      <c r="AU169" s="2421"/>
      <c r="BG169" s="2421"/>
      <c r="BH169" s="2421"/>
      <c r="BJ169" s="2421"/>
      <c r="BL169" s="2420"/>
      <c r="BR169" s="2421"/>
    </row>
    <row r="170" spans="1:70">
      <c r="A170" s="2421"/>
      <c r="G170" s="2466"/>
      <c r="K170" s="2421"/>
      <c r="Q170" s="2466"/>
      <c r="U170" s="2421"/>
      <c r="AC170" s="2466"/>
      <c r="AG170" s="2421"/>
      <c r="AO170" s="2466"/>
      <c r="AU170" s="2421"/>
      <c r="BG170" s="2421"/>
      <c r="BH170" s="2421"/>
      <c r="BJ170" s="2421"/>
      <c r="BL170" s="2420"/>
      <c r="BR170" s="2421"/>
    </row>
    <row r="171" spans="1:70">
      <c r="A171" s="2421"/>
      <c r="G171" s="2466"/>
      <c r="K171" s="2421"/>
      <c r="Q171" s="2466"/>
      <c r="U171" s="2421"/>
      <c r="AC171" s="2466"/>
      <c r="AG171" s="2421"/>
      <c r="AO171" s="2466"/>
      <c r="AU171" s="2421"/>
      <c r="BG171" s="2421"/>
      <c r="BH171" s="2421"/>
      <c r="BJ171" s="2421"/>
      <c r="BL171" s="2420"/>
      <c r="BR171" s="2421"/>
    </row>
    <row r="172" spans="1:70">
      <c r="A172" s="2421"/>
      <c r="G172" s="2466"/>
      <c r="K172" s="2421"/>
      <c r="Q172" s="2466"/>
      <c r="U172" s="2421"/>
      <c r="AC172" s="2466"/>
      <c r="AG172" s="2421"/>
      <c r="AO172" s="2466"/>
      <c r="AU172" s="2421"/>
      <c r="BG172" s="2421"/>
      <c r="BH172" s="2421"/>
      <c r="BJ172" s="2421"/>
      <c r="BL172" s="2420"/>
      <c r="BR172" s="2421"/>
    </row>
    <row r="173" spans="1:70">
      <c r="A173" s="2421"/>
      <c r="G173" s="2466"/>
      <c r="K173" s="2421"/>
      <c r="Q173" s="2466"/>
      <c r="U173" s="2421"/>
      <c r="AC173" s="2466"/>
      <c r="AG173" s="2421"/>
      <c r="AO173" s="2466"/>
      <c r="AU173" s="2421"/>
      <c r="BG173" s="2421"/>
      <c r="BH173" s="2421"/>
      <c r="BJ173" s="2421"/>
      <c r="BL173" s="2420"/>
      <c r="BR173" s="2421"/>
    </row>
    <row r="174" spans="1:70">
      <c r="A174" s="2421"/>
      <c r="G174" s="2466"/>
      <c r="K174" s="2421"/>
      <c r="Q174" s="2466"/>
      <c r="U174" s="2421"/>
      <c r="AC174" s="2466"/>
      <c r="AG174" s="2421"/>
      <c r="AO174" s="2466"/>
      <c r="AU174" s="2421"/>
      <c r="BG174" s="2421"/>
      <c r="BH174" s="2421"/>
      <c r="BJ174" s="2421"/>
      <c r="BL174" s="2420"/>
      <c r="BR174" s="2421"/>
    </row>
    <row r="175" spans="1:70">
      <c r="A175" s="2421"/>
      <c r="G175" s="2466"/>
      <c r="K175" s="2421"/>
      <c r="Q175" s="2466"/>
      <c r="U175" s="2421"/>
      <c r="AC175" s="2466"/>
      <c r="AG175" s="2421"/>
      <c r="AO175" s="2466"/>
      <c r="AU175" s="2421"/>
      <c r="BG175" s="2421"/>
      <c r="BH175" s="2421"/>
      <c r="BJ175" s="2421"/>
      <c r="BL175" s="2420"/>
      <c r="BR175" s="2421"/>
    </row>
    <row r="176" spans="1:70">
      <c r="A176" s="2421"/>
      <c r="G176" s="2466"/>
      <c r="K176" s="2421"/>
      <c r="Q176" s="2466"/>
      <c r="U176" s="2421"/>
      <c r="AC176" s="2466"/>
      <c r="AG176" s="2421"/>
      <c r="AO176" s="2466"/>
      <c r="AU176" s="2421"/>
      <c r="BG176" s="2421"/>
      <c r="BH176" s="2421"/>
      <c r="BJ176" s="2421"/>
      <c r="BL176" s="2420"/>
      <c r="BR176" s="2421"/>
    </row>
    <row r="177" spans="1:70">
      <c r="A177" s="2421"/>
      <c r="G177" s="2466"/>
      <c r="K177" s="2421"/>
      <c r="Q177" s="2466"/>
      <c r="U177" s="2421"/>
      <c r="AC177" s="2466"/>
      <c r="AG177" s="2421"/>
      <c r="AO177" s="2466"/>
      <c r="AU177" s="2421"/>
      <c r="BG177" s="2421"/>
      <c r="BH177" s="2421"/>
      <c r="BJ177" s="2421"/>
      <c r="BL177" s="2420"/>
      <c r="BR177" s="2421"/>
    </row>
    <row r="178" spans="1:70">
      <c r="A178" s="2421"/>
      <c r="G178" s="2466"/>
      <c r="K178" s="2421"/>
      <c r="Q178" s="2466"/>
      <c r="U178" s="2421"/>
      <c r="AC178" s="2466"/>
      <c r="AG178" s="2421"/>
      <c r="AO178" s="2466"/>
      <c r="AU178" s="2421"/>
      <c r="BG178" s="2421"/>
      <c r="BH178" s="2421"/>
      <c r="BJ178" s="2421"/>
      <c r="BL178" s="2420"/>
      <c r="BR178" s="2421"/>
    </row>
    <row r="179" spans="1:70">
      <c r="A179" s="2421"/>
      <c r="G179" s="2466"/>
      <c r="K179" s="2421"/>
      <c r="Q179" s="2466"/>
      <c r="U179" s="2421"/>
      <c r="AC179" s="2466"/>
      <c r="AG179" s="2421"/>
      <c r="AO179" s="2466"/>
      <c r="AU179" s="2421"/>
      <c r="BG179" s="2421"/>
      <c r="BH179" s="2421"/>
      <c r="BJ179" s="2421"/>
      <c r="BL179" s="2420"/>
      <c r="BR179" s="2421"/>
    </row>
    <row r="180" spans="1:70">
      <c r="A180" s="2421"/>
      <c r="G180" s="2466"/>
      <c r="K180" s="2421"/>
      <c r="Q180" s="2466"/>
      <c r="U180" s="2421"/>
      <c r="AC180" s="2466"/>
      <c r="AG180" s="2421"/>
      <c r="AO180" s="2466"/>
      <c r="AU180" s="2421"/>
      <c r="BG180" s="2421"/>
      <c r="BH180" s="2421"/>
      <c r="BJ180" s="2421"/>
      <c r="BL180" s="2420"/>
      <c r="BR180" s="2421"/>
    </row>
    <row r="181" spans="1:70">
      <c r="A181" s="2421"/>
      <c r="G181" s="2466"/>
      <c r="K181" s="2421"/>
      <c r="Q181" s="2466"/>
      <c r="U181" s="2421"/>
      <c r="AC181" s="2466"/>
      <c r="AG181" s="2421"/>
      <c r="AO181" s="2466"/>
      <c r="AU181" s="2421"/>
      <c r="BG181" s="2421"/>
      <c r="BH181" s="2421"/>
      <c r="BJ181" s="2421"/>
      <c r="BL181" s="2420"/>
      <c r="BR181" s="2421"/>
    </row>
    <row r="182" spans="1:70">
      <c r="A182" s="2421"/>
      <c r="G182" s="2466"/>
      <c r="K182" s="2421"/>
      <c r="Q182" s="2466"/>
      <c r="U182" s="2421"/>
      <c r="AC182" s="2466"/>
      <c r="AG182" s="2421"/>
      <c r="AO182" s="2466"/>
      <c r="AU182" s="2421"/>
      <c r="BG182" s="2421"/>
      <c r="BH182" s="2421"/>
      <c r="BJ182" s="2421"/>
      <c r="BL182" s="2420"/>
      <c r="BR182" s="2421"/>
    </row>
    <row r="183" spans="1:70">
      <c r="A183" s="2421"/>
      <c r="G183" s="2466"/>
      <c r="K183" s="2421"/>
      <c r="Q183" s="2466"/>
      <c r="U183" s="2421"/>
      <c r="AC183" s="2466"/>
      <c r="AG183" s="2421"/>
      <c r="AO183" s="2466"/>
      <c r="AU183" s="2421"/>
      <c r="BG183" s="2421"/>
      <c r="BH183" s="2421"/>
      <c r="BJ183" s="2421"/>
      <c r="BL183" s="2420"/>
      <c r="BR183" s="2421"/>
    </row>
    <row r="184" spans="1:70">
      <c r="A184" s="2421"/>
      <c r="G184" s="2466"/>
      <c r="K184" s="2421"/>
      <c r="Q184" s="2466"/>
      <c r="U184" s="2421"/>
      <c r="AC184" s="2466"/>
      <c r="AG184" s="2421"/>
      <c r="AO184" s="2466"/>
      <c r="AU184" s="2421"/>
      <c r="BG184" s="2421"/>
      <c r="BH184" s="2421"/>
      <c r="BJ184" s="2421"/>
      <c r="BL184" s="2420"/>
      <c r="BR184" s="2421"/>
    </row>
    <row r="185" spans="1:70">
      <c r="A185" s="2421"/>
      <c r="G185" s="2466"/>
      <c r="K185" s="2421"/>
      <c r="Q185" s="2466"/>
      <c r="U185" s="2421"/>
      <c r="AC185" s="2466"/>
      <c r="AG185" s="2421"/>
      <c r="AO185" s="2466"/>
      <c r="AU185" s="2421"/>
      <c r="BG185" s="2421"/>
      <c r="BH185" s="2421"/>
      <c r="BJ185" s="2421"/>
      <c r="BL185" s="2420"/>
      <c r="BR185" s="2421"/>
    </row>
    <row r="186" spans="1:70">
      <c r="A186" s="2421"/>
      <c r="G186" s="2466"/>
      <c r="K186" s="2421"/>
      <c r="Q186" s="2466"/>
      <c r="U186" s="2421"/>
      <c r="AC186" s="2466"/>
      <c r="AG186" s="2421"/>
      <c r="AO186" s="2466"/>
      <c r="AU186" s="2421"/>
      <c r="BG186" s="2421"/>
      <c r="BH186" s="2421"/>
      <c r="BJ186" s="2421"/>
      <c r="BL186" s="2420"/>
      <c r="BR186" s="2421"/>
    </row>
    <row r="187" spans="1:70">
      <c r="A187" s="2421"/>
      <c r="G187" s="2466"/>
      <c r="K187" s="2421"/>
      <c r="Q187" s="2466"/>
      <c r="U187" s="2421"/>
      <c r="AC187" s="2466"/>
      <c r="AG187" s="2421"/>
      <c r="AO187" s="2466"/>
      <c r="AU187" s="2421"/>
      <c r="BG187" s="2421"/>
      <c r="BH187" s="2421"/>
      <c r="BJ187" s="2421"/>
      <c r="BL187" s="2420"/>
      <c r="BR187" s="2421"/>
    </row>
    <row r="188" spans="1:70">
      <c r="A188" s="2421"/>
      <c r="G188" s="2466"/>
      <c r="K188" s="2421"/>
      <c r="Q188" s="2466"/>
      <c r="U188" s="2421"/>
      <c r="AC188" s="2466"/>
      <c r="AG188" s="2421"/>
      <c r="AO188" s="2466"/>
      <c r="AU188" s="2421"/>
      <c r="BG188" s="2421"/>
      <c r="BH188" s="2421"/>
      <c r="BJ188" s="2421"/>
      <c r="BL188" s="2420"/>
      <c r="BR188" s="2421"/>
    </row>
    <row r="189" spans="1:70">
      <c r="A189" s="2421"/>
      <c r="G189" s="2466"/>
      <c r="K189" s="2421"/>
      <c r="Q189" s="2466"/>
      <c r="U189" s="2421"/>
      <c r="AC189" s="2466"/>
      <c r="AG189" s="2421"/>
      <c r="AO189" s="2466"/>
      <c r="AU189" s="2421"/>
      <c r="BG189" s="2421"/>
      <c r="BH189" s="2421"/>
      <c r="BJ189" s="2421"/>
      <c r="BL189" s="2420"/>
      <c r="BR189" s="2421"/>
    </row>
    <row r="190" spans="1:70">
      <c r="A190" s="2421"/>
      <c r="G190" s="2466"/>
      <c r="K190" s="2421"/>
      <c r="Q190" s="2466"/>
      <c r="U190" s="2421"/>
      <c r="AC190" s="2466"/>
      <c r="AG190" s="2421"/>
      <c r="AO190" s="2466"/>
      <c r="AU190" s="2421"/>
      <c r="BG190" s="2421"/>
      <c r="BH190" s="2421"/>
      <c r="BJ190" s="2421"/>
      <c r="BL190" s="2420"/>
      <c r="BR190" s="2421"/>
    </row>
    <row r="191" spans="1:70">
      <c r="A191" s="2421"/>
      <c r="G191" s="2466"/>
      <c r="K191" s="2421"/>
      <c r="Q191" s="2466"/>
      <c r="U191" s="2421"/>
      <c r="AC191" s="2466"/>
      <c r="AG191" s="2421"/>
      <c r="AO191" s="2466"/>
      <c r="AU191" s="2421"/>
      <c r="BG191" s="2421"/>
      <c r="BH191" s="2421"/>
      <c r="BJ191" s="2421"/>
      <c r="BL191" s="2420"/>
      <c r="BR191" s="2421"/>
    </row>
    <row r="192" spans="1:70">
      <c r="A192" s="2421"/>
      <c r="G192" s="2466"/>
      <c r="K192" s="2421"/>
      <c r="Q192" s="2466"/>
      <c r="U192" s="2421"/>
      <c r="AC192" s="2466"/>
      <c r="AG192" s="2421"/>
      <c r="AO192" s="2466"/>
      <c r="AU192" s="2421"/>
      <c r="BG192" s="2421"/>
      <c r="BH192" s="2421"/>
      <c r="BJ192" s="2421"/>
      <c r="BL192" s="2420"/>
      <c r="BR192" s="2421"/>
    </row>
    <row r="193" spans="1:70">
      <c r="A193" s="2421"/>
      <c r="G193" s="2466"/>
      <c r="K193" s="2421"/>
      <c r="Q193" s="2466"/>
      <c r="U193" s="2421"/>
      <c r="AC193" s="2466"/>
      <c r="AG193" s="2421"/>
      <c r="AO193" s="2466"/>
      <c r="AU193" s="2421"/>
      <c r="BG193" s="2421"/>
      <c r="BH193" s="2421"/>
      <c r="BJ193" s="2421"/>
      <c r="BL193" s="2420"/>
      <c r="BR193" s="2421"/>
    </row>
    <row r="194" spans="1:70">
      <c r="A194" s="2421"/>
      <c r="G194" s="2466"/>
      <c r="K194" s="2421"/>
      <c r="Q194" s="2466"/>
      <c r="U194" s="2421"/>
      <c r="AC194" s="2466"/>
      <c r="AG194" s="2421"/>
      <c r="AO194" s="2466"/>
      <c r="AU194" s="2421"/>
      <c r="BG194" s="2421"/>
      <c r="BH194" s="2421"/>
      <c r="BJ194" s="2421"/>
      <c r="BL194" s="2420"/>
      <c r="BR194" s="2421"/>
    </row>
    <row r="195" spans="1:70">
      <c r="A195" s="2421"/>
      <c r="G195" s="2466"/>
      <c r="K195" s="2421"/>
      <c r="Q195" s="2466"/>
      <c r="U195" s="2421"/>
      <c r="AC195" s="2466"/>
      <c r="AG195" s="2421"/>
      <c r="AO195" s="2466"/>
      <c r="AU195" s="2421"/>
      <c r="BG195" s="2421"/>
      <c r="BH195" s="2421"/>
      <c r="BJ195" s="2421"/>
      <c r="BL195" s="2420"/>
      <c r="BR195" s="2421"/>
    </row>
    <row r="196" spans="1:70">
      <c r="A196" s="2421"/>
      <c r="G196" s="2466"/>
      <c r="K196" s="2421"/>
      <c r="Q196" s="2466"/>
      <c r="U196" s="2421"/>
      <c r="AC196" s="2466"/>
      <c r="AG196" s="2421"/>
      <c r="AO196" s="2466"/>
      <c r="AU196" s="2421"/>
      <c r="BG196" s="2421"/>
      <c r="BH196" s="2421"/>
      <c r="BJ196" s="2421"/>
      <c r="BL196" s="2420"/>
      <c r="BR196" s="2421"/>
    </row>
    <row r="197" spans="1:70">
      <c r="A197" s="2421"/>
      <c r="G197" s="2466"/>
      <c r="K197" s="2421"/>
      <c r="Q197" s="2466"/>
      <c r="U197" s="2421"/>
      <c r="AC197" s="2466"/>
      <c r="AG197" s="2421"/>
      <c r="AO197" s="2466"/>
      <c r="AU197" s="2421"/>
      <c r="BG197" s="2421"/>
      <c r="BH197" s="2421"/>
      <c r="BJ197" s="2421"/>
      <c r="BL197" s="2420"/>
      <c r="BR197" s="2421"/>
    </row>
    <row r="198" spans="1:70">
      <c r="A198" s="2421"/>
      <c r="G198" s="2466"/>
      <c r="K198" s="2421"/>
      <c r="Q198" s="2466"/>
      <c r="U198" s="2421"/>
      <c r="AC198" s="2466"/>
      <c r="AG198" s="2421"/>
      <c r="AO198" s="2466"/>
      <c r="AU198" s="2421"/>
      <c r="BG198" s="2421"/>
      <c r="BH198" s="2421"/>
      <c r="BJ198" s="2421"/>
      <c r="BL198" s="2420"/>
      <c r="BR198" s="2421"/>
    </row>
    <row r="199" spans="1:70">
      <c r="A199" s="2421"/>
      <c r="G199" s="2466"/>
      <c r="K199" s="2421"/>
      <c r="Q199" s="2466"/>
      <c r="U199" s="2421"/>
      <c r="AG199" s="2421"/>
      <c r="AO199" s="2466"/>
      <c r="AU199" s="2421"/>
      <c r="BG199" s="2421"/>
      <c r="BH199" s="2421"/>
      <c r="BJ199" s="2421"/>
      <c r="BL199" s="2420"/>
      <c r="BR199" s="2421"/>
    </row>
    <row r="200" spans="1:70">
      <c r="A200" s="2421"/>
      <c r="G200" s="2466"/>
      <c r="K200" s="2421"/>
      <c r="Q200" s="2466"/>
      <c r="U200" s="2421"/>
      <c r="AG200" s="2421"/>
      <c r="AO200" s="2466"/>
      <c r="AU200" s="2421"/>
      <c r="BG200" s="2421"/>
      <c r="BH200" s="2421"/>
      <c r="BJ200" s="2421"/>
      <c r="BL200" s="2420"/>
      <c r="BR200" s="2421"/>
    </row>
    <row r="201" spans="1:70">
      <c r="A201" s="2421"/>
      <c r="G201" s="2466"/>
      <c r="K201" s="2421"/>
      <c r="Q201" s="2466"/>
      <c r="U201" s="2421"/>
      <c r="AG201" s="2421"/>
      <c r="AU201" s="2421"/>
      <c r="BG201" s="2421"/>
      <c r="BH201" s="2421"/>
      <c r="BJ201" s="2421"/>
      <c r="BL201" s="2420"/>
      <c r="BR201" s="2421"/>
    </row>
    <row r="202" spans="1:70">
      <c r="A202" s="2421"/>
      <c r="G202" s="2466"/>
      <c r="K202" s="2421"/>
      <c r="Q202" s="2466"/>
      <c r="U202" s="2421"/>
      <c r="AG202" s="2421"/>
      <c r="AU202" s="2421"/>
      <c r="BG202" s="2421"/>
      <c r="BH202" s="2421"/>
      <c r="BJ202" s="2421"/>
      <c r="BL202" s="2420"/>
      <c r="BR202" s="2421"/>
    </row>
    <row r="203" spans="1:70">
      <c r="A203" s="2421"/>
      <c r="G203" s="2466"/>
      <c r="K203" s="2421"/>
      <c r="Q203" s="2466"/>
      <c r="U203" s="2421"/>
      <c r="AG203" s="2421"/>
      <c r="AU203" s="2421"/>
      <c r="BG203" s="2421"/>
      <c r="BH203" s="2421"/>
      <c r="BJ203" s="2421"/>
      <c r="BL203" s="2420"/>
      <c r="BR203" s="2421"/>
    </row>
    <row r="204" spans="1:70">
      <c r="A204" s="2421"/>
      <c r="G204" s="2466"/>
      <c r="K204" s="2421"/>
      <c r="Q204" s="2466"/>
      <c r="U204" s="2421"/>
      <c r="AG204" s="2421"/>
      <c r="AU204" s="2421"/>
      <c r="BG204" s="2421"/>
      <c r="BH204" s="2421"/>
      <c r="BJ204" s="2421"/>
      <c r="BL204" s="2420"/>
      <c r="BR204" s="2421"/>
    </row>
    <row r="205" spans="1:70">
      <c r="A205" s="2421"/>
      <c r="G205" s="2466"/>
      <c r="K205" s="2421"/>
      <c r="Q205" s="2466"/>
      <c r="U205" s="2421"/>
      <c r="AG205" s="2421"/>
      <c r="AU205" s="2421"/>
      <c r="BG205" s="2421"/>
      <c r="BH205" s="2421"/>
      <c r="BJ205" s="2421"/>
      <c r="BL205" s="2420"/>
      <c r="BR205" s="2421"/>
    </row>
    <row r="206" spans="1:70">
      <c r="A206" s="2421"/>
      <c r="G206" s="2466"/>
      <c r="K206" s="2421"/>
      <c r="Q206" s="2466"/>
      <c r="U206" s="2421"/>
      <c r="AG206" s="2421"/>
      <c r="AU206" s="2421"/>
      <c r="BG206" s="2421"/>
      <c r="BH206" s="2421"/>
      <c r="BJ206" s="2421"/>
      <c r="BL206" s="2420"/>
      <c r="BR206" s="2421"/>
    </row>
    <row r="207" spans="1:70">
      <c r="A207" s="2421"/>
      <c r="G207" s="2466"/>
      <c r="K207" s="2421"/>
      <c r="Q207" s="2466"/>
      <c r="U207" s="2421"/>
      <c r="AG207" s="2421"/>
      <c r="AU207" s="2421"/>
      <c r="BG207" s="2421"/>
      <c r="BH207" s="2421"/>
      <c r="BJ207" s="2421"/>
      <c r="BL207" s="2420"/>
      <c r="BR207" s="2421"/>
    </row>
    <row r="208" spans="1:70">
      <c r="A208" s="2421"/>
      <c r="G208" s="2466"/>
      <c r="K208" s="2421"/>
      <c r="Q208" s="2466"/>
      <c r="U208" s="2421"/>
      <c r="AG208" s="2421"/>
      <c r="AU208" s="2421"/>
      <c r="BG208" s="2421"/>
      <c r="BH208" s="2421"/>
      <c r="BJ208" s="2421"/>
      <c r="BL208" s="2420"/>
      <c r="BR208" s="2421"/>
    </row>
    <row r="209" spans="1:70">
      <c r="A209" s="2421"/>
      <c r="G209" s="2466"/>
      <c r="K209" s="2421"/>
      <c r="Q209" s="2466"/>
      <c r="U209" s="2421"/>
      <c r="AG209" s="2421"/>
      <c r="AU209" s="2421"/>
      <c r="BG209" s="2421"/>
      <c r="BH209" s="2421"/>
      <c r="BJ209" s="2421"/>
      <c r="BL209" s="2420"/>
      <c r="BR209" s="2421"/>
    </row>
    <row r="210" spans="1:70">
      <c r="A210" s="2421"/>
      <c r="G210" s="2466"/>
      <c r="K210" s="2421"/>
      <c r="Q210" s="2466"/>
      <c r="U210" s="2421"/>
      <c r="AG210" s="2421"/>
      <c r="AU210" s="2421"/>
      <c r="BG210" s="2421"/>
      <c r="BH210" s="2421"/>
      <c r="BJ210" s="2421"/>
      <c r="BL210" s="2420"/>
      <c r="BR210" s="2421"/>
    </row>
    <row r="211" spans="1:70">
      <c r="A211" s="2421"/>
      <c r="G211" s="2466"/>
      <c r="K211" s="2421"/>
      <c r="Q211" s="2466"/>
      <c r="U211" s="2421"/>
      <c r="AG211" s="2421"/>
      <c r="AU211" s="2421"/>
      <c r="BG211" s="2421"/>
      <c r="BH211" s="2421"/>
      <c r="BJ211" s="2421"/>
      <c r="BL211" s="2420"/>
      <c r="BR211" s="2421"/>
    </row>
    <row r="212" spans="1:70">
      <c r="A212" s="2421"/>
      <c r="G212" s="2466"/>
      <c r="K212" s="2421"/>
      <c r="Q212" s="2466"/>
      <c r="U212" s="2421"/>
      <c r="AG212" s="2421"/>
      <c r="AU212" s="2421"/>
      <c r="BG212" s="2421"/>
      <c r="BH212" s="2421"/>
      <c r="BJ212" s="2421"/>
      <c r="BL212" s="2420"/>
      <c r="BR212" s="2421"/>
    </row>
    <row r="213" spans="1:70">
      <c r="A213" s="2421"/>
      <c r="G213" s="2466"/>
      <c r="K213" s="2421"/>
      <c r="Q213" s="2466"/>
      <c r="U213" s="2421"/>
      <c r="AG213" s="2421"/>
      <c r="AU213" s="2421"/>
      <c r="BG213" s="2421"/>
      <c r="BH213" s="2421"/>
      <c r="BJ213" s="2421"/>
      <c r="BL213" s="2420"/>
      <c r="BR213" s="2421"/>
    </row>
    <row r="214" spans="1:70">
      <c r="A214" s="2421"/>
      <c r="G214" s="2466"/>
      <c r="K214" s="2421"/>
      <c r="Q214" s="2466"/>
      <c r="U214" s="2421"/>
      <c r="AG214" s="2421"/>
      <c r="AU214" s="2421"/>
      <c r="BG214" s="2421"/>
      <c r="BH214" s="2421"/>
      <c r="BJ214" s="2421"/>
      <c r="BL214" s="2420"/>
      <c r="BR214" s="2421"/>
    </row>
    <row r="215" spans="1:70">
      <c r="A215" s="2421"/>
      <c r="G215" s="2466"/>
      <c r="K215" s="2421"/>
      <c r="Q215" s="2466"/>
      <c r="U215" s="2421"/>
      <c r="AG215" s="2421"/>
      <c r="AU215" s="2421"/>
      <c r="BG215" s="2421"/>
      <c r="BH215" s="2421"/>
      <c r="BJ215" s="2421"/>
      <c r="BL215" s="2420"/>
      <c r="BR215" s="2421"/>
    </row>
    <row r="216" spans="1:70">
      <c r="A216" s="2421"/>
      <c r="G216" s="2466"/>
      <c r="K216" s="2421"/>
      <c r="Q216" s="2466"/>
      <c r="U216" s="2421"/>
      <c r="AG216" s="2421"/>
      <c r="AU216" s="2421"/>
      <c r="BG216" s="2421"/>
      <c r="BH216" s="2421"/>
      <c r="BJ216" s="2421"/>
      <c r="BL216" s="2420"/>
      <c r="BR216" s="2421"/>
    </row>
    <row r="217" spans="1:70">
      <c r="A217" s="2421"/>
      <c r="G217" s="2466"/>
      <c r="K217" s="2421"/>
      <c r="Q217" s="2466"/>
      <c r="U217" s="2421"/>
      <c r="AG217" s="2421"/>
      <c r="AU217" s="2421"/>
      <c r="BG217" s="2421"/>
      <c r="BH217" s="2421"/>
      <c r="BJ217" s="2421"/>
      <c r="BL217" s="2420"/>
      <c r="BR217" s="2421"/>
    </row>
    <row r="218" spans="1:70">
      <c r="A218" s="2421"/>
      <c r="G218" s="2466"/>
      <c r="K218" s="2421"/>
      <c r="Q218" s="2466"/>
      <c r="U218" s="2421"/>
      <c r="AG218" s="2421"/>
      <c r="AU218" s="2421"/>
      <c r="BG218" s="2421"/>
      <c r="BH218" s="2421"/>
      <c r="BJ218" s="2421"/>
      <c r="BL218" s="2420"/>
      <c r="BR218" s="2421"/>
    </row>
    <row r="219" spans="1:70">
      <c r="A219" s="2421"/>
      <c r="G219" s="2466"/>
      <c r="K219" s="2421"/>
      <c r="Q219" s="2466"/>
      <c r="U219" s="2421"/>
      <c r="AG219" s="2421"/>
      <c r="AU219" s="2421"/>
      <c r="BG219" s="2421"/>
      <c r="BH219" s="2421"/>
      <c r="BJ219" s="2421"/>
      <c r="BL219" s="2420"/>
      <c r="BR219" s="2421"/>
    </row>
    <row r="220" spans="1:70">
      <c r="A220" s="2421"/>
      <c r="G220" s="2466"/>
      <c r="K220" s="2421"/>
      <c r="Q220" s="2466"/>
      <c r="U220" s="2421"/>
      <c r="AG220" s="2421"/>
      <c r="AU220" s="2421"/>
      <c r="BG220" s="2421"/>
      <c r="BH220" s="2421"/>
      <c r="BJ220" s="2421"/>
      <c r="BL220" s="2420"/>
      <c r="BR220" s="2421"/>
    </row>
    <row r="221" spans="1:70">
      <c r="A221" s="2421"/>
      <c r="G221" s="2466"/>
      <c r="K221" s="2421"/>
      <c r="Q221" s="2466"/>
      <c r="U221" s="2421"/>
      <c r="AG221" s="2421"/>
      <c r="AU221" s="2421"/>
      <c r="BG221" s="2421"/>
      <c r="BH221" s="2421"/>
      <c r="BJ221" s="2421"/>
      <c r="BL221" s="2420"/>
      <c r="BR221" s="2421"/>
    </row>
    <row r="222" spans="1:70">
      <c r="A222" s="2421"/>
      <c r="G222" s="2466"/>
      <c r="K222" s="2421"/>
      <c r="Q222" s="2466"/>
      <c r="U222" s="2421"/>
      <c r="AG222" s="2421"/>
      <c r="AU222" s="2421"/>
      <c r="BG222" s="2421"/>
      <c r="BH222" s="2421"/>
      <c r="BJ222" s="2421"/>
      <c r="BL222" s="2420"/>
      <c r="BR222" s="2421"/>
    </row>
    <row r="223" spans="1:70">
      <c r="A223" s="2421"/>
      <c r="G223" s="2466"/>
      <c r="K223" s="2421"/>
      <c r="Q223" s="2466"/>
      <c r="U223" s="2421"/>
      <c r="AG223" s="2421"/>
      <c r="AU223" s="2421"/>
      <c r="BG223" s="2421"/>
      <c r="BH223" s="2421"/>
      <c r="BJ223" s="2421"/>
      <c r="BL223" s="2420"/>
      <c r="BR223" s="2421"/>
    </row>
    <row r="224" spans="1:70">
      <c r="A224" s="2421"/>
      <c r="G224" s="2466"/>
      <c r="K224" s="2421"/>
      <c r="Q224" s="2466"/>
      <c r="U224" s="2421"/>
      <c r="AG224" s="2421"/>
      <c r="AU224" s="2421"/>
      <c r="BG224" s="2421"/>
      <c r="BH224" s="2421"/>
      <c r="BJ224" s="2421"/>
      <c r="BL224" s="2420"/>
      <c r="BR224" s="2421"/>
    </row>
    <row r="225" spans="1:70">
      <c r="A225" s="2421"/>
      <c r="G225" s="2466"/>
      <c r="K225" s="2421"/>
      <c r="Q225" s="2466"/>
      <c r="U225" s="2421"/>
      <c r="AG225" s="2421"/>
      <c r="AU225" s="2421"/>
      <c r="BG225" s="2421"/>
      <c r="BH225" s="2421"/>
      <c r="BJ225" s="2421"/>
      <c r="BL225" s="2420"/>
      <c r="BR225" s="2421"/>
    </row>
    <row r="226" spans="1:70">
      <c r="A226" s="2421"/>
      <c r="G226" s="2466"/>
      <c r="K226" s="2421"/>
      <c r="Q226" s="2466"/>
      <c r="U226" s="2421"/>
      <c r="AG226" s="2421"/>
      <c r="AU226" s="2421"/>
      <c r="BG226" s="2421"/>
      <c r="BH226" s="2421"/>
      <c r="BJ226" s="2421"/>
      <c r="BL226" s="2420"/>
      <c r="BR226" s="2421"/>
    </row>
    <row r="227" spans="1:70">
      <c r="A227" s="2421"/>
      <c r="G227" s="2466"/>
      <c r="K227" s="2421"/>
      <c r="Q227" s="2466"/>
      <c r="U227" s="2421"/>
      <c r="AG227" s="2421"/>
      <c r="AU227" s="2421"/>
      <c r="BG227" s="2421"/>
      <c r="BH227" s="2421"/>
      <c r="BJ227" s="2421"/>
      <c r="BL227" s="2420"/>
      <c r="BR227" s="2421"/>
    </row>
    <row r="228" spans="1:70">
      <c r="A228" s="2421"/>
      <c r="G228" s="2466"/>
      <c r="K228" s="2421"/>
      <c r="Q228" s="2466"/>
      <c r="U228" s="2421"/>
      <c r="AG228" s="2421"/>
      <c r="AU228" s="2421"/>
      <c r="BG228" s="2421"/>
      <c r="BH228" s="2421"/>
      <c r="BJ228" s="2421"/>
      <c r="BL228" s="2420"/>
      <c r="BR228" s="2421"/>
    </row>
    <row r="229" spans="1:70">
      <c r="A229" s="2421"/>
      <c r="G229" s="2466"/>
      <c r="K229" s="2421"/>
      <c r="Q229" s="2466"/>
      <c r="U229" s="2421"/>
      <c r="AG229" s="2421"/>
      <c r="AU229" s="2421"/>
      <c r="BG229" s="2421"/>
      <c r="BH229" s="2421"/>
      <c r="BJ229" s="2421"/>
      <c r="BL229" s="2420"/>
      <c r="BR229" s="2421"/>
    </row>
    <row r="230" spans="1:70">
      <c r="A230" s="2421"/>
      <c r="G230" s="2466"/>
      <c r="K230" s="2421"/>
      <c r="Q230" s="2466"/>
      <c r="U230" s="2421"/>
      <c r="AG230" s="2421"/>
      <c r="AU230" s="2421"/>
      <c r="BG230" s="2421"/>
      <c r="BH230" s="2421"/>
      <c r="BJ230" s="2421"/>
      <c r="BL230" s="2420"/>
      <c r="BR230" s="2421"/>
    </row>
    <row r="231" spans="1:70">
      <c r="A231" s="2421"/>
      <c r="K231" s="2421"/>
      <c r="Q231" s="2466"/>
      <c r="U231" s="2421"/>
      <c r="AG231" s="2421"/>
      <c r="AU231" s="2421"/>
      <c r="BG231" s="2421"/>
      <c r="BH231" s="2421"/>
      <c r="BJ231" s="2421"/>
      <c r="BL231" s="2420"/>
      <c r="BR231" s="2421"/>
    </row>
    <row r="232" spans="1:70">
      <c r="A232" s="2421"/>
      <c r="K232" s="2421"/>
      <c r="Q232" s="2466"/>
      <c r="U232" s="2421"/>
      <c r="AG232" s="2421"/>
      <c r="AU232" s="2421"/>
      <c r="BG232" s="2421"/>
      <c r="BH232" s="2421"/>
      <c r="BJ232" s="2421"/>
      <c r="BL232" s="2420"/>
      <c r="BR232" s="2421"/>
    </row>
    <row r="233" spans="1:70">
      <c r="A233" s="2421"/>
      <c r="K233" s="2421"/>
      <c r="U233" s="2421"/>
      <c r="AG233" s="2421"/>
      <c r="AU233" s="2421"/>
      <c r="BG233" s="2421"/>
      <c r="BH233" s="2421"/>
      <c r="BJ233" s="2421"/>
      <c r="BL233" s="2420"/>
      <c r="BR233" s="2421"/>
    </row>
    <row r="234" spans="1:70">
      <c r="A234" s="2421"/>
      <c r="K234" s="2421"/>
      <c r="U234" s="2421"/>
      <c r="AG234" s="2421"/>
      <c r="AU234" s="2421"/>
      <c r="BG234" s="2421"/>
      <c r="BH234" s="2421"/>
      <c r="BJ234" s="2421"/>
      <c r="BL234" s="2420"/>
      <c r="BR234" s="2421"/>
    </row>
    <row r="235" spans="1:70">
      <c r="A235" s="2421"/>
      <c r="K235" s="2421"/>
      <c r="U235" s="2421"/>
      <c r="AG235" s="2421"/>
      <c r="AU235" s="2421"/>
      <c r="BG235" s="2421"/>
      <c r="BH235" s="2421"/>
      <c r="BJ235" s="2421"/>
      <c r="BL235" s="2420"/>
      <c r="BR235" s="2421"/>
    </row>
    <row r="236" spans="1:70">
      <c r="A236" s="2421"/>
      <c r="K236" s="2421"/>
      <c r="U236" s="2421"/>
      <c r="AG236" s="2421"/>
      <c r="AU236" s="2421"/>
      <c r="BG236" s="2421"/>
      <c r="BH236" s="2421"/>
      <c r="BJ236" s="2421"/>
      <c r="BL236" s="2420"/>
      <c r="BR236" s="2421"/>
    </row>
    <row r="237" spans="1:70">
      <c r="A237" s="2421"/>
      <c r="K237" s="2421"/>
      <c r="U237" s="2421"/>
      <c r="AG237" s="2421"/>
      <c r="AU237" s="2421"/>
      <c r="BG237" s="2421"/>
      <c r="BH237" s="2421"/>
      <c r="BJ237" s="2421"/>
      <c r="BL237" s="2420"/>
      <c r="BR237" s="2421"/>
    </row>
    <row r="238" spans="1:70">
      <c r="A238" s="2421"/>
      <c r="K238" s="2421"/>
      <c r="U238" s="2421"/>
      <c r="AG238" s="2421"/>
      <c r="AU238" s="2421"/>
      <c r="BG238" s="2421"/>
      <c r="BH238" s="2421"/>
      <c r="BJ238" s="2421"/>
      <c r="BL238" s="2420"/>
      <c r="BR238" s="2421"/>
    </row>
    <row r="239" spans="1:70">
      <c r="A239" s="2421"/>
      <c r="K239" s="2421"/>
      <c r="U239" s="2421"/>
      <c r="AG239" s="2421"/>
      <c r="AU239" s="2421"/>
      <c r="BG239" s="2421"/>
      <c r="BH239" s="2421"/>
      <c r="BJ239" s="2421"/>
      <c r="BL239" s="2420"/>
      <c r="BR239" s="2421"/>
    </row>
    <row r="240" spans="1:70">
      <c r="A240" s="2421"/>
      <c r="K240" s="2421"/>
      <c r="U240" s="2421"/>
      <c r="AG240" s="2421"/>
      <c r="AU240" s="2421"/>
      <c r="BG240" s="2421"/>
      <c r="BH240" s="2421"/>
      <c r="BJ240" s="2421"/>
      <c r="BL240" s="2420"/>
      <c r="BR240" s="2421"/>
    </row>
    <row r="241" spans="1:70">
      <c r="A241" s="2421"/>
      <c r="K241" s="2421"/>
      <c r="U241" s="2421"/>
      <c r="AG241" s="2421"/>
      <c r="AU241" s="2421"/>
      <c r="BG241" s="2421"/>
      <c r="BH241" s="2421"/>
      <c r="BJ241" s="2421"/>
      <c r="BL241" s="2420"/>
      <c r="BR241" s="2421"/>
    </row>
    <row r="242" spans="1:70">
      <c r="A242" s="2421"/>
      <c r="K242" s="2421"/>
      <c r="U242" s="2421"/>
      <c r="AG242" s="2421"/>
      <c r="AU242" s="2421"/>
      <c r="BG242" s="2421"/>
      <c r="BH242" s="2421"/>
      <c r="BJ242" s="2421"/>
      <c r="BL242" s="2420"/>
      <c r="BR242" s="2421"/>
    </row>
    <row r="243" spans="1:70">
      <c r="A243" s="2421"/>
      <c r="K243" s="2421"/>
      <c r="U243" s="2421"/>
      <c r="AG243" s="2421"/>
      <c r="AU243" s="2421"/>
      <c r="BG243" s="2421"/>
      <c r="BH243" s="2421"/>
      <c r="BJ243" s="2421"/>
      <c r="BL243" s="2420"/>
      <c r="BR243" s="2421"/>
    </row>
    <row r="244" spans="1:70">
      <c r="A244" s="2421"/>
      <c r="K244" s="2421"/>
      <c r="U244" s="2421"/>
      <c r="AG244" s="2421"/>
      <c r="AU244" s="2421"/>
      <c r="BG244" s="2421"/>
      <c r="BH244" s="2421"/>
      <c r="BJ244" s="2421"/>
      <c r="BL244" s="2420"/>
      <c r="BR244" s="2421"/>
    </row>
    <row r="245" spans="1:70">
      <c r="A245" s="2421"/>
      <c r="K245" s="2421"/>
      <c r="U245" s="2421"/>
      <c r="AG245" s="2421"/>
      <c r="AU245" s="2421"/>
      <c r="BG245" s="2421"/>
      <c r="BH245" s="2421"/>
      <c r="BJ245" s="2421"/>
      <c r="BL245" s="2420"/>
      <c r="BR245" s="2421"/>
    </row>
    <row r="246" spans="1:70">
      <c r="A246" s="2421"/>
      <c r="K246" s="2421"/>
      <c r="U246" s="2421"/>
      <c r="AG246" s="2421"/>
      <c r="AU246" s="2421"/>
      <c r="BG246" s="2421"/>
      <c r="BH246" s="2421"/>
      <c r="BJ246" s="2421"/>
      <c r="BL246" s="2420"/>
      <c r="BR246" s="2421"/>
    </row>
    <row r="247" spans="1:70">
      <c r="A247" s="2421"/>
      <c r="K247" s="2421"/>
      <c r="U247" s="2421"/>
      <c r="AG247" s="2421"/>
      <c r="AU247" s="2421"/>
      <c r="BG247" s="2421"/>
      <c r="BH247" s="2421"/>
      <c r="BJ247" s="2421"/>
      <c r="BL247" s="2420"/>
      <c r="BR247" s="2421"/>
    </row>
    <row r="248" spans="1:70">
      <c r="A248" s="2421"/>
      <c r="K248" s="2421"/>
      <c r="U248" s="2421"/>
      <c r="AG248" s="2421"/>
      <c r="AU248" s="2421"/>
      <c r="BG248" s="2421"/>
      <c r="BH248" s="2421"/>
      <c r="BJ248" s="2421"/>
      <c r="BL248" s="2420"/>
      <c r="BR248" s="2421"/>
    </row>
    <row r="249" spans="1:70">
      <c r="A249" s="2421"/>
      <c r="K249" s="2421"/>
      <c r="U249" s="2421"/>
      <c r="AG249" s="2421"/>
      <c r="AU249" s="2421"/>
      <c r="BG249" s="2421"/>
      <c r="BH249" s="2421"/>
      <c r="BJ249" s="2421"/>
      <c r="BL249" s="2420"/>
      <c r="BR249" s="2421"/>
    </row>
    <row r="250" spans="1:70">
      <c r="A250" s="2421"/>
      <c r="K250" s="2421"/>
      <c r="U250" s="2421"/>
      <c r="AG250" s="2421"/>
      <c r="AU250" s="2421"/>
      <c r="BG250" s="2421"/>
      <c r="BH250" s="2421"/>
      <c r="BJ250" s="2421"/>
      <c r="BL250" s="2420"/>
      <c r="BR250" s="2421"/>
    </row>
    <row r="251" spans="1:70">
      <c r="A251" s="2421"/>
      <c r="K251" s="2421"/>
      <c r="U251" s="2421"/>
      <c r="AG251" s="2421"/>
      <c r="AU251" s="2421"/>
      <c r="BG251" s="2421"/>
      <c r="BH251" s="2421"/>
      <c r="BJ251" s="2421"/>
      <c r="BL251" s="2420"/>
      <c r="BR251" s="2421"/>
    </row>
    <row r="252" spans="1:70">
      <c r="A252" s="2421"/>
      <c r="K252" s="2421"/>
      <c r="U252" s="2421"/>
      <c r="AG252" s="2421"/>
      <c r="AU252" s="2421"/>
      <c r="BG252" s="2421"/>
      <c r="BH252" s="2421"/>
      <c r="BJ252" s="2421"/>
      <c r="BL252" s="2420"/>
      <c r="BR252" s="2421"/>
    </row>
    <row r="253" spans="1:70">
      <c r="A253" s="2421"/>
      <c r="K253" s="2421"/>
      <c r="U253" s="2421"/>
      <c r="AG253" s="2421"/>
      <c r="AU253" s="2421"/>
      <c r="BG253" s="2421"/>
      <c r="BH253" s="2421"/>
      <c r="BJ253" s="2421"/>
      <c r="BL253" s="2420"/>
      <c r="BR253" s="2421"/>
    </row>
    <row r="254" spans="1:70">
      <c r="A254" s="2421"/>
      <c r="K254" s="2421"/>
      <c r="U254" s="2421"/>
      <c r="AG254" s="2421"/>
      <c r="AU254" s="2421"/>
      <c r="BG254" s="2421"/>
      <c r="BH254" s="2421"/>
      <c r="BJ254" s="2421"/>
      <c r="BL254" s="2420"/>
      <c r="BR254" s="2421"/>
    </row>
    <row r="255" spans="1:70">
      <c r="A255" s="2421"/>
      <c r="K255" s="2421"/>
      <c r="U255" s="2421"/>
      <c r="AG255" s="2421"/>
      <c r="AU255" s="2421"/>
      <c r="BG255" s="2421"/>
      <c r="BH255" s="2421"/>
      <c r="BJ255" s="2421"/>
      <c r="BL255" s="2420"/>
      <c r="BR255" s="2421"/>
    </row>
    <row r="256" spans="1:70">
      <c r="A256" s="2421"/>
      <c r="K256" s="2421"/>
      <c r="U256" s="2421"/>
      <c r="AG256" s="2421"/>
      <c r="AU256" s="2421"/>
      <c r="BG256" s="2421"/>
      <c r="BH256" s="2421"/>
      <c r="BJ256" s="2421"/>
      <c r="BL256" s="2420"/>
      <c r="BR256" s="2421"/>
    </row>
    <row r="257" spans="1:70">
      <c r="A257" s="2421"/>
      <c r="K257" s="2421"/>
      <c r="U257" s="2421"/>
      <c r="AG257" s="2421"/>
      <c r="AU257" s="2421"/>
      <c r="BG257" s="2421"/>
      <c r="BH257" s="2421"/>
      <c r="BJ257" s="2421"/>
      <c r="BL257" s="2420"/>
      <c r="BR257" s="2421"/>
    </row>
    <row r="258" spans="1:70">
      <c r="A258" s="2421"/>
      <c r="K258" s="2421"/>
      <c r="U258" s="2421"/>
      <c r="AG258" s="2421"/>
      <c r="AU258" s="2421"/>
      <c r="BG258" s="2421"/>
      <c r="BH258" s="2421"/>
      <c r="BJ258" s="2421"/>
      <c r="BL258" s="2420"/>
      <c r="BR258" s="2421"/>
    </row>
    <row r="259" spans="1:70">
      <c r="A259" s="2421"/>
      <c r="K259" s="2421"/>
      <c r="U259" s="2421"/>
      <c r="AG259" s="2421"/>
      <c r="AU259" s="2421"/>
      <c r="BG259" s="2421"/>
      <c r="BH259" s="2421"/>
      <c r="BJ259" s="2421"/>
      <c r="BL259" s="2420"/>
      <c r="BR259" s="2421"/>
    </row>
    <row r="260" spans="1:70">
      <c r="A260" s="2421"/>
      <c r="K260" s="2421"/>
      <c r="U260" s="2421"/>
      <c r="AG260" s="2421"/>
      <c r="AU260" s="2421"/>
      <c r="BG260" s="2421"/>
      <c r="BH260" s="2421"/>
      <c r="BJ260" s="2421"/>
      <c r="BL260" s="2420"/>
      <c r="BR260" s="2421"/>
    </row>
    <row r="261" spans="1:70">
      <c r="A261" s="2421"/>
      <c r="K261" s="2421"/>
      <c r="U261" s="2421"/>
      <c r="AG261" s="2421"/>
      <c r="AU261" s="2421"/>
      <c r="BG261" s="2421"/>
      <c r="BH261" s="2421"/>
      <c r="BJ261" s="2421"/>
      <c r="BL261" s="2420"/>
      <c r="BR261" s="2421"/>
    </row>
    <row r="262" spans="1:70">
      <c r="A262" s="2421"/>
      <c r="K262" s="2421"/>
      <c r="U262" s="2421"/>
      <c r="AG262" s="2421"/>
      <c r="AU262" s="2421"/>
      <c r="BG262" s="2421"/>
      <c r="BH262" s="2421"/>
      <c r="BJ262" s="2421"/>
      <c r="BL262" s="2420"/>
      <c r="BR262" s="2421"/>
    </row>
    <row r="263" spans="1:70">
      <c r="A263" s="2421"/>
      <c r="K263" s="2421"/>
      <c r="U263" s="2421"/>
      <c r="AG263" s="2421"/>
      <c r="AU263" s="2421"/>
      <c r="BG263" s="2421"/>
      <c r="BH263" s="2421"/>
      <c r="BJ263" s="2421"/>
      <c r="BL263" s="2420"/>
      <c r="BR263" s="2421"/>
    </row>
    <row r="264" spans="1:70">
      <c r="A264" s="2421"/>
      <c r="K264" s="2421"/>
      <c r="U264" s="2421"/>
      <c r="AG264" s="2421"/>
      <c r="AU264" s="2421"/>
      <c r="BG264" s="2421"/>
      <c r="BH264" s="2421"/>
      <c r="BJ264" s="2421"/>
      <c r="BL264" s="2420"/>
      <c r="BR264" s="2421"/>
    </row>
    <row r="265" spans="1:70">
      <c r="A265" s="2421"/>
      <c r="K265" s="2421"/>
      <c r="U265" s="2421"/>
      <c r="AG265" s="2421"/>
      <c r="AU265" s="2421"/>
      <c r="BG265" s="2421"/>
      <c r="BH265" s="2421"/>
      <c r="BJ265" s="2421"/>
      <c r="BL265" s="2420"/>
      <c r="BR265" s="2421"/>
    </row>
    <row r="266" spans="1:70">
      <c r="A266" s="2421"/>
      <c r="K266" s="2421"/>
      <c r="U266" s="2421"/>
      <c r="AG266" s="2421"/>
      <c r="AU266" s="2421"/>
      <c r="BG266" s="2421"/>
      <c r="BH266" s="2421"/>
      <c r="BJ266" s="2421"/>
      <c r="BL266" s="2420"/>
      <c r="BR266" s="2421"/>
    </row>
    <row r="267" spans="1:70">
      <c r="A267" s="2421"/>
      <c r="K267" s="2421"/>
      <c r="U267" s="2421"/>
      <c r="AG267" s="2421"/>
      <c r="AU267" s="2421"/>
      <c r="BG267" s="2421"/>
      <c r="BH267" s="2421"/>
      <c r="BJ267" s="2421"/>
      <c r="BL267" s="2420"/>
      <c r="BR267" s="2421"/>
    </row>
    <row r="268" spans="1:70">
      <c r="A268" s="2421"/>
      <c r="K268" s="2421"/>
      <c r="U268" s="2421"/>
      <c r="AG268" s="2421"/>
      <c r="AU268" s="2421"/>
      <c r="BG268" s="2421"/>
      <c r="BH268" s="2421"/>
      <c r="BJ268" s="2421"/>
      <c r="BL268" s="2420"/>
      <c r="BR268" s="2421"/>
    </row>
    <row r="269" spans="1:70">
      <c r="A269" s="2421"/>
      <c r="K269" s="2421"/>
      <c r="U269" s="2421"/>
      <c r="AG269" s="2421"/>
      <c r="AU269" s="2421"/>
      <c r="BG269" s="2421"/>
      <c r="BH269" s="2421"/>
      <c r="BJ269" s="2421"/>
      <c r="BL269" s="2420"/>
      <c r="BR269" s="2421"/>
    </row>
    <row r="270" spans="1:70">
      <c r="A270" s="2421"/>
      <c r="K270" s="2421"/>
      <c r="U270" s="2421"/>
      <c r="AG270" s="2421"/>
      <c r="AU270" s="2421"/>
      <c r="BG270" s="2421"/>
      <c r="BH270" s="2421"/>
      <c r="BJ270" s="2421"/>
      <c r="BL270" s="2420"/>
      <c r="BR270" s="2421"/>
    </row>
    <row r="271" spans="1:70">
      <c r="A271" s="2421"/>
      <c r="K271" s="2421"/>
      <c r="U271" s="2421"/>
      <c r="AG271" s="2421"/>
      <c r="AU271" s="2421"/>
      <c r="BG271" s="2421"/>
      <c r="BH271" s="2421"/>
      <c r="BJ271" s="2421"/>
      <c r="BL271" s="2420"/>
      <c r="BR271" s="2421"/>
    </row>
    <row r="272" spans="1:70">
      <c r="A272" s="2421"/>
      <c r="K272" s="2421"/>
      <c r="U272" s="2421"/>
      <c r="AG272" s="2421"/>
      <c r="AU272" s="2421"/>
      <c r="BG272" s="2421"/>
      <c r="BH272" s="2421"/>
      <c r="BJ272" s="2421"/>
      <c r="BL272" s="2420"/>
      <c r="BR272" s="2421"/>
    </row>
    <row r="273" spans="1:70">
      <c r="A273" s="2421"/>
      <c r="K273" s="2421"/>
      <c r="U273" s="2421"/>
      <c r="AG273" s="2421"/>
      <c r="AU273" s="2421"/>
      <c r="BG273" s="2421"/>
      <c r="BH273" s="2421"/>
      <c r="BJ273" s="2421"/>
      <c r="BL273" s="2420"/>
      <c r="BR273" s="2421"/>
    </row>
    <row r="274" spans="1:70">
      <c r="A274" s="2421"/>
      <c r="K274" s="2421"/>
      <c r="U274" s="2421"/>
      <c r="AG274" s="2421"/>
      <c r="AU274" s="2421"/>
      <c r="BG274" s="2421"/>
      <c r="BH274" s="2421"/>
      <c r="BJ274" s="2421"/>
      <c r="BL274" s="2420"/>
      <c r="BR274" s="2421"/>
    </row>
    <row r="275" spans="1:70">
      <c r="A275" s="2421"/>
      <c r="K275" s="2421"/>
      <c r="U275" s="2421"/>
      <c r="AG275" s="2421"/>
      <c r="AU275" s="2421"/>
      <c r="BG275" s="2421"/>
      <c r="BH275" s="2421"/>
      <c r="BJ275" s="2421"/>
      <c r="BL275" s="2420"/>
      <c r="BR275" s="2421"/>
    </row>
    <row r="276" spans="1:70">
      <c r="A276" s="2421"/>
      <c r="K276" s="2421"/>
      <c r="U276" s="2421"/>
      <c r="AG276" s="2421"/>
      <c r="AU276" s="2421"/>
      <c r="BG276" s="2421"/>
      <c r="BH276" s="2421"/>
      <c r="BJ276" s="2421"/>
      <c r="BL276" s="2420"/>
      <c r="BR276" s="2421"/>
    </row>
    <row r="277" spans="1:70">
      <c r="A277" s="2421"/>
      <c r="K277" s="2421"/>
      <c r="U277" s="2421"/>
      <c r="AG277" s="2421"/>
      <c r="AU277" s="2421"/>
      <c r="BG277" s="2421"/>
      <c r="BH277" s="2421"/>
      <c r="BJ277" s="2421"/>
      <c r="BL277" s="2420"/>
      <c r="BR277" s="2421"/>
    </row>
    <row r="278" spans="1:70">
      <c r="A278" s="2421"/>
      <c r="K278" s="2421"/>
      <c r="U278" s="2421"/>
      <c r="AG278" s="2421"/>
      <c r="AU278" s="2421"/>
      <c r="BG278" s="2421"/>
      <c r="BH278" s="2421"/>
      <c r="BJ278" s="2421"/>
      <c r="BL278" s="2420"/>
      <c r="BR278" s="2421"/>
    </row>
    <row r="279" spans="1:70">
      <c r="A279" s="2421"/>
      <c r="K279" s="2421"/>
      <c r="U279" s="2421"/>
      <c r="AG279" s="2421"/>
      <c r="AU279" s="2421"/>
      <c r="BG279" s="2421"/>
      <c r="BH279" s="2421"/>
      <c r="BJ279" s="2421"/>
      <c r="BL279" s="2420"/>
      <c r="BR279" s="2421"/>
    </row>
    <row r="280" spans="1:70">
      <c r="A280" s="2421"/>
      <c r="K280" s="2421"/>
      <c r="U280" s="2421"/>
      <c r="AG280" s="2421"/>
      <c r="AU280" s="2421"/>
      <c r="BG280" s="2421"/>
      <c r="BH280" s="2421"/>
      <c r="BJ280" s="2421"/>
      <c r="BL280" s="2420"/>
      <c r="BR280" s="2421"/>
    </row>
    <row r="281" spans="1:70">
      <c r="A281" s="2421"/>
      <c r="K281" s="2421"/>
      <c r="U281" s="2421"/>
      <c r="AG281" s="2421"/>
      <c r="AU281" s="2421"/>
      <c r="BG281" s="2421"/>
      <c r="BH281" s="2421"/>
      <c r="BJ281" s="2421"/>
      <c r="BL281" s="2420"/>
      <c r="BR281" s="2421"/>
    </row>
    <row r="282" spans="1:70">
      <c r="A282" s="2421"/>
      <c r="K282" s="2421"/>
      <c r="U282" s="2421"/>
      <c r="AG282" s="2421"/>
      <c r="AU282" s="2421"/>
      <c r="BG282" s="2421"/>
      <c r="BH282" s="2421"/>
      <c r="BJ282" s="2421"/>
      <c r="BL282" s="2420"/>
      <c r="BR282" s="2421"/>
    </row>
    <row r="283" spans="1:70">
      <c r="A283" s="2421"/>
      <c r="K283" s="2421"/>
      <c r="U283" s="2421"/>
      <c r="AG283" s="2421"/>
      <c r="AU283" s="2421"/>
      <c r="BG283" s="2421"/>
      <c r="BH283" s="2421"/>
      <c r="BJ283" s="2421"/>
      <c r="BL283" s="2420"/>
      <c r="BR283" s="2421"/>
    </row>
    <row r="284" spans="1:70">
      <c r="A284" s="2421"/>
      <c r="K284" s="2421"/>
      <c r="U284" s="2421"/>
      <c r="AG284" s="2421"/>
      <c r="AU284" s="2421"/>
      <c r="BG284" s="2421"/>
      <c r="BH284" s="2421"/>
      <c r="BJ284" s="2421"/>
      <c r="BL284" s="2420"/>
      <c r="BR284" s="2421"/>
    </row>
    <row r="285" spans="1:70">
      <c r="A285" s="2421"/>
      <c r="K285" s="2421"/>
      <c r="U285" s="2421"/>
      <c r="AG285" s="2421"/>
      <c r="AU285" s="2421"/>
      <c r="BG285" s="2421"/>
      <c r="BH285" s="2421"/>
      <c r="BJ285" s="2421"/>
      <c r="BL285" s="2420"/>
      <c r="BR285" s="2421"/>
    </row>
    <row r="286" spans="1:70">
      <c r="A286" s="2421"/>
      <c r="K286" s="2421"/>
      <c r="U286" s="2421"/>
      <c r="AG286" s="2421"/>
      <c r="AU286" s="2421"/>
      <c r="BG286" s="2421"/>
      <c r="BH286" s="2421"/>
      <c r="BJ286" s="2421"/>
      <c r="BL286" s="2420"/>
      <c r="BR286" s="2421"/>
    </row>
    <row r="287" spans="1:70">
      <c r="A287" s="2421"/>
      <c r="K287" s="2421"/>
      <c r="U287" s="2421"/>
      <c r="AG287" s="2421"/>
      <c r="AU287" s="2421"/>
      <c r="BG287" s="2421"/>
      <c r="BH287" s="2421"/>
      <c r="BJ287" s="2421"/>
      <c r="BL287" s="2420"/>
      <c r="BR287" s="2421"/>
    </row>
    <row r="288" spans="1:70">
      <c r="A288" s="2421"/>
      <c r="K288" s="2421"/>
      <c r="U288" s="2421"/>
      <c r="AG288" s="2421"/>
      <c r="AU288" s="2421"/>
      <c r="BG288" s="2421"/>
      <c r="BH288" s="2421"/>
      <c r="BJ288" s="2421"/>
      <c r="BL288" s="2420"/>
      <c r="BR288" s="2421"/>
    </row>
    <row r="289" spans="1:70">
      <c r="A289" s="2421"/>
      <c r="K289" s="2421"/>
      <c r="U289" s="2421"/>
      <c r="AG289" s="2421"/>
      <c r="AU289" s="2421"/>
      <c r="BG289" s="2421"/>
      <c r="BH289" s="2421"/>
      <c r="BJ289" s="2421"/>
      <c r="BL289" s="2420"/>
      <c r="BR289" s="2421"/>
    </row>
    <row r="290" spans="1:70">
      <c r="A290" s="2421"/>
      <c r="K290" s="2421"/>
      <c r="U290" s="2421"/>
      <c r="AG290" s="2421"/>
      <c r="AU290" s="2421"/>
      <c r="BG290" s="2421"/>
      <c r="BH290" s="2421"/>
      <c r="BJ290" s="2421"/>
      <c r="BL290" s="2420"/>
      <c r="BR290" s="2421"/>
    </row>
    <row r="291" spans="1:70">
      <c r="A291" s="2421"/>
      <c r="K291" s="2421"/>
      <c r="U291" s="2421"/>
      <c r="AG291" s="2421"/>
      <c r="AU291" s="2421"/>
      <c r="BG291" s="2421"/>
      <c r="BH291" s="2421"/>
      <c r="BJ291" s="2421"/>
      <c r="BL291" s="2420"/>
      <c r="BR291" s="2421"/>
    </row>
    <row r="292" spans="1:70">
      <c r="A292" s="2421"/>
      <c r="K292" s="2421"/>
      <c r="U292" s="2421"/>
      <c r="AG292" s="2421"/>
      <c r="AU292" s="2421"/>
      <c r="BG292" s="2421"/>
      <c r="BH292" s="2421"/>
      <c r="BJ292" s="2421"/>
      <c r="BL292" s="2420"/>
      <c r="BR292" s="2421"/>
    </row>
    <row r="293" spans="1:70">
      <c r="A293" s="2421"/>
      <c r="K293" s="2421"/>
      <c r="U293" s="2421"/>
      <c r="AG293" s="2421"/>
      <c r="AU293" s="2421"/>
      <c r="BG293" s="2421"/>
      <c r="BH293" s="2421"/>
      <c r="BJ293" s="2421"/>
      <c r="BL293" s="2420"/>
      <c r="BR293" s="2421"/>
    </row>
    <row r="294" spans="1:70">
      <c r="A294" s="2421"/>
      <c r="K294" s="2421"/>
      <c r="U294" s="2421"/>
      <c r="AG294" s="2421"/>
      <c r="AU294" s="2421"/>
      <c r="BG294" s="2421"/>
      <c r="BH294" s="2421"/>
      <c r="BJ294" s="2421"/>
      <c r="BL294" s="2420"/>
      <c r="BR294" s="2421"/>
    </row>
    <row r="295" spans="1:70">
      <c r="A295" s="2421"/>
      <c r="K295" s="2421"/>
      <c r="U295" s="2421"/>
      <c r="AG295" s="2421"/>
      <c r="AU295" s="2421"/>
      <c r="BG295" s="2421"/>
      <c r="BH295" s="2421"/>
      <c r="BJ295" s="2421"/>
      <c r="BL295" s="2420"/>
      <c r="BR295" s="2421"/>
    </row>
    <row r="296" spans="1:70">
      <c r="A296" s="2421"/>
      <c r="K296" s="2421"/>
      <c r="U296" s="2421"/>
      <c r="AG296" s="2421"/>
      <c r="AU296" s="2421"/>
      <c r="BG296" s="2421"/>
      <c r="BH296" s="2421"/>
      <c r="BJ296" s="2421"/>
      <c r="BL296" s="2420"/>
      <c r="BR296" s="2421"/>
    </row>
    <row r="297" spans="1:70">
      <c r="A297" s="2421"/>
      <c r="K297" s="2421"/>
      <c r="U297" s="2421"/>
      <c r="AG297" s="2421"/>
      <c r="AU297" s="2421"/>
      <c r="BG297" s="2421"/>
      <c r="BH297" s="2421"/>
      <c r="BJ297" s="2421"/>
      <c r="BL297" s="2420"/>
      <c r="BR297" s="2421"/>
    </row>
    <row r="298" spans="1:70">
      <c r="A298" s="2421"/>
      <c r="K298" s="2421"/>
      <c r="U298" s="2421"/>
      <c r="AG298" s="2421"/>
      <c r="AU298" s="2421"/>
      <c r="BG298" s="2421"/>
      <c r="BH298" s="2421"/>
      <c r="BJ298" s="2421"/>
      <c r="BL298" s="2420"/>
      <c r="BR298" s="2421"/>
    </row>
    <row r="299" spans="1:70">
      <c r="A299" s="2421"/>
      <c r="K299" s="2421"/>
      <c r="U299" s="2421"/>
      <c r="AG299" s="2421"/>
      <c r="AU299" s="2421"/>
      <c r="BG299" s="2421"/>
      <c r="BH299" s="2421"/>
      <c r="BJ299" s="2421"/>
      <c r="BL299" s="2420"/>
      <c r="BR299" s="2421"/>
    </row>
    <row r="300" spans="1:70">
      <c r="A300" s="2421"/>
      <c r="K300" s="2421"/>
      <c r="U300" s="2421"/>
      <c r="AG300" s="2421"/>
      <c r="AU300" s="2421"/>
      <c r="BG300" s="2421"/>
      <c r="BH300" s="2421"/>
      <c r="BJ300" s="2421"/>
      <c r="BL300" s="2420"/>
      <c r="BR300" s="2421"/>
    </row>
    <row r="301" spans="1:70">
      <c r="A301" s="2421"/>
      <c r="K301" s="2421"/>
      <c r="U301" s="2421"/>
      <c r="AG301" s="2421"/>
      <c r="AU301" s="2421"/>
      <c r="BG301" s="2421"/>
      <c r="BH301" s="2421"/>
      <c r="BJ301" s="2421"/>
      <c r="BL301" s="2420"/>
      <c r="BR301" s="2421"/>
    </row>
    <row r="302" spans="1:70">
      <c r="A302" s="2421"/>
      <c r="K302" s="2421"/>
      <c r="U302" s="2421"/>
      <c r="AG302" s="2421"/>
      <c r="AU302" s="2421"/>
      <c r="BG302" s="2421"/>
      <c r="BH302" s="2421"/>
      <c r="BJ302" s="2421"/>
      <c r="BL302" s="2420"/>
      <c r="BR302" s="2421"/>
    </row>
    <row r="303" spans="1:70">
      <c r="A303" s="2421"/>
      <c r="K303" s="2421"/>
      <c r="U303" s="2421"/>
      <c r="AG303" s="2421"/>
      <c r="AU303" s="2421"/>
      <c r="BG303" s="2421"/>
      <c r="BH303" s="2421"/>
      <c r="BJ303" s="2421"/>
      <c r="BL303" s="2420"/>
      <c r="BR303" s="2421"/>
    </row>
    <row r="304" spans="1:70">
      <c r="A304" s="2421"/>
      <c r="K304" s="2421"/>
      <c r="U304" s="2421"/>
      <c r="AG304" s="2421"/>
      <c r="AU304" s="2421"/>
      <c r="BG304" s="2421"/>
      <c r="BH304" s="2421"/>
      <c r="BJ304" s="2421"/>
      <c r="BL304" s="2420"/>
      <c r="BR304" s="2421"/>
    </row>
    <row r="305" spans="1:70">
      <c r="A305" s="2421"/>
      <c r="K305" s="2421"/>
      <c r="U305" s="2421"/>
      <c r="AG305" s="2421"/>
      <c r="AU305" s="2421"/>
      <c r="BG305" s="2421"/>
      <c r="BH305" s="2421"/>
      <c r="BJ305" s="2421"/>
      <c r="BL305" s="2420"/>
      <c r="BR305" s="2421"/>
    </row>
    <row r="306" spans="1:70">
      <c r="A306" s="2421"/>
      <c r="K306" s="2421"/>
      <c r="U306" s="2421"/>
      <c r="AG306" s="2421"/>
      <c r="AU306" s="2421"/>
      <c r="BG306" s="2421"/>
      <c r="BH306" s="2421"/>
      <c r="BJ306" s="2421"/>
      <c r="BL306" s="2420"/>
      <c r="BR306" s="2421"/>
    </row>
    <row r="307" spans="1:70">
      <c r="A307" s="2421"/>
      <c r="K307" s="2421"/>
      <c r="U307" s="2421"/>
      <c r="AG307" s="2421"/>
      <c r="AU307" s="2421"/>
      <c r="BG307" s="2421"/>
      <c r="BH307" s="2421"/>
      <c r="BJ307" s="2421"/>
      <c r="BL307" s="2420"/>
      <c r="BR307" s="2421"/>
    </row>
    <row r="308" spans="1:70">
      <c r="A308" s="2421"/>
      <c r="K308" s="2421"/>
      <c r="U308" s="2421"/>
      <c r="AG308" s="2421"/>
      <c r="AU308" s="2421"/>
      <c r="BG308" s="2421"/>
      <c r="BH308" s="2421"/>
      <c r="BJ308" s="2421"/>
      <c r="BL308" s="2420"/>
      <c r="BR308" s="2421"/>
    </row>
    <row r="309" spans="1:70">
      <c r="A309" s="2421"/>
      <c r="K309" s="2421"/>
      <c r="U309" s="2421"/>
      <c r="AG309" s="2421"/>
      <c r="AU309" s="2421"/>
      <c r="BG309" s="2421"/>
      <c r="BH309" s="2421"/>
      <c r="BJ309" s="2421"/>
      <c r="BL309" s="2420"/>
      <c r="BR309" s="2421"/>
    </row>
    <row r="310" spans="1:70">
      <c r="A310" s="2421"/>
      <c r="K310" s="2421"/>
      <c r="U310" s="2421"/>
      <c r="AG310" s="2421"/>
      <c r="AU310" s="2421"/>
      <c r="BG310" s="2421"/>
      <c r="BH310" s="2421"/>
      <c r="BJ310" s="2421"/>
      <c r="BL310" s="2420"/>
      <c r="BR310" s="2421"/>
    </row>
    <row r="311" spans="1:70">
      <c r="A311" s="2421"/>
      <c r="K311" s="2421"/>
      <c r="U311" s="2421"/>
      <c r="AG311" s="2421"/>
      <c r="AU311" s="2421"/>
      <c r="BG311" s="2421"/>
      <c r="BH311" s="2421"/>
      <c r="BJ311" s="2421"/>
      <c r="BL311" s="2420"/>
      <c r="BR311" s="2421"/>
    </row>
    <row r="312" spans="1:70">
      <c r="A312" s="2421"/>
      <c r="K312" s="2421"/>
      <c r="U312" s="2421"/>
      <c r="AG312" s="2421"/>
      <c r="AU312" s="2421"/>
      <c r="BG312" s="2421"/>
      <c r="BH312" s="2421"/>
      <c r="BJ312" s="2421"/>
      <c r="BL312" s="2420"/>
      <c r="BR312" s="2421"/>
    </row>
    <row r="313" spans="1:70">
      <c r="A313" s="2421"/>
      <c r="K313" s="2421"/>
      <c r="U313" s="2421"/>
      <c r="AG313" s="2421"/>
      <c r="AU313" s="2421"/>
      <c r="BG313" s="2421"/>
      <c r="BH313" s="2421"/>
      <c r="BJ313" s="2421"/>
      <c r="BL313" s="2420"/>
      <c r="BR313" s="2421"/>
    </row>
    <row r="314" spans="1:70">
      <c r="A314" s="2421"/>
      <c r="K314" s="2421"/>
      <c r="U314" s="2421"/>
      <c r="AG314" s="2421"/>
      <c r="AU314" s="2421"/>
      <c r="BG314" s="2421"/>
      <c r="BH314" s="2421"/>
      <c r="BJ314" s="2421"/>
      <c r="BL314" s="2420"/>
      <c r="BR314" s="2421"/>
    </row>
    <row r="315" spans="1:70">
      <c r="A315" s="2421"/>
      <c r="K315" s="2421"/>
      <c r="U315" s="2421"/>
      <c r="AG315" s="2421"/>
      <c r="AU315" s="2421"/>
      <c r="BG315" s="2421"/>
      <c r="BH315" s="2421"/>
      <c r="BJ315" s="2421"/>
      <c r="BL315" s="2420"/>
      <c r="BR315" s="2421"/>
    </row>
    <row r="316" spans="1:70">
      <c r="A316" s="2421"/>
      <c r="K316" s="2421"/>
      <c r="U316" s="2421"/>
      <c r="AG316" s="2421"/>
      <c r="AU316" s="2421"/>
      <c r="BG316" s="2421"/>
      <c r="BH316" s="2421"/>
      <c r="BJ316" s="2421"/>
      <c r="BL316" s="2420"/>
      <c r="BR316" s="2421"/>
    </row>
    <row r="317" spans="1:70">
      <c r="A317" s="2421"/>
      <c r="K317" s="2421"/>
      <c r="U317" s="2421"/>
      <c r="AG317" s="2421"/>
      <c r="AU317" s="2421"/>
      <c r="BG317" s="2421"/>
      <c r="BH317" s="2421"/>
      <c r="BJ317" s="2421"/>
      <c r="BL317" s="2420"/>
      <c r="BR317" s="2421"/>
    </row>
    <row r="318" spans="1:70">
      <c r="A318" s="2421"/>
      <c r="K318" s="2421"/>
      <c r="U318" s="2421"/>
      <c r="AG318" s="2421"/>
      <c r="AU318" s="2421"/>
      <c r="BG318" s="2421"/>
      <c r="BH318" s="2421"/>
      <c r="BJ318" s="2421"/>
      <c r="BL318" s="2420"/>
      <c r="BR318" s="2421"/>
    </row>
    <row r="319" spans="1:70">
      <c r="A319" s="2421"/>
      <c r="K319" s="2421"/>
      <c r="U319" s="2421"/>
      <c r="AG319" s="2421"/>
      <c r="AU319" s="2421"/>
      <c r="BG319" s="2421"/>
      <c r="BH319" s="2421"/>
      <c r="BJ319" s="2421"/>
      <c r="BL319" s="2420"/>
      <c r="BR319" s="2421"/>
    </row>
    <row r="320" spans="1:70">
      <c r="A320" s="2421"/>
      <c r="K320" s="2421"/>
      <c r="U320" s="2421"/>
      <c r="AG320" s="2421"/>
      <c r="AU320" s="2421"/>
      <c r="BG320" s="2421"/>
      <c r="BH320" s="2421"/>
      <c r="BJ320" s="2421"/>
      <c r="BL320" s="2420"/>
      <c r="BR320" s="2421"/>
    </row>
    <row r="321" spans="1:70">
      <c r="A321" s="2421"/>
      <c r="K321" s="2421"/>
      <c r="U321" s="2421"/>
      <c r="AG321" s="2421"/>
      <c r="AU321" s="2421"/>
      <c r="BG321" s="2421"/>
      <c r="BH321" s="2421"/>
      <c r="BJ321" s="2421"/>
      <c r="BL321" s="2420"/>
      <c r="BR321" s="2421"/>
    </row>
    <row r="322" spans="1:70">
      <c r="A322" s="2421"/>
      <c r="K322" s="2421"/>
      <c r="U322" s="2421"/>
      <c r="AG322" s="2421"/>
      <c r="AU322" s="2421"/>
      <c r="BG322" s="2421"/>
      <c r="BH322" s="2421"/>
      <c r="BJ322" s="2421"/>
      <c r="BL322" s="2420"/>
      <c r="BR322" s="2421"/>
    </row>
    <row r="323" spans="1:70">
      <c r="A323" s="2421"/>
      <c r="K323" s="2421"/>
      <c r="U323" s="2421"/>
      <c r="AG323" s="2421"/>
      <c r="AU323" s="2421"/>
      <c r="BG323" s="2421"/>
      <c r="BH323" s="2421"/>
      <c r="BJ323" s="2421"/>
      <c r="BL323" s="2420"/>
      <c r="BR323" s="2421"/>
    </row>
    <row r="324" spans="1:70">
      <c r="A324" s="2421"/>
      <c r="K324" s="2421"/>
      <c r="U324" s="2421"/>
      <c r="AG324" s="2421"/>
      <c r="AU324" s="2421"/>
      <c r="BG324" s="2421"/>
      <c r="BH324" s="2421"/>
      <c r="BJ324" s="2421"/>
      <c r="BL324" s="2420"/>
      <c r="BR324" s="2421"/>
    </row>
    <row r="325" spans="1:70">
      <c r="A325" s="2421"/>
      <c r="K325" s="2421"/>
      <c r="U325" s="2421"/>
      <c r="AG325" s="2421"/>
      <c r="AU325" s="2421"/>
      <c r="BG325" s="2421"/>
      <c r="BH325" s="2421"/>
      <c r="BJ325" s="2421"/>
      <c r="BL325" s="2420"/>
      <c r="BR325" s="2421"/>
    </row>
    <row r="326" spans="1:70">
      <c r="A326" s="2421"/>
      <c r="K326" s="2421"/>
      <c r="U326" s="2421"/>
      <c r="AG326" s="2421"/>
      <c r="AU326" s="2421"/>
      <c r="BG326" s="2421"/>
      <c r="BH326" s="2421"/>
      <c r="BJ326" s="2421"/>
      <c r="BL326" s="2420"/>
      <c r="BR326" s="2421"/>
    </row>
    <row r="327" spans="1:70">
      <c r="A327" s="2421"/>
      <c r="K327" s="2421"/>
      <c r="U327" s="2421"/>
      <c r="AG327" s="2421"/>
      <c r="AU327" s="2421"/>
      <c r="BG327" s="2421"/>
      <c r="BH327" s="2421"/>
      <c r="BJ327" s="2421"/>
      <c r="BL327" s="2420"/>
      <c r="BR327" s="2421"/>
    </row>
    <row r="328" spans="1:70">
      <c r="A328" s="2421"/>
      <c r="K328" s="2421"/>
      <c r="U328" s="2421"/>
      <c r="AG328" s="2421"/>
      <c r="AU328" s="2421"/>
      <c r="BG328" s="2421"/>
      <c r="BH328" s="2421"/>
      <c r="BJ328" s="2421"/>
      <c r="BL328" s="2420"/>
      <c r="BR328" s="2421"/>
    </row>
    <row r="329" spans="1:70">
      <c r="A329" s="2421"/>
      <c r="K329" s="2421"/>
      <c r="U329" s="2421"/>
      <c r="AG329" s="2421"/>
      <c r="AU329" s="2421"/>
      <c r="BG329" s="2421"/>
      <c r="BH329" s="2421"/>
      <c r="BJ329" s="2421"/>
      <c r="BL329" s="2420"/>
      <c r="BR329" s="2421"/>
    </row>
    <row r="330" spans="1:70">
      <c r="A330" s="2421"/>
      <c r="K330" s="2421"/>
      <c r="U330" s="2421"/>
      <c r="AG330" s="2421"/>
      <c r="AU330" s="2421"/>
      <c r="BG330" s="2421"/>
      <c r="BH330" s="2421"/>
      <c r="BJ330" s="2421"/>
      <c r="BL330" s="2420"/>
      <c r="BR330" s="2421"/>
    </row>
    <row r="331" spans="1:70">
      <c r="A331" s="2421"/>
      <c r="K331" s="2421"/>
      <c r="U331" s="2421"/>
      <c r="AG331" s="2421"/>
      <c r="AU331" s="2421"/>
      <c r="BG331" s="2421"/>
      <c r="BH331" s="2421"/>
      <c r="BJ331" s="2421"/>
      <c r="BL331" s="2420"/>
      <c r="BR331" s="2421"/>
    </row>
    <row r="332" spans="1:70">
      <c r="A332" s="2421"/>
      <c r="K332" s="2421"/>
      <c r="U332" s="2421"/>
      <c r="AG332" s="2421"/>
      <c r="AU332" s="2421"/>
      <c r="BG332" s="2421"/>
      <c r="BH332" s="2421"/>
      <c r="BJ332" s="2421"/>
      <c r="BL332" s="2420"/>
      <c r="BR332" s="2421"/>
    </row>
    <row r="333" spans="1:70">
      <c r="A333" s="2421"/>
      <c r="K333" s="2421"/>
      <c r="U333" s="2421"/>
      <c r="AG333" s="2421"/>
      <c r="AU333" s="2421"/>
      <c r="BG333" s="2421"/>
      <c r="BH333" s="2421"/>
      <c r="BJ333" s="2421"/>
      <c r="BL333" s="2420"/>
      <c r="BR333" s="2421"/>
    </row>
    <row r="334" spans="1:70">
      <c r="A334" s="2421"/>
      <c r="K334" s="2421"/>
      <c r="U334" s="2421"/>
      <c r="AG334" s="2421"/>
      <c r="AU334" s="2421"/>
      <c r="BG334" s="2421"/>
      <c r="BH334" s="2421"/>
      <c r="BJ334" s="2421"/>
      <c r="BL334" s="2420"/>
      <c r="BR334" s="2421"/>
    </row>
    <row r="335" spans="1:70">
      <c r="A335" s="2421"/>
      <c r="K335" s="2421"/>
      <c r="U335" s="2421"/>
      <c r="AG335" s="2421"/>
      <c r="AU335" s="2421"/>
      <c r="BG335" s="2421"/>
      <c r="BH335" s="2421"/>
      <c r="BJ335" s="2421"/>
      <c r="BL335" s="2420"/>
      <c r="BR335" s="2421"/>
    </row>
    <row r="336" spans="1:70">
      <c r="A336" s="2421"/>
      <c r="K336" s="2421"/>
      <c r="U336" s="2421"/>
      <c r="AG336" s="2421"/>
      <c r="AU336" s="2421"/>
      <c r="BG336" s="2421"/>
      <c r="BH336" s="2421"/>
      <c r="BJ336" s="2421"/>
      <c r="BL336" s="2420"/>
      <c r="BR336" s="2421"/>
    </row>
    <row r="337" spans="1:70">
      <c r="A337" s="2421"/>
      <c r="K337" s="2421"/>
      <c r="U337" s="2421"/>
      <c r="AG337" s="2421"/>
      <c r="AU337" s="2421"/>
      <c r="BG337" s="2421"/>
      <c r="BH337" s="2421"/>
      <c r="BJ337" s="2421"/>
      <c r="BL337" s="2420"/>
      <c r="BR337" s="2421"/>
    </row>
    <row r="338" spans="1:70">
      <c r="A338" s="2421"/>
      <c r="K338" s="2421"/>
      <c r="U338" s="2421"/>
      <c r="AG338" s="2421"/>
      <c r="AU338" s="2421"/>
      <c r="BG338" s="2421"/>
      <c r="BH338" s="2421"/>
      <c r="BJ338" s="2421"/>
      <c r="BL338" s="2420"/>
      <c r="BR338" s="2421"/>
    </row>
    <row r="339" spans="1:70">
      <c r="A339" s="2421"/>
      <c r="K339" s="2421"/>
      <c r="U339" s="2421"/>
      <c r="AG339" s="2421"/>
      <c r="AU339" s="2421"/>
      <c r="BG339" s="2421"/>
      <c r="BH339" s="2421"/>
      <c r="BJ339" s="2421"/>
      <c r="BL339" s="2420"/>
      <c r="BR339" s="2421"/>
    </row>
    <row r="340" spans="1:70">
      <c r="A340" s="2421"/>
      <c r="K340" s="2421"/>
      <c r="U340" s="2421"/>
      <c r="AG340" s="2421"/>
      <c r="AU340" s="2421"/>
      <c r="BG340" s="2421"/>
      <c r="BH340" s="2421"/>
      <c r="BJ340" s="2421"/>
      <c r="BL340" s="2420"/>
      <c r="BR340" s="2421"/>
    </row>
    <row r="341" spans="1:70">
      <c r="A341" s="2421"/>
      <c r="K341" s="2421"/>
      <c r="U341" s="2421"/>
      <c r="AG341" s="2421"/>
      <c r="AU341" s="2421"/>
      <c r="BG341" s="2421"/>
      <c r="BH341" s="2421"/>
      <c r="BJ341" s="2421"/>
      <c r="BL341" s="2420"/>
      <c r="BR341" s="2421"/>
    </row>
    <row r="342" spans="1:70">
      <c r="A342" s="2421"/>
      <c r="K342" s="2421"/>
      <c r="U342" s="2421"/>
      <c r="AG342" s="2421"/>
      <c r="AU342" s="2421"/>
      <c r="BG342" s="2421"/>
      <c r="BH342" s="2421"/>
      <c r="BJ342" s="2421"/>
      <c r="BL342" s="2420"/>
      <c r="BR342" s="2421"/>
    </row>
    <row r="343" spans="1:70">
      <c r="A343" s="2421"/>
      <c r="K343" s="2421"/>
      <c r="U343" s="2421"/>
      <c r="AG343" s="2421"/>
      <c r="AU343" s="2421"/>
      <c r="BG343" s="2421"/>
      <c r="BH343" s="2421"/>
      <c r="BJ343" s="2421"/>
      <c r="BL343" s="2420"/>
      <c r="BR343" s="2421"/>
    </row>
    <row r="344" spans="1:70">
      <c r="A344" s="2421"/>
      <c r="K344" s="2421"/>
      <c r="U344" s="2421"/>
      <c r="AG344" s="2421"/>
      <c r="AU344" s="2421"/>
      <c r="BG344" s="2421"/>
      <c r="BH344" s="2421"/>
      <c r="BJ344" s="2421"/>
      <c r="BL344" s="2420"/>
      <c r="BR344" s="2421"/>
    </row>
    <row r="345" spans="1:70">
      <c r="A345" s="2421"/>
      <c r="K345" s="2421"/>
      <c r="U345" s="2421"/>
      <c r="AG345" s="2421"/>
      <c r="AU345" s="2421"/>
      <c r="BG345" s="2421"/>
      <c r="BH345" s="2421"/>
      <c r="BJ345" s="2421"/>
      <c r="BL345" s="2420"/>
      <c r="BR345" s="2421"/>
    </row>
    <row r="346" spans="1:70">
      <c r="A346" s="2421"/>
      <c r="K346" s="2421"/>
      <c r="U346" s="2421"/>
      <c r="AG346" s="2421"/>
      <c r="AU346" s="2421"/>
      <c r="BG346" s="2421"/>
      <c r="BH346" s="2421"/>
      <c r="BJ346" s="2421"/>
      <c r="BL346" s="2420"/>
      <c r="BR346" s="2421"/>
    </row>
    <row r="347" spans="1:70">
      <c r="A347" s="2421"/>
      <c r="K347" s="2421"/>
      <c r="U347" s="2421"/>
      <c r="AG347" s="2421"/>
      <c r="AU347" s="2421"/>
      <c r="BG347" s="2421"/>
      <c r="BH347" s="2421"/>
      <c r="BJ347" s="2421"/>
      <c r="BL347" s="2420"/>
      <c r="BR347" s="2421"/>
    </row>
    <row r="348" spans="1:70">
      <c r="A348" s="2421"/>
      <c r="K348" s="2421"/>
      <c r="U348" s="2421"/>
      <c r="AG348" s="2421"/>
      <c r="AU348" s="2421"/>
      <c r="BG348" s="2421"/>
      <c r="BH348" s="2421"/>
      <c r="BJ348" s="2421"/>
      <c r="BL348" s="2420"/>
      <c r="BR348" s="2421"/>
    </row>
    <row r="349" spans="1:70">
      <c r="A349" s="2421"/>
      <c r="K349" s="2421"/>
      <c r="U349" s="2421"/>
      <c r="AG349" s="2421"/>
      <c r="AU349" s="2421"/>
      <c r="BG349" s="2421"/>
      <c r="BH349" s="2421"/>
      <c r="BJ349" s="2421"/>
      <c r="BL349" s="2420"/>
      <c r="BR349" s="2421"/>
    </row>
    <row r="350" spans="1:70">
      <c r="A350" s="2421"/>
      <c r="K350" s="2421"/>
      <c r="U350" s="2421"/>
      <c r="AG350" s="2421"/>
      <c r="AU350" s="2421"/>
      <c r="BG350" s="2421"/>
      <c r="BH350" s="2421"/>
      <c r="BJ350" s="2421"/>
      <c r="BL350" s="2420"/>
      <c r="BR350" s="2421"/>
    </row>
    <row r="351" spans="1:70">
      <c r="A351" s="2421"/>
      <c r="K351" s="2421"/>
      <c r="U351" s="2421"/>
      <c r="AG351" s="2421"/>
      <c r="AU351" s="2421"/>
      <c r="BG351" s="2421"/>
      <c r="BH351" s="2421"/>
      <c r="BJ351" s="2421"/>
      <c r="BL351" s="2420"/>
      <c r="BR351" s="2421"/>
    </row>
    <row r="352" spans="1:70">
      <c r="A352" s="2421"/>
      <c r="K352" s="2421"/>
      <c r="U352" s="2421"/>
      <c r="AG352" s="2421"/>
      <c r="AU352" s="2421"/>
      <c r="BG352" s="2421"/>
      <c r="BH352" s="2421"/>
      <c r="BJ352" s="2421"/>
      <c r="BL352" s="2420"/>
      <c r="BR352" s="2421"/>
    </row>
    <row r="353" spans="1:70">
      <c r="A353" s="2421"/>
      <c r="K353" s="2421"/>
      <c r="U353" s="2421"/>
      <c r="AG353" s="2421"/>
      <c r="AU353" s="2421"/>
      <c r="BG353" s="2421"/>
      <c r="BH353" s="2421"/>
      <c r="BJ353" s="2421"/>
      <c r="BL353" s="2420"/>
      <c r="BR353" s="2421"/>
    </row>
    <row r="354" spans="1:70">
      <c r="A354" s="2421"/>
      <c r="K354" s="2421"/>
      <c r="U354" s="2421"/>
      <c r="AG354" s="2421"/>
      <c r="AU354" s="2421"/>
      <c r="BG354" s="2421"/>
      <c r="BH354" s="2421"/>
      <c r="BJ354" s="2421"/>
      <c r="BL354" s="2420"/>
      <c r="BR354" s="2421"/>
    </row>
    <row r="355" spans="1:70">
      <c r="A355" s="2421"/>
      <c r="K355" s="2421"/>
      <c r="U355" s="2421"/>
      <c r="AG355" s="2421"/>
      <c r="AU355" s="2421"/>
      <c r="BG355" s="2421"/>
      <c r="BH355" s="2421"/>
      <c r="BJ355" s="2421"/>
      <c r="BL355" s="2420"/>
      <c r="BR355" s="2421"/>
    </row>
    <row r="356" spans="1:70">
      <c r="A356" s="2421"/>
      <c r="K356" s="2421"/>
      <c r="U356" s="2421"/>
      <c r="AG356" s="2421"/>
      <c r="AU356" s="2421"/>
      <c r="BG356" s="2421"/>
      <c r="BH356" s="2421"/>
      <c r="BJ356" s="2421"/>
      <c r="BL356" s="2420"/>
      <c r="BR356" s="2421"/>
    </row>
    <row r="357" spans="1:70">
      <c r="A357" s="2421"/>
      <c r="K357" s="2421"/>
      <c r="U357" s="2421"/>
      <c r="AG357" s="2421"/>
      <c r="AU357" s="2421"/>
      <c r="BG357" s="2421"/>
      <c r="BH357" s="2421"/>
      <c r="BJ357" s="2421"/>
      <c r="BL357" s="2420"/>
      <c r="BR357" s="2421"/>
    </row>
    <row r="358" spans="1:70">
      <c r="A358" s="2421"/>
      <c r="K358" s="2421"/>
      <c r="U358" s="2421"/>
      <c r="AG358" s="2421"/>
      <c r="AU358" s="2421"/>
      <c r="BG358" s="2421"/>
      <c r="BH358" s="2421"/>
      <c r="BJ358" s="2421"/>
      <c r="BL358" s="2420"/>
      <c r="BR358" s="2421"/>
    </row>
    <row r="359" spans="1:70">
      <c r="A359" s="2421"/>
      <c r="K359" s="2421"/>
      <c r="U359" s="2421"/>
      <c r="AG359" s="2421"/>
      <c r="AU359" s="2421"/>
      <c r="BG359" s="2421"/>
      <c r="BH359" s="2421"/>
      <c r="BJ359" s="2421"/>
      <c r="BL359" s="2420"/>
      <c r="BR359" s="2421"/>
    </row>
    <row r="360" spans="1:70">
      <c r="A360" s="2421"/>
      <c r="K360" s="2421"/>
      <c r="U360" s="2421"/>
      <c r="AG360" s="2421"/>
      <c r="AU360" s="2421"/>
      <c r="BG360" s="2421"/>
      <c r="BH360" s="2421"/>
      <c r="BJ360" s="2421"/>
      <c r="BL360" s="2420"/>
      <c r="BR360" s="2421"/>
    </row>
    <row r="361" spans="1:70">
      <c r="A361" s="2421"/>
      <c r="K361" s="2421"/>
      <c r="U361" s="2421"/>
      <c r="AG361" s="2421"/>
      <c r="AU361" s="2421"/>
      <c r="BG361" s="2421"/>
      <c r="BH361" s="2421"/>
      <c r="BJ361" s="2421"/>
      <c r="BL361" s="2420"/>
      <c r="BR361" s="2421"/>
    </row>
    <row r="362" spans="1:70">
      <c r="A362" s="2421"/>
      <c r="K362" s="2421"/>
      <c r="U362" s="2421"/>
      <c r="AG362" s="2421"/>
      <c r="AU362" s="2421"/>
      <c r="BG362" s="2421"/>
      <c r="BH362" s="2421"/>
      <c r="BJ362" s="2421"/>
      <c r="BL362" s="2420"/>
      <c r="BR362" s="2421"/>
    </row>
    <row r="363" spans="1:70">
      <c r="A363" s="2421"/>
      <c r="K363" s="2421"/>
      <c r="U363" s="2421"/>
      <c r="AG363" s="2421"/>
      <c r="AU363" s="2421"/>
      <c r="BG363" s="2421"/>
      <c r="BH363" s="2421"/>
      <c r="BJ363" s="2421"/>
      <c r="BL363" s="2420"/>
      <c r="BR363" s="2421"/>
    </row>
    <row r="364" spans="1:70">
      <c r="A364" s="2421"/>
      <c r="K364" s="2421"/>
      <c r="U364" s="2421"/>
      <c r="AG364" s="2421"/>
      <c r="AU364" s="2421"/>
      <c r="BG364" s="2421"/>
      <c r="BH364" s="2421"/>
      <c r="BJ364" s="2421"/>
      <c r="BL364" s="2420"/>
      <c r="BR364" s="2421"/>
    </row>
    <row r="365" spans="1:70">
      <c r="A365" s="2421"/>
      <c r="K365" s="2421"/>
      <c r="U365" s="2421"/>
      <c r="AG365" s="2421"/>
      <c r="AU365" s="2421"/>
      <c r="BG365" s="2421"/>
      <c r="BH365" s="2421"/>
      <c r="BJ365" s="2421"/>
      <c r="BL365" s="2420"/>
      <c r="BR365" s="2421"/>
    </row>
    <row r="366" spans="1:70">
      <c r="A366" s="2421"/>
      <c r="K366" s="2421"/>
      <c r="U366" s="2421"/>
      <c r="AG366" s="2421"/>
      <c r="AU366" s="2421"/>
      <c r="BG366" s="2421"/>
      <c r="BH366" s="2421"/>
      <c r="BJ366" s="2421"/>
      <c r="BL366" s="2420"/>
      <c r="BR366" s="2421"/>
    </row>
    <row r="367" spans="1:70">
      <c r="A367" s="2421"/>
      <c r="K367" s="2421"/>
      <c r="U367" s="2421"/>
      <c r="AG367" s="2421"/>
      <c r="AU367" s="2421"/>
      <c r="BG367" s="2421"/>
      <c r="BH367" s="2421"/>
      <c r="BJ367" s="2421"/>
      <c r="BL367" s="2420"/>
      <c r="BR367" s="2421"/>
    </row>
    <row r="368" spans="1:70">
      <c r="A368" s="2421"/>
      <c r="K368" s="2421"/>
      <c r="U368" s="2421"/>
      <c r="AG368" s="2421"/>
      <c r="AU368" s="2421"/>
      <c r="BG368" s="2421"/>
      <c r="BH368" s="2421"/>
      <c r="BJ368" s="2421"/>
      <c r="BL368" s="2420"/>
      <c r="BR368" s="2421"/>
    </row>
    <row r="369" spans="1:70">
      <c r="A369" s="2421"/>
      <c r="K369" s="2421"/>
      <c r="U369" s="2421"/>
      <c r="AG369" s="2421"/>
      <c r="AU369" s="2421"/>
      <c r="BG369" s="2421"/>
      <c r="BH369" s="2421"/>
      <c r="BJ369" s="2421"/>
      <c r="BL369" s="2420"/>
      <c r="BR369" s="2421"/>
    </row>
    <row r="370" spans="1:70">
      <c r="A370" s="2421"/>
      <c r="K370" s="2421"/>
      <c r="U370" s="2421"/>
      <c r="AG370" s="2421"/>
      <c r="AU370" s="2421"/>
      <c r="BG370" s="2421"/>
      <c r="BH370" s="2421"/>
      <c r="BJ370" s="2421"/>
      <c r="BL370" s="2420"/>
      <c r="BR370" s="2421"/>
    </row>
    <row r="371" spans="1:70">
      <c r="A371" s="2421"/>
      <c r="K371" s="2421"/>
      <c r="U371" s="2421"/>
      <c r="AG371" s="2421"/>
      <c r="AU371" s="2421"/>
      <c r="BG371" s="2421"/>
      <c r="BH371" s="2421"/>
      <c r="BJ371" s="2421"/>
      <c r="BL371" s="2420"/>
      <c r="BR371" s="2421"/>
    </row>
    <row r="372" spans="1:70">
      <c r="A372" s="2421"/>
      <c r="K372" s="2421"/>
      <c r="U372" s="2421"/>
      <c r="AG372" s="2421"/>
      <c r="AU372" s="2421"/>
      <c r="BG372" s="2421"/>
      <c r="BH372" s="2421"/>
      <c r="BJ372" s="2421"/>
      <c r="BL372" s="2420"/>
      <c r="BR372" s="2421"/>
    </row>
    <row r="373" spans="1:70">
      <c r="A373" s="2421"/>
      <c r="K373" s="2421"/>
      <c r="U373" s="2421"/>
      <c r="AG373" s="2421"/>
      <c r="AU373" s="2421"/>
      <c r="BG373" s="2421"/>
      <c r="BH373" s="2421"/>
      <c r="BJ373" s="2421"/>
      <c r="BL373" s="2420"/>
      <c r="BR373" s="2421"/>
    </row>
    <row r="374" spans="1:70">
      <c r="A374" s="2421"/>
      <c r="K374" s="2421"/>
      <c r="U374" s="2421"/>
      <c r="AG374" s="2421"/>
      <c r="AU374" s="2421"/>
      <c r="BG374" s="2421"/>
      <c r="BH374" s="2421"/>
      <c r="BJ374" s="2421"/>
      <c r="BL374" s="2420"/>
      <c r="BR374" s="2421"/>
    </row>
    <row r="375" spans="1:70">
      <c r="A375" s="2421"/>
      <c r="K375" s="2421"/>
      <c r="U375" s="2421"/>
      <c r="AG375" s="2421"/>
      <c r="AU375" s="2421"/>
      <c r="BG375" s="2421"/>
      <c r="BH375" s="2421"/>
      <c r="BJ375" s="2421"/>
      <c r="BL375" s="2420"/>
      <c r="BR375" s="2421"/>
    </row>
    <row r="376" spans="1:70">
      <c r="A376" s="2421"/>
      <c r="K376" s="2421"/>
      <c r="U376" s="2421"/>
      <c r="AG376" s="2421"/>
      <c r="AU376" s="2421"/>
      <c r="BG376" s="2421"/>
      <c r="BH376" s="2421"/>
      <c r="BJ376" s="2421"/>
      <c r="BL376" s="2420"/>
      <c r="BR376" s="2421"/>
    </row>
    <row r="377" spans="1:70">
      <c r="A377" s="2421"/>
      <c r="K377" s="2421"/>
      <c r="U377" s="2421"/>
      <c r="AG377" s="2421"/>
      <c r="AU377" s="2421"/>
      <c r="BG377" s="2421"/>
      <c r="BH377" s="2421"/>
      <c r="BJ377" s="2421"/>
      <c r="BL377" s="2420"/>
      <c r="BR377" s="2421"/>
    </row>
    <row r="378" spans="1:70">
      <c r="A378" s="2421"/>
      <c r="K378" s="2421"/>
      <c r="U378" s="2421"/>
      <c r="AG378" s="2421"/>
      <c r="AU378" s="2421"/>
      <c r="BG378" s="2421"/>
      <c r="BH378" s="2421"/>
      <c r="BJ378" s="2421"/>
      <c r="BL378" s="2420"/>
      <c r="BR378" s="2421"/>
    </row>
    <row r="379" spans="1:70">
      <c r="A379" s="2421"/>
      <c r="K379" s="2421"/>
      <c r="U379" s="2421"/>
      <c r="AG379" s="2421"/>
      <c r="AU379" s="2421"/>
      <c r="BG379" s="2421"/>
      <c r="BH379" s="2421"/>
      <c r="BJ379" s="2421"/>
      <c r="BL379" s="2420"/>
      <c r="BR379" s="2421"/>
    </row>
    <row r="380" spans="1:70">
      <c r="A380" s="2421"/>
      <c r="K380" s="2421"/>
      <c r="U380" s="2421"/>
      <c r="AG380" s="2421"/>
      <c r="AU380" s="2421"/>
      <c r="BG380" s="2421"/>
      <c r="BH380" s="2421"/>
      <c r="BJ380" s="2421"/>
      <c r="BL380" s="2420"/>
      <c r="BR380" s="2421"/>
    </row>
    <row r="381" spans="1:70">
      <c r="A381" s="2421"/>
      <c r="K381" s="2421"/>
      <c r="U381" s="2421"/>
      <c r="AG381" s="2421"/>
      <c r="AU381" s="2421"/>
      <c r="BG381" s="2421"/>
      <c r="BH381" s="2421"/>
      <c r="BJ381" s="2421"/>
      <c r="BL381" s="2420"/>
      <c r="BR381" s="2421"/>
    </row>
    <row r="382" spans="1:70">
      <c r="A382" s="2421"/>
      <c r="K382" s="2421"/>
      <c r="U382" s="2421"/>
      <c r="AG382" s="2421"/>
      <c r="AU382" s="2421"/>
      <c r="BG382" s="2421"/>
      <c r="BH382" s="2421"/>
      <c r="BJ382" s="2421"/>
      <c r="BL382" s="2420"/>
      <c r="BR382" s="2421"/>
    </row>
    <row r="383" spans="1:70">
      <c r="A383" s="2421"/>
      <c r="K383" s="2421"/>
      <c r="U383" s="2421"/>
      <c r="AG383" s="2421"/>
      <c r="AU383" s="2421"/>
      <c r="BG383" s="2421"/>
      <c r="BH383" s="2421"/>
      <c r="BJ383" s="2421"/>
      <c r="BL383" s="2420"/>
      <c r="BR383" s="2421"/>
    </row>
    <row r="384" spans="1:70">
      <c r="A384" s="2421"/>
      <c r="K384" s="2421"/>
      <c r="U384" s="2421"/>
      <c r="AG384" s="2421"/>
      <c r="AU384" s="2421"/>
      <c r="BG384" s="2421"/>
      <c r="BH384" s="2421"/>
      <c r="BJ384" s="2421"/>
      <c r="BL384" s="2420"/>
      <c r="BR384" s="2421"/>
    </row>
    <row r="385" spans="1:70">
      <c r="A385" s="2421"/>
      <c r="K385" s="2421"/>
      <c r="U385" s="2421"/>
      <c r="AG385" s="2421"/>
      <c r="AU385" s="2421"/>
      <c r="BG385" s="2421"/>
      <c r="BH385" s="2421"/>
      <c r="BJ385" s="2421"/>
      <c r="BL385" s="2420"/>
      <c r="BR385" s="2421"/>
    </row>
    <row r="386" spans="1:70">
      <c r="A386" s="2421"/>
      <c r="K386" s="2421"/>
      <c r="U386" s="2421"/>
      <c r="AG386" s="2421"/>
      <c r="AU386" s="2421"/>
      <c r="BG386" s="2421"/>
      <c r="BH386" s="2421"/>
      <c r="BJ386" s="2421"/>
      <c r="BL386" s="2420"/>
      <c r="BR386" s="2421"/>
    </row>
    <row r="387" spans="1:70">
      <c r="A387" s="2421"/>
      <c r="K387" s="2421"/>
      <c r="U387" s="2421"/>
      <c r="AG387" s="2421"/>
      <c r="AU387" s="2421"/>
      <c r="BG387" s="2421"/>
      <c r="BH387" s="2421"/>
      <c r="BJ387" s="2421"/>
      <c r="BL387" s="2420"/>
      <c r="BR387" s="2421"/>
    </row>
    <row r="388" spans="1:70">
      <c r="A388" s="2421"/>
      <c r="K388" s="2421"/>
      <c r="U388" s="2421"/>
      <c r="AG388" s="2421"/>
      <c r="AU388" s="2421"/>
      <c r="BG388" s="2421"/>
      <c r="BH388" s="2421"/>
      <c r="BJ388" s="2421"/>
      <c r="BL388" s="2420"/>
      <c r="BR388" s="2421"/>
    </row>
    <row r="389" spans="1:70">
      <c r="A389" s="2421"/>
      <c r="K389" s="2421"/>
      <c r="U389" s="2421"/>
      <c r="AG389" s="2421"/>
      <c r="AU389" s="2421"/>
      <c r="BG389" s="2421"/>
      <c r="BH389" s="2421"/>
      <c r="BJ389" s="2421"/>
      <c r="BL389" s="2420"/>
      <c r="BR389" s="2421"/>
    </row>
    <row r="390" spans="1:70">
      <c r="A390" s="2421"/>
      <c r="K390" s="2421"/>
      <c r="U390" s="2421"/>
      <c r="AG390" s="2421"/>
      <c r="AU390" s="2421"/>
      <c r="BG390" s="2421"/>
      <c r="BH390" s="2421"/>
      <c r="BJ390" s="2421"/>
      <c r="BL390" s="2420"/>
      <c r="BR390" s="2421"/>
    </row>
    <row r="391" spans="1:70">
      <c r="A391" s="2421"/>
      <c r="K391" s="2421"/>
      <c r="U391" s="2421"/>
      <c r="AG391" s="2421"/>
      <c r="AU391" s="2421"/>
      <c r="BG391" s="2421"/>
      <c r="BH391" s="2421"/>
      <c r="BJ391" s="2421"/>
      <c r="BL391" s="2420"/>
      <c r="BR391" s="2421"/>
    </row>
    <row r="392" spans="1:70">
      <c r="A392" s="2421"/>
      <c r="K392" s="2421"/>
      <c r="U392" s="2421"/>
      <c r="AG392" s="2421"/>
      <c r="AU392" s="2421"/>
      <c r="BG392" s="2421"/>
      <c r="BH392" s="2421"/>
      <c r="BJ392" s="2421"/>
      <c r="BL392" s="2420"/>
      <c r="BR392" s="2421"/>
    </row>
    <row r="393" spans="1:70">
      <c r="A393" s="2421"/>
      <c r="K393" s="2421"/>
      <c r="U393" s="2421"/>
      <c r="AG393" s="2421"/>
      <c r="AU393" s="2421"/>
      <c r="BG393" s="2421"/>
      <c r="BH393" s="2421"/>
      <c r="BJ393" s="2421"/>
      <c r="BL393" s="2420"/>
      <c r="BR393" s="2421"/>
    </row>
    <row r="394" spans="1:70">
      <c r="A394" s="2421"/>
      <c r="K394" s="2421"/>
      <c r="U394" s="2421"/>
      <c r="AG394" s="2421"/>
      <c r="AU394" s="2421"/>
      <c r="BG394" s="2421"/>
      <c r="BH394" s="2421"/>
      <c r="BJ394" s="2421"/>
      <c r="BL394" s="2420"/>
      <c r="BR394" s="2421"/>
    </row>
    <row r="395" spans="1:70">
      <c r="A395" s="2421"/>
      <c r="K395" s="2421"/>
      <c r="U395" s="2421"/>
      <c r="AG395" s="2421"/>
      <c r="AU395" s="2421"/>
      <c r="BG395" s="2421"/>
      <c r="BH395" s="2421"/>
      <c r="BJ395" s="2421"/>
      <c r="BL395" s="2420"/>
      <c r="BR395" s="2421"/>
    </row>
    <row r="396" spans="1:70">
      <c r="A396" s="2421"/>
      <c r="K396" s="2421"/>
      <c r="U396" s="2421"/>
      <c r="AG396" s="2421"/>
      <c r="AU396" s="2421"/>
      <c r="BG396" s="2421"/>
      <c r="BH396" s="2421"/>
      <c r="BJ396" s="2421"/>
      <c r="BL396" s="2420"/>
      <c r="BR396" s="2421"/>
    </row>
    <row r="397" spans="1:70">
      <c r="A397" s="2421"/>
      <c r="K397" s="2421"/>
      <c r="U397" s="2421"/>
      <c r="AG397" s="2421"/>
      <c r="AU397" s="2421"/>
      <c r="BG397" s="2421"/>
      <c r="BH397" s="2421"/>
      <c r="BJ397" s="2421"/>
      <c r="BL397" s="2420"/>
      <c r="BR397" s="2421"/>
    </row>
    <row r="398" spans="1:70">
      <c r="A398" s="2421"/>
      <c r="K398" s="2421"/>
      <c r="U398" s="2421"/>
      <c r="AG398" s="2421"/>
      <c r="AU398" s="2421"/>
      <c r="BG398" s="2421"/>
      <c r="BH398" s="2421"/>
      <c r="BJ398" s="2421"/>
      <c r="BL398" s="2420"/>
      <c r="BR398" s="2421"/>
    </row>
    <row r="399" spans="1:70">
      <c r="A399" s="2421"/>
      <c r="K399" s="2421"/>
      <c r="U399" s="2421"/>
      <c r="AG399" s="2421"/>
      <c r="AU399" s="2421"/>
      <c r="BG399" s="2421"/>
      <c r="BH399" s="2421"/>
      <c r="BJ399" s="2421"/>
      <c r="BL399" s="2420"/>
      <c r="BR399" s="2421"/>
    </row>
    <row r="400" spans="1:70">
      <c r="A400" s="2421"/>
      <c r="K400" s="2421"/>
      <c r="U400" s="2421"/>
      <c r="AG400" s="2421"/>
      <c r="AU400" s="2421"/>
      <c r="BG400" s="2421"/>
      <c r="BH400" s="2421"/>
      <c r="BJ400" s="2421"/>
      <c r="BL400" s="2420"/>
      <c r="BR400" s="2421"/>
    </row>
    <row r="401" spans="1:70">
      <c r="A401" s="2421"/>
      <c r="K401" s="2421"/>
      <c r="U401" s="2421"/>
      <c r="AG401" s="2421"/>
      <c r="AU401" s="2421"/>
      <c r="BG401" s="2421"/>
      <c r="BH401" s="2421"/>
      <c r="BJ401" s="2421"/>
      <c r="BL401" s="2420"/>
      <c r="BR401" s="2421"/>
    </row>
    <row r="402" spans="1:70">
      <c r="A402" s="2421"/>
      <c r="K402" s="2421"/>
      <c r="U402" s="2421"/>
      <c r="AG402" s="2421"/>
      <c r="AU402" s="2421"/>
      <c r="BG402" s="2421"/>
      <c r="BH402" s="2421"/>
      <c r="BJ402" s="2421"/>
      <c r="BL402" s="2420"/>
      <c r="BR402" s="2421"/>
    </row>
    <row r="403" spans="1:70">
      <c r="A403" s="2421"/>
      <c r="K403" s="2421"/>
      <c r="U403" s="2421"/>
      <c r="AG403" s="2421"/>
      <c r="AU403" s="2421"/>
      <c r="BG403" s="2421"/>
      <c r="BH403" s="2421"/>
      <c r="BJ403" s="2421"/>
      <c r="BL403" s="2420"/>
      <c r="BR403" s="2421"/>
    </row>
    <row r="404" spans="1:70">
      <c r="A404" s="2421"/>
      <c r="K404" s="2421"/>
      <c r="U404" s="2421"/>
      <c r="AG404" s="2421"/>
      <c r="AU404" s="2421"/>
      <c r="BG404" s="2421"/>
      <c r="BH404" s="2421"/>
      <c r="BJ404" s="2421"/>
      <c r="BL404" s="2420"/>
      <c r="BR404" s="2421"/>
    </row>
    <row r="405" spans="1:70">
      <c r="A405" s="2421"/>
      <c r="K405" s="2421"/>
      <c r="U405" s="2421"/>
      <c r="AG405" s="2421"/>
      <c r="AU405" s="2421"/>
      <c r="BG405" s="2421"/>
      <c r="BH405" s="2421"/>
      <c r="BJ405" s="2421"/>
      <c r="BL405" s="2420"/>
      <c r="BR405" s="2421"/>
    </row>
    <row r="406" spans="1:70">
      <c r="A406" s="2421"/>
      <c r="K406" s="2421"/>
      <c r="U406" s="2421"/>
      <c r="AG406" s="2421"/>
      <c r="AU406" s="2421"/>
      <c r="BG406" s="2421"/>
      <c r="BH406" s="2421"/>
      <c r="BJ406" s="2421"/>
      <c r="BL406" s="2420"/>
      <c r="BR406" s="2421"/>
    </row>
    <row r="407" spans="1:70">
      <c r="A407" s="2421"/>
      <c r="K407" s="2421"/>
      <c r="U407" s="2421"/>
      <c r="AG407" s="2421"/>
      <c r="AU407" s="2421"/>
      <c r="BG407" s="2421"/>
      <c r="BH407" s="2421"/>
      <c r="BJ407" s="2421"/>
      <c r="BL407" s="2420"/>
      <c r="BR407" s="2421"/>
    </row>
    <row r="408" spans="1:70">
      <c r="A408" s="2421"/>
      <c r="K408" s="2421"/>
      <c r="U408" s="2421"/>
      <c r="AG408" s="2421"/>
      <c r="AU408" s="2421"/>
      <c r="BG408" s="2421"/>
      <c r="BH408" s="2421"/>
      <c r="BJ408" s="2421"/>
      <c r="BL408" s="2420"/>
      <c r="BR408" s="2421"/>
    </row>
    <row r="409" spans="1:70">
      <c r="A409" s="2421"/>
      <c r="K409" s="2421"/>
      <c r="U409" s="2421"/>
      <c r="AG409" s="2421"/>
      <c r="AU409" s="2421"/>
      <c r="BG409" s="2421"/>
      <c r="BH409" s="2421"/>
      <c r="BJ409" s="2421"/>
      <c r="BL409" s="2420"/>
      <c r="BR409" s="2421"/>
    </row>
    <row r="410" spans="1:70">
      <c r="A410" s="2421"/>
      <c r="K410" s="2421"/>
      <c r="U410" s="2421"/>
      <c r="AG410" s="2421"/>
      <c r="AU410" s="2421"/>
      <c r="BG410" s="2421"/>
      <c r="BH410" s="2421"/>
      <c r="BJ410" s="2421"/>
      <c r="BL410" s="2420"/>
      <c r="BR410" s="2421"/>
    </row>
    <row r="411" spans="1:70">
      <c r="A411" s="2421"/>
      <c r="K411" s="2421"/>
      <c r="U411" s="2421"/>
      <c r="AG411" s="2421"/>
      <c r="AU411" s="2421"/>
      <c r="BG411" s="2421"/>
      <c r="BH411" s="2421"/>
      <c r="BJ411" s="2421"/>
      <c r="BL411" s="2420"/>
      <c r="BR411" s="2421"/>
    </row>
    <row r="412" spans="1:70">
      <c r="A412" s="2421"/>
      <c r="K412" s="2421"/>
      <c r="U412" s="2421"/>
      <c r="AG412" s="2421"/>
      <c r="AU412" s="2421"/>
      <c r="BG412" s="2421"/>
      <c r="BH412" s="2421"/>
      <c r="BJ412" s="2421"/>
      <c r="BL412" s="2420"/>
      <c r="BR412" s="2421"/>
    </row>
    <row r="413" spans="1:70">
      <c r="A413" s="2421"/>
      <c r="K413" s="2421"/>
      <c r="U413" s="2421"/>
      <c r="AG413" s="2421"/>
      <c r="AU413" s="2421"/>
      <c r="BG413" s="2421"/>
      <c r="BH413" s="2421"/>
      <c r="BJ413" s="2421"/>
      <c r="BL413" s="2420"/>
      <c r="BR413" s="2421"/>
    </row>
    <row r="414" spans="1:70">
      <c r="A414" s="2421"/>
      <c r="K414" s="2421"/>
      <c r="U414" s="2421"/>
      <c r="AG414" s="2421"/>
      <c r="AU414" s="2421"/>
      <c r="BG414" s="2421"/>
      <c r="BH414" s="2421"/>
      <c r="BJ414" s="2421"/>
      <c r="BL414" s="2420"/>
      <c r="BR414" s="2421"/>
    </row>
    <row r="415" spans="1:70">
      <c r="A415" s="2421"/>
      <c r="K415" s="2421"/>
      <c r="U415" s="2421"/>
      <c r="AG415" s="2421"/>
      <c r="AU415" s="2421"/>
      <c r="BG415" s="2421"/>
      <c r="BH415" s="2421"/>
      <c r="BJ415" s="2421"/>
      <c r="BL415" s="2420"/>
      <c r="BR415" s="2421"/>
    </row>
    <row r="416" spans="1:70">
      <c r="A416" s="2421"/>
      <c r="K416" s="2421"/>
      <c r="U416" s="2421"/>
      <c r="AG416" s="2421"/>
      <c r="AU416" s="2421"/>
      <c r="BG416" s="2421"/>
      <c r="BH416" s="2421"/>
      <c r="BJ416" s="2421"/>
      <c r="BL416" s="2420"/>
      <c r="BR416" s="2421"/>
    </row>
    <row r="417" spans="1:70">
      <c r="A417" s="2421"/>
      <c r="K417" s="2421"/>
      <c r="U417" s="2421"/>
      <c r="AG417" s="2421"/>
      <c r="AU417" s="2421"/>
      <c r="BG417" s="2421"/>
      <c r="BH417" s="2421"/>
      <c r="BJ417" s="2421"/>
      <c r="BL417" s="2420"/>
      <c r="BR417" s="2421"/>
    </row>
    <row r="418" spans="1:70">
      <c r="A418" s="2421"/>
      <c r="K418" s="2421"/>
      <c r="U418" s="2421"/>
      <c r="AG418" s="2421"/>
      <c r="AU418" s="2421"/>
      <c r="BG418" s="2421"/>
      <c r="BH418" s="2421"/>
      <c r="BJ418" s="2421"/>
      <c r="BL418" s="2420"/>
      <c r="BR418" s="2421"/>
    </row>
    <row r="419" spans="1:70">
      <c r="A419" s="2421"/>
      <c r="K419" s="2421"/>
      <c r="U419" s="2421"/>
      <c r="AG419" s="2421"/>
      <c r="AU419" s="2421"/>
      <c r="BG419" s="2421"/>
      <c r="BH419" s="2421"/>
      <c r="BJ419" s="2421"/>
      <c r="BL419" s="2420"/>
      <c r="BR419" s="2421"/>
    </row>
    <row r="420" spans="1:70">
      <c r="A420" s="2421"/>
      <c r="K420" s="2421"/>
      <c r="U420" s="2421"/>
      <c r="AG420" s="2421"/>
      <c r="AU420" s="2421"/>
      <c r="BG420" s="2421"/>
      <c r="BH420" s="2421"/>
      <c r="BJ420" s="2421"/>
      <c r="BL420" s="2420"/>
      <c r="BR420" s="2421"/>
    </row>
    <row r="421" spans="1:70">
      <c r="A421" s="2421"/>
      <c r="K421" s="2421"/>
      <c r="U421" s="2421"/>
      <c r="AG421" s="2421"/>
      <c r="AU421" s="2421"/>
      <c r="BG421" s="2421"/>
      <c r="BH421" s="2421"/>
      <c r="BJ421" s="2421"/>
      <c r="BL421" s="2420"/>
      <c r="BR421" s="2421"/>
    </row>
    <row r="422" spans="1:70">
      <c r="A422" s="2421"/>
      <c r="K422" s="2421"/>
      <c r="U422" s="2421"/>
      <c r="AG422" s="2421"/>
      <c r="AU422" s="2421"/>
      <c r="BG422" s="2421"/>
      <c r="BH422" s="2421"/>
      <c r="BJ422" s="2421"/>
      <c r="BL422" s="2420"/>
      <c r="BR422" s="2421"/>
    </row>
    <row r="423" spans="1:70">
      <c r="A423" s="2421"/>
      <c r="K423" s="2421"/>
      <c r="U423" s="2421"/>
      <c r="AG423" s="2421"/>
      <c r="AU423" s="2421"/>
      <c r="BG423" s="2421"/>
      <c r="BH423" s="2421"/>
      <c r="BJ423" s="2421"/>
      <c r="BL423" s="2420"/>
      <c r="BR423" s="2421"/>
    </row>
    <row r="424" spans="1:70">
      <c r="A424" s="2421"/>
      <c r="K424" s="2421"/>
      <c r="U424" s="2421"/>
      <c r="AG424" s="2421"/>
      <c r="AU424" s="2421"/>
      <c r="BG424" s="2421"/>
      <c r="BH424" s="2421"/>
      <c r="BJ424" s="2421"/>
      <c r="BL424" s="2420"/>
      <c r="BR424" s="2421"/>
    </row>
    <row r="425" spans="1:70">
      <c r="A425" s="2421"/>
      <c r="K425" s="2421"/>
      <c r="U425" s="2421"/>
      <c r="AG425" s="2421"/>
      <c r="AU425" s="2421"/>
      <c r="BG425" s="2421"/>
      <c r="BH425" s="2421"/>
      <c r="BJ425" s="2421"/>
      <c r="BL425" s="2420"/>
      <c r="BR425" s="2421"/>
    </row>
    <row r="426" spans="1:70">
      <c r="A426" s="2421"/>
      <c r="K426" s="2421"/>
      <c r="U426" s="2421"/>
      <c r="AG426" s="2421"/>
      <c r="AU426" s="2421"/>
      <c r="BG426" s="2421"/>
      <c r="BH426" s="2421"/>
      <c r="BJ426" s="2421"/>
      <c r="BL426" s="2420"/>
      <c r="BR426" s="2421"/>
    </row>
    <row r="427" spans="1:70">
      <c r="A427" s="2421"/>
      <c r="K427" s="2421"/>
      <c r="U427" s="2421"/>
      <c r="AG427" s="2421"/>
      <c r="AU427" s="2421"/>
      <c r="BG427" s="2421"/>
      <c r="BH427" s="2421"/>
      <c r="BJ427" s="2421"/>
      <c r="BL427" s="2420"/>
      <c r="BR427" s="2421"/>
    </row>
    <row r="428" spans="1:70">
      <c r="A428" s="2421"/>
      <c r="K428" s="2421"/>
      <c r="U428" s="2421"/>
      <c r="AG428" s="2421"/>
      <c r="AU428" s="2421"/>
      <c r="BG428" s="2421"/>
      <c r="BH428" s="2421"/>
      <c r="BJ428" s="2421"/>
      <c r="BL428" s="2420"/>
      <c r="BR428" s="2421"/>
    </row>
    <row r="429" spans="1:70">
      <c r="A429" s="2421"/>
      <c r="K429" s="2421"/>
      <c r="U429" s="2421"/>
      <c r="AG429" s="2421"/>
      <c r="AU429" s="2421"/>
      <c r="BG429" s="2421"/>
      <c r="BH429" s="2421"/>
      <c r="BJ429" s="2421"/>
      <c r="BL429" s="2420"/>
      <c r="BR429" s="2421"/>
    </row>
    <row r="430" spans="1:70">
      <c r="A430" s="2421"/>
      <c r="K430" s="2421"/>
      <c r="U430" s="2421"/>
      <c r="AG430" s="2421"/>
      <c r="AU430" s="2421"/>
      <c r="BG430" s="2421"/>
      <c r="BH430" s="2421"/>
      <c r="BJ430" s="2421"/>
      <c r="BL430" s="2420"/>
      <c r="BR430" s="2421"/>
    </row>
    <row r="431" spans="1:70">
      <c r="A431" s="2421"/>
      <c r="K431" s="2421"/>
      <c r="U431" s="2421"/>
      <c r="AG431" s="2421"/>
      <c r="AU431" s="2421"/>
      <c r="BG431" s="2421"/>
      <c r="BH431" s="2421"/>
      <c r="BJ431" s="2421"/>
      <c r="BL431" s="2420"/>
      <c r="BR431" s="2421"/>
    </row>
    <row r="432" spans="1:70">
      <c r="A432" s="2421"/>
      <c r="K432" s="2421"/>
      <c r="U432" s="2421"/>
      <c r="AG432" s="2421"/>
      <c r="AU432" s="2421"/>
      <c r="BG432" s="2421"/>
      <c r="BH432" s="2421"/>
      <c r="BJ432" s="2421"/>
      <c r="BL432" s="2420"/>
      <c r="BR432" s="2421"/>
    </row>
    <row r="433" spans="1:70">
      <c r="A433" s="2421"/>
      <c r="K433" s="2421"/>
      <c r="U433" s="2421"/>
      <c r="AG433" s="2421"/>
      <c r="AU433" s="2421"/>
      <c r="BG433" s="2421"/>
      <c r="BH433" s="2421"/>
      <c r="BJ433" s="2421"/>
      <c r="BL433" s="2420"/>
      <c r="BR433" s="2421"/>
    </row>
    <row r="434" spans="1:70">
      <c r="A434" s="2421"/>
      <c r="K434" s="2421"/>
      <c r="U434" s="2421"/>
      <c r="AG434" s="2421"/>
      <c r="AU434" s="2421"/>
      <c r="BG434" s="2421"/>
      <c r="BH434" s="2421"/>
      <c r="BJ434" s="2421"/>
      <c r="BL434" s="2420"/>
      <c r="BR434" s="2421"/>
    </row>
    <row r="435" spans="1:70">
      <c r="A435" s="2421"/>
      <c r="K435" s="2421"/>
      <c r="U435" s="2421"/>
      <c r="AG435" s="2421"/>
      <c r="AU435" s="2421"/>
      <c r="BG435" s="2421"/>
      <c r="BH435" s="2421"/>
      <c r="BJ435" s="2421"/>
      <c r="BL435" s="2420"/>
      <c r="BR435" s="2421"/>
    </row>
    <row r="436" spans="1:70">
      <c r="A436" s="2421"/>
      <c r="K436" s="2421"/>
      <c r="U436" s="2421"/>
      <c r="AG436" s="2421"/>
      <c r="AU436" s="2421"/>
      <c r="BG436" s="2421"/>
      <c r="BH436" s="2421"/>
      <c r="BJ436" s="2421"/>
      <c r="BL436" s="2420"/>
      <c r="BR436" s="2421"/>
    </row>
    <row r="437" spans="1:70">
      <c r="A437" s="2421"/>
      <c r="K437" s="2421"/>
      <c r="U437" s="2421"/>
      <c r="AG437" s="2421"/>
      <c r="AU437" s="2421"/>
      <c r="BG437" s="2421"/>
      <c r="BH437" s="2421"/>
      <c r="BJ437" s="2421"/>
      <c r="BL437" s="2420"/>
      <c r="BR437" s="2421"/>
    </row>
    <row r="438" spans="1:70">
      <c r="A438" s="2421"/>
      <c r="K438" s="2421"/>
      <c r="U438" s="2421"/>
      <c r="AG438" s="2421"/>
      <c r="AU438" s="2421"/>
      <c r="BG438" s="2421"/>
      <c r="BH438" s="2421"/>
      <c r="BJ438" s="2421"/>
      <c r="BL438" s="2420"/>
      <c r="BR438" s="2421"/>
    </row>
    <row r="439" spans="1:70">
      <c r="A439" s="2421"/>
      <c r="K439" s="2421"/>
      <c r="U439" s="2421"/>
      <c r="AG439" s="2421"/>
      <c r="AU439" s="2421"/>
      <c r="BG439" s="2421"/>
      <c r="BH439" s="2421"/>
      <c r="BJ439" s="2421"/>
      <c r="BL439" s="2420"/>
      <c r="BR439" s="2421"/>
    </row>
    <row r="440" spans="1:70">
      <c r="A440" s="2421"/>
      <c r="K440" s="2421"/>
      <c r="U440" s="2421"/>
      <c r="AG440" s="2421"/>
      <c r="AU440" s="2421"/>
      <c r="BG440" s="2421"/>
      <c r="BH440" s="2421"/>
      <c r="BJ440" s="2421"/>
      <c r="BL440" s="2420"/>
      <c r="BR440" s="2421"/>
    </row>
    <row r="441" spans="1:70">
      <c r="A441" s="2421"/>
      <c r="K441" s="2421"/>
      <c r="U441" s="2421"/>
      <c r="AG441" s="2421"/>
      <c r="AU441" s="2421"/>
      <c r="BG441" s="2421"/>
      <c r="BH441" s="2421"/>
      <c r="BJ441" s="2421"/>
      <c r="BL441" s="2420"/>
      <c r="BR441" s="2421"/>
    </row>
    <row r="442" spans="1:70">
      <c r="A442" s="2421"/>
      <c r="K442" s="2421"/>
      <c r="U442" s="2421"/>
      <c r="AG442" s="2421"/>
      <c r="AU442" s="2421"/>
      <c r="BG442" s="2421"/>
      <c r="BH442" s="2421"/>
      <c r="BJ442" s="2421"/>
      <c r="BL442" s="2420"/>
      <c r="BR442" s="2421"/>
    </row>
    <row r="443" spans="1:70">
      <c r="A443" s="2421"/>
      <c r="K443" s="2421"/>
      <c r="U443" s="2421"/>
      <c r="AG443" s="2421"/>
      <c r="AU443" s="2421"/>
      <c r="BG443" s="2421"/>
      <c r="BH443" s="2421"/>
      <c r="BJ443" s="2421"/>
      <c r="BL443" s="2420"/>
      <c r="BR443" s="2421"/>
    </row>
    <row r="444" spans="1:70">
      <c r="A444" s="2421"/>
      <c r="K444" s="2421"/>
      <c r="U444" s="2421"/>
      <c r="AG444" s="2421"/>
      <c r="AU444" s="2421"/>
      <c r="BG444" s="2421"/>
      <c r="BH444" s="2421"/>
      <c r="BJ444" s="2421"/>
      <c r="BL444" s="2420"/>
      <c r="BR444" s="2421"/>
    </row>
    <row r="445" spans="1:70">
      <c r="A445" s="2421"/>
      <c r="K445" s="2421"/>
      <c r="U445" s="2421"/>
      <c r="AG445" s="2421"/>
      <c r="AU445" s="2421"/>
      <c r="BG445" s="2421"/>
      <c r="BH445" s="2421"/>
      <c r="BJ445" s="2421"/>
      <c r="BL445" s="2420"/>
      <c r="BR445" s="2421"/>
    </row>
    <row r="446" spans="1:70">
      <c r="A446" s="2421"/>
      <c r="K446" s="2421"/>
      <c r="U446" s="2421"/>
      <c r="AG446" s="2421"/>
      <c r="AU446" s="2421"/>
      <c r="BG446" s="2421"/>
      <c r="BH446" s="2421"/>
      <c r="BJ446" s="2421"/>
      <c r="BL446" s="2420"/>
      <c r="BR446" s="2421"/>
    </row>
    <row r="447" spans="1:70">
      <c r="A447" s="2421"/>
      <c r="K447" s="2421"/>
      <c r="U447" s="2421"/>
      <c r="AG447" s="2421"/>
      <c r="AU447" s="2421"/>
      <c r="BG447" s="2421"/>
      <c r="BH447" s="2421"/>
      <c r="BJ447" s="2421"/>
      <c r="BL447" s="2420"/>
      <c r="BR447" s="2421"/>
    </row>
    <row r="448" spans="1:70">
      <c r="A448" s="2421"/>
      <c r="K448" s="2421"/>
      <c r="U448" s="2421"/>
      <c r="AG448" s="2421"/>
      <c r="AU448" s="2421"/>
      <c r="BG448" s="2421"/>
      <c r="BH448" s="2421"/>
      <c r="BJ448" s="2421"/>
      <c r="BL448" s="2420"/>
      <c r="BR448" s="2421"/>
    </row>
    <row r="449" spans="1:70">
      <c r="A449" s="2421"/>
      <c r="K449" s="2421"/>
      <c r="U449" s="2421"/>
      <c r="AG449" s="2421"/>
      <c r="AU449" s="2421"/>
      <c r="BG449" s="2421"/>
      <c r="BH449" s="2421"/>
      <c r="BJ449" s="2421"/>
      <c r="BL449" s="2420"/>
      <c r="BR449" s="2421"/>
    </row>
    <row r="450" spans="1:70">
      <c r="A450" s="2421"/>
      <c r="K450" s="2421"/>
      <c r="U450" s="2421"/>
      <c r="AG450" s="2421"/>
      <c r="AU450" s="2421"/>
      <c r="BG450" s="2421"/>
      <c r="BH450" s="2421"/>
      <c r="BJ450" s="2421"/>
      <c r="BL450" s="2420"/>
      <c r="BR450" s="2421"/>
    </row>
    <row r="451" spans="1:70">
      <c r="A451" s="2421"/>
      <c r="K451" s="2421"/>
      <c r="U451" s="2421"/>
      <c r="AG451" s="2421"/>
      <c r="AU451" s="2421"/>
      <c r="BG451" s="2421"/>
      <c r="BH451" s="2421"/>
      <c r="BJ451" s="2421"/>
      <c r="BL451" s="2420"/>
      <c r="BR451" s="2421"/>
    </row>
    <row r="452" spans="1:70">
      <c r="A452" s="2421"/>
      <c r="K452" s="2421"/>
      <c r="U452" s="2421"/>
      <c r="AG452" s="2421"/>
      <c r="AU452" s="2421"/>
      <c r="BG452" s="2421"/>
      <c r="BH452" s="2421"/>
      <c r="BJ452" s="2421"/>
      <c r="BL452" s="2420"/>
      <c r="BR452" s="2421"/>
    </row>
    <row r="453" spans="1:70">
      <c r="A453" s="2421"/>
      <c r="K453" s="2421"/>
      <c r="U453" s="2421"/>
      <c r="AG453" s="2421"/>
      <c r="AU453" s="2421"/>
      <c r="BG453" s="2421"/>
      <c r="BH453" s="2421"/>
      <c r="BJ453" s="2421"/>
      <c r="BL453" s="2420"/>
      <c r="BR453" s="2421"/>
    </row>
    <row r="454" spans="1:70">
      <c r="A454" s="2421"/>
      <c r="K454" s="2421"/>
      <c r="U454" s="2421"/>
      <c r="AG454" s="2421"/>
      <c r="AU454" s="2421"/>
      <c r="BG454" s="2421"/>
      <c r="BH454" s="2421"/>
      <c r="BJ454" s="2421"/>
      <c r="BL454" s="2420"/>
      <c r="BR454" s="2421"/>
    </row>
    <row r="455" spans="1:70">
      <c r="A455" s="2421"/>
      <c r="K455" s="2421"/>
      <c r="U455" s="2421"/>
      <c r="AG455" s="2421"/>
      <c r="AU455" s="2421"/>
      <c r="BG455" s="2421"/>
      <c r="BH455" s="2421"/>
      <c r="BJ455" s="2421"/>
      <c r="BL455" s="2420"/>
      <c r="BR455" s="2421"/>
    </row>
    <row r="456" spans="1:70">
      <c r="A456" s="2421"/>
      <c r="K456" s="2421"/>
      <c r="U456" s="2421"/>
      <c r="AG456" s="2421"/>
      <c r="AU456" s="2421"/>
      <c r="BG456" s="2421"/>
      <c r="BH456" s="2421"/>
      <c r="BJ456" s="2421"/>
      <c r="BL456" s="2420"/>
      <c r="BR456" s="2421"/>
    </row>
    <row r="457" spans="1:70">
      <c r="A457" s="2421"/>
      <c r="K457" s="2421"/>
      <c r="U457" s="2421"/>
      <c r="AG457" s="2421"/>
      <c r="AU457" s="2421"/>
      <c r="BG457" s="2421"/>
      <c r="BH457" s="2421"/>
      <c r="BJ457" s="2421"/>
      <c r="BL457" s="2420"/>
      <c r="BR457" s="2421"/>
    </row>
    <row r="458" spans="1:70">
      <c r="A458" s="2421"/>
      <c r="K458" s="2421"/>
      <c r="U458" s="2421"/>
      <c r="AG458" s="2421"/>
      <c r="AU458" s="2421"/>
      <c r="BG458" s="2421"/>
      <c r="BH458" s="2421"/>
      <c r="BJ458" s="2421"/>
      <c r="BL458" s="2420"/>
      <c r="BR458" s="2421"/>
    </row>
    <row r="459" spans="1:70">
      <c r="A459" s="2421"/>
      <c r="K459" s="2421"/>
      <c r="U459" s="2421"/>
      <c r="AG459" s="2421"/>
      <c r="AU459" s="2421"/>
      <c r="BG459" s="2421"/>
      <c r="BH459" s="2421"/>
      <c r="BJ459" s="2421"/>
      <c r="BL459" s="2420"/>
      <c r="BR459" s="2421"/>
    </row>
    <row r="460" spans="1:70">
      <c r="A460" s="2421"/>
      <c r="K460" s="2421"/>
      <c r="U460" s="2421"/>
      <c r="AG460" s="2421"/>
      <c r="AU460" s="2421"/>
      <c r="BG460" s="2421"/>
      <c r="BH460" s="2421"/>
      <c r="BJ460" s="2421"/>
      <c r="BL460" s="2420"/>
      <c r="BR460" s="2421"/>
    </row>
    <row r="461" spans="1:70">
      <c r="A461" s="2421"/>
      <c r="K461" s="2421"/>
      <c r="U461" s="2421"/>
      <c r="AG461" s="2421"/>
      <c r="AU461" s="2421"/>
      <c r="BG461" s="2421"/>
      <c r="BH461" s="2421"/>
      <c r="BJ461" s="2421"/>
      <c r="BL461" s="2420"/>
      <c r="BR461" s="2421"/>
    </row>
    <row r="462" spans="1:70">
      <c r="A462" s="2421"/>
      <c r="K462" s="2421"/>
      <c r="U462" s="2421"/>
      <c r="AG462" s="2421"/>
      <c r="AU462" s="2421"/>
      <c r="BG462" s="2421"/>
      <c r="BH462" s="2421"/>
      <c r="BJ462" s="2421"/>
      <c r="BL462" s="2420"/>
      <c r="BR462" s="2421"/>
    </row>
    <row r="463" spans="1:70">
      <c r="A463" s="2421"/>
      <c r="K463" s="2421"/>
      <c r="U463" s="2421"/>
      <c r="AG463" s="2421"/>
      <c r="AU463" s="2421"/>
      <c r="BG463" s="2421"/>
      <c r="BH463" s="2421"/>
      <c r="BJ463" s="2421"/>
      <c r="BL463" s="2420"/>
      <c r="BR463" s="2421"/>
    </row>
    <row r="464" spans="1:70">
      <c r="A464" s="2421"/>
      <c r="K464" s="2421"/>
      <c r="U464" s="2421"/>
      <c r="AG464" s="2421"/>
      <c r="AU464" s="2421"/>
      <c r="BG464" s="2421"/>
      <c r="BH464" s="2421"/>
      <c r="BJ464" s="2421"/>
      <c r="BL464" s="2420"/>
      <c r="BR464" s="2421"/>
    </row>
    <row r="465" spans="1:70">
      <c r="A465" s="2421"/>
      <c r="K465" s="2421"/>
      <c r="U465" s="2421"/>
      <c r="AG465" s="2421"/>
      <c r="AU465" s="2421"/>
      <c r="BG465" s="2421"/>
      <c r="BH465" s="2421"/>
      <c r="BJ465" s="2421"/>
      <c r="BL465" s="2420"/>
      <c r="BR465" s="2421"/>
    </row>
    <row r="466" spans="1:70">
      <c r="A466" s="2421"/>
      <c r="K466" s="2421"/>
      <c r="U466" s="2421"/>
      <c r="AG466" s="2421"/>
      <c r="AU466" s="2421"/>
      <c r="BG466" s="2421"/>
      <c r="BH466" s="2421"/>
      <c r="BJ466" s="2421"/>
      <c r="BL466" s="2420"/>
      <c r="BR466" s="2421"/>
    </row>
    <row r="467" spans="1:70">
      <c r="A467" s="2421"/>
      <c r="K467" s="2421"/>
      <c r="U467" s="2421"/>
      <c r="AG467" s="2421"/>
      <c r="AU467" s="2421"/>
      <c r="BG467" s="2421"/>
      <c r="BH467" s="2421"/>
      <c r="BJ467" s="2421"/>
      <c r="BL467" s="2420"/>
      <c r="BR467" s="2421"/>
    </row>
    <row r="468" spans="1:70">
      <c r="A468" s="2421"/>
      <c r="K468" s="2421"/>
      <c r="U468" s="2421"/>
      <c r="AG468" s="2421"/>
      <c r="AU468" s="2421"/>
      <c r="BG468" s="2421"/>
      <c r="BH468" s="2421"/>
      <c r="BJ468" s="2421"/>
      <c r="BL468" s="2420"/>
      <c r="BR468" s="2421"/>
    </row>
    <row r="469" spans="1:70">
      <c r="A469" s="2421"/>
      <c r="K469" s="2421"/>
      <c r="U469" s="2421"/>
      <c r="AG469" s="2421"/>
      <c r="AU469" s="2421"/>
      <c r="BG469" s="2421"/>
      <c r="BH469" s="2421"/>
      <c r="BJ469" s="2421"/>
      <c r="BL469" s="2420"/>
      <c r="BR469" s="2421"/>
    </row>
    <row r="470" spans="1:70">
      <c r="A470" s="2421"/>
      <c r="K470" s="2421"/>
      <c r="U470" s="2421"/>
      <c r="AG470" s="2421"/>
      <c r="AU470" s="2421"/>
      <c r="BG470" s="2421"/>
      <c r="BH470" s="2421"/>
      <c r="BJ470" s="2421"/>
      <c r="BL470" s="2420"/>
      <c r="BR470" s="2421"/>
    </row>
    <row r="471" spans="1:70">
      <c r="A471" s="2421"/>
      <c r="K471" s="2421"/>
      <c r="U471" s="2421"/>
      <c r="AG471" s="2421"/>
      <c r="AU471" s="2421"/>
      <c r="BG471" s="2421"/>
      <c r="BH471" s="2421"/>
      <c r="BJ471" s="2421"/>
      <c r="BL471" s="2420"/>
      <c r="BR471" s="2421"/>
    </row>
    <row r="472" spans="1:70">
      <c r="A472" s="2421"/>
      <c r="K472" s="2421"/>
      <c r="U472" s="2421"/>
      <c r="AG472" s="2421"/>
      <c r="AU472" s="2421"/>
      <c r="BG472" s="2421"/>
      <c r="BH472" s="2421"/>
      <c r="BJ472" s="2421"/>
      <c r="BL472" s="2420"/>
      <c r="BR472" s="2421"/>
    </row>
    <row r="473" spans="1:70">
      <c r="A473" s="2421"/>
      <c r="K473" s="2421"/>
      <c r="U473" s="2421"/>
      <c r="AG473" s="2421"/>
      <c r="AU473" s="2421"/>
      <c r="BG473" s="2421"/>
      <c r="BH473" s="2421"/>
      <c r="BJ473" s="2421"/>
      <c r="BL473" s="2420"/>
      <c r="BR473" s="2421"/>
    </row>
    <row r="474" spans="1:70">
      <c r="A474" s="2421"/>
      <c r="K474" s="2421"/>
      <c r="U474" s="2421"/>
      <c r="AG474" s="2421"/>
      <c r="AU474" s="2421"/>
      <c r="BG474" s="2421"/>
      <c r="BH474" s="2421"/>
      <c r="BJ474" s="2421"/>
      <c r="BL474" s="2420"/>
      <c r="BR474" s="2421"/>
    </row>
    <row r="475" spans="1:70">
      <c r="A475" s="2421"/>
      <c r="K475" s="2421"/>
      <c r="U475" s="2421"/>
      <c r="AG475" s="2421"/>
      <c r="AU475" s="2421"/>
      <c r="BG475" s="2421"/>
      <c r="BH475" s="2421"/>
      <c r="BJ475" s="2421"/>
      <c r="BL475" s="2420"/>
      <c r="BR475" s="2421"/>
    </row>
    <row r="476" spans="1:70">
      <c r="A476" s="2421"/>
      <c r="K476" s="2421"/>
      <c r="U476" s="2421"/>
      <c r="AG476" s="2421"/>
      <c r="AU476" s="2421"/>
      <c r="BG476" s="2421"/>
      <c r="BH476" s="2421"/>
      <c r="BJ476" s="2421"/>
      <c r="BL476" s="2420"/>
      <c r="BR476" s="2421"/>
    </row>
    <row r="477" spans="1:70">
      <c r="A477" s="2421"/>
      <c r="K477" s="2421"/>
      <c r="U477" s="2421"/>
      <c r="AG477" s="2421"/>
      <c r="AU477" s="2421"/>
      <c r="BG477" s="2421"/>
      <c r="BH477" s="2421"/>
      <c r="BJ477" s="2421"/>
      <c r="BL477" s="2420"/>
      <c r="BR477" s="2421"/>
    </row>
    <row r="478" spans="1:70">
      <c r="A478" s="2421"/>
      <c r="K478" s="2421"/>
      <c r="U478" s="2421"/>
      <c r="AG478" s="2421"/>
      <c r="AU478" s="2421"/>
      <c r="BG478" s="2421"/>
      <c r="BH478" s="2421"/>
      <c r="BJ478" s="2421"/>
      <c r="BL478" s="2420"/>
      <c r="BR478" s="2421"/>
    </row>
    <row r="479" spans="1:70">
      <c r="A479" s="2421"/>
      <c r="K479" s="2421"/>
      <c r="U479" s="2421"/>
      <c r="AG479" s="2421"/>
      <c r="AU479" s="2421"/>
      <c r="BG479" s="2421"/>
      <c r="BH479" s="2421"/>
      <c r="BJ479" s="2421"/>
      <c r="BL479" s="2420"/>
      <c r="BR479" s="2421"/>
    </row>
    <row r="480" spans="1:70">
      <c r="A480" s="2421"/>
      <c r="K480" s="2421"/>
      <c r="U480" s="2421"/>
      <c r="AG480" s="2421"/>
      <c r="AU480" s="2421"/>
      <c r="BG480" s="2421"/>
      <c r="BH480" s="2421"/>
      <c r="BJ480" s="2421"/>
      <c r="BL480" s="2420"/>
      <c r="BR480" s="2421"/>
    </row>
    <row r="481" spans="1:70">
      <c r="A481" s="2421"/>
      <c r="K481" s="2421"/>
      <c r="U481" s="2421"/>
      <c r="AG481" s="2421"/>
      <c r="AU481" s="2421"/>
      <c r="BG481" s="2421"/>
      <c r="BH481" s="2421"/>
      <c r="BJ481" s="2421"/>
      <c r="BL481" s="2420"/>
      <c r="BR481" s="2421"/>
    </row>
    <row r="482" spans="1:70">
      <c r="A482" s="2421"/>
      <c r="K482" s="2421"/>
      <c r="U482" s="2421"/>
      <c r="AG482" s="2421"/>
      <c r="AU482" s="2421"/>
      <c r="BG482" s="2421"/>
      <c r="BH482" s="2421"/>
      <c r="BJ482" s="2421"/>
      <c r="BL482" s="2420"/>
      <c r="BR482" s="2421"/>
    </row>
    <row r="483" spans="1:70">
      <c r="A483" s="2421"/>
      <c r="K483" s="2421"/>
      <c r="U483" s="2421"/>
      <c r="AG483" s="2421"/>
      <c r="AU483" s="2421"/>
      <c r="BG483" s="2421"/>
      <c r="BH483" s="2421"/>
      <c r="BJ483" s="2421"/>
      <c r="BL483" s="2420"/>
      <c r="BR483" s="2421"/>
    </row>
    <row r="484" spans="1:70">
      <c r="A484" s="2421"/>
      <c r="K484" s="2421"/>
      <c r="U484" s="2421"/>
      <c r="AG484" s="2421"/>
      <c r="AU484" s="2421"/>
      <c r="BG484" s="2421"/>
      <c r="BH484" s="2421"/>
      <c r="BJ484" s="2421"/>
      <c r="BL484" s="2420"/>
      <c r="BR484" s="2421"/>
    </row>
    <row r="485" spans="1:70">
      <c r="A485" s="2421"/>
      <c r="K485" s="2421"/>
      <c r="U485" s="2421"/>
      <c r="AG485" s="2421"/>
      <c r="AU485" s="2421"/>
      <c r="BG485" s="2421"/>
      <c r="BH485" s="2421"/>
      <c r="BJ485" s="2421"/>
      <c r="BL485" s="2420"/>
      <c r="BR485" s="2421"/>
    </row>
    <row r="486" spans="1:70">
      <c r="A486" s="2421"/>
      <c r="K486" s="2421"/>
      <c r="U486" s="2421"/>
      <c r="AG486" s="2421"/>
      <c r="AU486" s="2421"/>
      <c r="BG486" s="2421"/>
      <c r="BH486" s="2421"/>
      <c r="BJ486" s="2421"/>
      <c r="BL486" s="2420"/>
      <c r="BR486" s="2421"/>
    </row>
    <row r="487" spans="1:70">
      <c r="A487" s="2421"/>
      <c r="K487" s="2421"/>
      <c r="U487" s="2421"/>
      <c r="AG487" s="2421"/>
      <c r="AU487" s="2421"/>
      <c r="BG487" s="2421"/>
      <c r="BH487" s="2421"/>
      <c r="BJ487" s="2421"/>
      <c r="BL487" s="2420"/>
      <c r="BR487" s="2421"/>
    </row>
    <row r="488" spans="1:70">
      <c r="A488" s="2421"/>
      <c r="K488" s="2421"/>
      <c r="U488" s="2421"/>
      <c r="AG488" s="2421"/>
      <c r="AU488" s="2421"/>
      <c r="BG488" s="2421"/>
      <c r="BH488" s="2421"/>
      <c r="BJ488" s="2421"/>
      <c r="BL488" s="2420"/>
      <c r="BR488" s="2421"/>
    </row>
    <row r="489" spans="1:70">
      <c r="A489" s="2421"/>
      <c r="K489" s="2421"/>
      <c r="U489" s="2421"/>
      <c r="AG489" s="2421"/>
      <c r="AU489" s="2421"/>
      <c r="BG489" s="2421"/>
      <c r="BH489" s="2421"/>
      <c r="BJ489" s="2421"/>
      <c r="BL489" s="2420"/>
      <c r="BR489" s="2421"/>
    </row>
    <row r="490" spans="1:70">
      <c r="A490" s="2421"/>
      <c r="K490" s="2421"/>
      <c r="U490" s="2421"/>
      <c r="AG490" s="2421"/>
      <c r="AU490" s="2421"/>
      <c r="BG490" s="2421"/>
      <c r="BH490" s="2421"/>
      <c r="BJ490" s="2421"/>
      <c r="BL490" s="2420"/>
      <c r="BR490" s="2421"/>
    </row>
    <row r="491" spans="1:70">
      <c r="A491" s="2421"/>
      <c r="K491" s="2421"/>
      <c r="U491" s="2421"/>
      <c r="AG491" s="2421"/>
      <c r="AU491" s="2421"/>
      <c r="BG491" s="2421"/>
      <c r="BH491" s="2421"/>
      <c r="BJ491" s="2421"/>
      <c r="BL491" s="2420"/>
      <c r="BR491" s="2421"/>
    </row>
    <row r="492" spans="1:70">
      <c r="A492" s="2421"/>
      <c r="K492" s="2421"/>
      <c r="U492" s="2421"/>
      <c r="AG492" s="2421"/>
      <c r="AU492" s="2421"/>
      <c r="BG492" s="2421"/>
      <c r="BH492" s="2421"/>
      <c r="BJ492" s="2421"/>
      <c r="BL492" s="2420"/>
      <c r="BR492" s="2421"/>
    </row>
    <row r="493" spans="1:70">
      <c r="A493" s="2421"/>
      <c r="K493" s="2421"/>
      <c r="U493" s="2421"/>
      <c r="AG493" s="2421"/>
      <c r="AU493" s="2421"/>
      <c r="BG493" s="2421"/>
      <c r="BH493" s="2421"/>
      <c r="BJ493" s="2421"/>
      <c r="BL493" s="2420"/>
      <c r="BR493" s="2421"/>
    </row>
    <row r="494" spans="1:70">
      <c r="A494" s="2421"/>
      <c r="K494" s="2421"/>
      <c r="U494" s="2421"/>
      <c r="AG494" s="2421"/>
      <c r="AU494" s="2421"/>
      <c r="BG494" s="2421"/>
      <c r="BH494" s="2421"/>
      <c r="BJ494" s="2421"/>
      <c r="BL494" s="2420"/>
      <c r="BR494" s="2421"/>
    </row>
    <row r="495" spans="1:70">
      <c r="A495" s="2421"/>
      <c r="K495" s="2421"/>
      <c r="U495" s="2421"/>
      <c r="AG495" s="2421"/>
      <c r="AU495" s="2421"/>
      <c r="BG495" s="2421"/>
      <c r="BH495" s="2421"/>
      <c r="BJ495" s="2421"/>
      <c r="BL495" s="2420"/>
      <c r="BR495" s="2421"/>
    </row>
    <row r="496" spans="1:70">
      <c r="A496" s="2421"/>
      <c r="K496" s="2421"/>
      <c r="U496" s="2421"/>
      <c r="AG496" s="2421"/>
      <c r="AU496" s="2421"/>
      <c r="BG496" s="2421"/>
      <c r="BH496" s="2421"/>
      <c r="BJ496" s="2421"/>
      <c r="BL496" s="2420"/>
      <c r="BR496" s="2421"/>
    </row>
    <row r="497" spans="1:70">
      <c r="A497" s="2421"/>
      <c r="K497" s="2421"/>
      <c r="U497" s="2421"/>
      <c r="AG497" s="2421"/>
      <c r="AU497" s="2421"/>
      <c r="BG497" s="2421"/>
      <c r="BH497" s="2421"/>
      <c r="BJ497" s="2421"/>
      <c r="BL497" s="2420"/>
      <c r="BR497" s="2421"/>
    </row>
    <row r="498" spans="1:70">
      <c r="A498" s="2421"/>
      <c r="K498" s="2421"/>
      <c r="U498" s="2421"/>
      <c r="AG498" s="2421"/>
      <c r="AU498" s="2421"/>
      <c r="BG498" s="2421"/>
      <c r="BH498" s="2421"/>
      <c r="BJ498" s="2421"/>
      <c r="BL498" s="2420"/>
      <c r="BR498" s="2421"/>
    </row>
    <row r="499" spans="1:70">
      <c r="A499" s="2421"/>
      <c r="K499" s="2421"/>
      <c r="U499" s="2421"/>
      <c r="AG499" s="2421"/>
      <c r="AU499" s="2421"/>
      <c r="BG499" s="2421"/>
      <c r="BH499" s="2421"/>
      <c r="BJ499" s="2421"/>
      <c r="BL499" s="2420"/>
      <c r="BR499" s="2421"/>
    </row>
    <row r="500" spans="1:70">
      <c r="A500" s="2421"/>
      <c r="K500" s="2421"/>
      <c r="U500" s="2421"/>
      <c r="AG500" s="2421"/>
      <c r="AU500" s="2421"/>
      <c r="BG500" s="2421"/>
      <c r="BH500" s="2421"/>
      <c r="BJ500" s="2421"/>
      <c r="BL500" s="2420"/>
      <c r="BR500" s="2421"/>
    </row>
    <row r="501" spans="1:70">
      <c r="A501" s="2421"/>
      <c r="K501" s="2421"/>
      <c r="U501" s="2421"/>
      <c r="AG501" s="2421"/>
      <c r="AU501" s="2421"/>
      <c r="BG501" s="2421"/>
      <c r="BH501" s="2421"/>
      <c r="BJ501" s="2421"/>
      <c r="BL501" s="2420"/>
      <c r="BR501" s="2421"/>
    </row>
    <row r="502" spans="1:70">
      <c r="A502" s="2421"/>
      <c r="K502" s="2421"/>
      <c r="U502" s="2421"/>
      <c r="AG502" s="2421"/>
      <c r="AU502" s="2421"/>
      <c r="BG502" s="2421"/>
      <c r="BH502" s="2421"/>
      <c r="BJ502" s="2421"/>
      <c r="BL502" s="2420"/>
      <c r="BR502" s="2421"/>
    </row>
    <row r="503" spans="1:70">
      <c r="A503" s="2421"/>
      <c r="K503" s="2421"/>
      <c r="U503" s="2421"/>
      <c r="AG503" s="2421"/>
      <c r="AU503" s="2421"/>
      <c r="BG503" s="2421"/>
      <c r="BH503" s="2421"/>
      <c r="BJ503" s="2421"/>
      <c r="BL503" s="2420"/>
      <c r="BR503" s="2421"/>
    </row>
    <row r="504" spans="1:70">
      <c r="A504" s="2421"/>
      <c r="K504" s="2421"/>
      <c r="U504" s="2421"/>
      <c r="AG504" s="2421"/>
      <c r="AU504" s="2421"/>
      <c r="BG504" s="2421"/>
      <c r="BH504" s="2421"/>
      <c r="BJ504" s="2421"/>
      <c r="BL504" s="2420"/>
      <c r="BR504" s="2421"/>
    </row>
    <row r="505" spans="1:70">
      <c r="A505" s="2421"/>
      <c r="K505" s="2421"/>
      <c r="U505" s="2421"/>
      <c r="AG505" s="2421"/>
      <c r="AU505" s="2421"/>
      <c r="BG505" s="2421"/>
      <c r="BH505" s="2421"/>
      <c r="BJ505" s="2421"/>
      <c r="BL505" s="2420"/>
      <c r="BR505" s="2421"/>
    </row>
    <row r="506" spans="1:70">
      <c r="A506" s="2421"/>
      <c r="K506" s="2421"/>
      <c r="U506" s="2421"/>
      <c r="AG506" s="2421"/>
      <c r="AU506" s="2421"/>
      <c r="BG506" s="2421"/>
      <c r="BH506" s="2421"/>
      <c r="BJ506" s="2421"/>
      <c r="BL506" s="2420"/>
      <c r="BR506" s="2421"/>
    </row>
    <row r="507" spans="1:70">
      <c r="A507" s="2421"/>
      <c r="K507" s="2421"/>
      <c r="U507" s="2421"/>
      <c r="AG507" s="2421"/>
      <c r="AU507" s="2421"/>
      <c r="BG507" s="2421"/>
      <c r="BH507" s="2421"/>
      <c r="BJ507" s="2421"/>
      <c r="BL507" s="2420"/>
      <c r="BR507" s="2421"/>
    </row>
    <row r="508" spans="1:70">
      <c r="A508" s="2421"/>
      <c r="K508" s="2421"/>
      <c r="U508" s="2421"/>
      <c r="AG508" s="2421"/>
      <c r="AU508" s="2421"/>
      <c r="BG508" s="2421"/>
      <c r="BH508" s="2421"/>
      <c r="BJ508" s="2421"/>
      <c r="BL508" s="2420"/>
      <c r="BR508" s="2421"/>
    </row>
    <row r="509" spans="1:70">
      <c r="A509" s="2421"/>
      <c r="K509" s="2421"/>
      <c r="U509" s="2421"/>
      <c r="AG509" s="2421"/>
      <c r="AU509" s="2421"/>
      <c r="BG509" s="2421"/>
      <c r="BH509" s="2421"/>
      <c r="BJ509" s="2421"/>
      <c r="BL509" s="2420"/>
      <c r="BR509" s="2421"/>
    </row>
    <row r="510" spans="1:70">
      <c r="A510" s="2421"/>
      <c r="K510" s="2421"/>
      <c r="U510" s="2421"/>
      <c r="AG510" s="2421"/>
      <c r="AU510" s="2421"/>
      <c r="BG510" s="2421"/>
      <c r="BH510" s="2421"/>
      <c r="BJ510" s="2421"/>
      <c r="BL510" s="2420"/>
      <c r="BR510" s="2421"/>
    </row>
    <row r="511" spans="1:70">
      <c r="A511" s="2421"/>
      <c r="K511" s="2421"/>
      <c r="U511" s="2421"/>
      <c r="AG511" s="2421"/>
      <c r="AU511" s="2421"/>
      <c r="BG511" s="2421"/>
      <c r="BH511" s="2421"/>
      <c r="BJ511" s="2421"/>
      <c r="BL511" s="2420"/>
      <c r="BR511" s="2421"/>
    </row>
    <row r="512" spans="1:70">
      <c r="A512" s="2421"/>
      <c r="K512" s="2421"/>
      <c r="U512" s="2421"/>
      <c r="AG512" s="2421"/>
      <c r="AU512" s="2421"/>
      <c r="BG512" s="2421"/>
      <c r="BH512" s="2421"/>
      <c r="BJ512" s="2421"/>
      <c r="BL512" s="2420"/>
      <c r="BR512" s="2421"/>
    </row>
    <row r="513" spans="1:70">
      <c r="A513" s="2421"/>
      <c r="K513" s="2421"/>
      <c r="U513" s="2421"/>
      <c r="AG513" s="2421"/>
      <c r="AU513" s="2421"/>
      <c r="BG513" s="2421"/>
      <c r="BH513" s="2421"/>
      <c r="BJ513" s="2421"/>
      <c r="BL513" s="2420"/>
      <c r="BR513" s="2421"/>
    </row>
    <row r="514" spans="1:70">
      <c r="A514" s="2421"/>
      <c r="K514" s="2421"/>
      <c r="U514" s="2421"/>
      <c r="AG514" s="2421"/>
      <c r="AU514" s="2421"/>
      <c r="BG514" s="2421"/>
      <c r="BH514" s="2421"/>
      <c r="BJ514" s="2421"/>
      <c r="BL514" s="2420"/>
      <c r="BR514" s="2421"/>
    </row>
    <row r="515" spans="1:70">
      <c r="A515" s="2421"/>
      <c r="K515" s="2421"/>
      <c r="U515" s="2421"/>
      <c r="AG515" s="2421"/>
      <c r="AU515" s="2421"/>
      <c r="BG515" s="2421"/>
      <c r="BH515" s="2421"/>
      <c r="BJ515" s="2421"/>
      <c r="BL515" s="2420"/>
      <c r="BR515" s="2421"/>
    </row>
    <row r="516" spans="1:70">
      <c r="A516" s="2421"/>
      <c r="K516" s="2421"/>
      <c r="U516" s="2421"/>
      <c r="AG516" s="2421"/>
      <c r="AU516" s="2421"/>
      <c r="BG516" s="2421"/>
      <c r="BH516" s="2421"/>
      <c r="BJ516" s="2421"/>
      <c r="BL516" s="2420"/>
      <c r="BR516" s="2421"/>
    </row>
    <row r="517" spans="1:70">
      <c r="A517" s="2421"/>
      <c r="K517" s="2421"/>
      <c r="U517" s="2421"/>
      <c r="AG517" s="2421"/>
      <c r="AU517" s="2421"/>
      <c r="BG517" s="2421"/>
      <c r="BH517" s="2421"/>
      <c r="BJ517" s="2421"/>
      <c r="BL517" s="2420"/>
      <c r="BR517" s="2421"/>
    </row>
    <row r="518" spans="1:70">
      <c r="A518" s="2421"/>
      <c r="K518" s="2421"/>
      <c r="U518" s="2421"/>
      <c r="AG518" s="2421"/>
      <c r="AU518" s="2421"/>
      <c r="BG518" s="2421"/>
      <c r="BH518" s="2421"/>
      <c r="BJ518" s="2421"/>
      <c r="BL518" s="2420"/>
      <c r="BR518" s="2421"/>
    </row>
    <row r="519" spans="1:70">
      <c r="A519" s="2421"/>
      <c r="K519" s="2421"/>
      <c r="U519" s="2421"/>
      <c r="AG519" s="2421"/>
      <c r="AU519" s="2421"/>
      <c r="BG519" s="2421"/>
      <c r="BH519" s="2421"/>
      <c r="BJ519" s="2421"/>
      <c r="BL519" s="2420"/>
      <c r="BR519" s="2421"/>
    </row>
    <row r="520" spans="1:70">
      <c r="A520" s="2421"/>
      <c r="K520" s="2421"/>
      <c r="U520" s="2421"/>
      <c r="AG520" s="2421"/>
      <c r="AU520" s="2421"/>
      <c r="BG520" s="2421"/>
      <c r="BH520" s="2421"/>
      <c r="BJ520" s="2421"/>
      <c r="BL520" s="2420"/>
      <c r="BR520" s="2421"/>
    </row>
    <row r="521" spans="1:70">
      <c r="A521" s="2421"/>
      <c r="K521" s="2421"/>
      <c r="U521" s="2421"/>
      <c r="AG521" s="2421"/>
      <c r="AU521" s="2421"/>
      <c r="BG521" s="2421"/>
      <c r="BH521" s="2421"/>
      <c r="BJ521" s="2421"/>
      <c r="BL521" s="2420"/>
      <c r="BR521" s="2421"/>
    </row>
    <row r="522" spans="1:70">
      <c r="A522" s="2421"/>
      <c r="K522" s="2421"/>
      <c r="U522" s="2421"/>
      <c r="AG522" s="2421"/>
      <c r="AU522" s="2421"/>
      <c r="BG522" s="2421"/>
      <c r="BH522" s="2421"/>
      <c r="BJ522" s="2421"/>
      <c r="BL522" s="2420"/>
      <c r="BR522" s="2421"/>
    </row>
    <row r="523" spans="1:70">
      <c r="A523" s="2421"/>
      <c r="K523" s="2421"/>
      <c r="U523" s="2421"/>
      <c r="AG523" s="2421"/>
      <c r="AU523" s="2421"/>
      <c r="BG523" s="2421"/>
      <c r="BH523" s="2421"/>
      <c r="BJ523" s="2421"/>
      <c r="BL523" s="2420"/>
      <c r="BR523" s="2421"/>
    </row>
    <row r="524" spans="1:70">
      <c r="A524" s="2421"/>
      <c r="K524" s="2421"/>
      <c r="U524" s="2421"/>
      <c r="AG524" s="2421"/>
      <c r="AU524" s="2421"/>
      <c r="BG524" s="2421"/>
      <c r="BH524" s="2421"/>
      <c r="BJ524" s="2421"/>
      <c r="BL524" s="2420"/>
      <c r="BR524" s="2421"/>
    </row>
    <row r="525" spans="1:70">
      <c r="A525" s="2421"/>
      <c r="K525" s="2421"/>
      <c r="U525" s="2421"/>
      <c r="AG525" s="2421"/>
      <c r="AU525" s="2421"/>
      <c r="BG525" s="2421"/>
      <c r="BH525" s="2421"/>
      <c r="BJ525" s="2421"/>
      <c r="BL525" s="2420"/>
      <c r="BR525" s="2421"/>
    </row>
    <row r="526" spans="1:70">
      <c r="A526" s="2421"/>
      <c r="K526" s="2421"/>
      <c r="U526" s="2421"/>
      <c r="AG526" s="2421"/>
      <c r="AU526" s="2421"/>
      <c r="BG526" s="2421"/>
      <c r="BH526" s="2421"/>
      <c r="BJ526" s="2421"/>
      <c r="BL526" s="2420"/>
      <c r="BR526" s="2421"/>
    </row>
    <row r="527" spans="1:70">
      <c r="A527" s="2421"/>
      <c r="K527" s="2421"/>
      <c r="U527" s="2421"/>
      <c r="AG527" s="2421"/>
      <c r="AU527" s="2421"/>
      <c r="BG527" s="2421"/>
      <c r="BH527" s="2421"/>
      <c r="BJ527" s="2421"/>
      <c r="BL527" s="2420"/>
      <c r="BR527" s="2421"/>
    </row>
    <row r="528" spans="1:70">
      <c r="A528" s="2421"/>
      <c r="K528" s="2421"/>
      <c r="U528" s="2421"/>
      <c r="AG528" s="2421"/>
      <c r="AU528" s="2421"/>
      <c r="BG528" s="2421"/>
      <c r="BH528" s="2421"/>
      <c r="BJ528" s="2421"/>
      <c r="BL528" s="2420"/>
      <c r="BR528" s="2421"/>
    </row>
    <row r="529" spans="1:70">
      <c r="A529" s="2421"/>
      <c r="K529" s="2421"/>
      <c r="U529" s="2421"/>
      <c r="AG529" s="2421"/>
      <c r="AU529" s="2421"/>
      <c r="BG529" s="2421"/>
      <c r="BH529" s="2421"/>
      <c r="BJ529" s="2421"/>
      <c r="BL529" s="2420"/>
      <c r="BR529" s="2421"/>
    </row>
    <row r="530" spans="1:70">
      <c r="A530" s="2421"/>
      <c r="K530" s="2421"/>
      <c r="U530" s="2421"/>
      <c r="AG530" s="2421"/>
      <c r="AU530" s="2421"/>
      <c r="BG530" s="2421"/>
      <c r="BH530" s="2421"/>
      <c r="BJ530" s="2421"/>
      <c r="BL530" s="2420"/>
      <c r="BR530" s="2421"/>
    </row>
    <row r="531" spans="1:70">
      <c r="A531" s="2421"/>
      <c r="K531" s="2421"/>
      <c r="U531" s="2421"/>
      <c r="AG531" s="2421"/>
      <c r="AU531" s="2421"/>
      <c r="BG531" s="2421"/>
      <c r="BH531" s="2421"/>
      <c r="BJ531" s="2421"/>
      <c r="BL531" s="2420"/>
      <c r="BR531" s="2421"/>
    </row>
    <row r="532" spans="1:70">
      <c r="A532" s="2421"/>
      <c r="K532" s="2421"/>
      <c r="U532" s="2421"/>
      <c r="AG532" s="2421"/>
      <c r="AU532" s="2421"/>
      <c r="BG532" s="2421"/>
      <c r="BH532" s="2421"/>
      <c r="BJ532" s="2421"/>
      <c r="BL532" s="2420"/>
      <c r="BR532" s="2421"/>
    </row>
    <row r="533" spans="1:70">
      <c r="A533" s="2421"/>
      <c r="K533" s="2421"/>
      <c r="U533" s="2421"/>
      <c r="AG533" s="2421"/>
      <c r="AU533" s="2421"/>
      <c r="BG533" s="2421"/>
      <c r="BH533" s="2421"/>
      <c r="BJ533" s="2421"/>
      <c r="BL533" s="2420"/>
      <c r="BR533" s="2421"/>
    </row>
    <row r="534" spans="1:70">
      <c r="A534" s="2421"/>
      <c r="K534" s="2421"/>
      <c r="U534" s="2421"/>
      <c r="AG534" s="2421"/>
      <c r="AU534" s="2421"/>
      <c r="BG534" s="2421"/>
      <c r="BH534" s="2421"/>
      <c r="BJ534" s="2421"/>
      <c r="BL534" s="2420"/>
      <c r="BR534" s="2421"/>
    </row>
    <row r="535" spans="1:70">
      <c r="A535" s="2421"/>
      <c r="K535" s="2421"/>
      <c r="U535" s="2421"/>
      <c r="AG535" s="2421"/>
      <c r="AU535" s="2421"/>
      <c r="BG535" s="2421"/>
      <c r="BH535" s="2421"/>
      <c r="BJ535" s="2421"/>
      <c r="BL535" s="2420"/>
      <c r="BR535" s="2421"/>
    </row>
    <row r="536" spans="1:70">
      <c r="A536" s="2421"/>
      <c r="K536" s="2421"/>
      <c r="U536" s="2421"/>
      <c r="AG536" s="2421"/>
      <c r="AU536" s="2421"/>
      <c r="BG536" s="2421"/>
      <c r="BH536" s="2421"/>
      <c r="BJ536" s="2421"/>
      <c r="BL536" s="2420"/>
      <c r="BR536" s="2421"/>
    </row>
    <row r="537" spans="1:70">
      <c r="A537" s="2421"/>
      <c r="K537" s="2421"/>
      <c r="U537" s="2421"/>
      <c r="AG537" s="2421"/>
      <c r="AU537" s="2421"/>
      <c r="BG537" s="2421"/>
      <c r="BH537" s="2421"/>
      <c r="BJ537" s="2421"/>
      <c r="BL537" s="2420"/>
      <c r="BR537" s="2421"/>
    </row>
    <row r="538" spans="1:70">
      <c r="A538" s="2421"/>
      <c r="K538" s="2421"/>
      <c r="U538" s="2421"/>
      <c r="AG538" s="2421"/>
      <c r="AU538" s="2421"/>
      <c r="BG538" s="2421"/>
      <c r="BH538" s="2421"/>
      <c r="BJ538" s="2421"/>
      <c r="BL538" s="2420"/>
      <c r="BR538" s="2421"/>
    </row>
    <row r="539" spans="1:70">
      <c r="A539" s="2421"/>
      <c r="K539" s="2421"/>
      <c r="U539" s="2421"/>
      <c r="AG539" s="2421"/>
      <c r="AU539" s="2421"/>
      <c r="BG539" s="2421"/>
      <c r="BH539" s="2421"/>
      <c r="BJ539" s="2421"/>
      <c r="BL539" s="2420"/>
      <c r="BR539" s="2421"/>
    </row>
    <row r="540" spans="1:70">
      <c r="A540" s="2421"/>
      <c r="K540" s="2421"/>
      <c r="U540" s="2421"/>
      <c r="AG540" s="2421"/>
      <c r="AU540" s="2421"/>
      <c r="BG540" s="2421"/>
      <c r="BH540" s="2421"/>
      <c r="BJ540" s="2421"/>
      <c r="BL540" s="2420"/>
      <c r="BR540" s="2421"/>
    </row>
    <row r="541" spans="1:70">
      <c r="A541" s="2421"/>
      <c r="K541" s="2421"/>
      <c r="U541" s="2421"/>
      <c r="AG541" s="2421"/>
      <c r="AU541" s="2421"/>
      <c r="BG541" s="2421"/>
      <c r="BH541" s="2421"/>
      <c r="BJ541" s="2421"/>
      <c r="BL541" s="2420"/>
      <c r="BR541" s="2421"/>
    </row>
    <row r="542" spans="1:70">
      <c r="A542" s="2421"/>
      <c r="K542" s="2421"/>
      <c r="U542" s="2421"/>
      <c r="AG542" s="2421"/>
      <c r="AU542" s="2421"/>
      <c r="BG542" s="2421"/>
      <c r="BH542" s="2421"/>
      <c r="BJ542" s="2421"/>
      <c r="BL542" s="2420"/>
      <c r="BR542" s="2421"/>
    </row>
    <row r="543" spans="1:70">
      <c r="A543" s="2421"/>
      <c r="K543" s="2421"/>
      <c r="U543" s="2421"/>
      <c r="AG543" s="2421"/>
      <c r="AU543" s="2421"/>
      <c r="BG543" s="2421"/>
      <c r="BH543" s="2421"/>
      <c r="BJ543" s="2421"/>
      <c r="BL543" s="2420"/>
      <c r="BR543" s="2421"/>
    </row>
    <row r="544" spans="1:70">
      <c r="A544" s="2421"/>
      <c r="K544" s="2421"/>
      <c r="U544" s="2421"/>
      <c r="AG544" s="2421"/>
      <c r="AU544" s="2421"/>
      <c r="BG544" s="2421"/>
      <c r="BH544" s="2421"/>
      <c r="BJ544" s="2421"/>
      <c r="BL544" s="2420"/>
      <c r="BR544" s="2421"/>
    </row>
    <row r="545" spans="1:70">
      <c r="A545" s="2421"/>
      <c r="K545" s="2421"/>
      <c r="U545" s="2421"/>
      <c r="AG545" s="2421"/>
      <c r="AU545" s="2421"/>
      <c r="BG545" s="2421"/>
      <c r="BH545" s="2421"/>
      <c r="BJ545" s="2421"/>
      <c r="BL545" s="2420"/>
      <c r="BR545" s="2421"/>
    </row>
    <row r="546" spans="1:70">
      <c r="A546" s="2421"/>
      <c r="K546" s="2421"/>
      <c r="U546" s="2421"/>
      <c r="AG546" s="2421"/>
      <c r="AU546" s="2421"/>
      <c r="BG546" s="2421"/>
      <c r="BH546" s="2421"/>
      <c r="BJ546" s="2421"/>
      <c r="BL546" s="2420"/>
      <c r="BR546" s="2421"/>
    </row>
    <row r="547" spans="1:70">
      <c r="A547" s="2421"/>
      <c r="K547" s="2421"/>
      <c r="U547" s="2421"/>
      <c r="AG547" s="2421"/>
      <c r="AU547" s="2421"/>
      <c r="BG547" s="2421"/>
      <c r="BH547" s="2421"/>
      <c r="BJ547" s="2421"/>
      <c r="BL547" s="2420"/>
      <c r="BR547" s="2421"/>
    </row>
    <row r="548" spans="1:70">
      <c r="A548" s="2421"/>
      <c r="K548" s="2421"/>
      <c r="U548" s="2421"/>
      <c r="AG548" s="2421"/>
      <c r="AU548" s="2421"/>
      <c r="BG548" s="2421"/>
      <c r="BH548" s="2421"/>
      <c r="BJ548" s="2421"/>
      <c r="BL548" s="2420"/>
      <c r="BR548" s="2421"/>
    </row>
    <row r="549" spans="1:70">
      <c r="A549" s="2421"/>
      <c r="K549" s="2421"/>
      <c r="U549" s="2421"/>
      <c r="AG549" s="2421"/>
      <c r="AU549" s="2421"/>
      <c r="BG549" s="2421"/>
      <c r="BH549" s="2421"/>
      <c r="BJ549" s="2421"/>
      <c r="BL549" s="2420"/>
      <c r="BR549" s="2421"/>
    </row>
    <row r="550" spans="1:70">
      <c r="A550" s="2421"/>
      <c r="K550" s="2421"/>
      <c r="U550" s="2421"/>
      <c r="AG550" s="2421"/>
      <c r="AU550" s="2421"/>
      <c r="BG550" s="2421"/>
      <c r="BH550" s="2421"/>
      <c r="BJ550" s="2421"/>
      <c r="BL550" s="2420"/>
      <c r="BR550" s="2421"/>
    </row>
    <row r="551" spans="1:70">
      <c r="A551" s="2421"/>
      <c r="K551" s="2421"/>
      <c r="U551" s="2421"/>
      <c r="AG551" s="2421"/>
      <c r="AU551" s="2421"/>
      <c r="BG551" s="2421"/>
      <c r="BH551" s="2421"/>
      <c r="BJ551" s="2421"/>
      <c r="BL551" s="2420"/>
      <c r="BR551" s="2421"/>
    </row>
    <row r="552" spans="1:70">
      <c r="A552" s="2421"/>
      <c r="K552" s="2421"/>
      <c r="U552" s="2421"/>
      <c r="AG552" s="2421"/>
      <c r="AU552" s="2421"/>
      <c r="BG552" s="2421"/>
      <c r="BH552" s="2421"/>
      <c r="BJ552" s="2421"/>
      <c r="BL552" s="2420"/>
      <c r="BR552" s="2421"/>
    </row>
    <row r="553" spans="1:70">
      <c r="A553" s="2421"/>
      <c r="K553" s="2421"/>
      <c r="U553" s="2421"/>
      <c r="AG553" s="2421"/>
      <c r="AU553" s="2421"/>
      <c r="BG553" s="2421"/>
      <c r="BH553" s="2421"/>
      <c r="BJ553" s="2421"/>
      <c r="BL553" s="2420"/>
      <c r="BR553" s="2421"/>
    </row>
    <row r="554" spans="1:70">
      <c r="A554" s="2421"/>
      <c r="K554" s="2421"/>
      <c r="U554" s="2421"/>
      <c r="AG554" s="2421"/>
      <c r="AU554" s="2421"/>
      <c r="BG554" s="2421"/>
      <c r="BH554" s="2421"/>
      <c r="BJ554" s="2421"/>
      <c r="BL554" s="2420"/>
      <c r="BR554" s="2421"/>
    </row>
    <row r="555" spans="1:70">
      <c r="A555" s="2421"/>
      <c r="K555" s="2421"/>
      <c r="U555" s="2421"/>
      <c r="AG555" s="2421"/>
      <c r="AU555" s="2421"/>
      <c r="BG555" s="2421"/>
      <c r="BH555" s="2421"/>
      <c r="BJ555" s="2421"/>
      <c r="BL555" s="2420"/>
      <c r="BR555" s="2421"/>
    </row>
    <row r="556" spans="1:70">
      <c r="A556" s="2421"/>
      <c r="K556" s="2421"/>
      <c r="U556" s="2421"/>
      <c r="AG556" s="2421"/>
      <c r="AU556" s="2421"/>
      <c r="BG556" s="2421"/>
      <c r="BH556" s="2421"/>
      <c r="BJ556" s="2421"/>
      <c r="BL556" s="2420"/>
      <c r="BR556" s="2421"/>
    </row>
    <row r="557" spans="1:70">
      <c r="A557" s="2421"/>
      <c r="K557" s="2421"/>
      <c r="U557" s="2421"/>
      <c r="AG557" s="2421"/>
      <c r="AU557" s="2421"/>
      <c r="BG557" s="2421"/>
      <c r="BH557" s="2421"/>
      <c r="BJ557" s="2421"/>
      <c r="BL557" s="2420"/>
      <c r="BR557" s="2421"/>
    </row>
    <row r="558" spans="1:70">
      <c r="A558" s="2421"/>
      <c r="K558" s="2421"/>
      <c r="U558" s="2421"/>
      <c r="AG558" s="2421"/>
      <c r="AU558" s="2421"/>
      <c r="BG558" s="2421"/>
      <c r="BH558" s="2421"/>
      <c r="BJ558" s="2421"/>
      <c r="BL558" s="2420"/>
      <c r="BR558" s="2421"/>
    </row>
    <row r="559" spans="1:70">
      <c r="A559" s="2421"/>
      <c r="K559" s="2421"/>
      <c r="U559" s="2421"/>
      <c r="AG559" s="2421"/>
      <c r="AU559" s="2421"/>
      <c r="BG559" s="2421"/>
      <c r="BH559" s="2421"/>
      <c r="BJ559" s="2421"/>
      <c r="BL559" s="2420"/>
      <c r="BR559" s="2421"/>
    </row>
    <row r="560" spans="1:70">
      <c r="A560" s="2421"/>
      <c r="K560" s="2421"/>
      <c r="U560" s="2421"/>
      <c r="AG560" s="2421"/>
      <c r="AU560" s="2421"/>
      <c r="BG560" s="2421"/>
      <c r="BH560" s="2421"/>
      <c r="BJ560" s="2421"/>
      <c r="BL560" s="2420"/>
      <c r="BR560" s="2421"/>
    </row>
    <row r="561" spans="1:70">
      <c r="A561" s="2421"/>
      <c r="K561" s="2421"/>
      <c r="U561" s="2421"/>
      <c r="AG561" s="2421"/>
      <c r="AU561" s="2421"/>
      <c r="BG561" s="2421"/>
      <c r="BH561" s="2421"/>
      <c r="BJ561" s="2421"/>
      <c r="BL561" s="2420"/>
      <c r="BR561" s="2421"/>
    </row>
    <row r="562" spans="1:70">
      <c r="A562" s="2421"/>
      <c r="K562" s="2421"/>
      <c r="U562" s="2421"/>
      <c r="AG562" s="2421"/>
      <c r="AU562" s="2421"/>
      <c r="BG562" s="2421"/>
      <c r="BH562" s="2421"/>
      <c r="BJ562" s="2421"/>
      <c r="BL562" s="2420"/>
      <c r="BR562" s="2421"/>
    </row>
    <row r="563" spans="1:70">
      <c r="A563" s="2421"/>
      <c r="K563" s="2421"/>
      <c r="U563" s="2421"/>
      <c r="AG563" s="2421"/>
      <c r="AU563" s="2421"/>
      <c r="BG563" s="2421"/>
      <c r="BH563" s="2421"/>
      <c r="BJ563" s="2421"/>
      <c r="BL563" s="2420"/>
      <c r="BR563" s="2421"/>
    </row>
    <row r="564" spans="1:70">
      <c r="A564" s="2421"/>
      <c r="K564" s="2421"/>
      <c r="U564" s="2421"/>
      <c r="AG564" s="2421"/>
      <c r="AU564" s="2421"/>
      <c r="BG564" s="2421"/>
      <c r="BH564" s="2421"/>
      <c r="BJ564" s="2421"/>
      <c r="BL564" s="2420"/>
      <c r="BR564" s="2421"/>
    </row>
    <row r="565" spans="1:70">
      <c r="A565" s="2421"/>
      <c r="K565" s="2421"/>
      <c r="U565" s="2421"/>
      <c r="AG565" s="2421"/>
      <c r="AU565" s="2421"/>
      <c r="BG565" s="2421"/>
      <c r="BH565" s="2421"/>
      <c r="BJ565" s="2421"/>
      <c r="BL565" s="2420"/>
      <c r="BR565" s="2421"/>
    </row>
    <row r="566" spans="1:70">
      <c r="A566" s="2421"/>
      <c r="K566" s="2421"/>
      <c r="U566" s="2421"/>
      <c r="AG566" s="2421"/>
      <c r="AU566" s="2421"/>
      <c r="BG566" s="2421"/>
      <c r="BH566" s="2421"/>
      <c r="BJ566" s="2421"/>
      <c r="BL566" s="2420"/>
      <c r="BR566" s="2421"/>
    </row>
    <row r="567" spans="1:70">
      <c r="A567" s="2421"/>
      <c r="K567" s="2421"/>
      <c r="U567" s="2421"/>
      <c r="AG567" s="2421"/>
      <c r="AU567" s="2421"/>
      <c r="BG567" s="2421"/>
      <c r="BH567" s="2421"/>
      <c r="BJ567" s="2421"/>
      <c r="BL567" s="2420"/>
      <c r="BR567" s="2421"/>
    </row>
    <row r="568" spans="1:70">
      <c r="A568" s="2421"/>
      <c r="K568" s="2421"/>
      <c r="U568" s="2421"/>
      <c r="AG568" s="2421"/>
      <c r="AU568" s="2421"/>
      <c r="BG568" s="2421"/>
      <c r="BH568" s="2421"/>
      <c r="BJ568" s="2421"/>
      <c r="BL568" s="2420"/>
      <c r="BR568" s="2421"/>
    </row>
    <row r="569" spans="1:70">
      <c r="A569" s="2421"/>
      <c r="K569" s="2421"/>
      <c r="U569" s="2421"/>
      <c r="AG569" s="2421"/>
      <c r="AU569" s="2421"/>
      <c r="BG569" s="2421"/>
      <c r="BH569" s="2421"/>
      <c r="BJ569" s="2421"/>
      <c r="BL569" s="2420"/>
      <c r="BR569" s="2421"/>
    </row>
    <row r="570" spans="1:70">
      <c r="A570" s="2421"/>
      <c r="K570" s="2421"/>
      <c r="U570" s="2421"/>
      <c r="AG570" s="2421"/>
      <c r="AU570" s="2421"/>
      <c r="BG570" s="2421"/>
      <c r="BH570" s="2421"/>
      <c r="BJ570" s="2421"/>
      <c r="BL570" s="2420"/>
      <c r="BR570" s="2421"/>
    </row>
    <row r="571" spans="1:70">
      <c r="A571" s="2421"/>
      <c r="K571" s="2421"/>
      <c r="U571" s="2421"/>
      <c r="AG571" s="2421"/>
      <c r="AU571" s="2421"/>
      <c r="BG571" s="2421"/>
      <c r="BH571" s="2421"/>
      <c r="BJ571" s="2421"/>
      <c r="BL571" s="2420"/>
      <c r="BR571" s="2421"/>
    </row>
    <row r="572" spans="1:70">
      <c r="A572" s="2421"/>
      <c r="K572" s="2421"/>
      <c r="U572" s="2421"/>
      <c r="AG572" s="2421"/>
      <c r="AU572" s="2421"/>
      <c r="BG572" s="2421"/>
      <c r="BH572" s="2421"/>
      <c r="BJ572" s="2421"/>
      <c r="BL572" s="2420"/>
      <c r="BR572" s="2421"/>
    </row>
    <row r="573" spans="1:70">
      <c r="A573" s="2421"/>
      <c r="K573" s="2421"/>
      <c r="U573" s="2421"/>
      <c r="AG573" s="2421"/>
      <c r="AU573" s="2421"/>
      <c r="BG573" s="2421"/>
      <c r="BH573" s="2421"/>
      <c r="BJ573" s="2421"/>
      <c r="BL573" s="2420"/>
      <c r="BR573" s="2421"/>
    </row>
    <row r="574" spans="1:70">
      <c r="A574" s="2421"/>
      <c r="K574" s="2421"/>
      <c r="U574" s="2421"/>
      <c r="AG574" s="2421"/>
      <c r="AU574" s="2421"/>
      <c r="BG574" s="2421"/>
      <c r="BH574" s="2421"/>
      <c r="BJ574" s="2421"/>
      <c r="BL574" s="2420"/>
      <c r="BR574" s="2421"/>
    </row>
    <row r="575" spans="1:70">
      <c r="A575" s="2421"/>
      <c r="K575" s="2421"/>
      <c r="U575" s="2421"/>
      <c r="AG575" s="2421"/>
      <c r="AU575" s="2421"/>
      <c r="BG575" s="2421"/>
      <c r="BH575" s="2421"/>
      <c r="BJ575" s="2421"/>
      <c r="BL575" s="2420"/>
      <c r="BR575" s="2421"/>
    </row>
    <row r="576" spans="1:70">
      <c r="A576" s="2421"/>
      <c r="K576" s="2421"/>
      <c r="U576" s="2421"/>
      <c r="AG576" s="2421"/>
      <c r="AU576" s="2421"/>
      <c r="BG576" s="2421"/>
      <c r="BH576" s="2421"/>
      <c r="BJ576" s="2421"/>
      <c r="BL576" s="2420"/>
      <c r="BR576" s="2421"/>
    </row>
    <row r="577" spans="1:70">
      <c r="A577" s="2421"/>
      <c r="K577" s="2421"/>
      <c r="U577" s="2421"/>
      <c r="AG577" s="2421"/>
      <c r="AU577" s="2421"/>
      <c r="BG577" s="2421"/>
      <c r="BH577" s="2421"/>
      <c r="BJ577" s="2421"/>
      <c r="BL577" s="2420"/>
      <c r="BR577" s="2421"/>
    </row>
    <row r="578" spans="1:70">
      <c r="A578" s="2421"/>
      <c r="K578" s="2421"/>
      <c r="U578" s="2421"/>
      <c r="AG578" s="2421"/>
      <c r="AU578" s="2421"/>
      <c r="BG578" s="2421"/>
      <c r="BH578" s="2421"/>
      <c r="BJ578" s="2421"/>
      <c r="BL578" s="2420"/>
      <c r="BR578" s="2421"/>
    </row>
    <row r="579" spans="1:70">
      <c r="A579" s="2421"/>
      <c r="K579" s="2421"/>
      <c r="U579" s="2421"/>
      <c r="AG579" s="2421"/>
      <c r="AU579" s="2421"/>
      <c r="BG579" s="2421"/>
      <c r="BH579" s="2421"/>
      <c r="BJ579" s="2421"/>
      <c r="BL579" s="2420"/>
      <c r="BR579" s="2421"/>
    </row>
    <row r="580" spans="1:70">
      <c r="A580" s="2421"/>
      <c r="K580" s="2421"/>
      <c r="U580" s="2421"/>
      <c r="AG580" s="2421"/>
      <c r="AU580" s="2421"/>
      <c r="BG580" s="2421"/>
      <c r="BH580" s="2421"/>
      <c r="BJ580" s="2421"/>
      <c r="BL580" s="2420"/>
      <c r="BR580" s="2421"/>
    </row>
    <row r="581" spans="1:70">
      <c r="A581" s="2421"/>
      <c r="K581" s="2421"/>
      <c r="U581" s="2421"/>
      <c r="AG581" s="2421"/>
      <c r="AU581" s="2421"/>
      <c r="BG581" s="2421"/>
      <c r="BH581" s="2421"/>
      <c r="BJ581" s="2421"/>
      <c r="BL581" s="2420"/>
      <c r="BR581" s="2421"/>
    </row>
    <row r="582" spans="1:70">
      <c r="A582" s="2421"/>
      <c r="K582" s="2421"/>
      <c r="U582" s="2421"/>
      <c r="AG582" s="2421"/>
      <c r="AU582" s="2421"/>
      <c r="BG582" s="2421"/>
      <c r="BH582" s="2421"/>
      <c r="BJ582" s="2421"/>
      <c r="BL582" s="2420"/>
      <c r="BR582" s="2421"/>
    </row>
    <row r="583" spans="1:70">
      <c r="A583" s="2421"/>
      <c r="K583" s="2421"/>
      <c r="U583" s="2421"/>
      <c r="AG583" s="2421"/>
      <c r="AU583" s="2421"/>
      <c r="BG583" s="2421"/>
      <c r="BH583" s="2421"/>
      <c r="BJ583" s="2421"/>
      <c r="BL583" s="2420"/>
      <c r="BR583" s="2421"/>
    </row>
    <row r="584" spans="1:70">
      <c r="A584" s="2421"/>
      <c r="K584" s="2421"/>
      <c r="U584" s="2421"/>
      <c r="AG584" s="2421"/>
      <c r="AU584" s="2421"/>
      <c r="BG584" s="2421"/>
      <c r="BH584" s="2421"/>
      <c r="BJ584" s="2421"/>
      <c r="BL584" s="2420"/>
      <c r="BR584" s="2421"/>
    </row>
    <row r="585" spans="1:70">
      <c r="A585" s="2421"/>
      <c r="K585" s="2421"/>
      <c r="U585" s="2421"/>
      <c r="AG585" s="2421"/>
      <c r="AU585" s="2421"/>
      <c r="BG585" s="2421"/>
      <c r="BH585" s="2421"/>
      <c r="BJ585" s="2421"/>
      <c r="BL585" s="2420"/>
      <c r="BR585" s="2421"/>
    </row>
    <row r="586" spans="1:70">
      <c r="A586" s="2421"/>
      <c r="K586" s="2421"/>
      <c r="U586" s="2421"/>
      <c r="AG586" s="2421"/>
      <c r="AU586" s="2421"/>
      <c r="BG586" s="2421"/>
      <c r="BH586" s="2421"/>
      <c r="BJ586" s="2421"/>
      <c r="BL586" s="2420"/>
      <c r="BR586" s="2421"/>
    </row>
    <row r="587" spans="1:70">
      <c r="A587" s="2421"/>
      <c r="K587" s="2421"/>
      <c r="U587" s="2421"/>
      <c r="AG587" s="2421"/>
      <c r="AU587" s="2421"/>
      <c r="BG587" s="2421"/>
      <c r="BH587" s="2421"/>
      <c r="BJ587" s="2421"/>
      <c r="BL587" s="2420"/>
      <c r="BR587" s="2421"/>
    </row>
    <row r="588" spans="1:70">
      <c r="A588" s="2421"/>
      <c r="K588" s="2421"/>
      <c r="U588" s="2421"/>
      <c r="AG588" s="2421"/>
      <c r="AU588" s="2421"/>
      <c r="BG588" s="2421"/>
      <c r="BH588" s="2421"/>
      <c r="BJ588" s="2421"/>
      <c r="BL588" s="2420"/>
      <c r="BR588" s="2421"/>
    </row>
    <row r="589" spans="1:70">
      <c r="A589" s="2421"/>
      <c r="K589" s="2421"/>
      <c r="U589" s="2421"/>
      <c r="AG589" s="2421"/>
      <c r="AU589" s="2421"/>
      <c r="BG589" s="2421"/>
      <c r="BH589" s="2421"/>
      <c r="BJ589" s="2421"/>
      <c r="BL589" s="2420"/>
      <c r="BR589" s="2421"/>
    </row>
    <row r="590" spans="1:70">
      <c r="A590" s="2421"/>
      <c r="K590" s="2421"/>
      <c r="U590" s="2421"/>
      <c r="AG590" s="2421"/>
      <c r="AU590" s="2421"/>
      <c r="BG590" s="2421"/>
      <c r="BH590" s="2421"/>
      <c r="BJ590" s="2421"/>
      <c r="BL590" s="2420"/>
      <c r="BR590" s="2421"/>
    </row>
    <row r="591" spans="1:70">
      <c r="A591" s="2421"/>
      <c r="K591" s="2421"/>
      <c r="U591" s="2421"/>
      <c r="AG591" s="2421"/>
      <c r="AU591" s="2421"/>
      <c r="BG591" s="2421"/>
      <c r="BH591" s="2421"/>
      <c r="BJ591" s="2421"/>
      <c r="BL591" s="2420"/>
      <c r="BR591" s="2421"/>
    </row>
    <row r="592" spans="1:70">
      <c r="A592" s="2421"/>
      <c r="K592" s="2421"/>
      <c r="U592" s="2421"/>
      <c r="AG592" s="2421"/>
      <c r="AU592" s="2421"/>
      <c r="BG592" s="2421"/>
      <c r="BH592" s="2421"/>
      <c r="BJ592" s="2421"/>
      <c r="BL592" s="2420"/>
      <c r="BR592" s="2421"/>
    </row>
    <row r="593" spans="1:70">
      <c r="A593" s="2421"/>
      <c r="K593" s="2421"/>
      <c r="U593" s="2421"/>
      <c r="AG593" s="2421"/>
      <c r="AU593" s="2421"/>
      <c r="BG593" s="2421"/>
      <c r="BH593" s="2421"/>
      <c r="BJ593" s="2421"/>
      <c r="BL593" s="2420"/>
      <c r="BR593" s="2421"/>
    </row>
    <row r="594" spans="1:70">
      <c r="A594" s="2421"/>
      <c r="K594" s="2421"/>
      <c r="U594" s="2421"/>
      <c r="AG594" s="2421"/>
      <c r="AU594" s="2421"/>
      <c r="BG594" s="2421"/>
      <c r="BH594" s="2421"/>
      <c r="BJ594" s="2421"/>
      <c r="BL594" s="2420"/>
      <c r="BR594" s="2421"/>
    </row>
    <row r="595" spans="1:70">
      <c r="A595" s="2421"/>
      <c r="K595" s="2421"/>
      <c r="U595" s="2421"/>
      <c r="AG595" s="2421"/>
      <c r="AU595" s="2421"/>
      <c r="BG595" s="2421"/>
      <c r="BH595" s="2421"/>
      <c r="BJ595" s="2421"/>
      <c r="BL595" s="2420"/>
      <c r="BR595" s="2421"/>
    </row>
    <row r="596" spans="1:70">
      <c r="A596" s="2421"/>
      <c r="K596" s="2421"/>
      <c r="U596" s="2421"/>
      <c r="AG596" s="2421"/>
      <c r="AU596" s="2421"/>
      <c r="BG596" s="2421"/>
      <c r="BH596" s="2421"/>
      <c r="BJ596" s="2421"/>
      <c r="BL596" s="2420"/>
      <c r="BR596" s="2421"/>
    </row>
    <row r="597" spans="1:70">
      <c r="A597" s="2421"/>
      <c r="K597" s="2421"/>
      <c r="U597" s="2421"/>
      <c r="AG597" s="2421"/>
      <c r="AU597" s="2421"/>
      <c r="BG597" s="2421"/>
      <c r="BH597" s="2421"/>
      <c r="BJ597" s="2421"/>
      <c r="BL597" s="2420"/>
      <c r="BR597" s="2421"/>
    </row>
    <row r="598" spans="1:70">
      <c r="A598" s="2421"/>
      <c r="K598" s="2421"/>
      <c r="U598" s="2421"/>
      <c r="AG598" s="2421"/>
      <c r="AU598" s="2421"/>
      <c r="BG598" s="2421"/>
      <c r="BH598" s="2421"/>
      <c r="BJ598" s="2421"/>
      <c r="BL598" s="2420"/>
      <c r="BR598" s="2421"/>
    </row>
    <row r="599" spans="1:70">
      <c r="A599" s="2421"/>
      <c r="K599" s="2421"/>
      <c r="U599" s="2421"/>
      <c r="AG599" s="2421"/>
      <c r="AU599" s="2421"/>
      <c r="BG599" s="2421"/>
      <c r="BH599" s="2421"/>
      <c r="BJ599" s="2421"/>
      <c r="BL599" s="2420"/>
      <c r="BR599" s="2421"/>
    </row>
    <row r="600" spans="1:70">
      <c r="A600" s="2421"/>
      <c r="K600" s="2421"/>
      <c r="U600" s="2421"/>
      <c r="AG600" s="2421"/>
      <c r="AU600" s="2421"/>
      <c r="BG600" s="2421"/>
      <c r="BH600" s="2421"/>
      <c r="BJ600" s="2421"/>
      <c r="BL600" s="2420"/>
      <c r="BR600" s="2421"/>
    </row>
    <row r="601" spans="1:70">
      <c r="A601" s="2421"/>
      <c r="K601" s="2421"/>
      <c r="U601" s="2421"/>
      <c r="AG601" s="2421"/>
      <c r="AU601" s="2421"/>
      <c r="BG601" s="2421"/>
      <c r="BH601" s="2421"/>
      <c r="BJ601" s="2421"/>
      <c r="BL601" s="2420"/>
      <c r="BR601" s="2421"/>
    </row>
    <row r="602" spans="1:70">
      <c r="A602" s="2421"/>
      <c r="K602" s="2421"/>
      <c r="U602" s="2421"/>
      <c r="AG602" s="2421"/>
      <c r="AU602" s="2421"/>
      <c r="BG602" s="2421"/>
      <c r="BH602" s="2421"/>
      <c r="BJ602" s="2421"/>
      <c r="BL602" s="2420"/>
      <c r="BR602" s="2421"/>
    </row>
    <row r="603" spans="1:70">
      <c r="A603" s="2421"/>
      <c r="K603" s="2421"/>
      <c r="U603" s="2421"/>
      <c r="AG603" s="2421"/>
      <c r="AU603" s="2421"/>
      <c r="BG603" s="2421"/>
      <c r="BH603" s="2421"/>
      <c r="BJ603" s="2421"/>
      <c r="BL603" s="2420"/>
      <c r="BR603" s="2421"/>
    </row>
    <row r="604" spans="1:70">
      <c r="A604" s="2421"/>
      <c r="K604" s="2421"/>
      <c r="U604" s="2421"/>
      <c r="AG604" s="2421"/>
      <c r="AU604" s="2421"/>
      <c r="BG604" s="2421"/>
      <c r="BH604" s="2421"/>
      <c r="BJ604" s="2421"/>
      <c r="BL604" s="2420"/>
      <c r="BR604" s="2421"/>
    </row>
    <row r="605" spans="1:70">
      <c r="A605" s="2421"/>
      <c r="K605" s="2421"/>
      <c r="U605" s="2421"/>
      <c r="AG605" s="2421"/>
      <c r="AU605" s="2421"/>
      <c r="BG605" s="2421"/>
      <c r="BH605" s="2421"/>
      <c r="BJ605" s="2421"/>
      <c r="BL605" s="2420"/>
      <c r="BR605" s="2421"/>
    </row>
    <row r="606" spans="1:70">
      <c r="A606" s="2421"/>
      <c r="K606" s="2421"/>
      <c r="U606" s="2421"/>
      <c r="AG606" s="2421"/>
      <c r="AU606" s="2421"/>
      <c r="BG606" s="2421"/>
      <c r="BH606" s="2421"/>
      <c r="BJ606" s="2421"/>
      <c r="BL606" s="2420"/>
      <c r="BR606" s="2421"/>
    </row>
    <row r="607" spans="1:70">
      <c r="A607" s="2421"/>
      <c r="K607" s="2421"/>
      <c r="U607" s="2421"/>
      <c r="AG607" s="2421"/>
      <c r="AU607" s="2421"/>
      <c r="BG607" s="2421"/>
      <c r="BH607" s="2421"/>
      <c r="BJ607" s="2421"/>
      <c r="BL607" s="2420"/>
      <c r="BR607" s="2421"/>
    </row>
    <row r="608" spans="1:70">
      <c r="A608" s="2421"/>
      <c r="K608" s="2421"/>
      <c r="U608" s="2421"/>
      <c r="AG608" s="2421"/>
      <c r="AU608" s="2421"/>
      <c r="BG608" s="2421"/>
      <c r="BH608" s="2421"/>
      <c r="BJ608" s="2421"/>
      <c r="BL608" s="2420"/>
      <c r="BR608" s="2421"/>
    </row>
    <row r="609" spans="1:70">
      <c r="A609" s="2421"/>
      <c r="K609" s="2421"/>
      <c r="U609" s="2421"/>
      <c r="AG609" s="2421"/>
      <c r="AU609" s="2421"/>
      <c r="BG609" s="2421"/>
      <c r="BH609" s="2421"/>
      <c r="BJ609" s="2421"/>
      <c r="BL609" s="2420"/>
      <c r="BR609" s="2421"/>
    </row>
    <row r="610" spans="1:70">
      <c r="A610" s="2421"/>
      <c r="K610" s="2421"/>
      <c r="U610" s="2421"/>
      <c r="AG610" s="2421"/>
      <c r="AU610" s="2421"/>
      <c r="BG610" s="2421"/>
      <c r="BH610" s="2421"/>
      <c r="BJ610" s="2421"/>
      <c r="BL610" s="2420"/>
      <c r="BR610" s="2421"/>
    </row>
    <row r="611" spans="1:70">
      <c r="A611" s="2421"/>
      <c r="K611" s="2421"/>
      <c r="U611" s="2421"/>
      <c r="AG611" s="2421"/>
      <c r="AU611" s="2421"/>
      <c r="BG611" s="2421"/>
      <c r="BH611" s="2421"/>
      <c r="BJ611" s="2421"/>
      <c r="BL611" s="2420"/>
      <c r="BR611" s="2421"/>
    </row>
    <row r="612" spans="1:70">
      <c r="A612" s="2421"/>
      <c r="K612" s="2421"/>
      <c r="U612" s="2421"/>
      <c r="AG612" s="2421"/>
      <c r="AU612" s="2421"/>
      <c r="BG612" s="2421"/>
      <c r="BH612" s="2421"/>
      <c r="BJ612" s="2421"/>
      <c r="BL612" s="2420"/>
      <c r="BR612" s="2421"/>
    </row>
    <row r="613" spans="1:70">
      <c r="A613" s="2421"/>
      <c r="K613" s="2421"/>
      <c r="U613" s="2421"/>
      <c r="AG613" s="2421"/>
      <c r="AU613" s="2421"/>
      <c r="BG613" s="2421"/>
      <c r="BH613" s="2421"/>
      <c r="BJ613" s="2421"/>
      <c r="BL613" s="2420"/>
      <c r="BR613" s="2421"/>
    </row>
    <row r="614" spans="1:70">
      <c r="A614" s="2421"/>
      <c r="K614" s="2421"/>
      <c r="U614" s="2421"/>
      <c r="AG614" s="2421"/>
      <c r="AU614" s="2421"/>
      <c r="BG614" s="2421"/>
      <c r="BH614" s="2421"/>
      <c r="BJ614" s="2421"/>
      <c r="BL614" s="2420"/>
      <c r="BR614" s="2421"/>
    </row>
    <row r="615" spans="1:70">
      <c r="A615" s="2421"/>
      <c r="K615" s="2421"/>
      <c r="U615" s="2421"/>
      <c r="AG615" s="2421"/>
      <c r="AU615" s="2421"/>
      <c r="BG615" s="2421"/>
      <c r="BH615" s="2421"/>
      <c r="BJ615" s="2421"/>
      <c r="BL615" s="2420"/>
      <c r="BR615" s="2421"/>
    </row>
    <row r="616" spans="1:70">
      <c r="A616" s="2421"/>
      <c r="K616" s="2421"/>
      <c r="U616" s="2421"/>
      <c r="AG616" s="2421"/>
      <c r="AU616" s="2421"/>
      <c r="BG616" s="2421"/>
      <c r="BH616" s="2421"/>
      <c r="BJ616" s="2421"/>
      <c r="BL616" s="2420"/>
      <c r="BR616" s="2421"/>
    </row>
    <row r="617" spans="1:70">
      <c r="A617" s="2421"/>
      <c r="K617" s="2421"/>
      <c r="U617" s="2421"/>
      <c r="AG617" s="2421"/>
      <c r="AU617" s="2421"/>
      <c r="BG617" s="2421"/>
      <c r="BH617" s="2421"/>
      <c r="BJ617" s="2421"/>
      <c r="BL617" s="2420"/>
      <c r="BR617" s="2421"/>
    </row>
    <row r="618" spans="1:70">
      <c r="A618" s="2421"/>
      <c r="K618" s="2421"/>
      <c r="U618" s="2421"/>
      <c r="AG618" s="2421"/>
      <c r="AU618" s="2421"/>
      <c r="BG618" s="2421"/>
      <c r="BH618" s="2421"/>
      <c r="BJ618" s="2421"/>
      <c r="BL618" s="2420"/>
      <c r="BR618" s="2421"/>
    </row>
    <row r="619" spans="1:70">
      <c r="A619" s="2421"/>
      <c r="K619" s="2421"/>
      <c r="U619" s="2421"/>
      <c r="AG619" s="2421"/>
      <c r="AU619" s="2421"/>
      <c r="BG619" s="2421"/>
      <c r="BH619" s="2421"/>
      <c r="BJ619" s="2421"/>
      <c r="BL619" s="2420"/>
      <c r="BR619" s="2421"/>
    </row>
    <row r="620" spans="1:70">
      <c r="A620" s="2421"/>
      <c r="K620" s="2421"/>
      <c r="U620" s="2421"/>
      <c r="AG620" s="2421"/>
      <c r="AU620" s="2421"/>
      <c r="BG620" s="2421"/>
      <c r="BH620" s="2421"/>
      <c r="BJ620" s="2421"/>
      <c r="BL620" s="2420"/>
      <c r="BR620" s="2421"/>
    </row>
    <row r="621" spans="1:70">
      <c r="A621" s="2421"/>
      <c r="K621" s="2421"/>
      <c r="U621" s="2421"/>
      <c r="AG621" s="2421"/>
      <c r="AU621" s="2421"/>
      <c r="BG621" s="2421"/>
      <c r="BH621" s="2421"/>
      <c r="BJ621" s="2421"/>
      <c r="BL621" s="2420"/>
      <c r="BR621" s="2421"/>
    </row>
    <row r="622" spans="1:70">
      <c r="A622" s="2421"/>
      <c r="K622" s="2421"/>
      <c r="U622" s="2421"/>
      <c r="AG622" s="2421"/>
      <c r="AU622" s="2421"/>
      <c r="BG622" s="2421"/>
      <c r="BH622" s="2421"/>
      <c r="BJ622" s="2421"/>
      <c r="BL622" s="2420"/>
      <c r="BR622" s="2421"/>
    </row>
    <row r="623" spans="1:70">
      <c r="A623" s="2421"/>
      <c r="K623" s="2421"/>
      <c r="U623" s="2421"/>
      <c r="AG623" s="2421"/>
      <c r="AU623" s="2421"/>
      <c r="BG623" s="2421"/>
      <c r="BH623" s="2421"/>
      <c r="BJ623" s="2421"/>
      <c r="BL623" s="2420"/>
      <c r="BR623" s="2421"/>
    </row>
    <row r="624" spans="1:70">
      <c r="A624" s="2421"/>
      <c r="K624" s="2421"/>
      <c r="U624" s="2421"/>
      <c r="AG624" s="2421"/>
      <c r="AU624" s="2421"/>
      <c r="BG624" s="2421"/>
      <c r="BH624" s="2421"/>
      <c r="BJ624" s="2421"/>
      <c r="BL624" s="2420"/>
      <c r="BR624" s="2421"/>
    </row>
    <row r="625" spans="1:70">
      <c r="A625" s="2421"/>
      <c r="K625" s="2421"/>
      <c r="U625" s="2421"/>
      <c r="AG625" s="2421"/>
      <c r="AU625" s="2421"/>
      <c r="BG625" s="2421"/>
      <c r="BH625" s="2421"/>
      <c r="BJ625" s="2421"/>
      <c r="BL625" s="2420"/>
      <c r="BR625" s="2421"/>
    </row>
    <row r="626" spans="1:70">
      <c r="A626" s="2421"/>
      <c r="K626" s="2421"/>
      <c r="U626" s="2421"/>
      <c r="AG626" s="2421"/>
      <c r="AU626" s="2421"/>
      <c r="BG626" s="2421"/>
      <c r="BH626" s="2421"/>
      <c r="BJ626" s="2421"/>
      <c r="BL626" s="2420"/>
      <c r="BR626" s="2421"/>
    </row>
    <row r="627" spans="1:70">
      <c r="A627" s="2421"/>
      <c r="K627" s="2421"/>
      <c r="U627" s="2421"/>
      <c r="AG627" s="2421"/>
      <c r="AU627" s="2421"/>
      <c r="BG627" s="2421"/>
      <c r="BH627" s="2421"/>
      <c r="BJ627" s="2421"/>
      <c r="BL627" s="2420"/>
      <c r="BR627" s="2421"/>
    </row>
    <row r="628" spans="1:70">
      <c r="A628" s="2421"/>
      <c r="K628" s="2421"/>
      <c r="U628" s="2421"/>
      <c r="AG628" s="2421"/>
      <c r="AU628" s="2421"/>
      <c r="BG628" s="2421"/>
      <c r="BH628" s="2421"/>
      <c r="BJ628" s="2421"/>
      <c r="BL628" s="2420"/>
      <c r="BR628" s="2421"/>
    </row>
    <row r="629" spans="1:70">
      <c r="A629" s="2421"/>
      <c r="K629" s="2421"/>
      <c r="U629" s="2421"/>
      <c r="AG629" s="2421"/>
      <c r="AU629" s="2421"/>
      <c r="BG629" s="2421"/>
      <c r="BH629" s="2421"/>
      <c r="BJ629" s="2421"/>
      <c r="BL629" s="2420"/>
      <c r="BR629" s="2421"/>
    </row>
    <row r="630" spans="1:70">
      <c r="A630" s="2421"/>
      <c r="K630" s="2421"/>
      <c r="U630" s="2421"/>
      <c r="AG630" s="2421"/>
      <c r="AU630" s="2421"/>
      <c r="BG630" s="2421"/>
      <c r="BH630" s="2421"/>
      <c r="BJ630" s="2421"/>
      <c r="BL630" s="2420"/>
      <c r="BR630" s="2421"/>
    </row>
    <row r="631" spans="1:70">
      <c r="A631" s="2421"/>
      <c r="K631" s="2421"/>
      <c r="U631" s="2421"/>
      <c r="AG631" s="2421"/>
      <c r="AU631" s="2421"/>
      <c r="BG631" s="2421"/>
      <c r="BH631" s="2421"/>
      <c r="BJ631" s="2421"/>
      <c r="BL631" s="2420"/>
      <c r="BR631" s="2421"/>
    </row>
    <row r="632" spans="1:70">
      <c r="A632" s="2421"/>
      <c r="K632" s="2421"/>
      <c r="U632" s="2421"/>
      <c r="AG632" s="2421"/>
      <c r="AU632" s="2421"/>
      <c r="BG632" s="2421"/>
      <c r="BH632" s="2421"/>
      <c r="BJ632" s="2421"/>
      <c r="BL632" s="2420"/>
      <c r="BR632" s="2421"/>
    </row>
    <row r="633" spans="1:70">
      <c r="A633" s="2421"/>
      <c r="K633" s="2421"/>
      <c r="U633" s="2421"/>
      <c r="AG633" s="2421"/>
      <c r="AU633" s="2421"/>
      <c r="BG633" s="2421"/>
      <c r="BH633" s="2421"/>
      <c r="BJ633" s="2421"/>
      <c r="BL633" s="2420"/>
      <c r="BR633" s="2421"/>
    </row>
    <row r="634" spans="1:70">
      <c r="A634" s="2421"/>
      <c r="K634" s="2421"/>
      <c r="U634" s="2421"/>
      <c r="AG634" s="2421"/>
      <c r="AU634" s="2421"/>
      <c r="BG634" s="2421"/>
      <c r="BH634" s="2421"/>
      <c r="BJ634" s="2421"/>
      <c r="BL634" s="2420"/>
      <c r="BR634" s="2421"/>
    </row>
    <row r="635" spans="1:70">
      <c r="A635" s="2421"/>
      <c r="K635" s="2421"/>
      <c r="U635" s="2421"/>
      <c r="AG635" s="2421"/>
      <c r="AU635" s="2421"/>
      <c r="BG635" s="2421"/>
      <c r="BH635" s="2421"/>
      <c r="BJ635" s="2421"/>
      <c r="BL635" s="2420"/>
      <c r="BR635" s="2421"/>
    </row>
    <row r="636" spans="1:70">
      <c r="A636" s="2421"/>
      <c r="K636" s="2421"/>
      <c r="U636" s="2421"/>
      <c r="AG636" s="2421"/>
      <c r="AU636" s="2421"/>
      <c r="BG636" s="2421"/>
      <c r="BH636" s="2421"/>
      <c r="BJ636" s="2421"/>
      <c r="BL636" s="2420"/>
      <c r="BR636" s="2421"/>
    </row>
    <row r="637" spans="1:70">
      <c r="A637" s="2421"/>
      <c r="K637" s="2421"/>
      <c r="U637" s="2421"/>
      <c r="AG637" s="2421"/>
      <c r="AU637" s="2421"/>
      <c r="BG637" s="2421"/>
      <c r="BH637" s="2421"/>
      <c r="BJ637" s="2421"/>
      <c r="BL637" s="2420"/>
      <c r="BR637" s="2421"/>
    </row>
    <row r="638" spans="1:70">
      <c r="A638" s="2421"/>
      <c r="K638" s="2421"/>
      <c r="U638" s="2421"/>
      <c r="AG638" s="2421"/>
      <c r="AU638" s="2421"/>
      <c r="BG638" s="2421"/>
      <c r="BH638" s="2421"/>
      <c r="BJ638" s="2421"/>
      <c r="BL638" s="2420"/>
      <c r="BR638" s="2421"/>
    </row>
    <row r="639" spans="1:70">
      <c r="A639" s="2421"/>
      <c r="K639" s="2421"/>
      <c r="U639" s="2421"/>
      <c r="AG639" s="2421"/>
      <c r="AU639" s="2421"/>
      <c r="BG639" s="2421"/>
      <c r="BH639" s="2421"/>
      <c r="BJ639" s="2421"/>
      <c r="BL639" s="2420"/>
      <c r="BR639" s="2421"/>
    </row>
    <row r="640" spans="1:70">
      <c r="A640" s="2421"/>
      <c r="K640" s="2421"/>
      <c r="U640" s="2421"/>
      <c r="AG640" s="2421"/>
      <c r="AU640" s="2421"/>
      <c r="BG640" s="2421"/>
      <c r="BH640" s="2421"/>
      <c r="BJ640" s="2421"/>
      <c r="BL640" s="2420"/>
      <c r="BR640" s="2421"/>
    </row>
    <row r="641" spans="1:70">
      <c r="A641" s="2421"/>
      <c r="K641" s="2421"/>
      <c r="U641" s="2421"/>
      <c r="AG641" s="2421"/>
      <c r="AU641" s="2421"/>
      <c r="BG641" s="2421"/>
      <c r="BH641" s="2421"/>
      <c r="BJ641" s="2421"/>
      <c r="BL641" s="2420"/>
      <c r="BR641" s="2421"/>
    </row>
    <row r="642" spans="1:70">
      <c r="A642" s="2421"/>
      <c r="K642" s="2421"/>
      <c r="U642" s="2421"/>
      <c r="AG642" s="2421"/>
      <c r="AU642" s="2421"/>
      <c r="BG642" s="2421"/>
      <c r="BH642" s="2421"/>
      <c r="BJ642" s="2421"/>
      <c r="BL642" s="2420"/>
      <c r="BR642" s="2421"/>
    </row>
    <row r="643" spans="1:70">
      <c r="A643" s="2421"/>
      <c r="K643" s="2421"/>
      <c r="U643" s="2421"/>
      <c r="AG643" s="2421"/>
      <c r="AU643" s="2421"/>
      <c r="BG643" s="2421"/>
      <c r="BH643" s="2421"/>
      <c r="BJ643" s="2421"/>
      <c r="BL643" s="2420"/>
      <c r="BR643" s="2421"/>
    </row>
    <row r="644" spans="1:70">
      <c r="A644" s="2421"/>
      <c r="K644" s="2421"/>
      <c r="U644" s="2421"/>
      <c r="AG644" s="2421"/>
      <c r="AU644" s="2421"/>
      <c r="BG644" s="2421"/>
      <c r="BH644" s="2421"/>
      <c r="BJ644" s="2421"/>
      <c r="BL644" s="2420"/>
      <c r="BR644" s="2421"/>
    </row>
    <row r="645" spans="1:70">
      <c r="A645" s="2421"/>
      <c r="K645" s="2421"/>
      <c r="U645" s="2421"/>
      <c r="AG645" s="2421"/>
      <c r="AU645" s="2421"/>
      <c r="BG645" s="2421"/>
      <c r="BH645" s="2421"/>
      <c r="BJ645" s="2421"/>
      <c r="BL645" s="2420"/>
      <c r="BR645" s="2421"/>
    </row>
    <row r="646" spans="1:70">
      <c r="A646" s="2421"/>
      <c r="K646" s="2421"/>
      <c r="U646" s="2421"/>
      <c r="AG646" s="2421"/>
      <c r="AU646" s="2421"/>
      <c r="BG646" s="2421"/>
      <c r="BH646" s="2421"/>
      <c r="BJ646" s="2421"/>
      <c r="BL646" s="2420"/>
      <c r="BR646" s="2421"/>
    </row>
    <row r="647" spans="1:70">
      <c r="A647" s="2421"/>
      <c r="K647" s="2421"/>
      <c r="U647" s="2421"/>
      <c r="AG647" s="2421"/>
      <c r="AU647" s="2421"/>
      <c r="BG647" s="2421"/>
      <c r="BH647" s="2421"/>
      <c r="BJ647" s="2421"/>
      <c r="BL647" s="2420"/>
      <c r="BR647" s="2421"/>
    </row>
    <row r="648" spans="1:70">
      <c r="A648" s="2421"/>
      <c r="K648" s="2421"/>
      <c r="U648" s="2421"/>
      <c r="AG648" s="2421"/>
      <c r="AU648" s="2421"/>
      <c r="BG648" s="2421"/>
      <c r="BH648" s="2421"/>
      <c r="BJ648" s="2421"/>
      <c r="BL648" s="2420"/>
      <c r="BR648" s="2421"/>
    </row>
    <row r="649" spans="1:70">
      <c r="A649" s="2421"/>
      <c r="K649" s="2421"/>
      <c r="U649" s="2421"/>
      <c r="AG649" s="2421"/>
      <c r="AU649" s="2421"/>
      <c r="BG649" s="2421"/>
      <c r="BH649" s="2421"/>
      <c r="BJ649" s="2421"/>
      <c r="BL649" s="2420"/>
      <c r="BR649" s="2421"/>
    </row>
    <row r="650" spans="1:70">
      <c r="A650" s="2421"/>
      <c r="K650" s="2421"/>
      <c r="U650" s="2421"/>
      <c r="AG650" s="2421"/>
      <c r="AU650" s="2421"/>
      <c r="BG650" s="2421"/>
      <c r="BH650" s="2421"/>
      <c r="BJ650" s="2421"/>
      <c r="BL650" s="2420"/>
      <c r="BR650" s="2421"/>
    </row>
    <row r="651" spans="1:70">
      <c r="A651" s="2421"/>
      <c r="K651" s="2421"/>
      <c r="U651" s="2421"/>
      <c r="AG651" s="2421"/>
      <c r="AU651" s="2421"/>
      <c r="BG651" s="2421"/>
      <c r="BH651" s="2421"/>
      <c r="BJ651" s="2421"/>
      <c r="BL651" s="2420"/>
      <c r="BR651" s="2421"/>
    </row>
    <row r="652" spans="1:70">
      <c r="A652" s="2421"/>
      <c r="K652" s="2421"/>
      <c r="U652" s="2421"/>
      <c r="AG652" s="2421"/>
      <c r="AU652" s="2421"/>
      <c r="BG652" s="2421"/>
      <c r="BH652" s="2421"/>
      <c r="BJ652" s="2421"/>
      <c r="BL652" s="2420"/>
      <c r="BR652" s="2421"/>
    </row>
    <row r="653" spans="1:70">
      <c r="A653" s="2421"/>
      <c r="K653" s="2421"/>
      <c r="U653" s="2421"/>
      <c r="AG653" s="2421"/>
      <c r="AU653" s="2421"/>
      <c r="BG653" s="2421"/>
      <c r="BH653" s="2421"/>
      <c r="BJ653" s="2421"/>
      <c r="BL653" s="2420"/>
      <c r="BR653" s="2421"/>
    </row>
    <row r="654" spans="1:70">
      <c r="A654" s="2421"/>
      <c r="K654" s="2421"/>
      <c r="U654" s="2421"/>
      <c r="AG654" s="2421"/>
      <c r="AU654" s="2421"/>
      <c r="BG654" s="2421"/>
      <c r="BH654" s="2421"/>
      <c r="BJ654" s="2421"/>
      <c r="BL654" s="2420"/>
      <c r="BR654" s="2421"/>
    </row>
    <row r="655" spans="1:70">
      <c r="A655" s="2421"/>
      <c r="K655" s="2421"/>
      <c r="U655" s="2421"/>
      <c r="AG655" s="2421"/>
      <c r="AU655" s="2421"/>
      <c r="BG655" s="2421"/>
      <c r="BH655" s="2421"/>
      <c r="BJ655" s="2421"/>
      <c r="BL655" s="2420"/>
      <c r="BR655" s="2421"/>
    </row>
    <row r="656" spans="1:70">
      <c r="A656" s="2421"/>
      <c r="K656" s="2421"/>
      <c r="U656" s="2421"/>
      <c r="AG656" s="2421"/>
      <c r="AU656" s="2421"/>
      <c r="BG656" s="2421"/>
      <c r="BH656" s="2421"/>
      <c r="BJ656" s="2421"/>
      <c r="BL656" s="2420"/>
      <c r="BR656" s="2421"/>
    </row>
    <row r="657" spans="1:70">
      <c r="A657" s="2421"/>
      <c r="K657" s="2421"/>
      <c r="U657" s="2421"/>
      <c r="AG657" s="2421"/>
      <c r="AU657" s="2421"/>
      <c r="BG657" s="2421"/>
      <c r="BH657" s="2421"/>
      <c r="BJ657" s="2421"/>
      <c r="BL657" s="2420"/>
      <c r="BR657" s="2421"/>
    </row>
    <row r="658" spans="1:70">
      <c r="A658" s="2421"/>
      <c r="K658" s="2421"/>
      <c r="U658" s="2421"/>
      <c r="AG658" s="2421"/>
      <c r="AU658" s="2421"/>
      <c r="BG658" s="2421"/>
      <c r="BH658" s="2421"/>
      <c r="BJ658" s="2421"/>
      <c r="BL658" s="2420"/>
      <c r="BR658" s="2421"/>
    </row>
    <row r="659" spans="1:70">
      <c r="A659" s="2421"/>
      <c r="K659" s="2421"/>
      <c r="U659" s="2421"/>
      <c r="AG659" s="2421"/>
      <c r="AU659" s="2421"/>
      <c r="BG659" s="2421"/>
      <c r="BH659" s="2421"/>
      <c r="BJ659" s="2421"/>
      <c r="BL659" s="2420"/>
      <c r="BR659" s="2421"/>
    </row>
    <row r="660" spans="1:70">
      <c r="A660" s="2421"/>
      <c r="K660" s="2421"/>
      <c r="U660" s="2421"/>
      <c r="AG660" s="2421"/>
      <c r="AU660" s="2421"/>
      <c r="BG660" s="2421"/>
      <c r="BH660" s="2421"/>
      <c r="BJ660" s="2421"/>
      <c r="BL660" s="2420"/>
      <c r="BR660" s="2421"/>
    </row>
    <row r="661" spans="1:70">
      <c r="A661" s="2421"/>
      <c r="K661" s="2421"/>
      <c r="U661" s="2421"/>
      <c r="AG661" s="2421"/>
      <c r="AU661" s="2421"/>
      <c r="BG661" s="2421"/>
      <c r="BH661" s="2421"/>
      <c r="BJ661" s="2421"/>
      <c r="BL661" s="2420"/>
      <c r="BR661" s="2421"/>
    </row>
    <row r="662" spans="1:70">
      <c r="A662" s="2421"/>
      <c r="K662" s="2421"/>
      <c r="U662" s="2421"/>
      <c r="AG662" s="2421"/>
      <c r="AU662" s="2421"/>
      <c r="BG662" s="2421"/>
      <c r="BH662" s="2421"/>
      <c r="BJ662" s="2421"/>
      <c r="BL662" s="2420"/>
      <c r="BR662" s="2421"/>
    </row>
    <row r="663" spans="1:70">
      <c r="A663" s="2421"/>
      <c r="K663" s="2421"/>
      <c r="U663" s="2421"/>
      <c r="AG663" s="2421"/>
      <c r="AU663" s="2421"/>
      <c r="BG663" s="2421"/>
      <c r="BH663" s="2421"/>
      <c r="BJ663" s="2421"/>
      <c r="BL663" s="2420"/>
      <c r="BR663" s="2421"/>
    </row>
    <row r="664" spans="1:70">
      <c r="A664" s="2421"/>
      <c r="K664" s="2421"/>
      <c r="U664" s="2421"/>
      <c r="AG664" s="2421"/>
      <c r="AU664" s="2421"/>
      <c r="BG664" s="2421"/>
      <c r="BH664" s="2421"/>
      <c r="BJ664" s="2421"/>
      <c r="BL664" s="2420"/>
      <c r="BR664" s="2421"/>
    </row>
    <row r="665" spans="1:70">
      <c r="A665" s="2421"/>
      <c r="K665" s="2421"/>
      <c r="U665" s="2421"/>
      <c r="AG665" s="2421"/>
      <c r="AU665" s="2421"/>
      <c r="BG665" s="2421"/>
      <c r="BH665" s="2421"/>
      <c r="BJ665" s="2421"/>
      <c r="BL665" s="2420"/>
      <c r="BR665" s="2421"/>
    </row>
    <row r="666" spans="1:70">
      <c r="A666" s="2421"/>
      <c r="K666" s="2421"/>
      <c r="U666" s="2421"/>
      <c r="AG666" s="2421"/>
      <c r="AU666" s="2421"/>
      <c r="BG666" s="2421"/>
      <c r="BH666" s="2421"/>
      <c r="BJ666" s="2421"/>
      <c r="BL666" s="2420"/>
      <c r="BR666" s="2421"/>
    </row>
    <row r="667" spans="1:70">
      <c r="A667" s="2421"/>
      <c r="K667" s="2421"/>
      <c r="U667" s="2421"/>
      <c r="AG667" s="2421"/>
      <c r="AU667" s="2421"/>
      <c r="BG667" s="2421"/>
      <c r="BH667" s="2421"/>
      <c r="BJ667" s="2421"/>
      <c r="BL667" s="2420"/>
      <c r="BR667" s="2421"/>
    </row>
    <row r="668" spans="1:70">
      <c r="A668" s="2421"/>
      <c r="K668" s="2421"/>
      <c r="U668" s="2421"/>
      <c r="AG668" s="2421"/>
      <c r="AU668" s="2421"/>
      <c r="BG668" s="2421"/>
      <c r="BH668" s="2421"/>
      <c r="BJ668" s="2421"/>
      <c r="BL668" s="2420"/>
      <c r="BR668" s="2421"/>
    </row>
    <row r="669" spans="1:70">
      <c r="A669" s="2421"/>
      <c r="K669" s="2421"/>
      <c r="U669" s="2421"/>
      <c r="AG669" s="2421"/>
      <c r="AU669" s="2421"/>
      <c r="BG669" s="2421"/>
      <c r="BH669" s="2421"/>
      <c r="BJ669" s="2421"/>
      <c r="BL669" s="2420"/>
      <c r="BR669" s="2421"/>
    </row>
    <row r="670" spans="1:70">
      <c r="A670" s="2421"/>
      <c r="K670" s="2421"/>
      <c r="U670" s="2421"/>
      <c r="AG670" s="2421"/>
      <c r="AU670" s="2421"/>
      <c r="BG670" s="2421"/>
      <c r="BH670" s="2421"/>
      <c r="BJ670" s="2421"/>
      <c r="BL670" s="2420"/>
      <c r="BR670" s="2421"/>
    </row>
    <row r="671" spans="1:70">
      <c r="A671" s="2421"/>
      <c r="K671" s="2421"/>
      <c r="U671" s="2421"/>
      <c r="AG671" s="2421"/>
      <c r="AU671" s="2421"/>
      <c r="BG671" s="2421"/>
      <c r="BH671" s="2421"/>
      <c r="BJ671" s="2421"/>
      <c r="BL671" s="2420"/>
      <c r="BR671" s="2421"/>
    </row>
    <row r="672" spans="1:70">
      <c r="A672" s="2421"/>
      <c r="K672" s="2421"/>
      <c r="U672" s="2421"/>
      <c r="AG672" s="2421"/>
      <c r="AU672" s="2421"/>
      <c r="BG672" s="2421"/>
      <c r="BH672" s="2421"/>
      <c r="BJ672" s="2421"/>
      <c r="BL672" s="2420"/>
      <c r="BR672" s="2421"/>
    </row>
    <row r="673" spans="1:70">
      <c r="A673" s="2421"/>
      <c r="K673" s="2421"/>
      <c r="U673" s="2421"/>
      <c r="AG673" s="2421"/>
      <c r="AU673" s="2421"/>
      <c r="BG673" s="2421"/>
      <c r="BH673" s="2421"/>
      <c r="BJ673" s="2421"/>
      <c r="BL673" s="2420"/>
      <c r="BR673" s="2421"/>
    </row>
    <row r="674" spans="1:70">
      <c r="A674" s="2421"/>
      <c r="K674" s="2421"/>
      <c r="U674" s="2421"/>
      <c r="AG674" s="2421"/>
      <c r="AU674" s="2421"/>
      <c r="BG674" s="2421"/>
      <c r="BH674" s="2421"/>
      <c r="BJ674" s="2421"/>
      <c r="BL674" s="2420"/>
      <c r="BR674" s="2421"/>
    </row>
    <row r="675" spans="1:70">
      <c r="A675" s="2421"/>
      <c r="K675" s="2421"/>
      <c r="U675" s="2421"/>
      <c r="AG675" s="2421"/>
      <c r="AU675" s="2421"/>
      <c r="BG675" s="2421"/>
      <c r="BH675" s="2421"/>
      <c r="BJ675" s="2421"/>
      <c r="BL675" s="2420"/>
      <c r="BR675" s="2421"/>
    </row>
    <row r="676" spans="1:70">
      <c r="A676" s="2421"/>
      <c r="K676" s="2421"/>
      <c r="U676" s="2421"/>
      <c r="AG676" s="2421"/>
      <c r="AU676" s="2421"/>
      <c r="BG676" s="2421"/>
      <c r="BH676" s="2421"/>
      <c r="BJ676" s="2421"/>
      <c r="BL676" s="2420"/>
      <c r="BR676" s="2421"/>
    </row>
    <row r="677" spans="1:70">
      <c r="A677" s="2421"/>
      <c r="K677" s="2421"/>
      <c r="U677" s="2421"/>
      <c r="AG677" s="2421"/>
      <c r="AU677" s="2421"/>
      <c r="BG677" s="2421"/>
      <c r="BH677" s="2421"/>
      <c r="BJ677" s="2421"/>
      <c r="BL677" s="2420"/>
      <c r="BR677" s="2421"/>
    </row>
    <row r="678" spans="1:70">
      <c r="A678" s="2421"/>
      <c r="K678" s="2421"/>
      <c r="U678" s="2421"/>
      <c r="AG678" s="2421"/>
      <c r="AU678" s="2421"/>
      <c r="BG678" s="2421"/>
      <c r="BH678" s="2421"/>
      <c r="BJ678" s="2421"/>
      <c r="BL678" s="2420"/>
      <c r="BR678" s="2421"/>
    </row>
    <row r="679" spans="1:70">
      <c r="A679" s="2421"/>
      <c r="K679" s="2421"/>
      <c r="U679" s="2421"/>
      <c r="AG679" s="2421"/>
      <c r="AU679" s="2421"/>
      <c r="BG679" s="2421"/>
      <c r="BH679" s="2421"/>
      <c r="BJ679" s="2421"/>
      <c r="BL679" s="2420"/>
      <c r="BR679" s="2421"/>
    </row>
    <row r="680" spans="1:70">
      <c r="A680" s="2421"/>
      <c r="K680" s="2421"/>
      <c r="U680" s="2421"/>
      <c r="AG680" s="2421"/>
      <c r="AU680" s="2421"/>
      <c r="BG680" s="2421"/>
      <c r="BH680" s="2421"/>
      <c r="BJ680" s="2421"/>
      <c r="BL680" s="2420"/>
      <c r="BR680" s="2421"/>
    </row>
    <row r="681" spans="1:70">
      <c r="A681" s="2421"/>
      <c r="K681" s="2421"/>
      <c r="U681" s="2421"/>
      <c r="AG681" s="2421"/>
      <c r="AU681" s="2421"/>
      <c r="BG681" s="2421"/>
      <c r="BH681" s="2421"/>
      <c r="BJ681" s="2421"/>
      <c r="BL681" s="2420"/>
      <c r="BR681" s="2421"/>
    </row>
    <row r="682" spans="1:70">
      <c r="A682" s="2421"/>
      <c r="K682" s="2421"/>
      <c r="U682" s="2421"/>
      <c r="AG682" s="2421"/>
      <c r="AU682" s="2421"/>
      <c r="BG682" s="2421"/>
      <c r="BH682" s="2421"/>
      <c r="BJ682" s="2421"/>
      <c r="BL682" s="2420"/>
      <c r="BR682" s="2421"/>
    </row>
    <row r="683" spans="1:70">
      <c r="A683" s="2421"/>
      <c r="K683" s="2421"/>
      <c r="U683" s="2421"/>
      <c r="AG683" s="2421"/>
      <c r="AU683" s="2421"/>
      <c r="BG683" s="2421"/>
      <c r="BH683" s="2421"/>
      <c r="BJ683" s="2421"/>
      <c r="BL683" s="2420"/>
      <c r="BR683" s="2421"/>
    </row>
    <row r="684" spans="1:70">
      <c r="A684" s="2421"/>
      <c r="K684" s="2421"/>
      <c r="U684" s="2421"/>
      <c r="AG684" s="2421"/>
      <c r="AU684" s="2421"/>
      <c r="BG684" s="2421"/>
      <c r="BH684" s="2421"/>
      <c r="BJ684" s="2421"/>
      <c r="BL684" s="2420"/>
      <c r="BR684" s="2421"/>
    </row>
    <row r="685" spans="1:70">
      <c r="A685" s="2421"/>
      <c r="K685" s="2421"/>
      <c r="U685" s="2421"/>
      <c r="AG685" s="2421"/>
      <c r="AU685" s="2421"/>
      <c r="BG685" s="2421"/>
      <c r="BH685" s="2421"/>
      <c r="BJ685" s="2421"/>
      <c r="BL685" s="2420"/>
      <c r="BR685" s="2421"/>
    </row>
    <row r="686" spans="1:70">
      <c r="A686" s="2421"/>
      <c r="K686" s="2421"/>
      <c r="U686" s="2421"/>
      <c r="AG686" s="2421"/>
      <c r="AU686" s="2421"/>
      <c r="BG686" s="2421"/>
      <c r="BH686" s="2421"/>
      <c r="BJ686" s="2421"/>
      <c r="BL686" s="2420"/>
      <c r="BR686" s="2421"/>
    </row>
    <row r="687" spans="1:70">
      <c r="A687" s="2421"/>
      <c r="K687" s="2421"/>
      <c r="U687" s="2421"/>
      <c r="AG687" s="2421"/>
      <c r="AU687" s="2421"/>
      <c r="BG687" s="2421"/>
      <c r="BH687" s="2421"/>
      <c r="BJ687" s="2421"/>
      <c r="BL687" s="2420"/>
      <c r="BR687" s="2421"/>
    </row>
    <row r="688" spans="1:70">
      <c r="A688" s="2421"/>
      <c r="K688" s="2421"/>
      <c r="U688" s="2421"/>
      <c r="AG688" s="2421"/>
      <c r="AU688" s="2421"/>
      <c r="BG688" s="2421"/>
      <c r="BH688" s="2421"/>
      <c r="BJ688" s="2421"/>
      <c r="BL688" s="2420"/>
      <c r="BR688" s="2421"/>
    </row>
    <row r="689" spans="1:70">
      <c r="A689" s="2421"/>
      <c r="K689" s="2421"/>
      <c r="U689" s="2421"/>
      <c r="AG689" s="2421"/>
      <c r="AU689" s="2421"/>
      <c r="BG689" s="2421"/>
      <c r="BH689" s="2421"/>
      <c r="BJ689" s="2421"/>
      <c r="BL689" s="2420"/>
      <c r="BR689" s="2421"/>
    </row>
    <row r="690" spans="1:70">
      <c r="A690" s="2421"/>
      <c r="K690" s="2421"/>
      <c r="U690" s="2421"/>
      <c r="AG690" s="2421"/>
      <c r="AU690" s="2421"/>
      <c r="BG690" s="2421"/>
      <c r="BH690" s="2421"/>
      <c r="BJ690" s="2421"/>
      <c r="BL690" s="2420"/>
      <c r="BR690" s="2421"/>
    </row>
    <row r="691" spans="1:70">
      <c r="A691" s="2421"/>
      <c r="K691" s="2421"/>
      <c r="U691" s="2421"/>
      <c r="AG691" s="2421"/>
      <c r="AU691" s="2421"/>
      <c r="BG691" s="2421"/>
      <c r="BH691" s="2421"/>
      <c r="BJ691" s="2421"/>
      <c r="BL691" s="2420"/>
      <c r="BR691" s="2421"/>
    </row>
    <row r="692" spans="1:70">
      <c r="A692" s="2421"/>
      <c r="K692" s="2421"/>
      <c r="U692" s="2421"/>
      <c r="AG692" s="2421"/>
      <c r="AU692" s="2421"/>
      <c r="BG692" s="2421"/>
      <c r="BH692" s="2421"/>
      <c r="BJ692" s="2421"/>
      <c r="BL692" s="2420"/>
      <c r="BR692" s="2421"/>
    </row>
    <row r="693" spans="1:70">
      <c r="A693" s="2421"/>
      <c r="K693" s="2421"/>
      <c r="U693" s="2421"/>
      <c r="AG693" s="2421"/>
      <c r="AU693" s="2421"/>
      <c r="BG693" s="2421"/>
      <c r="BH693" s="2421"/>
      <c r="BJ693" s="2421"/>
      <c r="BL693" s="2420"/>
      <c r="BR693" s="2421"/>
    </row>
    <row r="694" spans="1:70">
      <c r="A694" s="2421"/>
      <c r="K694" s="2421"/>
      <c r="U694" s="2421"/>
      <c r="AG694" s="2421"/>
      <c r="AU694" s="2421"/>
      <c r="BG694" s="2421"/>
      <c r="BH694" s="2421"/>
      <c r="BJ694" s="2421"/>
      <c r="BL694" s="2420"/>
      <c r="BR694" s="2421"/>
    </row>
    <row r="695" spans="1:70">
      <c r="A695" s="2421"/>
      <c r="K695" s="2421"/>
      <c r="U695" s="2421"/>
      <c r="AG695" s="2421"/>
      <c r="AU695" s="2421"/>
      <c r="BG695" s="2421"/>
      <c r="BH695" s="2421"/>
      <c r="BJ695" s="2421"/>
      <c r="BL695" s="2420"/>
      <c r="BR695" s="2421"/>
    </row>
    <row r="696" spans="1:70">
      <c r="A696" s="2421"/>
      <c r="K696" s="2421"/>
      <c r="U696" s="2421"/>
      <c r="AG696" s="2421"/>
      <c r="AU696" s="2421"/>
      <c r="BG696" s="2421"/>
      <c r="BH696" s="2421"/>
      <c r="BJ696" s="2421"/>
      <c r="BL696" s="2420"/>
      <c r="BR696" s="2421"/>
    </row>
    <row r="697" spans="1:70">
      <c r="A697" s="2421"/>
      <c r="K697" s="2421"/>
      <c r="U697" s="2421"/>
      <c r="AG697" s="2421"/>
      <c r="AU697" s="2421"/>
      <c r="BG697" s="2421"/>
      <c r="BH697" s="2421"/>
      <c r="BJ697" s="2421"/>
      <c r="BL697" s="2420"/>
      <c r="BR697" s="2421"/>
    </row>
    <row r="698" spans="1:70">
      <c r="A698" s="2421"/>
      <c r="K698" s="2421"/>
      <c r="U698" s="2421"/>
      <c r="AG698" s="2421"/>
      <c r="AU698" s="2421"/>
      <c r="BG698" s="2421"/>
      <c r="BH698" s="2421"/>
      <c r="BJ698" s="2421"/>
      <c r="BL698" s="2420"/>
      <c r="BR698" s="2421"/>
    </row>
    <row r="699" spans="1:70">
      <c r="A699" s="2421"/>
      <c r="K699" s="2421"/>
      <c r="U699" s="2421"/>
      <c r="AG699" s="2421"/>
      <c r="AU699" s="2421"/>
      <c r="BG699" s="2421"/>
      <c r="BH699" s="2421"/>
      <c r="BJ699" s="2421"/>
      <c r="BL699" s="2420"/>
      <c r="BR699" s="2421"/>
    </row>
    <row r="700" spans="1:70">
      <c r="A700" s="2421"/>
      <c r="K700" s="2421"/>
      <c r="U700" s="2421"/>
      <c r="AG700" s="2421"/>
      <c r="AU700" s="2421"/>
      <c r="BG700" s="2421"/>
      <c r="BH700" s="2421"/>
      <c r="BJ700" s="2421"/>
      <c r="BL700" s="2420"/>
      <c r="BR700" s="2421"/>
    </row>
    <row r="701" spans="1:70">
      <c r="A701" s="2421"/>
      <c r="K701" s="2421"/>
      <c r="U701" s="2421"/>
      <c r="AG701" s="2421"/>
      <c r="AU701" s="2421"/>
      <c r="BG701" s="2421"/>
      <c r="BH701" s="2421"/>
      <c r="BJ701" s="2421"/>
      <c r="BL701" s="2420"/>
      <c r="BR701" s="2421"/>
    </row>
    <row r="702" spans="1:70">
      <c r="A702" s="2421"/>
      <c r="K702" s="2421"/>
      <c r="U702" s="2421"/>
      <c r="AG702" s="2421"/>
      <c r="AU702" s="2421"/>
      <c r="BG702" s="2421"/>
      <c r="BH702" s="2421"/>
      <c r="BJ702" s="2421"/>
      <c r="BL702" s="2420"/>
      <c r="BR702" s="2421"/>
    </row>
    <row r="703" spans="1:70">
      <c r="A703" s="2421"/>
      <c r="K703" s="2421"/>
      <c r="U703" s="2421"/>
      <c r="AG703" s="2421"/>
      <c r="AU703" s="2421"/>
      <c r="BG703" s="2421"/>
      <c r="BH703" s="2421"/>
      <c r="BJ703" s="2421"/>
      <c r="BL703" s="2420"/>
      <c r="BR703" s="2421"/>
    </row>
    <row r="704" spans="1:70">
      <c r="A704" s="2421"/>
      <c r="K704" s="2421"/>
      <c r="U704" s="2421"/>
      <c r="AG704" s="2421"/>
      <c r="AU704" s="2421"/>
      <c r="BG704" s="2421"/>
      <c r="BH704" s="2421"/>
      <c r="BJ704" s="2421"/>
      <c r="BL704" s="2420"/>
      <c r="BR704" s="2421"/>
    </row>
    <row r="705" spans="1:70">
      <c r="A705" s="2421"/>
      <c r="K705" s="2421"/>
      <c r="U705" s="2421"/>
      <c r="AG705" s="2421"/>
      <c r="AU705" s="2421"/>
      <c r="BG705" s="2421"/>
      <c r="BH705" s="2421"/>
      <c r="BJ705" s="2421"/>
      <c r="BL705" s="2420"/>
      <c r="BR705" s="2421"/>
    </row>
    <row r="706" spans="1:70">
      <c r="A706" s="2421"/>
      <c r="K706" s="2421"/>
      <c r="U706" s="2421"/>
      <c r="AG706" s="2421"/>
      <c r="AU706" s="2421"/>
      <c r="BG706" s="2421"/>
      <c r="BH706" s="2421"/>
      <c r="BJ706" s="2421"/>
      <c r="BL706" s="2420"/>
      <c r="BR706" s="2421"/>
    </row>
    <row r="707" spans="1:70">
      <c r="A707" s="2421"/>
      <c r="K707" s="2421"/>
      <c r="U707" s="2421"/>
      <c r="AG707" s="2421"/>
      <c r="AU707" s="2421"/>
      <c r="BG707" s="2421"/>
      <c r="BH707" s="2421"/>
      <c r="BJ707" s="2421"/>
      <c r="BL707" s="2420"/>
      <c r="BR707" s="2421"/>
    </row>
    <row r="708" spans="1:70">
      <c r="A708" s="2421"/>
      <c r="K708" s="2421"/>
      <c r="U708" s="2421"/>
      <c r="AG708" s="2421"/>
      <c r="AU708" s="2421"/>
      <c r="BG708" s="2421"/>
      <c r="BH708" s="2421"/>
      <c r="BJ708" s="2421"/>
      <c r="BL708" s="2420"/>
      <c r="BR708" s="2421"/>
    </row>
    <row r="709" spans="1:70">
      <c r="A709" s="2421"/>
      <c r="K709" s="2421"/>
      <c r="U709" s="2421"/>
      <c r="AG709" s="2421"/>
      <c r="AU709" s="2421"/>
      <c r="BG709" s="2421"/>
      <c r="BH709" s="2421"/>
      <c r="BJ709" s="2421"/>
      <c r="BL709" s="2420"/>
      <c r="BR709" s="2421"/>
    </row>
    <row r="710" spans="1:70">
      <c r="A710" s="2421"/>
      <c r="K710" s="2421"/>
      <c r="U710" s="2421"/>
      <c r="AG710" s="2421"/>
      <c r="AU710" s="2421"/>
      <c r="BG710" s="2421"/>
      <c r="BH710" s="2421"/>
      <c r="BJ710" s="2421"/>
      <c r="BL710" s="2420"/>
      <c r="BR710" s="2421"/>
    </row>
    <row r="711" spans="1:70">
      <c r="A711" s="2421"/>
      <c r="K711" s="2421"/>
      <c r="U711" s="2421"/>
      <c r="AG711" s="2421"/>
      <c r="AU711" s="2421"/>
      <c r="BG711" s="2421"/>
      <c r="BH711" s="2421"/>
      <c r="BJ711" s="2421"/>
      <c r="BL711" s="2420"/>
      <c r="BR711" s="2421"/>
    </row>
    <row r="712" spans="1:70">
      <c r="A712" s="2421"/>
      <c r="K712" s="2421"/>
      <c r="U712" s="2421"/>
      <c r="AG712" s="2421"/>
      <c r="AU712" s="2421"/>
      <c r="BG712" s="2421"/>
      <c r="BH712" s="2421"/>
      <c r="BJ712" s="2421"/>
      <c r="BL712" s="2420"/>
      <c r="BR712" s="2421"/>
    </row>
    <row r="713" spans="1:70">
      <c r="A713" s="2421"/>
      <c r="K713" s="2421"/>
      <c r="U713" s="2421"/>
      <c r="AG713" s="2421"/>
      <c r="AU713" s="2421"/>
      <c r="BG713" s="2421"/>
      <c r="BH713" s="2421"/>
      <c r="BJ713" s="2421"/>
      <c r="BL713" s="2420"/>
      <c r="BR713" s="2421"/>
    </row>
    <row r="714" spans="1:70">
      <c r="A714" s="2421"/>
      <c r="K714" s="2421"/>
      <c r="U714" s="2421"/>
      <c r="AG714" s="2421"/>
      <c r="AU714" s="2421"/>
      <c r="BG714" s="2421"/>
      <c r="BH714" s="2421"/>
      <c r="BJ714" s="2421"/>
      <c r="BL714" s="2420"/>
      <c r="BR714" s="2421"/>
    </row>
    <row r="715" spans="1:70">
      <c r="A715" s="2421"/>
      <c r="K715" s="2421"/>
      <c r="U715" s="2421"/>
      <c r="AG715" s="2421"/>
      <c r="AU715" s="2421"/>
      <c r="BG715" s="2421"/>
      <c r="BH715" s="2421"/>
      <c r="BJ715" s="2421"/>
      <c r="BL715" s="2420"/>
      <c r="BR715" s="2421"/>
    </row>
    <row r="716" spans="1:70">
      <c r="A716" s="2421"/>
      <c r="K716" s="2421"/>
      <c r="U716" s="2421"/>
      <c r="AG716" s="2421"/>
      <c r="AU716" s="2421"/>
      <c r="BG716" s="2421"/>
      <c r="BH716" s="2421"/>
      <c r="BJ716" s="2421"/>
      <c r="BL716" s="2420"/>
      <c r="BR716" s="2421"/>
    </row>
    <row r="717" spans="1:70">
      <c r="A717" s="2421"/>
      <c r="K717" s="2421"/>
      <c r="U717" s="2421"/>
      <c r="AG717" s="2421"/>
      <c r="AU717" s="2421"/>
      <c r="BG717" s="2421"/>
      <c r="BH717" s="2421"/>
      <c r="BJ717" s="2421"/>
      <c r="BL717" s="2420"/>
      <c r="BR717" s="2421"/>
    </row>
    <row r="718" spans="1:70">
      <c r="A718" s="2421"/>
      <c r="K718" s="2421"/>
      <c r="U718" s="2421"/>
      <c r="AG718" s="2421"/>
      <c r="AU718" s="2421"/>
      <c r="BG718" s="2421"/>
      <c r="BH718" s="2421"/>
      <c r="BJ718" s="2421"/>
      <c r="BL718" s="2420"/>
      <c r="BR718" s="2421"/>
    </row>
    <row r="719" spans="1:70">
      <c r="A719" s="2421"/>
      <c r="K719" s="2421"/>
      <c r="U719" s="2421"/>
      <c r="AG719" s="2421"/>
      <c r="AU719" s="2421"/>
      <c r="BG719" s="2421"/>
      <c r="BH719" s="2421"/>
      <c r="BJ719" s="2421"/>
      <c r="BL719" s="2420"/>
      <c r="BR719" s="2421"/>
    </row>
    <row r="720" spans="1:70">
      <c r="A720" s="2421"/>
      <c r="K720" s="2421"/>
      <c r="U720" s="2421"/>
      <c r="AG720" s="2421"/>
      <c r="AU720" s="2421"/>
      <c r="BG720" s="2421"/>
      <c r="BH720" s="2421"/>
      <c r="BJ720" s="2421"/>
      <c r="BL720" s="2420"/>
      <c r="BR720" s="2421"/>
    </row>
    <row r="721" spans="1:70">
      <c r="A721" s="2421"/>
      <c r="K721" s="2421"/>
      <c r="U721" s="2421"/>
      <c r="AG721" s="2421"/>
      <c r="AU721" s="2421"/>
      <c r="BG721" s="2421"/>
      <c r="BH721" s="2421"/>
      <c r="BJ721" s="2421"/>
      <c r="BL721" s="2420"/>
      <c r="BR721" s="2421"/>
    </row>
    <row r="722" spans="1:70">
      <c r="A722" s="2421"/>
      <c r="K722" s="2421"/>
      <c r="U722" s="2421"/>
      <c r="AG722" s="2421"/>
      <c r="AU722" s="2421"/>
      <c r="BG722" s="2421"/>
      <c r="BH722" s="2421"/>
      <c r="BJ722" s="2421"/>
      <c r="BL722" s="2420"/>
      <c r="BR722" s="2421"/>
    </row>
    <row r="723" spans="1:70">
      <c r="A723" s="2421"/>
      <c r="K723" s="2421"/>
      <c r="U723" s="2421"/>
      <c r="AG723" s="2421"/>
      <c r="AU723" s="2421"/>
      <c r="BG723" s="2421"/>
      <c r="BH723" s="2421"/>
      <c r="BJ723" s="2421"/>
      <c r="BL723" s="2420"/>
      <c r="BR723" s="2421"/>
    </row>
    <row r="724" spans="1:70">
      <c r="A724" s="2421"/>
      <c r="K724" s="2421"/>
      <c r="U724" s="2421"/>
      <c r="AG724" s="2421"/>
      <c r="AU724" s="2421"/>
      <c r="BG724" s="2421"/>
      <c r="BH724" s="2421"/>
      <c r="BJ724" s="2421"/>
      <c r="BL724" s="2420"/>
      <c r="BR724" s="2421"/>
    </row>
    <row r="725" spans="1:70">
      <c r="A725" s="2421"/>
      <c r="K725" s="2421"/>
      <c r="U725" s="2421"/>
      <c r="AG725" s="2421"/>
      <c r="AU725" s="2421"/>
      <c r="BG725" s="2421"/>
      <c r="BH725" s="2421"/>
      <c r="BJ725" s="2421"/>
      <c r="BL725" s="2420"/>
      <c r="BR725" s="2421"/>
    </row>
    <row r="726" spans="1:70">
      <c r="A726" s="2421"/>
      <c r="K726" s="2421"/>
      <c r="U726" s="2421"/>
      <c r="AG726" s="2421"/>
      <c r="AU726" s="2421"/>
      <c r="BG726" s="2421"/>
      <c r="BH726" s="2421"/>
      <c r="BJ726" s="2421"/>
      <c r="BL726" s="2420"/>
      <c r="BR726" s="2421"/>
    </row>
    <row r="727" spans="1:70">
      <c r="A727" s="2421"/>
      <c r="K727" s="2421"/>
      <c r="U727" s="2421"/>
      <c r="AG727" s="2421"/>
      <c r="AU727" s="2421"/>
      <c r="BG727" s="2421"/>
      <c r="BH727" s="2421"/>
      <c r="BJ727" s="2421"/>
      <c r="BL727" s="2420"/>
      <c r="BR727" s="2421"/>
    </row>
    <row r="728" spans="1:70">
      <c r="A728" s="2421"/>
      <c r="K728" s="2421"/>
      <c r="U728" s="2421"/>
      <c r="AG728" s="2421"/>
      <c r="AU728" s="2421"/>
      <c r="BG728" s="2421"/>
      <c r="BH728" s="2421"/>
      <c r="BJ728" s="2421"/>
      <c r="BL728" s="2420"/>
      <c r="BR728" s="2421"/>
    </row>
    <row r="729" spans="1:70">
      <c r="A729" s="2421"/>
      <c r="K729" s="2421"/>
      <c r="U729" s="2421"/>
      <c r="AG729" s="2421"/>
      <c r="AU729" s="2421"/>
      <c r="BG729" s="2421"/>
      <c r="BH729" s="2421"/>
      <c r="BJ729" s="2421"/>
      <c r="BL729" s="2420"/>
      <c r="BR729" s="2421"/>
    </row>
    <row r="730" spans="1:70">
      <c r="A730" s="2421"/>
      <c r="K730" s="2421"/>
      <c r="U730" s="2421"/>
      <c r="AG730" s="2421"/>
      <c r="AU730" s="2421"/>
      <c r="BG730" s="2421"/>
      <c r="BH730" s="2421"/>
      <c r="BJ730" s="2421"/>
      <c r="BL730" s="2420"/>
      <c r="BR730" s="2421"/>
    </row>
    <row r="731" spans="1:70">
      <c r="A731" s="2421"/>
      <c r="K731" s="2421"/>
      <c r="U731" s="2421"/>
      <c r="AG731" s="2421"/>
      <c r="AU731" s="2421"/>
      <c r="BG731" s="2421"/>
      <c r="BH731" s="2421"/>
      <c r="BJ731" s="2421"/>
      <c r="BL731" s="2420"/>
      <c r="BR731" s="2421"/>
    </row>
    <row r="732" spans="1:70">
      <c r="A732" s="2421"/>
      <c r="K732" s="2421"/>
      <c r="U732" s="2421"/>
      <c r="AG732" s="2421"/>
      <c r="AU732" s="2421"/>
      <c r="BG732" s="2421"/>
      <c r="BH732" s="2421"/>
      <c r="BL732" s="2420"/>
      <c r="BR732" s="2421"/>
    </row>
    <row r="733" spans="1:70">
      <c r="A733" s="2421"/>
      <c r="K733" s="2421"/>
      <c r="U733" s="2421"/>
      <c r="AG733" s="2421"/>
      <c r="AU733" s="2421"/>
      <c r="BG733" s="2421"/>
      <c r="BH733" s="2421"/>
      <c r="BL733" s="2420"/>
      <c r="BR733" s="2421"/>
    </row>
    <row r="734" spans="1:70">
      <c r="A734" s="2421"/>
      <c r="K734" s="2421"/>
      <c r="U734" s="2421"/>
      <c r="AG734" s="2421"/>
      <c r="AU734" s="2421"/>
      <c r="BG734" s="2421"/>
      <c r="BH734" s="2421"/>
      <c r="BR734" s="2421"/>
    </row>
    <row r="735" spans="1:70">
      <c r="A735" s="2421"/>
      <c r="K735" s="2421"/>
      <c r="U735" s="2421"/>
      <c r="AG735" s="2421"/>
      <c r="AU735" s="2421"/>
      <c r="BG735" s="2421"/>
      <c r="BH735" s="2421"/>
      <c r="BR735" s="2421"/>
    </row>
    <row r="736" spans="1:70">
      <c r="A736" s="2421"/>
      <c r="K736" s="2421"/>
      <c r="U736" s="2421"/>
      <c r="AG736" s="2421"/>
      <c r="AU736" s="2421"/>
      <c r="BG736" s="2421"/>
      <c r="BH736" s="2421"/>
      <c r="BR736" s="2421"/>
    </row>
    <row r="737" spans="1:70">
      <c r="A737" s="2421"/>
      <c r="K737" s="2421"/>
      <c r="U737" s="2421"/>
      <c r="AG737" s="2421"/>
      <c r="AU737" s="2421"/>
      <c r="BG737" s="2421"/>
      <c r="BH737" s="2421"/>
      <c r="BR737" s="2421"/>
    </row>
    <row r="738" spans="1:70">
      <c r="A738" s="2421"/>
      <c r="K738" s="2421"/>
      <c r="U738" s="2421"/>
      <c r="AG738" s="2421"/>
      <c r="AU738" s="2421"/>
      <c r="BG738" s="2421"/>
      <c r="BH738" s="2421"/>
    </row>
    <row r="739" spans="1:70">
      <c r="A739" s="2421"/>
      <c r="K739" s="2421"/>
      <c r="U739" s="2421"/>
      <c r="AG739" s="2421"/>
      <c r="AU739" s="2421"/>
      <c r="BG739" s="2421"/>
      <c r="BH739" s="2421"/>
    </row>
    <row r="740" spans="1:70">
      <c r="A740" s="2421"/>
      <c r="K740" s="2421"/>
      <c r="U740" s="2421"/>
      <c r="AG740" s="2421"/>
      <c r="AU740" s="2421"/>
      <c r="BG740" s="2421"/>
      <c r="BH740" s="2421"/>
    </row>
    <row r="741" spans="1:70">
      <c r="A741" s="2421"/>
      <c r="K741" s="2421"/>
      <c r="U741" s="2421"/>
      <c r="AG741" s="2421"/>
      <c r="AU741" s="2421"/>
      <c r="BG741" s="2421"/>
      <c r="BH741" s="2421"/>
    </row>
    <row r="742" spans="1:70">
      <c r="A742" s="2421"/>
      <c r="K742" s="2421"/>
      <c r="U742" s="2421"/>
      <c r="AG742" s="2421"/>
      <c r="AU742" s="2421"/>
      <c r="BG742" s="2421"/>
      <c r="BH742" s="2421"/>
    </row>
    <row r="743" spans="1:70">
      <c r="A743" s="2421"/>
      <c r="K743" s="2421"/>
      <c r="U743" s="2421"/>
      <c r="AG743" s="2421"/>
      <c r="AU743" s="2421"/>
      <c r="BG743" s="2421"/>
      <c r="BH743" s="2421"/>
    </row>
    <row r="744" spans="1:70">
      <c r="A744" s="2421"/>
      <c r="K744" s="2421"/>
      <c r="U744" s="2421"/>
      <c r="AG744" s="2421"/>
      <c r="AU744" s="2421"/>
      <c r="BG744" s="2421"/>
      <c r="BH744" s="2421"/>
    </row>
    <row r="745" spans="1:70">
      <c r="A745" s="2421"/>
      <c r="K745" s="2421"/>
      <c r="U745" s="2421"/>
      <c r="AG745" s="2421"/>
      <c r="AU745" s="2421"/>
      <c r="BG745" s="2421"/>
      <c r="BH745" s="2421"/>
    </row>
    <row r="746" spans="1:70">
      <c r="A746" s="2421"/>
      <c r="K746" s="2421"/>
      <c r="U746" s="2421"/>
      <c r="AG746" s="2421"/>
      <c r="AU746" s="2421"/>
      <c r="BG746" s="2421"/>
      <c r="BH746" s="2421"/>
    </row>
    <row r="747" spans="1:70">
      <c r="A747" s="2421"/>
      <c r="K747" s="2421"/>
      <c r="U747" s="2421"/>
      <c r="AG747" s="2421"/>
      <c r="AU747" s="2421"/>
      <c r="BG747" s="2421"/>
      <c r="BH747" s="2421"/>
    </row>
    <row r="748" spans="1:70">
      <c r="A748" s="2421"/>
      <c r="K748" s="2421"/>
      <c r="U748" s="2421"/>
      <c r="AG748" s="2421"/>
      <c r="AU748" s="2421"/>
      <c r="BG748" s="2421"/>
      <c r="BH748" s="2421"/>
    </row>
    <row r="749" spans="1:70">
      <c r="A749" s="2421"/>
      <c r="K749" s="2421"/>
      <c r="U749" s="2421"/>
      <c r="AG749" s="2421"/>
      <c r="AU749" s="2421"/>
      <c r="BG749" s="2421"/>
      <c r="BH749" s="2421"/>
    </row>
    <row r="750" spans="1:70">
      <c r="A750" s="2421"/>
      <c r="K750" s="2421"/>
      <c r="U750" s="2421"/>
      <c r="AG750" s="2421"/>
      <c r="AU750" s="2421"/>
      <c r="BG750" s="2421"/>
      <c r="BH750" s="2421"/>
    </row>
    <row r="751" spans="1:70">
      <c r="A751" s="2421"/>
      <c r="K751" s="2421"/>
      <c r="U751" s="2421"/>
      <c r="AG751" s="2421"/>
      <c r="AU751" s="2421"/>
      <c r="BG751" s="2421"/>
      <c r="BH751" s="2421"/>
    </row>
    <row r="752" spans="1:70">
      <c r="A752" s="2421"/>
      <c r="K752" s="2421"/>
      <c r="U752" s="2421"/>
      <c r="AG752" s="2421"/>
      <c r="AU752" s="2421"/>
      <c r="BG752" s="2421"/>
      <c r="BH752" s="2421"/>
    </row>
    <row r="753" spans="1:60">
      <c r="A753" s="2421"/>
      <c r="K753" s="2421"/>
      <c r="U753" s="2421"/>
      <c r="AG753" s="2421"/>
      <c r="AU753" s="2421"/>
      <c r="BG753" s="2421"/>
      <c r="BH753" s="2421"/>
    </row>
    <row r="754" spans="1:60">
      <c r="A754" s="2421"/>
      <c r="K754" s="2421"/>
      <c r="U754" s="2421"/>
      <c r="AG754" s="2421"/>
      <c r="AU754" s="2421"/>
      <c r="BG754" s="2421"/>
      <c r="BH754" s="2421"/>
    </row>
    <row r="755" spans="1:60">
      <c r="A755" s="2421"/>
      <c r="K755" s="2421"/>
      <c r="U755" s="2421"/>
      <c r="AG755" s="2421"/>
      <c r="AU755" s="2421"/>
      <c r="BG755" s="2421"/>
      <c r="BH755" s="2421"/>
    </row>
    <row r="756" spans="1:60">
      <c r="A756" s="2421"/>
      <c r="K756" s="2421"/>
      <c r="U756" s="2421"/>
      <c r="AG756" s="2421"/>
      <c r="AU756" s="2421"/>
      <c r="BG756" s="2421"/>
      <c r="BH756" s="2421"/>
    </row>
    <row r="757" spans="1:60">
      <c r="A757" s="2421"/>
      <c r="K757" s="2421"/>
      <c r="U757" s="2421"/>
      <c r="AG757" s="2421"/>
      <c r="AU757" s="2421"/>
      <c r="BG757" s="2421"/>
      <c r="BH757" s="2421"/>
    </row>
    <row r="758" spans="1:60">
      <c r="A758" s="2421"/>
      <c r="K758" s="2421"/>
      <c r="U758" s="2421"/>
      <c r="AG758" s="2421"/>
      <c r="AU758" s="2421"/>
      <c r="BG758" s="2421"/>
      <c r="BH758" s="2421"/>
    </row>
    <row r="759" spans="1:60">
      <c r="A759" s="2421"/>
      <c r="K759" s="2421"/>
      <c r="U759" s="2421"/>
      <c r="AG759" s="2421"/>
      <c r="AU759" s="2421"/>
      <c r="BG759" s="2421"/>
      <c r="BH759" s="2421"/>
    </row>
    <row r="760" spans="1:60">
      <c r="A760" s="2421"/>
      <c r="K760" s="2421"/>
      <c r="U760" s="2421"/>
      <c r="AG760" s="2421"/>
      <c r="AU760" s="2421"/>
      <c r="BG760" s="2421"/>
      <c r="BH760" s="2421"/>
    </row>
    <row r="761" spans="1:60">
      <c r="A761" s="2421"/>
      <c r="K761" s="2421"/>
      <c r="U761" s="2421"/>
      <c r="AG761" s="2421"/>
      <c r="AU761" s="2421"/>
      <c r="BG761" s="2421"/>
      <c r="BH761" s="2421"/>
    </row>
    <row r="762" spans="1:60">
      <c r="A762" s="2421"/>
      <c r="K762" s="2421"/>
      <c r="U762" s="2421"/>
      <c r="AG762" s="2421"/>
      <c r="AU762" s="2421"/>
      <c r="BG762" s="2421"/>
      <c r="BH762" s="2421"/>
    </row>
    <row r="763" spans="1:60">
      <c r="A763" s="2421"/>
      <c r="K763" s="2421"/>
      <c r="U763" s="2421"/>
      <c r="AG763" s="2421"/>
      <c r="AU763" s="2421"/>
      <c r="BG763" s="2421"/>
      <c r="BH763" s="2421"/>
    </row>
    <row r="764" spans="1:60">
      <c r="A764" s="2421"/>
      <c r="K764" s="2421"/>
      <c r="U764" s="2421"/>
      <c r="AG764" s="2421"/>
      <c r="AU764" s="2421"/>
      <c r="BG764" s="2421"/>
      <c r="BH764" s="2421"/>
    </row>
    <row r="765" spans="1:60">
      <c r="A765" s="2421"/>
      <c r="K765" s="2421"/>
      <c r="U765" s="2421"/>
      <c r="AG765" s="2421"/>
      <c r="AU765" s="2421"/>
      <c r="BG765" s="2421"/>
      <c r="BH765" s="2421"/>
    </row>
    <row r="766" spans="1:60">
      <c r="A766" s="2421"/>
      <c r="K766" s="2421"/>
      <c r="U766" s="2421"/>
      <c r="AG766" s="2421"/>
      <c r="AU766" s="2421"/>
      <c r="BG766" s="2421"/>
      <c r="BH766" s="2421"/>
    </row>
    <row r="767" spans="1:60">
      <c r="A767" s="2421"/>
      <c r="K767" s="2421"/>
      <c r="U767" s="2421"/>
      <c r="AG767" s="2421"/>
      <c r="AU767" s="2421"/>
      <c r="BG767" s="2421"/>
      <c r="BH767" s="2421"/>
    </row>
    <row r="768" spans="1:60">
      <c r="A768" s="2421"/>
      <c r="K768" s="2421"/>
      <c r="U768" s="2421"/>
      <c r="AG768" s="2421"/>
      <c r="AU768" s="2421"/>
      <c r="BG768" s="2421"/>
      <c r="BH768" s="2421"/>
    </row>
    <row r="769" spans="1:60">
      <c r="A769" s="2421"/>
      <c r="K769" s="2421"/>
      <c r="U769" s="2421"/>
      <c r="AG769" s="2421"/>
      <c r="AU769" s="2421"/>
      <c r="BG769" s="2421"/>
      <c r="BH769" s="2421"/>
    </row>
    <row r="770" spans="1:60">
      <c r="A770" s="2421"/>
      <c r="K770" s="2421"/>
      <c r="U770" s="2421"/>
      <c r="AG770" s="2421"/>
      <c r="AU770" s="2421"/>
      <c r="BG770" s="2421"/>
      <c r="BH770" s="2421"/>
    </row>
    <row r="771" spans="1:60">
      <c r="A771" s="2421"/>
      <c r="K771" s="2421"/>
      <c r="U771" s="2421"/>
      <c r="AG771" s="2421"/>
      <c r="AU771" s="2421"/>
      <c r="BG771" s="2421"/>
      <c r="BH771" s="2421"/>
    </row>
    <row r="772" spans="1:60">
      <c r="A772" s="2421"/>
      <c r="K772" s="2421"/>
      <c r="U772" s="2421"/>
      <c r="AG772" s="2421"/>
      <c r="AU772" s="2421"/>
      <c r="BG772" s="2421"/>
      <c r="BH772" s="2421"/>
    </row>
    <row r="773" spans="1:60">
      <c r="A773" s="2421"/>
      <c r="K773" s="2421"/>
      <c r="U773" s="2421"/>
      <c r="AG773" s="2421"/>
      <c r="AU773" s="2421"/>
      <c r="BG773" s="2421"/>
      <c r="BH773" s="2421"/>
    </row>
    <row r="774" spans="1:60">
      <c r="A774" s="2421"/>
      <c r="K774" s="2421"/>
      <c r="U774" s="2421"/>
      <c r="AG774" s="2421"/>
      <c r="AU774" s="2421"/>
      <c r="BG774" s="2421"/>
      <c r="BH774" s="2421"/>
    </row>
    <row r="775" spans="1:60">
      <c r="A775" s="2421"/>
      <c r="K775" s="2421"/>
      <c r="U775" s="2421"/>
      <c r="AG775" s="2421"/>
      <c r="AU775" s="2421"/>
      <c r="BG775" s="2421"/>
    </row>
    <row r="776" spans="1:60">
      <c r="A776" s="2421"/>
      <c r="K776" s="2421"/>
      <c r="U776" s="2421"/>
      <c r="AG776" s="2421"/>
      <c r="AU776" s="2421"/>
      <c r="BG776" s="2421"/>
    </row>
    <row r="777" spans="1:60">
      <c r="A777" s="2421"/>
      <c r="K777" s="2421"/>
      <c r="U777" s="2421"/>
      <c r="AG777" s="2421"/>
      <c r="AU777" s="2421"/>
      <c r="BG777" s="2421"/>
    </row>
  </sheetData>
  <mergeCells count="35">
    <mergeCell ref="AX70:AY70"/>
    <mergeCell ref="AZ70:BA70"/>
    <mergeCell ref="AX102:AY102"/>
    <mergeCell ref="AZ102:BA102"/>
    <mergeCell ref="AV69:AW70"/>
    <mergeCell ref="AV101:AW102"/>
    <mergeCell ref="D3:G3"/>
    <mergeCell ref="H3:J3"/>
    <mergeCell ref="V5:W5"/>
    <mergeCell ref="V7:W7"/>
    <mergeCell ref="AJ3:AO3"/>
    <mergeCell ref="AH5:AI5"/>
    <mergeCell ref="AH6:AI6"/>
    <mergeCell ref="AH7:AI7"/>
    <mergeCell ref="BD3:BF3"/>
    <mergeCell ref="AX3:BC3"/>
    <mergeCell ref="AP3:AT3"/>
    <mergeCell ref="AX5:AY5"/>
    <mergeCell ref="AZ5:BA5"/>
    <mergeCell ref="AV4:AW5"/>
    <mergeCell ref="X3:AC3"/>
    <mergeCell ref="AD3:AF3"/>
    <mergeCell ref="V6:W6"/>
    <mergeCell ref="N3:Q3"/>
    <mergeCell ref="R3:T3"/>
    <mergeCell ref="AX37:AY37"/>
    <mergeCell ref="AZ37:BA37"/>
    <mergeCell ref="B5:C5"/>
    <mergeCell ref="BH2:BJ2"/>
    <mergeCell ref="L6:M6"/>
    <mergeCell ref="L5:M5"/>
    <mergeCell ref="AL8:AM8"/>
    <mergeCell ref="AJ8:AK8"/>
    <mergeCell ref="AH8:AI8"/>
    <mergeCell ref="AV36:AW37"/>
  </mergeCells>
  <conditionalFormatting sqref="E6:E36">
    <cfRule type="colorScale" priority="1376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N7:N37">
    <cfRule type="colorScale" priority="137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P7:P37">
    <cfRule type="colorScale" priority="136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7:O37">
    <cfRule type="colorScale" priority="13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E8:AE36 AD37">
    <cfRule type="colorScale" priority="146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X8:X36">
    <cfRule type="colorScale" priority="146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Z8:Z36">
    <cfRule type="colorScale" priority="147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8:AD36">
    <cfRule type="colorScale" priority="147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B8:AB37">
    <cfRule type="colorScale" priority="147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L20:BL21">
    <cfRule type="colorScale" priority="76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P18:BP20 BO19:BO21">
    <cfRule type="colorScale" priority="76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N24">
    <cfRule type="colorScale" priority="65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S7:S35">
    <cfRule type="colorScale" priority="64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R7:R35">
    <cfRule type="colorScale" priority="61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7:S37">
    <cfRule type="colorScale" priority="60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R7:R37">
    <cfRule type="colorScale" priority="58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7:S37">
    <cfRule type="colorScale" priority="57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H6:H36">
    <cfRule type="colorScale" priority="50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6:I36">
    <cfRule type="colorScale" priority="55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G6:G36">
    <cfRule type="colorScale" priority="503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J6:J34">
    <cfRule type="colorScale" priority="484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J6:J36">
    <cfRule type="colorScale" priority="483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J6:J36">
    <cfRule type="colorScale" priority="48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Q7:Q37">
    <cfRule type="colorScale" priority="481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T7:T37">
    <cfRule type="colorScale" priority="44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T7:T37">
    <cfRule type="colorScale" priority="442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F8:AF36">
    <cfRule type="colorScale" priority="44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F8:AF36">
    <cfRule type="colorScale" priority="178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L19:BL21">
    <cfRule type="colorScale" priority="43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6:F36">
    <cfRule type="colorScale" priority="432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D6:D36">
    <cfRule type="colorScale" priority="43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BJ4:BK6 BJ8:BK12 BK8:BK13">
    <cfRule type="colorScale" priority="181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L4:BL6 BL8:BL12">
    <cfRule type="colorScale" priority="18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O4:BO6 BO8:BO12">
    <cfRule type="colorScale" priority="181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N4:BN6 BN8:BN12">
    <cfRule type="colorScale" priority="181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13:BK13">
    <cfRule type="colorScale" priority="31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L13">
    <cfRule type="colorScale" priority="31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O13">
    <cfRule type="colorScale" priority="31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N13">
    <cfRule type="colorScale" priority="3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M19:BM21 BM23:BM28">
    <cfRule type="colorScale" priority="182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P18:BP20 BO19:BO21 BP22:BP27 BO23:BO24 BO26:BO28">
    <cfRule type="colorScale" priority="183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3:BJ28">
    <cfRule type="colorScale" priority="183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BK19:BK21 BK23:BK28">
    <cfRule type="colorScale" priority="1836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BP24:BP27 BO26:BO28">
    <cfRule type="colorScale" priority="184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L23:BL28">
    <cfRule type="colorScale" priority="184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40:AQ40">
    <cfRule type="colorScale" priority="284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N40">
    <cfRule type="colorScale" priority="28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9:AS68">
    <cfRule type="colorScale" priority="28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J9:AJ68">
    <cfRule type="colorScale" priority="27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L9:AL68">
    <cfRule type="colorScale" priority="27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9:AQ68">
    <cfRule type="colorScale" priority="27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N9:AN68">
    <cfRule type="colorScale" priority="27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9:AQ68">
    <cfRule type="colorScale" priority="27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S9:AS68">
    <cfRule type="colorScale" priority="27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S9:AS68">
    <cfRule type="colorScale" priority="27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42:AS42">
    <cfRule type="colorScale" priority="269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J42">
    <cfRule type="colorScale" priority="26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L42">
    <cfRule type="colorScale" priority="26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42:AQ42">
    <cfRule type="colorScale" priority="26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N42">
    <cfRule type="colorScale" priority="26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42">
    <cfRule type="colorScale" priority="26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S42">
    <cfRule type="colorScale" priority="26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S42">
    <cfRule type="colorScale" priority="25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T9:AU37">
    <cfRule type="colorScale" priority="266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9:AU37">
    <cfRule type="colorScale" priority="266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T9:AU68">
    <cfRule type="colorScale" priority="266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9:AU68">
    <cfRule type="colorScale" priority="2663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6:BF35 BF38:BF68">
    <cfRule type="colorScale" priority="269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6:BF35 BF38:BF68">
    <cfRule type="colorScale" priority="2700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6:BC35 BC38:BC68">
    <cfRule type="colorScale" priority="270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6:BC35 BC38:BC68">
    <cfRule type="colorScale" priority="2708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X6:AX13">
    <cfRule type="colorScale" priority="228">
      <colorScale>
        <cfvo type="min" val="0"/>
        <cfvo type="max" val="0"/>
        <color theme="6" tint="0.79998168889431442"/>
        <color theme="6" tint="0.39997558519241921"/>
      </colorScale>
    </cfRule>
  </conditionalFormatting>
  <conditionalFormatting sqref="AZ6:AZ13">
    <cfRule type="colorScale" priority="227">
      <colorScale>
        <cfvo type="min" val="0"/>
        <cfvo type="max" val="0"/>
        <color theme="8" tint="0.79998168889431442"/>
        <color theme="8" tint="0.39997558519241921"/>
      </colorScale>
    </cfRule>
  </conditionalFormatting>
  <conditionalFormatting sqref="BB6:BB13">
    <cfRule type="colorScale" priority="226">
      <colorScale>
        <cfvo type="min" val="0"/>
        <cfvo type="max" val="0"/>
        <color theme="8" tint="0.79998168889431442"/>
        <color theme="8" tint="0.39997558519241921"/>
      </colorScale>
    </cfRule>
  </conditionalFormatting>
  <conditionalFormatting sqref="BP13">
    <cfRule type="colorScale" priority="275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P4:BP6 BP8:BP12">
    <cfRule type="colorScale" priority="277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F71">
    <cfRule type="colorScale" priority="22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71">
    <cfRule type="colorScale" priority="22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71:BC100 BC103:BC133">
    <cfRule type="colorScale" priority="22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71:BC100 BC103:BC133">
    <cfRule type="colorScale" priority="219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104:BC133">
    <cfRule type="colorScale" priority="214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104:BC133">
    <cfRule type="colorScale" priority="213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E68">
    <cfRule type="colorScale" priority="210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N68">
    <cfRule type="colorScale" priority="20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P68">
    <cfRule type="colorScale" priority="20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68">
    <cfRule type="colorScale" priority="20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E68">
    <cfRule type="colorScale" priority="20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X68">
    <cfRule type="colorScale" priority="20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Z68">
    <cfRule type="colorScale" priority="20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68">
    <cfRule type="colorScale" priority="20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B68">
    <cfRule type="colorScale" priority="20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S68">
    <cfRule type="colorScale" priority="20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R68">
    <cfRule type="colorScale" priority="20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68">
    <cfRule type="colorScale" priority="199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H68">
    <cfRule type="colorScale" priority="19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68">
    <cfRule type="colorScale" priority="19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G68">
    <cfRule type="colorScale" priority="194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J68">
    <cfRule type="colorScale" priority="193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J68">
    <cfRule type="colorScale" priority="19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Q68">
    <cfRule type="colorScale" priority="191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T68">
    <cfRule type="colorScale" priority="19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T68">
    <cfRule type="colorScale" priority="189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F68">
    <cfRule type="colorScale" priority="18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F68">
    <cfRule type="colorScale" priority="187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F68">
    <cfRule type="colorScale" priority="186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D68">
    <cfRule type="colorScale" priority="18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68:AS68">
    <cfRule type="colorScale" priority="184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J68">
    <cfRule type="colorScale" priority="18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L68">
    <cfRule type="colorScale" priority="18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68:AQ68">
    <cfRule type="colorScale" priority="18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N68">
    <cfRule type="colorScale" priority="18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68">
    <cfRule type="colorScale" priority="17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S68">
    <cfRule type="colorScale" priority="17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S68">
    <cfRule type="colorScale" priority="17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T68:AU68">
    <cfRule type="colorScale" priority="17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68:AU68">
    <cfRule type="colorScale" priority="175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E38:E68">
    <cfRule type="colorScale" priority="172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N38:N68">
    <cfRule type="colorScale" priority="17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P38:P68">
    <cfRule type="colorScale" priority="17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38:O68">
    <cfRule type="colorScale" priority="16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E38:AE68">
    <cfRule type="colorScale" priority="16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X38:X68">
    <cfRule type="colorScale" priority="16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Z38:Z68">
    <cfRule type="colorScale" priority="16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38:AD68">
    <cfRule type="colorScale" priority="16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B38:AB68">
    <cfRule type="colorScale" priority="1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S38:S68">
    <cfRule type="colorScale" priority="16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R38:R68">
    <cfRule type="colorScale" priority="16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38:S68">
    <cfRule type="colorScale" priority="16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H38:H68">
    <cfRule type="colorScale" priority="15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38:I68">
    <cfRule type="colorScale" priority="157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G38:G68">
    <cfRule type="colorScale" priority="156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J38:J68">
    <cfRule type="colorScale" priority="15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J38:J68">
    <cfRule type="colorScale" priority="15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Q38:Q68">
    <cfRule type="colorScale" priority="152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T38:T68">
    <cfRule type="colorScale" priority="15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T38:T68">
    <cfRule type="colorScale" priority="150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F38:AF68">
    <cfRule type="colorScale" priority="149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F38:AF68">
    <cfRule type="colorScale" priority="148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F38:F68">
    <cfRule type="colorScale" priority="147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D38:D68">
    <cfRule type="colorScale" priority="14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T38:AU68">
    <cfRule type="colorScale" priority="14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38:AU68">
    <cfRule type="colorScale" priority="14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R71:AS100">
    <cfRule type="colorScale" priority="14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J71:AJ100">
    <cfRule type="colorScale" priority="14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L71:AL100">
    <cfRule type="colorScale" priority="14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71:AQ100">
    <cfRule type="colorScale" priority="14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N71:AN100">
    <cfRule type="colorScale" priority="13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71:AQ100">
    <cfRule type="colorScale" priority="13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S71:AS100">
    <cfRule type="colorScale" priority="13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S71:AS100">
    <cfRule type="colorScale" priority="13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T71:AU100">
    <cfRule type="colorScale" priority="13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71:AU100">
    <cfRule type="colorScale" priority="13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71:BF100">
    <cfRule type="colorScale" priority="13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71:BF100">
    <cfRule type="colorScale" priority="132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71:BC100">
    <cfRule type="colorScale" priority="13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71:BC100">
    <cfRule type="colorScale" priority="130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E71:E100">
    <cfRule type="colorScale" priority="129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N71:N100">
    <cfRule type="colorScale" priority="12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P71:P100">
    <cfRule type="colorScale" priority="12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71:O100">
    <cfRule type="colorScale" priority="12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E71:AE100">
    <cfRule type="colorScale" priority="12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X71:X100">
    <cfRule type="colorScale" priority="12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Z71:Z100">
    <cfRule type="colorScale" priority="12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71:AD100">
    <cfRule type="colorScale" priority="12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B71:AB100">
    <cfRule type="colorScale" priority="12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S71:S100">
    <cfRule type="colorScale" priority="12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R71:R100">
    <cfRule type="colorScale" priority="11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71:S100">
    <cfRule type="colorScale" priority="118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H71:H100">
    <cfRule type="colorScale" priority="11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71:I100">
    <cfRule type="colorScale" priority="114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G71:G100">
    <cfRule type="colorScale" priority="113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J71:J100">
    <cfRule type="colorScale" priority="11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J71:J100">
    <cfRule type="colorScale" priority="11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Q71:Q100">
    <cfRule type="colorScale" priority="109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T71:T100">
    <cfRule type="colorScale" priority="10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T71:T100">
    <cfRule type="colorScale" priority="107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F71:AF100">
    <cfRule type="colorScale" priority="10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F71:AF100">
    <cfRule type="colorScale" priority="105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F71:F100">
    <cfRule type="colorScale" priority="104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D71:D100">
    <cfRule type="colorScale" priority="10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103:AS133">
    <cfRule type="colorScale" priority="10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J103:AJ133">
    <cfRule type="colorScale" priority="9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L103:AL133">
    <cfRule type="colorScale" priority="9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P103:AQ133">
    <cfRule type="colorScale" priority="9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N103:AN133">
    <cfRule type="colorScale" priority="9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103:AQ133">
    <cfRule type="colorScale" priority="9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S103:AS133">
    <cfRule type="colorScale" priority="9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S103:AS133">
    <cfRule type="colorScale" priority="9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T103:AU133">
    <cfRule type="colorScale" priority="9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T103:AU133">
    <cfRule type="colorScale" priority="91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103:BF133">
    <cfRule type="colorScale" priority="9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103:BF133">
    <cfRule type="colorScale" priority="89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103:BC133">
    <cfRule type="colorScale" priority="88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103:BC133">
    <cfRule type="colorScale" priority="87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E103:E133">
    <cfRule type="colorScale" priority="86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N103:N133">
    <cfRule type="colorScale" priority="8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P103:P133">
    <cfRule type="colorScale" priority="8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103:O133">
    <cfRule type="colorScale" priority="8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E103:AE133">
    <cfRule type="colorScale" priority="82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X103:X133">
    <cfRule type="colorScale" priority="8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Z103:Z133">
    <cfRule type="colorScale" priority="8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103:AD133">
    <cfRule type="colorScale" priority="7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B103:AB133">
    <cfRule type="colorScale" priority="7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S103:S133">
    <cfRule type="colorScale" priority="77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R103:R133">
    <cfRule type="colorScale" priority="7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S103:S133">
    <cfRule type="colorScale" priority="75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H103:H133">
    <cfRule type="colorScale" priority="7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103:I133">
    <cfRule type="colorScale" priority="7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G103:G133">
    <cfRule type="colorScale" priority="70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J103:J133">
    <cfRule type="colorScale" priority="69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J103:J133">
    <cfRule type="colorScale" priority="68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Q103:Q133">
    <cfRule type="colorScale" priority="66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T103:T133">
    <cfRule type="colorScale" priority="6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T103:T133">
    <cfRule type="colorScale" priority="6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F103:AF133">
    <cfRule type="colorScale" priority="6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AF103:AF133">
    <cfRule type="colorScale" priority="62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F103:F133">
    <cfRule type="colorScale" priority="61">
      <colorScale>
        <cfvo type="min" val="0"/>
        <cfvo type="max" val="0"/>
        <color theme="8" tint="0.59999389629810485"/>
        <color theme="8" tint="-0.249977111117893"/>
      </colorScale>
    </cfRule>
  </conditionalFormatting>
  <conditionalFormatting sqref="D103:D133">
    <cfRule type="colorScale" priority="6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BF100">
    <cfRule type="colorScale" priority="57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100">
    <cfRule type="colorScale" priority="56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100">
    <cfRule type="colorScale" priority="55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100">
    <cfRule type="colorScale" priority="54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133">
    <cfRule type="colorScale" priority="53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133">
    <cfRule type="colorScale" priority="52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C133">
    <cfRule type="colorScale" priority="51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C133">
    <cfRule type="colorScale" priority="50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1">
    <cfRule type="colorScale" priority="40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1">
    <cfRule type="colorScale" priority="39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BF2">
    <cfRule type="colorScale" priority="36">
      <colorScale>
        <cfvo type="min" val="0"/>
        <cfvo type="percentile" val="50"/>
        <cfvo type="max" val="0"/>
        <color theme="9" tint="0.79998168889431442"/>
        <color theme="9" tint="0.59999389629810485"/>
        <color theme="9" tint="0.39997558519241921"/>
      </colorScale>
    </cfRule>
  </conditionalFormatting>
  <conditionalFormatting sqref="BF2">
    <cfRule type="colorScale" priority="35">
      <colorScale>
        <cfvo type="min" val="0"/>
        <cfvo type="percentile" val="50"/>
        <cfvo type="max" val="0"/>
        <color theme="6" tint="0.79998168889431442"/>
        <color theme="6" tint="0.39997558519241921"/>
        <color theme="9"/>
      </colorScale>
    </cfRule>
  </conditionalFormatting>
  <conditionalFormatting sqref="AX6:AX35 AX38:AX68">
    <cfRule type="colorScale" priority="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Z6:AZ35 AZ38:AZ68">
    <cfRule type="colorScale" priority="10">
      <colorScale>
        <cfvo type="min" val="0"/>
        <cfvo type="percentile" val="50"/>
        <cfvo type="max" val="0"/>
        <color theme="8" tint="0.79998168889431442"/>
        <color theme="8" tint="0.39997558519241921"/>
        <color rgb="FFFFC000"/>
      </colorScale>
    </cfRule>
  </conditionalFormatting>
  <conditionalFormatting sqref="BE6:BE35 BE38:BE68 BE71:BE101">
    <cfRule type="colorScale" priority="7">
      <colorScale>
        <cfvo type="min" val="0"/>
        <cfvo type="percentile" val="50"/>
        <cfvo type="max" val="0"/>
        <color theme="8" tint="0.79998168889431442"/>
        <color theme="8" tint="0.59999389629810485"/>
        <color rgb="FFFFC000"/>
      </colorScale>
    </cfRule>
  </conditionalFormatting>
  <conditionalFormatting sqref="BN2">
    <cfRule type="colorScale" priority="1143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D6:BD35 BD38:BD68 BD71:BD101">
    <cfRule type="colorScale" priority="4">
      <colorScale>
        <cfvo type="min" val="0"/>
        <cfvo type="percentile" val="50"/>
        <cfvo type="max" val="0"/>
        <color theme="8" tint="0.79998168889431442"/>
        <color theme="8" tint="0.59999389629810485"/>
        <color rgb="FFFFC000"/>
      </colorScale>
    </cfRule>
  </conditionalFormatting>
  <conditionalFormatting sqref="BB6:BB35 BB38:BB68">
    <cfRule type="colorScale" priority="3">
      <colorScale>
        <cfvo type="min" val="0"/>
        <cfvo type="percentile" val="50"/>
        <cfvo type="max" val="0"/>
        <color theme="8" tint="0.79998168889431442"/>
        <color theme="8" tint="0.39997558519241921"/>
        <color rgb="FFFFC000"/>
      </colorScale>
    </cfRule>
  </conditionalFormatting>
  <conditionalFormatting sqref="BB38:BB46">
    <cfRule type="colorScale" priority="2">
      <colorScale>
        <cfvo type="min" val="0"/>
        <cfvo type="percentile" val="50"/>
        <cfvo type="max" val="0"/>
        <color theme="8" tint="0.79998168889431442"/>
        <color theme="8" tint="0.39997558519241921"/>
        <color rgb="FFFFC000"/>
      </colorScale>
    </cfRule>
  </conditionalFormatting>
  <conditionalFormatting sqref="BB6:BB35">
    <cfRule type="colorScale" priority="1">
      <colorScale>
        <cfvo type="min" val="0"/>
        <cfvo type="percentile" val="50"/>
        <cfvo type="max" val="0"/>
        <color theme="8" tint="0.79998168889431442"/>
        <color theme="8" tint="0.39997558519241921"/>
        <color rgb="FFFFC000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878"/>
  <sheetViews>
    <sheetView tabSelected="1" zoomScale="90" zoomScaleNormal="90" workbookViewId="0">
      <pane ySplit="11" topLeftCell="A214" activePane="bottomLeft" state="frozen"/>
      <selection pane="bottomLeft" activeCell="T264" sqref="T264"/>
    </sheetView>
  </sheetViews>
  <sheetFormatPr defaultColWidth="9.109375" defaultRowHeight="12.6" customHeight="1"/>
  <cols>
    <col min="1" max="1" width="0.6640625" style="101" customWidth="1"/>
    <col min="2" max="2" width="12" style="4" customWidth="1"/>
    <col min="3" max="3" width="1.77734375" style="4" customWidth="1"/>
    <col min="4" max="4" width="16.109375" style="99" customWidth="1"/>
    <col min="5" max="5" width="11.109375" style="2360" customWidth="1"/>
    <col min="6" max="18" width="11.109375" style="2358" customWidth="1"/>
    <col min="19" max="20" width="10.77734375" style="2358" customWidth="1"/>
    <col min="21" max="21" width="10.88671875" style="2358" customWidth="1"/>
    <col min="22" max="22" width="10.6640625" style="2358" customWidth="1"/>
    <col min="23" max="23" width="10.33203125" style="2358" customWidth="1"/>
    <col min="24" max="24" width="13.21875" style="99" customWidth="1"/>
    <col min="25" max="25" width="9.109375" style="97"/>
    <col min="26" max="26" width="13.21875" style="99" customWidth="1"/>
    <col min="27" max="27" width="9.109375" style="97"/>
    <col min="28" max="28" width="13.21875" style="99" customWidth="1"/>
    <col min="29" max="16384" width="9.109375" style="97"/>
  </cols>
  <sheetData>
    <row r="1" spans="1:29" s="120" customFormat="1" ht="21.6" customHeight="1" thickTop="1">
      <c r="A1" s="2091"/>
      <c r="B1" s="2709">
        <f ca="1">TODAY()</f>
        <v>45428</v>
      </c>
      <c r="C1" s="2385">
        <v>45291</v>
      </c>
      <c r="D1" s="2386">
        <f ca="1">$B$1-$C$1</f>
        <v>137</v>
      </c>
      <c r="E1" s="2842">
        <f>SUM($P$1:$Q$9)</f>
        <v>2165.2000000000003</v>
      </c>
      <c r="F1" s="2842"/>
      <c r="G1" s="2842"/>
      <c r="H1" s="2831">
        <f>F7</f>
        <v>0</v>
      </c>
      <c r="I1" s="2831"/>
      <c r="J1" s="2831"/>
      <c r="K1" s="2579"/>
      <c r="L1" s="2579"/>
      <c r="M1" s="2579"/>
      <c r="N1" s="2397"/>
      <c r="O1" s="2733"/>
      <c r="P1" s="2830">
        <v>1961.52</v>
      </c>
      <c r="Q1" s="2830"/>
      <c r="R1" s="2738"/>
      <c r="S1" s="2457" t="s">
        <v>30</v>
      </c>
      <c r="T1" s="2457" t="s">
        <v>29</v>
      </c>
      <c r="U1" s="2456">
        <v>69</v>
      </c>
      <c r="V1" s="2457" t="s">
        <v>21</v>
      </c>
      <c r="W1" s="2456">
        <v>465</v>
      </c>
      <c r="X1" s="2457" t="s">
        <v>96</v>
      </c>
      <c r="Y1" s="2456">
        <v>99</v>
      </c>
    </row>
    <row r="2" spans="1:29" s="120" customFormat="1" ht="12.6" customHeight="1">
      <c r="A2" s="2091">
        <f ca="1">MONTH($B$1)-1</f>
        <v>4</v>
      </c>
      <c r="B2" s="2387"/>
      <c r="C2" s="2326"/>
      <c r="D2" s="2327">
        <v>31</v>
      </c>
      <c r="E2" s="2328">
        <v>29</v>
      </c>
      <c r="F2" s="2329">
        <v>31</v>
      </c>
      <c r="G2" s="2330">
        <v>30</v>
      </c>
      <c r="H2" s="2331">
        <v>31</v>
      </c>
      <c r="I2" s="2333">
        <v>30</v>
      </c>
      <c r="J2" s="2334">
        <v>31</v>
      </c>
      <c r="K2" s="2332" t="s">
        <v>87</v>
      </c>
      <c r="L2" s="2332" t="s">
        <v>86</v>
      </c>
      <c r="M2" s="2335">
        <v>31</v>
      </c>
      <c r="N2" s="2336">
        <v>30</v>
      </c>
      <c r="O2" s="2337">
        <v>31</v>
      </c>
      <c r="P2" s="2849">
        <v>0.32</v>
      </c>
      <c r="Q2" s="2850"/>
      <c r="R2" s="2708"/>
      <c r="S2" s="2457" t="s">
        <v>31</v>
      </c>
      <c r="T2" s="2456">
        <v>4064.3</v>
      </c>
      <c r="U2" s="2458" t="s">
        <v>49</v>
      </c>
      <c r="V2" s="2456"/>
      <c r="W2" s="2458" t="s">
        <v>28</v>
      </c>
      <c r="X2" s="2456">
        <v>200</v>
      </c>
    </row>
    <row r="3" spans="1:29" s="120" customFormat="1" ht="12.6" customHeight="1">
      <c r="A3" s="2091"/>
      <c r="B3" s="2860" t="s">
        <v>612</v>
      </c>
      <c r="C3" s="2861"/>
      <c r="D3" s="2367">
        <v>21022</v>
      </c>
      <c r="E3" s="2367">
        <v>33652</v>
      </c>
      <c r="F3" s="2367">
        <v>20875</v>
      </c>
      <c r="G3" s="2367">
        <v>20524</v>
      </c>
      <c r="H3" s="2367">
        <f>$E190</f>
        <v>20524</v>
      </c>
      <c r="I3" s="2367">
        <f>$E239</f>
        <v>20542.12</v>
      </c>
      <c r="J3" s="2367">
        <f>$E287</f>
        <v>20542.12</v>
      </c>
      <c r="K3" s="2367">
        <f>$E335</f>
        <v>20542.12</v>
      </c>
      <c r="L3" s="2367">
        <f t="shared" ref="L3" si="0">$E110</f>
        <v>20875</v>
      </c>
      <c r="M3" s="2367">
        <f>$E428</f>
        <v>20877</v>
      </c>
      <c r="N3" s="2367">
        <f>$E477</f>
        <v>20877</v>
      </c>
      <c r="O3" s="2367">
        <f>$E523</f>
        <v>20877</v>
      </c>
      <c r="P3" s="2843">
        <v>0</v>
      </c>
      <c r="Q3" s="2844"/>
      <c r="R3" s="2708"/>
      <c r="S3" s="2457" t="s">
        <v>27</v>
      </c>
      <c r="T3" s="2456">
        <v>3932</v>
      </c>
      <c r="U3" s="2458" t="s">
        <v>80</v>
      </c>
      <c r="V3" s="2456">
        <v>4300</v>
      </c>
      <c r="W3" s="2458" t="s">
        <v>186</v>
      </c>
      <c r="X3" s="2456">
        <v>140</v>
      </c>
    </row>
    <row r="4" spans="1:29" s="120" customFormat="1" ht="12.6" customHeight="1" thickBot="1">
      <c r="A4" s="2091"/>
      <c r="B4" s="2504" t="s">
        <v>1649</v>
      </c>
      <c r="C4" s="2505"/>
      <c r="D4" s="2505">
        <f>E20</f>
        <v>20601.52</v>
      </c>
      <c r="E4" s="2505">
        <f>E65</f>
        <v>38374.907500000001</v>
      </c>
      <c r="F4" s="2505">
        <f>E116</f>
        <v>20427.649999999998</v>
      </c>
      <c r="G4" s="2505">
        <f>E155</f>
        <v>19730.47</v>
      </c>
      <c r="H4" s="2505">
        <f>$E196</f>
        <v>17786.79</v>
      </c>
      <c r="I4" s="2505">
        <f>$E245</f>
        <v>0</v>
      </c>
      <c r="J4" s="2505">
        <f>$E293</f>
        <v>0</v>
      </c>
      <c r="K4" s="2505">
        <f>E341</f>
        <v>0</v>
      </c>
      <c r="L4" s="2505">
        <f>$E$434</f>
        <v>0</v>
      </c>
      <c r="M4" s="2505">
        <f>$E434</f>
        <v>0</v>
      </c>
      <c r="N4" s="2505">
        <f>$E483</f>
        <v>0</v>
      </c>
      <c r="O4" s="2505">
        <f>$E529</f>
        <v>0</v>
      </c>
      <c r="P4" s="2879">
        <v>200.54</v>
      </c>
      <c r="Q4" s="2880"/>
      <c r="R4" s="2708"/>
      <c r="S4" s="2457" t="s">
        <v>99</v>
      </c>
      <c r="T4" s="2456">
        <v>870.62</v>
      </c>
      <c r="U4" s="2458" t="s">
        <v>1664</v>
      </c>
      <c r="V4" s="2456">
        <v>4300</v>
      </c>
      <c r="W4" s="2458" t="s">
        <v>206</v>
      </c>
      <c r="X4" s="2456">
        <v>170</v>
      </c>
    </row>
    <row r="5" spans="1:29" s="156" customFormat="1" ht="12.6" customHeight="1">
      <c r="A5" s="2312">
        <f>E55619</f>
        <v>0</v>
      </c>
      <c r="B5" s="2858" t="s">
        <v>1671</v>
      </c>
      <c r="C5" s="2859"/>
      <c r="D5" s="2429"/>
      <c r="E5" s="2429"/>
      <c r="F5" s="2429"/>
      <c r="G5" s="2429"/>
      <c r="H5" s="2429">
        <f>E1</f>
        <v>2165.2000000000003</v>
      </c>
      <c r="I5" s="2429">
        <f t="shared" ref="I5:J5" si="1">I3-I4</f>
        <v>20542.12</v>
      </c>
      <c r="J5" s="2429">
        <f t="shared" si="1"/>
        <v>20542.12</v>
      </c>
      <c r="K5" s="2429">
        <f>K3-K4</f>
        <v>20542.12</v>
      </c>
      <c r="L5" s="2429">
        <f>L3-L4</f>
        <v>20875</v>
      </c>
      <c r="M5" s="2429">
        <f>M3-M4</f>
        <v>20877</v>
      </c>
      <c r="N5" s="2429">
        <f t="shared" ref="N5:O5" si="2">N3-N4</f>
        <v>20877</v>
      </c>
      <c r="O5" s="2429">
        <f t="shared" si="2"/>
        <v>20877</v>
      </c>
      <c r="P5" s="2845">
        <v>0</v>
      </c>
      <c r="Q5" s="2846"/>
      <c r="R5" s="2708"/>
      <c r="S5" s="2457" t="s">
        <v>614</v>
      </c>
      <c r="T5" s="2456"/>
      <c r="U5" s="2458" t="s">
        <v>15</v>
      </c>
      <c r="V5" s="2456">
        <f ca="1">'2023'!$H$14/12</f>
        <v>1483.1274451097806</v>
      </c>
      <c r="W5" s="2458" t="s">
        <v>126</v>
      </c>
      <c r="X5" s="2456">
        <v>45</v>
      </c>
    </row>
    <row r="6" spans="1:29" s="69" customFormat="1" ht="12.6" customHeight="1">
      <c r="A6" s="2323"/>
      <c r="B6" s="2832" t="s">
        <v>1670</v>
      </c>
      <c r="C6" s="2833"/>
      <c r="D6" s="2833"/>
      <c r="E6" s="2720" t="s">
        <v>418</v>
      </c>
      <c r="F6" s="2368"/>
      <c r="G6" s="2368"/>
      <c r="H6" s="2368">
        <f>$E230</f>
        <v>1224</v>
      </c>
      <c r="I6" s="2368">
        <f>E$256</f>
        <v>18155.52</v>
      </c>
      <c r="J6" s="2368">
        <f ca="1">E304</f>
        <v>13334.275808219179</v>
      </c>
      <c r="K6" s="2368">
        <f>$E$352</f>
        <v>17422.375</v>
      </c>
      <c r="L6" s="2368">
        <f>E402</f>
        <v>12382.375</v>
      </c>
      <c r="M6" s="2368">
        <f>E445</f>
        <v>16957.375</v>
      </c>
      <c r="N6" s="2368">
        <f>E494</f>
        <v>12382.375</v>
      </c>
      <c r="O6" s="2368">
        <f>E540</f>
        <v>15382.375</v>
      </c>
      <c r="P6" s="2877">
        <v>0</v>
      </c>
      <c r="Q6" s="2878"/>
      <c r="R6" s="2708"/>
      <c r="S6" s="2457" t="s">
        <v>98</v>
      </c>
      <c r="T6" s="2456">
        <v>630</v>
      </c>
      <c r="U6" s="2458" t="s">
        <v>1679</v>
      </c>
      <c r="V6" s="2456"/>
      <c r="W6" s="2458" t="s">
        <v>1546</v>
      </c>
      <c r="X6" s="2456">
        <v>119</v>
      </c>
    </row>
    <row r="7" spans="1:29" s="152" customFormat="1" ht="16.2" customHeight="1">
      <c r="A7" s="2093"/>
      <c r="B7" s="2834" t="s">
        <v>1704</v>
      </c>
      <c r="C7" s="2834"/>
      <c r="D7" s="2834"/>
      <c r="E7" s="2721"/>
      <c r="F7" s="2426"/>
      <c r="G7" s="2426"/>
      <c r="H7" s="2427">
        <f>$E$1-$H$6</f>
        <v>941.20000000000027</v>
      </c>
      <c r="I7" s="2427">
        <f t="shared" ref="I7:N7" si="3">I5-I6</f>
        <v>2386.5999999999985</v>
      </c>
      <c r="J7" s="2427">
        <f t="shared" ca="1" si="3"/>
        <v>7207.8441917808195</v>
      </c>
      <c r="K7" s="2427">
        <f t="shared" si="3"/>
        <v>3119.744999999999</v>
      </c>
      <c r="L7" s="2427">
        <f t="shared" si="3"/>
        <v>8492.625</v>
      </c>
      <c r="M7" s="2427">
        <f t="shared" si="3"/>
        <v>3919.625</v>
      </c>
      <c r="N7" s="2427">
        <f t="shared" si="3"/>
        <v>8494.625</v>
      </c>
      <c r="O7" s="2427">
        <f>O5-O6</f>
        <v>5494.625</v>
      </c>
      <c r="P7" s="2851">
        <v>1</v>
      </c>
      <c r="Q7" s="2852"/>
      <c r="R7" s="2708"/>
      <c r="S7" s="2457" t="s">
        <v>35</v>
      </c>
      <c r="T7" s="2456">
        <v>500</v>
      </c>
      <c r="U7" s="2458" t="s">
        <v>427</v>
      </c>
      <c r="V7" s="2456">
        <v>419</v>
      </c>
      <c r="W7" s="2458" t="s">
        <v>1680</v>
      </c>
      <c r="X7" s="2456">
        <v>334.88</v>
      </c>
    </row>
    <row r="8" spans="1:29" s="2315" customFormat="1" ht="12.6" customHeight="1" thickBot="1">
      <c r="A8" s="2314"/>
      <c r="B8" s="2835" t="s">
        <v>1705</v>
      </c>
      <c r="C8" s="2835"/>
      <c r="D8" s="2835"/>
      <c r="E8" s="2721"/>
      <c r="F8" s="2427"/>
      <c r="G8" s="2737"/>
      <c r="H8" s="2722">
        <f t="shared" ref="H8:O8" si="4">SUM($P$8:$Q$9)</f>
        <v>1.82</v>
      </c>
      <c r="I8" s="2722">
        <f t="shared" si="4"/>
        <v>1.82</v>
      </c>
      <c r="J8" s="2722">
        <f t="shared" si="4"/>
        <v>1.82</v>
      </c>
      <c r="K8" s="2722">
        <f t="shared" si="4"/>
        <v>1.82</v>
      </c>
      <c r="L8" s="2722">
        <f t="shared" si="4"/>
        <v>1.82</v>
      </c>
      <c r="M8" s="2722">
        <f t="shared" si="4"/>
        <v>1.82</v>
      </c>
      <c r="N8" s="2722">
        <f t="shared" si="4"/>
        <v>1.82</v>
      </c>
      <c r="O8" s="2722">
        <f t="shared" si="4"/>
        <v>1.82</v>
      </c>
      <c r="P8" s="2881">
        <v>0.73</v>
      </c>
      <c r="Q8" s="2882"/>
      <c r="R8" s="2708">
        <f ca="1">'el-varme'!BN2</f>
        <v>845.64580821917809</v>
      </c>
      <c r="S8" s="2457" t="s">
        <v>34</v>
      </c>
      <c r="T8" s="2459">
        <v>12214</v>
      </c>
      <c r="U8" s="2458" t="s">
        <v>58</v>
      </c>
      <c r="V8" s="2456">
        <v>359</v>
      </c>
      <c r="W8" s="2458"/>
      <c r="X8" s="2456"/>
    </row>
    <row r="9" spans="1:29" s="2315" customFormat="1" ht="12.6" customHeight="1" thickTop="1" thickBot="1">
      <c r="A9" s="2314"/>
      <c r="B9" s="2854"/>
      <c r="C9" s="2855"/>
      <c r="D9" s="2855"/>
      <c r="E9" s="2721"/>
      <c r="F9" s="2428"/>
      <c r="G9" s="2426"/>
      <c r="H9" s="2427"/>
      <c r="I9" s="2427"/>
      <c r="J9" s="2427"/>
      <c r="K9" s="2427"/>
      <c r="L9" s="2427"/>
      <c r="M9" s="2427"/>
      <c r="N9" s="2427"/>
      <c r="O9" s="2427"/>
      <c r="P9" s="2836">
        <v>1.0900000000000001</v>
      </c>
      <c r="Q9" s="2837"/>
      <c r="R9" s="2708">
        <f>4300/3</f>
        <v>1433.3333333333333</v>
      </c>
      <c r="S9" s="2390" t="s">
        <v>60</v>
      </c>
      <c r="T9" s="2459">
        <v>8443</v>
      </c>
      <c r="U9" s="2458" t="s">
        <v>617</v>
      </c>
      <c r="V9" s="2459"/>
      <c r="W9" s="2458"/>
      <c r="X9" s="2459"/>
    </row>
    <row r="10" spans="1:29" s="2316" customFormat="1" ht="12.6" customHeight="1" thickTop="1" thickBot="1">
      <c r="A10" s="2094"/>
      <c r="B10" s="2388"/>
      <c r="C10" s="2389"/>
      <c r="D10" s="2389"/>
      <c r="E10" s="2390" t="s">
        <v>1649</v>
      </c>
      <c r="F10" s="2390" t="s">
        <v>73</v>
      </c>
      <c r="G10" s="2390" t="s">
        <v>72</v>
      </c>
      <c r="H10" s="2390" t="s">
        <v>71</v>
      </c>
      <c r="I10" s="2390" t="s">
        <v>70</v>
      </c>
      <c r="J10" s="2390" t="s">
        <v>1578</v>
      </c>
      <c r="K10" s="2390" t="s">
        <v>68</v>
      </c>
      <c r="L10" s="2390" t="s">
        <v>66</v>
      </c>
      <c r="M10" s="2390" t="s">
        <v>65</v>
      </c>
      <c r="N10" s="2390" t="s">
        <v>1668</v>
      </c>
      <c r="O10" s="2390" t="s">
        <v>63</v>
      </c>
      <c r="P10" s="2390" t="s">
        <v>62</v>
      </c>
      <c r="Q10" s="2390" t="s">
        <v>282</v>
      </c>
      <c r="R10" s="2390" t="s">
        <v>61</v>
      </c>
      <c r="S10" s="2391">
        <f>S$20+S$58+S$109+S$148+S$189+S$238+S$286+S$334+S$384+S$427+S$476+S$522</f>
        <v>10655.1875</v>
      </c>
      <c r="T10" s="2598" t="s">
        <v>58</v>
      </c>
      <c r="U10" s="2598" t="s">
        <v>57</v>
      </c>
      <c r="V10" s="2598" t="s">
        <v>26</v>
      </c>
      <c r="W10" s="2599" t="s">
        <v>30</v>
      </c>
      <c r="X10" s="2455" t="s">
        <v>33</v>
      </c>
      <c r="Y10" s="2456">
        <v>220</v>
      </c>
      <c r="Z10" s="2458" t="s">
        <v>1102</v>
      </c>
      <c r="AA10" s="2459">
        <v>650</v>
      </c>
      <c r="AB10" s="2458"/>
      <c r="AC10" s="2459"/>
    </row>
    <row r="11" spans="1:29" s="2316" customFormat="1" ht="12.6" customHeight="1" thickTop="1" thickBot="1">
      <c r="A11" s="2094"/>
      <c r="B11" s="2840"/>
      <c r="C11" s="2841"/>
      <c r="D11" s="2841"/>
      <c r="E11" s="2391">
        <f ca="1">E$20+E$58+E$109+E$148+E$189+E$238+E$286+E$334+E$384+E$427+E$476+E$522</f>
        <v>224365.25830821917</v>
      </c>
      <c r="F11" s="2391">
        <f>F$20+F$58+F$109+F$148+F$189+F$238+F$286+F$334+F$384+F$427+F$476+F$522</f>
        <v>3850</v>
      </c>
      <c r="G11" s="2391">
        <f>G$20+G$58+G$109+G$148+G$189+G$238+G$286+G$334+G$384+G$427+G$476+G$522</f>
        <v>7492.5400000000009</v>
      </c>
      <c r="H11" s="2391">
        <f>H$20+H$58+H$109+H$148+H$189+H$238+H$286+H$334+H$384+H$427+H$476+H$522</f>
        <v>15741.390000000001</v>
      </c>
      <c r="I11" s="2391">
        <f>I$20+I$58+I$109+I$148+I$189+I$238+I$286+I$334+I$384+I$427+I$476+I$522</f>
        <v>711.65</v>
      </c>
      <c r="J11" s="2391">
        <f>J$20+J$58+J$109+J$148+J$189+J$238+J$286+J$334+J$384+J$427+J$476+J$522</f>
        <v>2953.1000000000004</v>
      </c>
      <c r="K11" s="2391">
        <f>K$20+K$58+K$109+K$148+K$189+K$238+K$286+K$334+K$384+K$427+K$476+K$522</f>
        <v>4462</v>
      </c>
      <c r="L11" s="2391">
        <f>L$20+L$58+L$109+L$148+L$189+L$238+L$286+L$334+L$384+L$427+L$476+L$522</f>
        <v>0</v>
      </c>
      <c r="M11" s="2391">
        <f>M$20+M$58+M$109+M$148+M$189+M$238+M$286+M$334+M$384+M$427+M$476+M$522</f>
        <v>30205</v>
      </c>
      <c r="N11" s="2391">
        <f>N$20+N$58+N$109+N$148+N$189+N$238+N$286+N$334+N$384+N$427+N$476+N$522</f>
        <v>3503.9350000000004</v>
      </c>
      <c r="O11" s="2391">
        <f>O$20+O$58+O$109+O$148+O$189+O$238+O$286+O$334+O$384+O$427+O$476+O$522</f>
        <v>0</v>
      </c>
      <c r="P11" s="2391">
        <f>P$20+P$58+P$109+P$148+P$189+P$238+P$286+P$334+P$384+P$427+P$476+P$522</f>
        <v>12771.119999999999</v>
      </c>
      <c r="Q11" s="2391">
        <f>Q$20+Q$58+Q$109+Q$148+Q$189+Q$238+Q$286+Q$334+Q$384+Q$427+Q$476+Q$522</f>
        <v>21482.400000000001</v>
      </c>
      <c r="R11" s="2391">
        <f>R$20+R$58+R$109+R$148+R$189+R$238+R$286+R$334+R$384+R$427+R$476+R$522</f>
        <v>2302</v>
      </c>
      <c r="S11" s="2739"/>
      <c r="T11" s="2391">
        <f>T$20+T$58+T$109+T$148+T$189+T$238+T$286+T$334+T$384+T$427+T$476+T$522</f>
        <v>19060.330000000002</v>
      </c>
      <c r="U11" s="2391" t="e">
        <f>U$20+U$58+U$109+U$148+U$189+U$238+U$286+U$334+U$384+U$427+U$476+U$522</f>
        <v>#REF!</v>
      </c>
      <c r="V11" s="2391" t="e">
        <f>V$20+V$58+V$109+V$148+V$189+V$238+V$286+V$334+V$384+V$427+V$476+V$522</f>
        <v>#REF!</v>
      </c>
      <c r="W11" s="2392" t="e">
        <f>W$20+W$58+W$109+W$148+W$189+W$238+W$286+W$334+W$384+W$427+W$476+W$522</f>
        <v>#REF!</v>
      </c>
      <c r="X11" s="2457" t="s">
        <v>22</v>
      </c>
      <c r="Y11" s="2456">
        <v>208</v>
      </c>
      <c r="Z11" s="2458" t="s">
        <v>452</v>
      </c>
      <c r="AA11" s="2456">
        <f>'el-varme'!BN24</f>
        <v>602.59</v>
      </c>
      <c r="AB11" s="2458"/>
      <c r="AC11" s="2456"/>
    </row>
    <row r="12" spans="1:29" s="2103" customFormat="1" ht="24" customHeight="1" thickTop="1">
      <c r="A12" s="2317"/>
      <c r="B12" s="2864">
        <v>31</v>
      </c>
      <c r="C12" s="2865"/>
      <c r="D12" s="2866"/>
      <c r="E12" s="2343"/>
      <c r="F12" s="2343"/>
      <c r="G12" s="2343"/>
      <c r="H12" s="2343"/>
      <c r="I12" s="2343"/>
      <c r="J12" s="2343"/>
      <c r="K12" s="2343"/>
      <c r="L12" s="2343"/>
      <c r="M12" s="2343"/>
      <c r="N12" s="2343"/>
      <c r="O12" s="2343"/>
      <c r="P12" s="2343"/>
      <c r="Q12" s="2343"/>
      <c r="R12" s="2343"/>
      <c r="S12" s="2343"/>
      <c r="T12" s="2343"/>
      <c r="U12" s="2343"/>
      <c r="V12" s="2343"/>
      <c r="W12" s="2343"/>
      <c r="X12" s="2102"/>
      <c r="Y12" s="2102"/>
      <c r="Z12" s="2102"/>
      <c r="AA12" s="2102"/>
      <c r="AB12" s="2102"/>
      <c r="AC12" s="2102"/>
    </row>
    <row r="13" spans="1:29" s="166" customFormat="1" ht="12.6" customHeight="1">
      <c r="A13" s="2095"/>
      <c r="B13" s="2856" t="s">
        <v>290</v>
      </c>
      <c r="C13" s="2856"/>
      <c r="D13" s="2856"/>
      <c r="E13" s="2847">
        <f>SUM(E14:E19)</f>
        <v>21022</v>
      </c>
      <c r="F13" s="2847"/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325" t="s">
        <v>108</v>
      </c>
      <c r="Y13" s="2341">
        <v>16432</v>
      </c>
      <c r="Z13" s="2102"/>
      <c r="AA13" s="2102"/>
      <c r="AB13" s="2102"/>
      <c r="AC13" s="2102"/>
    </row>
    <row r="14" spans="1:29" s="2103" customFormat="1" ht="12.6" customHeight="1">
      <c r="A14" s="2097"/>
      <c r="B14" s="2856"/>
      <c r="C14" s="2856"/>
      <c r="D14" s="2856"/>
      <c r="E14" s="2847"/>
      <c r="F14" s="2847"/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325" t="s">
        <v>107</v>
      </c>
      <c r="Y14" s="2341">
        <v>4243</v>
      </c>
      <c r="Z14" s="2102"/>
      <c r="AA14" s="2102"/>
      <c r="AB14" s="2102"/>
      <c r="AC14" s="2102"/>
    </row>
    <row r="15" spans="1:29" s="995" customFormat="1" ht="12.6" customHeight="1">
      <c r="A15" s="991"/>
      <c r="B15" s="2321">
        <v>45289</v>
      </c>
      <c r="C15" s="2379"/>
      <c r="D15" s="2378" t="s">
        <v>35</v>
      </c>
      <c r="E15" s="2369">
        <v>11843</v>
      </c>
      <c r="F15" s="2369"/>
      <c r="G15" s="2369"/>
      <c r="H15" s="2369"/>
      <c r="I15" s="2369"/>
      <c r="J15" s="2369"/>
      <c r="K15" s="2369"/>
      <c r="L15" s="2369"/>
      <c r="M15" s="2369"/>
      <c r="N15" s="2369"/>
      <c r="O15" s="2369"/>
      <c r="P15" s="2369"/>
      <c r="Q15" s="2369"/>
      <c r="R15" s="2369"/>
      <c r="S15" s="2369"/>
      <c r="T15" s="2369"/>
      <c r="U15" s="2369"/>
      <c r="V15" s="2369"/>
      <c r="W15" s="2369"/>
      <c r="X15" s="2325" t="s">
        <v>106</v>
      </c>
      <c r="Y15" s="2341">
        <v>0.39</v>
      </c>
      <c r="Z15" s="2102"/>
      <c r="AA15" s="2102"/>
      <c r="AB15" s="2102"/>
      <c r="AC15" s="2102"/>
    </row>
    <row r="16" spans="1:29" s="995" customFormat="1" ht="12.6" customHeight="1">
      <c r="A16" s="991"/>
      <c r="B16" s="2321">
        <v>45289</v>
      </c>
      <c r="C16" s="2379"/>
      <c r="D16" s="2378" t="s">
        <v>34</v>
      </c>
      <c r="E16" s="2369">
        <v>8159</v>
      </c>
      <c r="F16" s="2369"/>
      <c r="G16" s="2369"/>
      <c r="H16" s="2369"/>
      <c r="I16" s="2369"/>
      <c r="J16" s="2369"/>
      <c r="K16" s="2369"/>
      <c r="L16" s="2369"/>
      <c r="M16" s="2369"/>
      <c r="N16" s="2369"/>
      <c r="O16" s="2369"/>
      <c r="P16" s="2369"/>
      <c r="Q16" s="2369"/>
      <c r="R16" s="2369"/>
      <c r="S16" s="2369"/>
      <c r="T16" s="2369"/>
      <c r="U16" s="2369"/>
      <c r="V16" s="2369"/>
      <c r="W16" s="2369"/>
      <c r="X16" s="2362" t="s">
        <v>41</v>
      </c>
      <c r="Y16" s="2342">
        <f>ROUNDUP($Y$13-(($Y$13-$Y$14)*$Y$15),0)</f>
        <v>11679</v>
      </c>
      <c r="Z16" s="2452"/>
      <c r="AA16" s="996"/>
      <c r="AB16" s="2452"/>
      <c r="AC16" s="996"/>
    </row>
    <row r="17" spans="1:29" s="995" customFormat="1" ht="12.6" customHeight="1">
      <c r="A17" s="991"/>
      <c r="B17" s="2321">
        <v>45289</v>
      </c>
      <c r="C17" s="2379"/>
      <c r="D17" s="2378" t="s">
        <v>33</v>
      </c>
      <c r="E17" s="2369">
        <v>220</v>
      </c>
      <c r="F17" s="2369"/>
      <c r="G17" s="2369"/>
      <c r="H17" s="2369"/>
      <c r="I17" s="2369"/>
      <c r="J17" s="2369"/>
      <c r="K17" s="2369"/>
      <c r="L17" s="2369"/>
      <c r="M17" s="2369"/>
      <c r="N17" s="2369"/>
      <c r="O17" s="2369"/>
      <c r="P17" s="2369"/>
      <c r="Q17" s="2369"/>
      <c r="R17" s="2369"/>
      <c r="S17" s="2369"/>
      <c r="T17" s="2369"/>
      <c r="U17" s="2369"/>
      <c r="V17" s="2369"/>
      <c r="W17" s="2369"/>
      <c r="X17" s="2092" t="s">
        <v>22</v>
      </c>
      <c r="Y17" s="97">
        <v>208</v>
      </c>
      <c r="Z17" s="2453"/>
      <c r="AA17" s="996"/>
      <c r="AB17" s="2453"/>
      <c r="AC17" s="996"/>
    </row>
    <row r="18" spans="1:29" s="995" customFormat="1" ht="12.6" customHeight="1">
      <c r="A18" s="991"/>
      <c r="B18" s="2321">
        <v>45320</v>
      </c>
      <c r="C18" s="2379"/>
      <c r="D18" s="2378" t="s">
        <v>1652</v>
      </c>
      <c r="E18" s="2369">
        <v>300</v>
      </c>
      <c r="F18" s="2369"/>
      <c r="G18" s="2369"/>
      <c r="H18" s="2369"/>
      <c r="I18" s="2369"/>
      <c r="J18" s="2369"/>
      <c r="K18" s="2369"/>
      <c r="L18" s="2369"/>
      <c r="M18" s="2369"/>
      <c r="N18" s="2369"/>
      <c r="O18" s="2369"/>
      <c r="P18" s="2369"/>
      <c r="Q18" s="2369"/>
      <c r="R18" s="2369"/>
      <c r="S18" s="2369"/>
      <c r="T18" s="2369"/>
      <c r="U18" s="2369"/>
      <c r="V18" s="2369"/>
      <c r="W18" s="2369"/>
      <c r="X18" s="161" t="s">
        <v>1677</v>
      </c>
      <c r="Y18" s="105"/>
      <c r="Z18" s="2453"/>
      <c r="AA18" s="996"/>
      <c r="AB18" s="2453"/>
      <c r="AC18" s="996"/>
    </row>
    <row r="19" spans="1:29" s="995" customFormat="1" ht="12.6" customHeight="1">
      <c r="A19" s="991"/>
      <c r="B19" s="2321">
        <v>45321</v>
      </c>
      <c r="C19" s="2379"/>
      <c r="D19" s="2378" t="s">
        <v>1654</v>
      </c>
      <c r="E19" s="2369">
        <v>500</v>
      </c>
      <c r="F19" s="2369"/>
      <c r="G19" s="2369"/>
      <c r="H19" s="2369"/>
      <c r="I19" s="2369"/>
      <c r="J19" s="2369"/>
      <c r="K19" s="2369"/>
      <c r="L19" s="2369"/>
      <c r="M19" s="2369"/>
      <c r="N19" s="2369"/>
      <c r="O19" s="2369"/>
      <c r="P19" s="2369"/>
      <c r="Q19" s="2369"/>
      <c r="R19" s="2369"/>
      <c r="S19" s="2369"/>
      <c r="T19" s="2369"/>
      <c r="U19" s="2369"/>
      <c r="V19" s="2369"/>
      <c r="W19" s="2369"/>
      <c r="X19" s="161" t="s">
        <v>1678</v>
      </c>
      <c r="Y19" s="166">
        <v>62</v>
      </c>
      <c r="Z19" s="2453"/>
      <c r="AA19" s="996"/>
      <c r="AB19" s="2453"/>
      <c r="AC19" s="996"/>
    </row>
    <row r="20" spans="1:29" s="2103" customFormat="1" ht="12.6" customHeight="1">
      <c r="A20" s="2097"/>
      <c r="B20" s="2863" t="s">
        <v>289</v>
      </c>
      <c r="C20" s="2863"/>
      <c r="D20" s="2863"/>
      <c r="E20" s="2839">
        <f>SUM(E21:E54)</f>
        <v>20601.52</v>
      </c>
      <c r="F20" s="2839">
        <f t="shared" ref="F20:W20" si="5">SUM(F21:F56)</f>
        <v>550</v>
      </c>
      <c r="G20" s="2839">
        <f t="shared" si="5"/>
        <v>25</v>
      </c>
      <c r="H20" s="2839">
        <f t="shared" si="5"/>
        <v>2225.84</v>
      </c>
      <c r="I20" s="2839">
        <f t="shared" si="5"/>
        <v>0</v>
      </c>
      <c r="J20" s="2839">
        <f t="shared" si="5"/>
        <v>399.05</v>
      </c>
      <c r="K20" s="2839">
        <f t="shared" si="5"/>
        <v>682</v>
      </c>
      <c r="L20" s="2839">
        <f t="shared" si="5"/>
        <v>0</v>
      </c>
      <c r="M20" s="2839">
        <f t="shared" si="5"/>
        <v>4315</v>
      </c>
      <c r="N20" s="2839">
        <f t="shared" si="5"/>
        <v>630</v>
      </c>
      <c r="O20" s="2839">
        <f t="shared" si="5"/>
        <v>0</v>
      </c>
      <c r="P20" s="2839">
        <f t="shared" si="5"/>
        <v>1658.75</v>
      </c>
      <c r="Q20" s="2839">
        <f t="shared" si="5"/>
        <v>6863.47</v>
      </c>
      <c r="R20" s="2839">
        <f t="shared" si="5"/>
        <v>145</v>
      </c>
      <c r="S20" s="2839">
        <f t="shared" si="5"/>
        <v>2000</v>
      </c>
      <c r="T20" s="2839">
        <f t="shared" si="5"/>
        <v>359</v>
      </c>
      <c r="U20" s="2839">
        <f t="shared" si="5"/>
        <v>0</v>
      </c>
      <c r="V20" s="2839">
        <f t="shared" si="5"/>
        <v>538.53</v>
      </c>
      <c r="W20" s="2839">
        <f t="shared" si="5"/>
        <v>4315</v>
      </c>
      <c r="X20" s="161" t="s">
        <v>80</v>
      </c>
      <c r="Y20" s="97">
        <v>306</v>
      </c>
      <c r="Z20" s="105"/>
      <c r="AA20" s="105"/>
      <c r="AB20" s="105"/>
      <c r="AC20" s="105"/>
    </row>
    <row r="21" spans="1:29" s="995" customFormat="1" ht="12.6" customHeight="1">
      <c r="A21" s="991"/>
      <c r="B21" s="2863"/>
      <c r="C21" s="2863"/>
      <c r="D21" s="2863"/>
      <c r="E21" s="2839"/>
      <c r="F21" s="2839"/>
      <c r="G21" s="2839"/>
      <c r="H21" s="2839"/>
      <c r="I21" s="2839"/>
      <c r="J21" s="2839"/>
      <c r="K21" s="2839"/>
      <c r="L21" s="2839"/>
      <c r="M21" s="2839"/>
      <c r="N21" s="2839"/>
      <c r="O21" s="2839"/>
      <c r="P21" s="2839"/>
      <c r="Q21" s="2839"/>
      <c r="R21" s="2839"/>
      <c r="S21" s="2839"/>
      <c r="T21" s="2839"/>
      <c r="U21" s="2839"/>
      <c r="V21" s="2839"/>
      <c r="W21" s="2839"/>
      <c r="X21" s="2313" t="s">
        <v>1664</v>
      </c>
      <c r="Y21" s="97">
        <v>240</v>
      </c>
      <c r="Z21" s="105"/>
      <c r="AA21" s="105"/>
      <c r="AB21" s="105"/>
      <c r="AC21" s="105"/>
    </row>
    <row r="22" spans="1:29" s="166" customFormat="1" ht="12.6" customHeight="1">
      <c r="A22" s="2095"/>
      <c r="B22" s="2376">
        <v>45289</v>
      </c>
      <c r="C22" s="2377"/>
      <c r="D22" s="2375" t="s">
        <v>1646</v>
      </c>
      <c r="E22" s="2373">
        <v>29</v>
      </c>
      <c r="F22" s="2373"/>
      <c r="G22" s="2373"/>
      <c r="H22" s="2373"/>
      <c r="I22" s="2373"/>
      <c r="J22" s="2373"/>
      <c r="K22" s="2373"/>
      <c r="L22" s="2373"/>
      <c r="M22" s="2373"/>
      <c r="N22" s="2373"/>
      <c r="O22" s="2373"/>
      <c r="P22" s="2373"/>
      <c r="Q22" s="2373">
        <v>29</v>
      </c>
      <c r="R22" s="2373"/>
      <c r="S22" s="2373"/>
      <c r="T22" s="2373"/>
      <c r="U22" s="2373"/>
      <c r="V22" s="2373"/>
      <c r="W22" s="2373"/>
      <c r="X22" s="105"/>
      <c r="Y22" s="105"/>
      <c r="Z22" s="105"/>
      <c r="AA22" s="105"/>
      <c r="AB22" s="105"/>
      <c r="AC22" s="105"/>
    </row>
    <row r="23" spans="1:29" s="166" customFormat="1" ht="12.6" customHeight="1">
      <c r="A23" s="2095"/>
      <c r="B23" s="2376">
        <v>45289</v>
      </c>
      <c r="C23" s="2377"/>
      <c r="D23" s="2375" t="s">
        <v>1103</v>
      </c>
      <c r="E23" s="2374">
        <v>4190</v>
      </c>
      <c r="F23" s="2373"/>
      <c r="G23" s="2373"/>
      <c r="H23" s="2373"/>
      <c r="I23" s="2373"/>
      <c r="J23" s="2373"/>
      <c r="K23" s="2373"/>
      <c r="L23" s="2373"/>
      <c r="M23" s="2373"/>
      <c r="N23" s="2373"/>
      <c r="O23" s="2373"/>
      <c r="P23" s="2373"/>
      <c r="Q23" s="2373">
        <v>4190</v>
      </c>
      <c r="R23" s="2373"/>
      <c r="S23" s="2373"/>
      <c r="T23" s="2373"/>
      <c r="U23" s="2373"/>
      <c r="V23" s="2373"/>
      <c r="W23" s="2373"/>
      <c r="X23" s="105"/>
      <c r="Y23" s="105"/>
      <c r="Z23" s="105"/>
      <c r="AA23" s="105"/>
      <c r="AB23" s="105"/>
      <c r="AC23" s="105"/>
    </row>
    <row r="24" spans="1:29" s="166" customFormat="1" ht="12.6" customHeight="1">
      <c r="A24" s="2095"/>
      <c r="B24" s="2376">
        <v>45289</v>
      </c>
      <c r="C24" s="2377"/>
      <c r="D24" s="2375" t="s">
        <v>1466</v>
      </c>
      <c r="E24" s="2373">
        <v>778</v>
      </c>
      <c r="F24" s="2373">
        <v>419</v>
      </c>
      <c r="G24" s="2373"/>
      <c r="H24" s="2373"/>
      <c r="I24" s="2373"/>
      <c r="J24" s="2373"/>
      <c r="K24" s="2373"/>
      <c r="L24" s="2373"/>
      <c r="M24" s="2373"/>
      <c r="N24" s="2373"/>
      <c r="O24" s="2373"/>
      <c r="P24" s="2373"/>
      <c r="Q24" s="2373"/>
      <c r="R24" s="2373"/>
      <c r="S24" s="2373"/>
      <c r="T24" s="2373">
        <v>359</v>
      </c>
      <c r="U24" s="2373"/>
      <c r="V24" s="2373"/>
      <c r="W24" s="2373"/>
      <c r="X24" s="105"/>
      <c r="Y24" s="105"/>
      <c r="Z24" s="105"/>
      <c r="AA24" s="105"/>
      <c r="AB24" s="105"/>
      <c r="AC24" s="105"/>
    </row>
    <row r="25" spans="1:29" s="166" customFormat="1" ht="12.6" customHeight="1">
      <c r="A25" s="2095"/>
      <c r="B25" s="2376">
        <v>45289</v>
      </c>
      <c r="C25" s="2377"/>
      <c r="D25" s="2375" t="s">
        <v>1638</v>
      </c>
      <c r="E25" s="2373">
        <v>200</v>
      </c>
      <c r="F25" s="2373"/>
      <c r="G25" s="2373"/>
      <c r="H25" s="2373"/>
      <c r="I25" s="2373"/>
      <c r="J25" s="2373"/>
      <c r="K25" s="2373"/>
      <c r="L25" s="2373"/>
      <c r="M25" s="2373"/>
      <c r="N25" s="2373"/>
      <c r="O25" s="2373"/>
      <c r="P25" s="2373"/>
      <c r="Q25" s="2373">
        <v>200</v>
      </c>
      <c r="R25" s="2373"/>
      <c r="S25" s="2373"/>
      <c r="T25" s="2373"/>
      <c r="U25" s="2373"/>
      <c r="V25" s="2373"/>
      <c r="W25" s="2373"/>
      <c r="X25" s="105"/>
      <c r="Y25" s="105"/>
      <c r="Z25" s="105"/>
      <c r="AA25" s="105"/>
      <c r="AB25" s="105"/>
      <c r="AC25" s="105"/>
    </row>
    <row r="26" spans="1:29" s="166" customFormat="1" ht="12.6" customHeight="1">
      <c r="A26" s="2095"/>
      <c r="B26" s="2376">
        <v>45289</v>
      </c>
      <c r="C26" s="2377"/>
      <c r="D26" s="2375" t="s">
        <v>12</v>
      </c>
      <c r="E26" s="2373">
        <v>500</v>
      </c>
      <c r="F26" s="2373"/>
      <c r="G26" s="2373"/>
      <c r="H26" s="2373"/>
      <c r="I26" s="2373"/>
      <c r="J26" s="2373"/>
      <c r="K26" s="2373"/>
      <c r="L26" s="2373"/>
      <c r="M26" s="2373"/>
      <c r="N26" s="2373"/>
      <c r="O26" s="2373"/>
      <c r="P26" s="2373"/>
      <c r="Q26" s="2373"/>
      <c r="R26" s="2373"/>
      <c r="S26" s="2373">
        <v>500</v>
      </c>
      <c r="T26" s="2373"/>
      <c r="U26" s="2373"/>
      <c r="V26" s="2373"/>
      <c r="W26" s="2373"/>
      <c r="X26" s="105"/>
      <c r="Y26" s="105"/>
      <c r="Z26" s="105"/>
      <c r="AA26" s="105"/>
      <c r="AB26" s="105"/>
      <c r="AC26" s="105"/>
    </row>
    <row r="27" spans="1:29" s="166" customFormat="1" ht="12.6" customHeight="1">
      <c r="A27" s="2095"/>
      <c r="B27" s="2376">
        <v>45289</v>
      </c>
      <c r="C27" s="2377"/>
      <c r="D27" s="2375" t="s">
        <v>11</v>
      </c>
      <c r="E27" s="2373">
        <v>500</v>
      </c>
      <c r="F27" s="2373"/>
      <c r="G27" s="2373"/>
      <c r="H27" s="2373"/>
      <c r="I27" s="2373"/>
      <c r="J27" s="2373"/>
      <c r="K27" s="2373"/>
      <c r="L27" s="2373"/>
      <c r="M27" s="2373"/>
      <c r="N27" s="2373"/>
      <c r="O27" s="2373"/>
      <c r="P27" s="2373"/>
      <c r="Q27" s="2373"/>
      <c r="R27" s="2373"/>
      <c r="S27" s="2373">
        <v>500</v>
      </c>
      <c r="T27" s="2373"/>
      <c r="U27" s="2373"/>
      <c r="V27" s="2373"/>
      <c r="W27" s="2373"/>
      <c r="X27" s="105"/>
      <c r="Y27" s="105"/>
      <c r="Z27" s="105"/>
      <c r="AA27" s="105"/>
      <c r="AB27" s="105"/>
      <c r="AC27" s="105"/>
    </row>
    <row r="28" spans="1:29" s="166" customFormat="1" ht="12.6" customHeight="1">
      <c r="A28" s="2095" t="s">
        <v>19</v>
      </c>
      <c r="B28" s="2376">
        <v>45289</v>
      </c>
      <c r="C28" s="2377"/>
      <c r="D28" s="2375" t="s">
        <v>29</v>
      </c>
      <c r="E28" s="2373">
        <v>69</v>
      </c>
      <c r="F28" s="2373">
        <v>69</v>
      </c>
      <c r="G28" s="2373"/>
      <c r="H28" s="2373"/>
      <c r="I28" s="2373"/>
      <c r="J28" s="2373"/>
      <c r="K28" s="2373"/>
      <c r="L28" s="2373"/>
      <c r="M28" s="2373"/>
      <c r="N28" s="2373"/>
      <c r="O28" s="2373"/>
      <c r="P28" s="2373"/>
      <c r="Q28" s="2373"/>
      <c r="R28" s="2373"/>
      <c r="S28" s="2373"/>
      <c r="T28" s="2373"/>
      <c r="U28" s="2373"/>
      <c r="V28" s="2373"/>
      <c r="W28" s="2373"/>
      <c r="X28" s="105"/>
      <c r="Y28" s="105"/>
      <c r="Z28" s="105"/>
      <c r="AA28" s="105"/>
      <c r="AB28" s="105"/>
      <c r="AC28" s="105"/>
    </row>
    <row r="29" spans="1:29" s="166" customFormat="1" ht="12.6" customHeight="1">
      <c r="A29" s="2095"/>
      <c r="B29" s="2376">
        <v>45289</v>
      </c>
      <c r="C29" s="2377"/>
      <c r="D29" s="2375" t="s">
        <v>1354</v>
      </c>
      <c r="E29" s="2373">
        <v>99</v>
      </c>
      <c r="F29" s="2373"/>
      <c r="G29" s="2373"/>
      <c r="H29" s="2373"/>
      <c r="I29" s="2373"/>
      <c r="J29" s="2373"/>
      <c r="K29" s="2373"/>
      <c r="L29" s="2373"/>
      <c r="M29" s="2373"/>
      <c r="N29" s="2373"/>
      <c r="O29" s="2373"/>
      <c r="P29" s="2373">
        <v>99</v>
      </c>
      <c r="Q29" s="2373"/>
      <c r="R29" s="2373"/>
      <c r="S29" s="2373"/>
      <c r="T29" s="2373"/>
      <c r="U29" s="2373"/>
      <c r="V29" s="2373"/>
      <c r="W29" s="2373"/>
      <c r="X29" s="105"/>
      <c r="Y29" s="105"/>
      <c r="Z29" s="105"/>
      <c r="AA29" s="105"/>
      <c r="AB29" s="105"/>
      <c r="AC29" s="105"/>
    </row>
    <row r="30" spans="1:29" s="166" customFormat="1" ht="12.6" customHeight="1">
      <c r="A30" s="2095"/>
      <c r="B30" s="2376">
        <v>45290</v>
      </c>
      <c r="C30" s="2377"/>
      <c r="D30" s="2375" t="s">
        <v>162</v>
      </c>
      <c r="E30" s="2373">
        <v>78</v>
      </c>
      <c r="F30" s="2373"/>
      <c r="G30" s="2373"/>
      <c r="H30" s="2373"/>
      <c r="I30" s="2373"/>
      <c r="J30" s="2373"/>
      <c r="K30" s="2373"/>
      <c r="L30" s="2373"/>
      <c r="M30" s="2373"/>
      <c r="N30" s="2373"/>
      <c r="O30" s="2373"/>
      <c r="P30" s="2373"/>
      <c r="Q30" s="2373">
        <v>78</v>
      </c>
      <c r="R30" s="2373"/>
      <c r="S30" s="2373"/>
      <c r="T30" s="2373"/>
      <c r="U30" s="2373"/>
      <c r="V30" s="2373"/>
      <c r="W30" s="2373"/>
      <c r="X30" s="105"/>
      <c r="Y30" s="105"/>
      <c r="Z30" s="105"/>
      <c r="AA30" s="105"/>
      <c r="AB30" s="105"/>
      <c r="AC30" s="105"/>
    </row>
    <row r="31" spans="1:29" s="166" customFormat="1" ht="12.6" customHeight="1">
      <c r="A31" s="2095"/>
      <c r="B31" s="2376">
        <v>45290</v>
      </c>
      <c r="C31" s="2377"/>
      <c r="D31" s="2375" t="s">
        <v>13</v>
      </c>
      <c r="E31" s="2373">
        <v>500</v>
      </c>
      <c r="F31" s="2373"/>
      <c r="G31" s="2373"/>
      <c r="H31" s="2373"/>
      <c r="I31" s="2373"/>
      <c r="J31" s="2373"/>
      <c r="K31" s="2373"/>
      <c r="L31" s="2373"/>
      <c r="M31" s="2373"/>
      <c r="N31" s="2373"/>
      <c r="O31" s="2373"/>
      <c r="P31" s="2373"/>
      <c r="Q31" s="2373"/>
      <c r="R31" s="2373"/>
      <c r="S31" s="2373">
        <v>500</v>
      </c>
      <c r="T31" s="2373"/>
      <c r="U31" s="2373"/>
      <c r="V31" s="2373"/>
      <c r="W31" s="2373"/>
      <c r="X31" s="105"/>
      <c r="Y31" s="105"/>
      <c r="Z31" s="105"/>
      <c r="AA31" s="105"/>
      <c r="AB31" s="105"/>
      <c r="AC31" s="105"/>
    </row>
    <row r="32" spans="1:29" s="166" customFormat="1" ht="12.6" customHeight="1">
      <c r="A32" s="2095"/>
      <c r="B32" s="2376">
        <v>45290</v>
      </c>
      <c r="C32" s="2377"/>
      <c r="D32" s="2375" t="s">
        <v>7</v>
      </c>
      <c r="E32" s="2373">
        <v>500</v>
      </c>
      <c r="F32" s="2373"/>
      <c r="G32" s="2373"/>
      <c r="H32" s="2373"/>
      <c r="I32" s="2373"/>
      <c r="J32" s="2373"/>
      <c r="K32" s="2373"/>
      <c r="L32" s="2373"/>
      <c r="M32" s="2373"/>
      <c r="N32" s="2373"/>
      <c r="O32" s="2373"/>
      <c r="P32" s="2373"/>
      <c r="Q32" s="2373"/>
      <c r="R32" s="2373"/>
      <c r="S32" s="2373">
        <v>500</v>
      </c>
      <c r="T32" s="2373"/>
      <c r="U32" s="2373"/>
      <c r="V32" s="2373"/>
      <c r="W32" s="2373"/>
      <c r="X32" s="105"/>
      <c r="Y32" s="105"/>
      <c r="Z32" s="105"/>
      <c r="AA32" s="105"/>
      <c r="AB32" s="105"/>
      <c r="AC32" s="105"/>
    </row>
    <row r="33" spans="1:29" s="166" customFormat="1" ht="12.6" customHeight="1">
      <c r="A33" s="2095"/>
      <c r="B33" s="2376">
        <v>45293</v>
      </c>
      <c r="C33" s="2377"/>
      <c r="D33" s="2375" t="s">
        <v>30</v>
      </c>
      <c r="E33" s="2373">
        <v>4315</v>
      </c>
      <c r="F33" s="2373"/>
      <c r="G33" s="2373"/>
      <c r="H33" s="2373"/>
      <c r="I33" s="2373"/>
      <c r="J33" s="2373"/>
      <c r="K33" s="2373"/>
      <c r="L33" s="2373"/>
      <c r="M33" s="2373">
        <v>4315</v>
      </c>
      <c r="N33" s="2373"/>
      <c r="O33" s="2373"/>
      <c r="P33" s="2373"/>
      <c r="Q33" s="2373"/>
      <c r="R33" s="2373"/>
      <c r="S33" s="2373"/>
      <c r="T33" s="2373"/>
      <c r="U33" s="2373"/>
      <c r="V33" s="2373"/>
      <c r="W33" s="2373">
        <v>4315</v>
      </c>
      <c r="X33" s="105"/>
      <c r="Y33" s="105"/>
      <c r="Z33" s="105"/>
      <c r="AA33" s="105"/>
      <c r="AB33" s="105"/>
      <c r="AC33" s="105"/>
    </row>
    <row r="34" spans="1:29" s="166" customFormat="1" ht="12.6" customHeight="1">
      <c r="A34" s="2095"/>
      <c r="B34" s="2376">
        <v>45293</v>
      </c>
      <c r="C34" s="2377"/>
      <c r="D34" s="2375" t="s">
        <v>1352</v>
      </c>
      <c r="E34" s="2373">
        <v>630</v>
      </c>
      <c r="F34" s="2373"/>
      <c r="G34" s="2373"/>
      <c r="H34" s="2373"/>
      <c r="I34" s="2373"/>
      <c r="J34" s="2373"/>
      <c r="K34" s="2373"/>
      <c r="L34" s="2373"/>
      <c r="M34" s="2373"/>
      <c r="N34" s="2373">
        <v>630</v>
      </c>
      <c r="O34" s="2373"/>
      <c r="P34" s="2373"/>
      <c r="Q34" s="2373"/>
      <c r="R34" s="2373"/>
      <c r="S34" s="2373"/>
      <c r="T34" s="2373"/>
      <c r="U34" s="2373"/>
      <c r="V34" s="2373"/>
      <c r="W34" s="2373"/>
      <c r="X34" s="105"/>
      <c r="Y34" s="105"/>
      <c r="Z34" s="105"/>
      <c r="AA34" s="105"/>
      <c r="AB34" s="105"/>
      <c r="AC34" s="105"/>
    </row>
    <row r="35" spans="1:29" s="166" customFormat="1" ht="12.6" customHeight="1">
      <c r="A35" s="2095"/>
      <c r="B35" s="2376">
        <v>45293</v>
      </c>
      <c r="C35" s="2377"/>
      <c r="D35" s="2375" t="s">
        <v>26</v>
      </c>
      <c r="E35" s="2373">
        <v>538.53</v>
      </c>
      <c r="F35" s="2373"/>
      <c r="G35" s="2373"/>
      <c r="H35" s="2373"/>
      <c r="I35" s="2373"/>
      <c r="J35" s="2373"/>
      <c r="K35" s="2373"/>
      <c r="L35" s="2373"/>
      <c r="M35" s="2373"/>
      <c r="N35" s="2373"/>
      <c r="O35" s="2373"/>
      <c r="P35" s="2373"/>
      <c r="Q35" s="2373"/>
      <c r="R35" s="2373"/>
      <c r="S35" s="2373"/>
      <c r="T35" s="2373"/>
      <c r="U35" s="2373"/>
      <c r="V35" s="2373">
        <v>538.53</v>
      </c>
      <c r="W35" s="2373"/>
      <c r="X35" s="105"/>
      <c r="Y35" s="105"/>
      <c r="Z35" s="105"/>
      <c r="AA35" s="105"/>
      <c r="AB35" s="105"/>
      <c r="AC35" s="105"/>
    </row>
    <row r="36" spans="1:29" s="166" customFormat="1" ht="12.6" customHeight="1">
      <c r="A36" s="2095"/>
      <c r="B36" s="2376">
        <v>45293</v>
      </c>
      <c r="C36" s="2377"/>
      <c r="D36" s="2375" t="s">
        <v>25</v>
      </c>
      <c r="E36" s="2373">
        <v>849.35</v>
      </c>
      <c r="F36" s="2373"/>
      <c r="G36" s="2373"/>
      <c r="H36" s="2373"/>
      <c r="I36" s="2373"/>
      <c r="J36" s="2373"/>
      <c r="K36" s="2373"/>
      <c r="L36" s="2373"/>
      <c r="M36" s="2373"/>
      <c r="N36" s="2373"/>
      <c r="O36" s="2373"/>
      <c r="P36" s="2373"/>
      <c r="Q36" s="2373">
        <f>849.35</f>
        <v>849.35</v>
      </c>
      <c r="R36" s="2373"/>
      <c r="S36" s="2373"/>
      <c r="T36" s="2373"/>
      <c r="U36" s="2373"/>
      <c r="V36" s="2373"/>
      <c r="W36" s="2373"/>
      <c r="X36" s="105"/>
      <c r="Y36" s="105"/>
      <c r="Z36" s="105"/>
      <c r="AA36" s="105"/>
      <c r="AB36" s="105"/>
      <c r="AC36" s="105"/>
    </row>
    <row r="37" spans="1:29" s="166" customFormat="1" ht="12.6" customHeight="1">
      <c r="A37" s="2095"/>
      <c r="B37" s="2376">
        <v>45293</v>
      </c>
      <c r="C37" s="2377"/>
      <c r="D37" s="2375" t="s">
        <v>27</v>
      </c>
      <c r="E37" s="2373">
        <v>767.75</v>
      </c>
      <c r="F37" s="2373"/>
      <c r="G37" s="2373"/>
      <c r="H37" s="2373"/>
      <c r="I37" s="2373"/>
      <c r="J37" s="2373"/>
      <c r="K37" s="2373"/>
      <c r="L37" s="2373"/>
      <c r="M37" s="2373"/>
      <c r="N37" s="2373"/>
      <c r="O37" s="2373"/>
      <c r="P37" s="2373">
        <v>767.75</v>
      </c>
      <c r="Q37" s="2373"/>
      <c r="R37" s="2373"/>
      <c r="S37" s="2373"/>
      <c r="T37" s="2373"/>
      <c r="U37" s="2373"/>
      <c r="V37" s="2373"/>
      <c r="W37" s="2373"/>
      <c r="X37" s="105"/>
      <c r="Y37" s="105"/>
      <c r="Z37" s="105"/>
      <c r="AA37" s="105"/>
      <c r="AB37" s="105"/>
      <c r="AC37" s="105"/>
    </row>
    <row r="38" spans="1:29" s="166" customFormat="1" ht="12.6" customHeight="1">
      <c r="A38" s="2095"/>
      <c r="B38" s="2376">
        <v>45293</v>
      </c>
      <c r="C38" s="2377"/>
      <c r="D38" s="2375" t="s">
        <v>22</v>
      </c>
      <c r="E38" s="2373">
        <v>465</v>
      </c>
      <c r="F38" s="2373"/>
      <c r="G38" s="2373"/>
      <c r="H38" s="2373"/>
      <c r="I38" s="2373"/>
      <c r="J38" s="2373"/>
      <c r="K38" s="2373"/>
      <c r="L38" s="2373"/>
      <c r="M38" s="2373"/>
      <c r="N38" s="2373"/>
      <c r="O38" s="2373"/>
      <c r="P38" s="2373">
        <v>465</v>
      </c>
      <c r="Q38" s="2373"/>
      <c r="R38" s="2373"/>
      <c r="S38" s="2373"/>
      <c r="T38" s="2373"/>
      <c r="U38" s="2373"/>
      <c r="V38" s="2373"/>
      <c r="W38" s="2373"/>
      <c r="X38" s="105"/>
      <c r="Y38" s="105"/>
      <c r="Z38" s="105"/>
      <c r="AA38" s="105"/>
      <c r="AB38" s="105"/>
      <c r="AC38" s="105"/>
    </row>
    <row r="39" spans="1:29" s="166" customFormat="1" ht="12.6" customHeight="1">
      <c r="A39" s="2095"/>
      <c r="B39" s="2376">
        <v>45293</v>
      </c>
      <c r="C39" s="2377"/>
      <c r="D39" s="2375" t="s">
        <v>21</v>
      </c>
      <c r="E39" s="2373">
        <v>208</v>
      </c>
      <c r="F39" s="2373"/>
      <c r="G39" s="2373"/>
      <c r="H39" s="2373"/>
      <c r="I39" s="2373"/>
      <c r="J39" s="2373"/>
      <c r="K39" s="2373"/>
      <c r="L39" s="2373"/>
      <c r="M39" s="2373"/>
      <c r="N39" s="2373"/>
      <c r="O39" s="2373"/>
      <c r="P39" s="2373">
        <v>208</v>
      </c>
      <c r="Q39" s="2373"/>
      <c r="R39" s="2373"/>
      <c r="S39" s="2373"/>
      <c r="T39" s="2373"/>
      <c r="U39" s="2373"/>
      <c r="V39" s="2373"/>
      <c r="W39" s="2373"/>
      <c r="X39" s="105"/>
      <c r="Y39" s="105"/>
      <c r="Z39" s="105"/>
      <c r="AA39" s="105"/>
      <c r="AB39" s="105"/>
      <c r="AC39" s="105"/>
    </row>
    <row r="40" spans="1:29" s="166" customFormat="1" ht="12.6" customHeight="1">
      <c r="A40" s="2095"/>
      <c r="B40" s="2376">
        <v>45293</v>
      </c>
      <c r="C40" s="2377"/>
      <c r="D40" s="2375" t="s">
        <v>126</v>
      </c>
      <c r="E40" s="2373">
        <v>45</v>
      </c>
      <c r="F40" s="2373"/>
      <c r="G40" s="2373"/>
      <c r="H40" s="2373"/>
      <c r="I40" s="2373"/>
      <c r="J40" s="2373"/>
      <c r="K40" s="2373"/>
      <c r="L40" s="2373"/>
      <c r="M40" s="2373"/>
      <c r="N40" s="2373"/>
      <c r="O40" s="2373"/>
      <c r="P40" s="2373"/>
      <c r="Q40" s="2373"/>
      <c r="R40" s="2373">
        <v>45</v>
      </c>
      <c r="S40" s="2373"/>
      <c r="T40" s="2373"/>
      <c r="U40" s="2373"/>
      <c r="V40" s="2373"/>
      <c r="W40" s="2373"/>
      <c r="X40" s="105"/>
      <c r="Y40" s="105"/>
      <c r="Z40" s="105"/>
      <c r="AA40" s="105"/>
      <c r="AB40" s="105"/>
      <c r="AC40" s="105"/>
    </row>
    <row r="41" spans="1:29" s="166" customFormat="1" ht="12.6" customHeight="1">
      <c r="A41" s="2095"/>
      <c r="B41" s="2376">
        <v>45293</v>
      </c>
      <c r="C41" s="2377"/>
      <c r="D41" s="2375" t="s">
        <v>1648</v>
      </c>
      <c r="E41" s="2373">
        <v>210</v>
      </c>
      <c r="F41" s="2373"/>
      <c r="G41" s="2373"/>
      <c r="H41" s="2373"/>
      <c r="I41" s="2373"/>
      <c r="J41" s="2373"/>
      <c r="K41" s="2373"/>
      <c r="L41" s="2373"/>
      <c r="M41" s="2373"/>
      <c r="N41" s="2373"/>
      <c r="O41" s="2373"/>
      <c r="P41" s="2373"/>
      <c r="Q41" s="2373"/>
      <c r="R41" s="2373"/>
      <c r="S41" s="2373"/>
      <c r="T41" s="2373"/>
      <c r="U41" s="2373"/>
      <c r="V41" s="2373"/>
      <c r="W41" s="2373"/>
      <c r="X41" s="105"/>
      <c r="Y41" s="105"/>
      <c r="Z41" s="105"/>
      <c r="AA41" s="105"/>
      <c r="AB41" s="105"/>
      <c r="AC41" s="105"/>
    </row>
    <row r="42" spans="1:29" s="166" customFormat="1" ht="12.6" customHeight="1">
      <c r="A42" s="2095"/>
      <c r="B42" s="2376">
        <v>45297</v>
      </c>
      <c r="C42" s="2377"/>
      <c r="D42" s="2375" t="s">
        <v>1495</v>
      </c>
      <c r="E42" s="2373">
        <v>369</v>
      </c>
      <c r="F42" s="2373">
        <v>62</v>
      </c>
      <c r="G42" s="2373"/>
      <c r="H42" s="2373"/>
      <c r="I42" s="2373"/>
      <c r="J42" s="2373"/>
      <c r="K42" s="2373"/>
      <c r="L42" s="2373"/>
      <c r="M42" s="2373"/>
      <c r="N42" s="2373"/>
      <c r="O42" s="2373"/>
      <c r="P42" s="2373"/>
      <c r="Q42" s="2373">
        <v>307.12</v>
      </c>
      <c r="R42" s="2373"/>
      <c r="S42" s="2373"/>
      <c r="T42" s="2373"/>
      <c r="U42" s="2373"/>
      <c r="V42" s="2373"/>
      <c r="W42" s="2373"/>
      <c r="X42" s="105"/>
      <c r="Y42" s="105"/>
      <c r="Z42" s="105"/>
      <c r="AA42" s="105"/>
      <c r="AB42" s="105"/>
      <c r="AC42" s="105"/>
    </row>
    <row r="43" spans="1:29" s="166" customFormat="1" ht="12.6" customHeight="1">
      <c r="A43" s="2095"/>
      <c r="B43" s="2376">
        <v>45297</v>
      </c>
      <c r="C43" s="2377"/>
      <c r="D43" s="2375" t="s">
        <v>235</v>
      </c>
      <c r="E43" s="2373">
        <f>SUM(F43:W43)</f>
        <v>25</v>
      </c>
      <c r="F43" s="2373"/>
      <c r="G43" s="2373">
        <v>25</v>
      </c>
      <c r="H43" s="2373"/>
      <c r="I43" s="2373"/>
      <c r="J43" s="2373"/>
      <c r="K43" s="2373"/>
      <c r="L43" s="2373"/>
      <c r="M43" s="2373"/>
      <c r="N43" s="2373"/>
      <c r="O43" s="2373"/>
      <c r="P43" s="2373"/>
      <c r="Q43" s="2373"/>
      <c r="R43" s="2373"/>
      <c r="S43" s="2373"/>
      <c r="T43" s="2373"/>
      <c r="U43" s="2373"/>
      <c r="V43" s="2373"/>
      <c r="W43" s="2373"/>
      <c r="X43" s="105"/>
      <c r="Y43" s="105"/>
      <c r="Z43" s="105"/>
      <c r="AA43" s="105"/>
      <c r="AB43" s="105"/>
      <c r="AC43" s="105"/>
    </row>
    <row r="44" spans="1:29" s="166" customFormat="1" ht="12.6" customHeight="1">
      <c r="A44" s="2095"/>
      <c r="B44" s="2376">
        <v>45300</v>
      </c>
      <c r="C44" s="2377"/>
      <c r="D44" s="2375" t="s">
        <v>23</v>
      </c>
      <c r="E44" s="2373">
        <v>50</v>
      </c>
      <c r="F44" s="2373"/>
      <c r="G44" s="2373"/>
      <c r="H44" s="2373"/>
      <c r="I44" s="2373"/>
      <c r="J44" s="2373"/>
      <c r="K44" s="2373"/>
      <c r="L44" s="2373"/>
      <c r="M44" s="2373"/>
      <c r="N44" s="2373"/>
      <c r="O44" s="2373"/>
      <c r="P44" s="2373"/>
      <c r="Q44" s="2373"/>
      <c r="R44" s="2373">
        <v>50</v>
      </c>
      <c r="S44" s="2373"/>
      <c r="T44" s="2373"/>
      <c r="U44" s="2373"/>
      <c r="V44" s="2373"/>
      <c r="W44" s="2373"/>
      <c r="X44" s="105"/>
      <c r="Y44" s="105"/>
      <c r="Z44" s="105"/>
      <c r="AA44" s="105"/>
      <c r="AB44" s="105"/>
      <c r="AC44" s="105"/>
    </row>
    <row r="45" spans="1:29" s="166" customFormat="1" ht="12.6" customHeight="1">
      <c r="A45" s="2095"/>
      <c r="B45" s="2376">
        <v>45300</v>
      </c>
      <c r="C45" s="2377"/>
      <c r="D45" s="2375" t="s">
        <v>1085</v>
      </c>
      <c r="E45" s="2373">
        <v>820.25</v>
      </c>
      <c r="F45" s="2373"/>
      <c r="G45" s="2373"/>
      <c r="H45" s="2373"/>
      <c r="I45" s="2373"/>
      <c r="J45" s="2373"/>
      <c r="K45" s="2373"/>
      <c r="L45" s="2373"/>
      <c r="M45" s="2373"/>
      <c r="N45" s="2373"/>
      <c r="O45" s="2373"/>
      <c r="P45" s="2373"/>
      <c r="Q45" s="2373">
        <v>820.25</v>
      </c>
      <c r="R45" s="2373"/>
      <c r="S45" s="2373"/>
      <c r="T45" s="2373"/>
      <c r="U45" s="2373"/>
      <c r="V45" s="2373"/>
      <c r="W45" s="2373"/>
      <c r="X45" s="105"/>
      <c r="Y45" s="105"/>
      <c r="Z45" s="105"/>
      <c r="AA45" s="105"/>
      <c r="AB45" s="105"/>
      <c r="AC45" s="105"/>
    </row>
    <row r="46" spans="1:29" s="166" customFormat="1" ht="12.6" customHeight="1">
      <c r="A46" s="2095"/>
      <c r="B46" s="2376">
        <v>45301</v>
      </c>
      <c r="C46" s="2377"/>
      <c r="D46" s="2375" t="s">
        <v>1651</v>
      </c>
      <c r="E46" s="2373">
        <v>119</v>
      </c>
      <c r="F46" s="2373"/>
      <c r="G46" s="2373"/>
      <c r="H46" s="2373"/>
      <c r="I46" s="2373"/>
      <c r="J46" s="2373"/>
      <c r="K46" s="2373"/>
      <c r="L46" s="2373"/>
      <c r="M46" s="2373"/>
      <c r="N46" s="2373"/>
      <c r="O46" s="2373"/>
      <c r="P46" s="2373">
        <v>119</v>
      </c>
      <c r="Q46" s="2373"/>
      <c r="R46" s="2373"/>
      <c r="S46" s="2373"/>
      <c r="T46" s="2373"/>
      <c r="U46" s="2373"/>
      <c r="V46" s="2373"/>
      <c r="W46" s="2373"/>
      <c r="X46" s="105"/>
      <c r="Y46" s="105"/>
      <c r="Z46" s="105"/>
      <c r="AA46" s="105"/>
      <c r="AB46" s="105"/>
      <c r="AC46" s="105"/>
    </row>
    <row r="47" spans="1:29" s="166" customFormat="1" ht="12.6" customHeight="1">
      <c r="A47" s="2095"/>
      <c r="B47" s="2376">
        <v>45320</v>
      </c>
      <c r="C47" s="2377"/>
      <c r="D47" s="2375" t="s">
        <v>1646</v>
      </c>
      <c r="E47" s="2373">
        <v>29</v>
      </c>
      <c r="F47" s="2373"/>
      <c r="G47" s="2373"/>
      <c r="H47" s="2373"/>
      <c r="I47" s="2373"/>
      <c r="J47" s="2373"/>
      <c r="K47" s="2373"/>
      <c r="L47" s="2373"/>
      <c r="M47" s="2373"/>
      <c r="N47" s="2373"/>
      <c r="O47" s="2373"/>
      <c r="P47" s="2373"/>
      <c r="Q47" s="2373">
        <v>29</v>
      </c>
      <c r="R47" s="2373"/>
      <c r="S47" s="2373"/>
      <c r="T47" s="2373"/>
      <c r="U47" s="2373"/>
      <c r="V47" s="2373"/>
      <c r="W47" s="2373"/>
      <c r="X47" s="105"/>
      <c r="Y47" s="105"/>
      <c r="Z47" s="105"/>
      <c r="AA47" s="105"/>
      <c r="AB47" s="105"/>
      <c r="AC47" s="105"/>
    </row>
    <row r="48" spans="1:29" s="166" customFormat="1" ht="12.6" customHeight="1">
      <c r="A48" s="2095"/>
      <c r="B48" s="2376">
        <v>45321</v>
      </c>
      <c r="C48" s="2377"/>
      <c r="D48" s="2375" t="s">
        <v>1653</v>
      </c>
      <c r="E48" s="2373">
        <v>50</v>
      </c>
      <c r="F48" s="2373"/>
      <c r="G48" s="2373"/>
      <c r="H48" s="2373"/>
      <c r="I48" s="2373"/>
      <c r="J48" s="2373"/>
      <c r="K48" s="2373"/>
      <c r="L48" s="2373"/>
      <c r="M48" s="2373"/>
      <c r="N48" s="2373"/>
      <c r="O48" s="2373"/>
      <c r="P48" s="2373"/>
      <c r="Q48" s="2373"/>
      <c r="R48" s="2373">
        <v>50</v>
      </c>
      <c r="S48" s="2373"/>
      <c r="T48" s="2373"/>
      <c r="U48" s="2373"/>
      <c r="V48" s="2373"/>
      <c r="W48" s="2373"/>
      <c r="X48" s="105"/>
      <c r="Y48" s="105"/>
      <c r="Z48" s="105"/>
      <c r="AA48" s="105"/>
      <c r="AB48" s="105"/>
      <c r="AC48" s="105"/>
    </row>
    <row r="49" spans="1:29" s="166" customFormat="1" ht="12.6" customHeight="1">
      <c r="A49" s="2095"/>
      <c r="B49" s="2376"/>
      <c r="C49" s="2377"/>
      <c r="D49" s="2375" t="s">
        <v>42</v>
      </c>
      <c r="E49" s="2373">
        <f t="shared" ref="E49:E54" si="6">SUM(F49:W49)</f>
        <v>1598.95</v>
      </c>
      <c r="F49" s="2373"/>
      <c r="G49" s="2373"/>
      <c r="H49" s="2373">
        <f>439.25+42.95+25.2+50.35+150+22.5+114.8+42+98.1+156.75+215.05+180</f>
        <v>1536.95</v>
      </c>
      <c r="I49" s="2373"/>
      <c r="J49" s="2373"/>
      <c r="K49" s="2373">
        <v>62</v>
      </c>
      <c r="L49" s="2373"/>
      <c r="M49" s="2373"/>
      <c r="N49" s="2373"/>
      <c r="O49" s="2373"/>
      <c r="P49" s="2373"/>
      <c r="Q49" s="2373"/>
      <c r="R49" s="2373"/>
      <c r="S49" s="2373"/>
      <c r="T49" s="2373"/>
      <c r="U49" s="2373"/>
      <c r="V49" s="2373"/>
      <c r="W49" s="2373"/>
      <c r="X49" s="105"/>
      <c r="Y49" s="105"/>
      <c r="Z49" s="105"/>
      <c r="AA49" s="105"/>
      <c r="AB49" s="105"/>
      <c r="AC49" s="105"/>
    </row>
    <row r="50" spans="1:29" s="166" customFormat="1" ht="12.6" customHeight="1">
      <c r="A50" s="2095"/>
      <c r="B50" s="2376"/>
      <c r="C50" s="2377"/>
      <c r="D50" s="2375" t="s">
        <v>41</v>
      </c>
      <c r="E50" s="2373">
        <f t="shared" si="6"/>
        <v>13</v>
      </c>
      <c r="F50" s="2373"/>
      <c r="G50" s="2373"/>
      <c r="H50" s="2373">
        <f>13</f>
        <v>13</v>
      </c>
      <c r="I50" s="2373"/>
      <c r="J50" s="2373"/>
      <c r="K50" s="2373"/>
      <c r="L50" s="2373"/>
      <c r="M50" s="2373"/>
      <c r="N50" s="2373"/>
      <c r="O50" s="2373"/>
      <c r="P50" s="2373"/>
      <c r="Q50" s="2373"/>
      <c r="R50" s="2373"/>
      <c r="S50" s="2373"/>
      <c r="T50" s="2373"/>
      <c r="U50" s="2373"/>
      <c r="V50" s="2373"/>
      <c r="W50" s="2373"/>
      <c r="X50" s="105"/>
      <c r="Y50" s="105"/>
      <c r="Z50" s="105"/>
      <c r="AA50" s="105"/>
      <c r="AB50" s="105"/>
      <c r="AC50" s="105"/>
    </row>
    <row r="51" spans="1:29" s="166" customFormat="1" ht="12.6" customHeight="1">
      <c r="A51" s="2095"/>
      <c r="B51" s="2376"/>
      <c r="C51" s="2377"/>
      <c r="D51" s="2375" t="s">
        <v>1348</v>
      </c>
      <c r="E51" s="2373">
        <f t="shared" si="6"/>
        <v>968.14</v>
      </c>
      <c r="F51" s="2373"/>
      <c r="G51" s="2373"/>
      <c r="H51" s="2373">
        <f>130+40+25+93.95+27.75+31.44</f>
        <v>348.14</v>
      </c>
      <c r="I51" s="2373"/>
      <c r="J51" s="2373"/>
      <c r="K51" s="2373">
        <f>620</f>
        <v>620</v>
      </c>
      <c r="L51" s="2373"/>
      <c r="M51" s="2373"/>
      <c r="N51" s="2373"/>
      <c r="O51" s="2373"/>
      <c r="P51" s="2373"/>
      <c r="Q51" s="2373"/>
      <c r="R51" s="2373"/>
      <c r="S51" s="2373"/>
      <c r="T51" s="2373"/>
      <c r="U51" s="2373"/>
      <c r="V51" s="2373"/>
      <c r="W51" s="2373"/>
      <c r="X51" s="105"/>
      <c r="Y51" s="105"/>
      <c r="Z51" s="105"/>
      <c r="AA51" s="105"/>
      <c r="AB51" s="105"/>
      <c r="AC51" s="105"/>
    </row>
    <row r="52" spans="1:29" s="166" customFormat="1" ht="12.6" customHeight="1">
      <c r="A52" s="2095"/>
      <c r="B52" s="2376"/>
      <c r="C52" s="2377"/>
      <c r="D52" s="2375" t="s">
        <v>123</v>
      </c>
      <c r="E52" s="2373">
        <f t="shared" si="6"/>
        <v>240.75</v>
      </c>
      <c r="F52" s="2373"/>
      <c r="G52" s="2373"/>
      <c r="H52" s="2373">
        <f>70.75+170</f>
        <v>240.75</v>
      </c>
      <c r="I52" s="2373"/>
      <c r="J52" s="2373"/>
      <c r="K52" s="2373"/>
      <c r="L52" s="2373"/>
      <c r="M52" s="2373"/>
      <c r="N52" s="2373"/>
      <c r="O52" s="2373"/>
      <c r="P52" s="2373"/>
      <c r="Q52" s="2373"/>
      <c r="R52" s="2373"/>
      <c r="S52" s="2373"/>
      <c r="T52" s="2373"/>
      <c r="U52" s="2373"/>
      <c r="V52" s="2373"/>
      <c r="W52" s="2373"/>
      <c r="X52" s="105"/>
      <c r="Y52" s="105"/>
      <c r="Z52" s="105"/>
      <c r="AA52" s="105"/>
      <c r="AB52" s="105"/>
      <c r="AC52" s="105"/>
    </row>
    <row r="53" spans="1:29" s="166" customFormat="1" ht="12.6" customHeight="1">
      <c r="A53" s="2095"/>
      <c r="B53" s="2376"/>
      <c r="C53" s="2377"/>
      <c r="D53" s="2375" t="s">
        <v>384</v>
      </c>
      <c r="E53" s="2373">
        <f t="shared" si="6"/>
        <v>399.05</v>
      </c>
      <c r="F53" s="2373"/>
      <c r="G53" s="2373"/>
      <c r="H53" s="2373"/>
      <c r="I53" s="2373"/>
      <c r="J53" s="2373">
        <f>20.55+233.45+80.25+64.8</f>
        <v>399.05</v>
      </c>
      <c r="K53" s="2373"/>
      <c r="L53" s="2373"/>
      <c r="M53" s="2373"/>
      <c r="N53" s="2373"/>
      <c r="O53" s="2373"/>
      <c r="P53" s="2373"/>
      <c r="Q53" s="2373"/>
      <c r="R53" s="2373"/>
      <c r="S53" s="2373"/>
      <c r="T53" s="2373"/>
      <c r="U53" s="2373"/>
      <c r="V53" s="2373"/>
      <c r="W53" s="2373"/>
      <c r="X53" s="105"/>
      <c r="Y53" s="105"/>
      <c r="Z53" s="105"/>
      <c r="AA53" s="105"/>
      <c r="AB53" s="105"/>
      <c r="AC53" s="105"/>
    </row>
    <row r="54" spans="1:29" s="166" customFormat="1" ht="12.6" customHeight="1">
      <c r="A54" s="2095"/>
      <c r="B54" s="2376"/>
      <c r="C54" s="2377"/>
      <c r="D54" s="2375" t="s">
        <v>162</v>
      </c>
      <c r="E54" s="2373">
        <f t="shared" si="6"/>
        <v>447.75</v>
      </c>
      <c r="F54" s="2373"/>
      <c r="G54" s="2373"/>
      <c r="H54" s="2373">
        <f>25+25+25+12</f>
        <v>87</v>
      </c>
      <c r="I54" s="2373"/>
      <c r="J54" s="2373"/>
      <c r="K54" s="2373"/>
      <c r="L54" s="2373"/>
      <c r="M54" s="2373"/>
      <c r="N54" s="2373"/>
      <c r="O54" s="2373"/>
      <c r="P54" s="2373"/>
      <c r="Q54" s="2373">
        <f>78+98+40+40+104.75</f>
        <v>360.75</v>
      </c>
      <c r="R54" s="2373"/>
      <c r="S54" s="2373"/>
      <c r="T54" s="2373"/>
      <c r="U54" s="2373"/>
      <c r="V54" s="2373"/>
      <c r="W54" s="2373"/>
      <c r="X54" s="2452"/>
      <c r="Y54" s="996"/>
      <c r="Z54" s="105"/>
      <c r="AA54" s="105"/>
      <c r="AB54" s="105"/>
      <c r="AC54" s="105"/>
    </row>
    <row r="55" spans="1:29" s="2103" customFormat="1" ht="12.6" customHeight="1">
      <c r="A55" s="2097"/>
      <c r="B55" s="2853" t="s">
        <v>1647</v>
      </c>
      <c r="C55" s="2853"/>
      <c r="D55" s="2853"/>
      <c r="E55" s="2848">
        <f t="shared" ref="E55:W55" si="7">SUM(E56:E57)</f>
        <v>0</v>
      </c>
      <c r="F55" s="2848">
        <f t="shared" si="7"/>
        <v>0</v>
      </c>
      <c r="G55" s="2848">
        <f t="shared" si="7"/>
        <v>0</v>
      </c>
      <c r="H55" s="2848">
        <f t="shared" si="7"/>
        <v>0</v>
      </c>
      <c r="I55" s="2848">
        <f t="shared" si="7"/>
        <v>0</v>
      </c>
      <c r="J55" s="2848">
        <f t="shared" si="7"/>
        <v>0</v>
      </c>
      <c r="K55" s="2848">
        <f t="shared" si="7"/>
        <v>0</v>
      </c>
      <c r="L55" s="2848">
        <f t="shared" si="7"/>
        <v>0</v>
      </c>
      <c r="M55" s="2848">
        <f t="shared" si="7"/>
        <v>0</v>
      </c>
      <c r="N55" s="2848">
        <f t="shared" si="7"/>
        <v>0</v>
      </c>
      <c r="O55" s="2848">
        <f t="shared" si="7"/>
        <v>0</v>
      </c>
      <c r="P55" s="2848">
        <f t="shared" si="7"/>
        <v>0</v>
      </c>
      <c r="Q55" s="2848">
        <f t="shared" si="7"/>
        <v>0</v>
      </c>
      <c r="R55" s="2848">
        <f t="shared" si="7"/>
        <v>0</v>
      </c>
      <c r="S55" s="2848">
        <f t="shared" si="7"/>
        <v>0</v>
      </c>
      <c r="T55" s="2848">
        <f t="shared" si="7"/>
        <v>0</v>
      </c>
      <c r="U55" s="2848">
        <f t="shared" si="7"/>
        <v>0</v>
      </c>
      <c r="V55" s="2848">
        <f t="shared" si="7"/>
        <v>0</v>
      </c>
      <c r="W55" s="2848">
        <f t="shared" si="7"/>
        <v>0</v>
      </c>
      <c r="X55" s="2452"/>
      <c r="Y55" s="996"/>
      <c r="Z55" s="2452"/>
      <c r="AA55" s="996"/>
      <c r="AB55" s="2452"/>
      <c r="AC55" s="996"/>
    </row>
    <row r="56" spans="1:29" s="995" customFormat="1" ht="12.6" customHeight="1">
      <c r="A56" s="991"/>
      <c r="B56" s="2853"/>
      <c r="C56" s="2853"/>
      <c r="D56" s="2853"/>
      <c r="E56" s="2848"/>
      <c r="F56" s="2848"/>
      <c r="G56" s="2848"/>
      <c r="H56" s="2848"/>
      <c r="I56" s="2848"/>
      <c r="J56" s="2848"/>
      <c r="K56" s="2848"/>
      <c r="L56" s="2848"/>
      <c r="M56" s="2848"/>
      <c r="N56" s="2848"/>
      <c r="O56" s="2848"/>
      <c r="P56" s="2848"/>
      <c r="Q56" s="2848"/>
      <c r="R56" s="2848"/>
      <c r="S56" s="2848"/>
      <c r="T56" s="2848"/>
      <c r="U56" s="2848"/>
      <c r="V56" s="2848"/>
      <c r="W56" s="2848"/>
      <c r="X56" s="2452"/>
      <c r="Y56" s="996"/>
      <c r="Z56" s="2452"/>
      <c r="AA56" s="996"/>
      <c r="AB56" s="2452"/>
      <c r="AC56" s="996"/>
    </row>
    <row r="57" spans="1:29" s="995" customFormat="1" ht="12.6" customHeight="1">
      <c r="A57" s="991"/>
      <c r="B57" s="2319"/>
      <c r="C57" s="2319"/>
      <c r="D57" s="2320" t="s">
        <v>15</v>
      </c>
      <c r="E57" s="2370">
        <f>SUM(G57:W57)</f>
        <v>0</v>
      </c>
      <c r="F57" s="2370"/>
      <c r="G57" s="2370"/>
      <c r="H57" s="2370"/>
      <c r="I57" s="2370"/>
      <c r="J57" s="2370"/>
      <c r="K57" s="2370"/>
      <c r="L57" s="2370"/>
      <c r="M57" s="2370"/>
      <c r="N57" s="2370"/>
      <c r="O57" s="2370"/>
      <c r="P57" s="2370"/>
      <c r="Q57" s="2370"/>
      <c r="R57" s="2370"/>
      <c r="S57" s="2370"/>
      <c r="T57" s="2370"/>
      <c r="U57" s="2370"/>
      <c r="V57" s="2370"/>
      <c r="W57" s="2370"/>
      <c r="X57" s="2102"/>
      <c r="Y57" s="2102"/>
      <c r="Z57" s="2452"/>
      <c r="AA57" s="996"/>
      <c r="AB57" s="2452"/>
      <c r="AC57" s="996"/>
    </row>
    <row r="58" spans="1:29" s="2103" customFormat="1" ht="24" customHeight="1">
      <c r="A58" s="2317"/>
      <c r="B58" s="2873">
        <v>29</v>
      </c>
      <c r="C58" s="2873"/>
      <c r="D58" s="2873"/>
      <c r="E58" s="2372">
        <f>SUM(E65+E104)</f>
        <v>38578.157500000001</v>
      </c>
      <c r="F58" s="2372">
        <f t="shared" ref="F58:T58" si="8">SUM(F65+F104)</f>
        <v>550</v>
      </c>
      <c r="G58" s="2372">
        <f t="shared" si="8"/>
        <v>325</v>
      </c>
      <c r="H58" s="2372">
        <f t="shared" si="8"/>
        <v>4936.1900000000005</v>
      </c>
      <c r="I58" s="2372">
        <f t="shared" si="8"/>
        <v>0</v>
      </c>
      <c r="J58" s="2372">
        <f t="shared" si="8"/>
        <v>664.1</v>
      </c>
      <c r="K58" s="2372">
        <f t="shared" si="8"/>
        <v>620</v>
      </c>
      <c r="L58" s="2372">
        <f t="shared" si="8"/>
        <v>0</v>
      </c>
      <c r="M58" s="2372">
        <f t="shared" si="8"/>
        <v>4315</v>
      </c>
      <c r="N58" s="2372">
        <f t="shared" si="8"/>
        <v>1055.21</v>
      </c>
      <c r="O58" s="2372">
        <f t="shared" si="8"/>
        <v>0</v>
      </c>
      <c r="P58" s="2372">
        <f t="shared" si="8"/>
        <v>1554.75</v>
      </c>
      <c r="Q58" s="2372">
        <f t="shared" si="8"/>
        <v>6418.32</v>
      </c>
      <c r="R58" s="2372">
        <f t="shared" si="8"/>
        <v>355</v>
      </c>
      <c r="S58" s="2372">
        <f t="shared" si="8"/>
        <v>1505.1875</v>
      </c>
      <c r="T58" s="2372">
        <f t="shared" si="8"/>
        <v>3059</v>
      </c>
      <c r="U58" s="2372">
        <f>SUM(U65+U105)</f>
        <v>0</v>
      </c>
      <c r="V58" s="2372">
        <f>SUM(V65+V105)</f>
        <v>493.12</v>
      </c>
      <c r="W58" s="2372">
        <f>SUM(W65+W105)</f>
        <v>4315</v>
      </c>
      <c r="X58" s="2102"/>
      <c r="Y58" s="2102"/>
      <c r="Z58" s="2102"/>
      <c r="AA58" s="2102"/>
      <c r="AB58" s="2102"/>
      <c r="AC58" s="2102"/>
    </row>
    <row r="59" spans="1:29" s="166" customFormat="1" ht="12.6" customHeight="1">
      <c r="A59" s="2095"/>
      <c r="B59" s="2856" t="s">
        <v>290</v>
      </c>
      <c r="C59" s="2856"/>
      <c r="D59" s="2856"/>
      <c r="E59" s="2847">
        <f>SUM(E60:E64)</f>
        <v>33652</v>
      </c>
      <c r="F59" s="2847"/>
      <c r="G59" s="2847"/>
      <c r="H59" s="2847"/>
      <c r="I59" s="2847"/>
      <c r="J59" s="2847"/>
      <c r="K59" s="2847"/>
      <c r="L59" s="2847"/>
      <c r="M59" s="2847"/>
      <c r="N59" s="2847"/>
      <c r="O59" s="2847"/>
      <c r="P59" s="2847"/>
      <c r="Q59" s="2847"/>
      <c r="R59" s="2847"/>
      <c r="S59" s="2847"/>
      <c r="T59" s="2847"/>
      <c r="U59" s="2847"/>
      <c r="V59" s="2847"/>
      <c r="W59" s="2847"/>
      <c r="X59" s="2102"/>
      <c r="Y59" s="2102"/>
      <c r="Z59" s="2102"/>
      <c r="AA59" s="2102"/>
      <c r="AB59" s="2102"/>
      <c r="AC59" s="2102"/>
    </row>
    <row r="60" spans="1:29" s="2103" customFormat="1" ht="12.6" customHeight="1">
      <c r="A60" s="2097"/>
      <c r="B60" s="2856"/>
      <c r="C60" s="2856"/>
      <c r="D60" s="2856"/>
      <c r="E60" s="2847"/>
      <c r="F60" s="2847"/>
      <c r="G60" s="2847"/>
      <c r="H60" s="2847"/>
      <c r="I60" s="2847"/>
      <c r="J60" s="2847"/>
      <c r="K60" s="2847"/>
      <c r="L60" s="2847"/>
      <c r="M60" s="2847"/>
      <c r="N60" s="2847"/>
      <c r="O60" s="2847"/>
      <c r="P60" s="2847"/>
      <c r="Q60" s="2847"/>
      <c r="R60" s="2847"/>
      <c r="S60" s="2847"/>
      <c r="T60" s="2847"/>
      <c r="U60" s="2847"/>
      <c r="V60" s="2847"/>
      <c r="W60" s="2847"/>
      <c r="X60" s="2102"/>
      <c r="Y60" s="2102"/>
      <c r="Z60" s="2102"/>
      <c r="AA60" s="2102"/>
      <c r="AB60" s="2102"/>
      <c r="AC60" s="2102"/>
    </row>
    <row r="61" spans="1:29" s="995" customFormat="1" ht="12.6" customHeight="1">
      <c r="A61" s="991"/>
      <c r="B61" s="2321">
        <v>45289</v>
      </c>
      <c r="C61" s="2379"/>
      <c r="D61" s="2378" t="s">
        <v>35</v>
      </c>
      <c r="E61" s="2369">
        <v>12214</v>
      </c>
      <c r="F61" s="2369"/>
      <c r="G61" s="2369"/>
      <c r="H61" s="2369"/>
      <c r="I61" s="2369"/>
      <c r="J61" s="2369"/>
      <c r="K61" s="2369"/>
      <c r="L61" s="2369"/>
      <c r="M61" s="2369"/>
      <c r="N61" s="2369"/>
      <c r="O61" s="2369"/>
      <c r="P61" s="2369"/>
      <c r="Q61" s="2369"/>
      <c r="R61" s="2369"/>
      <c r="S61" s="2369"/>
      <c r="T61" s="2369"/>
      <c r="U61" s="2369"/>
      <c r="V61" s="2369"/>
      <c r="W61" s="2369"/>
      <c r="X61" s="2102"/>
      <c r="Y61" s="2102"/>
      <c r="Z61" s="2102"/>
      <c r="AA61" s="2102"/>
      <c r="AB61" s="2102"/>
      <c r="AC61" s="2102"/>
    </row>
    <row r="62" spans="1:29" s="995" customFormat="1" ht="12.6" customHeight="1">
      <c r="A62" s="991"/>
      <c r="B62" s="2321">
        <v>45289</v>
      </c>
      <c r="C62" s="2379"/>
      <c r="D62" s="2378" t="s">
        <v>34</v>
      </c>
      <c r="E62" s="2369">
        <v>21218</v>
      </c>
      <c r="F62" s="2369"/>
      <c r="G62" s="2369"/>
      <c r="H62" s="2369"/>
      <c r="I62" s="2369"/>
      <c r="J62" s="2369"/>
      <c r="K62" s="2369"/>
      <c r="L62" s="2369"/>
      <c r="M62" s="2369"/>
      <c r="N62" s="2369"/>
      <c r="O62" s="2369"/>
      <c r="P62" s="2369"/>
      <c r="Q62" s="2369"/>
      <c r="R62" s="2369"/>
      <c r="S62" s="2369"/>
      <c r="T62" s="2369"/>
      <c r="U62" s="2369"/>
      <c r="V62" s="2369"/>
      <c r="W62" s="2369"/>
      <c r="X62" s="2102"/>
      <c r="Y62" s="2102"/>
      <c r="Z62" s="2102"/>
      <c r="AA62" s="2102"/>
      <c r="AB62" s="2102"/>
      <c r="AC62" s="2102"/>
    </row>
    <row r="63" spans="1:29" s="995" customFormat="1" ht="12.6" customHeight="1">
      <c r="A63" s="991" t="s">
        <v>19</v>
      </c>
      <c r="B63" s="2321">
        <v>45322</v>
      </c>
      <c r="C63" s="2379"/>
      <c r="D63" s="2378" t="s">
        <v>47</v>
      </c>
      <c r="E63" s="2369"/>
      <c r="F63" s="2369"/>
      <c r="G63" s="2369"/>
      <c r="H63" s="2369"/>
      <c r="I63" s="2369"/>
      <c r="J63" s="2369"/>
      <c r="K63" s="2369"/>
      <c r="L63" s="2369"/>
      <c r="M63" s="2369"/>
      <c r="N63" s="2369"/>
      <c r="O63" s="2369"/>
      <c r="P63" s="2369"/>
      <c r="Q63" s="2369"/>
      <c r="R63" s="2369"/>
      <c r="S63" s="2369"/>
      <c r="T63" s="2369"/>
      <c r="U63" s="2369"/>
      <c r="V63" s="2369"/>
      <c r="W63" s="2369"/>
      <c r="X63" s="2102"/>
      <c r="Y63" s="2102"/>
      <c r="Z63" s="2102"/>
      <c r="AA63" s="2102"/>
      <c r="AB63" s="2102"/>
      <c r="AC63" s="2102"/>
    </row>
    <row r="64" spans="1:29" s="995" customFormat="1" ht="12.6" customHeight="1">
      <c r="A64" s="991"/>
      <c r="B64" s="2321">
        <v>45289</v>
      </c>
      <c r="C64" s="2379"/>
      <c r="D64" s="2378" t="s">
        <v>33</v>
      </c>
      <c r="E64" s="2369">
        <v>220</v>
      </c>
      <c r="F64" s="2369"/>
      <c r="G64" s="2369"/>
      <c r="H64" s="2369"/>
      <c r="I64" s="2369"/>
      <c r="J64" s="2369"/>
      <c r="K64" s="2369"/>
      <c r="L64" s="2369"/>
      <c r="M64" s="2369"/>
      <c r="N64" s="2369"/>
      <c r="O64" s="2369"/>
      <c r="P64" s="2369"/>
      <c r="Q64" s="2369"/>
      <c r="R64" s="2369"/>
      <c r="S64" s="2369"/>
      <c r="T64" s="2369"/>
      <c r="U64" s="2369"/>
      <c r="V64" s="2369"/>
      <c r="W64" s="2369"/>
      <c r="X64" s="105"/>
      <c r="Y64" s="105"/>
      <c r="Z64" s="2102"/>
      <c r="AA64" s="2102"/>
      <c r="AB64" s="2102"/>
      <c r="AC64" s="2102"/>
    </row>
    <row r="65" spans="1:29" s="2103" customFormat="1" ht="12.6" customHeight="1">
      <c r="A65" s="2097"/>
      <c r="B65" s="2867" t="s">
        <v>289</v>
      </c>
      <c r="C65" s="2867"/>
      <c r="D65" s="2867"/>
      <c r="E65" s="2838">
        <f>SUM(E66:E104)</f>
        <v>38374.907500000001</v>
      </c>
      <c r="F65" s="2838">
        <f t="shared" ref="F65:W65" si="9">SUM(F66:F104)</f>
        <v>550</v>
      </c>
      <c r="G65" s="2838">
        <f t="shared" si="9"/>
        <v>200</v>
      </c>
      <c r="H65" s="2838">
        <f t="shared" si="9"/>
        <v>4857.9400000000005</v>
      </c>
      <c r="I65" s="2838">
        <f t="shared" si="9"/>
        <v>0</v>
      </c>
      <c r="J65" s="2838">
        <f t="shared" si="9"/>
        <v>664.1</v>
      </c>
      <c r="K65" s="2838">
        <f t="shared" si="9"/>
        <v>620</v>
      </c>
      <c r="L65" s="2838">
        <f t="shared" si="9"/>
        <v>0</v>
      </c>
      <c r="M65" s="2838">
        <f t="shared" si="9"/>
        <v>4315</v>
      </c>
      <c r="N65" s="2838">
        <f t="shared" si="9"/>
        <v>1055.21</v>
      </c>
      <c r="O65" s="2838">
        <f t="shared" si="9"/>
        <v>0</v>
      </c>
      <c r="P65" s="2838">
        <f t="shared" si="9"/>
        <v>1554.75</v>
      </c>
      <c r="Q65" s="2838">
        <f t="shared" si="9"/>
        <v>6418.32</v>
      </c>
      <c r="R65" s="2838">
        <f t="shared" si="9"/>
        <v>355</v>
      </c>
      <c r="S65" s="2838">
        <f t="shared" si="9"/>
        <v>1505.1875</v>
      </c>
      <c r="T65" s="2838">
        <f t="shared" si="9"/>
        <v>3059</v>
      </c>
      <c r="U65" s="2838">
        <f t="shared" si="9"/>
        <v>0</v>
      </c>
      <c r="V65" s="2838">
        <f t="shared" si="9"/>
        <v>493.12</v>
      </c>
      <c r="W65" s="2838">
        <f t="shared" si="9"/>
        <v>4315</v>
      </c>
      <c r="X65" s="105"/>
      <c r="Y65" s="105"/>
      <c r="Z65" s="105"/>
      <c r="AA65" s="105"/>
      <c r="AB65" s="105"/>
      <c r="AC65" s="105"/>
    </row>
    <row r="66" spans="1:29" s="995" customFormat="1" ht="12.6" customHeight="1">
      <c r="A66" s="991"/>
      <c r="B66" s="2863"/>
      <c r="C66" s="2863"/>
      <c r="D66" s="2863"/>
      <c r="E66" s="2839"/>
      <c r="F66" s="2839"/>
      <c r="G66" s="2839"/>
      <c r="H66" s="2839"/>
      <c r="I66" s="2839"/>
      <c r="J66" s="2839"/>
      <c r="K66" s="2839"/>
      <c r="L66" s="2839"/>
      <c r="M66" s="2839"/>
      <c r="N66" s="2839"/>
      <c r="O66" s="2839"/>
      <c r="P66" s="2839"/>
      <c r="Q66" s="2839"/>
      <c r="R66" s="2839"/>
      <c r="S66" s="2839"/>
      <c r="T66" s="2839"/>
      <c r="U66" s="2839"/>
      <c r="V66" s="2839"/>
      <c r="W66" s="2839"/>
      <c r="X66" s="105"/>
      <c r="Y66" s="105"/>
      <c r="Z66" s="105"/>
      <c r="AA66" s="105"/>
      <c r="AB66" s="105"/>
      <c r="AC66" s="105"/>
    </row>
    <row r="67" spans="1:29" s="166" customFormat="1" ht="12.6" customHeight="1">
      <c r="A67" s="2095"/>
      <c r="B67" s="2376">
        <v>45322</v>
      </c>
      <c r="C67" s="2377"/>
      <c r="D67" s="2375" t="s">
        <v>1655</v>
      </c>
      <c r="E67" s="2373">
        <v>140</v>
      </c>
      <c r="F67" s="2373"/>
      <c r="G67" s="2373"/>
      <c r="H67" s="2373"/>
      <c r="I67" s="2373"/>
      <c r="J67" s="2373"/>
      <c r="K67" s="2373"/>
      <c r="L67" s="2373"/>
      <c r="M67" s="2373"/>
      <c r="N67" s="2373"/>
      <c r="O67" s="2373"/>
      <c r="P67" s="2373"/>
      <c r="Q67" s="2373"/>
      <c r="R67" s="2373">
        <v>140</v>
      </c>
      <c r="S67" s="2373"/>
      <c r="T67" s="2373"/>
      <c r="U67" s="2373"/>
      <c r="V67" s="2373"/>
      <c r="W67" s="2373"/>
      <c r="X67" s="105"/>
      <c r="Y67" s="105"/>
      <c r="Z67" s="105"/>
      <c r="AA67" s="105"/>
      <c r="AB67" s="105"/>
      <c r="AC67" s="105"/>
    </row>
    <row r="68" spans="1:29" s="166" customFormat="1" ht="12.6" customHeight="1">
      <c r="A68" s="2095"/>
      <c r="B68" s="2376">
        <v>45322</v>
      </c>
      <c r="C68" s="2377"/>
      <c r="D68" s="2375" t="s">
        <v>1656</v>
      </c>
      <c r="E68" s="2373">
        <v>240</v>
      </c>
      <c r="F68" s="2373"/>
      <c r="G68" s="2373"/>
      <c r="H68" s="2373"/>
      <c r="I68" s="2373"/>
      <c r="J68" s="2373"/>
      <c r="K68" s="2373"/>
      <c r="L68" s="2373"/>
      <c r="M68" s="2373"/>
      <c r="N68" s="2373"/>
      <c r="O68" s="2373"/>
      <c r="P68" s="2373"/>
      <c r="Q68" s="2373"/>
      <c r="R68" s="2373">
        <v>240</v>
      </c>
      <c r="S68" s="2373"/>
      <c r="T68" s="2373"/>
      <c r="U68" s="2373"/>
      <c r="V68" s="2373"/>
      <c r="W68" s="2373"/>
      <c r="X68" s="105"/>
      <c r="Y68" s="105"/>
      <c r="Z68" s="105"/>
      <c r="AA68" s="105"/>
      <c r="AB68" s="105"/>
      <c r="AC68" s="105"/>
    </row>
    <row r="69" spans="1:29" s="166" customFormat="1" ht="12.6" customHeight="1">
      <c r="A69" s="2095"/>
      <c r="B69" s="2376">
        <v>45322</v>
      </c>
      <c r="C69" s="2377"/>
      <c r="D69" s="2375" t="s">
        <v>1466</v>
      </c>
      <c r="E69" s="2373">
        <f>SUM(F69:W69)</f>
        <v>778</v>
      </c>
      <c r="F69" s="2373">
        <f>$V$7</f>
        <v>419</v>
      </c>
      <c r="G69" s="2373"/>
      <c r="H69" s="2373"/>
      <c r="I69" s="2373"/>
      <c r="J69" s="2373"/>
      <c r="K69" s="2373"/>
      <c r="L69" s="2373"/>
      <c r="M69" s="2373"/>
      <c r="N69" s="2373"/>
      <c r="O69" s="2373"/>
      <c r="P69" s="2373"/>
      <c r="Q69" s="2373"/>
      <c r="R69" s="2373"/>
      <c r="S69" s="2373"/>
      <c r="T69" s="2373">
        <f>$V$8</f>
        <v>359</v>
      </c>
      <c r="U69" s="2373"/>
      <c r="V69" s="2373"/>
      <c r="W69" s="2373"/>
      <c r="X69" s="105"/>
      <c r="Y69" s="105"/>
      <c r="Z69" s="105"/>
      <c r="AA69" s="105"/>
      <c r="AB69" s="105"/>
      <c r="AC69" s="105"/>
    </row>
    <row r="70" spans="1:29" s="166" customFormat="1" ht="12.6" customHeight="1">
      <c r="A70" s="2095"/>
      <c r="B70" s="2376">
        <v>45323</v>
      </c>
      <c r="C70" s="2377"/>
      <c r="D70" s="2375" t="s">
        <v>143</v>
      </c>
      <c r="E70" s="2373">
        <v>100</v>
      </c>
      <c r="F70" s="2373"/>
      <c r="G70" s="2373"/>
      <c r="H70" s="2373"/>
      <c r="I70" s="2373"/>
      <c r="J70" s="2373"/>
      <c r="K70" s="2373"/>
      <c r="L70" s="2373"/>
      <c r="M70" s="2373"/>
      <c r="N70" s="2373"/>
      <c r="O70" s="2373"/>
      <c r="P70" s="2373"/>
      <c r="Q70" s="2373"/>
      <c r="R70" s="2373"/>
      <c r="S70" s="2373"/>
      <c r="T70" s="2373"/>
      <c r="U70" s="2373"/>
      <c r="V70" s="2373"/>
      <c r="W70" s="2373"/>
      <c r="X70" s="105"/>
      <c r="Y70" s="105"/>
      <c r="Z70" s="105"/>
      <c r="AA70" s="105"/>
      <c r="AB70" s="105"/>
      <c r="AC70" s="105"/>
    </row>
    <row r="71" spans="1:29" s="166" customFormat="1" ht="12.6" customHeight="1">
      <c r="A71" s="2095"/>
      <c r="B71" s="2376">
        <v>45323</v>
      </c>
      <c r="C71" s="2377"/>
      <c r="D71" s="2375" t="s">
        <v>22</v>
      </c>
      <c r="E71" s="2373">
        <f>SUM(F71:W71)</f>
        <v>208</v>
      </c>
      <c r="F71" s="2373"/>
      <c r="G71" s="2373"/>
      <c r="H71" s="2373"/>
      <c r="I71" s="2373"/>
      <c r="J71" s="2373"/>
      <c r="K71" s="2373"/>
      <c r="L71" s="2373"/>
      <c r="M71" s="2373"/>
      <c r="N71" s="2373"/>
      <c r="O71" s="2373"/>
      <c r="P71" s="2373">
        <f>$Y$17</f>
        <v>208</v>
      </c>
      <c r="Q71" s="2373"/>
      <c r="R71" s="2373"/>
      <c r="S71" s="2373"/>
      <c r="T71" s="2373"/>
      <c r="U71" s="2373"/>
      <c r="V71" s="2373"/>
      <c r="W71" s="2373"/>
      <c r="X71" s="105"/>
      <c r="Y71" s="105"/>
      <c r="Z71" s="105"/>
      <c r="AA71" s="105"/>
      <c r="AB71" s="105"/>
      <c r="AC71" s="105"/>
    </row>
    <row r="72" spans="1:29" s="166" customFormat="1" ht="12.6" customHeight="1">
      <c r="A72" s="2095"/>
      <c r="B72" s="2376">
        <v>45323</v>
      </c>
      <c r="C72" s="2377"/>
      <c r="D72" s="2375" t="s">
        <v>26</v>
      </c>
      <c r="E72" s="2373">
        <v>493.12</v>
      </c>
      <c r="F72" s="2373"/>
      <c r="G72" s="2373"/>
      <c r="H72" s="2373"/>
      <c r="I72" s="2373"/>
      <c r="J72" s="2373"/>
      <c r="K72" s="2373"/>
      <c r="L72" s="2373"/>
      <c r="M72" s="2373"/>
      <c r="N72" s="2373"/>
      <c r="O72" s="2373"/>
      <c r="P72" s="2373"/>
      <c r="Q72" s="2373"/>
      <c r="R72" s="2373"/>
      <c r="S72" s="2373"/>
      <c r="T72" s="2373"/>
      <c r="U72" s="2373"/>
      <c r="V72" s="2373">
        <v>493.12</v>
      </c>
      <c r="W72" s="2373"/>
      <c r="X72" s="105"/>
      <c r="Y72" s="105"/>
      <c r="Z72" s="105"/>
      <c r="AA72" s="105"/>
      <c r="AB72" s="105"/>
      <c r="AC72" s="105"/>
    </row>
    <row r="73" spans="1:29" s="166" customFormat="1" ht="12.6" customHeight="1">
      <c r="A73" s="2095"/>
      <c r="B73" s="2376">
        <v>45323</v>
      </c>
      <c r="C73" s="2377"/>
      <c r="D73" s="2375" t="s">
        <v>126</v>
      </c>
      <c r="E73" s="2373">
        <f>SUM(F73:W73)</f>
        <v>45</v>
      </c>
      <c r="F73" s="2373"/>
      <c r="G73" s="2373"/>
      <c r="H73" s="2373"/>
      <c r="I73" s="2373"/>
      <c r="J73" s="2373"/>
      <c r="K73" s="2373"/>
      <c r="L73" s="2373"/>
      <c r="M73" s="2373"/>
      <c r="N73" s="2373"/>
      <c r="O73" s="2373"/>
      <c r="P73" s="2373"/>
      <c r="Q73" s="2373"/>
      <c r="R73" s="2373">
        <f>$X$5</f>
        <v>45</v>
      </c>
      <c r="S73" s="2373"/>
      <c r="T73" s="2373"/>
      <c r="U73" s="2373"/>
      <c r="V73" s="2373"/>
      <c r="W73" s="2373"/>
      <c r="X73" s="105"/>
      <c r="Y73" s="105"/>
      <c r="Z73" s="105"/>
      <c r="AA73" s="105"/>
      <c r="AB73" s="105"/>
      <c r="AC73" s="105"/>
    </row>
    <row r="74" spans="1:29" s="166" customFormat="1" ht="12.6" customHeight="1">
      <c r="A74" s="2095"/>
      <c r="B74" s="2376">
        <v>45323</v>
      </c>
      <c r="C74" s="2377"/>
      <c r="D74" s="2375" t="s">
        <v>30</v>
      </c>
      <c r="E74" s="2373">
        <f>SUM(F74:W74)</f>
        <v>8630</v>
      </c>
      <c r="F74" s="2373"/>
      <c r="G74" s="2373"/>
      <c r="H74" s="2373"/>
      <c r="I74" s="2373"/>
      <c r="J74" s="2373"/>
      <c r="K74" s="2373"/>
      <c r="L74" s="2373"/>
      <c r="M74" s="2373">
        <v>4315</v>
      </c>
      <c r="N74" s="2373"/>
      <c r="O74" s="2373"/>
      <c r="P74" s="2373"/>
      <c r="Q74" s="2373"/>
      <c r="R74" s="2373"/>
      <c r="S74" s="2373"/>
      <c r="T74" s="2373"/>
      <c r="U74" s="2373"/>
      <c r="V74" s="2373"/>
      <c r="W74" s="2373">
        <v>4315</v>
      </c>
      <c r="X74" s="105"/>
      <c r="Y74" s="105"/>
      <c r="Z74" s="105"/>
      <c r="AA74" s="105"/>
      <c r="AB74" s="105"/>
      <c r="AC74" s="105"/>
    </row>
    <row r="75" spans="1:29" s="166" customFormat="1" ht="12.6" customHeight="1">
      <c r="A75" s="2095"/>
      <c r="B75" s="2376">
        <v>45323</v>
      </c>
      <c r="C75" s="2377"/>
      <c r="D75" s="2375" t="s">
        <v>27</v>
      </c>
      <c r="E75" s="2373">
        <f>SUM(F75:W75)</f>
        <v>767.75</v>
      </c>
      <c r="F75" s="2373"/>
      <c r="G75" s="2373"/>
      <c r="H75" s="2373"/>
      <c r="I75" s="2373"/>
      <c r="J75" s="2373"/>
      <c r="K75" s="2373"/>
      <c r="L75" s="2373"/>
      <c r="M75" s="2373"/>
      <c r="N75" s="2373"/>
      <c r="O75" s="2373"/>
      <c r="P75" s="2373">
        <v>767.75</v>
      </c>
      <c r="Q75" s="2373"/>
      <c r="R75" s="2373"/>
      <c r="S75" s="2373"/>
      <c r="T75" s="2373"/>
      <c r="U75" s="2373"/>
      <c r="V75" s="2373"/>
      <c r="W75" s="2373"/>
      <c r="X75" s="105"/>
      <c r="Y75" s="105"/>
      <c r="Z75" s="105"/>
      <c r="AA75" s="105"/>
      <c r="AB75" s="105"/>
      <c r="AC75" s="105"/>
    </row>
    <row r="76" spans="1:29" s="166" customFormat="1" ht="12.6" customHeight="1">
      <c r="A76" s="2095"/>
      <c r="B76" s="2376">
        <v>45323</v>
      </c>
      <c r="C76" s="2377"/>
      <c r="D76" s="2375" t="s">
        <v>1352</v>
      </c>
      <c r="E76" s="2373">
        <f>SUM(F76:W76)</f>
        <v>630</v>
      </c>
      <c r="F76" s="2373"/>
      <c r="G76" s="2373"/>
      <c r="H76" s="2373"/>
      <c r="I76" s="2373"/>
      <c r="J76" s="2373"/>
      <c r="K76" s="2373"/>
      <c r="L76" s="2373"/>
      <c r="M76" s="2373"/>
      <c r="N76" s="2373">
        <f>$T$6</f>
        <v>630</v>
      </c>
      <c r="O76" s="2373"/>
      <c r="P76" s="2373"/>
      <c r="Q76" s="2373"/>
      <c r="R76" s="2373"/>
      <c r="S76" s="2373"/>
      <c r="T76" s="2373"/>
      <c r="U76" s="2373"/>
      <c r="V76" s="2373"/>
      <c r="W76" s="2373"/>
      <c r="X76" s="105"/>
      <c r="Y76" s="105"/>
      <c r="Z76" s="105"/>
      <c r="AA76" s="105"/>
      <c r="AB76" s="105"/>
      <c r="AC76" s="105"/>
    </row>
    <row r="77" spans="1:29" s="166" customFormat="1" ht="12.6" customHeight="1">
      <c r="A77" s="2095"/>
      <c r="B77" s="2376">
        <v>45323</v>
      </c>
      <c r="C77" s="2377"/>
      <c r="D77" s="2375" t="s">
        <v>25</v>
      </c>
      <c r="E77" s="2373">
        <f>SUM(F77:W77)</f>
        <v>970.22</v>
      </c>
      <c r="F77" s="2373"/>
      <c r="G77" s="2373"/>
      <c r="H77" s="2373"/>
      <c r="I77" s="2373"/>
      <c r="J77" s="2373"/>
      <c r="K77" s="2373"/>
      <c r="L77" s="2373"/>
      <c r="M77" s="2373"/>
      <c r="N77" s="2373"/>
      <c r="O77" s="2373"/>
      <c r="P77" s="2373"/>
      <c r="Q77" s="2373">
        <v>970.22</v>
      </c>
      <c r="R77" s="2373"/>
      <c r="S77" s="2373"/>
      <c r="T77" s="2373"/>
      <c r="U77" s="2373"/>
      <c r="V77" s="2373"/>
      <c r="W77" s="2373"/>
      <c r="X77" s="105"/>
      <c r="Y77" s="105"/>
      <c r="Z77" s="105"/>
      <c r="AA77" s="105"/>
      <c r="AB77" s="105"/>
      <c r="AC77" s="105"/>
    </row>
    <row r="78" spans="1:29" s="166" customFormat="1" ht="12.6" customHeight="1">
      <c r="A78" s="2095"/>
      <c r="B78" s="2376">
        <v>45323</v>
      </c>
      <c r="C78" s="2377"/>
      <c r="D78" s="2375" t="s">
        <v>167</v>
      </c>
      <c r="E78" s="2373">
        <v>310</v>
      </c>
      <c r="F78" s="2373"/>
      <c r="G78" s="2373"/>
      <c r="H78" s="2373"/>
      <c r="I78" s="2373"/>
      <c r="J78" s="2373"/>
      <c r="K78" s="2373"/>
      <c r="L78" s="2373"/>
      <c r="M78" s="2373"/>
      <c r="N78" s="2373"/>
      <c r="O78" s="2373"/>
      <c r="P78" s="2373"/>
      <c r="Q78" s="2373"/>
      <c r="R78" s="2373"/>
      <c r="S78" s="2373"/>
      <c r="T78" s="2373"/>
      <c r="U78" s="2373"/>
      <c r="V78" s="2373"/>
      <c r="W78" s="2373"/>
      <c r="X78" s="105"/>
      <c r="Y78" s="105"/>
      <c r="Z78" s="105"/>
      <c r="AA78" s="105"/>
      <c r="AB78" s="105"/>
      <c r="AC78" s="105"/>
    </row>
    <row r="79" spans="1:29" s="166" customFormat="1" ht="12.6" customHeight="1">
      <c r="A79" s="2095"/>
      <c r="B79" s="2376">
        <v>45323</v>
      </c>
      <c r="C79" s="2377"/>
      <c r="D79" s="2375" t="s">
        <v>384</v>
      </c>
      <c r="E79" s="2373">
        <f>SUM(G79:W79)</f>
        <v>460.1</v>
      </c>
      <c r="F79" s="2373"/>
      <c r="G79" s="2373"/>
      <c r="H79" s="2373"/>
      <c r="I79" s="2373"/>
      <c r="J79" s="2373">
        <f>262.75+197.35</f>
        <v>460.1</v>
      </c>
      <c r="K79" s="2373"/>
      <c r="L79" s="2373"/>
      <c r="M79" s="2373"/>
      <c r="N79" s="2373"/>
      <c r="O79" s="2373"/>
      <c r="P79" s="2373"/>
      <c r="Q79" s="2373"/>
      <c r="R79" s="2373"/>
      <c r="S79" s="2373"/>
      <c r="T79" s="2373"/>
      <c r="U79" s="2373"/>
      <c r="V79" s="2373"/>
      <c r="W79" s="2373"/>
      <c r="X79" s="105"/>
      <c r="Y79" s="105"/>
      <c r="Z79" s="105"/>
      <c r="AA79" s="105"/>
      <c r="AB79" s="105"/>
      <c r="AC79" s="105"/>
    </row>
    <row r="80" spans="1:29" s="166" customFormat="1" ht="12.6" customHeight="1">
      <c r="A80" s="2095"/>
      <c r="B80" s="2376">
        <v>45323</v>
      </c>
      <c r="C80" s="2377"/>
      <c r="D80" s="2375" t="s">
        <v>1657</v>
      </c>
      <c r="E80" s="2373">
        <v>75</v>
      </c>
      <c r="F80" s="2373"/>
      <c r="G80" s="2373">
        <v>75</v>
      </c>
      <c r="H80" s="2373"/>
      <c r="I80" s="2373"/>
      <c r="J80" s="2373"/>
      <c r="K80" s="2373"/>
      <c r="L80" s="2373"/>
      <c r="M80" s="2373"/>
      <c r="N80" s="2373"/>
      <c r="O80" s="2373"/>
      <c r="P80" s="2373"/>
      <c r="Q80" s="2373"/>
      <c r="R80" s="2373"/>
      <c r="S80" s="2373"/>
      <c r="T80" s="2373"/>
      <c r="U80" s="2373"/>
      <c r="V80" s="2373"/>
      <c r="W80" s="2373"/>
      <c r="X80" s="105"/>
      <c r="Y80" s="105"/>
      <c r="Z80" s="105"/>
      <c r="AA80" s="105"/>
      <c r="AB80" s="105"/>
      <c r="AC80" s="105"/>
    </row>
    <row r="81" spans="1:29" s="166" customFormat="1" ht="12.6" customHeight="1">
      <c r="A81" s="2095"/>
      <c r="B81" s="2376">
        <v>45323</v>
      </c>
      <c r="C81" s="2377"/>
      <c r="D81" s="2375" t="s">
        <v>162</v>
      </c>
      <c r="E81" s="2373">
        <f>SUM(F81:W81)</f>
        <v>98</v>
      </c>
      <c r="F81" s="2373"/>
      <c r="G81" s="2373"/>
      <c r="H81" s="2373"/>
      <c r="I81" s="2373"/>
      <c r="J81" s="2373"/>
      <c r="K81" s="2373"/>
      <c r="L81" s="2373"/>
      <c r="M81" s="2373"/>
      <c r="N81" s="2373"/>
      <c r="O81" s="2373"/>
      <c r="P81" s="2373"/>
      <c r="Q81" s="2373">
        <f>98</f>
        <v>98</v>
      </c>
      <c r="R81" s="2373"/>
      <c r="S81" s="2373"/>
      <c r="T81" s="2373"/>
      <c r="U81" s="2373"/>
      <c r="V81" s="2373"/>
      <c r="W81" s="2373"/>
      <c r="X81" s="105"/>
      <c r="Y81" s="105"/>
      <c r="Z81" s="105"/>
      <c r="AA81" s="105"/>
      <c r="AB81" s="105"/>
      <c r="AC81" s="105"/>
    </row>
    <row r="82" spans="1:29" s="166" customFormat="1" ht="12.6" customHeight="1">
      <c r="A82" s="2095"/>
      <c r="B82" s="2376">
        <v>45323</v>
      </c>
      <c r="C82" s="2377"/>
      <c r="D82" s="2375" t="s">
        <v>29</v>
      </c>
      <c r="E82" s="2373">
        <f>SUM(F82:W82)</f>
        <v>69</v>
      </c>
      <c r="F82" s="2373">
        <f>$U$1</f>
        <v>69</v>
      </c>
      <c r="G82" s="2373"/>
      <c r="H82" s="2373"/>
      <c r="I82" s="2373"/>
      <c r="J82" s="2373"/>
      <c r="K82" s="2373"/>
      <c r="L82" s="2373"/>
      <c r="M82" s="2373"/>
      <c r="N82" s="2373"/>
      <c r="O82" s="2373"/>
      <c r="P82" s="2373"/>
      <c r="Q82" s="2373"/>
      <c r="R82" s="2373"/>
      <c r="S82" s="2373"/>
      <c r="T82" s="2373"/>
      <c r="U82" s="2373"/>
      <c r="V82" s="2373"/>
      <c r="W82" s="2373"/>
      <c r="X82" s="105"/>
      <c r="Y82" s="105"/>
      <c r="Z82" s="105"/>
      <c r="AA82" s="105"/>
      <c r="AB82" s="105"/>
      <c r="AC82" s="105"/>
    </row>
    <row r="83" spans="1:29" s="166" customFormat="1" ht="12.6" customHeight="1">
      <c r="A83" s="2095"/>
      <c r="B83" s="2376">
        <v>45323</v>
      </c>
      <c r="C83" s="2377"/>
      <c r="D83" s="2375" t="s">
        <v>21</v>
      </c>
      <c r="E83" s="2373">
        <f>SUM(F83:W83)</f>
        <v>465</v>
      </c>
      <c r="F83" s="2373"/>
      <c r="G83" s="2373"/>
      <c r="H83" s="2373"/>
      <c r="I83" s="2373"/>
      <c r="J83" s="2373"/>
      <c r="K83" s="2373"/>
      <c r="L83" s="2373"/>
      <c r="M83" s="2373"/>
      <c r="N83" s="2373"/>
      <c r="O83" s="2373"/>
      <c r="P83" s="2373">
        <f>$W$1</f>
        <v>465</v>
      </c>
      <c r="Q83" s="2373"/>
      <c r="R83" s="2373"/>
      <c r="S83" s="2373"/>
      <c r="T83" s="2373"/>
      <c r="U83" s="2373"/>
      <c r="V83" s="2373"/>
      <c r="W83" s="2373"/>
      <c r="X83" s="105"/>
      <c r="Y83" s="105"/>
      <c r="Z83" s="105"/>
      <c r="AA83" s="105"/>
      <c r="AB83" s="105"/>
      <c r="AC83" s="105"/>
    </row>
    <row r="84" spans="1:29" s="166" customFormat="1" ht="12.6" customHeight="1">
      <c r="A84" s="2095"/>
      <c r="B84" s="2376">
        <v>45324</v>
      </c>
      <c r="C84" s="2377"/>
      <c r="D84" s="2375" t="s">
        <v>1658</v>
      </c>
      <c r="E84" s="2373">
        <v>8000</v>
      </c>
      <c r="F84" s="2373"/>
      <c r="G84" s="2373"/>
      <c r="H84" s="2373"/>
      <c r="I84" s="2373"/>
      <c r="J84" s="2373"/>
      <c r="K84" s="2373"/>
      <c r="L84" s="2373"/>
      <c r="M84" s="2373"/>
      <c r="N84" s="2373"/>
      <c r="O84" s="2373"/>
      <c r="P84" s="2373"/>
      <c r="Q84" s="2373"/>
      <c r="R84" s="2373"/>
      <c r="S84" s="2373"/>
      <c r="T84" s="2373"/>
      <c r="U84" s="2373"/>
      <c r="V84" s="2373"/>
      <c r="W84" s="2373"/>
      <c r="X84" s="105"/>
      <c r="Y84" s="105"/>
      <c r="Z84" s="105"/>
      <c r="AA84" s="105"/>
      <c r="AB84" s="105"/>
      <c r="AC84" s="105"/>
    </row>
    <row r="85" spans="1:29" s="166" customFormat="1" ht="12.6" customHeight="1">
      <c r="A85" s="2095"/>
      <c r="B85" s="2376">
        <v>45324</v>
      </c>
      <c r="C85" s="2377"/>
      <c r="D85" s="2375" t="s">
        <v>58</v>
      </c>
      <c r="E85" s="2373">
        <v>2000</v>
      </c>
      <c r="F85" s="2373"/>
      <c r="G85" s="2373"/>
      <c r="H85" s="2373"/>
      <c r="I85" s="2373"/>
      <c r="J85" s="2373"/>
      <c r="K85" s="2373"/>
      <c r="L85" s="2373"/>
      <c r="M85" s="2373"/>
      <c r="N85" s="2373"/>
      <c r="O85" s="2373"/>
      <c r="P85" s="2373"/>
      <c r="Q85" s="2373"/>
      <c r="R85" s="2373"/>
      <c r="S85" s="2373"/>
      <c r="T85" s="2373">
        <v>2000</v>
      </c>
      <c r="U85" s="2373"/>
      <c r="V85" s="2373"/>
      <c r="W85" s="2373"/>
      <c r="X85" s="105"/>
      <c r="Y85" s="105"/>
      <c r="Z85" s="105"/>
      <c r="AA85" s="105"/>
      <c r="AB85" s="105"/>
      <c r="AC85" s="105"/>
    </row>
    <row r="86" spans="1:29" s="166" customFormat="1" ht="12.6" customHeight="1">
      <c r="A86" s="2095"/>
      <c r="B86" s="2376">
        <v>45325</v>
      </c>
      <c r="C86" s="2377"/>
      <c r="D86" s="2375" t="s">
        <v>195</v>
      </c>
      <c r="E86" s="2373">
        <v>696.82</v>
      </c>
      <c r="F86" s="2373"/>
      <c r="G86" s="2373"/>
      <c r="H86" s="2373">
        <v>120</v>
      </c>
      <c r="I86" s="2373"/>
      <c r="J86" s="2373">
        <v>145</v>
      </c>
      <c r="K86" s="2373"/>
      <c r="L86" s="2373"/>
      <c r="M86" s="2373"/>
      <c r="N86" s="2373"/>
      <c r="O86" s="2373"/>
      <c r="P86" s="2373"/>
      <c r="Q86" s="2373"/>
      <c r="R86" s="2373"/>
      <c r="S86" s="2373">
        <v>412</v>
      </c>
      <c r="T86" s="2373"/>
      <c r="U86" s="2373"/>
      <c r="V86" s="2373"/>
      <c r="W86" s="2373"/>
      <c r="X86" s="105"/>
      <c r="Y86" s="105"/>
      <c r="Z86" s="105"/>
      <c r="AA86" s="105"/>
      <c r="AB86" s="105"/>
      <c r="AC86" s="105"/>
    </row>
    <row r="87" spans="1:29" s="166" customFormat="1" ht="12.6" customHeight="1">
      <c r="A87" s="2095"/>
      <c r="B87" s="2376">
        <v>45325</v>
      </c>
      <c r="C87" s="2377"/>
      <c r="D87" s="2375" t="s">
        <v>1493</v>
      </c>
      <c r="E87" s="2373">
        <v>503</v>
      </c>
      <c r="F87" s="2373"/>
      <c r="G87" s="2373"/>
      <c r="H87" s="2373"/>
      <c r="I87" s="2373"/>
      <c r="J87" s="2373"/>
      <c r="K87" s="2373"/>
      <c r="L87" s="2373"/>
      <c r="M87" s="2373"/>
      <c r="N87" s="2373"/>
      <c r="O87" s="2373"/>
      <c r="P87" s="2373"/>
      <c r="Q87" s="2373">
        <f>103+417.2</f>
        <v>520.20000000000005</v>
      </c>
      <c r="R87" s="2373"/>
      <c r="S87" s="2373">
        <v>400</v>
      </c>
      <c r="T87" s="2373"/>
      <c r="U87" s="2373"/>
      <c r="V87" s="2373"/>
      <c r="W87" s="2373"/>
      <c r="X87" s="105"/>
      <c r="Y87" s="105"/>
      <c r="Z87" s="105"/>
      <c r="AA87" s="105"/>
      <c r="AB87" s="105"/>
      <c r="AC87" s="105"/>
    </row>
    <row r="88" spans="1:29" s="166" customFormat="1" ht="12.6" customHeight="1">
      <c r="A88" s="2095"/>
      <c r="B88" s="2376">
        <v>45328</v>
      </c>
      <c r="C88" s="2377"/>
      <c r="D88" s="2375" t="s">
        <v>1495</v>
      </c>
      <c r="E88" s="2373">
        <v>346.66</v>
      </c>
      <c r="F88" s="2373">
        <f>$Y$19</f>
        <v>62</v>
      </c>
      <c r="G88" s="2373"/>
      <c r="H88" s="2373"/>
      <c r="I88" s="2373"/>
      <c r="J88" s="2373"/>
      <c r="K88" s="2373"/>
      <c r="L88" s="2373"/>
      <c r="M88" s="2373"/>
      <c r="N88" s="2373"/>
      <c r="O88" s="2373"/>
      <c r="P88" s="2373"/>
      <c r="Q88" s="2373">
        <v>285</v>
      </c>
      <c r="R88" s="2373"/>
      <c r="S88" s="2373"/>
      <c r="T88" s="2373"/>
      <c r="U88" s="2373"/>
      <c r="V88" s="2373"/>
      <c r="W88" s="2373"/>
      <c r="X88" s="105"/>
      <c r="Y88" s="105"/>
      <c r="Z88" s="105"/>
      <c r="AA88" s="105"/>
      <c r="AB88" s="105"/>
      <c r="AC88" s="105"/>
    </row>
    <row r="89" spans="1:29" s="166" customFormat="1" ht="12.6" customHeight="1">
      <c r="A89" s="2095"/>
      <c r="B89" s="2376">
        <v>45329</v>
      </c>
      <c r="C89" s="2377"/>
      <c r="D89" s="2375" t="s">
        <v>164</v>
      </c>
      <c r="E89" s="2373">
        <v>400</v>
      </c>
      <c r="F89" s="2373"/>
      <c r="G89" s="2373"/>
      <c r="H89" s="2373"/>
      <c r="I89" s="2373"/>
      <c r="J89" s="2373"/>
      <c r="K89" s="2373"/>
      <c r="L89" s="2373"/>
      <c r="M89" s="2373"/>
      <c r="N89" s="2373"/>
      <c r="O89" s="2373"/>
      <c r="P89" s="2373"/>
      <c r="Q89" s="2373"/>
      <c r="R89" s="2373"/>
      <c r="S89" s="2373"/>
      <c r="T89" s="2373"/>
      <c r="U89" s="2373"/>
      <c r="V89" s="2373"/>
      <c r="W89" s="2373"/>
      <c r="X89" s="105"/>
      <c r="Y89" s="105"/>
      <c r="Z89" s="105"/>
      <c r="AA89" s="105"/>
      <c r="AB89" s="105"/>
      <c r="AC89" s="105"/>
    </row>
    <row r="90" spans="1:29" s="166" customFormat="1" ht="12.6" customHeight="1">
      <c r="A90" s="2095"/>
      <c r="B90" s="2376">
        <v>45329</v>
      </c>
      <c r="C90" s="2377"/>
      <c r="D90" s="2375" t="s">
        <v>1660</v>
      </c>
      <c r="E90" s="2373">
        <v>340</v>
      </c>
      <c r="F90" s="2373"/>
      <c r="G90" s="2373"/>
      <c r="H90" s="2373"/>
      <c r="I90" s="2373"/>
      <c r="J90" s="2373"/>
      <c r="K90" s="2373"/>
      <c r="L90" s="2373"/>
      <c r="M90" s="2373"/>
      <c r="N90" s="2373"/>
      <c r="O90" s="2373"/>
      <c r="P90" s="2373"/>
      <c r="Q90" s="2373">
        <v>340</v>
      </c>
      <c r="R90" s="2373"/>
      <c r="S90" s="2373"/>
      <c r="T90" s="2373"/>
      <c r="U90" s="2373"/>
      <c r="V90" s="2373"/>
      <c r="W90" s="2373"/>
      <c r="X90" s="105"/>
      <c r="Y90" s="105"/>
      <c r="Z90" s="105"/>
      <c r="AA90" s="105"/>
      <c r="AB90" s="105"/>
      <c r="AC90" s="105"/>
    </row>
    <row r="91" spans="1:29" s="166" customFormat="1" ht="12.6" customHeight="1">
      <c r="A91" s="2095"/>
      <c r="B91" s="2376">
        <v>45329</v>
      </c>
      <c r="C91" s="2377"/>
      <c r="D91" s="2375" t="s">
        <v>1661</v>
      </c>
      <c r="E91" s="2373">
        <v>580</v>
      </c>
      <c r="F91" s="2373"/>
      <c r="G91" s="2373"/>
      <c r="H91" s="2373"/>
      <c r="I91" s="2373"/>
      <c r="J91" s="2373"/>
      <c r="K91" s="2373"/>
      <c r="L91" s="2373"/>
      <c r="M91" s="2373"/>
      <c r="N91" s="2373"/>
      <c r="O91" s="2373"/>
      <c r="P91" s="2373"/>
      <c r="Q91" s="2373">
        <v>580</v>
      </c>
      <c r="R91" s="2373"/>
      <c r="S91" s="2373"/>
      <c r="T91" s="2373"/>
      <c r="U91" s="2373"/>
      <c r="V91" s="2373"/>
      <c r="W91" s="2373"/>
      <c r="X91" s="105"/>
      <c r="Y91" s="105"/>
      <c r="Z91" s="105"/>
      <c r="AA91" s="105"/>
      <c r="AB91" s="105"/>
      <c r="AC91" s="105"/>
    </row>
    <row r="92" spans="1:29" s="166" customFormat="1" ht="12.6" customHeight="1">
      <c r="A92" s="2095"/>
      <c r="B92" s="2376">
        <v>45329</v>
      </c>
      <c r="C92" s="2377"/>
      <c r="D92" s="2375" t="s">
        <v>1663</v>
      </c>
      <c r="E92" s="2373">
        <v>1338</v>
      </c>
      <c r="F92" s="2373"/>
      <c r="G92" s="2373"/>
      <c r="H92" s="2373"/>
      <c r="I92" s="2373"/>
      <c r="J92" s="2373"/>
      <c r="K92" s="2373"/>
      <c r="L92" s="2373"/>
      <c r="M92" s="2373"/>
      <c r="N92" s="2373"/>
      <c r="O92" s="2373"/>
      <c r="P92" s="2373"/>
      <c r="Q92" s="2373">
        <v>1338</v>
      </c>
      <c r="R92" s="2373"/>
      <c r="S92" s="2373"/>
      <c r="T92" s="2373"/>
      <c r="U92" s="2373"/>
      <c r="V92" s="2373"/>
      <c r="W92" s="2373"/>
      <c r="X92" s="105"/>
      <c r="Y92" s="105"/>
      <c r="Z92" s="105"/>
      <c r="AA92" s="105"/>
      <c r="AB92" s="105"/>
      <c r="AC92" s="105"/>
    </row>
    <row r="93" spans="1:29" s="166" customFormat="1" ht="12.6" customHeight="1">
      <c r="A93" s="2095"/>
      <c r="B93" s="2376">
        <v>45333</v>
      </c>
      <c r="C93" s="2377"/>
      <c r="D93" s="2375" t="s">
        <v>1223</v>
      </c>
      <c r="E93" s="2373">
        <v>218.9</v>
      </c>
      <c r="F93" s="2373"/>
      <c r="G93" s="2373"/>
      <c r="H93" s="2373"/>
      <c r="I93" s="2373"/>
      <c r="J93" s="2373"/>
      <c r="K93" s="2373"/>
      <c r="L93" s="2373"/>
      <c r="M93" s="2373"/>
      <c r="N93" s="2373"/>
      <c r="O93" s="2373"/>
      <c r="P93" s="2373"/>
      <c r="Q93" s="2373">
        <v>218.9</v>
      </c>
      <c r="R93" s="2373"/>
      <c r="S93" s="2373"/>
      <c r="T93" s="2373"/>
      <c r="U93" s="2373"/>
      <c r="V93" s="2373"/>
      <c r="W93" s="2373"/>
      <c r="X93" s="105"/>
      <c r="Y93" s="105"/>
      <c r="Z93" s="105"/>
      <c r="AA93" s="105"/>
      <c r="AB93" s="105"/>
      <c r="AC93" s="105"/>
    </row>
    <row r="94" spans="1:29" s="166" customFormat="1" ht="12.6" customHeight="1">
      <c r="A94" s="2095"/>
      <c r="B94" s="2376">
        <v>45334</v>
      </c>
      <c r="C94" s="2377"/>
      <c r="D94" s="2375" t="s">
        <v>1667</v>
      </c>
      <c r="E94" s="2373">
        <f>SUM(F94:W94)</f>
        <v>425.21000000000004</v>
      </c>
      <c r="F94" s="2373"/>
      <c r="G94" s="2373"/>
      <c r="H94" s="2373"/>
      <c r="I94" s="2373"/>
      <c r="J94" s="2373"/>
      <c r="K94" s="2373"/>
      <c r="L94" s="2373"/>
      <c r="M94" s="2373"/>
      <c r="N94" s="2373">
        <f>428.11-2.9</f>
        <v>425.21000000000004</v>
      </c>
      <c r="O94" s="2373"/>
      <c r="P94" s="2373"/>
      <c r="Q94" s="2373"/>
      <c r="R94" s="2373"/>
      <c r="S94" s="2373"/>
      <c r="T94" s="2373"/>
      <c r="U94" s="2373"/>
      <c r="V94" s="2373"/>
      <c r="W94" s="2373"/>
      <c r="X94" s="105"/>
      <c r="Y94" s="105"/>
      <c r="Z94" s="105"/>
      <c r="AA94" s="105"/>
      <c r="AB94" s="105"/>
      <c r="AC94" s="105"/>
    </row>
    <row r="95" spans="1:29" s="166" customFormat="1" ht="12.6" customHeight="1">
      <c r="A95" s="2095"/>
      <c r="B95" s="2376">
        <v>45334</v>
      </c>
      <c r="C95" s="2377"/>
      <c r="D95" s="2375" t="s">
        <v>1655</v>
      </c>
      <c r="E95" s="2373">
        <v>-70</v>
      </c>
      <c r="F95" s="2373"/>
      <c r="G95" s="2373"/>
      <c r="H95" s="2373"/>
      <c r="I95" s="2373"/>
      <c r="J95" s="2373"/>
      <c r="K95" s="2373"/>
      <c r="L95" s="2373"/>
      <c r="M95" s="2373"/>
      <c r="N95" s="2373"/>
      <c r="O95" s="2373"/>
      <c r="P95" s="2373"/>
      <c r="Q95" s="2373"/>
      <c r="R95" s="2373">
        <v>-70</v>
      </c>
      <c r="S95" s="2373"/>
      <c r="T95" s="2373"/>
      <c r="U95" s="2373"/>
      <c r="V95" s="2373"/>
      <c r="W95" s="2373"/>
      <c r="X95" s="105"/>
      <c r="Y95" s="105"/>
      <c r="Z95" s="105"/>
      <c r="AA95" s="105"/>
      <c r="AB95" s="105"/>
      <c r="AC95" s="105"/>
    </row>
    <row r="96" spans="1:29" s="166" customFormat="1" ht="12.6" customHeight="1">
      <c r="A96" s="2095"/>
      <c r="B96" s="2376">
        <v>45338</v>
      </c>
      <c r="C96" s="2377"/>
      <c r="D96" s="2375" t="s">
        <v>58</v>
      </c>
      <c r="E96" s="2373">
        <v>700</v>
      </c>
      <c r="F96" s="2373"/>
      <c r="G96" s="2373"/>
      <c r="H96" s="2373"/>
      <c r="I96" s="2373"/>
      <c r="J96" s="2373"/>
      <c r="K96" s="2373"/>
      <c r="L96" s="2373"/>
      <c r="M96" s="2373"/>
      <c r="N96" s="2373"/>
      <c r="O96" s="2373"/>
      <c r="P96" s="2373"/>
      <c r="Q96" s="2373"/>
      <c r="R96" s="2373"/>
      <c r="S96" s="2373"/>
      <c r="T96" s="2373">
        <v>700</v>
      </c>
      <c r="U96" s="2373"/>
      <c r="V96" s="2373"/>
      <c r="W96" s="2373"/>
      <c r="X96" s="105"/>
      <c r="Y96" s="105"/>
      <c r="Z96" s="105"/>
      <c r="AA96" s="105"/>
      <c r="AB96" s="105"/>
      <c r="AC96" s="105"/>
    </row>
    <row r="97" spans="1:29" s="166" customFormat="1" ht="12.6" customHeight="1">
      <c r="A97" s="2095"/>
      <c r="B97" s="2376">
        <v>45339</v>
      </c>
      <c r="C97" s="2377"/>
      <c r="D97" s="2375" t="s">
        <v>529</v>
      </c>
      <c r="E97" s="2373">
        <v>114</v>
      </c>
      <c r="F97" s="2373"/>
      <c r="G97" s="2373"/>
      <c r="H97" s="2373"/>
      <c r="I97" s="2373"/>
      <c r="J97" s="2373"/>
      <c r="K97" s="2373"/>
      <c r="L97" s="2373"/>
      <c r="M97" s="2373"/>
      <c r="N97" s="2373"/>
      <c r="O97" s="2373"/>
      <c r="P97" s="2373">
        <v>114</v>
      </c>
      <c r="Q97" s="2373"/>
      <c r="R97" s="2373"/>
      <c r="S97" s="2373"/>
      <c r="T97" s="2373"/>
      <c r="U97" s="2373"/>
      <c r="V97" s="2373"/>
      <c r="W97" s="2373"/>
      <c r="X97" s="105"/>
      <c r="Y97" s="105"/>
      <c r="Z97" s="105"/>
      <c r="AA97" s="105"/>
      <c r="AB97" s="105"/>
      <c r="AC97" s="105"/>
    </row>
    <row r="98" spans="1:29" s="166" customFormat="1" ht="12.6" customHeight="1">
      <c r="A98" s="2095"/>
      <c r="B98" s="2376">
        <v>45343</v>
      </c>
      <c r="C98" s="2377"/>
      <c r="D98" s="2375" t="s">
        <v>1674</v>
      </c>
      <c r="E98" s="2373">
        <v>2068</v>
      </c>
      <c r="F98" s="2373"/>
      <c r="G98" s="2373"/>
      <c r="H98" s="2373"/>
      <c r="I98" s="2373"/>
      <c r="J98" s="2373"/>
      <c r="K98" s="2373"/>
      <c r="L98" s="2373"/>
      <c r="M98" s="2373"/>
      <c r="N98" s="2373"/>
      <c r="O98" s="2373"/>
      <c r="P98" s="2373"/>
      <c r="Q98" s="2373">
        <v>2068</v>
      </c>
      <c r="R98" s="2373"/>
      <c r="S98" s="2373"/>
      <c r="T98" s="2373"/>
      <c r="U98" s="2373"/>
      <c r="V98" s="2373"/>
      <c r="W98" s="2373"/>
      <c r="X98" s="105"/>
      <c r="Y98" s="105"/>
      <c r="Z98" s="105"/>
      <c r="AA98" s="105"/>
      <c r="AB98" s="105"/>
      <c r="AC98" s="105"/>
    </row>
    <row r="99" spans="1:29" s="166" customFormat="1" ht="12.6" customHeight="1">
      <c r="A99" s="2095"/>
      <c r="B99" s="2376">
        <v>45345</v>
      </c>
      <c r="C99" s="2377"/>
      <c r="D99" s="2375" t="s">
        <v>57</v>
      </c>
      <c r="E99" s="2373">
        <v>300</v>
      </c>
      <c r="F99" s="2373"/>
      <c r="G99" s="2373"/>
      <c r="H99" s="2373"/>
      <c r="I99" s="2373"/>
      <c r="J99" s="2373"/>
      <c r="K99" s="2373"/>
      <c r="L99" s="2373"/>
      <c r="M99" s="2373"/>
      <c r="N99" s="2373"/>
      <c r="O99" s="2373"/>
      <c r="P99" s="2373"/>
      <c r="Q99" s="2373"/>
      <c r="R99" s="2373"/>
      <c r="S99" s="2373">
        <v>300</v>
      </c>
      <c r="T99" s="2373"/>
      <c r="U99" s="2373"/>
      <c r="V99" s="2373"/>
      <c r="W99" s="2373"/>
      <c r="X99" s="105"/>
      <c r="Y99" s="105"/>
      <c r="Z99" s="105"/>
      <c r="AA99" s="105"/>
      <c r="AB99" s="105"/>
      <c r="AC99" s="105"/>
    </row>
    <row r="100" spans="1:29" s="166" customFormat="1" ht="12.6" customHeight="1">
      <c r="A100" s="2095"/>
      <c r="B100" s="2376"/>
      <c r="C100" s="2377"/>
      <c r="D100" s="2375" t="s">
        <v>42</v>
      </c>
      <c r="E100" s="2373">
        <f t="shared" ref="E100:E104" si="10">SUM(F100:W100)</f>
        <v>3472.8375000000001</v>
      </c>
      <c r="F100" s="2373"/>
      <c r="G100" s="2373"/>
      <c r="H100" s="2373">
        <f>277.25+96+135.3+134+81+90+64.95+161+88.65+117+129.45+142.65-36+155+158+197+373.45+94.95</f>
        <v>2459.65</v>
      </c>
      <c r="I100" s="2373"/>
      <c r="J100" s="2373"/>
      <c r="K100" s="2373">
        <v>620</v>
      </c>
      <c r="L100" s="2373"/>
      <c r="M100" s="2373"/>
      <c r="N100" s="2373"/>
      <c r="O100" s="2373"/>
      <c r="P100" s="2373"/>
      <c r="Q100" s="2373"/>
      <c r="R100" s="2373"/>
      <c r="S100" s="2373">
        <f>314.55*1.25</f>
        <v>393.1875</v>
      </c>
      <c r="T100" s="2373"/>
      <c r="U100" s="2373"/>
      <c r="V100" s="2373"/>
      <c r="W100" s="2373"/>
      <c r="X100" s="105"/>
      <c r="Y100" s="105"/>
      <c r="Z100" s="105"/>
      <c r="AA100" s="105"/>
      <c r="AB100" s="105"/>
      <c r="AC100" s="105"/>
    </row>
    <row r="101" spans="1:29" s="166" customFormat="1" ht="12.6" customHeight="1">
      <c r="A101" s="2095"/>
      <c r="B101" s="2376"/>
      <c r="C101" s="2377"/>
      <c r="D101" s="2375" t="s">
        <v>41</v>
      </c>
      <c r="E101" s="2373">
        <f t="shared" si="10"/>
        <v>169</v>
      </c>
      <c r="F101" s="2373"/>
      <c r="G101" s="2373"/>
      <c r="H101" s="2373">
        <f>65+45</f>
        <v>110</v>
      </c>
      <c r="I101" s="2373"/>
      <c r="J101" s="2373">
        <v>59</v>
      </c>
      <c r="K101" s="2373"/>
      <c r="L101" s="2373"/>
      <c r="M101" s="2373"/>
      <c r="N101" s="2373"/>
      <c r="O101" s="2373"/>
      <c r="P101" s="2373"/>
      <c r="Q101" s="2373"/>
      <c r="R101" s="2373"/>
      <c r="S101" s="2373"/>
      <c r="T101" s="2373"/>
      <c r="U101" s="2373"/>
      <c r="V101" s="2373"/>
      <c r="W101" s="2373"/>
      <c r="X101" s="105"/>
      <c r="Y101" s="105"/>
      <c r="Z101" s="105"/>
      <c r="AA101" s="105"/>
      <c r="AB101" s="105"/>
      <c r="AC101" s="105"/>
    </row>
    <row r="102" spans="1:29" s="166" customFormat="1" ht="12.6" customHeight="1">
      <c r="A102" s="2095"/>
      <c r="B102" s="2376"/>
      <c r="C102" s="2377"/>
      <c r="D102" s="2375" t="s">
        <v>1348</v>
      </c>
      <c r="E102" s="2373">
        <f t="shared" si="10"/>
        <v>936.29</v>
      </c>
      <c r="F102" s="2373"/>
      <c r="G102" s="2373"/>
      <c r="H102" s="2373">
        <f>29+52.74+109.5+29.95+174.95+174.2+58+15.75+89+128+20.95+54.25</f>
        <v>936.29</v>
      </c>
      <c r="I102" s="2373"/>
      <c r="J102" s="2373"/>
      <c r="K102" s="2373"/>
      <c r="L102" s="2373"/>
      <c r="M102" s="2373"/>
      <c r="N102" s="2373"/>
      <c r="O102" s="2373"/>
      <c r="P102" s="2373"/>
      <c r="Q102" s="2373"/>
      <c r="R102" s="2373"/>
      <c r="S102" s="2373"/>
      <c r="T102" s="2373"/>
      <c r="U102" s="2373"/>
      <c r="V102" s="2373"/>
      <c r="W102" s="2373"/>
      <c r="X102" s="105"/>
      <c r="Y102" s="105"/>
      <c r="Z102" s="105"/>
      <c r="AA102" s="105"/>
      <c r="AB102" s="105"/>
      <c r="AC102" s="105"/>
    </row>
    <row r="103" spans="1:29" s="166" customFormat="1" ht="12.6" customHeight="1">
      <c r="A103" s="2095"/>
      <c r="B103" s="2376"/>
      <c r="C103" s="2377"/>
      <c r="D103" s="2375" t="s">
        <v>123</v>
      </c>
      <c r="E103" s="2373">
        <f t="shared" si="10"/>
        <v>1153.75</v>
      </c>
      <c r="F103" s="2373"/>
      <c r="G103" s="2373"/>
      <c r="H103" s="2373">
        <f>327+273.95+172.9+200+179.9</f>
        <v>1153.75</v>
      </c>
      <c r="I103" s="2373"/>
      <c r="J103" s="2373"/>
      <c r="K103" s="2373"/>
      <c r="L103" s="2373"/>
      <c r="M103" s="2373"/>
      <c r="N103" s="2373"/>
      <c r="O103" s="2373"/>
      <c r="P103" s="2373"/>
      <c r="Q103" s="2373"/>
      <c r="R103" s="2373"/>
      <c r="S103" s="2373"/>
      <c r="T103" s="2373"/>
      <c r="U103" s="2373"/>
      <c r="V103" s="2373"/>
      <c r="W103" s="2373"/>
      <c r="X103" s="105"/>
      <c r="Y103" s="105"/>
      <c r="Z103" s="105"/>
      <c r="AA103" s="105"/>
      <c r="AB103" s="105"/>
      <c r="AC103" s="105"/>
    </row>
    <row r="104" spans="1:29" s="166" customFormat="1" ht="12.6" customHeight="1">
      <c r="A104" s="2095"/>
      <c r="B104" s="2376"/>
      <c r="C104" s="2377"/>
      <c r="D104" s="2375" t="s">
        <v>37</v>
      </c>
      <c r="E104" s="2373">
        <f t="shared" si="10"/>
        <v>203.25</v>
      </c>
      <c r="F104" s="2373"/>
      <c r="G104" s="2373">
        <f>85+40</f>
        <v>125</v>
      </c>
      <c r="H104" s="2373">
        <v>78.25</v>
      </c>
      <c r="I104" s="2373"/>
      <c r="J104" s="2373"/>
      <c r="K104" s="2373"/>
      <c r="L104" s="2373"/>
      <c r="M104" s="2373"/>
      <c r="N104" s="2373"/>
      <c r="O104" s="2373"/>
      <c r="P104" s="2373"/>
      <c r="Q104" s="2373"/>
      <c r="R104" s="2373"/>
      <c r="S104" s="2373"/>
      <c r="T104" s="2373"/>
      <c r="U104" s="2373"/>
      <c r="V104" s="2373"/>
      <c r="W104" s="2373"/>
      <c r="X104" s="2452"/>
      <c r="Y104" s="996"/>
      <c r="Z104" s="105"/>
      <c r="AA104" s="105"/>
      <c r="AB104" s="105"/>
      <c r="AC104" s="105"/>
    </row>
    <row r="105" spans="1:29" s="2103" customFormat="1" ht="12.6" customHeight="1">
      <c r="A105" s="2097"/>
      <c r="B105" s="2853" t="s">
        <v>1647</v>
      </c>
      <c r="C105" s="2853"/>
      <c r="D105" s="2853"/>
      <c r="E105" s="2848">
        <f t="shared" ref="E105:W105" si="11">SUM(E106:E108)</f>
        <v>29</v>
      </c>
      <c r="F105" s="2848">
        <f t="shared" si="11"/>
        <v>0</v>
      </c>
      <c r="G105" s="2848" t="s">
        <v>389</v>
      </c>
      <c r="H105" s="2848">
        <f t="shared" si="11"/>
        <v>0</v>
      </c>
      <c r="I105" s="2848">
        <f t="shared" si="11"/>
        <v>0</v>
      </c>
      <c r="J105" s="2848">
        <f t="shared" si="11"/>
        <v>0</v>
      </c>
      <c r="K105" s="2848">
        <f t="shared" si="11"/>
        <v>0</v>
      </c>
      <c r="L105" s="2848">
        <f t="shared" si="11"/>
        <v>0</v>
      </c>
      <c r="M105" s="2848">
        <f t="shared" si="11"/>
        <v>0</v>
      </c>
      <c r="N105" s="2848">
        <f t="shared" si="11"/>
        <v>0</v>
      </c>
      <c r="O105" s="2848">
        <f t="shared" si="11"/>
        <v>0</v>
      </c>
      <c r="P105" s="2848">
        <f t="shared" si="11"/>
        <v>0</v>
      </c>
      <c r="Q105" s="2848">
        <f t="shared" si="11"/>
        <v>29</v>
      </c>
      <c r="R105" s="2848">
        <f t="shared" si="11"/>
        <v>0</v>
      </c>
      <c r="S105" s="2848">
        <f t="shared" si="11"/>
        <v>0</v>
      </c>
      <c r="T105" s="2848">
        <f t="shared" si="11"/>
        <v>0</v>
      </c>
      <c r="U105" s="2848">
        <f t="shared" si="11"/>
        <v>0</v>
      </c>
      <c r="V105" s="2848">
        <f t="shared" si="11"/>
        <v>0</v>
      </c>
      <c r="W105" s="2848">
        <f t="shared" si="11"/>
        <v>0</v>
      </c>
      <c r="X105" s="2452"/>
      <c r="Y105" s="996"/>
      <c r="Z105" s="2452"/>
      <c r="AA105" s="996"/>
      <c r="AB105" s="2452"/>
      <c r="AC105" s="996"/>
    </row>
    <row r="106" spans="1:29" s="995" customFormat="1" ht="12.6" customHeight="1">
      <c r="A106" s="991"/>
      <c r="B106" s="2853"/>
      <c r="C106" s="2853"/>
      <c r="D106" s="2853"/>
      <c r="E106" s="2848"/>
      <c r="F106" s="2848"/>
      <c r="G106" s="2848"/>
      <c r="H106" s="2848"/>
      <c r="I106" s="2848"/>
      <c r="J106" s="2848"/>
      <c r="K106" s="2848"/>
      <c r="L106" s="2848"/>
      <c r="M106" s="2848"/>
      <c r="N106" s="2848"/>
      <c r="O106" s="2848"/>
      <c r="P106" s="2848"/>
      <c r="Q106" s="2848"/>
      <c r="R106" s="2848"/>
      <c r="S106" s="2848"/>
      <c r="T106" s="2848"/>
      <c r="U106" s="2848"/>
      <c r="V106" s="2848"/>
      <c r="W106" s="2848"/>
      <c r="X106" s="2452"/>
      <c r="Y106" s="996"/>
      <c r="Z106" s="2452"/>
      <c r="AA106" s="996"/>
      <c r="AB106" s="2452"/>
      <c r="AC106" s="996"/>
    </row>
    <row r="107" spans="1:29" s="995" customFormat="1" ht="12.6" customHeight="1">
      <c r="A107" s="991"/>
      <c r="B107" s="2398">
        <v>45350</v>
      </c>
      <c r="C107" s="2398"/>
      <c r="D107" s="2399" t="s">
        <v>1646</v>
      </c>
      <c r="E107" s="2400">
        <v>29</v>
      </c>
      <c r="F107" s="2400"/>
      <c r="G107" s="2400"/>
      <c r="H107" s="2400"/>
      <c r="I107" s="2400"/>
      <c r="J107" s="2400"/>
      <c r="K107" s="2400"/>
      <c r="L107" s="2400"/>
      <c r="M107" s="2400"/>
      <c r="N107" s="2400"/>
      <c r="O107" s="2400"/>
      <c r="P107" s="2400"/>
      <c r="Q107" s="2400">
        <v>29</v>
      </c>
      <c r="R107" s="2400"/>
      <c r="S107" s="2400"/>
      <c r="T107" s="2400"/>
      <c r="U107" s="2400"/>
      <c r="V107" s="2400"/>
      <c r="W107" s="2400"/>
      <c r="Z107" s="2452"/>
      <c r="AA107" s="996"/>
      <c r="AB107" s="2452"/>
      <c r="AC107" s="996"/>
    </row>
    <row r="108" spans="1:29" s="2194" customFormat="1" ht="6" customHeight="1">
      <c r="A108" s="996"/>
      <c r="B108" s="2191"/>
      <c r="C108" s="2192"/>
      <c r="D108" s="2193"/>
      <c r="E108" s="2371"/>
      <c r="F108" s="2371"/>
      <c r="G108" s="2371"/>
      <c r="H108" s="2371"/>
      <c r="I108" s="2371"/>
      <c r="J108" s="2371"/>
      <c r="K108" s="2371"/>
      <c r="L108" s="2371"/>
      <c r="M108" s="2371"/>
      <c r="N108" s="2371"/>
      <c r="O108" s="2371"/>
      <c r="P108" s="2371"/>
      <c r="Q108" s="2371"/>
      <c r="R108" s="2371"/>
      <c r="S108" s="2371"/>
      <c r="T108" s="2371"/>
      <c r="U108" s="2371"/>
      <c r="V108" s="2371"/>
      <c r="W108" s="2371"/>
      <c r="X108" s="2103"/>
      <c r="Y108" s="2103"/>
      <c r="Z108" s="166"/>
      <c r="AA108" s="166"/>
      <c r="AB108" s="166"/>
      <c r="AC108" s="166"/>
    </row>
    <row r="109" spans="1:29" s="2103" customFormat="1" ht="24" customHeight="1">
      <c r="A109" s="2317"/>
      <c r="B109" s="2868">
        <v>31</v>
      </c>
      <c r="C109" s="2868"/>
      <c r="D109" s="2868"/>
      <c r="E109" s="2372">
        <f>SUM(E116)</f>
        <v>20427.649999999998</v>
      </c>
      <c r="F109" s="2372">
        <f t="shared" ref="F109:T109" si="12">SUM(F116)</f>
        <v>550</v>
      </c>
      <c r="G109" s="2372">
        <f t="shared" si="12"/>
        <v>0</v>
      </c>
      <c r="H109" s="2372">
        <f t="shared" si="12"/>
        <v>2280.4500000000003</v>
      </c>
      <c r="I109" s="2372">
        <f t="shared" si="12"/>
        <v>0</v>
      </c>
      <c r="J109" s="2372">
        <f t="shared" si="12"/>
        <v>262.89999999999998</v>
      </c>
      <c r="K109" s="2372">
        <f t="shared" si="12"/>
        <v>620</v>
      </c>
      <c r="L109" s="2372">
        <f t="shared" si="12"/>
        <v>0</v>
      </c>
      <c r="M109" s="2372">
        <f t="shared" si="12"/>
        <v>4315</v>
      </c>
      <c r="N109" s="2372">
        <f t="shared" si="12"/>
        <v>630</v>
      </c>
      <c r="O109" s="2372">
        <f t="shared" si="12"/>
        <v>0</v>
      </c>
      <c r="P109" s="2372">
        <f t="shared" si="12"/>
        <v>3163.75</v>
      </c>
      <c r="Q109" s="2372">
        <f t="shared" si="12"/>
        <v>4973.82</v>
      </c>
      <c r="R109" s="2372">
        <f t="shared" si="12"/>
        <v>95</v>
      </c>
      <c r="S109" s="2372">
        <f t="shared" si="12"/>
        <v>1150</v>
      </c>
      <c r="T109" s="2372">
        <f t="shared" si="12"/>
        <v>3799.4700000000003</v>
      </c>
      <c r="U109" s="2372" t="e">
        <f>#REF!</f>
        <v>#REF!</v>
      </c>
      <c r="V109" s="2372" t="e">
        <f>#REF!</f>
        <v>#REF!</v>
      </c>
      <c r="W109" s="2372" t="e">
        <f>#REF!</f>
        <v>#REF!</v>
      </c>
      <c r="X109" s="166"/>
      <c r="Y109" s="166"/>
    </row>
    <row r="110" spans="1:29" s="166" customFormat="1" ht="12.6" customHeight="1">
      <c r="A110" s="2095"/>
      <c r="B110" s="2856" t="s">
        <v>290</v>
      </c>
      <c r="C110" s="2856"/>
      <c r="D110" s="2856"/>
      <c r="E110" s="2847">
        <f>SUM(E111:E115)</f>
        <v>20875</v>
      </c>
      <c r="F110" s="2847">
        <f t="shared" ref="F110:W110" si="13">SUM(F111:F115)</f>
        <v>0</v>
      </c>
      <c r="G110" s="2847">
        <f t="shared" si="13"/>
        <v>0</v>
      </c>
      <c r="H110" s="2847">
        <f t="shared" si="13"/>
        <v>0</v>
      </c>
      <c r="I110" s="2847">
        <f t="shared" si="13"/>
        <v>0</v>
      </c>
      <c r="J110" s="2847">
        <f t="shared" si="13"/>
        <v>0</v>
      </c>
      <c r="K110" s="2847">
        <f t="shared" si="13"/>
        <v>0</v>
      </c>
      <c r="L110" s="2847">
        <f t="shared" si="13"/>
        <v>0</v>
      </c>
      <c r="M110" s="2847">
        <f t="shared" si="13"/>
        <v>0</v>
      </c>
      <c r="N110" s="2847">
        <f t="shared" si="13"/>
        <v>0</v>
      </c>
      <c r="O110" s="2847">
        <f t="shared" si="13"/>
        <v>0</v>
      </c>
      <c r="P110" s="2847">
        <f t="shared" si="13"/>
        <v>0</v>
      </c>
      <c r="Q110" s="2847">
        <f t="shared" si="13"/>
        <v>0</v>
      </c>
      <c r="R110" s="2847">
        <f t="shared" si="13"/>
        <v>0</v>
      </c>
      <c r="S110" s="2847">
        <f t="shared" si="13"/>
        <v>0</v>
      </c>
      <c r="T110" s="2847">
        <f t="shared" si="13"/>
        <v>0</v>
      </c>
      <c r="U110" s="2847">
        <f t="shared" si="13"/>
        <v>0</v>
      </c>
      <c r="V110" s="2847">
        <f t="shared" si="13"/>
        <v>0</v>
      </c>
      <c r="W110" s="2847">
        <f t="shared" si="13"/>
        <v>0</v>
      </c>
      <c r="X110" s="2103"/>
      <c r="Y110" s="2103"/>
    </row>
    <row r="111" spans="1:29" s="2103" customFormat="1" ht="12.6" customHeight="1">
      <c r="A111" s="2097"/>
      <c r="B111" s="2856"/>
      <c r="C111" s="2856"/>
      <c r="D111" s="2856"/>
      <c r="E111" s="2847"/>
      <c r="F111" s="2847"/>
      <c r="G111" s="2847"/>
      <c r="H111" s="2847"/>
      <c r="I111" s="2847"/>
      <c r="J111" s="2847"/>
      <c r="K111" s="2847"/>
      <c r="L111" s="2847"/>
      <c r="M111" s="2847"/>
      <c r="N111" s="2847"/>
      <c r="O111" s="2847"/>
      <c r="P111" s="2847"/>
      <c r="Q111" s="2847"/>
      <c r="R111" s="2847"/>
      <c r="S111" s="2847"/>
      <c r="T111" s="2847"/>
      <c r="U111" s="2847"/>
      <c r="V111" s="2847"/>
      <c r="W111" s="2847"/>
      <c r="X111" s="995"/>
      <c r="Y111" s="995"/>
    </row>
    <row r="112" spans="1:29" s="995" customFormat="1" ht="12.6" customHeight="1">
      <c r="A112" s="991"/>
      <c r="B112" s="2321">
        <v>45290</v>
      </c>
      <c r="C112" s="2379"/>
      <c r="D112" s="2378" t="s">
        <v>35</v>
      </c>
      <c r="E112" s="2369">
        <v>12214</v>
      </c>
      <c r="F112" s="2369"/>
      <c r="G112" s="2369"/>
      <c r="H112" s="2369"/>
      <c r="I112" s="2369"/>
      <c r="J112" s="2369"/>
      <c r="K112" s="2369"/>
      <c r="L112" s="2369"/>
      <c r="M112" s="2369"/>
      <c r="N112" s="2369"/>
      <c r="O112" s="2369"/>
      <c r="P112" s="2369"/>
      <c r="Q112" s="2369"/>
      <c r="R112" s="2369"/>
      <c r="S112" s="2369"/>
      <c r="T112" s="2369"/>
      <c r="U112" s="2369"/>
      <c r="V112" s="2369"/>
      <c r="W112" s="2369"/>
    </row>
    <row r="113" spans="1:25" s="995" customFormat="1" ht="12.6" customHeight="1">
      <c r="A113" s="991"/>
      <c r="B113" s="2321">
        <v>45290</v>
      </c>
      <c r="C113" s="2379"/>
      <c r="D113" s="2378" t="s">
        <v>34</v>
      </c>
      <c r="E113" s="2369">
        <v>8441</v>
      </c>
      <c r="F113" s="2369"/>
      <c r="G113" s="2369"/>
      <c r="H113" s="2369"/>
      <c r="I113" s="2369"/>
      <c r="J113" s="2369"/>
      <c r="K113" s="2369"/>
      <c r="L113" s="2369"/>
      <c r="M113" s="2369"/>
      <c r="N113" s="2369"/>
      <c r="O113" s="2369"/>
      <c r="P113" s="2369"/>
      <c r="Q113" s="2369"/>
      <c r="R113" s="2369"/>
      <c r="S113" s="2369"/>
      <c r="T113" s="2369"/>
      <c r="U113" s="2369"/>
      <c r="V113" s="2369"/>
      <c r="W113" s="2369"/>
    </row>
    <row r="114" spans="1:25" s="995" customFormat="1" ht="12.6" customHeight="1">
      <c r="A114" s="991"/>
      <c r="B114" s="2321">
        <v>45292</v>
      </c>
      <c r="C114" s="2379"/>
      <c r="D114" s="2378" t="s">
        <v>33</v>
      </c>
      <c r="E114" s="2369">
        <v>220</v>
      </c>
      <c r="F114" s="2369"/>
      <c r="G114" s="2369"/>
      <c r="H114" s="2369"/>
      <c r="I114" s="2369"/>
      <c r="J114" s="2369"/>
      <c r="K114" s="2369"/>
      <c r="L114" s="2369"/>
      <c r="M114" s="2369"/>
      <c r="N114" s="2369"/>
      <c r="O114" s="2369"/>
      <c r="P114" s="2369"/>
      <c r="Q114" s="2369"/>
      <c r="R114" s="2369"/>
      <c r="S114" s="2369"/>
      <c r="T114" s="2369"/>
      <c r="U114" s="2369"/>
      <c r="V114" s="2369"/>
      <c r="W114" s="2369"/>
    </row>
    <row r="115" spans="1:25" s="995" customFormat="1" ht="12.6" customHeight="1">
      <c r="A115" s="991"/>
      <c r="B115" s="2321"/>
      <c r="C115" s="2379"/>
      <c r="D115" s="2378"/>
      <c r="E115" s="2369"/>
      <c r="F115" s="2369"/>
      <c r="G115" s="2369"/>
      <c r="H115" s="2369"/>
      <c r="I115" s="2369"/>
      <c r="J115" s="2369"/>
      <c r="K115" s="2369"/>
      <c r="L115" s="2369"/>
      <c r="M115" s="2369"/>
      <c r="N115" s="2369"/>
      <c r="O115" s="2369"/>
      <c r="P115" s="2369"/>
      <c r="Q115" s="2369"/>
      <c r="R115" s="2369"/>
      <c r="S115" s="2369"/>
      <c r="T115" s="2369"/>
      <c r="U115" s="2369"/>
      <c r="V115" s="2369"/>
      <c r="W115" s="2369"/>
      <c r="X115" s="2103"/>
      <c r="Y115" s="2103"/>
    </row>
    <row r="116" spans="1:25" s="2103" customFormat="1" ht="12.6" customHeight="1">
      <c r="A116" s="2097"/>
      <c r="B116" s="2867" t="s">
        <v>289</v>
      </c>
      <c r="C116" s="2867"/>
      <c r="D116" s="2867"/>
      <c r="E116" s="2838">
        <f>SUM(E117:E147)</f>
        <v>20427.649999999998</v>
      </c>
      <c r="F116" s="2838">
        <f t="shared" ref="F116:W116" si="14">SUM(F117:F147)</f>
        <v>550</v>
      </c>
      <c r="G116" s="2838">
        <f t="shared" si="14"/>
        <v>0</v>
      </c>
      <c r="H116" s="2838">
        <f t="shared" si="14"/>
        <v>2280.4500000000003</v>
      </c>
      <c r="I116" s="2838">
        <f t="shared" si="14"/>
        <v>0</v>
      </c>
      <c r="J116" s="2838">
        <f t="shared" si="14"/>
        <v>262.89999999999998</v>
      </c>
      <c r="K116" s="2838">
        <f t="shared" si="14"/>
        <v>620</v>
      </c>
      <c r="L116" s="2838">
        <f t="shared" si="14"/>
        <v>0</v>
      </c>
      <c r="M116" s="2838">
        <f t="shared" si="14"/>
        <v>4315</v>
      </c>
      <c r="N116" s="2838">
        <f t="shared" si="14"/>
        <v>630</v>
      </c>
      <c r="O116" s="2838">
        <f t="shared" si="14"/>
        <v>0</v>
      </c>
      <c r="P116" s="2838">
        <f t="shared" si="14"/>
        <v>3163.75</v>
      </c>
      <c r="Q116" s="2838">
        <f t="shared" si="14"/>
        <v>4973.82</v>
      </c>
      <c r="R116" s="2838">
        <f t="shared" si="14"/>
        <v>95</v>
      </c>
      <c r="S116" s="2838">
        <f t="shared" si="14"/>
        <v>1150</v>
      </c>
      <c r="T116" s="2838">
        <f t="shared" si="14"/>
        <v>3799.4700000000003</v>
      </c>
      <c r="U116" s="2838">
        <f t="shared" si="14"/>
        <v>202</v>
      </c>
      <c r="V116" s="2838">
        <f t="shared" si="14"/>
        <v>675.26</v>
      </c>
      <c r="W116" s="2838">
        <f t="shared" si="14"/>
        <v>4315</v>
      </c>
      <c r="X116" s="995"/>
      <c r="Y116" s="995"/>
    </row>
    <row r="117" spans="1:25" s="995" customFormat="1" ht="12.6" customHeight="1">
      <c r="A117" s="991"/>
      <c r="B117" s="2863"/>
      <c r="C117" s="2863"/>
      <c r="D117" s="2863"/>
      <c r="E117" s="2839"/>
      <c r="F117" s="2839"/>
      <c r="G117" s="2839"/>
      <c r="H117" s="2839"/>
      <c r="I117" s="2839"/>
      <c r="J117" s="2839"/>
      <c r="K117" s="2839"/>
      <c r="L117" s="2839"/>
      <c r="M117" s="2839"/>
      <c r="N117" s="2839"/>
      <c r="O117" s="2839"/>
      <c r="P117" s="2839"/>
      <c r="Q117" s="2839"/>
      <c r="R117" s="2839"/>
      <c r="S117" s="2839"/>
      <c r="T117" s="2839"/>
      <c r="U117" s="2839"/>
      <c r="V117" s="2839"/>
      <c r="W117" s="2839"/>
      <c r="X117" s="166"/>
      <c r="Y117" s="166"/>
    </row>
    <row r="118" spans="1:25" s="166" customFormat="1" ht="12.6" customHeight="1">
      <c r="A118" s="2095"/>
      <c r="B118" s="2376">
        <v>45351</v>
      </c>
      <c r="C118" s="2377"/>
      <c r="D118" s="2375" t="s">
        <v>1466</v>
      </c>
      <c r="E118" s="2373">
        <v>778</v>
      </c>
      <c r="F118" s="2373">
        <v>419</v>
      </c>
      <c r="G118" s="2373"/>
      <c r="H118" s="2373"/>
      <c r="I118" s="2373"/>
      <c r="J118" s="2373"/>
      <c r="K118" s="2373"/>
      <c r="L118" s="2373"/>
      <c r="M118" s="2373"/>
      <c r="N118" s="2373"/>
      <c r="O118" s="2373"/>
      <c r="P118" s="2373"/>
      <c r="Q118" s="2373"/>
      <c r="R118" s="2373"/>
      <c r="S118" s="2373"/>
      <c r="T118" s="2373">
        <v>359</v>
      </c>
      <c r="U118" s="2373"/>
      <c r="V118" s="2373"/>
      <c r="W118" s="2373"/>
    </row>
    <row r="119" spans="1:25" s="166" customFormat="1" ht="12.6" customHeight="1">
      <c r="A119" s="2095"/>
      <c r="B119" s="2376">
        <v>45351</v>
      </c>
      <c r="C119" s="2377"/>
      <c r="D119" s="2375" t="s">
        <v>162</v>
      </c>
      <c r="E119" s="2373">
        <v>121</v>
      </c>
      <c r="F119" s="2373"/>
      <c r="G119" s="2373"/>
      <c r="H119" s="2373"/>
      <c r="I119" s="2373"/>
      <c r="J119" s="2373"/>
      <c r="K119" s="2373"/>
      <c r="L119" s="2373"/>
      <c r="M119" s="2373"/>
      <c r="N119" s="2373"/>
      <c r="O119" s="2373"/>
      <c r="P119" s="2373"/>
      <c r="Q119" s="2373">
        <v>121</v>
      </c>
      <c r="R119" s="2373"/>
      <c r="S119" s="2373"/>
      <c r="T119" s="2373"/>
      <c r="U119" s="2373"/>
      <c r="V119" s="2373"/>
      <c r="W119" s="2373"/>
    </row>
    <row r="120" spans="1:25" s="166" customFormat="1" ht="12.6" customHeight="1">
      <c r="A120" s="2095"/>
      <c r="B120" s="2376">
        <v>45352</v>
      </c>
      <c r="C120" s="2377"/>
      <c r="D120" s="2375" t="s">
        <v>27</v>
      </c>
      <c r="E120" s="2373">
        <v>2261.75</v>
      </c>
      <c r="F120" s="2373"/>
      <c r="G120" s="2373"/>
      <c r="H120" s="2373"/>
      <c r="I120" s="2373"/>
      <c r="J120" s="2373"/>
      <c r="K120" s="2373"/>
      <c r="L120" s="2373"/>
      <c r="M120" s="2373"/>
      <c r="N120" s="2373"/>
      <c r="O120" s="2373"/>
      <c r="P120" s="2373">
        <v>2261.75</v>
      </c>
      <c r="Q120" s="2373"/>
      <c r="R120" s="2373"/>
      <c r="S120" s="2373"/>
      <c r="T120" s="2373"/>
      <c r="U120" s="2373"/>
      <c r="V120" s="2373"/>
      <c r="W120" s="2373"/>
    </row>
    <row r="121" spans="1:25" s="166" customFormat="1" ht="12.6" customHeight="1">
      <c r="A121" s="2095"/>
      <c r="B121" s="2376">
        <v>45352</v>
      </c>
      <c r="C121" s="2377"/>
      <c r="D121" s="2375" t="s">
        <v>30</v>
      </c>
      <c r="E121" s="2373">
        <v>4315</v>
      </c>
      <c r="F121" s="2373"/>
      <c r="G121" s="2373"/>
      <c r="H121" s="2373"/>
      <c r="I121" s="2373"/>
      <c r="J121" s="2373"/>
      <c r="K121" s="2373"/>
      <c r="L121" s="2373"/>
      <c r="M121" s="2373">
        <v>4315</v>
      </c>
      <c r="N121" s="2373"/>
      <c r="O121" s="2373"/>
      <c r="P121" s="2373"/>
      <c r="Q121" s="2373"/>
      <c r="R121" s="2373"/>
      <c r="S121" s="2373"/>
      <c r="T121" s="2373"/>
      <c r="U121" s="2373"/>
      <c r="V121" s="2373"/>
      <c r="W121" s="2373">
        <v>4315</v>
      </c>
    </row>
    <row r="122" spans="1:25" s="166" customFormat="1" ht="12.6" customHeight="1">
      <c r="A122" s="2095"/>
      <c r="B122" s="2376">
        <v>45352</v>
      </c>
      <c r="C122" s="2377"/>
      <c r="D122" s="2375" t="s">
        <v>1352</v>
      </c>
      <c r="E122" s="2373">
        <v>630</v>
      </c>
      <c r="F122" s="2373"/>
      <c r="G122" s="2373"/>
      <c r="H122" s="2373"/>
      <c r="I122" s="2373"/>
      <c r="J122" s="2373"/>
      <c r="K122" s="2373"/>
      <c r="L122" s="2373"/>
      <c r="M122" s="2373"/>
      <c r="N122" s="2373">
        <v>630</v>
      </c>
      <c r="O122" s="2373"/>
      <c r="P122" s="2373"/>
      <c r="Q122" s="2373"/>
      <c r="R122" s="2373"/>
      <c r="S122" s="2373"/>
      <c r="T122" s="2373"/>
      <c r="U122" s="2373"/>
      <c r="V122" s="2373"/>
      <c r="W122" s="2373"/>
    </row>
    <row r="123" spans="1:25" s="166" customFormat="1" ht="12.6" customHeight="1">
      <c r="A123" s="2095"/>
      <c r="B123" s="2376">
        <v>45352</v>
      </c>
      <c r="C123" s="2377"/>
      <c r="D123" s="2375" t="s">
        <v>126</v>
      </c>
      <c r="E123" s="2373">
        <v>45</v>
      </c>
      <c r="F123" s="2373"/>
      <c r="G123" s="2373"/>
      <c r="H123" s="2373"/>
      <c r="I123" s="2373"/>
      <c r="J123" s="2373"/>
      <c r="K123" s="2373"/>
      <c r="L123" s="2373"/>
      <c r="M123" s="2373"/>
      <c r="N123" s="2373"/>
      <c r="O123" s="2373"/>
      <c r="P123" s="2373"/>
      <c r="Q123" s="2373"/>
      <c r="R123" s="2373">
        <v>45</v>
      </c>
      <c r="S123" s="2373"/>
      <c r="T123" s="2373"/>
      <c r="U123" s="2373"/>
      <c r="V123" s="2373"/>
      <c r="W123" s="2373"/>
    </row>
    <row r="124" spans="1:25" s="166" customFormat="1" ht="12.6" customHeight="1">
      <c r="A124" s="2095"/>
      <c r="B124" s="2376">
        <v>45352</v>
      </c>
      <c r="C124" s="2377"/>
      <c r="D124" s="2375" t="s">
        <v>1687</v>
      </c>
      <c r="E124" s="2373">
        <v>70</v>
      </c>
      <c r="F124" s="2373"/>
      <c r="G124" s="2373"/>
      <c r="H124" s="2373"/>
      <c r="I124" s="2373"/>
      <c r="J124" s="2373"/>
      <c r="K124" s="2373"/>
      <c r="L124" s="2373"/>
      <c r="M124" s="2373"/>
      <c r="N124" s="2373"/>
      <c r="O124" s="2373"/>
      <c r="P124" s="2373">
        <v>70</v>
      </c>
      <c r="Q124" s="2373"/>
      <c r="R124" s="2373"/>
      <c r="S124" s="2373"/>
      <c r="T124" s="2373"/>
      <c r="U124" s="2373"/>
      <c r="V124" s="2373"/>
      <c r="W124" s="2373"/>
    </row>
    <row r="125" spans="1:25" s="166" customFormat="1" ht="12.6" customHeight="1">
      <c r="A125" s="2095"/>
      <c r="B125" s="2376">
        <v>45352</v>
      </c>
      <c r="C125" s="2377"/>
      <c r="D125" s="2375" t="s">
        <v>26</v>
      </c>
      <c r="E125" s="2373">
        <v>675.26</v>
      </c>
      <c r="F125" s="2373"/>
      <c r="G125" s="2373"/>
      <c r="H125" s="2373"/>
      <c r="I125" s="2373"/>
      <c r="J125" s="2373"/>
      <c r="K125" s="2373"/>
      <c r="L125" s="2373"/>
      <c r="M125" s="2373"/>
      <c r="N125" s="2373"/>
      <c r="O125" s="2373"/>
      <c r="P125" s="2373"/>
      <c r="Q125" s="2373"/>
      <c r="R125" s="2373"/>
      <c r="S125" s="2373"/>
      <c r="T125" s="2373"/>
      <c r="U125" s="2373"/>
      <c r="V125" s="2373">
        <v>675.26</v>
      </c>
      <c r="W125" s="2373"/>
    </row>
    <row r="126" spans="1:25" s="166" customFormat="1" ht="12.6" customHeight="1">
      <c r="A126" s="2095"/>
      <c r="B126" s="2376">
        <v>45352</v>
      </c>
      <c r="C126" s="2377"/>
      <c r="D126" s="2375" t="s">
        <v>25</v>
      </c>
      <c r="E126" s="2373">
        <v>1166.79</v>
      </c>
      <c r="F126" s="2373"/>
      <c r="G126" s="2373"/>
      <c r="H126" s="2373"/>
      <c r="I126" s="2373"/>
      <c r="J126" s="2373"/>
      <c r="K126" s="2373"/>
      <c r="L126" s="2373"/>
      <c r="M126" s="2373"/>
      <c r="N126" s="2373"/>
      <c r="O126" s="2373"/>
      <c r="P126" s="2373"/>
      <c r="Q126" s="2373">
        <v>456.32</v>
      </c>
      <c r="R126" s="2373"/>
      <c r="S126" s="2373"/>
      <c r="T126" s="2373">
        <f>199.94+300.34+200.19</f>
        <v>700.47</v>
      </c>
      <c r="U126" s="2373"/>
      <c r="V126" s="2373"/>
      <c r="W126" s="2373"/>
    </row>
    <row r="127" spans="1:25" s="166" customFormat="1" ht="12.6" customHeight="1">
      <c r="A127" s="2095"/>
      <c r="B127" s="2376">
        <v>45352</v>
      </c>
      <c r="C127" s="2377"/>
      <c r="D127" s="2375" t="s">
        <v>22</v>
      </c>
      <c r="E127" s="2373">
        <v>208</v>
      </c>
      <c r="F127" s="2373"/>
      <c r="G127" s="2373"/>
      <c r="H127" s="2373"/>
      <c r="I127" s="2373"/>
      <c r="J127" s="2373"/>
      <c r="K127" s="2373"/>
      <c r="L127" s="2373"/>
      <c r="M127" s="2373"/>
      <c r="N127" s="2373"/>
      <c r="O127" s="2373"/>
      <c r="P127" s="2373">
        <v>208</v>
      </c>
      <c r="Q127" s="2373"/>
      <c r="R127" s="2373"/>
      <c r="S127" s="2373"/>
      <c r="T127" s="2373"/>
      <c r="U127" s="2373"/>
      <c r="V127" s="2373"/>
      <c r="W127" s="2373"/>
    </row>
    <row r="128" spans="1:25" s="166" customFormat="1" ht="12.6" customHeight="1">
      <c r="A128" s="2095"/>
      <c r="B128" s="2376">
        <v>45352</v>
      </c>
      <c r="C128" s="2377"/>
      <c r="D128" s="2375" t="s">
        <v>148</v>
      </c>
      <c r="E128" s="2373">
        <f t="shared" ref="E128:E147" si="15">SUM(F128:W128)</f>
        <v>262.89999999999998</v>
      </c>
      <c r="F128" s="2373"/>
      <c r="G128" s="2373"/>
      <c r="H128" s="2373"/>
      <c r="I128" s="2373"/>
      <c r="J128" s="2373">
        <v>262.89999999999998</v>
      </c>
      <c r="K128" s="2373"/>
      <c r="L128" s="2373"/>
      <c r="M128" s="2373"/>
      <c r="N128" s="2373"/>
      <c r="O128" s="2373"/>
      <c r="P128" s="2373"/>
      <c r="Q128" s="2373"/>
      <c r="R128" s="2373"/>
      <c r="S128" s="2373"/>
      <c r="T128" s="2373"/>
      <c r="U128" s="2373"/>
      <c r="V128" s="2373"/>
      <c r="W128" s="2373"/>
    </row>
    <row r="129" spans="1:24" s="166" customFormat="1" ht="12.6" customHeight="1">
      <c r="A129" s="2095"/>
      <c r="B129" s="2376">
        <v>45352</v>
      </c>
      <c r="C129" s="2377"/>
      <c r="D129" s="2375" t="s">
        <v>1354</v>
      </c>
      <c r="E129" s="2373">
        <v>159</v>
      </c>
      <c r="F129" s="2373"/>
      <c r="G129" s="2373"/>
      <c r="H129" s="2373"/>
      <c r="I129" s="2373"/>
      <c r="J129" s="2373"/>
      <c r="K129" s="2373"/>
      <c r="L129" s="2373"/>
      <c r="M129" s="2373"/>
      <c r="N129" s="2373"/>
      <c r="O129" s="2373"/>
      <c r="P129" s="2373">
        <v>159</v>
      </c>
      <c r="Q129" s="2373"/>
      <c r="R129" s="2373"/>
      <c r="S129" s="2373"/>
      <c r="T129" s="2373"/>
      <c r="U129" s="2373"/>
      <c r="V129" s="2373"/>
      <c r="W129" s="2373"/>
    </row>
    <row r="130" spans="1:24" s="166" customFormat="1" ht="12.6" customHeight="1">
      <c r="A130" s="2095"/>
      <c r="B130" s="2376">
        <v>45352</v>
      </c>
      <c r="C130" s="2377"/>
      <c r="D130" s="2375" t="s">
        <v>21</v>
      </c>
      <c r="E130" s="2373">
        <v>465</v>
      </c>
      <c r="F130" s="2373"/>
      <c r="G130" s="2373"/>
      <c r="H130" s="2373"/>
      <c r="I130" s="2373"/>
      <c r="J130" s="2373"/>
      <c r="K130" s="2373"/>
      <c r="L130" s="2373"/>
      <c r="M130" s="2373"/>
      <c r="N130" s="2373"/>
      <c r="O130" s="2373"/>
      <c r="P130" s="2373">
        <v>465</v>
      </c>
      <c r="Q130" s="2373"/>
      <c r="R130" s="2373"/>
      <c r="S130" s="2373"/>
      <c r="T130" s="2373"/>
      <c r="U130" s="2373"/>
      <c r="V130" s="2373"/>
      <c r="W130" s="2373"/>
    </row>
    <row r="131" spans="1:24" s="166" customFormat="1" ht="12.6" customHeight="1">
      <c r="A131" s="2095"/>
      <c r="B131" s="2376">
        <v>45352</v>
      </c>
      <c r="C131" s="2377"/>
      <c r="D131" s="2375" t="s">
        <v>29</v>
      </c>
      <c r="E131" s="2373">
        <v>69</v>
      </c>
      <c r="F131" s="2373">
        <v>69</v>
      </c>
      <c r="G131" s="2373"/>
      <c r="H131" s="2373"/>
      <c r="I131" s="2373"/>
      <c r="J131" s="2373"/>
      <c r="K131" s="2373"/>
      <c r="L131" s="2373"/>
      <c r="M131" s="2373"/>
      <c r="N131" s="2373"/>
      <c r="O131" s="2373"/>
      <c r="P131" s="2373"/>
      <c r="Q131" s="2373"/>
      <c r="R131" s="2373"/>
      <c r="S131" s="2373"/>
      <c r="T131" s="2373"/>
      <c r="U131" s="2373"/>
      <c r="V131" s="2373"/>
      <c r="W131" s="2373"/>
    </row>
    <row r="132" spans="1:24" s="166" customFormat="1" ht="12.6" customHeight="1">
      <c r="A132" s="2095"/>
      <c r="B132" s="2376">
        <v>45353</v>
      </c>
      <c r="C132" s="2377"/>
      <c r="D132" s="2375" t="s">
        <v>58</v>
      </c>
      <c r="E132" s="2373">
        <v>2500</v>
      </c>
      <c r="F132" s="2373"/>
      <c r="G132" s="2373"/>
      <c r="H132" s="2373"/>
      <c r="I132" s="2373"/>
      <c r="J132" s="2373"/>
      <c r="K132" s="2373"/>
      <c r="L132" s="2373"/>
      <c r="M132" s="2373"/>
      <c r="N132" s="2373"/>
      <c r="O132" s="2373"/>
      <c r="P132" s="2373"/>
      <c r="Q132" s="2373">
        <v>2500</v>
      </c>
      <c r="R132" s="2373"/>
      <c r="S132" s="2373"/>
      <c r="T132" s="2373">
        <v>2500</v>
      </c>
      <c r="U132" s="2373"/>
      <c r="V132" s="2373"/>
      <c r="W132" s="2373"/>
      <c r="X132" s="2704"/>
    </row>
    <row r="133" spans="1:24" s="166" customFormat="1" ht="12.6" customHeight="1">
      <c r="A133" s="2095"/>
      <c r="B133" s="2376">
        <v>45355</v>
      </c>
      <c r="C133" s="2377"/>
      <c r="D133" s="2375" t="s">
        <v>1703</v>
      </c>
      <c r="E133" s="2373">
        <v>787.5</v>
      </c>
      <c r="F133" s="2373"/>
      <c r="G133" s="2373"/>
      <c r="H133" s="2373"/>
      <c r="I133" s="2373"/>
      <c r="J133" s="2373"/>
      <c r="K133" s="2373"/>
      <c r="L133" s="2373"/>
      <c r="M133" s="2373"/>
      <c r="N133" s="2373"/>
      <c r="O133" s="2373"/>
      <c r="P133" s="2373"/>
      <c r="Q133" s="2373">
        <v>787.5</v>
      </c>
      <c r="R133" s="2373"/>
      <c r="S133" s="2373"/>
      <c r="T133" s="2373"/>
      <c r="U133" s="2373"/>
      <c r="V133" s="2373"/>
      <c r="W133" s="2373"/>
      <c r="X133" s="2704"/>
    </row>
    <row r="134" spans="1:24" s="166" customFormat="1" ht="12.6" customHeight="1">
      <c r="A134" s="2095"/>
      <c r="B134" s="2376">
        <v>45355</v>
      </c>
      <c r="C134" s="2377"/>
      <c r="D134" s="2375" t="s">
        <v>675</v>
      </c>
      <c r="E134" s="2373">
        <v>344</v>
      </c>
      <c r="F134" s="2373"/>
      <c r="G134" s="2373"/>
      <c r="H134" s="2373">
        <v>30</v>
      </c>
      <c r="I134" s="2373"/>
      <c r="J134" s="2373"/>
      <c r="K134" s="2373"/>
      <c r="L134" s="2373"/>
      <c r="M134" s="2373"/>
      <c r="N134" s="2373"/>
      <c r="O134" s="2373"/>
      <c r="P134" s="2373"/>
      <c r="Q134" s="2373">
        <v>414</v>
      </c>
      <c r="R134" s="2373"/>
      <c r="S134" s="2373"/>
      <c r="T134" s="2373"/>
      <c r="U134" s="2373"/>
      <c r="V134" s="2373"/>
      <c r="W134" s="2373"/>
      <c r="X134" s="2704"/>
    </row>
    <row r="135" spans="1:24" s="166" customFormat="1" ht="12.6" customHeight="1">
      <c r="A135" s="2095"/>
      <c r="B135" s="2376">
        <v>45357</v>
      </c>
      <c r="C135" s="2377"/>
      <c r="D135" s="2375" t="s">
        <v>1495</v>
      </c>
      <c r="E135" s="2373">
        <f>SUM(F135:W135)</f>
        <v>608</v>
      </c>
      <c r="F135" s="2373">
        <f>$Y$19</f>
        <v>62</v>
      </c>
      <c r="G135" s="2373"/>
      <c r="H135" s="2373"/>
      <c r="I135" s="2373"/>
      <c r="J135" s="2373"/>
      <c r="K135" s="2373"/>
      <c r="L135" s="2373"/>
      <c r="M135" s="2373"/>
      <c r="N135" s="2373"/>
      <c r="O135" s="2373"/>
      <c r="P135" s="2373"/>
      <c r="Q135" s="2373">
        <f>$Y$20</f>
        <v>306</v>
      </c>
      <c r="R135" s="2373"/>
      <c r="S135" s="2373"/>
      <c r="T135" s="2373">
        <f>$Y$21</f>
        <v>240</v>
      </c>
      <c r="U135" s="2373"/>
      <c r="V135" s="2373"/>
      <c r="W135" s="2373"/>
      <c r="X135" s="2704"/>
    </row>
    <row r="136" spans="1:24" s="166" customFormat="1" ht="12.6" customHeight="1">
      <c r="A136" s="2095"/>
      <c r="B136" s="2376">
        <v>45359</v>
      </c>
      <c r="C136" s="2377"/>
      <c r="D136" s="2375" t="s">
        <v>1662</v>
      </c>
      <c r="E136" s="2373">
        <f t="shared" ref="E136" si="16">SUM(F136:W136)</f>
        <v>300</v>
      </c>
      <c r="F136" s="2373"/>
      <c r="G136" s="2373"/>
      <c r="H136" s="2373"/>
      <c r="I136" s="2373"/>
      <c r="J136" s="2373"/>
      <c r="K136" s="2373"/>
      <c r="L136" s="2373"/>
      <c r="M136" s="2373"/>
      <c r="N136" s="2373"/>
      <c r="O136" s="2373"/>
      <c r="P136" s="2373"/>
      <c r="Q136" s="2373">
        <v>300</v>
      </c>
      <c r="R136" s="2373"/>
      <c r="S136" s="2373"/>
      <c r="T136" s="2373"/>
      <c r="U136" s="2373"/>
      <c r="V136" s="2373"/>
      <c r="W136" s="2373"/>
      <c r="X136" s="2704"/>
    </row>
    <row r="137" spans="1:24" s="166" customFormat="1" ht="12.6" customHeight="1">
      <c r="A137" s="2095"/>
      <c r="B137" s="2376">
        <v>45365</v>
      </c>
      <c r="C137" s="2377"/>
      <c r="D137" s="2375" t="s">
        <v>583</v>
      </c>
      <c r="E137" s="2373">
        <v>50</v>
      </c>
      <c r="F137" s="2373"/>
      <c r="G137" s="2373"/>
      <c r="H137" s="2373"/>
      <c r="I137" s="2373"/>
      <c r="J137" s="2373"/>
      <c r="K137" s="2373"/>
      <c r="L137" s="2373"/>
      <c r="M137" s="2373"/>
      <c r="N137" s="2373"/>
      <c r="O137" s="2373"/>
      <c r="P137" s="2373"/>
      <c r="Q137" s="2373"/>
      <c r="R137" s="2373">
        <v>50</v>
      </c>
      <c r="S137" s="2373"/>
      <c r="T137" s="2373"/>
      <c r="U137" s="2373"/>
      <c r="V137" s="2373"/>
      <c r="W137" s="2373"/>
      <c r="X137" s="2704"/>
    </row>
    <row r="138" spans="1:24" s="166" customFormat="1" ht="12.6" customHeight="1">
      <c r="A138" s="2095"/>
      <c r="B138" s="2376">
        <v>45365</v>
      </c>
      <c r="C138" s="2377"/>
      <c r="D138" s="2375" t="s">
        <v>874</v>
      </c>
      <c r="E138" s="2373">
        <v>300</v>
      </c>
      <c r="F138" s="2373"/>
      <c r="G138" s="2373"/>
      <c r="H138" s="2373"/>
      <c r="I138" s="2373"/>
      <c r="J138" s="2373"/>
      <c r="K138" s="2373"/>
      <c r="L138" s="2373"/>
      <c r="M138" s="2373"/>
      <c r="N138" s="2373"/>
      <c r="O138" s="2373"/>
      <c r="P138" s="2373"/>
      <c r="Q138" s="2373"/>
      <c r="R138" s="2373"/>
      <c r="S138" s="2373"/>
      <c r="T138" s="2373"/>
      <c r="U138" s="2373"/>
      <c r="V138" s="2373"/>
      <c r="W138" s="2373"/>
      <c r="X138" s="2704"/>
    </row>
    <row r="139" spans="1:24" s="166" customFormat="1" ht="12.6" customHeight="1">
      <c r="A139" s="2095"/>
      <c r="B139" s="2376">
        <v>45369</v>
      </c>
      <c r="C139" s="2377"/>
      <c r="D139" s="2375" t="s">
        <v>13</v>
      </c>
      <c r="E139" s="2373">
        <v>500</v>
      </c>
      <c r="F139" s="2373"/>
      <c r="G139" s="2373"/>
      <c r="H139" s="2373"/>
      <c r="I139" s="2373"/>
      <c r="J139" s="2373"/>
      <c r="K139" s="2373"/>
      <c r="L139" s="2373"/>
      <c r="M139" s="2373"/>
      <c r="N139" s="2373"/>
      <c r="O139" s="2373"/>
      <c r="P139" s="2373"/>
      <c r="Q139" s="2373"/>
      <c r="R139" s="2373"/>
      <c r="S139" s="2373">
        <f>E139</f>
        <v>500</v>
      </c>
      <c r="T139" s="2373"/>
      <c r="U139" s="2373"/>
      <c r="V139" s="2373"/>
      <c r="W139" s="2373"/>
      <c r="X139" s="2704"/>
    </row>
    <row r="140" spans="1:24" s="166" customFormat="1" ht="12.6" customHeight="1">
      <c r="A140" s="2095"/>
      <c r="B140" s="2376">
        <v>45372</v>
      </c>
      <c r="C140" s="2377"/>
      <c r="D140" s="2375" t="s">
        <v>8</v>
      </c>
      <c r="E140" s="2373">
        <v>500</v>
      </c>
      <c r="F140" s="2373"/>
      <c r="G140" s="2373"/>
      <c r="H140" s="2373"/>
      <c r="I140" s="2373"/>
      <c r="J140" s="2373"/>
      <c r="K140" s="2373"/>
      <c r="L140" s="2373"/>
      <c r="M140" s="2373"/>
      <c r="N140" s="2373"/>
      <c r="O140" s="2373"/>
      <c r="P140" s="2373"/>
      <c r="Q140" s="2373"/>
      <c r="R140" s="2373"/>
      <c r="S140" s="2373">
        <f>E140</f>
        <v>500</v>
      </c>
      <c r="T140" s="2373"/>
      <c r="U140" s="2373"/>
      <c r="V140" s="2373"/>
      <c r="W140" s="2373"/>
      <c r="X140" s="2704"/>
    </row>
    <row r="141" spans="1:24" s="166" customFormat="1" ht="12.6" customHeight="1">
      <c r="A141" s="2095">
        <v>2.3333333333333335</v>
      </c>
      <c r="B141" s="2376"/>
      <c r="C141" s="2377"/>
      <c r="D141" s="2375" t="s">
        <v>162</v>
      </c>
      <c r="E141" s="2373">
        <v>89</v>
      </c>
      <c r="F141" s="2373"/>
      <c r="G141" s="2373"/>
      <c r="H141" s="2373"/>
      <c r="I141" s="2373"/>
      <c r="J141" s="2373"/>
      <c r="K141" s="2373"/>
      <c r="L141" s="2373"/>
      <c r="M141" s="2373"/>
      <c r="N141" s="2373"/>
      <c r="O141" s="2373"/>
      <c r="P141" s="2373"/>
      <c r="Q141" s="2373">
        <v>89</v>
      </c>
      <c r="R141" s="2373"/>
      <c r="S141" s="2373"/>
      <c r="T141" s="2373"/>
      <c r="U141" s="2373"/>
      <c r="V141" s="2373"/>
      <c r="W141" s="2373"/>
      <c r="X141" s="2704"/>
    </row>
    <row r="142" spans="1:24" s="166" customFormat="1" ht="12.6" customHeight="1">
      <c r="A142" s="2095"/>
      <c r="B142" s="2376"/>
      <c r="C142" s="2377"/>
      <c r="D142" s="2375" t="s">
        <v>42</v>
      </c>
      <c r="E142" s="2373">
        <f t="shared" si="15"/>
        <v>2093</v>
      </c>
      <c r="F142" s="2373"/>
      <c r="G142" s="2373"/>
      <c r="H142" s="2373">
        <f>171+188.5+216+163.95+195+21+165+146+172.9+240.7+35.9+43.6+131.45</f>
        <v>1891.0000000000002</v>
      </c>
      <c r="I142" s="2373"/>
      <c r="J142" s="2373"/>
      <c r="K142" s="2373"/>
      <c r="L142" s="2373"/>
      <c r="M142" s="2373"/>
      <c r="N142" s="2373"/>
      <c r="O142" s="2373"/>
      <c r="P142" s="2373"/>
      <c r="Q142" s="2373"/>
      <c r="R142" s="2373"/>
      <c r="S142" s="2373"/>
      <c r="T142" s="2373"/>
      <c r="U142" s="2373">
        <v>202</v>
      </c>
      <c r="V142" s="2373"/>
      <c r="W142" s="2373"/>
    </row>
    <row r="143" spans="1:24" s="166" customFormat="1" ht="12.6" customHeight="1">
      <c r="A143" s="2095"/>
      <c r="B143" s="2376"/>
      <c r="C143" s="2377"/>
      <c r="D143" s="2375" t="s">
        <v>41</v>
      </c>
      <c r="E143" s="2373">
        <f t="shared" si="15"/>
        <v>0</v>
      </c>
      <c r="F143" s="2373"/>
      <c r="G143" s="2373"/>
      <c r="H143" s="2373"/>
      <c r="I143" s="2373"/>
      <c r="J143" s="2373"/>
      <c r="K143" s="2373"/>
      <c r="L143" s="2373"/>
      <c r="M143" s="2373"/>
      <c r="N143" s="2373"/>
      <c r="O143" s="2373"/>
      <c r="P143" s="2373"/>
      <c r="Q143" s="2373"/>
      <c r="R143" s="2373"/>
      <c r="S143" s="2373"/>
      <c r="T143" s="2373"/>
      <c r="U143" s="2373"/>
      <c r="V143" s="2373"/>
      <c r="W143" s="2373"/>
    </row>
    <row r="144" spans="1:24" s="166" customFormat="1" ht="12.6" customHeight="1">
      <c r="A144" s="2095"/>
      <c r="B144" s="2376"/>
      <c r="C144" s="2377"/>
      <c r="D144" s="2375" t="s">
        <v>1348</v>
      </c>
      <c r="E144" s="2373">
        <f t="shared" si="15"/>
        <v>1129.4499999999998</v>
      </c>
      <c r="F144" s="2373"/>
      <c r="G144" s="2373"/>
      <c r="H144" s="2373">
        <f>57.9+16.95+21.9+21.9+140+40.9+59.9</f>
        <v>359.44999999999993</v>
      </c>
      <c r="I144" s="2373"/>
      <c r="J144" s="2373"/>
      <c r="K144" s="2373">
        <v>620</v>
      </c>
      <c r="L144" s="2373"/>
      <c r="M144" s="2373"/>
      <c r="N144" s="2373"/>
      <c r="O144" s="2373"/>
      <c r="P144" s="2373"/>
      <c r="Q144" s="2373"/>
      <c r="R144" s="2373"/>
      <c r="S144" s="2373">
        <v>150</v>
      </c>
      <c r="T144" s="2373"/>
      <c r="U144" s="2373"/>
      <c r="V144" s="2373"/>
      <c r="W144" s="2373"/>
    </row>
    <row r="145" spans="1:29" s="166" customFormat="1" ht="12.6" customHeight="1">
      <c r="A145" s="2095"/>
      <c r="B145" s="2376"/>
      <c r="C145" s="2377"/>
      <c r="D145" s="2375" t="s">
        <v>39</v>
      </c>
      <c r="E145" s="2373">
        <f t="shared" si="15"/>
        <v>0</v>
      </c>
      <c r="F145" s="2373"/>
      <c r="G145" s="2373"/>
      <c r="H145" s="2373"/>
      <c r="I145" s="2373"/>
      <c r="J145" s="2373"/>
      <c r="K145" s="2373"/>
      <c r="L145" s="2373"/>
      <c r="M145" s="2373"/>
      <c r="N145" s="2373"/>
      <c r="O145" s="2373"/>
      <c r="P145" s="2373"/>
      <c r="Q145" s="2373"/>
      <c r="R145" s="2373"/>
      <c r="S145" s="2373"/>
      <c r="T145" s="2373"/>
      <c r="U145" s="2373"/>
      <c r="V145" s="2373"/>
      <c r="W145" s="2373"/>
    </row>
    <row r="146" spans="1:29" s="166" customFormat="1" ht="12.6" customHeight="1">
      <c r="A146" s="2095"/>
      <c r="B146" s="2376"/>
      <c r="C146" s="2377"/>
      <c r="D146" s="2375" t="s">
        <v>123</v>
      </c>
      <c r="E146" s="2373">
        <f t="shared" si="15"/>
        <v>0</v>
      </c>
      <c r="F146" s="2373"/>
      <c r="G146" s="2373"/>
      <c r="H146" s="2373"/>
      <c r="I146" s="2373"/>
      <c r="J146" s="2373"/>
      <c r="K146" s="2373"/>
      <c r="L146" s="2373"/>
      <c r="M146" s="2373"/>
      <c r="N146" s="2373"/>
      <c r="O146" s="2373"/>
      <c r="P146" s="2373"/>
      <c r="Q146" s="2373"/>
      <c r="R146" s="2373"/>
      <c r="S146" s="2373"/>
      <c r="T146" s="2373"/>
      <c r="U146" s="2373"/>
      <c r="V146" s="2373"/>
      <c r="W146" s="2373"/>
    </row>
    <row r="147" spans="1:29" s="166" customFormat="1" ht="12.6" customHeight="1">
      <c r="A147" s="2095"/>
      <c r="B147" s="2376"/>
      <c r="C147" s="2377"/>
      <c r="D147" s="2375" t="s">
        <v>37</v>
      </c>
      <c r="E147" s="2373">
        <f t="shared" si="15"/>
        <v>0</v>
      </c>
      <c r="F147" s="2373"/>
      <c r="G147" s="2373"/>
      <c r="H147" s="2373"/>
      <c r="I147" s="2373"/>
      <c r="J147" s="2373"/>
      <c r="K147" s="2373"/>
      <c r="L147" s="2373"/>
      <c r="M147" s="2373"/>
      <c r="N147" s="2373"/>
      <c r="O147" s="2373"/>
      <c r="P147" s="2373"/>
      <c r="Q147" s="2373"/>
      <c r="R147" s="2373"/>
      <c r="S147" s="2373"/>
      <c r="T147" s="2373"/>
      <c r="U147" s="2373"/>
      <c r="V147" s="2373"/>
      <c r="W147" s="2373"/>
      <c r="X147" s="2103"/>
      <c r="Y147" s="2103"/>
    </row>
    <row r="148" spans="1:29" s="2103" customFormat="1" ht="24" customHeight="1">
      <c r="A148" s="2317"/>
      <c r="B148" s="2862">
        <v>30</v>
      </c>
      <c r="C148" s="2862"/>
      <c r="D148" s="2862"/>
      <c r="E148" s="2372">
        <f>SUM(E155+E186)</f>
        <v>19730.47</v>
      </c>
      <c r="F148" s="2372">
        <f t="shared" ref="F148:W148" si="17">SUM(F155+F186)</f>
        <v>550</v>
      </c>
      <c r="G148" s="2372">
        <f t="shared" si="17"/>
        <v>1825</v>
      </c>
      <c r="H148" s="2372">
        <f t="shared" si="17"/>
        <v>4212.49</v>
      </c>
      <c r="I148" s="2372">
        <f t="shared" si="17"/>
        <v>711.65</v>
      </c>
      <c r="J148" s="2372">
        <f t="shared" si="17"/>
        <v>20.05</v>
      </c>
      <c r="K148" s="2372">
        <f t="shared" si="17"/>
        <v>640</v>
      </c>
      <c r="L148" s="2372">
        <f t="shared" si="17"/>
        <v>0</v>
      </c>
      <c r="M148" s="2372">
        <f t="shared" si="17"/>
        <v>4315</v>
      </c>
      <c r="N148" s="2372">
        <f t="shared" si="17"/>
        <v>630</v>
      </c>
      <c r="O148" s="2372">
        <f t="shared" si="17"/>
        <v>0</v>
      </c>
      <c r="P148" s="2372">
        <f t="shared" si="17"/>
        <v>1510.75</v>
      </c>
      <c r="Q148" s="2372">
        <f t="shared" si="17"/>
        <v>1629.79</v>
      </c>
      <c r="R148" s="2372">
        <f t="shared" si="17"/>
        <v>252</v>
      </c>
      <c r="S148" s="2372">
        <f t="shared" si="17"/>
        <v>0</v>
      </c>
      <c r="T148" s="2372">
        <f t="shared" si="17"/>
        <v>2801.2799999999997</v>
      </c>
      <c r="U148" s="2372">
        <f t="shared" si="17"/>
        <v>0</v>
      </c>
      <c r="V148" s="2372">
        <f t="shared" si="17"/>
        <v>3055.04</v>
      </c>
      <c r="W148" s="2372">
        <f t="shared" si="17"/>
        <v>21575</v>
      </c>
      <c r="X148" s="2452"/>
      <c r="Y148" s="996"/>
      <c r="Z148" s="2452"/>
      <c r="AA148" s="996"/>
      <c r="AB148" s="2452"/>
      <c r="AC148" s="996"/>
    </row>
    <row r="149" spans="1:29" s="166" customFormat="1" ht="12.6" customHeight="1">
      <c r="A149" s="2095"/>
      <c r="B149" s="2856" t="s">
        <v>290</v>
      </c>
      <c r="C149" s="2856"/>
      <c r="D149" s="2856"/>
      <c r="E149" s="2847">
        <f>SUM(E150:E154)</f>
        <v>20515.37</v>
      </c>
      <c r="F149" s="2847"/>
      <c r="G149" s="2847"/>
      <c r="H149" s="2847"/>
      <c r="I149" s="2847"/>
      <c r="J149" s="2847"/>
      <c r="K149" s="2847"/>
      <c r="L149" s="2847"/>
      <c r="M149" s="2847"/>
      <c r="N149" s="2847"/>
      <c r="O149" s="2847"/>
      <c r="P149" s="2847"/>
      <c r="Q149" s="2847"/>
      <c r="R149" s="2847"/>
      <c r="S149" s="2847"/>
      <c r="T149" s="2847"/>
      <c r="U149" s="2847"/>
      <c r="V149" s="2847"/>
      <c r="W149" s="2847"/>
      <c r="Z149" s="2452"/>
      <c r="AA149" s="996"/>
      <c r="AB149" s="2452"/>
      <c r="AC149" s="996"/>
    </row>
    <row r="150" spans="1:29" s="2103" customFormat="1" ht="12.6" customHeight="1">
      <c r="A150" s="2097"/>
      <c r="B150" s="2856"/>
      <c r="C150" s="2856"/>
      <c r="D150" s="2856"/>
      <c r="E150" s="2847"/>
      <c r="F150" s="2847"/>
      <c r="G150" s="2847"/>
      <c r="H150" s="2847"/>
      <c r="I150" s="2847"/>
      <c r="J150" s="2847"/>
      <c r="K150" s="2847"/>
      <c r="L150" s="2847"/>
      <c r="M150" s="2847"/>
      <c r="N150" s="2847"/>
      <c r="O150" s="2847"/>
      <c r="P150" s="2847"/>
      <c r="Q150" s="2847"/>
      <c r="R150" s="2847"/>
      <c r="S150" s="2847"/>
      <c r="T150" s="2847"/>
      <c r="U150" s="2847"/>
      <c r="V150" s="2847"/>
      <c r="W150" s="2847"/>
      <c r="X150" s="2102"/>
      <c r="Y150" s="2102"/>
      <c r="Z150" s="166"/>
      <c r="AA150" s="166"/>
      <c r="AB150" s="166"/>
      <c r="AC150" s="166"/>
    </row>
    <row r="151" spans="1:29" s="995" customFormat="1" ht="12.6" customHeight="1">
      <c r="A151" s="991"/>
      <c r="B151" s="2321">
        <v>45378</v>
      </c>
      <c r="C151" s="2379"/>
      <c r="D151" s="2378" t="s">
        <v>35</v>
      </c>
      <c r="E151" s="2369">
        <v>12214</v>
      </c>
      <c r="F151" s="2369"/>
      <c r="G151" s="2369"/>
      <c r="H151" s="2369"/>
      <c r="I151" s="2369"/>
      <c r="J151" s="2369"/>
      <c r="K151" s="2369"/>
      <c r="L151" s="2369"/>
      <c r="M151" s="2369"/>
      <c r="N151" s="2369"/>
      <c r="O151" s="2369"/>
      <c r="P151" s="2369"/>
      <c r="Q151" s="2369"/>
      <c r="R151" s="2369"/>
      <c r="S151" s="2369"/>
      <c r="T151" s="2369"/>
      <c r="U151" s="2369"/>
      <c r="V151" s="2369"/>
      <c r="W151" s="2369"/>
      <c r="X151" s="2102"/>
      <c r="Y151" s="2102"/>
      <c r="Z151" s="2102"/>
      <c r="AA151" s="2102"/>
      <c r="AB151" s="2102"/>
      <c r="AC151" s="2102"/>
    </row>
    <row r="152" spans="1:29" s="995" customFormat="1" ht="12.6" customHeight="1">
      <c r="A152" s="991"/>
      <c r="B152" s="2321">
        <v>45290</v>
      </c>
      <c r="C152" s="2379"/>
      <c r="D152" s="2378" t="s">
        <v>34</v>
      </c>
      <c r="E152" s="2369">
        <v>8108</v>
      </c>
      <c r="F152" s="2369"/>
      <c r="G152" s="2369"/>
      <c r="H152" s="2369"/>
      <c r="I152" s="2369"/>
      <c r="J152" s="2369"/>
      <c r="K152" s="2369"/>
      <c r="L152" s="2369"/>
      <c r="M152" s="2369"/>
      <c r="N152" s="2369"/>
      <c r="O152" s="2369"/>
      <c r="P152" s="2369"/>
      <c r="Q152" s="2369"/>
      <c r="R152" s="2369"/>
      <c r="S152" s="2369"/>
      <c r="T152" s="2369"/>
      <c r="U152" s="2369"/>
      <c r="V152" s="2369"/>
      <c r="W152" s="2369"/>
      <c r="X152" s="2102"/>
      <c r="Y152" s="2102"/>
      <c r="Z152" s="2102"/>
      <c r="AA152" s="2102"/>
      <c r="AB152" s="2102"/>
      <c r="AC152" s="2102"/>
    </row>
    <row r="153" spans="1:29" s="995" customFormat="1" ht="12.6" customHeight="1">
      <c r="A153" s="991"/>
      <c r="B153" s="2321">
        <v>45292</v>
      </c>
      <c r="C153" s="2379"/>
      <c r="D153" s="2378" t="s">
        <v>33</v>
      </c>
      <c r="E153" s="2369">
        <v>202</v>
      </c>
      <c r="F153" s="2369"/>
      <c r="G153" s="2369"/>
      <c r="H153" s="2369"/>
      <c r="I153" s="2369"/>
      <c r="J153" s="2369"/>
      <c r="K153" s="2369"/>
      <c r="L153" s="2369"/>
      <c r="M153" s="2369"/>
      <c r="N153" s="2369"/>
      <c r="O153" s="2369"/>
      <c r="P153" s="2369"/>
      <c r="Q153" s="2369"/>
      <c r="R153" s="2369"/>
      <c r="S153" s="2369"/>
      <c r="T153" s="2369"/>
      <c r="U153" s="2369"/>
      <c r="V153" s="2369"/>
      <c r="W153" s="2369"/>
      <c r="X153" s="2102"/>
      <c r="Y153" s="2102"/>
      <c r="Z153" s="2102"/>
      <c r="AA153" s="2102"/>
      <c r="AB153" s="2102"/>
      <c r="AC153" s="2102"/>
    </row>
    <row r="154" spans="1:29" s="995" customFormat="1" ht="12.6" customHeight="1">
      <c r="A154" s="991"/>
      <c r="B154" s="2710">
        <v>45380</v>
      </c>
      <c r="C154" s="2710"/>
      <c r="D154" s="2711" t="s">
        <v>1349</v>
      </c>
      <c r="E154" s="2712">
        <v>-8.6300000000000008</v>
      </c>
      <c r="F154" s="2712"/>
      <c r="G154" s="2712"/>
      <c r="H154" s="2712"/>
      <c r="I154" s="2712"/>
      <c r="J154" s="2712"/>
      <c r="K154" s="2712"/>
      <c r="L154" s="2712"/>
      <c r="M154" s="2712"/>
      <c r="N154" s="2712"/>
      <c r="O154" s="2712"/>
      <c r="P154" s="2712"/>
      <c r="Q154" s="2712"/>
      <c r="R154" s="2712"/>
      <c r="S154" s="2712"/>
      <c r="T154" s="2712"/>
      <c r="U154" s="2712"/>
      <c r="V154" s="2712"/>
      <c r="W154" s="2712"/>
      <c r="X154" s="2102"/>
      <c r="Y154" s="2102"/>
      <c r="Z154" s="2102"/>
      <c r="AA154" s="2102"/>
      <c r="AB154" s="2102"/>
      <c r="AC154" s="2102"/>
    </row>
    <row r="155" spans="1:29" s="2103" customFormat="1" ht="12.6" customHeight="1">
      <c r="A155" s="2097"/>
      <c r="B155" s="2867" t="s">
        <v>289</v>
      </c>
      <c r="C155" s="2867"/>
      <c r="D155" s="2867"/>
      <c r="E155" s="2838">
        <f>SUM(E156:E185)</f>
        <v>19730.47</v>
      </c>
      <c r="F155" s="2838">
        <f t="shared" ref="F155:W155" si="18">SUM(F156:F185)</f>
        <v>550</v>
      </c>
      <c r="G155" s="2838">
        <f t="shared" si="18"/>
        <v>1825</v>
      </c>
      <c r="H155" s="2838">
        <f t="shared" si="18"/>
        <v>4212.49</v>
      </c>
      <c r="I155" s="2838">
        <f t="shared" si="18"/>
        <v>711.65</v>
      </c>
      <c r="J155" s="2838">
        <f t="shared" si="18"/>
        <v>20.05</v>
      </c>
      <c r="K155" s="2838">
        <f t="shared" si="18"/>
        <v>640</v>
      </c>
      <c r="L155" s="2838">
        <f t="shared" si="18"/>
        <v>0</v>
      </c>
      <c r="M155" s="2838">
        <f t="shared" si="18"/>
        <v>4315</v>
      </c>
      <c r="N155" s="2838">
        <f t="shared" si="18"/>
        <v>630</v>
      </c>
      <c r="O155" s="2838">
        <f t="shared" si="18"/>
        <v>0</v>
      </c>
      <c r="P155" s="2838">
        <f t="shared" si="18"/>
        <v>1510.75</v>
      </c>
      <c r="Q155" s="2838">
        <f t="shared" si="18"/>
        <v>1629.79</v>
      </c>
      <c r="R155" s="2838">
        <f t="shared" si="18"/>
        <v>252</v>
      </c>
      <c r="S155" s="2838">
        <f t="shared" si="18"/>
        <v>0</v>
      </c>
      <c r="T155" s="2838">
        <f t="shared" si="18"/>
        <v>2801.2799999999997</v>
      </c>
      <c r="U155" s="2838">
        <f t="shared" si="18"/>
        <v>0</v>
      </c>
      <c r="V155" s="2838">
        <f t="shared" si="18"/>
        <v>644.67999999999995</v>
      </c>
      <c r="W155" s="2838">
        <f t="shared" si="18"/>
        <v>4315</v>
      </c>
      <c r="X155" s="2102"/>
      <c r="Y155" s="2102"/>
      <c r="Z155" s="2102"/>
      <c r="AA155" s="2102"/>
      <c r="AB155" s="2102"/>
      <c r="AC155" s="2102"/>
    </row>
    <row r="156" spans="1:29" s="995" customFormat="1" ht="12.6" customHeight="1">
      <c r="A156" s="991"/>
      <c r="B156" s="2863"/>
      <c r="C156" s="2863"/>
      <c r="D156" s="2863"/>
      <c r="E156" s="2839"/>
      <c r="F156" s="2839"/>
      <c r="G156" s="2839"/>
      <c r="H156" s="2839"/>
      <c r="I156" s="2839"/>
      <c r="J156" s="2839"/>
      <c r="K156" s="2839"/>
      <c r="L156" s="2839"/>
      <c r="M156" s="2839"/>
      <c r="N156" s="2839"/>
      <c r="O156" s="2839"/>
      <c r="P156" s="2839"/>
      <c r="Q156" s="2839"/>
      <c r="R156" s="2839"/>
      <c r="S156" s="2839"/>
      <c r="T156" s="2839"/>
      <c r="U156" s="2839"/>
      <c r="V156" s="2839"/>
      <c r="W156" s="2839"/>
      <c r="X156" s="2102"/>
      <c r="Y156" s="2102"/>
      <c r="Z156" s="2102"/>
      <c r="AA156" s="2102"/>
      <c r="AB156" s="2102"/>
      <c r="AC156" s="2102"/>
    </row>
    <row r="157" spans="1:29" s="166" customFormat="1" ht="12.6" customHeight="1">
      <c r="A157" s="2095"/>
      <c r="B157" s="2376">
        <v>45382</v>
      </c>
      <c r="C157" s="2377"/>
      <c r="D157" s="2375" t="s">
        <v>1466</v>
      </c>
      <c r="E157" s="2373">
        <f>SUM(F157:W157)</f>
        <v>778</v>
      </c>
      <c r="F157" s="2373">
        <f>$V$7</f>
        <v>419</v>
      </c>
      <c r="G157" s="2373"/>
      <c r="H157" s="2373"/>
      <c r="I157" s="2373"/>
      <c r="J157" s="2373"/>
      <c r="K157" s="2373"/>
      <c r="L157" s="2373"/>
      <c r="M157" s="2373"/>
      <c r="N157" s="2373"/>
      <c r="O157" s="2373"/>
      <c r="P157" s="2373"/>
      <c r="Q157" s="2373"/>
      <c r="R157" s="2373"/>
      <c r="S157" s="2373"/>
      <c r="T157" s="2373">
        <f>$V$8</f>
        <v>359</v>
      </c>
      <c r="U157" s="2373"/>
      <c r="V157" s="2373"/>
      <c r="W157" s="2373"/>
      <c r="X157" s="105"/>
      <c r="Y157" s="105"/>
      <c r="Z157" s="2102"/>
      <c r="AA157" s="2102"/>
      <c r="AB157" s="2102"/>
      <c r="AC157" s="2102"/>
    </row>
    <row r="158" spans="1:29" s="166" customFormat="1" ht="12.6" customHeight="1">
      <c r="A158" s="2095"/>
      <c r="B158" s="2376">
        <v>45379</v>
      </c>
      <c r="C158" s="2377"/>
      <c r="D158" s="2375" t="s">
        <v>1646</v>
      </c>
      <c r="E158" s="2373">
        <v>29</v>
      </c>
      <c r="F158" s="2373"/>
      <c r="G158" s="2373"/>
      <c r="H158" s="2373"/>
      <c r="I158" s="2373"/>
      <c r="J158" s="2373"/>
      <c r="K158" s="2373"/>
      <c r="L158" s="2373"/>
      <c r="M158" s="2373"/>
      <c r="N158" s="2373"/>
      <c r="O158" s="2373"/>
      <c r="P158" s="2373"/>
      <c r="Q158" s="2373">
        <v>29</v>
      </c>
      <c r="R158" s="2373"/>
      <c r="S158" s="2373"/>
      <c r="T158" s="2373"/>
      <c r="U158" s="2373"/>
      <c r="V158" s="2373"/>
      <c r="W158" s="2373"/>
      <c r="X158" s="105"/>
      <c r="Y158" s="105"/>
      <c r="Z158" s="2102"/>
      <c r="AA158" s="2102"/>
      <c r="AB158" s="2102"/>
      <c r="AC158" s="2102"/>
    </row>
    <row r="159" spans="1:29" s="166" customFormat="1" ht="12.6" customHeight="1">
      <c r="A159" s="2095"/>
      <c r="B159" s="2376">
        <v>45379</v>
      </c>
      <c r="C159" s="2377"/>
      <c r="D159" s="2375" t="s">
        <v>1656</v>
      </c>
      <c r="E159" s="2373">
        <v>137</v>
      </c>
      <c r="F159" s="2373"/>
      <c r="G159" s="2373"/>
      <c r="H159" s="2373"/>
      <c r="I159" s="2373"/>
      <c r="J159" s="2373"/>
      <c r="K159" s="2373"/>
      <c r="L159" s="2373"/>
      <c r="M159" s="2373"/>
      <c r="N159" s="2373"/>
      <c r="O159" s="2373"/>
      <c r="P159" s="2373"/>
      <c r="Q159" s="2373"/>
      <c r="R159" s="2373">
        <f>50+240-75-78</f>
        <v>137</v>
      </c>
      <c r="S159" s="2373"/>
      <c r="T159" s="2373"/>
      <c r="U159" s="2373"/>
      <c r="V159" s="2373"/>
      <c r="W159" s="2373"/>
      <c r="X159" s="105"/>
      <c r="Y159" s="105"/>
      <c r="Z159" s="2102"/>
      <c r="AA159" s="2102"/>
      <c r="AB159" s="2102"/>
      <c r="AC159" s="2102"/>
    </row>
    <row r="160" spans="1:29" s="166" customFormat="1" ht="12.6" customHeight="1">
      <c r="A160" s="2095"/>
      <c r="B160" s="2376">
        <v>30.3</v>
      </c>
      <c r="C160" s="2377"/>
      <c r="D160" s="2375" t="s">
        <v>162</v>
      </c>
      <c r="E160" s="2373">
        <v>99</v>
      </c>
      <c r="F160" s="2373"/>
      <c r="G160" s="2373">
        <v>99</v>
      </c>
      <c r="H160" s="2373"/>
      <c r="I160" s="2373"/>
      <c r="J160" s="2373"/>
      <c r="K160" s="2373"/>
      <c r="L160" s="2373"/>
      <c r="M160" s="2373"/>
      <c r="N160" s="2373"/>
      <c r="O160" s="2373"/>
      <c r="P160" s="2373"/>
      <c r="Q160" s="2373"/>
      <c r="R160" s="2373"/>
      <c r="S160" s="2373"/>
      <c r="T160" s="2373"/>
      <c r="U160" s="2373"/>
      <c r="V160" s="2373"/>
      <c r="W160" s="2373"/>
      <c r="X160" s="105"/>
      <c r="Y160" s="105"/>
      <c r="Z160" s="2102"/>
      <c r="AA160" s="2102"/>
      <c r="AB160" s="2102"/>
      <c r="AC160" s="2102"/>
    </row>
    <row r="161" spans="1:29" s="166" customFormat="1" ht="12.6" customHeight="1">
      <c r="A161" s="2095"/>
      <c r="B161" s="2376">
        <v>45382</v>
      </c>
      <c r="C161" s="2377"/>
      <c r="D161" s="2375" t="s">
        <v>1354</v>
      </c>
      <c r="E161" s="2373">
        <v>159</v>
      </c>
      <c r="F161" s="2373"/>
      <c r="G161" s="2373"/>
      <c r="H161" s="2373"/>
      <c r="I161" s="2373"/>
      <c r="J161" s="2373"/>
      <c r="K161" s="2373"/>
      <c r="L161" s="2373"/>
      <c r="M161" s="2373"/>
      <c r="N161" s="2373"/>
      <c r="O161" s="2373"/>
      <c r="P161" s="2373"/>
      <c r="Q161" s="2373">
        <v>159</v>
      </c>
      <c r="R161" s="2373"/>
      <c r="S161" s="2373"/>
      <c r="T161" s="2373"/>
      <c r="U161" s="2373"/>
      <c r="V161" s="2373"/>
      <c r="W161" s="2373"/>
      <c r="X161" s="105"/>
      <c r="Y161" s="105"/>
      <c r="Z161" s="2102"/>
      <c r="AA161" s="2102"/>
      <c r="AB161" s="2102"/>
      <c r="AC161" s="2102"/>
    </row>
    <row r="162" spans="1:29" s="166" customFormat="1" ht="12.6" customHeight="1">
      <c r="A162" s="2095"/>
      <c r="B162" s="2376">
        <v>45383</v>
      </c>
      <c r="C162" s="2377"/>
      <c r="D162" s="2375" t="s">
        <v>29</v>
      </c>
      <c r="E162" s="2373">
        <f>SUM(F162:W162)</f>
        <v>69</v>
      </c>
      <c r="F162" s="2373">
        <f>$U$1</f>
        <v>69</v>
      </c>
      <c r="G162" s="2373"/>
      <c r="H162" s="2373"/>
      <c r="I162" s="2373"/>
      <c r="J162" s="2373"/>
      <c r="K162" s="2373"/>
      <c r="L162" s="2373"/>
      <c r="M162" s="2373"/>
      <c r="N162" s="2373"/>
      <c r="O162" s="2373"/>
      <c r="P162" s="2373"/>
      <c r="Q162" s="2373"/>
      <c r="R162" s="2373"/>
      <c r="S162" s="2373"/>
      <c r="T162" s="2373"/>
      <c r="U162" s="2373"/>
      <c r="V162" s="2373"/>
      <c r="W162" s="2373"/>
      <c r="X162" s="105"/>
      <c r="Y162" s="105"/>
      <c r="Z162" s="2102"/>
      <c r="AA162" s="2102"/>
      <c r="AB162" s="2102"/>
      <c r="AC162" s="2102"/>
    </row>
    <row r="163" spans="1:29" s="166" customFormat="1" ht="12.6" customHeight="1">
      <c r="A163" s="2095"/>
      <c r="B163" s="2376">
        <v>45383</v>
      </c>
      <c r="C163" s="2377"/>
      <c r="D163" s="2375" t="s">
        <v>22</v>
      </c>
      <c r="E163" s="2373">
        <f>SUM(F163:W163)</f>
        <v>208</v>
      </c>
      <c r="F163" s="2373"/>
      <c r="G163" s="2373"/>
      <c r="H163" s="2373"/>
      <c r="I163" s="2373"/>
      <c r="J163" s="2373"/>
      <c r="K163" s="2373"/>
      <c r="L163" s="2373"/>
      <c r="M163" s="2373"/>
      <c r="N163" s="2373"/>
      <c r="O163" s="2373"/>
      <c r="P163" s="2373">
        <f>$Y$11</f>
        <v>208</v>
      </c>
      <c r="Q163" s="2373"/>
      <c r="R163" s="2373"/>
      <c r="S163" s="2373"/>
      <c r="T163" s="2373"/>
      <c r="U163" s="2373"/>
      <c r="V163" s="2373"/>
      <c r="W163" s="2373"/>
      <c r="X163" s="105"/>
      <c r="Y163" s="105"/>
      <c r="Z163" s="2102"/>
      <c r="AA163" s="2102"/>
      <c r="AB163" s="2102"/>
      <c r="AC163" s="2102"/>
    </row>
    <row r="164" spans="1:29" s="166" customFormat="1" ht="12.6" customHeight="1">
      <c r="A164" s="2095"/>
      <c r="B164" s="2376">
        <v>45384</v>
      </c>
      <c r="C164" s="2377"/>
      <c r="D164" s="2375" t="s">
        <v>21</v>
      </c>
      <c r="E164" s="2373">
        <f>SUM(F164:W164)</f>
        <v>465</v>
      </c>
      <c r="F164" s="2373"/>
      <c r="G164" s="2373"/>
      <c r="H164" s="2373"/>
      <c r="I164" s="2373"/>
      <c r="J164" s="2373"/>
      <c r="K164" s="2373"/>
      <c r="L164" s="2373"/>
      <c r="M164" s="2373"/>
      <c r="N164" s="2373"/>
      <c r="O164" s="2373"/>
      <c r="P164" s="2373">
        <f>$W$1</f>
        <v>465</v>
      </c>
      <c r="Q164" s="2373"/>
      <c r="R164" s="2373"/>
      <c r="S164" s="2373"/>
      <c r="T164" s="2373"/>
      <c r="U164" s="2373"/>
      <c r="V164" s="2373"/>
      <c r="W164" s="2373"/>
      <c r="X164" s="105"/>
      <c r="Y164" s="105"/>
      <c r="Z164" s="2102"/>
      <c r="AA164" s="2102"/>
      <c r="AB164" s="2102"/>
      <c r="AC164" s="2102"/>
    </row>
    <row r="165" spans="1:29" s="166" customFormat="1" ht="12.6" customHeight="1">
      <c r="A165" s="2095"/>
      <c r="B165" s="2376">
        <v>45383</v>
      </c>
      <c r="C165" s="2377"/>
      <c r="D165" s="2375" t="s">
        <v>26</v>
      </c>
      <c r="E165" s="2373">
        <v>644.67999999999995</v>
      </c>
      <c r="F165" s="2373"/>
      <c r="G165" s="2373"/>
      <c r="H165" s="2373"/>
      <c r="I165" s="2373"/>
      <c r="J165" s="2373"/>
      <c r="K165" s="2373"/>
      <c r="L165" s="2373"/>
      <c r="M165" s="2373"/>
      <c r="N165" s="2373"/>
      <c r="O165" s="2373"/>
      <c r="P165" s="2373"/>
      <c r="Q165" s="2373"/>
      <c r="R165" s="2373"/>
      <c r="S165" s="2373"/>
      <c r="T165" s="2373"/>
      <c r="U165" s="2373"/>
      <c r="V165" s="2373">
        <v>644.67999999999995</v>
      </c>
      <c r="W165" s="2373"/>
      <c r="X165" s="105"/>
      <c r="Y165" s="105"/>
      <c r="Z165" s="2102"/>
      <c r="AA165" s="2102"/>
      <c r="AB165" s="2102"/>
      <c r="AC165" s="2102"/>
    </row>
    <row r="166" spans="1:29" s="166" customFormat="1" ht="12.6" customHeight="1">
      <c r="A166" s="2095"/>
      <c r="B166" s="2376">
        <v>45383</v>
      </c>
      <c r="C166" s="2377"/>
      <c r="D166" s="2375" t="s">
        <v>126</v>
      </c>
      <c r="E166" s="2373">
        <f>SUM(F166:W166)</f>
        <v>45</v>
      </c>
      <c r="F166" s="2373"/>
      <c r="G166" s="2373"/>
      <c r="H166" s="2373"/>
      <c r="I166" s="2373"/>
      <c r="J166" s="2373"/>
      <c r="K166" s="2373"/>
      <c r="L166" s="2373"/>
      <c r="M166" s="2373"/>
      <c r="N166" s="2373"/>
      <c r="O166" s="2373"/>
      <c r="P166" s="2373"/>
      <c r="Q166" s="2373"/>
      <c r="R166" s="2373">
        <f>$X$5</f>
        <v>45</v>
      </c>
      <c r="S166" s="2373"/>
      <c r="T166" s="2373"/>
      <c r="U166" s="2373"/>
      <c r="V166" s="2373"/>
      <c r="W166" s="2373"/>
      <c r="X166" s="105"/>
      <c r="Y166" s="105"/>
      <c r="Z166" s="2102"/>
      <c r="AA166" s="2102"/>
      <c r="AB166" s="2102"/>
      <c r="AC166" s="2102"/>
    </row>
    <row r="167" spans="1:29" s="166" customFormat="1" ht="12.6" customHeight="1">
      <c r="A167" s="2095"/>
      <c r="B167" s="2376">
        <v>45383</v>
      </c>
      <c r="C167" s="2377"/>
      <c r="D167" s="2375" t="s">
        <v>27</v>
      </c>
      <c r="E167" s="2373">
        <v>837.75</v>
      </c>
      <c r="F167" s="2373"/>
      <c r="G167" s="2373"/>
      <c r="H167" s="2373"/>
      <c r="I167" s="2373"/>
      <c r="J167" s="2373"/>
      <c r="K167" s="2373"/>
      <c r="L167" s="2373"/>
      <c r="M167" s="2373"/>
      <c r="N167" s="2373"/>
      <c r="O167" s="2373"/>
      <c r="P167" s="2373">
        <v>837.75</v>
      </c>
      <c r="Q167" s="2373"/>
      <c r="R167" s="2373"/>
      <c r="S167" s="2373"/>
      <c r="T167" s="2373"/>
      <c r="U167" s="2373"/>
      <c r="V167" s="2373"/>
      <c r="W167" s="2373"/>
      <c r="X167" s="105"/>
      <c r="Y167" s="105"/>
      <c r="Z167" s="2102"/>
      <c r="AA167" s="2102"/>
      <c r="AB167" s="2102"/>
      <c r="AC167" s="2102"/>
    </row>
    <row r="168" spans="1:29" s="166" customFormat="1" ht="12.6" customHeight="1">
      <c r="A168" s="2095"/>
      <c r="B168" s="2376">
        <v>45383</v>
      </c>
      <c r="C168" s="2377"/>
      <c r="D168" s="2375" t="s">
        <v>30</v>
      </c>
      <c r="E168" s="2373">
        <v>4315</v>
      </c>
      <c r="F168" s="2373"/>
      <c r="G168" s="2373"/>
      <c r="H168" s="2373"/>
      <c r="I168" s="2373"/>
      <c r="J168" s="2373"/>
      <c r="K168" s="2373"/>
      <c r="L168" s="2373"/>
      <c r="M168" s="2373">
        <v>4315</v>
      </c>
      <c r="N168" s="2373"/>
      <c r="O168" s="2373"/>
      <c r="P168" s="2373"/>
      <c r="Q168" s="2373"/>
      <c r="R168" s="2373"/>
      <c r="S168" s="2373"/>
      <c r="T168" s="2373"/>
      <c r="U168" s="2373"/>
      <c r="V168" s="2373"/>
      <c r="W168" s="2373">
        <v>4315</v>
      </c>
      <c r="X168" s="105"/>
      <c r="Y168" s="105"/>
      <c r="Z168" s="2102"/>
      <c r="AA168" s="2102"/>
      <c r="AB168" s="2102"/>
      <c r="AC168" s="2102"/>
    </row>
    <row r="169" spans="1:29" s="166" customFormat="1" ht="12.6" customHeight="1">
      <c r="A169" s="2095"/>
      <c r="B169" s="2376">
        <v>45383</v>
      </c>
      <c r="C169" s="2377"/>
      <c r="D169" s="2375" t="s">
        <v>1352</v>
      </c>
      <c r="E169" s="2373">
        <f>SUM(F169:W169)</f>
        <v>630</v>
      </c>
      <c r="F169" s="2373"/>
      <c r="G169" s="2373"/>
      <c r="H169" s="2373"/>
      <c r="I169" s="2373"/>
      <c r="J169" s="2373"/>
      <c r="K169" s="2373"/>
      <c r="L169" s="2373"/>
      <c r="M169" s="2373"/>
      <c r="N169" s="2373">
        <f>$T$6</f>
        <v>630</v>
      </c>
      <c r="O169" s="2373"/>
      <c r="P169" s="2373"/>
      <c r="Q169" s="2373"/>
      <c r="R169" s="2373"/>
      <c r="S169" s="2373"/>
      <c r="T169" s="2373"/>
      <c r="U169" s="2373"/>
      <c r="V169" s="2373"/>
      <c r="W169" s="2373"/>
      <c r="X169" s="105"/>
      <c r="Y169" s="105"/>
      <c r="Z169" s="2102"/>
      <c r="AA169" s="2102"/>
      <c r="AB169" s="2102"/>
      <c r="AC169" s="2102"/>
    </row>
    <row r="170" spans="1:29" s="166" customFormat="1" ht="12.6" customHeight="1">
      <c r="A170" s="2095"/>
      <c r="B170" s="2376">
        <v>45383</v>
      </c>
      <c r="C170" s="2377"/>
      <c r="D170" s="2375" t="s">
        <v>25</v>
      </c>
      <c r="E170" s="2373">
        <f>SUM(F170:W170)</f>
        <v>2108.63</v>
      </c>
      <c r="F170" s="2373"/>
      <c r="G170" s="2373"/>
      <c r="H170" s="2373"/>
      <c r="I170" s="2373"/>
      <c r="J170" s="2373"/>
      <c r="K170" s="2373"/>
      <c r="L170" s="2373"/>
      <c r="M170" s="2373"/>
      <c r="N170" s="2373"/>
      <c r="O170" s="2373"/>
      <c r="P170" s="2373"/>
      <c r="Q170" s="2373">
        <f>bil!I20+bil!I19</f>
        <v>1106.79</v>
      </c>
      <c r="R170" s="2373"/>
      <c r="S170" s="2373"/>
      <c r="T170" s="2373">
        <f>399.96+302.36+299.52</f>
        <v>1001.8399999999999</v>
      </c>
      <c r="U170" s="2373"/>
      <c r="V170" s="2373"/>
      <c r="W170" s="2373"/>
      <c r="X170" s="105"/>
      <c r="Y170" s="105"/>
      <c r="Z170" s="2102"/>
      <c r="AA170" s="2102"/>
      <c r="AB170" s="2102"/>
      <c r="AC170" s="2102"/>
    </row>
    <row r="171" spans="1:29" s="166" customFormat="1" ht="12.6" customHeight="1">
      <c r="A171" s="2095"/>
      <c r="B171" s="2376">
        <v>45385</v>
      </c>
      <c r="C171" s="2377"/>
      <c r="D171" s="2375" t="s">
        <v>1655</v>
      </c>
      <c r="E171" s="2373">
        <v>70</v>
      </c>
      <c r="F171" s="2373"/>
      <c r="G171" s="2373"/>
      <c r="H171" s="2373"/>
      <c r="I171" s="2373"/>
      <c r="J171" s="2373"/>
      <c r="K171" s="2373"/>
      <c r="L171" s="2373"/>
      <c r="M171" s="2373"/>
      <c r="N171" s="2373"/>
      <c r="O171" s="2373"/>
      <c r="P171" s="2373"/>
      <c r="Q171" s="2373"/>
      <c r="R171" s="2373">
        <f>140-70</f>
        <v>70</v>
      </c>
      <c r="S171" s="2373"/>
      <c r="T171" s="2373"/>
      <c r="U171" s="2373"/>
      <c r="V171" s="2373"/>
      <c r="W171" s="2373"/>
      <c r="X171" s="105"/>
      <c r="Y171" s="105"/>
      <c r="Z171" s="2102"/>
      <c r="AA171" s="2102"/>
      <c r="AB171" s="2102"/>
      <c r="AC171" s="2102"/>
    </row>
    <row r="172" spans="1:29" s="166" customFormat="1" ht="12.6" customHeight="1">
      <c r="A172" s="2095"/>
      <c r="B172" s="2376">
        <v>45385</v>
      </c>
      <c r="C172" s="2377"/>
      <c r="D172" s="2375" t="s">
        <v>25</v>
      </c>
      <c r="E172" s="2373">
        <f t="shared" ref="E172:E185" si="19">SUM(F172:W172)</f>
        <v>200.44</v>
      </c>
      <c r="F172" s="2373"/>
      <c r="G172" s="2373"/>
      <c r="H172" s="2373"/>
      <c r="I172" s="2373"/>
      <c r="J172" s="2373"/>
      <c r="K172" s="2373"/>
      <c r="L172" s="2373"/>
      <c r="M172" s="2373"/>
      <c r="N172" s="2373"/>
      <c r="O172" s="2373"/>
      <c r="P172" s="2373"/>
      <c r="Q172" s="2373"/>
      <c r="R172" s="2373"/>
      <c r="S172" s="2373"/>
      <c r="T172" s="2373">
        <v>200.44</v>
      </c>
      <c r="U172" s="2373"/>
      <c r="V172" s="2373"/>
      <c r="W172" s="2373"/>
      <c r="X172" s="105"/>
      <c r="Y172" s="105"/>
      <c r="Z172" s="2102"/>
      <c r="AA172" s="2102"/>
      <c r="AB172" s="2102"/>
      <c r="AC172" s="2102"/>
    </row>
    <row r="173" spans="1:29" s="166" customFormat="1" ht="12.6" customHeight="1">
      <c r="A173" s="2095"/>
      <c r="B173" s="2376">
        <v>45388</v>
      </c>
      <c r="C173" s="2377"/>
      <c r="D173" s="2375" t="s">
        <v>1495</v>
      </c>
      <c r="E173" s="2373">
        <v>595.78</v>
      </c>
      <c r="F173" s="2373">
        <f>$Y$19</f>
        <v>62</v>
      </c>
      <c r="G173" s="2373"/>
      <c r="H173" s="2373"/>
      <c r="I173" s="2373"/>
      <c r="J173" s="2373"/>
      <c r="K173" s="2373"/>
      <c r="L173" s="2373"/>
      <c r="M173" s="2373"/>
      <c r="N173" s="2373"/>
      <c r="O173" s="2373"/>
      <c r="P173" s="2373"/>
      <c r="Q173" s="2373">
        <f>$Y$20</f>
        <v>306</v>
      </c>
      <c r="R173" s="2373"/>
      <c r="S173" s="2373"/>
      <c r="T173" s="2373">
        <f>$Y$21</f>
        <v>240</v>
      </c>
      <c r="U173" s="2373"/>
      <c r="V173" s="2373"/>
      <c r="W173" s="2373"/>
      <c r="X173" s="105"/>
      <c r="Y173" s="105"/>
      <c r="Z173" s="2102"/>
      <c r="AA173" s="2102"/>
      <c r="AB173" s="2102"/>
      <c r="AC173" s="2102"/>
    </row>
    <row r="174" spans="1:29" s="166" customFormat="1" ht="12.6" customHeight="1">
      <c r="A174" s="2095"/>
      <c r="B174" s="2376">
        <v>45399</v>
      </c>
      <c r="C174" s="2377"/>
      <c r="D174" s="2375" t="s">
        <v>58</v>
      </c>
      <c r="E174" s="2373">
        <v>1000</v>
      </c>
      <c r="F174" s="2373"/>
      <c r="G174" s="2373"/>
      <c r="H174" s="2373"/>
      <c r="I174" s="2373"/>
      <c r="J174" s="2373"/>
      <c r="K174" s="2373"/>
      <c r="L174" s="2373"/>
      <c r="M174" s="2373"/>
      <c r="N174" s="2373"/>
      <c r="O174" s="2373"/>
      <c r="P174" s="2373"/>
      <c r="Q174" s="2373"/>
      <c r="R174" s="2373"/>
      <c r="S174" s="2373"/>
      <c r="T174" s="2373">
        <v>1000</v>
      </c>
      <c r="U174" s="2373"/>
      <c r="V174" s="2373"/>
      <c r="W174" s="2373"/>
      <c r="X174" s="105"/>
      <c r="Y174" s="105"/>
      <c r="Z174" s="2102"/>
      <c r="AA174" s="2102"/>
      <c r="AB174" s="2102"/>
      <c r="AC174" s="2102"/>
    </row>
    <row r="175" spans="1:29" s="166" customFormat="1" ht="12.6" customHeight="1">
      <c r="A175" s="2095"/>
      <c r="B175" s="2376">
        <v>45401</v>
      </c>
      <c r="C175" s="2377"/>
      <c r="D175" s="2375" t="s">
        <v>162</v>
      </c>
      <c r="E175" s="2373">
        <v>199</v>
      </c>
      <c r="F175" s="2373"/>
      <c r="G175" s="2373">
        <v>199</v>
      </c>
      <c r="H175" s="2373"/>
      <c r="I175" s="2373"/>
      <c r="J175" s="2373"/>
      <c r="K175" s="2373"/>
      <c r="L175" s="2373"/>
      <c r="M175" s="2373"/>
      <c r="N175" s="2373"/>
      <c r="O175" s="2373"/>
      <c r="P175" s="2373"/>
      <c r="Q175" s="2373"/>
      <c r="R175" s="2373"/>
      <c r="S175" s="2373"/>
      <c r="T175" s="2373"/>
      <c r="U175" s="2373"/>
      <c r="V175" s="2373"/>
      <c r="W175" s="2373"/>
      <c r="X175" s="105"/>
      <c r="Y175" s="105"/>
      <c r="Z175" s="2102"/>
      <c r="AA175" s="2102"/>
      <c r="AB175" s="2102"/>
      <c r="AC175" s="2102"/>
    </row>
    <row r="176" spans="1:29" s="166" customFormat="1" ht="12.6" customHeight="1">
      <c r="A176" s="2095"/>
      <c r="B176" s="2376">
        <v>45408</v>
      </c>
      <c r="C176" s="2377"/>
      <c r="D176" s="2375" t="s">
        <v>1646</v>
      </c>
      <c r="E176" s="2373">
        <v>29</v>
      </c>
      <c r="F176" s="2373"/>
      <c r="G176" s="2373"/>
      <c r="H176" s="2373"/>
      <c r="I176" s="2373"/>
      <c r="J176" s="2373"/>
      <c r="K176" s="2373"/>
      <c r="L176" s="2373"/>
      <c r="M176" s="2373"/>
      <c r="N176" s="2373"/>
      <c r="O176" s="2373"/>
      <c r="P176" s="2373"/>
      <c r="Q176" s="2373">
        <v>29</v>
      </c>
      <c r="R176" s="2373"/>
      <c r="S176" s="2373"/>
      <c r="T176" s="2373"/>
      <c r="U176" s="2373"/>
      <c r="V176" s="2373"/>
      <c r="W176" s="2373"/>
      <c r="X176" s="105"/>
      <c r="Y176" s="105"/>
      <c r="Z176" s="2102"/>
      <c r="AA176" s="2102"/>
      <c r="AB176" s="2102"/>
      <c r="AC176" s="2102"/>
    </row>
    <row r="177" spans="1:29" s="166" customFormat="1" ht="12.6" customHeight="1">
      <c r="A177" s="2095"/>
      <c r="B177" s="2376"/>
      <c r="C177" s="2377"/>
      <c r="D177" s="2375" t="s">
        <v>124</v>
      </c>
      <c r="E177" s="2373">
        <f t="shared" si="19"/>
        <v>731.69999999999993</v>
      </c>
      <c r="F177" s="2373"/>
      <c r="G177" s="2373"/>
      <c r="H177" s="2373"/>
      <c r="I177" s="2373">
        <f>83.9+445+182.75</f>
        <v>711.65</v>
      </c>
      <c r="J177" s="2373">
        <v>20.05</v>
      </c>
      <c r="K177" s="2373"/>
      <c r="L177" s="2373"/>
      <c r="M177" s="2373"/>
      <c r="N177" s="2373"/>
      <c r="O177" s="2373"/>
      <c r="P177" s="2373"/>
      <c r="Q177" s="2373"/>
      <c r="R177" s="2373"/>
      <c r="S177" s="2373"/>
      <c r="T177" s="2373"/>
      <c r="U177" s="2373"/>
      <c r="V177" s="2373"/>
      <c r="W177" s="2373"/>
      <c r="X177" s="105"/>
      <c r="Y177" s="105"/>
      <c r="Z177" s="2102"/>
      <c r="AA177" s="2102"/>
      <c r="AB177" s="2102"/>
      <c r="AC177" s="2102"/>
    </row>
    <row r="178" spans="1:29" s="166" customFormat="1" ht="12.6" customHeight="1">
      <c r="A178" s="2095"/>
      <c r="B178" s="2376"/>
      <c r="C178" s="2377"/>
      <c r="D178" s="2375" t="s">
        <v>42</v>
      </c>
      <c r="E178" s="2373">
        <f t="shared" si="19"/>
        <v>3994.7799999999997</v>
      </c>
      <c r="F178" s="2373"/>
      <c r="G178" s="2373">
        <f>146+177+28+126+28+28+196+144+66+316</f>
        <v>1255</v>
      </c>
      <c r="H178" s="2373">
        <f>349+255.25+69.5+21.95+68.75+125.95+74+112.7+206.53+363.8+160+30+72.45+43+83.95+75+553.2-316+108+108+174.75</f>
        <v>2739.7799999999997</v>
      </c>
      <c r="I178" s="2373"/>
      <c r="J178" s="2373"/>
      <c r="K178" s="2373"/>
      <c r="L178" s="2373"/>
      <c r="M178" s="2373"/>
      <c r="N178" s="2373"/>
      <c r="O178" s="2373"/>
      <c r="P178" s="2373"/>
      <c r="Q178" s="2373"/>
      <c r="R178" s="2373"/>
      <c r="S178" s="2373"/>
      <c r="T178" s="2373"/>
      <c r="U178" s="2373"/>
      <c r="V178" s="2373"/>
      <c r="W178" s="2373"/>
      <c r="X178" s="105"/>
      <c r="Y178" s="105"/>
      <c r="Z178" s="105"/>
      <c r="AA178" s="105"/>
      <c r="AB178" s="105"/>
      <c r="AC178" s="105"/>
    </row>
    <row r="179" spans="1:29" s="166" customFormat="1" ht="12.6" customHeight="1">
      <c r="A179" s="2095"/>
      <c r="B179" s="2376"/>
      <c r="C179" s="2377"/>
      <c r="D179" s="2375" t="s">
        <v>41</v>
      </c>
      <c r="E179" s="2373">
        <f t="shared" si="19"/>
        <v>0</v>
      </c>
      <c r="F179" s="2373"/>
      <c r="G179" s="2373"/>
      <c r="H179" s="2373"/>
      <c r="I179" s="2373"/>
      <c r="J179" s="2373"/>
      <c r="K179" s="2373"/>
      <c r="L179" s="2373"/>
      <c r="M179" s="2373"/>
      <c r="N179" s="2373"/>
      <c r="O179" s="2373"/>
      <c r="P179" s="2373"/>
      <c r="Q179" s="2373"/>
      <c r="R179" s="2373"/>
      <c r="S179" s="2373"/>
      <c r="T179" s="2373"/>
      <c r="U179" s="2373"/>
      <c r="V179" s="2373"/>
      <c r="W179" s="2373"/>
      <c r="X179" s="105"/>
      <c r="Y179" s="105"/>
      <c r="Z179" s="105"/>
      <c r="AA179" s="105"/>
      <c r="AB179" s="105"/>
      <c r="AC179" s="105"/>
    </row>
    <row r="180" spans="1:29" s="166" customFormat="1" ht="12.6" customHeight="1">
      <c r="A180" s="2095"/>
      <c r="B180" s="2376"/>
      <c r="C180" s="2377"/>
      <c r="D180" s="2375" t="s">
        <v>1348</v>
      </c>
      <c r="E180" s="2373">
        <f t="shared" si="19"/>
        <v>890</v>
      </c>
      <c r="F180" s="2373"/>
      <c r="G180" s="2373">
        <v>4</v>
      </c>
      <c r="H180" s="2373">
        <f>25+158+63</f>
        <v>246</v>
      </c>
      <c r="I180" s="2373"/>
      <c r="J180" s="2373"/>
      <c r="K180" s="2373">
        <f>640</f>
        <v>640</v>
      </c>
      <c r="L180" s="2373"/>
      <c r="M180" s="2373"/>
      <c r="N180" s="2373"/>
      <c r="O180" s="2373"/>
      <c r="P180" s="2373"/>
      <c r="Q180" s="2373"/>
      <c r="R180" s="2373"/>
      <c r="S180" s="2373"/>
      <c r="T180" s="2373"/>
      <c r="U180" s="2373"/>
      <c r="V180" s="2373"/>
      <c r="W180" s="2373"/>
      <c r="X180" s="105"/>
      <c r="Y180" s="105"/>
      <c r="Z180" s="105"/>
      <c r="AA180" s="105"/>
      <c r="AB180" s="105"/>
      <c r="AC180" s="105"/>
    </row>
    <row r="181" spans="1:29" s="166" customFormat="1" ht="12.6" customHeight="1">
      <c r="A181" s="2095"/>
      <c r="B181" s="2376"/>
      <c r="C181" s="2377"/>
      <c r="D181" s="2375" t="s">
        <v>39</v>
      </c>
      <c r="E181" s="2373">
        <f t="shared" si="19"/>
        <v>0</v>
      </c>
      <c r="F181" s="2373"/>
      <c r="G181" s="2373"/>
      <c r="H181" s="2373"/>
      <c r="I181" s="2373"/>
      <c r="J181" s="2373"/>
      <c r="K181" s="2373"/>
      <c r="L181" s="2373"/>
      <c r="M181" s="2373"/>
      <c r="N181" s="2373"/>
      <c r="O181" s="2373"/>
      <c r="P181" s="2373"/>
      <c r="Q181" s="2373"/>
      <c r="R181" s="2373"/>
      <c r="S181" s="2373"/>
      <c r="T181" s="2373"/>
      <c r="U181" s="2373"/>
      <c r="V181" s="2373"/>
      <c r="W181" s="2373"/>
      <c r="X181" s="105"/>
      <c r="Y181" s="105"/>
      <c r="Z181" s="105"/>
      <c r="AA181" s="105"/>
      <c r="AB181" s="105"/>
      <c r="AC181" s="105"/>
    </row>
    <row r="182" spans="1:29" s="166" customFormat="1" ht="12.6" customHeight="1">
      <c r="A182" s="2095"/>
      <c r="B182" s="2376"/>
      <c r="C182" s="2377"/>
      <c r="D182" s="2375" t="s">
        <v>123</v>
      </c>
      <c r="E182" s="2373">
        <f t="shared" si="19"/>
        <v>1494.71</v>
      </c>
      <c r="F182" s="2373"/>
      <c r="G182" s="2373">
        <f>100+168</f>
        <v>268</v>
      </c>
      <c r="H182" s="2373">
        <f>116.9+40+135.27+85.85+209.64+29.95+87.75+79.85+179.7+29.9+105.9+60+66</f>
        <v>1226.71</v>
      </c>
      <c r="I182" s="2373"/>
      <c r="J182" s="2373"/>
      <c r="K182" s="2373"/>
      <c r="L182" s="2373"/>
      <c r="M182" s="2373"/>
      <c r="N182" s="2373"/>
      <c r="O182" s="2373"/>
      <c r="P182" s="2373"/>
      <c r="Q182" s="2373"/>
      <c r="R182" s="2373"/>
      <c r="S182" s="2373"/>
      <c r="T182" s="2373"/>
      <c r="U182" s="2373"/>
      <c r="V182" s="2373"/>
      <c r="W182" s="2373"/>
      <c r="X182" s="105"/>
      <c r="Y182" s="105"/>
      <c r="Z182" s="105"/>
      <c r="AA182" s="105"/>
      <c r="AB182" s="105"/>
      <c r="AC182" s="105"/>
    </row>
    <row r="183" spans="1:29" s="166" customFormat="1" ht="12.6" customHeight="1">
      <c r="A183" s="2095"/>
      <c r="B183" s="2376"/>
      <c r="C183" s="2377"/>
      <c r="D183" s="2375" t="s">
        <v>37</v>
      </c>
      <c r="E183" s="2373">
        <f t="shared" si="19"/>
        <v>0</v>
      </c>
      <c r="F183" s="2373"/>
      <c r="G183" s="2373"/>
      <c r="H183" s="2373"/>
      <c r="I183" s="2373"/>
      <c r="J183" s="2373"/>
      <c r="K183" s="2373"/>
      <c r="L183" s="2373"/>
      <c r="M183" s="2373"/>
      <c r="N183" s="2373"/>
      <c r="O183" s="2373"/>
      <c r="P183" s="2373"/>
      <c r="Q183" s="2373"/>
      <c r="R183" s="2373"/>
      <c r="S183" s="2373"/>
      <c r="T183" s="2373"/>
      <c r="U183" s="2373"/>
      <c r="V183" s="2373"/>
      <c r="W183" s="2373"/>
      <c r="X183" s="105"/>
      <c r="Y183" s="105"/>
      <c r="Z183" s="105"/>
      <c r="AA183" s="105"/>
      <c r="AB183" s="105"/>
      <c r="AC183" s="105"/>
    </row>
    <row r="184" spans="1:29" s="166" customFormat="1" ht="12.6" customHeight="1">
      <c r="A184" s="2095"/>
      <c r="B184" s="2376"/>
      <c r="C184" s="2377"/>
      <c r="D184" s="2375" t="s">
        <v>123</v>
      </c>
      <c r="E184" s="2373">
        <f t="shared" si="19"/>
        <v>0</v>
      </c>
      <c r="F184" s="2373"/>
      <c r="G184" s="2373"/>
      <c r="H184" s="2373"/>
      <c r="I184" s="2373"/>
      <c r="J184" s="2373"/>
      <c r="K184" s="2373"/>
      <c r="L184" s="2373"/>
      <c r="M184" s="2373"/>
      <c r="N184" s="2373"/>
      <c r="O184" s="2373"/>
      <c r="P184" s="2373"/>
      <c r="Q184" s="2373"/>
      <c r="R184" s="2373"/>
      <c r="S184" s="2373"/>
      <c r="T184" s="2373"/>
      <c r="U184" s="2373"/>
      <c r="V184" s="2373"/>
      <c r="W184" s="2373"/>
      <c r="X184" s="105"/>
      <c r="Y184" s="105"/>
      <c r="Z184" s="105"/>
      <c r="AA184" s="105"/>
      <c r="AB184" s="105"/>
      <c r="AC184" s="105"/>
    </row>
    <row r="185" spans="1:29" s="166" customFormat="1" ht="12.6" customHeight="1">
      <c r="A185" s="2095"/>
      <c r="B185" s="2376"/>
      <c r="C185" s="2377"/>
      <c r="D185" s="2375" t="s">
        <v>37</v>
      </c>
      <c r="E185" s="2373">
        <f t="shared" si="19"/>
        <v>0</v>
      </c>
      <c r="F185" s="2373"/>
      <c r="G185" s="2373"/>
      <c r="H185" s="2373"/>
      <c r="I185" s="2373"/>
      <c r="J185" s="2373"/>
      <c r="K185" s="2373"/>
      <c r="L185" s="2373"/>
      <c r="M185" s="2373"/>
      <c r="N185" s="2373"/>
      <c r="O185" s="2373"/>
      <c r="P185" s="2373"/>
      <c r="Q185" s="2373"/>
      <c r="R185" s="2373"/>
      <c r="S185" s="2373"/>
      <c r="T185" s="2373"/>
      <c r="U185" s="2373"/>
      <c r="V185" s="2373"/>
      <c r="W185" s="2373"/>
      <c r="X185" s="105"/>
      <c r="Y185" s="105"/>
      <c r="Z185" s="105"/>
      <c r="AA185" s="105"/>
      <c r="AB185" s="105"/>
      <c r="AC185" s="105"/>
    </row>
    <row r="186" spans="1:29" s="2103" customFormat="1" ht="12.6" customHeight="1">
      <c r="A186" s="2097"/>
      <c r="B186" s="2853" t="s">
        <v>1647</v>
      </c>
      <c r="C186" s="2853"/>
      <c r="D186" s="2853"/>
      <c r="E186" s="2848">
        <f>SUM(E187:E188)</f>
        <v>0</v>
      </c>
      <c r="F186" s="2848">
        <f t="shared" ref="F186:T186" si="20">SUM(F187:F188)</f>
        <v>0</v>
      </c>
      <c r="G186" s="2848">
        <f t="shared" si="20"/>
        <v>0</v>
      </c>
      <c r="H186" s="2848">
        <f t="shared" si="20"/>
        <v>0</v>
      </c>
      <c r="I186" s="2848">
        <f t="shared" si="20"/>
        <v>0</v>
      </c>
      <c r="J186" s="2848">
        <f t="shared" si="20"/>
        <v>0</v>
      </c>
      <c r="K186" s="2848">
        <f t="shared" si="20"/>
        <v>0</v>
      </c>
      <c r="L186" s="2848">
        <f t="shared" si="20"/>
        <v>0</v>
      </c>
      <c r="M186" s="2848">
        <f t="shared" si="20"/>
        <v>0</v>
      </c>
      <c r="N186" s="2848">
        <f t="shared" si="20"/>
        <v>0</v>
      </c>
      <c r="O186" s="2848">
        <f t="shared" si="20"/>
        <v>0</v>
      </c>
      <c r="P186" s="2848">
        <f t="shared" si="20"/>
        <v>0</v>
      </c>
      <c r="Q186" s="2848">
        <f t="shared" si="20"/>
        <v>0</v>
      </c>
      <c r="R186" s="2848">
        <f t="shared" si="20"/>
        <v>0</v>
      </c>
      <c r="S186" s="2848">
        <f t="shared" si="20"/>
        <v>0</v>
      </c>
      <c r="T186" s="2848">
        <f t="shared" si="20"/>
        <v>0</v>
      </c>
      <c r="U186" s="2848">
        <f>SUM(U187:U231)</f>
        <v>0</v>
      </c>
      <c r="V186" s="2848">
        <f>SUM(V187:V231)</f>
        <v>2410.36</v>
      </c>
      <c r="W186" s="2848">
        <f>SUM(W187:W231)</f>
        <v>17260</v>
      </c>
      <c r="X186" s="105"/>
      <c r="Y186" s="105"/>
      <c r="Z186" s="105"/>
      <c r="AA186" s="105"/>
      <c r="AB186" s="105"/>
      <c r="AC186" s="105"/>
    </row>
    <row r="187" spans="1:29" s="995" customFormat="1" ht="12.6" customHeight="1">
      <c r="A187" s="991"/>
      <c r="B187" s="2853"/>
      <c r="C187" s="2853"/>
      <c r="D187" s="2853"/>
      <c r="E187" s="2848"/>
      <c r="F187" s="2848"/>
      <c r="G187" s="2848"/>
      <c r="H187" s="2848"/>
      <c r="I187" s="2848"/>
      <c r="J187" s="2848"/>
      <c r="K187" s="2848"/>
      <c r="L187" s="2848"/>
      <c r="M187" s="2848"/>
      <c r="N187" s="2848"/>
      <c r="O187" s="2848"/>
      <c r="P187" s="2848"/>
      <c r="Q187" s="2848"/>
      <c r="R187" s="2848"/>
      <c r="S187" s="2848"/>
      <c r="T187" s="2848"/>
      <c r="U187" s="2848"/>
      <c r="V187" s="2848"/>
      <c r="W187" s="2848"/>
      <c r="X187" s="105"/>
      <c r="Y187" s="105"/>
      <c r="Z187" s="105"/>
      <c r="AA187" s="105"/>
      <c r="AB187" s="105"/>
      <c r="AC187" s="105"/>
    </row>
    <row r="188" spans="1:29" s="2194" customFormat="1" ht="12.6" customHeight="1">
      <c r="A188" s="996"/>
      <c r="B188" s="2191"/>
      <c r="C188" s="2192"/>
      <c r="D188" s="2193"/>
      <c r="E188" s="2371"/>
      <c r="F188" s="2371"/>
      <c r="G188" s="2371"/>
      <c r="H188" s="2371"/>
      <c r="I188" s="2371"/>
      <c r="J188" s="2371"/>
      <c r="K188" s="2371"/>
      <c r="L188" s="2371"/>
      <c r="M188" s="2371"/>
      <c r="N188" s="2371"/>
      <c r="O188" s="2371"/>
      <c r="P188" s="2371"/>
      <c r="Q188" s="2371"/>
      <c r="R188" s="2371"/>
      <c r="S188" s="2371"/>
      <c r="T188" s="2371"/>
      <c r="U188" s="2371"/>
      <c r="V188" s="2371"/>
      <c r="W188" s="2371"/>
      <c r="X188" s="2452"/>
      <c r="Y188" s="996"/>
      <c r="Z188" s="2452"/>
      <c r="AA188" s="996"/>
      <c r="AB188" s="2452"/>
      <c r="AC188" s="996"/>
    </row>
    <row r="189" spans="1:29" s="2103" customFormat="1" ht="24" customHeight="1">
      <c r="A189" s="2317"/>
      <c r="B189" s="2874">
        <v>31</v>
      </c>
      <c r="C189" s="2874"/>
      <c r="D189" s="2874"/>
      <c r="E189" s="2372">
        <f>SUM(E196+E230)</f>
        <v>19010.79</v>
      </c>
      <c r="F189" s="2372">
        <f t="shared" ref="F189:W189" si="21">SUM(F190:F228)</f>
        <v>1100</v>
      </c>
      <c r="G189" s="2372">
        <f t="shared" si="21"/>
        <v>5317.5400000000009</v>
      </c>
      <c r="H189" s="2372">
        <f t="shared" si="21"/>
        <v>2086.42</v>
      </c>
      <c r="I189" s="2372">
        <f t="shared" si="21"/>
        <v>0</v>
      </c>
      <c r="J189" s="2372">
        <f t="shared" si="21"/>
        <v>0</v>
      </c>
      <c r="K189" s="2372">
        <f t="shared" si="21"/>
        <v>1280</v>
      </c>
      <c r="L189" s="2372">
        <f t="shared" si="21"/>
        <v>0</v>
      </c>
      <c r="M189" s="2372">
        <f t="shared" si="21"/>
        <v>8630</v>
      </c>
      <c r="N189" s="2372">
        <f t="shared" si="21"/>
        <v>-576.43999999999971</v>
      </c>
      <c r="O189" s="2372">
        <f t="shared" si="21"/>
        <v>0</v>
      </c>
      <c r="P189" s="2372">
        <f t="shared" si="21"/>
        <v>3339.5</v>
      </c>
      <c r="Q189" s="2372">
        <f t="shared" si="21"/>
        <v>612</v>
      </c>
      <c r="R189" s="2372">
        <f t="shared" si="21"/>
        <v>1030</v>
      </c>
      <c r="S189" s="2372">
        <f t="shared" si="21"/>
        <v>3000</v>
      </c>
      <c r="T189" s="2372">
        <f t="shared" si="21"/>
        <v>8442.58</v>
      </c>
      <c r="U189" s="2372">
        <f t="shared" si="21"/>
        <v>0</v>
      </c>
      <c r="V189" s="2372">
        <f t="shared" si="21"/>
        <v>1205.18</v>
      </c>
      <c r="W189" s="2372">
        <f t="shared" si="21"/>
        <v>8630</v>
      </c>
      <c r="X189" s="2452"/>
      <c r="Y189" s="996"/>
      <c r="Z189" s="2452"/>
      <c r="AA189" s="996"/>
      <c r="AB189" s="2452"/>
      <c r="AC189" s="996"/>
    </row>
    <row r="190" spans="1:29" s="166" customFormat="1" ht="12.6" customHeight="1">
      <c r="A190" s="2095"/>
      <c r="B190" s="2856" t="s">
        <v>290</v>
      </c>
      <c r="C190" s="2856"/>
      <c r="D190" s="2856"/>
      <c r="E190" s="2847">
        <f t="shared" ref="E190:W190" si="22">SUM(E191:E195)</f>
        <v>20524</v>
      </c>
      <c r="F190" s="2847">
        <f t="shared" si="22"/>
        <v>0</v>
      </c>
      <c r="G190" s="2847">
        <f t="shared" si="22"/>
        <v>0</v>
      </c>
      <c r="H190" s="2847">
        <f t="shared" si="22"/>
        <v>0</v>
      </c>
      <c r="I190" s="2847">
        <f t="shared" si="22"/>
        <v>0</v>
      </c>
      <c r="J190" s="2847">
        <f t="shared" si="22"/>
        <v>0</v>
      </c>
      <c r="K190" s="2847">
        <f t="shared" si="22"/>
        <v>0</v>
      </c>
      <c r="L190" s="2847">
        <f t="shared" si="22"/>
        <v>0</v>
      </c>
      <c r="M190" s="2847">
        <f t="shared" si="22"/>
        <v>0</v>
      </c>
      <c r="N190" s="2847">
        <f t="shared" si="22"/>
        <v>0</v>
      </c>
      <c r="O190" s="2847">
        <f t="shared" si="22"/>
        <v>0</v>
      </c>
      <c r="P190" s="2847">
        <f t="shared" si="22"/>
        <v>0</v>
      </c>
      <c r="Q190" s="2847">
        <f t="shared" si="22"/>
        <v>0</v>
      </c>
      <c r="R190" s="2847">
        <f t="shared" si="22"/>
        <v>0</v>
      </c>
      <c r="S190" s="2847">
        <f t="shared" si="22"/>
        <v>0</v>
      </c>
      <c r="T190" s="2847">
        <f t="shared" si="22"/>
        <v>0</v>
      </c>
      <c r="U190" s="2847">
        <f t="shared" si="22"/>
        <v>0</v>
      </c>
      <c r="V190" s="2847">
        <f t="shared" si="22"/>
        <v>0</v>
      </c>
      <c r="W190" s="2847">
        <f t="shared" si="22"/>
        <v>0</v>
      </c>
      <c r="Z190" s="2452"/>
      <c r="AA190" s="996"/>
      <c r="AB190" s="2452"/>
      <c r="AC190" s="996"/>
    </row>
    <row r="191" spans="1:29" s="2103" customFormat="1" ht="12.6" customHeight="1">
      <c r="A191" s="2097"/>
      <c r="B191" s="2856"/>
      <c r="C191" s="2856"/>
      <c r="D191" s="2856"/>
      <c r="E191" s="2847"/>
      <c r="F191" s="2847"/>
      <c r="G191" s="2847"/>
      <c r="H191" s="2847"/>
      <c r="I191" s="2847"/>
      <c r="J191" s="2847"/>
      <c r="K191" s="2847"/>
      <c r="L191" s="2847"/>
      <c r="M191" s="2847"/>
      <c r="N191" s="2847"/>
      <c r="O191" s="2847"/>
      <c r="P191" s="2847"/>
      <c r="Q191" s="2847"/>
      <c r="R191" s="2847"/>
      <c r="S191" s="2847"/>
      <c r="T191" s="2847"/>
      <c r="U191" s="2847"/>
      <c r="V191" s="2847"/>
      <c r="W191" s="2847"/>
      <c r="X191" s="2102"/>
      <c r="Y191" s="2102"/>
      <c r="Z191" s="166"/>
      <c r="AA191" s="166"/>
      <c r="AB191" s="166"/>
      <c r="AC191" s="166"/>
    </row>
    <row r="192" spans="1:29" s="995" customFormat="1" ht="12.6" customHeight="1">
      <c r="A192" s="991"/>
      <c r="B192" s="2321">
        <v>45412</v>
      </c>
      <c r="C192" s="2379"/>
      <c r="D192" s="2378" t="s">
        <v>35</v>
      </c>
      <c r="E192" s="2369">
        <v>12214</v>
      </c>
      <c r="F192" s="2369"/>
      <c r="G192" s="2369"/>
      <c r="H192" s="2369"/>
      <c r="I192" s="2369"/>
      <c r="J192" s="2369"/>
      <c r="K192" s="2369"/>
      <c r="L192" s="2369"/>
      <c r="M192" s="2369"/>
      <c r="N192" s="2369"/>
      <c r="O192" s="2369"/>
      <c r="P192" s="2369"/>
      <c r="Q192" s="2369"/>
      <c r="R192" s="2369"/>
      <c r="S192" s="2369"/>
      <c r="T192" s="2369"/>
      <c r="U192" s="2369"/>
      <c r="V192" s="2369"/>
      <c r="W192" s="2369"/>
      <c r="X192" s="2102"/>
      <c r="Y192" s="2102"/>
      <c r="Z192" s="2102"/>
      <c r="AA192" s="2102"/>
      <c r="AB192" s="2102"/>
      <c r="AC192" s="2102"/>
    </row>
    <row r="193" spans="1:29" s="995" customFormat="1" ht="12.6" customHeight="1">
      <c r="A193" s="991"/>
      <c r="B193" s="2321">
        <v>45412</v>
      </c>
      <c r="C193" s="2379"/>
      <c r="D193" s="2378" t="s">
        <v>34</v>
      </c>
      <c r="E193" s="2369">
        <v>8108</v>
      </c>
      <c r="F193" s="2369"/>
      <c r="G193" s="2369"/>
      <c r="H193" s="2369"/>
      <c r="I193" s="2369"/>
      <c r="J193" s="2369"/>
      <c r="K193" s="2369"/>
      <c r="L193" s="2369"/>
      <c r="M193" s="2369"/>
      <c r="N193" s="2369"/>
      <c r="O193" s="2369"/>
      <c r="P193" s="2369"/>
      <c r="Q193" s="2369"/>
      <c r="R193" s="2369"/>
      <c r="S193" s="2369"/>
      <c r="T193" s="2369"/>
      <c r="U193" s="2369"/>
      <c r="V193" s="2369"/>
      <c r="W193" s="2369"/>
      <c r="X193" s="2102"/>
      <c r="Y193" s="2102"/>
      <c r="Z193" s="2102"/>
      <c r="AA193" s="2102"/>
      <c r="AB193" s="2102"/>
      <c r="AC193" s="2102"/>
    </row>
    <row r="194" spans="1:29" s="995" customFormat="1" ht="12.6" customHeight="1">
      <c r="A194" s="991"/>
      <c r="B194" s="2321">
        <v>45412</v>
      </c>
      <c r="C194" s="2379"/>
      <c r="D194" s="2378" t="s">
        <v>33</v>
      </c>
      <c r="E194" s="2369">
        <v>202</v>
      </c>
      <c r="F194" s="2369"/>
      <c r="G194" s="2369"/>
      <c r="H194" s="2369"/>
      <c r="I194" s="2369"/>
      <c r="J194" s="2369"/>
      <c r="K194" s="2369"/>
      <c r="L194" s="2369"/>
      <c r="M194" s="2369"/>
      <c r="N194" s="2369"/>
      <c r="O194" s="2369"/>
      <c r="P194" s="2369"/>
      <c r="Q194" s="2369"/>
      <c r="R194" s="2369"/>
      <c r="S194" s="2369"/>
      <c r="T194" s="2369"/>
      <c r="U194" s="2369"/>
      <c r="V194" s="2369"/>
      <c r="W194" s="2369"/>
      <c r="X194" s="2102"/>
      <c r="Y194" s="2102"/>
      <c r="Z194" s="2102"/>
      <c r="AA194" s="2102"/>
      <c r="AB194" s="2102"/>
      <c r="AC194" s="2102"/>
    </row>
    <row r="195" spans="1:29" s="995" customFormat="1" ht="12.6" customHeight="1">
      <c r="A195" s="991"/>
      <c r="B195" s="2321"/>
      <c r="C195" s="2379"/>
      <c r="D195" s="2378"/>
      <c r="E195" s="2369"/>
      <c r="F195" s="2369"/>
      <c r="G195" s="2369"/>
      <c r="H195" s="2369"/>
      <c r="I195" s="2369"/>
      <c r="J195" s="2369"/>
      <c r="K195" s="2369"/>
      <c r="L195" s="2369"/>
      <c r="M195" s="2369"/>
      <c r="N195" s="2369"/>
      <c r="O195" s="2369"/>
      <c r="P195" s="2369"/>
      <c r="Q195" s="2369"/>
      <c r="R195" s="2369"/>
      <c r="S195" s="2369"/>
      <c r="T195" s="2369"/>
      <c r="U195" s="2369"/>
      <c r="V195" s="2369"/>
      <c r="W195" s="2369"/>
      <c r="X195" s="2102"/>
      <c r="Y195" s="2102"/>
      <c r="Z195" s="2102"/>
      <c r="AA195" s="2102"/>
      <c r="AB195" s="2102"/>
      <c r="AC195" s="2102"/>
    </row>
    <row r="196" spans="1:29" s="2103" customFormat="1" ht="12.6" customHeight="1">
      <c r="A196" s="2097"/>
      <c r="B196" s="2867" t="s">
        <v>289</v>
      </c>
      <c r="C196" s="2867"/>
      <c r="D196" s="2867"/>
      <c r="E196" s="2838">
        <f>SUM(E197:E229)</f>
        <v>17786.79</v>
      </c>
      <c r="F196" s="2838">
        <f>SUM(F197:F229)</f>
        <v>550</v>
      </c>
      <c r="G196" s="2838">
        <f>SUM(G197:G229)</f>
        <v>2658.77</v>
      </c>
      <c r="H196" s="2838">
        <f>SUM(H197:H229)</f>
        <v>1043.21</v>
      </c>
      <c r="I196" s="2838">
        <f>SUM(I197:I229)</f>
        <v>0</v>
      </c>
      <c r="J196" s="2838">
        <f>SUM(J197:J229)</f>
        <v>0</v>
      </c>
      <c r="K196" s="2838">
        <f>SUM(K197:K229)</f>
        <v>640</v>
      </c>
      <c r="L196" s="2838">
        <f>SUM(L197:L229)</f>
        <v>0</v>
      </c>
      <c r="M196" s="2838">
        <f>SUM(M197:M229)</f>
        <v>4315</v>
      </c>
      <c r="N196" s="2838">
        <f>SUM(N197:N229)</f>
        <v>-288.21999999999991</v>
      </c>
      <c r="O196" s="2838">
        <f>SUM(O197:O229)</f>
        <v>0</v>
      </c>
      <c r="P196" s="2838">
        <f>SUM(P197:P229)</f>
        <v>1669.75</v>
      </c>
      <c r="Q196" s="2838">
        <f>SUM(Q197:Q229)</f>
        <v>306</v>
      </c>
      <c r="R196" s="2838">
        <f>SUM(R197:R229)</f>
        <v>515</v>
      </c>
      <c r="S196" s="2838">
        <f>SUM(S197:S229)</f>
        <v>1500</v>
      </c>
      <c r="T196" s="2838">
        <f>SUM(T197:T229)</f>
        <v>4221.29</v>
      </c>
      <c r="U196" s="2838">
        <f>SUM(U197:U229)</f>
        <v>0</v>
      </c>
      <c r="V196" s="2838">
        <f>SUM(V197:V229)</f>
        <v>602.59</v>
      </c>
      <c r="W196" s="2838">
        <f>SUM(W197:W229)</f>
        <v>4315</v>
      </c>
      <c r="X196" s="2102"/>
      <c r="Y196" s="2102"/>
      <c r="Z196" s="2102"/>
      <c r="AA196" s="2102"/>
      <c r="AB196" s="2102"/>
      <c r="AC196" s="2102"/>
    </row>
    <row r="197" spans="1:29" s="995" customFormat="1" ht="12.6" customHeight="1">
      <c r="A197" s="991"/>
      <c r="B197" s="2863"/>
      <c r="C197" s="2863"/>
      <c r="D197" s="2863"/>
      <c r="E197" s="2839"/>
      <c r="F197" s="2839"/>
      <c r="G197" s="2839"/>
      <c r="H197" s="2839"/>
      <c r="I197" s="2839"/>
      <c r="J197" s="2839"/>
      <c r="K197" s="2839"/>
      <c r="L197" s="2839"/>
      <c r="M197" s="2839"/>
      <c r="N197" s="2839"/>
      <c r="O197" s="2839"/>
      <c r="P197" s="2839"/>
      <c r="Q197" s="2839"/>
      <c r="R197" s="2839"/>
      <c r="S197" s="2839"/>
      <c r="T197" s="2839"/>
      <c r="U197" s="2839"/>
      <c r="V197" s="2839"/>
      <c r="W197" s="2839"/>
      <c r="X197" s="2102"/>
      <c r="Y197" s="2102"/>
      <c r="Z197" s="2102"/>
      <c r="AA197" s="2102"/>
      <c r="AB197" s="2102"/>
      <c r="AC197" s="2102"/>
    </row>
    <row r="198" spans="1:29" s="166" customFormat="1" ht="12.6" customHeight="1">
      <c r="A198" s="2095"/>
      <c r="B198" s="2376">
        <v>45412</v>
      </c>
      <c r="C198" s="2377"/>
      <c r="D198" s="2375" t="s">
        <v>1466</v>
      </c>
      <c r="E198" s="2373">
        <v>788</v>
      </c>
      <c r="F198" s="2373">
        <f>$V$7</f>
        <v>419</v>
      </c>
      <c r="G198" s="2373"/>
      <c r="H198" s="2373"/>
      <c r="I198" s="2373"/>
      <c r="J198" s="2373"/>
      <c r="K198" s="2373"/>
      <c r="L198" s="2373"/>
      <c r="M198" s="2373"/>
      <c r="N198" s="2373"/>
      <c r="O198" s="2373"/>
      <c r="P198" s="2373"/>
      <c r="Q198" s="2373"/>
      <c r="R198" s="2373"/>
      <c r="S198" s="2373"/>
      <c r="T198" s="2373">
        <f>$V$8</f>
        <v>359</v>
      </c>
      <c r="U198" s="2373"/>
      <c r="V198" s="2373"/>
      <c r="W198" s="2373"/>
      <c r="X198" s="105"/>
      <c r="Y198" s="105"/>
      <c r="Z198" s="105"/>
      <c r="AA198" s="105"/>
      <c r="AB198" s="105"/>
      <c r="AC198" s="105"/>
    </row>
    <row r="199" spans="1:29" s="166" customFormat="1" ht="12.6" customHeight="1">
      <c r="A199" s="2095"/>
      <c r="B199" s="2376">
        <v>45412</v>
      </c>
      <c r="C199" s="2377"/>
      <c r="D199" s="2375" t="s">
        <v>1354</v>
      </c>
      <c r="E199" s="2373">
        <f>SUM(F199:W199)</f>
        <v>159</v>
      </c>
      <c r="F199" s="2373"/>
      <c r="G199" s="2373"/>
      <c r="H199" s="2373"/>
      <c r="I199" s="2373"/>
      <c r="J199" s="2373"/>
      <c r="K199" s="2373"/>
      <c r="L199" s="2373"/>
      <c r="M199" s="2373"/>
      <c r="N199" s="2373"/>
      <c r="O199" s="2373"/>
      <c r="P199" s="2373">
        <v>159</v>
      </c>
      <c r="Q199" s="2373"/>
      <c r="R199" s="2373"/>
      <c r="S199" s="2373"/>
      <c r="T199" s="2373"/>
      <c r="U199" s="2373"/>
      <c r="V199" s="2373"/>
      <c r="W199" s="2373"/>
      <c r="X199" s="105"/>
      <c r="Y199" s="105"/>
      <c r="Z199" s="105"/>
      <c r="AA199" s="105"/>
      <c r="AB199" s="105"/>
      <c r="AC199" s="105"/>
    </row>
    <row r="200" spans="1:29" s="166" customFormat="1" ht="12.6" customHeight="1">
      <c r="A200" s="2095"/>
      <c r="B200" s="2376">
        <v>45412</v>
      </c>
      <c r="C200" s="2377"/>
      <c r="D200" s="2375" t="s">
        <v>1656</v>
      </c>
      <c r="E200" s="2373">
        <v>180</v>
      </c>
      <c r="F200" s="2373"/>
      <c r="G200" s="2373"/>
      <c r="H200" s="2373"/>
      <c r="I200" s="2373"/>
      <c r="J200" s="2373"/>
      <c r="K200" s="2373"/>
      <c r="L200" s="2373"/>
      <c r="M200" s="2373"/>
      <c r="N200" s="2373"/>
      <c r="O200" s="2373"/>
      <c r="P200" s="2373"/>
      <c r="Q200" s="2373"/>
      <c r="R200" s="2373">
        <v>180</v>
      </c>
      <c r="S200" s="2373"/>
      <c r="T200" s="2373"/>
      <c r="U200" s="2373"/>
      <c r="V200" s="2373"/>
      <c r="W200" s="2373"/>
      <c r="X200" s="105"/>
      <c r="Y200" s="105"/>
      <c r="Z200" s="105"/>
      <c r="AA200" s="105"/>
      <c r="AB200" s="105"/>
      <c r="AC200" s="105"/>
    </row>
    <row r="201" spans="1:29" s="166" customFormat="1" ht="12.6" customHeight="1">
      <c r="A201" s="2095"/>
      <c r="B201" s="2376">
        <v>45412</v>
      </c>
      <c r="C201" s="2377"/>
      <c r="D201" s="2375" t="s">
        <v>140</v>
      </c>
      <c r="E201" s="2373">
        <v>966.42</v>
      </c>
      <c r="F201" s="2373"/>
      <c r="G201" s="2373">
        <v>966.42</v>
      </c>
      <c r="H201" s="2373"/>
      <c r="I201" s="2373"/>
      <c r="J201" s="2373"/>
      <c r="K201" s="2373"/>
      <c r="L201" s="2373"/>
      <c r="M201" s="2373"/>
      <c r="N201" s="2373"/>
      <c r="O201" s="2373"/>
      <c r="P201" s="2373"/>
      <c r="Q201" s="2373"/>
      <c r="R201" s="2373"/>
      <c r="S201" s="2373"/>
      <c r="T201" s="2373"/>
      <c r="U201" s="2373"/>
      <c r="V201" s="2373"/>
      <c r="W201" s="2373"/>
      <c r="X201" s="105"/>
      <c r="Y201" s="105"/>
      <c r="Z201" s="105"/>
      <c r="AA201" s="105"/>
      <c r="AB201" s="105"/>
      <c r="AC201" s="105"/>
    </row>
    <row r="202" spans="1:29" s="166" customFormat="1" ht="12.6" customHeight="1">
      <c r="A202" s="2095"/>
      <c r="B202" s="2376">
        <v>45413</v>
      </c>
      <c r="C202" s="2377"/>
      <c r="D202" s="2375" t="s">
        <v>30</v>
      </c>
      <c r="E202" s="2373">
        <v>4315</v>
      </c>
      <c r="F202" s="2373"/>
      <c r="G202" s="2373"/>
      <c r="H202" s="2373"/>
      <c r="I202" s="2373"/>
      <c r="J202" s="2373"/>
      <c r="K202" s="2373"/>
      <c r="L202" s="2373"/>
      <c r="M202" s="2373">
        <v>4315</v>
      </c>
      <c r="N202" s="2373"/>
      <c r="O202" s="2373"/>
      <c r="P202" s="2373"/>
      <c r="Q202" s="2373"/>
      <c r="R202" s="2373"/>
      <c r="S202" s="2373"/>
      <c r="T202" s="2373"/>
      <c r="U202" s="2373"/>
      <c r="V202" s="2373"/>
      <c r="W202" s="2373">
        <v>4315</v>
      </c>
      <c r="X202" s="105"/>
      <c r="Y202" s="105"/>
      <c r="Z202" s="105"/>
      <c r="AA202" s="105"/>
      <c r="AB202" s="105"/>
      <c r="AC202" s="105"/>
    </row>
    <row r="203" spans="1:29" s="166" customFormat="1" ht="12.6" customHeight="1">
      <c r="A203" s="2095"/>
      <c r="B203" s="2376">
        <v>45413</v>
      </c>
      <c r="C203" s="2377"/>
      <c r="D203" s="2375" t="s">
        <v>1352</v>
      </c>
      <c r="E203" s="2373">
        <f>SUM(F203:W203)</f>
        <v>630</v>
      </c>
      <c r="F203" s="2373"/>
      <c r="G203" s="2373"/>
      <c r="H203" s="2373"/>
      <c r="I203" s="2373"/>
      <c r="J203" s="2373"/>
      <c r="K203" s="2373"/>
      <c r="L203" s="2373"/>
      <c r="M203" s="2373"/>
      <c r="N203" s="2373">
        <f>$T$6</f>
        <v>630</v>
      </c>
      <c r="O203" s="2373"/>
      <c r="P203" s="2373"/>
      <c r="Q203" s="2373"/>
      <c r="R203" s="2373"/>
      <c r="S203" s="2373"/>
      <c r="T203" s="2373"/>
      <c r="U203" s="2373"/>
      <c r="V203" s="2373"/>
      <c r="W203" s="2373"/>
      <c r="X203" s="105"/>
      <c r="Y203" s="105"/>
      <c r="Z203" s="105"/>
      <c r="AA203" s="105"/>
      <c r="AB203" s="105"/>
      <c r="AC203" s="105"/>
    </row>
    <row r="204" spans="1:29" s="166" customFormat="1" ht="12.6" customHeight="1">
      <c r="A204" s="2095"/>
      <c r="B204" s="2376">
        <v>45413</v>
      </c>
      <c r="C204" s="2377"/>
      <c r="D204" s="2375" t="s">
        <v>26</v>
      </c>
      <c r="E204" s="2373">
        <v>625.77</v>
      </c>
      <c r="F204" s="2373"/>
      <c r="G204" s="2373"/>
      <c r="H204" s="2373"/>
      <c r="I204" s="2373"/>
      <c r="J204" s="2373"/>
      <c r="K204" s="2373"/>
      <c r="L204" s="2373"/>
      <c r="M204" s="2373"/>
      <c r="N204" s="2373"/>
      <c r="O204" s="2373"/>
      <c r="P204" s="2373"/>
      <c r="Q204" s="2373"/>
      <c r="R204" s="2373"/>
      <c r="S204" s="2373"/>
      <c r="T204" s="2373"/>
      <c r="U204" s="2373"/>
      <c r="V204" s="2373">
        <f>$AA$11</f>
        <v>602.59</v>
      </c>
      <c r="W204" s="2373"/>
      <c r="X204" s="105"/>
      <c r="Y204" s="105"/>
      <c r="Z204" s="105"/>
      <c r="AA204" s="105"/>
      <c r="AB204" s="105"/>
      <c r="AC204" s="105"/>
    </row>
    <row r="205" spans="1:29" s="166" customFormat="1" ht="12.6" customHeight="1">
      <c r="A205" s="2095"/>
      <c r="B205" s="2376">
        <v>45413</v>
      </c>
      <c r="C205" s="2377"/>
      <c r="D205" s="2375" t="s">
        <v>25</v>
      </c>
      <c r="E205" s="2373">
        <v>410.62</v>
      </c>
      <c r="F205" s="2373"/>
      <c r="G205" s="2373"/>
      <c r="H205" s="2373"/>
      <c r="I205" s="2373"/>
      <c r="J205" s="2373"/>
      <c r="K205" s="2373"/>
      <c r="L205" s="2373"/>
      <c r="M205" s="2373"/>
      <c r="N205" s="2373"/>
      <c r="O205" s="2373"/>
      <c r="P205" s="2373"/>
      <c r="Q205" s="2373"/>
      <c r="R205" s="2373"/>
      <c r="S205" s="2373"/>
      <c r="T205" s="2373">
        <f>200.18+200.44</f>
        <v>400.62</v>
      </c>
      <c r="U205" s="2373"/>
      <c r="V205" s="2373"/>
      <c r="W205" s="2373"/>
      <c r="X205" s="105"/>
      <c r="Y205" s="105"/>
      <c r="Z205" s="105"/>
      <c r="AA205" s="105"/>
      <c r="AB205" s="105"/>
      <c r="AC205" s="105"/>
    </row>
    <row r="206" spans="1:29" s="166" customFormat="1" ht="12.6" customHeight="1">
      <c r="A206" s="2095"/>
      <c r="B206" s="2376">
        <v>45413</v>
      </c>
      <c r="C206" s="2377"/>
      <c r="D206" s="2375" t="s">
        <v>22</v>
      </c>
      <c r="E206" s="2373">
        <f>SUM(F206:W206)</f>
        <v>208</v>
      </c>
      <c r="F206" s="2373"/>
      <c r="G206" s="2373"/>
      <c r="H206" s="2373"/>
      <c r="I206" s="2373"/>
      <c r="J206" s="2373"/>
      <c r="K206" s="2373"/>
      <c r="L206" s="2373"/>
      <c r="M206" s="2373"/>
      <c r="N206" s="2373"/>
      <c r="O206" s="2373"/>
      <c r="P206" s="2373">
        <f>$Y$11</f>
        <v>208</v>
      </c>
      <c r="Q206" s="2373"/>
      <c r="R206" s="2373"/>
      <c r="S206" s="2373"/>
      <c r="T206" s="2373"/>
      <c r="U206" s="2373"/>
      <c r="V206" s="2373"/>
      <c r="W206" s="2373"/>
      <c r="X206" s="105"/>
      <c r="Y206" s="105"/>
      <c r="Z206" s="105"/>
      <c r="AA206" s="105"/>
      <c r="AB206" s="105"/>
      <c r="AC206" s="105"/>
    </row>
    <row r="207" spans="1:29" s="166" customFormat="1" ht="12.6" customHeight="1">
      <c r="A207" s="2095"/>
      <c r="B207" s="2376">
        <v>45413</v>
      </c>
      <c r="C207" s="2377"/>
      <c r="D207" s="2375" t="s">
        <v>27</v>
      </c>
      <c r="E207" s="2373">
        <v>837.75</v>
      </c>
      <c r="F207" s="2373"/>
      <c r="G207" s="2373"/>
      <c r="H207" s="2373"/>
      <c r="I207" s="2373"/>
      <c r="J207" s="2373"/>
      <c r="K207" s="2373"/>
      <c r="L207" s="2373"/>
      <c r="M207" s="2373"/>
      <c r="N207" s="2373"/>
      <c r="O207" s="2373"/>
      <c r="P207" s="2373">
        <v>837.75</v>
      </c>
      <c r="Q207" s="2373"/>
      <c r="R207" s="2373"/>
      <c r="S207" s="2373"/>
      <c r="T207" s="2373"/>
      <c r="U207" s="2373"/>
      <c r="V207" s="2373"/>
      <c r="W207" s="2373"/>
      <c r="X207" s="105"/>
      <c r="Y207" s="105"/>
      <c r="Z207" s="105"/>
      <c r="AA207" s="105"/>
      <c r="AB207" s="105"/>
      <c r="AC207" s="105"/>
    </row>
    <row r="208" spans="1:29" s="166" customFormat="1" ht="12.6" customHeight="1">
      <c r="A208" s="2095"/>
      <c r="B208" s="2376">
        <v>45413</v>
      </c>
      <c r="C208" s="2377"/>
      <c r="D208" s="2375" t="s">
        <v>126</v>
      </c>
      <c r="E208" s="2373">
        <f>SUM(F208:W208)</f>
        <v>45</v>
      </c>
      <c r="F208" s="2373"/>
      <c r="G208" s="2373"/>
      <c r="H208" s="2373"/>
      <c r="I208" s="2373"/>
      <c r="J208" s="2373"/>
      <c r="K208" s="2373"/>
      <c r="L208" s="2373"/>
      <c r="M208" s="2373"/>
      <c r="N208" s="2373"/>
      <c r="O208" s="2373"/>
      <c r="P208" s="2373"/>
      <c r="Q208" s="2373"/>
      <c r="R208" s="2373">
        <f>$X$5</f>
        <v>45</v>
      </c>
      <c r="S208" s="2373"/>
      <c r="T208" s="2373"/>
      <c r="U208" s="2373"/>
      <c r="V208" s="2373"/>
      <c r="W208" s="2373"/>
      <c r="X208" s="105"/>
      <c r="Y208" s="105"/>
      <c r="Z208" s="105"/>
      <c r="AA208" s="105"/>
      <c r="AB208" s="105"/>
      <c r="AC208" s="105"/>
    </row>
    <row r="209" spans="1:29" s="166" customFormat="1" ht="12.6" customHeight="1">
      <c r="A209" s="2095"/>
      <c r="B209" s="2376">
        <v>45413</v>
      </c>
      <c r="C209" s="2377"/>
      <c r="D209" s="2375" t="s">
        <v>1655</v>
      </c>
      <c r="E209" s="2373">
        <v>140</v>
      </c>
      <c r="F209" s="2373"/>
      <c r="G209" s="2373"/>
      <c r="H209" s="2373"/>
      <c r="I209" s="2373"/>
      <c r="J209" s="2373"/>
      <c r="K209" s="2373"/>
      <c r="L209" s="2373"/>
      <c r="M209" s="2373"/>
      <c r="N209" s="2373"/>
      <c r="O209" s="2373"/>
      <c r="P209" s="2373"/>
      <c r="Q209" s="2373"/>
      <c r="R209" s="2373">
        <v>140</v>
      </c>
      <c r="S209" s="2373"/>
      <c r="T209" s="2373"/>
      <c r="U209" s="2373"/>
      <c r="V209" s="2373"/>
      <c r="W209" s="2373"/>
      <c r="X209" s="105"/>
      <c r="Y209" s="105"/>
      <c r="Z209" s="105"/>
      <c r="AA209" s="105"/>
      <c r="AB209" s="105"/>
      <c r="AC209" s="105"/>
    </row>
    <row r="210" spans="1:29" s="166" customFormat="1" ht="12.6" customHeight="1">
      <c r="A210" s="2095"/>
      <c r="B210" s="2376">
        <v>45413</v>
      </c>
      <c r="C210" s="2377"/>
      <c r="D210" s="2375" t="s">
        <v>14</v>
      </c>
      <c r="E210" s="2373">
        <v>640</v>
      </c>
      <c r="F210" s="2373"/>
      <c r="G210" s="2373"/>
      <c r="H210" s="2373"/>
      <c r="I210" s="2373"/>
      <c r="J210" s="2373"/>
      <c r="K210" s="2373">
        <v>640</v>
      </c>
      <c r="L210" s="2373"/>
      <c r="M210" s="2373"/>
      <c r="N210" s="2373"/>
      <c r="O210" s="2373"/>
      <c r="P210" s="2373"/>
      <c r="Q210" s="2373"/>
      <c r="R210" s="2373"/>
      <c r="S210" s="2373"/>
      <c r="T210" s="2373"/>
      <c r="U210" s="2373"/>
      <c r="V210" s="2373"/>
      <c r="W210" s="2373"/>
      <c r="X210" s="105"/>
      <c r="Y210" s="105"/>
      <c r="Z210" s="105"/>
      <c r="AA210" s="105"/>
      <c r="AB210" s="105"/>
      <c r="AC210" s="105"/>
    </row>
    <row r="211" spans="1:29" s="166" customFormat="1" ht="12.6" customHeight="1">
      <c r="A211" s="2095"/>
      <c r="B211" s="2376">
        <v>45413</v>
      </c>
      <c r="C211" s="2377"/>
      <c r="D211" s="2375" t="s">
        <v>29</v>
      </c>
      <c r="E211" s="2373">
        <f t="shared" ref="E211" si="23">SUM(F211:W211)</f>
        <v>69</v>
      </c>
      <c r="F211" s="2373">
        <f>$U$1</f>
        <v>69</v>
      </c>
      <c r="G211" s="2373"/>
      <c r="H211" s="2373"/>
      <c r="I211" s="2373"/>
      <c r="J211" s="2373"/>
      <c r="K211" s="2373"/>
      <c r="L211" s="2373"/>
      <c r="M211" s="2373"/>
      <c r="N211" s="2373"/>
      <c r="O211" s="2373"/>
      <c r="P211" s="2373"/>
      <c r="Q211" s="2373"/>
      <c r="R211" s="2373"/>
      <c r="S211" s="2373"/>
      <c r="T211" s="2373"/>
      <c r="U211" s="2373"/>
      <c r="V211" s="2373"/>
      <c r="W211" s="2373"/>
      <c r="X211" s="105"/>
      <c r="Y211" s="105"/>
      <c r="Z211" s="105"/>
      <c r="AA211" s="105"/>
      <c r="AB211" s="105"/>
      <c r="AC211" s="105"/>
    </row>
    <row r="212" spans="1:29" s="166" customFormat="1" ht="12.6" customHeight="1">
      <c r="A212" s="2095"/>
      <c r="B212" s="2376">
        <v>45414</v>
      </c>
      <c r="C212" s="2377"/>
      <c r="D212" s="2375" t="s">
        <v>21</v>
      </c>
      <c r="E212" s="2373">
        <f>SUM(F212:W212)</f>
        <v>465</v>
      </c>
      <c r="F212" s="2373"/>
      <c r="G212" s="2373"/>
      <c r="H212" s="2373"/>
      <c r="I212" s="2373"/>
      <c r="J212" s="2373"/>
      <c r="K212" s="2373"/>
      <c r="L212" s="2373"/>
      <c r="M212" s="2373"/>
      <c r="N212" s="2373"/>
      <c r="O212" s="2373"/>
      <c r="P212" s="2373">
        <f>$W$1</f>
        <v>465</v>
      </c>
      <c r="Q212" s="2373"/>
      <c r="R212" s="2373"/>
      <c r="S212" s="2373"/>
      <c r="T212" s="2373"/>
      <c r="U212" s="2373"/>
      <c r="V212" s="2373"/>
      <c r="W212" s="2373"/>
      <c r="X212" s="105"/>
      <c r="Y212" s="105"/>
      <c r="Z212" s="105"/>
      <c r="AA212" s="105"/>
      <c r="AB212" s="105"/>
      <c r="AC212" s="105"/>
    </row>
    <row r="213" spans="1:29" s="166" customFormat="1" ht="12.6" customHeight="1">
      <c r="A213" s="2095"/>
      <c r="B213" s="2376">
        <v>45414</v>
      </c>
      <c r="C213" s="2377"/>
      <c r="D213" s="2375" t="s">
        <v>162</v>
      </c>
      <c r="E213" s="2373">
        <f>SUM(F213:W213)</f>
        <v>920.75</v>
      </c>
      <c r="F213" s="2373"/>
      <c r="G213" s="2373">
        <f>215.95+498+49+99.8</f>
        <v>862.75</v>
      </c>
      <c r="H213" s="2373">
        <f>58</f>
        <v>58</v>
      </c>
      <c r="I213" s="2373"/>
      <c r="J213" s="2373"/>
      <c r="K213" s="2373"/>
      <c r="L213" s="2373"/>
      <c r="M213" s="2373"/>
      <c r="N213" s="2373"/>
      <c r="O213" s="2373"/>
      <c r="P213" s="2373"/>
      <c r="Q213" s="2373"/>
      <c r="R213" s="2373"/>
      <c r="S213" s="2373"/>
      <c r="T213" s="2373"/>
      <c r="U213" s="2373"/>
      <c r="V213" s="2373"/>
      <c r="W213" s="2373"/>
      <c r="X213" s="105"/>
      <c r="Y213" s="105"/>
      <c r="Z213" s="105"/>
      <c r="AA213" s="105"/>
      <c r="AB213" s="105"/>
      <c r="AC213" s="105"/>
    </row>
    <row r="214" spans="1:29" s="166" customFormat="1" ht="12.6" customHeight="1">
      <c r="A214" s="2095"/>
      <c r="B214" s="2376">
        <v>45416</v>
      </c>
      <c r="C214" s="2377"/>
      <c r="D214" s="2375" t="s">
        <v>7</v>
      </c>
      <c r="E214" s="2373">
        <v>500</v>
      </c>
      <c r="F214" s="2373"/>
      <c r="G214" s="2373"/>
      <c r="H214" s="2373"/>
      <c r="I214" s="2373"/>
      <c r="J214" s="2373"/>
      <c r="K214" s="2373"/>
      <c r="L214" s="2373"/>
      <c r="M214" s="2373"/>
      <c r="N214" s="2373"/>
      <c r="O214" s="2373"/>
      <c r="P214" s="2373"/>
      <c r="Q214" s="2373"/>
      <c r="R214" s="2373"/>
      <c r="S214" s="2373">
        <f>E214</f>
        <v>500</v>
      </c>
      <c r="T214" s="2373"/>
      <c r="U214" s="2373"/>
      <c r="V214" s="2373"/>
      <c r="W214" s="2373"/>
      <c r="X214" s="105"/>
      <c r="Y214" s="105"/>
      <c r="Z214" s="105"/>
      <c r="AA214" s="105"/>
      <c r="AB214" s="105"/>
      <c r="AC214" s="105"/>
    </row>
    <row r="215" spans="1:29" s="166" customFormat="1" ht="12.6" customHeight="1">
      <c r="A215" s="2095"/>
      <c r="B215" s="2376">
        <v>45418</v>
      </c>
      <c r="C215" s="2377"/>
      <c r="D215" s="2375" t="s">
        <v>1495</v>
      </c>
      <c r="E215" s="2373">
        <v>618.22</v>
      </c>
      <c r="F215" s="2373">
        <v>62</v>
      </c>
      <c r="G215" s="2373"/>
      <c r="H215" s="2373"/>
      <c r="I215" s="2373"/>
      <c r="J215" s="2373"/>
      <c r="K215" s="2373"/>
      <c r="L215" s="2373"/>
      <c r="M215" s="2373"/>
      <c r="N215" s="2373"/>
      <c r="O215" s="2373"/>
      <c r="P215" s="2373"/>
      <c r="Q215" s="2373">
        <v>306</v>
      </c>
      <c r="R215" s="2373"/>
      <c r="S215" s="2373"/>
      <c r="T215" s="2373">
        <v>240</v>
      </c>
      <c r="U215" s="2373"/>
      <c r="V215" s="2373"/>
      <c r="W215" s="2373"/>
      <c r="X215" s="105"/>
      <c r="Y215" s="105"/>
      <c r="Z215" s="105"/>
      <c r="AA215" s="105"/>
      <c r="AB215" s="105"/>
      <c r="AC215" s="105"/>
    </row>
    <row r="216" spans="1:29" s="166" customFormat="1" ht="12.6" customHeight="1">
      <c r="A216" s="2095"/>
      <c r="B216" s="2376">
        <v>45419</v>
      </c>
      <c r="C216" s="2377"/>
      <c r="D216" s="2375" t="s">
        <v>1492</v>
      </c>
      <c r="E216" s="2373">
        <v>-1621.33</v>
      </c>
      <c r="F216" s="2373"/>
      <c r="G216" s="2373"/>
      <c r="H216" s="2373"/>
      <c r="I216" s="2373"/>
      <c r="J216" s="2373"/>
      <c r="K216" s="2373"/>
      <c r="L216" s="2373"/>
      <c r="M216" s="2373"/>
      <c r="N216" s="2373">
        <v>-1621.33</v>
      </c>
      <c r="O216" s="2373"/>
      <c r="P216" s="2373"/>
      <c r="Q216" s="2373"/>
      <c r="R216" s="2373"/>
      <c r="S216" s="2373"/>
      <c r="T216" s="2373"/>
      <c r="U216" s="2373"/>
      <c r="V216" s="2373"/>
      <c r="W216" s="2373"/>
      <c r="X216" s="105"/>
      <c r="Y216" s="105"/>
      <c r="Z216" s="105"/>
      <c r="AA216" s="105"/>
      <c r="AB216" s="105"/>
      <c r="AC216" s="105"/>
    </row>
    <row r="217" spans="1:29" s="166" customFormat="1" ht="12.6" customHeight="1">
      <c r="A217" s="2095"/>
      <c r="B217" s="2376">
        <v>45420</v>
      </c>
      <c r="C217" s="2377"/>
      <c r="D217" s="2375" t="s">
        <v>1666</v>
      </c>
      <c r="E217" s="2373">
        <v>3221.67</v>
      </c>
      <c r="F217" s="2373"/>
      <c r="G217" s="2373"/>
      <c r="H217" s="2373"/>
      <c r="I217" s="2373"/>
      <c r="J217" s="2373"/>
      <c r="K217" s="2373"/>
      <c r="L217" s="2373"/>
      <c r="M217" s="2373"/>
      <c r="N217" s="2373"/>
      <c r="O217" s="2373"/>
      <c r="P217" s="2373"/>
      <c r="Q217" s="2373"/>
      <c r="R217" s="2373"/>
      <c r="S217" s="2373"/>
      <c r="T217" s="2373">
        <v>3221.67</v>
      </c>
      <c r="U217" s="2373"/>
      <c r="V217" s="2373"/>
      <c r="W217" s="2373"/>
      <c r="X217" s="105"/>
      <c r="Y217" s="105"/>
      <c r="Z217" s="105"/>
      <c r="AA217" s="105"/>
      <c r="AB217" s="105"/>
      <c r="AC217" s="105"/>
    </row>
    <row r="218" spans="1:29" s="166" customFormat="1" ht="12.6" customHeight="1">
      <c r="A218" s="2095"/>
      <c r="B218" s="2376">
        <v>45420</v>
      </c>
      <c r="C218" s="2377"/>
      <c r="D218" s="2375" t="s">
        <v>1707</v>
      </c>
      <c r="E218" s="2373">
        <v>160</v>
      </c>
      <c r="F218" s="2373"/>
      <c r="G218" s="2373">
        <v>160</v>
      </c>
      <c r="H218" s="2373"/>
      <c r="I218" s="2373"/>
      <c r="J218" s="2373"/>
      <c r="K218" s="2373"/>
      <c r="L218" s="2373"/>
      <c r="M218" s="2373"/>
      <c r="N218" s="2373"/>
      <c r="O218" s="2373"/>
      <c r="P218" s="2373"/>
      <c r="Q218" s="2373"/>
      <c r="R218" s="2373"/>
      <c r="S218" s="2373"/>
      <c r="T218" s="2373"/>
      <c r="U218" s="2373"/>
      <c r="V218" s="2373"/>
      <c r="W218" s="2373"/>
      <c r="X218" s="105"/>
      <c r="Y218" s="105"/>
      <c r="Z218" s="105"/>
      <c r="AA218" s="105"/>
      <c r="AB218" s="105"/>
      <c r="AC218" s="105"/>
    </row>
    <row r="219" spans="1:29" s="166" customFormat="1" ht="12.6" customHeight="1">
      <c r="A219" s="2095"/>
      <c r="B219" s="2376">
        <v>45420</v>
      </c>
      <c r="C219" s="2377"/>
      <c r="D219" s="2375" t="s">
        <v>1706</v>
      </c>
      <c r="E219" s="2373">
        <v>275</v>
      </c>
      <c r="F219" s="2373"/>
      <c r="G219" s="2373"/>
      <c r="H219" s="2373"/>
      <c r="I219" s="2373"/>
      <c r="J219" s="2373"/>
      <c r="K219" s="2373"/>
      <c r="L219" s="2373"/>
      <c r="M219" s="2373"/>
      <c r="N219" s="2373">
        <v>275</v>
      </c>
      <c r="O219" s="2373"/>
      <c r="P219" s="2373"/>
      <c r="Q219" s="2373"/>
      <c r="R219" s="2373"/>
      <c r="S219" s="2373"/>
      <c r="T219" s="2373"/>
      <c r="U219" s="2373"/>
      <c r="V219" s="2373"/>
      <c r="W219" s="2373"/>
      <c r="X219" s="105"/>
      <c r="Y219" s="105"/>
      <c r="Z219" s="105"/>
      <c r="AA219" s="105"/>
      <c r="AB219" s="105"/>
      <c r="AC219" s="105"/>
    </row>
    <row r="220" spans="1:29" s="166" customFormat="1" ht="12.6" customHeight="1">
      <c r="A220" s="2095"/>
      <c r="B220" s="2376">
        <v>45422</v>
      </c>
      <c r="C220" s="2377"/>
      <c r="D220" s="2375" t="s">
        <v>11</v>
      </c>
      <c r="E220" s="2373">
        <v>1000</v>
      </c>
      <c r="F220" s="2373"/>
      <c r="G220" s="2373"/>
      <c r="H220" s="2373"/>
      <c r="I220" s="2373"/>
      <c r="J220" s="2373"/>
      <c r="K220" s="2373"/>
      <c r="L220" s="2373"/>
      <c r="M220" s="2373"/>
      <c r="N220" s="2373"/>
      <c r="O220" s="2373"/>
      <c r="P220" s="2373"/>
      <c r="Q220" s="2373"/>
      <c r="R220" s="2373"/>
      <c r="S220" s="2373">
        <v>1000</v>
      </c>
      <c r="T220" s="2373"/>
      <c r="U220" s="2373"/>
      <c r="V220" s="2373"/>
      <c r="W220" s="2373"/>
      <c r="X220" s="105"/>
      <c r="Y220" s="105"/>
      <c r="Z220" s="105"/>
      <c r="AA220" s="105"/>
      <c r="AB220" s="105"/>
      <c r="AC220" s="105"/>
    </row>
    <row r="221" spans="1:29" s="166" customFormat="1" ht="12.6" customHeight="1">
      <c r="A221" s="2095"/>
      <c r="B221" s="2376">
        <v>45423</v>
      </c>
      <c r="C221" s="2377"/>
      <c r="D221" s="2375" t="s">
        <v>1656</v>
      </c>
      <c r="E221" s="2373">
        <v>150</v>
      </c>
      <c r="F221" s="2373"/>
      <c r="G221" s="2373"/>
      <c r="H221" s="2373"/>
      <c r="I221" s="2373"/>
      <c r="J221" s="2373"/>
      <c r="K221" s="2373"/>
      <c r="L221" s="2373"/>
      <c r="M221" s="2373"/>
      <c r="N221" s="2373"/>
      <c r="O221" s="2373"/>
      <c r="P221" s="2373"/>
      <c r="Q221" s="2373"/>
      <c r="R221" s="2373">
        <v>150</v>
      </c>
      <c r="S221" s="2373"/>
      <c r="T221" s="2373"/>
      <c r="U221" s="2373"/>
      <c r="V221" s="2373"/>
      <c r="W221" s="2373"/>
      <c r="X221" s="105"/>
      <c r="Y221" s="105"/>
      <c r="Z221" s="105"/>
      <c r="AA221" s="105"/>
      <c r="AB221" s="105"/>
      <c r="AC221" s="105"/>
    </row>
    <row r="222" spans="1:29" s="166" customFormat="1" ht="12.6" customHeight="1">
      <c r="A222" s="2095"/>
      <c r="B222" s="2376">
        <v>45424</v>
      </c>
      <c r="C222" s="2377"/>
      <c r="D222" s="2375" t="s">
        <v>99</v>
      </c>
      <c r="E222" s="2373">
        <v>428.11</v>
      </c>
      <c r="F222" s="2373"/>
      <c r="G222" s="2373"/>
      <c r="H222" s="2373"/>
      <c r="I222" s="2373"/>
      <c r="J222" s="2373"/>
      <c r="K222" s="2373"/>
      <c r="L222" s="2373"/>
      <c r="M222" s="2373"/>
      <c r="N222" s="2373">
        <v>428.11</v>
      </c>
      <c r="O222" s="2373"/>
      <c r="P222" s="2373"/>
      <c r="Q222" s="2373"/>
      <c r="R222" s="2373"/>
      <c r="S222" s="2373"/>
      <c r="T222" s="2373"/>
      <c r="U222" s="2373"/>
      <c r="V222" s="2373"/>
      <c r="W222" s="2373"/>
      <c r="X222" s="105"/>
      <c r="Y222" s="105"/>
      <c r="Z222" s="105"/>
      <c r="AA222" s="105"/>
      <c r="AB222" s="105"/>
      <c r="AC222" s="105"/>
    </row>
    <row r="223" spans="1:29" s="166" customFormat="1" ht="12.6" customHeight="1">
      <c r="A223" s="2095"/>
      <c r="B223" s="2376"/>
      <c r="C223" s="2377"/>
      <c r="D223" s="2375" t="s">
        <v>42</v>
      </c>
      <c r="E223" s="2373">
        <f>SUM(G223:W223)</f>
        <v>448.75</v>
      </c>
      <c r="F223" s="2373"/>
      <c r="G223" s="2373">
        <f>42+60</f>
        <v>102</v>
      </c>
      <c r="H223" s="2373">
        <f>101+245.75</f>
        <v>346.75</v>
      </c>
      <c r="I223" s="2373"/>
      <c r="J223" s="2373"/>
      <c r="K223" s="2373"/>
      <c r="L223" s="2373"/>
      <c r="M223" s="2373"/>
      <c r="N223" s="2373"/>
      <c r="O223" s="2373"/>
      <c r="P223" s="2373"/>
      <c r="Q223" s="2373"/>
      <c r="R223" s="2373"/>
      <c r="S223" s="2373"/>
      <c r="T223" s="2373"/>
      <c r="U223" s="2373"/>
      <c r="V223" s="2373"/>
      <c r="W223" s="2373"/>
      <c r="X223" s="105"/>
      <c r="Y223" s="105"/>
      <c r="Z223" s="105"/>
      <c r="AA223" s="105"/>
      <c r="AB223" s="105"/>
      <c r="AC223" s="105"/>
    </row>
    <row r="224" spans="1:29" s="166" customFormat="1" ht="12.6" customHeight="1">
      <c r="A224" s="2095"/>
      <c r="B224" s="2376"/>
      <c r="C224" s="2377"/>
      <c r="D224" s="2375" t="s">
        <v>41</v>
      </c>
      <c r="E224" s="2373">
        <f t="shared" ref="E224:E229" si="24">SUM(F224:W224)</f>
        <v>115</v>
      </c>
      <c r="F224" s="2373"/>
      <c r="G224" s="2373">
        <f>40+75</f>
        <v>115</v>
      </c>
      <c r="H224" s="2373"/>
      <c r="I224" s="2373"/>
      <c r="J224" s="2373"/>
      <c r="K224" s="2373"/>
      <c r="L224" s="2373"/>
      <c r="M224" s="2373"/>
      <c r="N224" s="2373"/>
      <c r="O224" s="2373"/>
      <c r="P224" s="2373"/>
      <c r="Q224" s="2373"/>
      <c r="R224" s="2373"/>
      <c r="S224" s="2373"/>
      <c r="T224" s="2373"/>
      <c r="U224" s="2373"/>
      <c r="V224" s="2373"/>
      <c r="W224" s="2373"/>
      <c r="X224" s="105"/>
      <c r="Y224" s="105"/>
      <c r="Z224" s="105"/>
      <c r="AA224" s="105"/>
      <c r="AB224" s="105"/>
      <c r="AC224" s="105"/>
    </row>
    <row r="225" spans="1:29" s="166" customFormat="1" ht="12.6" customHeight="1">
      <c r="A225" s="2095"/>
      <c r="B225" s="2376"/>
      <c r="C225" s="2377"/>
      <c r="D225" s="2375" t="s">
        <v>1348</v>
      </c>
      <c r="E225" s="2373">
        <f t="shared" si="24"/>
        <v>636.46</v>
      </c>
      <c r="F225" s="2373"/>
      <c r="G225" s="2373">
        <f>87</f>
        <v>87</v>
      </c>
      <c r="H225" s="2373">
        <f>50+100+169.5+316.96-87</f>
        <v>549.46</v>
      </c>
      <c r="I225" s="2373"/>
      <c r="J225" s="2373"/>
      <c r="K225" s="2373"/>
      <c r="L225" s="2373"/>
      <c r="M225" s="2373"/>
      <c r="N225" s="2373"/>
      <c r="O225" s="2373"/>
      <c r="P225" s="2373"/>
      <c r="Q225" s="2373"/>
      <c r="R225" s="2373"/>
      <c r="S225" s="2373"/>
      <c r="T225" s="2373"/>
      <c r="U225" s="2373"/>
      <c r="V225" s="2373"/>
      <c r="W225" s="2373"/>
      <c r="X225" s="105"/>
      <c r="Y225" s="105"/>
      <c r="Z225" s="105"/>
      <c r="AA225" s="105"/>
      <c r="AB225" s="105"/>
      <c r="AC225" s="105"/>
    </row>
    <row r="226" spans="1:29" s="166" customFormat="1" ht="12.6" customHeight="1">
      <c r="A226" s="2095"/>
      <c r="B226" s="2376"/>
      <c r="C226" s="2377"/>
      <c r="D226" s="2375" t="s">
        <v>39</v>
      </c>
      <c r="E226" s="2373">
        <f t="shared" si="24"/>
        <v>335</v>
      </c>
      <c r="F226" s="2373"/>
      <c r="G226" s="2373">
        <f>98+99+49</f>
        <v>246</v>
      </c>
      <c r="H226" s="2373">
        <f>89</f>
        <v>89</v>
      </c>
      <c r="I226" s="2373"/>
      <c r="J226" s="2373"/>
      <c r="K226" s="2373"/>
      <c r="L226" s="2373"/>
      <c r="M226" s="2373"/>
      <c r="N226" s="2373"/>
      <c r="O226" s="2373"/>
      <c r="P226" s="2373"/>
      <c r="Q226" s="2373"/>
      <c r="R226" s="2373"/>
      <c r="S226" s="2373"/>
      <c r="T226" s="2373"/>
      <c r="U226" s="2373"/>
      <c r="V226" s="2373"/>
      <c r="W226" s="2373"/>
      <c r="X226" s="105"/>
      <c r="Y226" s="105"/>
      <c r="Z226" s="105"/>
      <c r="AA226" s="105"/>
      <c r="AB226" s="105"/>
      <c r="AC226" s="105"/>
    </row>
    <row r="227" spans="1:29" s="166" customFormat="1" ht="12.6" customHeight="1">
      <c r="A227" s="2095"/>
      <c r="B227" s="2376"/>
      <c r="C227" s="2377"/>
      <c r="D227" s="2375" t="s">
        <v>123</v>
      </c>
      <c r="E227" s="2373">
        <f t="shared" si="24"/>
        <v>119.6</v>
      </c>
      <c r="F227" s="2373"/>
      <c r="G227" s="2373">
        <v>119.6</v>
      </c>
      <c r="H227" s="2373"/>
      <c r="I227" s="2373"/>
      <c r="J227" s="2373"/>
      <c r="K227" s="2373"/>
      <c r="L227" s="2373"/>
      <c r="M227" s="2373"/>
      <c r="N227" s="2373"/>
      <c r="O227" s="2373"/>
      <c r="P227" s="2373"/>
      <c r="Q227" s="2373"/>
      <c r="R227" s="2373"/>
      <c r="S227" s="2373"/>
      <c r="T227" s="2373"/>
      <c r="U227" s="2373"/>
      <c r="V227" s="2373"/>
      <c r="W227" s="2373"/>
      <c r="X227" s="105"/>
      <c r="Y227" s="105"/>
      <c r="Z227" s="105"/>
      <c r="AA227" s="105"/>
      <c r="AB227" s="105"/>
      <c r="AC227" s="105"/>
    </row>
    <row r="228" spans="1:29" s="166" customFormat="1" ht="12.6" customHeight="1">
      <c r="A228" s="2095"/>
      <c r="B228" s="2376"/>
      <c r="C228" s="2377"/>
      <c r="D228" s="2375" t="s">
        <v>37</v>
      </c>
      <c r="E228" s="2373">
        <f t="shared" si="24"/>
        <v>0</v>
      </c>
      <c r="F228" s="2373"/>
      <c r="G228" s="2373"/>
      <c r="H228" s="2373"/>
      <c r="I228" s="2373"/>
      <c r="J228" s="2373"/>
      <c r="K228" s="2373"/>
      <c r="L228" s="2373"/>
      <c r="M228" s="2373"/>
      <c r="N228" s="2373"/>
      <c r="O228" s="2373"/>
      <c r="P228" s="2373"/>
      <c r="Q228" s="2373"/>
      <c r="R228" s="2373"/>
      <c r="S228" s="2373"/>
      <c r="T228" s="2373"/>
      <c r="U228" s="2373"/>
      <c r="V228" s="2373"/>
      <c r="W228" s="2373"/>
      <c r="X228" s="105"/>
      <c r="Y228" s="105"/>
      <c r="Z228" s="105"/>
      <c r="AA228" s="105"/>
      <c r="AB228" s="105"/>
      <c r="AC228" s="105"/>
    </row>
    <row r="229" spans="1:29" s="166" customFormat="1" ht="12.6" customHeight="1">
      <c r="A229" s="2095"/>
      <c r="B229" s="2376"/>
      <c r="C229" s="2377"/>
      <c r="D229" s="2375" t="s">
        <v>123</v>
      </c>
      <c r="E229" s="2373">
        <f t="shared" si="24"/>
        <v>0</v>
      </c>
      <c r="F229" s="2373"/>
      <c r="G229" s="2373"/>
      <c r="H229" s="2373"/>
      <c r="I229" s="2373"/>
      <c r="J229" s="2373"/>
      <c r="K229" s="2373"/>
      <c r="L229" s="2373"/>
      <c r="M229" s="2373"/>
      <c r="N229" s="2373"/>
      <c r="O229" s="2373"/>
      <c r="P229" s="2373"/>
      <c r="Q229" s="2373"/>
      <c r="R229" s="2373"/>
      <c r="S229" s="2373"/>
      <c r="T229" s="2373"/>
      <c r="U229" s="2373"/>
      <c r="V229" s="2373"/>
      <c r="W229" s="2373"/>
      <c r="X229" s="105"/>
      <c r="Y229" s="105"/>
      <c r="Z229" s="105"/>
      <c r="AA229" s="105"/>
      <c r="AB229" s="105"/>
      <c r="AC229" s="105"/>
    </row>
    <row r="230" spans="1:29" s="2103" customFormat="1" ht="12.6" customHeight="1">
      <c r="A230" s="2097"/>
      <c r="B230" s="2853" t="s">
        <v>1647</v>
      </c>
      <c r="C230" s="2853"/>
      <c r="D230" s="2853"/>
      <c r="E230" s="2848">
        <f>SUM(E231:E236)</f>
        <v>1224</v>
      </c>
      <c r="F230" s="2848">
        <f>SUM(F231:F236)</f>
        <v>0</v>
      </c>
      <c r="G230" s="2848">
        <f>SUM(G231:G236)</f>
        <v>310</v>
      </c>
      <c r="H230" s="2848">
        <f>SUM(H231:H236)</f>
        <v>0</v>
      </c>
      <c r="I230" s="2848">
        <f>SUM(I231:I236)</f>
        <v>745</v>
      </c>
      <c r="J230" s="2848">
        <f>SUM(J231:J236)</f>
        <v>0</v>
      </c>
      <c r="K230" s="2848">
        <f>SUM(K231:K236)</f>
        <v>0</v>
      </c>
      <c r="L230" s="2848">
        <f>SUM(L231:L236)</f>
        <v>0</v>
      </c>
      <c r="M230" s="2848">
        <f>SUM(M231:M236)</f>
        <v>0</v>
      </c>
      <c r="N230" s="2848">
        <f>SUM(N231:N236)</f>
        <v>0</v>
      </c>
      <c r="O230" s="2848">
        <f>SUM(O231:O236)</f>
        <v>0</v>
      </c>
      <c r="P230" s="2848">
        <f>SUM(P231:P236)</f>
        <v>0</v>
      </c>
      <c r="Q230" s="2848">
        <f>SUM(Q231:Q236)</f>
        <v>29</v>
      </c>
      <c r="R230" s="2848">
        <f>SUM(R231:R236)</f>
        <v>140</v>
      </c>
      <c r="S230" s="2848">
        <f>SUM(S231:S236)</f>
        <v>0</v>
      </c>
      <c r="T230" s="2848">
        <f>SUM(T231:T236)</f>
        <v>0</v>
      </c>
      <c r="U230" s="2848">
        <f>SUM(U231:U236)</f>
        <v>0</v>
      </c>
      <c r="V230" s="2848">
        <f>SUM(V231:V236)</f>
        <v>0</v>
      </c>
      <c r="W230" s="2848">
        <f>SUM(W231:W236)</f>
        <v>0</v>
      </c>
      <c r="X230" s="105"/>
      <c r="Y230" s="105"/>
      <c r="Z230" s="105"/>
      <c r="AA230" s="105"/>
      <c r="AB230" s="105"/>
      <c r="AC230" s="105"/>
    </row>
    <row r="231" spans="1:29" s="995" customFormat="1" ht="12.6" customHeight="1">
      <c r="A231" s="991"/>
      <c r="B231" s="2853"/>
      <c r="C231" s="2853"/>
      <c r="D231" s="2853"/>
      <c r="E231" s="2848"/>
      <c r="F231" s="2848"/>
      <c r="G231" s="2848"/>
      <c r="H231" s="2848"/>
      <c r="I231" s="2848"/>
      <c r="J231" s="2848"/>
      <c r="K231" s="2848"/>
      <c r="L231" s="2848"/>
      <c r="M231" s="2848"/>
      <c r="N231" s="2848"/>
      <c r="O231" s="2848"/>
      <c r="P231" s="2848"/>
      <c r="Q231" s="2848"/>
      <c r="R231" s="2848"/>
      <c r="S231" s="2848"/>
      <c r="T231" s="2848"/>
      <c r="U231" s="2848"/>
      <c r="V231" s="2848"/>
      <c r="W231" s="2848"/>
      <c r="X231" s="105"/>
      <c r="Y231" s="105"/>
      <c r="Z231" s="105"/>
      <c r="AA231" s="105"/>
      <c r="AB231" s="105"/>
      <c r="AC231" s="105"/>
    </row>
    <row r="232" spans="1:29" s="995" customFormat="1" ht="12.6" customHeight="1">
      <c r="A232" s="991"/>
      <c r="B232" s="2319">
        <v>45434</v>
      </c>
      <c r="C232" s="2319"/>
      <c r="D232" s="2320" t="s">
        <v>127</v>
      </c>
      <c r="E232" s="2370">
        <v>310</v>
      </c>
      <c r="F232" s="2370"/>
      <c r="G232" s="2370">
        <v>310</v>
      </c>
      <c r="H232" s="2370"/>
      <c r="I232" s="2370"/>
      <c r="J232" s="2370"/>
      <c r="K232" s="2370"/>
      <c r="L232" s="2370"/>
      <c r="M232" s="2370"/>
      <c r="N232" s="2370"/>
      <c r="O232" s="2370"/>
      <c r="P232" s="2370"/>
      <c r="Q232" s="2370"/>
      <c r="R232" s="2370"/>
      <c r="S232" s="2370"/>
      <c r="T232" s="2370"/>
      <c r="U232" s="2370"/>
      <c r="V232" s="2370"/>
      <c r="W232" s="2370"/>
      <c r="X232" s="2452"/>
      <c r="Y232" s="996"/>
      <c r="Z232" s="2452"/>
      <c r="AA232" s="996"/>
      <c r="AB232" s="2452"/>
      <c r="AC232" s="996"/>
    </row>
    <row r="233" spans="1:29" s="995" customFormat="1" ht="12.6" customHeight="1">
      <c r="A233" s="991"/>
      <c r="B233" s="2319">
        <v>45434</v>
      </c>
      <c r="C233" s="2319"/>
      <c r="D233" s="2320" t="s">
        <v>1655</v>
      </c>
      <c r="E233" s="2370">
        <v>140</v>
      </c>
      <c r="F233" s="2370"/>
      <c r="G233" s="2370"/>
      <c r="H233" s="2370"/>
      <c r="I233" s="2370"/>
      <c r="J233" s="2370"/>
      <c r="K233" s="2370"/>
      <c r="L233" s="2370"/>
      <c r="M233" s="2370"/>
      <c r="N233" s="2370"/>
      <c r="O233" s="2370"/>
      <c r="P233" s="2370"/>
      <c r="Q233" s="2370"/>
      <c r="R233" s="2370">
        <v>140</v>
      </c>
      <c r="S233" s="2370"/>
      <c r="T233" s="2370"/>
      <c r="U233" s="2370"/>
      <c r="V233" s="2370"/>
      <c r="W233" s="2370"/>
      <c r="X233" s="2452"/>
      <c r="Y233" s="996"/>
      <c r="Z233" s="2452"/>
      <c r="AA233" s="996"/>
      <c r="AB233" s="2452"/>
      <c r="AC233" s="996"/>
    </row>
    <row r="234" spans="1:29" s="995" customFormat="1" ht="12.6" customHeight="1">
      <c r="A234" s="991"/>
      <c r="B234" s="2319">
        <v>45440</v>
      </c>
      <c r="C234" s="2319"/>
      <c r="D234" s="2320" t="s">
        <v>1646</v>
      </c>
      <c r="E234" s="2370">
        <v>29</v>
      </c>
      <c r="F234" s="2370"/>
      <c r="G234" s="2370"/>
      <c r="H234" s="2370"/>
      <c r="I234" s="2370"/>
      <c r="J234" s="2370"/>
      <c r="K234" s="2370"/>
      <c r="L234" s="2370"/>
      <c r="M234" s="2370"/>
      <c r="N234" s="2370"/>
      <c r="O234" s="2370"/>
      <c r="P234" s="2370"/>
      <c r="Q234" s="2370">
        <v>29</v>
      </c>
      <c r="R234" s="2370"/>
      <c r="S234" s="2370"/>
      <c r="T234" s="2370"/>
      <c r="U234" s="2370"/>
      <c r="V234" s="2370"/>
      <c r="W234" s="2370"/>
      <c r="X234" s="2452"/>
      <c r="Y234" s="996"/>
      <c r="Z234" s="2452"/>
      <c r="AA234" s="996"/>
      <c r="AB234" s="2452"/>
      <c r="AC234" s="996"/>
    </row>
    <row r="235" spans="1:29" s="995" customFormat="1" ht="12.6" customHeight="1">
      <c r="A235" s="991"/>
      <c r="B235" s="2319"/>
      <c r="C235" s="2319"/>
      <c r="D235" s="2320" t="s">
        <v>384</v>
      </c>
      <c r="E235" s="2370">
        <v>745</v>
      </c>
      <c r="F235" s="2370"/>
      <c r="G235" s="2370"/>
      <c r="H235" s="2370"/>
      <c r="I235" s="2370">
        <v>745</v>
      </c>
      <c r="J235" s="2370"/>
      <c r="K235" s="2370"/>
      <c r="L235" s="2370"/>
      <c r="M235" s="2370"/>
      <c r="N235" s="2370"/>
      <c r="O235" s="2370"/>
      <c r="P235" s="2370"/>
      <c r="Q235" s="2370"/>
      <c r="R235" s="2370"/>
      <c r="S235" s="2370"/>
      <c r="T235" s="2370"/>
      <c r="U235" s="2370"/>
      <c r="V235" s="2370"/>
      <c r="W235" s="2370"/>
      <c r="X235" s="2452"/>
      <c r="Y235" s="996"/>
      <c r="Z235" s="2452"/>
      <c r="AA235" s="996"/>
      <c r="AB235" s="2452"/>
      <c r="AC235" s="996"/>
    </row>
    <row r="236" spans="1:29" s="995" customFormat="1" ht="12.6" customHeight="1">
      <c r="A236" s="991"/>
      <c r="B236" s="2319"/>
      <c r="C236" s="2319"/>
      <c r="D236" s="2320" t="s">
        <v>15</v>
      </c>
      <c r="E236" s="2370">
        <f>SUM(G236:W236)</f>
        <v>0</v>
      </c>
      <c r="F236" s="2370"/>
      <c r="G236" s="2370"/>
      <c r="H236" s="2370"/>
      <c r="I236" s="2370"/>
      <c r="J236" s="2370"/>
      <c r="K236" s="2370"/>
      <c r="L236" s="2370"/>
      <c r="M236" s="2370"/>
      <c r="N236" s="2370"/>
      <c r="O236" s="2370"/>
      <c r="P236" s="2370"/>
      <c r="Q236" s="2370"/>
      <c r="R236" s="2370"/>
      <c r="S236" s="2370"/>
      <c r="T236" s="2370"/>
      <c r="U236" s="2370"/>
      <c r="V236" s="2370"/>
      <c r="W236" s="2370"/>
      <c r="X236" s="2452"/>
      <c r="Y236" s="996"/>
      <c r="Z236" s="2452"/>
      <c r="AA236" s="996"/>
      <c r="AB236" s="2452"/>
      <c r="AC236" s="996"/>
    </row>
    <row r="237" spans="1:29" s="2194" customFormat="1" ht="12.6" customHeight="1">
      <c r="A237" s="996"/>
      <c r="B237" s="2191"/>
      <c r="C237" s="2192"/>
      <c r="D237" s="2193"/>
      <c r="E237" s="2371"/>
      <c r="F237" s="2371"/>
      <c r="G237" s="2371"/>
      <c r="H237" s="2371"/>
      <c r="I237" s="2371"/>
      <c r="J237" s="2371"/>
      <c r="K237" s="2371"/>
      <c r="L237" s="2371"/>
      <c r="M237" s="2371"/>
      <c r="N237" s="2371"/>
      <c r="O237" s="2371"/>
      <c r="P237" s="2371"/>
      <c r="Q237" s="2371"/>
      <c r="R237" s="2371"/>
      <c r="S237" s="2371"/>
      <c r="T237" s="2371"/>
      <c r="U237" s="2371"/>
      <c r="V237" s="2371"/>
      <c r="W237" s="2371"/>
      <c r="X237" s="2452"/>
      <c r="Y237" s="996"/>
      <c r="Z237" s="2452"/>
      <c r="AA237" s="996"/>
      <c r="AB237" s="2452"/>
      <c r="AC237" s="996"/>
    </row>
    <row r="238" spans="1:29" s="2103" customFormat="1" ht="24" customHeight="1">
      <c r="A238" s="2317"/>
      <c r="B238" s="2869">
        <v>30</v>
      </c>
      <c r="C238" s="2869"/>
      <c r="D238" s="2869"/>
      <c r="E238" s="2372">
        <f>SUM(E245+E256)</f>
        <v>18155.52</v>
      </c>
      <c r="F238" s="2372">
        <f t="shared" ref="F238:W238" si="25">SUM(F239:F253)</f>
        <v>0</v>
      </c>
      <c r="G238" s="2372">
        <f t="shared" si="25"/>
        <v>0</v>
      </c>
      <c r="H238" s="2372">
        <f t="shared" si="25"/>
        <v>0</v>
      </c>
      <c r="I238" s="2372">
        <f t="shared" si="25"/>
        <v>0</v>
      </c>
      <c r="J238" s="2372">
        <f t="shared" si="25"/>
        <v>0</v>
      </c>
      <c r="K238" s="2372">
        <f t="shared" si="25"/>
        <v>0</v>
      </c>
      <c r="L238" s="2372">
        <f t="shared" si="25"/>
        <v>0</v>
      </c>
      <c r="M238" s="2372">
        <f t="shared" si="25"/>
        <v>0</v>
      </c>
      <c r="N238" s="2372">
        <f t="shared" si="25"/>
        <v>0</v>
      </c>
      <c r="O238" s="2372">
        <f t="shared" si="25"/>
        <v>0</v>
      </c>
      <c r="P238" s="2372">
        <f t="shared" si="25"/>
        <v>0</v>
      </c>
      <c r="Q238" s="2372">
        <f t="shared" si="25"/>
        <v>0</v>
      </c>
      <c r="R238" s="2372">
        <f t="shared" si="25"/>
        <v>0</v>
      </c>
      <c r="S238" s="2372">
        <f t="shared" si="25"/>
        <v>0</v>
      </c>
      <c r="T238" s="2372">
        <f t="shared" si="25"/>
        <v>0</v>
      </c>
      <c r="U238" s="2372">
        <f t="shared" si="25"/>
        <v>0</v>
      </c>
      <c r="V238" s="2372">
        <f t="shared" si="25"/>
        <v>0</v>
      </c>
      <c r="W238" s="2372">
        <f t="shared" si="25"/>
        <v>0</v>
      </c>
      <c r="X238" s="2454"/>
      <c r="Y238" s="2318"/>
      <c r="Z238" s="2452"/>
      <c r="AA238" s="996"/>
      <c r="AB238" s="2452"/>
      <c r="AC238" s="996"/>
    </row>
    <row r="239" spans="1:29" s="166" customFormat="1" ht="12.6" customHeight="1">
      <c r="A239" s="2095"/>
      <c r="B239" s="2856" t="s">
        <v>290</v>
      </c>
      <c r="C239" s="2856"/>
      <c r="D239" s="2856"/>
      <c r="E239" s="2847">
        <f t="shared" ref="E239:W239" si="26">SUM(E240:E244)</f>
        <v>20542.12</v>
      </c>
      <c r="F239" s="2847">
        <f t="shared" si="26"/>
        <v>0</v>
      </c>
      <c r="G239" s="2847">
        <f t="shared" si="26"/>
        <v>0</v>
      </c>
      <c r="H239" s="2847">
        <f t="shared" si="26"/>
        <v>0</v>
      </c>
      <c r="I239" s="2847">
        <f t="shared" si="26"/>
        <v>0</v>
      </c>
      <c r="J239" s="2847">
        <f t="shared" si="26"/>
        <v>0</v>
      </c>
      <c r="K239" s="2847">
        <f t="shared" si="26"/>
        <v>0</v>
      </c>
      <c r="L239" s="2847">
        <f t="shared" si="26"/>
        <v>0</v>
      </c>
      <c r="M239" s="2847">
        <f t="shared" si="26"/>
        <v>0</v>
      </c>
      <c r="N239" s="2847">
        <f t="shared" si="26"/>
        <v>0</v>
      </c>
      <c r="O239" s="2847">
        <f t="shared" si="26"/>
        <v>0</v>
      </c>
      <c r="P239" s="2847">
        <f t="shared" si="26"/>
        <v>0</v>
      </c>
      <c r="Q239" s="2847">
        <f t="shared" si="26"/>
        <v>0</v>
      </c>
      <c r="R239" s="2847">
        <f t="shared" si="26"/>
        <v>0</v>
      </c>
      <c r="S239" s="2847">
        <f t="shared" si="26"/>
        <v>0</v>
      </c>
      <c r="T239" s="2847">
        <f t="shared" si="26"/>
        <v>0</v>
      </c>
      <c r="U239" s="2847">
        <f t="shared" si="26"/>
        <v>0</v>
      </c>
      <c r="V239" s="2847">
        <f t="shared" si="26"/>
        <v>0</v>
      </c>
      <c r="W239" s="2847">
        <f t="shared" si="26"/>
        <v>0</v>
      </c>
      <c r="Z239" s="2454"/>
      <c r="AA239" s="2318"/>
      <c r="AB239" s="2454"/>
      <c r="AC239" s="2318"/>
    </row>
    <row r="240" spans="1:29" s="2103" customFormat="1" ht="12.6" customHeight="1">
      <c r="A240" s="2097"/>
      <c r="B240" s="2856"/>
      <c r="C240" s="2856"/>
      <c r="D240" s="2856"/>
      <c r="E240" s="2847"/>
      <c r="F240" s="2847"/>
      <c r="G240" s="2847"/>
      <c r="H240" s="2847"/>
      <c r="I240" s="2847"/>
      <c r="J240" s="2847"/>
      <c r="K240" s="2847"/>
      <c r="L240" s="2847"/>
      <c r="M240" s="2847"/>
      <c r="N240" s="2847"/>
      <c r="O240" s="2847"/>
      <c r="P240" s="2847"/>
      <c r="Q240" s="2847"/>
      <c r="R240" s="2847"/>
      <c r="S240" s="2847"/>
      <c r="T240" s="2847"/>
      <c r="U240" s="2847"/>
      <c r="V240" s="2847"/>
      <c r="W240" s="2847"/>
      <c r="X240" s="2102"/>
      <c r="Y240" s="2102"/>
      <c r="Z240" s="166"/>
      <c r="AA240" s="166"/>
      <c r="AB240" s="166"/>
      <c r="AC240" s="166"/>
    </row>
    <row r="241" spans="1:29" s="995" customFormat="1" ht="12.6" customHeight="1">
      <c r="A241" s="991"/>
      <c r="B241" s="2321">
        <v>45443</v>
      </c>
      <c r="C241" s="2379"/>
      <c r="D241" s="2378" t="s">
        <v>35</v>
      </c>
      <c r="E241" s="2369">
        <f>$T$8</f>
        <v>12214</v>
      </c>
      <c r="F241" s="2369"/>
      <c r="G241" s="2369"/>
      <c r="H241" s="2369"/>
      <c r="I241" s="2369"/>
      <c r="J241" s="2369"/>
      <c r="K241" s="2369"/>
      <c r="L241" s="2369"/>
      <c r="M241" s="2369"/>
      <c r="N241" s="2369"/>
      <c r="O241" s="2369"/>
      <c r="P241" s="2369"/>
      <c r="Q241" s="2369"/>
      <c r="R241" s="2369"/>
      <c r="S241" s="2369"/>
      <c r="T241" s="2369"/>
      <c r="U241" s="2369"/>
      <c r="V241" s="2369"/>
      <c r="W241" s="2369"/>
      <c r="X241" s="2102"/>
      <c r="Y241" s="2102"/>
      <c r="Z241" s="2102"/>
      <c r="AA241" s="2102"/>
      <c r="AB241" s="2102"/>
      <c r="AC241" s="2102"/>
    </row>
    <row r="242" spans="1:29" s="995" customFormat="1" ht="12.6" customHeight="1">
      <c r="A242" s="991"/>
      <c r="B242" s="2321">
        <v>45443</v>
      </c>
      <c r="C242" s="2379"/>
      <c r="D242" s="2378" t="s">
        <v>34</v>
      </c>
      <c r="E242" s="2369">
        <f>$T$9-$X$7</f>
        <v>8108.12</v>
      </c>
      <c r="F242" s="2369"/>
      <c r="G242" s="2369"/>
      <c r="H242" s="2369"/>
      <c r="I242" s="2369"/>
      <c r="J242" s="2369"/>
      <c r="K242" s="2369"/>
      <c r="L242" s="2369"/>
      <c r="M242" s="2369"/>
      <c r="N242" s="2369"/>
      <c r="O242" s="2369"/>
      <c r="P242" s="2369"/>
      <c r="Q242" s="2369"/>
      <c r="R242" s="2369"/>
      <c r="S242" s="2369"/>
      <c r="T242" s="2369"/>
      <c r="U242" s="2369"/>
      <c r="V242" s="2369"/>
      <c r="W242" s="2369"/>
      <c r="X242" s="2102"/>
      <c r="Y242" s="2102"/>
      <c r="Z242" s="2102"/>
      <c r="AA242" s="2102"/>
      <c r="AB242" s="2102"/>
      <c r="AC242" s="2102"/>
    </row>
    <row r="243" spans="1:29" s="995" customFormat="1" ht="12.6" customHeight="1">
      <c r="A243" s="991"/>
      <c r="B243" s="2321">
        <v>45443</v>
      </c>
      <c r="C243" s="2379"/>
      <c r="D243" s="2378" t="s">
        <v>33</v>
      </c>
      <c r="E243" s="2369">
        <f>$Y$10</f>
        <v>220</v>
      </c>
      <c r="F243" s="2369"/>
      <c r="G243" s="2369"/>
      <c r="H243" s="2369"/>
      <c r="I243" s="2369"/>
      <c r="J243" s="2369"/>
      <c r="K243" s="2369"/>
      <c r="L243" s="2369"/>
      <c r="M243" s="2369"/>
      <c r="N243" s="2369"/>
      <c r="O243" s="2369"/>
      <c r="P243" s="2369"/>
      <c r="Q243" s="2369"/>
      <c r="R243" s="2369"/>
      <c r="S243" s="2369"/>
      <c r="T243" s="2369"/>
      <c r="U243" s="2369"/>
      <c r="V243" s="2369"/>
      <c r="W243" s="2369"/>
      <c r="X243" s="2102"/>
      <c r="Y243" s="2102"/>
      <c r="Z243" s="2102"/>
      <c r="AA243" s="2102"/>
      <c r="AB243" s="2102"/>
      <c r="AC243" s="2102"/>
    </row>
    <row r="244" spans="1:29" s="995" customFormat="1" ht="12.6" customHeight="1">
      <c r="A244" s="991"/>
      <c r="B244" s="2321"/>
      <c r="C244" s="2379"/>
      <c r="D244" s="2378"/>
      <c r="E244" s="2369"/>
      <c r="F244" s="2369"/>
      <c r="G244" s="2369"/>
      <c r="H244" s="2369"/>
      <c r="I244" s="2369"/>
      <c r="J244" s="2369"/>
      <c r="K244" s="2369"/>
      <c r="L244" s="2369"/>
      <c r="M244" s="2369"/>
      <c r="N244" s="2369"/>
      <c r="O244" s="2369"/>
      <c r="P244" s="2369"/>
      <c r="Q244" s="2369"/>
      <c r="R244" s="2369"/>
      <c r="S244" s="2369"/>
      <c r="T244" s="2369"/>
      <c r="U244" s="2369"/>
      <c r="V244" s="2369"/>
      <c r="W244" s="2369"/>
      <c r="X244" s="2102"/>
      <c r="Y244" s="2102"/>
      <c r="Z244" s="2102"/>
      <c r="AA244" s="2102"/>
      <c r="AB244" s="2102"/>
      <c r="AC244" s="2102"/>
    </row>
    <row r="245" spans="1:29" s="2103" customFormat="1" ht="12.6" customHeight="1">
      <c r="A245" s="2097"/>
      <c r="B245" s="2867" t="s">
        <v>289</v>
      </c>
      <c r="C245" s="2867"/>
      <c r="D245" s="2867"/>
      <c r="E245" s="2838">
        <f>SUM(E246:E255)</f>
        <v>0</v>
      </c>
      <c r="F245" s="2838">
        <f t="shared" ref="F245" si="27">SUM(F246:F255)</f>
        <v>0</v>
      </c>
      <c r="G245" s="2838">
        <f t="shared" ref="G245" si="28">SUM(G246:G255)</f>
        <v>0</v>
      </c>
      <c r="H245" s="2838">
        <f t="shared" ref="H245" si="29">SUM(H246:H255)</f>
        <v>0</v>
      </c>
      <c r="I245" s="2838">
        <f t="shared" ref="I245" si="30">SUM(I246:I255)</f>
        <v>0</v>
      </c>
      <c r="J245" s="2838">
        <f t="shared" ref="J245" si="31">SUM(J246:J255)</f>
        <v>0</v>
      </c>
      <c r="K245" s="2838">
        <f t="shared" ref="K245" si="32">SUM(K246:K255)</f>
        <v>0</v>
      </c>
      <c r="L245" s="2838">
        <f t="shared" ref="L245" si="33">SUM(L246:L255)</f>
        <v>0</v>
      </c>
      <c r="M245" s="2838">
        <f t="shared" ref="M245" si="34">SUM(M246:M255)</f>
        <v>0</v>
      </c>
      <c r="N245" s="2838">
        <f t="shared" ref="N245" si="35">SUM(N246:N255)</f>
        <v>0</v>
      </c>
      <c r="O245" s="2838">
        <f t="shared" ref="O245" si="36">SUM(O246:O255)</f>
        <v>0</v>
      </c>
      <c r="P245" s="2838">
        <f t="shared" ref="P245" si="37">SUM(P246:P255)</f>
        <v>0</v>
      </c>
      <c r="Q245" s="2838">
        <f t="shared" ref="Q245" si="38">SUM(Q246:Q255)</f>
        <v>0</v>
      </c>
      <c r="R245" s="2838">
        <f t="shared" ref="R245" si="39">SUM(R246:R255)</f>
        <v>0</v>
      </c>
      <c r="S245" s="2838">
        <f t="shared" ref="S245" si="40">SUM(S246:S255)</f>
        <v>0</v>
      </c>
      <c r="T245" s="2838">
        <f t="shared" ref="T245" si="41">SUM(T246:T255)</f>
        <v>0</v>
      </c>
      <c r="U245" s="2838">
        <f t="shared" ref="U245" si="42">SUM(U246:U255)</f>
        <v>0</v>
      </c>
      <c r="V245" s="2838">
        <f t="shared" ref="V245" si="43">SUM(V246:V255)</f>
        <v>0</v>
      </c>
      <c r="W245" s="2838">
        <f t="shared" ref="W245" si="44">SUM(W246:W255)</f>
        <v>0</v>
      </c>
      <c r="X245" s="2102"/>
      <c r="Y245" s="2102"/>
      <c r="Z245" s="2102"/>
      <c r="AA245" s="2102"/>
      <c r="AB245" s="2102"/>
      <c r="AC245" s="2102"/>
    </row>
    <row r="246" spans="1:29" s="995" customFormat="1" ht="12.6" customHeight="1">
      <c r="A246" s="991"/>
      <c r="B246" s="2863"/>
      <c r="C246" s="2863"/>
      <c r="D246" s="2863"/>
      <c r="E246" s="2839"/>
      <c r="F246" s="2839"/>
      <c r="G246" s="2839"/>
      <c r="H246" s="2839"/>
      <c r="I246" s="2839"/>
      <c r="J246" s="2839"/>
      <c r="K246" s="2839"/>
      <c r="L246" s="2839"/>
      <c r="M246" s="2839"/>
      <c r="N246" s="2839"/>
      <c r="O246" s="2839"/>
      <c r="P246" s="2839"/>
      <c r="Q246" s="2839"/>
      <c r="R246" s="2839"/>
      <c r="S246" s="2839"/>
      <c r="T246" s="2839"/>
      <c r="U246" s="2839"/>
      <c r="V246" s="2839"/>
      <c r="W246" s="2839"/>
      <c r="X246" s="2102"/>
      <c r="Y246" s="2102"/>
      <c r="Z246" s="2102"/>
      <c r="AA246" s="2102"/>
      <c r="AB246" s="2102"/>
      <c r="AC246" s="2102"/>
    </row>
    <row r="247" spans="1:29" s="166" customFormat="1" ht="12.6" customHeight="1">
      <c r="A247" s="2095"/>
      <c r="B247" s="2376"/>
      <c r="C247" s="2377"/>
      <c r="D247" s="2375"/>
      <c r="E247" s="2373"/>
      <c r="F247" s="2373"/>
      <c r="G247" s="2373"/>
      <c r="H247" s="2373"/>
      <c r="I247" s="2373"/>
      <c r="J247" s="2373"/>
      <c r="K247" s="2373"/>
      <c r="L247" s="2373"/>
      <c r="M247" s="2373"/>
      <c r="N247" s="2373"/>
      <c r="O247" s="2373"/>
      <c r="P247" s="2373"/>
      <c r="Q247" s="2373"/>
      <c r="R247" s="2373"/>
      <c r="S247" s="2373"/>
      <c r="T247" s="2373"/>
      <c r="U247" s="2373"/>
      <c r="V247" s="2373"/>
      <c r="W247" s="2373"/>
      <c r="X247" s="105"/>
      <c r="Y247" s="105"/>
      <c r="Z247" s="2102"/>
      <c r="AA247" s="2102"/>
      <c r="AB247" s="2102"/>
      <c r="AC247" s="2102"/>
    </row>
    <row r="248" spans="1:29" s="166" customFormat="1" ht="12.6" customHeight="1">
      <c r="A248" s="2095"/>
      <c r="B248" s="2376"/>
      <c r="C248" s="2377"/>
      <c r="D248" s="2375" t="s">
        <v>42</v>
      </c>
      <c r="E248" s="2373">
        <f t="shared" ref="E248:E255" si="45">SUM(F248:W248)</f>
        <v>0</v>
      </c>
      <c r="F248" s="2373"/>
      <c r="G248" s="2373"/>
      <c r="H248" s="2373"/>
      <c r="I248" s="2373"/>
      <c r="J248" s="2373"/>
      <c r="K248" s="2373"/>
      <c r="L248" s="2373"/>
      <c r="M248" s="2373"/>
      <c r="N248" s="2373"/>
      <c r="O248" s="2373"/>
      <c r="P248" s="2373"/>
      <c r="Q248" s="2373"/>
      <c r="R248" s="2373"/>
      <c r="S248" s="2373"/>
      <c r="T248" s="2373"/>
      <c r="U248" s="2373"/>
      <c r="V248" s="2373"/>
      <c r="W248" s="2373"/>
      <c r="X248" s="105"/>
      <c r="Y248" s="105"/>
      <c r="Z248" s="105"/>
      <c r="AA248" s="105"/>
      <c r="AB248" s="105"/>
      <c r="AC248" s="105"/>
    </row>
    <row r="249" spans="1:29" s="166" customFormat="1" ht="12.6" customHeight="1">
      <c r="A249" s="2095"/>
      <c r="B249" s="2376"/>
      <c r="C249" s="2377"/>
      <c r="D249" s="2375" t="s">
        <v>41</v>
      </c>
      <c r="E249" s="2373">
        <f t="shared" si="45"/>
        <v>0</v>
      </c>
      <c r="F249" s="2373"/>
      <c r="G249" s="2373"/>
      <c r="H249" s="2373"/>
      <c r="I249" s="2373"/>
      <c r="J249" s="2373"/>
      <c r="K249" s="2373"/>
      <c r="L249" s="2373"/>
      <c r="M249" s="2373"/>
      <c r="N249" s="2373"/>
      <c r="O249" s="2373"/>
      <c r="P249" s="2373"/>
      <c r="Q249" s="2373"/>
      <c r="R249" s="2373"/>
      <c r="S249" s="2373"/>
      <c r="T249" s="2373"/>
      <c r="U249" s="2373"/>
      <c r="V249" s="2373"/>
      <c r="W249" s="2373"/>
      <c r="X249" s="105"/>
      <c r="Y249" s="105"/>
      <c r="Z249" s="105"/>
      <c r="AA249" s="105"/>
      <c r="AB249" s="105"/>
      <c r="AC249" s="105"/>
    </row>
    <row r="250" spans="1:29" s="166" customFormat="1" ht="12.6" customHeight="1">
      <c r="A250" s="2095"/>
      <c r="B250" s="2376"/>
      <c r="C250" s="2377"/>
      <c r="D250" s="2375" t="s">
        <v>1348</v>
      </c>
      <c r="E250" s="2373">
        <f t="shared" si="45"/>
        <v>0</v>
      </c>
      <c r="F250" s="2373"/>
      <c r="G250" s="2373"/>
      <c r="H250" s="2373"/>
      <c r="I250" s="2373"/>
      <c r="J250" s="2373"/>
      <c r="K250" s="2373"/>
      <c r="L250" s="2373"/>
      <c r="M250" s="2373"/>
      <c r="N250" s="2373"/>
      <c r="O250" s="2373"/>
      <c r="P250" s="2373"/>
      <c r="Q250" s="2373"/>
      <c r="R250" s="2373"/>
      <c r="S250" s="2373"/>
      <c r="T250" s="2373"/>
      <c r="U250" s="2373"/>
      <c r="V250" s="2373"/>
      <c r="W250" s="2373"/>
      <c r="X250" s="105"/>
      <c r="Y250" s="105"/>
      <c r="Z250" s="105"/>
      <c r="AA250" s="105"/>
      <c r="AB250" s="105"/>
      <c r="AC250" s="105"/>
    </row>
    <row r="251" spans="1:29" s="166" customFormat="1" ht="12.6" customHeight="1">
      <c r="A251" s="2095"/>
      <c r="B251" s="2376"/>
      <c r="C251" s="2377"/>
      <c r="D251" s="2375" t="s">
        <v>39</v>
      </c>
      <c r="E251" s="2373">
        <f t="shared" si="45"/>
        <v>0</v>
      </c>
      <c r="F251" s="2373"/>
      <c r="G251" s="2373"/>
      <c r="H251" s="2373"/>
      <c r="I251" s="2373"/>
      <c r="J251" s="2373"/>
      <c r="K251" s="2373"/>
      <c r="L251" s="2373"/>
      <c r="M251" s="2373"/>
      <c r="N251" s="2373"/>
      <c r="O251" s="2373"/>
      <c r="P251" s="2373"/>
      <c r="Q251" s="2373"/>
      <c r="R251" s="2373"/>
      <c r="S251" s="2373"/>
      <c r="T251" s="2373"/>
      <c r="U251" s="2373"/>
      <c r="V251" s="2373"/>
      <c r="W251" s="2373"/>
      <c r="X251" s="105"/>
      <c r="Y251" s="105"/>
      <c r="Z251" s="105"/>
      <c r="AA251" s="105"/>
      <c r="AB251" s="105"/>
      <c r="AC251" s="105"/>
    </row>
    <row r="252" spans="1:29" s="166" customFormat="1" ht="12.6" customHeight="1">
      <c r="A252" s="2095"/>
      <c r="B252" s="2376"/>
      <c r="C252" s="2377"/>
      <c r="D252" s="2375" t="s">
        <v>123</v>
      </c>
      <c r="E252" s="2373">
        <f t="shared" si="45"/>
        <v>0</v>
      </c>
      <c r="F252" s="2373"/>
      <c r="G252" s="2373"/>
      <c r="H252" s="2373"/>
      <c r="I252" s="2373"/>
      <c r="J252" s="2373"/>
      <c r="K252" s="2373"/>
      <c r="L252" s="2373"/>
      <c r="M252" s="2373"/>
      <c r="N252" s="2373"/>
      <c r="O252" s="2373"/>
      <c r="P252" s="2373"/>
      <c r="Q252" s="2373"/>
      <c r="R252" s="2373"/>
      <c r="S252" s="2373"/>
      <c r="T252" s="2373"/>
      <c r="U252" s="2373"/>
      <c r="V252" s="2373"/>
      <c r="W252" s="2373"/>
      <c r="X252" s="105"/>
      <c r="Y252" s="105"/>
      <c r="Z252" s="105"/>
      <c r="AA252" s="105"/>
      <c r="AB252" s="105"/>
      <c r="AC252" s="105"/>
    </row>
    <row r="253" spans="1:29" s="166" customFormat="1" ht="12.6" customHeight="1">
      <c r="A253" s="2095"/>
      <c r="B253" s="2376"/>
      <c r="C253" s="2377"/>
      <c r="D253" s="2375" t="s">
        <v>37</v>
      </c>
      <c r="E253" s="2373">
        <f t="shared" si="45"/>
        <v>0</v>
      </c>
      <c r="F253" s="2373"/>
      <c r="G253" s="2373"/>
      <c r="H253" s="2373"/>
      <c r="I253" s="2373"/>
      <c r="J253" s="2373"/>
      <c r="K253" s="2373"/>
      <c r="L253" s="2373"/>
      <c r="M253" s="2373"/>
      <c r="N253" s="2373"/>
      <c r="O253" s="2373"/>
      <c r="P253" s="2373"/>
      <c r="Q253" s="2373"/>
      <c r="R253" s="2373"/>
      <c r="S253" s="2373"/>
      <c r="T253" s="2373"/>
      <c r="U253" s="2373"/>
      <c r="V253" s="2373"/>
      <c r="W253" s="2373"/>
      <c r="X253" s="105"/>
      <c r="Y253" s="105"/>
      <c r="Z253" s="105"/>
      <c r="AA253" s="105"/>
      <c r="AB253" s="105"/>
      <c r="AC253" s="105"/>
    </row>
    <row r="254" spans="1:29" s="166" customFormat="1" ht="12.6" customHeight="1">
      <c r="A254" s="2095"/>
      <c r="B254" s="2376"/>
      <c r="C254" s="2377"/>
      <c r="D254" s="2375" t="s">
        <v>123</v>
      </c>
      <c r="E254" s="2373">
        <f t="shared" si="45"/>
        <v>0</v>
      </c>
      <c r="F254" s="2373"/>
      <c r="G254" s="2373"/>
      <c r="H254" s="2373"/>
      <c r="I254" s="2373"/>
      <c r="J254" s="2373"/>
      <c r="K254" s="2373"/>
      <c r="L254" s="2373"/>
      <c r="M254" s="2373"/>
      <c r="N254" s="2373"/>
      <c r="O254" s="2373"/>
      <c r="P254" s="2373"/>
      <c r="Q254" s="2373"/>
      <c r="R254" s="2373"/>
      <c r="S254" s="2373"/>
      <c r="T254" s="2373"/>
      <c r="U254" s="2373"/>
      <c r="V254" s="2373"/>
      <c r="W254" s="2373"/>
      <c r="X254" s="105"/>
      <c r="Y254" s="105"/>
      <c r="Z254" s="105"/>
      <c r="AA254" s="105"/>
      <c r="AB254" s="105"/>
      <c r="AC254" s="105"/>
    </row>
    <row r="255" spans="1:29" s="166" customFormat="1" ht="12.6" customHeight="1">
      <c r="A255" s="2095"/>
      <c r="B255" s="2376"/>
      <c r="C255" s="2377"/>
      <c r="D255" s="2375" t="s">
        <v>37</v>
      </c>
      <c r="E255" s="2373">
        <f t="shared" si="45"/>
        <v>0</v>
      </c>
      <c r="F255" s="2373"/>
      <c r="G255" s="2373"/>
      <c r="H255" s="2373"/>
      <c r="I255" s="2373"/>
      <c r="J255" s="2373"/>
      <c r="K255" s="2373"/>
      <c r="L255" s="2373"/>
      <c r="M255" s="2373"/>
      <c r="N255" s="2373"/>
      <c r="O255" s="2373"/>
      <c r="P255" s="2373"/>
      <c r="Q255" s="2373"/>
      <c r="R255" s="2373"/>
      <c r="S255" s="2373"/>
      <c r="T255" s="2373"/>
      <c r="U255" s="2373"/>
      <c r="V255" s="2373"/>
      <c r="W255" s="2373"/>
      <c r="X255" s="105"/>
      <c r="Y255" s="105"/>
      <c r="Z255" s="105"/>
      <c r="AA255" s="105"/>
      <c r="AB255" s="105"/>
      <c r="AC255" s="105"/>
    </row>
    <row r="256" spans="1:29" s="2103" customFormat="1" ht="12.6" customHeight="1">
      <c r="A256" s="2097"/>
      <c r="B256" s="2853" t="s">
        <v>1647</v>
      </c>
      <c r="C256" s="2853"/>
      <c r="D256" s="2853"/>
      <c r="E256" s="2848">
        <f t="shared" ref="E256:W256" si="46">SUM(E257:E284)</f>
        <v>18155.52</v>
      </c>
      <c r="F256" s="2848">
        <f t="shared" si="46"/>
        <v>550</v>
      </c>
      <c r="G256" s="2848">
        <f t="shared" si="46"/>
        <v>966.42</v>
      </c>
      <c r="H256" s="2848">
        <f t="shared" si="46"/>
        <v>0</v>
      </c>
      <c r="I256" s="2848">
        <f t="shared" si="46"/>
        <v>0</v>
      </c>
      <c r="J256" s="2848">
        <f t="shared" si="46"/>
        <v>1607</v>
      </c>
      <c r="K256" s="2848">
        <f t="shared" si="46"/>
        <v>620</v>
      </c>
      <c r="L256" s="2848">
        <f t="shared" si="46"/>
        <v>0</v>
      </c>
      <c r="M256" s="2848">
        <f t="shared" si="46"/>
        <v>4315</v>
      </c>
      <c r="N256" s="2848">
        <f t="shared" si="46"/>
        <v>770</v>
      </c>
      <c r="O256" s="2848">
        <f t="shared" si="46"/>
        <v>0</v>
      </c>
      <c r="P256" s="2848">
        <f t="shared" si="46"/>
        <v>1543.62</v>
      </c>
      <c r="Q256" s="2848">
        <f t="shared" si="46"/>
        <v>5357.1100000000006</v>
      </c>
      <c r="R256" s="2848">
        <f t="shared" si="46"/>
        <v>425</v>
      </c>
      <c r="S256" s="2848">
        <f t="shared" si="46"/>
        <v>0</v>
      </c>
      <c r="T256" s="2848">
        <f t="shared" si="46"/>
        <v>1398.7800000000002</v>
      </c>
      <c r="U256" s="2848">
        <f t="shared" si="46"/>
        <v>0</v>
      </c>
      <c r="V256" s="2848">
        <f t="shared" si="46"/>
        <v>602.59</v>
      </c>
      <c r="W256" s="2848">
        <f t="shared" si="46"/>
        <v>4315</v>
      </c>
      <c r="X256" s="105"/>
      <c r="Y256" s="105"/>
      <c r="Z256" s="105"/>
      <c r="AA256" s="105"/>
      <c r="AB256" s="105"/>
      <c r="AC256" s="105"/>
    </row>
    <row r="257" spans="1:29" s="995" customFormat="1" ht="12.6" customHeight="1">
      <c r="A257" s="991"/>
      <c r="B257" s="2853"/>
      <c r="C257" s="2853"/>
      <c r="D257" s="2853"/>
      <c r="E257" s="2848"/>
      <c r="F257" s="2848"/>
      <c r="G257" s="2848"/>
      <c r="H257" s="2848"/>
      <c r="I257" s="2848"/>
      <c r="J257" s="2848"/>
      <c r="K257" s="2848"/>
      <c r="L257" s="2848"/>
      <c r="M257" s="2848"/>
      <c r="N257" s="2848"/>
      <c r="O257" s="2848"/>
      <c r="P257" s="2848"/>
      <c r="Q257" s="2848"/>
      <c r="R257" s="2848"/>
      <c r="S257" s="2848"/>
      <c r="T257" s="2848"/>
      <c r="U257" s="2848"/>
      <c r="V257" s="2848"/>
      <c r="W257" s="2848"/>
      <c r="X257" s="105"/>
      <c r="Y257" s="105"/>
      <c r="Z257" s="105"/>
      <c r="AA257" s="105"/>
      <c r="AB257" s="105"/>
      <c r="AC257" s="105"/>
    </row>
    <row r="258" spans="1:29" s="995" customFormat="1" ht="12.6" customHeight="1">
      <c r="A258" s="991"/>
      <c r="B258" s="2319">
        <v>45443</v>
      </c>
      <c r="C258" s="2319"/>
      <c r="D258" s="2320" t="s">
        <v>1466</v>
      </c>
      <c r="E258" s="2370">
        <f t="shared" ref="E258:E271" si="47">SUM(F258:W258)</f>
        <v>778</v>
      </c>
      <c r="F258" s="2370">
        <f>$V$7</f>
        <v>419</v>
      </c>
      <c r="G258" s="2370"/>
      <c r="H258" s="2370"/>
      <c r="I258" s="2370"/>
      <c r="J258" s="2370"/>
      <c r="K258" s="2370"/>
      <c r="L258" s="2370"/>
      <c r="M258" s="2370"/>
      <c r="N258" s="2370"/>
      <c r="O258" s="2370"/>
      <c r="P258" s="2370"/>
      <c r="Q258" s="2370"/>
      <c r="R258" s="2370"/>
      <c r="S258" s="2370"/>
      <c r="T258" s="2370">
        <f>$V$8</f>
        <v>359</v>
      </c>
      <c r="U258" s="2370"/>
      <c r="V258" s="2370"/>
      <c r="W258" s="2370"/>
      <c r="X258" s="2452"/>
      <c r="Y258" s="996"/>
      <c r="Z258" s="105"/>
      <c r="AA258" s="105"/>
      <c r="AB258" s="105"/>
      <c r="AC258" s="105"/>
    </row>
    <row r="259" spans="1:29" s="995" customFormat="1" ht="12.6" customHeight="1">
      <c r="A259" s="991"/>
      <c r="B259" s="2319">
        <v>45444</v>
      </c>
      <c r="C259" s="2319"/>
      <c r="D259" s="2320" t="s">
        <v>29</v>
      </c>
      <c r="E259" s="2370">
        <f t="shared" si="47"/>
        <v>69</v>
      </c>
      <c r="F259" s="2370">
        <f>$U$1</f>
        <v>69</v>
      </c>
      <c r="G259" s="2370"/>
      <c r="H259" s="2370"/>
      <c r="I259" s="2370"/>
      <c r="J259" s="2370"/>
      <c r="K259" s="2370"/>
      <c r="L259" s="2370"/>
      <c r="M259" s="2370"/>
      <c r="N259" s="2370"/>
      <c r="O259" s="2370"/>
      <c r="P259" s="2370"/>
      <c r="Q259" s="2370"/>
      <c r="R259" s="2370"/>
      <c r="S259" s="2370"/>
      <c r="T259" s="2370"/>
      <c r="U259" s="2370"/>
      <c r="V259" s="2370"/>
      <c r="W259" s="2370"/>
      <c r="X259" s="2452"/>
      <c r="Y259" s="996"/>
      <c r="Z259" s="2452"/>
      <c r="AA259" s="996"/>
      <c r="AB259" s="2452"/>
      <c r="AC259" s="996"/>
    </row>
    <row r="260" spans="1:29" s="995" customFormat="1" ht="12.6" customHeight="1">
      <c r="A260" s="991"/>
      <c r="B260" s="2319">
        <v>45444</v>
      </c>
      <c r="C260" s="2319"/>
      <c r="D260" s="2320" t="s">
        <v>30</v>
      </c>
      <c r="E260" s="2370">
        <v>4315</v>
      </c>
      <c r="F260" s="2370"/>
      <c r="G260" s="2370"/>
      <c r="H260" s="2370"/>
      <c r="I260" s="2370"/>
      <c r="J260" s="2370"/>
      <c r="K260" s="2370"/>
      <c r="L260" s="2370"/>
      <c r="M260" s="2370">
        <v>4315</v>
      </c>
      <c r="N260" s="2370"/>
      <c r="O260" s="2370"/>
      <c r="P260" s="2370"/>
      <c r="Q260" s="2370"/>
      <c r="R260" s="2370"/>
      <c r="S260" s="2370"/>
      <c r="T260" s="2370"/>
      <c r="U260" s="2370"/>
      <c r="V260" s="2370"/>
      <c r="W260" s="2370">
        <v>4315</v>
      </c>
      <c r="X260" s="2452"/>
      <c r="Y260" s="996"/>
      <c r="Z260" s="2452"/>
      <c r="AA260" s="996"/>
      <c r="AB260" s="2452"/>
      <c r="AC260" s="996"/>
    </row>
    <row r="261" spans="1:29" s="995" customFormat="1" ht="12.6" customHeight="1">
      <c r="A261" s="991"/>
      <c r="B261" s="2319">
        <v>45444</v>
      </c>
      <c r="C261" s="2319"/>
      <c r="D261" s="2320" t="s">
        <v>1352</v>
      </c>
      <c r="E261" s="2370">
        <f t="shared" si="47"/>
        <v>630</v>
      </c>
      <c r="F261" s="2370"/>
      <c r="G261" s="2370"/>
      <c r="H261" s="2370"/>
      <c r="I261" s="2370"/>
      <c r="J261" s="2370"/>
      <c r="K261" s="2370"/>
      <c r="L261" s="2370"/>
      <c r="M261" s="2370"/>
      <c r="N261" s="2370">
        <f>$T$6</f>
        <v>630</v>
      </c>
      <c r="O261" s="2370"/>
      <c r="P261" s="2370"/>
      <c r="Q261" s="2370"/>
      <c r="R261" s="2370"/>
      <c r="S261" s="2370"/>
      <c r="T261" s="2370"/>
      <c r="U261" s="2370"/>
      <c r="V261" s="2370"/>
      <c r="W261" s="2370"/>
      <c r="X261" s="2452"/>
      <c r="Y261" s="996"/>
      <c r="Z261" s="2452"/>
      <c r="AA261" s="996"/>
      <c r="AB261" s="2452"/>
      <c r="AC261" s="996"/>
    </row>
    <row r="262" spans="1:29" s="995" customFormat="1" ht="12.6" customHeight="1">
      <c r="A262" s="991"/>
      <c r="B262" s="2319">
        <v>45444</v>
      </c>
      <c r="C262" s="2319"/>
      <c r="D262" s="2320" t="s">
        <v>26</v>
      </c>
      <c r="E262" s="2370">
        <f t="shared" si="47"/>
        <v>602.59</v>
      </c>
      <c r="F262" s="2370"/>
      <c r="G262" s="2370"/>
      <c r="H262" s="2370"/>
      <c r="I262" s="2370"/>
      <c r="J262" s="2370"/>
      <c r="K262" s="2370"/>
      <c r="L262" s="2370"/>
      <c r="M262" s="2370"/>
      <c r="N262" s="2370"/>
      <c r="O262" s="2370"/>
      <c r="P262" s="2370"/>
      <c r="Q262" s="2370"/>
      <c r="R262" s="2370"/>
      <c r="S262" s="2370"/>
      <c r="T262" s="2370"/>
      <c r="U262" s="2370"/>
      <c r="V262" s="2370">
        <f>$AA$11</f>
        <v>602.59</v>
      </c>
      <c r="W262" s="2370"/>
      <c r="X262" s="2452"/>
      <c r="Y262" s="996"/>
      <c r="Z262" s="2452"/>
      <c r="AA262" s="996"/>
      <c r="AB262" s="2452"/>
      <c r="AC262" s="996"/>
    </row>
    <row r="263" spans="1:29" s="995" customFormat="1" ht="12.6" customHeight="1">
      <c r="A263" s="991"/>
      <c r="B263" s="2319">
        <v>45444</v>
      </c>
      <c r="C263" s="2319"/>
      <c r="D263" s="2320" t="s">
        <v>25</v>
      </c>
      <c r="E263" s="2370">
        <f t="shared" si="47"/>
        <v>1521.89</v>
      </c>
      <c r="F263" s="2370"/>
      <c r="G263" s="2370"/>
      <c r="H263" s="2370"/>
      <c r="I263" s="2370"/>
      <c r="J263" s="2370"/>
      <c r="K263" s="2370"/>
      <c r="L263" s="2370"/>
      <c r="M263" s="2370"/>
      <c r="N263" s="2370"/>
      <c r="O263" s="2370"/>
      <c r="P263" s="2370"/>
      <c r="Q263" s="2370">
        <f>bil!I18+bil!I17</f>
        <v>722.11</v>
      </c>
      <c r="R263" s="2370"/>
      <c r="S263" s="2370"/>
      <c r="T263" s="2370">
        <f>199.93+199.68+199.96+200.21</f>
        <v>799.78000000000009</v>
      </c>
      <c r="U263" s="2370"/>
      <c r="V263" s="2370"/>
      <c r="W263" s="2370"/>
      <c r="X263" s="2452"/>
      <c r="Y263" s="996"/>
      <c r="Z263" s="2452"/>
      <c r="AA263" s="996"/>
      <c r="AB263" s="2452"/>
      <c r="AC263" s="996"/>
    </row>
    <row r="264" spans="1:29" s="995" customFormat="1" ht="12.6" customHeight="1">
      <c r="A264" s="991"/>
      <c r="B264" s="2319">
        <v>45444</v>
      </c>
      <c r="C264" s="2319"/>
      <c r="D264" s="2320" t="s">
        <v>22</v>
      </c>
      <c r="E264" s="2370">
        <f t="shared" si="47"/>
        <v>208</v>
      </c>
      <c r="F264" s="2370"/>
      <c r="G264" s="2370"/>
      <c r="H264" s="2370"/>
      <c r="I264" s="2370"/>
      <c r="J264" s="2370"/>
      <c r="K264" s="2370"/>
      <c r="L264" s="2370"/>
      <c r="M264" s="2370"/>
      <c r="N264" s="2370"/>
      <c r="O264" s="2370"/>
      <c r="P264" s="2370">
        <f>$Y$11</f>
        <v>208</v>
      </c>
      <c r="Q264" s="2370"/>
      <c r="R264" s="2370"/>
      <c r="S264" s="2370"/>
      <c r="T264" s="2370"/>
      <c r="U264" s="2370"/>
      <c r="V264" s="2370"/>
      <c r="W264" s="2370"/>
      <c r="X264" s="2452"/>
      <c r="Y264" s="996"/>
      <c r="Z264" s="2452"/>
      <c r="AA264" s="996"/>
      <c r="AB264" s="2452"/>
      <c r="AC264" s="996"/>
    </row>
    <row r="265" spans="1:29" s="995" customFormat="1" ht="12.6" customHeight="1">
      <c r="A265" s="991"/>
      <c r="B265" s="2319">
        <v>45444</v>
      </c>
      <c r="C265" s="2319"/>
      <c r="D265" s="2320" t="s">
        <v>21</v>
      </c>
      <c r="E265" s="2370">
        <f t="shared" si="47"/>
        <v>465</v>
      </c>
      <c r="F265" s="2370"/>
      <c r="G265" s="2370"/>
      <c r="H265" s="2370"/>
      <c r="I265" s="2370"/>
      <c r="J265" s="2370"/>
      <c r="K265" s="2370"/>
      <c r="L265" s="2370"/>
      <c r="M265" s="2370"/>
      <c r="N265" s="2370"/>
      <c r="O265" s="2370"/>
      <c r="P265" s="2370">
        <f>$W$1</f>
        <v>465</v>
      </c>
      <c r="Q265" s="2370"/>
      <c r="R265" s="2370"/>
      <c r="S265" s="2370"/>
      <c r="T265" s="2370"/>
      <c r="U265" s="2370"/>
      <c r="V265" s="2370"/>
      <c r="W265" s="2370"/>
      <c r="X265" s="2452"/>
      <c r="Y265" s="996"/>
      <c r="Z265" s="2452"/>
      <c r="AA265" s="996"/>
      <c r="AB265" s="2452"/>
      <c r="AC265" s="996"/>
    </row>
    <row r="266" spans="1:29" s="995" customFormat="1" ht="12.6" customHeight="1">
      <c r="A266" s="991"/>
      <c r="B266" s="2319">
        <v>45444</v>
      </c>
      <c r="C266" s="2319"/>
      <c r="D266" s="2320" t="s">
        <v>27</v>
      </c>
      <c r="E266" s="2370">
        <f t="shared" si="47"/>
        <v>870.62</v>
      </c>
      <c r="F266" s="2370"/>
      <c r="G266" s="2370"/>
      <c r="H266" s="2370"/>
      <c r="I266" s="2370"/>
      <c r="J266" s="2370"/>
      <c r="K266" s="2370"/>
      <c r="L266" s="2370"/>
      <c r="M266" s="2370"/>
      <c r="N266" s="2370"/>
      <c r="O266" s="2370"/>
      <c r="P266" s="2370">
        <f>$T$4</f>
        <v>870.62</v>
      </c>
      <c r="Q266" s="2370"/>
      <c r="R266" s="2370"/>
      <c r="S266" s="2370"/>
      <c r="T266" s="2370"/>
      <c r="U266" s="2370"/>
      <c r="V266" s="2370"/>
      <c r="W266" s="2370"/>
      <c r="X266" s="2452"/>
      <c r="Y266" s="996"/>
      <c r="Z266" s="2452"/>
      <c r="AA266" s="996"/>
      <c r="AB266" s="2452"/>
      <c r="AC266" s="996"/>
    </row>
    <row r="267" spans="1:29" s="995" customFormat="1" ht="12.6" customHeight="1">
      <c r="A267" s="991"/>
      <c r="B267" s="2319">
        <v>45444</v>
      </c>
      <c r="C267" s="2319"/>
      <c r="D267" s="2320" t="s">
        <v>1496</v>
      </c>
      <c r="E267" s="2370">
        <f t="shared" si="47"/>
        <v>0</v>
      </c>
      <c r="F267" s="2370"/>
      <c r="G267" s="2370"/>
      <c r="H267" s="2370"/>
      <c r="I267" s="2370"/>
      <c r="J267" s="2370"/>
      <c r="K267" s="2370"/>
      <c r="L267" s="2370"/>
      <c r="M267" s="2370"/>
      <c r="N267" s="2370"/>
      <c r="O267" s="2370"/>
      <c r="P267" s="2370"/>
      <c r="Q267" s="2370"/>
      <c r="R267" s="2370"/>
      <c r="S267" s="2370"/>
      <c r="T267" s="2370"/>
      <c r="U267" s="2370"/>
      <c r="V267" s="2370"/>
      <c r="W267" s="2370"/>
      <c r="X267" s="2452"/>
      <c r="Y267" s="996"/>
      <c r="Z267" s="2452"/>
      <c r="AA267" s="996"/>
      <c r="AB267" s="2452"/>
      <c r="AC267" s="996"/>
    </row>
    <row r="268" spans="1:29" s="995" customFormat="1" ht="12.6" customHeight="1">
      <c r="A268" s="991"/>
      <c r="B268" s="2319">
        <v>45444</v>
      </c>
      <c r="C268" s="2319"/>
      <c r="D268" s="2320" t="s">
        <v>28</v>
      </c>
      <c r="E268" s="2370">
        <f t="shared" si="47"/>
        <v>0</v>
      </c>
      <c r="F268" s="2370"/>
      <c r="G268" s="2370"/>
      <c r="H268" s="2370"/>
      <c r="I268" s="2370"/>
      <c r="J268" s="2370"/>
      <c r="K268" s="2370"/>
      <c r="L268" s="2370"/>
      <c r="M268" s="2370"/>
      <c r="N268" s="2370"/>
      <c r="O268" s="2370"/>
      <c r="P268" s="2370"/>
      <c r="Q268" s="2370"/>
      <c r="R268" s="2370"/>
      <c r="S268" s="2370"/>
      <c r="T268" s="2370"/>
      <c r="U268" s="2370"/>
      <c r="V268" s="2370"/>
      <c r="W268" s="2370"/>
      <c r="X268" s="2452"/>
      <c r="Y268" s="996"/>
      <c r="Z268" s="2452"/>
      <c r="AA268" s="996"/>
      <c r="AB268" s="2452"/>
      <c r="AC268" s="996"/>
    </row>
    <row r="269" spans="1:29" s="995" customFormat="1" ht="12.6" customHeight="1">
      <c r="A269" s="991"/>
      <c r="B269" s="2319">
        <v>45444</v>
      </c>
      <c r="C269" s="2319"/>
      <c r="D269" s="2320" t="s">
        <v>23</v>
      </c>
      <c r="E269" s="2370">
        <f t="shared" si="47"/>
        <v>0</v>
      </c>
      <c r="F269" s="2370"/>
      <c r="G269" s="2370"/>
      <c r="H269" s="2370"/>
      <c r="I269" s="2370"/>
      <c r="J269" s="2370"/>
      <c r="K269" s="2370"/>
      <c r="L269" s="2370"/>
      <c r="M269" s="2370"/>
      <c r="N269" s="2370"/>
      <c r="O269" s="2370"/>
      <c r="P269" s="2370"/>
      <c r="Q269" s="2370"/>
      <c r="R269" s="2370"/>
      <c r="S269" s="2370"/>
      <c r="T269" s="2370"/>
      <c r="U269" s="2370"/>
      <c r="V269" s="2370"/>
      <c r="W269" s="2370"/>
      <c r="X269" s="2452"/>
      <c r="Y269" s="996"/>
      <c r="Z269" s="2452"/>
      <c r="AA269" s="996"/>
      <c r="AB269" s="2452"/>
      <c r="AC269" s="996"/>
    </row>
    <row r="270" spans="1:29" s="995" customFormat="1" ht="12.6" customHeight="1">
      <c r="A270" s="991"/>
      <c r="B270" s="2319">
        <v>45444</v>
      </c>
      <c r="C270" s="2319"/>
      <c r="D270" s="2320" t="s">
        <v>126</v>
      </c>
      <c r="E270" s="2370">
        <f t="shared" si="47"/>
        <v>45</v>
      </c>
      <c r="F270" s="2370"/>
      <c r="G270" s="2370"/>
      <c r="H270" s="2370"/>
      <c r="I270" s="2370"/>
      <c r="J270" s="2370"/>
      <c r="K270" s="2370"/>
      <c r="L270" s="2370"/>
      <c r="M270" s="2370"/>
      <c r="N270" s="2370"/>
      <c r="O270" s="2370"/>
      <c r="P270" s="2370"/>
      <c r="Q270" s="2370"/>
      <c r="R270" s="2370">
        <f>$X$5</f>
        <v>45</v>
      </c>
      <c r="S270" s="2370"/>
      <c r="T270" s="2370"/>
      <c r="U270" s="2370"/>
      <c r="V270" s="2370"/>
      <c r="W270" s="2370"/>
      <c r="X270" s="2452"/>
      <c r="Y270" s="996"/>
      <c r="Z270" s="2452"/>
      <c r="AA270" s="996"/>
      <c r="AB270" s="2452"/>
      <c r="AC270" s="996"/>
    </row>
    <row r="271" spans="1:29" s="995" customFormat="1" ht="12.6" customHeight="1">
      <c r="A271" s="991"/>
      <c r="B271" s="2319">
        <v>45444</v>
      </c>
      <c r="C271" s="2319"/>
      <c r="D271" s="2320" t="s">
        <v>1495</v>
      </c>
      <c r="E271" s="2370">
        <f t="shared" si="47"/>
        <v>608</v>
      </c>
      <c r="F271" s="2370">
        <f>$Y$19</f>
        <v>62</v>
      </c>
      <c r="G271" s="2370"/>
      <c r="H271" s="2370"/>
      <c r="I271" s="2370"/>
      <c r="J271" s="2370"/>
      <c r="K271" s="2370"/>
      <c r="L271" s="2370"/>
      <c r="M271" s="2370"/>
      <c r="N271" s="2370"/>
      <c r="O271" s="2370"/>
      <c r="P271" s="2370"/>
      <c r="Q271" s="2370">
        <f>$Y$20</f>
        <v>306</v>
      </c>
      <c r="R271" s="2370"/>
      <c r="S271" s="2370"/>
      <c r="T271" s="2370">
        <f>$Y$21</f>
        <v>240</v>
      </c>
      <c r="U271" s="2370"/>
      <c r="V271" s="2370"/>
      <c r="W271" s="2370"/>
      <c r="X271" s="2452"/>
      <c r="Y271" s="996"/>
      <c r="Z271" s="2452"/>
      <c r="AA271" s="996"/>
      <c r="AB271" s="2452"/>
      <c r="AC271" s="996"/>
    </row>
    <row r="272" spans="1:29" s="995" customFormat="1" ht="12.6" customHeight="1">
      <c r="A272" s="991"/>
      <c r="B272" s="2319">
        <v>45448</v>
      </c>
      <c r="C272" s="2319"/>
      <c r="D272" s="2320" t="s">
        <v>1706</v>
      </c>
      <c r="E272" s="2370">
        <v>140</v>
      </c>
      <c r="F272" s="2370"/>
      <c r="G272" s="2370"/>
      <c r="H272" s="2370"/>
      <c r="I272" s="2370"/>
      <c r="J272" s="2370"/>
      <c r="K272" s="2370"/>
      <c r="L272" s="2370"/>
      <c r="M272" s="2370"/>
      <c r="N272" s="2370">
        <v>140</v>
      </c>
      <c r="O272" s="2370"/>
      <c r="P272" s="2370"/>
      <c r="Q272" s="2370"/>
      <c r="R272" s="2370"/>
      <c r="S272" s="2370"/>
      <c r="T272" s="2370"/>
      <c r="U272" s="2370"/>
      <c r="V272" s="2370"/>
      <c r="W272" s="2370"/>
      <c r="X272" s="2452"/>
      <c r="Y272" s="996"/>
      <c r="Z272" s="2452"/>
      <c r="AA272" s="996"/>
      <c r="AB272" s="2452"/>
      <c r="AC272" s="996"/>
    </row>
    <row r="273" spans="1:29" s="995" customFormat="1" ht="12.6" customHeight="1">
      <c r="A273" s="991"/>
      <c r="B273" s="2319">
        <v>45420</v>
      </c>
      <c r="C273" s="2319"/>
      <c r="D273" s="2320" t="s">
        <v>1103</v>
      </c>
      <c r="E273" s="2370">
        <f>SUM(F273:W273)</f>
        <v>4300</v>
      </c>
      <c r="F273" s="2370"/>
      <c r="G273" s="2370"/>
      <c r="H273" s="2370"/>
      <c r="I273" s="2370"/>
      <c r="J273" s="2370"/>
      <c r="K273" s="2370"/>
      <c r="L273" s="2370"/>
      <c r="M273" s="2370"/>
      <c r="N273" s="2370"/>
      <c r="O273" s="2370"/>
      <c r="P273" s="2370"/>
      <c r="Q273" s="2370">
        <f>$V$3</f>
        <v>4300</v>
      </c>
      <c r="R273" s="2370"/>
      <c r="S273" s="2370"/>
      <c r="T273" s="2370"/>
      <c r="U273" s="2370"/>
      <c r="V273" s="2370"/>
      <c r="W273" s="2370"/>
      <c r="X273" s="2452"/>
      <c r="Y273" s="996"/>
      <c r="Z273" s="2452"/>
      <c r="AA273" s="996"/>
      <c r="AB273" s="2452"/>
      <c r="AC273" s="996"/>
    </row>
    <row r="274" spans="1:29" s="995" customFormat="1" ht="12.6" customHeight="1">
      <c r="A274" s="991"/>
      <c r="B274" s="2319">
        <v>45458</v>
      </c>
      <c r="C274" s="2319"/>
      <c r="D274" s="2320" t="s">
        <v>140</v>
      </c>
      <c r="E274" s="2370">
        <v>966.42</v>
      </c>
      <c r="F274" s="2370"/>
      <c r="G274" s="2370">
        <v>966.42</v>
      </c>
      <c r="H274" s="2370"/>
      <c r="I274" s="2370"/>
      <c r="J274" s="2370"/>
      <c r="K274" s="2370"/>
      <c r="L274" s="2370"/>
      <c r="M274" s="2370"/>
      <c r="N274" s="2370"/>
      <c r="O274" s="2370"/>
      <c r="P274" s="2370"/>
      <c r="Q274" s="2370"/>
      <c r="R274" s="2370"/>
      <c r="S274" s="2370"/>
      <c r="T274" s="2370"/>
      <c r="U274" s="2370"/>
      <c r="V274" s="2370"/>
      <c r="W274" s="2370"/>
      <c r="X274" s="2452"/>
      <c r="Y274" s="996"/>
      <c r="Z274" s="2452"/>
      <c r="AA274" s="996"/>
      <c r="AB274" s="2452"/>
      <c r="AC274" s="996"/>
    </row>
    <row r="275" spans="1:29" s="995" customFormat="1" ht="12.6" customHeight="1">
      <c r="A275" s="991"/>
      <c r="B275" s="2319">
        <v>45458</v>
      </c>
      <c r="C275" s="2319"/>
      <c r="D275" s="2320" t="s">
        <v>1656</v>
      </c>
      <c r="E275" s="2370">
        <f>SUM(F275:W275)</f>
        <v>240</v>
      </c>
      <c r="F275" s="2370"/>
      <c r="G275" s="2370"/>
      <c r="H275" s="2370"/>
      <c r="I275" s="2370"/>
      <c r="J275" s="2370"/>
      <c r="K275" s="2370"/>
      <c r="L275" s="2370"/>
      <c r="M275" s="2370"/>
      <c r="N275" s="2370"/>
      <c r="O275" s="2370"/>
      <c r="P275" s="2370"/>
      <c r="Q275" s="2370"/>
      <c r="R275" s="2370">
        <v>240</v>
      </c>
      <c r="S275" s="2370"/>
      <c r="T275" s="2370"/>
      <c r="U275" s="2370"/>
      <c r="V275" s="2370"/>
      <c r="W275" s="2370"/>
      <c r="X275" s="2452"/>
      <c r="Y275" s="996"/>
      <c r="Z275" s="2452"/>
      <c r="AA275" s="996"/>
      <c r="AB275" s="2452"/>
      <c r="AC275" s="996"/>
    </row>
    <row r="276" spans="1:29" s="995" customFormat="1" ht="12.6" customHeight="1">
      <c r="A276" s="991"/>
      <c r="B276" s="2319">
        <v>45462</v>
      </c>
      <c r="C276" s="2319"/>
      <c r="D276" s="2320" t="s">
        <v>1655</v>
      </c>
      <c r="E276" s="2370">
        <v>140</v>
      </c>
      <c r="F276" s="2370"/>
      <c r="G276" s="2370"/>
      <c r="H276" s="2370"/>
      <c r="I276" s="2370"/>
      <c r="J276" s="2370"/>
      <c r="K276" s="2370"/>
      <c r="L276" s="2370"/>
      <c r="M276" s="2370"/>
      <c r="N276" s="2370"/>
      <c r="O276" s="2370"/>
      <c r="P276" s="2370"/>
      <c r="Q276" s="2370"/>
      <c r="R276" s="2370">
        <v>140</v>
      </c>
      <c r="S276" s="2370"/>
      <c r="T276" s="2370"/>
      <c r="U276" s="2370"/>
      <c r="V276" s="2370"/>
      <c r="W276" s="2370"/>
      <c r="X276" s="2452"/>
      <c r="Y276" s="996"/>
      <c r="Z276" s="2452"/>
      <c r="AA276" s="996"/>
      <c r="AB276" s="2452"/>
      <c r="AC276" s="996"/>
    </row>
    <row r="277" spans="1:29" s="995" customFormat="1" ht="12.6" customHeight="1">
      <c r="A277" s="991"/>
      <c r="B277" s="2319">
        <v>45471</v>
      </c>
      <c r="C277" s="2319"/>
      <c r="D277" s="2320" t="s">
        <v>1646</v>
      </c>
      <c r="E277" s="2370">
        <v>29</v>
      </c>
      <c r="F277" s="2370"/>
      <c r="G277" s="2370"/>
      <c r="H277" s="2370"/>
      <c r="I277" s="2370"/>
      <c r="J277" s="2370"/>
      <c r="K277" s="2370"/>
      <c r="L277" s="2370"/>
      <c r="M277" s="2370"/>
      <c r="N277" s="2370"/>
      <c r="O277" s="2370"/>
      <c r="P277" s="2370"/>
      <c r="Q277" s="2370">
        <v>29</v>
      </c>
      <c r="R277" s="2370"/>
      <c r="S277" s="2370"/>
      <c r="T277" s="2370"/>
      <c r="U277" s="2370"/>
      <c r="V277" s="2370"/>
      <c r="W277" s="2370"/>
      <c r="X277" s="2452"/>
      <c r="Y277" s="996"/>
      <c r="Z277" s="2452"/>
      <c r="AA277" s="996"/>
      <c r="AB277" s="2452"/>
      <c r="AC277" s="996"/>
    </row>
    <row r="278" spans="1:29" s="995" customFormat="1" ht="12.6" customHeight="1">
      <c r="A278" s="991"/>
      <c r="B278" s="2319"/>
      <c r="C278" s="2319"/>
      <c r="D278" s="2320" t="s">
        <v>1354</v>
      </c>
      <c r="E278" s="2370">
        <f>SUM(F278:W278)</f>
        <v>0</v>
      </c>
      <c r="F278" s="2370"/>
      <c r="G278" s="2370"/>
      <c r="H278" s="2370"/>
      <c r="I278" s="2370"/>
      <c r="J278" s="2370"/>
      <c r="K278" s="2370"/>
      <c r="L278" s="2370"/>
      <c r="M278" s="2370"/>
      <c r="N278" s="2370"/>
      <c r="O278" s="2370"/>
      <c r="P278" s="2370"/>
      <c r="Q278" s="2370"/>
      <c r="R278" s="2370"/>
      <c r="S278" s="2370"/>
      <c r="T278" s="2370"/>
      <c r="U278" s="2370"/>
      <c r="V278" s="2370"/>
      <c r="W278" s="2370"/>
      <c r="X278" s="2452"/>
      <c r="Y278" s="996"/>
      <c r="Z278" s="2452"/>
      <c r="AA278" s="996"/>
      <c r="AB278" s="2452"/>
      <c r="AC278" s="996"/>
    </row>
    <row r="279" spans="1:29" s="995" customFormat="1" ht="12.6" customHeight="1">
      <c r="A279" s="991"/>
      <c r="B279" s="2319"/>
      <c r="C279" s="2319"/>
      <c r="D279" s="2320" t="s">
        <v>15</v>
      </c>
      <c r="E279" s="2370">
        <f t="shared" ref="E279:E284" si="48">SUM(G279:W279)</f>
        <v>0</v>
      </c>
      <c r="F279" s="2370"/>
      <c r="G279" s="2370"/>
      <c r="H279" s="2370"/>
      <c r="I279" s="2370"/>
      <c r="J279" s="2370"/>
      <c r="K279" s="2370"/>
      <c r="L279" s="2370"/>
      <c r="M279" s="2370"/>
      <c r="N279" s="2370"/>
      <c r="O279" s="2370"/>
      <c r="P279" s="2370"/>
      <c r="Q279" s="2370"/>
      <c r="R279" s="2370"/>
      <c r="S279" s="2370"/>
      <c r="T279" s="2370"/>
      <c r="U279" s="2370"/>
      <c r="V279" s="2370"/>
      <c r="W279" s="2370"/>
      <c r="X279" s="2452"/>
      <c r="Y279" s="996"/>
      <c r="Z279" s="2452"/>
      <c r="AA279" s="996"/>
      <c r="AB279" s="2452"/>
      <c r="AC279" s="996"/>
    </row>
    <row r="280" spans="1:29" s="995" customFormat="1" ht="12.6" customHeight="1">
      <c r="A280" s="991"/>
      <c r="B280" s="2319"/>
      <c r="C280" s="2319"/>
      <c r="D280" s="2320" t="s">
        <v>14</v>
      </c>
      <c r="E280" s="2370">
        <f t="shared" si="48"/>
        <v>620</v>
      </c>
      <c r="F280" s="2370"/>
      <c r="G280" s="2370"/>
      <c r="H280" s="2370"/>
      <c r="I280" s="2370"/>
      <c r="J280" s="2370"/>
      <c r="K280" s="2370">
        <v>620</v>
      </c>
      <c r="L280" s="2370"/>
      <c r="M280" s="2370"/>
      <c r="N280" s="2370"/>
      <c r="O280" s="2370"/>
      <c r="P280" s="2370"/>
      <c r="Q280" s="2370"/>
      <c r="R280" s="2370"/>
      <c r="S280" s="2370"/>
      <c r="T280" s="2370"/>
      <c r="U280" s="2370"/>
      <c r="V280" s="2370"/>
      <c r="W280" s="2370"/>
      <c r="X280" s="2452"/>
      <c r="Y280" s="996"/>
      <c r="Z280" s="2452"/>
      <c r="AA280" s="996"/>
      <c r="AB280" s="2452"/>
      <c r="AC280" s="996"/>
    </row>
    <row r="281" spans="1:29" s="995" customFormat="1" ht="12.6" customHeight="1">
      <c r="A281" s="991"/>
      <c r="B281" s="2319"/>
      <c r="C281" s="2319"/>
      <c r="D281" s="2320" t="s">
        <v>384</v>
      </c>
      <c r="E281" s="2370">
        <f t="shared" si="48"/>
        <v>1607</v>
      </c>
      <c r="F281" s="2370"/>
      <c r="G281" s="2370"/>
      <c r="H281" s="2370"/>
      <c r="I281" s="2370"/>
      <c r="J281" s="2370">
        <f>medicin!$T$4</f>
        <v>1607</v>
      </c>
      <c r="K281" s="2370"/>
      <c r="L281" s="2370"/>
      <c r="M281" s="2370"/>
      <c r="N281" s="2370"/>
      <c r="O281" s="2370"/>
      <c r="P281" s="2370"/>
      <c r="Q281" s="2370"/>
      <c r="R281" s="2370"/>
      <c r="S281" s="2370"/>
      <c r="T281" s="2370"/>
      <c r="U281" s="2370"/>
      <c r="V281" s="2370"/>
      <c r="W281" s="2370"/>
      <c r="X281" s="2452"/>
      <c r="Y281" s="996"/>
      <c r="Z281" s="2452"/>
      <c r="AA281" s="996"/>
      <c r="AB281" s="2452"/>
      <c r="AC281" s="996"/>
    </row>
    <row r="282" spans="1:29" s="995" customFormat="1" ht="12.6" customHeight="1">
      <c r="A282" s="991"/>
      <c r="B282" s="2319"/>
      <c r="C282" s="2319"/>
      <c r="D282" s="2320"/>
      <c r="E282" s="2370">
        <f t="shared" si="48"/>
        <v>0</v>
      </c>
      <c r="F282" s="2370"/>
      <c r="G282" s="2370"/>
      <c r="H282" s="2370"/>
      <c r="I282" s="2370"/>
      <c r="J282" s="2370"/>
      <c r="K282" s="2370"/>
      <c r="L282" s="2370"/>
      <c r="M282" s="2370"/>
      <c r="N282" s="2370"/>
      <c r="O282" s="2370"/>
      <c r="P282" s="2370"/>
      <c r="Q282" s="2370"/>
      <c r="R282" s="2370"/>
      <c r="S282" s="2370"/>
      <c r="T282" s="2370"/>
      <c r="U282" s="2370"/>
      <c r="V282" s="2370"/>
      <c r="W282" s="2370"/>
      <c r="X282" s="2452"/>
      <c r="Y282" s="996"/>
      <c r="Z282" s="2452"/>
      <c r="AA282" s="996"/>
      <c r="AB282" s="2452"/>
      <c r="AC282" s="996"/>
    </row>
    <row r="283" spans="1:29" s="995" customFormat="1" ht="12.6" customHeight="1">
      <c r="A283" s="991"/>
      <c r="B283" s="2319"/>
      <c r="C283" s="2319"/>
      <c r="D283" s="2320"/>
      <c r="E283" s="2370">
        <f t="shared" si="48"/>
        <v>0</v>
      </c>
      <c r="F283" s="2370"/>
      <c r="G283" s="2370"/>
      <c r="H283" s="2370"/>
      <c r="I283" s="2370"/>
      <c r="J283" s="2370"/>
      <c r="K283" s="2370"/>
      <c r="L283" s="2370"/>
      <c r="M283" s="2370"/>
      <c r="N283" s="2370"/>
      <c r="O283" s="2370"/>
      <c r="P283" s="2370"/>
      <c r="Q283" s="2370"/>
      <c r="R283" s="2370"/>
      <c r="S283" s="2370"/>
      <c r="T283" s="2370"/>
      <c r="U283" s="2370"/>
      <c r="V283" s="2370"/>
      <c r="W283" s="2370"/>
      <c r="X283" s="2452"/>
      <c r="Y283" s="996"/>
      <c r="Z283" s="2452"/>
      <c r="AA283" s="996"/>
      <c r="AB283" s="2452"/>
      <c r="AC283" s="996"/>
    </row>
    <row r="284" spans="1:29" s="995" customFormat="1" ht="12.6" customHeight="1">
      <c r="A284" s="991"/>
      <c r="B284" s="2319"/>
      <c r="C284" s="2319"/>
      <c r="D284" s="2320"/>
      <c r="E284" s="2370">
        <f t="shared" si="48"/>
        <v>0</v>
      </c>
      <c r="F284" s="2370"/>
      <c r="G284" s="2370"/>
      <c r="H284" s="2370"/>
      <c r="I284" s="2370"/>
      <c r="J284" s="2370"/>
      <c r="K284" s="2370"/>
      <c r="L284" s="2370"/>
      <c r="M284" s="2370"/>
      <c r="N284" s="2370"/>
      <c r="O284" s="2370"/>
      <c r="P284" s="2370"/>
      <c r="Q284" s="2370"/>
      <c r="R284" s="2370"/>
      <c r="S284" s="2370"/>
      <c r="T284" s="2370"/>
      <c r="U284" s="2370"/>
      <c r="V284" s="2370"/>
      <c r="W284" s="2370"/>
      <c r="X284" s="2452"/>
      <c r="Y284" s="996"/>
      <c r="Z284" s="2452"/>
      <c r="AA284" s="996"/>
      <c r="AB284" s="2452"/>
      <c r="AC284" s="996"/>
    </row>
    <row r="285" spans="1:29" s="2194" customFormat="1" ht="12.6" customHeight="1">
      <c r="A285" s="996"/>
      <c r="B285" s="2191"/>
      <c r="C285" s="2192"/>
      <c r="D285" s="2193"/>
      <c r="E285" s="2371"/>
      <c r="F285" s="2371"/>
      <c r="G285" s="2371"/>
      <c r="H285" s="2371"/>
      <c r="I285" s="2371"/>
      <c r="J285" s="2371"/>
      <c r="K285" s="2371"/>
      <c r="L285" s="2371"/>
      <c r="M285" s="2371"/>
      <c r="N285" s="2371"/>
      <c r="O285" s="2371"/>
      <c r="P285" s="2371"/>
      <c r="Q285" s="2371"/>
      <c r="R285" s="2371"/>
      <c r="S285" s="2371"/>
      <c r="T285" s="2371"/>
      <c r="U285" s="2371"/>
      <c r="V285" s="2371"/>
      <c r="W285" s="2371"/>
      <c r="X285" s="2452"/>
      <c r="Y285" s="996"/>
      <c r="Z285" s="2452"/>
      <c r="AA285" s="996"/>
      <c r="AB285" s="2452"/>
      <c r="AC285" s="996"/>
    </row>
    <row r="286" spans="1:29" s="2103" customFormat="1" ht="24" customHeight="1">
      <c r="A286" s="2317"/>
      <c r="B286" s="2871">
        <v>31</v>
      </c>
      <c r="C286" s="2871"/>
      <c r="D286" s="2871"/>
      <c r="E286" s="2372">
        <f ca="1">SUM(E293+E304)</f>
        <v>13334.275808219179</v>
      </c>
      <c r="F286" s="2372">
        <f t="shared" ref="F286:W286" si="49">SUM(F287:F301)</f>
        <v>0</v>
      </c>
      <c r="G286" s="2372">
        <f t="shared" si="49"/>
        <v>0</v>
      </c>
      <c r="H286" s="2372">
        <f t="shared" si="49"/>
        <v>0</v>
      </c>
      <c r="I286" s="2372">
        <f t="shared" si="49"/>
        <v>0</v>
      </c>
      <c r="J286" s="2372">
        <f t="shared" si="49"/>
        <v>0</v>
      </c>
      <c r="K286" s="2372">
        <f t="shared" si="49"/>
        <v>0</v>
      </c>
      <c r="L286" s="2372">
        <f t="shared" si="49"/>
        <v>0</v>
      </c>
      <c r="M286" s="2372">
        <f t="shared" si="49"/>
        <v>0</v>
      </c>
      <c r="N286" s="2372">
        <f t="shared" si="49"/>
        <v>0</v>
      </c>
      <c r="O286" s="2372">
        <f t="shared" si="49"/>
        <v>0</v>
      </c>
      <c r="P286" s="2372">
        <f t="shared" si="49"/>
        <v>0</v>
      </c>
      <c r="Q286" s="2372">
        <f t="shared" si="49"/>
        <v>0</v>
      </c>
      <c r="R286" s="2372">
        <f t="shared" si="49"/>
        <v>0</v>
      </c>
      <c r="S286" s="2372">
        <f t="shared" si="49"/>
        <v>0</v>
      </c>
      <c r="T286" s="2372">
        <f t="shared" si="49"/>
        <v>0</v>
      </c>
      <c r="U286" s="2372">
        <f t="shared" si="49"/>
        <v>0</v>
      </c>
      <c r="V286" s="2372">
        <f t="shared" si="49"/>
        <v>0</v>
      </c>
      <c r="W286" s="2372">
        <f t="shared" si="49"/>
        <v>0</v>
      </c>
      <c r="X286" s="2454"/>
      <c r="Y286" s="2318"/>
      <c r="Z286" s="2452"/>
      <c r="AA286" s="996"/>
      <c r="AB286" s="2452"/>
      <c r="AC286" s="996"/>
    </row>
    <row r="287" spans="1:29" s="166" customFormat="1" ht="12.6" customHeight="1">
      <c r="A287" s="2095"/>
      <c r="B287" s="2856" t="s">
        <v>290</v>
      </c>
      <c r="C287" s="2856"/>
      <c r="D287" s="2856"/>
      <c r="E287" s="2847">
        <f t="shared" ref="E287:W287" si="50">SUM(E288:E292)</f>
        <v>20542.12</v>
      </c>
      <c r="F287" s="2847">
        <f t="shared" si="50"/>
        <v>0</v>
      </c>
      <c r="G287" s="2847">
        <f t="shared" si="50"/>
        <v>0</v>
      </c>
      <c r="H287" s="2847">
        <f t="shared" si="50"/>
        <v>0</v>
      </c>
      <c r="I287" s="2847">
        <f t="shared" si="50"/>
        <v>0</v>
      </c>
      <c r="J287" s="2847">
        <f t="shared" si="50"/>
        <v>0</v>
      </c>
      <c r="K287" s="2847">
        <f t="shared" si="50"/>
        <v>0</v>
      </c>
      <c r="L287" s="2847">
        <f t="shared" si="50"/>
        <v>0</v>
      </c>
      <c r="M287" s="2847">
        <f t="shared" si="50"/>
        <v>0</v>
      </c>
      <c r="N287" s="2847">
        <f t="shared" si="50"/>
        <v>0</v>
      </c>
      <c r="O287" s="2847">
        <f t="shared" si="50"/>
        <v>0</v>
      </c>
      <c r="P287" s="2847">
        <f t="shared" si="50"/>
        <v>0</v>
      </c>
      <c r="Q287" s="2847">
        <f t="shared" si="50"/>
        <v>0</v>
      </c>
      <c r="R287" s="2847">
        <f t="shared" si="50"/>
        <v>0</v>
      </c>
      <c r="S287" s="2847">
        <f t="shared" si="50"/>
        <v>0</v>
      </c>
      <c r="T287" s="2847">
        <f t="shared" si="50"/>
        <v>0</v>
      </c>
      <c r="U287" s="2847">
        <f t="shared" si="50"/>
        <v>0</v>
      </c>
      <c r="V287" s="2847">
        <f t="shared" si="50"/>
        <v>0</v>
      </c>
      <c r="W287" s="2847">
        <f t="shared" si="50"/>
        <v>0</v>
      </c>
      <c r="Z287" s="2454"/>
      <c r="AA287" s="2318"/>
      <c r="AB287" s="2454"/>
      <c r="AC287" s="2318"/>
    </row>
    <row r="288" spans="1:29" s="2103" customFormat="1" ht="12.6" customHeight="1">
      <c r="A288" s="2097"/>
      <c r="B288" s="2856"/>
      <c r="C288" s="2856"/>
      <c r="D288" s="2856"/>
      <c r="E288" s="2847"/>
      <c r="F288" s="2847"/>
      <c r="G288" s="2847"/>
      <c r="H288" s="2847"/>
      <c r="I288" s="2847"/>
      <c r="J288" s="2847"/>
      <c r="K288" s="2847"/>
      <c r="L288" s="2847"/>
      <c r="M288" s="2847"/>
      <c r="N288" s="2847"/>
      <c r="O288" s="2847"/>
      <c r="P288" s="2847"/>
      <c r="Q288" s="2847"/>
      <c r="R288" s="2847"/>
      <c r="S288" s="2847"/>
      <c r="T288" s="2847"/>
      <c r="U288" s="2847"/>
      <c r="V288" s="2847"/>
      <c r="W288" s="2847"/>
      <c r="X288" s="2102"/>
      <c r="Y288" s="2102"/>
      <c r="Z288" s="166"/>
      <c r="AA288" s="166"/>
      <c r="AB288" s="166"/>
      <c r="AC288" s="166"/>
    </row>
    <row r="289" spans="1:29" s="995" customFormat="1" ht="12.6" customHeight="1">
      <c r="A289" s="991"/>
      <c r="B289" s="2321">
        <v>45290</v>
      </c>
      <c r="C289" s="2379"/>
      <c r="D289" s="2378" t="s">
        <v>35</v>
      </c>
      <c r="E289" s="2369">
        <f>$T$8</f>
        <v>12214</v>
      </c>
      <c r="F289" s="2369"/>
      <c r="G289" s="2369"/>
      <c r="H289" s="2369"/>
      <c r="I289" s="2369"/>
      <c r="J289" s="2369"/>
      <c r="K289" s="2369"/>
      <c r="L289" s="2369"/>
      <c r="M289" s="2369"/>
      <c r="N289" s="2369"/>
      <c r="O289" s="2369"/>
      <c r="P289" s="2369"/>
      <c r="Q289" s="2369"/>
      <c r="R289" s="2369"/>
      <c r="S289" s="2369"/>
      <c r="T289" s="2369"/>
      <c r="U289" s="2369"/>
      <c r="V289" s="2369"/>
      <c r="W289" s="2369"/>
      <c r="X289" s="2102"/>
      <c r="Y289" s="2102"/>
      <c r="Z289" s="2102"/>
      <c r="AA289" s="2102"/>
      <c r="AB289" s="2102"/>
      <c r="AC289" s="2102"/>
    </row>
    <row r="290" spans="1:29" s="995" customFormat="1" ht="12.6" customHeight="1">
      <c r="A290" s="991"/>
      <c r="B290" s="2321">
        <v>45290</v>
      </c>
      <c r="C290" s="2379"/>
      <c r="D290" s="2378" t="s">
        <v>34</v>
      </c>
      <c r="E290" s="2369">
        <f>$T$9-$X$7</f>
        <v>8108.12</v>
      </c>
      <c r="F290" s="2369"/>
      <c r="G290" s="2369"/>
      <c r="H290" s="2369"/>
      <c r="I290" s="2369"/>
      <c r="J290" s="2369"/>
      <c r="K290" s="2369"/>
      <c r="L290" s="2369"/>
      <c r="M290" s="2369"/>
      <c r="N290" s="2369"/>
      <c r="O290" s="2369"/>
      <c r="P290" s="2369"/>
      <c r="Q290" s="2369"/>
      <c r="R290" s="2369"/>
      <c r="S290" s="2369"/>
      <c r="T290" s="2369"/>
      <c r="U290" s="2369"/>
      <c r="V290" s="2369"/>
      <c r="W290" s="2369"/>
      <c r="X290" s="2102"/>
      <c r="Y290" s="2102"/>
      <c r="Z290" s="2102"/>
      <c r="AA290" s="2102"/>
      <c r="AB290" s="2102"/>
      <c r="AC290" s="2102"/>
    </row>
    <row r="291" spans="1:29" s="995" customFormat="1" ht="12.6" customHeight="1">
      <c r="A291" s="991"/>
      <c r="B291" s="2321">
        <v>45292</v>
      </c>
      <c r="C291" s="2379"/>
      <c r="D291" s="2378" t="s">
        <v>33</v>
      </c>
      <c r="E291" s="2369">
        <f>$Y$10</f>
        <v>220</v>
      </c>
      <c r="F291" s="2369"/>
      <c r="G291" s="2369"/>
      <c r="H291" s="2369"/>
      <c r="I291" s="2369"/>
      <c r="J291" s="2369"/>
      <c r="K291" s="2369"/>
      <c r="L291" s="2369"/>
      <c r="M291" s="2369"/>
      <c r="N291" s="2369"/>
      <c r="O291" s="2369"/>
      <c r="P291" s="2369"/>
      <c r="Q291" s="2369"/>
      <c r="R291" s="2369"/>
      <c r="S291" s="2369"/>
      <c r="T291" s="2369"/>
      <c r="U291" s="2369"/>
      <c r="V291" s="2369"/>
      <c r="W291" s="2369"/>
      <c r="X291" s="2102"/>
      <c r="Y291" s="2102"/>
      <c r="Z291" s="2102"/>
      <c r="AA291" s="2102"/>
      <c r="AB291" s="2102"/>
      <c r="AC291" s="2102"/>
    </row>
    <row r="292" spans="1:29" s="995" customFormat="1" ht="12.6" customHeight="1">
      <c r="A292" s="991"/>
      <c r="B292" s="2321"/>
      <c r="C292" s="2379"/>
      <c r="D292" s="2378"/>
      <c r="E292" s="2369"/>
      <c r="F292" s="2369"/>
      <c r="G292" s="2369"/>
      <c r="H292" s="2369"/>
      <c r="I292" s="2369"/>
      <c r="J292" s="2369"/>
      <c r="K292" s="2369"/>
      <c r="L292" s="2369"/>
      <c r="M292" s="2369"/>
      <c r="N292" s="2369"/>
      <c r="O292" s="2369"/>
      <c r="P292" s="2369"/>
      <c r="Q292" s="2369"/>
      <c r="R292" s="2369"/>
      <c r="S292" s="2369"/>
      <c r="T292" s="2369"/>
      <c r="U292" s="2369"/>
      <c r="V292" s="2369"/>
      <c r="W292" s="2369"/>
      <c r="X292" s="2102"/>
      <c r="Y292" s="2102"/>
      <c r="Z292" s="2102"/>
      <c r="AA292" s="2102"/>
      <c r="AB292" s="2102"/>
      <c r="AC292" s="2102"/>
    </row>
    <row r="293" spans="1:29" s="2103" customFormat="1" ht="12.6" customHeight="1">
      <c r="A293" s="2097"/>
      <c r="B293" s="2867" t="s">
        <v>289</v>
      </c>
      <c r="C293" s="2867"/>
      <c r="D293" s="2867"/>
      <c r="E293" s="2838">
        <f>SUM(E294:E303)</f>
        <v>0</v>
      </c>
      <c r="F293" s="2838">
        <f t="shared" ref="F293" si="51">SUM(F294:F303)</f>
        <v>0</v>
      </c>
      <c r="G293" s="2838">
        <f t="shared" ref="G293" si="52">SUM(G294:G303)</f>
        <v>0</v>
      </c>
      <c r="H293" s="2838">
        <f t="shared" ref="H293" si="53">SUM(H294:H303)</f>
        <v>0</v>
      </c>
      <c r="I293" s="2838">
        <f t="shared" ref="I293" si="54">SUM(I294:I303)</f>
        <v>0</v>
      </c>
      <c r="J293" s="2838">
        <f t="shared" ref="J293" si="55">SUM(J294:J303)</f>
        <v>0</v>
      </c>
      <c r="K293" s="2838">
        <f t="shared" ref="K293" si="56">SUM(K294:K303)</f>
        <v>0</v>
      </c>
      <c r="L293" s="2838">
        <f t="shared" ref="L293" si="57">SUM(L294:L303)</f>
        <v>0</v>
      </c>
      <c r="M293" s="2838">
        <f t="shared" ref="M293" si="58">SUM(M294:M303)</f>
        <v>0</v>
      </c>
      <c r="N293" s="2838">
        <f t="shared" ref="N293" si="59">SUM(N294:N303)</f>
        <v>0</v>
      </c>
      <c r="O293" s="2838">
        <f t="shared" ref="O293" si="60">SUM(O294:O303)</f>
        <v>0</v>
      </c>
      <c r="P293" s="2838">
        <f t="shared" ref="P293" si="61">SUM(P294:P303)</f>
        <v>0</v>
      </c>
      <c r="Q293" s="2838">
        <f t="shared" ref="Q293" si="62">SUM(Q294:Q303)</f>
        <v>0</v>
      </c>
      <c r="R293" s="2838">
        <f t="shared" ref="R293" si="63">SUM(R294:R303)</f>
        <v>0</v>
      </c>
      <c r="S293" s="2838">
        <f t="shared" ref="S293" si="64">SUM(S294:S303)</f>
        <v>0</v>
      </c>
      <c r="T293" s="2838">
        <f t="shared" ref="T293" si="65">SUM(T294:T303)</f>
        <v>0</v>
      </c>
      <c r="U293" s="2838">
        <f t="shared" ref="U293" si="66">SUM(U294:U303)</f>
        <v>0</v>
      </c>
      <c r="V293" s="2838">
        <f t="shared" ref="V293" si="67">SUM(V294:V303)</f>
        <v>0</v>
      </c>
      <c r="W293" s="2838">
        <f t="shared" ref="W293" si="68">SUM(W294:W303)</f>
        <v>0</v>
      </c>
      <c r="X293" s="2102"/>
      <c r="Y293" s="2102"/>
      <c r="Z293" s="2102"/>
      <c r="AA293" s="2102"/>
      <c r="AB293" s="2102"/>
      <c r="AC293" s="2102"/>
    </row>
    <row r="294" spans="1:29" s="995" customFormat="1" ht="12.6" customHeight="1">
      <c r="A294" s="991"/>
      <c r="B294" s="2863"/>
      <c r="C294" s="2863"/>
      <c r="D294" s="2863"/>
      <c r="E294" s="2839"/>
      <c r="F294" s="2839"/>
      <c r="G294" s="2839"/>
      <c r="H294" s="2839"/>
      <c r="I294" s="2839"/>
      <c r="J294" s="2839"/>
      <c r="K294" s="2839"/>
      <c r="L294" s="2839"/>
      <c r="M294" s="2839"/>
      <c r="N294" s="2839"/>
      <c r="O294" s="2839"/>
      <c r="P294" s="2839"/>
      <c r="Q294" s="2839"/>
      <c r="R294" s="2839"/>
      <c r="S294" s="2839"/>
      <c r="T294" s="2839"/>
      <c r="U294" s="2839"/>
      <c r="V294" s="2839"/>
      <c r="W294" s="2839"/>
      <c r="X294" s="2102"/>
      <c r="Y294" s="2102"/>
      <c r="Z294" s="2102"/>
      <c r="AA294" s="2102"/>
      <c r="AB294" s="2102"/>
      <c r="AC294" s="2102"/>
    </row>
    <row r="295" spans="1:29" s="166" customFormat="1" ht="12.6" customHeight="1">
      <c r="A295" s="2095"/>
      <c r="B295" s="2376"/>
      <c r="C295" s="2377"/>
      <c r="D295" s="2375"/>
      <c r="E295" s="2373"/>
      <c r="F295" s="2373"/>
      <c r="G295" s="2373"/>
      <c r="H295" s="2373"/>
      <c r="I295" s="2373"/>
      <c r="J295" s="2373"/>
      <c r="K295" s="2373"/>
      <c r="L295" s="2373"/>
      <c r="M295" s="2373"/>
      <c r="N295" s="2373"/>
      <c r="O295" s="2373"/>
      <c r="P295" s="2373"/>
      <c r="Q295" s="2373"/>
      <c r="R295" s="2373"/>
      <c r="S295" s="2373"/>
      <c r="T295" s="2373"/>
      <c r="U295" s="2373"/>
      <c r="V295" s="2373"/>
      <c r="W295" s="2373"/>
      <c r="X295" s="105"/>
      <c r="Y295" s="105"/>
      <c r="Z295" s="2102"/>
      <c r="AA295" s="2102"/>
      <c r="AB295" s="2102"/>
      <c r="AC295" s="2102"/>
    </row>
    <row r="296" spans="1:29" s="166" customFormat="1" ht="12.6" customHeight="1">
      <c r="A296" s="2095"/>
      <c r="B296" s="2376"/>
      <c r="C296" s="2377"/>
      <c r="D296" s="2375" t="s">
        <v>42</v>
      </c>
      <c r="E296" s="2373">
        <f t="shared" ref="E296:E303" si="69">SUM(F296:W296)</f>
        <v>0</v>
      </c>
      <c r="F296" s="2373"/>
      <c r="G296" s="2373"/>
      <c r="H296" s="2373"/>
      <c r="I296" s="2373"/>
      <c r="J296" s="2373"/>
      <c r="K296" s="2373"/>
      <c r="L296" s="2373"/>
      <c r="M296" s="2373"/>
      <c r="N296" s="2373"/>
      <c r="O296" s="2373"/>
      <c r="P296" s="2373"/>
      <c r="Q296" s="2373"/>
      <c r="R296" s="2373"/>
      <c r="S296" s="2373"/>
      <c r="T296" s="2373"/>
      <c r="U296" s="2373"/>
      <c r="V296" s="2373"/>
      <c r="W296" s="2373"/>
      <c r="X296" s="105"/>
      <c r="Y296" s="105"/>
      <c r="Z296" s="105"/>
      <c r="AA296" s="105"/>
      <c r="AB296" s="105"/>
      <c r="AC296" s="105"/>
    </row>
    <row r="297" spans="1:29" s="166" customFormat="1" ht="12.6" customHeight="1">
      <c r="A297" s="2095"/>
      <c r="B297" s="2376"/>
      <c r="C297" s="2377"/>
      <c r="D297" s="2375" t="s">
        <v>41</v>
      </c>
      <c r="E297" s="2373">
        <f t="shared" si="69"/>
        <v>0</v>
      </c>
      <c r="F297" s="2373"/>
      <c r="G297" s="2373"/>
      <c r="H297" s="2373"/>
      <c r="I297" s="2373"/>
      <c r="J297" s="2373"/>
      <c r="K297" s="2373"/>
      <c r="L297" s="2373"/>
      <c r="M297" s="2373"/>
      <c r="N297" s="2373"/>
      <c r="O297" s="2373"/>
      <c r="P297" s="2373"/>
      <c r="Q297" s="2373"/>
      <c r="R297" s="2373"/>
      <c r="S297" s="2373"/>
      <c r="T297" s="2373"/>
      <c r="U297" s="2373"/>
      <c r="V297" s="2373"/>
      <c r="W297" s="2373"/>
      <c r="X297" s="105"/>
      <c r="Y297" s="105"/>
      <c r="Z297" s="105"/>
      <c r="AA297" s="105"/>
      <c r="AB297" s="105"/>
      <c r="AC297" s="105"/>
    </row>
    <row r="298" spans="1:29" s="166" customFormat="1" ht="12.6" customHeight="1">
      <c r="A298" s="2095"/>
      <c r="B298" s="2376"/>
      <c r="C298" s="2377"/>
      <c r="D298" s="2375" t="s">
        <v>1348</v>
      </c>
      <c r="E298" s="2373">
        <f t="shared" si="69"/>
        <v>0</v>
      </c>
      <c r="F298" s="2373"/>
      <c r="G298" s="2373"/>
      <c r="H298" s="2373"/>
      <c r="I298" s="2373"/>
      <c r="J298" s="2373"/>
      <c r="K298" s="2373"/>
      <c r="L298" s="2373"/>
      <c r="M298" s="2373"/>
      <c r="N298" s="2373"/>
      <c r="O298" s="2373"/>
      <c r="P298" s="2373"/>
      <c r="Q298" s="2373"/>
      <c r="R298" s="2373"/>
      <c r="S298" s="2373"/>
      <c r="T298" s="2373"/>
      <c r="U298" s="2373"/>
      <c r="V298" s="2373"/>
      <c r="W298" s="2373"/>
      <c r="X298" s="105"/>
      <c r="Y298" s="105"/>
      <c r="Z298" s="105"/>
      <c r="AA298" s="105"/>
      <c r="AB298" s="105"/>
      <c r="AC298" s="105"/>
    </row>
    <row r="299" spans="1:29" s="166" customFormat="1" ht="12.6" customHeight="1">
      <c r="A299" s="2095"/>
      <c r="B299" s="2376"/>
      <c r="C299" s="2377"/>
      <c r="D299" s="2375" t="s">
        <v>39</v>
      </c>
      <c r="E299" s="2373">
        <f t="shared" si="69"/>
        <v>0</v>
      </c>
      <c r="F299" s="2373"/>
      <c r="G299" s="2373"/>
      <c r="H299" s="2373"/>
      <c r="I299" s="2373"/>
      <c r="J299" s="2373"/>
      <c r="K299" s="2373"/>
      <c r="L299" s="2373"/>
      <c r="M299" s="2373"/>
      <c r="N299" s="2373"/>
      <c r="O299" s="2373"/>
      <c r="P299" s="2373"/>
      <c r="Q299" s="2373"/>
      <c r="R299" s="2373"/>
      <c r="S299" s="2373"/>
      <c r="T299" s="2373"/>
      <c r="U299" s="2373"/>
      <c r="V299" s="2373"/>
      <c r="W299" s="2373"/>
      <c r="X299" s="105"/>
      <c r="Y299" s="105"/>
      <c r="Z299" s="105"/>
      <c r="AA299" s="105"/>
      <c r="AB299" s="105"/>
      <c r="AC299" s="105"/>
    </row>
    <row r="300" spans="1:29" s="166" customFormat="1" ht="12.6" customHeight="1">
      <c r="A300" s="2095"/>
      <c r="B300" s="2376"/>
      <c r="C300" s="2377"/>
      <c r="D300" s="2375" t="s">
        <v>123</v>
      </c>
      <c r="E300" s="2373">
        <f t="shared" si="69"/>
        <v>0</v>
      </c>
      <c r="F300" s="2373"/>
      <c r="G300" s="2373"/>
      <c r="H300" s="2373"/>
      <c r="I300" s="2373"/>
      <c r="J300" s="2373"/>
      <c r="K300" s="2373"/>
      <c r="L300" s="2373"/>
      <c r="M300" s="2373"/>
      <c r="N300" s="2373"/>
      <c r="O300" s="2373"/>
      <c r="P300" s="2373"/>
      <c r="Q300" s="2373"/>
      <c r="R300" s="2373"/>
      <c r="S300" s="2373"/>
      <c r="T300" s="2373"/>
      <c r="U300" s="2373"/>
      <c r="V300" s="2373"/>
      <c r="W300" s="2373"/>
      <c r="X300" s="105"/>
      <c r="Y300" s="105"/>
      <c r="Z300" s="105"/>
      <c r="AA300" s="105"/>
      <c r="AB300" s="105"/>
      <c r="AC300" s="105"/>
    </row>
    <row r="301" spans="1:29" s="166" customFormat="1" ht="12.6" customHeight="1">
      <c r="A301" s="2095"/>
      <c r="B301" s="2376"/>
      <c r="C301" s="2377"/>
      <c r="D301" s="2375" t="s">
        <v>37</v>
      </c>
      <c r="E301" s="2373">
        <f t="shared" si="69"/>
        <v>0</v>
      </c>
      <c r="F301" s="2373"/>
      <c r="G301" s="2373"/>
      <c r="H301" s="2373"/>
      <c r="I301" s="2373"/>
      <c r="J301" s="2373"/>
      <c r="K301" s="2373"/>
      <c r="L301" s="2373"/>
      <c r="M301" s="2373"/>
      <c r="N301" s="2373"/>
      <c r="O301" s="2373"/>
      <c r="P301" s="2373"/>
      <c r="Q301" s="2373"/>
      <c r="R301" s="2373"/>
      <c r="S301" s="2373"/>
      <c r="T301" s="2373"/>
      <c r="U301" s="2373"/>
      <c r="V301" s="2373"/>
      <c r="W301" s="2373"/>
      <c r="X301" s="105"/>
      <c r="Y301" s="105"/>
      <c r="Z301" s="105"/>
      <c r="AA301" s="105"/>
      <c r="AB301" s="105"/>
      <c r="AC301" s="105"/>
    </row>
    <row r="302" spans="1:29" s="166" customFormat="1" ht="12.6" customHeight="1">
      <c r="A302" s="2095"/>
      <c r="B302" s="2376"/>
      <c r="C302" s="2377"/>
      <c r="D302" s="2375" t="s">
        <v>123</v>
      </c>
      <c r="E302" s="2373">
        <f t="shared" si="69"/>
        <v>0</v>
      </c>
      <c r="F302" s="2373"/>
      <c r="G302" s="2373"/>
      <c r="H302" s="2373"/>
      <c r="I302" s="2373"/>
      <c r="J302" s="2373"/>
      <c r="K302" s="2373"/>
      <c r="L302" s="2373"/>
      <c r="M302" s="2373"/>
      <c r="N302" s="2373"/>
      <c r="O302" s="2373"/>
      <c r="P302" s="2373"/>
      <c r="Q302" s="2373"/>
      <c r="R302" s="2373"/>
      <c r="S302" s="2373"/>
      <c r="T302" s="2373"/>
      <c r="U302" s="2373"/>
      <c r="V302" s="2373"/>
      <c r="W302" s="2373"/>
      <c r="X302" s="105"/>
      <c r="Y302" s="105"/>
      <c r="Z302" s="105"/>
      <c r="AA302" s="105"/>
      <c r="AB302" s="105"/>
      <c r="AC302" s="105"/>
    </row>
    <row r="303" spans="1:29" s="166" customFormat="1" ht="12.6" customHeight="1">
      <c r="A303" s="2095"/>
      <c r="B303" s="2376"/>
      <c r="C303" s="2377"/>
      <c r="D303" s="2375" t="s">
        <v>37</v>
      </c>
      <c r="E303" s="2373">
        <f t="shared" si="69"/>
        <v>0</v>
      </c>
      <c r="F303" s="2373"/>
      <c r="G303" s="2373"/>
      <c r="H303" s="2373"/>
      <c r="I303" s="2373"/>
      <c r="J303" s="2373"/>
      <c r="K303" s="2373"/>
      <c r="L303" s="2373"/>
      <c r="M303" s="2373"/>
      <c r="N303" s="2373"/>
      <c r="O303" s="2373"/>
      <c r="P303" s="2373"/>
      <c r="Q303" s="2373"/>
      <c r="R303" s="2373"/>
      <c r="S303" s="2373"/>
      <c r="T303" s="2373"/>
      <c r="U303" s="2373"/>
      <c r="V303" s="2373"/>
      <c r="W303" s="2373"/>
      <c r="X303" s="105"/>
      <c r="Y303" s="105"/>
      <c r="Z303" s="105"/>
      <c r="AA303" s="105"/>
      <c r="AB303" s="105"/>
      <c r="AC303" s="105"/>
    </row>
    <row r="304" spans="1:29" s="2103" customFormat="1" ht="12.6" customHeight="1">
      <c r="A304" s="2097"/>
      <c r="B304" s="2853" t="s">
        <v>1647</v>
      </c>
      <c r="C304" s="2853"/>
      <c r="D304" s="2853"/>
      <c r="E304" s="2848">
        <f t="shared" ref="E304:W304" ca="1" si="70">SUM(E305:E332)</f>
        <v>13334.275808219179</v>
      </c>
      <c r="F304" s="2848">
        <f t="shared" si="70"/>
        <v>550</v>
      </c>
      <c r="G304" s="2848">
        <f t="shared" si="70"/>
        <v>966.42</v>
      </c>
      <c r="H304" s="2848">
        <f t="shared" si="70"/>
        <v>0</v>
      </c>
      <c r="I304" s="2848">
        <f t="shared" si="70"/>
        <v>0</v>
      </c>
      <c r="J304" s="2848">
        <f t="shared" si="70"/>
        <v>1607</v>
      </c>
      <c r="K304" s="2848">
        <f t="shared" si="70"/>
        <v>620</v>
      </c>
      <c r="L304" s="2848">
        <f t="shared" si="70"/>
        <v>0</v>
      </c>
      <c r="M304" s="2848">
        <f t="shared" si="70"/>
        <v>4315</v>
      </c>
      <c r="N304" s="2848">
        <f t="shared" ca="1" si="70"/>
        <v>1120.645808219178</v>
      </c>
      <c r="O304" s="2848">
        <f t="shared" si="70"/>
        <v>0</v>
      </c>
      <c r="P304" s="2848">
        <f t="shared" si="70"/>
        <v>1543.62</v>
      </c>
      <c r="Q304" s="2848">
        <f t="shared" si="70"/>
        <v>985</v>
      </c>
      <c r="R304" s="2848">
        <f t="shared" si="70"/>
        <v>425</v>
      </c>
      <c r="S304" s="2848">
        <f t="shared" si="70"/>
        <v>0</v>
      </c>
      <c r="T304" s="2848">
        <f t="shared" si="70"/>
        <v>599</v>
      </c>
      <c r="U304" s="2848">
        <f t="shared" si="70"/>
        <v>0</v>
      </c>
      <c r="V304" s="2848">
        <f t="shared" si="70"/>
        <v>602.59</v>
      </c>
      <c r="W304" s="2848">
        <f t="shared" si="70"/>
        <v>4315</v>
      </c>
      <c r="X304" s="105"/>
      <c r="Y304" s="105"/>
      <c r="Z304" s="105"/>
      <c r="AA304" s="105"/>
      <c r="AB304" s="105"/>
      <c r="AC304" s="105"/>
    </row>
    <row r="305" spans="1:29" s="995" customFormat="1" ht="12.6" customHeight="1">
      <c r="A305" s="991"/>
      <c r="B305" s="2853"/>
      <c r="C305" s="2853"/>
      <c r="D305" s="2853"/>
      <c r="E305" s="2848"/>
      <c r="F305" s="2848"/>
      <c r="G305" s="2848"/>
      <c r="H305" s="2848"/>
      <c r="I305" s="2848"/>
      <c r="J305" s="2848"/>
      <c r="K305" s="2848"/>
      <c r="L305" s="2848"/>
      <c r="M305" s="2848"/>
      <c r="N305" s="2848"/>
      <c r="O305" s="2848"/>
      <c r="P305" s="2848"/>
      <c r="Q305" s="2848"/>
      <c r="R305" s="2848"/>
      <c r="S305" s="2848"/>
      <c r="T305" s="2848"/>
      <c r="U305" s="2848"/>
      <c r="V305" s="2848"/>
      <c r="W305" s="2848"/>
      <c r="X305" s="105"/>
      <c r="Y305" s="105"/>
      <c r="Z305" s="105"/>
      <c r="AA305" s="105"/>
      <c r="AB305" s="105"/>
      <c r="AC305" s="105"/>
    </row>
    <row r="306" spans="1:29" s="995" customFormat="1" ht="12.6" customHeight="1">
      <c r="A306" s="991"/>
      <c r="B306" s="2319">
        <v>45473</v>
      </c>
      <c r="C306" s="2319"/>
      <c r="D306" s="2320" t="s">
        <v>1466</v>
      </c>
      <c r="E306" s="2370">
        <f t="shared" ref="E306:E320" si="71">SUM(F306:W306)</f>
        <v>778</v>
      </c>
      <c r="F306" s="2370">
        <f>$V$7</f>
        <v>419</v>
      </c>
      <c r="G306" s="2370"/>
      <c r="H306" s="2370"/>
      <c r="I306" s="2370"/>
      <c r="J306" s="2370"/>
      <c r="K306" s="2370"/>
      <c r="L306" s="2370"/>
      <c r="M306" s="2370"/>
      <c r="N306" s="2370"/>
      <c r="O306" s="2370"/>
      <c r="P306" s="2370"/>
      <c r="Q306" s="2370"/>
      <c r="R306" s="2370"/>
      <c r="S306" s="2370"/>
      <c r="T306" s="2370">
        <f>$V$8</f>
        <v>359</v>
      </c>
      <c r="U306" s="2370"/>
      <c r="V306" s="2370"/>
      <c r="W306" s="2370"/>
      <c r="X306" s="2452"/>
      <c r="Y306" s="996"/>
      <c r="Z306" s="105"/>
      <c r="AA306" s="105"/>
      <c r="AB306" s="105"/>
      <c r="AC306" s="105"/>
    </row>
    <row r="307" spans="1:29" s="995" customFormat="1" ht="12.6" customHeight="1">
      <c r="A307" s="991"/>
      <c r="B307" s="2319">
        <v>45474</v>
      </c>
      <c r="C307" s="2319"/>
      <c r="D307" s="2320" t="s">
        <v>29</v>
      </c>
      <c r="E307" s="2370">
        <f t="shared" si="71"/>
        <v>69</v>
      </c>
      <c r="F307" s="2370">
        <f>$U$1</f>
        <v>69</v>
      </c>
      <c r="G307" s="2370"/>
      <c r="H307" s="2370"/>
      <c r="I307" s="2370"/>
      <c r="J307" s="2370"/>
      <c r="K307" s="2370"/>
      <c r="L307" s="2370"/>
      <c r="M307" s="2370"/>
      <c r="N307" s="2370"/>
      <c r="O307" s="2370"/>
      <c r="P307" s="2370"/>
      <c r="Q307" s="2370"/>
      <c r="R307" s="2370"/>
      <c r="S307" s="2370"/>
      <c r="T307" s="2370"/>
      <c r="U307" s="2370"/>
      <c r="V307" s="2370"/>
      <c r="W307" s="2370"/>
      <c r="X307" s="2452"/>
      <c r="Y307" s="996"/>
      <c r="Z307" s="2452"/>
      <c r="AA307" s="996"/>
      <c r="AB307" s="2452"/>
      <c r="AC307" s="996"/>
    </row>
    <row r="308" spans="1:29" s="995" customFormat="1" ht="12.6" customHeight="1">
      <c r="A308" s="991"/>
      <c r="B308" s="2319">
        <v>45474</v>
      </c>
      <c r="C308" s="2319"/>
      <c r="D308" s="2320" t="s">
        <v>30</v>
      </c>
      <c r="E308" s="2370">
        <v>4315</v>
      </c>
      <c r="F308" s="2370"/>
      <c r="G308" s="2370"/>
      <c r="H308" s="2370"/>
      <c r="I308" s="2370"/>
      <c r="J308" s="2370"/>
      <c r="K308" s="2370"/>
      <c r="L308" s="2370"/>
      <c r="M308" s="2370">
        <v>4315</v>
      </c>
      <c r="N308" s="2370"/>
      <c r="O308" s="2370"/>
      <c r="P308" s="2370"/>
      <c r="Q308" s="2370"/>
      <c r="R308" s="2370"/>
      <c r="S308" s="2370"/>
      <c r="T308" s="2370"/>
      <c r="U308" s="2370"/>
      <c r="V308" s="2370"/>
      <c r="W308" s="2370">
        <v>4315</v>
      </c>
      <c r="X308" s="2452"/>
      <c r="Y308" s="996"/>
      <c r="Z308" s="2452"/>
      <c r="AA308" s="996"/>
      <c r="AB308" s="2452"/>
      <c r="AC308" s="996"/>
    </row>
    <row r="309" spans="1:29" s="995" customFormat="1" ht="12.6" customHeight="1">
      <c r="A309" s="991"/>
      <c r="B309" s="2319">
        <v>45474</v>
      </c>
      <c r="C309" s="2319"/>
      <c r="D309" s="2320" t="s">
        <v>1352</v>
      </c>
      <c r="E309" s="2370">
        <f t="shared" ca="1" si="71"/>
        <v>845.64580821917809</v>
      </c>
      <c r="F309" s="2370"/>
      <c r="G309" s="2370"/>
      <c r="H309" s="2370"/>
      <c r="I309" s="2370"/>
      <c r="J309" s="2370"/>
      <c r="K309" s="2370"/>
      <c r="L309" s="2370"/>
      <c r="M309" s="2370"/>
      <c r="N309" s="2370">
        <f ca="1">'el-varme'!BN2</f>
        <v>845.64580821917809</v>
      </c>
      <c r="O309" s="2370"/>
      <c r="P309" s="2370"/>
      <c r="Q309" s="2370"/>
      <c r="R309" s="2370"/>
      <c r="S309" s="2370"/>
      <c r="T309" s="2370"/>
      <c r="U309" s="2370"/>
      <c r="V309" s="2370"/>
      <c r="W309" s="2370"/>
      <c r="X309" s="2452"/>
      <c r="Y309" s="996"/>
      <c r="Z309" s="2452"/>
      <c r="AA309" s="996"/>
      <c r="AB309" s="2452"/>
      <c r="AC309" s="996"/>
    </row>
    <row r="310" spans="1:29" s="995" customFormat="1" ht="12.6" customHeight="1">
      <c r="A310" s="991"/>
      <c r="B310" s="2319">
        <v>45474</v>
      </c>
      <c r="C310" s="2319"/>
      <c r="D310" s="2320" t="s">
        <v>26</v>
      </c>
      <c r="E310" s="2370">
        <f t="shared" si="71"/>
        <v>602.59</v>
      </c>
      <c r="F310" s="2370"/>
      <c r="G310" s="2370"/>
      <c r="H310" s="2370"/>
      <c r="I310" s="2370"/>
      <c r="J310" s="2370"/>
      <c r="K310" s="2370"/>
      <c r="L310" s="2370"/>
      <c r="M310" s="2370"/>
      <c r="N310" s="2370"/>
      <c r="O310" s="2370"/>
      <c r="P310" s="2370"/>
      <c r="Q310" s="2370"/>
      <c r="R310" s="2370"/>
      <c r="S310" s="2370"/>
      <c r="T310" s="2370"/>
      <c r="U310" s="2370"/>
      <c r="V310" s="2370">
        <f>$AA$11</f>
        <v>602.59</v>
      </c>
      <c r="W310" s="2370"/>
      <c r="X310" s="2452"/>
      <c r="Y310" s="996"/>
      <c r="Z310" s="2452"/>
      <c r="AA310" s="996"/>
      <c r="AB310" s="2452"/>
      <c r="AC310" s="996"/>
    </row>
    <row r="311" spans="1:29" s="995" customFormat="1" ht="12.6" customHeight="1">
      <c r="A311" s="991"/>
      <c r="B311" s="2319">
        <v>45474</v>
      </c>
      <c r="C311" s="2319"/>
      <c r="D311" s="2320" t="s">
        <v>25</v>
      </c>
      <c r="E311" s="2370">
        <f t="shared" si="71"/>
        <v>650</v>
      </c>
      <c r="F311" s="2370"/>
      <c r="G311" s="2370"/>
      <c r="H311" s="2370"/>
      <c r="I311" s="2370"/>
      <c r="J311" s="2370"/>
      <c r="K311" s="2370"/>
      <c r="L311" s="2370"/>
      <c r="M311" s="2370"/>
      <c r="N311" s="2370"/>
      <c r="O311" s="2370"/>
      <c r="P311" s="2370"/>
      <c r="Q311" s="2370">
        <f>$AA$10</f>
        <v>650</v>
      </c>
      <c r="R311" s="2370"/>
      <c r="S311" s="2370"/>
      <c r="T311" s="2370"/>
      <c r="U311" s="2370"/>
      <c r="V311" s="2370"/>
      <c r="W311" s="2370"/>
      <c r="X311" s="2452"/>
      <c r="Y311" s="996"/>
      <c r="Z311" s="2452"/>
      <c r="AA311" s="996"/>
      <c r="AB311" s="2452"/>
      <c r="AC311" s="996"/>
    </row>
    <row r="312" spans="1:29" s="995" customFormat="1" ht="12.6" customHeight="1">
      <c r="A312" s="991"/>
      <c r="B312" s="2319">
        <v>45474</v>
      </c>
      <c r="C312" s="2319"/>
      <c r="D312" s="2320" t="s">
        <v>22</v>
      </c>
      <c r="E312" s="2370">
        <f t="shared" si="71"/>
        <v>208</v>
      </c>
      <c r="F312" s="2370"/>
      <c r="G312" s="2370"/>
      <c r="H312" s="2370"/>
      <c r="I312" s="2370"/>
      <c r="J312" s="2370"/>
      <c r="K312" s="2370"/>
      <c r="L312" s="2370"/>
      <c r="M312" s="2370"/>
      <c r="N312" s="2370"/>
      <c r="O312" s="2370"/>
      <c r="P312" s="2370">
        <f>$Y$11</f>
        <v>208</v>
      </c>
      <c r="Q312" s="2370"/>
      <c r="R312" s="2370"/>
      <c r="S312" s="2370"/>
      <c r="T312" s="2370"/>
      <c r="U312" s="2370"/>
      <c r="V312" s="2370"/>
      <c r="W312" s="2370"/>
      <c r="X312" s="2452"/>
      <c r="Y312" s="996"/>
      <c r="Z312" s="2452"/>
      <c r="AA312" s="996"/>
      <c r="AB312" s="2452"/>
      <c r="AC312" s="996"/>
    </row>
    <row r="313" spans="1:29" s="995" customFormat="1" ht="12.6" customHeight="1">
      <c r="A313" s="991"/>
      <c r="B313" s="2319">
        <v>45474</v>
      </c>
      <c r="C313" s="2319"/>
      <c r="D313" s="2320" t="s">
        <v>21</v>
      </c>
      <c r="E313" s="2370">
        <f t="shared" si="71"/>
        <v>465</v>
      </c>
      <c r="F313" s="2370"/>
      <c r="G313" s="2370"/>
      <c r="H313" s="2370"/>
      <c r="I313" s="2370"/>
      <c r="J313" s="2370"/>
      <c r="K313" s="2370"/>
      <c r="L313" s="2370"/>
      <c r="M313" s="2370"/>
      <c r="N313" s="2370"/>
      <c r="O313" s="2370"/>
      <c r="P313" s="2370">
        <f>$W$1</f>
        <v>465</v>
      </c>
      <c r="Q313" s="2370"/>
      <c r="R313" s="2370"/>
      <c r="S313" s="2370"/>
      <c r="T313" s="2370"/>
      <c r="U313" s="2370"/>
      <c r="V313" s="2370"/>
      <c r="W313" s="2370"/>
      <c r="X313" s="2452"/>
      <c r="Y313" s="996"/>
      <c r="Z313" s="2452"/>
      <c r="AA313" s="996"/>
      <c r="AB313" s="2452"/>
      <c r="AC313" s="996"/>
    </row>
    <row r="314" spans="1:29" s="995" customFormat="1" ht="12.6" customHeight="1">
      <c r="A314" s="991"/>
      <c r="B314" s="2319">
        <v>45474</v>
      </c>
      <c r="C314" s="2319"/>
      <c r="D314" s="2320" t="s">
        <v>27</v>
      </c>
      <c r="E314" s="2370">
        <f t="shared" si="71"/>
        <v>870.62</v>
      </c>
      <c r="F314" s="2370"/>
      <c r="G314" s="2370"/>
      <c r="H314" s="2370"/>
      <c r="I314" s="2370"/>
      <c r="J314" s="2370"/>
      <c r="K314" s="2370"/>
      <c r="L314" s="2370"/>
      <c r="M314" s="2370"/>
      <c r="N314" s="2370"/>
      <c r="O314" s="2370"/>
      <c r="P314" s="2370">
        <f>$T$4</f>
        <v>870.62</v>
      </c>
      <c r="Q314" s="2370"/>
      <c r="R314" s="2370"/>
      <c r="S314" s="2370"/>
      <c r="T314" s="2370"/>
      <c r="U314" s="2370"/>
      <c r="V314" s="2370"/>
      <c r="W314" s="2370"/>
      <c r="X314" s="2452"/>
      <c r="Y314" s="996"/>
      <c r="Z314" s="2452"/>
      <c r="AA314" s="996"/>
      <c r="AB314" s="2452"/>
      <c r="AC314" s="996"/>
    </row>
    <row r="315" spans="1:29" s="995" customFormat="1" ht="12.6" customHeight="1">
      <c r="A315" s="991"/>
      <c r="B315" s="2319">
        <v>45474</v>
      </c>
      <c r="C315" s="2319"/>
      <c r="D315" s="2320" t="s">
        <v>1496</v>
      </c>
      <c r="E315" s="2370">
        <f t="shared" si="71"/>
        <v>0</v>
      </c>
      <c r="F315" s="2370"/>
      <c r="G315" s="2370"/>
      <c r="H315" s="2370"/>
      <c r="I315" s="2370"/>
      <c r="J315" s="2370"/>
      <c r="K315" s="2370"/>
      <c r="L315" s="2370"/>
      <c r="M315" s="2370"/>
      <c r="N315" s="2370"/>
      <c r="O315" s="2370"/>
      <c r="P315" s="2370"/>
      <c r="Q315" s="2370"/>
      <c r="R315" s="2370"/>
      <c r="S315" s="2370"/>
      <c r="T315" s="2370"/>
      <c r="U315" s="2370"/>
      <c r="V315" s="2370"/>
      <c r="W315" s="2370"/>
      <c r="X315" s="2452"/>
      <c r="Y315" s="996"/>
      <c r="Z315" s="2452"/>
      <c r="AA315" s="996"/>
      <c r="AB315" s="2452"/>
      <c r="AC315" s="996"/>
    </row>
    <row r="316" spans="1:29" s="995" customFormat="1" ht="12.6" customHeight="1">
      <c r="A316" s="991"/>
      <c r="B316" s="2319">
        <v>45474</v>
      </c>
      <c r="C316" s="2319"/>
      <c r="D316" s="2320" t="s">
        <v>28</v>
      </c>
      <c r="E316" s="2370">
        <f t="shared" si="71"/>
        <v>0</v>
      </c>
      <c r="F316" s="2370"/>
      <c r="G316" s="2370"/>
      <c r="H316" s="2370"/>
      <c r="I316" s="2370"/>
      <c r="J316" s="2370"/>
      <c r="K316" s="2370"/>
      <c r="L316" s="2370"/>
      <c r="M316" s="2370"/>
      <c r="N316" s="2370"/>
      <c r="O316" s="2370"/>
      <c r="P316" s="2370"/>
      <c r="Q316" s="2370"/>
      <c r="R316" s="2370"/>
      <c r="S316" s="2370"/>
      <c r="T316" s="2370"/>
      <c r="U316" s="2370"/>
      <c r="V316" s="2370"/>
      <c r="W316" s="2370"/>
      <c r="X316" s="2452"/>
      <c r="Y316" s="996"/>
      <c r="Z316" s="2452"/>
      <c r="AA316" s="996"/>
      <c r="AB316" s="2452"/>
      <c r="AC316" s="996"/>
    </row>
    <row r="317" spans="1:29" s="995" customFormat="1" ht="12.6" customHeight="1">
      <c r="A317" s="991"/>
      <c r="B317" s="2319">
        <v>45474</v>
      </c>
      <c r="C317" s="2319"/>
      <c r="D317" s="2320" t="s">
        <v>23</v>
      </c>
      <c r="E317" s="2370">
        <f t="shared" si="71"/>
        <v>0</v>
      </c>
      <c r="F317" s="2370"/>
      <c r="G317" s="2370"/>
      <c r="H317" s="2370"/>
      <c r="I317" s="2370"/>
      <c r="J317" s="2370"/>
      <c r="K317" s="2370"/>
      <c r="L317" s="2370"/>
      <c r="M317" s="2370"/>
      <c r="N317" s="2370"/>
      <c r="O317" s="2370"/>
      <c r="P317" s="2370"/>
      <c r="Q317" s="2370"/>
      <c r="R317" s="2370"/>
      <c r="S317" s="2370"/>
      <c r="T317" s="2370"/>
      <c r="U317" s="2370"/>
      <c r="V317" s="2370"/>
      <c r="W317" s="2370"/>
      <c r="X317" s="2452"/>
      <c r="Y317" s="996"/>
      <c r="Z317" s="2452"/>
      <c r="AA317" s="996"/>
      <c r="AB317" s="2452"/>
      <c r="AC317" s="996"/>
    </row>
    <row r="318" spans="1:29" s="995" customFormat="1" ht="12.6" customHeight="1">
      <c r="A318" s="991"/>
      <c r="B318" s="2319">
        <v>45474</v>
      </c>
      <c r="C318" s="2319"/>
      <c r="D318" s="2320" t="s">
        <v>126</v>
      </c>
      <c r="E318" s="2370">
        <f t="shared" si="71"/>
        <v>45</v>
      </c>
      <c r="F318" s="2370"/>
      <c r="G318" s="2370"/>
      <c r="H318" s="2370"/>
      <c r="I318" s="2370"/>
      <c r="J318" s="2370"/>
      <c r="K318" s="2370"/>
      <c r="L318" s="2370"/>
      <c r="M318" s="2370"/>
      <c r="N318" s="2370"/>
      <c r="O318" s="2370"/>
      <c r="P318" s="2370"/>
      <c r="Q318" s="2370"/>
      <c r="R318" s="2370">
        <f>$X$5</f>
        <v>45</v>
      </c>
      <c r="S318" s="2370"/>
      <c r="T318" s="2370"/>
      <c r="U318" s="2370"/>
      <c r="V318" s="2370"/>
      <c r="W318" s="2370"/>
      <c r="X318" s="2452"/>
      <c r="Y318" s="996"/>
      <c r="Z318" s="2452"/>
      <c r="AA318" s="996"/>
      <c r="AB318" s="2452"/>
      <c r="AC318" s="996"/>
    </row>
    <row r="319" spans="1:29" s="995" customFormat="1" ht="12.6" customHeight="1">
      <c r="A319" s="991"/>
      <c r="B319" s="2319">
        <v>45476</v>
      </c>
      <c r="C319" s="2319"/>
      <c r="D319" s="2320" t="s">
        <v>1706</v>
      </c>
      <c r="E319" s="2370">
        <v>140</v>
      </c>
      <c r="F319" s="2370"/>
      <c r="G319" s="2370"/>
      <c r="H319" s="2370"/>
      <c r="I319" s="2370"/>
      <c r="J319" s="2370"/>
      <c r="K319" s="2370"/>
      <c r="L319" s="2370"/>
      <c r="M319" s="2370"/>
      <c r="N319" s="2370">
        <v>140</v>
      </c>
      <c r="O319" s="2370"/>
      <c r="P319" s="2370"/>
      <c r="Q319" s="2370"/>
      <c r="R319" s="2370"/>
      <c r="S319" s="2370"/>
      <c r="T319" s="2370"/>
      <c r="U319" s="2370"/>
      <c r="V319" s="2370"/>
      <c r="W319" s="2370"/>
      <c r="X319" s="2452"/>
      <c r="Y319" s="996"/>
      <c r="Z319" s="2452"/>
      <c r="AA319" s="996"/>
      <c r="AB319" s="2452"/>
      <c r="AC319" s="996"/>
    </row>
    <row r="320" spans="1:29" s="995" customFormat="1" ht="12.6" customHeight="1">
      <c r="A320" s="991"/>
      <c r="B320" s="2319">
        <v>45479</v>
      </c>
      <c r="C320" s="2319"/>
      <c r="D320" s="2320" t="s">
        <v>1495</v>
      </c>
      <c r="E320" s="2370">
        <f t="shared" si="71"/>
        <v>608</v>
      </c>
      <c r="F320" s="2370">
        <f>$Y$19</f>
        <v>62</v>
      </c>
      <c r="G320" s="2370"/>
      <c r="H320" s="2370"/>
      <c r="I320" s="2370"/>
      <c r="J320" s="2370"/>
      <c r="K320" s="2370"/>
      <c r="L320" s="2370"/>
      <c r="M320" s="2370"/>
      <c r="N320" s="2370"/>
      <c r="O320" s="2370"/>
      <c r="P320" s="2370"/>
      <c r="Q320" s="2370">
        <f>$Y$20</f>
        <v>306</v>
      </c>
      <c r="R320" s="2370"/>
      <c r="S320" s="2370"/>
      <c r="T320" s="2370">
        <f>$Y$21</f>
        <v>240</v>
      </c>
      <c r="U320" s="2370"/>
      <c r="V320" s="2370"/>
      <c r="W320" s="2370"/>
      <c r="X320" s="2452"/>
      <c r="Y320" s="996"/>
      <c r="Z320" s="2452"/>
      <c r="AA320" s="996"/>
      <c r="AB320" s="2452"/>
      <c r="AC320" s="996"/>
    </row>
    <row r="321" spans="1:29" s="995" customFormat="1" ht="12.6" customHeight="1">
      <c r="A321" s="991"/>
      <c r="B321" s="2319">
        <v>45486</v>
      </c>
      <c r="C321" s="2319"/>
      <c r="D321" s="2320" t="s">
        <v>1656</v>
      </c>
      <c r="E321" s="2370">
        <f>SUM(F321:W321)</f>
        <v>240</v>
      </c>
      <c r="F321" s="2370"/>
      <c r="G321" s="2370"/>
      <c r="H321" s="2370"/>
      <c r="I321" s="2370"/>
      <c r="J321" s="2370"/>
      <c r="K321" s="2370"/>
      <c r="L321" s="2370"/>
      <c r="M321" s="2370"/>
      <c r="N321" s="2370"/>
      <c r="O321" s="2370"/>
      <c r="P321" s="2370"/>
      <c r="Q321" s="2370"/>
      <c r="R321" s="2370">
        <v>240</v>
      </c>
      <c r="S321" s="2370"/>
      <c r="T321" s="2370"/>
      <c r="U321" s="2370"/>
      <c r="V321" s="2370"/>
      <c r="W321" s="2370"/>
      <c r="X321" s="2452"/>
      <c r="Y321" s="996"/>
      <c r="Z321" s="2452"/>
      <c r="AA321" s="996"/>
      <c r="AB321" s="2452"/>
      <c r="AC321" s="996"/>
    </row>
    <row r="322" spans="1:29" s="995" customFormat="1" ht="12.6" customHeight="1">
      <c r="A322" s="991"/>
      <c r="B322" s="2319">
        <v>45488</v>
      </c>
      <c r="C322" s="2319"/>
      <c r="D322" s="2320" t="s">
        <v>140</v>
      </c>
      <c r="E322" s="2370">
        <v>966.42</v>
      </c>
      <c r="F322" s="2370"/>
      <c r="G322" s="2370">
        <v>966.42</v>
      </c>
      <c r="H322" s="2370"/>
      <c r="I322" s="2370"/>
      <c r="J322" s="2370"/>
      <c r="K322" s="2370"/>
      <c r="L322" s="2370"/>
      <c r="M322" s="2370"/>
      <c r="N322" s="2370"/>
      <c r="O322" s="2370"/>
      <c r="P322" s="2370"/>
      <c r="Q322" s="2370"/>
      <c r="R322" s="2370"/>
      <c r="S322" s="2370"/>
      <c r="T322" s="2370"/>
      <c r="U322" s="2370"/>
      <c r="V322" s="2370"/>
      <c r="W322" s="2370"/>
      <c r="X322" s="2452"/>
      <c r="Y322" s="996"/>
      <c r="Z322" s="2452"/>
      <c r="AA322" s="996"/>
      <c r="AB322" s="2452"/>
      <c r="AC322" s="996"/>
    </row>
    <row r="323" spans="1:29" s="995" customFormat="1" ht="12.6" customHeight="1">
      <c r="A323" s="991"/>
      <c r="B323" s="2319">
        <v>45490</v>
      </c>
      <c r="C323" s="2319"/>
      <c r="D323" s="2320" t="s">
        <v>1655</v>
      </c>
      <c r="E323" s="2370">
        <v>140</v>
      </c>
      <c r="F323" s="2370"/>
      <c r="G323" s="2370"/>
      <c r="H323" s="2370"/>
      <c r="I323" s="2370"/>
      <c r="J323" s="2370"/>
      <c r="K323" s="2370"/>
      <c r="L323" s="2370"/>
      <c r="M323" s="2370"/>
      <c r="N323" s="2370"/>
      <c r="O323" s="2370"/>
      <c r="P323" s="2370"/>
      <c r="Q323" s="2370"/>
      <c r="R323" s="2370">
        <v>140</v>
      </c>
      <c r="S323" s="2370"/>
      <c r="T323" s="2370"/>
      <c r="U323" s="2370"/>
      <c r="V323" s="2370"/>
      <c r="W323" s="2370"/>
      <c r="X323" s="2452"/>
      <c r="Y323" s="996"/>
      <c r="Z323" s="2452"/>
      <c r="AA323" s="996"/>
      <c r="AB323" s="2452"/>
      <c r="AC323" s="996"/>
    </row>
    <row r="324" spans="1:29" s="995" customFormat="1" ht="12.6" customHeight="1">
      <c r="A324" s="991"/>
      <c r="B324" s="2319">
        <v>45501</v>
      </c>
      <c r="C324" s="2319"/>
      <c r="D324" s="2320" t="s">
        <v>1646</v>
      </c>
      <c r="E324" s="2370">
        <v>29</v>
      </c>
      <c r="F324" s="2370"/>
      <c r="G324" s="2370"/>
      <c r="H324" s="2370"/>
      <c r="I324" s="2370"/>
      <c r="J324" s="2370"/>
      <c r="K324" s="2370"/>
      <c r="L324" s="2370"/>
      <c r="M324" s="2370"/>
      <c r="N324" s="2370"/>
      <c r="O324" s="2370"/>
      <c r="P324" s="2370"/>
      <c r="Q324" s="2370">
        <v>29</v>
      </c>
      <c r="R324" s="2370"/>
      <c r="S324" s="2370"/>
      <c r="T324" s="2370"/>
      <c r="U324" s="2370"/>
      <c r="V324" s="2370"/>
      <c r="W324" s="2370"/>
      <c r="X324" s="2452"/>
      <c r="Y324" s="996"/>
      <c r="Z324" s="2452"/>
      <c r="AA324" s="996"/>
      <c r="AB324" s="2452"/>
      <c r="AC324" s="996"/>
    </row>
    <row r="325" spans="1:29" s="995" customFormat="1" ht="12.6" customHeight="1">
      <c r="A325" s="991"/>
      <c r="B325" s="2319">
        <v>45504</v>
      </c>
      <c r="C325" s="2319"/>
      <c r="D325" s="2320" t="s">
        <v>1706</v>
      </c>
      <c r="E325" s="2370">
        <v>135</v>
      </c>
      <c r="F325" s="2370"/>
      <c r="G325" s="2370"/>
      <c r="H325" s="2370"/>
      <c r="I325" s="2370"/>
      <c r="J325" s="2370"/>
      <c r="K325" s="2370"/>
      <c r="L325" s="2370"/>
      <c r="M325" s="2370"/>
      <c r="N325" s="2370">
        <v>135</v>
      </c>
      <c r="O325" s="2370"/>
      <c r="P325" s="2370"/>
      <c r="Q325" s="2370"/>
      <c r="R325" s="2370"/>
      <c r="S325" s="2370"/>
      <c r="T325" s="2370"/>
      <c r="U325" s="2370"/>
      <c r="V325" s="2370"/>
      <c r="W325" s="2370"/>
      <c r="X325" s="2452"/>
      <c r="Y325" s="996"/>
      <c r="Z325" s="2452"/>
      <c r="AA325" s="996"/>
      <c r="AB325" s="2452"/>
      <c r="AC325" s="996"/>
    </row>
    <row r="326" spans="1:29" s="995" customFormat="1" ht="12.6" customHeight="1">
      <c r="A326" s="991"/>
      <c r="B326" s="2319"/>
      <c r="C326" s="2319"/>
      <c r="D326" s="2320" t="s">
        <v>1354</v>
      </c>
      <c r="E326" s="2370">
        <f>SUM(F326:W326)</f>
        <v>0</v>
      </c>
      <c r="F326" s="2370"/>
      <c r="G326" s="2370"/>
      <c r="H326" s="2370"/>
      <c r="I326" s="2370"/>
      <c r="J326" s="2370"/>
      <c r="K326" s="2370"/>
      <c r="L326" s="2370"/>
      <c r="M326" s="2370"/>
      <c r="N326" s="2370"/>
      <c r="O326" s="2370"/>
      <c r="P326" s="2370"/>
      <c r="Q326" s="2370"/>
      <c r="R326" s="2370"/>
      <c r="S326" s="2370"/>
      <c r="T326" s="2370"/>
      <c r="U326" s="2370"/>
      <c r="V326" s="2370"/>
      <c r="W326" s="2370"/>
      <c r="X326" s="2452"/>
      <c r="Y326" s="996"/>
      <c r="Z326" s="2452"/>
      <c r="AA326" s="996"/>
      <c r="AB326" s="2452"/>
      <c r="AC326" s="996"/>
    </row>
    <row r="327" spans="1:29" s="995" customFormat="1" ht="12.6" customHeight="1">
      <c r="A327" s="991"/>
      <c r="B327" s="2319"/>
      <c r="C327" s="2319"/>
      <c r="D327" s="2320" t="s">
        <v>15</v>
      </c>
      <c r="E327" s="2370">
        <f t="shared" ref="E327:E332" si="72">SUM(G327:W327)</f>
        <v>0</v>
      </c>
      <c r="F327" s="2370"/>
      <c r="G327" s="2370"/>
      <c r="H327" s="2370"/>
      <c r="I327" s="2370"/>
      <c r="J327" s="2370"/>
      <c r="K327" s="2370"/>
      <c r="L327" s="2370"/>
      <c r="M327" s="2370"/>
      <c r="N327" s="2370"/>
      <c r="O327" s="2370"/>
      <c r="P327" s="2370"/>
      <c r="Q327" s="2370"/>
      <c r="R327" s="2370"/>
      <c r="S327" s="2370"/>
      <c r="T327" s="2370"/>
      <c r="U327" s="2370"/>
      <c r="V327" s="2370"/>
      <c r="W327" s="2370"/>
      <c r="X327" s="2452"/>
      <c r="Y327" s="996"/>
      <c r="Z327" s="2452"/>
      <c r="AA327" s="996"/>
      <c r="AB327" s="2452"/>
      <c r="AC327" s="996"/>
    </row>
    <row r="328" spans="1:29" s="995" customFormat="1" ht="12.6" customHeight="1">
      <c r="A328" s="991"/>
      <c r="B328" s="2319"/>
      <c r="C328" s="2319"/>
      <c r="D328" s="2320" t="s">
        <v>14</v>
      </c>
      <c r="E328" s="2370">
        <f t="shared" si="72"/>
        <v>620</v>
      </c>
      <c r="F328" s="2370"/>
      <c r="G328" s="2370"/>
      <c r="H328" s="2370"/>
      <c r="I328" s="2370"/>
      <c r="J328" s="2370"/>
      <c r="K328" s="2370">
        <v>620</v>
      </c>
      <c r="L328" s="2370"/>
      <c r="M328" s="2370"/>
      <c r="N328" s="2370"/>
      <c r="O328" s="2370"/>
      <c r="P328" s="2370"/>
      <c r="Q328" s="2370"/>
      <c r="R328" s="2370"/>
      <c r="S328" s="2370"/>
      <c r="T328" s="2370"/>
      <c r="U328" s="2370"/>
      <c r="V328" s="2370"/>
      <c r="W328" s="2370"/>
      <c r="X328" s="2452"/>
      <c r="Y328" s="996"/>
      <c r="Z328" s="2452"/>
      <c r="AA328" s="996"/>
      <c r="AB328" s="2452"/>
      <c r="AC328" s="996"/>
    </row>
    <row r="329" spans="1:29" s="995" customFormat="1" ht="12.6" customHeight="1">
      <c r="A329" s="991"/>
      <c r="B329" s="2319"/>
      <c r="C329" s="2319"/>
      <c r="D329" s="2320" t="s">
        <v>384</v>
      </c>
      <c r="E329" s="2370">
        <f t="shared" si="72"/>
        <v>1607</v>
      </c>
      <c r="F329" s="2370"/>
      <c r="G329" s="2370"/>
      <c r="H329" s="2370"/>
      <c r="I329" s="2370"/>
      <c r="J329" s="2370">
        <f>medicin!$T$4</f>
        <v>1607</v>
      </c>
      <c r="K329" s="2370"/>
      <c r="L329" s="2370"/>
      <c r="M329" s="2370"/>
      <c r="N329" s="2370"/>
      <c r="O329" s="2370"/>
      <c r="P329" s="2370"/>
      <c r="Q329" s="2370"/>
      <c r="R329" s="2370"/>
      <c r="S329" s="2370"/>
      <c r="T329" s="2370"/>
      <c r="U329" s="2370"/>
      <c r="V329" s="2370"/>
      <c r="W329" s="2370"/>
      <c r="X329" s="2452"/>
      <c r="Y329" s="996"/>
      <c r="Z329" s="2452"/>
      <c r="AA329" s="996"/>
      <c r="AB329" s="2452"/>
      <c r="AC329" s="996"/>
    </row>
    <row r="330" spans="1:29" s="995" customFormat="1" ht="12.6" customHeight="1">
      <c r="A330" s="991"/>
      <c r="B330" s="2319"/>
      <c r="C330" s="2319"/>
      <c r="D330" s="2320"/>
      <c r="E330" s="2370">
        <f t="shared" si="72"/>
        <v>0</v>
      </c>
      <c r="F330" s="2370"/>
      <c r="G330" s="2370"/>
      <c r="H330" s="2370"/>
      <c r="I330" s="2370"/>
      <c r="J330" s="2370"/>
      <c r="K330" s="2370"/>
      <c r="L330" s="2370"/>
      <c r="M330" s="2370"/>
      <c r="N330" s="2370"/>
      <c r="O330" s="2370"/>
      <c r="P330" s="2370"/>
      <c r="Q330" s="2370"/>
      <c r="R330" s="2370"/>
      <c r="S330" s="2370"/>
      <c r="T330" s="2370"/>
      <c r="U330" s="2370"/>
      <c r="V330" s="2370"/>
      <c r="W330" s="2370"/>
      <c r="X330" s="2452"/>
      <c r="Y330" s="996"/>
      <c r="Z330" s="2452"/>
      <c r="AA330" s="996"/>
      <c r="AB330" s="2452"/>
      <c r="AC330" s="996"/>
    </row>
    <row r="331" spans="1:29" s="995" customFormat="1" ht="12.6" customHeight="1">
      <c r="A331" s="991"/>
      <c r="B331" s="2319"/>
      <c r="C331" s="2319"/>
      <c r="D331" s="2320"/>
      <c r="E331" s="2370">
        <f t="shared" si="72"/>
        <v>0</v>
      </c>
      <c r="F331" s="2370"/>
      <c r="G331" s="2370"/>
      <c r="H331" s="2370"/>
      <c r="I331" s="2370"/>
      <c r="J331" s="2370"/>
      <c r="K331" s="2370"/>
      <c r="L331" s="2370"/>
      <c r="M331" s="2370"/>
      <c r="N331" s="2370"/>
      <c r="O331" s="2370"/>
      <c r="P331" s="2370"/>
      <c r="Q331" s="2370"/>
      <c r="R331" s="2370"/>
      <c r="S331" s="2370"/>
      <c r="T331" s="2370"/>
      <c r="U331" s="2370"/>
      <c r="V331" s="2370"/>
      <c r="W331" s="2370"/>
      <c r="X331" s="2452"/>
      <c r="Y331" s="996"/>
      <c r="Z331" s="2452"/>
      <c r="AA331" s="996"/>
      <c r="AB331" s="2452"/>
      <c r="AC331" s="996"/>
    </row>
    <row r="332" spans="1:29" s="995" customFormat="1" ht="12.6" customHeight="1">
      <c r="A332" s="991"/>
      <c r="B332" s="2319"/>
      <c r="C332" s="2319"/>
      <c r="D332" s="2320"/>
      <c r="E332" s="2370">
        <f t="shared" si="72"/>
        <v>0</v>
      </c>
      <c r="F332" s="2370"/>
      <c r="G332" s="2370"/>
      <c r="H332" s="2370"/>
      <c r="I332" s="2370"/>
      <c r="J332" s="2370"/>
      <c r="K332" s="2370"/>
      <c r="L332" s="2370"/>
      <c r="M332" s="2370"/>
      <c r="N332" s="2370"/>
      <c r="O332" s="2370"/>
      <c r="P332" s="2370"/>
      <c r="Q332" s="2370"/>
      <c r="R332" s="2370"/>
      <c r="S332" s="2370"/>
      <c r="T332" s="2370"/>
      <c r="U332" s="2370"/>
      <c r="V332" s="2370"/>
      <c r="W332" s="2370"/>
      <c r="X332" s="2452"/>
      <c r="Y332" s="996"/>
      <c r="Z332" s="2452"/>
      <c r="AA332" s="996"/>
      <c r="AB332" s="2452"/>
      <c r="AC332" s="996"/>
    </row>
    <row r="333" spans="1:29" s="2194" customFormat="1" ht="12.6" customHeight="1">
      <c r="A333" s="996"/>
      <c r="B333" s="2191"/>
      <c r="C333" s="2192"/>
      <c r="D333" s="2193"/>
      <c r="E333" s="2371"/>
      <c r="F333" s="2371"/>
      <c r="G333" s="2371"/>
      <c r="H333" s="2371"/>
      <c r="I333" s="2371"/>
      <c r="J333" s="2371"/>
      <c r="K333" s="2371"/>
      <c r="L333" s="2371"/>
      <c r="M333" s="2371"/>
      <c r="N333" s="2371"/>
      <c r="O333" s="2371"/>
      <c r="P333" s="2371"/>
      <c r="Q333" s="2371"/>
      <c r="R333" s="2371"/>
      <c r="S333" s="2371"/>
      <c r="T333" s="2371"/>
      <c r="U333" s="2371"/>
      <c r="V333" s="2371"/>
      <c r="W333" s="2371"/>
      <c r="X333" s="2452"/>
      <c r="Y333" s="996"/>
      <c r="Z333" s="2452"/>
      <c r="AA333" s="996"/>
      <c r="AB333" s="2452"/>
      <c r="AC333" s="996"/>
    </row>
    <row r="334" spans="1:29" s="2103" customFormat="1" ht="24" customHeight="1">
      <c r="A334" s="2317"/>
      <c r="B334" s="2875">
        <v>31</v>
      </c>
      <c r="C334" s="2875"/>
      <c r="D334" s="2875"/>
      <c r="E334" s="2372">
        <f>SUM(E341+E352)</f>
        <v>17422.375</v>
      </c>
      <c r="F334" s="2372">
        <f t="shared" ref="F334:W334" si="73">SUM(F335:F349)</f>
        <v>0</v>
      </c>
      <c r="G334" s="2372">
        <f t="shared" si="73"/>
        <v>0</v>
      </c>
      <c r="H334" s="2372">
        <f t="shared" si="73"/>
        <v>0</v>
      </c>
      <c r="I334" s="2372">
        <f t="shared" si="73"/>
        <v>0</v>
      </c>
      <c r="J334" s="2372">
        <f t="shared" si="73"/>
        <v>0</v>
      </c>
      <c r="K334" s="2372">
        <f t="shared" si="73"/>
        <v>0</v>
      </c>
      <c r="L334" s="2372">
        <f t="shared" si="73"/>
        <v>0</v>
      </c>
      <c r="M334" s="2372">
        <f t="shared" si="73"/>
        <v>0</v>
      </c>
      <c r="N334" s="2372">
        <f t="shared" si="73"/>
        <v>0</v>
      </c>
      <c r="O334" s="2372">
        <f t="shared" si="73"/>
        <v>0</v>
      </c>
      <c r="P334" s="2372">
        <f t="shared" si="73"/>
        <v>0</v>
      </c>
      <c r="Q334" s="2372">
        <f t="shared" si="73"/>
        <v>0</v>
      </c>
      <c r="R334" s="2372">
        <f t="shared" si="73"/>
        <v>0</v>
      </c>
      <c r="S334" s="2372">
        <f t="shared" si="73"/>
        <v>0</v>
      </c>
      <c r="T334" s="2372">
        <f t="shared" si="73"/>
        <v>0</v>
      </c>
      <c r="U334" s="2372">
        <f t="shared" si="73"/>
        <v>0</v>
      </c>
      <c r="V334" s="2372">
        <f t="shared" si="73"/>
        <v>0</v>
      </c>
      <c r="W334" s="2372">
        <f t="shared" si="73"/>
        <v>0</v>
      </c>
      <c r="X334" s="2454"/>
      <c r="Y334" s="2318"/>
      <c r="Z334" s="2452"/>
      <c r="AA334" s="996"/>
      <c r="AB334" s="2452"/>
      <c r="AC334" s="996"/>
    </row>
    <row r="335" spans="1:29" s="166" customFormat="1" ht="12.6" customHeight="1">
      <c r="A335" s="2095"/>
      <c r="B335" s="2856" t="s">
        <v>290</v>
      </c>
      <c r="C335" s="2856"/>
      <c r="D335" s="2856"/>
      <c r="E335" s="2847">
        <f t="shared" ref="E335:W335" si="74">SUM(E336:E340)</f>
        <v>20542.12</v>
      </c>
      <c r="F335" s="2847">
        <f t="shared" si="74"/>
        <v>0</v>
      </c>
      <c r="G335" s="2847">
        <f t="shared" si="74"/>
        <v>0</v>
      </c>
      <c r="H335" s="2847">
        <f t="shared" si="74"/>
        <v>0</v>
      </c>
      <c r="I335" s="2847">
        <f t="shared" si="74"/>
        <v>0</v>
      </c>
      <c r="J335" s="2847">
        <f t="shared" si="74"/>
        <v>0</v>
      </c>
      <c r="K335" s="2847">
        <f t="shared" si="74"/>
        <v>0</v>
      </c>
      <c r="L335" s="2847">
        <f t="shared" si="74"/>
        <v>0</v>
      </c>
      <c r="M335" s="2847">
        <f t="shared" si="74"/>
        <v>0</v>
      </c>
      <c r="N335" s="2847">
        <f t="shared" si="74"/>
        <v>0</v>
      </c>
      <c r="O335" s="2847">
        <f t="shared" si="74"/>
        <v>0</v>
      </c>
      <c r="P335" s="2847">
        <f t="shared" si="74"/>
        <v>0</v>
      </c>
      <c r="Q335" s="2847">
        <f t="shared" si="74"/>
        <v>0</v>
      </c>
      <c r="R335" s="2847">
        <f t="shared" si="74"/>
        <v>0</v>
      </c>
      <c r="S335" s="2847">
        <f t="shared" si="74"/>
        <v>0</v>
      </c>
      <c r="T335" s="2847">
        <f t="shared" si="74"/>
        <v>0</v>
      </c>
      <c r="U335" s="2847">
        <f t="shared" si="74"/>
        <v>0</v>
      </c>
      <c r="V335" s="2847">
        <f t="shared" si="74"/>
        <v>0</v>
      </c>
      <c r="W335" s="2847">
        <f t="shared" si="74"/>
        <v>0</v>
      </c>
      <c r="Z335" s="2454"/>
      <c r="AA335" s="2318"/>
      <c r="AB335" s="2454"/>
      <c r="AC335" s="2318"/>
    </row>
    <row r="336" spans="1:29" s="2103" customFormat="1" ht="12.6" customHeight="1">
      <c r="A336" s="2097"/>
      <c r="B336" s="2856"/>
      <c r="C336" s="2856"/>
      <c r="D336" s="2856"/>
      <c r="E336" s="2847"/>
      <c r="F336" s="2847"/>
      <c r="G336" s="2847"/>
      <c r="H336" s="2847"/>
      <c r="I336" s="2847"/>
      <c r="J336" s="2847"/>
      <c r="K336" s="2847"/>
      <c r="L336" s="2847"/>
      <c r="M336" s="2847"/>
      <c r="N336" s="2847"/>
      <c r="O336" s="2847"/>
      <c r="P336" s="2847"/>
      <c r="Q336" s="2847"/>
      <c r="R336" s="2847"/>
      <c r="S336" s="2847"/>
      <c r="T336" s="2847"/>
      <c r="U336" s="2847"/>
      <c r="V336" s="2847"/>
      <c r="W336" s="2847"/>
      <c r="X336" s="2102"/>
      <c r="Y336" s="2102"/>
      <c r="Z336" s="166"/>
      <c r="AA336" s="166"/>
      <c r="AB336" s="166"/>
      <c r="AC336" s="166"/>
    </row>
    <row r="337" spans="1:29" s="995" customFormat="1" ht="12.6" customHeight="1">
      <c r="A337" s="991"/>
      <c r="B337" s="2321">
        <v>45504</v>
      </c>
      <c r="C337" s="2379"/>
      <c r="D337" s="2378" t="s">
        <v>35</v>
      </c>
      <c r="E337" s="2369">
        <f>$T$8</f>
        <v>12214</v>
      </c>
      <c r="F337" s="2369"/>
      <c r="G337" s="2369"/>
      <c r="H337" s="2369"/>
      <c r="I337" s="2369"/>
      <c r="J337" s="2369"/>
      <c r="K337" s="2369"/>
      <c r="L337" s="2369"/>
      <c r="M337" s="2369"/>
      <c r="N337" s="2369"/>
      <c r="O337" s="2369"/>
      <c r="P337" s="2369"/>
      <c r="Q337" s="2369"/>
      <c r="R337" s="2369"/>
      <c r="S337" s="2369"/>
      <c r="T337" s="2369"/>
      <c r="U337" s="2369"/>
      <c r="V337" s="2369"/>
      <c r="W337" s="2369"/>
      <c r="X337" s="2102"/>
      <c r="Y337" s="2102"/>
      <c r="Z337" s="2102"/>
      <c r="AA337" s="2102"/>
      <c r="AB337" s="2102"/>
      <c r="AC337" s="2102"/>
    </row>
    <row r="338" spans="1:29" s="995" customFormat="1" ht="12.6" customHeight="1">
      <c r="A338" s="991"/>
      <c r="B338" s="2321">
        <v>45504</v>
      </c>
      <c r="C338" s="2379"/>
      <c r="D338" s="2378" t="s">
        <v>34</v>
      </c>
      <c r="E338" s="2369">
        <f>$T$9-$X$7</f>
        <v>8108.12</v>
      </c>
      <c r="F338" s="2369"/>
      <c r="G338" s="2369"/>
      <c r="H338" s="2369"/>
      <c r="I338" s="2369"/>
      <c r="J338" s="2369"/>
      <c r="K338" s="2369"/>
      <c r="L338" s="2369"/>
      <c r="M338" s="2369"/>
      <c r="N338" s="2369"/>
      <c r="O338" s="2369"/>
      <c r="P338" s="2369"/>
      <c r="Q338" s="2369"/>
      <c r="R338" s="2369"/>
      <c r="S338" s="2369"/>
      <c r="T338" s="2369"/>
      <c r="U338" s="2369"/>
      <c r="V338" s="2369"/>
      <c r="W338" s="2369"/>
      <c r="X338" s="2102"/>
      <c r="Y338" s="2102"/>
      <c r="Z338" s="2102"/>
      <c r="AA338" s="2102"/>
      <c r="AB338" s="2102"/>
      <c r="AC338" s="2102"/>
    </row>
    <row r="339" spans="1:29" s="995" customFormat="1" ht="12.6" customHeight="1">
      <c r="A339" s="991"/>
      <c r="B339" s="2321">
        <v>45504</v>
      </c>
      <c r="C339" s="2379"/>
      <c r="D339" s="2378" t="s">
        <v>33</v>
      </c>
      <c r="E339" s="2369">
        <f>$Y$10</f>
        <v>220</v>
      </c>
      <c r="F339" s="2369"/>
      <c r="G339" s="2369"/>
      <c r="H339" s="2369"/>
      <c r="I339" s="2369"/>
      <c r="J339" s="2369"/>
      <c r="K339" s="2369"/>
      <c r="L339" s="2369"/>
      <c r="M339" s="2369"/>
      <c r="N339" s="2369"/>
      <c r="O339" s="2369"/>
      <c r="P339" s="2369"/>
      <c r="Q339" s="2369"/>
      <c r="R339" s="2369"/>
      <c r="S339" s="2369"/>
      <c r="T339" s="2369"/>
      <c r="U339" s="2369"/>
      <c r="V339" s="2369"/>
      <c r="W339" s="2369"/>
      <c r="X339" s="2102"/>
      <c r="Y339" s="2102"/>
      <c r="Z339" s="2102"/>
      <c r="AA339" s="2102"/>
      <c r="AB339" s="2102"/>
      <c r="AC339" s="2102"/>
    </row>
    <row r="340" spans="1:29" s="995" customFormat="1" ht="12.6" customHeight="1">
      <c r="A340" s="991"/>
      <c r="B340" s="2321"/>
      <c r="C340" s="2379"/>
      <c r="D340" s="2378"/>
      <c r="E340" s="2369"/>
      <c r="F340" s="2369"/>
      <c r="G340" s="2369"/>
      <c r="H340" s="2369"/>
      <c r="I340" s="2369"/>
      <c r="J340" s="2369"/>
      <c r="K340" s="2369"/>
      <c r="L340" s="2369"/>
      <c r="M340" s="2369"/>
      <c r="N340" s="2369"/>
      <c r="O340" s="2369"/>
      <c r="P340" s="2369"/>
      <c r="Q340" s="2369"/>
      <c r="R340" s="2369"/>
      <c r="S340" s="2369"/>
      <c r="T340" s="2369"/>
      <c r="U340" s="2369"/>
      <c r="V340" s="2369"/>
      <c r="W340" s="2369"/>
      <c r="X340" s="2102"/>
      <c r="Y340" s="2102"/>
      <c r="Z340" s="2102"/>
      <c r="AA340" s="2102"/>
      <c r="AB340" s="2102"/>
      <c r="AC340" s="2102"/>
    </row>
    <row r="341" spans="1:29" s="2103" customFormat="1" ht="12.6" customHeight="1">
      <c r="A341" s="2097"/>
      <c r="B341" s="2867" t="s">
        <v>289</v>
      </c>
      <c r="C341" s="2867"/>
      <c r="D341" s="2867"/>
      <c r="E341" s="2838">
        <f>SUM(E342:E351)</f>
        <v>0</v>
      </c>
      <c r="F341" s="2838">
        <f t="shared" ref="F341" si="75">SUM(F342:F351)</f>
        <v>0</v>
      </c>
      <c r="G341" s="2838">
        <f t="shared" ref="G341" si="76">SUM(G342:G351)</f>
        <v>0</v>
      </c>
      <c r="H341" s="2838">
        <f t="shared" ref="H341" si="77">SUM(H342:H351)</f>
        <v>0</v>
      </c>
      <c r="I341" s="2838">
        <f t="shared" ref="I341" si="78">SUM(I342:I351)</f>
        <v>0</v>
      </c>
      <c r="J341" s="2838">
        <f t="shared" ref="J341" si="79">SUM(J342:J351)</f>
        <v>0</v>
      </c>
      <c r="K341" s="2838">
        <f t="shared" ref="K341" si="80">SUM(K342:K351)</f>
        <v>0</v>
      </c>
      <c r="L341" s="2838">
        <f t="shared" ref="L341" si="81">SUM(L342:L351)</f>
        <v>0</v>
      </c>
      <c r="M341" s="2838">
        <f t="shared" ref="M341" si="82">SUM(M342:M351)</f>
        <v>0</v>
      </c>
      <c r="N341" s="2838">
        <f t="shared" ref="N341" si="83">SUM(N342:N351)</f>
        <v>0</v>
      </c>
      <c r="O341" s="2838">
        <f t="shared" ref="O341" si="84">SUM(O342:O351)</f>
        <v>0</v>
      </c>
      <c r="P341" s="2838">
        <f t="shared" ref="P341" si="85">SUM(P342:P351)</f>
        <v>0</v>
      </c>
      <c r="Q341" s="2838">
        <f t="shared" ref="Q341" si="86">SUM(Q342:Q351)</f>
        <v>0</v>
      </c>
      <c r="R341" s="2838">
        <f t="shared" ref="R341" si="87">SUM(R342:R351)</f>
        <v>0</v>
      </c>
      <c r="S341" s="2838">
        <f t="shared" ref="S341" si="88">SUM(S342:S351)</f>
        <v>0</v>
      </c>
      <c r="T341" s="2838">
        <f t="shared" ref="T341" si="89">SUM(T342:T351)</f>
        <v>0</v>
      </c>
      <c r="U341" s="2838">
        <f t="shared" ref="U341" si="90">SUM(U342:U351)</f>
        <v>0</v>
      </c>
      <c r="V341" s="2838">
        <f t="shared" ref="V341" si="91">SUM(V342:V351)</f>
        <v>0</v>
      </c>
      <c r="W341" s="2838">
        <f t="shared" ref="W341" si="92">SUM(W342:W351)</f>
        <v>0</v>
      </c>
      <c r="X341" s="2102"/>
      <c r="Y341" s="2102"/>
      <c r="Z341" s="2102"/>
      <c r="AA341" s="2102"/>
      <c r="AB341" s="2102"/>
      <c r="AC341" s="2102"/>
    </row>
    <row r="342" spans="1:29" s="995" customFormat="1" ht="12.6" customHeight="1">
      <c r="A342" s="991"/>
      <c r="B342" s="2863"/>
      <c r="C342" s="2863"/>
      <c r="D342" s="2863"/>
      <c r="E342" s="2839"/>
      <c r="F342" s="2839"/>
      <c r="G342" s="2839"/>
      <c r="H342" s="2839"/>
      <c r="I342" s="2839"/>
      <c r="J342" s="2839"/>
      <c r="K342" s="2839"/>
      <c r="L342" s="2839"/>
      <c r="M342" s="2839"/>
      <c r="N342" s="2839"/>
      <c r="O342" s="2839"/>
      <c r="P342" s="2839"/>
      <c r="Q342" s="2839"/>
      <c r="R342" s="2839"/>
      <c r="S342" s="2839"/>
      <c r="T342" s="2839"/>
      <c r="U342" s="2839"/>
      <c r="V342" s="2839"/>
      <c r="W342" s="2839"/>
      <c r="X342" s="2102"/>
      <c r="Y342" s="2102"/>
      <c r="Z342" s="2102"/>
      <c r="AA342" s="2102"/>
      <c r="AB342" s="2102"/>
      <c r="AC342" s="2102"/>
    </row>
    <row r="343" spans="1:29" s="166" customFormat="1" ht="12.6" customHeight="1">
      <c r="A343" s="2095"/>
      <c r="B343" s="2376"/>
      <c r="C343" s="2377"/>
      <c r="D343" s="2375"/>
      <c r="E343" s="2373"/>
      <c r="F343" s="2373"/>
      <c r="G343" s="2373"/>
      <c r="H343" s="2373"/>
      <c r="I343" s="2373"/>
      <c r="J343" s="2373"/>
      <c r="K343" s="2373"/>
      <c r="L343" s="2373"/>
      <c r="M343" s="2373"/>
      <c r="N343" s="2373"/>
      <c r="O343" s="2373"/>
      <c r="P343" s="2373"/>
      <c r="Q343" s="2373"/>
      <c r="R343" s="2373"/>
      <c r="S343" s="2373"/>
      <c r="T343" s="2373"/>
      <c r="U343" s="2373"/>
      <c r="V343" s="2373"/>
      <c r="W343" s="2373"/>
      <c r="X343" s="105"/>
      <c r="Y343" s="105"/>
      <c r="Z343" s="2102"/>
      <c r="AA343" s="2102"/>
      <c r="AB343" s="2102"/>
      <c r="AC343" s="2102"/>
    </row>
    <row r="344" spans="1:29" s="166" customFormat="1" ht="12.6" customHeight="1">
      <c r="A344" s="2095"/>
      <c r="B344" s="2376"/>
      <c r="C344" s="2377"/>
      <c r="D344" s="2375" t="s">
        <v>42</v>
      </c>
      <c r="E344" s="2373">
        <f t="shared" ref="E344:E351" si="93">SUM(F344:W344)</f>
        <v>0</v>
      </c>
      <c r="F344" s="2373"/>
      <c r="G344" s="2373"/>
      <c r="H344" s="2373"/>
      <c r="I344" s="2373"/>
      <c r="J344" s="2373"/>
      <c r="K344" s="2373"/>
      <c r="L344" s="2373"/>
      <c r="M344" s="2373"/>
      <c r="N344" s="2373"/>
      <c r="O344" s="2373"/>
      <c r="P344" s="2373"/>
      <c r="Q344" s="2373"/>
      <c r="R344" s="2373"/>
      <c r="S344" s="2373"/>
      <c r="T344" s="2373"/>
      <c r="U344" s="2373"/>
      <c r="V344" s="2373"/>
      <c r="W344" s="2373"/>
      <c r="X344" s="105"/>
      <c r="Y344" s="105"/>
      <c r="Z344" s="105"/>
      <c r="AA344" s="105"/>
      <c r="AB344" s="105"/>
      <c r="AC344" s="105"/>
    </row>
    <row r="345" spans="1:29" s="166" customFormat="1" ht="12.6" customHeight="1">
      <c r="A345" s="2095"/>
      <c r="B345" s="2376"/>
      <c r="C345" s="2377"/>
      <c r="D345" s="2375" t="s">
        <v>41</v>
      </c>
      <c r="E345" s="2373">
        <f t="shared" si="93"/>
        <v>0</v>
      </c>
      <c r="F345" s="2373"/>
      <c r="G345" s="2373"/>
      <c r="H345" s="2373"/>
      <c r="I345" s="2373"/>
      <c r="J345" s="2373"/>
      <c r="K345" s="2373"/>
      <c r="L345" s="2373"/>
      <c r="M345" s="2373"/>
      <c r="N345" s="2373"/>
      <c r="O345" s="2373"/>
      <c r="P345" s="2373"/>
      <c r="Q345" s="2373"/>
      <c r="R345" s="2373"/>
      <c r="S345" s="2373"/>
      <c r="T345" s="2373"/>
      <c r="U345" s="2373"/>
      <c r="V345" s="2373"/>
      <c r="W345" s="2373"/>
      <c r="X345" s="105"/>
      <c r="Y345" s="105"/>
      <c r="Z345" s="105"/>
      <c r="AA345" s="105"/>
      <c r="AB345" s="105"/>
      <c r="AC345" s="105"/>
    </row>
    <row r="346" spans="1:29" s="166" customFormat="1" ht="12.6" customHeight="1">
      <c r="A346" s="2095"/>
      <c r="B346" s="2376"/>
      <c r="C346" s="2377"/>
      <c r="D346" s="2375" t="s">
        <v>1348</v>
      </c>
      <c r="E346" s="2373">
        <f t="shared" si="93"/>
        <v>0</v>
      </c>
      <c r="F346" s="2373"/>
      <c r="G346" s="2373"/>
      <c r="H346" s="2373"/>
      <c r="I346" s="2373"/>
      <c r="J346" s="2373"/>
      <c r="K346" s="2373"/>
      <c r="L346" s="2373"/>
      <c r="M346" s="2373"/>
      <c r="N346" s="2373"/>
      <c r="O346" s="2373"/>
      <c r="P346" s="2373"/>
      <c r="Q346" s="2373"/>
      <c r="R346" s="2373"/>
      <c r="S346" s="2373"/>
      <c r="T346" s="2373"/>
      <c r="U346" s="2373"/>
      <c r="V346" s="2373"/>
      <c r="W346" s="2373"/>
      <c r="X346" s="105"/>
      <c r="Y346" s="105"/>
      <c r="Z346" s="105"/>
      <c r="AA346" s="105"/>
      <c r="AB346" s="105"/>
      <c r="AC346" s="105"/>
    </row>
    <row r="347" spans="1:29" s="166" customFormat="1" ht="12.6" customHeight="1">
      <c r="A347" s="2095"/>
      <c r="B347" s="2376"/>
      <c r="C347" s="2377"/>
      <c r="D347" s="2375" t="s">
        <v>39</v>
      </c>
      <c r="E347" s="2373">
        <f t="shared" si="93"/>
        <v>0</v>
      </c>
      <c r="F347" s="2373"/>
      <c r="G347" s="2373"/>
      <c r="H347" s="2373"/>
      <c r="I347" s="2373"/>
      <c r="J347" s="2373"/>
      <c r="K347" s="2373"/>
      <c r="L347" s="2373"/>
      <c r="M347" s="2373"/>
      <c r="N347" s="2373"/>
      <c r="O347" s="2373"/>
      <c r="P347" s="2373"/>
      <c r="Q347" s="2373"/>
      <c r="R347" s="2373"/>
      <c r="S347" s="2373"/>
      <c r="T347" s="2373"/>
      <c r="U347" s="2373"/>
      <c r="V347" s="2373"/>
      <c r="W347" s="2373"/>
      <c r="X347" s="105"/>
      <c r="Y347" s="105"/>
      <c r="Z347" s="105"/>
      <c r="AA347" s="105"/>
      <c r="AB347" s="105"/>
      <c r="AC347" s="105"/>
    </row>
    <row r="348" spans="1:29" s="166" customFormat="1" ht="12.6" customHeight="1">
      <c r="A348" s="2095"/>
      <c r="B348" s="2376"/>
      <c r="C348" s="2377"/>
      <c r="D348" s="2375" t="s">
        <v>123</v>
      </c>
      <c r="E348" s="2373">
        <f t="shared" si="93"/>
        <v>0</v>
      </c>
      <c r="F348" s="2373"/>
      <c r="G348" s="2373"/>
      <c r="H348" s="2373"/>
      <c r="I348" s="2373"/>
      <c r="J348" s="2373"/>
      <c r="K348" s="2373"/>
      <c r="L348" s="2373"/>
      <c r="M348" s="2373"/>
      <c r="N348" s="2373"/>
      <c r="O348" s="2373"/>
      <c r="P348" s="2373"/>
      <c r="Q348" s="2373"/>
      <c r="R348" s="2373"/>
      <c r="S348" s="2373"/>
      <c r="T348" s="2373"/>
      <c r="U348" s="2373"/>
      <c r="V348" s="2373"/>
      <c r="W348" s="2373"/>
      <c r="X348" s="105"/>
      <c r="Y348" s="105"/>
      <c r="Z348" s="105"/>
      <c r="AA348" s="105"/>
      <c r="AB348" s="105"/>
      <c r="AC348" s="105"/>
    </row>
    <row r="349" spans="1:29" s="166" customFormat="1" ht="12.6" customHeight="1">
      <c r="A349" s="2095"/>
      <c r="B349" s="2376"/>
      <c r="C349" s="2377"/>
      <c r="D349" s="2375" t="s">
        <v>37</v>
      </c>
      <c r="E349" s="2373">
        <f t="shared" si="93"/>
        <v>0</v>
      </c>
      <c r="F349" s="2373"/>
      <c r="G349" s="2373"/>
      <c r="H349" s="2373"/>
      <c r="I349" s="2373"/>
      <c r="J349" s="2373"/>
      <c r="K349" s="2373"/>
      <c r="L349" s="2373"/>
      <c r="M349" s="2373"/>
      <c r="N349" s="2373"/>
      <c r="O349" s="2373"/>
      <c r="P349" s="2373"/>
      <c r="Q349" s="2373"/>
      <c r="R349" s="2373"/>
      <c r="S349" s="2373"/>
      <c r="T349" s="2373"/>
      <c r="U349" s="2373"/>
      <c r="V349" s="2373"/>
      <c r="W349" s="2373"/>
      <c r="X349" s="105"/>
      <c r="Y349" s="105"/>
      <c r="Z349" s="105"/>
      <c r="AA349" s="105"/>
      <c r="AB349" s="105"/>
      <c r="AC349" s="105"/>
    </row>
    <row r="350" spans="1:29" s="166" customFormat="1" ht="12.6" customHeight="1">
      <c r="A350" s="2095"/>
      <c r="B350" s="2376"/>
      <c r="C350" s="2377"/>
      <c r="D350" s="2375" t="s">
        <v>123</v>
      </c>
      <c r="E350" s="2373">
        <f t="shared" si="93"/>
        <v>0</v>
      </c>
      <c r="F350" s="2373"/>
      <c r="G350" s="2373"/>
      <c r="H350" s="2373"/>
      <c r="I350" s="2373"/>
      <c r="J350" s="2373"/>
      <c r="K350" s="2373"/>
      <c r="L350" s="2373"/>
      <c r="M350" s="2373"/>
      <c r="N350" s="2373"/>
      <c r="O350" s="2373"/>
      <c r="P350" s="2373"/>
      <c r="Q350" s="2373"/>
      <c r="R350" s="2373"/>
      <c r="S350" s="2373"/>
      <c r="T350" s="2373"/>
      <c r="U350" s="2373"/>
      <c r="V350" s="2373"/>
      <c r="W350" s="2373"/>
      <c r="X350" s="105"/>
      <c r="Y350" s="105"/>
      <c r="Z350" s="105"/>
      <c r="AA350" s="105"/>
      <c r="AB350" s="105"/>
      <c r="AC350" s="105"/>
    </row>
    <row r="351" spans="1:29" s="166" customFormat="1" ht="12.6" customHeight="1">
      <c r="A351" s="2095"/>
      <c r="B351" s="2376"/>
      <c r="C351" s="2377"/>
      <c r="D351" s="2375" t="s">
        <v>37</v>
      </c>
      <c r="E351" s="2373">
        <f t="shared" si="93"/>
        <v>0</v>
      </c>
      <c r="F351" s="2373"/>
      <c r="G351" s="2373"/>
      <c r="H351" s="2373"/>
      <c r="I351" s="2373"/>
      <c r="J351" s="2373"/>
      <c r="K351" s="2373"/>
      <c r="L351" s="2373"/>
      <c r="M351" s="2373"/>
      <c r="N351" s="2373"/>
      <c r="O351" s="2373"/>
      <c r="P351" s="2373"/>
      <c r="Q351" s="2373"/>
      <c r="R351" s="2373"/>
      <c r="S351" s="2373"/>
      <c r="T351" s="2373"/>
      <c r="U351" s="2373"/>
      <c r="V351" s="2373"/>
      <c r="W351" s="2373"/>
      <c r="X351" s="105"/>
      <c r="Y351" s="105"/>
      <c r="Z351" s="105"/>
      <c r="AA351" s="105"/>
      <c r="AB351" s="105"/>
      <c r="AC351" s="105"/>
    </row>
    <row r="352" spans="1:29" s="2103" customFormat="1" ht="12.6" customHeight="1">
      <c r="A352" s="2097"/>
      <c r="B352" s="2853" t="s">
        <v>1647</v>
      </c>
      <c r="C352" s="2853"/>
      <c r="D352" s="2853"/>
      <c r="E352" s="2848">
        <f t="shared" ref="E352:W352" si="94">SUM(E353:E382)</f>
        <v>17422.375</v>
      </c>
      <c r="F352" s="2848">
        <f t="shared" si="94"/>
        <v>550</v>
      </c>
      <c r="G352" s="2848">
        <f t="shared" si="94"/>
        <v>0</v>
      </c>
      <c r="H352" s="2848">
        <f t="shared" si="94"/>
        <v>0</v>
      </c>
      <c r="I352" s="2848">
        <f t="shared" si="94"/>
        <v>0</v>
      </c>
      <c r="J352" s="2848">
        <f t="shared" si="94"/>
        <v>1607</v>
      </c>
      <c r="K352" s="2848">
        <f t="shared" si="94"/>
        <v>620</v>
      </c>
      <c r="L352" s="2848">
        <f t="shared" si="94"/>
        <v>0</v>
      </c>
      <c r="M352" s="2848">
        <f t="shared" si="94"/>
        <v>4315</v>
      </c>
      <c r="N352" s="2848">
        <f t="shared" si="94"/>
        <v>1135.165</v>
      </c>
      <c r="O352" s="2848">
        <f t="shared" si="94"/>
        <v>0</v>
      </c>
      <c r="P352" s="2848">
        <f t="shared" si="94"/>
        <v>1543.62</v>
      </c>
      <c r="Q352" s="2848">
        <f t="shared" si="94"/>
        <v>985</v>
      </c>
      <c r="R352" s="2848">
        <f t="shared" si="94"/>
        <v>665</v>
      </c>
      <c r="S352" s="2848">
        <f t="shared" si="94"/>
        <v>500</v>
      </c>
      <c r="T352" s="2848">
        <f t="shared" si="94"/>
        <v>4899</v>
      </c>
      <c r="U352" s="2848">
        <f t="shared" si="94"/>
        <v>0</v>
      </c>
      <c r="V352" s="2848">
        <f t="shared" si="94"/>
        <v>602.59</v>
      </c>
      <c r="W352" s="2848">
        <f t="shared" si="94"/>
        <v>4315</v>
      </c>
      <c r="X352" s="105"/>
      <c r="Y352" s="105"/>
      <c r="Z352" s="105"/>
      <c r="AA352" s="105"/>
      <c r="AB352" s="105"/>
      <c r="AC352" s="105"/>
    </row>
    <row r="353" spans="1:29" s="995" customFormat="1" ht="12.6" customHeight="1">
      <c r="A353" s="991"/>
      <c r="B353" s="2853"/>
      <c r="C353" s="2853"/>
      <c r="D353" s="2853"/>
      <c r="E353" s="2848"/>
      <c r="F353" s="2848"/>
      <c r="G353" s="2848"/>
      <c r="H353" s="2848"/>
      <c r="I353" s="2848"/>
      <c r="J353" s="2848"/>
      <c r="K353" s="2848"/>
      <c r="L353" s="2848"/>
      <c r="M353" s="2848"/>
      <c r="N353" s="2848"/>
      <c r="O353" s="2848"/>
      <c r="P353" s="2848"/>
      <c r="Q353" s="2848"/>
      <c r="R353" s="2848"/>
      <c r="S353" s="2848"/>
      <c r="T353" s="2848"/>
      <c r="U353" s="2848"/>
      <c r="V353" s="2848"/>
      <c r="W353" s="2848"/>
      <c r="X353" s="105"/>
      <c r="Y353" s="105"/>
      <c r="Z353" s="105"/>
      <c r="AA353" s="105"/>
      <c r="AB353" s="105"/>
      <c r="AC353" s="105"/>
    </row>
    <row r="354" spans="1:29" s="995" customFormat="1" ht="12.6" customHeight="1">
      <c r="A354" s="991"/>
      <c r="B354" s="2319">
        <v>45504</v>
      </c>
      <c r="C354" s="2319"/>
      <c r="D354" s="2320" t="s">
        <v>1466</v>
      </c>
      <c r="E354" s="2370">
        <f t="shared" ref="E354:E371" si="95">SUM(F354:W354)</f>
        <v>778</v>
      </c>
      <c r="F354" s="2370">
        <f>$V$7</f>
        <v>419</v>
      </c>
      <c r="G354" s="2370"/>
      <c r="H354" s="2370"/>
      <c r="I354" s="2370"/>
      <c r="J354" s="2370"/>
      <c r="K354" s="2370"/>
      <c r="L354" s="2370"/>
      <c r="M354" s="2370"/>
      <c r="N354" s="2370"/>
      <c r="O354" s="2370"/>
      <c r="P354" s="2370"/>
      <c r="Q354" s="2370"/>
      <c r="R354" s="2370"/>
      <c r="S354" s="2370"/>
      <c r="T354" s="2370">
        <f>$V$8</f>
        <v>359</v>
      </c>
      <c r="U354" s="2370"/>
      <c r="V354" s="2370"/>
      <c r="W354" s="2370"/>
      <c r="X354" s="2452"/>
      <c r="Y354" s="996"/>
      <c r="Z354" s="105"/>
      <c r="AA354" s="105"/>
      <c r="AB354" s="105"/>
      <c r="AC354" s="105"/>
    </row>
    <row r="355" spans="1:29" s="995" customFormat="1" ht="12.6" customHeight="1">
      <c r="A355" s="991"/>
      <c r="B355" s="2319">
        <v>45505</v>
      </c>
      <c r="C355" s="2319"/>
      <c r="D355" s="2320" t="s">
        <v>29</v>
      </c>
      <c r="E355" s="2370">
        <f t="shared" si="95"/>
        <v>69</v>
      </c>
      <c r="F355" s="2370">
        <f>$U$1</f>
        <v>69</v>
      </c>
      <c r="G355" s="2370"/>
      <c r="H355" s="2370"/>
      <c r="I355" s="2370"/>
      <c r="J355" s="2370"/>
      <c r="K355" s="2370"/>
      <c r="L355" s="2370"/>
      <c r="M355" s="2370"/>
      <c r="N355" s="2370"/>
      <c r="O355" s="2370"/>
      <c r="P355" s="2370"/>
      <c r="Q355" s="2370"/>
      <c r="R355" s="2370"/>
      <c r="S355" s="2370"/>
      <c r="T355" s="2370"/>
      <c r="U355" s="2370"/>
      <c r="V355" s="2370"/>
      <c r="W355" s="2370"/>
      <c r="X355" s="2452"/>
      <c r="Y355" s="996"/>
      <c r="Z355" s="2452"/>
      <c r="AA355" s="996"/>
      <c r="AB355" s="2452"/>
      <c r="AC355" s="996"/>
    </row>
    <row r="356" spans="1:29" s="995" customFormat="1" ht="12.6" customHeight="1">
      <c r="A356" s="991"/>
      <c r="B356" s="2319">
        <v>45505</v>
      </c>
      <c r="C356" s="2319"/>
      <c r="D356" s="2320" t="s">
        <v>30</v>
      </c>
      <c r="E356" s="2370">
        <v>4315</v>
      </c>
      <c r="F356" s="2370"/>
      <c r="G356" s="2370"/>
      <c r="H356" s="2370"/>
      <c r="I356" s="2370"/>
      <c r="J356" s="2370"/>
      <c r="K356" s="2370"/>
      <c r="L356" s="2370"/>
      <c r="M356" s="2370">
        <v>4315</v>
      </c>
      <c r="N356" s="2370"/>
      <c r="O356" s="2370"/>
      <c r="P356" s="2370"/>
      <c r="Q356" s="2370"/>
      <c r="R356" s="2370"/>
      <c r="S356" s="2370"/>
      <c r="T356" s="2370"/>
      <c r="U356" s="2370"/>
      <c r="V356" s="2370"/>
      <c r="W356" s="2370">
        <v>4315</v>
      </c>
      <c r="X356" s="2452"/>
      <c r="Y356" s="996"/>
      <c r="Z356" s="2452"/>
      <c r="AA356" s="996"/>
      <c r="AB356" s="2452"/>
      <c r="AC356" s="996"/>
    </row>
    <row r="357" spans="1:29" s="995" customFormat="1" ht="12.6" customHeight="1">
      <c r="A357" s="991"/>
      <c r="B357" s="2319">
        <v>45505</v>
      </c>
      <c r="C357" s="2319"/>
      <c r="D357" s="2320" t="s">
        <v>1352</v>
      </c>
      <c r="E357" s="2370">
        <f t="shared" si="95"/>
        <v>995.16499999999996</v>
      </c>
      <c r="F357" s="2370"/>
      <c r="G357" s="2370"/>
      <c r="H357" s="2370"/>
      <c r="I357" s="2370"/>
      <c r="J357" s="2370"/>
      <c r="K357" s="2370"/>
      <c r="L357" s="2370"/>
      <c r="M357" s="2370"/>
      <c r="N357" s="2370">
        <f>'el-varme'!$BQ$2</f>
        <v>995.16499999999996</v>
      </c>
      <c r="O357" s="2370"/>
      <c r="P357" s="2370"/>
      <c r="Q357" s="2370"/>
      <c r="R357" s="2370"/>
      <c r="S357" s="2370"/>
      <c r="T357" s="2370"/>
      <c r="U357" s="2370"/>
      <c r="V357" s="2370"/>
      <c r="W357" s="2370"/>
      <c r="X357" s="2452"/>
      <c r="Y357" s="996"/>
      <c r="Z357" s="2452"/>
      <c r="AA357" s="996"/>
      <c r="AB357" s="2452"/>
      <c r="AC357" s="996"/>
    </row>
    <row r="358" spans="1:29" s="995" customFormat="1" ht="12.6" customHeight="1">
      <c r="A358" s="991"/>
      <c r="B358" s="2319">
        <v>45505</v>
      </c>
      <c r="C358" s="2319"/>
      <c r="D358" s="2320" t="s">
        <v>26</v>
      </c>
      <c r="E358" s="2370">
        <f t="shared" si="95"/>
        <v>602.59</v>
      </c>
      <c r="F358" s="2370"/>
      <c r="G358" s="2370"/>
      <c r="H358" s="2370"/>
      <c r="I358" s="2370"/>
      <c r="J358" s="2370"/>
      <c r="K358" s="2370"/>
      <c r="L358" s="2370"/>
      <c r="M358" s="2370"/>
      <c r="N358" s="2370"/>
      <c r="O358" s="2370"/>
      <c r="P358" s="2370"/>
      <c r="Q358" s="2370"/>
      <c r="R358" s="2370"/>
      <c r="S358" s="2370"/>
      <c r="T358" s="2370"/>
      <c r="U358" s="2370"/>
      <c r="V358" s="2370">
        <f>$AA$11</f>
        <v>602.59</v>
      </c>
      <c r="W358" s="2370"/>
      <c r="X358" s="2452"/>
      <c r="Y358" s="996"/>
      <c r="Z358" s="2452"/>
      <c r="AA358" s="996"/>
      <c r="AB358" s="2452"/>
      <c r="AC358" s="996"/>
    </row>
    <row r="359" spans="1:29" s="995" customFormat="1" ht="12.6" customHeight="1">
      <c r="A359" s="991"/>
      <c r="B359" s="2319">
        <v>45505</v>
      </c>
      <c r="C359" s="2319"/>
      <c r="D359" s="2320" t="s">
        <v>25</v>
      </c>
      <c r="E359" s="2370">
        <f t="shared" si="95"/>
        <v>650</v>
      </c>
      <c r="F359" s="2370"/>
      <c r="G359" s="2370"/>
      <c r="H359" s="2370"/>
      <c r="I359" s="2370"/>
      <c r="J359" s="2370"/>
      <c r="K359" s="2370"/>
      <c r="L359" s="2370"/>
      <c r="M359" s="2370"/>
      <c r="N359" s="2370"/>
      <c r="O359" s="2370"/>
      <c r="P359" s="2370"/>
      <c r="Q359" s="2370">
        <f>$AA$10</f>
        <v>650</v>
      </c>
      <c r="R359" s="2370"/>
      <c r="S359" s="2370"/>
      <c r="T359" s="2370"/>
      <c r="U359" s="2370"/>
      <c r="V359" s="2370"/>
      <c r="W359" s="2370"/>
      <c r="X359" s="2452"/>
      <c r="Y359" s="996"/>
      <c r="Z359" s="2452"/>
      <c r="AA359" s="996"/>
      <c r="AB359" s="2452"/>
      <c r="AC359" s="996"/>
    </row>
    <row r="360" spans="1:29" s="995" customFormat="1" ht="12.6" customHeight="1">
      <c r="A360" s="991"/>
      <c r="B360" s="2319">
        <v>45505</v>
      </c>
      <c r="C360" s="2319"/>
      <c r="D360" s="2320" t="s">
        <v>22</v>
      </c>
      <c r="E360" s="2370">
        <f t="shared" si="95"/>
        <v>208</v>
      </c>
      <c r="F360" s="2370"/>
      <c r="G360" s="2370"/>
      <c r="H360" s="2370"/>
      <c r="I360" s="2370"/>
      <c r="J360" s="2370"/>
      <c r="K360" s="2370"/>
      <c r="L360" s="2370"/>
      <c r="M360" s="2370"/>
      <c r="N360" s="2370"/>
      <c r="O360" s="2370"/>
      <c r="P360" s="2370">
        <f>$Y$11</f>
        <v>208</v>
      </c>
      <c r="Q360" s="2370"/>
      <c r="R360" s="2370"/>
      <c r="S360" s="2370"/>
      <c r="T360" s="2370"/>
      <c r="U360" s="2370"/>
      <c r="V360" s="2370"/>
      <c r="W360" s="2370"/>
      <c r="X360" s="2452"/>
      <c r="Y360" s="996"/>
      <c r="Z360" s="2452"/>
      <c r="AA360" s="996"/>
      <c r="AB360" s="2452"/>
      <c r="AC360" s="996"/>
    </row>
    <row r="361" spans="1:29" s="995" customFormat="1" ht="12.6" customHeight="1">
      <c r="A361" s="991"/>
      <c r="B361" s="2319">
        <v>45505</v>
      </c>
      <c r="C361" s="2319"/>
      <c r="D361" s="2320" t="s">
        <v>21</v>
      </c>
      <c r="E361" s="2370">
        <f t="shared" si="95"/>
        <v>465</v>
      </c>
      <c r="F361" s="2370"/>
      <c r="G361" s="2370"/>
      <c r="H361" s="2370"/>
      <c r="I361" s="2370"/>
      <c r="J361" s="2370"/>
      <c r="K361" s="2370"/>
      <c r="L361" s="2370"/>
      <c r="M361" s="2370"/>
      <c r="N361" s="2370"/>
      <c r="O361" s="2370"/>
      <c r="P361" s="2370">
        <f>$W$1</f>
        <v>465</v>
      </c>
      <c r="Q361" s="2370"/>
      <c r="R361" s="2370"/>
      <c r="S361" s="2370"/>
      <c r="T361" s="2370"/>
      <c r="U361" s="2370"/>
      <c r="V361" s="2370"/>
      <c r="W361" s="2370"/>
      <c r="X361" s="2452"/>
      <c r="Y361" s="996"/>
      <c r="Z361" s="2452"/>
      <c r="AA361" s="996"/>
      <c r="AB361" s="2452"/>
      <c r="AC361" s="996"/>
    </row>
    <row r="362" spans="1:29" s="995" customFormat="1" ht="12.6" customHeight="1">
      <c r="A362" s="991"/>
      <c r="B362" s="2319">
        <v>45505</v>
      </c>
      <c r="C362" s="2319"/>
      <c r="D362" s="2320" t="s">
        <v>27</v>
      </c>
      <c r="E362" s="2370">
        <f t="shared" si="95"/>
        <v>870.62</v>
      </c>
      <c r="F362" s="2370"/>
      <c r="G362" s="2370"/>
      <c r="H362" s="2370"/>
      <c r="I362" s="2370"/>
      <c r="J362" s="2370"/>
      <c r="K362" s="2370"/>
      <c r="L362" s="2370"/>
      <c r="M362" s="2370"/>
      <c r="N362" s="2370"/>
      <c r="O362" s="2370"/>
      <c r="P362" s="2370">
        <f>$T$4</f>
        <v>870.62</v>
      </c>
      <c r="Q362" s="2370"/>
      <c r="R362" s="2370"/>
      <c r="S362" s="2370"/>
      <c r="T362" s="2370"/>
      <c r="U362" s="2370"/>
      <c r="V362" s="2370"/>
      <c r="W362" s="2370"/>
      <c r="X362" s="2452"/>
      <c r="Y362" s="996"/>
      <c r="Z362" s="2452"/>
      <c r="AA362" s="996"/>
      <c r="AB362" s="2452"/>
      <c r="AC362" s="996"/>
    </row>
    <row r="363" spans="1:29" s="995" customFormat="1" ht="12.6" customHeight="1">
      <c r="A363" s="991"/>
      <c r="B363" s="2319">
        <v>45505</v>
      </c>
      <c r="C363" s="2319"/>
      <c r="D363" s="2320" t="s">
        <v>1496</v>
      </c>
      <c r="E363" s="2370">
        <f t="shared" si="95"/>
        <v>0</v>
      </c>
      <c r="F363" s="2370"/>
      <c r="G363" s="2370"/>
      <c r="H363" s="2370"/>
      <c r="I363" s="2370"/>
      <c r="J363" s="2370"/>
      <c r="K363" s="2370"/>
      <c r="L363" s="2370"/>
      <c r="M363" s="2370"/>
      <c r="N363" s="2370"/>
      <c r="O363" s="2370"/>
      <c r="P363" s="2370"/>
      <c r="Q363" s="2370"/>
      <c r="R363" s="2370"/>
      <c r="S363" s="2370"/>
      <c r="T363" s="2370"/>
      <c r="U363" s="2370"/>
      <c r="V363" s="2370"/>
      <c r="W363" s="2370"/>
      <c r="X363" s="2452"/>
      <c r="Y363" s="996"/>
      <c r="Z363" s="2452"/>
      <c r="AA363" s="996"/>
      <c r="AB363" s="2452"/>
      <c r="AC363" s="996"/>
    </row>
    <row r="364" spans="1:29" s="995" customFormat="1" ht="12.6" customHeight="1">
      <c r="A364" s="991"/>
      <c r="B364" s="2319">
        <v>45505</v>
      </c>
      <c r="C364" s="2319"/>
      <c r="D364" s="2320" t="s">
        <v>28</v>
      </c>
      <c r="E364" s="2370">
        <f t="shared" si="95"/>
        <v>0</v>
      </c>
      <c r="F364" s="2370"/>
      <c r="G364" s="2370"/>
      <c r="H364" s="2370"/>
      <c r="I364" s="2370"/>
      <c r="J364" s="2370"/>
      <c r="K364" s="2370"/>
      <c r="L364" s="2370"/>
      <c r="M364" s="2370"/>
      <c r="N364" s="2370"/>
      <c r="O364" s="2370"/>
      <c r="P364" s="2370"/>
      <c r="Q364" s="2370"/>
      <c r="R364" s="2370"/>
      <c r="S364" s="2370"/>
      <c r="T364" s="2370"/>
      <c r="U364" s="2370"/>
      <c r="V364" s="2370"/>
      <c r="W364" s="2370"/>
      <c r="X364" s="2452"/>
      <c r="Y364" s="996"/>
      <c r="Z364" s="2452"/>
      <c r="AA364" s="996"/>
      <c r="AB364" s="2452"/>
      <c r="AC364" s="996"/>
    </row>
    <row r="365" spans="1:29" s="995" customFormat="1" ht="12.6" customHeight="1">
      <c r="A365" s="991"/>
      <c r="B365" s="2319">
        <v>45505</v>
      </c>
      <c r="C365" s="2319"/>
      <c r="D365" s="2320" t="s">
        <v>23</v>
      </c>
      <c r="E365" s="2370">
        <f t="shared" si="95"/>
        <v>0</v>
      </c>
      <c r="F365" s="2370"/>
      <c r="G365" s="2370"/>
      <c r="H365" s="2370"/>
      <c r="I365" s="2370"/>
      <c r="J365" s="2370"/>
      <c r="K365" s="2370"/>
      <c r="L365" s="2370"/>
      <c r="M365" s="2370"/>
      <c r="N365" s="2370"/>
      <c r="O365" s="2370"/>
      <c r="P365" s="2370"/>
      <c r="Q365" s="2370"/>
      <c r="R365" s="2370"/>
      <c r="S365" s="2370"/>
      <c r="T365" s="2370"/>
      <c r="U365" s="2370"/>
      <c r="V365" s="2370"/>
      <c r="W365" s="2370"/>
      <c r="X365" s="2452"/>
      <c r="Y365" s="996"/>
      <c r="Z365" s="2452"/>
      <c r="AA365" s="996"/>
      <c r="AB365" s="2452"/>
      <c r="AC365" s="996"/>
    </row>
    <row r="366" spans="1:29" s="995" customFormat="1" ht="12.6" customHeight="1">
      <c r="A366" s="991"/>
      <c r="B366" s="2319">
        <v>45505</v>
      </c>
      <c r="C366" s="2319"/>
      <c r="D366" s="2320" t="s">
        <v>126</v>
      </c>
      <c r="E366" s="2370">
        <f t="shared" si="95"/>
        <v>45</v>
      </c>
      <c r="F366" s="2370"/>
      <c r="G366" s="2370"/>
      <c r="H366" s="2370"/>
      <c r="I366" s="2370"/>
      <c r="J366" s="2370"/>
      <c r="K366" s="2370"/>
      <c r="L366" s="2370"/>
      <c r="M366" s="2370"/>
      <c r="N366" s="2370"/>
      <c r="O366" s="2370"/>
      <c r="P366" s="2370"/>
      <c r="Q366" s="2370"/>
      <c r="R366" s="2370">
        <f>$X$5</f>
        <v>45</v>
      </c>
      <c r="S366" s="2370"/>
      <c r="T366" s="2370"/>
      <c r="U366" s="2370"/>
      <c r="V366" s="2370"/>
      <c r="W366" s="2370"/>
      <c r="X366" s="2452"/>
      <c r="Y366" s="996"/>
      <c r="Z366" s="2452"/>
      <c r="AA366" s="996"/>
      <c r="AB366" s="2452"/>
      <c r="AC366" s="996"/>
    </row>
    <row r="367" spans="1:29" s="995" customFormat="1" ht="12.6" customHeight="1">
      <c r="A367" s="991"/>
      <c r="B367" s="2319">
        <v>45510</v>
      </c>
      <c r="C367" s="2319"/>
      <c r="D367" s="2320" t="s">
        <v>1495</v>
      </c>
      <c r="E367" s="2370">
        <f t="shared" si="95"/>
        <v>608</v>
      </c>
      <c r="F367" s="2370">
        <f>$Y$19</f>
        <v>62</v>
      </c>
      <c r="G367" s="2370"/>
      <c r="H367" s="2370"/>
      <c r="I367" s="2370"/>
      <c r="J367" s="2370"/>
      <c r="K367" s="2370"/>
      <c r="L367" s="2370"/>
      <c r="M367" s="2370"/>
      <c r="N367" s="2370"/>
      <c r="O367" s="2370"/>
      <c r="P367" s="2370"/>
      <c r="Q367" s="2370">
        <f>$Y$20</f>
        <v>306</v>
      </c>
      <c r="R367" s="2370"/>
      <c r="S367" s="2370"/>
      <c r="T367" s="2370">
        <f>$Y$21</f>
        <v>240</v>
      </c>
      <c r="U367" s="2370"/>
      <c r="V367" s="2370"/>
      <c r="W367" s="2370"/>
      <c r="X367" s="2452"/>
      <c r="Y367" s="996"/>
      <c r="Z367" s="2452"/>
      <c r="AA367" s="996"/>
      <c r="AB367" s="2452"/>
      <c r="AC367" s="996"/>
    </row>
    <row r="368" spans="1:29" s="995" customFormat="1" ht="12.6" customHeight="1">
      <c r="A368" s="991" t="s">
        <v>19</v>
      </c>
      <c r="B368" s="2319">
        <v>45507</v>
      </c>
      <c r="C368" s="2319"/>
      <c r="D368" s="2320" t="s">
        <v>1656</v>
      </c>
      <c r="E368" s="2370">
        <f>SUM(F368:W368)</f>
        <v>240</v>
      </c>
      <c r="F368" s="2370"/>
      <c r="G368" s="2370"/>
      <c r="H368" s="2370"/>
      <c r="I368" s="2370"/>
      <c r="J368" s="2370"/>
      <c r="K368" s="2370"/>
      <c r="L368" s="2370"/>
      <c r="M368" s="2370"/>
      <c r="N368" s="2370"/>
      <c r="O368" s="2370"/>
      <c r="P368" s="2370"/>
      <c r="Q368" s="2370"/>
      <c r="R368" s="2370">
        <v>240</v>
      </c>
      <c r="S368" s="2370"/>
      <c r="T368" s="2370"/>
      <c r="U368" s="2370"/>
      <c r="V368" s="2370"/>
      <c r="W368" s="2370"/>
      <c r="X368" s="2452"/>
      <c r="Y368" s="996"/>
      <c r="Z368" s="2452"/>
      <c r="AA368" s="996"/>
      <c r="AB368" s="2452"/>
      <c r="AC368" s="996"/>
    </row>
    <row r="369" spans="1:29" s="995" customFormat="1" ht="12.6" customHeight="1">
      <c r="A369" s="991"/>
      <c r="B369" s="2319">
        <v>45511</v>
      </c>
      <c r="C369" s="2319"/>
      <c r="D369" s="2320" t="s">
        <v>1655</v>
      </c>
      <c r="E369" s="2370">
        <v>140</v>
      </c>
      <c r="F369" s="2370"/>
      <c r="G369" s="2370"/>
      <c r="H369" s="2370"/>
      <c r="I369" s="2370"/>
      <c r="J369" s="2370"/>
      <c r="K369" s="2370"/>
      <c r="L369" s="2370"/>
      <c r="M369" s="2370"/>
      <c r="N369" s="2370"/>
      <c r="O369" s="2370"/>
      <c r="P369" s="2370"/>
      <c r="Q369" s="2370"/>
      <c r="R369" s="2370">
        <v>140</v>
      </c>
      <c r="S369" s="2370"/>
      <c r="T369" s="2370"/>
      <c r="U369" s="2370"/>
      <c r="V369" s="2370"/>
      <c r="W369" s="2370"/>
      <c r="X369" s="2452"/>
      <c r="Y369" s="996"/>
      <c r="Z369" s="2452"/>
      <c r="AA369" s="996"/>
      <c r="AB369" s="2452"/>
      <c r="AC369" s="996"/>
    </row>
    <row r="370" spans="1:29" s="995" customFormat="1" ht="12.6" customHeight="1">
      <c r="A370" s="991"/>
      <c r="B370" s="2319">
        <v>45532</v>
      </c>
      <c r="C370" s="2319"/>
      <c r="D370" s="2320" t="s">
        <v>1706</v>
      </c>
      <c r="E370" s="2370">
        <v>140</v>
      </c>
      <c r="F370" s="2370"/>
      <c r="G370" s="2370"/>
      <c r="H370" s="2370"/>
      <c r="I370" s="2370"/>
      <c r="J370" s="2370"/>
      <c r="K370" s="2370"/>
      <c r="L370" s="2370"/>
      <c r="M370" s="2370"/>
      <c r="N370" s="2370">
        <v>140</v>
      </c>
      <c r="O370" s="2370"/>
      <c r="P370" s="2370"/>
      <c r="Q370" s="2370"/>
      <c r="R370" s="2370"/>
      <c r="S370" s="2370"/>
      <c r="T370" s="2370"/>
      <c r="U370" s="2370"/>
      <c r="V370" s="2370"/>
      <c r="W370" s="2370"/>
      <c r="X370" s="2452"/>
      <c r="Y370" s="996"/>
      <c r="Z370" s="2452"/>
      <c r="AA370" s="996"/>
      <c r="AB370" s="2452"/>
      <c r="AC370" s="996"/>
    </row>
    <row r="371" spans="1:29" s="995" customFormat="1" ht="12.6" customHeight="1">
      <c r="A371" s="991"/>
      <c r="B371" s="2319"/>
      <c r="C371" s="2319"/>
      <c r="D371" s="2320" t="s">
        <v>1666</v>
      </c>
      <c r="E371" s="2370">
        <f t="shared" si="95"/>
        <v>4300</v>
      </c>
      <c r="F371" s="2370"/>
      <c r="G371" s="2370"/>
      <c r="H371" s="2370"/>
      <c r="I371" s="2370"/>
      <c r="J371" s="2370"/>
      <c r="K371" s="2370"/>
      <c r="L371" s="2370"/>
      <c r="M371" s="2370"/>
      <c r="N371" s="2370"/>
      <c r="O371" s="2370"/>
      <c r="P371" s="2370"/>
      <c r="Q371" s="2370"/>
      <c r="R371" s="2370"/>
      <c r="S371" s="2370"/>
      <c r="T371" s="2370">
        <f>$V$3</f>
        <v>4300</v>
      </c>
      <c r="U371" s="2370"/>
      <c r="V371" s="2370"/>
      <c r="W371" s="2370"/>
      <c r="X371" s="2452"/>
      <c r="Y371" s="996"/>
      <c r="Z371" s="2452"/>
      <c r="AA371" s="996"/>
      <c r="AB371" s="2452"/>
      <c r="AC371" s="996"/>
    </row>
    <row r="372" spans="1:29" s="995" customFormat="1" ht="12.6" customHeight="1">
      <c r="A372" s="991"/>
      <c r="B372" s="2319">
        <v>45532</v>
      </c>
      <c r="C372" s="2319"/>
      <c r="D372" s="2320" t="s">
        <v>1646</v>
      </c>
      <c r="E372" s="2370">
        <v>29</v>
      </c>
      <c r="F372" s="2370"/>
      <c r="G372" s="2370"/>
      <c r="H372" s="2370"/>
      <c r="I372" s="2370"/>
      <c r="J372" s="2370"/>
      <c r="K372" s="2370"/>
      <c r="L372" s="2370"/>
      <c r="M372" s="2370"/>
      <c r="N372" s="2370"/>
      <c r="O372" s="2370"/>
      <c r="P372" s="2370"/>
      <c r="Q372" s="2370">
        <v>29</v>
      </c>
      <c r="R372" s="2370"/>
      <c r="S372" s="2370"/>
      <c r="T372" s="2370"/>
      <c r="U372" s="2370"/>
      <c r="V372" s="2370"/>
      <c r="W372" s="2370"/>
      <c r="X372" s="2452"/>
      <c r="Y372" s="996"/>
      <c r="Z372" s="2452"/>
      <c r="AA372" s="996"/>
      <c r="AB372" s="2452"/>
      <c r="AC372" s="996"/>
    </row>
    <row r="373" spans="1:29" s="995" customFormat="1" ht="12.6" customHeight="1">
      <c r="A373" s="991" t="s">
        <v>19</v>
      </c>
      <c r="B373" s="2319">
        <v>45507</v>
      </c>
      <c r="C373" s="2319"/>
      <c r="D373" s="2320" t="s">
        <v>1656</v>
      </c>
      <c r="E373" s="2370">
        <f>SUM(F373:W373)</f>
        <v>240</v>
      </c>
      <c r="F373" s="2370"/>
      <c r="G373" s="2370"/>
      <c r="H373" s="2370"/>
      <c r="I373" s="2370"/>
      <c r="J373" s="2370"/>
      <c r="K373" s="2370"/>
      <c r="L373" s="2370"/>
      <c r="M373" s="2370"/>
      <c r="N373" s="2370"/>
      <c r="O373" s="2370"/>
      <c r="P373" s="2370"/>
      <c r="Q373" s="2370"/>
      <c r="R373" s="2370">
        <v>240</v>
      </c>
      <c r="S373" s="2370"/>
      <c r="T373" s="2370"/>
      <c r="U373" s="2370"/>
      <c r="V373" s="2370"/>
      <c r="W373" s="2370"/>
      <c r="X373" s="2452"/>
      <c r="Y373" s="996"/>
      <c r="Z373" s="2452"/>
      <c r="AA373" s="996"/>
      <c r="AB373" s="2452"/>
      <c r="AC373" s="996"/>
    </row>
    <row r="374" spans="1:29" s="995" customFormat="1" ht="12.6" customHeight="1">
      <c r="A374" s="991"/>
      <c r="B374" s="2319"/>
      <c r="C374" s="2319"/>
      <c r="D374" s="2320"/>
      <c r="E374" s="2370"/>
      <c r="F374" s="2370"/>
      <c r="G374" s="2370"/>
      <c r="H374" s="2370"/>
      <c r="I374" s="2370"/>
      <c r="J374" s="2370"/>
      <c r="K374" s="2370"/>
      <c r="L374" s="2370"/>
      <c r="M374" s="2370"/>
      <c r="N374" s="2370"/>
      <c r="O374" s="2370"/>
      <c r="P374" s="2370"/>
      <c r="Q374" s="2370"/>
      <c r="R374" s="2370"/>
      <c r="S374" s="2370"/>
      <c r="T374" s="2370"/>
      <c r="U374" s="2370"/>
      <c r="V374" s="2370"/>
      <c r="W374" s="2370"/>
      <c r="X374" s="2452"/>
      <c r="Y374" s="996"/>
      <c r="Z374" s="2452"/>
      <c r="AA374" s="996"/>
      <c r="AB374" s="2452"/>
      <c r="AC374" s="996"/>
    </row>
    <row r="375" spans="1:29" s="995" customFormat="1" ht="12.6" customHeight="1">
      <c r="A375" s="991"/>
      <c r="B375" s="2319"/>
      <c r="C375" s="2319"/>
      <c r="D375" s="2320" t="s">
        <v>1354</v>
      </c>
      <c r="E375" s="2370">
        <f>SUM(F375:W375)</f>
        <v>0</v>
      </c>
      <c r="F375" s="2370"/>
      <c r="G375" s="2370"/>
      <c r="H375" s="2370"/>
      <c r="I375" s="2370"/>
      <c r="J375" s="2370"/>
      <c r="K375" s="2370"/>
      <c r="L375" s="2370"/>
      <c r="M375" s="2370"/>
      <c r="N375" s="2370"/>
      <c r="O375" s="2370"/>
      <c r="P375" s="2370"/>
      <c r="Q375" s="2370"/>
      <c r="R375" s="2370"/>
      <c r="S375" s="2370"/>
      <c r="T375" s="2370"/>
      <c r="U375" s="2370"/>
      <c r="V375" s="2370"/>
      <c r="W375" s="2370"/>
      <c r="X375" s="2452"/>
      <c r="Y375" s="996"/>
      <c r="Z375" s="2452"/>
      <c r="AA375" s="996"/>
      <c r="AB375" s="2452"/>
      <c r="AC375" s="996"/>
    </row>
    <row r="376" spans="1:29" s="995" customFormat="1" ht="12.6" customHeight="1">
      <c r="A376" s="991"/>
      <c r="B376" s="2319"/>
      <c r="C376" s="2319"/>
      <c r="D376" s="2320" t="s">
        <v>15</v>
      </c>
      <c r="E376" s="2370">
        <f>SUM(G376:W376)</f>
        <v>0</v>
      </c>
      <c r="F376" s="2370"/>
      <c r="G376" s="2370"/>
      <c r="H376" s="2370"/>
      <c r="I376" s="2370"/>
      <c r="J376" s="2370"/>
      <c r="K376" s="2370"/>
      <c r="L376" s="2370"/>
      <c r="M376" s="2370"/>
      <c r="N376" s="2370"/>
      <c r="O376" s="2370"/>
      <c r="P376" s="2370"/>
      <c r="Q376" s="2370"/>
      <c r="R376" s="2370"/>
      <c r="S376" s="2370"/>
      <c r="T376" s="2370"/>
      <c r="U376" s="2370"/>
      <c r="V376" s="2370"/>
      <c r="W376" s="2370"/>
      <c r="X376" s="2452"/>
      <c r="Y376" s="996"/>
      <c r="Z376" s="2452"/>
      <c r="AA376" s="996"/>
      <c r="AB376" s="2452"/>
      <c r="AC376" s="996"/>
    </row>
    <row r="377" spans="1:29" s="995" customFormat="1" ht="12.6" customHeight="1">
      <c r="A377" s="991"/>
      <c r="B377" s="2319"/>
      <c r="C377" s="2319"/>
      <c r="D377" s="2320" t="s">
        <v>14</v>
      </c>
      <c r="E377" s="2370">
        <f>SUM(G377:W377)</f>
        <v>620</v>
      </c>
      <c r="F377" s="2370"/>
      <c r="G377" s="2370"/>
      <c r="H377" s="2370"/>
      <c r="I377" s="2370"/>
      <c r="J377" s="2370"/>
      <c r="K377" s="2370">
        <v>620</v>
      </c>
      <c r="L377" s="2370"/>
      <c r="M377" s="2370"/>
      <c r="N377" s="2370"/>
      <c r="O377" s="2370"/>
      <c r="P377" s="2370"/>
      <c r="Q377" s="2370"/>
      <c r="R377" s="2370"/>
      <c r="S377" s="2370"/>
      <c r="T377" s="2370"/>
      <c r="U377" s="2370"/>
      <c r="V377" s="2370"/>
      <c r="W377" s="2370"/>
      <c r="X377" s="2452"/>
      <c r="Y377" s="996"/>
      <c r="Z377" s="2452"/>
      <c r="AA377" s="996"/>
      <c r="AB377" s="2452"/>
      <c r="AC377" s="996"/>
    </row>
    <row r="378" spans="1:29" s="995" customFormat="1" ht="12.6" customHeight="1">
      <c r="A378" s="991"/>
      <c r="B378" s="2319"/>
      <c r="C378" s="2319"/>
      <c r="D378" s="2320" t="s">
        <v>9</v>
      </c>
      <c r="E378" s="2370">
        <v>500</v>
      </c>
      <c r="F378" s="2370"/>
      <c r="G378" s="2370"/>
      <c r="H378" s="2370"/>
      <c r="I378" s="2370"/>
      <c r="J378" s="2370"/>
      <c r="K378" s="2370"/>
      <c r="L378" s="2370"/>
      <c r="M378" s="2370"/>
      <c r="N378" s="2370"/>
      <c r="O378" s="2370"/>
      <c r="P378" s="2370"/>
      <c r="Q378" s="2370"/>
      <c r="R378" s="2370"/>
      <c r="S378" s="2370">
        <f>E378</f>
        <v>500</v>
      </c>
      <c r="T378" s="2370"/>
      <c r="U378" s="2370"/>
      <c r="V378" s="2370"/>
      <c r="W378" s="2370"/>
      <c r="X378" s="2452"/>
      <c r="Y378" s="996"/>
      <c r="Z378" s="2452"/>
      <c r="AA378" s="996"/>
      <c r="AB378" s="2452"/>
      <c r="AC378" s="996"/>
    </row>
    <row r="379" spans="1:29" s="995" customFormat="1" ht="12.6" customHeight="1">
      <c r="A379" s="991"/>
      <c r="B379" s="2319"/>
      <c r="C379" s="2319"/>
      <c r="D379" s="2320" t="s">
        <v>384</v>
      </c>
      <c r="E379" s="2370">
        <f>SUM(G379:W379)</f>
        <v>1607</v>
      </c>
      <c r="F379" s="2370"/>
      <c r="G379" s="2370"/>
      <c r="H379" s="2370"/>
      <c r="I379" s="2370"/>
      <c r="J379" s="2370">
        <f>medicin!$T$4</f>
        <v>1607</v>
      </c>
      <c r="K379" s="2370"/>
      <c r="L379" s="2370"/>
      <c r="M379" s="2370"/>
      <c r="N379" s="2370"/>
      <c r="O379" s="2370"/>
      <c r="P379" s="2370"/>
      <c r="Q379" s="2370"/>
      <c r="R379" s="2370"/>
      <c r="S379" s="2370"/>
      <c r="T379" s="2370"/>
      <c r="U379" s="2370"/>
      <c r="V379" s="2370"/>
      <c r="W379" s="2370"/>
      <c r="X379" s="2452"/>
      <c r="Y379" s="996"/>
      <c r="Z379" s="2452"/>
      <c r="AA379" s="996"/>
      <c r="AB379" s="2452"/>
      <c r="AC379" s="996"/>
    </row>
    <row r="380" spans="1:29" s="995" customFormat="1" ht="12.6" customHeight="1">
      <c r="A380" s="991"/>
      <c r="B380" s="2319"/>
      <c r="C380" s="2319"/>
      <c r="D380" s="2320"/>
      <c r="E380" s="2370">
        <f>SUM(G380:W380)</f>
        <v>0</v>
      </c>
      <c r="F380" s="2370"/>
      <c r="G380" s="2370"/>
      <c r="H380" s="2370"/>
      <c r="I380" s="2370"/>
      <c r="J380" s="2370"/>
      <c r="K380" s="2370"/>
      <c r="L380" s="2370"/>
      <c r="M380" s="2370"/>
      <c r="N380" s="2370"/>
      <c r="O380" s="2370"/>
      <c r="P380" s="2370"/>
      <c r="Q380" s="2370"/>
      <c r="R380" s="2370"/>
      <c r="S380" s="2370"/>
      <c r="T380" s="2370"/>
      <c r="U380" s="2370"/>
      <c r="V380" s="2370"/>
      <c r="W380" s="2370"/>
      <c r="X380" s="2452"/>
      <c r="Y380" s="996"/>
      <c r="Z380" s="2452"/>
      <c r="AA380" s="996"/>
      <c r="AB380" s="2452"/>
      <c r="AC380" s="996"/>
    </row>
    <row r="381" spans="1:29" s="995" customFormat="1" ht="12.6" customHeight="1">
      <c r="A381" s="991"/>
      <c r="B381" s="2319"/>
      <c r="C381" s="2319"/>
      <c r="D381" s="2320"/>
      <c r="E381" s="2370">
        <f>SUM(G381:W381)</f>
        <v>0</v>
      </c>
      <c r="F381" s="2370"/>
      <c r="G381" s="2370"/>
      <c r="H381" s="2370"/>
      <c r="I381" s="2370"/>
      <c r="J381" s="2370"/>
      <c r="K381" s="2370"/>
      <c r="L381" s="2370"/>
      <c r="M381" s="2370"/>
      <c r="N381" s="2370"/>
      <c r="O381" s="2370"/>
      <c r="P381" s="2370"/>
      <c r="Q381" s="2370"/>
      <c r="R381" s="2370"/>
      <c r="S381" s="2370"/>
      <c r="T381" s="2370"/>
      <c r="U381" s="2370"/>
      <c r="V381" s="2370"/>
      <c r="W381" s="2370"/>
      <c r="X381" s="2452"/>
      <c r="Y381" s="996"/>
      <c r="Z381" s="2452"/>
      <c r="AA381" s="996"/>
      <c r="AB381" s="2452"/>
      <c r="AC381" s="996"/>
    </row>
    <row r="382" spans="1:29" s="995" customFormat="1" ht="12.6" customHeight="1">
      <c r="A382" s="991"/>
      <c r="B382" s="2319"/>
      <c r="C382" s="2319"/>
      <c r="D382" s="2320"/>
      <c r="E382" s="2370">
        <f>SUM(G382:W382)</f>
        <v>0</v>
      </c>
      <c r="F382" s="2370"/>
      <c r="G382" s="2370"/>
      <c r="H382" s="2370"/>
      <c r="I382" s="2370"/>
      <c r="J382" s="2370"/>
      <c r="K382" s="2370"/>
      <c r="L382" s="2370"/>
      <c r="M382" s="2370"/>
      <c r="N382" s="2370"/>
      <c r="O382" s="2370"/>
      <c r="P382" s="2370"/>
      <c r="Q382" s="2370"/>
      <c r="R382" s="2370"/>
      <c r="S382" s="2370"/>
      <c r="T382" s="2370"/>
      <c r="U382" s="2370"/>
      <c r="V382" s="2370"/>
      <c r="W382" s="2370"/>
      <c r="X382" s="2452"/>
      <c r="Y382" s="996"/>
      <c r="Z382" s="2452"/>
      <c r="AA382" s="996"/>
      <c r="AB382" s="2452"/>
      <c r="AC382" s="996"/>
    </row>
    <row r="383" spans="1:29" s="2194" customFormat="1" ht="12.6" customHeight="1">
      <c r="A383" s="996"/>
      <c r="B383" s="2191"/>
      <c r="C383" s="2192"/>
      <c r="D383" s="2193"/>
      <c r="E383" s="2371"/>
      <c r="F383" s="2371"/>
      <c r="G383" s="2371"/>
      <c r="H383" s="2371"/>
      <c r="I383" s="2371"/>
      <c r="J383" s="2371"/>
      <c r="K383" s="2371"/>
      <c r="L383" s="2371"/>
      <c r="M383" s="2371"/>
      <c r="N383" s="2371"/>
      <c r="O383" s="2371"/>
      <c r="P383" s="2371"/>
      <c r="Q383" s="2371"/>
      <c r="R383" s="2371"/>
      <c r="S383" s="2371"/>
      <c r="T383" s="2371"/>
      <c r="U383" s="2371"/>
      <c r="V383" s="2371"/>
      <c r="W383" s="2371"/>
      <c r="X383" s="2452"/>
      <c r="Y383" s="996"/>
      <c r="Z383" s="2452"/>
      <c r="AA383" s="996"/>
      <c r="AB383" s="2452"/>
      <c r="AC383" s="996"/>
    </row>
    <row r="384" spans="1:29" s="2103" customFormat="1" ht="24" customHeight="1">
      <c r="A384" s="2317"/>
      <c r="B384" s="2870">
        <v>30</v>
      </c>
      <c r="C384" s="2870"/>
      <c r="D384" s="2870"/>
      <c r="E384" s="2372">
        <f>SUM(E391+E402)</f>
        <v>12382.375</v>
      </c>
      <c r="F384" s="2372">
        <f t="shared" ref="F384:W384" si="96">SUM(F385:F399)</f>
        <v>0</v>
      </c>
      <c r="G384" s="2372">
        <f t="shared" si="96"/>
        <v>0</v>
      </c>
      <c r="H384" s="2372">
        <f t="shared" si="96"/>
        <v>0</v>
      </c>
      <c r="I384" s="2372">
        <f t="shared" si="96"/>
        <v>0</v>
      </c>
      <c r="J384" s="2372">
        <f t="shared" si="96"/>
        <v>0</v>
      </c>
      <c r="K384" s="2372">
        <f t="shared" si="96"/>
        <v>0</v>
      </c>
      <c r="L384" s="2372">
        <f t="shared" si="96"/>
        <v>0</v>
      </c>
      <c r="M384" s="2372">
        <f t="shared" si="96"/>
        <v>0</v>
      </c>
      <c r="N384" s="2372">
        <f t="shared" si="96"/>
        <v>0</v>
      </c>
      <c r="O384" s="2372">
        <f t="shared" si="96"/>
        <v>0</v>
      </c>
      <c r="P384" s="2372">
        <f t="shared" si="96"/>
        <v>0</v>
      </c>
      <c r="Q384" s="2372">
        <f t="shared" si="96"/>
        <v>0</v>
      </c>
      <c r="R384" s="2372">
        <f t="shared" si="96"/>
        <v>0</v>
      </c>
      <c r="S384" s="2372">
        <f t="shared" si="96"/>
        <v>0</v>
      </c>
      <c r="T384" s="2372">
        <f t="shared" si="96"/>
        <v>0</v>
      </c>
      <c r="U384" s="2372">
        <f t="shared" si="96"/>
        <v>0</v>
      </c>
      <c r="V384" s="2372">
        <f t="shared" si="96"/>
        <v>0</v>
      </c>
      <c r="W384" s="2372">
        <f t="shared" si="96"/>
        <v>0</v>
      </c>
      <c r="X384" s="2454"/>
      <c r="Y384" s="2318"/>
      <c r="Z384" s="2452"/>
      <c r="AA384" s="996"/>
      <c r="AB384" s="2452"/>
      <c r="AC384" s="996"/>
    </row>
    <row r="385" spans="1:29" s="166" customFormat="1" ht="12.6" customHeight="1">
      <c r="A385" s="2095"/>
      <c r="B385" s="2856" t="s">
        <v>290</v>
      </c>
      <c r="C385" s="2856"/>
      <c r="D385" s="2856"/>
      <c r="E385" s="2847">
        <f t="shared" ref="E385:W385" si="97">SUM(E386:E390)</f>
        <v>20877</v>
      </c>
      <c r="F385" s="2847">
        <f t="shared" si="97"/>
        <v>0</v>
      </c>
      <c r="G385" s="2847">
        <f t="shared" si="97"/>
        <v>0</v>
      </c>
      <c r="H385" s="2847">
        <f t="shared" si="97"/>
        <v>0</v>
      </c>
      <c r="I385" s="2847">
        <f t="shared" si="97"/>
        <v>0</v>
      </c>
      <c r="J385" s="2847">
        <f t="shared" si="97"/>
        <v>0</v>
      </c>
      <c r="K385" s="2847">
        <f t="shared" si="97"/>
        <v>0</v>
      </c>
      <c r="L385" s="2847">
        <f t="shared" si="97"/>
        <v>0</v>
      </c>
      <c r="M385" s="2847">
        <f t="shared" si="97"/>
        <v>0</v>
      </c>
      <c r="N385" s="2847">
        <f t="shared" si="97"/>
        <v>0</v>
      </c>
      <c r="O385" s="2847">
        <f t="shared" si="97"/>
        <v>0</v>
      </c>
      <c r="P385" s="2847">
        <f t="shared" si="97"/>
        <v>0</v>
      </c>
      <c r="Q385" s="2847">
        <f t="shared" si="97"/>
        <v>0</v>
      </c>
      <c r="R385" s="2847">
        <f t="shared" si="97"/>
        <v>0</v>
      </c>
      <c r="S385" s="2847">
        <f t="shared" si="97"/>
        <v>0</v>
      </c>
      <c r="T385" s="2847">
        <f t="shared" si="97"/>
        <v>0</v>
      </c>
      <c r="U385" s="2847">
        <f t="shared" si="97"/>
        <v>0</v>
      </c>
      <c r="V385" s="2847">
        <f t="shared" si="97"/>
        <v>0</v>
      </c>
      <c r="W385" s="2847">
        <f t="shared" si="97"/>
        <v>0</v>
      </c>
      <c r="Z385" s="2454"/>
      <c r="AA385" s="2318"/>
      <c r="AB385" s="2454"/>
      <c r="AC385" s="2318"/>
    </row>
    <row r="386" spans="1:29" s="2103" customFormat="1" ht="12.6" customHeight="1">
      <c r="A386" s="2097"/>
      <c r="B386" s="2856"/>
      <c r="C386" s="2856"/>
      <c r="D386" s="2856"/>
      <c r="E386" s="2847"/>
      <c r="F386" s="2847"/>
      <c r="G386" s="2847"/>
      <c r="H386" s="2847"/>
      <c r="I386" s="2847"/>
      <c r="J386" s="2847"/>
      <c r="K386" s="2847"/>
      <c r="L386" s="2847"/>
      <c r="M386" s="2847"/>
      <c r="N386" s="2847"/>
      <c r="O386" s="2847"/>
      <c r="P386" s="2847"/>
      <c r="Q386" s="2847"/>
      <c r="R386" s="2847"/>
      <c r="S386" s="2847"/>
      <c r="T386" s="2847"/>
      <c r="U386" s="2847"/>
      <c r="V386" s="2847"/>
      <c r="W386" s="2847"/>
      <c r="X386" s="2102"/>
      <c r="Y386" s="2102"/>
      <c r="Z386" s="166"/>
      <c r="AA386" s="166"/>
      <c r="AB386" s="166"/>
      <c r="AC386" s="166"/>
    </row>
    <row r="387" spans="1:29" s="995" customFormat="1" ht="12.6" customHeight="1">
      <c r="A387" s="991"/>
      <c r="B387" s="2321">
        <v>45535</v>
      </c>
      <c r="C387" s="2379"/>
      <c r="D387" s="2378" t="s">
        <v>35</v>
      </c>
      <c r="E387" s="2369">
        <f>$T$8</f>
        <v>12214</v>
      </c>
      <c r="F387" s="2369"/>
      <c r="G387" s="2369"/>
      <c r="H387" s="2369"/>
      <c r="I387" s="2369"/>
      <c r="J387" s="2369"/>
      <c r="K387" s="2369"/>
      <c r="L387" s="2369"/>
      <c r="M387" s="2369"/>
      <c r="N387" s="2369"/>
      <c r="O387" s="2369"/>
      <c r="P387" s="2369"/>
      <c r="Q387" s="2369"/>
      <c r="R387" s="2369"/>
      <c r="S387" s="2369"/>
      <c r="T387" s="2369"/>
      <c r="U387" s="2369"/>
      <c r="V387" s="2369"/>
      <c r="W387" s="2369"/>
      <c r="X387" s="2102"/>
      <c r="Y387" s="2102"/>
      <c r="Z387" s="2102"/>
      <c r="AA387" s="2102"/>
      <c r="AB387" s="2102"/>
      <c r="AC387" s="2102"/>
    </row>
    <row r="388" spans="1:29" s="995" customFormat="1" ht="12.6" customHeight="1">
      <c r="A388" s="991"/>
      <c r="B388" s="2321">
        <v>45535</v>
      </c>
      <c r="C388" s="2379"/>
      <c r="D388" s="2378" t="s">
        <v>34</v>
      </c>
      <c r="E388" s="2369">
        <f>$T$9</f>
        <v>8443</v>
      </c>
      <c r="F388" s="2369"/>
      <c r="G388" s="2369"/>
      <c r="H388" s="2369"/>
      <c r="I388" s="2369"/>
      <c r="J388" s="2369"/>
      <c r="K388" s="2369"/>
      <c r="L388" s="2369"/>
      <c r="M388" s="2369"/>
      <c r="N388" s="2369"/>
      <c r="O388" s="2369"/>
      <c r="P388" s="2369"/>
      <c r="Q388" s="2369"/>
      <c r="R388" s="2369"/>
      <c r="S388" s="2369"/>
      <c r="T388" s="2369"/>
      <c r="U388" s="2369"/>
      <c r="V388" s="2369"/>
      <c r="W388" s="2369"/>
      <c r="X388" s="2102"/>
      <c r="Y388" s="2102"/>
      <c r="Z388" s="2102"/>
      <c r="AA388" s="2102"/>
      <c r="AB388" s="2102"/>
      <c r="AC388" s="2102"/>
    </row>
    <row r="389" spans="1:29" s="995" customFormat="1" ht="12.6" customHeight="1">
      <c r="A389" s="991"/>
      <c r="B389" s="2321">
        <v>45535</v>
      </c>
      <c r="C389" s="2379"/>
      <c r="D389" s="2378" t="s">
        <v>33</v>
      </c>
      <c r="E389" s="2369">
        <f>$Y$10</f>
        <v>220</v>
      </c>
      <c r="F389" s="2369"/>
      <c r="G389" s="2369"/>
      <c r="H389" s="2369"/>
      <c r="I389" s="2369"/>
      <c r="J389" s="2369"/>
      <c r="K389" s="2369"/>
      <c r="L389" s="2369"/>
      <c r="M389" s="2369"/>
      <c r="N389" s="2369"/>
      <c r="O389" s="2369"/>
      <c r="P389" s="2369"/>
      <c r="Q389" s="2369"/>
      <c r="R389" s="2369"/>
      <c r="S389" s="2369"/>
      <c r="T389" s="2369"/>
      <c r="U389" s="2369"/>
      <c r="V389" s="2369"/>
      <c r="W389" s="2369"/>
      <c r="X389" s="2102"/>
      <c r="Y389" s="2102"/>
      <c r="Z389" s="2102"/>
      <c r="AA389" s="2102"/>
      <c r="AB389" s="2102"/>
      <c r="AC389" s="2102"/>
    </row>
    <row r="390" spans="1:29" s="995" customFormat="1" ht="12.6" customHeight="1">
      <c r="A390" s="991"/>
      <c r="B390" s="2321"/>
      <c r="C390" s="2379"/>
      <c r="D390" s="2378"/>
      <c r="E390" s="2369"/>
      <c r="F390" s="2369"/>
      <c r="G390" s="2369"/>
      <c r="H390" s="2369"/>
      <c r="I390" s="2369"/>
      <c r="J390" s="2369"/>
      <c r="K390" s="2369"/>
      <c r="L390" s="2369"/>
      <c r="M390" s="2369"/>
      <c r="N390" s="2369"/>
      <c r="O390" s="2369"/>
      <c r="P390" s="2369"/>
      <c r="Q390" s="2369"/>
      <c r="R390" s="2369"/>
      <c r="S390" s="2369"/>
      <c r="T390" s="2369"/>
      <c r="U390" s="2369"/>
      <c r="V390" s="2369"/>
      <c r="W390" s="2369"/>
      <c r="X390" s="2102"/>
      <c r="Y390" s="2102"/>
      <c r="Z390" s="2102"/>
      <c r="AA390" s="2102"/>
      <c r="AB390" s="2102"/>
      <c r="AC390" s="2102"/>
    </row>
    <row r="391" spans="1:29" s="2103" customFormat="1" ht="12.6" customHeight="1">
      <c r="A391" s="2097"/>
      <c r="B391" s="2867" t="s">
        <v>289</v>
      </c>
      <c r="C391" s="2867"/>
      <c r="D391" s="2867"/>
      <c r="E391" s="2838">
        <f>SUM(E392:E401)</f>
        <v>0</v>
      </c>
      <c r="F391" s="2838">
        <f t="shared" ref="F391" si="98">SUM(F392:F401)</f>
        <v>0</v>
      </c>
      <c r="G391" s="2838">
        <f t="shared" ref="G391" si="99">SUM(G392:G401)</f>
        <v>0</v>
      </c>
      <c r="H391" s="2838">
        <f t="shared" ref="H391" si="100">SUM(H392:H401)</f>
        <v>0</v>
      </c>
      <c r="I391" s="2838">
        <f t="shared" ref="I391" si="101">SUM(I392:I401)</f>
        <v>0</v>
      </c>
      <c r="J391" s="2838">
        <f t="shared" ref="J391" si="102">SUM(J392:J401)</f>
        <v>0</v>
      </c>
      <c r="K391" s="2838">
        <f t="shared" ref="K391" si="103">SUM(K392:K401)</f>
        <v>0</v>
      </c>
      <c r="L391" s="2838">
        <f t="shared" ref="L391" si="104">SUM(L392:L401)</f>
        <v>0</v>
      </c>
      <c r="M391" s="2838">
        <f t="shared" ref="M391" si="105">SUM(M392:M401)</f>
        <v>0</v>
      </c>
      <c r="N391" s="2838">
        <f t="shared" ref="N391" si="106">SUM(N392:N401)</f>
        <v>0</v>
      </c>
      <c r="O391" s="2838">
        <f t="shared" ref="O391" si="107">SUM(O392:O401)</f>
        <v>0</v>
      </c>
      <c r="P391" s="2838">
        <f t="shared" ref="P391" si="108">SUM(P392:P401)</f>
        <v>0</v>
      </c>
      <c r="Q391" s="2838">
        <f t="shared" ref="Q391" si="109">SUM(Q392:Q401)</f>
        <v>0</v>
      </c>
      <c r="R391" s="2838">
        <f t="shared" ref="R391" si="110">SUM(R392:R401)</f>
        <v>0</v>
      </c>
      <c r="S391" s="2838">
        <f t="shared" ref="S391" si="111">SUM(S392:S401)</f>
        <v>0</v>
      </c>
      <c r="T391" s="2838">
        <f t="shared" ref="T391" si="112">SUM(T392:T401)</f>
        <v>0</v>
      </c>
      <c r="U391" s="2838">
        <f t="shared" ref="U391" si="113">SUM(U392:U401)</f>
        <v>0</v>
      </c>
      <c r="V391" s="2838">
        <f t="shared" ref="V391" si="114">SUM(V392:V401)</f>
        <v>0</v>
      </c>
      <c r="W391" s="2838">
        <f t="shared" ref="W391" si="115">SUM(W392:W401)</f>
        <v>0</v>
      </c>
      <c r="X391" s="2102"/>
      <c r="Y391" s="2102"/>
      <c r="Z391" s="2102"/>
      <c r="AA391" s="2102"/>
      <c r="AB391" s="2102"/>
      <c r="AC391" s="2102"/>
    </row>
    <row r="392" spans="1:29" s="995" customFormat="1" ht="12.6" customHeight="1">
      <c r="A392" s="991"/>
      <c r="B392" s="2863"/>
      <c r="C392" s="2863"/>
      <c r="D392" s="2863"/>
      <c r="E392" s="2839"/>
      <c r="F392" s="2839"/>
      <c r="G392" s="2839"/>
      <c r="H392" s="2839"/>
      <c r="I392" s="2839"/>
      <c r="J392" s="2839"/>
      <c r="K392" s="2839"/>
      <c r="L392" s="2839"/>
      <c r="M392" s="2839"/>
      <c r="N392" s="2839"/>
      <c r="O392" s="2839"/>
      <c r="P392" s="2839"/>
      <c r="Q392" s="2839"/>
      <c r="R392" s="2839"/>
      <c r="S392" s="2839"/>
      <c r="T392" s="2839"/>
      <c r="U392" s="2839"/>
      <c r="V392" s="2839"/>
      <c r="W392" s="2839"/>
      <c r="X392" s="2102"/>
      <c r="Y392" s="2102"/>
      <c r="Z392" s="2102"/>
      <c r="AA392" s="2102"/>
      <c r="AB392" s="2102"/>
      <c r="AC392" s="2102"/>
    </row>
    <row r="393" spans="1:29" s="166" customFormat="1" ht="12.6" customHeight="1">
      <c r="A393" s="2095"/>
      <c r="B393" s="2376"/>
      <c r="C393" s="2377"/>
      <c r="D393" s="2375"/>
      <c r="E393" s="2373"/>
      <c r="F393" s="2373"/>
      <c r="G393" s="2373"/>
      <c r="H393" s="2373"/>
      <c r="I393" s="2373"/>
      <c r="J393" s="2373"/>
      <c r="K393" s="2373"/>
      <c r="L393" s="2373"/>
      <c r="M393" s="2373"/>
      <c r="N393" s="2373"/>
      <c r="O393" s="2373"/>
      <c r="P393" s="2373"/>
      <c r="Q393" s="2373"/>
      <c r="R393" s="2373"/>
      <c r="S393" s="2373"/>
      <c r="T393" s="2373"/>
      <c r="U393" s="2373"/>
      <c r="V393" s="2373"/>
      <c r="W393" s="2373"/>
      <c r="X393" s="105"/>
      <c r="Y393" s="105"/>
      <c r="Z393" s="2102"/>
      <c r="AA393" s="2102"/>
      <c r="AB393" s="2102"/>
      <c r="AC393" s="2102"/>
    </row>
    <row r="394" spans="1:29" s="166" customFormat="1" ht="12.6" customHeight="1">
      <c r="A394" s="2095"/>
      <c r="B394" s="2376"/>
      <c r="C394" s="2377"/>
      <c r="D394" s="2375" t="s">
        <v>42</v>
      </c>
      <c r="E394" s="2373">
        <f t="shared" ref="E394:E401" si="116">SUM(F394:W394)</f>
        <v>0</v>
      </c>
      <c r="F394" s="2373"/>
      <c r="G394" s="2373"/>
      <c r="H394" s="2373"/>
      <c r="I394" s="2373"/>
      <c r="J394" s="2373"/>
      <c r="K394" s="2373"/>
      <c r="L394" s="2373"/>
      <c r="M394" s="2373"/>
      <c r="N394" s="2373"/>
      <c r="O394" s="2373"/>
      <c r="P394" s="2373"/>
      <c r="Q394" s="2373"/>
      <c r="R394" s="2373"/>
      <c r="S394" s="2373"/>
      <c r="T394" s="2373"/>
      <c r="U394" s="2373"/>
      <c r="V394" s="2373"/>
      <c r="W394" s="2373"/>
      <c r="X394" s="105"/>
      <c r="Y394" s="105"/>
      <c r="Z394" s="105"/>
      <c r="AA394" s="105"/>
      <c r="AB394" s="105"/>
      <c r="AC394" s="105"/>
    </row>
    <row r="395" spans="1:29" s="166" customFormat="1" ht="12.6" customHeight="1">
      <c r="A395" s="2095"/>
      <c r="B395" s="2376"/>
      <c r="C395" s="2377"/>
      <c r="D395" s="2375" t="s">
        <v>41</v>
      </c>
      <c r="E395" s="2373">
        <f t="shared" si="116"/>
        <v>0</v>
      </c>
      <c r="F395" s="2373"/>
      <c r="G395" s="2373"/>
      <c r="H395" s="2373"/>
      <c r="I395" s="2373"/>
      <c r="J395" s="2373"/>
      <c r="K395" s="2373"/>
      <c r="L395" s="2373"/>
      <c r="M395" s="2373"/>
      <c r="N395" s="2373"/>
      <c r="O395" s="2373"/>
      <c r="P395" s="2373"/>
      <c r="Q395" s="2373"/>
      <c r="R395" s="2373"/>
      <c r="S395" s="2373"/>
      <c r="T395" s="2373"/>
      <c r="U395" s="2373"/>
      <c r="V395" s="2373"/>
      <c r="W395" s="2373"/>
      <c r="X395" s="105"/>
      <c r="Y395" s="105"/>
      <c r="Z395" s="105"/>
      <c r="AA395" s="105"/>
      <c r="AB395" s="105"/>
      <c r="AC395" s="105"/>
    </row>
    <row r="396" spans="1:29" s="166" customFormat="1" ht="12.6" customHeight="1">
      <c r="A396" s="2095"/>
      <c r="B396" s="2376"/>
      <c r="C396" s="2377"/>
      <c r="D396" s="2375" t="s">
        <v>1348</v>
      </c>
      <c r="E396" s="2373">
        <f t="shared" si="116"/>
        <v>0</v>
      </c>
      <c r="F396" s="2373"/>
      <c r="G396" s="2373"/>
      <c r="H396" s="2373"/>
      <c r="I396" s="2373"/>
      <c r="J396" s="2373"/>
      <c r="K396" s="2373"/>
      <c r="L396" s="2373"/>
      <c r="M396" s="2373"/>
      <c r="N396" s="2373"/>
      <c r="O396" s="2373"/>
      <c r="P396" s="2373"/>
      <c r="Q396" s="2373"/>
      <c r="R396" s="2373"/>
      <c r="S396" s="2373"/>
      <c r="T396" s="2373"/>
      <c r="U396" s="2373"/>
      <c r="V396" s="2373"/>
      <c r="W396" s="2373"/>
      <c r="X396" s="105"/>
      <c r="Y396" s="105"/>
      <c r="Z396" s="105"/>
      <c r="AA396" s="105"/>
      <c r="AB396" s="105"/>
      <c r="AC396" s="105"/>
    </row>
    <row r="397" spans="1:29" s="166" customFormat="1" ht="12.6" customHeight="1">
      <c r="A397" s="2095"/>
      <c r="B397" s="2376"/>
      <c r="C397" s="2377"/>
      <c r="D397" s="2375" t="s">
        <v>39</v>
      </c>
      <c r="E397" s="2373">
        <f t="shared" si="116"/>
        <v>0</v>
      </c>
      <c r="F397" s="2373"/>
      <c r="G397" s="2373"/>
      <c r="H397" s="2373"/>
      <c r="I397" s="2373"/>
      <c r="J397" s="2373"/>
      <c r="K397" s="2373"/>
      <c r="L397" s="2373"/>
      <c r="M397" s="2373"/>
      <c r="N397" s="2373"/>
      <c r="O397" s="2373"/>
      <c r="P397" s="2373"/>
      <c r="Q397" s="2373"/>
      <c r="R397" s="2373"/>
      <c r="S397" s="2373"/>
      <c r="T397" s="2373"/>
      <c r="U397" s="2373"/>
      <c r="V397" s="2373"/>
      <c r="W397" s="2373"/>
      <c r="X397" s="105"/>
      <c r="Y397" s="105"/>
      <c r="Z397" s="105"/>
      <c r="AA397" s="105"/>
      <c r="AB397" s="105"/>
      <c r="AC397" s="105"/>
    </row>
    <row r="398" spans="1:29" s="166" customFormat="1" ht="12.6" customHeight="1">
      <c r="A398" s="2095"/>
      <c r="B398" s="2376"/>
      <c r="C398" s="2377"/>
      <c r="D398" s="2375" t="s">
        <v>123</v>
      </c>
      <c r="E398" s="2373">
        <f t="shared" si="116"/>
        <v>0</v>
      </c>
      <c r="F398" s="2373"/>
      <c r="G398" s="2373"/>
      <c r="H398" s="2373"/>
      <c r="I398" s="2373"/>
      <c r="J398" s="2373"/>
      <c r="K398" s="2373"/>
      <c r="L398" s="2373"/>
      <c r="M398" s="2373"/>
      <c r="N398" s="2373"/>
      <c r="O398" s="2373"/>
      <c r="P398" s="2373"/>
      <c r="Q398" s="2373"/>
      <c r="R398" s="2373"/>
      <c r="S398" s="2373"/>
      <c r="T398" s="2373"/>
      <c r="U398" s="2373"/>
      <c r="V398" s="2373"/>
      <c r="W398" s="2373"/>
      <c r="X398" s="105"/>
      <c r="Y398" s="105"/>
      <c r="Z398" s="105"/>
      <c r="AA398" s="105"/>
      <c r="AB398" s="105"/>
      <c r="AC398" s="105"/>
    </row>
    <row r="399" spans="1:29" s="166" customFormat="1" ht="12.6" customHeight="1">
      <c r="A399" s="2095"/>
      <c r="B399" s="2376"/>
      <c r="C399" s="2377"/>
      <c r="D399" s="2375" t="s">
        <v>37</v>
      </c>
      <c r="E399" s="2373">
        <f t="shared" si="116"/>
        <v>0</v>
      </c>
      <c r="F399" s="2373"/>
      <c r="G399" s="2373"/>
      <c r="H399" s="2373"/>
      <c r="I399" s="2373"/>
      <c r="J399" s="2373"/>
      <c r="K399" s="2373"/>
      <c r="L399" s="2373"/>
      <c r="M399" s="2373"/>
      <c r="N399" s="2373"/>
      <c r="O399" s="2373"/>
      <c r="P399" s="2373"/>
      <c r="Q399" s="2373"/>
      <c r="R399" s="2373"/>
      <c r="S399" s="2373"/>
      <c r="T399" s="2373"/>
      <c r="U399" s="2373"/>
      <c r="V399" s="2373"/>
      <c r="W399" s="2373"/>
      <c r="X399" s="105"/>
      <c r="Y399" s="105"/>
      <c r="Z399" s="105"/>
      <c r="AA399" s="105"/>
      <c r="AB399" s="105"/>
      <c r="AC399" s="105"/>
    </row>
    <row r="400" spans="1:29" s="166" customFormat="1" ht="12.6" customHeight="1">
      <c r="A400" s="2095"/>
      <c r="B400" s="2376"/>
      <c r="C400" s="2377"/>
      <c r="D400" s="2375" t="s">
        <v>123</v>
      </c>
      <c r="E400" s="2373">
        <f t="shared" si="116"/>
        <v>0</v>
      </c>
      <c r="F400" s="2373"/>
      <c r="G400" s="2373"/>
      <c r="H400" s="2373"/>
      <c r="I400" s="2373"/>
      <c r="J400" s="2373"/>
      <c r="K400" s="2373"/>
      <c r="L400" s="2373"/>
      <c r="M400" s="2373"/>
      <c r="N400" s="2373"/>
      <c r="O400" s="2373"/>
      <c r="P400" s="2373"/>
      <c r="Q400" s="2373"/>
      <c r="R400" s="2373"/>
      <c r="S400" s="2373"/>
      <c r="T400" s="2373"/>
      <c r="U400" s="2373"/>
      <c r="V400" s="2373"/>
      <c r="W400" s="2373"/>
      <c r="X400" s="105"/>
      <c r="Y400" s="105"/>
      <c r="Z400" s="105"/>
      <c r="AA400" s="105"/>
      <c r="AB400" s="105"/>
      <c r="AC400" s="105"/>
    </row>
    <row r="401" spans="1:29" s="166" customFormat="1" ht="12.6" customHeight="1">
      <c r="A401" s="2095"/>
      <c r="B401" s="2376"/>
      <c r="C401" s="2377"/>
      <c r="D401" s="2375" t="s">
        <v>37</v>
      </c>
      <c r="E401" s="2373">
        <f t="shared" si="116"/>
        <v>0</v>
      </c>
      <c r="F401" s="2373"/>
      <c r="G401" s="2373"/>
      <c r="H401" s="2373"/>
      <c r="I401" s="2373"/>
      <c r="J401" s="2373"/>
      <c r="K401" s="2373"/>
      <c r="L401" s="2373"/>
      <c r="M401" s="2373"/>
      <c r="N401" s="2373"/>
      <c r="O401" s="2373"/>
      <c r="P401" s="2373"/>
      <c r="Q401" s="2373"/>
      <c r="R401" s="2373"/>
      <c r="S401" s="2373"/>
      <c r="T401" s="2373"/>
      <c r="U401" s="2373"/>
      <c r="V401" s="2373"/>
      <c r="W401" s="2373"/>
      <c r="X401" s="105"/>
      <c r="Y401" s="105"/>
      <c r="Z401" s="105"/>
      <c r="AA401" s="105"/>
      <c r="AB401" s="105"/>
      <c r="AC401" s="105"/>
    </row>
    <row r="402" spans="1:29" s="2103" customFormat="1" ht="12.6" customHeight="1">
      <c r="A402" s="2097"/>
      <c r="B402" s="2853" t="s">
        <v>1647</v>
      </c>
      <c r="C402" s="2853"/>
      <c r="D402" s="2853"/>
      <c r="E402" s="2848">
        <f t="shared" ref="E402:W402" si="117">SUM(E403:E425)</f>
        <v>12382.375</v>
      </c>
      <c r="F402" s="2848">
        <f t="shared" si="117"/>
        <v>550</v>
      </c>
      <c r="G402" s="2848">
        <f t="shared" si="117"/>
        <v>0</v>
      </c>
      <c r="H402" s="2848">
        <f t="shared" si="117"/>
        <v>0</v>
      </c>
      <c r="I402" s="2848">
        <f t="shared" si="117"/>
        <v>0</v>
      </c>
      <c r="J402" s="2848">
        <f t="shared" si="117"/>
        <v>1607</v>
      </c>
      <c r="K402" s="2848">
        <f t="shared" si="117"/>
        <v>620</v>
      </c>
      <c r="L402" s="2848">
        <f t="shared" si="117"/>
        <v>0</v>
      </c>
      <c r="M402" s="2848">
        <f t="shared" si="117"/>
        <v>4315</v>
      </c>
      <c r="N402" s="2848">
        <f t="shared" si="117"/>
        <v>1135.165</v>
      </c>
      <c r="O402" s="2848">
        <f t="shared" si="117"/>
        <v>0</v>
      </c>
      <c r="P402" s="2848">
        <f t="shared" si="117"/>
        <v>1543.62</v>
      </c>
      <c r="Q402" s="2848">
        <f t="shared" si="117"/>
        <v>985</v>
      </c>
      <c r="R402" s="2848">
        <f t="shared" si="117"/>
        <v>425</v>
      </c>
      <c r="S402" s="2848">
        <f t="shared" si="117"/>
        <v>0</v>
      </c>
      <c r="T402" s="2848">
        <f t="shared" si="117"/>
        <v>599</v>
      </c>
      <c r="U402" s="2848">
        <f t="shared" si="117"/>
        <v>0</v>
      </c>
      <c r="V402" s="2848">
        <f t="shared" si="117"/>
        <v>602.59</v>
      </c>
      <c r="W402" s="2848">
        <f t="shared" si="117"/>
        <v>4315</v>
      </c>
      <c r="X402" s="105"/>
      <c r="Y402" s="105"/>
      <c r="Z402" s="105"/>
      <c r="AA402" s="105"/>
      <c r="AB402" s="105"/>
      <c r="AC402" s="105"/>
    </row>
    <row r="403" spans="1:29" s="995" customFormat="1" ht="12.6" customHeight="1">
      <c r="A403" s="991"/>
      <c r="B403" s="2853"/>
      <c r="C403" s="2853"/>
      <c r="D403" s="2853"/>
      <c r="E403" s="2848"/>
      <c r="F403" s="2848"/>
      <c r="G403" s="2848"/>
      <c r="H403" s="2848"/>
      <c r="I403" s="2848"/>
      <c r="J403" s="2848"/>
      <c r="K403" s="2848"/>
      <c r="L403" s="2848"/>
      <c r="M403" s="2848"/>
      <c r="N403" s="2848"/>
      <c r="O403" s="2848"/>
      <c r="P403" s="2848"/>
      <c r="Q403" s="2848"/>
      <c r="R403" s="2848"/>
      <c r="S403" s="2848"/>
      <c r="T403" s="2848"/>
      <c r="U403" s="2848"/>
      <c r="V403" s="2848"/>
      <c r="W403" s="2848"/>
      <c r="X403" s="105"/>
      <c r="Y403" s="105"/>
      <c r="Z403" s="105"/>
      <c r="AA403" s="105"/>
      <c r="AB403" s="105"/>
      <c r="AC403" s="105"/>
    </row>
    <row r="404" spans="1:29" s="995" customFormat="1" ht="12.6" customHeight="1">
      <c r="A404" s="991"/>
      <c r="B404" s="2319">
        <v>45534</v>
      </c>
      <c r="C404" s="2319"/>
      <c r="D404" s="2320" t="s">
        <v>1466</v>
      </c>
      <c r="E404" s="2370">
        <f t="shared" ref="E404:E417" si="118">SUM(F404:W404)</f>
        <v>778</v>
      </c>
      <c r="F404" s="2370">
        <f>$V$7</f>
        <v>419</v>
      </c>
      <c r="G404" s="2370"/>
      <c r="H404" s="2370"/>
      <c r="I404" s="2370"/>
      <c r="J404" s="2370"/>
      <c r="K404" s="2370"/>
      <c r="L404" s="2370"/>
      <c r="M404" s="2370"/>
      <c r="N404" s="2370"/>
      <c r="O404" s="2370"/>
      <c r="P404" s="2370"/>
      <c r="Q404" s="2370"/>
      <c r="R404" s="2370"/>
      <c r="S404" s="2370"/>
      <c r="T404" s="2370">
        <f>$V$8</f>
        <v>359</v>
      </c>
      <c r="U404" s="2370"/>
      <c r="V404" s="2370"/>
      <c r="W404" s="2370"/>
      <c r="X404" s="2452"/>
      <c r="Y404" s="996"/>
      <c r="Z404" s="105"/>
      <c r="AA404" s="105"/>
      <c r="AB404" s="105"/>
      <c r="AC404" s="105"/>
    </row>
    <row r="405" spans="1:29" s="995" customFormat="1" ht="12.6" customHeight="1">
      <c r="A405" s="991"/>
      <c r="B405" s="2319">
        <v>45536</v>
      </c>
      <c r="C405" s="2319"/>
      <c r="D405" s="2320" t="s">
        <v>29</v>
      </c>
      <c r="E405" s="2370">
        <f t="shared" si="118"/>
        <v>69</v>
      </c>
      <c r="F405" s="2370">
        <f>$U$1</f>
        <v>69</v>
      </c>
      <c r="G405" s="2370"/>
      <c r="H405" s="2370"/>
      <c r="I405" s="2370"/>
      <c r="J405" s="2370"/>
      <c r="K405" s="2370"/>
      <c r="L405" s="2370"/>
      <c r="M405" s="2370"/>
      <c r="N405" s="2370"/>
      <c r="O405" s="2370"/>
      <c r="P405" s="2370"/>
      <c r="Q405" s="2370"/>
      <c r="R405" s="2370"/>
      <c r="S405" s="2370"/>
      <c r="T405" s="2370"/>
      <c r="U405" s="2370"/>
      <c r="V405" s="2370"/>
      <c r="W405" s="2370"/>
      <c r="X405" s="2452"/>
      <c r="Y405" s="996"/>
      <c r="Z405" s="2452"/>
      <c r="AA405" s="996"/>
      <c r="AB405" s="2452"/>
      <c r="AC405" s="996"/>
    </row>
    <row r="406" spans="1:29" s="995" customFormat="1" ht="12.6" customHeight="1">
      <c r="A406" s="991"/>
      <c r="B406" s="2319">
        <v>45536</v>
      </c>
      <c r="C406" s="2319"/>
      <c r="D406" s="2320" t="s">
        <v>30</v>
      </c>
      <c r="E406" s="2370">
        <v>4315</v>
      </c>
      <c r="F406" s="2370"/>
      <c r="G406" s="2370"/>
      <c r="H406" s="2370"/>
      <c r="I406" s="2370"/>
      <c r="J406" s="2370"/>
      <c r="K406" s="2370"/>
      <c r="L406" s="2370"/>
      <c r="M406" s="2370">
        <v>4315</v>
      </c>
      <c r="N406" s="2370"/>
      <c r="O406" s="2370"/>
      <c r="P406" s="2370"/>
      <c r="Q406" s="2370"/>
      <c r="R406" s="2370"/>
      <c r="S406" s="2370"/>
      <c r="T406" s="2370"/>
      <c r="U406" s="2370"/>
      <c r="V406" s="2370"/>
      <c r="W406" s="2370">
        <v>4315</v>
      </c>
      <c r="X406" s="2452"/>
      <c r="Y406" s="996"/>
      <c r="Z406" s="2452"/>
      <c r="AA406" s="996"/>
      <c r="AB406" s="2452"/>
      <c r="AC406" s="996"/>
    </row>
    <row r="407" spans="1:29" s="995" customFormat="1" ht="12.6" customHeight="1">
      <c r="A407" s="991"/>
      <c r="B407" s="2319">
        <v>45536</v>
      </c>
      <c r="C407" s="2319"/>
      <c r="D407" s="2320" t="s">
        <v>1352</v>
      </c>
      <c r="E407" s="2370">
        <f t="shared" si="118"/>
        <v>995.16499999999996</v>
      </c>
      <c r="F407" s="2370"/>
      <c r="G407" s="2370"/>
      <c r="H407" s="2370"/>
      <c r="I407" s="2370"/>
      <c r="J407" s="2370"/>
      <c r="K407" s="2370"/>
      <c r="L407" s="2370"/>
      <c r="M407" s="2370"/>
      <c r="N407" s="2370">
        <f>'el-varme'!$BQ$2</f>
        <v>995.16499999999996</v>
      </c>
      <c r="O407" s="2370"/>
      <c r="P407" s="2370"/>
      <c r="Q407" s="2370"/>
      <c r="R407" s="2370"/>
      <c r="S407" s="2370"/>
      <c r="T407" s="2370"/>
      <c r="U407" s="2370"/>
      <c r="V407" s="2370"/>
      <c r="W407" s="2370"/>
      <c r="X407" s="2452"/>
      <c r="Y407" s="996"/>
      <c r="Z407" s="2452"/>
      <c r="AA407" s="996"/>
      <c r="AB407" s="2452"/>
      <c r="AC407" s="996"/>
    </row>
    <row r="408" spans="1:29" s="995" customFormat="1" ht="12.6" customHeight="1">
      <c r="A408" s="991"/>
      <c r="B408" s="2319">
        <v>45536</v>
      </c>
      <c r="C408" s="2319"/>
      <c r="D408" s="2320" t="s">
        <v>26</v>
      </c>
      <c r="E408" s="2370">
        <f t="shared" si="118"/>
        <v>602.59</v>
      </c>
      <c r="F408" s="2370"/>
      <c r="G408" s="2370"/>
      <c r="H408" s="2370"/>
      <c r="I408" s="2370"/>
      <c r="J408" s="2370"/>
      <c r="K408" s="2370"/>
      <c r="L408" s="2370"/>
      <c r="M408" s="2370"/>
      <c r="N408" s="2370"/>
      <c r="O408" s="2370"/>
      <c r="P408" s="2370"/>
      <c r="Q408" s="2370"/>
      <c r="R408" s="2370"/>
      <c r="S408" s="2370"/>
      <c r="T408" s="2370"/>
      <c r="U408" s="2370"/>
      <c r="V408" s="2370">
        <f>$AA$11</f>
        <v>602.59</v>
      </c>
      <c r="W408" s="2370"/>
      <c r="X408" s="2452"/>
      <c r="Y408" s="996"/>
      <c r="Z408" s="2452"/>
      <c r="AA408" s="996"/>
      <c r="AB408" s="2452"/>
      <c r="AC408" s="996"/>
    </row>
    <row r="409" spans="1:29" s="995" customFormat="1" ht="12.6" customHeight="1">
      <c r="A409" s="991"/>
      <c r="B409" s="2319">
        <v>45536</v>
      </c>
      <c r="C409" s="2319"/>
      <c r="D409" s="2320" t="s">
        <v>25</v>
      </c>
      <c r="E409" s="2370">
        <f t="shared" si="118"/>
        <v>650</v>
      </c>
      <c r="F409" s="2370"/>
      <c r="G409" s="2370"/>
      <c r="H409" s="2370"/>
      <c r="I409" s="2370"/>
      <c r="J409" s="2370"/>
      <c r="K409" s="2370"/>
      <c r="L409" s="2370"/>
      <c r="M409" s="2370"/>
      <c r="N409" s="2370"/>
      <c r="O409" s="2370"/>
      <c r="P409" s="2370"/>
      <c r="Q409" s="2370">
        <f>$AA$10</f>
        <v>650</v>
      </c>
      <c r="R409" s="2370"/>
      <c r="S409" s="2370"/>
      <c r="T409" s="2370"/>
      <c r="U409" s="2370"/>
      <c r="V409" s="2370"/>
      <c r="W409" s="2370"/>
      <c r="X409" s="2452"/>
      <c r="Y409" s="996"/>
      <c r="Z409" s="2452"/>
      <c r="AA409" s="996"/>
      <c r="AB409" s="2452"/>
      <c r="AC409" s="996"/>
    </row>
    <row r="410" spans="1:29" s="995" customFormat="1" ht="12.6" customHeight="1">
      <c r="A410" s="991"/>
      <c r="B410" s="2319">
        <v>45536</v>
      </c>
      <c r="C410" s="2319"/>
      <c r="D410" s="2320" t="s">
        <v>22</v>
      </c>
      <c r="E410" s="2370">
        <f t="shared" si="118"/>
        <v>208</v>
      </c>
      <c r="F410" s="2370"/>
      <c r="G410" s="2370"/>
      <c r="H410" s="2370"/>
      <c r="I410" s="2370"/>
      <c r="J410" s="2370"/>
      <c r="K410" s="2370"/>
      <c r="L410" s="2370"/>
      <c r="M410" s="2370"/>
      <c r="N410" s="2370"/>
      <c r="O410" s="2370"/>
      <c r="P410" s="2370">
        <f>$Y$11</f>
        <v>208</v>
      </c>
      <c r="Q410" s="2370"/>
      <c r="R410" s="2370"/>
      <c r="S410" s="2370"/>
      <c r="T410" s="2370"/>
      <c r="U410" s="2370"/>
      <c r="V410" s="2370"/>
      <c r="W410" s="2370"/>
      <c r="X410" s="2452"/>
      <c r="Y410" s="996"/>
      <c r="Z410" s="2452"/>
      <c r="AA410" s="996"/>
      <c r="AB410" s="2452"/>
      <c r="AC410" s="996"/>
    </row>
    <row r="411" spans="1:29" s="995" customFormat="1" ht="12.6" customHeight="1">
      <c r="A411" s="991"/>
      <c r="B411" s="2319">
        <v>45536</v>
      </c>
      <c r="C411" s="2319"/>
      <c r="D411" s="2320" t="s">
        <v>21</v>
      </c>
      <c r="E411" s="2370">
        <f t="shared" si="118"/>
        <v>465</v>
      </c>
      <c r="F411" s="2370"/>
      <c r="G411" s="2370"/>
      <c r="H411" s="2370"/>
      <c r="I411" s="2370"/>
      <c r="J411" s="2370"/>
      <c r="K411" s="2370"/>
      <c r="L411" s="2370"/>
      <c r="M411" s="2370"/>
      <c r="N411" s="2370"/>
      <c r="O411" s="2370"/>
      <c r="P411" s="2370">
        <f>$W$1</f>
        <v>465</v>
      </c>
      <c r="Q411" s="2370"/>
      <c r="R411" s="2370"/>
      <c r="S411" s="2370"/>
      <c r="T411" s="2370"/>
      <c r="U411" s="2370"/>
      <c r="V411" s="2370"/>
      <c r="W411" s="2370"/>
      <c r="X411" s="2452"/>
      <c r="Y411" s="996"/>
      <c r="Z411" s="2452"/>
      <c r="AA411" s="996"/>
      <c r="AB411" s="2452"/>
      <c r="AC411" s="996"/>
    </row>
    <row r="412" spans="1:29" s="995" customFormat="1" ht="12.6" customHeight="1">
      <c r="A412" s="991"/>
      <c r="B412" s="2319">
        <v>45536</v>
      </c>
      <c r="C412" s="2319"/>
      <c r="D412" s="2320" t="s">
        <v>27</v>
      </c>
      <c r="E412" s="2370">
        <f t="shared" si="118"/>
        <v>870.62</v>
      </c>
      <c r="F412" s="2370"/>
      <c r="G412" s="2370"/>
      <c r="H412" s="2370"/>
      <c r="I412" s="2370"/>
      <c r="J412" s="2370"/>
      <c r="K412" s="2370"/>
      <c r="L412" s="2370"/>
      <c r="M412" s="2370"/>
      <c r="N412" s="2370"/>
      <c r="O412" s="2370"/>
      <c r="P412" s="2370">
        <f>$T$4</f>
        <v>870.62</v>
      </c>
      <c r="Q412" s="2370"/>
      <c r="R412" s="2370"/>
      <c r="S412" s="2370"/>
      <c r="T412" s="2370"/>
      <c r="U412" s="2370"/>
      <c r="V412" s="2370"/>
      <c r="W412" s="2370"/>
      <c r="X412" s="2452"/>
      <c r="Y412" s="996"/>
      <c r="Z412" s="2452"/>
      <c r="AA412" s="996"/>
      <c r="AB412" s="2452"/>
      <c r="AC412" s="996"/>
    </row>
    <row r="413" spans="1:29" s="995" customFormat="1" ht="12.6" customHeight="1">
      <c r="A413" s="991"/>
      <c r="B413" s="2319">
        <v>45536</v>
      </c>
      <c r="C413" s="2319"/>
      <c r="D413" s="2320" t="s">
        <v>1496</v>
      </c>
      <c r="E413" s="2370">
        <f t="shared" si="118"/>
        <v>0</v>
      </c>
      <c r="F413" s="2370"/>
      <c r="G413" s="2370"/>
      <c r="H413" s="2370"/>
      <c r="I413" s="2370"/>
      <c r="J413" s="2370"/>
      <c r="K413" s="2370"/>
      <c r="L413" s="2370"/>
      <c r="M413" s="2370"/>
      <c r="N413" s="2370"/>
      <c r="O413" s="2370"/>
      <c r="P413" s="2370"/>
      <c r="Q413" s="2370"/>
      <c r="R413" s="2370"/>
      <c r="S413" s="2370"/>
      <c r="T413" s="2370"/>
      <c r="U413" s="2370"/>
      <c r="V413" s="2370"/>
      <c r="W413" s="2370"/>
      <c r="X413" s="2452"/>
      <c r="Y413" s="996"/>
      <c r="Z413" s="2452"/>
      <c r="AA413" s="996"/>
      <c r="AB413" s="2452"/>
      <c r="AC413" s="996"/>
    </row>
    <row r="414" spans="1:29" s="995" customFormat="1" ht="12.6" customHeight="1">
      <c r="A414" s="991"/>
      <c r="B414" s="2319">
        <v>45536</v>
      </c>
      <c r="C414" s="2319"/>
      <c r="D414" s="2320" t="s">
        <v>28</v>
      </c>
      <c r="E414" s="2370">
        <f t="shared" si="118"/>
        <v>0</v>
      </c>
      <c r="F414" s="2370"/>
      <c r="G414" s="2370"/>
      <c r="H414" s="2370"/>
      <c r="I414" s="2370"/>
      <c r="J414" s="2370"/>
      <c r="K414" s="2370"/>
      <c r="L414" s="2370"/>
      <c r="M414" s="2370"/>
      <c r="N414" s="2370"/>
      <c r="O414" s="2370"/>
      <c r="P414" s="2370"/>
      <c r="Q414" s="2370"/>
      <c r="R414" s="2370"/>
      <c r="S414" s="2370"/>
      <c r="T414" s="2370"/>
      <c r="U414" s="2370"/>
      <c r="V414" s="2370"/>
      <c r="W414" s="2370"/>
      <c r="X414" s="2452"/>
      <c r="Y414" s="996"/>
      <c r="Z414" s="2452"/>
      <c r="AA414" s="996"/>
      <c r="AB414" s="2452"/>
      <c r="AC414" s="996"/>
    </row>
    <row r="415" spans="1:29" s="995" customFormat="1" ht="12.6" customHeight="1">
      <c r="A415" s="991"/>
      <c r="B415" s="2319">
        <v>45536</v>
      </c>
      <c r="C415" s="2319"/>
      <c r="D415" s="2320" t="s">
        <v>23</v>
      </c>
      <c r="E415" s="2370">
        <f t="shared" si="118"/>
        <v>0</v>
      </c>
      <c r="F415" s="2370"/>
      <c r="G415" s="2370"/>
      <c r="H415" s="2370"/>
      <c r="I415" s="2370"/>
      <c r="J415" s="2370"/>
      <c r="K415" s="2370"/>
      <c r="L415" s="2370"/>
      <c r="M415" s="2370"/>
      <c r="N415" s="2370"/>
      <c r="O415" s="2370"/>
      <c r="P415" s="2370"/>
      <c r="Q415" s="2370"/>
      <c r="R415" s="2370"/>
      <c r="S415" s="2370"/>
      <c r="T415" s="2370"/>
      <c r="U415" s="2370"/>
      <c r="V415" s="2370"/>
      <c r="W415" s="2370"/>
      <c r="X415" s="2452"/>
      <c r="Y415" s="996"/>
      <c r="Z415" s="2452"/>
      <c r="AA415" s="996"/>
      <c r="AB415" s="2452"/>
      <c r="AC415" s="996"/>
    </row>
    <row r="416" spans="1:29" s="995" customFormat="1" ht="12.6" customHeight="1">
      <c r="A416" s="991"/>
      <c r="B416" s="2319">
        <v>45536</v>
      </c>
      <c r="C416" s="2319"/>
      <c r="D416" s="2320" t="s">
        <v>126</v>
      </c>
      <c r="E416" s="2370">
        <f t="shared" si="118"/>
        <v>45</v>
      </c>
      <c r="F416" s="2370"/>
      <c r="G416" s="2370"/>
      <c r="H416" s="2370"/>
      <c r="I416" s="2370"/>
      <c r="J416" s="2370"/>
      <c r="K416" s="2370"/>
      <c r="L416" s="2370"/>
      <c r="M416" s="2370"/>
      <c r="N416" s="2370"/>
      <c r="O416" s="2370"/>
      <c r="P416" s="2370"/>
      <c r="Q416" s="2370"/>
      <c r="R416" s="2370">
        <f>$X$5</f>
        <v>45</v>
      </c>
      <c r="S416" s="2370"/>
      <c r="T416" s="2370"/>
      <c r="U416" s="2370"/>
      <c r="V416" s="2370"/>
      <c r="W416" s="2370"/>
      <c r="X416" s="2452"/>
      <c r="Y416" s="996"/>
      <c r="Z416" s="2452"/>
      <c r="AA416" s="996"/>
      <c r="AB416" s="2452"/>
      <c r="AC416" s="996"/>
    </row>
    <row r="417" spans="1:29" s="995" customFormat="1" ht="12.6" customHeight="1">
      <c r="A417" s="991"/>
      <c r="B417" s="2319">
        <v>45541</v>
      </c>
      <c r="C417" s="2319"/>
      <c r="D417" s="2320" t="s">
        <v>1495</v>
      </c>
      <c r="E417" s="2370">
        <f t="shared" si="118"/>
        <v>608</v>
      </c>
      <c r="F417" s="2370">
        <f>$Y$19</f>
        <v>62</v>
      </c>
      <c r="G417" s="2370"/>
      <c r="H417" s="2370"/>
      <c r="I417" s="2370"/>
      <c r="J417" s="2370"/>
      <c r="K417" s="2370"/>
      <c r="L417" s="2370"/>
      <c r="M417" s="2370"/>
      <c r="N417" s="2370"/>
      <c r="O417" s="2370"/>
      <c r="P417" s="2370"/>
      <c r="Q417" s="2370">
        <f>$Y$20</f>
        <v>306</v>
      </c>
      <c r="R417" s="2370"/>
      <c r="S417" s="2370"/>
      <c r="T417" s="2370">
        <f>$Y$21</f>
        <v>240</v>
      </c>
      <c r="U417" s="2370"/>
      <c r="V417" s="2370"/>
      <c r="W417" s="2370"/>
      <c r="X417" s="2452"/>
      <c r="Y417" s="996"/>
      <c r="Z417" s="2452"/>
      <c r="AA417" s="996"/>
      <c r="AB417" s="2452"/>
      <c r="AC417" s="996"/>
    </row>
    <row r="418" spans="1:29" s="995" customFormat="1" ht="12.6" customHeight="1">
      <c r="A418" s="991"/>
      <c r="B418" s="2319">
        <v>45539</v>
      </c>
      <c r="C418" s="2319"/>
      <c r="D418" s="2320" t="s">
        <v>1655</v>
      </c>
      <c r="E418" s="2370">
        <v>140</v>
      </c>
      <c r="F418" s="2370"/>
      <c r="G418" s="2370"/>
      <c r="H418" s="2370"/>
      <c r="I418" s="2370"/>
      <c r="J418" s="2370"/>
      <c r="K418" s="2370"/>
      <c r="L418" s="2370"/>
      <c r="M418" s="2370"/>
      <c r="N418" s="2370"/>
      <c r="O418" s="2370"/>
      <c r="P418" s="2370"/>
      <c r="Q418" s="2370"/>
      <c r="R418" s="2370">
        <v>140</v>
      </c>
      <c r="S418" s="2370"/>
      <c r="T418" s="2370"/>
      <c r="U418" s="2370"/>
      <c r="V418" s="2370"/>
      <c r="W418" s="2370"/>
      <c r="X418" s="2452"/>
      <c r="Y418" s="996"/>
      <c r="Z418" s="2452"/>
      <c r="AA418" s="996"/>
      <c r="AB418" s="2452"/>
      <c r="AC418" s="996"/>
    </row>
    <row r="419" spans="1:29" s="995" customFormat="1" ht="12.6" customHeight="1">
      <c r="A419" s="991"/>
      <c r="B419" s="2319">
        <v>45560</v>
      </c>
      <c r="C419" s="2319"/>
      <c r="D419" s="2320" t="s">
        <v>1706</v>
      </c>
      <c r="E419" s="2370">
        <v>140</v>
      </c>
      <c r="F419" s="2370"/>
      <c r="G419" s="2370"/>
      <c r="H419" s="2370"/>
      <c r="I419" s="2370"/>
      <c r="J419" s="2370"/>
      <c r="K419" s="2370"/>
      <c r="L419" s="2370"/>
      <c r="M419" s="2370"/>
      <c r="N419" s="2370">
        <v>140</v>
      </c>
      <c r="O419" s="2370"/>
      <c r="P419" s="2370"/>
      <c r="Q419" s="2370"/>
      <c r="R419" s="2370"/>
      <c r="S419" s="2370"/>
      <c r="T419" s="2370"/>
      <c r="U419" s="2370"/>
      <c r="V419" s="2370"/>
      <c r="W419" s="2370"/>
      <c r="X419" s="2452"/>
      <c r="Y419" s="996"/>
      <c r="Z419" s="2452"/>
      <c r="AA419" s="996"/>
      <c r="AB419" s="2452"/>
      <c r="AC419" s="996"/>
    </row>
    <row r="420" spans="1:29" s="995" customFormat="1" ht="12.6" customHeight="1">
      <c r="A420" s="991"/>
      <c r="B420" s="2319">
        <v>45563</v>
      </c>
      <c r="C420" s="2319"/>
      <c r="D420" s="2320" t="s">
        <v>1646</v>
      </c>
      <c r="E420" s="2370">
        <v>29</v>
      </c>
      <c r="F420" s="2370"/>
      <c r="G420" s="2370"/>
      <c r="H420" s="2370"/>
      <c r="I420" s="2370"/>
      <c r="J420" s="2370"/>
      <c r="K420" s="2370"/>
      <c r="L420" s="2370"/>
      <c r="M420" s="2370"/>
      <c r="N420" s="2370"/>
      <c r="O420" s="2370"/>
      <c r="P420" s="2370"/>
      <c r="Q420" s="2370">
        <v>29</v>
      </c>
      <c r="R420" s="2370"/>
      <c r="S420" s="2370"/>
      <c r="T420" s="2370"/>
      <c r="U420" s="2370"/>
      <c r="V420" s="2370"/>
      <c r="W420" s="2370"/>
      <c r="X420" s="2452"/>
      <c r="Y420" s="996"/>
      <c r="Z420" s="2452"/>
      <c r="AA420" s="996"/>
      <c r="AB420" s="2452"/>
      <c r="AC420" s="996"/>
    </row>
    <row r="421" spans="1:29" s="995" customFormat="1" ht="12.6" customHeight="1">
      <c r="A421" s="991"/>
      <c r="B421" s="2319">
        <v>45564</v>
      </c>
      <c r="C421" s="2319"/>
      <c r="D421" s="2320" t="s">
        <v>1656</v>
      </c>
      <c r="E421" s="2370">
        <f>SUM(F421:W421)</f>
        <v>240</v>
      </c>
      <c r="F421" s="2370"/>
      <c r="G421" s="2370"/>
      <c r="H421" s="2370"/>
      <c r="I421" s="2370"/>
      <c r="J421" s="2370"/>
      <c r="K421" s="2370"/>
      <c r="L421" s="2370"/>
      <c r="M421" s="2370"/>
      <c r="N421" s="2370"/>
      <c r="O421" s="2370"/>
      <c r="P421" s="2370"/>
      <c r="Q421" s="2370"/>
      <c r="R421" s="2370">
        <v>240</v>
      </c>
      <c r="S421" s="2370"/>
      <c r="T421" s="2370"/>
      <c r="U421" s="2370"/>
      <c r="V421" s="2370"/>
      <c r="W421" s="2370"/>
      <c r="X421" s="2452"/>
      <c r="Y421" s="996"/>
      <c r="Z421" s="2452"/>
      <c r="AA421" s="996"/>
      <c r="AB421" s="2452"/>
      <c r="AC421" s="996"/>
    </row>
    <row r="422" spans="1:29" s="995" customFormat="1" ht="12.6" customHeight="1">
      <c r="A422" s="991"/>
      <c r="B422" s="2319"/>
      <c r="C422" s="2319"/>
      <c r="D422" s="2320" t="s">
        <v>1354</v>
      </c>
      <c r="E422" s="2370">
        <f>SUM(F422:W422)</f>
        <v>0</v>
      </c>
      <c r="F422" s="2370"/>
      <c r="G422" s="2370"/>
      <c r="H422" s="2370"/>
      <c r="I422" s="2370"/>
      <c r="J422" s="2370"/>
      <c r="K422" s="2370"/>
      <c r="L422" s="2370"/>
      <c r="M422" s="2370"/>
      <c r="N422" s="2370"/>
      <c r="O422" s="2370"/>
      <c r="P422" s="2370"/>
      <c r="Q422" s="2370"/>
      <c r="R422" s="2370"/>
      <c r="S422" s="2370"/>
      <c r="T422" s="2370"/>
      <c r="U422" s="2370"/>
      <c r="V422" s="2370"/>
      <c r="W422" s="2370"/>
      <c r="X422" s="2452"/>
      <c r="Y422" s="996"/>
      <c r="Z422" s="2452"/>
      <c r="AA422" s="996"/>
      <c r="AB422" s="2452"/>
      <c r="AC422" s="996"/>
    </row>
    <row r="423" spans="1:29" s="995" customFormat="1" ht="12.6" customHeight="1">
      <c r="A423" s="991"/>
      <c r="B423" s="2319"/>
      <c r="C423" s="2319"/>
      <c r="D423" s="2320" t="s">
        <v>15</v>
      </c>
      <c r="E423" s="2370">
        <f t="shared" ref="E423:E425" si="119">SUM(G423:W423)</f>
        <v>0</v>
      </c>
      <c r="F423" s="2370"/>
      <c r="G423" s="2370"/>
      <c r="H423" s="2370"/>
      <c r="I423" s="2370"/>
      <c r="J423" s="2370"/>
      <c r="K423" s="2370"/>
      <c r="L423" s="2370"/>
      <c r="M423" s="2370"/>
      <c r="N423" s="2370"/>
      <c r="O423" s="2370"/>
      <c r="P423" s="2370"/>
      <c r="Q423" s="2370"/>
      <c r="R423" s="2370"/>
      <c r="S423" s="2370"/>
      <c r="T423" s="2370"/>
      <c r="U423" s="2370"/>
      <c r="V423" s="2370"/>
      <c r="W423" s="2370"/>
      <c r="X423" s="2452"/>
      <c r="Y423" s="996"/>
      <c r="Z423" s="2452"/>
      <c r="AA423" s="996"/>
      <c r="AB423" s="2452"/>
      <c r="AC423" s="996"/>
    </row>
    <row r="424" spans="1:29" s="995" customFormat="1" ht="12.6" customHeight="1">
      <c r="A424" s="991"/>
      <c r="B424" s="2319"/>
      <c r="C424" s="2319"/>
      <c r="D424" s="2320" t="s">
        <v>14</v>
      </c>
      <c r="E424" s="2370">
        <f t="shared" si="119"/>
        <v>620</v>
      </c>
      <c r="F424" s="2370"/>
      <c r="G424" s="2370"/>
      <c r="H424" s="2370"/>
      <c r="I424" s="2370"/>
      <c r="J424" s="2370"/>
      <c r="K424" s="2370">
        <v>620</v>
      </c>
      <c r="L424" s="2370"/>
      <c r="M424" s="2370"/>
      <c r="N424" s="2370"/>
      <c r="O424" s="2370"/>
      <c r="P424" s="2370"/>
      <c r="Q424" s="2370"/>
      <c r="R424" s="2370"/>
      <c r="S424" s="2370"/>
      <c r="T424" s="2370"/>
      <c r="U424" s="2370"/>
      <c r="V424" s="2370"/>
      <c r="W424" s="2370"/>
      <c r="X424" s="2452"/>
      <c r="Y424" s="996"/>
      <c r="Z424" s="2452"/>
      <c r="AA424" s="996"/>
      <c r="AB424" s="2452"/>
      <c r="AC424" s="996"/>
    </row>
    <row r="425" spans="1:29" s="995" customFormat="1" ht="12.6" customHeight="1">
      <c r="A425" s="991"/>
      <c r="B425" s="2319"/>
      <c r="C425" s="2319"/>
      <c r="D425" s="2320" t="s">
        <v>384</v>
      </c>
      <c r="E425" s="2370">
        <f t="shared" si="119"/>
        <v>1607</v>
      </c>
      <c r="F425" s="2370"/>
      <c r="G425" s="2370"/>
      <c r="H425" s="2370"/>
      <c r="I425" s="2370"/>
      <c r="J425" s="2370">
        <f>medicin!$T$4</f>
        <v>1607</v>
      </c>
      <c r="K425" s="2370"/>
      <c r="L425" s="2370"/>
      <c r="M425" s="2370"/>
      <c r="N425" s="2370"/>
      <c r="O425" s="2370"/>
      <c r="P425" s="2370"/>
      <c r="Q425" s="2370"/>
      <c r="R425" s="2370"/>
      <c r="S425" s="2370"/>
      <c r="T425" s="2370"/>
      <c r="U425" s="2370"/>
      <c r="V425" s="2370"/>
      <c r="W425" s="2370"/>
      <c r="X425" s="2452"/>
      <c r="Y425" s="996"/>
      <c r="Z425" s="2452"/>
      <c r="AA425" s="996"/>
      <c r="AB425" s="2452"/>
      <c r="AC425" s="996"/>
    </row>
    <row r="426" spans="1:29" s="2194" customFormat="1" ht="12.6" customHeight="1">
      <c r="A426" s="996"/>
      <c r="B426" s="2191"/>
      <c r="C426" s="2192"/>
      <c r="D426" s="2193"/>
      <c r="E426" s="2371"/>
      <c r="F426" s="2371"/>
      <c r="G426" s="2371"/>
      <c r="H426" s="2371"/>
      <c r="I426" s="2371"/>
      <c r="J426" s="2371"/>
      <c r="K426" s="2371"/>
      <c r="L426" s="2371"/>
      <c r="M426" s="2371"/>
      <c r="N426" s="2371"/>
      <c r="O426" s="2371"/>
      <c r="P426" s="2371"/>
      <c r="Q426" s="2371"/>
      <c r="R426" s="2371"/>
      <c r="S426" s="2371"/>
      <c r="T426" s="2371"/>
      <c r="U426" s="2371"/>
      <c r="V426" s="2371"/>
      <c r="W426" s="2371"/>
      <c r="X426" s="2452"/>
      <c r="Y426" s="996"/>
      <c r="Z426" s="2452"/>
      <c r="AA426" s="996"/>
      <c r="AB426" s="2452"/>
      <c r="AC426" s="996"/>
    </row>
    <row r="427" spans="1:29" s="2103" customFormat="1" ht="24" customHeight="1">
      <c r="A427" s="2317"/>
      <c r="B427" s="2872">
        <v>31</v>
      </c>
      <c r="C427" s="2872"/>
      <c r="D427" s="2872"/>
      <c r="E427" s="2372">
        <f>SUM(E434+E445)</f>
        <v>16957.375</v>
      </c>
      <c r="F427" s="2372">
        <f t="shared" ref="F427:W427" si="120">SUM(F428:F442)</f>
        <v>0</v>
      </c>
      <c r="G427" s="2372">
        <f t="shared" si="120"/>
        <v>0</v>
      </c>
      <c r="H427" s="2372">
        <f t="shared" si="120"/>
        <v>0</v>
      </c>
      <c r="I427" s="2372">
        <f t="shared" si="120"/>
        <v>0</v>
      </c>
      <c r="J427" s="2372">
        <f t="shared" si="120"/>
        <v>0</v>
      </c>
      <c r="K427" s="2372">
        <f t="shared" si="120"/>
        <v>0</v>
      </c>
      <c r="L427" s="2372">
        <f t="shared" si="120"/>
        <v>0</v>
      </c>
      <c r="M427" s="2372">
        <f t="shared" si="120"/>
        <v>0</v>
      </c>
      <c r="N427" s="2372">
        <f t="shared" si="120"/>
        <v>0</v>
      </c>
      <c r="O427" s="2372">
        <f t="shared" si="120"/>
        <v>0</v>
      </c>
      <c r="P427" s="2372">
        <f t="shared" si="120"/>
        <v>0</v>
      </c>
      <c r="Q427" s="2372">
        <f t="shared" si="120"/>
        <v>0</v>
      </c>
      <c r="R427" s="2372">
        <f t="shared" si="120"/>
        <v>0</v>
      </c>
      <c r="S427" s="2372">
        <f t="shared" si="120"/>
        <v>0</v>
      </c>
      <c r="T427" s="2372">
        <f t="shared" si="120"/>
        <v>0</v>
      </c>
      <c r="U427" s="2372">
        <f t="shared" si="120"/>
        <v>0</v>
      </c>
      <c r="V427" s="2372">
        <f t="shared" si="120"/>
        <v>0</v>
      </c>
      <c r="W427" s="2372">
        <f t="shared" si="120"/>
        <v>0</v>
      </c>
      <c r="X427" s="2454"/>
      <c r="Y427" s="2318"/>
      <c r="Z427" s="2452"/>
      <c r="AA427" s="996"/>
      <c r="AB427" s="2452"/>
      <c r="AC427" s="996"/>
    </row>
    <row r="428" spans="1:29" s="166" customFormat="1" ht="12.6" customHeight="1">
      <c r="A428" s="2095"/>
      <c r="B428" s="2856" t="s">
        <v>290</v>
      </c>
      <c r="C428" s="2856"/>
      <c r="D428" s="2856"/>
      <c r="E428" s="2847">
        <f t="shared" ref="E428:W428" si="121">SUM(E429:E433)</f>
        <v>20877</v>
      </c>
      <c r="F428" s="2847">
        <f t="shared" si="121"/>
        <v>0</v>
      </c>
      <c r="G428" s="2847">
        <f t="shared" si="121"/>
        <v>0</v>
      </c>
      <c r="H428" s="2847">
        <f t="shared" si="121"/>
        <v>0</v>
      </c>
      <c r="I428" s="2847">
        <f t="shared" si="121"/>
        <v>0</v>
      </c>
      <c r="J428" s="2847">
        <f t="shared" si="121"/>
        <v>0</v>
      </c>
      <c r="K428" s="2847">
        <f t="shared" si="121"/>
        <v>0</v>
      </c>
      <c r="L428" s="2847">
        <f t="shared" si="121"/>
        <v>0</v>
      </c>
      <c r="M428" s="2847">
        <f t="shared" si="121"/>
        <v>0</v>
      </c>
      <c r="N428" s="2847">
        <f t="shared" si="121"/>
        <v>0</v>
      </c>
      <c r="O428" s="2847">
        <f t="shared" si="121"/>
        <v>0</v>
      </c>
      <c r="P428" s="2847">
        <f t="shared" si="121"/>
        <v>0</v>
      </c>
      <c r="Q428" s="2847">
        <f t="shared" si="121"/>
        <v>0</v>
      </c>
      <c r="R428" s="2847">
        <f t="shared" si="121"/>
        <v>0</v>
      </c>
      <c r="S428" s="2847">
        <f t="shared" si="121"/>
        <v>0</v>
      </c>
      <c r="T428" s="2847">
        <f t="shared" si="121"/>
        <v>0</v>
      </c>
      <c r="U428" s="2847">
        <f t="shared" si="121"/>
        <v>0</v>
      </c>
      <c r="V428" s="2847">
        <f t="shared" si="121"/>
        <v>0</v>
      </c>
      <c r="W428" s="2847">
        <f t="shared" si="121"/>
        <v>0</v>
      </c>
      <c r="Z428" s="2454"/>
      <c r="AA428" s="2318"/>
      <c r="AB428" s="2454"/>
      <c r="AC428" s="2318"/>
    </row>
    <row r="429" spans="1:29" s="2103" customFormat="1" ht="12.6" customHeight="1">
      <c r="A429" s="2097"/>
      <c r="B429" s="2856"/>
      <c r="C429" s="2856"/>
      <c r="D429" s="2856"/>
      <c r="E429" s="2847"/>
      <c r="F429" s="2847"/>
      <c r="G429" s="2847"/>
      <c r="H429" s="2847"/>
      <c r="I429" s="2847"/>
      <c r="J429" s="2847"/>
      <c r="K429" s="2847"/>
      <c r="L429" s="2847"/>
      <c r="M429" s="2847"/>
      <c r="N429" s="2847"/>
      <c r="O429" s="2847"/>
      <c r="P429" s="2847"/>
      <c r="Q429" s="2847"/>
      <c r="R429" s="2847"/>
      <c r="S429" s="2847"/>
      <c r="T429" s="2847"/>
      <c r="U429" s="2847"/>
      <c r="V429" s="2847"/>
      <c r="W429" s="2847"/>
      <c r="X429" s="2102"/>
      <c r="Y429" s="2102"/>
      <c r="Z429" s="166"/>
      <c r="AA429" s="166"/>
      <c r="AB429" s="166"/>
      <c r="AC429" s="166"/>
    </row>
    <row r="430" spans="1:29" s="995" customFormat="1" ht="12.6" customHeight="1">
      <c r="A430" s="991"/>
      <c r="B430" s="2321">
        <v>45565</v>
      </c>
      <c r="C430" s="2379"/>
      <c r="D430" s="2378" t="s">
        <v>35</v>
      </c>
      <c r="E430" s="2369">
        <f>$T$8</f>
        <v>12214</v>
      </c>
      <c r="F430" s="2369"/>
      <c r="G430" s="2369"/>
      <c r="H430" s="2369"/>
      <c r="I430" s="2369"/>
      <c r="J430" s="2369"/>
      <c r="K430" s="2369"/>
      <c r="L430" s="2369"/>
      <c r="M430" s="2369"/>
      <c r="N430" s="2369"/>
      <c r="O430" s="2369"/>
      <c r="P430" s="2369"/>
      <c r="Q430" s="2369"/>
      <c r="R430" s="2369"/>
      <c r="S430" s="2369"/>
      <c r="T430" s="2369"/>
      <c r="U430" s="2369"/>
      <c r="V430" s="2369"/>
      <c r="W430" s="2369"/>
      <c r="X430" s="2102"/>
      <c r="Y430" s="2102"/>
      <c r="Z430" s="2102"/>
      <c r="AA430" s="2102"/>
      <c r="AB430" s="2102"/>
      <c r="AC430" s="2102"/>
    </row>
    <row r="431" spans="1:29" s="995" customFormat="1" ht="12.6" customHeight="1">
      <c r="A431" s="991"/>
      <c r="B431" s="2321">
        <v>45565</v>
      </c>
      <c r="C431" s="2379"/>
      <c r="D431" s="2378" t="s">
        <v>34</v>
      </c>
      <c r="E431" s="2369">
        <f>$T$9</f>
        <v>8443</v>
      </c>
      <c r="F431" s="2369"/>
      <c r="G431" s="2369"/>
      <c r="H431" s="2369"/>
      <c r="I431" s="2369"/>
      <c r="J431" s="2369"/>
      <c r="K431" s="2369"/>
      <c r="L431" s="2369"/>
      <c r="M431" s="2369"/>
      <c r="N431" s="2369"/>
      <c r="O431" s="2369"/>
      <c r="P431" s="2369"/>
      <c r="Q431" s="2369"/>
      <c r="R431" s="2369"/>
      <c r="S431" s="2369"/>
      <c r="T431" s="2369"/>
      <c r="U431" s="2369"/>
      <c r="V431" s="2369"/>
      <c r="W431" s="2369"/>
      <c r="X431" s="2102"/>
      <c r="Y431" s="2102"/>
      <c r="Z431" s="2102"/>
      <c r="AA431" s="2102"/>
      <c r="AB431" s="2102"/>
      <c r="AC431" s="2102"/>
    </row>
    <row r="432" spans="1:29" s="995" customFormat="1" ht="12.6" customHeight="1">
      <c r="A432" s="991"/>
      <c r="B432" s="2321">
        <v>45565</v>
      </c>
      <c r="C432" s="2379"/>
      <c r="D432" s="2378" t="s">
        <v>33</v>
      </c>
      <c r="E432" s="2369">
        <f>$Y$10</f>
        <v>220</v>
      </c>
      <c r="F432" s="2369"/>
      <c r="G432" s="2369"/>
      <c r="H432" s="2369"/>
      <c r="I432" s="2369"/>
      <c r="J432" s="2369"/>
      <c r="K432" s="2369"/>
      <c r="L432" s="2369"/>
      <c r="M432" s="2369"/>
      <c r="N432" s="2369"/>
      <c r="O432" s="2369"/>
      <c r="P432" s="2369"/>
      <c r="Q432" s="2369"/>
      <c r="R432" s="2369"/>
      <c r="S432" s="2369"/>
      <c r="T432" s="2369"/>
      <c r="U432" s="2369"/>
      <c r="V432" s="2369"/>
      <c r="W432" s="2369"/>
      <c r="X432" s="2102"/>
      <c r="Y432" s="2102"/>
      <c r="Z432" s="2102"/>
      <c r="AA432" s="2102"/>
      <c r="AB432" s="2102"/>
      <c r="AC432" s="2102"/>
    </row>
    <row r="433" spans="1:29" s="995" customFormat="1" ht="12.6" customHeight="1">
      <c r="A433" s="991"/>
      <c r="B433" s="2321"/>
      <c r="C433" s="2379"/>
      <c r="D433" s="2378"/>
      <c r="E433" s="2369"/>
      <c r="F433" s="2369"/>
      <c r="G433" s="2369"/>
      <c r="H433" s="2369"/>
      <c r="I433" s="2369"/>
      <c r="J433" s="2369"/>
      <c r="K433" s="2369"/>
      <c r="L433" s="2369"/>
      <c r="M433" s="2369"/>
      <c r="N433" s="2369"/>
      <c r="O433" s="2369"/>
      <c r="P433" s="2369"/>
      <c r="Q433" s="2369"/>
      <c r="R433" s="2369"/>
      <c r="S433" s="2369"/>
      <c r="T433" s="2369"/>
      <c r="U433" s="2369"/>
      <c r="V433" s="2369"/>
      <c r="W433" s="2369"/>
      <c r="X433" s="2102"/>
      <c r="Y433" s="2102"/>
      <c r="Z433" s="2102"/>
      <c r="AA433" s="2102"/>
      <c r="AB433" s="2102"/>
      <c r="AC433" s="2102"/>
    </row>
    <row r="434" spans="1:29" s="2103" customFormat="1" ht="12.6" customHeight="1">
      <c r="A434" s="2097"/>
      <c r="B434" s="2867" t="s">
        <v>289</v>
      </c>
      <c r="C434" s="2867"/>
      <c r="D434" s="2867"/>
      <c r="E434" s="2838">
        <f>SUM(E435:E444)</f>
        <v>0</v>
      </c>
      <c r="F434" s="2838">
        <f t="shared" ref="F434" si="122">SUM(F435:F444)</f>
        <v>0</v>
      </c>
      <c r="G434" s="2838">
        <f t="shared" ref="G434" si="123">SUM(G435:G444)</f>
        <v>0</v>
      </c>
      <c r="H434" s="2838">
        <f t="shared" ref="H434" si="124">SUM(H435:H444)</f>
        <v>0</v>
      </c>
      <c r="I434" s="2838">
        <f t="shared" ref="I434" si="125">SUM(I435:I444)</f>
        <v>0</v>
      </c>
      <c r="J434" s="2838">
        <f t="shared" ref="J434" si="126">SUM(J435:J444)</f>
        <v>0</v>
      </c>
      <c r="K434" s="2838">
        <f t="shared" ref="K434" si="127">SUM(K435:K444)</f>
        <v>0</v>
      </c>
      <c r="L434" s="2838">
        <f t="shared" ref="L434" si="128">SUM(L435:L444)</f>
        <v>0</v>
      </c>
      <c r="M434" s="2838">
        <f t="shared" ref="M434" si="129">SUM(M435:M444)</f>
        <v>0</v>
      </c>
      <c r="N434" s="2838">
        <f t="shared" ref="N434" si="130">SUM(N435:N444)</f>
        <v>0</v>
      </c>
      <c r="O434" s="2838">
        <f t="shared" ref="O434" si="131">SUM(O435:O444)</f>
        <v>0</v>
      </c>
      <c r="P434" s="2838">
        <f t="shared" ref="P434" si="132">SUM(P435:P444)</f>
        <v>0</v>
      </c>
      <c r="Q434" s="2838">
        <f t="shared" ref="Q434" si="133">SUM(Q435:Q444)</f>
        <v>0</v>
      </c>
      <c r="R434" s="2838">
        <f t="shared" ref="R434" si="134">SUM(R435:R444)</f>
        <v>0</v>
      </c>
      <c r="S434" s="2838">
        <f t="shared" ref="S434" si="135">SUM(S435:S444)</f>
        <v>0</v>
      </c>
      <c r="T434" s="2838">
        <f t="shared" ref="T434" si="136">SUM(T435:T444)</f>
        <v>0</v>
      </c>
      <c r="U434" s="2838">
        <f t="shared" ref="U434" si="137">SUM(U435:U444)</f>
        <v>0</v>
      </c>
      <c r="V434" s="2838">
        <f t="shared" ref="V434" si="138">SUM(V435:V444)</f>
        <v>0</v>
      </c>
      <c r="W434" s="2838">
        <f t="shared" ref="W434" si="139">SUM(W435:W444)</f>
        <v>0</v>
      </c>
      <c r="X434" s="2102"/>
      <c r="Y434" s="2102"/>
      <c r="Z434" s="2102"/>
      <c r="AA434" s="2102"/>
      <c r="AB434" s="2102"/>
      <c r="AC434" s="2102"/>
    </row>
    <row r="435" spans="1:29" s="995" customFormat="1" ht="12.6" customHeight="1">
      <c r="A435" s="991"/>
      <c r="B435" s="2863"/>
      <c r="C435" s="2863"/>
      <c r="D435" s="2863"/>
      <c r="E435" s="2839"/>
      <c r="F435" s="2839"/>
      <c r="G435" s="2839"/>
      <c r="H435" s="2839"/>
      <c r="I435" s="2839"/>
      <c r="J435" s="2839"/>
      <c r="K435" s="2839"/>
      <c r="L435" s="2839"/>
      <c r="M435" s="2839"/>
      <c r="N435" s="2839"/>
      <c r="O435" s="2839"/>
      <c r="P435" s="2839"/>
      <c r="Q435" s="2839"/>
      <c r="R435" s="2839"/>
      <c r="S435" s="2839"/>
      <c r="T435" s="2839"/>
      <c r="U435" s="2839"/>
      <c r="V435" s="2839"/>
      <c r="W435" s="2839"/>
      <c r="X435" s="2102"/>
      <c r="Y435" s="2102"/>
      <c r="Z435" s="2102"/>
      <c r="AA435" s="2102"/>
      <c r="AB435" s="2102"/>
      <c r="AC435" s="2102"/>
    </row>
    <row r="436" spans="1:29" s="166" customFormat="1" ht="12.6" customHeight="1">
      <c r="A436" s="2095"/>
      <c r="B436" s="2376"/>
      <c r="C436" s="2377"/>
      <c r="D436" s="2375"/>
      <c r="E436" s="2373"/>
      <c r="F436" s="2373"/>
      <c r="G436" s="2373"/>
      <c r="H436" s="2373"/>
      <c r="I436" s="2373"/>
      <c r="J436" s="2373"/>
      <c r="K436" s="2373"/>
      <c r="L436" s="2373"/>
      <c r="M436" s="2373"/>
      <c r="N436" s="2373"/>
      <c r="O436" s="2373"/>
      <c r="P436" s="2373"/>
      <c r="Q436" s="2373"/>
      <c r="R436" s="2373"/>
      <c r="S436" s="2373"/>
      <c r="T436" s="2373"/>
      <c r="U436" s="2373"/>
      <c r="V436" s="2373"/>
      <c r="W436" s="2373"/>
      <c r="X436" s="105"/>
      <c r="Y436" s="105"/>
      <c r="Z436" s="2102"/>
      <c r="AA436" s="2102"/>
      <c r="AB436" s="2102"/>
      <c r="AC436" s="2102"/>
    </row>
    <row r="437" spans="1:29" s="166" customFormat="1" ht="12.6" customHeight="1">
      <c r="A437" s="2095"/>
      <c r="B437" s="2376"/>
      <c r="C437" s="2377"/>
      <c r="D437" s="2375" t="s">
        <v>42</v>
      </c>
      <c r="E437" s="2373">
        <f t="shared" ref="E437:E444" si="140">SUM(F437:W437)</f>
        <v>0</v>
      </c>
      <c r="F437" s="2373"/>
      <c r="G437" s="2373"/>
      <c r="H437" s="2373"/>
      <c r="I437" s="2373"/>
      <c r="J437" s="2373"/>
      <c r="K437" s="2373"/>
      <c r="L437" s="2373"/>
      <c r="M437" s="2373"/>
      <c r="N437" s="2373"/>
      <c r="O437" s="2373"/>
      <c r="P437" s="2373"/>
      <c r="Q437" s="2373"/>
      <c r="R437" s="2373"/>
      <c r="S437" s="2373"/>
      <c r="T437" s="2373"/>
      <c r="U437" s="2373"/>
      <c r="V437" s="2373"/>
      <c r="W437" s="2373"/>
      <c r="X437" s="105"/>
      <c r="Y437" s="105"/>
      <c r="Z437" s="105"/>
      <c r="AA437" s="105"/>
      <c r="AB437" s="105"/>
      <c r="AC437" s="105"/>
    </row>
    <row r="438" spans="1:29" s="166" customFormat="1" ht="12.6" customHeight="1">
      <c r="A438" s="2095"/>
      <c r="B438" s="2376"/>
      <c r="C438" s="2377"/>
      <c r="D438" s="2375" t="s">
        <v>41</v>
      </c>
      <c r="E438" s="2373">
        <f t="shared" si="140"/>
        <v>0</v>
      </c>
      <c r="F438" s="2373"/>
      <c r="G438" s="2373"/>
      <c r="H438" s="2373"/>
      <c r="I438" s="2373"/>
      <c r="J438" s="2373"/>
      <c r="K438" s="2373"/>
      <c r="L438" s="2373"/>
      <c r="M438" s="2373"/>
      <c r="N438" s="2373"/>
      <c r="O438" s="2373"/>
      <c r="P438" s="2373"/>
      <c r="Q438" s="2373"/>
      <c r="R438" s="2373"/>
      <c r="S438" s="2373"/>
      <c r="T438" s="2373"/>
      <c r="U438" s="2373"/>
      <c r="V438" s="2373"/>
      <c r="W438" s="2373"/>
      <c r="X438" s="105"/>
      <c r="Y438" s="105"/>
      <c r="Z438" s="105"/>
      <c r="AA438" s="105"/>
      <c r="AB438" s="105"/>
      <c r="AC438" s="105"/>
    </row>
    <row r="439" spans="1:29" s="166" customFormat="1" ht="12.6" customHeight="1">
      <c r="A439" s="2095"/>
      <c r="B439" s="2376"/>
      <c r="C439" s="2377"/>
      <c r="D439" s="2375" t="s">
        <v>1348</v>
      </c>
      <c r="E439" s="2373">
        <f t="shared" si="140"/>
        <v>0</v>
      </c>
      <c r="F439" s="2373"/>
      <c r="G439" s="2373"/>
      <c r="H439" s="2373"/>
      <c r="I439" s="2373"/>
      <c r="J439" s="2373"/>
      <c r="K439" s="2373"/>
      <c r="L439" s="2373"/>
      <c r="M439" s="2373"/>
      <c r="N439" s="2373"/>
      <c r="O439" s="2373"/>
      <c r="P439" s="2373"/>
      <c r="Q439" s="2373"/>
      <c r="R439" s="2373"/>
      <c r="S439" s="2373"/>
      <c r="T439" s="2373"/>
      <c r="U439" s="2373"/>
      <c r="V439" s="2373"/>
      <c r="W439" s="2373"/>
      <c r="X439" s="105"/>
      <c r="Y439" s="105"/>
      <c r="Z439" s="105"/>
      <c r="AA439" s="105"/>
      <c r="AB439" s="105"/>
      <c r="AC439" s="105"/>
    </row>
    <row r="440" spans="1:29" s="166" customFormat="1" ht="12.6" customHeight="1">
      <c r="A440" s="2095"/>
      <c r="B440" s="2376"/>
      <c r="C440" s="2377"/>
      <c r="D440" s="2375" t="s">
        <v>39</v>
      </c>
      <c r="E440" s="2373">
        <f t="shared" si="140"/>
        <v>0</v>
      </c>
      <c r="F440" s="2373"/>
      <c r="G440" s="2373"/>
      <c r="H440" s="2373"/>
      <c r="I440" s="2373"/>
      <c r="J440" s="2373"/>
      <c r="K440" s="2373"/>
      <c r="L440" s="2373"/>
      <c r="M440" s="2373"/>
      <c r="N440" s="2373"/>
      <c r="O440" s="2373"/>
      <c r="P440" s="2373"/>
      <c r="Q440" s="2373"/>
      <c r="R440" s="2373"/>
      <c r="S440" s="2373"/>
      <c r="T440" s="2373"/>
      <c r="U440" s="2373"/>
      <c r="V440" s="2373"/>
      <c r="W440" s="2373"/>
      <c r="X440" s="105"/>
      <c r="Y440" s="105"/>
      <c r="Z440" s="105"/>
      <c r="AA440" s="105"/>
      <c r="AB440" s="105"/>
      <c r="AC440" s="105"/>
    </row>
    <row r="441" spans="1:29" s="166" customFormat="1" ht="12.6" customHeight="1">
      <c r="A441" s="2095"/>
      <c r="B441" s="2376"/>
      <c r="C441" s="2377"/>
      <c r="D441" s="2375" t="s">
        <v>123</v>
      </c>
      <c r="E441" s="2373">
        <f t="shared" si="140"/>
        <v>0</v>
      </c>
      <c r="F441" s="2373"/>
      <c r="G441" s="2373"/>
      <c r="H441" s="2373"/>
      <c r="I441" s="2373"/>
      <c r="J441" s="2373"/>
      <c r="K441" s="2373"/>
      <c r="L441" s="2373"/>
      <c r="M441" s="2373"/>
      <c r="N441" s="2373"/>
      <c r="O441" s="2373"/>
      <c r="P441" s="2373"/>
      <c r="Q441" s="2373"/>
      <c r="R441" s="2373"/>
      <c r="S441" s="2373"/>
      <c r="T441" s="2373"/>
      <c r="U441" s="2373"/>
      <c r="V441" s="2373"/>
      <c r="W441" s="2373"/>
      <c r="X441" s="105"/>
      <c r="Y441" s="105"/>
      <c r="Z441" s="105"/>
      <c r="AA441" s="105"/>
      <c r="AB441" s="105"/>
      <c r="AC441" s="105"/>
    </row>
    <row r="442" spans="1:29" s="166" customFormat="1" ht="12.6" customHeight="1">
      <c r="A442" s="2095"/>
      <c r="B442" s="2376"/>
      <c r="C442" s="2377"/>
      <c r="D442" s="2375" t="s">
        <v>37</v>
      </c>
      <c r="E442" s="2373">
        <f t="shared" si="140"/>
        <v>0</v>
      </c>
      <c r="F442" s="2373"/>
      <c r="G442" s="2373"/>
      <c r="H442" s="2373"/>
      <c r="I442" s="2373"/>
      <c r="J442" s="2373"/>
      <c r="K442" s="2373"/>
      <c r="L442" s="2373"/>
      <c r="M442" s="2373"/>
      <c r="N442" s="2373"/>
      <c r="O442" s="2373"/>
      <c r="P442" s="2373"/>
      <c r="Q442" s="2373"/>
      <c r="R442" s="2373"/>
      <c r="S442" s="2373"/>
      <c r="T442" s="2373"/>
      <c r="U442" s="2373"/>
      <c r="V442" s="2373"/>
      <c r="W442" s="2373"/>
      <c r="X442" s="105"/>
      <c r="Y442" s="105"/>
      <c r="Z442" s="105"/>
      <c r="AA442" s="105"/>
      <c r="AB442" s="105"/>
      <c r="AC442" s="105"/>
    </row>
    <row r="443" spans="1:29" s="166" customFormat="1" ht="12.6" customHeight="1">
      <c r="A443" s="2095"/>
      <c r="B443" s="2376"/>
      <c r="C443" s="2377"/>
      <c r="D443" s="2375" t="s">
        <v>123</v>
      </c>
      <c r="E443" s="2373">
        <f t="shared" si="140"/>
        <v>0</v>
      </c>
      <c r="F443" s="2373"/>
      <c r="G443" s="2373"/>
      <c r="H443" s="2373"/>
      <c r="I443" s="2373"/>
      <c r="J443" s="2373"/>
      <c r="K443" s="2373"/>
      <c r="L443" s="2373"/>
      <c r="M443" s="2373"/>
      <c r="N443" s="2373"/>
      <c r="O443" s="2373"/>
      <c r="P443" s="2373"/>
      <c r="Q443" s="2373"/>
      <c r="R443" s="2373"/>
      <c r="S443" s="2373"/>
      <c r="T443" s="2373"/>
      <c r="U443" s="2373"/>
      <c r="V443" s="2373"/>
      <c r="W443" s="2373"/>
      <c r="X443" s="105"/>
      <c r="Y443" s="105"/>
      <c r="Z443" s="105"/>
      <c r="AA443" s="105"/>
      <c r="AB443" s="105"/>
      <c r="AC443" s="105"/>
    </row>
    <row r="444" spans="1:29" s="166" customFormat="1" ht="12.6" customHeight="1">
      <c r="A444" s="2095"/>
      <c r="B444" s="2376"/>
      <c r="C444" s="2377"/>
      <c r="D444" s="2375" t="s">
        <v>37</v>
      </c>
      <c r="E444" s="2373">
        <f t="shared" si="140"/>
        <v>0</v>
      </c>
      <c r="F444" s="2373"/>
      <c r="G444" s="2373"/>
      <c r="H444" s="2373"/>
      <c r="I444" s="2373"/>
      <c r="J444" s="2373"/>
      <c r="K444" s="2373"/>
      <c r="L444" s="2373"/>
      <c r="M444" s="2373"/>
      <c r="N444" s="2373"/>
      <c r="O444" s="2373"/>
      <c r="P444" s="2373"/>
      <c r="Q444" s="2373"/>
      <c r="R444" s="2373"/>
      <c r="S444" s="2373"/>
      <c r="T444" s="2373"/>
      <c r="U444" s="2373"/>
      <c r="V444" s="2373"/>
      <c r="W444" s="2373"/>
      <c r="X444" s="105"/>
      <c r="Y444" s="105"/>
      <c r="Z444" s="105"/>
      <c r="AA444" s="105"/>
      <c r="AB444" s="105"/>
      <c r="AC444" s="105"/>
    </row>
    <row r="445" spans="1:29" s="2103" customFormat="1" ht="12.6" customHeight="1">
      <c r="A445" s="2097"/>
      <c r="B445" s="2853" t="s">
        <v>1647</v>
      </c>
      <c r="C445" s="2853"/>
      <c r="D445" s="2853"/>
      <c r="E445" s="2848">
        <f t="shared" ref="E445:W445" si="141">SUM(E446:E474)</f>
        <v>16957.375</v>
      </c>
      <c r="F445" s="2848">
        <f t="shared" si="141"/>
        <v>550</v>
      </c>
      <c r="G445" s="2848">
        <f t="shared" si="141"/>
        <v>0</v>
      </c>
      <c r="H445" s="2848">
        <f t="shared" si="141"/>
        <v>0</v>
      </c>
      <c r="I445" s="2848">
        <f t="shared" si="141"/>
        <v>0</v>
      </c>
      <c r="J445" s="2848">
        <f t="shared" si="141"/>
        <v>1607</v>
      </c>
      <c r="K445" s="2848">
        <f t="shared" si="141"/>
        <v>620</v>
      </c>
      <c r="L445" s="2848">
        <f t="shared" si="141"/>
        <v>0</v>
      </c>
      <c r="M445" s="2848">
        <f t="shared" si="141"/>
        <v>4315</v>
      </c>
      <c r="N445" s="2848">
        <f t="shared" si="141"/>
        <v>1270.165</v>
      </c>
      <c r="O445" s="2848">
        <f t="shared" si="141"/>
        <v>0</v>
      </c>
      <c r="P445" s="2848">
        <f t="shared" si="141"/>
        <v>1543.62</v>
      </c>
      <c r="Q445" s="2848">
        <f t="shared" si="141"/>
        <v>5285</v>
      </c>
      <c r="R445" s="2848">
        <f t="shared" si="141"/>
        <v>565</v>
      </c>
      <c r="S445" s="2848">
        <f t="shared" si="141"/>
        <v>0</v>
      </c>
      <c r="T445" s="2848">
        <f t="shared" si="141"/>
        <v>599</v>
      </c>
      <c r="U445" s="2848">
        <f t="shared" si="141"/>
        <v>0</v>
      </c>
      <c r="V445" s="2848">
        <f t="shared" si="141"/>
        <v>602.59</v>
      </c>
      <c r="W445" s="2848">
        <f t="shared" si="141"/>
        <v>4315</v>
      </c>
      <c r="X445" s="105"/>
      <c r="Y445" s="105"/>
      <c r="Z445" s="105"/>
      <c r="AA445" s="105"/>
      <c r="AB445" s="105"/>
      <c r="AC445" s="105"/>
    </row>
    <row r="446" spans="1:29" s="995" customFormat="1" ht="12.6" customHeight="1">
      <c r="A446" s="991"/>
      <c r="B446" s="2853"/>
      <c r="C446" s="2853"/>
      <c r="D446" s="2853"/>
      <c r="E446" s="2848"/>
      <c r="F446" s="2848"/>
      <c r="G446" s="2848"/>
      <c r="H446" s="2848"/>
      <c r="I446" s="2848"/>
      <c r="J446" s="2848"/>
      <c r="K446" s="2848"/>
      <c r="L446" s="2848"/>
      <c r="M446" s="2848"/>
      <c r="N446" s="2848"/>
      <c r="O446" s="2848"/>
      <c r="P446" s="2848"/>
      <c r="Q446" s="2848"/>
      <c r="R446" s="2848"/>
      <c r="S446" s="2848"/>
      <c r="T446" s="2848"/>
      <c r="U446" s="2848"/>
      <c r="V446" s="2848"/>
      <c r="W446" s="2848"/>
      <c r="X446" s="105"/>
      <c r="Y446" s="105"/>
      <c r="Z446" s="105"/>
      <c r="AA446" s="105"/>
      <c r="AB446" s="105"/>
      <c r="AC446" s="105"/>
    </row>
    <row r="447" spans="1:29" s="995" customFormat="1" ht="12.6" customHeight="1">
      <c r="A447" s="991"/>
      <c r="B447" s="2319">
        <v>45565</v>
      </c>
      <c r="C447" s="2319"/>
      <c r="D447" s="2320" t="s">
        <v>1466</v>
      </c>
      <c r="E447" s="2370">
        <f t="shared" ref="E447:E462" si="142">SUM(F447:W447)</f>
        <v>778</v>
      </c>
      <c r="F447" s="2370">
        <f>$V$7</f>
        <v>419</v>
      </c>
      <c r="G447" s="2370"/>
      <c r="H447" s="2370"/>
      <c r="I447" s="2370"/>
      <c r="J447" s="2370"/>
      <c r="K447" s="2370"/>
      <c r="L447" s="2370"/>
      <c r="M447" s="2370"/>
      <c r="N447" s="2370"/>
      <c r="O447" s="2370"/>
      <c r="P447" s="2370"/>
      <c r="Q447" s="2370"/>
      <c r="R447" s="2370"/>
      <c r="S447" s="2370"/>
      <c r="T447" s="2370">
        <f>$V$8</f>
        <v>359</v>
      </c>
      <c r="U447" s="2370"/>
      <c r="V447" s="2370"/>
      <c r="W447" s="2370"/>
      <c r="X447" s="2452"/>
      <c r="Y447" s="996"/>
      <c r="Z447" s="105"/>
      <c r="AA447" s="105"/>
      <c r="AB447" s="105"/>
      <c r="AC447" s="105"/>
    </row>
    <row r="448" spans="1:29" s="995" customFormat="1" ht="12.6" customHeight="1">
      <c r="A448" s="991"/>
      <c r="B448" s="2319">
        <v>45566</v>
      </c>
      <c r="C448" s="2319"/>
      <c r="D448" s="2320" t="s">
        <v>29</v>
      </c>
      <c r="E448" s="2370">
        <f t="shared" si="142"/>
        <v>69</v>
      </c>
      <c r="F448" s="2370">
        <f>$U$1</f>
        <v>69</v>
      </c>
      <c r="G448" s="2370"/>
      <c r="H448" s="2370"/>
      <c r="I448" s="2370"/>
      <c r="J448" s="2370"/>
      <c r="K448" s="2370"/>
      <c r="L448" s="2370"/>
      <c r="M448" s="2370"/>
      <c r="N448" s="2370"/>
      <c r="O448" s="2370"/>
      <c r="P448" s="2370"/>
      <c r="Q448" s="2370"/>
      <c r="R448" s="2370"/>
      <c r="S448" s="2370"/>
      <c r="T448" s="2370"/>
      <c r="U448" s="2370"/>
      <c r="V448" s="2370"/>
      <c r="W448" s="2370"/>
      <c r="X448" s="2452"/>
      <c r="Y448" s="996"/>
      <c r="Z448" s="2452"/>
      <c r="AA448" s="996"/>
      <c r="AB448" s="2452"/>
      <c r="AC448" s="996"/>
    </row>
    <row r="449" spans="1:29" s="995" customFormat="1" ht="12.6" customHeight="1">
      <c r="A449" s="991"/>
      <c r="B449" s="2319">
        <v>45566</v>
      </c>
      <c r="C449" s="2319"/>
      <c r="D449" s="2320" t="s">
        <v>30</v>
      </c>
      <c r="E449" s="2370">
        <v>4315</v>
      </c>
      <c r="F449" s="2370"/>
      <c r="G449" s="2370"/>
      <c r="H449" s="2370"/>
      <c r="I449" s="2370"/>
      <c r="J449" s="2370"/>
      <c r="K449" s="2370"/>
      <c r="L449" s="2370"/>
      <c r="M449" s="2370">
        <v>4315</v>
      </c>
      <c r="N449" s="2370"/>
      <c r="O449" s="2370"/>
      <c r="P449" s="2370"/>
      <c r="Q449" s="2370"/>
      <c r="R449" s="2370"/>
      <c r="S449" s="2370"/>
      <c r="T449" s="2370"/>
      <c r="U449" s="2370"/>
      <c r="V449" s="2370"/>
      <c r="W449" s="2370">
        <v>4315</v>
      </c>
      <c r="X449" s="2452"/>
      <c r="Y449" s="996"/>
      <c r="Z449" s="2452"/>
      <c r="AA449" s="996"/>
      <c r="AB449" s="2452"/>
      <c r="AC449" s="996"/>
    </row>
    <row r="450" spans="1:29" s="995" customFormat="1" ht="12.6" customHeight="1">
      <c r="A450" s="991"/>
      <c r="B450" s="2319">
        <v>45566</v>
      </c>
      <c r="C450" s="2319"/>
      <c r="D450" s="2320" t="s">
        <v>1352</v>
      </c>
      <c r="E450" s="2370">
        <f t="shared" si="142"/>
        <v>995.16499999999996</v>
      </c>
      <c r="F450" s="2370"/>
      <c r="G450" s="2370"/>
      <c r="H450" s="2370"/>
      <c r="I450" s="2370"/>
      <c r="J450" s="2370"/>
      <c r="K450" s="2370"/>
      <c r="L450" s="2370"/>
      <c r="M450" s="2370"/>
      <c r="N450" s="2370">
        <f>'el-varme'!$BQ$2</f>
        <v>995.16499999999996</v>
      </c>
      <c r="O450" s="2370"/>
      <c r="P450" s="2370"/>
      <c r="Q450" s="2370"/>
      <c r="R450" s="2370"/>
      <c r="S450" s="2370"/>
      <c r="T450" s="2370"/>
      <c r="U450" s="2370"/>
      <c r="V450" s="2370"/>
      <c r="W450" s="2370"/>
      <c r="X450" s="2452"/>
      <c r="Y450" s="996"/>
      <c r="Z450" s="2452"/>
      <c r="AA450" s="996"/>
      <c r="AB450" s="2452"/>
      <c r="AC450" s="996"/>
    </row>
    <row r="451" spans="1:29" s="995" customFormat="1" ht="12.6" customHeight="1">
      <c r="A451" s="991"/>
      <c r="B451" s="2319">
        <v>45566</v>
      </c>
      <c r="C451" s="2319"/>
      <c r="D451" s="2320" t="s">
        <v>26</v>
      </c>
      <c r="E451" s="2370">
        <f t="shared" si="142"/>
        <v>602.59</v>
      </c>
      <c r="F451" s="2370"/>
      <c r="G451" s="2370"/>
      <c r="H451" s="2370"/>
      <c r="I451" s="2370"/>
      <c r="J451" s="2370"/>
      <c r="K451" s="2370"/>
      <c r="L451" s="2370"/>
      <c r="M451" s="2370"/>
      <c r="N451" s="2370"/>
      <c r="O451" s="2370"/>
      <c r="P451" s="2370"/>
      <c r="Q451" s="2370"/>
      <c r="R451" s="2370"/>
      <c r="S451" s="2370"/>
      <c r="T451" s="2370"/>
      <c r="U451" s="2370"/>
      <c r="V451" s="2370">
        <f>$AA$11</f>
        <v>602.59</v>
      </c>
      <c r="W451" s="2370"/>
      <c r="X451" s="2452"/>
      <c r="Y451" s="996"/>
      <c r="Z451" s="2452"/>
      <c r="AA451" s="996"/>
      <c r="AB451" s="2452"/>
      <c r="AC451" s="996"/>
    </row>
    <row r="452" spans="1:29" s="995" customFormat="1" ht="12.6" customHeight="1">
      <c r="A452" s="991"/>
      <c r="B452" s="2319">
        <v>45566</v>
      </c>
      <c r="C452" s="2319"/>
      <c r="D452" s="2320" t="s">
        <v>25</v>
      </c>
      <c r="E452" s="2370">
        <f t="shared" si="142"/>
        <v>650</v>
      </c>
      <c r="F452" s="2370"/>
      <c r="G452" s="2370"/>
      <c r="H452" s="2370"/>
      <c r="I452" s="2370"/>
      <c r="J452" s="2370"/>
      <c r="K452" s="2370"/>
      <c r="L452" s="2370"/>
      <c r="M452" s="2370"/>
      <c r="N452" s="2370"/>
      <c r="O452" s="2370"/>
      <c r="P452" s="2370"/>
      <c r="Q452" s="2370">
        <f>$AA$10</f>
        <v>650</v>
      </c>
      <c r="R452" s="2370"/>
      <c r="S452" s="2370"/>
      <c r="T452" s="2370"/>
      <c r="U452" s="2370"/>
      <c r="V452" s="2370"/>
      <c r="W452" s="2370"/>
      <c r="X452" s="2452"/>
      <c r="Y452" s="996"/>
      <c r="Z452" s="2452"/>
      <c r="AA452" s="996"/>
      <c r="AB452" s="2452"/>
      <c r="AC452" s="996"/>
    </row>
    <row r="453" spans="1:29" s="995" customFormat="1" ht="12.6" customHeight="1">
      <c r="A453" s="991"/>
      <c r="B453" s="2319">
        <v>45566</v>
      </c>
      <c r="C453" s="2319"/>
      <c r="D453" s="2320" t="s">
        <v>22</v>
      </c>
      <c r="E453" s="2370">
        <f t="shared" si="142"/>
        <v>208</v>
      </c>
      <c r="F453" s="2370"/>
      <c r="G453" s="2370"/>
      <c r="H453" s="2370"/>
      <c r="I453" s="2370"/>
      <c r="J453" s="2370"/>
      <c r="K453" s="2370"/>
      <c r="L453" s="2370"/>
      <c r="M453" s="2370"/>
      <c r="N453" s="2370"/>
      <c r="O453" s="2370"/>
      <c r="P453" s="2370">
        <f>$Y$11</f>
        <v>208</v>
      </c>
      <c r="Q453" s="2370"/>
      <c r="R453" s="2370"/>
      <c r="S453" s="2370"/>
      <c r="T453" s="2370"/>
      <c r="U453" s="2370"/>
      <c r="V453" s="2370"/>
      <c r="W453" s="2370"/>
      <c r="X453" s="2452"/>
      <c r="Y453" s="996"/>
      <c r="Z453" s="2452"/>
      <c r="AA453" s="996"/>
      <c r="AB453" s="2452"/>
      <c r="AC453" s="996"/>
    </row>
    <row r="454" spans="1:29" s="995" customFormat="1" ht="12.6" customHeight="1">
      <c r="A454" s="991"/>
      <c r="B454" s="2319">
        <v>45566</v>
      </c>
      <c r="C454" s="2319"/>
      <c r="D454" s="2320" t="s">
        <v>21</v>
      </c>
      <c r="E454" s="2370">
        <f t="shared" si="142"/>
        <v>465</v>
      </c>
      <c r="F454" s="2370"/>
      <c r="G454" s="2370"/>
      <c r="H454" s="2370"/>
      <c r="I454" s="2370"/>
      <c r="J454" s="2370"/>
      <c r="K454" s="2370"/>
      <c r="L454" s="2370"/>
      <c r="M454" s="2370"/>
      <c r="N454" s="2370"/>
      <c r="O454" s="2370"/>
      <c r="P454" s="2370">
        <f>$W$1</f>
        <v>465</v>
      </c>
      <c r="Q454" s="2370"/>
      <c r="R454" s="2370"/>
      <c r="S454" s="2370"/>
      <c r="T454" s="2370"/>
      <c r="U454" s="2370"/>
      <c r="V454" s="2370"/>
      <c r="W454" s="2370"/>
      <c r="X454" s="2452"/>
      <c r="Y454" s="996"/>
      <c r="Z454" s="2452"/>
      <c r="AA454" s="996"/>
      <c r="AB454" s="2452"/>
      <c r="AC454" s="996"/>
    </row>
    <row r="455" spans="1:29" s="995" customFormat="1" ht="12.6" customHeight="1">
      <c r="A455" s="991"/>
      <c r="B455" s="2319">
        <v>45566</v>
      </c>
      <c r="C455" s="2319"/>
      <c r="D455" s="2320" t="s">
        <v>27</v>
      </c>
      <c r="E455" s="2370">
        <f t="shared" si="142"/>
        <v>870.62</v>
      </c>
      <c r="F455" s="2370"/>
      <c r="G455" s="2370"/>
      <c r="H455" s="2370"/>
      <c r="I455" s="2370"/>
      <c r="J455" s="2370"/>
      <c r="K455" s="2370"/>
      <c r="L455" s="2370"/>
      <c r="M455" s="2370"/>
      <c r="N455" s="2370"/>
      <c r="O455" s="2370"/>
      <c r="P455" s="2370">
        <f>$T$4</f>
        <v>870.62</v>
      </c>
      <c r="Q455" s="2370"/>
      <c r="R455" s="2370"/>
      <c r="S455" s="2370"/>
      <c r="T455" s="2370"/>
      <c r="U455" s="2370"/>
      <c r="V455" s="2370"/>
      <c r="W455" s="2370"/>
      <c r="X455" s="2452"/>
      <c r="Y455" s="996"/>
      <c r="Z455" s="2452"/>
      <c r="AA455" s="996"/>
      <c r="AB455" s="2452"/>
      <c r="AC455" s="996"/>
    </row>
    <row r="456" spans="1:29" s="995" customFormat="1" ht="12.6" customHeight="1">
      <c r="A456" s="991"/>
      <c r="B456" s="2319">
        <v>45566</v>
      </c>
      <c r="C456" s="2319"/>
      <c r="D456" s="2320" t="s">
        <v>1496</v>
      </c>
      <c r="E456" s="2370">
        <f t="shared" si="142"/>
        <v>0</v>
      </c>
      <c r="F456" s="2370"/>
      <c r="G456" s="2370"/>
      <c r="H456" s="2370"/>
      <c r="I456" s="2370"/>
      <c r="J456" s="2370"/>
      <c r="K456" s="2370"/>
      <c r="L456" s="2370"/>
      <c r="M456" s="2370"/>
      <c r="N456" s="2370"/>
      <c r="O456" s="2370"/>
      <c r="P456" s="2370"/>
      <c r="Q456" s="2370"/>
      <c r="R456" s="2370"/>
      <c r="S456" s="2370"/>
      <c r="T456" s="2370"/>
      <c r="U456" s="2370"/>
      <c r="V456" s="2370"/>
      <c r="W456" s="2370"/>
      <c r="X456" s="2452"/>
      <c r="Y456" s="996"/>
      <c r="Z456" s="2452"/>
      <c r="AA456" s="996"/>
      <c r="AB456" s="2452"/>
      <c r="AC456" s="996"/>
    </row>
    <row r="457" spans="1:29" s="995" customFormat="1" ht="12.6" customHeight="1">
      <c r="A457" s="991"/>
      <c r="B457" s="2319">
        <v>45566</v>
      </c>
      <c r="C457" s="2319"/>
      <c r="D457" s="2320" t="s">
        <v>28</v>
      </c>
      <c r="E457" s="2370">
        <f t="shared" si="142"/>
        <v>0</v>
      </c>
      <c r="F457" s="2370"/>
      <c r="G457" s="2370"/>
      <c r="H457" s="2370"/>
      <c r="I457" s="2370"/>
      <c r="J457" s="2370"/>
      <c r="K457" s="2370"/>
      <c r="L457" s="2370"/>
      <c r="M457" s="2370"/>
      <c r="N457" s="2370"/>
      <c r="O457" s="2370"/>
      <c r="P457" s="2370"/>
      <c r="Q457" s="2370"/>
      <c r="R457" s="2370"/>
      <c r="S457" s="2370"/>
      <c r="T457" s="2370"/>
      <c r="U457" s="2370"/>
      <c r="V457" s="2370"/>
      <c r="W457" s="2370"/>
      <c r="X457" s="2452"/>
      <c r="Y457" s="996"/>
      <c r="Z457" s="2452"/>
      <c r="AA457" s="996"/>
      <c r="AB457" s="2452"/>
      <c r="AC457" s="996"/>
    </row>
    <row r="458" spans="1:29" s="995" customFormat="1" ht="12.6" customHeight="1">
      <c r="A458" s="991"/>
      <c r="B458" s="2319">
        <v>45566</v>
      </c>
      <c r="C458" s="2319"/>
      <c r="D458" s="2320" t="s">
        <v>23</v>
      </c>
      <c r="E458" s="2370">
        <f t="shared" si="142"/>
        <v>0</v>
      </c>
      <c r="F458" s="2370"/>
      <c r="G458" s="2370"/>
      <c r="H458" s="2370"/>
      <c r="I458" s="2370"/>
      <c r="J458" s="2370"/>
      <c r="K458" s="2370"/>
      <c r="L458" s="2370"/>
      <c r="M458" s="2370"/>
      <c r="N458" s="2370"/>
      <c r="O458" s="2370"/>
      <c r="P458" s="2370"/>
      <c r="Q458" s="2370"/>
      <c r="R458" s="2370"/>
      <c r="S458" s="2370"/>
      <c r="T458" s="2370"/>
      <c r="U458" s="2370"/>
      <c r="V458" s="2370"/>
      <c r="W458" s="2370"/>
      <c r="X458" s="2452"/>
      <c r="Y458" s="996"/>
      <c r="Z458" s="2452"/>
      <c r="AA458" s="996"/>
      <c r="AB458" s="2452"/>
      <c r="AC458" s="996"/>
    </row>
    <row r="459" spans="1:29" s="995" customFormat="1" ht="12.6" customHeight="1">
      <c r="A459" s="991"/>
      <c r="B459" s="2319">
        <v>45566</v>
      </c>
      <c r="C459" s="2319"/>
      <c r="D459" s="2320" t="s">
        <v>126</v>
      </c>
      <c r="E459" s="2370">
        <f t="shared" si="142"/>
        <v>45</v>
      </c>
      <c r="F459" s="2370"/>
      <c r="G459" s="2370"/>
      <c r="H459" s="2370"/>
      <c r="I459" s="2370"/>
      <c r="J459" s="2370"/>
      <c r="K459" s="2370"/>
      <c r="L459" s="2370"/>
      <c r="M459" s="2370"/>
      <c r="N459" s="2370"/>
      <c r="O459" s="2370"/>
      <c r="P459" s="2370"/>
      <c r="Q459" s="2370"/>
      <c r="R459" s="2370">
        <f>$X$5</f>
        <v>45</v>
      </c>
      <c r="S459" s="2370"/>
      <c r="T459" s="2370"/>
      <c r="U459" s="2370"/>
      <c r="V459" s="2370"/>
      <c r="W459" s="2370"/>
      <c r="X459" s="2452"/>
      <c r="Y459" s="996"/>
      <c r="Z459" s="2452"/>
      <c r="AA459" s="996"/>
      <c r="AB459" s="2452"/>
      <c r="AC459" s="996"/>
    </row>
    <row r="460" spans="1:29" s="995" customFormat="1" ht="12.6" customHeight="1">
      <c r="A460" s="991"/>
      <c r="B460" s="2319">
        <v>45567</v>
      </c>
      <c r="C460" s="2319"/>
      <c r="D460" s="2320" t="s">
        <v>1655</v>
      </c>
      <c r="E460" s="2370">
        <v>140</v>
      </c>
      <c r="F460" s="2370"/>
      <c r="G460" s="2370"/>
      <c r="H460" s="2370"/>
      <c r="I460" s="2370"/>
      <c r="J460" s="2370"/>
      <c r="K460" s="2370"/>
      <c r="L460" s="2370"/>
      <c r="M460" s="2370"/>
      <c r="N460" s="2370"/>
      <c r="O460" s="2370"/>
      <c r="P460" s="2370"/>
      <c r="Q460" s="2370"/>
      <c r="R460" s="2370">
        <v>140</v>
      </c>
      <c r="S460" s="2370"/>
      <c r="T460" s="2370"/>
      <c r="U460" s="2370"/>
      <c r="V460" s="2370"/>
      <c r="W460" s="2370"/>
      <c r="X460" s="2452"/>
      <c r="Y460" s="996"/>
      <c r="Z460" s="2452"/>
      <c r="AA460" s="996"/>
      <c r="AB460" s="2452"/>
      <c r="AC460" s="996"/>
    </row>
    <row r="461" spans="1:29" s="995" customFormat="1" ht="12.6" customHeight="1">
      <c r="A461" s="991"/>
      <c r="B461" s="2319">
        <v>45567</v>
      </c>
      <c r="C461" s="2319"/>
      <c r="D461" s="2320" t="s">
        <v>1706</v>
      </c>
      <c r="E461" s="2370">
        <v>140</v>
      </c>
      <c r="F461" s="2370"/>
      <c r="G461" s="2370"/>
      <c r="H461" s="2370"/>
      <c r="I461" s="2370"/>
      <c r="J461" s="2370"/>
      <c r="K461" s="2370"/>
      <c r="L461" s="2370"/>
      <c r="M461" s="2370"/>
      <c r="N461" s="2370">
        <v>140</v>
      </c>
      <c r="O461" s="2370"/>
      <c r="P461" s="2370"/>
      <c r="Q461" s="2370"/>
      <c r="R461" s="2370"/>
      <c r="S461" s="2370"/>
      <c r="T461" s="2370"/>
      <c r="U461" s="2370"/>
      <c r="V461" s="2370"/>
      <c r="W461" s="2370"/>
      <c r="X461" s="2452"/>
      <c r="Y461" s="996"/>
      <c r="Z461" s="2452"/>
      <c r="AA461" s="996"/>
      <c r="AB461" s="2452"/>
      <c r="AC461" s="996"/>
    </row>
    <row r="462" spans="1:29" s="995" customFormat="1" ht="12.6" customHeight="1">
      <c r="A462" s="991"/>
      <c r="B462" s="2319">
        <v>45571</v>
      </c>
      <c r="C462" s="2319"/>
      <c r="D462" s="2320" t="s">
        <v>1495</v>
      </c>
      <c r="E462" s="2370">
        <f t="shared" si="142"/>
        <v>608</v>
      </c>
      <c r="F462" s="2370">
        <f>$Y$19</f>
        <v>62</v>
      </c>
      <c r="G462" s="2370"/>
      <c r="H462" s="2370"/>
      <c r="I462" s="2370"/>
      <c r="J462" s="2370"/>
      <c r="K462" s="2370"/>
      <c r="L462" s="2370"/>
      <c r="M462" s="2370"/>
      <c r="N462" s="2370"/>
      <c r="O462" s="2370"/>
      <c r="P462" s="2370"/>
      <c r="Q462" s="2370">
        <f>$Y$20</f>
        <v>306</v>
      </c>
      <c r="R462" s="2370"/>
      <c r="S462" s="2370"/>
      <c r="T462" s="2370">
        <f>$Y$21</f>
        <v>240</v>
      </c>
      <c r="U462" s="2370"/>
      <c r="V462" s="2370"/>
      <c r="W462" s="2370"/>
      <c r="X462" s="2452"/>
      <c r="Y462" s="996"/>
      <c r="Z462" s="2452"/>
      <c r="AA462" s="996"/>
      <c r="AB462" s="2452"/>
      <c r="AC462" s="996"/>
    </row>
    <row r="463" spans="1:29" s="995" customFormat="1" ht="12.6" customHeight="1">
      <c r="A463" s="991"/>
      <c r="B463" s="2319">
        <v>45592</v>
      </c>
      <c r="C463" s="2319"/>
      <c r="D463" s="2320" t="s">
        <v>1656</v>
      </c>
      <c r="E463" s="2370">
        <f>SUM(F463:W463)</f>
        <v>240</v>
      </c>
      <c r="F463" s="2370"/>
      <c r="G463" s="2370"/>
      <c r="H463" s="2370"/>
      <c r="I463" s="2370"/>
      <c r="J463" s="2370"/>
      <c r="K463" s="2370"/>
      <c r="L463" s="2370"/>
      <c r="M463" s="2370"/>
      <c r="N463" s="2370"/>
      <c r="O463" s="2370"/>
      <c r="P463" s="2370"/>
      <c r="Q463" s="2370"/>
      <c r="R463" s="2370">
        <v>240</v>
      </c>
      <c r="S463" s="2370"/>
      <c r="T463" s="2370"/>
      <c r="U463" s="2370"/>
      <c r="V463" s="2370"/>
      <c r="W463" s="2370"/>
      <c r="X463" s="2452"/>
      <c r="Y463" s="996"/>
      <c r="Z463" s="2452"/>
      <c r="AA463" s="996"/>
      <c r="AB463" s="2452"/>
      <c r="AC463" s="996"/>
    </row>
    <row r="464" spans="1:29" s="995" customFormat="1" ht="12.6" customHeight="1">
      <c r="A464" s="991"/>
      <c r="B464" s="2319">
        <v>45593</v>
      </c>
      <c r="C464" s="2319"/>
      <c r="D464" s="2320" t="s">
        <v>1646</v>
      </c>
      <c r="E464" s="2370">
        <v>29</v>
      </c>
      <c r="F464" s="2370"/>
      <c r="G464" s="2370"/>
      <c r="H464" s="2370"/>
      <c r="I464" s="2370"/>
      <c r="J464" s="2370"/>
      <c r="K464" s="2370"/>
      <c r="L464" s="2370"/>
      <c r="M464" s="2370"/>
      <c r="N464" s="2370"/>
      <c r="O464" s="2370"/>
      <c r="P464" s="2370"/>
      <c r="Q464" s="2370">
        <v>29</v>
      </c>
      <c r="R464" s="2370"/>
      <c r="S464" s="2370"/>
      <c r="T464" s="2370"/>
      <c r="U464" s="2370"/>
      <c r="V464" s="2370"/>
      <c r="W464" s="2370"/>
      <c r="X464" s="2452"/>
      <c r="Y464" s="996"/>
      <c r="Z464" s="2452"/>
      <c r="AA464" s="996"/>
      <c r="AB464" s="2452"/>
      <c r="AC464" s="996"/>
    </row>
    <row r="465" spans="1:29" s="995" customFormat="1" ht="12.6" customHeight="1">
      <c r="A465" s="991"/>
      <c r="B465" s="2319">
        <v>45595</v>
      </c>
      <c r="C465" s="2319"/>
      <c r="D465" s="2320" t="s">
        <v>1655</v>
      </c>
      <c r="E465" s="2370">
        <v>140</v>
      </c>
      <c r="F465" s="2370"/>
      <c r="G465" s="2370"/>
      <c r="H465" s="2370"/>
      <c r="I465" s="2370"/>
      <c r="J465" s="2370"/>
      <c r="K465" s="2370"/>
      <c r="L465" s="2370"/>
      <c r="M465" s="2370"/>
      <c r="N465" s="2370"/>
      <c r="O465" s="2370"/>
      <c r="P465" s="2370"/>
      <c r="Q465" s="2370"/>
      <c r="R465" s="2370">
        <v>140</v>
      </c>
      <c r="S465" s="2370"/>
      <c r="T465" s="2370"/>
      <c r="U465" s="2370"/>
      <c r="V465" s="2370"/>
      <c r="W465" s="2370"/>
      <c r="X465" s="2452"/>
      <c r="Y465" s="996"/>
      <c r="Z465" s="2452"/>
      <c r="AA465" s="996"/>
      <c r="AB465" s="2452"/>
      <c r="AC465" s="996"/>
    </row>
    <row r="466" spans="1:29" s="995" customFormat="1" ht="12.6" customHeight="1">
      <c r="A466" s="991"/>
      <c r="B466" s="2319">
        <v>45588</v>
      </c>
      <c r="C466" s="2319"/>
      <c r="D466" s="2320" t="s">
        <v>1706</v>
      </c>
      <c r="E466" s="2370">
        <v>135</v>
      </c>
      <c r="F466" s="2370"/>
      <c r="G466" s="2370"/>
      <c r="H466" s="2370"/>
      <c r="I466" s="2370"/>
      <c r="J466" s="2370"/>
      <c r="K466" s="2370"/>
      <c r="L466" s="2370"/>
      <c r="M466" s="2370"/>
      <c r="N466" s="2370">
        <v>135</v>
      </c>
      <c r="O466" s="2370"/>
      <c r="P466" s="2370"/>
      <c r="Q466" s="2370"/>
      <c r="R466" s="2370"/>
      <c r="S466" s="2370"/>
      <c r="T466" s="2370"/>
      <c r="U466" s="2370"/>
      <c r="V466" s="2370"/>
      <c r="W466" s="2370"/>
      <c r="X466" s="2452"/>
      <c r="Y466" s="996"/>
      <c r="Z466" s="2452"/>
      <c r="AA466" s="996"/>
      <c r="AB466" s="2452"/>
      <c r="AC466" s="996"/>
    </row>
    <row r="467" spans="1:29" s="995" customFormat="1" ht="12.6" customHeight="1">
      <c r="A467" s="991"/>
      <c r="B467" s="2319"/>
      <c r="C467" s="2319"/>
      <c r="D467" s="2320" t="s">
        <v>1354</v>
      </c>
      <c r="E467" s="2370">
        <f>SUM(F467:W467)</f>
        <v>0</v>
      </c>
      <c r="F467" s="2370"/>
      <c r="G467" s="2370"/>
      <c r="H467" s="2370"/>
      <c r="I467" s="2370"/>
      <c r="J467" s="2370"/>
      <c r="K467" s="2370"/>
      <c r="L467" s="2370"/>
      <c r="M467" s="2370"/>
      <c r="N467" s="2370"/>
      <c r="O467" s="2370"/>
      <c r="P467" s="2370"/>
      <c r="Q467" s="2370"/>
      <c r="R467" s="2370"/>
      <c r="S467" s="2370"/>
      <c r="T467" s="2370"/>
      <c r="U467" s="2370"/>
      <c r="V467" s="2370"/>
      <c r="W467" s="2370"/>
      <c r="X467" s="2452"/>
      <c r="Y467" s="996"/>
      <c r="Z467" s="2452"/>
      <c r="AA467" s="996"/>
      <c r="AB467" s="2452"/>
      <c r="AC467" s="996"/>
    </row>
    <row r="468" spans="1:29" s="995" customFormat="1" ht="12.6" customHeight="1">
      <c r="A468" s="991"/>
      <c r="B468" s="2319"/>
      <c r="C468" s="2319"/>
      <c r="D468" s="2320" t="s">
        <v>1103</v>
      </c>
      <c r="E468" s="2370">
        <f>SUM(F468:W468)</f>
        <v>4300</v>
      </c>
      <c r="F468" s="2370"/>
      <c r="G468" s="2370"/>
      <c r="H468" s="2370"/>
      <c r="I468" s="2370"/>
      <c r="J468" s="2370"/>
      <c r="K468" s="2370"/>
      <c r="L468" s="2370"/>
      <c r="M468" s="2370"/>
      <c r="N468" s="2370"/>
      <c r="O468" s="2370"/>
      <c r="P468" s="2370"/>
      <c r="Q468" s="2370">
        <v>4300</v>
      </c>
      <c r="R468" s="2370"/>
      <c r="S468" s="2370"/>
      <c r="T468" s="2370"/>
      <c r="U468" s="2370"/>
      <c r="V468" s="2370"/>
      <c r="W468" s="2370"/>
      <c r="X468" s="2452"/>
      <c r="Y468" s="996"/>
      <c r="Z468" s="2452"/>
      <c r="AA468" s="996"/>
      <c r="AB468" s="2452"/>
      <c r="AC468" s="996"/>
    </row>
    <row r="469" spans="1:29" s="995" customFormat="1" ht="12.6" customHeight="1">
      <c r="A469" s="991"/>
      <c r="B469" s="2319"/>
      <c r="C469" s="2319"/>
      <c r="D469" s="2320" t="s">
        <v>15</v>
      </c>
      <c r="E469" s="2370">
        <f t="shared" ref="E469:E474" si="143">SUM(G469:W469)</f>
        <v>0</v>
      </c>
      <c r="F469" s="2370"/>
      <c r="G469" s="2370"/>
      <c r="H469" s="2370"/>
      <c r="I469" s="2370"/>
      <c r="J469" s="2370"/>
      <c r="K469" s="2370"/>
      <c r="L469" s="2370"/>
      <c r="M469" s="2370"/>
      <c r="N469" s="2370"/>
      <c r="O469" s="2370"/>
      <c r="P469" s="2370"/>
      <c r="Q469" s="2370"/>
      <c r="R469" s="2370"/>
      <c r="S469" s="2370"/>
      <c r="T469" s="2370"/>
      <c r="U469" s="2370"/>
      <c r="V469" s="2370"/>
      <c r="W469" s="2370"/>
      <c r="X469" s="2452"/>
      <c r="Y469" s="996"/>
      <c r="Z469" s="2452"/>
      <c r="AA469" s="996"/>
      <c r="AB469" s="2452"/>
      <c r="AC469" s="996"/>
    </row>
    <row r="470" spans="1:29" s="995" customFormat="1" ht="12.6" customHeight="1">
      <c r="A470" s="991"/>
      <c r="B470" s="2319"/>
      <c r="C470" s="2319"/>
      <c r="D470" s="2320" t="s">
        <v>14</v>
      </c>
      <c r="E470" s="2370">
        <f t="shared" si="143"/>
        <v>620</v>
      </c>
      <c r="F470" s="2370"/>
      <c r="G470" s="2370"/>
      <c r="H470" s="2370"/>
      <c r="I470" s="2370"/>
      <c r="J470" s="2370"/>
      <c r="K470" s="2370">
        <v>620</v>
      </c>
      <c r="L470" s="2370"/>
      <c r="M470" s="2370"/>
      <c r="N470" s="2370"/>
      <c r="O470" s="2370"/>
      <c r="P470" s="2370"/>
      <c r="Q470" s="2370"/>
      <c r="R470" s="2370"/>
      <c r="S470" s="2370"/>
      <c r="T470" s="2370"/>
      <c r="U470" s="2370"/>
      <c r="V470" s="2370"/>
      <c r="W470" s="2370"/>
      <c r="X470" s="2452"/>
      <c r="Y470" s="996"/>
      <c r="Z470" s="2452"/>
      <c r="AA470" s="996"/>
      <c r="AB470" s="2452"/>
      <c r="AC470" s="996"/>
    </row>
    <row r="471" spans="1:29" s="995" customFormat="1" ht="12.6" customHeight="1">
      <c r="A471" s="991"/>
      <c r="B471" s="2319"/>
      <c r="C471" s="2319"/>
      <c r="D471" s="2320" t="s">
        <v>384</v>
      </c>
      <c r="E471" s="2370">
        <f t="shared" si="143"/>
        <v>1607</v>
      </c>
      <c r="F471" s="2370"/>
      <c r="G471" s="2370"/>
      <c r="H471" s="2370"/>
      <c r="I471" s="2370"/>
      <c r="J471" s="2370">
        <f>medicin!$T$4</f>
        <v>1607</v>
      </c>
      <c r="K471" s="2370"/>
      <c r="L471" s="2370"/>
      <c r="M471" s="2370"/>
      <c r="N471" s="2370"/>
      <c r="O471" s="2370"/>
      <c r="P471" s="2370"/>
      <c r="Q471" s="2370"/>
      <c r="R471" s="2370"/>
      <c r="S471" s="2370"/>
      <c r="T471" s="2370"/>
      <c r="U471" s="2370"/>
      <c r="V471" s="2370"/>
      <c r="W471" s="2370"/>
      <c r="X471" s="2452"/>
      <c r="Y471" s="996"/>
      <c r="Z471" s="2452"/>
      <c r="AA471" s="996"/>
      <c r="AB471" s="2452"/>
      <c r="AC471" s="996"/>
    </row>
    <row r="472" spans="1:29" s="995" customFormat="1" ht="12.6" customHeight="1">
      <c r="A472" s="991"/>
      <c r="B472" s="2319"/>
      <c r="C472" s="2319"/>
      <c r="D472" s="2320"/>
      <c r="E472" s="2370">
        <f t="shared" si="143"/>
        <v>0</v>
      </c>
      <c r="F472" s="2370"/>
      <c r="G472" s="2370"/>
      <c r="H472" s="2370"/>
      <c r="I472" s="2370"/>
      <c r="J472" s="2370"/>
      <c r="K472" s="2370"/>
      <c r="L472" s="2370"/>
      <c r="M472" s="2370"/>
      <c r="N472" s="2370"/>
      <c r="O472" s="2370"/>
      <c r="P472" s="2370"/>
      <c r="Q472" s="2370"/>
      <c r="R472" s="2370"/>
      <c r="S472" s="2370"/>
      <c r="T472" s="2370"/>
      <c r="U472" s="2370"/>
      <c r="V472" s="2370"/>
      <c r="W472" s="2370"/>
      <c r="X472" s="2452"/>
      <c r="Y472" s="996"/>
      <c r="Z472" s="2452"/>
      <c r="AA472" s="996"/>
      <c r="AB472" s="2452"/>
      <c r="AC472" s="996"/>
    </row>
    <row r="473" spans="1:29" s="995" customFormat="1" ht="12.6" customHeight="1">
      <c r="A473" s="991"/>
      <c r="B473" s="2319"/>
      <c r="C473" s="2319"/>
      <c r="D473" s="2320"/>
      <c r="E473" s="2370">
        <f t="shared" si="143"/>
        <v>0</v>
      </c>
      <c r="F473" s="2370"/>
      <c r="G473" s="2370"/>
      <c r="H473" s="2370"/>
      <c r="I473" s="2370"/>
      <c r="J473" s="2370"/>
      <c r="K473" s="2370"/>
      <c r="L473" s="2370"/>
      <c r="M473" s="2370"/>
      <c r="N473" s="2370"/>
      <c r="O473" s="2370"/>
      <c r="P473" s="2370"/>
      <c r="Q473" s="2370"/>
      <c r="R473" s="2370"/>
      <c r="S473" s="2370"/>
      <c r="T473" s="2370"/>
      <c r="U473" s="2370"/>
      <c r="V473" s="2370"/>
      <c r="W473" s="2370"/>
      <c r="X473" s="2452"/>
      <c r="Y473" s="996"/>
      <c r="Z473" s="2452"/>
      <c r="AA473" s="996"/>
      <c r="AB473" s="2452"/>
      <c r="AC473" s="996"/>
    </row>
    <row r="474" spans="1:29" s="995" customFormat="1" ht="12.6" customHeight="1">
      <c r="A474" s="991"/>
      <c r="B474" s="2319"/>
      <c r="C474" s="2319"/>
      <c r="D474" s="2320"/>
      <c r="E474" s="2370">
        <f t="shared" si="143"/>
        <v>0</v>
      </c>
      <c r="F474" s="2370"/>
      <c r="G474" s="2370"/>
      <c r="H474" s="2370"/>
      <c r="I474" s="2370"/>
      <c r="J474" s="2370"/>
      <c r="K474" s="2370"/>
      <c r="L474" s="2370"/>
      <c r="M474" s="2370"/>
      <c r="N474" s="2370"/>
      <c r="O474" s="2370"/>
      <c r="P474" s="2370"/>
      <c r="Q474" s="2370"/>
      <c r="R474" s="2370"/>
      <c r="S474" s="2370"/>
      <c r="T474" s="2370"/>
      <c r="U474" s="2370"/>
      <c r="V474" s="2370"/>
      <c r="W474" s="2370"/>
      <c r="X474" s="2452"/>
      <c r="Y474" s="996"/>
      <c r="Z474" s="2452"/>
      <c r="AA474" s="996"/>
      <c r="AB474" s="2452"/>
      <c r="AC474" s="996"/>
    </row>
    <row r="475" spans="1:29" s="2194" customFormat="1" ht="12.6" customHeight="1">
      <c r="A475" s="996"/>
      <c r="B475" s="2191"/>
      <c r="C475" s="2192"/>
      <c r="D475" s="2193"/>
      <c r="E475" s="2371"/>
      <c r="F475" s="2371"/>
      <c r="G475" s="2371"/>
      <c r="H475" s="2371"/>
      <c r="I475" s="2371"/>
      <c r="J475" s="2371"/>
      <c r="K475" s="2371"/>
      <c r="L475" s="2371"/>
      <c r="M475" s="2371"/>
      <c r="N475" s="2371"/>
      <c r="O475" s="2371"/>
      <c r="P475" s="2371"/>
      <c r="Q475" s="2371"/>
      <c r="R475" s="2371"/>
      <c r="S475" s="2371"/>
      <c r="T475" s="2371"/>
      <c r="U475" s="2371"/>
      <c r="V475" s="2371"/>
      <c r="W475" s="2371"/>
      <c r="X475" s="2452"/>
      <c r="Y475" s="996"/>
      <c r="Z475" s="2452"/>
      <c r="AA475" s="996"/>
      <c r="AB475" s="2452"/>
      <c r="AC475" s="996"/>
    </row>
    <row r="476" spans="1:29" s="2103" customFormat="1" ht="24" customHeight="1">
      <c r="A476" s="2317"/>
      <c r="B476" s="2876">
        <v>30</v>
      </c>
      <c r="C476" s="2876"/>
      <c r="D476" s="2876"/>
      <c r="E476" s="2372">
        <f>SUM(E483+E494)</f>
        <v>12382.375</v>
      </c>
      <c r="F476" s="2372">
        <f t="shared" ref="F476:W476" si="144">SUM(F477:F491)</f>
        <v>0</v>
      </c>
      <c r="G476" s="2372">
        <f t="shared" si="144"/>
        <v>0</v>
      </c>
      <c r="H476" s="2372">
        <f t="shared" si="144"/>
        <v>0</v>
      </c>
      <c r="I476" s="2372">
        <f t="shared" si="144"/>
        <v>0</v>
      </c>
      <c r="J476" s="2372">
        <f t="shared" si="144"/>
        <v>0</v>
      </c>
      <c r="K476" s="2372">
        <f t="shared" si="144"/>
        <v>0</v>
      </c>
      <c r="L476" s="2372">
        <f t="shared" si="144"/>
        <v>0</v>
      </c>
      <c r="M476" s="2372">
        <f t="shared" si="144"/>
        <v>0</v>
      </c>
      <c r="N476" s="2372">
        <f t="shared" si="144"/>
        <v>0</v>
      </c>
      <c r="O476" s="2372">
        <f t="shared" si="144"/>
        <v>0</v>
      </c>
      <c r="P476" s="2372">
        <f t="shared" si="144"/>
        <v>0</v>
      </c>
      <c r="Q476" s="2372">
        <f t="shared" si="144"/>
        <v>0</v>
      </c>
      <c r="R476" s="2372">
        <f t="shared" si="144"/>
        <v>0</v>
      </c>
      <c r="S476" s="2372">
        <f t="shared" si="144"/>
        <v>0</v>
      </c>
      <c r="T476" s="2372">
        <f t="shared" si="144"/>
        <v>0</v>
      </c>
      <c r="U476" s="2372">
        <f t="shared" si="144"/>
        <v>0</v>
      </c>
      <c r="V476" s="2372">
        <f t="shared" si="144"/>
        <v>0</v>
      </c>
      <c r="W476" s="2372">
        <f t="shared" si="144"/>
        <v>0</v>
      </c>
      <c r="X476" s="2454"/>
      <c r="Y476" s="2318"/>
      <c r="Z476" s="2452"/>
      <c r="AA476" s="996"/>
      <c r="AB476" s="2452"/>
      <c r="AC476" s="996"/>
    </row>
    <row r="477" spans="1:29" s="166" customFormat="1" ht="12.6" customHeight="1">
      <c r="A477" s="2095"/>
      <c r="B477" s="2856" t="s">
        <v>290</v>
      </c>
      <c r="C477" s="2856"/>
      <c r="D477" s="2856"/>
      <c r="E477" s="2847">
        <f t="shared" ref="E477:W477" si="145">SUM(E478:E482)</f>
        <v>20877</v>
      </c>
      <c r="F477" s="2847">
        <f t="shared" si="145"/>
        <v>0</v>
      </c>
      <c r="G477" s="2847">
        <f t="shared" si="145"/>
        <v>0</v>
      </c>
      <c r="H477" s="2847">
        <f t="shared" si="145"/>
        <v>0</v>
      </c>
      <c r="I477" s="2847">
        <f t="shared" si="145"/>
        <v>0</v>
      </c>
      <c r="J477" s="2847">
        <f t="shared" si="145"/>
        <v>0</v>
      </c>
      <c r="K477" s="2847">
        <f t="shared" si="145"/>
        <v>0</v>
      </c>
      <c r="L477" s="2847">
        <f t="shared" si="145"/>
        <v>0</v>
      </c>
      <c r="M477" s="2847">
        <f t="shared" si="145"/>
        <v>0</v>
      </c>
      <c r="N477" s="2847">
        <f t="shared" si="145"/>
        <v>0</v>
      </c>
      <c r="O477" s="2847">
        <f t="shared" si="145"/>
        <v>0</v>
      </c>
      <c r="P477" s="2847">
        <f t="shared" si="145"/>
        <v>0</v>
      </c>
      <c r="Q477" s="2847">
        <f t="shared" si="145"/>
        <v>0</v>
      </c>
      <c r="R477" s="2847">
        <f t="shared" si="145"/>
        <v>0</v>
      </c>
      <c r="S477" s="2847">
        <f t="shared" si="145"/>
        <v>0</v>
      </c>
      <c r="T477" s="2847">
        <f t="shared" si="145"/>
        <v>0</v>
      </c>
      <c r="U477" s="2847">
        <f t="shared" si="145"/>
        <v>0</v>
      </c>
      <c r="V477" s="2847">
        <f t="shared" si="145"/>
        <v>0</v>
      </c>
      <c r="W477" s="2847">
        <f t="shared" si="145"/>
        <v>0</v>
      </c>
      <c r="Z477" s="2454"/>
      <c r="AA477" s="2318"/>
      <c r="AB477" s="2454"/>
      <c r="AC477" s="2318"/>
    </row>
    <row r="478" spans="1:29" s="2103" customFormat="1" ht="12.6" customHeight="1">
      <c r="A478" s="2097"/>
      <c r="B478" s="2856"/>
      <c r="C478" s="2856"/>
      <c r="D478" s="2856"/>
      <c r="E478" s="2847"/>
      <c r="F478" s="2847"/>
      <c r="G478" s="2847"/>
      <c r="H478" s="2847"/>
      <c r="I478" s="2847"/>
      <c r="J478" s="2847"/>
      <c r="K478" s="2847"/>
      <c r="L478" s="2847"/>
      <c r="M478" s="2847"/>
      <c r="N478" s="2847"/>
      <c r="O478" s="2847"/>
      <c r="P478" s="2847"/>
      <c r="Q478" s="2847"/>
      <c r="R478" s="2847"/>
      <c r="S478" s="2847"/>
      <c r="T478" s="2847"/>
      <c r="U478" s="2847"/>
      <c r="V478" s="2847"/>
      <c r="W478" s="2847"/>
      <c r="X478" s="2102"/>
      <c r="Y478" s="2102"/>
      <c r="Z478" s="166"/>
      <c r="AA478" s="166"/>
      <c r="AB478" s="166"/>
      <c r="AC478" s="166"/>
    </row>
    <row r="479" spans="1:29" s="995" customFormat="1" ht="12.6" customHeight="1">
      <c r="A479" s="991"/>
      <c r="B479" s="2321">
        <v>45596</v>
      </c>
      <c r="C479" s="2379"/>
      <c r="D479" s="2378" t="s">
        <v>35</v>
      </c>
      <c r="E479" s="2369">
        <f>$T$8</f>
        <v>12214</v>
      </c>
      <c r="F479" s="2369"/>
      <c r="G479" s="2369"/>
      <c r="H479" s="2369"/>
      <c r="I479" s="2369"/>
      <c r="J479" s="2369"/>
      <c r="K479" s="2369"/>
      <c r="L479" s="2369"/>
      <c r="M479" s="2369"/>
      <c r="N479" s="2369"/>
      <c r="O479" s="2369"/>
      <c r="P479" s="2369"/>
      <c r="Q479" s="2369"/>
      <c r="R479" s="2369"/>
      <c r="S479" s="2369"/>
      <c r="T479" s="2369"/>
      <c r="U479" s="2369"/>
      <c r="V479" s="2369"/>
      <c r="W479" s="2369"/>
      <c r="X479" s="2102"/>
      <c r="Y479" s="2102"/>
      <c r="Z479" s="2102"/>
      <c r="AA479" s="2102"/>
      <c r="AB479" s="2102"/>
      <c r="AC479" s="2102"/>
    </row>
    <row r="480" spans="1:29" s="995" customFormat="1" ht="12.6" customHeight="1">
      <c r="A480" s="991"/>
      <c r="B480" s="2321">
        <v>45596</v>
      </c>
      <c r="C480" s="2379"/>
      <c r="D480" s="2378" t="s">
        <v>34</v>
      </c>
      <c r="E480" s="2369">
        <f>$T$9</f>
        <v>8443</v>
      </c>
      <c r="F480" s="2369"/>
      <c r="G480" s="2369"/>
      <c r="H480" s="2369"/>
      <c r="I480" s="2369"/>
      <c r="J480" s="2369"/>
      <c r="K480" s="2369"/>
      <c r="L480" s="2369"/>
      <c r="M480" s="2369"/>
      <c r="N480" s="2369"/>
      <c r="O480" s="2369"/>
      <c r="P480" s="2369"/>
      <c r="Q480" s="2369"/>
      <c r="R480" s="2369"/>
      <c r="S480" s="2369"/>
      <c r="T480" s="2369"/>
      <c r="U480" s="2369"/>
      <c r="V480" s="2369"/>
      <c r="W480" s="2369"/>
      <c r="X480" s="2102"/>
      <c r="Y480" s="2102"/>
      <c r="Z480" s="2102"/>
      <c r="AA480" s="2102"/>
      <c r="AB480" s="2102"/>
      <c r="AC480" s="2102"/>
    </row>
    <row r="481" spans="1:29" s="995" customFormat="1" ht="12.6" customHeight="1">
      <c r="A481" s="991"/>
      <c r="B481" s="2321">
        <v>45596</v>
      </c>
      <c r="C481" s="2379"/>
      <c r="D481" s="2378" t="s">
        <v>33</v>
      </c>
      <c r="E481" s="2369">
        <f>$Y$10</f>
        <v>220</v>
      </c>
      <c r="F481" s="2369"/>
      <c r="G481" s="2369"/>
      <c r="H481" s="2369"/>
      <c r="I481" s="2369"/>
      <c r="J481" s="2369"/>
      <c r="K481" s="2369"/>
      <c r="L481" s="2369"/>
      <c r="M481" s="2369"/>
      <c r="N481" s="2369"/>
      <c r="O481" s="2369"/>
      <c r="P481" s="2369"/>
      <c r="Q481" s="2369"/>
      <c r="R481" s="2369"/>
      <c r="S481" s="2369"/>
      <c r="T481" s="2369"/>
      <c r="U481" s="2369"/>
      <c r="V481" s="2369"/>
      <c r="W481" s="2369"/>
      <c r="X481" s="2102"/>
      <c r="Y481" s="2102"/>
      <c r="Z481" s="2102"/>
      <c r="AA481" s="2102"/>
      <c r="AB481" s="2102"/>
      <c r="AC481" s="2102"/>
    </row>
    <row r="482" spans="1:29" s="995" customFormat="1" ht="12.6" customHeight="1">
      <c r="A482" s="991"/>
      <c r="B482" s="2321"/>
      <c r="C482" s="2379"/>
      <c r="D482" s="2378"/>
      <c r="E482" s="2369"/>
      <c r="F482" s="2369"/>
      <c r="G482" s="2369"/>
      <c r="H482" s="2369"/>
      <c r="I482" s="2369"/>
      <c r="J482" s="2369"/>
      <c r="K482" s="2369"/>
      <c r="L482" s="2369"/>
      <c r="M482" s="2369"/>
      <c r="N482" s="2369"/>
      <c r="O482" s="2369"/>
      <c r="P482" s="2369"/>
      <c r="Q482" s="2369"/>
      <c r="R482" s="2369"/>
      <c r="S482" s="2369"/>
      <c r="T482" s="2369"/>
      <c r="U482" s="2369"/>
      <c r="V482" s="2369"/>
      <c r="W482" s="2369"/>
      <c r="X482" s="2102"/>
      <c r="Y482" s="2102"/>
      <c r="Z482" s="2102"/>
      <c r="AA482" s="2102"/>
      <c r="AB482" s="2102"/>
      <c r="AC482" s="2102"/>
    </row>
    <row r="483" spans="1:29" s="2103" customFormat="1" ht="12.6" customHeight="1">
      <c r="A483" s="2097"/>
      <c r="B483" s="2867" t="s">
        <v>289</v>
      </c>
      <c r="C483" s="2867"/>
      <c r="D483" s="2867"/>
      <c r="E483" s="2838">
        <f>SUM(E484:E493)</f>
        <v>0</v>
      </c>
      <c r="F483" s="2838">
        <f t="shared" ref="F483" si="146">SUM(F484:F493)</f>
        <v>0</v>
      </c>
      <c r="G483" s="2838">
        <f t="shared" ref="G483" si="147">SUM(G484:G493)</f>
        <v>0</v>
      </c>
      <c r="H483" s="2838">
        <f t="shared" ref="H483" si="148">SUM(H484:H493)</f>
        <v>0</v>
      </c>
      <c r="I483" s="2838">
        <f t="shared" ref="I483" si="149">SUM(I484:I493)</f>
        <v>0</v>
      </c>
      <c r="J483" s="2838">
        <f t="shared" ref="J483" si="150">SUM(J484:J493)</f>
        <v>0</v>
      </c>
      <c r="K483" s="2838">
        <f t="shared" ref="K483" si="151">SUM(K484:K493)</f>
        <v>0</v>
      </c>
      <c r="L483" s="2838">
        <f t="shared" ref="L483" si="152">SUM(L484:L493)</f>
        <v>0</v>
      </c>
      <c r="M483" s="2838">
        <f t="shared" ref="M483" si="153">SUM(M484:M493)</f>
        <v>0</v>
      </c>
      <c r="N483" s="2838">
        <f t="shared" ref="N483" si="154">SUM(N484:N493)</f>
        <v>0</v>
      </c>
      <c r="O483" s="2838">
        <f t="shared" ref="O483" si="155">SUM(O484:O493)</f>
        <v>0</v>
      </c>
      <c r="P483" s="2838">
        <f t="shared" ref="P483" si="156">SUM(P484:P493)</f>
        <v>0</v>
      </c>
      <c r="Q483" s="2838">
        <f t="shared" ref="Q483" si="157">SUM(Q484:Q493)</f>
        <v>0</v>
      </c>
      <c r="R483" s="2838">
        <f t="shared" ref="R483" si="158">SUM(R484:R493)</f>
        <v>0</v>
      </c>
      <c r="S483" s="2838">
        <f t="shared" ref="S483" si="159">SUM(S484:S493)</f>
        <v>0</v>
      </c>
      <c r="T483" s="2838">
        <f t="shared" ref="T483" si="160">SUM(T484:T493)</f>
        <v>0</v>
      </c>
      <c r="U483" s="2838">
        <f t="shared" ref="U483" si="161">SUM(U484:U493)</f>
        <v>0</v>
      </c>
      <c r="V483" s="2838">
        <f t="shared" ref="V483" si="162">SUM(V484:V493)</f>
        <v>0</v>
      </c>
      <c r="W483" s="2838">
        <f t="shared" ref="W483" si="163">SUM(W484:W493)</f>
        <v>0</v>
      </c>
      <c r="X483" s="2102"/>
      <c r="Y483" s="2102"/>
      <c r="Z483" s="2102"/>
      <c r="AA483" s="2102"/>
      <c r="AB483" s="2102"/>
      <c r="AC483" s="2102"/>
    </row>
    <row r="484" spans="1:29" s="995" customFormat="1" ht="12.6" customHeight="1">
      <c r="A484" s="991"/>
      <c r="B484" s="2863"/>
      <c r="C484" s="2863"/>
      <c r="D484" s="2863"/>
      <c r="E484" s="2839"/>
      <c r="F484" s="2839"/>
      <c r="G484" s="2839"/>
      <c r="H484" s="2839"/>
      <c r="I484" s="2839"/>
      <c r="J484" s="2839"/>
      <c r="K484" s="2839"/>
      <c r="L484" s="2839"/>
      <c r="M484" s="2839"/>
      <c r="N484" s="2839"/>
      <c r="O484" s="2839"/>
      <c r="P484" s="2839"/>
      <c r="Q484" s="2839"/>
      <c r="R484" s="2839"/>
      <c r="S484" s="2839"/>
      <c r="T484" s="2839"/>
      <c r="U484" s="2839"/>
      <c r="V484" s="2839"/>
      <c r="W484" s="2839"/>
      <c r="X484" s="2102"/>
      <c r="Y484" s="2102"/>
      <c r="Z484" s="2102"/>
      <c r="AA484" s="2102"/>
      <c r="AB484" s="2102"/>
      <c r="AC484" s="2102"/>
    </row>
    <row r="485" spans="1:29" s="166" customFormat="1" ht="12.6" customHeight="1">
      <c r="A485" s="2095"/>
      <c r="B485" s="2376"/>
      <c r="C485" s="2377"/>
      <c r="D485" s="2375"/>
      <c r="E485" s="2373"/>
      <c r="F485" s="2373"/>
      <c r="G485" s="2373"/>
      <c r="H485" s="2373"/>
      <c r="I485" s="2373"/>
      <c r="J485" s="2373"/>
      <c r="K485" s="2373"/>
      <c r="L485" s="2373"/>
      <c r="M485" s="2373"/>
      <c r="N485" s="2373"/>
      <c r="O485" s="2373"/>
      <c r="P485" s="2373"/>
      <c r="Q485" s="2373"/>
      <c r="R485" s="2373"/>
      <c r="S485" s="2373"/>
      <c r="T485" s="2373"/>
      <c r="U485" s="2373"/>
      <c r="V485" s="2373"/>
      <c r="W485" s="2373"/>
      <c r="X485" s="105"/>
      <c r="Y485" s="105"/>
      <c r="Z485" s="2102"/>
      <c r="AA485" s="2102"/>
      <c r="AB485" s="2102"/>
      <c r="AC485" s="2102"/>
    </row>
    <row r="486" spans="1:29" s="166" customFormat="1" ht="12.6" customHeight="1">
      <c r="A486" s="2095"/>
      <c r="B486" s="2376"/>
      <c r="C486" s="2377"/>
      <c r="D486" s="2375" t="s">
        <v>42</v>
      </c>
      <c r="E486" s="2373">
        <f t="shared" ref="E486:E493" si="164">SUM(F486:W486)</f>
        <v>0</v>
      </c>
      <c r="F486" s="2373"/>
      <c r="G486" s="2373"/>
      <c r="H486" s="2373"/>
      <c r="I486" s="2373"/>
      <c r="J486" s="2373"/>
      <c r="K486" s="2373"/>
      <c r="L486" s="2373"/>
      <c r="M486" s="2373"/>
      <c r="N486" s="2373"/>
      <c r="O486" s="2373"/>
      <c r="P486" s="2373"/>
      <c r="Q486" s="2373"/>
      <c r="R486" s="2373"/>
      <c r="S486" s="2373"/>
      <c r="T486" s="2373"/>
      <c r="U486" s="2373"/>
      <c r="V486" s="2373"/>
      <c r="W486" s="2373"/>
      <c r="X486" s="105"/>
      <c r="Y486" s="105"/>
      <c r="Z486" s="105"/>
      <c r="AA486" s="105"/>
      <c r="AB486" s="105"/>
      <c r="AC486" s="105"/>
    </row>
    <row r="487" spans="1:29" s="166" customFormat="1" ht="12.6" customHeight="1">
      <c r="A487" s="2095"/>
      <c r="B487" s="2376"/>
      <c r="C487" s="2377"/>
      <c r="D487" s="2375" t="s">
        <v>41</v>
      </c>
      <c r="E487" s="2373">
        <f t="shared" si="164"/>
        <v>0</v>
      </c>
      <c r="F487" s="2373"/>
      <c r="G487" s="2373"/>
      <c r="H487" s="2373"/>
      <c r="I487" s="2373"/>
      <c r="J487" s="2373"/>
      <c r="K487" s="2373"/>
      <c r="L487" s="2373"/>
      <c r="M487" s="2373"/>
      <c r="N487" s="2373"/>
      <c r="O487" s="2373"/>
      <c r="P487" s="2373"/>
      <c r="Q487" s="2373"/>
      <c r="R487" s="2373"/>
      <c r="S487" s="2373"/>
      <c r="T487" s="2373"/>
      <c r="U487" s="2373"/>
      <c r="V487" s="2373"/>
      <c r="W487" s="2373"/>
      <c r="X487" s="105"/>
      <c r="Y487" s="105"/>
      <c r="Z487" s="105"/>
      <c r="AA487" s="105"/>
      <c r="AB487" s="105"/>
      <c r="AC487" s="105"/>
    </row>
    <row r="488" spans="1:29" s="166" customFormat="1" ht="12.6" customHeight="1">
      <c r="A488" s="2095"/>
      <c r="B488" s="2376"/>
      <c r="C488" s="2377"/>
      <c r="D488" s="2375" t="s">
        <v>1348</v>
      </c>
      <c r="E488" s="2373">
        <f t="shared" si="164"/>
        <v>0</v>
      </c>
      <c r="F488" s="2373"/>
      <c r="G488" s="2373"/>
      <c r="H488" s="2373"/>
      <c r="I488" s="2373"/>
      <c r="J488" s="2373"/>
      <c r="K488" s="2373"/>
      <c r="L488" s="2373"/>
      <c r="M488" s="2373"/>
      <c r="N488" s="2373"/>
      <c r="O488" s="2373"/>
      <c r="P488" s="2373"/>
      <c r="Q488" s="2373"/>
      <c r="R488" s="2373"/>
      <c r="S488" s="2373"/>
      <c r="T488" s="2373"/>
      <c r="U488" s="2373"/>
      <c r="V488" s="2373"/>
      <c r="W488" s="2373"/>
      <c r="X488" s="105"/>
      <c r="Y488" s="105"/>
      <c r="Z488" s="105"/>
      <c r="AA488" s="105"/>
      <c r="AB488" s="105"/>
      <c r="AC488" s="105"/>
    </row>
    <row r="489" spans="1:29" s="166" customFormat="1" ht="12.6" customHeight="1">
      <c r="A489" s="2095"/>
      <c r="B489" s="2376"/>
      <c r="C489" s="2377"/>
      <c r="D489" s="2375" t="s">
        <v>39</v>
      </c>
      <c r="E489" s="2373">
        <f t="shared" si="164"/>
        <v>0</v>
      </c>
      <c r="F489" s="2373"/>
      <c r="G489" s="2373"/>
      <c r="H489" s="2373"/>
      <c r="I489" s="2373"/>
      <c r="J489" s="2373"/>
      <c r="K489" s="2373"/>
      <c r="L489" s="2373"/>
      <c r="M489" s="2373"/>
      <c r="N489" s="2373"/>
      <c r="O489" s="2373"/>
      <c r="P489" s="2373"/>
      <c r="Q489" s="2373"/>
      <c r="R489" s="2373"/>
      <c r="S489" s="2373"/>
      <c r="T489" s="2373"/>
      <c r="U489" s="2373"/>
      <c r="V489" s="2373"/>
      <c r="W489" s="2373"/>
      <c r="X489" s="105"/>
      <c r="Y489" s="105"/>
      <c r="Z489" s="105"/>
      <c r="AA489" s="105"/>
      <c r="AB489" s="105"/>
      <c r="AC489" s="105"/>
    </row>
    <row r="490" spans="1:29" s="166" customFormat="1" ht="12.6" customHeight="1">
      <c r="A490" s="2095"/>
      <c r="B490" s="2376"/>
      <c r="C490" s="2377"/>
      <c r="D490" s="2375" t="s">
        <v>123</v>
      </c>
      <c r="E490" s="2373">
        <f t="shared" si="164"/>
        <v>0</v>
      </c>
      <c r="F490" s="2373"/>
      <c r="G490" s="2373"/>
      <c r="H490" s="2373"/>
      <c r="I490" s="2373"/>
      <c r="J490" s="2373"/>
      <c r="K490" s="2373"/>
      <c r="L490" s="2373"/>
      <c r="M490" s="2373"/>
      <c r="N490" s="2373"/>
      <c r="O490" s="2373"/>
      <c r="P490" s="2373"/>
      <c r="Q490" s="2373"/>
      <c r="R490" s="2373"/>
      <c r="S490" s="2373"/>
      <c r="T490" s="2373"/>
      <c r="U490" s="2373"/>
      <c r="V490" s="2373"/>
      <c r="W490" s="2373"/>
      <c r="X490" s="105"/>
      <c r="Y490" s="105"/>
      <c r="Z490" s="105"/>
      <c r="AA490" s="105"/>
      <c r="AB490" s="105"/>
      <c r="AC490" s="105"/>
    </row>
    <row r="491" spans="1:29" s="166" customFormat="1" ht="12.6" customHeight="1">
      <c r="A491" s="2095"/>
      <c r="B491" s="2376"/>
      <c r="C491" s="2377"/>
      <c r="D491" s="2375" t="s">
        <v>37</v>
      </c>
      <c r="E491" s="2373">
        <f t="shared" si="164"/>
        <v>0</v>
      </c>
      <c r="F491" s="2373"/>
      <c r="G491" s="2373"/>
      <c r="H491" s="2373"/>
      <c r="I491" s="2373"/>
      <c r="J491" s="2373"/>
      <c r="K491" s="2373"/>
      <c r="L491" s="2373"/>
      <c r="M491" s="2373"/>
      <c r="N491" s="2373"/>
      <c r="O491" s="2373"/>
      <c r="P491" s="2373"/>
      <c r="Q491" s="2373"/>
      <c r="R491" s="2373"/>
      <c r="S491" s="2373"/>
      <c r="T491" s="2373"/>
      <c r="U491" s="2373"/>
      <c r="V491" s="2373"/>
      <c r="W491" s="2373"/>
      <c r="X491" s="105"/>
      <c r="Y491" s="105"/>
      <c r="Z491" s="105"/>
      <c r="AA491" s="105"/>
      <c r="AB491" s="105"/>
      <c r="AC491" s="105"/>
    </row>
    <row r="492" spans="1:29" s="166" customFormat="1" ht="12.6" customHeight="1">
      <c r="A492" s="2095"/>
      <c r="B492" s="2376"/>
      <c r="C492" s="2377"/>
      <c r="D492" s="2375" t="s">
        <v>123</v>
      </c>
      <c r="E492" s="2373">
        <f t="shared" si="164"/>
        <v>0</v>
      </c>
      <c r="F492" s="2373"/>
      <c r="G492" s="2373"/>
      <c r="H492" s="2373"/>
      <c r="I492" s="2373"/>
      <c r="J492" s="2373"/>
      <c r="K492" s="2373"/>
      <c r="L492" s="2373"/>
      <c r="M492" s="2373"/>
      <c r="N492" s="2373"/>
      <c r="O492" s="2373"/>
      <c r="P492" s="2373"/>
      <c r="Q492" s="2373"/>
      <c r="R492" s="2373"/>
      <c r="S492" s="2373"/>
      <c r="T492" s="2373"/>
      <c r="U492" s="2373"/>
      <c r="V492" s="2373"/>
      <c r="W492" s="2373"/>
      <c r="X492" s="105"/>
      <c r="Y492" s="105"/>
      <c r="Z492" s="105"/>
      <c r="AA492" s="105"/>
      <c r="AB492" s="105"/>
      <c r="AC492" s="105"/>
    </row>
    <row r="493" spans="1:29" s="166" customFormat="1" ht="12.6" customHeight="1">
      <c r="A493" s="2095"/>
      <c r="B493" s="2376"/>
      <c r="C493" s="2377"/>
      <c r="D493" s="2375" t="s">
        <v>37</v>
      </c>
      <c r="E493" s="2373">
        <f t="shared" si="164"/>
        <v>0</v>
      </c>
      <c r="F493" s="2373"/>
      <c r="G493" s="2373"/>
      <c r="H493" s="2373"/>
      <c r="I493" s="2373"/>
      <c r="J493" s="2373"/>
      <c r="K493" s="2373"/>
      <c r="L493" s="2373"/>
      <c r="M493" s="2373"/>
      <c r="N493" s="2373"/>
      <c r="O493" s="2373"/>
      <c r="P493" s="2373"/>
      <c r="Q493" s="2373"/>
      <c r="R493" s="2373"/>
      <c r="S493" s="2373"/>
      <c r="T493" s="2373"/>
      <c r="U493" s="2373"/>
      <c r="V493" s="2373"/>
      <c r="W493" s="2373"/>
      <c r="X493" s="105"/>
      <c r="Y493" s="105"/>
      <c r="Z493" s="105"/>
      <c r="AA493" s="105"/>
      <c r="AB493" s="105"/>
      <c r="AC493" s="105"/>
    </row>
    <row r="494" spans="1:29" s="2103" customFormat="1" ht="12.6" customHeight="1">
      <c r="A494" s="2097"/>
      <c r="B494" s="2853" t="s">
        <v>1647</v>
      </c>
      <c r="C494" s="2853"/>
      <c r="D494" s="2853"/>
      <c r="E494" s="2848">
        <f t="shared" ref="E494:W494" si="165">SUM(E495:E520)</f>
        <v>12382.375</v>
      </c>
      <c r="F494" s="2848">
        <f t="shared" si="165"/>
        <v>550</v>
      </c>
      <c r="G494" s="2848">
        <f t="shared" si="165"/>
        <v>0</v>
      </c>
      <c r="H494" s="2848">
        <f t="shared" si="165"/>
        <v>0</v>
      </c>
      <c r="I494" s="2848">
        <f t="shared" si="165"/>
        <v>0</v>
      </c>
      <c r="J494" s="2848">
        <f t="shared" si="165"/>
        <v>1607</v>
      </c>
      <c r="K494" s="2848">
        <f t="shared" si="165"/>
        <v>620</v>
      </c>
      <c r="L494" s="2848">
        <f t="shared" si="165"/>
        <v>0</v>
      </c>
      <c r="M494" s="2848">
        <f t="shared" si="165"/>
        <v>4315</v>
      </c>
      <c r="N494" s="2848">
        <f t="shared" si="165"/>
        <v>1135.165</v>
      </c>
      <c r="O494" s="2848">
        <f t="shared" si="165"/>
        <v>0</v>
      </c>
      <c r="P494" s="2848">
        <f t="shared" si="165"/>
        <v>1543.62</v>
      </c>
      <c r="Q494" s="2848">
        <f t="shared" si="165"/>
        <v>985</v>
      </c>
      <c r="R494" s="2848">
        <f t="shared" si="165"/>
        <v>425</v>
      </c>
      <c r="S494" s="2848">
        <f t="shared" si="165"/>
        <v>0</v>
      </c>
      <c r="T494" s="2848">
        <f t="shared" si="165"/>
        <v>599</v>
      </c>
      <c r="U494" s="2848">
        <f t="shared" si="165"/>
        <v>0</v>
      </c>
      <c r="V494" s="2848">
        <f t="shared" si="165"/>
        <v>602.59</v>
      </c>
      <c r="W494" s="2848">
        <f t="shared" si="165"/>
        <v>4315</v>
      </c>
      <c r="X494" s="105"/>
      <c r="Y494" s="105"/>
      <c r="Z494" s="105"/>
      <c r="AA494" s="105"/>
      <c r="AB494" s="105"/>
      <c r="AC494" s="105"/>
    </row>
    <row r="495" spans="1:29" s="995" customFormat="1" ht="12.6" customHeight="1">
      <c r="A495" s="991"/>
      <c r="B495" s="2853"/>
      <c r="C495" s="2853"/>
      <c r="D495" s="2853"/>
      <c r="E495" s="2848"/>
      <c r="F495" s="2848"/>
      <c r="G495" s="2848"/>
      <c r="H495" s="2848"/>
      <c r="I495" s="2848"/>
      <c r="J495" s="2848"/>
      <c r="K495" s="2848"/>
      <c r="L495" s="2848"/>
      <c r="M495" s="2848"/>
      <c r="N495" s="2848"/>
      <c r="O495" s="2848"/>
      <c r="P495" s="2848"/>
      <c r="Q495" s="2848"/>
      <c r="R495" s="2848"/>
      <c r="S495" s="2848"/>
      <c r="T495" s="2848"/>
      <c r="U495" s="2848"/>
      <c r="V495" s="2848"/>
      <c r="W495" s="2848"/>
      <c r="X495" s="105"/>
      <c r="Y495" s="105"/>
      <c r="Z495" s="105"/>
      <c r="AA495" s="105"/>
      <c r="AB495" s="105"/>
      <c r="AC495" s="105"/>
    </row>
    <row r="496" spans="1:29" s="995" customFormat="1" ht="12.6" customHeight="1">
      <c r="A496" s="991"/>
      <c r="B496" s="2319">
        <v>45596</v>
      </c>
      <c r="C496" s="2319"/>
      <c r="D496" s="2320" t="s">
        <v>1466</v>
      </c>
      <c r="E496" s="2370">
        <f t="shared" ref="E496:E509" si="166">SUM(F496:W496)</f>
        <v>778</v>
      </c>
      <c r="F496" s="2370">
        <f>$V$7</f>
        <v>419</v>
      </c>
      <c r="G496" s="2370"/>
      <c r="H496" s="2370"/>
      <c r="I496" s="2370"/>
      <c r="J496" s="2370"/>
      <c r="K496" s="2370"/>
      <c r="L496" s="2370"/>
      <c r="M496" s="2370"/>
      <c r="N496" s="2370"/>
      <c r="O496" s="2370"/>
      <c r="P496" s="2370"/>
      <c r="Q496" s="2370"/>
      <c r="R496" s="2370"/>
      <c r="S496" s="2370"/>
      <c r="T496" s="2370">
        <f>$V$8</f>
        <v>359</v>
      </c>
      <c r="U496" s="2370"/>
      <c r="V496" s="2370"/>
      <c r="W496" s="2370"/>
      <c r="X496" s="2452"/>
      <c r="Y496" s="996"/>
      <c r="Z496" s="105"/>
      <c r="AA496" s="105"/>
      <c r="AB496" s="105"/>
      <c r="AC496" s="105"/>
    </row>
    <row r="497" spans="1:29" s="995" customFormat="1" ht="12.6" customHeight="1">
      <c r="A497" s="991"/>
      <c r="B497" s="2319">
        <v>45597</v>
      </c>
      <c r="C497" s="2319"/>
      <c r="D497" s="2320" t="s">
        <v>29</v>
      </c>
      <c r="E497" s="2370">
        <f t="shared" si="166"/>
        <v>69</v>
      </c>
      <c r="F497" s="2370">
        <f>$U$1</f>
        <v>69</v>
      </c>
      <c r="G497" s="2370"/>
      <c r="H497" s="2370"/>
      <c r="I497" s="2370"/>
      <c r="J497" s="2370"/>
      <c r="K497" s="2370"/>
      <c r="L497" s="2370"/>
      <c r="M497" s="2370"/>
      <c r="N497" s="2370"/>
      <c r="O497" s="2370"/>
      <c r="P497" s="2370"/>
      <c r="Q497" s="2370"/>
      <c r="R497" s="2370"/>
      <c r="S497" s="2370"/>
      <c r="T497" s="2370"/>
      <c r="U497" s="2370"/>
      <c r="V497" s="2370"/>
      <c r="W497" s="2370"/>
      <c r="X497" s="2452"/>
      <c r="Y497" s="996"/>
      <c r="Z497" s="2452"/>
      <c r="AA497" s="996"/>
      <c r="AB497" s="2452"/>
      <c r="AC497" s="996"/>
    </row>
    <row r="498" spans="1:29" s="995" customFormat="1" ht="12.6" customHeight="1">
      <c r="A498" s="991"/>
      <c r="B498" s="2319">
        <v>45597</v>
      </c>
      <c r="C498" s="2319"/>
      <c r="D498" s="2320" t="s">
        <v>30</v>
      </c>
      <c r="E498" s="2370">
        <v>4315</v>
      </c>
      <c r="F498" s="2370"/>
      <c r="G498" s="2370"/>
      <c r="H498" s="2370"/>
      <c r="I498" s="2370"/>
      <c r="J498" s="2370"/>
      <c r="K498" s="2370"/>
      <c r="L498" s="2370"/>
      <c r="M498" s="2370">
        <v>4315</v>
      </c>
      <c r="N498" s="2370"/>
      <c r="O498" s="2370"/>
      <c r="P498" s="2370"/>
      <c r="Q498" s="2370"/>
      <c r="R498" s="2370"/>
      <c r="S498" s="2370"/>
      <c r="T498" s="2370"/>
      <c r="U498" s="2370"/>
      <c r="V498" s="2370"/>
      <c r="W498" s="2370">
        <v>4315</v>
      </c>
      <c r="X498" s="2452"/>
      <c r="Y498" s="996"/>
      <c r="Z498" s="2452"/>
      <c r="AA498" s="996"/>
      <c r="AB498" s="2452"/>
      <c r="AC498" s="996"/>
    </row>
    <row r="499" spans="1:29" s="995" customFormat="1" ht="12.6" customHeight="1">
      <c r="A499" s="991"/>
      <c r="B499" s="2319">
        <v>45597</v>
      </c>
      <c r="C499" s="2319"/>
      <c r="D499" s="2320" t="s">
        <v>1352</v>
      </c>
      <c r="E499" s="2370">
        <f t="shared" si="166"/>
        <v>995.16499999999996</v>
      </c>
      <c r="F499" s="2370"/>
      <c r="G499" s="2370"/>
      <c r="H499" s="2370"/>
      <c r="I499" s="2370"/>
      <c r="J499" s="2370"/>
      <c r="K499" s="2370"/>
      <c r="L499" s="2370"/>
      <c r="M499" s="2370"/>
      <c r="N499" s="2370">
        <f>'el-varme'!$BQ$2</f>
        <v>995.16499999999996</v>
      </c>
      <c r="O499" s="2370"/>
      <c r="P499" s="2370"/>
      <c r="Q499" s="2370"/>
      <c r="R499" s="2370"/>
      <c r="S499" s="2370"/>
      <c r="T499" s="2370"/>
      <c r="U499" s="2370"/>
      <c r="V499" s="2370"/>
      <c r="W499" s="2370"/>
      <c r="X499" s="2452"/>
      <c r="Y499" s="996"/>
      <c r="Z499" s="2452"/>
      <c r="AA499" s="996"/>
      <c r="AB499" s="2452"/>
      <c r="AC499" s="996"/>
    </row>
    <row r="500" spans="1:29" s="995" customFormat="1" ht="12.6" customHeight="1">
      <c r="A500" s="991"/>
      <c r="B500" s="2319">
        <v>45597</v>
      </c>
      <c r="C500" s="2319"/>
      <c r="D500" s="2320" t="s">
        <v>26</v>
      </c>
      <c r="E500" s="2370">
        <f t="shared" si="166"/>
        <v>602.59</v>
      </c>
      <c r="F500" s="2370"/>
      <c r="G500" s="2370"/>
      <c r="H500" s="2370"/>
      <c r="I500" s="2370"/>
      <c r="J500" s="2370"/>
      <c r="K500" s="2370"/>
      <c r="L500" s="2370"/>
      <c r="M500" s="2370"/>
      <c r="N500" s="2370"/>
      <c r="O500" s="2370"/>
      <c r="P500" s="2370"/>
      <c r="Q500" s="2370"/>
      <c r="R500" s="2370"/>
      <c r="S500" s="2370"/>
      <c r="T500" s="2370"/>
      <c r="U500" s="2370"/>
      <c r="V500" s="2370">
        <f>$AA$11</f>
        <v>602.59</v>
      </c>
      <c r="W500" s="2370"/>
      <c r="X500" s="2452"/>
      <c r="Y500" s="996"/>
      <c r="Z500" s="2452"/>
      <c r="AA500" s="996"/>
      <c r="AB500" s="2452"/>
      <c r="AC500" s="996"/>
    </row>
    <row r="501" spans="1:29" s="995" customFormat="1" ht="12.6" customHeight="1">
      <c r="A501" s="991"/>
      <c r="B501" s="2319">
        <v>45597</v>
      </c>
      <c r="C501" s="2319"/>
      <c r="D501" s="2320" t="s">
        <v>25</v>
      </c>
      <c r="E501" s="2370">
        <f t="shared" si="166"/>
        <v>650</v>
      </c>
      <c r="F501" s="2370"/>
      <c r="G501" s="2370"/>
      <c r="H501" s="2370"/>
      <c r="I501" s="2370"/>
      <c r="J501" s="2370"/>
      <c r="K501" s="2370"/>
      <c r="L501" s="2370"/>
      <c r="M501" s="2370"/>
      <c r="N501" s="2370"/>
      <c r="O501" s="2370"/>
      <c r="P501" s="2370"/>
      <c r="Q501" s="2370">
        <f>$AA$10</f>
        <v>650</v>
      </c>
      <c r="R501" s="2370"/>
      <c r="S501" s="2370"/>
      <c r="T501" s="2370"/>
      <c r="U501" s="2370"/>
      <c r="V501" s="2370"/>
      <c r="W501" s="2370"/>
      <c r="X501" s="2452"/>
      <c r="Y501" s="996"/>
      <c r="Z501" s="2452"/>
      <c r="AA501" s="996"/>
      <c r="AB501" s="2452"/>
      <c r="AC501" s="996"/>
    </row>
    <row r="502" spans="1:29" s="995" customFormat="1" ht="12.6" customHeight="1">
      <c r="A502" s="991"/>
      <c r="B502" s="2319">
        <v>45597</v>
      </c>
      <c r="C502" s="2319"/>
      <c r="D502" s="2320" t="s">
        <v>22</v>
      </c>
      <c r="E502" s="2370">
        <f t="shared" si="166"/>
        <v>208</v>
      </c>
      <c r="F502" s="2370"/>
      <c r="G502" s="2370"/>
      <c r="H502" s="2370"/>
      <c r="I502" s="2370"/>
      <c r="J502" s="2370"/>
      <c r="K502" s="2370"/>
      <c r="L502" s="2370"/>
      <c r="M502" s="2370"/>
      <c r="N502" s="2370"/>
      <c r="O502" s="2370"/>
      <c r="P502" s="2370">
        <f>$Y$11</f>
        <v>208</v>
      </c>
      <c r="Q502" s="2370"/>
      <c r="R502" s="2370"/>
      <c r="S502" s="2370"/>
      <c r="T502" s="2370"/>
      <c r="U502" s="2370"/>
      <c r="V502" s="2370"/>
      <c r="W502" s="2370"/>
      <c r="X502" s="2452"/>
      <c r="Y502" s="996"/>
      <c r="Z502" s="2452"/>
      <c r="AA502" s="996"/>
      <c r="AB502" s="2452"/>
      <c r="AC502" s="996"/>
    </row>
    <row r="503" spans="1:29" s="995" customFormat="1" ht="12.6" customHeight="1">
      <c r="A503" s="991"/>
      <c r="B503" s="2319">
        <v>45597</v>
      </c>
      <c r="C503" s="2319"/>
      <c r="D503" s="2320" t="s">
        <v>21</v>
      </c>
      <c r="E503" s="2370">
        <f t="shared" si="166"/>
        <v>465</v>
      </c>
      <c r="F503" s="2370"/>
      <c r="G503" s="2370"/>
      <c r="H503" s="2370"/>
      <c r="I503" s="2370"/>
      <c r="J503" s="2370"/>
      <c r="K503" s="2370"/>
      <c r="L503" s="2370"/>
      <c r="M503" s="2370"/>
      <c r="N503" s="2370"/>
      <c r="O503" s="2370"/>
      <c r="P503" s="2370">
        <f>$W$1</f>
        <v>465</v>
      </c>
      <c r="Q503" s="2370"/>
      <c r="R503" s="2370"/>
      <c r="S503" s="2370"/>
      <c r="T503" s="2370"/>
      <c r="U503" s="2370"/>
      <c r="V503" s="2370"/>
      <c r="W503" s="2370"/>
      <c r="X503" s="2452"/>
      <c r="Y503" s="996"/>
      <c r="Z503" s="2452"/>
      <c r="AA503" s="996"/>
      <c r="AB503" s="2452"/>
      <c r="AC503" s="996"/>
    </row>
    <row r="504" spans="1:29" s="995" customFormat="1" ht="12.6" customHeight="1">
      <c r="A504" s="991"/>
      <c r="B504" s="2319">
        <v>45597</v>
      </c>
      <c r="C504" s="2319"/>
      <c r="D504" s="2320" t="s">
        <v>27</v>
      </c>
      <c r="E504" s="2370">
        <f t="shared" si="166"/>
        <v>870.62</v>
      </c>
      <c r="F504" s="2370"/>
      <c r="G504" s="2370"/>
      <c r="H504" s="2370"/>
      <c r="I504" s="2370"/>
      <c r="J504" s="2370"/>
      <c r="K504" s="2370"/>
      <c r="L504" s="2370"/>
      <c r="M504" s="2370"/>
      <c r="N504" s="2370"/>
      <c r="O504" s="2370"/>
      <c r="P504" s="2370">
        <f>$T$4</f>
        <v>870.62</v>
      </c>
      <c r="Q504" s="2370"/>
      <c r="R504" s="2370"/>
      <c r="S504" s="2370"/>
      <c r="T504" s="2370"/>
      <c r="U504" s="2370"/>
      <c r="V504" s="2370"/>
      <c r="W504" s="2370"/>
      <c r="X504" s="2452"/>
      <c r="Y504" s="996"/>
      <c r="Z504" s="2452"/>
      <c r="AA504" s="996"/>
      <c r="AB504" s="2452"/>
      <c r="AC504" s="996"/>
    </row>
    <row r="505" spans="1:29" s="995" customFormat="1" ht="12.6" customHeight="1">
      <c r="A505" s="991"/>
      <c r="B505" s="2319">
        <v>45597</v>
      </c>
      <c r="C505" s="2319"/>
      <c r="D505" s="2320" t="s">
        <v>1496</v>
      </c>
      <c r="E505" s="2370">
        <f t="shared" si="166"/>
        <v>0</v>
      </c>
      <c r="F505" s="2370"/>
      <c r="G505" s="2370"/>
      <c r="H505" s="2370"/>
      <c r="I505" s="2370"/>
      <c r="J505" s="2370"/>
      <c r="K505" s="2370"/>
      <c r="L505" s="2370"/>
      <c r="M505" s="2370"/>
      <c r="N505" s="2370"/>
      <c r="O505" s="2370"/>
      <c r="P505" s="2370"/>
      <c r="Q505" s="2370"/>
      <c r="R505" s="2370"/>
      <c r="S505" s="2370"/>
      <c r="T505" s="2370"/>
      <c r="U505" s="2370"/>
      <c r="V505" s="2370"/>
      <c r="W505" s="2370"/>
      <c r="X505" s="2452"/>
      <c r="Y505" s="996"/>
      <c r="Z505" s="2452"/>
      <c r="AA505" s="996"/>
      <c r="AB505" s="2452"/>
      <c r="AC505" s="996"/>
    </row>
    <row r="506" spans="1:29" s="995" customFormat="1" ht="12.6" customHeight="1">
      <c r="A506" s="991"/>
      <c r="B506" s="2319">
        <v>45597</v>
      </c>
      <c r="C506" s="2319"/>
      <c r="D506" s="2320" t="s">
        <v>28</v>
      </c>
      <c r="E506" s="2370">
        <f t="shared" si="166"/>
        <v>0</v>
      </c>
      <c r="F506" s="2370"/>
      <c r="G506" s="2370"/>
      <c r="H506" s="2370"/>
      <c r="I506" s="2370"/>
      <c r="J506" s="2370"/>
      <c r="K506" s="2370"/>
      <c r="L506" s="2370"/>
      <c r="M506" s="2370"/>
      <c r="N506" s="2370"/>
      <c r="O506" s="2370"/>
      <c r="P506" s="2370"/>
      <c r="Q506" s="2370"/>
      <c r="R506" s="2370"/>
      <c r="S506" s="2370"/>
      <c r="T506" s="2370"/>
      <c r="U506" s="2370"/>
      <c r="V506" s="2370"/>
      <c r="W506" s="2370"/>
      <c r="X506" s="2452"/>
      <c r="Y506" s="996"/>
      <c r="Z506" s="2452"/>
      <c r="AA506" s="996"/>
      <c r="AB506" s="2452"/>
      <c r="AC506" s="996"/>
    </row>
    <row r="507" spans="1:29" s="995" customFormat="1" ht="12.6" customHeight="1">
      <c r="A507" s="991"/>
      <c r="B507" s="2319">
        <v>45597</v>
      </c>
      <c r="C507" s="2319"/>
      <c r="D507" s="2320" t="s">
        <v>23</v>
      </c>
      <c r="E507" s="2370">
        <f t="shared" si="166"/>
        <v>0</v>
      </c>
      <c r="F507" s="2370"/>
      <c r="G507" s="2370"/>
      <c r="H507" s="2370"/>
      <c r="I507" s="2370"/>
      <c r="J507" s="2370"/>
      <c r="K507" s="2370"/>
      <c r="L507" s="2370"/>
      <c r="M507" s="2370"/>
      <c r="N507" s="2370"/>
      <c r="O507" s="2370"/>
      <c r="P507" s="2370"/>
      <c r="Q507" s="2370"/>
      <c r="R507" s="2370"/>
      <c r="S507" s="2370"/>
      <c r="T507" s="2370"/>
      <c r="U507" s="2370"/>
      <c r="V507" s="2370"/>
      <c r="W507" s="2370"/>
      <c r="X507" s="2452"/>
      <c r="Y507" s="996"/>
      <c r="Z507" s="2452"/>
      <c r="AA507" s="996"/>
      <c r="AB507" s="2452"/>
      <c r="AC507" s="996"/>
    </row>
    <row r="508" spans="1:29" s="995" customFormat="1" ht="12.6" customHeight="1">
      <c r="A508" s="991"/>
      <c r="B508" s="2319">
        <v>45597</v>
      </c>
      <c r="C508" s="2319"/>
      <c r="D508" s="2320" t="s">
        <v>126</v>
      </c>
      <c r="E508" s="2370">
        <f t="shared" si="166"/>
        <v>45</v>
      </c>
      <c r="F508" s="2370"/>
      <c r="G508" s="2370"/>
      <c r="H508" s="2370"/>
      <c r="I508" s="2370"/>
      <c r="J508" s="2370"/>
      <c r="K508" s="2370"/>
      <c r="L508" s="2370"/>
      <c r="M508" s="2370"/>
      <c r="N508" s="2370"/>
      <c r="O508" s="2370"/>
      <c r="P508" s="2370"/>
      <c r="Q508" s="2370"/>
      <c r="R508" s="2370">
        <f>$X$5</f>
        <v>45</v>
      </c>
      <c r="S508" s="2370"/>
      <c r="T508" s="2370"/>
      <c r="U508" s="2370"/>
      <c r="V508" s="2370"/>
      <c r="W508" s="2370"/>
      <c r="X508" s="2452"/>
      <c r="Y508" s="996"/>
      <c r="Z508" s="2452"/>
      <c r="AA508" s="996"/>
      <c r="AB508" s="2452"/>
      <c r="AC508" s="996"/>
    </row>
    <row r="509" spans="1:29" s="995" customFormat="1" ht="12.6" customHeight="1">
      <c r="A509" s="991"/>
      <c r="B509" s="2319">
        <v>45602</v>
      </c>
      <c r="C509" s="2319"/>
      <c r="D509" s="2320" t="s">
        <v>1495</v>
      </c>
      <c r="E509" s="2370">
        <f t="shared" si="166"/>
        <v>608</v>
      </c>
      <c r="F509" s="2370">
        <f>$Y$19</f>
        <v>62</v>
      </c>
      <c r="G509" s="2370"/>
      <c r="H509" s="2370"/>
      <c r="I509" s="2370"/>
      <c r="J509" s="2370"/>
      <c r="K509" s="2370"/>
      <c r="L509" s="2370"/>
      <c r="M509" s="2370"/>
      <c r="N509" s="2370"/>
      <c r="O509" s="2370"/>
      <c r="P509" s="2370"/>
      <c r="Q509" s="2370">
        <f>$Y$20</f>
        <v>306</v>
      </c>
      <c r="R509" s="2370"/>
      <c r="S509" s="2370"/>
      <c r="T509" s="2370">
        <f>$Y$21</f>
        <v>240</v>
      </c>
      <c r="U509" s="2370"/>
      <c r="V509" s="2370"/>
      <c r="W509" s="2370"/>
      <c r="X509" s="2452"/>
      <c r="Y509" s="996"/>
      <c r="Z509" s="2452"/>
      <c r="AA509" s="996"/>
      <c r="AB509" s="2452"/>
      <c r="AC509" s="996"/>
    </row>
    <row r="510" spans="1:29" s="995" customFormat="1" ht="12.6" customHeight="1">
      <c r="A510" s="991"/>
      <c r="B510" s="2319">
        <v>45619</v>
      </c>
      <c r="C510" s="2319"/>
      <c r="D510" s="2320" t="s">
        <v>1656</v>
      </c>
      <c r="E510" s="2370">
        <f>SUM(F510:W510)</f>
        <v>240</v>
      </c>
      <c r="F510" s="2370"/>
      <c r="G510" s="2370"/>
      <c r="H510" s="2370"/>
      <c r="I510" s="2370"/>
      <c r="J510" s="2370"/>
      <c r="K510" s="2370"/>
      <c r="L510" s="2370"/>
      <c r="M510" s="2370"/>
      <c r="N510" s="2370"/>
      <c r="O510" s="2370"/>
      <c r="P510" s="2370"/>
      <c r="Q510" s="2370"/>
      <c r="R510" s="2370">
        <v>240</v>
      </c>
      <c r="S510" s="2370"/>
      <c r="T510" s="2370"/>
      <c r="U510" s="2370"/>
      <c r="V510" s="2370"/>
      <c r="W510" s="2370"/>
      <c r="X510" s="2452"/>
      <c r="Y510" s="996"/>
      <c r="Z510" s="2452"/>
      <c r="AA510" s="996"/>
      <c r="AB510" s="2452"/>
      <c r="AC510" s="996"/>
    </row>
    <row r="511" spans="1:29" s="995" customFormat="1" ht="12.6" customHeight="1">
      <c r="A511" s="991"/>
      <c r="B511" s="2319">
        <v>45623</v>
      </c>
      <c r="C511" s="2319"/>
      <c r="D511" s="2320" t="s">
        <v>1655</v>
      </c>
      <c r="E511" s="2370">
        <v>140</v>
      </c>
      <c r="F511" s="2370"/>
      <c r="G511" s="2370"/>
      <c r="H511" s="2370"/>
      <c r="I511" s="2370"/>
      <c r="J511" s="2370"/>
      <c r="K511" s="2370"/>
      <c r="L511" s="2370"/>
      <c r="M511" s="2370"/>
      <c r="N511" s="2370"/>
      <c r="O511" s="2370"/>
      <c r="P511" s="2370"/>
      <c r="Q511" s="2370"/>
      <c r="R511" s="2370">
        <v>140</v>
      </c>
      <c r="S511" s="2370"/>
      <c r="T511" s="2370"/>
      <c r="U511" s="2370"/>
      <c r="V511" s="2370"/>
      <c r="W511" s="2370"/>
      <c r="X511" s="2452"/>
      <c r="Y511" s="996"/>
      <c r="Z511" s="2452"/>
      <c r="AA511" s="996"/>
      <c r="AB511" s="2452"/>
      <c r="AC511" s="996"/>
    </row>
    <row r="512" spans="1:29" s="995" customFormat="1" ht="12.6" customHeight="1">
      <c r="A512" s="991"/>
      <c r="B512" s="2319">
        <v>45616</v>
      </c>
      <c r="C512" s="2319"/>
      <c r="D512" s="2320" t="s">
        <v>1706</v>
      </c>
      <c r="E512" s="2370">
        <v>140</v>
      </c>
      <c r="F512" s="2370"/>
      <c r="G512" s="2370"/>
      <c r="H512" s="2370"/>
      <c r="I512" s="2370"/>
      <c r="J512" s="2370"/>
      <c r="K512" s="2370"/>
      <c r="L512" s="2370"/>
      <c r="M512" s="2370"/>
      <c r="N512" s="2370">
        <v>140</v>
      </c>
      <c r="O512" s="2370"/>
      <c r="P512" s="2370"/>
      <c r="Q512" s="2370"/>
      <c r="R512" s="2370"/>
      <c r="S512" s="2370"/>
      <c r="T512" s="2370"/>
      <c r="U512" s="2370"/>
      <c r="V512" s="2370"/>
      <c r="W512" s="2370"/>
      <c r="X512" s="2452"/>
      <c r="Y512" s="996"/>
      <c r="Z512" s="2452"/>
      <c r="AA512" s="996"/>
      <c r="AB512" s="2452"/>
      <c r="AC512" s="996"/>
    </row>
    <row r="513" spans="1:29" s="995" customFormat="1" ht="12.6" customHeight="1">
      <c r="A513" s="991"/>
      <c r="B513" s="2319">
        <v>45624</v>
      </c>
      <c r="C513" s="2319"/>
      <c r="D513" s="2320" t="s">
        <v>1646</v>
      </c>
      <c r="E513" s="2370">
        <v>29</v>
      </c>
      <c r="F513" s="2370"/>
      <c r="G513" s="2370"/>
      <c r="H513" s="2370"/>
      <c r="I513" s="2370"/>
      <c r="J513" s="2370"/>
      <c r="K513" s="2370"/>
      <c r="L513" s="2370"/>
      <c r="M513" s="2370"/>
      <c r="N513" s="2370"/>
      <c r="O513" s="2370"/>
      <c r="P513" s="2370"/>
      <c r="Q513" s="2370">
        <v>29</v>
      </c>
      <c r="R513" s="2370"/>
      <c r="S513" s="2370"/>
      <c r="T513" s="2370"/>
      <c r="U513" s="2370"/>
      <c r="V513" s="2370"/>
      <c r="W513" s="2370"/>
      <c r="X513" s="2452"/>
      <c r="Y513" s="996"/>
      <c r="Z513" s="2452"/>
      <c r="AA513" s="996"/>
      <c r="AB513" s="2452"/>
      <c r="AC513" s="996"/>
    </row>
    <row r="514" spans="1:29" s="995" customFormat="1" ht="12.6" customHeight="1">
      <c r="A514" s="991"/>
      <c r="B514" s="2319"/>
      <c r="C514" s="2319"/>
      <c r="D514" s="2320" t="s">
        <v>1354</v>
      </c>
      <c r="E514" s="2370">
        <f>SUM(F514:W514)</f>
        <v>0</v>
      </c>
      <c r="F514" s="2370"/>
      <c r="G514" s="2370"/>
      <c r="H514" s="2370"/>
      <c r="I514" s="2370"/>
      <c r="J514" s="2370"/>
      <c r="K514" s="2370"/>
      <c r="L514" s="2370"/>
      <c r="M514" s="2370"/>
      <c r="N514" s="2370"/>
      <c r="O514" s="2370"/>
      <c r="P514" s="2370"/>
      <c r="Q514" s="2370"/>
      <c r="R514" s="2370"/>
      <c r="S514" s="2370"/>
      <c r="T514" s="2370"/>
      <c r="U514" s="2370"/>
      <c r="V514" s="2370"/>
      <c r="W514" s="2370"/>
      <c r="X514" s="2452"/>
      <c r="Y514" s="996"/>
      <c r="Z514" s="2452"/>
      <c r="AA514" s="996"/>
      <c r="AB514" s="2452"/>
      <c r="AC514" s="996"/>
    </row>
    <row r="515" spans="1:29" s="995" customFormat="1" ht="12.6" customHeight="1">
      <c r="A515" s="991"/>
      <c r="B515" s="2319"/>
      <c r="C515" s="2319"/>
      <c r="D515" s="2320" t="s">
        <v>15</v>
      </c>
      <c r="E515" s="2370">
        <f t="shared" ref="E515:E520" si="167">SUM(G515:W515)</f>
        <v>0</v>
      </c>
      <c r="F515" s="2370"/>
      <c r="G515" s="2370"/>
      <c r="H515" s="2370"/>
      <c r="I515" s="2370"/>
      <c r="J515" s="2370"/>
      <c r="K515" s="2370"/>
      <c r="L515" s="2370"/>
      <c r="M515" s="2370"/>
      <c r="N515" s="2370"/>
      <c r="O515" s="2370"/>
      <c r="P515" s="2370"/>
      <c r="Q515" s="2370"/>
      <c r="R515" s="2370"/>
      <c r="S515" s="2370"/>
      <c r="T515" s="2370"/>
      <c r="U515" s="2370"/>
      <c r="V515" s="2370"/>
      <c r="W515" s="2370"/>
      <c r="X515" s="2452"/>
      <c r="Y515" s="996"/>
      <c r="Z515" s="2452"/>
      <c r="AA515" s="996"/>
      <c r="AB515" s="2452"/>
      <c r="AC515" s="996"/>
    </row>
    <row r="516" spans="1:29" s="995" customFormat="1" ht="12.6" customHeight="1">
      <c r="A516" s="991"/>
      <c r="B516" s="2319"/>
      <c r="C516" s="2319"/>
      <c r="D516" s="2320" t="s">
        <v>14</v>
      </c>
      <c r="E516" s="2370">
        <f t="shared" si="167"/>
        <v>620</v>
      </c>
      <c r="F516" s="2370"/>
      <c r="G516" s="2370"/>
      <c r="H516" s="2370"/>
      <c r="I516" s="2370"/>
      <c r="J516" s="2370"/>
      <c r="K516" s="2370">
        <v>620</v>
      </c>
      <c r="L516" s="2370"/>
      <c r="M516" s="2370"/>
      <c r="N516" s="2370"/>
      <c r="O516" s="2370"/>
      <c r="P516" s="2370"/>
      <c r="Q516" s="2370"/>
      <c r="R516" s="2370"/>
      <c r="S516" s="2370"/>
      <c r="T516" s="2370"/>
      <c r="U516" s="2370"/>
      <c r="V516" s="2370"/>
      <c r="W516" s="2370"/>
      <c r="X516" s="2452"/>
      <c r="Y516" s="996"/>
      <c r="Z516" s="2452"/>
      <c r="AA516" s="996"/>
      <c r="AB516" s="2452"/>
      <c r="AC516" s="996"/>
    </row>
    <row r="517" spans="1:29" s="995" customFormat="1" ht="12.6" customHeight="1">
      <c r="A517" s="991"/>
      <c r="B517" s="2319"/>
      <c r="C517" s="2319"/>
      <c r="D517" s="2320" t="s">
        <v>384</v>
      </c>
      <c r="E517" s="2370">
        <f t="shared" si="167"/>
        <v>1607</v>
      </c>
      <c r="F517" s="2370"/>
      <c r="G517" s="2370"/>
      <c r="H517" s="2370"/>
      <c r="I517" s="2370"/>
      <c r="J517" s="2370">
        <f>medicin!$T$4</f>
        <v>1607</v>
      </c>
      <c r="K517" s="2370"/>
      <c r="L517" s="2370"/>
      <c r="M517" s="2370"/>
      <c r="N517" s="2370"/>
      <c r="O517" s="2370"/>
      <c r="P517" s="2370"/>
      <c r="Q517" s="2370"/>
      <c r="R517" s="2370"/>
      <c r="S517" s="2370"/>
      <c r="T517" s="2370"/>
      <c r="U517" s="2370"/>
      <c r="V517" s="2370"/>
      <c r="W517" s="2370"/>
      <c r="X517" s="2452"/>
      <c r="Y517" s="996"/>
      <c r="Z517" s="2452"/>
      <c r="AA517" s="996"/>
      <c r="AB517" s="2452"/>
      <c r="AC517" s="996"/>
    </row>
    <row r="518" spans="1:29" s="995" customFormat="1" ht="12.6" customHeight="1">
      <c r="A518" s="991"/>
      <c r="B518" s="2319"/>
      <c r="C518" s="2319"/>
      <c r="D518" s="2320"/>
      <c r="E518" s="2370">
        <f t="shared" si="167"/>
        <v>0</v>
      </c>
      <c r="F518" s="2370"/>
      <c r="G518" s="2370"/>
      <c r="H518" s="2370"/>
      <c r="I518" s="2370"/>
      <c r="J518" s="2370"/>
      <c r="K518" s="2370"/>
      <c r="L518" s="2370"/>
      <c r="M518" s="2370"/>
      <c r="N518" s="2370"/>
      <c r="O518" s="2370"/>
      <c r="P518" s="2370"/>
      <c r="Q518" s="2370"/>
      <c r="R518" s="2370"/>
      <c r="S518" s="2370"/>
      <c r="T518" s="2370"/>
      <c r="U518" s="2370"/>
      <c r="V518" s="2370"/>
      <c r="W518" s="2370"/>
      <c r="X518" s="2452"/>
      <c r="Y518" s="996"/>
      <c r="Z518" s="2452"/>
      <c r="AA518" s="996"/>
      <c r="AB518" s="2452"/>
      <c r="AC518" s="996"/>
    </row>
    <row r="519" spans="1:29" s="995" customFormat="1" ht="12.6" customHeight="1">
      <c r="A519" s="991"/>
      <c r="B519" s="2319"/>
      <c r="C519" s="2319"/>
      <c r="D519" s="2320"/>
      <c r="E519" s="2370">
        <f t="shared" si="167"/>
        <v>0</v>
      </c>
      <c r="F519" s="2370"/>
      <c r="G519" s="2370"/>
      <c r="H519" s="2370"/>
      <c r="I519" s="2370"/>
      <c r="J519" s="2370"/>
      <c r="K519" s="2370"/>
      <c r="L519" s="2370"/>
      <c r="M519" s="2370"/>
      <c r="N519" s="2370"/>
      <c r="O519" s="2370"/>
      <c r="P519" s="2370"/>
      <c r="Q519" s="2370"/>
      <c r="R519" s="2370"/>
      <c r="S519" s="2370"/>
      <c r="T519" s="2370"/>
      <c r="U519" s="2370"/>
      <c r="V519" s="2370"/>
      <c r="W519" s="2370"/>
      <c r="X519" s="2452"/>
      <c r="Y519" s="996"/>
      <c r="Z519" s="2452"/>
      <c r="AA519" s="996"/>
      <c r="AB519" s="2452"/>
      <c r="AC519" s="996"/>
    </row>
    <row r="520" spans="1:29" s="995" customFormat="1" ht="12.6" customHeight="1">
      <c r="A520" s="991"/>
      <c r="B520" s="2319"/>
      <c r="C520" s="2319"/>
      <c r="D520" s="2320"/>
      <c r="E520" s="2370">
        <f t="shared" si="167"/>
        <v>0</v>
      </c>
      <c r="F520" s="2370"/>
      <c r="G520" s="2370"/>
      <c r="H520" s="2370"/>
      <c r="I520" s="2370"/>
      <c r="J520" s="2370"/>
      <c r="K520" s="2370"/>
      <c r="L520" s="2370"/>
      <c r="M520" s="2370"/>
      <c r="N520" s="2370"/>
      <c r="O520" s="2370"/>
      <c r="P520" s="2370"/>
      <c r="Q520" s="2370"/>
      <c r="R520" s="2370"/>
      <c r="S520" s="2370"/>
      <c r="T520" s="2370"/>
      <c r="U520" s="2370"/>
      <c r="V520" s="2370"/>
      <c r="W520" s="2370"/>
      <c r="X520" s="2452"/>
      <c r="Y520" s="996"/>
      <c r="Z520" s="2452"/>
      <c r="AA520" s="996"/>
      <c r="AB520" s="2452"/>
      <c r="AC520" s="996"/>
    </row>
    <row r="521" spans="1:29" s="2194" customFormat="1" ht="12.6" customHeight="1">
      <c r="A521" s="996"/>
      <c r="B521" s="2191"/>
      <c r="C521" s="2192"/>
      <c r="D521" s="2193"/>
      <c r="E521" s="2371"/>
      <c r="F521" s="2371"/>
      <c r="G521" s="2371"/>
      <c r="H521" s="2371"/>
      <c r="I521" s="2371"/>
      <c r="J521" s="2371"/>
      <c r="K521" s="2371"/>
      <c r="L521" s="2371"/>
      <c r="M521" s="2371"/>
      <c r="N521" s="2371"/>
      <c r="O521" s="2371"/>
      <c r="P521" s="2371"/>
      <c r="Q521" s="2371"/>
      <c r="R521" s="2371"/>
      <c r="S521" s="2371"/>
      <c r="T521" s="2371"/>
      <c r="U521" s="2371"/>
      <c r="V521" s="2371"/>
      <c r="W521" s="2371"/>
      <c r="X521" s="2452"/>
      <c r="Y521" s="996"/>
      <c r="Z521" s="2452"/>
      <c r="AA521" s="996"/>
      <c r="AB521" s="2452"/>
      <c r="AC521" s="996"/>
    </row>
    <row r="522" spans="1:29" s="2103" customFormat="1" ht="24" customHeight="1">
      <c r="A522" s="2317"/>
      <c r="B522" s="2857">
        <v>31</v>
      </c>
      <c r="C522" s="2857"/>
      <c r="D522" s="2857"/>
      <c r="E522" s="2372">
        <f>SUM(E529+E540)</f>
        <v>15382.375</v>
      </c>
      <c r="F522" s="2372">
        <f t="shared" ref="F522:W522" si="168">SUM(F529+F540)</f>
        <v>550</v>
      </c>
      <c r="G522" s="2372">
        <f t="shared" si="168"/>
        <v>0</v>
      </c>
      <c r="H522" s="2372">
        <f t="shared" si="168"/>
        <v>0</v>
      </c>
      <c r="I522" s="2372">
        <f t="shared" si="168"/>
        <v>0</v>
      </c>
      <c r="J522" s="2372">
        <f t="shared" si="168"/>
        <v>1607</v>
      </c>
      <c r="K522" s="2372">
        <f t="shared" si="168"/>
        <v>620</v>
      </c>
      <c r="L522" s="2372">
        <f t="shared" si="168"/>
        <v>0</v>
      </c>
      <c r="M522" s="2372">
        <f t="shared" si="168"/>
        <v>4315</v>
      </c>
      <c r="N522" s="2372">
        <f t="shared" si="168"/>
        <v>1135.165</v>
      </c>
      <c r="O522" s="2372">
        <f t="shared" si="168"/>
        <v>0</v>
      </c>
      <c r="P522" s="2372">
        <f t="shared" si="168"/>
        <v>1543.62</v>
      </c>
      <c r="Q522" s="2372">
        <f t="shared" si="168"/>
        <v>985</v>
      </c>
      <c r="R522" s="2372">
        <f t="shared" si="168"/>
        <v>425</v>
      </c>
      <c r="S522" s="2372">
        <f t="shared" si="168"/>
        <v>3000</v>
      </c>
      <c r="T522" s="2372">
        <f t="shared" si="168"/>
        <v>599</v>
      </c>
      <c r="U522" s="2372">
        <f t="shared" si="168"/>
        <v>0</v>
      </c>
      <c r="V522" s="2372">
        <f t="shared" si="168"/>
        <v>602.59</v>
      </c>
      <c r="W522" s="2372">
        <f t="shared" si="168"/>
        <v>4315</v>
      </c>
      <c r="X522" s="2454"/>
      <c r="Y522" s="2318"/>
      <c r="Z522" s="2452"/>
      <c r="AA522" s="996"/>
      <c r="AB522" s="2452"/>
      <c r="AC522" s="996"/>
    </row>
    <row r="523" spans="1:29" s="166" customFormat="1" ht="12.6" customHeight="1">
      <c r="A523" s="2095"/>
      <c r="B523" s="2856" t="s">
        <v>290</v>
      </c>
      <c r="C523" s="2856"/>
      <c r="D523" s="2856"/>
      <c r="E523" s="2847">
        <f t="shared" ref="E523:W523" si="169">SUM(E524:E528)</f>
        <v>20877</v>
      </c>
      <c r="F523" s="2847">
        <f t="shared" si="169"/>
        <v>0</v>
      </c>
      <c r="G523" s="2847">
        <f t="shared" si="169"/>
        <v>0</v>
      </c>
      <c r="H523" s="2847">
        <f t="shared" si="169"/>
        <v>0</v>
      </c>
      <c r="I523" s="2847">
        <f t="shared" si="169"/>
        <v>0</v>
      </c>
      <c r="J523" s="2847">
        <f t="shared" si="169"/>
        <v>0</v>
      </c>
      <c r="K523" s="2847">
        <f t="shared" si="169"/>
        <v>0</v>
      </c>
      <c r="L523" s="2847">
        <f t="shared" si="169"/>
        <v>0</v>
      </c>
      <c r="M523" s="2847">
        <f t="shared" si="169"/>
        <v>0</v>
      </c>
      <c r="N523" s="2847">
        <f t="shared" si="169"/>
        <v>0</v>
      </c>
      <c r="O523" s="2847">
        <f t="shared" si="169"/>
        <v>0</v>
      </c>
      <c r="P523" s="2847">
        <f t="shared" si="169"/>
        <v>0</v>
      </c>
      <c r="Q523" s="2847">
        <f t="shared" si="169"/>
        <v>0</v>
      </c>
      <c r="R523" s="2847">
        <f t="shared" si="169"/>
        <v>0</v>
      </c>
      <c r="S523" s="2847">
        <f t="shared" si="169"/>
        <v>0</v>
      </c>
      <c r="T523" s="2847">
        <f t="shared" si="169"/>
        <v>0</v>
      </c>
      <c r="U523" s="2847">
        <f t="shared" si="169"/>
        <v>0</v>
      </c>
      <c r="V523" s="2847">
        <f t="shared" si="169"/>
        <v>0</v>
      </c>
      <c r="W523" s="2847">
        <f t="shared" si="169"/>
        <v>0</v>
      </c>
      <c r="Z523" s="2454"/>
      <c r="AA523" s="2318"/>
      <c r="AB523" s="2454"/>
      <c r="AC523" s="2318"/>
    </row>
    <row r="524" spans="1:29" s="2103" customFormat="1" ht="12.6" customHeight="1">
      <c r="A524" s="2097"/>
      <c r="B524" s="2856"/>
      <c r="C524" s="2856"/>
      <c r="D524" s="2856"/>
      <c r="E524" s="2847"/>
      <c r="F524" s="2847"/>
      <c r="G524" s="2847"/>
      <c r="H524" s="2847"/>
      <c r="I524" s="2847"/>
      <c r="J524" s="2847"/>
      <c r="K524" s="2847"/>
      <c r="L524" s="2847"/>
      <c r="M524" s="2847"/>
      <c r="N524" s="2847"/>
      <c r="O524" s="2847"/>
      <c r="P524" s="2847"/>
      <c r="Q524" s="2847"/>
      <c r="R524" s="2847"/>
      <c r="S524" s="2847"/>
      <c r="T524" s="2847"/>
      <c r="U524" s="2847"/>
      <c r="V524" s="2847"/>
      <c r="W524" s="2847"/>
      <c r="X524" s="2102"/>
      <c r="Y524" s="2102"/>
      <c r="Z524" s="166"/>
      <c r="AA524" s="166"/>
      <c r="AB524" s="166"/>
      <c r="AC524" s="166"/>
    </row>
    <row r="525" spans="1:29" s="995" customFormat="1" ht="12.6" customHeight="1">
      <c r="A525" s="991"/>
      <c r="B525" s="2321">
        <v>45626</v>
      </c>
      <c r="C525" s="2379"/>
      <c r="D525" s="2378" t="s">
        <v>35</v>
      </c>
      <c r="E525" s="2369">
        <f>$T$8</f>
        <v>12214</v>
      </c>
      <c r="F525" s="2369"/>
      <c r="G525" s="2369"/>
      <c r="H525" s="2369"/>
      <c r="I525" s="2369"/>
      <c r="J525" s="2369"/>
      <c r="K525" s="2369"/>
      <c r="L525" s="2369"/>
      <c r="M525" s="2369"/>
      <c r="N525" s="2369"/>
      <c r="O525" s="2369"/>
      <c r="P525" s="2369"/>
      <c r="Q525" s="2369"/>
      <c r="R525" s="2369"/>
      <c r="S525" s="2369"/>
      <c r="T525" s="2369"/>
      <c r="U525" s="2369"/>
      <c r="V525" s="2369"/>
      <c r="W525" s="2369"/>
      <c r="X525" s="2102"/>
      <c r="Y525" s="2102"/>
      <c r="Z525" s="2102"/>
      <c r="AA525" s="2102"/>
      <c r="AB525" s="2102"/>
      <c r="AC525" s="2102"/>
    </row>
    <row r="526" spans="1:29" s="995" customFormat="1" ht="12.6" customHeight="1">
      <c r="A526" s="991"/>
      <c r="B526" s="2321">
        <v>45626</v>
      </c>
      <c r="C526" s="2379"/>
      <c r="D526" s="2378" t="s">
        <v>34</v>
      </c>
      <c r="E526" s="2369">
        <f>$T$9</f>
        <v>8443</v>
      </c>
      <c r="F526" s="2369"/>
      <c r="G526" s="2369"/>
      <c r="H526" s="2369"/>
      <c r="I526" s="2369"/>
      <c r="J526" s="2369"/>
      <c r="K526" s="2369"/>
      <c r="L526" s="2369"/>
      <c r="M526" s="2369"/>
      <c r="N526" s="2369"/>
      <c r="O526" s="2369"/>
      <c r="P526" s="2369"/>
      <c r="Q526" s="2369"/>
      <c r="R526" s="2369"/>
      <c r="S526" s="2369"/>
      <c r="T526" s="2369"/>
      <c r="U526" s="2369"/>
      <c r="V526" s="2369"/>
      <c r="W526" s="2369"/>
      <c r="X526" s="2102"/>
      <c r="Y526" s="2102"/>
      <c r="Z526" s="2102"/>
      <c r="AA526" s="2102"/>
      <c r="AB526" s="2102"/>
      <c r="AC526" s="2102"/>
    </row>
    <row r="527" spans="1:29" s="995" customFormat="1" ht="12.6" customHeight="1">
      <c r="A527" s="991"/>
      <c r="B527" s="2321">
        <v>45626</v>
      </c>
      <c r="C527" s="2379"/>
      <c r="D527" s="2378" t="s">
        <v>33</v>
      </c>
      <c r="E527" s="2369">
        <f>$Y$10</f>
        <v>220</v>
      </c>
      <c r="F527" s="2369"/>
      <c r="G527" s="2369"/>
      <c r="H527" s="2369"/>
      <c r="I527" s="2369"/>
      <c r="J527" s="2369"/>
      <c r="K527" s="2369"/>
      <c r="L527" s="2369"/>
      <c r="M527" s="2369"/>
      <c r="N527" s="2369"/>
      <c r="O527" s="2369"/>
      <c r="P527" s="2369"/>
      <c r="Q527" s="2369"/>
      <c r="R527" s="2369"/>
      <c r="S527" s="2369"/>
      <c r="T527" s="2369"/>
      <c r="U527" s="2369"/>
      <c r="V527" s="2369"/>
      <c r="W527" s="2369"/>
      <c r="X527" s="2102"/>
      <c r="Y527" s="2102"/>
      <c r="Z527" s="2102"/>
      <c r="AA527" s="2102"/>
      <c r="AB527" s="2102"/>
      <c r="AC527" s="2102"/>
    </row>
    <row r="528" spans="1:29" s="995" customFormat="1" ht="12.6" customHeight="1">
      <c r="A528" s="991"/>
      <c r="B528" s="2321"/>
      <c r="C528" s="2379"/>
      <c r="D528" s="2378"/>
      <c r="E528" s="2369"/>
      <c r="F528" s="2369"/>
      <c r="G528" s="2369"/>
      <c r="H528" s="2369"/>
      <c r="I528" s="2369"/>
      <c r="J528" s="2369"/>
      <c r="K528" s="2369"/>
      <c r="L528" s="2369"/>
      <c r="M528" s="2369"/>
      <c r="N528" s="2369"/>
      <c r="O528" s="2369"/>
      <c r="P528" s="2369"/>
      <c r="Q528" s="2369"/>
      <c r="R528" s="2369"/>
      <c r="S528" s="2369"/>
      <c r="T528" s="2369"/>
      <c r="U528" s="2369"/>
      <c r="V528" s="2369"/>
      <c r="W528" s="2369"/>
      <c r="X528" s="2102"/>
      <c r="Y528" s="2102"/>
      <c r="Z528" s="2102"/>
      <c r="AA528" s="2102"/>
      <c r="AB528" s="2102"/>
      <c r="AC528" s="2102"/>
    </row>
    <row r="529" spans="1:29" s="2103" customFormat="1" ht="12.6" customHeight="1">
      <c r="A529" s="2097"/>
      <c r="B529" s="2867" t="s">
        <v>289</v>
      </c>
      <c r="C529" s="2867"/>
      <c r="D529" s="2867"/>
      <c r="E529" s="2838">
        <f>SUM(E530:E539)</f>
        <v>0</v>
      </c>
      <c r="F529" s="2838">
        <f t="shared" ref="F529" si="170">SUM(F530:F539)</f>
        <v>0</v>
      </c>
      <c r="G529" s="2838">
        <f t="shared" ref="G529" si="171">SUM(G530:G539)</f>
        <v>0</v>
      </c>
      <c r="H529" s="2838">
        <f t="shared" ref="H529" si="172">SUM(H530:H539)</f>
        <v>0</v>
      </c>
      <c r="I529" s="2838">
        <f t="shared" ref="I529" si="173">SUM(I530:I539)</f>
        <v>0</v>
      </c>
      <c r="J529" s="2838">
        <f t="shared" ref="J529" si="174">SUM(J530:J539)</f>
        <v>0</v>
      </c>
      <c r="K529" s="2838">
        <f t="shared" ref="K529" si="175">SUM(K530:K539)</f>
        <v>0</v>
      </c>
      <c r="L529" s="2838">
        <f t="shared" ref="L529" si="176">SUM(L530:L539)</f>
        <v>0</v>
      </c>
      <c r="M529" s="2838">
        <f t="shared" ref="M529" si="177">SUM(M530:M539)</f>
        <v>0</v>
      </c>
      <c r="N529" s="2838">
        <f t="shared" ref="N529" si="178">SUM(N530:N539)</f>
        <v>0</v>
      </c>
      <c r="O529" s="2838">
        <f t="shared" ref="O529" si="179">SUM(O530:O539)</f>
        <v>0</v>
      </c>
      <c r="P529" s="2838">
        <f t="shared" ref="P529" si="180">SUM(P530:P539)</f>
        <v>0</v>
      </c>
      <c r="Q529" s="2838">
        <f t="shared" ref="Q529" si="181">SUM(Q530:Q539)</f>
        <v>0</v>
      </c>
      <c r="R529" s="2838">
        <f t="shared" ref="R529" si="182">SUM(R530:R539)</f>
        <v>0</v>
      </c>
      <c r="S529" s="2838">
        <f t="shared" ref="S529" si="183">SUM(S530:S539)</f>
        <v>0</v>
      </c>
      <c r="T529" s="2838">
        <f t="shared" ref="T529" si="184">SUM(T530:T539)</f>
        <v>0</v>
      </c>
      <c r="U529" s="2838">
        <f t="shared" ref="U529" si="185">SUM(U530:U539)</f>
        <v>0</v>
      </c>
      <c r="V529" s="2838">
        <f t="shared" ref="V529" si="186">SUM(V530:V539)</f>
        <v>0</v>
      </c>
      <c r="W529" s="2838">
        <f t="shared" ref="W529" si="187">SUM(W530:W539)</f>
        <v>0</v>
      </c>
      <c r="X529" s="2102"/>
      <c r="Y529" s="2102"/>
      <c r="Z529" s="2102"/>
      <c r="AA529" s="2102"/>
      <c r="AB529" s="2102"/>
      <c r="AC529" s="2102"/>
    </row>
    <row r="530" spans="1:29" s="995" customFormat="1" ht="12.6" customHeight="1">
      <c r="A530" s="991"/>
      <c r="B530" s="2863"/>
      <c r="C530" s="2863"/>
      <c r="D530" s="2863"/>
      <c r="E530" s="2839"/>
      <c r="F530" s="2839"/>
      <c r="G530" s="2839"/>
      <c r="H530" s="2839"/>
      <c r="I530" s="2839"/>
      <c r="J530" s="2839"/>
      <c r="K530" s="2839"/>
      <c r="L530" s="2839"/>
      <c r="M530" s="2839"/>
      <c r="N530" s="2839"/>
      <c r="O530" s="2839"/>
      <c r="P530" s="2839"/>
      <c r="Q530" s="2839"/>
      <c r="R530" s="2839"/>
      <c r="S530" s="2839"/>
      <c r="T530" s="2839"/>
      <c r="U530" s="2839"/>
      <c r="V530" s="2839"/>
      <c r="W530" s="2839"/>
      <c r="X530" s="2102"/>
      <c r="Y530" s="2102"/>
      <c r="Z530" s="2102"/>
      <c r="AA530" s="2102"/>
      <c r="AB530" s="2102"/>
      <c r="AC530" s="2102"/>
    </row>
    <row r="531" spans="1:29" s="166" customFormat="1" ht="12.6" customHeight="1">
      <c r="A531" s="2095"/>
      <c r="B531" s="2376"/>
      <c r="C531" s="2377"/>
      <c r="D531" s="2375"/>
      <c r="E531" s="2373"/>
      <c r="F531" s="2373"/>
      <c r="G531" s="2373"/>
      <c r="H531" s="2373"/>
      <c r="I531" s="2373"/>
      <c r="J531" s="2373"/>
      <c r="K531" s="2373"/>
      <c r="L531" s="2373"/>
      <c r="M531" s="2373"/>
      <c r="N531" s="2373"/>
      <c r="O531" s="2373"/>
      <c r="P531" s="2373"/>
      <c r="Q531" s="2373"/>
      <c r="R531" s="2373"/>
      <c r="S531" s="2373"/>
      <c r="T531" s="2373"/>
      <c r="U531" s="2373"/>
      <c r="V531" s="2373"/>
      <c r="W531" s="2373"/>
      <c r="X531" s="105"/>
      <c r="Y531" s="105"/>
      <c r="Z531" s="2102"/>
      <c r="AA531" s="2102"/>
      <c r="AB531" s="2102"/>
      <c r="AC531" s="2102"/>
    </row>
    <row r="532" spans="1:29" s="166" customFormat="1" ht="12.6" customHeight="1">
      <c r="A532" s="2095"/>
      <c r="B532" s="2376"/>
      <c r="C532" s="2377"/>
      <c r="D532" s="2375" t="s">
        <v>42</v>
      </c>
      <c r="E532" s="2373">
        <f t="shared" ref="E532:E539" si="188">SUM(F532:W532)</f>
        <v>0</v>
      </c>
      <c r="F532" s="2373"/>
      <c r="G532" s="2373"/>
      <c r="H532" s="2373"/>
      <c r="I532" s="2373"/>
      <c r="J532" s="2373"/>
      <c r="K532" s="2373"/>
      <c r="L532" s="2373"/>
      <c r="M532" s="2373"/>
      <c r="N532" s="2373"/>
      <c r="O532" s="2373"/>
      <c r="P532" s="2373"/>
      <c r="Q532" s="2373"/>
      <c r="R532" s="2373"/>
      <c r="S532" s="2373"/>
      <c r="T532" s="2373"/>
      <c r="U532" s="2373"/>
      <c r="V532" s="2373"/>
      <c r="W532" s="2373"/>
      <c r="X532" s="105"/>
      <c r="Y532" s="105"/>
      <c r="Z532" s="105"/>
      <c r="AA532" s="105"/>
      <c r="AB532" s="105"/>
      <c r="AC532" s="105"/>
    </row>
    <row r="533" spans="1:29" s="166" customFormat="1" ht="12.6" customHeight="1">
      <c r="A533" s="2095"/>
      <c r="B533" s="2376"/>
      <c r="C533" s="2377"/>
      <c r="D533" s="2375" t="s">
        <v>41</v>
      </c>
      <c r="E533" s="2373">
        <f t="shared" si="188"/>
        <v>0</v>
      </c>
      <c r="F533" s="2373"/>
      <c r="G533" s="2373"/>
      <c r="H533" s="2373"/>
      <c r="I533" s="2373"/>
      <c r="J533" s="2373"/>
      <c r="K533" s="2373"/>
      <c r="L533" s="2373"/>
      <c r="M533" s="2373"/>
      <c r="N533" s="2373"/>
      <c r="O533" s="2373"/>
      <c r="P533" s="2373"/>
      <c r="Q533" s="2373"/>
      <c r="R533" s="2373"/>
      <c r="S533" s="2373"/>
      <c r="T533" s="2373"/>
      <c r="U533" s="2373"/>
      <c r="V533" s="2373"/>
      <c r="W533" s="2373"/>
      <c r="X533" s="105"/>
      <c r="Y533" s="105"/>
      <c r="Z533" s="105"/>
      <c r="AA533" s="105"/>
      <c r="AB533" s="105"/>
      <c r="AC533" s="105"/>
    </row>
    <row r="534" spans="1:29" s="166" customFormat="1" ht="12.6" customHeight="1">
      <c r="A534" s="2095"/>
      <c r="B534" s="2376"/>
      <c r="C534" s="2377"/>
      <c r="D534" s="2375" t="s">
        <v>1348</v>
      </c>
      <c r="E534" s="2373">
        <f t="shared" si="188"/>
        <v>0</v>
      </c>
      <c r="F534" s="2373"/>
      <c r="G534" s="2373"/>
      <c r="H534" s="2373"/>
      <c r="I534" s="2373"/>
      <c r="J534" s="2373"/>
      <c r="K534" s="2373"/>
      <c r="L534" s="2373"/>
      <c r="M534" s="2373"/>
      <c r="N534" s="2373"/>
      <c r="O534" s="2373"/>
      <c r="P534" s="2373"/>
      <c r="Q534" s="2373"/>
      <c r="R534" s="2373"/>
      <c r="S534" s="2373"/>
      <c r="T534" s="2373"/>
      <c r="U534" s="2373"/>
      <c r="V534" s="2373"/>
      <c r="W534" s="2373"/>
      <c r="X534" s="105"/>
      <c r="Y534" s="105"/>
      <c r="Z534" s="105"/>
      <c r="AA534" s="105"/>
      <c r="AB534" s="105"/>
      <c r="AC534" s="105"/>
    </row>
    <row r="535" spans="1:29" s="166" customFormat="1" ht="12.6" customHeight="1">
      <c r="A535" s="2095"/>
      <c r="B535" s="2376"/>
      <c r="C535" s="2377"/>
      <c r="D535" s="2375" t="s">
        <v>39</v>
      </c>
      <c r="E535" s="2373">
        <f t="shared" si="188"/>
        <v>0</v>
      </c>
      <c r="F535" s="2373"/>
      <c r="G535" s="2373"/>
      <c r="H535" s="2373"/>
      <c r="I535" s="2373"/>
      <c r="J535" s="2373"/>
      <c r="K535" s="2373"/>
      <c r="L535" s="2373"/>
      <c r="M535" s="2373"/>
      <c r="N535" s="2373"/>
      <c r="O535" s="2373"/>
      <c r="P535" s="2373"/>
      <c r="Q535" s="2373"/>
      <c r="R535" s="2373"/>
      <c r="S535" s="2373"/>
      <c r="T535" s="2373"/>
      <c r="U535" s="2373"/>
      <c r="V535" s="2373"/>
      <c r="W535" s="2373"/>
      <c r="X535" s="105"/>
      <c r="Y535" s="105"/>
      <c r="Z535" s="105"/>
      <c r="AA535" s="105"/>
      <c r="AB535" s="105"/>
      <c r="AC535" s="105"/>
    </row>
    <row r="536" spans="1:29" s="166" customFormat="1" ht="12.6" customHeight="1">
      <c r="A536" s="2095"/>
      <c r="B536" s="2376"/>
      <c r="C536" s="2377"/>
      <c r="D536" s="2375" t="s">
        <v>123</v>
      </c>
      <c r="E536" s="2373">
        <f t="shared" si="188"/>
        <v>0</v>
      </c>
      <c r="F536" s="2373"/>
      <c r="G536" s="2373"/>
      <c r="H536" s="2373"/>
      <c r="I536" s="2373"/>
      <c r="J536" s="2373"/>
      <c r="K536" s="2373"/>
      <c r="L536" s="2373"/>
      <c r="M536" s="2373"/>
      <c r="N536" s="2373"/>
      <c r="O536" s="2373"/>
      <c r="P536" s="2373"/>
      <c r="Q536" s="2373"/>
      <c r="R536" s="2373"/>
      <c r="S536" s="2373"/>
      <c r="T536" s="2373"/>
      <c r="U536" s="2373"/>
      <c r="V536" s="2373"/>
      <c r="W536" s="2373"/>
      <c r="X536" s="105"/>
      <c r="Y536" s="105"/>
      <c r="Z536" s="105"/>
      <c r="AA536" s="105"/>
      <c r="AB536" s="105"/>
      <c r="AC536" s="105"/>
    </row>
    <row r="537" spans="1:29" s="166" customFormat="1" ht="12.6" customHeight="1">
      <c r="A537" s="2095"/>
      <c r="B537" s="2376"/>
      <c r="C537" s="2377"/>
      <c r="D537" s="2375" t="s">
        <v>37</v>
      </c>
      <c r="E537" s="2373">
        <f t="shared" si="188"/>
        <v>0</v>
      </c>
      <c r="F537" s="2373"/>
      <c r="G537" s="2373"/>
      <c r="H537" s="2373"/>
      <c r="I537" s="2373"/>
      <c r="J537" s="2373"/>
      <c r="K537" s="2373"/>
      <c r="L537" s="2373"/>
      <c r="M537" s="2373"/>
      <c r="N537" s="2373"/>
      <c r="O537" s="2373"/>
      <c r="P537" s="2373"/>
      <c r="Q537" s="2373"/>
      <c r="R537" s="2373"/>
      <c r="S537" s="2373"/>
      <c r="T537" s="2373"/>
      <c r="U537" s="2373"/>
      <c r="V537" s="2373"/>
      <c r="W537" s="2373"/>
      <c r="X537" s="105"/>
      <c r="Y537" s="105"/>
      <c r="Z537" s="105"/>
      <c r="AA537" s="105"/>
      <c r="AB537" s="105"/>
      <c r="AC537" s="105"/>
    </row>
    <row r="538" spans="1:29" s="166" customFormat="1" ht="12.6" customHeight="1">
      <c r="A538" s="2095"/>
      <c r="B538" s="2376"/>
      <c r="C538" s="2377"/>
      <c r="D538" s="2375" t="s">
        <v>123</v>
      </c>
      <c r="E538" s="2373">
        <f t="shared" si="188"/>
        <v>0</v>
      </c>
      <c r="F538" s="2373"/>
      <c r="G538" s="2373"/>
      <c r="H538" s="2373"/>
      <c r="I538" s="2373"/>
      <c r="J538" s="2373"/>
      <c r="K538" s="2373"/>
      <c r="L538" s="2373"/>
      <c r="M538" s="2373"/>
      <c r="N538" s="2373"/>
      <c r="O538" s="2373"/>
      <c r="P538" s="2373"/>
      <c r="Q538" s="2373"/>
      <c r="R538" s="2373"/>
      <c r="S538" s="2373"/>
      <c r="T538" s="2373"/>
      <c r="U538" s="2373"/>
      <c r="V538" s="2373"/>
      <c r="W538" s="2373"/>
      <c r="X538" s="105"/>
      <c r="Y538" s="105"/>
      <c r="Z538" s="105"/>
      <c r="AA538" s="105"/>
      <c r="AB538" s="105"/>
      <c r="AC538" s="105"/>
    </row>
    <row r="539" spans="1:29" s="166" customFormat="1" ht="12.6" customHeight="1">
      <c r="A539" s="2095"/>
      <c r="B539" s="2376"/>
      <c r="C539" s="2377"/>
      <c r="D539" s="2375" t="s">
        <v>37</v>
      </c>
      <c r="E539" s="2373">
        <f t="shared" si="188"/>
        <v>0</v>
      </c>
      <c r="F539" s="2373"/>
      <c r="G539" s="2373"/>
      <c r="H539" s="2373"/>
      <c r="I539" s="2373"/>
      <c r="J539" s="2373"/>
      <c r="K539" s="2373"/>
      <c r="L539" s="2373"/>
      <c r="M539" s="2373"/>
      <c r="N539" s="2373"/>
      <c r="O539" s="2373"/>
      <c r="P539" s="2373"/>
      <c r="Q539" s="2373"/>
      <c r="R539" s="2373"/>
      <c r="S539" s="2373"/>
      <c r="T539" s="2373"/>
      <c r="U539" s="2373"/>
      <c r="V539" s="2373"/>
      <c r="W539" s="2373"/>
      <c r="X539" s="105"/>
      <c r="Y539" s="105"/>
      <c r="Z539" s="105"/>
      <c r="AA539" s="105"/>
      <c r="AB539" s="105"/>
      <c r="AC539" s="105"/>
    </row>
    <row r="540" spans="1:29" s="2103" customFormat="1" ht="12.6" customHeight="1">
      <c r="A540" s="2097"/>
      <c r="B540" s="2853" t="s">
        <v>1647</v>
      </c>
      <c r="C540" s="2853"/>
      <c r="D540" s="2853"/>
      <c r="E540" s="2848">
        <f t="shared" ref="E540:W540" si="189">SUM(E541:E568)</f>
        <v>15382.375</v>
      </c>
      <c r="F540" s="2848">
        <f t="shared" si="189"/>
        <v>550</v>
      </c>
      <c r="G540" s="2848">
        <f t="shared" si="189"/>
        <v>0</v>
      </c>
      <c r="H540" s="2848">
        <f t="shared" si="189"/>
        <v>0</v>
      </c>
      <c r="I540" s="2848">
        <f t="shared" si="189"/>
        <v>0</v>
      </c>
      <c r="J540" s="2848">
        <f t="shared" si="189"/>
        <v>1607</v>
      </c>
      <c r="K540" s="2848">
        <f t="shared" si="189"/>
        <v>620</v>
      </c>
      <c r="L540" s="2848">
        <f t="shared" si="189"/>
        <v>0</v>
      </c>
      <c r="M540" s="2848">
        <f t="shared" si="189"/>
        <v>4315</v>
      </c>
      <c r="N540" s="2848">
        <f t="shared" si="189"/>
        <v>1135.165</v>
      </c>
      <c r="O540" s="2848">
        <f t="shared" si="189"/>
        <v>0</v>
      </c>
      <c r="P540" s="2848">
        <f t="shared" si="189"/>
        <v>1543.62</v>
      </c>
      <c r="Q540" s="2848">
        <f t="shared" si="189"/>
        <v>985</v>
      </c>
      <c r="R540" s="2848">
        <f t="shared" si="189"/>
        <v>425</v>
      </c>
      <c r="S540" s="2848">
        <f t="shared" si="189"/>
        <v>3000</v>
      </c>
      <c r="T540" s="2848">
        <f t="shared" si="189"/>
        <v>599</v>
      </c>
      <c r="U540" s="2848">
        <f t="shared" si="189"/>
        <v>0</v>
      </c>
      <c r="V540" s="2848">
        <f t="shared" si="189"/>
        <v>602.59</v>
      </c>
      <c r="W540" s="2848">
        <f t="shared" si="189"/>
        <v>4315</v>
      </c>
      <c r="X540" s="105"/>
      <c r="Y540" s="105"/>
      <c r="Z540" s="105"/>
      <c r="AA540" s="105"/>
      <c r="AB540" s="105"/>
      <c r="AC540" s="105"/>
    </row>
    <row r="541" spans="1:29" s="995" customFormat="1" ht="12.6" customHeight="1">
      <c r="A541" s="991"/>
      <c r="B541" s="2853"/>
      <c r="C541" s="2853"/>
      <c r="D541" s="2853"/>
      <c r="E541" s="2848"/>
      <c r="F541" s="2848"/>
      <c r="G541" s="2848"/>
      <c r="H541" s="2848"/>
      <c r="I541" s="2848"/>
      <c r="J541" s="2848"/>
      <c r="K541" s="2848"/>
      <c r="L541" s="2848"/>
      <c r="M541" s="2848"/>
      <c r="N541" s="2848"/>
      <c r="O541" s="2848"/>
      <c r="P541" s="2848"/>
      <c r="Q541" s="2848"/>
      <c r="R541" s="2848"/>
      <c r="S541" s="2848"/>
      <c r="T541" s="2848"/>
      <c r="U541" s="2848"/>
      <c r="V541" s="2848"/>
      <c r="W541" s="2848"/>
      <c r="X541" s="105"/>
      <c r="Y541" s="105"/>
      <c r="Z541" s="105"/>
      <c r="AA541" s="105"/>
      <c r="AB541" s="105"/>
      <c r="AC541" s="105"/>
    </row>
    <row r="542" spans="1:29" s="995" customFormat="1" ht="12.6" customHeight="1">
      <c r="A542" s="991"/>
      <c r="B542" s="2319">
        <v>45626</v>
      </c>
      <c r="C542" s="2319"/>
      <c r="D542" s="2320" t="s">
        <v>1466</v>
      </c>
      <c r="E542" s="2370">
        <f t="shared" ref="E542:E554" si="190">SUM(F542:W542)</f>
        <v>778</v>
      </c>
      <c r="F542" s="2370">
        <f>$V$7</f>
        <v>419</v>
      </c>
      <c r="G542" s="2370"/>
      <c r="H542" s="2370"/>
      <c r="I542" s="2370"/>
      <c r="J542" s="2370"/>
      <c r="K542" s="2370"/>
      <c r="L542" s="2370"/>
      <c r="M542" s="2370"/>
      <c r="N542" s="2370"/>
      <c r="O542" s="2370"/>
      <c r="P542" s="2370"/>
      <c r="Q542" s="2370"/>
      <c r="R542" s="2370"/>
      <c r="S542" s="2370"/>
      <c r="T542" s="2370">
        <f>$V$8</f>
        <v>359</v>
      </c>
      <c r="U542" s="2370"/>
      <c r="V542" s="2370"/>
      <c r="W542" s="2370"/>
      <c r="X542" s="2452"/>
      <c r="Y542" s="996"/>
      <c r="Z542" s="105"/>
      <c r="AA542" s="105"/>
      <c r="AB542" s="105"/>
      <c r="AC542" s="105"/>
    </row>
    <row r="543" spans="1:29" s="995" customFormat="1" ht="12.6" customHeight="1">
      <c r="A543" s="991"/>
      <c r="B543" s="2319">
        <v>45627</v>
      </c>
      <c r="C543" s="2319"/>
      <c r="D543" s="2320" t="s">
        <v>29</v>
      </c>
      <c r="E543" s="2370">
        <f t="shared" si="190"/>
        <v>69</v>
      </c>
      <c r="F543" s="2370">
        <f>$U$1</f>
        <v>69</v>
      </c>
      <c r="G543" s="2370"/>
      <c r="H543" s="2370"/>
      <c r="I543" s="2370"/>
      <c r="J543" s="2370"/>
      <c r="K543" s="2370"/>
      <c r="L543" s="2370"/>
      <c r="M543" s="2370"/>
      <c r="N543" s="2370"/>
      <c r="O543" s="2370"/>
      <c r="P543" s="2370"/>
      <c r="Q543" s="2370"/>
      <c r="R543" s="2370"/>
      <c r="S543" s="2370"/>
      <c r="T543" s="2370"/>
      <c r="U543" s="2370"/>
      <c r="V543" s="2370"/>
      <c r="W543" s="2370"/>
      <c r="X543" s="2452"/>
      <c r="Y543" s="996"/>
      <c r="Z543" s="2452"/>
      <c r="AA543" s="996"/>
      <c r="AB543" s="2452"/>
      <c r="AC543" s="996"/>
    </row>
    <row r="544" spans="1:29" s="995" customFormat="1" ht="12.6" customHeight="1">
      <c r="A544" s="991"/>
      <c r="B544" s="2319">
        <v>45627</v>
      </c>
      <c r="C544" s="2319"/>
      <c r="D544" s="2320" t="s">
        <v>30</v>
      </c>
      <c r="E544" s="2370">
        <v>4315</v>
      </c>
      <c r="F544" s="2370"/>
      <c r="G544" s="2370"/>
      <c r="H544" s="2370"/>
      <c r="I544" s="2370"/>
      <c r="J544" s="2370"/>
      <c r="K544" s="2370"/>
      <c r="L544" s="2370"/>
      <c r="M544" s="2370">
        <v>4315</v>
      </c>
      <c r="N544" s="2370"/>
      <c r="O544" s="2370"/>
      <c r="P544" s="2370"/>
      <c r="Q544" s="2370"/>
      <c r="R544" s="2370"/>
      <c r="S544" s="2370"/>
      <c r="T544" s="2370"/>
      <c r="U544" s="2370"/>
      <c r="V544" s="2370"/>
      <c r="W544" s="2370">
        <v>4315</v>
      </c>
      <c r="X544" s="2452"/>
      <c r="Y544" s="996"/>
      <c r="Z544" s="2452"/>
      <c r="AA544" s="996"/>
      <c r="AB544" s="2452"/>
      <c r="AC544" s="996"/>
    </row>
    <row r="545" spans="1:29" s="995" customFormat="1" ht="12.6" customHeight="1">
      <c r="A545" s="991"/>
      <c r="B545" s="2319">
        <v>45627</v>
      </c>
      <c r="C545" s="2319"/>
      <c r="D545" s="2320" t="s">
        <v>1352</v>
      </c>
      <c r="E545" s="2370">
        <f t="shared" si="190"/>
        <v>995.16499999999996</v>
      </c>
      <c r="F545" s="2370"/>
      <c r="G545" s="2370"/>
      <c r="H545" s="2370"/>
      <c r="I545" s="2370"/>
      <c r="J545" s="2370"/>
      <c r="K545" s="2370"/>
      <c r="L545" s="2370"/>
      <c r="M545" s="2370"/>
      <c r="N545" s="2370">
        <f>'el-varme'!$BQ$2</f>
        <v>995.16499999999996</v>
      </c>
      <c r="O545" s="2370"/>
      <c r="P545" s="2370"/>
      <c r="Q545" s="2370"/>
      <c r="R545" s="2370"/>
      <c r="S545" s="2370"/>
      <c r="T545" s="2370"/>
      <c r="U545" s="2370"/>
      <c r="V545" s="2370"/>
      <c r="W545" s="2370"/>
      <c r="X545" s="2452"/>
      <c r="Y545" s="996"/>
      <c r="Z545" s="2452"/>
      <c r="AA545" s="996"/>
      <c r="AB545" s="2452"/>
      <c r="AC545" s="996"/>
    </row>
    <row r="546" spans="1:29" s="995" customFormat="1" ht="12.6" customHeight="1">
      <c r="A546" s="991"/>
      <c r="B546" s="2319">
        <v>45627</v>
      </c>
      <c r="C546" s="2319"/>
      <c r="D546" s="2320" t="s">
        <v>26</v>
      </c>
      <c r="E546" s="2370">
        <f t="shared" si="190"/>
        <v>602.59</v>
      </c>
      <c r="F546" s="2370"/>
      <c r="G546" s="2370"/>
      <c r="H546" s="2370"/>
      <c r="I546" s="2370"/>
      <c r="J546" s="2370"/>
      <c r="K546" s="2370"/>
      <c r="L546" s="2370"/>
      <c r="M546" s="2370"/>
      <c r="N546" s="2370"/>
      <c r="O546" s="2370"/>
      <c r="P546" s="2370"/>
      <c r="Q546" s="2370"/>
      <c r="R546" s="2370"/>
      <c r="S546" s="2370"/>
      <c r="T546" s="2370"/>
      <c r="U546" s="2370"/>
      <c r="V546" s="2370">
        <f>$AA$11</f>
        <v>602.59</v>
      </c>
      <c r="W546" s="2370"/>
      <c r="X546" s="2452"/>
      <c r="Y546" s="996"/>
      <c r="Z546" s="2452"/>
      <c r="AA546" s="996"/>
      <c r="AB546" s="2452"/>
      <c r="AC546" s="996"/>
    </row>
    <row r="547" spans="1:29" s="995" customFormat="1" ht="12.6" customHeight="1">
      <c r="A547" s="991"/>
      <c r="B547" s="2319">
        <v>45627</v>
      </c>
      <c r="C547" s="2319"/>
      <c r="D547" s="2320" t="s">
        <v>25</v>
      </c>
      <c r="E547" s="2370">
        <f t="shared" si="190"/>
        <v>650</v>
      </c>
      <c r="F547" s="2370"/>
      <c r="G547" s="2370"/>
      <c r="H547" s="2370"/>
      <c r="I547" s="2370"/>
      <c r="J547" s="2370"/>
      <c r="K547" s="2370"/>
      <c r="L547" s="2370"/>
      <c r="M547" s="2370"/>
      <c r="N547" s="2370"/>
      <c r="O547" s="2370"/>
      <c r="P547" s="2370"/>
      <c r="Q547" s="2370">
        <f>$AA$10</f>
        <v>650</v>
      </c>
      <c r="R547" s="2370"/>
      <c r="S547" s="2370"/>
      <c r="T547" s="2370"/>
      <c r="U547" s="2370"/>
      <c r="V547" s="2370"/>
      <c r="W547" s="2370"/>
      <c r="X547" s="2452"/>
      <c r="Y547" s="996"/>
      <c r="Z547" s="2452"/>
      <c r="AA547" s="996"/>
      <c r="AB547" s="2452"/>
      <c r="AC547" s="996"/>
    </row>
    <row r="548" spans="1:29" s="995" customFormat="1" ht="12.6" customHeight="1">
      <c r="A548" s="991"/>
      <c r="B548" s="2319">
        <v>45627</v>
      </c>
      <c r="C548" s="2319"/>
      <c r="D548" s="2320" t="s">
        <v>22</v>
      </c>
      <c r="E548" s="2370">
        <f t="shared" si="190"/>
        <v>208</v>
      </c>
      <c r="F548" s="2370"/>
      <c r="G548" s="2370"/>
      <c r="H548" s="2370"/>
      <c r="I548" s="2370"/>
      <c r="J548" s="2370"/>
      <c r="K548" s="2370"/>
      <c r="L548" s="2370"/>
      <c r="M548" s="2370"/>
      <c r="N548" s="2370"/>
      <c r="O548" s="2370"/>
      <c r="P548" s="2370">
        <f>$Y$11</f>
        <v>208</v>
      </c>
      <c r="Q548" s="2370"/>
      <c r="R548" s="2370"/>
      <c r="S548" s="2370"/>
      <c r="T548" s="2370"/>
      <c r="U548" s="2370"/>
      <c r="V548" s="2370"/>
      <c r="W548" s="2370"/>
      <c r="X548" s="2452"/>
      <c r="Y548" s="996"/>
      <c r="Z548" s="2452"/>
      <c r="AA548" s="996"/>
      <c r="AB548" s="2452"/>
      <c r="AC548" s="996"/>
    </row>
    <row r="549" spans="1:29" s="995" customFormat="1" ht="12.6" customHeight="1">
      <c r="A549" s="991"/>
      <c r="B549" s="2319">
        <v>45627</v>
      </c>
      <c r="C549" s="2319"/>
      <c r="D549" s="2320" t="s">
        <v>21</v>
      </c>
      <c r="E549" s="2370">
        <f t="shared" si="190"/>
        <v>465</v>
      </c>
      <c r="F549" s="2370"/>
      <c r="G549" s="2370"/>
      <c r="H549" s="2370"/>
      <c r="I549" s="2370"/>
      <c r="J549" s="2370"/>
      <c r="K549" s="2370"/>
      <c r="L549" s="2370"/>
      <c r="M549" s="2370"/>
      <c r="N549" s="2370"/>
      <c r="O549" s="2370"/>
      <c r="P549" s="2370">
        <f>$W$1</f>
        <v>465</v>
      </c>
      <c r="Q549" s="2370"/>
      <c r="R549" s="2370"/>
      <c r="S549" s="2370"/>
      <c r="T549" s="2370"/>
      <c r="U549" s="2370"/>
      <c r="V549" s="2370"/>
      <c r="W549" s="2370"/>
      <c r="X549" s="2452"/>
      <c r="Y549" s="996"/>
      <c r="Z549" s="2452"/>
      <c r="AA549" s="996"/>
      <c r="AB549" s="2452"/>
      <c r="AC549" s="996"/>
    </row>
    <row r="550" spans="1:29" s="995" customFormat="1" ht="12.6" customHeight="1">
      <c r="A550" s="991"/>
      <c r="B550" s="2319">
        <v>45627</v>
      </c>
      <c r="C550" s="2319"/>
      <c r="D550" s="2320" t="s">
        <v>27</v>
      </c>
      <c r="E550" s="2370">
        <f t="shared" si="190"/>
        <v>870.62</v>
      </c>
      <c r="F550" s="2370"/>
      <c r="G550" s="2370"/>
      <c r="H550" s="2370"/>
      <c r="I550" s="2370"/>
      <c r="J550" s="2370"/>
      <c r="K550" s="2370"/>
      <c r="L550" s="2370"/>
      <c r="M550" s="2370"/>
      <c r="N550" s="2370"/>
      <c r="O550" s="2370"/>
      <c r="P550" s="2370">
        <f>$T$4</f>
        <v>870.62</v>
      </c>
      <c r="Q550" s="2370"/>
      <c r="R550" s="2370"/>
      <c r="S550" s="2370"/>
      <c r="T550" s="2370"/>
      <c r="U550" s="2370"/>
      <c r="V550" s="2370"/>
      <c r="W550" s="2370"/>
      <c r="X550" s="2452"/>
      <c r="Y550" s="996"/>
      <c r="Z550" s="2452"/>
      <c r="AA550" s="996"/>
      <c r="AB550" s="2452"/>
      <c r="AC550" s="996"/>
    </row>
    <row r="551" spans="1:29" s="995" customFormat="1" ht="12.6" customHeight="1">
      <c r="A551" s="991"/>
      <c r="B551" s="2319">
        <v>45627</v>
      </c>
      <c r="C551" s="2319"/>
      <c r="D551" s="2320" t="s">
        <v>1496</v>
      </c>
      <c r="E551" s="2370">
        <f t="shared" si="190"/>
        <v>0</v>
      </c>
      <c r="F551" s="2370"/>
      <c r="G551" s="2370"/>
      <c r="H551" s="2370"/>
      <c r="I551" s="2370"/>
      <c r="J551" s="2370"/>
      <c r="K551" s="2370"/>
      <c r="L551" s="2370"/>
      <c r="M551" s="2370"/>
      <c r="N551" s="2370"/>
      <c r="O551" s="2370"/>
      <c r="P551" s="2370"/>
      <c r="Q551" s="2370"/>
      <c r="R551" s="2370"/>
      <c r="S551" s="2370"/>
      <c r="T551" s="2370"/>
      <c r="U551" s="2370"/>
      <c r="V551" s="2370"/>
      <c r="W551" s="2370"/>
      <c r="X551" s="2452"/>
      <c r="Y551" s="996"/>
      <c r="Z551" s="2452"/>
      <c r="AA551" s="996"/>
      <c r="AB551" s="2452"/>
      <c r="AC551" s="996"/>
    </row>
    <row r="552" spans="1:29" s="995" customFormat="1" ht="12.6" customHeight="1">
      <c r="A552" s="991"/>
      <c r="B552" s="2319">
        <v>45627</v>
      </c>
      <c r="C552" s="2319"/>
      <c r="D552" s="2320" t="s">
        <v>28</v>
      </c>
      <c r="E552" s="2370">
        <f t="shared" si="190"/>
        <v>0</v>
      </c>
      <c r="F552" s="2370"/>
      <c r="G552" s="2370"/>
      <c r="H552" s="2370"/>
      <c r="I552" s="2370"/>
      <c r="J552" s="2370"/>
      <c r="K552" s="2370"/>
      <c r="L552" s="2370"/>
      <c r="M552" s="2370"/>
      <c r="N552" s="2370"/>
      <c r="O552" s="2370"/>
      <c r="P552" s="2370"/>
      <c r="Q552" s="2370"/>
      <c r="R552" s="2370"/>
      <c r="S552" s="2370"/>
      <c r="T552" s="2370"/>
      <c r="U552" s="2370"/>
      <c r="V552" s="2370"/>
      <c r="W552" s="2370"/>
      <c r="X552" s="2452"/>
      <c r="Y552" s="996"/>
      <c r="Z552" s="2452"/>
      <c r="AA552" s="996"/>
      <c r="AB552" s="2452"/>
      <c r="AC552" s="996"/>
    </row>
    <row r="553" spans="1:29" s="995" customFormat="1" ht="12.6" customHeight="1">
      <c r="A553" s="991"/>
      <c r="B553" s="2319">
        <v>45627</v>
      </c>
      <c r="C553" s="2319"/>
      <c r="D553" s="2320" t="s">
        <v>126</v>
      </c>
      <c r="E553" s="2370">
        <f t="shared" si="190"/>
        <v>45</v>
      </c>
      <c r="F553" s="2370"/>
      <c r="G553" s="2370"/>
      <c r="H553" s="2370"/>
      <c r="I553" s="2370"/>
      <c r="J553" s="2370"/>
      <c r="K553" s="2370"/>
      <c r="L553" s="2370"/>
      <c r="M553" s="2370"/>
      <c r="N553" s="2370"/>
      <c r="O553" s="2370"/>
      <c r="P553" s="2370"/>
      <c r="Q553" s="2370"/>
      <c r="R553" s="2370">
        <f>$X$5</f>
        <v>45</v>
      </c>
      <c r="S553" s="2370"/>
      <c r="T553" s="2370"/>
      <c r="U553" s="2370"/>
      <c r="V553" s="2370"/>
      <c r="W553" s="2370"/>
      <c r="X553" s="2452"/>
      <c r="Y553" s="996"/>
      <c r="Z553" s="2452"/>
      <c r="AA553" s="996"/>
      <c r="AB553" s="2452"/>
      <c r="AC553" s="996"/>
    </row>
    <row r="554" spans="1:29" s="995" customFormat="1" ht="12.6" customHeight="1">
      <c r="A554" s="991"/>
      <c r="B554" s="2319">
        <v>45632</v>
      </c>
      <c r="C554" s="2319"/>
      <c r="D554" s="2320" t="s">
        <v>1495</v>
      </c>
      <c r="E554" s="2370">
        <f t="shared" si="190"/>
        <v>608</v>
      </c>
      <c r="F554" s="2370">
        <f>$Y$19</f>
        <v>62</v>
      </c>
      <c r="G554" s="2370"/>
      <c r="H554" s="2370"/>
      <c r="I554" s="2370"/>
      <c r="J554" s="2370"/>
      <c r="K554" s="2370"/>
      <c r="L554" s="2370"/>
      <c r="M554" s="2370"/>
      <c r="N554" s="2370"/>
      <c r="O554" s="2370"/>
      <c r="P554" s="2370"/>
      <c r="Q554" s="2370">
        <f>$Y$20</f>
        <v>306</v>
      </c>
      <c r="R554" s="2370"/>
      <c r="S554" s="2370"/>
      <c r="T554" s="2370">
        <f>$Y$21</f>
        <v>240</v>
      </c>
      <c r="U554" s="2370"/>
      <c r="V554" s="2370"/>
      <c r="W554" s="2370"/>
      <c r="X554" s="2452"/>
      <c r="Y554" s="996"/>
      <c r="Z554" s="2452"/>
      <c r="AA554" s="996"/>
      <c r="AB554" s="2452"/>
      <c r="AC554" s="996"/>
    </row>
    <row r="555" spans="1:29" s="995" customFormat="1" ht="12.6" customHeight="1">
      <c r="A555" s="991"/>
      <c r="B555" s="2319">
        <v>45647</v>
      </c>
      <c r="C555" s="2319"/>
      <c r="D555" s="2320" t="s">
        <v>1656</v>
      </c>
      <c r="E555" s="2370">
        <f>SUM(F555:W555)</f>
        <v>240</v>
      </c>
      <c r="F555" s="2370"/>
      <c r="G555" s="2370"/>
      <c r="H555" s="2370"/>
      <c r="I555" s="2370"/>
      <c r="J555" s="2370"/>
      <c r="K555" s="2370"/>
      <c r="L555" s="2370"/>
      <c r="M555" s="2370"/>
      <c r="N555" s="2370"/>
      <c r="O555" s="2370"/>
      <c r="P555" s="2370"/>
      <c r="Q555" s="2370"/>
      <c r="R555" s="2370">
        <v>240</v>
      </c>
      <c r="S555" s="2370"/>
      <c r="T555" s="2370"/>
      <c r="U555" s="2370"/>
      <c r="V555" s="2370"/>
      <c r="W555" s="2370"/>
      <c r="X555" s="2452"/>
      <c r="Y555" s="996"/>
      <c r="Z555" s="2452"/>
      <c r="AA555" s="996"/>
      <c r="AB555" s="2452"/>
      <c r="AC555" s="996"/>
    </row>
    <row r="556" spans="1:29" s="995" customFormat="1" ht="12.6" customHeight="1">
      <c r="A556" s="991"/>
      <c r="B556" s="2319">
        <v>45651</v>
      </c>
      <c r="C556" s="2319"/>
      <c r="D556" s="2320" t="s">
        <v>1655</v>
      </c>
      <c r="E556" s="2370">
        <v>140</v>
      </c>
      <c r="F556" s="2370"/>
      <c r="G556" s="2370"/>
      <c r="H556" s="2370"/>
      <c r="I556" s="2370"/>
      <c r="J556" s="2370"/>
      <c r="K556" s="2370"/>
      <c r="L556" s="2370"/>
      <c r="M556" s="2370"/>
      <c r="N556" s="2370"/>
      <c r="O556" s="2370"/>
      <c r="P556" s="2370"/>
      <c r="Q556" s="2370"/>
      <c r="R556" s="2370">
        <v>140</v>
      </c>
      <c r="S556" s="2370"/>
      <c r="T556" s="2370"/>
      <c r="U556" s="2370"/>
      <c r="V556" s="2370"/>
      <c r="W556" s="2370"/>
      <c r="X556" s="2452"/>
      <c r="Y556" s="996"/>
      <c r="Z556" s="2452"/>
      <c r="AA556" s="996"/>
      <c r="AB556" s="2452"/>
      <c r="AC556" s="996"/>
    </row>
    <row r="557" spans="1:29" s="995" customFormat="1" ht="12.6" customHeight="1">
      <c r="A557" s="991"/>
      <c r="B557" s="2319">
        <v>45644</v>
      </c>
      <c r="C557" s="2319"/>
      <c r="D557" s="2320" t="s">
        <v>1706</v>
      </c>
      <c r="E557" s="2370">
        <v>140</v>
      </c>
      <c r="F557" s="2370"/>
      <c r="G557" s="2370"/>
      <c r="H557" s="2370"/>
      <c r="I557" s="2370"/>
      <c r="J557" s="2370"/>
      <c r="K557" s="2370"/>
      <c r="L557" s="2370"/>
      <c r="M557" s="2370"/>
      <c r="N557" s="2370">
        <v>140</v>
      </c>
      <c r="O557" s="2370"/>
      <c r="P557" s="2370"/>
      <c r="Q557" s="2370"/>
      <c r="R557" s="2370"/>
      <c r="S557" s="2370"/>
      <c r="T557" s="2370"/>
      <c r="U557" s="2370"/>
      <c r="V557" s="2370"/>
      <c r="W557" s="2370"/>
      <c r="X557" s="2452"/>
      <c r="Y557" s="996"/>
      <c r="Z557" s="2452"/>
      <c r="AA557" s="996"/>
      <c r="AB557" s="2452"/>
      <c r="AC557" s="996"/>
    </row>
    <row r="558" spans="1:29" s="995" customFormat="1" ht="12.6" customHeight="1">
      <c r="A558" s="991"/>
      <c r="B558" s="2319">
        <v>45654</v>
      </c>
      <c r="C558" s="2319"/>
      <c r="D558" s="2320" t="s">
        <v>1646</v>
      </c>
      <c r="E558" s="2370">
        <v>29</v>
      </c>
      <c r="F558" s="2370"/>
      <c r="G558" s="2370"/>
      <c r="H558" s="2370"/>
      <c r="I558" s="2370"/>
      <c r="J558" s="2370"/>
      <c r="K558" s="2370"/>
      <c r="L558" s="2370"/>
      <c r="M558" s="2370"/>
      <c r="N558" s="2370"/>
      <c r="O558" s="2370"/>
      <c r="P558" s="2370"/>
      <c r="Q558" s="2370">
        <v>29</v>
      </c>
      <c r="R558" s="2370"/>
      <c r="S558" s="2370"/>
      <c r="T558" s="2370"/>
      <c r="U558" s="2370"/>
      <c r="V558" s="2370"/>
      <c r="W558" s="2370"/>
      <c r="X558" s="2452"/>
      <c r="Y558" s="996"/>
      <c r="Z558" s="2452"/>
      <c r="AA558" s="996"/>
      <c r="AB558" s="2452"/>
      <c r="AC558" s="996"/>
    </row>
    <row r="559" spans="1:29" s="995" customFormat="1" ht="12.6" customHeight="1">
      <c r="A559" s="991"/>
      <c r="B559" s="2319"/>
      <c r="C559" s="2319"/>
      <c r="D559" s="2320" t="s">
        <v>1354</v>
      </c>
      <c r="E559" s="2370">
        <f>SUM(F559:W559)</f>
        <v>0</v>
      </c>
      <c r="F559" s="2370"/>
      <c r="G559" s="2370"/>
      <c r="H559" s="2370"/>
      <c r="I559" s="2370"/>
      <c r="J559" s="2370"/>
      <c r="K559" s="2370"/>
      <c r="L559" s="2370"/>
      <c r="M559" s="2370"/>
      <c r="N559" s="2370"/>
      <c r="O559" s="2370"/>
      <c r="P559" s="2370"/>
      <c r="Q559" s="2370"/>
      <c r="R559" s="2370"/>
      <c r="S559" s="2370"/>
      <c r="T559" s="2370"/>
      <c r="U559" s="2370"/>
      <c r="V559" s="2370"/>
      <c r="W559" s="2370"/>
      <c r="X559" s="2452"/>
      <c r="Y559" s="996"/>
      <c r="Z559" s="2452"/>
      <c r="AA559" s="996"/>
      <c r="AB559" s="2452"/>
      <c r="AC559" s="996"/>
    </row>
    <row r="560" spans="1:29" s="995" customFormat="1" ht="12.6" customHeight="1">
      <c r="A560" s="991"/>
      <c r="B560" s="2319"/>
      <c r="C560" s="2319"/>
      <c r="D560" s="2320" t="s">
        <v>15</v>
      </c>
      <c r="E560" s="2370">
        <f>SUM(G560:W560)</f>
        <v>0</v>
      </c>
      <c r="F560" s="2370"/>
      <c r="G560" s="2370"/>
      <c r="H560" s="2370"/>
      <c r="I560" s="2370"/>
      <c r="J560" s="2370"/>
      <c r="K560" s="2370"/>
      <c r="L560" s="2370"/>
      <c r="M560" s="2370"/>
      <c r="N560" s="2370"/>
      <c r="O560" s="2370"/>
      <c r="P560" s="2370"/>
      <c r="Q560" s="2370"/>
      <c r="R560" s="2370"/>
      <c r="S560" s="2370"/>
      <c r="T560" s="2370"/>
      <c r="U560" s="2370"/>
      <c r="V560" s="2370"/>
      <c r="W560" s="2370"/>
      <c r="X560" s="2452"/>
      <c r="Y560" s="996"/>
      <c r="Z560" s="2452"/>
      <c r="AA560" s="996"/>
      <c r="AB560" s="2452"/>
      <c r="AC560" s="996"/>
    </row>
    <row r="561" spans="1:29" s="995" customFormat="1" ht="12.6" customHeight="1">
      <c r="A561" s="991"/>
      <c r="B561" s="2319"/>
      <c r="C561" s="2319"/>
      <c r="D561" s="2320" t="s">
        <v>14</v>
      </c>
      <c r="E561" s="2370">
        <f>SUM(G561:W561)</f>
        <v>620</v>
      </c>
      <c r="F561" s="2370"/>
      <c r="G561" s="2370"/>
      <c r="H561" s="2370"/>
      <c r="I561" s="2370"/>
      <c r="J561" s="2370"/>
      <c r="K561" s="2370">
        <v>620</v>
      </c>
      <c r="L561" s="2370"/>
      <c r="M561" s="2370"/>
      <c r="N561" s="2370"/>
      <c r="O561" s="2370"/>
      <c r="P561" s="2370"/>
      <c r="Q561" s="2370"/>
      <c r="R561" s="2370"/>
      <c r="S561" s="2370"/>
      <c r="T561" s="2370"/>
      <c r="U561" s="2370"/>
      <c r="V561" s="2370"/>
      <c r="W561" s="2370"/>
      <c r="X561" s="2452"/>
      <c r="Y561" s="996"/>
      <c r="Z561" s="2452"/>
      <c r="AA561" s="996"/>
      <c r="AB561" s="2452"/>
      <c r="AC561" s="996"/>
    </row>
    <row r="562" spans="1:29" s="995" customFormat="1" ht="12.6" customHeight="1">
      <c r="A562" s="991"/>
      <c r="B562" s="2319"/>
      <c r="C562" s="2319"/>
      <c r="D562" s="2320" t="s">
        <v>13</v>
      </c>
      <c r="E562" s="2370">
        <v>500</v>
      </c>
      <c r="F562" s="2370"/>
      <c r="G562" s="2370"/>
      <c r="H562" s="2370"/>
      <c r="I562" s="2370"/>
      <c r="J562" s="2370"/>
      <c r="K562" s="2370"/>
      <c r="L562" s="2370"/>
      <c r="M562" s="2370"/>
      <c r="N562" s="2370"/>
      <c r="O562" s="2370"/>
      <c r="P562" s="2370"/>
      <c r="Q562" s="2370"/>
      <c r="R562" s="2370"/>
      <c r="S562" s="2370">
        <f t="shared" ref="S562:S567" si="191">E562</f>
        <v>500</v>
      </c>
      <c r="T562" s="2370"/>
      <c r="U562" s="2370"/>
      <c r="V562" s="2370"/>
      <c r="W562" s="2370"/>
      <c r="X562" s="2452"/>
      <c r="Y562" s="996"/>
      <c r="Z562" s="2452"/>
      <c r="AA562" s="996"/>
      <c r="AB562" s="2452"/>
      <c r="AC562" s="996"/>
    </row>
    <row r="563" spans="1:29" s="995" customFormat="1" ht="12.6" customHeight="1">
      <c r="A563" s="991"/>
      <c r="B563" s="2319"/>
      <c r="C563" s="2319"/>
      <c r="D563" s="2320" t="s">
        <v>11</v>
      </c>
      <c r="E563" s="2370">
        <v>500</v>
      </c>
      <c r="F563" s="2370"/>
      <c r="G563" s="2370"/>
      <c r="H563" s="2370"/>
      <c r="I563" s="2370"/>
      <c r="J563" s="2370"/>
      <c r="K563" s="2370"/>
      <c r="L563" s="2370"/>
      <c r="M563" s="2370"/>
      <c r="N563" s="2370"/>
      <c r="O563" s="2370"/>
      <c r="P563" s="2370"/>
      <c r="Q563" s="2370"/>
      <c r="R563" s="2370"/>
      <c r="S563" s="2370">
        <f t="shared" si="191"/>
        <v>500</v>
      </c>
      <c r="T563" s="2370"/>
      <c r="U563" s="2370"/>
      <c r="V563" s="2370"/>
      <c r="W563" s="2370"/>
      <c r="X563" s="2452"/>
      <c r="Y563" s="996"/>
      <c r="Z563" s="2452"/>
      <c r="AA563" s="996"/>
      <c r="AB563" s="2452"/>
      <c r="AC563" s="996"/>
    </row>
    <row r="564" spans="1:29" s="995" customFormat="1" ht="12.6" customHeight="1">
      <c r="A564" s="991"/>
      <c r="B564" s="2319"/>
      <c r="C564" s="2319"/>
      <c r="D564" s="2320" t="s">
        <v>12</v>
      </c>
      <c r="E564" s="2370">
        <v>500</v>
      </c>
      <c r="F564" s="2370"/>
      <c r="G564" s="2370"/>
      <c r="H564" s="2370"/>
      <c r="I564" s="2370"/>
      <c r="J564" s="2370"/>
      <c r="K564" s="2370"/>
      <c r="L564" s="2370"/>
      <c r="M564" s="2370"/>
      <c r="N564" s="2370"/>
      <c r="O564" s="2370"/>
      <c r="P564" s="2370"/>
      <c r="Q564" s="2370"/>
      <c r="R564" s="2370"/>
      <c r="S564" s="2370">
        <f t="shared" si="191"/>
        <v>500</v>
      </c>
      <c r="T564" s="2370"/>
      <c r="U564" s="2370"/>
      <c r="V564" s="2370"/>
      <c r="W564" s="2370"/>
      <c r="X564" s="2452"/>
      <c r="Y564" s="996"/>
      <c r="Z564" s="2452"/>
      <c r="AA564" s="996"/>
      <c r="AB564" s="2452"/>
      <c r="AC564" s="996"/>
    </row>
    <row r="565" spans="1:29" s="995" customFormat="1" ht="12.6" customHeight="1">
      <c r="A565" s="991"/>
      <c r="B565" s="2319"/>
      <c r="C565" s="2319"/>
      <c r="D565" s="2320" t="s">
        <v>9</v>
      </c>
      <c r="E565" s="2370">
        <v>500</v>
      </c>
      <c r="F565" s="2370"/>
      <c r="G565" s="2370"/>
      <c r="H565" s="2370"/>
      <c r="I565" s="2370"/>
      <c r="J565" s="2370"/>
      <c r="K565" s="2370"/>
      <c r="L565" s="2370"/>
      <c r="M565" s="2370"/>
      <c r="N565" s="2370"/>
      <c r="O565" s="2370"/>
      <c r="P565" s="2370"/>
      <c r="Q565" s="2370"/>
      <c r="R565" s="2370"/>
      <c r="S565" s="2370">
        <f t="shared" si="191"/>
        <v>500</v>
      </c>
      <c r="T565" s="2370"/>
      <c r="U565" s="2370"/>
      <c r="V565" s="2370"/>
      <c r="W565" s="2370"/>
      <c r="X565" s="2452"/>
      <c r="Y565" s="996"/>
      <c r="Z565" s="2452"/>
      <c r="AA565" s="996"/>
      <c r="AB565" s="2452"/>
      <c r="AC565" s="996"/>
    </row>
    <row r="566" spans="1:29" s="995" customFormat="1" ht="12.6" customHeight="1">
      <c r="A566" s="991"/>
      <c r="B566" s="2319"/>
      <c r="C566" s="2319"/>
      <c r="D566" s="2320" t="s">
        <v>8</v>
      </c>
      <c r="E566" s="2370">
        <v>500</v>
      </c>
      <c r="F566" s="2370"/>
      <c r="G566" s="2370"/>
      <c r="H566" s="2370"/>
      <c r="I566" s="2370"/>
      <c r="J566" s="2370"/>
      <c r="K566" s="2370"/>
      <c r="L566" s="2370"/>
      <c r="M566" s="2370"/>
      <c r="N566" s="2370"/>
      <c r="O566" s="2370"/>
      <c r="P566" s="2370"/>
      <c r="Q566" s="2370"/>
      <c r="R566" s="2370"/>
      <c r="S566" s="2370">
        <f t="shared" si="191"/>
        <v>500</v>
      </c>
      <c r="T566" s="2370"/>
      <c r="U566" s="2370"/>
      <c r="V566" s="2370"/>
      <c r="W566" s="2370"/>
      <c r="X566" s="2452"/>
      <c r="Y566" s="996"/>
      <c r="Z566" s="2452"/>
      <c r="AA566" s="996"/>
      <c r="AB566" s="2452"/>
      <c r="AC566" s="996"/>
    </row>
    <row r="567" spans="1:29" s="995" customFormat="1" ht="12.6" customHeight="1">
      <c r="A567" s="991"/>
      <c r="B567" s="2319"/>
      <c r="C567" s="2319"/>
      <c r="D567" s="2320" t="s">
        <v>7</v>
      </c>
      <c r="E567" s="2370">
        <v>500</v>
      </c>
      <c r="F567" s="2370"/>
      <c r="G567" s="2370"/>
      <c r="H567" s="2370"/>
      <c r="I567" s="2370"/>
      <c r="J567" s="2370"/>
      <c r="K567" s="2370"/>
      <c r="L567" s="2370"/>
      <c r="M567" s="2370"/>
      <c r="N567" s="2370"/>
      <c r="O567" s="2370"/>
      <c r="P567" s="2370"/>
      <c r="Q567" s="2370"/>
      <c r="R567" s="2370"/>
      <c r="S567" s="2370">
        <f t="shared" si="191"/>
        <v>500</v>
      </c>
      <c r="T567" s="2370"/>
      <c r="U567" s="2370"/>
      <c r="V567" s="2370"/>
      <c r="W567" s="2370"/>
      <c r="X567" s="2452"/>
      <c r="Y567" s="996"/>
      <c r="Z567" s="2452"/>
      <c r="AA567" s="996"/>
      <c r="AB567" s="2452"/>
      <c r="AC567" s="996"/>
    </row>
    <row r="568" spans="1:29" s="995" customFormat="1" ht="12.6" customHeight="1">
      <c r="A568" s="991"/>
      <c r="B568" s="2319"/>
      <c r="C568" s="2319"/>
      <c r="D568" s="2320" t="s">
        <v>384</v>
      </c>
      <c r="E568" s="2370">
        <f>SUM(G568:W568)</f>
        <v>1607</v>
      </c>
      <c r="F568" s="2370"/>
      <c r="G568" s="2370"/>
      <c r="H568" s="2370"/>
      <c r="I568" s="2370"/>
      <c r="J568" s="2370">
        <f>medicin!$T$4</f>
        <v>1607</v>
      </c>
      <c r="K568" s="2370"/>
      <c r="L568" s="2370"/>
      <c r="M568" s="2370"/>
      <c r="N568" s="2370"/>
      <c r="O568" s="2370"/>
      <c r="P568" s="2370"/>
      <c r="Q568" s="2370"/>
      <c r="R568" s="2370"/>
      <c r="S568" s="2370"/>
      <c r="T568" s="2370"/>
      <c r="U568" s="2370"/>
      <c r="V568" s="2370"/>
      <c r="W568" s="2370"/>
      <c r="X568" s="2452"/>
      <c r="Y568" s="996"/>
      <c r="Z568" s="2452"/>
      <c r="AA568" s="996"/>
      <c r="AB568" s="2452"/>
      <c r="AC568" s="996"/>
    </row>
    <row r="569" spans="1:29" s="2194" customFormat="1" ht="12.6" customHeight="1">
      <c r="A569" s="996"/>
      <c r="B569" s="2191"/>
      <c r="C569" s="2192"/>
      <c r="D569" s="2193"/>
      <c r="E569" s="2344"/>
      <c r="F569" s="2345"/>
      <c r="G569" s="2345"/>
      <c r="H569" s="2345"/>
      <c r="I569" s="2345"/>
      <c r="J569" s="2345"/>
      <c r="K569" s="2345"/>
      <c r="L569" s="2345"/>
      <c r="M569" s="2345"/>
      <c r="N569" s="2345"/>
      <c r="O569" s="2345"/>
      <c r="P569" s="2345"/>
      <c r="Q569" s="2345"/>
      <c r="R569" s="2345"/>
      <c r="S569" s="2345"/>
      <c r="T569" s="2345"/>
      <c r="U569" s="2345"/>
      <c r="V569" s="2345"/>
      <c r="W569" s="2363"/>
      <c r="X569" s="2452"/>
      <c r="Y569" s="996"/>
      <c r="Z569" s="2452"/>
      <c r="AA569" s="996"/>
      <c r="AB569" s="2452"/>
      <c r="AC569" s="996"/>
    </row>
    <row r="570" spans="1:29" s="166" customFormat="1" ht="12.6" customHeight="1">
      <c r="A570" s="2095"/>
      <c r="B570" s="974"/>
      <c r="C570" s="977"/>
      <c r="D570" s="2096" t="s">
        <v>15</v>
      </c>
      <c r="E570" s="2346">
        <f>SUM(F570:V570)</f>
        <v>0</v>
      </c>
      <c r="F570" s="2347"/>
      <c r="G570" s="2347"/>
      <c r="H570" s="2347"/>
      <c r="I570" s="2347"/>
      <c r="J570" s="2347"/>
      <c r="K570" s="2347"/>
      <c r="L570" s="2347"/>
      <c r="M570" s="2347"/>
      <c r="N570" s="2347"/>
      <c r="O570" s="2347"/>
      <c r="P570" s="2347"/>
      <c r="Q570" s="2347"/>
      <c r="R570" s="2347"/>
      <c r="S570" s="2347"/>
      <c r="T570" s="2347"/>
      <c r="U570" s="2347"/>
      <c r="V570" s="2347"/>
      <c r="W570" s="2364"/>
      <c r="X570" s="2452"/>
      <c r="Y570" s="996"/>
      <c r="Z570" s="2452"/>
      <c r="AA570" s="996"/>
      <c r="AB570" s="2452"/>
      <c r="AC570" s="996"/>
    </row>
    <row r="571" spans="1:29" s="166" customFormat="1" ht="12.6" customHeight="1">
      <c r="A571" s="2095"/>
      <c r="B571" s="974"/>
      <c r="C571" s="974"/>
      <c r="D571" s="2098" t="s">
        <v>14</v>
      </c>
      <c r="E571" s="2346">
        <f>SUM(F571:V571)</f>
        <v>620</v>
      </c>
      <c r="F571" s="2347"/>
      <c r="G571" s="2347"/>
      <c r="H571" s="2347"/>
      <c r="I571" s="2347"/>
      <c r="J571" s="2347"/>
      <c r="K571" s="2347">
        <v>620</v>
      </c>
      <c r="L571" s="2347"/>
      <c r="M571" s="2347"/>
      <c r="N571" s="2347"/>
      <c r="O571" s="2347"/>
      <c r="P571" s="2347"/>
      <c r="Q571" s="2347"/>
      <c r="R571" s="2347"/>
      <c r="S571" s="2347"/>
      <c r="T571" s="2347"/>
      <c r="U571" s="2347"/>
      <c r="V571" s="2347"/>
      <c r="W571" s="2365"/>
      <c r="Y571" s="996"/>
      <c r="Z571" s="2452"/>
      <c r="AA571" s="996"/>
      <c r="AB571" s="2452"/>
      <c r="AC571" s="996"/>
    </row>
    <row r="572" spans="1:29" s="166" customFormat="1" ht="12.6" customHeight="1">
      <c r="A572" s="2095"/>
      <c r="B572" s="974"/>
      <c r="C572" s="974"/>
      <c r="D572" s="2098" t="s">
        <v>13</v>
      </c>
      <c r="E572" s="2346">
        <v>500</v>
      </c>
      <c r="F572" s="2347"/>
      <c r="G572" s="2347"/>
      <c r="H572" s="2347"/>
      <c r="I572" s="2347"/>
      <c r="J572" s="2347"/>
      <c r="K572" s="2347"/>
      <c r="L572" s="2347"/>
      <c r="M572" s="2347"/>
      <c r="N572" s="2347"/>
      <c r="O572" s="2347"/>
      <c r="P572" s="2347"/>
      <c r="Q572" s="2347"/>
      <c r="R572" s="2347">
        <f>E572</f>
        <v>500</v>
      </c>
      <c r="S572" s="2347"/>
      <c r="T572" s="2347"/>
      <c r="U572" s="2347"/>
      <c r="V572" s="2347"/>
      <c r="W572" s="2365"/>
      <c r="AA572" s="996"/>
      <c r="AC572" s="996"/>
    </row>
    <row r="573" spans="1:29" s="166" customFormat="1" ht="12.6" customHeight="1">
      <c r="A573" s="2095"/>
      <c r="B573" s="974"/>
      <c r="C573" s="977"/>
      <c r="D573" s="2096" t="s">
        <v>12</v>
      </c>
      <c r="E573" s="2346">
        <v>500</v>
      </c>
      <c r="F573" s="2347"/>
      <c r="G573" s="2347"/>
      <c r="H573" s="2347"/>
      <c r="I573" s="2347"/>
      <c r="J573" s="2347"/>
      <c r="K573" s="2347"/>
      <c r="L573" s="2347"/>
      <c r="M573" s="2347"/>
      <c r="N573" s="2347"/>
      <c r="O573" s="2347"/>
      <c r="P573" s="2347"/>
      <c r="Q573" s="2347"/>
      <c r="R573" s="2347">
        <f>E573</f>
        <v>500</v>
      </c>
      <c r="S573" s="2347"/>
      <c r="T573" s="2347"/>
      <c r="U573" s="2347"/>
      <c r="V573" s="2347"/>
      <c r="W573" s="2359"/>
    </row>
    <row r="574" spans="1:29" s="166" customFormat="1" ht="12.6" customHeight="1">
      <c r="A574" s="2095"/>
      <c r="B574" s="974"/>
      <c r="C574" s="974"/>
      <c r="D574" s="2098" t="s">
        <v>11</v>
      </c>
      <c r="E574" s="2346">
        <v>500</v>
      </c>
      <c r="F574" s="2347"/>
      <c r="G574" s="2347"/>
      <c r="H574" s="2347"/>
      <c r="I574" s="2347"/>
      <c r="J574" s="2347"/>
      <c r="K574" s="2347"/>
      <c r="L574" s="2347"/>
      <c r="M574" s="2347"/>
      <c r="N574" s="2347"/>
      <c r="O574" s="2347"/>
      <c r="P574" s="2347"/>
      <c r="Q574" s="2347"/>
      <c r="R574" s="2347"/>
      <c r="S574" s="2347"/>
      <c r="T574" s="2347"/>
      <c r="U574" s="2347"/>
      <c r="V574" s="2347"/>
      <c r="W574" s="2365"/>
    </row>
    <row r="575" spans="1:29" s="166" customFormat="1" ht="12.6" customHeight="1">
      <c r="A575" s="2095"/>
      <c r="B575" s="974"/>
      <c r="C575" s="974"/>
      <c r="D575" s="2098" t="s">
        <v>10</v>
      </c>
      <c r="E575" s="2346">
        <v>500</v>
      </c>
      <c r="F575" s="2347"/>
      <c r="G575" s="2347"/>
      <c r="H575" s="2347"/>
      <c r="I575" s="2347"/>
      <c r="J575" s="2347"/>
      <c r="K575" s="2347"/>
      <c r="L575" s="2347"/>
      <c r="M575" s="2347"/>
      <c r="N575" s="2347"/>
      <c r="O575" s="2347"/>
      <c r="P575" s="2347"/>
      <c r="Q575" s="2347"/>
      <c r="R575" s="2347">
        <f>E575</f>
        <v>500</v>
      </c>
      <c r="S575" s="2347"/>
      <c r="T575" s="2347"/>
      <c r="U575" s="2347"/>
      <c r="V575" s="2347"/>
      <c r="W575" s="2365"/>
    </row>
    <row r="576" spans="1:29" s="166" customFormat="1" ht="12.6" customHeight="1">
      <c r="A576" s="2095"/>
      <c r="B576" s="974"/>
      <c r="C576" s="977"/>
      <c r="D576" s="2096" t="s">
        <v>9</v>
      </c>
      <c r="E576" s="2346">
        <v>500</v>
      </c>
      <c r="F576" s="2347"/>
      <c r="G576" s="2347"/>
      <c r="H576" s="2347"/>
      <c r="I576" s="2347"/>
      <c r="J576" s="2347"/>
      <c r="K576" s="2347"/>
      <c r="L576" s="2347"/>
      <c r="M576" s="2347"/>
      <c r="N576" s="2347"/>
      <c r="O576" s="2347"/>
      <c r="P576" s="2347"/>
      <c r="Q576" s="2347"/>
      <c r="R576" s="2347">
        <f>E576</f>
        <v>500</v>
      </c>
      <c r="S576" s="2347"/>
      <c r="T576" s="2347"/>
      <c r="U576" s="2347"/>
      <c r="V576" s="2347"/>
      <c r="W576" s="2359"/>
    </row>
    <row r="577" spans="1:29" s="166" customFormat="1" ht="12.6" customHeight="1">
      <c r="A577" s="2095"/>
      <c r="B577" s="974"/>
      <c r="C577" s="974"/>
      <c r="D577" s="2098" t="s">
        <v>8</v>
      </c>
      <c r="E577" s="2346">
        <v>500</v>
      </c>
      <c r="F577" s="2347"/>
      <c r="G577" s="2347"/>
      <c r="H577" s="2347"/>
      <c r="I577" s="2347"/>
      <c r="J577" s="2347"/>
      <c r="K577" s="2347"/>
      <c r="L577" s="2347"/>
      <c r="M577" s="2347"/>
      <c r="N577" s="2347"/>
      <c r="O577" s="2347"/>
      <c r="P577" s="2347"/>
      <c r="Q577" s="2347"/>
      <c r="R577" s="2347">
        <f>E577</f>
        <v>500</v>
      </c>
      <c r="S577" s="2347"/>
      <c r="T577" s="2347"/>
      <c r="U577" s="2347"/>
      <c r="V577" s="2347"/>
      <c r="W577" s="2365"/>
    </row>
    <row r="578" spans="1:29" s="166" customFormat="1" ht="12.6" customHeight="1">
      <c r="A578" s="2095"/>
      <c r="B578" s="974"/>
      <c r="C578" s="974"/>
      <c r="D578" s="2098" t="s">
        <v>7</v>
      </c>
      <c r="E578" s="2346">
        <v>500</v>
      </c>
      <c r="F578" s="2347"/>
      <c r="G578" s="2347"/>
      <c r="H578" s="2347"/>
      <c r="I578" s="2347"/>
      <c r="J578" s="2347"/>
      <c r="K578" s="2347"/>
      <c r="L578" s="2347"/>
      <c r="M578" s="2347"/>
      <c r="N578" s="2347"/>
      <c r="O578" s="2347"/>
      <c r="P578" s="2347"/>
      <c r="Q578" s="2347"/>
      <c r="R578" s="2347">
        <f>E578</f>
        <v>500</v>
      </c>
      <c r="S578" s="2347"/>
      <c r="T578" s="2347"/>
      <c r="U578" s="2347"/>
      <c r="V578" s="2347"/>
      <c r="W578" s="2365"/>
    </row>
    <row r="579" spans="1:29" ht="12.6" customHeight="1">
      <c r="B579" s="23" t="s">
        <v>6</v>
      </c>
      <c r="C579" s="23"/>
      <c r="D579" s="2099">
        <v>9780</v>
      </c>
      <c r="E579" s="2348"/>
      <c r="F579" s="2349"/>
      <c r="G579" s="2349"/>
      <c r="H579" s="2349"/>
      <c r="I579" s="2349"/>
      <c r="J579" s="2349"/>
      <c r="K579" s="2349"/>
      <c r="L579" s="2349"/>
      <c r="M579" s="2349"/>
      <c r="N579" s="2349"/>
      <c r="O579" s="2349"/>
      <c r="P579" s="2356"/>
      <c r="Q579" s="2356"/>
      <c r="R579" s="2356"/>
      <c r="S579" s="2357"/>
      <c r="W579" s="2359"/>
      <c r="X579" s="166"/>
      <c r="Y579" s="166"/>
      <c r="Z579" s="166"/>
      <c r="AA579" s="166"/>
      <c r="AB579" s="166"/>
      <c r="AC579" s="166"/>
    </row>
    <row r="580" spans="1:29" ht="12.6" customHeight="1">
      <c r="B580" s="23" t="s">
        <v>2</v>
      </c>
      <c r="C580" s="23"/>
      <c r="D580" s="2099">
        <v>3458</v>
      </c>
      <c r="E580" s="2348"/>
      <c r="F580" s="2349"/>
      <c r="G580" s="2349"/>
      <c r="H580" s="2349"/>
      <c r="I580" s="2349"/>
      <c r="J580" s="2349"/>
      <c r="K580" s="2349"/>
      <c r="L580" s="2349"/>
      <c r="M580" s="2349"/>
      <c r="N580" s="2349"/>
      <c r="O580" s="2349"/>
      <c r="W580" s="2366"/>
      <c r="X580" s="102"/>
      <c r="Y580" s="166"/>
      <c r="Z580" s="166"/>
      <c r="AA580" s="166"/>
      <c r="AB580" s="166"/>
      <c r="AC580" s="166"/>
    </row>
    <row r="581" spans="1:29" ht="12.6" customHeight="1">
      <c r="B581" s="23" t="s">
        <v>1</v>
      </c>
      <c r="C581" s="23"/>
      <c r="D581" s="2099">
        <f>(D579-D580)*0.39</f>
        <v>2465.58</v>
      </c>
      <c r="E581" s="2348"/>
      <c r="F581" s="2349"/>
      <c r="G581" s="2349"/>
      <c r="H581" s="2349"/>
      <c r="I581" s="2349"/>
      <c r="J581" s="2349"/>
      <c r="K581" s="2349"/>
      <c r="L581" s="2349"/>
      <c r="M581" s="2349"/>
      <c r="N581" s="2349"/>
      <c r="O581" s="2349"/>
      <c r="P581" s="2350"/>
      <c r="W581" s="2356"/>
      <c r="X581" s="102"/>
      <c r="Y581" s="106"/>
      <c r="Z581" s="102"/>
      <c r="AA581" s="166"/>
      <c r="AB581" s="102"/>
      <c r="AC581" s="166"/>
    </row>
    <row r="582" spans="1:29" ht="12.6" customHeight="1" thickBot="1">
      <c r="B582" s="20" t="s">
        <v>5</v>
      </c>
      <c r="C582" s="20"/>
      <c r="D582" s="2100">
        <v>7315</v>
      </c>
      <c r="E582" s="2351"/>
      <c r="F582" s="2352"/>
      <c r="G582" s="2352"/>
      <c r="H582" s="2352"/>
      <c r="I582" s="2352"/>
      <c r="J582" s="2352"/>
      <c r="K582" s="2352"/>
      <c r="L582" s="2352"/>
      <c r="M582" s="2352"/>
      <c r="N582" s="2352"/>
      <c r="O582" s="2352"/>
      <c r="P582" s="2350"/>
      <c r="W582" s="2366"/>
      <c r="X582" s="106"/>
      <c r="Y582" s="106"/>
      <c r="Z582" s="102"/>
      <c r="AA582" s="106"/>
      <c r="AB582" s="102"/>
      <c r="AC582" s="106"/>
    </row>
    <row r="583" spans="1:29" ht="12.6" customHeight="1">
      <c r="B583" s="23" t="s">
        <v>4</v>
      </c>
      <c r="C583" s="23"/>
      <c r="D583" s="2099">
        <f>D588</f>
        <v>11306</v>
      </c>
      <c r="E583" s="2348"/>
      <c r="F583" s="2349"/>
      <c r="G583" s="2349"/>
      <c r="H583" s="2349"/>
      <c r="I583" s="2349"/>
      <c r="J583" s="2349"/>
      <c r="K583" s="2349"/>
      <c r="L583" s="2349"/>
      <c r="M583" s="2349"/>
      <c r="N583" s="2349"/>
      <c r="O583" s="2349"/>
      <c r="P583" s="2350"/>
      <c r="W583" s="2366"/>
      <c r="X583" s="102"/>
      <c r="Y583" s="106"/>
      <c r="Z583" s="106"/>
      <c r="AA583" s="106"/>
      <c r="AB583" s="106"/>
      <c r="AC583" s="106"/>
    </row>
    <row r="584" spans="1:29" ht="12.6" customHeight="1">
      <c r="B584" s="23" t="s">
        <v>3</v>
      </c>
      <c r="C584" s="23"/>
      <c r="D584" s="2099">
        <v>16044</v>
      </c>
      <c r="E584" s="2348"/>
      <c r="F584" s="2349"/>
      <c r="G584" s="2349"/>
      <c r="H584" s="2349"/>
      <c r="I584" s="2349"/>
      <c r="J584" s="2349"/>
      <c r="K584" s="2349"/>
      <c r="L584" s="2349"/>
      <c r="M584" s="2349"/>
      <c r="N584" s="2349"/>
      <c r="O584" s="2349"/>
      <c r="P584" s="2350"/>
      <c r="W584" s="2366"/>
      <c r="X584" s="102"/>
      <c r="Y584" s="106"/>
      <c r="Z584" s="102"/>
      <c r="AA584" s="106"/>
      <c r="AB584" s="102"/>
      <c r="AC584" s="106"/>
    </row>
    <row r="585" spans="1:29" ht="12.6" customHeight="1">
      <c r="B585" s="23" t="s">
        <v>2</v>
      </c>
      <c r="C585" s="23"/>
      <c r="D585" s="2099">
        <v>4042</v>
      </c>
      <c r="E585" s="2348"/>
      <c r="F585" s="2349"/>
      <c r="G585" s="2349"/>
      <c r="H585" s="2349"/>
      <c r="I585" s="2349"/>
      <c r="J585" s="2349"/>
      <c r="K585" s="2349"/>
      <c r="L585" s="2349"/>
      <c r="M585" s="2349"/>
      <c r="N585" s="2349"/>
      <c r="O585" s="2349"/>
      <c r="P585" s="2350"/>
      <c r="W585" s="2366"/>
      <c r="X585" s="102"/>
      <c r="Y585" s="106"/>
      <c r="Z585" s="102"/>
      <c r="AA585" s="106"/>
      <c r="AB585" s="102"/>
      <c r="AC585" s="106"/>
    </row>
    <row r="586" spans="1:29" ht="12.6" customHeight="1">
      <c r="B586" s="23" t="s">
        <v>1</v>
      </c>
      <c r="C586" s="23"/>
      <c r="D586" s="2099">
        <v>4644</v>
      </c>
      <c r="E586" s="2348"/>
      <c r="F586" s="2349"/>
      <c r="G586" s="2349"/>
      <c r="H586" s="2349"/>
      <c r="I586" s="2349"/>
      <c r="J586" s="2349"/>
      <c r="K586" s="2349"/>
      <c r="L586" s="2349"/>
      <c r="M586" s="2349"/>
      <c r="N586" s="2349"/>
      <c r="O586" s="2349"/>
      <c r="P586" s="2350"/>
      <c r="W586" s="2366"/>
      <c r="X586" s="102"/>
      <c r="Y586" s="106"/>
      <c r="Z586" s="102"/>
      <c r="AA586" s="106"/>
      <c r="AB586" s="102"/>
      <c r="AC586" s="106"/>
    </row>
    <row r="587" spans="1:29" ht="12.6" customHeight="1">
      <c r="B587" s="23" t="s">
        <v>1</v>
      </c>
      <c r="C587" s="23"/>
      <c r="D587" s="2099">
        <v>94</v>
      </c>
      <c r="E587" s="2348"/>
      <c r="F587" s="2349"/>
      <c r="G587" s="2349"/>
      <c r="H587" s="2349"/>
      <c r="I587" s="2349"/>
      <c r="J587" s="2349"/>
      <c r="K587" s="2349"/>
      <c r="L587" s="2349"/>
      <c r="M587" s="2349"/>
      <c r="N587" s="2349"/>
      <c r="O587" s="2349"/>
      <c r="P587" s="2350"/>
      <c r="W587" s="2366"/>
      <c r="X587" s="102"/>
      <c r="Y587" s="106"/>
      <c r="Z587" s="102"/>
      <c r="AA587" s="106"/>
      <c r="AB587" s="102"/>
      <c r="AC587" s="106"/>
    </row>
    <row r="588" spans="1:29" ht="12.6" customHeight="1" thickBot="1">
      <c r="B588" s="20" t="s">
        <v>0</v>
      </c>
      <c r="C588" s="20"/>
      <c r="D588" s="2100">
        <f>D584-D586-D587</f>
        <v>11306</v>
      </c>
      <c r="E588" s="2351"/>
      <c r="F588" s="2352"/>
      <c r="G588" s="2352"/>
      <c r="H588" s="2352"/>
      <c r="I588" s="2352"/>
      <c r="J588" s="2352"/>
      <c r="K588" s="2352"/>
      <c r="L588" s="2352"/>
      <c r="M588" s="2352"/>
      <c r="N588" s="2352"/>
      <c r="O588" s="2352"/>
      <c r="P588" s="2350"/>
      <c r="W588" s="2366"/>
      <c r="X588" s="102"/>
      <c r="Y588" s="106"/>
      <c r="Z588" s="102"/>
      <c r="AA588" s="106"/>
      <c r="AB588" s="102"/>
      <c r="AC588" s="106"/>
    </row>
    <row r="589" spans="1:29" ht="12.6" customHeight="1">
      <c r="A589" s="97"/>
      <c r="B589" s="17"/>
      <c r="C589" s="17"/>
      <c r="D589" s="2101"/>
      <c r="E589" s="2353"/>
      <c r="F589" s="2354"/>
      <c r="G589" s="2354"/>
      <c r="H589" s="2354"/>
      <c r="I589" s="2354"/>
      <c r="J589" s="2354"/>
      <c r="K589" s="2354"/>
      <c r="L589" s="2354"/>
      <c r="M589" s="2354"/>
      <c r="N589" s="2354"/>
      <c r="O589" s="2355"/>
      <c r="P589" s="2350"/>
      <c r="Q589" s="2359"/>
      <c r="R589" s="2359"/>
      <c r="S589" s="2359"/>
      <c r="T589" s="2359"/>
      <c r="U589" s="2359"/>
      <c r="V589" s="2359"/>
      <c r="W589" s="2359"/>
      <c r="X589" s="102"/>
      <c r="Y589" s="106"/>
      <c r="Z589" s="102"/>
      <c r="AA589" s="106"/>
      <c r="AB589" s="102"/>
      <c r="AC589" s="106"/>
    </row>
    <row r="590" spans="1:29" ht="12.6" customHeight="1">
      <c r="A590" s="97"/>
      <c r="B590" s="17"/>
      <c r="C590" s="17"/>
      <c r="D590" s="2101"/>
      <c r="E590" s="2353"/>
      <c r="F590" s="2354"/>
      <c r="G590" s="2354"/>
      <c r="H590" s="2354"/>
      <c r="I590" s="2354"/>
      <c r="J590" s="2354"/>
      <c r="K590" s="2354"/>
      <c r="L590" s="2354"/>
      <c r="M590" s="2354"/>
      <c r="N590" s="2354"/>
      <c r="O590" s="2355"/>
      <c r="P590" s="2350"/>
      <c r="Q590" s="2359"/>
      <c r="R590" s="2359"/>
      <c r="S590" s="2359"/>
      <c r="T590" s="2359"/>
      <c r="U590" s="2359"/>
      <c r="V590" s="2359"/>
      <c r="W590" s="2359"/>
      <c r="X590" s="97"/>
      <c r="Y590" s="106"/>
      <c r="Z590" s="102"/>
      <c r="AA590" s="106"/>
      <c r="AB590" s="102"/>
      <c r="AC590" s="106"/>
    </row>
    <row r="591" spans="1:29" ht="12.6" customHeight="1">
      <c r="W591" s="2359"/>
      <c r="X591" s="97"/>
      <c r="Y591" s="106"/>
      <c r="Z591" s="97"/>
      <c r="AA591" s="106"/>
      <c r="AB591" s="97"/>
      <c r="AC591" s="106"/>
    </row>
    <row r="592" spans="1:29" ht="12.6" customHeight="1">
      <c r="W592" s="2359"/>
      <c r="X592" s="97"/>
      <c r="Y592" s="106"/>
      <c r="Z592" s="97"/>
      <c r="AA592" s="106"/>
      <c r="AB592" s="97"/>
      <c r="AC592" s="106"/>
    </row>
    <row r="593" spans="1:29" ht="12.6" customHeight="1">
      <c r="W593" s="2359"/>
      <c r="X593" s="97"/>
      <c r="Y593" s="106"/>
      <c r="Z593" s="97"/>
      <c r="AA593" s="106"/>
      <c r="AB593" s="97"/>
      <c r="AC593" s="106"/>
    </row>
    <row r="594" spans="1:29" ht="12.6" customHeight="1">
      <c r="W594" s="2359"/>
      <c r="X594" s="97"/>
      <c r="Y594" s="106"/>
      <c r="Z594" s="97"/>
      <c r="AA594" s="106"/>
      <c r="AB594" s="97"/>
      <c r="AC594" s="106"/>
    </row>
    <row r="595" spans="1:29" ht="12.6" customHeight="1">
      <c r="W595" s="2359"/>
      <c r="X595" s="97"/>
      <c r="Y595" s="106"/>
      <c r="Z595" s="97"/>
      <c r="AA595" s="106"/>
      <c r="AB595" s="97"/>
      <c r="AC595" s="106"/>
    </row>
    <row r="596" spans="1:29" ht="12.6" customHeight="1">
      <c r="A596" s="97"/>
      <c r="B596" s="98"/>
      <c r="C596" s="98"/>
      <c r="D596" s="97"/>
      <c r="E596" s="2361"/>
      <c r="F596" s="2359"/>
      <c r="G596" s="2359"/>
      <c r="H596" s="2359"/>
      <c r="I596" s="2359"/>
      <c r="J596" s="2359"/>
      <c r="K596" s="2359"/>
      <c r="L596" s="2359"/>
      <c r="M596" s="2359"/>
      <c r="N596" s="2359"/>
      <c r="O596" s="2359"/>
      <c r="P596" s="2359"/>
      <c r="Q596" s="2359"/>
      <c r="R596" s="2359"/>
      <c r="S596" s="2359"/>
      <c r="T596" s="2359"/>
      <c r="U596" s="2359"/>
      <c r="V596" s="2359"/>
      <c r="W596" s="2359"/>
      <c r="X596" s="97"/>
      <c r="Y596" s="106"/>
      <c r="Z596" s="97"/>
      <c r="AA596" s="106"/>
      <c r="AB596" s="97"/>
      <c r="AC596" s="106"/>
    </row>
    <row r="597" spans="1:29" ht="12.6" customHeight="1">
      <c r="A597" s="97"/>
      <c r="B597" s="98"/>
      <c r="C597" s="98"/>
      <c r="D597" s="97"/>
      <c r="E597" s="2361"/>
      <c r="F597" s="2359"/>
      <c r="G597" s="2359"/>
      <c r="H597" s="2359"/>
      <c r="I597" s="2359"/>
      <c r="J597" s="2359"/>
      <c r="K597" s="2359"/>
      <c r="L597" s="2359"/>
      <c r="M597" s="2359"/>
      <c r="N597" s="2359"/>
      <c r="O597" s="2359"/>
      <c r="P597" s="2359"/>
      <c r="Q597" s="2359"/>
      <c r="R597" s="2359"/>
      <c r="S597" s="2359"/>
      <c r="T597" s="2359"/>
      <c r="U597" s="2359"/>
      <c r="V597" s="2359"/>
      <c r="W597" s="2359"/>
      <c r="X597" s="97"/>
      <c r="Y597" s="106"/>
      <c r="Z597" s="97"/>
      <c r="AA597" s="106"/>
      <c r="AB597" s="97"/>
      <c r="AC597" s="106"/>
    </row>
    <row r="598" spans="1:29" ht="12.6" customHeight="1">
      <c r="A598" s="97"/>
      <c r="B598" s="98"/>
      <c r="C598" s="98"/>
      <c r="D598" s="97"/>
      <c r="E598" s="2361"/>
      <c r="F598" s="2359"/>
      <c r="G598" s="2359"/>
      <c r="H598" s="2359"/>
      <c r="I598" s="2359"/>
      <c r="J598" s="2359"/>
      <c r="K598" s="2359"/>
      <c r="L598" s="2359"/>
      <c r="M598" s="2359"/>
      <c r="N598" s="2359"/>
      <c r="O598" s="2359"/>
      <c r="P598" s="2359"/>
      <c r="Q598" s="2359"/>
      <c r="R598" s="2359"/>
      <c r="S598" s="2359"/>
      <c r="T598" s="2359"/>
      <c r="U598" s="2359"/>
      <c r="V598" s="2359"/>
      <c r="W598" s="2359"/>
      <c r="X598" s="97"/>
      <c r="Y598" s="106"/>
      <c r="Z598" s="97"/>
      <c r="AA598" s="106"/>
      <c r="AB598" s="97"/>
      <c r="AC598" s="106"/>
    </row>
    <row r="599" spans="1:29" ht="12.6" customHeight="1">
      <c r="A599" s="97"/>
      <c r="B599" s="98"/>
      <c r="C599" s="98"/>
      <c r="D599" s="97"/>
      <c r="E599" s="2361"/>
      <c r="F599" s="2359"/>
      <c r="G599" s="2359"/>
      <c r="H599" s="2359"/>
      <c r="I599" s="2359"/>
      <c r="J599" s="2359"/>
      <c r="K599" s="2359"/>
      <c r="L599" s="2359"/>
      <c r="M599" s="2359"/>
      <c r="N599" s="2359"/>
      <c r="O599" s="2359"/>
      <c r="P599" s="2359"/>
      <c r="Q599" s="2359"/>
      <c r="R599" s="2359"/>
      <c r="S599" s="2359"/>
      <c r="T599" s="2359"/>
      <c r="U599" s="2359"/>
      <c r="V599" s="2359"/>
      <c r="W599" s="2359"/>
      <c r="X599" s="97"/>
      <c r="Y599" s="106"/>
      <c r="Z599" s="97"/>
      <c r="AA599" s="106"/>
      <c r="AB599" s="97"/>
      <c r="AC599" s="106"/>
    </row>
    <row r="600" spans="1:29" ht="12.6" customHeight="1">
      <c r="A600" s="97"/>
      <c r="B600" s="98"/>
      <c r="C600" s="98"/>
      <c r="D600" s="97"/>
      <c r="E600" s="2361"/>
      <c r="F600" s="2359"/>
      <c r="G600" s="2359"/>
      <c r="H600" s="2359"/>
      <c r="I600" s="2359"/>
      <c r="J600" s="2359"/>
      <c r="K600" s="2359"/>
      <c r="L600" s="2359"/>
      <c r="M600" s="2359"/>
      <c r="N600" s="2359"/>
      <c r="O600" s="2359"/>
      <c r="P600" s="2359"/>
      <c r="Q600" s="2359"/>
      <c r="R600" s="2359"/>
      <c r="S600" s="2359"/>
      <c r="T600" s="2359"/>
      <c r="U600" s="2359"/>
      <c r="V600" s="2359"/>
      <c r="W600" s="2359"/>
      <c r="X600" s="97"/>
      <c r="Y600" s="106"/>
      <c r="Z600" s="97"/>
      <c r="AA600" s="106"/>
      <c r="AB600" s="97"/>
      <c r="AC600" s="106"/>
    </row>
    <row r="601" spans="1:29" ht="12.6" customHeight="1">
      <c r="A601" s="97"/>
      <c r="B601" s="98"/>
      <c r="C601" s="98"/>
      <c r="D601" s="97"/>
      <c r="E601" s="2361"/>
      <c r="F601" s="2359"/>
      <c r="G601" s="2359"/>
      <c r="H601" s="2359"/>
      <c r="I601" s="2359"/>
      <c r="J601" s="2359"/>
      <c r="K601" s="2359"/>
      <c r="L601" s="2359"/>
      <c r="M601" s="2359"/>
      <c r="N601" s="2359"/>
      <c r="O601" s="2359"/>
      <c r="P601" s="2359"/>
      <c r="Q601" s="2359"/>
      <c r="R601" s="2359"/>
      <c r="S601" s="2359"/>
      <c r="T601" s="2359"/>
      <c r="U601" s="2359"/>
      <c r="V601" s="2359"/>
      <c r="W601" s="2359"/>
      <c r="X601" s="97"/>
      <c r="Y601" s="106"/>
      <c r="Z601" s="97"/>
      <c r="AA601" s="106"/>
      <c r="AB601" s="97"/>
      <c r="AC601" s="106"/>
    </row>
    <row r="602" spans="1:29" ht="12.6" customHeight="1">
      <c r="A602" s="97"/>
      <c r="B602" s="98"/>
      <c r="C602" s="98"/>
      <c r="D602" s="97"/>
      <c r="E602" s="2361"/>
      <c r="F602" s="2359"/>
      <c r="G602" s="2359"/>
      <c r="H602" s="2359"/>
      <c r="I602" s="2359"/>
      <c r="J602" s="2359"/>
      <c r="K602" s="2359"/>
      <c r="L602" s="2359"/>
      <c r="M602" s="2359"/>
      <c r="N602" s="2359"/>
      <c r="O602" s="2359"/>
      <c r="P602" s="2359"/>
      <c r="Q602" s="2359"/>
      <c r="R602" s="2359"/>
      <c r="S602" s="2359"/>
      <c r="T602" s="2359"/>
      <c r="U602" s="2359"/>
      <c r="V602" s="2359"/>
      <c r="W602" s="2359"/>
      <c r="X602" s="97"/>
      <c r="Y602" s="106"/>
      <c r="Z602" s="97"/>
      <c r="AA602" s="106"/>
      <c r="AB602" s="97"/>
      <c r="AC602" s="106"/>
    </row>
    <row r="603" spans="1:29" ht="12.6" customHeight="1">
      <c r="A603" s="97"/>
      <c r="B603" s="98"/>
      <c r="C603" s="98"/>
      <c r="D603" s="97"/>
      <c r="E603" s="2361"/>
      <c r="F603" s="2359"/>
      <c r="G603" s="2359"/>
      <c r="H603" s="2359"/>
      <c r="I603" s="2359"/>
      <c r="J603" s="2359"/>
      <c r="K603" s="2359"/>
      <c r="L603" s="2359"/>
      <c r="M603" s="2359"/>
      <c r="N603" s="2359"/>
      <c r="O603" s="2359"/>
      <c r="P603" s="2359"/>
      <c r="Q603" s="2359"/>
      <c r="R603" s="2359"/>
      <c r="S603" s="2359"/>
      <c r="T603" s="2359"/>
      <c r="U603" s="2359"/>
      <c r="V603" s="2359"/>
      <c r="W603" s="2359"/>
      <c r="X603" s="97"/>
      <c r="Y603" s="106"/>
      <c r="Z603" s="97"/>
      <c r="AA603" s="106"/>
      <c r="AB603" s="97"/>
      <c r="AC603" s="106"/>
    </row>
    <row r="604" spans="1:29" ht="12.6" customHeight="1">
      <c r="A604" s="97"/>
      <c r="B604" s="98"/>
      <c r="C604" s="98"/>
      <c r="D604" s="97"/>
      <c r="E604" s="2361"/>
      <c r="F604" s="2359"/>
      <c r="G604" s="2359"/>
      <c r="H604" s="2359"/>
      <c r="I604" s="2359"/>
      <c r="J604" s="2359"/>
      <c r="K604" s="2359"/>
      <c r="L604" s="2359"/>
      <c r="M604" s="2359"/>
      <c r="N604" s="2359"/>
      <c r="O604" s="2359"/>
      <c r="P604" s="2359"/>
      <c r="Q604" s="2359"/>
      <c r="R604" s="2359"/>
      <c r="S604" s="2359"/>
      <c r="T604" s="2359"/>
      <c r="U604" s="2359"/>
      <c r="V604" s="2359"/>
      <c r="W604" s="2359"/>
      <c r="X604" s="97"/>
      <c r="Y604" s="106"/>
      <c r="Z604" s="97"/>
      <c r="AA604" s="106"/>
      <c r="AB604" s="97"/>
      <c r="AC604" s="106"/>
    </row>
    <row r="605" spans="1:29" ht="12.6" customHeight="1">
      <c r="A605" s="97"/>
      <c r="B605" s="98"/>
      <c r="C605" s="98"/>
      <c r="D605" s="97"/>
      <c r="E605" s="2361"/>
      <c r="F605" s="2359"/>
      <c r="G605" s="2359"/>
      <c r="H605" s="2359"/>
      <c r="I605" s="2359"/>
      <c r="J605" s="2359"/>
      <c r="K605" s="2359"/>
      <c r="L605" s="2359"/>
      <c r="M605" s="2359"/>
      <c r="N605" s="2359"/>
      <c r="O605" s="2359"/>
      <c r="P605" s="2359"/>
      <c r="Q605" s="2359"/>
      <c r="R605" s="2359"/>
      <c r="S605" s="2359"/>
      <c r="T605" s="2359"/>
      <c r="U605" s="2359"/>
      <c r="V605" s="2359"/>
      <c r="W605" s="2359"/>
      <c r="X605" s="97"/>
      <c r="Y605" s="106"/>
      <c r="Z605" s="97"/>
      <c r="AA605" s="106"/>
      <c r="AB605" s="97"/>
      <c r="AC605" s="106"/>
    </row>
    <row r="606" spans="1:29" ht="12.6" customHeight="1">
      <c r="A606" s="97"/>
      <c r="B606" s="98"/>
      <c r="C606" s="98"/>
      <c r="D606" s="97"/>
      <c r="E606" s="2361"/>
      <c r="F606" s="2359"/>
      <c r="G606" s="2359"/>
      <c r="H606" s="2359"/>
      <c r="I606" s="2359"/>
      <c r="J606" s="2359"/>
      <c r="K606" s="2359"/>
      <c r="L606" s="2359"/>
      <c r="M606" s="2359"/>
      <c r="N606" s="2359"/>
      <c r="O606" s="2359"/>
      <c r="P606" s="2359"/>
      <c r="Q606" s="2359"/>
      <c r="R606" s="2359"/>
      <c r="S606" s="2359"/>
      <c r="T606" s="2359"/>
      <c r="U606" s="2359"/>
      <c r="V606" s="2359"/>
      <c r="W606" s="2359"/>
      <c r="X606" s="97"/>
      <c r="Y606" s="106"/>
      <c r="Z606" s="97"/>
      <c r="AA606" s="106"/>
      <c r="AB606" s="97"/>
      <c r="AC606" s="106"/>
    </row>
    <row r="607" spans="1:29" ht="12.6" customHeight="1">
      <c r="A607" s="97"/>
      <c r="B607" s="98"/>
      <c r="C607" s="98"/>
      <c r="D607" s="97"/>
      <c r="E607" s="2361"/>
      <c r="F607" s="2359"/>
      <c r="G607" s="2359"/>
      <c r="H607" s="2359"/>
      <c r="I607" s="2359"/>
      <c r="J607" s="2359"/>
      <c r="K607" s="2359"/>
      <c r="L607" s="2359"/>
      <c r="M607" s="2359"/>
      <c r="N607" s="2359"/>
      <c r="O607" s="2359"/>
      <c r="P607" s="2359"/>
      <c r="Q607" s="2359"/>
      <c r="R607" s="2359"/>
      <c r="S607" s="2359"/>
      <c r="T607" s="2359"/>
      <c r="U607" s="2359"/>
      <c r="V607" s="2359"/>
      <c r="W607" s="2359"/>
      <c r="X607" s="97"/>
      <c r="Y607" s="105"/>
      <c r="Z607" s="97"/>
      <c r="AA607" s="106"/>
      <c r="AB607" s="97"/>
      <c r="AC607" s="106"/>
    </row>
    <row r="608" spans="1:29" ht="12.6" customHeight="1">
      <c r="A608" s="97"/>
      <c r="B608" s="98"/>
      <c r="C608" s="98"/>
      <c r="D608" s="97"/>
      <c r="E608" s="2361"/>
      <c r="F608" s="2359"/>
      <c r="G608" s="2359"/>
      <c r="H608" s="2359"/>
      <c r="I608" s="2359"/>
      <c r="J608" s="2359"/>
      <c r="K608" s="2359"/>
      <c r="L608" s="2359"/>
      <c r="M608" s="2359"/>
      <c r="N608" s="2359"/>
      <c r="O608" s="2359"/>
      <c r="P608" s="2359"/>
      <c r="Q608" s="2359"/>
      <c r="R608" s="2359"/>
      <c r="S608" s="2359"/>
      <c r="T608" s="2359"/>
      <c r="U608" s="2359"/>
      <c r="V608" s="2359"/>
      <c r="W608" s="2359"/>
      <c r="X608" s="97"/>
      <c r="Y608" s="105"/>
      <c r="Z608" s="97"/>
      <c r="AA608" s="105"/>
      <c r="AB608" s="97"/>
      <c r="AC608" s="105"/>
    </row>
    <row r="609" spans="1:29" ht="12.6" customHeight="1">
      <c r="A609" s="97"/>
      <c r="B609" s="98"/>
      <c r="C609" s="98"/>
      <c r="D609" s="97"/>
      <c r="E609" s="2361"/>
      <c r="F609" s="2359"/>
      <c r="G609" s="2359"/>
      <c r="H609" s="2359"/>
      <c r="I609" s="2359"/>
      <c r="J609" s="2359"/>
      <c r="K609" s="2359"/>
      <c r="L609" s="2359"/>
      <c r="M609" s="2359"/>
      <c r="N609" s="2359"/>
      <c r="O609" s="2359"/>
      <c r="P609" s="2359"/>
      <c r="Q609" s="2359"/>
      <c r="R609" s="2359"/>
      <c r="S609" s="2359"/>
      <c r="T609" s="2359"/>
      <c r="U609" s="2359"/>
      <c r="V609" s="2359"/>
      <c r="W609" s="2359"/>
      <c r="X609" s="97"/>
      <c r="Y609" s="108"/>
      <c r="Z609" s="97"/>
      <c r="AA609" s="105"/>
      <c r="AB609" s="97"/>
      <c r="AC609" s="105"/>
    </row>
    <row r="610" spans="1:29" ht="12.6" customHeight="1">
      <c r="A610" s="97"/>
      <c r="B610" s="98"/>
      <c r="C610" s="98"/>
      <c r="D610" s="97"/>
      <c r="E610" s="2361"/>
      <c r="F610" s="2359"/>
      <c r="G610" s="2359"/>
      <c r="H610" s="2359"/>
      <c r="I610" s="2359"/>
      <c r="J610" s="2359"/>
      <c r="K610" s="2359"/>
      <c r="L610" s="2359"/>
      <c r="M610" s="2359"/>
      <c r="N610" s="2359"/>
      <c r="O610" s="2359"/>
      <c r="P610" s="2359"/>
      <c r="Q610" s="2359"/>
      <c r="R610" s="2359"/>
      <c r="S610" s="2359"/>
      <c r="T610" s="2359"/>
      <c r="U610" s="2359"/>
      <c r="V610" s="2359"/>
      <c r="W610" s="2359"/>
      <c r="X610" s="97"/>
      <c r="Y610" s="106"/>
      <c r="Z610" s="97"/>
      <c r="AA610" s="108"/>
      <c r="AB610" s="97"/>
      <c r="AC610" s="108"/>
    </row>
    <row r="611" spans="1:29" ht="12.6" customHeight="1">
      <c r="A611" s="97"/>
      <c r="B611" s="98"/>
      <c r="C611" s="98"/>
      <c r="D611" s="97"/>
      <c r="E611" s="2361"/>
      <c r="F611" s="2359"/>
      <c r="G611" s="2359"/>
      <c r="H611" s="2359"/>
      <c r="I611" s="2359"/>
      <c r="J611" s="2359"/>
      <c r="K611" s="2359"/>
      <c r="L611" s="2359"/>
      <c r="M611" s="2359"/>
      <c r="N611" s="2359"/>
      <c r="O611" s="2359"/>
      <c r="P611" s="2359"/>
      <c r="Q611" s="2359"/>
      <c r="R611" s="2359"/>
      <c r="S611" s="2359"/>
      <c r="T611" s="2359"/>
      <c r="U611" s="2359"/>
      <c r="V611" s="2359"/>
      <c r="W611" s="2359"/>
      <c r="X611" s="97"/>
      <c r="Y611" s="106"/>
      <c r="Z611" s="97"/>
      <c r="AA611" s="106"/>
      <c r="AB611" s="97"/>
      <c r="AC611" s="106"/>
    </row>
    <row r="612" spans="1:29" ht="12.6" customHeight="1">
      <c r="A612" s="97"/>
      <c r="B612" s="98"/>
      <c r="C612" s="98"/>
      <c r="D612" s="97"/>
      <c r="E612" s="2361"/>
      <c r="F612" s="2359"/>
      <c r="G612" s="2359"/>
      <c r="H612" s="2359"/>
      <c r="I612" s="2359"/>
      <c r="J612" s="2359"/>
      <c r="K612" s="2359"/>
      <c r="L612" s="2359"/>
      <c r="M612" s="2359"/>
      <c r="N612" s="2359"/>
      <c r="O612" s="2359"/>
      <c r="P612" s="2359"/>
      <c r="Q612" s="2359"/>
      <c r="R612" s="2359"/>
      <c r="S612" s="2359"/>
      <c r="T612" s="2359"/>
      <c r="U612" s="2359"/>
      <c r="V612" s="2359"/>
      <c r="W612" s="2359"/>
      <c r="X612" s="97"/>
      <c r="Y612" s="106"/>
      <c r="Z612" s="97"/>
      <c r="AA612" s="106"/>
      <c r="AB612" s="97"/>
      <c r="AC612" s="106"/>
    </row>
    <row r="613" spans="1:29" ht="12.6" customHeight="1">
      <c r="A613" s="97"/>
      <c r="B613" s="98"/>
      <c r="C613" s="98"/>
      <c r="D613" s="97"/>
      <c r="E613" s="2361"/>
      <c r="F613" s="2359"/>
      <c r="G613" s="2359"/>
      <c r="H613" s="2359"/>
      <c r="I613" s="2359"/>
      <c r="J613" s="2359"/>
      <c r="K613" s="2359"/>
      <c r="L613" s="2359"/>
      <c r="M613" s="2359"/>
      <c r="N613" s="2359"/>
      <c r="O613" s="2359"/>
      <c r="P613" s="2359"/>
      <c r="Q613" s="2359"/>
      <c r="R613" s="2359"/>
      <c r="S613" s="2359"/>
      <c r="T613" s="2359"/>
      <c r="U613" s="2359"/>
      <c r="V613" s="2359"/>
      <c r="W613" s="2359"/>
      <c r="X613" s="97"/>
      <c r="Y613" s="106"/>
      <c r="Z613" s="97"/>
      <c r="AA613" s="106"/>
      <c r="AB613" s="97"/>
      <c r="AC613" s="106"/>
    </row>
    <row r="614" spans="1:29" ht="12.6" customHeight="1">
      <c r="A614" s="97"/>
      <c r="B614" s="98"/>
      <c r="C614" s="98"/>
      <c r="D614" s="97"/>
      <c r="E614" s="2361"/>
      <c r="F614" s="2359"/>
      <c r="G614" s="2359"/>
      <c r="H614" s="2359"/>
      <c r="I614" s="2359"/>
      <c r="J614" s="2359"/>
      <c r="K614" s="2359"/>
      <c r="L614" s="2359"/>
      <c r="M614" s="2359"/>
      <c r="N614" s="2359"/>
      <c r="O614" s="2359"/>
      <c r="P614" s="2359"/>
      <c r="Q614" s="2359"/>
      <c r="R614" s="2359"/>
      <c r="S614" s="2359"/>
      <c r="T614" s="2359"/>
      <c r="U614" s="2359"/>
      <c r="V614" s="2359"/>
      <c r="W614" s="2359"/>
      <c r="X614" s="97"/>
      <c r="Y614" s="106"/>
      <c r="Z614" s="97"/>
      <c r="AA614" s="106"/>
      <c r="AB614" s="97"/>
      <c r="AC614" s="106"/>
    </row>
    <row r="615" spans="1:29" ht="12.6" customHeight="1">
      <c r="A615" s="97"/>
      <c r="B615" s="98"/>
      <c r="C615" s="98"/>
      <c r="D615" s="97"/>
      <c r="E615" s="2361"/>
      <c r="F615" s="2359"/>
      <c r="G615" s="2359"/>
      <c r="H615" s="2359"/>
      <c r="I615" s="2359"/>
      <c r="J615" s="2359"/>
      <c r="K615" s="2359"/>
      <c r="L615" s="2359"/>
      <c r="M615" s="2359"/>
      <c r="N615" s="2359"/>
      <c r="O615" s="2359"/>
      <c r="P615" s="2359"/>
      <c r="Q615" s="2359"/>
      <c r="R615" s="2359"/>
      <c r="S615" s="2359"/>
      <c r="T615" s="2359"/>
      <c r="U615" s="2359"/>
      <c r="V615" s="2359"/>
      <c r="W615" s="2359"/>
      <c r="X615" s="97"/>
      <c r="Y615" s="106"/>
      <c r="Z615" s="97"/>
      <c r="AA615" s="106"/>
      <c r="AB615" s="97"/>
      <c r="AC615" s="106"/>
    </row>
    <row r="616" spans="1:29" ht="12.6" customHeight="1">
      <c r="A616" s="97"/>
      <c r="B616" s="98"/>
      <c r="C616" s="98"/>
      <c r="D616" s="97"/>
      <c r="E616" s="2361"/>
      <c r="F616" s="2359"/>
      <c r="G616" s="2359"/>
      <c r="H616" s="2359"/>
      <c r="I616" s="2359"/>
      <c r="J616" s="2359"/>
      <c r="K616" s="2359"/>
      <c r="L616" s="2359"/>
      <c r="M616" s="2359"/>
      <c r="N616" s="2359"/>
      <c r="O616" s="2359"/>
      <c r="P616" s="2359"/>
      <c r="Q616" s="2359"/>
      <c r="R616" s="2359"/>
      <c r="S616" s="2359"/>
      <c r="T616" s="2359"/>
      <c r="U616" s="2359"/>
      <c r="V616" s="2359"/>
      <c r="W616" s="2359"/>
      <c r="X616" s="97"/>
      <c r="Y616" s="106"/>
      <c r="Z616" s="97"/>
      <c r="AA616" s="106"/>
      <c r="AB616" s="97"/>
      <c r="AC616" s="106"/>
    </row>
    <row r="617" spans="1:29" ht="12.6" customHeight="1">
      <c r="A617" s="97"/>
      <c r="B617" s="98"/>
      <c r="C617" s="98"/>
      <c r="D617" s="97"/>
      <c r="E617" s="2361"/>
      <c r="F617" s="2359"/>
      <c r="G617" s="2359"/>
      <c r="H617" s="2359"/>
      <c r="I617" s="2359"/>
      <c r="J617" s="2359"/>
      <c r="K617" s="2359"/>
      <c r="L617" s="2359"/>
      <c r="M617" s="2359"/>
      <c r="N617" s="2359"/>
      <c r="O617" s="2359"/>
      <c r="P617" s="2359"/>
      <c r="Q617" s="2359"/>
      <c r="R617" s="2359"/>
      <c r="S617" s="2359"/>
      <c r="T617" s="2359"/>
      <c r="U617" s="2359"/>
      <c r="V617" s="2359"/>
      <c r="W617" s="2359"/>
      <c r="X617" s="97"/>
      <c r="Y617" s="106"/>
      <c r="Z617" s="97"/>
      <c r="AA617" s="106"/>
      <c r="AB617" s="97"/>
      <c r="AC617" s="106"/>
    </row>
    <row r="618" spans="1:29" ht="12.6" customHeight="1">
      <c r="A618" s="97"/>
      <c r="B618" s="98"/>
      <c r="C618" s="98"/>
      <c r="D618" s="97"/>
      <c r="E618" s="2361"/>
      <c r="F618" s="2359"/>
      <c r="G618" s="2359"/>
      <c r="H618" s="2359"/>
      <c r="I618" s="2359"/>
      <c r="J618" s="2359"/>
      <c r="K618" s="2359"/>
      <c r="L618" s="2359"/>
      <c r="M618" s="2359"/>
      <c r="N618" s="2359"/>
      <c r="O618" s="2359"/>
      <c r="P618" s="2359"/>
      <c r="Q618" s="2359"/>
      <c r="R618" s="2359"/>
      <c r="S618" s="2359"/>
      <c r="T618" s="2359"/>
      <c r="U618" s="2359"/>
      <c r="V618" s="2359"/>
      <c r="W618" s="2359"/>
      <c r="X618" s="97"/>
      <c r="Y618" s="106"/>
      <c r="Z618" s="97"/>
      <c r="AA618" s="106"/>
      <c r="AB618" s="97"/>
      <c r="AC618" s="106"/>
    </row>
    <row r="619" spans="1:29" ht="12.6" customHeight="1">
      <c r="A619" s="97"/>
      <c r="B619" s="98"/>
      <c r="C619" s="98"/>
      <c r="D619" s="97"/>
      <c r="E619" s="2361"/>
      <c r="F619" s="2359"/>
      <c r="G619" s="2359"/>
      <c r="H619" s="2359"/>
      <c r="I619" s="2359"/>
      <c r="J619" s="2359"/>
      <c r="K619" s="2359"/>
      <c r="L619" s="2359"/>
      <c r="M619" s="2359"/>
      <c r="N619" s="2359"/>
      <c r="O619" s="2359"/>
      <c r="P619" s="2359"/>
      <c r="Q619" s="2359"/>
      <c r="R619" s="2359"/>
      <c r="S619" s="2359"/>
      <c r="T619" s="2359"/>
      <c r="U619" s="2359"/>
      <c r="V619" s="2359"/>
      <c r="W619" s="2359"/>
      <c r="X619" s="97"/>
      <c r="Y619" s="106"/>
      <c r="Z619" s="97"/>
      <c r="AA619" s="106"/>
      <c r="AB619" s="97"/>
      <c r="AC619" s="106"/>
    </row>
    <row r="620" spans="1:29" ht="12.6" customHeight="1">
      <c r="A620" s="97"/>
      <c r="B620" s="98"/>
      <c r="C620" s="98"/>
      <c r="D620" s="97"/>
      <c r="E620" s="2361"/>
      <c r="F620" s="2359"/>
      <c r="G620" s="2359"/>
      <c r="H620" s="2359"/>
      <c r="I620" s="2359"/>
      <c r="J620" s="2359"/>
      <c r="K620" s="2359"/>
      <c r="L620" s="2359"/>
      <c r="M620" s="2359"/>
      <c r="N620" s="2359"/>
      <c r="O620" s="2359"/>
      <c r="P620" s="2359"/>
      <c r="Q620" s="2359"/>
      <c r="R620" s="2359"/>
      <c r="S620" s="2359"/>
      <c r="T620" s="2359"/>
      <c r="U620" s="2359"/>
      <c r="V620" s="2359"/>
      <c r="W620" s="2359"/>
      <c r="X620" s="97"/>
      <c r="Y620" s="106"/>
      <c r="Z620" s="97"/>
      <c r="AA620" s="106"/>
      <c r="AB620" s="97"/>
      <c r="AC620" s="106"/>
    </row>
    <row r="621" spans="1:29" ht="12.6" customHeight="1">
      <c r="A621" s="97"/>
      <c r="B621" s="98"/>
      <c r="C621" s="98"/>
      <c r="D621" s="97"/>
      <c r="E621" s="2361"/>
      <c r="F621" s="2359"/>
      <c r="G621" s="2359"/>
      <c r="H621" s="2359"/>
      <c r="I621" s="2359"/>
      <c r="J621" s="2359"/>
      <c r="K621" s="2359"/>
      <c r="L621" s="2359"/>
      <c r="M621" s="2359"/>
      <c r="N621" s="2359"/>
      <c r="O621" s="2359"/>
      <c r="P621" s="2359"/>
      <c r="Q621" s="2359"/>
      <c r="R621" s="2359"/>
      <c r="S621" s="2359"/>
      <c r="T621" s="2359"/>
      <c r="U621" s="2359"/>
      <c r="V621" s="2359"/>
      <c r="W621" s="2359"/>
      <c r="X621" s="97"/>
      <c r="Y621" s="106"/>
      <c r="Z621" s="97"/>
      <c r="AA621" s="106"/>
      <c r="AB621" s="97"/>
      <c r="AC621" s="106"/>
    </row>
    <row r="622" spans="1:29" ht="12.6" customHeight="1">
      <c r="A622" s="97"/>
      <c r="B622" s="98"/>
      <c r="C622" s="98"/>
      <c r="D622" s="97"/>
      <c r="E622" s="2361"/>
      <c r="F622" s="2359"/>
      <c r="G622" s="2359"/>
      <c r="H622" s="2359"/>
      <c r="I622" s="2359"/>
      <c r="J622" s="2359"/>
      <c r="K622" s="2359"/>
      <c r="L622" s="2359"/>
      <c r="M622" s="2359"/>
      <c r="N622" s="2359"/>
      <c r="O622" s="2359"/>
      <c r="P622" s="2359"/>
      <c r="Q622" s="2359"/>
      <c r="R622" s="2359"/>
      <c r="S622" s="2359"/>
      <c r="T622" s="2359"/>
      <c r="U622" s="2359"/>
      <c r="V622" s="2359"/>
      <c r="W622" s="2359"/>
      <c r="X622" s="97"/>
      <c r="Y622" s="106"/>
      <c r="Z622" s="97"/>
      <c r="AA622" s="106"/>
      <c r="AB622" s="97"/>
      <c r="AC622" s="106"/>
    </row>
    <row r="623" spans="1:29" ht="12.6" customHeight="1">
      <c r="A623" s="97"/>
      <c r="B623" s="98"/>
      <c r="C623" s="98"/>
      <c r="D623" s="97"/>
      <c r="E623" s="2361"/>
      <c r="F623" s="2359"/>
      <c r="G623" s="2359"/>
      <c r="H623" s="2359"/>
      <c r="I623" s="2359"/>
      <c r="J623" s="2359"/>
      <c r="K623" s="2359"/>
      <c r="L623" s="2359"/>
      <c r="M623" s="2359"/>
      <c r="N623" s="2359"/>
      <c r="O623" s="2359"/>
      <c r="P623" s="2359"/>
      <c r="Q623" s="2359"/>
      <c r="R623" s="2359"/>
      <c r="S623" s="2359"/>
      <c r="T623" s="2359"/>
      <c r="U623" s="2359"/>
      <c r="V623" s="2359"/>
      <c r="W623" s="2359"/>
      <c r="X623" s="97"/>
      <c r="Y623" s="106"/>
      <c r="Z623" s="97"/>
      <c r="AA623" s="106"/>
      <c r="AB623" s="97"/>
      <c r="AC623" s="106"/>
    </row>
    <row r="624" spans="1:29" ht="12.6" customHeight="1">
      <c r="A624" s="97"/>
      <c r="B624" s="98"/>
      <c r="C624" s="98"/>
      <c r="D624" s="97"/>
      <c r="E624" s="2361"/>
      <c r="F624" s="2359"/>
      <c r="G624" s="2359"/>
      <c r="H624" s="2359"/>
      <c r="I624" s="2359"/>
      <c r="J624" s="2359"/>
      <c r="K624" s="2359"/>
      <c r="L624" s="2359"/>
      <c r="M624" s="2359"/>
      <c r="N624" s="2359"/>
      <c r="O624" s="2359"/>
      <c r="P624" s="2359"/>
      <c r="Q624" s="2359"/>
      <c r="R624" s="2359"/>
      <c r="S624" s="2359"/>
      <c r="T624" s="2359"/>
      <c r="U624" s="2359"/>
      <c r="V624" s="2359"/>
      <c r="W624" s="2359"/>
      <c r="X624" s="97"/>
      <c r="Y624" s="106"/>
      <c r="Z624" s="97"/>
      <c r="AA624" s="106"/>
      <c r="AB624" s="97"/>
      <c r="AC624" s="106"/>
    </row>
    <row r="625" spans="1:29" ht="12.6" customHeight="1">
      <c r="A625" s="97"/>
      <c r="B625" s="98"/>
      <c r="C625" s="98"/>
      <c r="D625" s="97"/>
      <c r="E625" s="2361"/>
      <c r="F625" s="2359"/>
      <c r="G625" s="2359"/>
      <c r="H625" s="2359"/>
      <c r="I625" s="2359"/>
      <c r="J625" s="2359"/>
      <c r="K625" s="2359"/>
      <c r="L625" s="2359"/>
      <c r="M625" s="2359"/>
      <c r="N625" s="2359"/>
      <c r="O625" s="2359"/>
      <c r="P625" s="2359"/>
      <c r="Q625" s="2359"/>
      <c r="R625" s="2359"/>
      <c r="S625" s="2359"/>
      <c r="T625" s="2359"/>
      <c r="U625" s="2359"/>
      <c r="V625" s="2359"/>
      <c r="W625" s="2359"/>
      <c r="X625" s="97"/>
      <c r="Y625" s="106"/>
      <c r="Z625" s="97"/>
      <c r="AA625" s="106"/>
      <c r="AB625" s="97"/>
      <c r="AC625" s="106"/>
    </row>
    <row r="626" spans="1:29" ht="12.6" customHeight="1">
      <c r="A626" s="97"/>
      <c r="B626" s="98"/>
      <c r="C626" s="98"/>
      <c r="D626" s="97"/>
      <c r="E626" s="2361"/>
      <c r="F626" s="2359"/>
      <c r="G626" s="2359"/>
      <c r="H626" s="2359"/>
      <c r="I626" s="2359"/>
      <c r="J626" s="2359"/>
      <c r="K626" s="2359"/>
      <c r="L626" s="2359"/>
      <c r="M626" s="2359"/>
      <c r="N626" s="2359"/>
      <c r="O626" s="2359"/>
      <c r="P626" s="2359"/>
      <c r="Q626" s="2359"/>
      <c r="R626" s="2359"/>
      <c r="S626" s="2359"/>
      <c r="T626" s="2359"/>
      <c r="U626" s="2359"/>
      <c r="V626" s="2359"/>
      <c r="W626" s="2359"/>
      <c r="X626" s="97"/>
      <c r="Y626" s="106"/>
      <c r="Z626" s="97"/>
      <c r="AA626" s="106"/>
      <c r="AB626" s="97"/>
      <c r="AC626" s="106"/>
    </row>
    <row r="627" spans="1:29" ht="12.6" customHeight="1">
      <c r="A627" s="97"/>
      <c r="B627" s="98"/>
      <c r="C627" s="98"/>
      <c r="D627" s="97"/>
      <c r="E627" s="2361"/>
      <c r="F627" s="2359"/>
      <c r="G627" s="2359"/>
      <c r="H627" s="2359"/>
      <c r="I627" s="2359"/>
      <c r="J627" s="2359"/>
      <c r="K627" s="2359"/>
      <c r="L627" s="2359"/>
      <c r="M627" s="2359"/>
      <c r="N627" s="2359"/>
      <c r="O627" s="2359"/>
      <c r="P627" s="2359"/>
      <c r="Q627" s="2359"/>
      <c r="R627" s="2359"/>
      <c r="S627" s="2359"/>
      <c r="T627" s="2359"/>
      <c r="U627" s="2359"/>
      <c r="V627" s="2359"/>
      <c r="W627" s="2359"/>
      <c r="X627" s="97"/>
      <c r="Y627" s="106"/>
      <c r="Z627" s="97"/>
      <c r="AA627" s="106"/>
      <c r="AB627" s="97"/>
      <c r="AC627" s="106"/>
    </row>
    <row r="628" spans="1:29" ht="12.6" customHeight="1">
      <c r="A628" s="97"/>
      <c r="B628" s="98"/>
      <c r="C628" s="98"/>
      <c r="D628" s="97"/>
      <c r="E628" s="2361"/>
      <c r="F628" s="2359"/>
      <c r="G628" s="2359"/>
      <c r="H628" s="2359"/>
      <c r="I628" s="2359"/>
      <c r="J628" s="2359"/>
      <c r="K628" s="2359"/>
      <c r="L628" s="2359"/>
      <c r="M628" s="2359"/>
      <c r="N628" s="2359"/>
      <c r="O628" s="2359"/>
      <c r="P628" s="2359"/>
      <c r="Q628" s="2359"/>
      <c r="R628" s="2359"/>
      <c r="S628" s="2359"/>
      <c r="T628" s="2359"/>
      <c r="U628" s="2359"/>
      <c r="V628" s="2359"/>
      <c r="W628" s="2359"/>
      <c r="X628" s="97"/>
      <c r="Y628" s="106"/>
      <c r="Z628" s="97"/>
      <c r="AA628" s="106"/>
      <c r="AB628" s="97"/>
      <c r="AC628" s="106"/>
    </row>
    <row r="629" spans="1:29" ht="12.6" customHeight="1">
      <c r="A629" s="97"/>
      <c r="B629" s="98"/>
      <c r="C629" s="98"/>
      <c r="D629" s="97"/>
      <c r="E629" s="2361"/>
      <c r="F629" s="2359"/>
      <c r="G629" s="2359"/>
      <c r="H629" s="2359"/>
      <c r="I629" s="2359"/>
      <c r="J629" s="2359"/>
      <c r="K629" s="2359"/>
      <c r="L629" s="2359"/>
      <c r="M629" s="2359"/>
      <c r="N629" s="2359"/>
      <c r="O629" s="2359"/>
      <c r="P629" s="2359"/>
      <c r="Q629" s="2359"/>
      <c r="R629" s="2359"/>
      <c r="S629" s="2359"/>
      <c r="T629" s="2359"/>
      <c r="U629" s="2359"/>
      <c r="V629" s="2359"/>
      <c r="W629" s="2359"/>
      <c r="X629" s="97"/>
      <c r="Y629" s="106"/>
      <c r="Z629" s="97"/>
      <c r="AA629" s="106"/>
      <c r="AB629" s="97"/>
      <c r="AC629" s="106"/>
    </row>
    <row r="630" spans="1:29" ht="12.6" customHeight="1">
      <c r="A630" s="97"/>
      <c r="B630" s="98"/>
      <c r="C630" s="98"/>
      <c r="D630" s="97"/>
      <c r="E630" s="2361"/>
      <c r="F630" s="2359"/>
      <c r="G630" s="2359"/>
      <c r="H630" s="2359"/>
      <c r="I630" s="2359"/>
      <c r="J630" s="2359"/>
      <c r="K630" s="2359"/>
      <c r="L630" s="2359"/>
      <c r="M630" s="2359"/>
      <c r="N630" s="2359"/>
      <c r="O630" s="2359"/>
      <c r="P630" s="2359"/>
      <c r="Q630" s="2359"/>
      <c r="R630" s="2359"/>
      <c r="S630" s="2359"/>
      <c r="T630" s="2359"/>
      <c r="U630" s="2359"/>
      <c r="V630" s="2359"/>
      <c r="W630" s="2359"/>
      <c r="X630" s="97"/>
      <c r="Y630" s="106"/>
      <c r="Z630" s="97"/>
      <c r="AA630" s="106"/>
      <c r="AB630" s="97"/>
      <c r="AC630" s="106"/>
    </row>
    <row r="631" spans="1:29" ht="12.6" customHeight="1">
      <c r="A631" s="97"/>
      <c r="B631" s="98"/>
      <c r="C631" s="98"/>
      <c r="D631" s="97"/>
      <c r="E631" s="2361"/>
      <c r="F631" s="2359"/>
      <c r="G631" s="2359"/>
      <c r="H631" s="2359"/>
      <c r="I631" s="2359"/>
      <c r="J631" s="2359"/>
      <c r="K631" s="2359"/>
      <c r="L631" s="2359"/>
      <c r="M631" s="2359"/>
      <c r="N631" s="2359"/>
      <c r="O631" s="2359"/>
      <c r="P631" s="2359"/>
      <c r="Q631" s="2359"/>
      <c r="R631" s="2359"/>
      <c r="S631" s="2359"/>
      <c r="T631" s="2359"/>
      <c r="U631" s="2359"/>
      <c r="V631" s="2359"/>
      <c r="W631" s="2359"/>
      <c r="X631" s="97"/>
      <c r="Y631" s="106"/>
      <c r="Z631" s="97"/>
      <c r="AA631" s="106"/>
      <c r="AB631" s="97"/>
      <c r="AC631" s="106"/>
    </row>
    <row r="632" spans="1:29" ht="12.6" customHeight="1">
      <c r="A632" s="97"/>
      <c r="B632" s="98"/>
      <c r="C632" s="98"/>
      <c r="D632" s="97"/>
      <c r="E632" s="2361"/>
      <c r="F632" s="2359"/>
      <c r="G632" s="2359"/>
      <c r="H632" s="2359"/>
      <c r="I632" s="2359"/>
      <c r="J632" s="2359"/>
      <c r="K632" s="2359"/>
      <c r="L632" s="2359"/>
      <c r="M632" s="2359"/>
      <c r="N632" s="2359"/>
      <c r="O632" s="2359"/>
      <c r="P632" s="2359"/>
      <c r="Q632" s="2359"/>
      <c r="R632" s="2359"/>
      <c r="S632" s="2359"/>
      <c r="T632" s="2359"/>
      <c r="U632" s="2359"/>
      <c r="V632" s="2359"/>
      <c r="W632" s="2359"/>
      <c r="X632" s="97"/>
      <c r="Y632" s="106"/>
      <c r="Z632" s="97"/>
      <c r="AA632" s="106"/>
      <c r="AB632" s="97"/>
      <c r="AC632" s="106"/>
    </row>
    <row r="633" spans="1:29" ht="12.6" customHeight="1">
      <c r="A633" s="97"/>
      <c r="B633" s="98"/>
      <c r="C633" s="98"/>
      <c r="D633" s="97"/>
      <c r="E633" s="2361"/>
      <c r="F633" s="2359"/>
      <c r="G633" s="2359"/>
      <c r="H633" s="2359"/>
      <c r="I633" s="2359"/>
      <c r="J633" s="2359"/>
      <c r="K633" s="2359"/>
      <c r="L633" s="2359"/>
      <c r="M633" s="2359"/>
      <c r="N633" s="2359"/>
      <c r="O633" s="2359"/>
      <c r="P633" s="2359"/>
      <c r="Q633" s="2359"/>
      <c r="R633" s="2359"/>
      <c r="S633" s="2359"/>
      <c r="T633" s="2359"/>
      <c r="U633" s="2359"/>
      <c r="V633" s="2359"/>
      <c r="W633" s="2359"/>
      <c r="X633" s="97"/>
      <c r="Y633" s="106"/>
      <c r="Z633" s="97"/>
      <c r="AA633" s="106"/>
      <c r="AB633" s="97"/>
      <c r="AC633" s="106"/>
    </row>
    <row r="634" spans="1:29" ht="12.6" customHeight="1">
      <c r="A634" s="97"/>
      <c r="B634" s="98"/>
      <c r="C634" s="98"/>
      <c r="D634" s="97"/>
      <c r="E634" s="2361"/>
      <c r="F634" s="2359"/>
      <c r="G634" s="2359"/>
      <c r="H634" s="2359"/>
      <c r="I634" s="2359"/>
      <c r="J634" s="2359"/>
      <c r="K634" s="2359"/>
      <c r="L634" s="2359"/>
      <c r="M634" s="2359"/>
      <c r="N634" s="2359"/>
      <c r="O634" s="2359"/>
      <c r="P634" s="2359"/>
      <c r="Q634" s="2359"/>
      <c r="R634" s="2359"/>
      <c r="S634" s="2359"/>
      <c r="T634" s="2359"/>
      <c r="U634" s="2359"/>
      <c r="V634" s="2359"/>
      <c r="W634" s="2359"/>
      <c r="X634" s="97"/>
      <c r="Y634" s="106"/>
      <c r="Z634" s="97"/>
      <c r="AA634" s="106"/>
      <c r="AB634" s="97"/>
      <c r="AC634" s="106"/>
    </row>
    <row r="635" spans="1:29" ht="12.6" customHeight="1">
      <c r="A635" s="97"/>
      <c r="B635" s="98"/>
      <c r="C635" s="98"/>
      <c r="D635" s="97"/>
      <c r="E635" s="2361"/>
      <c r="F635" s="2359"/>
      <c r="G635" s="2359"/>
      <c r="H635" s="2359"/>
      <c r="I635" s="2359"/>
      <c r="J635" s="2359"/>
      <c r="K635" s="2359"/>
      <c r="L635" s="2359"/>
      <c r="M635" s="2359"/>
      <c r="N635" s="2359"/>
      <c r="O635" s="2359"/>
      <c r="P635" s="2359"/>
      <c r="Q635" s="2359"/>
      <c r="R635" s="2359"/>
      <c r="S635" s="2359"/>
      <c r="T635" s="2359"/>
      <c r="U635" s="2359"/>
      <c r="V635" s="2359"/>
      <c r="W635" s="2359"/>
      <c r="X635" s="97"/>
      <c r="Y635" s="106"/>
      <c r="Z635" s="97"/>
      <c r="AA635" s="106"/>
      <c r="AB635" s="97"/>
      <c r="AC635" s="106"/>
    </row>
    <row r="636" spans="1:29" ht="12.6" customHeight="1">
      <c r="A636" s="97"/>
      <c r="B636" s="98"/>
      <c r="C636" s="98"/>
      <c r="D636" s="97"/>
      <c r="E636" s="2361"/>
      <c r="F636" s="2359"/>
      <c r="G636" s="2359"/>
      <c r="H636" s="2359"/>
      <c r="I636" s="2359"/>
      <c r="J636" s="2359"/>
      <c r="K636" s="2359"/>
      <c r="L636" s="2359"/>
      <c r="M636" s="2359"/>
      <c r="N636" s="2359"/>
      <c r="O636" s="2359"/>
      <c r="P636" s="2359"/>
      <c r="Q636" s="2359"/>
      <c r="R636" s="2359"/>
      <c r="S636" s="2359"/>
      <c r="T636" s="2359"/>
      <c r="U636" s="2359"/>
      <c r="V636" s="2359"/>
      <c r="W636" s="2359"/>
      <c r="X636" s="97"/>
      <c r="Y636" s="106"/>
      <c r="Z636" s="97"/>
      <c r="AA636" s="106"/>
      <c r="AB636" s="97"/>
      <c r="AC636" s="106"/>
    </row>
    <row r="637" spans="1:29" ht="12.6" customHeight="1">
      <c r="A637" s="97"/>
      <c r="B637" s="98"/>
      <c r="C637" s="98"/>
      <c r="D637" s="97"/>
      <c r="E637" s="2361"/>
      <c r="F637" s="2359"/>
      <c r="G637" s="2359"/>
      <c r="H637" s="2359"/>
      <c r="I637" s="2359"/>
      <c r="J637" s="2359"/>
      <c r="K637" s="2359"/>
      <c r="L637" s="2359"/>
      <c r="M637" s="2359"/>
      <c r="N637" s="2359"/>
      <c r="O637" s="2359"/>
      <c r="P637" s="2359"/>
      <c r="Q637" s="2359"/>
      <c r="R637" s="2359"/>
      <c r="S637" s="2359"/>
      <c r="T637" s="2359"/>
      <c r="U637" s="2359"/>
      <c r="V637" s="2359"/>
      <c r="W637" s="2359"/>
      <c r="X637" s="97"/>
      <c r="Y637" s="106"/>
      <c r="Z637" s="97"/>
      <c r="AA637" s="106"/>
      <c r="AB637" s="97"/>
      <c r="AC637" s="106"/>
    </row>
    <row r="638" spans="1:29" ht="12.6" customHeight="1">
      <c r="A638" s="97"/>
      <c r="B638" s="98"/>
      <c r="C638" s="98"/>
      <c r="D638" s="97"/>
      <c r="E638" s="2361"/>
      <c r="F638" s="2359"/>
      <c r="G638" s="2359"/>
      <c r="H638" s="2359"/>
      <c r="I638" s="2359"/>
      <c r="J638" s="2359"/>
      <c r="K638" s="2359"/>
      <c r="L638" s="2359"/>
      <c r="M638" s="2359"/>
      <c r="N638" s="2359"/>
      <c r="O638" s="2359"/>
      <c r="P638" s="2359"/>
      <c r="Q638" s="2359"/>
      <c r="R638" s="2359"/>
      <c r="S638" s="2359"/>
      <c r="T638" s="2359"/>
      <c r="U638" s="2359"/>
      <c r="V638" s="2359"/>
      <c r="W638" s="2359"/>
      <c r="X638" s="97"/>
      <c r="Y638" s="106"/>
      <c r="Z638" s="97"/>
      <c r="AA638" s="106"/>
      <c r="AB638" s="97"/>
      <c r="AC638" s="106"/>
    </row>
    <row r="639" spans="1:29" ht="12.6" customHeight="1">
      <c r="A639" s="97"/>
      <c r="B639" s="98"/>
      <c r="C639" s="98"/>
      <c r="D639" s="97"/>
      <c r="E639" s="2361"/>
      <c r="F639" s="2359"/>
      <c r="G639" s="2359"/>
      <c r="H639" s="2359"/>
      <c r="I639" s="2359"/>
      <c r="J639" s="2359"/>
      <c r="K639" s="2359"/>
      <c r="L639" s="2359"/>
      <c r="M639" s="2359"/>
      <c r="N639" s="2359"/>
      <c r="O639" s="2359"/>
      <c r="P639" s="2359"/>
      <c r="Q639" s="2359"/>
      <c r="R639" s="2359"/>
      <c r="S639" s="2359"/>
      <c r="T639" s="2359"/>
      <c r="U639" s="2359"/>
      <c r="V639" s="2359"/>
      <c r="W639" s="2359"/>
      <c r="X639" s="97"/>
      <c r="Y639" s="106"/>
      <c r="Z639" s="97"/>
      <c r="AA639" s="106"/>
      <c r="AB639" s="97"/>
      <c r="AC639" s="106"/>
    </row>
    <row r="640" spans="1:29" ht="12.6" customHeight="1">
      <c r="A640" s="97"/>
      <c r="B640" s="98"/>
      <c r="C640" s="98"/>
      <c r="D640" s="97"/>
      <c r="E640" s="2361"/>
      <c r="F640" s="2359"/>
      <c r="G640" s="2359"/>
      <c r="H640" s="2359"/>
      <c r="I640" s="2359"/>
      <c r="J640" s="2359"/>
      <c r="K640" s="2359"/>
      <c r="L640" s="2359"/>
      <c r="M640" s="2359"/>
      <c r="N640" s="2359"/>
      <c r="O640" s="2359"/>
      <c r="P640" s="2359"/>
      <c r="Q640" s="2359"/>
      <c r="R640" s="2359"/>
      <c r="S640" s="2359"/>
      <c r="T640" s="2359"/>
      <c r="U640" s="2359"/>
      <c r="V640" s="2359"/>
      <c r="W640" s="2359"/>
      <c r="X640" s="97"/>
      <c r="Y640" s="106"/>
      <c r="Z640" s="97"/>
      <c r="AA640" s="106"/>
      <c r="AB640" s="97"/>
      <c r="AC640" s="106"/>
    </row>
    <row r="641" spans="1:29" ht="12.6" customHeight="1">
      <c r="A641" s="97"/>
      <c r="B641" s="98"/>
      <c r="C641" s="98"/>
      <c r="D641" s="97"/>
      <c r="E641" s="2361"/>
      <c r="F641" s="2359"/>
      <c r="G641" s="2359"/>
      <c r="H641" s="2359"/>
      <c r="I641" s="2359"/>
      <c r="J641" s="2359"/>
      <c r="K641" s="2359"/>
      <c r="L641" s="2359"/>
      <c r="M641" s="2359"/>
      <c r="N641" s="2359"/>
      <c r="O641" s="2359"/>
      <c r="P641" s="2359"/>
      <c r="Q641" s="2359"/>
      <c r="R641" s="2359"/>
      <c r="S641" s="2359"/>
      <c r="T641" s="2359"/>
      <c r="U641" s="2359"/>
      <c r="V641" s="2359"/>
      <c r="W641" s="2359"/>
      <c r="X641" s="97"/>
      <c r="Y641" s="106"/>
      <c r="Z641" s="97"/>
      <c r="AA641" s="106"/>
      <c r="AB641" s="97"/>
      <c r="AC641" s="106"/>
    </row>
    <row r="642" spans="1:29" ht="12.6" customHeight="1">
      <c r="A642" s="97"/>
      <c r="B642" s="98"/>
      <c r="C642" s="98"/>
      <c r="D642" s="97"/>
      <c r="E642" s="2361"/>
      <c r="F642" s="2359"/>
      <c r="G642" s="2359"/>
      <c r="H642" s="2359"/>
      <c r="I642" s="2359"/>
      <c r="J642" s="2359"/>
      <c r="K642" s="2359"/>
      <c r="L642" s="2359"/>
      <c r="M642" s="2359"/>
      <c r="N642" s="2359"/>
      <c r="O642" s="2359"/>
      <c r="P642" s="2359"/>
      <c r="Q642" s="2359"/>
      <c r="R642" s="2359"/>
      <c r="S642" s="2359"/>
      <c r="T642" s="2359"/>
      <c r="U642" s="2359"/>
      <c r="V642" s="2359"/>
      <c r="W642" s="2359"/>
      <c r="X642" s="97"/>
      <c r="Y642" s="106"/>
      <c r="Z642" s="97"/>
      <c r="AA642" s="106"/>
      <c r="AB642" s="97"/>
      <c r="AC642" s="106"/>
    </row>
    <row r="643" spans="1:29" ht="12.6" customHeight="1">
      <c r="A643" s="97"/>
      <c r="B643" s="98"/>
      <c r="C643" s="98"/>
      <c r="D643" s="97"/>
      <c r="E643" s="2361"/>
      <c r="F643" s="2359"/>
      <c r="G643" s="2359"/>
      <c r="H643" s="2359"/>
      <c r="I643" s="2359"/>
      <c r="J643" s="2359"/>
      <c r="K643" s="2359"/>
      <c r="L643" s="2359"/>
      <c r="M643" s="2359"/>
      <c r="N643" s="2359"/>
      <c r="O643" s="2359"/>
      <c r="P643" s="2359"/>
      <c r="Q643" s="2359"/>
      <c r="R643" s="2359"/>
      <c r="S643" s="2359"/>
      <c r="T643" s="2359"/>
      <c r="U643" s="2359"/>
      <c r="V643" s="2359"/>
      <c r="W643" s="2359"/>
      <c r="X643" s="97"/>
      <c r="Y643" s="106"/>
      <c r="Z643" s="97"/>
      <c r="AA643" s="106"/>
      <c r="AB643" s="97"/>
      <c r="AC643" s="106"/>
    </row>
    <row r="644" spans="1:29" ht="12.6" customHeight="1">
      <c r="A644" s="97"/>
      <c r="B644" s="98"/>
      <c r="C644" s="98"/>
      <c r="D644" s="97"/>
      <c r="E644" s="2361"/>
      <c r="F644" s="2359"/>
      <c r="G644" s="2359"/>
      <c r="H644" s="2359"/>
      <c r="I644" s="2359"/>
      <c r="J644" s="2359"/>
      <c r="K644" s="2359"/>
      <c r="L644" s="2359"/>
      <c r="M644" s="2359"/>
      <c r="N644" s="2359"/>
      <c r="O644" s="2359"/>
      <c r="P644" s="2359"/>
      <c r="Q644" s="2359"/>
      <c r="R644" s="2359"/>
      <c r="S644" s="2359"/>
      <c r="T644" s="2359"/>
      <c r="U644" s="2359"/>
      <c r="V644" s="2359"/>
      <c r="W644" s="2359"/>
      <c r="X644" s="97"/>
      <c r="Y644" s="106"/>
      <c r="Z644" s="97"/>
      <c r="AA644" s="106"/>
      <c r="AB644" s="97"/>
      <c r="AC644" s="106"/>
    </row>
    <row r="645" spans="1:29" ht="12.6" customHeight="1">
      <c r="A645" s="97"/>
      <c r="B645" s="98"/>
      <c r="C645" s="98"/>
      <c r="D645" s="97"/>
      <c r="E645" s="2361"/>
      <c r="F645" s="2359"/>
      <c r="G645" s="2359"/>
      <c r="H645" s="2359"/>
      <c r="I645" s="2359"/>
      <c r="J645" s="2359"/>
      <c r="K645" s="2359"/>
      <c r="L645" s="2359"/>
      <c r="M645" s="2359"/>
      <c r="N645" s="2359"/>
      <c r="O645" s="2359"/>
      <c r="P645" s="2359"/>
      <c r="Q645" s="2359"/>
      <c r="R645" s="2359"/>
      <c r="S645" s="2359"/>
      <c r="T645" s="2359"/>
      <c r="U645" s="2359"/>
      <c r="V645" s="2359"/>
      <c r="W645" s="2359"/>
      <c r="X645" s="97"/>
      <c r="Y645" s="106"/>
      <c r="Z645" s="97"/>
      <c r="AA645" s="106"/>
      <c r="AB645" s="97"/>
      <c r="AC645" s="106"/>
    </row>
    <row r="646" spans="1:29" ht="12.6" customHeight="1">
      <c r="A646" s="97"/>
      <c r="B646" s="98"/>
      <c r="C646" s="98"/>
      <c r="D646" s="97"/>
      <c r="E646" s="2361"/>
      <c r="F646" s="2359"/>
      <c r="G646" s="2359"/>
      <c r="H646" s="2359"/>
      <c r="I646" s="2359"/>
      <c r="J646" s="2359"/>
      <c r="K646" s="2359"/>
      <c r="L646" s="2359"/>
      <c r="M646" s="2359"/>
      <c r="N646" s="2359"/>
      <c r="O646" s="2359"/>
      <c r="P646" s="2359"/>
      <c r="Q646" s="2359"/>
      <c r="R646" s="2359"/>
      <c r="S646" s="2359"/>
      <c r="T646" s="2359"/>
      <c r="U646" s="2359"/>
      <c r="V646" s="2359"/>
      <c r="W646" s="2359"/>
      <c r="X646" s="97"/>
      <c r="Y646" s="106"/>
      <c r="Z646" s="97"/>
      <c r="AA646" s="106"/>
      <c r="AB646" s="97"/>
      <c r="AC646" s="106"/>
    </row>
    <row r="647" spans="1:29" ht="12.6" customHeight="1">
      <c r="A647" s="97"/>
      <c r="B647" s="98"/>
      <c r="C647" s="98"/>
      <c r="D647" s="97"/>
      <c r="E647" s="2361"/>
      <c r="F647" s="2359"/>
      <c r="G647" s="2359"/>
      <c r="H647" s="2359"/>
      <c r="I647" s="2359"/>
      <c r="J647" s="2359"/>
      <c r="K647" s="2359"/>
      <c r="L647" s="2359"/>
      <c r="M647" s="2359"/>
      <c r="N647" s="2359"/>
      <c r="O647" s="2359"/>
      <c r="P647" s="2359"/>
      <c r="Q647" s="2359"/>
      <c r="R647" s="2359"/>
      <c r="S647" s="2359"/>
      <c r="T647" s="2359"/>
      <c r="U647" s="2359"/>
      <c r="V647" s="2359"/>
      <c r="W647" s="2359"/>
      <c r="X647" s="97"/>
      <c r="Y647" s="106"/>
      <c r="Z647" s="97"/>
      <c r="AA647" s="106"/>
      <c r="AB647" s="97"/>
      <c r="AC647" s="106"/>
    </row>
    <row r="648" spans="1:29" ht="12.6" customHeight="1">
      <c r="A648" s="97"/>
      <c r="B648" s="98"/>
      <c r="C648" s="98"/>
      <c r="D648" s="97"/>
      <c r="E648" s="2361"/>
      <c r="F648" s="2359"/>
      <c r="G648" s="2359"/>
      <c r="H648" s="2359"/>
      <c r="I648" s="2359"/>
      <c r="J648" s="2359"/>
      <c r="K648" s="2359"/>
      <c r="L648" s="2359"/>
      <c r="M648" s="2359"/>
      <c r="N648" s="2359"/>
      <c r="O648" s="2359"/>
      <c r="P648" s="2359"/>
      <c r="Q648" s="2359"/>
      <c r="R648" s="2359"/>
      <c r="S648" s="2359"/>
      <c r="T648" s="2359"/>
      <c r="U648" s="2359"/>
      <c r="V648" s="2359"/>
      <c r="W648" s="2359"/>
      <c r="X648" s="97"/>
      <c r="Y648" s="106"/>
      <c r="Z648" s="97"/>
      <c r="AA648" s="106"/>
      <c r="AB648" s="97"/>
      <c r="AC648" s="106"/>
    </row>
    <row r="649" spans="1:29" ht="12.6" customHeight="1">
      <c r="A649" s="97"/>
      <c r="B649" s="98"/>
      <c r="C649" s="98"/>
      <c r="D649" s="97"/>
      <c r="E649" s="2361"/>
      <c r="F649" s="2359"/>
      <c r="G649" s="2359"/>
      <c r="H649" s="2359"/>
      <c r="I649" s="2359"/>
      <c r="J649" s="2359"/>
      <c r="K649" s="2359"/>
      <c r="L649" s="2359"/>
      <c r="M649" s="2359"/>
      <c r="N649" s="2359"/>
      <c r="O649" s="2359"/>
      <c r="P649" s="2359"/>
      <c r="Q649" s="2359"/>
      <c r="R649" s="2359"/>
      <c r="S649" s="2359"/>
      <c r="T649" s="2359"/>
      <c r="U649" s="2359"/>
      <c r="V649" s="2359"/>
      <c r="W649" s="2359"/>
      <c r="X649" s="97"/>
      <c r="Y649" s="106"/>
      <c r="Z649" s="97"/>
      <c r="AA649" s="106"/>
      <c r="AB649" s="97"/>
      <c r="AC649" s="106"/>
    </row>
    <row r="650" spans="1:29" ht="12.6" customHeight="1">
      <c r="A650" s="97"/>
      <c r="B650" s="98"/>
      <c r="C650" s="98"/>
      <c r="D650" s="97"/>
      <c r="E650" s="2361"/>
      <c r="F650" s="2359"/>
      <c r="G650" s="2359"/>
      <c r="H650" s="2359"/>
      <c r="I650" s="2359"/>
      <c r="J650" s="2359"/>
      <c r="K650" s="2359"/>
      <c r="L650" s="2359"/>
      <c r="M650" s="2359"/>
      <c r="N650" s="2359"/>
      <c r="O650" s="2359"/>
      <c r="P650" s="2359"/>
      <c r="Q650" s="2359"/>
      <c r="R650" s="2359"/>
      <c r="S650" s="2359"/>
      <c r="T650" s="2359"/>
      <c r="U650" s="2359"/>
      <c r="V650" s="2359"/>
      <c r="W650" s="2359"/>
      <c r="X650" s="97"/>
      <c r="Y650" s="106"/>
      <c r="Z650" s="97"/>
      <c r="AA650" s="106"/>
      <c r="AB650" s="97"/>
      <c r="AC650" s="106"/>
    </row>
    <row r="651" spans="1:29" ht="12.6" customHeight="1">
      <c r="A651" s="97"/>
      <c r="B651" s="98"/>
      <c r="C651" s="98"/>
      <c r="D651" s="97"/>
      <c r="E651" s="2361"/>
      <c r="F651" s="2359"/>
      <c r="G651" s="2359"/>
      <c r="H651" s="2359"/>
      <c r="I651" s="2359"/>
      <c r="J651" s="2359"/>
      <c r="K651" s="2359"/>
      <c r="L651" s="2359"/>
      <c r="M651" s="2359"/>
      <c r="N651" s="2359"/>
      <c r="O651" s="2359"/>
      <c r="P651" s="2359"/>
      <c r="Q651" s="2359"/>
      <c r="R651" s="2359"/>
      <c r="S651" s="2359"/>
      <c r="T651" s="2359"/>
      <c r="U651" s="2359"/>
      <c r="V651" s="2359"/>
      <c r="W651" s="2359"/>
      <c r="X651" s="97"/>
      <c r="Y651" s="106"/>
      <c r="Z651" s="97"/>
      <c r="AA651" s="106"/>
      <c r="AB651" s="97"/>
      <c r="AC651" s="106"/>
    </row>
    <row r="652" spans="1:29" ht="12.6" customHeight="1">
      <c r="A652" s="97"/>
      <c r="B652" s="98"/>
      <c r="C652" s="98"/>
      <c r="D652" s="97"/>
      <c r="E652" s="2361"/>
      <c r="F652" s="2359"/>
      <c r="G652" s="2359"/>
      <c r="H652" s="2359"/>
      <c r="I652" s="2359"/>
      <c r="J652" s="2359"/>
      <c r="K652" s="2359"/>
      <c r="L652" s="2359"/>
      <c r="M652" s="2359"/>
      <c r="N652" s="2359"/>
      <c r="O652" s="2359"/>
      <c r="P652" s="2359"/>
      <c r="Q652" s="2359"/>
      <c r="R652" s="2359"/>
      <c r="S652" s="2359"/>
      <c r="T652" s="2359"/>
      <c r="U652" s="2359"/>
      <c r="V652" s="2359"/>
      <c r="W652" s="2359"/>
      <c r="X652" s="97"/>
      <c r="Y652" s="106"/>
      <c r="Z652" s="97"/>
      <c r="AA652" s="106"/>
      <c r="AB652" s="97"/>
      <c r="AC652" s="106"/>
    </row>
    <row r="653" spans="1:29" ht="12.6" customHeight="1">
      <c r="A653" s="97"/>
      <c r="B653" s="98"/>
      <c r="C653" s="98"/>
      <c r="D653" s="97"/>
      <c r="E653" s="2361"/>
      <c r="F653" s="2359"/>
      <c r="G653" s="2359"/>
      <c r="H653" s="2359"/>
      <c r="I653" s="2359"/>
      <c r="J653" s="2359"/>
      <c r="K653" s="2359"/>
      <c r="L653" s="2359"/>
      <c r="M653" s="2359"/>
      <c r="N653" s="2359"/>
      <c r="O653" s="2359"/>
      <c r="P653" s="2359"/>
      <c r="Q653" s="2359"/>
      <c r="R653" s="2359"/>
      <c r="S653" s="2359"/>
      <c r="T653" s="2359"/>
      <c r="U653" s="2359"/>
      <c r="V653" s="2359"/>
      <c r="W653" s="2359"/>
      <c r="X653" s="97"/>
      <c r="Y653" s="106"/>
      <c r="Z653" s="97"/>
      <c r="AA653" s="106"/>
      <c r="AB653" s="97"/>
      <c r="AC653" s="106"/>
    </row>
    <row r="654" spans="1:29" ht="12.6" customHeight="1">
      <c r="A654" s="97"/>
      <c r="B654" s="98"/>
      <c r="C654" s="98"/>
      <c r="D654" s="97"/>
      <c r="E654" s="2361"/>
      <c r="F654" s="2359"/>
      <c r="G654" s="2359"/>
      <c r="H654" s="2359"/>
      <c r="I654" s="2359"/>
      <c r="J654" s="2359"/>
      <c r="K654" s="2359"/>
      <c r="L654" s="2359"/>
      <c r="M654" s="2359"/>
      <c r="N654" s="2359"/>
      <c r="O654" s="2359"/>
      <c r="P654" s="2359"/>
      <c r="Q654" s="2359"/>
      <c r="R654" s="2359"/>
      <c r="S654" s="2359"/>
      <c r="T654" s="2359"/>
      <c r="U654" s="2359"/>
      <c r="V654" s="2359"/>
      <c r="W654" s="2359"/>
      <c r="X654" s="97"/>
      <c r="Y654" s="106"/>
      <c r="Z654" s="97"/>
      <c r="AA654" s="106"/>
      <c r="AB654" s="97"/>
      <c r="AC654" s="106"/>
    </row>
    <row r="655" spans="1:29" ht="12.6" customHeight="1">
      <c r="A655" s="97"/>
      <c r="B655" s="98"/>
      <c r="C655" s="98"/>
      <c r="D655" s="97"/>
      <c r="E655" s="2361"/>
      <c r="F655" s="2359"/>
      <c r="G655" s="2359"/>
      <c r="H655" s="2359"/>
      <c r="I655" s="2359"/>
      <c r="J655" s="2359"/>
      <c r="K655" s="2359"/>
      <c r="L655" s="2359"/>
      <c r="M655" s="2359"/>
      <c r="N655" s="2359"/>
      <c r="O655" s="2359"/>
      <c r="P655" s="2359"/>
      <c r="Q655" s="2359"/>
      <c r="R655" s="2359"/>
      <c r="S655" s="2359"/>
      <c r="T655" s="2359"/>
      <c r="U655" s="2359"/>
      <c r="V655" s="2359"/>
      <c r="W655" s="2359"/>
      <c r="X655" s="97"/>
      <c r="Y655" s="108"/>
      <c r="Z655" s="97"/>
      <c r="AA655" s="106"/>
      <c r="AB655" s="97"/>
      <c r="AC655" s="106"/>
    </row>
    <row r="656" spans="1:29" ht="12.6" customHeight="1">
      <c r="A656" s="97"/>
      <c r="B656" s="98"/>
      <c r="C656" s="98"/>
      <c r="D656" s="97"/>
      <c r="E656" s="2361"/>
      <c r="F656" s="2359"/>
      <c r="G656" s="2359"/>
      <c r="H656" s="2359"/>
      <c r="I656" s="2359"/>
      <c r="J656" s="2359"/>
      <c r="K656" s="2359"/>
      <c r="L656" s="2359"/>
      <c r="M656" s="2359"/>
      <c r="N656" s="2359"/>
      <c r="O656" s="2359"/>
      <c r="P656" s="2359"/>
      <c r="Q656" s="2359"/>
      <c r="R656" s="2359"/>
      <c r="S656" s="2359"/>
      <c r="T656" s="2359"/>
      <c r="U656" s="2359"/>
      <c r="V656" s="2359"/>
      <c r="W656" s="2359"/>
      <c r="X656" s="97"/>
      <c r="Y656" s="106"/>
      <c r="Z656" s="97"/>
      <c r="AA656" s="108"/>
      <c r="AB656" s="97"/>
      <c r="AC656" s="108"/>
    </row>
    <row r="657" spans="1:29" ht="12.6" customHeight="1">
      <c r="A657" s="97"/>
      <c r="B657" s="98"/>
      <c r="C657" s="98"/>
      <c r="D657" s="97"/>
      <c r="E657" s="2361"/>
      <c r="F657" s="2359"/>
      <c r="G657" s="2359"/>
      <c r="H657" s="2359"/>
      <c r="I657" s="2359"/>
      <c r="J657" s="2359"/>
      <c r="K657" s="2359"/>
      <c r="L657" s="2359"/>
      <c r="M657" s="2359"/>
      <c r="N657" s="2359"/>
      <c r="O657" s="2359"/>
      <c r="P657" s="2359"/>
      <c r="Q657" s="2359"/>
      <c r="R657" s="2359"/>
      <c r="S657" s="2359"/>
      <c r="T657" s="2359"/>
      <c r="U657" s="2359"/>
      <c r="V657" s="2359"/>
      <c r="W657" s="2359"/>
      <c r="X657" s="97"/>
      <c r="Y657" s="106"/>
      <c r="Z657" s="97"/>
      <c r="AA657" s="106"/>
      <c r="AB657" s="97"/>
      <c r="AC657" s="106"/>
    </row>
    <row r="658" spans="1:29" ht="12.6" customHeight="1">
      <c r="A658" s="97"/>
      <c r="B658" s="98"/>
      <c r="C658" s="98"/>
      <c r="D658" s="97"/>
      <c r="E658" s="2361"/>
      <c r="F658" s="2359"/>
      <c r="G658" s="2359"/>
      <c r="H658" s="2359"/>
      <c r="I658" s="2359"/>
      <c r="J658" s="2359"/>
      <c r="K658" s="2359"/>
      <c r="L658" s="2359"/>
      <c r="M658" s="2359"/>
      <c r="N658" s="2359"/>
      <c r="O658" s="2359"/>
      <c r="P658" s="2359"/>
      <c r="Q658" s="2359"/>
      <c r="R658" s="2359"/>
      <c r="S658" s="2359"/>
      <c r="T658" s="2359"/>
      <c r="U658" s="2359"/>
      <c r="V658" s="2359"/>
      <c r="W658" s="2359"/>
      <c r="X658" s="97"/>
      <c r="Y658" s="106"/>
      <c r="Z658" s="97"/>
      <c r="AA658" s="106"/>
      <c r="AB658" s="97"/>
      <c r="AC658" s="106"/>
    </row>
    <row r="659" spans="1:29" ht="12.6" customHeight="1">
      <c r="A659" s="97"/>
      <c r="B659" s="98"/>
      <c r="C659" s="98"/>
      <c r="D659" s="97"/>
      <c r="E659" s="2361"/>
      <c r="F659" s="2359"/>
      <c r="G659" s="2359"/>
      <c r="H659" s="2359"/>
      <c r="I659" s="2359"/>
      <c r="J659" s="2359"/>
      <c r="K659" s="2359"/>
      <c r="L659" s="2359"/>
      <c r="M659" s="2359"/>
      <c r="N659" s="2359"/>
      <c r="O659" s="2359"/>
      <c r="P659" s="2359"/>
      <c r="Q659" s="2359"/>
      <c r="R659" s="2359"/>
      <c r="S659" s="2359"/>
      <c r="T659" s="2359"/>
      <c r="U659" s="2359"/>
      <c r="V659" s="2359"/>
      <c r="W659" s="2359"/>
      <c r="X659" s="97"/>
      <c r="Y659" s="106"/>
      <c r="Z659" s="97"/>
      <c r="AA659" s="106"/>
      <c r="AB659" s="97"/>
      <c r="AC659" s="106"/>
    </row>
    <row r="660" spans="1:29" ht="12.6" customHeight="1">
      <c r="A660" s="97"/>
      <c r="B660" s="98"/>
      <c r="C660" s="98"/>
      <c r="D660" s="97"/>
      <c r="E660" s="2361"/>
      <c r="F660" s="2359"/>
      <c r="G660" s="2359"/>
      <c r="H660" s="2359"/>
      <c r="I660" s="2359"/>
      <c r="J660" s="2359"/>
      <c r="K660" s="2359"/>
      <c r="L660" s="2359"/>
      <c r="M660" s="2359"/>
      <c r="N660" s="2359"/>
      <c r="O660" s="2359"/>
      <c r="P660" s="2359"/>
      <c r="Q660" s="2359"/>
      <c r="R660" s="2359"/>
      <c r="S660" s="2359"/>
      <c r="T660" s="2359"/>
      <c r="U660" s="2359"/>
      <c r="V660" s="2359"/>
      <c r="W660" s="2359"/>
      <c r="X660" s="97"/>
      <c r="Y660" s="106"/>
      <c r="Z660" s="97"/>
      <c r="AA660" s="106"/>
      <c r="AB660" s="97"/>
      <c r="AC660" s="106"/>
    </row>
    <row r="661" spans="1:29" ht="12.6" customHeight="1">
      <c r="A661" s="97"/>
      <c r="B661" s="98"/>
      <c r="C661" s="98"/>
      <c r="D661" s="97"/>
      <c r="E661" s="2361"/>
      <c r="F661" s="2359"/>
      <c r="G661" s="2359"/>
      <c r="H661" s="2359"/>
      <c r="I661" s="2359"/>
      <c r="J661" s="2359"/>
      <c r="K661" s="2359"/>
      <c r="L661" s="2359"/>
      <c r="M661" s="2359"/>
      <c r="N661" s="2359"/>
      <c r="O661" s="2359"/>
      <c r="P661" s="2359"/>
      <c r="Q661" s="2359"/>
      <c r="R661" s="2359"/>
      <c r="S661" s="2359"/>
      <c r="T661" s="2359"/>
      <c r="U661" s="2359"/>
      <c r="V661" s="2359"/>
      <c r="W661" s="2359"/>
      <c r="X661" s="97"/>
      <c r="Y661" s="106"/>
      <c r="Z661" s="97"/>
      <c r="AA661" s="106"/>
      <c r="AB661" s="97"/>
      <c r="AC661" s="106"/>
    </row>
    <row r="662" spans="1:29" ht="12.6" customHeight="1">
      <c r="A662" s="97"/>
      <c r="B662" s="98"/>
      <c r="C662" s="98"/>
      <c r="D662" s="97"/>
      <c r="E662" s="2361"/>
      <c r="F662" s="2359"/>
      <c r="G662" s="2359"/>
      <c r="H662" s="2359"/>
      <c r="I662" s="2359"/>
      <c r="J662" s="2359"/>
      <c r="K662" s="2359"/>
      <c r="L662" s="2359"/>
      <c r="M662" s="2359"/>
      <c r="N662" s="2359"/>
      <c r="O662" s="2359"/>
      <c r="P662" s="2359"/>
      <c r="Q662" s="2359"/>
      <c r="R662" s="2359"/>
      <c r="S662" s="2359"/>
      <c r="T662" s="2359"/>
      <c r="U662" s="2359"/>
      <c r="V662" s="2359"/>
      <c r="W662" s="2359"/>
      <c r="X662" s="97"/>
      <c r="Y662" s="106"/>
      <c r="Z662" s="97"/>
      <c r="AA662" s="106"/>
      <c r="AB662" s="97"/>
      <c r="AC662" s="106"/>
    </row>
    <row r="663" spans="1:29" ht="12.6" customHeight="1">
      <c r="A663" s="97"/>
      <c r="B663" s="98"/>
      <c r="C663" s="98"/>
      <c r="D663" s="97"/>
      <c r="E663" s="2361"/>
      <c r="F663" s="2359"/>
      <c r="G663" s="2359"/>
      <c r="H663" s="2359"/>
      <c r="I663" s="2359"/>
      <c r="J663" s="2359"/>
      <c r="K663" s="2359"/>
      <c r="L663" s="2359"/>
      <c r="M663" s="2359"/>
      <c r="N663" s="2359"/>
      <c r="O663" s="2359"/>
      <c r="P663" s="2359"/>
      <c r="Q663" s="2359"/>
      <c r="R663" s="2359"/>
      <c r="S663" s="2359"/>
      <c r="T663" s="2359"/>
      <c r="U663" s="2359"/>
      <c r="V663" s="2359"/>
      <c r="W663" s="2359"/>
      <c r="X663" s="97"/>
      <c r="Y663" s="106"/>
      <c r="Z663" s="97"/>
      <c r="AA663" s="106"/>
      <c r="AB663" s="97"/>
      <c r="AC663" s="106"/>
    </row>
    <row r="664" spans="1:29" ht="12.6" customHeight="1">
      <c r="A664" s="97"/>
      <c r="B664" s="98"/>
      <c r="C664" s="98"/>
      <c r="D664" s="97"/>
      <c r="E664" s="2361"/>
      <c r="F664" s="2359"/>
      <c r="G664" s="2359"/>
      <c r="H664" s="2359"/>
      <c r="I664" s="2359"/>
      <c r="J664" s="2359"/>
      <c r="K664" s="2359"/>
      <c r="L664" s="2359"/>
      <c r="M664" s="2359"/>
      <c r="N664" s="2359"/>
      <c r="O664" s="2359"/>
      <c r="P664" s="2359"/>
      <c r="Q664" s="2359"/>
      <c r="R664" s="2359"/>
      <c r="S664" s="2359"/>
      <c r="T664" s="2359"/>
      <c r="U664" s="2359"/>
      <c r="V664" s="2359"/>
      <c r="W664" s="2359"/>
      <c r="X664" s="97"/>
      <c r="Y664" s="106"/>
      <c r="Z664" s="97"/>
      <c r="AA664" s="106"/>
      <c r="AB664" s="97"/>
      <c r="AC664" s="106"/>
    </row>
    <row r="665" spans="1:29" ht="12.6" customHeight="1">
      <c r="A665" s="97"/>
      <c r="B665" s="98"/>
      <c r="C665" s="98"/>
      <c r="D665" s="97"/>
      <c r="E665" s="2361"/>
      <c r="F665" s="2359"/>
      <c r="G665" s="2359"/>
      <c r="H665" s="2359"/>
      <c r="I665" s="2359"/>
      <c r="J665" s="2359"/>
      <c r="K665" s="2359"/>
      <c r="L665" s="2359"/>
      <c r="M665" s="2359"/>
      <c r="N665" s="2359"/>
      <c r="O665" s="2359"/>
      <c r="P665" s="2359"/>
      <c r="Q665" s="2359"/>
      <c r="R665" s="2359"/>
      <c r="S665" s="2359"/>
      <c r="T665" s="2359"/>
      <c r="U665" s="2359"/>
      <c r="V665" s="2359"/>
      <c r="W665" s="2359"/>
      <c r="X665" s="97"/>
      <c r="Y665" s="106"/>
      <c r="Z665" s="97"/>
      <c r="AA665" s="106"/>
      <c r="AB665" s="97"/>
      <c r="AC665" s="106"/>
    </row>
    <row r="666" spans="1:29" ht="12.6" customHeight="1">
      <c r="A666" s="97"/>
      <c r="B666" s="98"/>
      <c r="C666" s="98"/>
      <c r="D666" s="97"/>
      <c r="E666" s="2361"/>
      <c r="F666" s="2359"/>
      <c r="G666" s="2359"/>
      <c r="H666" s="2359"/>
      <c r="I666" s="2359"/>
      <c r="J666" s="2359"/>
      <c r="K666" s="2359"/>
      <c r="L666" s="2359"/>
      <c r="M666" s="2359"/>
      <c r="N666" s="2359"/>
      <c r="O666" s="2359"/>
      <c r="P666" s="2359"/>
      <c r="Q666" s="2359"/>
      <c r="R666" s="2359"/>
      <c r="S666" s="2359"/>
      <c r="T666" s="2359"/>
      <c r="U666" s="2359"/>
      <c r="V666" s="2359"/>
      <c r="W666" s="2359"/>
      <c r="X666" s="97"/>
      <c r="Y666" s="106"/>
      <c r="Z666" s="97"/>
      <c r="AA666" s="106"/>
      <c r="AB666" s="97"/>
      <c r="AC666" s="106"/>
    </row>
    <row r="667" spans="1:29" ht="12.6" customHeight="1">
      <c r="A667" s="97"/>
      <c r="B667" s="98"/>
      <c r="C667" s="98"/>
      <c r="D667" s="97"/>
      <c r="E667" s="2361"/>
      <c r="F667" s="2359"/>
      <c r="G667" s="2359"/>
      <c r="H667" s="2359"/>
      <c r="I667" s="2359"/>
      <c r="J667" s="2359"/>
      <c r="K667" s="2359"/>
      <c r="L667" s="2359"/>
      <c r="M667" s="2359"/>
      <c r="N667" s="2359"/>
      <c r="O667" s="2359"/>
      <c r="P667" s="2359"/>
      <c r="Q667" s="2359"/>
      <c r="R667" s="2359"/>
      <c r="S667" s="2359"/>
      <c r="T667" s="2359"/>
      <c r="U667" s="2359"/>
      <c r="V667" s="2359"/>
      <c r="W667" s="2359"/>
      <c r="X667" s="97"/>
      <c r="Y667" s="106"/>
      <c r="Z667" s="97"/>
      <c r="AA667" s="106"/>
      <c r="AB667" s="97"/>
      <c r="AC667" s="106"/>
    </row>
    <row r="668" spans="1:29" ht="12.6" customHeight="1">
      <c r="A668" s="97"/>
      <c r="B668" s="98"/>
      <c r="C668" s="98"/>
      <c r="D668" s="97"/>
      <c r="E668" s="2361"/>
      <c r="F668" s="2359"/>
      <c r="G668" s="2359"/>
      <c r="H668" s="2359"/>
      <c r="I668" s="2359"/>
      <c r="J668" s="2359"/>
      <c r="K668" s="2359"/>
      <c r="L668" s="2359"/>
      <c r="M668" s="2359"/>
      <c r="N668" s="2359"/>
      <c r="O668" s="2359"/>
      <c r="P668" s="2359"/>
      <c r="Q668" s="2359"/>
      <c r="R668" s="2359"/>
      <c r="S668" s="2359"/>
      <c r="T668" s="2359"/>
      <c r="U668" s="2359"/>
      <c r="V668" s="2359"/>
      <c r="W668" s="2359"/>
      <c r="X668" s="97"/>
      <c r="Y668" s="106"/>
      <c r="Z668" s="97"/>
      <c r="AA668" s="106"/>
      <c r="AB668" s="97"/>
      <c r="AC668" s="106"/>
    </row>
    <row r="669" spans="1:29" ht="12.6" customHeight="1">
      <c r="A669" s="97"/>
      <c r="B669" s="98"/>
      <c r="C669" s="98"/>
      <c r="D669" s="97"/>
      <c r="E669" s="2361"/>
      <c r="F669" s="2359"/>
      <c r="G669" s="2359"/>
      <c r="H669" s="2359"/>
      <c r="I669" s="2359"/>
      <c r="J669" s="2359"/>
      <c r="K669" s="2359"/>
      <c r="L669" s="2359"/>
      <c r="M669" s="2359"/>
      <c r="N669" s="2359"/>
      <c r="O669" s="2359"/>
      <c r="P669" s="2359"/>
      <c r="Q669" s="2359"/>
      <c r="R669" s="2359"/>
      <c r="S669" s="2359"/>
      <c r="T669" s="2359"/>
      <c r="U669" s="2359"/>
      <c r="V669" s="2359"/>
      <c r="W669" s="2359"/>
      <c r="X669" s="97"/>
      <c r="Y669" s="106"/>
      <c r="Z669" s="97"/>
      <c r="AA669" s="106"/>
      <c r="AB669" s="97"/>
      <c r="AC669" s="106"/>
    </row>
    <row r="670" spans="1:29" ht="12.6" customHeight="1">
      <c r="A670" s="97"/>
      <c r="B670" s="98"/>
      <c r="C670" s="98"/>
      <c r="D670" s="97"/>
      <c r="E670" s="2361"/>
      <c r="F670" s="2359"/>
      <c r="G670" s="2359"/>
      <c r="H670" s="2359"/>
      <c r="I670" s="2359"/>
      <c r="J670" s="2359"/>
      <c r="K670" s="2359"/>
      <c r="L670" s="2359"/>
      <c r="M670" s="2359"/>
      <c r="N670" s="2359"/>
      <c r="O670" s="2359"/>
      <c r="P670" s="2359"/>
      <c r="Q670" s="2359"/>
      <c r="R670" s="2359"/>
      <c r="S670" s="2359"/>
      <c r="T670" s="2359"/>
      <c r="U670" s="2359"/>
      <c r="V670" s="2359"/>
      <c r="W670" s="2359"/>
      <c r="X670" s="97"/>
      <c r="Y670" s="106"/>
      <c r="Z670" s="97"/>
      <c r="AA670" s="106"/>
      <c r="AB670" s="97"/>
      <c r="AC670" s="106"/>
    </row>
    <row r="671" spans="1:29" ht="12.6" customHeight="1">
      <c r="A671" s="97"/>
      <c r="B671" s="98"/>
      <c r="C671" s="98"/>
      <c r="D671" s="97"/>
      <c r="E671" s="2361"/>
      <c r="F671" s="2359"/>
      <c r="G671" s="2359"/>
      <c r="H671" s="2359"/>
      <c r="I671" s="2359"/>
      <c r="J671" s="2359"/>
      <c r="K671" s="2359"/>
      <c r="L671" s="2359"/>
      <c r="M671" s="2359"/>
      <c r="N671" s="2359"/>
      <c r="O671" s="2359"/>
      <c r="P671" s="2359"/>
      <c r="Q671" s="2359"/>
      <c r="R671" s="2359"/>
      <c r="S671" s="2359"/>
      <c r="T671" s="2359"/>
      <c r="U671" s="2359"/>
      <c r="V671" s="2359"/>
      <c r="W671" s="2359"/>
      <c r="X671" s="97"/>
      <c r="Y671" s="106"/>
      <c r="Z671" s="97"/>
      <c r="AA671" s="106"/>
      <c r="AB671" s="97"/>
      <c r="AC671" s="106"/>
    </row>
    <row r="672" spans="1:29" ht="12.6" customHeight="1">
      <c r="A672" s="97"/>
      <c r="B672" s="98"/>
      <c r="C672" s="98"/>
      <c r="D672" s="97"/>
      <c r="E672" s="2361"/>
      <c r="F672" s="2359"/>
      <c r="G672" s="2359"/>
      <c r="H672" s="2359"/>
      <c r="I672" s="2359"/>
      <c r="J672" s="2359"/>
      <c r="K672" s="2359"/>
      <c r="L672" s="2359"/>
      <c r="M672" s="2359"/>
      <c r="N672" s="2359"/>
      <c r="O672" s="2359"/>
      <c r="P672" s="2359"/>
      <c r="Q672" s="2359"/>
      <c r="R672" s="2359"/>
      <c r="S672" s="2359"/>
      <c r="T672" s="2359"/>
      <c r="U672" s="2359"/>
      <c r="V672" s="2359"/>
      <c r="W672" s="2359"/>
      <c r="X672" s="97"/>
      <c r="Y672" s="106"/>
      <c r="Z672" s="97"/>
      <c r="AA672" s="106"/>
      <c r="AB672" s="97"/>
      <c r="AC672" s="106"/>
    </row>
    <row r="673" spans="1:29" ht="12.6" customHeight="1">
      <c r="A673" s="97"/>
      <c r="B673" s="98"/>
      <c r="C673" s="98"/>
      <c r="D673" s="97"/>
      <c r="E673" s="2361"/>
      <c r="F673" s="2359"/>
      <c r="G673" s="2359"/>
      <c r="H673" s="2359"/>
      <c r="I673" s="2359"/>
      <c r="J673" s="2359"/>
      <c r="K673" s="2359"/>
      <c r="L673" s="2359"/>
      <c r="M673" s="2359"/>
      <c r="N673" s="2359"/>
      <c r="O673" s="2359"/>
      <c r="P673" s="2359"/>
      <c r="Q673" s="2359"/>
      <c r="R673" s="2359"/>
      <c r="S673" s="2359"/>
      <c r="T673" s="2359"/>
      <c r="U673" s="2359"/>
      <c r="V673" s="2359"/>
      <c r="W673" s="2359"/>
      <c r="X673" s="97"/>
      <c r="Y673" s="106"/>
      <c r="Z673" s="97"/>
      <c r="AA673" s="106"/>
      <c r="AB673" s="97"/>
      <c r="AC673" s="106"/>
    </row>
    <row r="674" spans="1:29" ht="12.6" customHeight="1">
      <c r="A674" s="97"/>
      <c r="B674" s="98"/>
      <c r="C674" s="98"/>
      <c r="D674" s="97"/>
      <c r="E674" s="2361"/>
      <c r="F674" s="2359"/>
      <c r="G674" s="2359"/>
      <c r="H674" s="2359"/>
      <c r="I674" s="2359"/>
      <c r="J674" s="2359"/>
      <c r="K674" s="2359"/>
      <c r="L674" s="2359"/>
      <c r="M674" s="2359"/>
      <c r="N674" s="2359"/>
      <c r="O674" s="2359"/>
      <c r="P674" s="2359"/>
      <c r="Q674" s="2359"/>
      <c r="R674" s="2359"/>
      <c r="S674" s="2359"/>
      <c r="T674" s="2359"/>
      <c r="U674" s="2359"/>
      <c r="V674" s="2359"/>
      <c r="W674" s="2359"/>
      <c r="X674" s="97"/>
      <c r="Y674" s="106"/>
      <c r="Z674" s="97"/>
      <c r="AA674" s="106"/>
      <c r="AB674" s="97"/>
      <c r="AC674" s="106"/>
    </row>
    <row r="675" spans="1:29" ht="12.6" customHeight="1">
      <c r="A675" s="97"/>
      <c r="B675" s="98"/>
      <c r="C675" s="98"/>
      <c r="D675" s="97"/>
      <c r="E675" s="2361"/>
      <c r="F675" s="2359"/>
      <c r="G675" s="2359"/>
      <c r="H675" s="2359"/>
      <c r="I675" s="2359"/>
      <c r="J675" s="2359"/>
      <c r="K675" s="2359"/>
      <c r="L675" s="2359"/>
      <c r="M675" s="2359"/>
      <c r="N675" s="2359"/>
      <c r="O675" s="2359"/>
      <c r="P675" s="2359"/>
      <c r="Q675" s="2359"/>
      <c r="R675" s="2359"/>
      <c r="S675" s="2359"/>
      <c r="T675" s="2359"/>
      <c r="U675" s="2359"/>
      <c r="V675" s="2359"/>
      <c r="W675" s="2359"/>
      <c r="X675" s="97"/>
      <c r="Y675" s="106"/>
      <c r="Z675" s="97"/>
      <c r="AA675" s="106"/>
      <c r="AB675" s="97"/>
      <c r="AC675" s="106"/>
    </row>
    <row r="676" spans="1:29" ht="12.6" customHeight="1">
      <c r="A676" s="97"/>
      <c r="B676" s="98"/>
      <c r="C676" s="98"/>
      <c r="D676" s="97"/>
      <c r="E676" s="2361"/>
      <c r="F676" s="2359"/>
      <c r="G676" s="2359"/>
      <c r="H676" s="2359"/>
      <c r="I676" s="2359"/>
      <c r="J676" s="2359"/>
      <c r="K676" s="2359"/>
      <c r="L676" s="2359"/>
      <c r="M676" s="2359"/>
      <c r="N676" s="2359"/>
      <c r="O676" s="2359"/>
      <c r="P676" s="2359"/>
      <c r="Q676" s="2359"/>
      <c r="R676" s="2359"/>
      <c r="S676" s="2359"/>
      <c r="T676" s="2359"/>
      <c r="U676" s="2359"/>
      <c r="V676" s="2359"/>
      <c r="W676" s="2359"/>
      <c r="X676" s="97"/>
      <c r="Y676" s="106"/>
      <c r="Z676" s="97"/>
      <c r="AA676" s="106"/>
      <c r="AB676" s="97"/>
      <c r="AC676" s="106"/>
    </row>
    <row r="677" spans="1:29" ht="12.6" customHeight="1">
      <c r="A677" s="97"/>
      <c r="B677" s="98"/>
      <c r="C677" s="98"/>
      <c r="D677" s="97"/>
      <c r="E677" s="2361"/>
      <c r="F677" s="2359"/>
      <c r="G677" s="2359"/>
      <c r="H677" s="2359"/>
      <c r="I677" s="2359"/>
      <c r="J677" s="2359"/>
      <c r="K677" s="2359"/>
      <c r="L677" s="2359"/>
      <c r="M677" s="2359"/>
      <c r="N677" s="2359"/>
      <c r="O677" s="2359"/>
      <c r="P677" s="2359"/>
      <c r="Q677" s="2359"/>
      <c r="R677" s="2359"/>
      <c r="S677" s="2359"/>
      <c r="T677" s="2359"/>
      <c r="U677" s="2359"/>
      <c r="V677" s="2359"/>
      <c r="W677" s="2359"/>
      <c r="X677" s="97"/>
      <c r="Y677" s="106"/>
      <c r="Z677" s="97"/>
      <c r="AA677" s="106"/>
      <c r="AB677" s="97"/>
      <c r="AC677" s="106"/>
    </row>
    <row r="678" spans="1:29" ht="12.6" customHeight="1">
      <c r="A678" s="97"/>
      <c r="B678" s="98"/>
      <c r="C678" s="98"/>
      <c r="D678" s="97"/>
      <c r="E678" s="2361"/>
      <c r="F678" s="2359"/>
      <c r="G678" s="2359"/>
      <c r="H678" s="2359"/>
      <c r="I678" s="2359"/>
      <c r="J678" s="2359"/>
      <c r="K678" s="2359"/>
      <c r="L678" s="2359"/>
      <c r="M678" s="2359"/>
      <c r="N678" s="2359"/>
      <c r="O678" s="2359"/>
      <c r="P678" s="2359"/>
      <c r="Q678" s="2359"/>
      <c r="R678" s="2359"/>
      <c r="S678" s="2359"/>
      <c r="T678" s="2359"/>
      <c r="U678" s="2359"/>
      <c r="V678" s="2359"/>
      <c r="W678" s="2359"/>
      <c r="X678" s="97"/>
      <c r="Y678" s="106"/>
      <c r="Z678" s="97"/>
      <c r="AA678" s="106"/>
      <c r="AB678" s="97"/>
      <c r="AC678" s="106"/>
    </row>
    <row r="679" spans="1:29" ht="12.6" customHeight="1">
      <c r="A679" s="97"/>
      <c r="B679" s="98"/>
      <c r="C679" s="98"/>
      <c r="D679" s="97"/>
      <c r="E679" s="2361"/>
      <c r="F679" s="2359"/>
      <c r="G679" s="2359"/>
      <c r="H679" s="2359"/>
      <c r="I679" s="2359"/>
      <c r="J679" s="2359"/>
      <c r="K679" s="2359"/>
      <c r="L679" s="2359"/>
      <c r="M679" s="2359"/>
      <c r="N679" s="2359"/>
      <c r="O679" s="2359"/>
      <c r="P679" s="2359"/>
      <c r="Q679" s="2359"/>
      <c r="R679" s="2359"/>
      <c r="S679" s="2359"/>
      <c r="T679" s="2359"/>
      <c r="U679" s="2359"/>
      <c r="V679" s="2359"/>
      <c r="W679" s="2359"/>
      <c r="X679" s="97"/>
      <c r="Y679" s="106"/>
      <c r="Z679" s="97"/>
      <c r="AA679" s="106"/>
      <c r="AB679" s="97"/>
      <c r="AC679" s="106"/>
    </row>
    <row r="680" spans="1:29" ht="12.6" customHeight="1">
      <c r="A680" s="97"/>
      <c r="B680" s="98"/>
      <c r="C680" s="98"/>
      <c r="D680" s="97"/>
      <c r="E680" s="2361"/>
      <c r="F680" s="2359"/>
      <c r="G680" s="2359"/>
      <c r="H680" s="2359"/>
      <c r="I680" s="2359"/>
      <c r="J680" s="2359"/>
      <c r="K680" s="2359"/>
      <c r="L680" s="2359"/>
      <c r="M680" s="2359"/>
      <c r="N680" s="2359"/>
      <c r="O680" s="2359"/>
      <c r="P680" s="2359"/>
      <c r="Q680" s="2359"/>
      <c r="R680" s="2359"/>
      <c r="S680" s="2359"/>
      <c r="T680" s="2359"/>
      <c r="U680" s="2359"/>
      <c r="V680" s="2359"/>
      <c r="W680" s="2359"/>
      <c r="X680" s="97"/>
      <c r="Y680" s="106"/>
      <c r="Z680" s="97"/>
      <c r="AA680" s="106"/>
      <c r="AB680" s="97"/>
      <c r="AC680" s="106"/>
    </row>
    <row r="681" spans="1:29" ht="12.6" customHeight="1">
      <c r="A681" s="97"/>
      <c r="B681" s="98"/>
      <c r="C681" s="98"/>
      <c r="D681" s="97"/>
      <c r="E681" s="2361"/>
      <c r="F681" s="2359"/>
      <c r="G681" s="2359"/>
      <c r="H681" s="2359"/>
      <c r="I681" s="2359"/>
      <c r="J681" s="2359"/>
      <c r="K681" s="2359"/>
      <c r="L681" s="2359"/>
      <c r="M681" s="2359"/>
      <c r="N681" s="2359"/>
      <c r="O681" s="2359"/>
      <c r="P681" s="2359"/>
      <c r="Q681" s="2359"/>
      <c r="R681" s="2359"/>
      <c r="S681" s="2359"/>
      <c r="T681" s="2359"/>
      <c r="U681" s="2359"/>
      <c r="V681" s="2359"/>
      <c r="W681" s="2359"/>
      <c r="X681" s="97"/>
      <c r="Y681" s="106"/>
      <c r="Z681" s="97"/>
      <c r="AA681" s="106"/>
      <c r="AB681" s="97"/>
      <c r="AC681" s="106"/>
    </row>
    <row r="682" spans="1:29" ht="12.6" customHeight="1">
      <c r="A682" s="97"/>
      <c r="B682" s="98"/>
      <c r="C682" s="98"/>
      <c r="D682" s="97"/>
      <c r="E682" s="2361"/>
      <c r="F682" s="2359"/>
      <c r="G682" s="2359"/>
      <c r="H682" s="2359"/>
      <c r="I682" s="2359"/>
      <c r="J682" s="2359"/>
      <c r="K682" s="2359"/>
      <c r="L682" s="2359"/>
      <c r="M682" s="2359"/>
      <c r="N682" s="2359"/>
      <c r="O682" s="2359"/>
      <c r="P682" s="2359"/>
      <c r="Q682" s="2359"/>
      <c r="R682" s="2359"/>
      <c r="S682" s="2359"/>
      <c r="T682" s="2359"/>
      <c r="U682" s="2359"/>
      <c r="V682" s="2359"/>
      <c r="W682" s="2359"/>
      <c r="X682" s="97"/>
      <c r="Y682" s="106"/>
      <c r="Z682" s="97"/>
      <c r="AA682" s="106"/>
      <c r="AB682" s="97"/>
      <c r="AC682" s="106"/>
    </row>
    <row r="683" spans="1:29" ht="12.6" customHeight="1">
      <c r="A683" s="97"/>
      <c r="B683" s="98"/>
      <c r="C683" s="98"/>
      <c r="D683" s="97"/>
      <c r="E683" s="2361"/>
      <c r="F683" s="2359"/>
      <c r="G683" s="2359"/>
      <c r="H683" s="2359"/>
      <c r="I683" s="2359"/>
      <c r="J683" s="2359"/>
      <c r="K683" s="2359"/>
      <c r="L683" s="2359"/>
      <c r="M683" s="2359"/>
      <c r="N683" s="2359"/>
      <c r="O683" s="2359"/>
      <c r="P683" s="2359"/>
      <c r="Q683" s="2359"/>
      <c r="R683" s="2359"/>
      <c r="S683" s="2359"/>
      <c r="T683" s="2359"/>
      <c r="U683" s="2359"/>
      <c r="V683" s="2359"/>
      <c r="W683" s="2359"/>
      <c r="X683" s="97"/>
      <c r="Y683" s="106"/>
      <c r="Z683" s="97"/>
      <c r="AA683" s="106"/>
      <c r="AB683" s="97"/>
      <c r="AC683" s="106"/>
    </row>
    <row r="684" spans="1:29" ht="12.6" customHeight="1">
      <c r="A684" s="97"/>
      <c r="B684" s="98"/>
      <c r="C684" s="98"/>
      <c r="D684" s="97"/>
      <c r="E684" s="2361"/>
      <c r="F684" s="2359"/>
      <c r="G684" s="2359"/>
      <c r="H684" s="2359"/>
      <c r="I684" s="2359"/>
      <c r="J684" s="2359"/>
      <c r="K684" s="2359"/>
      <c r="L684" s="2359"/>
      <c r="M684" s="2359"/>
      <c r="N684" s="2359"/>
      <c r="O684" s="2359"/>
      <c r="P684" s="2359"/>
      <c r="Q684" s="2359"/>
      <c r="R684" s="2359"/>
      <c r="S684" s="2359"/>
      <c r="T684" s="2359"/>
      <c r="U684" s="2359"/>
      <c r="V684" s="2359"/>
      <c r="W684" s="2359"/>
      <c r="X684" s="97"/>
      <c r="Y684" s="106"/>
      <c r="Z684" s="97"/>
      <c r="AA684" s="106"/>
      <c r="AB684" s="97"/>
      <c r="AC684" s="106"/>
    </row>
    <row r="685" spans="1:29" ht="12.6" customHeight="1">
      <c r="A685" s="97"/>
      <c r="B685" s="98"/>
      <c r="C685" s="98"/>
      <c r="D685" s="97"/>
      <c r="E685" s="2361"/>
      <c r="F685" s="2359"/>
      <c r="G685" s="2359"/>
      <c r="H685" s="2359"/>
      <c r="I685" s="2359"/>
      <c r="J685" s="2359"/>
      <c r="K685" s="2359"/>
      <c r="L685" s="2359"/>
      <c r="M685" s="2359"/>
      <c r="N685" s="2359"/>
      <c r="O685" s="2359"/>
      <c r="P685" s="2359"/>
      <c r="Q685" s="2359"/>
      <c r="R685" s="2359"/>
      <c r="S685" s="2359"/>
      <c r="T685" s="2359"/>
      <c r="U685" s="2359"/>
      <c r="V685" s="2359"/>
      <c r="W685" s="2359"/>
      <c r="X685" s="97"/>
      <c r="Y685" s="106"/>
      <c r="Z685" s="97"/>
      <c r="AA685" s="106"/>
      <c r="AB685" s="97"/>
      <c r="AC685" s="106"/>
    </row>
    <row r="686" spans="1:29" ht="12.6" customHeight="1">
      <c r="A686" s="97"/>
      <c r="B686" s="98"/>
      <c r="C686" s="98"/>
      <c r="D686" s="97"/>
      <c r="E686" s="2361"/>
      <c r="F686" s="2359"/>
      <c r="G686" s="2359"/>
      <c r="H686" s="2359"/>
      <c r="I686" s="2359"/>
      <c r="J686" s="2359"/>
      <c r="K686" s="2359"/>
      <c r="L686" s="2359"/>
      <c r="M686" s="2359"/>
      <c r="N686" s="2359"/>
      <c r="O686" s="2359"/>
      <c r="P686" s="2359"/>
      <c r="Q686" s="2359"/>
      <c r="R686" s="2359"/>
      <c r="S686" s="2359"/>
      <c r="T686" s="2359"/>
      <c r="U686" s="2359"/>
      <c r="V686" s="2359"/>
      <c r="W686" s="2359"/>
      <c r="X686" s="97"/>
      <c r="Y686" s="106"/>
      <c r="Z686" s="97"/>
      <c r="AA686" s="106"/>
      <c r="AB686" s="97"/>
      <c r="AC686" s="106"/>
    </row>
    <row r="687" spans="1:29" ht="12.6" customHeight="1">
      <c r="A687" s="97"/>
      <c r="B687" s="98"/>
      <c r="C687" s="98"/>
      <c r="D687" s="97"/>
      <c r="E687" s="2361"/>
      <c r="F687" s="2359"/>
      <c r="G687" s="2359"/>
      <c r="H687" s="2359"/>
      <c r="I687" s="2359"/>
      <c r="J687" s="2359"/>
      <c r="K687" s="2359"/>
      <c r="L687" s="2359"/>
      <c r="M687" s="2359"/>
      <c r="N687" s="2359"/>
      <c r="O687" s="2359"/>
      <c r="P687" s="2359"/>
      <c r="Q687" s="2359"/>
      <c r="R687" s="2359"/>
      <c r="S687" s="2359"/>
      <c r="T687" s="2359"/>
      <c r="U687" s="2359"/>
      <c r="V687" s="2359"/>
      <c r="W687" s="2359"/>
      <c r="X687" s="97"/>
      <c r="Y687" s="105"/>
      <c r="Z687" s="97"/>
      <c r="AA687" s="106"/>
      <c r="AB687" s="97"/>
      <c r="AC687" s="106"/>
    </row>
    <row r="688" spans="1:29" ht="12.6" customHeight="1">
      <c r="A688" s="97"/>
      <c r="B688" s="98"/>
      <c r="C688" s="98"/>
      <c r="D688" s="97"/>
      <c r="E688" s="2361"/>
      <c r="F688" s="2359"/>
      <c r="G688" s="2359"/>
      <c r="H688" s="2359"/>
      <c r="I688" s="2359"/>
      <c r="J688" s="2359"/>
      <c r="K688" s="2359"/>
      <c r="L688" s="2359"/>
      <c r="M688" s="2359"/>
      <c r="N688" s="2359"/>
      <c r="O688" s="2359"/>
      <c r="P688" s="2359"/>
      <c r="Q688" s="2359"/>
      <c r="R688" s="2359"/>
      <c r="S688" s="2359"/>
      <c r="T688" s="2359"/>
      <c r="U688" s="2359"/>
      <c r="V688" s="2359"/>
      <c r="W688" s="2359"/>
      <c r="X688" s="97"/>
      <c r="Y688" s="105"/>
      <c r="Z688" s="97"/>
      <c r="AA688" s="105"/>
      <c r="AB688" s="97"/>
      <c r="AC688" s="105"/>
    </row>
    <row r="689" spans="1:29" ht="12.6" customHeight="1">
      <c r="A689" s="97"/>
      <c r="B689" s="98"/>
      <c r="C689" s="98"/>
      <c r="D689" s="97"/>
      <c r="E689" s="2361"/>
      <c r="F689" s="2359"/>
      <c r="G689" s="2359"/>
      <c r="H689" s="2359"/>
      <c r="I689" s="2359"/>
      <c r="J689" s="2359"/>
      <c r="K689" s="2359"/>
      <c r="L689" s="2359"/>
      <c r="M689" s="2359"/>
      <c r="N689" s="2359"/>
      <c r="O689" s="2359"/>
      <c r="P689" s="2359"/>
      <c r="Q689" s="2359"/>
      <c r="R689" s="2359"/>
      <c r="S689" s="2359"/>
      <c r="T689" s="2359"/>
      <c r="U689" s="2359"/>
      <c r="V689" s="2359"/>
      <c r="W689" s="2359"/>
      <c r="X689" s="97"/>
      <c r="Y689" s="108"/>
      <c r="Z689" s="97"/>
      <c r="AA689" s="105"/>
      <c r="AB689" s="97"/>
      <c r="AC689" s="105"/>
    </row>
    <row r="690" spans="1:29" ht="12.6" customHeight="1">
      <c r="A690" s="97"/>
      <c r="B690" s="98"/>
      <c r="C690" s="98"/>
      <c r="D690" s="97"/>
      <c r="E690" s="2361"/>
      <c r="F690" s="2359"/>
      <c r="G690" s="2359"/>
      <c r="H690" s="2359"/>
      <c r="I690" s="2359"/>
      <c r="J690" s="2359"/>
      <c r="K690" s="2359"/>
      <c r="L690" s="2359"/>
      <c r="M690" s="2359"/>
      <c r="N690" s="2359"/>
      <c r="O690" s="2359"/>
      <c r="P690" s="2359"/>
      <c r="Q690" s="2359"/>
      <c r="R690" s="2359"/>
      <c r="S690" s="2359"/>
      <c r="T690" s="2359"/>
      <c r="U690" s="2359"/>
      <c r="V690" s="2359"/>
      <c r="W690" s="2359"/>
      <c r="X690" s="97"/>
      <c r="Y690" s="106"/>
      <c r="Z690" s="97"/>
      <c r="AA690" s="108"/>
      <c r="AB690" s="97"/>
      <c r="AC690" s="108"/>
    </row>
    <row r="691" spans="1:29" ht="12.6" customHeight="1">
      <c r="A691" s="97"/>
      <c r="B691" s="98"/>
      <c r="C691" s="98"/>
      <c r="D691" s="97"/>
      <c r="E691" s="2361"/>
      <c r="F691" s="2359"/>
      <c r="G691" s="2359"/>
      <c r="H691" s="2359"/>
      <c r="I691" s="2359"/>
      <c r="J691" s="2359"/>
      <c r="K691" s="2359"/>
      <c r="L691" s="2359"/>
      <c r="M691" s="2359"/>
      <c r="N691" s="2359"/>
      <c r="O691" s="2359"/>
      <c r="P691" s="2359"/>
      <c r="Q691" s="2359"/>
      <c r="R691" s="2359"/>
      <c r="S691" s="2359"/>
      <c r="T691" s="2359"/>
      <c r="U691" s="2359"/>
      <c r="V691" s="2359"/>
      <c r="W691" s="2359"/>
      <c r="X691" s="97"/>
      <c r="Y691" s="106"/>
      <c r="Z691" s="97"/>
      <c r="AA691" s="106"/>
      <c r="AB691" s="97"/>
      <c r="AC691" s="106"/>
    </row>
    <row r="692" spans="1:29" ht="12.6" customHeight="1">
      <c r="A692" s="97"/>
      <c r="B692" s="98"/>
      <c r="C692" s="98"/>
      <c r="D692" s="97"/>
      <c r="E692" s="2361"/>
      <c r="F692" s="2359"/>
      <c r="G692" s="2359"/>
      <c r="H692" s="2359"/>
      <c r="I692" s="2359"/>
      <c r="J692" s="2359"/>
      <c r="K692" s="2359"/>
      <c r="L692" s="2359"/>
      <c r="M692" s="2359"/>
      <c r="N692" s="2359"/>
      <c r="O692" s="2359"/>
      <c r="P692" s="2359"/>
      <c r="Q692" s="2359"/>
      <c r="R692" s="2359"/>
      <c r="S692" s="2359"/>
      <c r="T692" s="2359"/>
      <c r="U692" s="2359"/>
      <c r="V692" s="2359"/>
      <c r="W692" s="2359"/>
      <c r="X692" s="97"/>
      <c r="Y692" s="106"/>
      <c r="Z692" s="97"/>
      <c r="AA692" s="106"/>
      <c r="AB692" s="97"/>
      <c r="AC692" s="106"/>
    </row>
    <row r="693" spans="1:29" ht="12.6" customHeight="1">
      <c r="A693" s="97"/>
      <c r="B693" s="98"/>
      <c r="C693" s="98"/>
      <c r="D693" s="97"/>
      <c r="E693" s="2361"/>
      <c r="F693" s="2359"/>
      <c r="G693" s="2359"/>
      <c r="H693" s="2359"/>
      <c r="I693" s="2359"/>
      <c r="J693" s="2359"/>
      <c r="K693" s="2359"/>
      <c r="L693" s="2359"/>
      <c r="M693" s="2359"/>
      <c r="N693" s="2359"/>
      <c r="O693" s="2359"/>
      <c r="P693" s="2359"/>
      <c r="Q693" s="2359"/>
      <c r="R693" s="2359"/>
      <c r="S693" s="2359"/>
      <c r="T693" s="2359"/>
      <c r="U693" s="2359"/>
      <c r="V693" s="2359"/>
      <c r="W693" s="2359"/>
      <c r="X693" s="97"/>
      <c r="Y693" s="106"/>
      <c r="Z693" s="97"/>
      <c r="AA693" s="106"/>
      <c r="AB693" s="97"/>
      <c r="AC693" s="106"/>
    </row>
    <row r="694" spans="1:29" ht="12.6" customHeight="1">
      <c r="A694" s="97"/>
      <c r="B694" s="98"/>
      <c r="C694" s="98"/>
      <c r="D694" s="97"/>
      <c r="E694" s="2361"/>
      <c r="F694" s="2359"/>
      <c r="G694" s="2359"/>
      <c r="H694" s="2359"/>
      <c r="I694" s="2359"/>
      <c r="J694" s="2359"/>
      <c r="K694" s="2359"/>
      <c r="L694" s="2359"/>
      <c r="M694" s="2359"/>
      <c r="N694" s="2359"/>
      <c r="O694" s="2359"/>
      <c r="P694" s="2359"/>
      <c r="Q694" s="2359"/>
      <c r="R694" s="2359"/>
      <c r="S694" s="2359"/>
      <c r="T694" s="2359"/>
      <c r="U694" s="2359"/>
      <c r="V694" s="2359"/>
      <c r="W694" s="2359"/>
      <c r="X694" s="97"/>
      <c r="Y694" s="106"/>
      <c r="Z694" s="97"/>
      <c r="AA694" s="106"/>
      <c r="AB694" s="97"/>
      <c r="AC694" s="106"/>
    </row>
    <row r="695" spans="1:29" ht="12.6" customHeight="1">
      <c r="A695" s="97"/>
      <c r="B695" s="98"/>
      <c r="C695" s="98"/>
      <c r="D695" s="97"/>
      <c r="E695" s="2361"/>
      <c r="F695" s="2359"/>
      <c r="G695" s="2359"/>
      <c r="H695" s="2359"/>
      <c r="I695" s="2359"/>
      <c r="J695" s="2359"/>
      <c r="K695" s="2359"/>
      <c r="L695" s="2359"/>
      <c r="M695" s="2359"/>
      <c r="N695" s="2359"/>
      <c r="O695" s="2359"/>
      <c r="P695" s="2359"/>
      <c r="Q695" s="2359"/>
      <c r="R695" s="2359"/>
      <c r="S695" s="2359"/>
      <c r="T695" s="2359"/>
      <c r="U695" s="2359"/>
      <c r="V695" s="2359"/>
      <c r="W695" s="2359"/>
      <c r="X695" s="97"/>
      <c r="Y695" s="106"/>
      <c r="Z695" s="97"/>
      <c r="AA695" s="106"/>
      <c r="AB695" s="97"/>
      <c r="AC695" s="106"/>
    </row>
    <row r="696" spans="1:29" ht="12.6" customHeight="1">
      <c r="A696" s="97"/>
      <c r="B696" s="98"/>
      <c r="C696" s="98"/>
      <c r="D696" s="97"/>
      <c r="E696" s="2361"/>
      <c r="F696" s="2359"/>
      <c r="G696" s="2359"/>
      <c r="H696" s="2359"/>
      <c r="I696" s="2359"/>
      <c r="J696" s="2359"/>
      <c r="K696" s="2359"/>
      <c r="L696" s="2359"/>
      <c r="M696" s="2359"/>
      <c r="N696" s="2359"/>
      <c r="O696" s="2359"/>
      <c r="P696" s="2359"/>
      <c r="Q696" s="2359"/>
      <c r="R696" s="2359"/>
      <c r="S696" s="2359"/>
      <c r="T696" s="2359"/>
      <c r="U696" s="2359"/>
      <c r="V696" s="2359"/>
      <c r="W696" s="2359"/>
      <c r="X696" s="97"/>
      <c r="Y696" s="106"/>
      <c r="Z696" s="97"/>
      <c r="AA696" s="106"/>
      <c r="AB696" s="97"/>
      <c r="AC696" s="106"/>
    </row>
    <row r="697" spans="1:29" ht="12.6" customHeight="1">
      <c r="A697" s="97"/>
      <c r="B697" s="98"/>
      <c r="C697" s="98"/>
      <c r="D697" s="97"/>
      <c r="E697" s="2361"/>
      <c r="F697" s="2359"/>
      <c r="G697" s="2359"/>
      <c r="H697" s="2359"/>
      <c r="I697" s="2359"/>
      <c r="J697" s="2359"/>
      <c r="K697" s="2359"/>
      <c r="L697" s="2359"/>
      <c r="M697" s="2359"/>
      <c r="N697" s="2359"/>
      <c r="O697" s="2359"/>
      <c r="P697" s="2359"/>
      <c r="Q697" s="2359"/>
      <c r="R697" s="2359"/>
      <c r="S697" s="2359"/>
      <c r="T697" s="2359"/>
      <c r="U697" s="2359"/>
      <c r="V697" s="2359"/>
      <c r="W697" s="2359"/>
      <c r="X697" s="97"/>
      <c r="Y697" s="106"/>
      <c r="Z697" s="97"/>
      <c r="AA697" s="106"/>
      <c r="AB697" s="97"/>
      <c r="AC697" s="106"/>
    </row>
    <row r="698" spans="1:29" ht="12.6" customHeight="1">
      <c r="A698" s="97"/>
      <c r="B698" s="98"/>
      <c r="C698" s="98"/>
      <c r="D698" s="97"/>
      <c r="E698" s="2361"/>
      <c r="F698" s="2359"/>
      <c r="G698" s="2359"/>
      <c r="H698" s="2359"/>
      <c r="I698" s="2359"/>
      <c r="J698" s="2359"/>
      <c r="K698" s="2359"/>
      <c r="L698" s="2359"/>
      <c r="M698" s="2359"/>
      <c r="N698" s="2359"/>
      <c r="O698" s="2359"/>
      <c r="P698" s="2359"/>
      <c r="Q698" s="2359"/>
      <c r="R698" s="2359"/>
      <c r="S698" s="2359"/>
      <c r="T698" s="2359"/>
      <c r="U698" s="2359"/>
      <c r="V698" s="2359"/>
      <c r="W698" s="2359"/>
      <c r="X698" s="97"/>
      <c r="Y698" s="106"/>
      <c r="Z698" s="97"/>
      <c r="AA698" s="106"/>
      <c r="AB698" s="97"/>
      <c r="AC698" s="106"/>
    </row>
    <row r="699" spans="1:29" ht="12.6" customHeight="1">
      <c r="A699" s="97"/>
      <c r="B699" s="98"/>
      <c r="C699" s="98"/>
      <c r="D699" s="97"/>
      <c r="E699" s="2361"/>
      <c r="F699" s="2359"/>
      <c r="G699" s="2359"/>
      <c r="H699" s="2359"/>
      <c r="I699" s="2359"/>
      <c r="J699" s="2359"/>
      <c r="K699" s="2359"/>
      <c r="L699" s="2359"/>
      <c r="M699" s="2359"/>
      <c r="N699" s="2359"/>
      <c r="O699" s="2359"/>
      <c r="P699" s="2359"/>
      <c r="Q699" s="2359"/>
      <c r="R699" s="2359"/>
      <c r="S699" s="2359"/>
      <c r="T699" s="2359"/>
      <c r="U699" s="2359"/>
      <c r="V699" s="2359"/>
      <c r="W699" s="2359"/>
      <c r="X699" s="97"/>
      <c r="Y699" s="106"/>
      <c r="Z699" s="97"/>
      <c r="AA699" s="106"/>
      <c r="AB699" s="97"/>
      <c r="AC699" s="106"/>
    </row>
    <row r="700" spans="1:29" ht="12.6" customHeight="1">
      <c r="A700" s="97"/>
      <c r="B700" s="98"/>
      <c r="C700" s="98"/>
      <c r="D700" s="97"/>
      <c r="E700" s="2361"/>
      <c r="F700" s="2359"/>
      <c r="G700" s="2359"/>
      <c r="H700" s="2359"/>
      <c r="I700" s="2359"/>
      <c r="J700" s="2359"/>
      <c r="K700" s="2359"/>
      <c r="L700" s="2359"/>
      <c r="M700" s="2359"/>
      <c r="N700" s="2359"/>
      <c r="O700" s="2359"/>
      <c r="P700" s="2359"/>
      <c r="Q700" s="2359"/>
      <c r="R700" s="2359"/>
      <c r="S700" s="2359"/>
      <c r="T700" s="2359"/>
      <c r="U700" s="2359"/>
      <c r="V700" s="2359"/>
      <c r="W700" s="2359"/>
      <c r="X700" s="97"/>
      <c r="Y700" s="106"/>
      <c r="Z700" s="97"/>
      <c r="AA700" s="106"/>
      <c r="AB700" s="97"/>
      <c r="AC700" s="106"/>
    </row>
    <row r="701" spans="1:29" ht="12.6" customHeight="1">
      <c r="A701" s="97"/>
      <c r="B701" s="98"/>
      <c r="C701" s="98"/>
      <c r="D701" s="97"/>
      <c r="E701" s="2361"/>
      <c r="F701" s="2359"/>
      <c r="G701" s="2359"/>
      <c r="H701" s="2359"/>
      <c r="I701" s="2359"/>
      <c r="J701" s="2359"/>
      <c r="K701" s="2359"/>
      <c r="L701" s="2359"/>
      <c r="M701" s="2359"/>
      <c r="N701" s="2359"/>
      <c r="O701" s="2359"/>
      <c r="P701" s="2359"/>
      <c r="Q701" s="2359"/>
      <c r="R701" s="2359"/>
      <c r="S701" s="2359"/>
      <c r="T701" s="2359"/>
      <c r="U701" s="2359"/>
      <c r="V701" s="2359"/>
      <c r="W701" s="2359"/>
      <c r="X701" s="97"/>
      <c r="Y701" s="106"/>
      <c r="Z701" s="97"/>
      <c r="AA701" s="106"/>
      <c r="AB701" s="97"/>
      <c r="AC701" s="106"/>
    </row>
    <row r="702" spans="1:29" ht="12.6" customHeight="1">
      <c r="A702" s="97"/>
      <c r="B702" s="98"/>
      <c r="C702" s="98"/>
      <c r="D702" s="97"/>
      <c r="E702" s="2361"/>
      <c r="F702" s="2359"/>
      <c r="G702" s="2359"/>
      <c r="H702" s="2359"/>
      <c r="I702" s="2359"/>
      <c r="J702" s="2359"/>
      <c r="K702" s="2359"/>
      <c r="L702" s="2359"/>
      <c r="M702" s="2359"/>
      <c r="N702" s="2359"/>
      <c r="O702" s="2359"/>
      <c r="P702" s="2359"/>
      <c r="Q702" s="2359"/>
      <c r="R702" s="2359"/>
      <c r="S702" s="2359"/>
      <c r="T702" s="2359"/>
      <c r="U702" s="2359"/>
      <c r="V702" s="2359"/>
      <c r="W702" s="2359"/>
      <c r="X702" s="97"/>
      <c r="Y702" s="106"/>
      <c r="Z702" s="97"/>
      <c r="AA702" s="106"/>
      <c r="AB702" s="97"/>
      <c r="AC702" s="106"/>
    </row>
    <row r="703" spans="1:29" ht="12.6" customHeight="1">
      <c r="A703" s="97"/>
      <c r="B703" s="98"/>
      <c r="C703" s="98"/>
      <c r="D703" s="97"/>
      <c r="E703" s="2361"/>
      <c r="F703" s="2359"/>
      <c r="G703" s="2359"/>
      <c r="H703" s="2359"/>
      <c r="I703" s="2359"/>
      <c r="J703" s="2359"/>
      <c r="K703" s="2359"/>
      <c r="L703" s="2359"/>
      <c r="M703" s="2359"/>
      <c r="N703" s="2359"/>
      <c r="O703" s="2359"/>
      <c r="P703" s="2359"/>
      <c r="Q703" s="2359"/>
      <c r="R703" s="2359"/>
      <c r="S703" s="2359"/>
      <c r="T703" s="2359"/>
      <c r="U703" s="2359"/>
      <c r="V703" s="2359"/>
      <c r="W703" s="2359"/>
      <c r="X703" s="97"/>
      <c r="Y703" s="106"/>
      <c r="Z703" s="97"/>
      <c r="AA703" s="106"/>
      <c r="AB703" s="97"/>
      <c r="AC703" s="106"/>
    </row>
    <row r="704" spans="1:29" ht="12.6" customHeight="1">
      <c r="A704" s="97"/>
      <c r="B704" s="98"/>
      <c r="C704" s="98"/>
      <c r="D704" s="97"/>
      <c r="E704" s="2361"/>
      <c r="F704" s="2359"/>
      <c r="G704" s="2359"/>
      <c r="H704" s="2359"/>
      <c r="I704" s="2359"/>
      <c r="J704" s="2359"/>
      <c r="K704" s="2359"/>
      <c r="L704" s="2359"/>
      <c r="M704" s="2359"/>
      <c r="N704" s="2359"/>
      <c r="O704" s="2359"/>
      <c r="P704" s="2359"/>
      <c r="Q704" s="2359"/>
      <c r="R704" s="2359"/>
      <c r="S704" s="2359"/>
      <c r="T704" s="2359"/>
      <c r="U704" s="2359"/>
      <c r="V704" s="2359"/>
      <c r="W704" s="2359"/>
      <c r="X704" s="97"/>
      <c r="Y704" s="106"/>
      <c r="Z704" s="97"/>
      <c r="AA704" s="106"/>
      <c r="AB704" s="97"/>
      <c r="AC704" s="106"/>
    </row>
    <row r="705" spans="1:29" ht="12.6" customHeight="1">
      <c r="A705" s="97"/>
      <c r="B705" s="98"/>
      <c r="C705" s="98"/>
      <c r="D705" s="97"/>
      <c r="E705" s="2361"/>
      <c r="F705" s="2359"/>
      <c r="G705" s="2359"/>
      <c r="H705" s="2359"/>
      <c r="I705" s="2359"/>
      <c r="J705" s="2359"/>
      <c r="K705" s="2359"/>
      <c r="L705" s="2359"/>
      <c r="M705" s="2359"/>
      <c r="N705" s="2359"/>
      <c r="O705" s="2359"/>
      <c r="P705" s="2359"/>
      <c r="Q705" s="2359"/>
      <c r="R705" s="2359"/>
      <c r="S705" s="2359"/>
      <c r="T705" s="2359"/>
      <c r="U705" s="2359"/>
      <c r="V705" s="2359"/>
      <c r="W705" s="2359"/>
      <c r="X705" s="97"/>
      <c r="Y705" s="106"/>
      <c r="Z705" s="97"/>
      <c r="AA705" s="106"/>
      <c r="AB705" s="97"/>
      <c r="AC705" s="106"/>
    </row>
    <row r="706" spans="1:29" ht="12.6" customHeight="1">
      <c r="A706" s="97"/>
      <c r="B706" s="98"/>
      <c r="C706" s="98"/>
      <c r="D706" s="97"/>
      <c r="E706" s="2361"/>
      <c r="F706" s="2359"/>
      <c r="G706" s="2359"/>
      <c r="H706" s="2359"/>
      <c r="I706" s="2359"/>
      <c r="J706" s="2359"/>
      <c r="K706" s="2359"/>
      <c r="L706" s="2359"/>
      <c r="M706" s="2359"/>
      <c r="N706" s="2359"/>
      <c r="O706" s="2359"/>
      <c r="P706" s="2359"/>
      <c r="Q706" s="2359"/>
      <c r="R706" s="2359"/>
      <c r="S706" s="2359"/>
      <c r="T706" s="2359"/>
      <c r="U706" s="2359"/>
      <c r="V706" s="2359"/>
      <c r="W706" s="2359"/>
      <c r="X706" s="97"/>
      <c r="Y706" s="106"/>
      <c r="Z706" s="97"/>
      <c r="AA706" s="106"/>
      <c r="AB706" s="97"/>
      <c r="AC706" s="106"/>
    </row>
    <row r="707" spans="1:29" ht="12.6" customHeight="1">
      <c r="A707" s="97"/>
      <c r="B707" s="98"/>
      <c r="C707" s="98"/>
      <c r="D707" s="97"/>
      <c r="E707" s="2361"/>
      <c r="F707" s="2359"/>
      <c r="G707" s="2359"/>
      <c r="H707" s="2359"/>
      <c r="I707" s="2359"/>
      <c r="J707" s="2359"/>
      <c r="K707" s="2359"/>
      <c r="L707" s="2359"/>
      <c r="M707" s="2359"/>
      <c r="N707" s="2359"/>
      <c r="O707" s="2359"/>
      <c r="P707" s="2359"/>
      <c r="Q707" s="2359"/>
      <c r="R707" s="2359"/>
      <c r="S707" s="2359"/>
      <c r="T707" s="2359"/>
      <c r="U707" s="2359"/>
      <c r="V707" s="2359"/>
      <c r="W707" s="2359"/>
      <c r="X707" s="97"/>
      <c r="Y707" s="106"/>
      <c r="Z707" s="97"/>
      <c r="AA707" s="106"/>
      <c r="AB707" s="97"/>
      <c r="AC707" s="106"/>
    </row>
    <row r="708" spans="1:29" ht="12.6" customHeight="1">
      <c r="A708" s="97"/>
      <c r="B708" s="98"/>
      <c r="C708" s="98"/>
      <c r="D708" s="97"/>
      <c r="E708" s="2361"/>
      <c r="F708" s="2359"/>
      <c r="G708" s="2359"/>
      <c r="H708" s="2359"/>
      <c r="I708" s="2359"/>
      <c r="J708" s="2359"/>
      <c r="K708" s="2359"/>
      <c r="L708" s="2359"/>
      <c r="M708" s="2359"/>
      <c r="N708" s="2359"/>
      <c r="O708" s="2359"/>
      <c r="P708" s="2359"/>
      <c r="Q708" s="2359"/>
      <c r="R708" s="2359"/>
      <c r="S708" s="2359"/>
      <c r="T708" s="2359"/>
      <c r="U708" s="2359"/>
      <c r="V708" s="2359"/>
      <c r="W708" s="2359"/>
      <c r="X708" s="97"/>
      <c r="Y708" s="106"/>
      <c r="Z708" s="97"/>
      <c r="AA708" s="106"/>
      <c r="AB708" s="97"/>
      <c r="AC708" s="106"/>
    </row>
    <row r="709" spans="1:29" ht="12.6" customHeight="1">
      <c r="A709" s="97"/>
      <c r="B709" s="98"/>
      <c r="C709" s="98"/>
      <c r="D709" s="97"/>
      <c r="E709" s="2361"/>
      <c r="F709" s="2359"/>
      <c r="G709" s="2359"/>
      <c r="H709" s="2359"/>
      <c r="I709" s="2359"/>
      <c r="J709" s="2359"/>
      <c r="K709" s="2359"/>
      <c r="L709" s="2359"/>
      <c r="M709" s="2359"/>
      <c r="N709" s="2359"/>
      <c r="O709" s="2359"/>
      <c r="P709" s="2359"/>
      <c r="Q709" s="2359"/>
      <c r="R709" s="2359"/>
      <c r="S709" s="2359"/>
      <c r="T709" s="2359"/>
      <c r="U709" s="2359"/>
      <c r="V709" s="2359"/>
      <c r="W709" s="2359"/>
      <c r="X709" s="97"/>
      <c r="Y709" s="106"/>
      <c r="Z709" s="97"/>
      <c r="AA709" s="106"/>
      <c r="AB709" s="97"/>
      <c r="AC709" s="106"/>
    </row>
    <row r="710" spans="1:29" ht="12.6" customHeight="1">
      <c r="A710" s="97"/>
      <c r="B710" s="98"/>
      <c r="C710" s="98"/>
      <c r="D710" s="97"/>
      <c r="E710" s="2361"/>
      <c r="F710" s="2359"/>
      <c r="G710" s="2359"/>
      <c r="H710" s="2359"/>
      <c r="I710" s="2359"/>
      <c r="J710" s="2359"/>
      <c r="K710" s="2359"/>
      <c r="L710" s="2359"/>
      <c r="M710" s="2359"/>
      <c r="N710" s="2359"/>
      <c r="O710" s="2359"/>
      <c r="P710" s="2359"/>
      <c r="Q710" s="2359"/>
      <c r="R710" s="2359"/>
      <c r="S710" s="2359"/>
      <c r="T710" s="2359"/>
      <c r="U710" s="2359"/>
      <c r="V710" s="2359"/>
      <c r="W710" s="2359"/>
      <c r="X710" s="97"/>
      <c r="Y710" s="106"/>
      <c r="Z710" s="97"/>
      <c r="AA710" s="106"/>
      <c r="AB710" s="97"/>
      <c r="AC710" s="106"/>
    </row>
    <row r="711" spans="1:29" ht="12.6" customHeight="1">
      <c r="A711" s="97"/>
      <c r="B711" s="98"/>
      <c r="C711" s="98"/>
      <c r="D711" s="97"/>
      <c r="E711" s="2361"/>
      <c r="F711" s="2359"/>
      <c r="G711" s="2359"/>
      <c r="H711" s="2359"/>
      <c r="I711" s="2359"/>
      <c r="J711" s="2359"/>
      <c r="K711" s="2359"/>
      <c r="L711" s="2359"/>
      <c r="M711" s="2359"/>
      <c r="N711" s="2359"/>
      <c r="O711" s="2359"/>
      <c r="P711" s="2359"/>
      <c r="Q711" s="2359"/>
      <c r="R711" s="2359"/>
      <c r="S711" s="2359"/>
      <c r="T711" s="2359"/>
      <c r="U711" s="2359"/>
      <c r="V711" s="2359"/>
      <c r="W711" s="2359"/>
      <c r="X711" s="97"/>
      <c r="Y711" s="106"/>
      <c r="Z711" s="97"/>
      <c r="AA711" s="106"/>
      <c r="AB711" s="97"/>
      <c r="AC711" s="106"/>
    </row>
    <row r="712" spans="1:29" ht="12.6" customHeight="1">
      <c r="A712" s="97"/>
      <c r="B712" s="98"/>
      <c r="C712" s="98"/>
      <c r="D712" s="97"/>
      <c r="E712" s="2361"/>
      <c r="F712" s="2359"/>
      <c r="G712" s="2359"/>
      <c r="H712" s="2359"/>
      <c r="I712" s="2359"/>
      <c r="J712" s="2359"/>
      <c r="K712" s="2359"/>
      <c r="L712" s="2359"/>
      <c r="M712" s="2359"/>
      <c r="N712" s="2359"/>
      <c r="O712" s="2359"/>
      <c r="P712" s="2359"/>
      <c r="Q712" s="2359"/>
      <c r="R712" s="2359"/>
      <c r="S712" s="2359"/>
      <c r="T712" s="2359"/>
      <c r="U712" s="2359"/>
      <c r="V712" s="2359"/>
      <c r="W712" s="2359"/>
      <c r="X712" s="97"/>
      <c r="Y712" s="106"/>
      <c r="Z712" s="97"/>
      <c r="AA712" s="106"/>
      <c r="AB712" s="97"/>
      <c r="AC712" s="106"/>
    </row>
    <row r="713" spans="1:29" ht="12.6" customHeight="1">
      <c r="A713" s="97"/>
      <c r="B713" s="98"/>
      <c r="C713" s="98"/>
      <c r="D713" s="97"/>
      <c r="E713" s="2361"/>
      <c r="F713" s="2359"/>
      <c r="G713" s="2359"/>
      <c r="H713" s="2359"/>
      <c r="I713" s="2359"/>
      <c r="J713" s="2359"/>
      <c r="K713" s="2359"/>
      <c r="L713" s="2359"/>
      <c r="M713" s="2359"/>
      <c r="N713" s="2359"/>
      <c r="O713" s="2359"/>
      <c r="P713" s="2359"/>
      <c r="Q713" s="2359"/>
      <c r="R713" s="2359"/>
      <c r="S713" s="2359"/>
      <c r="T713" s="2359"/>
      <c r="U713" s="2359"/>
      <c r="V713" s="2359"/>
      <c r="W713" s="2359"/>
      <c r="X713" s="97"/>
      <c r="Y713" s="106"/>
      <c r="Z713" s="97"/>
      <c r="AA713" s="106"/>
      <c r="AB713" s="97"/>
      <c r="AC713" s="106"/>
    </row>
    <row r="714" spans="1:29" ht="12.6" customHeight="1">
      <c r="A714" s="97"/>
      <c r="B714" s="98"/>
      <c r="C714" s="98"/>
      <c r="D714" s="97"/>
      <c r="E714" s="2361"/>
      <c r="F714" s="2359"/>
      <c r="G714" s="2359"/>
      <c r="H714" s="2359"/>
      <c r="I714" s="2359"/>
      <c r="J714" s="2359"/>
      <c r="K714" s="2359"/>
      <c r="L714" s="2359"/>
      <c r="M714" s="2359"/>
      <c r="N714" s="2359"/>
      <c r="O714" s="2359"/>
      <c r="P714" s="2359"/>
      <c r="Q714" s="2359"/>
      <c r="R714" s="2359"/>
      <c r="S714" s="2359"/>
      <c r="T714" s="2359"/>
      <c r="U714" s="2359"/>
      <c r="V714" s="2359"/>
      <c r="W714" s="2359"/>
      <c r="X714" s="97"/>
      <c r="Y714" s="106"/>
      <c r="Z714" s="97"/>
      <c r="AA714" s="106"/>
      <c r="AB714" s="97"/>
      <c r="AC714" s="106"/>
    </row>
    <row r="715" spans="1:29" ht="12.6" customHeight="1">
      <c r="A715" s="97"/>
      <c r="B715" s="98"/>
      <c r="C715" s="98"/>
      <c r="D715" s="97"/>
      <c r="E715" s="2361"/>
      <c r="F715" s="2359"/>
      <c r="G715" s="2359"/>
      <c r="H715" s="2359"/>
      <c r="I715" s="2359"/>
      <c r="J715" s="2359"/>
      <c r="K715" s="2359"/>
      <c r="L715" s="2359"/>
      <c r="M715" s="2359"/>
      <c r="N715" s="2359"/>
      <c r="O715" s="2359"/>
      <c r="P715" s="2359"/>
      <c r="Q715" s="2359"/>
      <c r="R715" s="2359"/>
      <c r="S715" s="2359"/>
      <c r="T715" s="2359"/>
      <c r="U715" s="2359"/>
      <c r="V715" s="2359"/>
      <c r="W715" s="2359"/>
      <c r="X715" s="97"/>
      <c r="Y715" s="106"/>
      <c r="Z715" s="97"/>
      <c r="AA715" s="106"/>
      <c r="AB715" s="97"/>
      <c r="AC715" s="106"/>
    </row>
    <row r="716" spans="1:29" ht="12.6" customHeight="1">
      <c r="A716" s="97"/>
      <c r="B716" s="98"/>
      <c r="C716" s="98"/>
      <c r="D716" s="97"/>
      <c r="E716" s="2361"/>
      <c r="F716" s="2359"/>
      <c r="G716" s="2359"/>
      <c r="H716" s="2359"/>
      <c r="I716" s="2359"/>
      <c r="J716" s="2359"/>
      <c r="K716" s="2359"/>
      <c r="L716" s="2359"/>
      <c r="M716" s="2359"/>
      <c r="N716" s="2359"/>
      <c r="O716" s="2359"/>
      <c r="P716" s="2359"/>
      <c r="Q716" s="2359"/>
      <c r="R716" s="2359"/>
      <c r="S716" s="2359"/>
      <c r="T716" s="2359"/>
      <c r="U716" s="2359"/>
      <c r="V716" s="2359"/>
      <c r="W716" s="2359"/>
      <c r="X716" s="97"/>
      <c r="Y716" s="106"/>
      <c r="Z716" s="97"/>
      <c r="AA716" s="106"/>
      <c r="AB716" s="97"/>
      <c r="AC716" s="106"/>
    </row>
    <row r="717" spans="1:29" ht="12.6" customHeight="1">
      <c r="A717" s="97"/>
      <c r="B717" s="98"/>
      <c r="C717" s="98"/>
      <c r="D717" s="97"/>
      <c r="E717" s="2361"/>
      <c r="F717" s="2359"/>
      <c r="G717" s="2359"/>
      <c r="H717" s="2359"/>
      <c r="I717" s="2359"/>
      <c r="J717" s="2359"/>
      <c r="K717" s="2359"/>
      <c r="L717" s="2359"/>
      <c r="M717" s="2359"/>
      <c r="N717" s="2359"/>
      <c r="O717" s="2359"/>
      <c r="P717" s="2359"/>
      <c r="Q717" s="2359"/>
      <c r="R717" s="2359"/>
      <c r="S717" s="2359"/>
      <c r="T717" s="2359"/>
      <c r="U717" s="2359"/>
      <c r="V717" s="2359"/>
      <c r="W717" s="2359"/>
      <c r="X717" s="97"/>
      <c r="Y717" s="106"/>
      <c r="Z717" s="97"/>
      <c r="AA717" s="106"/>
      <c r="AB717" s="97"/>
      <c r="AC717" s="106"/>
    </row>
    <row r="718" spans="1:29" ht="12.6" customHeight="1">
      <c r="A718" s="97"/>
      <c r="B718" s="98"/>
      <c r="C718" s="98"/>
      <c r="D718" s="97"/>
      <c r="E718" s="2361"/>
      <c r="F718" s="2359"/>
      <c r="G718" s="2359"/>
      <c r="H718" s="2359"/>
      <c r="I718" s="2359"/>
      <c r="J718" s="2359"/>
      <c r="K718" s="2359"/>
      <c r="L718" s="2359"/>
      <c r="M718" s="2359"/>
      <c r="N718" s="2359"/>
      <c r="O718" s="2359"/>
      <c r="P718" s="2359"/>
      <c r="Q718" s="2359"/>
      <c r="R718" s="2359"/>
      <c r="S718" s="2359"/>
      <c r="T718" s="2359"/>
      <c r="U718" s="2359"/>
      <c r="V718" s="2359"/>
      <c r="W718" s="2359"/>
      <c r="X718" s="97"/>
      <c r="Y718" s="106"/>
      <c r="Z718" s="97"/>
      <c r="AA718" s="106"/>
      <c r="AB718" s="97"/>
      <c r="AC718" s="106"/>
    </row>
    <row r="719" spans="1:29" ht="12.6" customHeight="1">
      <c r="A719" s="97"/>
      <c r="B719" s="98"/>
      <c r="C719" s="98"/>
      <c r="D719" s="97"/>
      <c r="E719" s="2361"/>
      <c r="F719" s="2359"/>
      <c r="G719" s="2359"/>
      <c r="H719" s="2359"/>
      <c r="I719" s="2359"/>
      <c r="J719" s="2359"/>
      <c r="K719" s="2359"/>
      <c r="L719" s="2359"/>
      <c r="M719" s="2359"/>
      <c r="N719" s="2359"/>
      <c r="O719" s="2359"/>
      <c r="P719" s="2359"/>
      <c r="Q719" s="2359"/>
      <c r="R719" s="2359"/>
      <c r="S719" s="2359"/>
      <c r="T719" s="2359"/>
      <c r="U719" s="2359"/>
      <c r="V719" s="2359"/>
      <c r="W719" s="2359"/>
      <c r="X719" s="97"/>
      <c r="Y719" s="106"/>
      <c r="Z719" s="97"/>
      <c r="AA719" s="106"/>
      <c r="AB719" s="97"/>
      <c r="AC719" s="106"/>
    </row>
    <row r="720" spans="1:29" ht="12.6" customHeight="1">
      <c r="A720" s="97"/>
      <c r="B720" s="98"/>
      <c r="C720" s="98"/>
      <c r="D720" s="97"/>
      <c r="E720" s="2361"/>
      <c r="F720" s="2359"/>
      <c r="G720" s="2359"/>
      <c r="H720" s="2359"/>
      <c r="I720" s="2359"/>
      <c r="J720" s="2359"/>
      <c r="K720" s="2359"/>
      <c r="L720" s="2359"/>
      <c r="M720" s="2359"/>
      <c r="N720" s="2359"/>
      <c r="O720" s="2359"/>
      <c r="P720" s="2359"/>
      <c r="Q720" s="2359"/>
      <c r="R720" s="2359"/>
      <c r="S720" s="2359"/>
      <c r="T720" s="2359"/>
      <c r="U720" s="2359"/>
      <c r="V720" s="2359"/>
      <c r="W720" s="2359"/>
      <c r="X720" s="97"/>
      <c r="Y720" s="106"/>
      <c r="Z720" s="97"/>
      <c r="AA720" s="106"/>
      <c r="AB720" s="97"/>
      <c r="AC720" s="106"/>
    </row>
    <row r="721" spans="1:29" ht="12.6" customHeight="1">
      <c r="A721" s="97"/>
      <c r="B721" s="98"/>
      <c r="C721" s="98"/>
      <c r="D721" s="97"/>
      <c r="E721" s="2361"/>
      <c r="F721" s="2359"/>
      <c r="G721" s="2359"/>
      <c r="H721" s="2359"/>
      <c r="I721" s="2359"/>
      <c r="J721" s="2359"/>
      <c r="K721" s="2359"/>
      <c r="L721" s="2359"/>
      <c r="M721" s="2359"/>
      <c r="N721" s="2359"/>
      <c r="O721" s="2359"/>
      <c r="P721" s="2359"/>
      <c r="Q721" s="2359"/>
      <c r="R721" s="2359"/>
      <c r="S721" s="2359"/>
      <c r="T721" s="2359"/>
      <c r="U721" s="2359"/>
      <c r="V721" s="2359"/>
      <c r="W721" s="2359"/>
      <c r="X721" s="97"/>
      <c r="Y721" s="106"/>
      <c r="Z721" s="97"/>
      <c r="AA721" s="106"/>
      <c r="AB721" s="97"/>
      <c r="AC721" s="106"/>
    </row>
    <row r="722" spans="1:29" ht="12.6" customHeight="1">
      <c r="A722" s="97"/>
      <c r="B722" s="98"/>
      <c r="C722" s="98"/>
      <c r="D722" s="97"/>
      <c r="E722" s="2361"/>
      <c r="F722" s="2359"/>
      <c r="G722" s="2359"/>
      <c r="H722" s="2359"/>
      <c r="I722" s="2359"/>
      <c r="J722" s="2359"/>
      <c r="K722" s="2359"/>
      <c r="L722" s="2359"/>
      <c r="M722" s="2359"/>
      <c r="N722" s="2359"/>
      <c r="O722" s="2359"/>
      <c r="P722" s="2359"/>
      <c r="Q722" s="2359"/>
      <c r="R722" s="2359"/>
      <c r="S722" s="2359"/>
      <c r="T722" s="2359"/>
      <c r="U722" s="2359"/>
      <c r="V722" s="2359"/>
      <c r="W722" s="2359"/>
      <c r="X722" s="97"/>
      <c r="Y722" s="106"/>
      <c r="Z722" s="97"/>
      <c r="AA722" s="106"/>
      <c r="AB722" s="97"/>
      <c r="AC722" s="106"/>
    </row>
    <row r="723" spans="1:29" ht="12.6" customHeight="1">
      <c r="A723" s="97"/>
      <c r="B723" s="98"/>
      <c r="C723" s="98"/>
      <c r="D723" s="97"/>
      <c r="E723" s="2361"/>
      <c r="F723" s="2359"/>
      <c r="G723" s="2359"/>
      <c r="H723" s="2359"/>
      <c r="I723" s="2359"/>
      <c r="J723" s="2359"/>
      <c r="K723" s="2359"/>
      <c r="L723" s="2359"/>
      <c r="M723" s="2359"/>
      <c r="N723" s="2359"/>
      <c r="O723" s="2359"/>
      <c r="P723" s="2359"/>
      <c r="Q723" s="2359"/>
      <c r="R723" s="2359"/>
      <c r="S723" s="2359"/>
      <c r="T723" s="2359"/>
      <c r="U723" s="2359"/>
      <c r="V723" s="2359"/>
      <c r="W723" s="2359"/>
      <c r="X723" s="97"/>
      <c r="Y723" s="105"/>
      <c r="Z723" s="97"/>
      <c r="AA723" s="106"/>
      <c r="AB723" s="97"/>
      <c r="AC723" s="106"/>
    </row>
    <row r="724" spans="1:29" ht="12.6" customHeight="1">
      <c r="A724" s="97"/>
      <c r="B724" s="98"/>
      <c r="C724" s="98"/>
      <c r="D724" s="97"/>
      <c r="E724" s="2361"/>
      <c r="F724" s="2359"/>
      <c r="G724" s="2359"/>
      <c r="H724" s="2359"/>
      <c r="I724" s="2359"/>
      <c r="J724" s="2359"/>
      <c r="K724" s="2359"/>
      <c r="L724" s="2359"/>
      <c r="M724" s="2359"/>
      <c r="N724" s="2359"/>
      <c r="O724" s="2359"/>
      <c r="P724" s="2359"/>
      <c r="Q724" s="2359"/>
      <c r="R724" s="2359"/>
      <c r="S724" s="2359"/>
      <c r="T724" s="2359"/>
      <c r="U724" s="2359"/>
      <c r="V724" s="2359"/>
      <c r="W724" s="2359"/>
      <c r="X724" s="97"/>
      <c r="Y724" s="105"/>
      <c r="Z724" s="97"/>
      <c r="AA724" s="105"/>
      <c r="AB724" s="97"/>
      <c r="AC724" s="105"/>
    </row>
    <row r="725" spans="1:29" ht="12.6" customHeight="1">
      <c r="A725" s="97"/>
      <c r="B725" s="98"/>
      <c r="C725" s="98"/>
      <c r="D725" s="97"/>
      <c r="E725" s="2361"/>
      <c r="F725" s="2359"/>
      <c r="G725" s="2359"/>
      <c r="H725" s="2359"/>
      <c r="I725" s="2359"/>
      <c r="J725" s="2359"/>
      <c r="K725" s="2359"/>
      <c r="L725" s="2359"/>
      <c r="M725" s="2359"/>
      <c r="N725" s="2359"/>
      <c r="O725" s="2359"/>
      <c r="P725" s="2359"/>
      <c r="Q725" s="2359"/>
      <c r="R725" s="2359"/>
      <c r="S725" s="2359"/>
      <c r="T725" s="2359"/>
      <c r="U725" s="2359"/>
      <c r="V725" s="2359"/>
      <c r="W725" s="2359"/>
      <c r="X725" s="97"/>
      <c r="Y725" s="108"/>
      <c r="Z725" s="97"/>
      <c r="AA725" s="105"/>
      <c r="AB725" s="97"/>
      <c r="AC725" s="105"/>
    </row>
    <row r="726" spans="1:29" ht="12.6" customHeight="1">
      <c r="A726" s="97"/>
      <c r="B726" s="98"/>
      <c r="C726" s="98"/>
      <c r="D726" s="97"/>
      <c r="E726" s="2361"/>
      <c r="F726" s="2359"/>
      <c r="G726" s="2359"/>
      <c r="H726" s="2359"/>
      <c r="I726" s="2359"/>
      <c r="J726" s="2359"/>
      <c r="K726" s="2359"/>
      <c r="L726" s="2359"/>
      <c r="M726" s="2359"/>
      <c r="N726" s="2359"/>
      <c r="O726" s="2359"/>
      <c r="P726" s="2359"/>
      <c r="Q726" s="2359"/>
      <c r="R726" s="2359"/>
      <c r="S726" s="2359"/>
      <c r="T726" s="2359"/>
      <c r="U726" s="2359"/>
      <c r="V726" s="2359"/>
      <c r="W726" s="2359"/>
      <c r="X726" s="97"/>
      <c r="Y726" s="106"/>
      <c r="Z726" s="97"/>
      <c r="AA726" s="108"/>
      <c r="AB726" s="97"/>
      <c r="AC726" s="108"/>
    </row>
    <row r="727" spans="1:29" ht="12.6" customHeight="1">
      <c r="A727" s="97"/>
      <c r="B727" s="98"/>
      <c r="C727" s="98"/>
      <c r="D727" s="97"/>
      <c r="E727" s="2361"/>
      <c r="F727" s="2359"/>
      <c r="G727" s="2359"/>
      <c r="H727" s="2359"/>
      <c r="I727" s="2359"/>
      <c r="J727" s="2359"/>
      <c r="K727" s="2359"/>
      <c r="L727" s="2359"/>
      <c r="M727" s="2359"/>
      <c r="N727" s="2359"/>
      <c r="O727" s="2359"/>
      <c r="P727" s="2359"/>
      <c r="Q727" s="2359"/>
      <c r="R727" s="2359"/>
      <c r="S727" s="2359"/>
      <c r="T727" s="2359"/>
      <c r="U727" s="2359"/>
      <c r="V727" s="2359"/>
      <c r="W727" s="2359"/>
      <c r="X727" s="97"/>
      <c r="Y727" s="106"/>
      <c r="Z727" s="97"/>
      <c r="AA727" s="106"/>
      <c r="AB727" s="97"/>
      <c r="AC727" s="106"/>
    </row>
    <row r="728" spans="1:29" ht="12.6" customHeight="1">
      <c r="A728" s="97"/>
      <c r="B728" s="98"/>
      <c r="C728" s="98"/>
      <c r="D728" s="97"/>
      <c r="E728" s="2361"/>
      <c r="F728" s="2359"/>
      <c r="G728" s="2359"/>
      <c r="H728" s="2359"/>
      <c r="I728" s="2359"/>
      <c r="J728" s="2359"/>
      <c r="K728" s="2359"/>
      <c r="L728" s="2359"/>
      <c r="M728" s="2359"/>
      <c r="N728" s="2359"/>
      <c r="O728" s="2359"/>
      <c r="P728" s="2359"/>
      <c r="Q728" s="2359"/>
      <c r="R728" s="2359"/>
      <c r="S728" s="2359"/>
      <c r="T728" s="2359"/>
      <c r="U728" s="2359"/>
      <c r="V728" s="2359"/>
      <c r="W728" s="2359"/>
      <c r="X728" s="97"/>
      <c r="Y728" s="106"/>
      <c r="Z728" s="97"/>
      <c r="AA728" s="106"/>
      <c r="AB728" s="97"/>
      <c r="AC728" s="106"/>
    </row>
    <row r="729" spans="1:29" ht="12.6" customHeight="1">
      <c r="A729" s="97"/>
      <c r="B729" s="98"/>
      <c r="C729" s="98"/>
      <c r="D729" s="97"/>
      <c r="E729" s="2361"/>
      <c r="F729" s="2359"/>
      <c r="G729" s="2359"/>
      <c r="H729" s="2359"/>
      <c r="I729" s="2359"/>
      <c r="J729" s="2359"/>
      <c r="K729" s="2359"/>
      <c r="L729" s="2359"/>
      <c r="M729" s="2359"/>
      <c r="N729" s="2359"/>
      <c r="O729" s="2359"/>
      <c r="P729" s="2359"/>
      <c r="Q729" s="2359"/>
      <c r="R729" s="2359"/>
      <c r="S729" s="2359"/>
      <c r="T729" s="2359"/>
      <c r="U729" s="2359"/>
      <c r="V729" s="2359"/>
      <c r="W729" s="2359"/>
      <c r="X729" s="97"/>
      <c r="Y729" s="106"/>
      <c r="Z729" s="97"/>
      <c r="AA729" s="106"/>
      <c r="AB729" s="97"/>
      <c r="AC729" s="106"/>
    </row>
    <row r="730" spans="1:29" ht="12.6" customHeight="1">
      <c r="A730" s="97"/>
      <c r="B730" s="98"/>
      <c r="C730" s="98"/>
      <c r="D730" s="97"/>
      <c r="E730" s="2361"/>
      <c r="F730" s="2359"/>
      <c r="G730" s="2359"/>
      <c r="H730" s="2359"/>
      <c r="I730" s="2359"/>
      <c r="J730" s="2359"/>
      <c r="K730" s="2359"/>
      <c r="L730" s="2359"/>
      <c r="M730" s="2359"/>
      <c r="N730" s="2359"/>
      <c r="O730" s="2359"/>
      <c r="P730" s="2359"/>
      <c r="Q730" s="2359"/>
      <c r="R730" s="2359"/>
      <c r="S730" s="2359"/>
      <c r="T730" s="2359"/>
      <c r="U730" s="2359"/>
      <c r="V730" s="2359"/>
      <c r="W730" s="2359"/>
      <c r="X730" s="97"/>
      <c r="Y730" s="106"/>
      <c r="Z730" s="97"/>
      <c r="AA730" s="106"/>
      <c r="AB730" s="97"/>
      <c r="AC730" s="106"/>
    </row>
    <row r="731" spans="1:29" ht="12.6" customHeight="1">
      <c r="A731" s="97"/>
      <c r="B731" s="98"/>
      <c r="C731" s="98"/>
      <c r="D731" s="97"/>
      <c r="E731" s="2361"/>
      <c r="F731" s="2359"/>
      <c r="G731" s="2359"/>
      <c r="H731" s="2359"/>
      <c r="I731" s="2359"/>
      <c r="J731" s="2359"/>
      <c r="K731" s="2359"/>
      <c r="L731" s="2359"/>
      <c r="M731" s="2359"/>
      <c r="N731" s="2359"/>
      <c r="O731" s="2359"/>
      <c r="P731" s="2359"/>
      <c r="Q731" s="2359"/>
      <c r="R731" s="2359"/>
      <c r="S731" s="2359"/>
      <c r="T731" s="2359"/>
      <c r="U731" s="2359"/>
      <c r="V731" s="2359"/>
      <c r="W731" s="2359"/>
      <c r="X731" s="97"/>
      <c r="Y731" s="106"/>
      <c r="Z731" s="97"/>
      <c r="AA731" s="106"/>
      <c r="AB731" s="97"/>
      <c r="AC731" s="106"/>
    </row>
    <row r="732" spans="1:29" ht="12.6" customHeight="1">
      <c r="A732" s="97"/>
      <c r="B732" s="98"/>
      <c r="C732" s="98"/>
      <c r="D732" s="97"/>
      <c r="E732" s="2361"/>
      <c r="F732" s="2359"/>
      <c r="G732" s="2359"/>
      <c r="H732" s="2359"/>
      <c r="I732" s="2359"/>
      <c r="J732" s="2359"/>
      <c r="K732" s="2359"/>
      <c r="L732" s="2359"/>
      <c r="M732" s="2359"/>
      <c r="N732" s="2359"/>
      <c r="O732" s="2359"/>
      <c r="P732" s="2359"/>
      <c r="Q732" s="2359"/>
      <c r="R732" s="2359"/>
      <c r="S732" s="2359"/>
      <c r="T732" s="2359"/>
      <c r="U732" s="2359"/>
      <c r="V732" s="2359"/>
      <c r="W732" s="2359"/>
      <c r="X732" s="97"/>
      <c r="Y732" s="106"/>
      <c r="Z732" s="97"/>
      <c r="AA732" s="106"/>
      <c r="AB732" s="97"/>
      <c r="AC732" s="106"/>
    </row>
    <row r="733" spans="1:29" ht="12.6" customHeight="1">
      <c r="A733" s="97"/>
      <c r="B733" s="98"/>
      <c r="C733" s="98"/>
      <c r="D733" s="97"/>
      <c r="E733" s="2361"/>
      <c r="F733" s="2359"/>
      <c r="G733" s="2359"/>
      <c r="H733" s="2359"/>
      <c r="I733" s="2359"/>
      <c r="J733" s="2359"/>
      <c r="K733" s="2359"/>
      <c r="L733" s="2359"/>
      <c r="M733" s="2359"/>
      <c r="N733" s="2359"/>
      <c r="O733" s="2359"/>
      <c r="P733" s="2359"/>
      <c r="Q733" s="2359"/>
      <c r="R733" s="2359"/>
      <c r="S733" s="2359"/>
      <c r="T733" s="2359"/>
      <c r="U733" s="2359"/>
      <c r="V733" s="2359"/>
      <c r="W733" s="2359"/>
      <c r="X733" s="97"/>
      <c r="Y733" s="106"/>
      <c r="Z733" s="97"/>
      <c r="AA733" s="106"/>
      <c r="AB733" s="97"/>
      <c r="AC733" s="106"/>
    </row>
    <row r="734" spans="1:29" ht="12.6" customHeight="1">
      <c r="A734" s="97"/>
      <c r="B734" s="98"/>
      <c r="C734" s="98"/>
      <c r="D734" s="97"/>
      <c r="E734" s="2361"/>
      <c r="F734" s="2359"/>
      <c r="G734" s="2359"/>
      <c r="H734" s="2359"/>
      <c r="I734" s="2359"/>
      <c r="J734" s="2359"/>
      <c r="K734" s="2359"/>
      <c r="L734" s="2359"/>
      <c r="M734" s="2359"/>
      <c r="N734" s="2359"/>
      <c r="O734" s="2359"/>
      <c r="P734" s="2359"/>
      <c r="Q734" s="2359"/>
      <c r="R734" s="2359"/>
      <c r="S734" s="2359"/>
      <c r="T734" s="2359"/>
      <c r="U734" s="2359"/>
      <c r="V734" s="2359"/>
      <c r="W734" s="2359"/>
      <c r="X734" s="97"/>
      <c r="Y734" s="106"/>
      <c r="Z734" s="97"/>
      <c r="AA734" s="106"/>
      <c r="AB734" s="97"/>
      <c r="AC734" s="106"/>
    </row>
    <row r="735" spans="1:29" ht="12.6" customHeight="1">
      <c r="A735" s="97"/>
      <c r="B735" s="98"/>
      <c r="C735" s="98"/>
      <c r="D735" s="97"/>
      <c r="E735" s="2361"/>
      <c r="F735" s="2359"/>
      <c r="G735" s="2359"/>
      <c r="H735" s="2359"/>
      <c r="I735" s="2359"/>
      <c r="J735" s="2359"/>
      <c r="K735" s="2359"/>
      <c r="L735" s="2359"/>
      <c r="M735" s="2359"/>
      <c r="N735" s="2359"/>
      <c r="O735" s="2359"/>
      <c r="P735" s="2359"/>
      <c r="Q735" s="2359"/>
      <c r="R735" s="2359"/>
      <c r="S735" s="2359"/>
      <c r="T735" s="2359"/>
      <c r="U735" s="2359"/>
      <c r="V735" s="2359"/>
      <c r="W735" s="2359"/>
      <c r="X735" s="97"/>
      <c r="Y735" s="106"/>
      <c r="Z735" s="97"/>
      <c r="AA735" s="106"/>
      <c r="AB735" s="97"/>
      <c r="AC735" s="106"/>
    </row>
    <row r="736" spans="1:29" ht="12.6" customHeight="1">
      <c r="A736" s="97"/>
      <c r="B736" s="98"/>
      <c r="C736" s="98"/>
      <c r="D736" s="97"/>
      <c r="E736" s="2361"/>
      <c r="F736" s="2359"/>
      <c r="G736" s="2359"/>
      <c r="H736" s="2359"/>
      <c r="I736" s="2359"/>
      <c r="J736" s="2359"/>
      <c r="K736" s="2359"/>
      <c r="L736" s="2359"/>
      <c r="M736" s="2359"/>
      <c r="N736" s="2359"/>
      <c r="O736" s="2359"/>
      <c r="P736" s="2359"/>
      <c r="Q736" s="2359"/>
      <c r="R736" s="2359"/>
      <c r="S736" s="2359"/>
      <c r="T736" s="2359"/>
      <c r="U736" s="2359"/>
      <c r="V736" s="2359"/>
      <c r="W736" s="2359"/>
      <c r="X736" s="97"/>
      <c r="Y736" s="106"/>
      <c r="Z736" s="97"/>
      <c r="AA736" s="106"/>
      <c r="AB736" s="97"/>
      <c r="AC736" s="106"/>
    </row>
    <row r="737" spans="1:29" ht="12.6" customHeight="1">
      <c r="A737" s="97"/>
      <c r="B737" s="98"/>
      <c r="C737" s="98"/>
      <c r="D737" s="97"/>
      <c r="E737" s="2361"/>
      <c r="F737" s="2359"/>
      <c r="G737" s="2359"/>
      <c r="H737" s="2359"/>
      <c r="I737" s="2359"/>
      <c r="J737" s="2359"/>
      <c r="K737" s="2359"/>
      <c r="L737" s="2359"/>
      <c r="M737" s="2359"/>
      <c r="N737" s="2359"/>
      <c r="O737" s="2359"/>
      <c r="P737" s="2359"/>
      <c r="Q737" s="2359"/>
      <c r="R737" s="2359"/>
      <c r="S737" s="2359"/>
      <c r="T737" s="2359"/>
      <c r="U737" s="2359"/>
      <c r="V737" s="2359"/>
      <c r="W737" s="2359"/>
      <c r="X737" s="97"/>
      <c r="Y737" s="106"/>
      <c r="Z737" s="97"/>
      <c r="AA737" s="106"/>
      <c r="AB737" s="97"/>
      <c r="AC737" s="106"/>
    </row>
    <row r="738" spans="1:29" ht="12.6" customHeight="1">
      <c r="A738" s="97"/>
      <c r="B738" s="98"/>
      <c r="C738" s="98"/>
      <c r="D738" s="97"/>
      <c r="E738" s="2361"/>
      <c r="F738" s="2359"/>
      <c r="G738" s="2359"/>
      <c r="H738" s="2359"/>
      <c r="I738" s="2359"/>
      <c r="J738" s="2359"/>
      <c r="K738" s="2359"/>
      <c r="L738" s="2359"/>
      <c r="M738" s="2359"/>
      <c r="N738" s="2359"/>
      <c r="O738" s="2359"/>
      <c r="P738" s="2359"/>
      <c r="Q738" s="2359"/>
      <c r="R738" s="2359"/>
      <c r="S738" s="2359"/>
      <c r="T738" s="2359"/>
      <c r="U738" s="2359"/>
      <c r="V738" s="2359"/>
      <c r="W738" s="2359"/>
      <c r="X738" s="97"/>
      <c r="Y738" s="106"/>
      <c r="Z738" s="97"/>
      <c r="AA738" s="106"/>
      <c r="AB738" s="97"/>
      <c r="AC738" s="106"/>
    </row>
    <row r="739" spans="1:29" ht="12.6" customHeight="1">
      <c r="A739" s="97"/>
      <c r="B739" s="98"/>
      <c r="C739" s="98"/>
      <c r="D739" s="97"/>
      <c r="E739" s="2361"/>
      <c r="F739" s="2359"/>
      <c r="G739" s="2359"/>
      <c r="H739" s="2359"/>
      <c r="I739" s="2359"/>
      <c r="J739" s="2359"/>
      <c r="K739" s="2359"/>
      <c r="L739" s="2359"/>
      <c r="M739" s="2359"/>
      <c r="N739" s="2359"/>
      <c r="O739" s="2359"/>
      <c r="P739" s="2359"/>
      <c r="Q739" s="2359"/>
      <c r="R739" s="2359"/>
      <c r="S739" s="2359"/>
      <c r="T739" s="2359"/>
      <c r="U739" s="2359"/>
      <c r="V739" s="2359"/>
      <c r="W739" s="2359"/>
      <c r="X739" s="97"/>
      <c r="Y739" s="106"/>
      <c r="Z739" s="97"/>
      <c r="AA739" s="106"/>
      <c r="AB739" s="97"/>
      <c r="AC739" s="106"/>
    </row>
    <row r="740" spans="1:29" ht="12.6" customHeight="1">
      <c r="A740" s="97"/>
      <c r="B740" s="98"/>
      <c r="C740" s="98"/>
      <c r="D740" s="97"/>
      <c r="E740" s="2361"/>
      <c r="F740" s="2359"/>
      <c r="G740" s="2359"/>
      <c r="H740" s="2359"/>
      <c r="I740" s="2359"/>
      <c r="J740" s="2359"/>
      <c r="K740" s="2359"/>
      <c r="L740" s="2359"/>
      <c r="M740" s="2359"/>
      <c r="N740" s="2359"/>
      <c r="O740" s="2359"/>
      <c r="P740" s="2359"/>
      <c r="Q740" s="2359"/>
      <c r="R740" s="2359"/>
      <c r="S740" s="2359"/>
      <c r="T740" s="2359"/>
      <c r="U740" s="2359"/>
      <c r="V740" s="2359"/>
      <c r="W740" s="2359"/>
      <c r="X740" s="97"/>
      <c r="Y740" s="106"/>
      <c r="Z740" s="97"/>
      <c r="AA740" s="106"/>
      <c r="AB740" s="97"/>
      <c r="AC740" s="106"/>
    </row>
    <row r="741" spans="1:29" ht="12.6" customHeight="1">
      <c r="A741" s="97"/>
      <c r="B741" s="98"/>
      <c r="C741" s="98"/>
      <c r="D741" s="97"/>
      <c r="E741" s="2361"/>
      <c r="F741" s="2359"/>
      <c r="G741" s="2359"/>
      <c r="H741" s="2359"/>
      <c r="I741" s="2359"/>
      <c r="J741" s="2359"/>
      <c r="K741" s="2359"/>
      <c r="L741" s="2359"/>
      <c r="M741" s="2359"/>
      <c r="N741" s="2359"/>
      <c r="O741" s="2359"/>
      <c r="P741" s="2359"/>
      <c r="Q741" s="2359"/>
      <c r="R741" s="2359"/>
      <c r="S741" s="2359"/>
      <c r="T741" s="2359"/>
      <c r="U741" s="2359"/>
      <c r="V741" s="2359"/>
      <c r="W741" s="2359"/>
      <c r="X741" s="97"/>
      <c r="Y741" s="106"/>
      <c r="Z741" s="97"/>
      <c r="AA741" s="106"/>
      <c r="AB741" s="97"/>
      <c r="AC741" s="106"/>
    </row>
    <row r="742" spans="1:29" ht="12.6" customHeight="1">
      <c r="A742" s="97"/>
      <c r="B742" s="98"/>
      <c r="C742" s="98"/>
      <c r="D742" s="97"/>
      <c r="E742" s="2361"/>
      <c r="F742" s="2359"/>
      <c r="G742" s="2359"/>
      <c r="H742" s="2359"/>
      <c r="I742" s="2359"/>
      <c r="J742" s="2359"/>
      <c r="K742" s="2359"/>
      <c r="L742" s="2359"/>
      <c r="M742" s="2359"/>
      <c r="N742" s="2359"/>
      <c r="O742" s="2359"/>
      <c r="P742" s="2359"/>
      <c r="Q742" s="2359"/>
      <c r="R742" s="2359"/>
      <c r="S742" s="2359"/>
      <c r="T742" s="2359"/>
      <c r="U742" s="2359"/>
      <c r="V742" s="2359"/>
      <c r="W742" s="2359"/>
      <c r="X742" s="97"/>
      <c r="Y742" s="106"/>
      <c r="Z742" s="97"/>
      <c r="AA742" s="106"/>
      <c r="AB742" s="97"/>
      <c r="AC742" s="106"/>
    </row>
    <row r="743" spans="1:29" ht="12.6" customHeight="1">
      <c r="A743" s="97"/>
      <c r="B743" s="98"/>
      <c r="C743" s="98"/>
      <c r="D743" s="97"/>
      <c r="E743" s="2361"/>
      <c r="F743" s="2359"/>
      <c r="G743" s="2359"/>
      <c r="H743" s="2359"/>
      <c r="I743" s="2359"/>
      <c r="J743" s="2359"/>
      <c r="K743" s="2359"/>
      <c r="L743" s="2359"/>
      <c r="M743" s="2359"/>
      <c r="N743" s="2359"/>
      <c r="O743" s="2359"/>
      <c r="P743" s="2359"/>
      <c r="Q743" s="2359"/>
      <c r="R743" s="2359"/>
      <c r="S743" s="2359"/>
      <c r="T743" s="2359"/>
      <c r="U743" s="2359"/>
      <c r="V743" s="2359"/>
      <c r="W743" s="2359"/>
      <c r="X743" s="97"/>
      <c r="Y743" s="106"/>
      <c r="Z743" s="97"/>
      <c r="AA743" s="106"/>
      <c r="AB743" s="97"/>
      <c r="AC743" s="106"/>
    </row>
    <row r="744" spans="1:29" ht="12.6" customHeight="1">
      <c r="A744" s="97"/>
      <c r="B744" s="98"/>
      <c r="C744" s="98"/>
      <c r="D744" s="97"/>
      <c r="E744" s="2361"/>
      <c r="F744" s="2359"/>
      <c r="G744" s="2359"/>
      <c r="H744" s="2359"/>
      <c r="I744" s="2359"/>
      <c r="J744" s="2359"/>
      <c r="K744" s="2359"/>
      <c r="L744" s="2359"/>
      <c r="M744" s="2359"/>
      <c r="N744" s="2359"/>
      <c r="O744" s="2359"/>
      <c r="P744" s="2359"/>
      <c r="Q744" s="2359"/>
      <c r="R744" s="2359"/>
      <c r="S744" s="2359"/>
      <c r="T744" s="2359"/>
      <c r="U744" s="2359"/>
      <c r="V744" s="2359"/>
      <c r="W744" s="2359"/>
      <c r="X744" s="97"/>
      <c r="Y744" s="106"/>
      <c r="Z744" s="97"/>
      <c r="AA744" s="106"/>
      <c r="AB744" s="97"/>
      <c r="AC744" s="106"/>
    </row>
    <row r="745" spans="1:29" ht="12.6" customHeight="1">
      <c r="A745" s="97"/>
      <c r="B745" s="98"/>
      <c r="C745" s="98"/>
      <c r="D745" s="97"/>
      <c r="E745" s="2361"/>
      <c r="F745" s="2359"/>
      <c r="G745" s="2359"/>
      <c r="H745" s="2359"/>
      <c r="I745" s="2359"/>
      <c r="J745" s="2359"/>
      <c r="K745" s="2359"/>
      <c r="L745" s="2359"/>
      <c r="M745" s="2359"/>
      <c r="N745" s="2359"/>
      <c r="O745" s="2359"/>
      <c r="P745" s="2359"/>
      <c r="Q745" s="2359"/>
      <c r="R745" s="2359"/>
      <c r="S745" s="2359"/>
      <c r="T745" s="2359"/>
      <c r="U745" s="2359"/>
      <c r="V745" s="2359"/>
      <c r="W745" s="2359"/>
      <c r="X745" s="97"/>
      <c r="Y745" s="106"/>
      <c r="Z745" s="97"/>
      <c r="AA745" s="106"/>
      <c r="AB745" s="97"/>
      <c r="AC745" s="106"/>
    </row>
    <row r="746" spans="1:29" ht="12.6" customHeight="1">
      <c r="A746" s="97"/>
      <c r="B746" s="98"/>
      <c r="C746" s="98"/>
      <c r="D746" s="97"/>
      <c r="E746" s="2361"/>
      <c r="F746" s="2359"/>
      <c r="G746" s="2359"/>
      <c r="H746" s="2359"/>
      <c r="I746" s="2359"/>
      <c r="J746" s="2359"/>
      <c r="K746" s="2359"/>
      <c r="L746" s="2359"/>
      <c r="M746" s="2359"/>
      <c r="N746" s="2359"/>
      <c r="O746" s="2359"/>
      <c r="P746" s="2359"/>
      <c r="Q746" s="2359"/>
      <c r="R746" s="2359"/>
      <c r="S746" s="2359"/>
      <c r="T746" s="2359"/>
      <c r="U746" s="2359"/>
      <c r="V746" s="2359"/>
      <c r="W746" s="2359"/>
      <c r="X746" s="97"/>
      <c r="Y746" s="106"/>
      <c r="Z746" s="97"/>
      <c r="AA746" s="106"/>
      <c r="AB746" s="97"/>
      <c r="AC746" s="106"/>
    </row>
    <row r="747" spans="1:29" ht="12.6" customHeight="1">
      <c r="A747" s="97"/>
      <c r="B747" s="98"/>
      <c r="C747" s="98"/>
      <c r="D747" s="97"/>
      <c r="E747" s="2361"/>
      <c r="F747" s="2359"/>
      <c r="G747" s="2359"/>
      <c r="H747" s="2359"/>
      <c r="I747" s="2359"/>
      <c r="J747" s="2359"/>
      <c r="K747" s="2359"/>
      <c r="L747" s="2359"/>
      <c r="M747" s="2359"/>
      <c r="N747" s="2359"/>
      <c r="O747" s="2359"/>
      <c r="P747" s="2359"/>
      <c r="Q747" s="2359"/>
      <c r="R747" s="2359"/>
      <c r="S747" s="2359"/>
      <c r="T747" s="2359"/>
      <c r="U747" s="2359"/>
      <c r="V747" s="2359"/>
      <c r="W747" s="2359"/>
      <c r="X747" s="97"/>
      <c r="Y747" s="106"/>
      <c r="Z747" s="97"/>
      <c r="AA747" s="106"/>
      <c r="AB747" s="97"/>
      <c r="AC747" s="106"/>
    </row>
    <row r="748" spans="1:29" ht="12.6" customHeight="1">
      <c r="A748" s="97"/>
      <c r="B748" s="98"/>
      <c r="C748" s="98"/>
      <c r="D748" s="97"/>
      <c r="E748" s="2361"/>
      <c r="F748" s="2359"/>
      <c r="G748" s="2359"/>
      <c r="H748" s="2359"/>
      <c r="I748" s="2359"/>
      <c r="J748" s="2359"/>
      <c r="K748" s="2359"/>
      <c r="L748" s="2359"/>
      <c r="M748" s="2359"/>
      <c r="N748" s="2359"/>
      <c r="O748" s="2359"/>
      <c r="P748" s="2359"/>
      <c r="Q748" s="2359"/>
      <c r="R748" s="2359"/>
      <c r="S748" s="2359"/>
      <c r="T748" s="2359"/>
      <c r="U748" s="2359"/>
      <c r="V748" s="2359"/>
      <c r="W748" s="2359"/>
      <c r="X748" s="97"/>
      <c r="Y748" s="106"/>
      <c r="Z748" s="97"/>
      <c r="AA748" s="106"/>
      <c r="AB748" s="97"/>
      <c r="AC748" s="106"/>
    </row>
    <row r="749" spans="1:29" ht="12.6" customHeight="1">
      <c r="A749" s="97"/>
      <c r="B749" s="98"/>
      <c r="C749" s="98"/>
      <c r="D749" s="97"/>
      <c r="E749" s="2361"/>
      <c r="F749" s="2359"/>
      <c r="G749" s="2359"/>
      <c r="H749" s="2359"/>
      <c r="I749" s="2359"/>
      <c r="J749" s="2359"/>
      <c r="K749" s="2359"/>
      <c r="L749" s="2359"/>
      <c r="M749" s="2359"/>
      <c r="N749" s="2359"/>
      <c r="O749" s="2359"/>
      <c r="P749" s="2359"/>
      <c r="Q749" s="2359"/>
      <c r="R749" s="2359"/>
      <c r="S749" s="2359"/>
      <c r="T749" s="2359"/>
      <c r="U749" s="2359"/>
      <c r="V749" s="2359"/>
      <c r="W749" s="2359"/>
      <c r="X749" s="97"/>
      <c r="Y749" s="106"/>
      <c r="Z749" s="97"/>
      <c r="AA749" s="106"/>
      <c r="AB749" s="97"/>
      <c r="AC749" s="106"/>
    </row>
    <row r="750" spans="1:29" ht="12.6" customHeight="1">
      <c r="A750" s="97"/>
      <c r="B750" s="98"/>
      <c r="C750" s="98"/>
      <c r="D750" s="97"/>
      <c r="E750" s="2361"/>
      <c r="F750" s="2359"/>
      <c r="G750" s="2359"/>
      <c r="H750" s="2359"/>
      <c r="I750" s="2359"/>
      <c r="J750" s="2359"/>
      <c r="K750" s="2359"/>
      <c r="L750" s="2359"/>
      <c r="M750" s="2359"/>
      <c r="N750" s="2359"/>
      <c r="O750" s="2359"/>
      <c r="P750" s="2359"/>
      <c r="Q750" s="2359"/>
      <c r="R750" s="2359"/>
      <c r="S750" s="2359"/>
      <c r="T750" s="2359"/>
      <c r="U750" s="2359"/>
      <c r="V750" s="2359"/>
      <c r="W750" s="2359"/>
      <c r="X750" s="97"/>
      <c r="Y750" s="106"/>
      <c r="Z750" s="97"/>
      <c r="AA750" s="106"/>
      <c r="AB750" s="97"/>
      <c r="AC750" s="106"/>
    </row>
    <row r="751" spans="1:29" ht="12.6" customHeight="1">
      <c r="A751" s="97"/>
      <c r="B751" s="98"/>
      <c r="C751" s="98"/>
      <c r="D751" s="97"/>
      <c r="E751" s="2361"/>
      <c r="F751" s="2359"/>
      <c r="G751" s="2359"/>
      <c r="H751" s="2359"/>
      <c r="I751" s="2359"/>
      <c r="J751" s="2359"/>
      <c r="K751" s="2359"/>
      <c r="L751" s="2359"/>
      <c r="M751" s="2359"/>
      <c r="N751" s="2359"/>
      <c r="O751" s="2359"/>
      <c r="P751" s="2359"/>
      <c r="Q751" s="2359"/>
      <c r="R751" s="2359"/>
      <c r="S751" s="2359"/>
      <c r="T751" s="2359"/>
      <c r="U751" s="2359"/>
      <c r="V751" s="2359"/>
      <c r="W751" s="2359"/>
      <c r="X751" s="97"/>
      <c r="Y751" s="106"/>
      <c r="Z751" s="97"/>
      <c r="AA751" s="106"/>
      <c r="AB751" s="97"/>
      <c r="AC751" s="106"/>
    </row>
    <row r="752" spans="1:29" ht="12.6" customHeight="1">
      <c r="A752" s="97"/>
      <c r="B752" s="98"/>
      <c r="C752" s="98"/>
      <c r="D752" s="97"/>
      <c r="E752" s="2361"/>
      <c r="F752" s="2359"/>
      <c r="G752" s="2359"/>
      <c r="H752" s="2359"/>
      <c r="I752" s="2359"/>
      <c r="J752" s="2359"/>
      <c r="K752" s="2359"/>
      <c r="L752" s="2359"/>
      <c r="M752" s="2359"/>
      <c r="N752" s="2359"/>
      <c r="O752" s="2359"/>
      <c r="P752" s="2359"/>
      <c r="Q752" s="2359"/>
      <c r="R752" s="2359"/>
      <c r="S752" s="2359"/>
      <c r="T752" s="2359"/>
      <c r="U752" s="2359"/>
      <c r="V752" s="2359"/>
      <c r="W752" s="2359"/>
      <c r="X752" s="97"/>
      <c r="Y752" s="106"/>
      <c r="Z752" s="97"/>
      <c r="AA752" s="106"/>
      <c r="AB752" s="97"/>
      <c r="AC752" s="106"/>
    </row>
    <row r="753" spans="1:29" ht="12.6" customHeight="1">
      <c r="A753" s="97"/>
      <c r="B753" s="98"/>
      <c r="C753" s="98"/>
      <c r="D753" s="97"/>
      <c r="E753" s="2361"/>
      <c r="F753" s="2359"/>
      <c r="G753" s="2359"/>
      <c r="H753" s="2359"/>
      <c r="I753" s="2359"/>
      <c r="J753" s="2359"/>
      <c r="K753" s="2359"/>
      <c r="L753" s="2359"/>
      <c r="M753" s="2359"/>
      <c r="N753" s="2359"/>
      <c r="O753" s="2359"/>
      <c r="P753" s="2359"/>
      <c r="Q753" s="2359"/>
      <c r="R753" s="2359"/>
      <c r="S753" s="2359"/>
      <c r="T753" s="2359"/>
      <c r="U753" s="2359"/>
      <c r="V753" s="2359"/>
      <c r="W753" s="2359"/>
      <c r="X753" s="97"/>
      <c r="Y753" s="106"/>
      <c r="Z753" s="97"/>
      <c r="AA753" s="106"/>
      <c r="AB753" s="97"/>
      <c r="AC753" s="106"/>
    </row>
    <row r="754" spans="1:29" ht="12.6" customHeight="1">
      <c r="A754" s="97"/>
      <c r="B754" s="98"/>
      <c r="C754" s="98"/>
      <c r="D754" s="97"/>
      <c r="E754" s="2361"/>
      <c r="F754" s="2359"/>
      <c r="G754" s="2359"/>
      <c r="H754" s="2359"/>
      <c r="I754" s="2359"/>
      <c r="J754" s="2359"/>
      <c r="K754" s="2359"/>
      <c r="L754" s="2359"/>
      <c r="M754" s="2359"/>
      <c r="N754" s="2359"/>
      <c r="O754" s="2359"/>
      <c r="P754" s="2359"/>
      <c r="Q754" s="2359"/>
      <c r="R754" s="2359"/>
      <c r="S754" s="2359"/>
      <c r="T754" s="2359"/>
      <c r="U754" s="2359"/>
      <c r="V754" s="2359"/>
      <c r="W754" s="2359"/>
      <c r="X754" s="97"/>
      <c r="Y754" s="106"/>
      <c r="Z754" s="97"/>
      <c r="AA754" s="106"/>
      <c r="AB754" s="97"/>
      <c r="AC754" s="106"/>
    </row>
    <row r="755" spans="1:29" ht="12.6" customHeight="1">
      <c r="A755" s="97"/>
      <c r="B755" s="98"/>
      <c r="C755" s="98"/>
      <c r="D755" s="97"/>
      <c r="E755" s="2361"/>
      <c r="F755" s="2359"/>
      <c r="G755" s="2359"/>
      <c r="H755" s="2359"/>
      <c r="I755" s="2359"/>
      <c r="J755" s="2359"/>
      <c r="K755" s="2359"/>
      <c r="L755" s="2359"/>
      <c r="M755" s="2359"/>
      <c r="N755" s="2359"/>
      <c r="O755" s="2359"/>
      <c r="P755" s="2359"/>
      <c r="Q755" s="2359"/>
      <c r="R755" s="2359"/>
      <c r="S755" s="2359"/>
      <c r="T755" s="2359"/>
      <c r="U755" s="2359"/>
      <c r="V755" s="2359"/>
      <c r="W755" s="2359"/>
      <c r="X755" s="97"/>
      <c r="Y755" s="106"/>
      <c r="Z755" s="97"/>
      <c r="AA755" s="106"/>
      <c r="AB755" s="97"/>
      <c r="AC755" s="106"/>
    </row>
    <row r="756" spans="1:29" ht="12.6" customHeight="1">
      <c r="A756" s="97"/>
      <c r="B756" s="98"/>
      <c r="C756" s="98"/>
      <c r="D756" s="97"/>
      <c r="E756" s="2361"/>
      <c r="F756" s="2359"/>
      <c r="G756" s="2359"/>
      <c r="H756" s="2359"/>
      <c r="I756" s="2359"/>
      <c r="J756" s="2359"/>
      <c r="K756" s="2359"/>
      <c r="L756" s="2359"/>
      <c r="M756" s="2359"/>
      <c r="N756" s="2359"/>
      <c r="O756" s="2359"/>
      <c r="P756" s="2359"/>
      <c r="Q756" s="2359"/>
      <c r="R756" s="2359"/>
      <c r="S756" s="2359"/>
      <c r="T756" s="2359"/>
      <c r="U756" s="2359"/>
      <c r="V756" s="2359"/>
      <c r="W756" s="2359"/>
      <c r="X756" s="97"/>
      <c r="Y756" s="106"/>
      <c r="Z756" s="97"/>
      <c r="AA756" s="106"/>
      <c r="AB756" s="97"/>
      <c r="AC756" s="106"/>
    </row>
    <row r="757" spans="1:29" ht="12.6" customHeight="1">
      <c r="A757" s="97"/>
      <c r="B757" s="98"/>
      <c r="C757" s="98"/>
      <c r="D757" s="97"/>
      <c r="E757" s="2361"/>
      <c r="F757" s="2359"/>
      <c r="G757" s="2359"/>
      <c r="H757" s="2359"/>
      <c r="I757" s="2359"/>
      <c r="J757" s="2359"/>
      <c r="K757" s="2359"/>
      <c r="L757" s="2359"/>
      <c r="M757" s="2359"/>
      <c r="N757" s="2359"/>
      <c r="O757" s="2359"/>
      <c r="P757" s="2359"/>
      <c r="Q757" s="2359"/>
      <c r="R757" s="2359"/>
      <c r="S757" s="2359"/>
      <c r="T757" s="2359"/>
      <c r="U757" s="2359"/>
      <c r="V757" s="2359"/>
      <c r="W757" s="2359"/>
      <c r="X757" s="97"/>
      <c r="Y757" s="106"/>
      <c r="Z757" s="97"/>
      <c r="AA757" s="106"/>
      <c r="AB757" s="97"/>
      <c r="AC757" s="106"/>
    </row>
    <row r="758" spans="1:29" ht="12.6" customHeight="1">
      <c r="A758" s="97"/>
      <c r="B758" s="98"/>
      <c r="C758" s="98"/>
      <c r="D758" s="97"/>
      <c r="E758" s="2361"/>
      <c r="F758" s="2359"/>
      <c r="G758" s="2359"/>
      <c r="H758" s="2359"/>
      <c r="I758" s="2359"/>
      <c r="J758" s="2359"/>
      <c r="K758" s="2359"/>
      <c r="L758" s="2359"/>
      <c r="M758" s="2359"/>
      <c r="N758" s="2359"/>
      <c r="O758" s="2359"/>
      <c r="P758" s="2359"/>
      <c r="Q758" s="2359"/>
      <c r="R758" s="2359"/>
      <c r="S758" s="2359"/>
      <c r="T758" s="2359"/>
      <c r="U758" s="2359"/>
      <c r="V758" s="2359"/>
      <c r="W758" s="2359"/>
      <c r="X758" s="97"/>
      <c r="Y758" s="106"/>
      <c r="Z758" s="97"/>
      <c r="AA758" s="106"/>
      <c r="AB758" s="97"/>
      <c r="AC758" s="106"/>
    </row>
    <row r="759" spans="1:29" ht="12.6" customHeight="1">
      <c r="A759" s="97"/>
      <c r="B759" s="98"/>
      <c r="C759" s="98"/>
      <c r="D759" s="97"/>
      <c r="E759" s="2361"/>
      <c r="F759" s="2359"/>
      <c r="G759" s="2359"/>
      <c r="H759" s="2359"/>
      <c r="I759" s="2359"/>
      <c r="J759" s="2359"/>
      <c r="K759" s="2359"/>
      <c r="L759" s="2359"/>
      <c r="M759" s="2359"/>
      <c r="N759" s="2359"/>
      <c r="O759" s="2359"/>
      <c r="P759" s="2359"/>
      <c r="Q759" s="2359"/>
      <c r="R759" s="2359"/>
      <c r="S759" s="2359"/>
      <c r="T759" s="2359"/>
      <c r="U759" s="2359"/>
      <c r="V759" s="2359"/>
      <c r="W759" s="2359"/>
      <c r="X759" s="97"/>
      <c r="Y759" s="106"/>
      <c r="Z759" s="97"/>
      <c r="AA759" s="106"/>
      <c r="AB759" s="97"/>
      <c r="AC759" s="106"/>
    </row>
    <row r="760" spans="1:29" ht="12.6" customHeight="1">
      <c r="A760" s="97"/>
      <c r="B760" s="98"/>
      <c r="C760" s="98"/>
      <c r="D760" s="97"/>
      <c r="E760" s="2361"/>
      <c r="F760" s="2359"/>
      <c r="G760" s="2359"/>
      <c r="H760" s="2359"/>
      <c r="I760" s="2359"/>
      <c r="J760" s="2359"/>
      <c r="K760" s="2359"/>
      <c r="L760" s="2359"/>
      <c r="M760" s="2359"/>
      <c r="N760" s="2359"/>
      <c r="O760" s="2359"/>
      <c r="P760" s="2359"/>
      <c r="Q760" s="2359"/>
      <c r="R760" s="2359"/>
      <c r="S760" s="2359"/>
      <c r="T760" s="2359"/>
      <c r="U760" s="2359"/>
      <c r="V760" s="2359"/>
      <c r="W760" s="2359"/>
      <c r="X760" s="97"/>
      <c r="Y760" s="106"/>
      <c r="Z760" s="97"/>
      <c r="AA760" s="106"/>
      <c r="AB760" s="97"/>
      <c r="AC760" s="106"/>
    </row>
    <row r="761" spans="1:29" ht="12.6" customHeight="1">
      <c r="A761" s="97"/>
      <c r="B761" s="98"/>
      <c r="C761" s="98"/>
      <c r="D761" s="97"/>
      <c r="E761" s="2361"/>
      <c r="F761" s="2359"/>
      <c r="G761" s="2359"/>
      <c r="H761" s="2359"/>
      <c r="I761" s="2359"/>
      <c r="J761" s="2359"/>
      <c r="K761" s="2359"/>
      <c r="L761" s="2359"/>
      <c r="M761" s="2359"/>
      <c r="N761" s="2359"/>
      <c r="O761" s="2359"/>
      <c r="P761" s="2359"/>
      <c r="Q761" s="2359"/>
      <c r="R761" s="2359"/>
      <c r="S761" s="2359"/>
      <c r="T761" s="2359"/>
      <c r="U761" s="2359"/>
      <c r="V761" s="2359"/>
      <c r="W761" s="2359"/>
      <c r="X761" s="97"/>
      <c r="Y761" s="106"/>
      <c r="Z761" s="97"/>
      <c r="AA761" s="106"/>
      <c r="AB761" s="97"/>
      <c r="AC761" s="106"/>
    </row>
    <row r="762" spans="1:29" ht="12.6" customHeight="1">
      <c r="A762" s="97"/>
      <c r="B762" s="98"/>
      <c r="C762" s="98"/>
      <c r="D762" s="97"/>
      <c r="E762" s="2361"/>
      <c r="F762" s="2359"/>
      <c r="G762" s="2359"/>
      <c r="H762" s="2359"/>
      <c r="I762" s="2359"/>
      <c r="J762" s="2359"/>
      <c r="K762" s="2359"/>
      <c r="L762" s="2359"/>
      <c r="M762" s="2359"/>
      <c r="N762" s="2359"/>
      <c r="O762" s="2359"/>
      <c r="P762" s="2359"/>
      <c r="Q762" s="2359"/>
      <c r="R762" s="2359"/>
      <c r="S762" s="2359"/>
      <c r="T762" s="2359"/>
      <c r="U762" s="2359"/>
      <c r="V762" s="2359"/>
      <c r="W762" s="2359"/>
      <c r="X762" s="97"/>
      <c r="Y762" s="105"/>
      <c r="Z762" s="97"/>
      <c r="AA762" s="106"/>
      <c r="AB762" s="97"/>
      <c r="AC762" s="106"/>
    </row>
    <row r="763" spans="1:29" ht="12.6" customHeight="1">
      <c r="A763" s="97"/>
      <c r="B763" s="98"/>
      <c r="C763" s="98"/>
      <c r="D763" s="97"/>
      <c r="E763" s="2361"/>
      <c r="F763" s="2359"/>
      <c r="G763" s="2359"/>
      <c r="H763" s="2359"/>
      <c r="I763" s="2359"/>
      <c r="J763" s="2359"/>
      <c r="K763" s="2359"/>
      <c r="L763" s="2359"/>
      <c r="M763" s="2359"/>
      <c r="N763" s="2359"/>
      <c r="O763" s="2359"/>
      <c r="P763" s="2359"/>
      <c r="Q763" s="2359"/>
      <c r="R763" s="2359"/>
      <c r="S763" s="2359"/>
      <c r="T763" s="2359"/>
      <c r="U763" s="2359"/>
      <c r="V763" s="2359"/>
      <c r="W763" s="2359"/>
      <c r="X763" s="97"/>
      <c r="Y763" s="102"/>
      <c r="Z763" s="97"/>
      <c r="AA763" s="105"/>
      <c r="AB763" s="97"/>
      <c r="AC763" s="105"/>
    </row>
    <row r="764" spans="1:29" ht="12.6" customHeight="1">
      <c r="A764" s="97"/>
      <c r="B764" s="98"/>
      <c r="C764" s="98"/>
      <c r="D764" s="97"/>
      <c r="E764" s="2361"/>
      <c r="F764" s="2359"/>
      <c r="G764" s="2359"/>
      <c r="H764" s="2359"/>
      <c r="I764" s="2359"/>
      <c r="J764" s="2359"/>
      <c r="K764" s="2359"/>
      <c r="L764" s="2359"/>
      <c r="M764" s="2359"/>
      <c r="N764" s="2359"/>
      <c r="O764" s="2359"/>
      <c r="P764" s="2359"/>
      <c r="Q764" s="2359"/>
      <c r="R764" s="2359"/>
      <c r="S764" s="2359"/>
      <c r="T764" s="2359"/>
      <c r="U764" s="2359"/>
      <c r="V764" s="2359"/>
      <c r="W764" s="2359"/>
      <c r="X764" s="97"/>
      <c r="Y764" s="108"/>
      <c r="Z764" s="97"/>
      <c r="AA764" s="102"/>
      <c r="AB764" s="97"/>
      <c r="AC764" s="102"/>
    </row>
    <row r="765" spans="1:29" ht="12.6" customHeight="1">
      <c r="A765" s="97"/>
      <c r="B765" s="98"/>
      <c r="C765" s="98"/>
      <c r="D765" s="97"/>
      <c r="E765" s="2361"/>
      <c r="F765" s="2359"/>
      <c r="G765" s="2359"/>
      <c r="H765" s="2359"/>
      <c r="I765" s="2359"/>
      <c r="J765" s="2359"/>
      <c r="K765" s="2359"/>
      <c r="L765" s="2359"/>
      <c r="M765" s="2359"/>
      <c r="N765" s="2359"/>
      <c r="O765" s="2359"/>
      <c r="P765" s="2359"/>
      <c r="Q765" s="2359"/>
      <c r="R765" s="2359"/>
      <c r="S765" s="2359"/>
      <c r="T765" s="2359"/>
      <c r="U765" s="2359"/>
      <c r="V765" s="2359"/>
      <c r="W765" s="2359"/>
      <c r="X765" s="97"/>
      <c r="Y765" s="106"/>
      <c r="Z765" s="97"/>
      <c r="AA765" s="108"/>
      <c r="AB765" s="97"/>
      <c r="AC765" s="108"/>
    </row>
    <row r="766" spans="1:29" ht="12.6" customHeight="1">
      <c r="A766" s="97"/>
      <c r="B766" s="98"/>
      <c r="C766" s="98"/>
      <c r="D766" s="97"/>
      <c r="E766" s="2361"/>
      <c r="F766" s="2359"/>
      <c r="G766" s="2359"/>
      <c r="H766" s="2359"/>
      <c r="I766" s="2359"/>
      <c r="J766" s="2359"/>
      <c r="K766" s="2359"/>
      <c r="L766" s="2359"/>
      <c r="M766" s="2359"/>
      <c r="N766" s="2359"/>
      <c r="O766" s="2359"/>
      <c r="P766" s="2359"/>
      <c r="Q766" s="2359"/>
      <c r="R766" s="2359"/>
      <c r="S766" s="2359"/>
      <c r="T766" s="2359"/>
      <c r="U766" s="2359"/>
      <c r="V766" s="2359"/>
      <c r="W766" s="2359"/>
      <c r="X766" s="97"/>
      <c r="Y766" s="106"/>
      <c r="Z766" s="97"/>
      <c r="AA766" s="106"/>
      <c r="AB766" s="97"/>
      <c r="AC766" s="106"/>
    </row>
    <row r="767" spans="1:29" ht="12.6" customHeight="1">
      <c r="A767" s="97"/>
      <c r="B767" s="98"/>
      <c r="C767" s="98"/>
      <c r="D767" s="97"/>
      <c r="E767" s="2361"/>
      <c r="F767" s="2359"/>
      <c r="G767" s="2359"/>
      <c r="H767" s="2359"/>
      <c r="I767" s="2359"/>
      <c r="J767" s="2359"/>
      <c r="K767" s="2359"/>
      <c r="L767" s="2359"/>
      <c r="M767" s="2359"/>
      <c r="N767" s="2359"/>
      <c r="O767" s="2359"/>
      <c r="P767" s="2359"/>
      <c r="Q767" s="2359"/>
      <c r="R767" s="2359"/>
      <c r="S767" s="2359"/>
      <c r="T767" s="2359"/>
      <c r="U767" s="2359"/>
      <c r="V767" s="2359"/>
      <c r="W767" s="2359"/>
      <c r="X767" s="97"/>
      <c r="Y767" s="106"/>
      <c r="Z767" s="97"/>
      <c r="AA767" s="106"/>
      <c r="AB767" s="97"/>
      <c r="AC767" s="106"/>
    </row>
    <row r="768" spans="1:29" ht="12.6" customHeight="1">
      <c r="A768" s="97"/>
      <c r="B768" s="98"/>
      <c r="C768" s="98"/>
      <c r="D768" s="97"/>
      <c r="E768" s="2361"/>
      <c r="F768" s="2359"/>
      <c r="G768" s="2359"/>
      <c r="H768" s="2359"/>
      <c r="I768" s="2359"/>
      <c r="J768" s="2359"/>
      <c r="K768" s="2359"/>
      <c r="L768" s="2359"/>
      <c r="M768" s="2359"/>
      <c r="N768" s="2359"/>
      <c r="O768" s="2359"/>
      <c r="P768" s="2359"/>
      <c r="Q768" s="2359"/>
      <c r="R768" s="2359"/>
      <c r="S768" s="2359"/>
      <c r="T768" s="2359"/>
      <c r="U768" s="2359"/>
      <c r="V768" s="2359"/>
      <c r="W768" s="2359"/>
      <c r="X768" s="97"/>
      <c r="Y768" s="106"/>
      <c r="Z768" s="97"/>
      <c r="AA768" s="106"/>
      <c r="AB768" s="97"/>
      <c r="AC768" s="106"/>
    </row>
    <row r="769" spans="1:29" ht="12.6" customHeight="1">
      <c r="A769" s="97"/>
      <c r="B769" s="98"/>
      <c r="C769" s="98"/>
      <c r="D769" s="97"/>
      <c r="E769" s="2361"/>
      <c r="F769" s="2359"/>
      <c r="G769" s="2359"/>
      <c r="H769" s="2359"/>
      <c r="I769" s="2359"/>
      <c r="J769" s="2359"/>
      <c r="K769" s="2359"/>
      <c r="L769" s="2359"/>
      <c r="M769" s="2359"/>
      <c r="N769" s="2359"/>
      <c r="O769" s="2359"/>
      <c r="P769" s="2359"/>
      <c r="Q769" s="2359"/>
      <c r="R769" s="2359"/>
      <c r="S769" s="2359"/>
      <c r="T769" s="2359"/>
      <c r="U769" s="2359"/>
      <c r="V769" s="2359"/>
      <c r="W769" s="2359"/>
      <c r="X769" s="97"/>
      <c r="Y769" s="106"/>
      <c r="Z769" s="97"/>
      <c r="AA769" s="106"/>
      <c r="AB769" s="97"/>
      <c r="AC769" s="106"/>
    </row>
    <row r="770" spans="1:29" ht="12.6" customHeight="1">
      <c r="A770" s="97"/>
      <c r="B770" s="98"/>
      <c r="C770" s="98"/>
      <c r="D770" s="97"/>
      <c r="E770" s="2361"/>
      <c r="F770" s="2359"/>
      <c r="G770" s="2359"/>
      <c r="H770" s="2359"/>
      <c r="I770" s="2359"/>
      <c r="J770" s="2359"/>
      <c r="K770" s="2359"/>
      <c r="L770" s="2359"/>
      <c r="M770" s="2359"/>
      <c r="N770" s="2359"/>
      <c r="O770" s="2359"/>
      <c r="P770" s="2359"/>
      <c r="Q770" s="2359"/>
      <c r="R770" s="2359"/>
      <c r="S770" s="2359"/>
      <c r="T770" s="2359"/>
      <c r="U770" s="2359"/>
      <c r="V770" s="2359"/>
      <c r="W770" s="2359"/>
      <c r="X770" s="97"/>
      <c r="Y770" s="106"/>
      <c r="Z770" s="97"/>
      <c r="AA770" s="106"/>
      <c r="AB770" s="97"/>
      <c r="AC770" s="106"/>
    </row>
    <row r="771" spans="1:29" ht="12.6" customHeight="1">
      <c r="A771" s="97"/>
      <c r="B771" s="98"/>
      <c r="C771" s="98"/>
      <c r="D771" s="97"/>
      <c r="E771" s="2361"/>
      <c r="F771" s="2359"/>
      <c r="G771" s="2359"/>
      <c r="H771" s="2359"/>
      <c r="I771" s="2359"/>
      <c r="J771" s="2359"/>
      <c r="K771" s="2359"/>
      <c r="L771" s="2359"/>
      <c r="M771" s="2359"/>
      <c r="N771" s="2359"/>
      <c r="O771" s="2359"/>
      <c r="P771" s="2359"/>
      <c r="Q771" s="2359"/>
      <c r="R771" s="2359"/>
      <c r="S771" s="2359"/>
      <c r="T771" s="2359"/>
      <c r="U771" s="2359"/>
      <c r="V771" s="2359"/>
      <c r="W771" s="2359"/>
      <c r="X771" s="97"/>
      <c r="Y771" s="106"/>
      <c r="Z771" s="97"/>
      <c r="AA771" s="106"/>
      <c r="AB771" s="97"/>
      <c r="AC771" s="106"/>
    </row>
    <row r="772" spans="1:29" ht="12.6" customHeight="1">
      <c r="A772" s="97"/>
      <c r="B772" s="98"/>
      <c r="C772" s="98"/>
      <c r="D772" s="97"/>
      <c r="E772" s="2361"/>
      <c r="F772" s="2359"/>
      <c r="G772" s="2359"/>
      <c r="H772" s="2359"/>
      <c r="I772" s="2359"/>
      <c r="J772" s="2359"/>
      <c r="K772" s="2359"/>
      <c r="L772" s="2359"/>
      <c r="M772" s="2359"/>
      <c r="N772" s="2359"/>
      <c r="O772" s="2359"/>
      <c r="P772" s="2359"/>
      <c r="Q772" s="2359"/>
      <c r="R772" s="2359"/>
      <c r="S772" s="2359"/>
      <c r="T772" s="2359"/>
      <c r="U772" s="2359"/>
      <c r="V772" s="2359"/>
      <c r="W772" s="2359"/>
      <c r="X772" s="97"/>
      <c r="Y772" s="106"/>
      <c r="Z772" s="97"/>
      <c r="AA772" s="106"/>
      <c r="AB772" s="97"/>
      <c r="AC772" s="106"/>
    </row>
    <row r="773" spans="1:29" ht="12.6" customHeight="1">
      <c r="A773" s="97"/>
      <c r="B773" s="98"/>
      <c r="C773" s="98"/>
      <c r="D773" s="97"/>
      <c r="E773" s="2361"/>
      <c r="F773" s="2359"/>
      <c r="G773" s="2359"/>
      <c r="H773" s="2359"/>
      <c r="I773" s="2359"/>
      <c r="J773" s="2359"/>
      <c r="K773" s="2359"/>
      <c r="L773" s="2359"/>
      <c r="M773" s="2359"/>
      <c r="N773" s="2359"/>
      <c r="O773" s="2359"/>
      <c r="P773" s="2359"/>
      <c r="Q773" s="2359"/>
      <c r="R773" s="2359"/>
      <c r="S773" s="2359"/>
      <c r="T773" s="2359"/>
      <c r="U773" s="2359"/>
      <c r="V773" s="2359"/>
      <c r="W773" s="2359"/>
      <c r="X773" s="97"/>
      <c r="Y773" s="106"/>
      <c r="Z773" s="97"/>
      <c r="AA773" s="106"/>
      <c r="AB773" s="97"/>
      <c r="AC773" s="106"/>
    </row>
    <row r="774" spans="1:29" ht="12.6" customHeight="1">
      <c r="A774" s="97"/>
      <c r="B774" s="98"/>
      <c r="C774" s="98"/>
      <c r="D774" s="97"/>
      <c r="E774" s="2361"/>
      <c r="F774" s="2359"/>
      <c r="G774" s="2359"/>
      <c r="H774" s="2359"/>
      <c r="I774" s="2359"/>
      <c r="J774" s="2359"/>
      <c r="K774" s="2359"/>
      <c r="L774" s="2359"/>
      <c r="M774" s="2359"/>
      <c r="N774" s="2359"/>
      <c r="O774" s="2359"/>
      <c r="P774" s="2359"/>
      <c r="Q774" s="2359"/>
      <c r="R774" s="2359"/>
      <c r="S774" s="2359"/>
      <c r="T774" s="2359"/>
      <c r="U774" s="2359"/>
      <c r="V774" s="2359"/>
      <c r="W774" s="2359"/>
      <c r="X774" s="97"/>
      <c r="Y774" s="106"/>
      <c r="Z774" s="97"/>
      <c r="AA774" s="106"/>
      <c r="AB774" s="97"/>
      <c r="AC774" s="106"/>
    </row>
    <row r="775" spans="1:29" ht="12.6" customHeight="1">
      <c r="A775" s="97"/>
      <c r="B775" s="98"/>
      <c r="C775" s="98"/>
      <c r="D775" s="97"/>
      <c r="E775" s="2361"/>
      <c r="F775" s="2359"/>
      <c r="G775" s="2359"/>
      <c r="H775" s="2359"/>
      <c r="I775" s="2359"/>
      <c r="J775" s="2359"/>
      <c r="K775" s="2359"/>
      <c r="L775" s="2359"/>
      <c r="M775" s="2359"/>
      <c r="N775" s="2359"/>
      <c r="O775" s="2359"/>
      <c r="P775" s="2359"/>
      <c r="Q775" s="2359"/>
      <c r="R775" s="2359"/>
      <c r="S775" s="2359"/>
      <c r="T775" s="2359"/>
      <c r="U775" s="2359"/>
      <c r="V775" s="2359"/>
      <c r="W775" s="2359"/>
      <c r="X775" s="97"/>
      <c r="Y775" s="106"/>
      <c r="Z775" s="97"/>
      <c r="AA775" s="106"/>
      <c r="AB775" s="97"/>
      <c r="AC775" s="106"/>
    </row>
    <row r="776" spans="1:29" ht="12.6" customHeight="1">
      <c r="A776" s="97"/>
      <c r="B776" s="98"/>
      <c r="C776" s="98"/>
      <c r="D776" s="97"/>
      <c r="E776" s="2361"/>
      <c r="F776" s="2359"/>
      <c r="G776" s="2359"/>
      <c r="H776" s="2359"/>
      <c r="I776" s="2359"/>
      <c r="J776" s="2359"/>
      <c r="K776" s="2359"/>
      <c r="L776" s="2359"/>
      <c r="M776" s="2359"/>
      <c r="N776" s="2359"/>
      <c r="O776" s="2359"/>
      <c r="P776" s="2359"/>
      <c r="Q776" s="2359"/>
      <c r="R776" s="2359"/>
      <c r="S776" s="2359"/>
      <c r="T776" s="2359"/>
      <c r="U776" s="2359"/>
      <c r="V776" s="2359"/>
      <c r="W776" s="2359"/>
      <c r="X776" s="97"/>
      <c r="Y776" s="106"/>
      <c r="Z776" s="97"/>
      <c r="AA776" s="106"/>
      <c r="AB776" s="97"/>
      <c r="AC776" s="106"/>
    </row>
    <row r="777" spans="1:29" ht="12.6" customHeight="1">
      <c r="A777" s="97"/>
      <c r="B777" s="98"/>
      <c r="C777" s="98"/>
      <c r="D777" s="97"/>
      <c r="E777" s="2361"/>
      <c r="F777" s="2359"/>
      <c r="G777" s="2359"/>
      <c r="H777" s="2359"/>
      <c r="I777" s="2359"/>
      <c r="J777" s="2359"/>
      <c r="K777" s="2359"/>
      <c r="L777" s="2359"/>
      <c r="M777" s="2359"/>
      <c r="N777" s="2359"/>
      <c r="O777" s="2359"/>
      <c r="P777" s="2359"/>
      <c r="Q777" s="2359"/>
      <c r="R777" s="2359"/>
      <c r="S777" s="2359"/>
      <c r="T777" s="2359"/>
      <c r="U777" s="2359"/>
      <c r="V777" s="2359"/>
      <c r="W777" s="2359"/>
      <c r="X777" s="97"/>
      <c r="Y777" s="106"/>
      <c r="Z777" s="97"/>
      <c r="AA777" s="106"/>
      <c r="AB777" s="97"/>
      <c r="AC777" s="106"/>
    </row>
    <row r="778" spans="1:29" ht="12.6" customHeight="1">
      <c r="A778" s="97"/>
      <c r="B778" s="98"/>
      <c r="C778" s="98"/>
      <c r="D778" s="97"/>
      <c r="E778" s="2361"/>
      <c r="F778" s="2359"/>
      <c r="G778" s="2359"/>
      <c r="H778" s="2359"/>
      <c r="I778" s="2359"/>
      <c r="J778" s="2359"/>
      <c r="K778" s="2359"/>
      <c r="L778" s="2359"/>
      <c r="M778" s="2359"/>
      <c r="N778" s="2359"/>
      <c r="O778" s="2359"/>
      <c r="P778" s="2359"/>
      <c r="Q778" s="2359"/>
      <c r="R778" s="2359"/>
      <c r="S778" s="2359"/>
      <c r="T778" s="2359"/>
      <c r="U778" s="2359"/>
      <c r="V778" s="2359"/>
      <c r="W778" s="2359"/>
      <c r="X778" s="97"/>
      <c r="Y778" s="106"/>
      <c r="Z778" s="97"/>
      <c r="AA778" s="106"/>
      <c r="AB778" s="97"/>
      <c r="AC778" s="106"/>
    </row>
    <row r="779" spans="1:29" ht="12.6" customHeight="1">
      <c r="A779" s="97"/>
      <c r="B779" s="98"/>
      <c r="C779" s="98"/>
      <c r="D779" s="97"/>
      <c r="E779" s="2361"/>
      <c r="F779" s="2359"/>
      <c r="G779" s="2359"/>
      <c r="H779" s="2359"/>
      <c r="I779" s="2359"/>
      <c r="J779" s="2359"/>
      <c r="K779" s="2359"/>
      <c r="L779" s="2359"/>
      <c r="M779" s="2359"/>
      <c r="N779" s="2359"/>
      <c r="O779" s="2359"/>
      <c r="P779" s="2359"/>
      <c r="Q779" s="2359"/>
      <c r="R779" s="2359"/>
      <c r="S779" s="2359"/>
      <c r="T779" s="2359"/>
      <c r="U779" s="2359"/>
      <c r="V779" s="2359"/>
      <c r="W779" s="2359"/>
      <c r="X779" s="97"/>
      <c r="Y779" s="106"/>
      <c r="Z779" s="97"/>
      <c r="AA779" s="106"/>
      <c r="AB779" s="97"/>
      <c r="AC779" s="106"/>
    </row>
    <row r="780" spans="1:29" ht="12.6" customHeight="1">
      <c r="A780" s="97"/>
      <c r="B780" s="98"/>
      <c r="C780" s="98"/>
      <c r="D780" s="97"/>
      <c r="E780" s="2361"/>
      <c r="F780" s="2359"/>
      <c r="G780" s="2359"/>
      <c r="H780" s="2359"/>
      <c r="I780" s="2359"/>
      <c r="J780" s="2359"/>
      <c r="K780" s="2359"/>
      <c r="L780" s="2359"/>
      <c r="M780" s="2359"/>
      <c r="N780" s="2359"/>
      <c r="O780" s="2359"/>
      <c r="P780" s="2359"/>
      <c r="Q780" s="2359"/>
      <c r="R780" s="2359"/>
      <c r="S780" s="2359"/>
      <c r="T780" s="2359"/>
      <c r="U780" s="2359"/>
      <c r="V780" s="2359"/>
      <c r="W780" s="2359"/>
      <c r="X780" s="97"/>
      <c r="Y780" s="106"/>
      <c r="Z780" s="97"/>
      <c r="AA780" s="106"/>
      <c r="AB780" s="97"/>
      <c r="AC780" s="106"/>
    </row>
    <row r="781" spans="1:29" ht="12.6" customHeight="1">
      <c r="A781" s="97"/>
      <c r="B781" s="98"/>
      <c r="C781" s="98"/>
      <c r="D781" s="97"/>
      <c r="E781" s="2361"/>
      <c r="F781" s="2359"/>
      <c r="G781" s="2359"/>
      <c r="H781" s="2359"/>
      <c r="I781" s="2359"/>
      <c r="J781" s="2359"/>
      <c r="K781" s="2359"/>
      <c r="L781" s="2359"/>
      <c r="M781" s="2359"/>
      <c r="N781" s="2359"/>
      <c r="O781" s="2359"/>
      <c r="P781" s="2359"/>
      <c r="Q781" s="2359"/>
      <c r="R781" s="2359"/>
      <c r="S781" s="2359"/>
      <c r="T781" s="2359"/>
      <c r="U781" s="2359"/>
      <c r="V781" s="2359"/>
      <c r="W781" s="2359"/>
      <c r="X781" s="97"/>
      <c r="Y781" s="106"/>
      <c r="Z781" s="97"/>
      <c r="AA781" s="106"/>
      <c r="AB781" s="97"/>
      <c r="AC781" s="106"/>
    </row>
    <row r="782" spans="1:29" ht="12.6" customHeight="1">
      <c r="A782" s="97"/>
      <c r="B782" s="98"/>
      <c r="C782" s="98"/>
      <c r="D782" s="97"/>
      <c r="E782" s="2361"/>
      <c r="F782" s="2359"/>
      <c r="G782" s="2359"/>
      <c r="H782" s="2359"/>
      <c r="I782" s="2359"/>
      <c r="J782" s="2359"/>
      <c r="K782" s="2359"/>
      <c r="L782" s="2359"/>
      <c r="M782" s="2359"/>
      <c r="N782" s="2359"/>
      <c r="O782" s="2359"/>
      <c r="P782" s="2359"/>
      <c r="Q782" s="2359"/>
      <c r="R782" s="2359"/>
      <c r="S782" s="2359"/>
      <c r="T782" s="2359"/>
      <c r="U782" s="2359"/>
      <c r="V782" s="2359"/>
      <c r="W782" s="2359"/>
      <c r="X782" s="97"/>
      <c r="Y782" s="106"/>
      <c r="Z782" s="97"/>
      <c r="AA782" s="106"/>
      <c r="AB782" s="97"/>
      <c r="AC782" s="106"/>
    </row>
    <row r="783" spans="1:29" ht="12.6" customHeight="1">
      <c r="A783" s="97"/>
      <c r="B783" s="98"/>
      <c r="C783" s="98"/>
      <c r="D783" s="97"/>
      <c r="E783" s="2361"/>
      <c r="F783" s="2359"/>
      <c r="G783" s="2359"/>
      <c r="H783" s="2359"/>
      <c r="I783" s="2359"/>
      <c r="J783" s="2359"/>
      <c r="K783" s="2359"/>
      <c r="L783" s="2359"/>
      <c r="M783" s="2359"/>
      <c r="N783" s="2359"/>
      <c r="O783" s="2359"/>
      <c r="P783" s="2359"/>
      <c r="Q783" s="2359"/>
      <c r="R783" s="2359"/>
      <c r="S783" s="2359"/>
      <c r="T783" s="2359"/>
      <c r="U783" s="2359"/>
      <c r="V783" s="2359"/>
      <c r="W783" s="2359"/>
      <c r="X783" s="97"/>
      <c r="Y783" s="106"/>
      <c r="Z783" s="97"/>
      <c r="AA783" s="106"/>
      <c r="AB783" s="97"/>
      <c r="AC783" s="106"/>
    </row>
    <row r="784" spans="1:29" ht="12.6" customHeight="1">
      <c r="A784" s="97"/>
      <c r="B784" s="98"/>
      <c r="C784" s="98"/>
      <c r="D784" s="97"/>
      <c r="E784" s="2361"/>
      <c r="F784" s="2359"/>
      <c r="G784" s="2359"/>
      <c r="H784" s="2359"/>
      <c r="I784" s="2359"/>
      <c r="J784" s="2359"/>
      <c r="K784" s="2359"/>
      <c r="L784" s="2359"/>
      <c r="M784" s="2359"/>
      <c r="N784" s="2359"/>
      <c r="O784" s="2359"/>
      <c r="P784" s="2359"/>
      <c r="Q784" s="2359"/>
      <c r="R784" s="2359"/>
      <c r="S784" s="2359"/>
      <c r="T784" s="2359"/>
      <c r="U784" s="2359"/>
      <c r="V784" s="2359"/>
      <c r="W784" s="2359"/>
      <c r="X784" s="97"/>
      <c r="Y784" s="106"/>
      <c r="Z784" s="97"/>
      <c r="AA784" s="106"/>
      <c r="AB784" s="97"/>
      <c r="AC784" s="106"/>
    </row>
    <row r="785" spans="1:29" ht="12.6" customHeight="1">
      <c r="A785" s="97"/>
      <c r="B785" s="98"/>
      <c r="C785" s="98"/>
      <c r="D785" s="97"/>
      <c r="E785" s="2361"/>
      <c r="F785" s="2359"/>
      <c r="G785" s="2359"/>
      <c r="H785" s="2359"/>
      <c r="I785" s="2359"/>
      <c r="J785" s="2359"/>
      <c r="K785" s="2359"/>
      <c r="L785" s="2359"/>
      <c r="M785" s="2359"/>
      <c r="N785" s="2359"/>
      <c r="O785" s="2359"/>
      <c r="P785" s="2359"/>
      <c r="Q785" s="2359"/>
      <c r="R785" s="2359"/>
      <c r="S785" s="2359"/>
      <c r="T785" s="2359"/>
      <c r="U785" s="2359"/>
      <c r="V785" s="2359"/>
      <c r="W785" s="2359"/>
      <c r="X785" s="97"/>
      <c r="Y785" s="106"/>
      <c r="Z785" s="97"/>
      <c r="AA785" s="106"/>
      <c r="AB785" s="97"/>
      <c r="AC785" s="106"/>
    </row>
    <row r="786" spans="1:29" ht="12.6" customHeight="1">
      <c r="A786" s="97"/>
      <c r="B786" s="98"/>
      <c r="C786" s="98"/>
      <c r="D786" s="97"/>
      <c r="E786" s="2361"/>
      <c r="F786" s="2359"/>
      <c r="G786" s="2359"/>
      <c r="H786" s="2359"/>
      <c r="I786" s="2359"/>
      <c r="J786" s="2359"/>
      <c r="K786" s="2359"/>
      <c r="L786" s="2359"/>
      <c r="M786" s="2359"/>
      <c r="N786" s="2359"/>
      <c r="O786" s="2359"/>
      <c r="P786" s="2359"/>
      <c r="Q786" s="2359"/>
      <c r="R786" s="2359"/>
      <c r="S786" s="2359"/>
      <c r="T786" s="2359"/>
      <c r="U786" s="2359"/>
      <c r="V786" s="2359"/>
      <c r="W786" s="2359"/>
      <c r="X786" s="97"/>
      <c r="Y786" s="106"/>
      <c r="Z786" s="97"/>
      <c r="AA786" s="106"/>
      <c r="AB786" s="97"/>
      <c r="AC786" s="106"/>
    </row>
    <row r="787" spans="1:29" ht="12.6" customHeight="1">
      <c r="A787" s="97"/>
      <c r="B787" s="98"/>
      <c r="C787" s="98"/>
      <c r="D787" s="97"/>
      <c r="E787" s="2361"/>
      <c r="F787" s="2359"/>
      <c r="G787" s="2359"/>
      <c r="H787" s="2359"/>
      <c r="I787" s="2359"/>
      <c r="J787" s="2359"/>
      <c r="K787" s="2359"/>
      <c r="L787" s="2359"/>
      <c r="M787" s="2359"/>
      <c r="N787" s="2359"/>
      <c r="O787" s="2359"/>
      <c r="P787" s="2359"/>
      <c r="Q787" s="2359"/>
      <c r="R787" s="2359"/>
      <c r="S787" s="2359"/>
      <c r="T787" s="2359"/>
      <c r="U787" s="2359"/>
      <c r="V787" s="2359"/>
      <c r="W787" s="2359"/>
      <c r="X787" s="97"/>
      <c r="Y787" s="106"/>
      <c r="Z787" s="97"/>
      <c r="AA787" s="106"/>
      <c r="AB787" s="97"/>
      <c r="AC787" s="106"/>
    </row>
    <row r="788" spans="1:29" ht="12.6" customHeight="1">
      <c r="A788" s="97"/>
      <c r="B788" s="98"/>
      <c r="C788" s="98"/>
      <c r="D788" s="97"/>
      <c r="E788" s="2361"/>
      <c r="F788" s="2359"/>
      <c r="G788" s="2359"/>
      <c r="H788" s="2359"/>
      <c r="I788" s="2359"/>
      <c r="J788" s="2359"/>
      <c r="K788" s="2359"/>
      <c r="L788" s="2359"/>
      <c r="M788" s="2359"/>
      <c r="N788" s="2359"/>
      <c r="O788" s="2359"/>
      <c r="P788" s="2359"/>
      <c r="Q788" s="2359"/>
      <c r="R788" s="2359"/>
      <c r="S788" s="2359"/>
      <c r="T788" s="2359"/>
      <c r="U788" s="2359"/>
      <c r="V788" s="2359"/>
      <c r="W788" s="2359"/>
      <c r="X788" s="97"/>
      <c r="Y788" s="106"/>
      <c r="Z788" s="97"/>
      <c r="AA788" s="106"/>
      <c r="AB788" s="97"/>
      <c r="AC788" s="106"/>
    </row>
    <row r="789" spans="1:29" ht="12.6" customHeight="1">
      <c r="A789" s="97"/>
      <c r="B789" s="98"/>
      <c r="C789" s="98"/>
      <c r="D789" s="97"/>
      <c r="E789" s="2361"/>
      <c r="F789" s="2359"/>
      <c r="G789" s="2359"/>
      <c r="H789" s="2359"/>
      <c r="I789" s="2359"/>
      <c r="J789" s="2359"/>
      <c r="K789" s="2359"/>
      <c r="L789" s="2359"/>
      <c r="M789" s="2359"/>
      <c r="N789" s="2359"/>
      <c r="O789" s="2359"/>
      <c r="P789" s="2359"/>
      <c r="Q789" s="2359"/>
      <c r="R789" s="2359"/>
      <c r="S789" s="2359"/>
      <c r="T789" s="2359"/>
      <c r="U789" s="2359"/>
      <c r="V789" s="2359"/>
      <c r="W789" s="2359"/>
      <c r="X789" s="97"/>
      <c r="Y789" s="106"/>
      <c r="Z789" s="97"/>
      <c r="AA789" s="106"/>
      <c r="AB789" s="97"/>
      <c r="AC789" s="106"/>
    </row>
    <row r="790" spans="1:29" ht="12.6" customHeight="1">
      <c r="A790" s="97"/>
      <c r="B790" s="98"/>
      <c r="C790" s="98"/>
      <c r="D790" s="97"/>
      <c r="E790" s="2361"/>
      <c r="F790" s="2359"/>
      <c r="G790" s="2359"/>
      <c r="H790" s="2359"/>
      <c r="I790" s="2359"/>
      <c r="J790" s="2359"/>
      <c r="K790" s="2359"/>
      <c r="L790" s="2359"/>
      <c r="M790" s="2359"/>
      <c r="N790" s="2359"/>
      <c r="O790" s="2359"/>
      <c r="P790" s="2359"/>
      <c r="Q790" s="2359"/>
      <c r="R790" s="2359"/>
      <c r="S790" s="2359"/>
      <c r="T790" s="2359"/>
      <c r="U790" s="2359"/>
      <c r="V790" s="2359"/>
      <c r="W790" s="2359"/>
      <c r="X790" s="97"/>
      <c r="Y790" s="106"/>
      <c r="Z790" s="97"/>
      <c r="AA790" s="106"/>
      <c r="AB790" s="97"/>
      <c r="AC790" s="106"/>
    </row>
    <row r="791" spans="1:29" ht="12.6" customHeight="1">
      <c r="A791" s="97"/>
      <c r="B791" s="98"/>
      <c r="C791" s="98"/>
      <c r="D791" s="97"/>
      <c r="E791" s="2361"/>
      <c r="F791" s="2359"/>
      <c r="G791" s="2359"/>
      <c r="H791" s="2359"/>
      <c r="I791" s="2359"/>
      <c r="J791" s="2359"/>
      <c r="K791" s="2359"/>
      <c r="L791" s="2359"/>
      <c r="M791" s="2359"/>
      <c r="N791" s="2359"/>
      <c r="O791" s="2359"/>
      <c r="P791" s="2359"/>
      <c r="Q791" s="2359"/>
      <c r="R791" s="2359"/>
      <c r="S791" s="2359"/>
      <c r="T791" s="2359"/>
      <c r="U791" s="2359"/>
      <c r="V791" s="2359"/>
      <c r="W791" s="2359"/>
      <c r="X791" s="97"/>
      <c r="Y791" s="106"/>
      <c r="Z791" s="97"/>
      <c r="AA791" s="106"/>
      <c r="AB791" s="97"/>
      <c r="AC791" s="106"/>
    </row>
    <row r="792" spans="1:29" ht="12.6" customHeight="1">
      <c r="A792" s="97"/>
      <c r="B792" s="98"/>
      <c r="C792" s="98"/>
      <c r="D792" s="97"/>
      <c r="E792" s="2361"/>
      <c r="F792" s="2359"/>
      <c r="G792" s="2359"/>
      <c r="H792" s="2359"/>
      <c r="I792" s="2359"/>
      <c r="J792" s="2359"/>
      <c r="K792" s="2359"/>
      <c r="L792" s="2359"/>
      <c r="M792" s="2359"/>
      <c r="N792" s="2359"/>
      <c r="O792" s="2359"/>
      <c r="P792" s="2359"/>
      <c r="Q792" s="2359"/>
      <c r="R792" s="2359"/>
      <c r="S792" s="2359"/>
      <c r="T792" s="2359"/>
      <c r="U792" s="2359"/>
      <c r="V792" s="2359"/>
      <c r="W792" s="2359"/>
      <c r="X792" s="97"/>
      <c r="Y792" s="106"/>
      <c r="Z792" s="97"/>
      <c r="AA792" s="106"/>
      <c r="AB792" s="97"/>
      <c r="AC792" s="106"/>
    </row>
    <row r="793" spans="1:29" ht="12.6" customHeight="1">
      <c r="A793" s="97"/>
      <c r="B793" s="98"/>
      <c r="C793" s="98"/>
      <c r="D793" s="97"/>
      <c r="E793" s="2361"/>
      <c r="F793" s="2359"/>
      <c r="G793" s="2359"/>
      <c r="H793" s="2359"/>
      <c r="I793" s="2359"/>
      <c r="J793" s="2359"/>
      <c r="K793" s="2359"/>
      <c r="L793" s="2359"/>
      <c r="M793" s="2359"/>
      <c r="N793" s="2359"/>
      <c r="O793" s="2359"/>
      <c r="P793" s="2359"/>
      <c r="Q793" s="2359"/>
      <c r="R793" s="2359"/>
      <c r="S793" s="2359"/>
      <c r="T793" s="2359"/>
      <c r="U793" s="2359"/>
      <c r="V793" s="2359"/>
      <c r="W793" s="2359"/>
      <c r="X793" s="97"/>
      <c r="Y793" s="106"/>
      <c r="Z793" s="97"/>
      <c r="AA793" s="106"/>
      <c r="AB793" s="97"/>
      <c r="AC793" s="106"/>
    </row>
    <row r="794" spans="1:29" ht="12.6" customHeight="1">
      <c r="A794" s="97"/>
      <c r="B794" s="98"/>
      <c r="C794" s="98"/>
      <c r="D794" s="97"/>
      <c r="E794" s="2361"/>
      <c r="F794" s="2359"/>
      <c r="G794" s="2359"/>
      <c r="H794" s="2359"/>
      <c r="I794" s="2359"/>
      <c r="J794" s="2359"/>
      <c r="K794" s="2359"/>
      <c r="L794" s="2359"/>
      <c r="M794" s="2359"/>
      <c r="N794" s="2359"/>
      <c r="O794" s="2359"/>
      <c r="P794" s="2359"/>
      <c r="Q794" s="2359"/>
      <c r="R794" s="2359"/>
      <c r="S794" s="2359"/>
      <c r="T794" s="2359"/>
      <c r="U794" s="2359"/>
      <c r="V794" s="2359"/>
      <c r="W794" s="2359"/>
      <c r="X794" s="97"/>
      <c r="Y794" s="106"/>
      <c r="Z794" s="97"/>
      <c r="AA794" s="106"/>
      <c r="AB794" s="97"/>
      <c r="AC794" s="106"/>
    </row>
    <row r="795" spans="1:29" ht="12.6" customHeight="1">
      <c r="A795" s="97"/>
      <c r="B795" s="98"/>
      <c r="C795" s="98"/>
      <c r="D795" s="97"/>
      <c r="E795" s="2361"/>
      <c r="F795" s="2359"/>
      <c r="G795" s="2359"/>
      <c r="H795" s="2359"/>
      <c r="I795" s="2359"/>
      <c r="J795" s="2359"/>
      <c r="K795" s="2359"/>
      <c r="L795" s="2359"/>
      <c r="M795" s="2359"/>
      <c r="N795" s="2359"/>
      <c r="O795" s="2359"/>
      <c r="P795" s="2359"/>
      <c r="Q795" s="2359"/>
      <c r="R795" s="2359"/>
      <c r="S795" s="2359"/>
      <c r="T795" s="2359"/>
      <c r="U795" s="2359"/>
      <c r="V795" s="2359"/>
      <c r="W795" s="2359"/>
      <c r="X795" s="97"/>
      <c r="Y795" s="106"/>
      <c r="Z795" s="97"/>
      <c r="AA795" s="106"/>
      <c r="AB795" s="97"/>
      <c r="AC795" s="106"/>
    </row>
    <row r="796" spans="1:29" ht="12.6" customHeight="1">
      <c r="A796" s="97"/>
      <c r="B796" s="98"/>
      <c r="C796" s="98"/>
      <c r="D796" s="97"/>
      <c r="E796" s="2361"/>
      <c r="F796" s="2359"/>
      <c r="G796" s="2359"/>
      <c r="H796" s="2359"/>
      <c r="I796" s="2359"/>
      <c r="J796" s="2359"/>
      <c r="K796" s="2359"/>
      <c r="L796" s="2359"/>
      <c r="M796" s="2359"/>
      <c r="N796" s="2359"/>
      <c r="O796" s="2359"/>
      <c r="P796" s="2359"/>
      <c r="Q796" s="2359"/>
      <c r="R796" s="2359"/>
      <c r="S796" s="2359"/>
      <c r="T796" s="2359"/>
      <c r="U796" s="2359"/>
      <c r="V796" s="2359"/>
      <c r="W796" s="2359"/>
      <c r="X796" s="97"/>
      <c r="Y796" s="106"/>
      <c r="Z796" s="97"/>
      <c r="AA796" s="106"/>
      <c r="AB796" s="97"/>
      <c r="AC796" s="106"/>
    </row>
    <row r="797" spans="1:29" ht="12.6" customHeight="1">
      <c r="A797" s="97"/>
      <c r="B797" s="98"/>
      <c r="C797" s="98"/>
      <c r="D797" s="97"/>
      <c r="E797" s="2361"/>
      <c r="F797" s="2359"/>
      <c r="G797" s="2359"/>
      <c r="H797" s="2359"/>
      <c r="I797" s="2359"/>
      <c r="J797" s="2359"/>
      <c r="K797" s="2359"/>
      <c r="L797" s="2359"/>
      <c r="M797" s="2359"/>
      <c r="N797" s="2359"/>
      <c r="O797" s="2359"/>
      <c r="P797" s="2359"/>
      <c r="Q797" s="2359"/>
      <c r="R797" s="2359"/>
      <c r="S797" s="2359"/>
      <c r="T797" s="2359"/>
      <c r="U797" s="2359"/>
      <c r="V797" s="2359"/>
      <c r="W797" s="2359"/>
      <c r="X797" s="97"/>
      <c r="Y797" s="106"/>
      <c r="Z797" s="97"/>
      <c r="AA797" s="106"/>
      <c r="AB797" s="97"/>
      <c r="AC797" s="106"/>
    </row>
    <row r="798" spans="1:29" ht="12.6" customHeight="1">
      <c r="A798" s="97"/>
      <c r="B798" s="98"/>
      <c r="C798" s="98"/>
      <c r="D798" s="97"/>
      <c r="E798" s="2361"/>
      <c r="F798" s="2359"/>
      <c r="G798" s="2359"/>
      <c r="H798" s="2359"/>
      <c r="I798" s="2359"/>
      <c r="J798" s="2359"/>
      <c r="K798" s="2359"/>
      <c r="L798" s="2359"/>
      <c r="M798" s="2359"/>
      <c r="N798" s="2359"/>
      <c r="O798" s="2359"/>
      <c r="P798" s="2359"/>
      <c r="Q798" s="2359"/>
      <c r="R798" s="2359"/>
      <c r="S798" s="2359"/>
      <c r="T798" s="2359"/>
      <c r="U798" s="2359"/>
      <c r="V798" s="2359"/>
      <c r="W798" s="2359"/>
      <c r="X798" s="97"/>
      <c r="Y798" s="106"/>
      <c r="Z798" s="97"/>
      <c r="AA798" s="106"/>
      <c r="AB798" s="97"/>
      <c r="AC798" s="106"/>
    </row>
    <row r="799" spans="1:29" ht="12.6" customHeight="1">
      <c r="A799" s="97"/>
      <c r="B799" s="98"/>
      <c r="C799" s="98"/>
      <c r="D799" s="97"/>
      <c r="E799" s="2361"/>
      <c r="F799" s="2359"/>
      <c r="G799" s="2359"/>
      <c r="H799" s="2359"/>
      <c r="I799" s="2359"/>
      <c r="J799" s="2359"/>
      <c r="K799" s="2359"/>
      <c r="L799" s="2359"/>
      <c r="M799" s="2359"/>
      <c r="N799" s="2359"/>
      <c r="O799" s="2359"/>
      <c r="P799" s="2359"/>
      <c r="Q799" s="2359"/>
      <c r="R799" s="2359"/>
      <c r="S799" s="2359"/>
      <c r="T799" s="2359"/>
      <c r="U799" s="2359"/>
      <c r="V799" s="2359"/>
      <c r="W799" s="2359"/>
      <c r="X799" s="97"/>
      <c r="Y799" s="106"/>
      <c r="Z799" s="97"/>
      <c r="AA799" s="106"/>
      <c r="AB799" s="97"/>
      <c r="AC799" s="106"/>
    </row>
    <row r="800" spans="1:29" ht="12.6" customHeight="1">
      <c r="A800" s="97"/>
      <c r="B800" s="98"/>
      <c r="C800" s="98"/>
      <c r="D800" s="97"/>
      <c r="E800" s="2361"/>
      <c r="F800" s="2359"/>
      <c r="G800" s="2359"/>
      <c r="H800" s="2359"/>
      <c r="I800" s="2359"/>
      <c r="J800" s="2359"/>
      <c r="K800" s="2359"/>
      <c r="L800" s="2359"/>
      <c r="M800" s="2359"/>
      <c r="N800" s="2359"/>
      <c r="O800" s="2359"/>
      <c r="P800" s="2359"/>
      <c r="Q800" s="2359"/>
      <c r="R800" s="2359"/>
      <c r="S800" s="2359"/>
      <c r="T800" s="2359"/>
      <c r="U800" s="2359"/>
      <c r="V800" s="2359"/>
      <c r="W800" s="2359"/>
      <c r="X800" s="97"/>
      <c r="Y800" s="105"/>
      <c r="Z800" s="97"/>
      <c r="AA800" s="106"/>
      <c r="AB800" s="97"/>
      <c r="AC800" s="106"/>
    </row>
    <row r="801" spans="1:29" ht="12.6" customHeight="1">
      <c r="A801" s="97"/>
      <c r="B801" s="98"/>
      <c r="C801" s="98"/>
      <c r="D801" s="97"/>
      <c r="E801" s="2361"/>
      <c r="F801" s="2359"/>
      <c r="G801" s="2359"/>
      <c r="H801" s="2359"/>
      <c r="I801" s="2359"/>
      <c r="J801" s="2359"/>
      <c r="K801" s="2359"/>
      <c r="L801" s="2359"/>
      <c r="M801" s="2359"/>
      <c r="N801" s="2359"/>
      <c r="O801" s="2359"/>
      <c r="P801" s="2359"/>
      <c r="Q801" s="2359"/>
      <c r="R801" s="2359"/>
      <c r="S801" s="2359"/>
      <c r="T801" s="2359"/>
      <c r="U801" s="2359"/>
      <c r="V801" s="2359"/>
      <c r="W801" s="2359"/>
      <c r="X801" s="97"/>
      <c r="Y801" s="102"/>
      <c r="Z801" s="97"/>
      <c r="AA801" s="105"/>
      <c r="AB801" s="97"/>
      <c r="AC801" s="105"/>
    </row>
    <row r="802" spans="1:29" ht="12.6" customHeight="1">
      <c r="A802" s="97"/>
      <c r="B802" s="98"/>
      <c r="C802" s="98"/>
      <c r="D802" s="97"/>
      <c r="E802" s="2361"/>
      <c r="F802" s="2359"/>
      <c r="G802" s="2359"/>
      <c r="H802" s="2359"/>
      <c r="I802" s="2359"/>
      <c r="J802" s="2359"/>
      <c r="K802" s="2359"/>
      <c r="L802" s="2359"/>
      <c r="M802" s="2359"/>
      <c r="N802" s="2359"/>
      <c r="O802" s="2359"/>
      <c r="P802" s="2359"/>
      <c r="Q802" s="2359"/>
      <c r="R802" s="2359"/>
      <c r="S802" s="2359"/>
      <c r="T802" s="2359"/>
      <c r="U802" s="2359"/>
      <c r="V802" s="2359"/>
      <c r="W802" s="2359"/>
      <c r="X802" s="97"/>
      <c r="Y802" s="106"/>
      <c r="Z802" s="97"/>
      <c r="AA802" s="102"/>
      <c r="AB802" s="97"/>
      <c r="AC802" s="102"/>
    </row>
    <row r="803" spans="1:29" ht="12.6" customHeight="1">
      <c r="A803" s="97"/>
      <c r="B803" s="98"/>
      <c r="C803" s="98"/>
      <c r="D803" s="97"/>
      <c r="E803" s="2361"/>
      <c r="F803" s="2359"/>
      <c r="G803" s="2359"/>
      <c r="H803" s="2359"/>
      <c r="I803" s="2359"/>
      <c r="J803" s="2359"/>
      <c r="K803" s="2359"/>
      <c r="L803" s="2359"/>
      <c r="M803" s="2359"/>
      <c r="N803" s="2359"/>
      <c r="O803" s="2359"/>
      <c r="P803" s="2359"/>
      <c r="Q803" s="2359"/>
      <c r="R803" s="2359"/>
      <c r="S803" s="2359"/>
      <c r="T803" s="2359"/>
      <c r="U803" s="2359"/>
      <c r="V803" s="2359"/>
      <c r="W803" s="2359"/>
      <c r="X803" s="97"/>
      <c r="Y803" s="106"/>
      <c r="Z803" s="97"/>
      <c r="AA803" s="106"/>
      <c r="AB803" s="97"/>
      <c r="AC803" s="106"/>
    </row>
    <row r="804" spans="1:29" ht="12.6" customHeight="1">
      <c r="A804" s="97"/>
      <c r="B804" s="98"/>
      <c r="C804" s="98"/>
      <c r="D804" s="97"/>
      <c r="E804" s="2361"/>
      <c r="F804" s="2359"/>
      <c r="G804" s="2359"/>
      <c r="H804" s="2359"/>
      <c r="I804" s="2359"/>
      <c r="J804" s="2359"/>
      <c r="K804" s="2359"/>
      <c r="L804" s="2359"/>
      <c r="M804" s="2359"/>
      <c r="N804" s="2359"/>
      <c r="O804" s="2359"/>
      <c r="P804" s="2359"/>
      <c r="Q804" s="2359"/>
      <c r="R804" s="2359"/>
      <c r="S804" s="2359"/>
      <c r="T804" s="2359"/>
      <c r="U804" s="2359"/>
      <c r="V804" s="2359"/>
      <c r="W804" s="2359"/>
      <c r="X804" s="97"/>
      <c r="Y804" s="106"/>
      <c r="Z804" s="97"/>
      <c r="AA804" s="106"/>
      <c r="AB804" s="97"/>
      <c r="AC804" s="106"/>
    </row>
    <row r="805" spans="1:29" ht="12.6" customHeight="1">
      <c r="A805" s="97"/>
      <c r="B805" s="98"/>
      <c r="C805" s="98"/>
      <c r="D805" s="97"/>
      <c r="E805" s="2361"/>
      <c r="F805" s="2359"/>
      <c r="G805" s="2359"/>
      <c r="H805" s="2359"/>
      <c r="I805" s="2359"/>
      <c r="J805" s="2359"/>
      <c r="K805" s="2359"/>
      <c r="L805" s="2359"/>
      <c r="M805" s="2359"/>
      <c r="N805" s="2359"/>
      <c r="O805" s="2359"/>
      <c r="P805" s="2359"/>
      <c r="Q805" s="2359"/>
      <c r="R805" s="2359"/>
      <c r="S805" s="2359"/>
      <c r="T805" s="2359"/>
      <c r="U805" s="2359"/>
      <c r="V805" s="2359"/>
      <c r="W805" s="2359"/>
      <c r="X805" s="97"/>
      <c r="Y805" s="106"/>
      <c r="Z805" s="97"/>
      <c r="AA805" s="106"/>
      <c r="AB805" s="97"/>
      <c r="AC805" s="106"/>
    </row>
    <row r="806" spans="1:29" ht="12.6" customHeight="1">
      <c r="A806" s="97"/>
      <c r="B806" s="98"/>
      <c r="C806" s="98"/>
      <c r="D806" s="97"/>
      <c r="E806" s="2361"/>
      <c r="F806" s="2359"/>
      <c r="G806" s="2359"/>
      <c r="H806" s="2359"/>
      <c r="I806" s="2359"/>
      <c r="J806" s="2359"/>
      <c r="K806" s="2359"/>
      <c r="L806" s="2359"/>
      <c r="M806" s="2359"/>
      <c r="N806" s="2359"/>
      <c r="O806" s="2359"/>
      <c r="P806" s="2359"/>
      <c r="Q806" s="2359"/>
      <c r="R806" s="2359"/>
      <c r="S806" s="2359"/>
      <c r="T806" s="2359"/>
      <c r="U806" s="2359"/>
      <c r="V806" s="2359"/>
      <c r="W806" s="2359"/>
      <c r="X806" s="97"/>
      <c r="Y806" s="106"/>
      <c r="Z806" s="97"/>
      <c r="AA806" s="106"/>
      <c r="AB806" s="97"/>
      <c r="AC806" s="106"/>
    </row>
    <row r="807" spans="1:29" ht="12.6" customHeight="1">
      <c r="A807" s="97"/>
      <c r="B807" s="98"/>
      <c r="C807" s="98"/>
      <c r="D807" s="97"/>
      <c r="E807" s="2361"/>
      <c r="F807" s="2359"/>
      <c r="G807" s="2359"/>
      <c r="H807" s="2359"/>
      <c r="I807" s="2359"/>
      <c r="J807" s="2359"/>
      <c r="K807" s="2359"/>
      <c r="L807" s="2359"/>
      <c r="M807" s="2359"/>
      <c r="N807" s="2359"/>
      <c r="O807" s="2359"/>
      <c r="P807" s="2359"/>
      <c r="Q807" s="2359"/>
      <c r="R807" s="2359"/>
      <c r="S807" s="2359"/>
      <c r="T807" s="2359"/>
      <c r="U807" s="2359"/>
      <c r="V807" s="2359"/>
      <c r="W807" s="2359"/>
      <c r="X807" s="97"/>
      <c r="Y807" s="106"/>
      <c r="Z807" s="97"/>
      <c r="AA807" s="106"/>
      <c r="AB807" s="97"/>
      <c r="AC807" s="106"/>
    </row>
    <row r="808" spans="1:29" ht="12.6" customHeight="1">
      <c r="A808" s="97"/>
      <c r="B808" s="98"/>
      <c r="C808" s="98"/>
      <c r="D808" s="97"/>
      <c r="E808" s="2361"/>
      <c r="F808" s="2359"/>
      <c r="G808" s="2359"/>
      <c r="H808" s="2359"/>
      <c r="I808" s="2359"/>
      <c r="J808" s="2359"/>
      <c r="K808" s="2359"/>
      <c r="L808" s="2359"/>
      <c r="M808" s="2359"/>
      <c r="N808" s="2359"/>
      <c r="O808" s="2359"/>
      <c r="P808" s="2359"/>
      <c r="Q808" s="2359"/>
      <c r="R808" s="2359"/>
      <c r="S808" s="2359"/>
      <c r="T808" s="2359"/>
      <c r="U808" s="2359"/>
      <c r="V808" s="2359"/>
      <c r="W808" s="2359"/>
      <c r="X808" s="97"/>
      <c r="Y808" s="106"/>
      <c r="Z808" s="97"/>
      <c r="AA808" s="106"/>
      <c r="AB808" s="97"/>
      <c r="AC808" s="106"/>
    </row>
    <row r="809" spans="1:29" ht="12.6" customHeight="1">
      <c r="A809" s="97"/>
      <c r="B809" s="98"/>
      <c r="C809" s="98"/>
      <c r="D809" s="97"/>
      <c r="E809" s="2361"/>
      <c r="F809" s="2359"/>
      <c r="G809" s="2359"/>
      <c r="H809" s="2359"/>
      <c r="I809" s="2359"/>
      <c r="J809" s="2359"/>
      <c r="K809" s="2359"/>
      <c r="L809" s="2359"/>
      <c r="M809" s="2359"/>
      <c r="N809" s="2359"/>
      <c r="O809" s="2359"/>
      <c r="P809" s="2359"/>
      <c r="Q809" s="2359"/>
      <c r="R809" s="2359"/>
      <c r="S809" s="2359"/>
      <c r="T809" s="2359"/>
      <c r="U809" s="2359"/>
      <c r="V809" s="2359"/>
      <c r="W809" s="2359"/>
      <c r="X809" s="97"/>
      <c r="Y809" s="106"/>
      <c r="Z809" s="97"/>
      <c r="AA809" s="106"/>
      <c r="AB809" s="97"/>
      <c r="AC809" s="106"/>
    </row>
    <row r="810" spans="1:29" ht="12.6" customHeight="1">
      <c r="A810" s="97"/>
      <c r="B810" s="98"/>
      <c r="C810" s="98"/>
      <c r="D810" s="97"/>
      <c r="E810" s="2361"/>
      <c r="F810" s="2359"/>
      <c r="G810" s="2359"/>
      <c r="H810" s="2359"/>
      <c r="I810" s="2359"/>
      <c r="J810" s="2359"/>
      <c r="K810" s="2359"/>
      <c r="L810" s="2359"/>
      <c r="M810" s="2359"/>
      <c r="N810" s="2359"/>
      <c r="O810" s="2359"/>
      <c r="P810" s="2359"/>
      <c r="Q810" s="2359"/>
      <c r="R810" s="2359"/>
      <c r="S810" s="2359"/>
      <c r="T810" s="2359"/>
      <c r="U810" s="2359"/>
      <c r="V810" s="2359"/>
      <c r="W810" s="2359"/>
      <c r="X810" s="97"/>
      <c r="Y810" s="106"/>
      <c r="Z810" s="97"/>
      <c r="AA810" s="106"/>
      <c r="AB810" s="97"/>
      <c r="AC810" s="106"/>
    </row>
    <row r="811" spans="1:29" ht="12.6" customHeight="1">
      <c r="A811" s="97"/>
      <c r="B811" s="98"/>
      <c r="C811" s="98"/>
      <c r="D811" s="97"/>
      <c r="E811" s="2361"/>
      <c r="F811" s="2359"/>
      <c r="G811" s="2359"/>
      <c r="H811" s="2359"/>
      <c r="I811" s="2359"/>
      <c r="J811" s="2359"/>
      <c r="K811" s="2359"/>
      <c r="L811" s="2359"/>
      <c r="M811" s="2359"/>
      <c r="N811" s="2359"/>
      <c r="O811" s="2359"/>
      <c r="P811" s="2359"/>
      <c r="Q811" s="2359"/>
      <c r="R811" s="2359"/>
      <c r="S811" s="2359"/>
      <c r="T811" s="2359"/>
      <c r="U811" s="2359"/>
      <c r="V811" s="2359"/>
      <c r="W811" s="2359"/>
      <c r="X811" s="97"/>
      <c r="Y811" s="106"/>
      <c r="Z811" s="97"/>
      <c r="AA811" s="106"/>
      <c r="AB811" s="97"/>
      <c r="AC811" s="106"/>
    </row>
    <row r="812" spans="1:29" ht="12.6" customHeight="1">
      <c r="A812" s="97"/>
      <c r="B812" s="98"/>
      <c r="C812" s="98"/>
      <c r="D812" s="97"/>
      <c r="E812" s="2361"/>
      <c r="F812" s="2359"/>
      <c r="G812" s="2359"/>
      <c r="H812" s="2359"/>
      <c r="I812" s="2359"/>
      <c r="J812" s="2359"/>
      <c r="K812" s="2359"/>
      <c r="L812" s="2359"/>
      <c r="M812" s="2359"/>
      <c r="N812" s="2359"/>
      <c r="O812" s="2359"/>
      <c r="P812" s="2359"/>
      <c r="Q812" s="2359"/>
      <c r="R812" s="2359"/>
      <c r="S812" s="2359"/>
      <c r="T812" s="2359"/>
      <c r="U812" s="2359"/>
      <c r="V812" s="2359"/>
      <c r="W812" s="2359"/>
      <c r="X812" s="97"/>
      <c r="Y812" s="106"/>
      <c r="Z812" s="97"/>
      <c r="AA812" s="106"/>
      <c r="AB812" s="97"/>
      <c r="AC812" s="106"/>
    </row>
    <row r="813" spans="1:29" ht="12.6" customHeight="1">
      <c r="A813" s="97"/>
      <c r="B813" s="98"/>
      <c r="C813" s="98"/>
      <c r="D813" s="97"/>
      <c r="E813" s="2361"/>
      <c r="F813" s="2359"/>
      <c r="G813" s="2359"/>
      <c r="H813" s="2359"/>
      <c r="I813" s="2359"/>
      <c r="J813" s="2359"/>
      <c r="K813" s="2359"/>
      <c r="L813" s="2359"/>
      <c r="M813" s="2359"/>
      <c r="N813" s="2359"/>
      <c r="O813" s="2359"/>
      <c r="P813" s="2359"/>
      <c r="Q813" s="2359"/>
      <c r="R813" s="2359"/>
      <c r="S813" s="2359"/>
      <c r="T813" s="2359"/>
      <c r="U813" s="2359"/>
      <c r="V813" s="2359"/>
      <c r="W813" s="2359"/>
      <c r="X813" s="97"/>
      <c r="Y813" s="106"/>
      <c r="Z813" s="97"/>
      <c r="AA813" s="106"/>
      <c r="AB813" s="97"/>
      <c r="AC813" s="106"/>
    </row>
    <row r="814" spans="1:29" ht="12.6" customHeight="1">
      <c r="A814" s="97"/>
      <c r="B814" s="98"/>
      <c r="C814" s="98"/>
      <c r="D814" s="97"/>
      <c r="E814" s="2361"/>
      <c r="F814" s="2359"/>
      <c r="G814" s="2359"/>
      <c r="H814" s="2359"/>
      <c r="I814" s="2359"/>
      <c r="J814" s="2359"/>
      <c r="K814" s="2359"/>
      <c r="L814" s="2359"/>
      <c r="M814" s="2359"/>
      <c r="N814" s="2359"/>
      <c r="O814" s="2359"/>
      <c r="P814" s="2359"/>
      <c r="Q814" s="2359"/>
      <c r="R814" s="2359"/>
      <c r="S814" s="2359"/>
      <c r="T814" s="2359"/>
      <c r="U814" s="2359"/>
      <c r="V814" s="2359"/>
      <c r="W814" s="2359"/>
      <c r="X814" s="97"/>
      <c r="Y814" s="106"/>
      <c r="Z814" s="97"/>
      <c r="AA814" s="106"/>
      <c r="AB814" s="97"/>
      <c r="AC814" s="106"/>
    </row>
    <row r="815" spans="1:29" ht="12.6" customHeight="1">
      <c r="A815" s="97"/>
      <c r="B815" s="98"/>
      <c r="C815" s="98"/>
      <c r="D815" s="97"/>
      <c r="E815" s="2361"/>
      <c r="F815" s="2359"/>
      <c r="G815" s="2359"/>
      <c r="H815" s="2359"/>
      <c r="I815" s="2359"/>
      <c r="J815" s="2359"/>
      <c r="K815" s="2359"/>
      <c r="L815" s="2359"/>
      <c r="M815" s="2359"/>
      <c r="N815" s="2359"/>
      <c r="O815" s="2359"/>
      <c r="P815" s="2359"/>
      <c r="Q815" s="2359"/>
      <c r="R815" s="2359"/>
      <c r="S815" s="2359"/>
      <c r="T815" s="2359"/>
      <c r="U815" s="2359"/>
      <c r="V815" s="2359"/>
      <c r="W815" s="2359"/>
      <c r="X815" s="97"/>
      <c r="Y815" s="106"/>
      <c r="Z815" s="97"/>
      <c r="AA815" s="106"/>
      <c r="AB815" s="97"/>
      <c r="AC815" s="106"/>
    </row>
    <row r="816" spans="1:29" ht="12.6" customHeight="1">
      <c r="A816" s="97"/>
      <c r="B816" s="98"/>
      <c r="C816" s="98"/>
      <c r="D816" s="97"/>
      <c r="E816" s="2361"/>
      <c r="F816" s="2359"/>
      <c r="G816" s="2359"/>
      <c r="H816" s="2359"/>
      <c r="I816" s="2359"/>
      <c r="J816" s="2359"/>
      <c r="K816" s="2359"/>
      <c r="L816" s="2359"/>
      <c r="M816" s="2359"/>
      <c r="N816" s="2359"/>
      <c r="O816" s="2359"/>
      <c r="P816" s="2359"/>
      <c r="Q816" s="2359"/>
      <c r="R816" s="2359"/>
      <c r="S816" s="2359"/>
      <c r="T816" s="2359"/>
      <c r="U816" s="2359"/>
      <c r="V816" s="2359"/>
      <c r="W816" s="2359"/>
      <c r="X816" s="97"/>
      <c r="Y816" s="106"/>
      <c r="Z816" s="97"/>
      <c r="AA816" s="106"/>
      <c r="AB816" s="97"/>
      <c r="AC816" s="106"/>
    </row>
    <row r="817" spans="1:29" ht="12.6" customHeight="1">
      <c r="A817" s="97"/>
      <c r="B817" s="98"/>
      <c r="C817" s="98"/>
      <c r="D817" s="97"/>
      <c r="E817" s="2361"/>
      <c r="F817" s="2359"/>
      <c r="G817" s="2359"/>
      <c r="H817" s="2359"/>
      <c r="I817" s="2359"/>
      <c r="J817" s="2359"/>
      <c r="K817" s="2359"/>
      <c r="L817" s="2359"/>
      <c r="M817" s="2359"/>
      <c r="N817" s="2359"/>
      <c r="O817" s="2359"/>
      <c r="P817" s="2359"/>
      <c r="Q817" s="2359"/>
      <c r="R817" s="2359"/>
      <c r="S817" s="2359"/>
      <c r="T817" s="2359"/>
      <c r="U817" s="2359"/>
      <c r="V817" s="2359"/>
      <c r="W817" s="2359"/>
      <c r="X817" s="97"/>
      <c r="Y817" s="106"/>
      <c r="Z817" s="97"/>
      <c r="AA817" s="106"/>
      <c r="AB817" s="97"/>
      <c r="AC817" s="106"/>
    </row>
    <row r="818" spans="1:29" ht="12.6" customHeight="1">
      <c r="A818" s="97"/>
      <c r="B818" s="98"/>
      <c r="C818" s="98"/>
      <c r="D818" s="97"/>
      <c r="E818" s="2361"/>
      <c r="F818" s="2359"/>
      <c r="G818" s="2359"/>
      <c r="H818" s="2359"/>
      <c r="I818" s="2359"/>
      <c r="J818" s="2359"/>
      <c r="K818" s="2359"/>
      <c r="L818" s="2359"/>
      <c r="M818" s="2359"/>
      <c r="N818" s="2359"/>
      <c r="O818" s="2359"/>
      <c r="P818" s="2359"/>
      <c r="Q818" s="2359"/>
      <c r="R818" s="2359"/>
      <c r="S818" s="2359"/>
      <c r="T818" s="2359"/>
      <c r="U818" s="2359"/>
      <c r="V818" s="2359"/>
      <c r="W818" s="2359"/>
      <c r="X818" s="97"/>
      <c r="Y818" s="106"/>
      <c r="Z818" s="97"/>
      <c r="AA818" s="106"/>
      <c r="AB818" s="97"/>
      <c r="AC818" s="106"/>
    </row>
    <row r="819" spans="1:29" ht="12.6" customHeight="1">
      <c r="A819" s="97"/>
      <c r="B819" s="98"/>
      <c r="C819" s="98"/>
      <c r="D819" s="97"/>
      <c r="E819" s="2361"/>
      <c r="F819" s="2359"/>
      <c r="G819" s="2359"/>
      <c r="H819" s="2359"/>
      <c r="I819" s="2359"/>
      <c r="J819" s="2359"/>
      <c r="K819" s="2359"/>
      <c r="L819" s="2359"/>
      <c r="M819" s="2359"/>
      <c r="N819" s="2359"/>
      <c r="O819" s="2359"/>
      <c r="P819" s="2359"/>
      <c r="Q819" s="2359"/>
      <c r="R819" s="2359"/>
      <c r="S819" s="2359"/>
      <c r="T819" s="2359"/>
      <c r="U819" s="2359"/>
      <c r="V819" s="2359"/>
      <c r="W819" s="2359"/>
      <c r="X819" s="97"/>
      <c r="Y819" s="106"/>
      <c r="Z819" s="97"/>
      <c r="AA819" s="106"/>
      <c r="AB819" s="97"/>
      <c r="AC819" s="106"/>
    </row>
    <row r="820" spans="1:29" ht="12.6" customHeight="1">
      <c r="A820" s="97"/>
      <c r="B820" s="98"/>
      <c r="C820" s="98"/>
      <c r="D820" s="97"/>
      <c r="E820" s="2361"/>
      <c r="F820" s="2359"/>
      <c r="G820" s="2359"/>
      <c r="H820" s="2359"/>
      <c r="I820" s="2359"/>
      <c r="J820" s="2359"/>
      <c r="K820" s="2359"/>
      <c r="L820" s="2359"/>
      <c r="M820" s="2359"/>
      <c r="N820" s="2359"/>
      <c r="O820" s="2359"/>
      <c r="P820" s="2359"/>
      <c r="Q820" s="2359"/>
      <c r="R820" s="2359"/>
      <c r="S820" s="2359"/>
      <c r="T820" s="2359"/>
      <c r="U820" s="2359"/>
      <c r="V820" s="2359"/>
      <c r="W820" s="2359"/>
      <c r="X820" s="97"/>
      <c r="Y820" s="106"/>
      <c r="Z820" s="97"/>
      <c r="AA820" s="106"/>
      <c r="AB820" s="97"/>
      <c r="AC820" s="106"/>
    </row>
    <row r="821" spans="1:29" ht="12.6" customHeight="1">
      <c r="A821" s="97"/>
      <c r="B821" s="98"/>
      <c r="C821" s="98"/>
      <c r="D821" s="97"/>
      <c r="E821" s="2361"/>
      <c r="F821" s="2359"/>
      <c r="G821" s="2359"/>
      <c r="H821" s="2359"/>
      <c r="I821" s="2359"/>
      <c r="J821" s="2359"/>
      <c r="K821" s="2359"/>
      <c r="L821" s="2359"/>
      <c r="M821" s="2359"/>
      <c r="N821" s="2359"/>
      <c r="O821" s="2359"/>
      <c r="P821" s="2359"/>
      <c r="Q821" s="2359"/>
      <c r="R821" s="2359"/>
      <c r="S821" s="2359"/>
      <c r="T821" s="2359"/>
      <c r="U821" s="2359"/>
      <c r="V821" s="2359"/>
      <c r="W821" s="2359"/>
      <c r="X821" s="97"/>
      <c r="Y821" s="106"/>
      <c r="Z821" s="97"/>
      <c r="AA821" s="106"/>
      <c r="AB821" s="97"/>
      <c r="AC821" s="106"/>
    </row>
    <row r="822" spans="1:29" ht="12.6" customHeight="1">
      <c r="A822" s="97"/>
      <c r="B822" s="98"/>
      <c r="C822" s="98"/>
      <c r="D822" s="97"/>
      <c r="E822" s="2361"/>
      <c r="F822" s="2359"/>
      <c r="G822" s="2359"/>
      <c r="H822" s="2359"/>
      <c r="I822" s="2359"/>
      <c r="J822" s="2359"/>
      <c r="K822" s="2359"/>
      <c r="L822" s="2359"/>
      <c r="M822" s="2359"/>
      <c r="N822" s="2359"/>
      <c r="O822" s="2359"/>
      <c r="P822" s="2359"/>
      <c r="Q822" s="2359"/>
      <c r="R822" s="2359"/>
      <c r="S822" s="2359"/>
      <c r="T822" s="2359"/>
      <c r="U822" s="2359"/>
      <c r="V822" s="2359"/>
      <c r="W822" s="2359"/>
      <c r="X822" s="97"/>
      <c r="Y822" s="106"/>
      <c r="Z822" s="97"/>
      <c r="AA822" s="106"/>
      <c r="AB822" s="97"/>
      <c r="AC822" s="106"/>
    </row>
    <row r="823" spans="1:29" ht="12.6" customHeight="1">
      <c r="A823" s="97"/>
      <c r="B823" s="98"/>
      <c r="C823" s="98"/>
      <c r="D823" s="97"/>
      <c r="E823" s="2361"/>
      <c r="F823" s="2359"/>
      <c r="G823" s="2359"/>
      <c r="H823" s="2359"/>
      <c r="I823" s="2359"/>
      <c r="J823" s="2359"/>
      <c r="K823" s="2359"/>
      <c r="L823" s="2359"/>
      <c r="M823" s="2359"/>
      <c r="N823" s="2359"/>
      <c r="O823" s="2359"/>
      <c r="P823" s="2359"/>
      <c r="Q823" s="2359"/>
      <c r="R823" s="2359"/>
      <c r="S823" s="2359"/>
      <c r="T823" s="2359"/>
      <c r="U823" s="2359"/>
      <c r="V823" s="2359"/>
      <c r="W823" s="2359"/>
      <c r="X823" s="97"/>
      <c r="Y823" s="106"/>
      <c r="Z823" s="97"/>
      <c r="AA823" s="106"/>
      <c r="AB823" s="97"/>
      <c r="AC823" s="106"/>
    </row>
    <row r="824" spans="1:29" ht="12.6" customHeight="1">
      <c r="A824" s="97"/>
      <c r="B824" s="98"/>
      <c r="C824" s="98"/>
      <c r="D824" s="97"/>
      <c r="E824" s="2361"/>
      <c r="F824" s="2359"/>
      <c r="G824" s="2359"/>
      <c r="H824" s="2359"/>
      <c r="I824" s="2359"/>
      <c r="J824" s="2359"/>
      <c r="K824" s="2359"/>
      <c r="L824" s="2359"/>
      <c r="M824" s="2359"/>
      <c r="N824" s="2359"/>
      <c r="O824" s="2359"/>
      <c r="P824" s="2359"/>
      <c r="Q824" s="2359"/>
      <c r="R824" s="2359"/>
      <c r="S824" s="2359"/>
      <c r="T824" s="2359"/>
      <c r="U824" s="2359"/>
      <c r="V824" s="2359"/>
      <c r="W824" s="2359"/>
      <c r="X824" s="97"/>
      <c r="Y824" s="106"/>
      <c r="Z824" s="97"/>
      <c r="AA824" s="106"/>
      <c r="AB824" s="97"/>
      <c r="AC824" s="106"/>
    </row>
    <row r="825" spans="1:29" ht="12.6" customHeight="1">
      <c r="A825" s="97"/>
      <c r="B825" s="98"/>
      <c r="C825" s="98"/>
      <c r="D825" s="97"/>
      <c r="E825" s="2361"/>
      <c r="F825" s="2359"/>
      <c r="G825" s="2359"/>
      <c r="H825" s="2359"/>
      <c r="I825" s="2359"/>
      <c r="J825" s="2359"/>
      <c r="K825" s="2359"/>
      <c r="L825" s="2359"/>
      <c r="M825" s="2359"/>
      <c r="N825" s="2359"/>
      <c r="O825" s="2359"/>
      <c r="P825" s="2359"/>
      <c r="Q825" s="2359"/>
      <c r="R825" s="2359"/>
      <c r="S825" s="2359"/>
      <c r="T825" s="2359"/>
      <c r="U825" s="2359"/>
      <c r="V825" s="2359"/>
      <c r="W825" s="2359"/>
      <c r="X825" s="97"/>
      <c r="Y825" s="106"/>
      <c r="Z825" s="97"/>
      <c r="AA825" s="106"/>
      <c r="AB825" s="97"/>
      <c r="AC825" s="106"/>
    </row>
    <row r="826" spans="1:29" ht="12.6" customHeight="1">
      <c r="A826" s="97"/>
      <c r="B826" s="98"/>
      <c r="C826" s="98"/>
      <c r="D826" s="97"/>
      <c r="E826" s="2361"/>
      <c r="F826" s="2359"/>
      <c r="G826" s="2359"/>
      <c r="H826" s="2359"/>
      <c r="I826" s="2359"/>
      <c r="J826" s="2359"/>
      <c r="K826" s="2359"/>
      <c r="L826" s="2359"/>
      <c r="M826" s="2359"/>
      <c r="N826" s="2359"/>
      <c r="O826" s="2359"/>
      <c r="P826" s="2359"/>
      <c r="Q826" s="2359"/>
      <c r="R826" s="2359"/>
      <c r="S826" s="2359"/>
      <c r="T826" s="2359"/>
      <c r="U826" s="2359"/>
      <c r="V826" s="2359"/>
      <c r="W826" s="2359"/>
      <c r="X826" s="97"/>
      <c r="Y826" s="106"/>
      <c r="Z826" s="97"/>
      <c r="AA826" s="106"/>
      <c r="AB826" s="97"/>
      <c r="AC826" s="106"/>
    </row>
    <row r="827" spans="1:29" ht="12.6" customHeight="1">
      <c r="A827" s="97"/>
      <c r="B827" s="98"/>
      <c r="C827" s="98"/>
      <c r="D827" s="97"/>
      <c r="E827" s="2361"/>
      <c r="F827" s="2359"/>
      <c r="G827" s="2359"/>
      <c r="H827" s="2359"/>
      <c r="I827" s="2359"/>
      <c r="J827" s="2359"/>
      <c r="K827" s="2359"/>
      <c r="L827" s="2359"/>
      <c r="M827" s="2359"/>
      <c r="N827" s="2359"/>
      <c r="O827" s="2359"/>
      <c r="P827" s="2359"/>
      <c r="Q827" s="2359"/>
      <c r="R827" s="2359"/>
      <c r="S827" s="2359"/>
      <c r="T827" s="2359"/>
      <c r="U827" s="2359"/>
      <c r="V827" s="2359"/>
      <c r="W827" s="2359"/>
      <c r="X827" s="97"/>
      <c r="Y827" s="106"/>
      <c r="Z827" s="97"/>
      <c r="AA827" s="106"/>
      <c r="AB827" s="97"/>
      <c r="AC827" s="106"/>
    </row>
    <row r="828" spans="1:29" ht="12.6" customHeight="1">
      <c r="A828" s="97"/>
      <c r="B828" s="98"/>
      <c r="C828" s="98"/>
      <c r="D828" s="97"/>
      <c r="E828" s="2361"/>
      <c r="F828" s="2359"/>
      <c r="G828" s="2359"/>
      <c r="H828" s="2359"/>
      <c r="I828" s="2359"/>
      <c r="J828" s="2359"/>
      <c r="K828" s="2359"/>
      <c r="L828" s="2359"/>
      <c r="M828" s="2359"/>
      <c r="N828" s="2359"/>
      <c r="O828" s="2359"/>
      <c r="P828" s="2359"/>
      <c r="Q828" s="2359"/>
      <c r="R828" s="2359"/>
      <c r="S828" s="2359"/>
      <c r="T828" s="2359"/>
      <c r="U828" s="2359"/>
      <c r="V828" s="2359"/>
      <c r="W828" s="2359"/>
      <c r="X828" s="97"/>
      <c r="Y828" s="106"/>
      <c r="Z828" s="97"/>
      <c r="AA828" s="106"/>
      <c r="AB828" s="97"/>
      <c r="AC828" s="106"/>
    </row>
    <row r="829" spans="1:29" ht="12.6" customHeight="1">
      <c r="A829" s="97"/>
      <c r="B829" s="98"/>
      <c r="C829" s="98"/>
      <c r="D829" s="97"/>
      <c r="E829" s="2361"/>
      <c r="F829" s="2359"/>
      <c r="G829" s="2359"/>
      <c r="H829" s="2359"/>
      <c r="I829" s="2359"/>
      <c r="J829" s="2359"/>
      <c r="K829" s="2359"/>
      <c r="L829" s="2359"/>
      <c r="M829" s="2359"/>
      <c r="N829" s="2359"/>
      <c r="O829" s="2359"/>
      <c r="P829" s="2359"/>
      <c r="Q829" s="2359"/>
      <c r="R829" s="2359"/>
      <c r="S829" s="2359"/>
      <c r="T829" s="2359"/>
      <c r="U829" s="2359"/>
      <c r="V829" s="2359"/>
      <c r="W829" s="2359"/>
      <c r="X829" s="97"/>
      <c r="Y829" s="107"/>
      <c r="Z829" s="97"/>
      <c r="AA829" s="106"/>
      <c r="AB829" s="97"/>
      <c r="AC829" s="106"/>
    </row>
    <row r="830" spans="1:29" ht="12.6" customHeight="1">
      <c r="A830" s="97"/>
      <c r="B830" s="98"/>
      <c r="C830" s="98"/>
      <c r="D830" s="97"/>
      <c r="E830" s="2361"/>
      <c r="F830" s="2359"/>
      <c r="G830" s="2359"/>
      <c r="H830" s="2359"/>
      <c r="I830" s="2359"/>
      <c r="J830" s="2359"/>
      <c r="K830" s="2359"/>
      <c r="L830" s="2359"/>
      <c r="M830" s="2359"/>
      <c r="N830" s="2359"/>
      <c r="O830" s="2359"/>
      <c r="P830" s="2359"/>
      <c r="Q830" s="2359"/>
      <c r="R830" s="2359"/>
      <c r="S830" s="2359"/>
      <c r="T830" s="2359"/>
      <c r="U830" s="2359"/>
      <c r="V830" s="2359"/>
      <c r="W830" s="2359"/>
      <c r="X830" s="97"/>
      <c r="Y830" s="107"/>
      <c r="Z830" s="97"/>
      <c r="AA830" s="107"/>
      <c r="AB830" s="97"/>
      <c r="AC830" s="107"/>
    </row>
    <row r="831" spans="1:29" ht="12.6" customHeight="1">
      <c r="A831" s="97"/>
      <c r="B831" s="98"/>
      <c r="C831" s="98"/>
      <c r="D831" s="97"/>
      <c r="E831" s="2361"/>
      <c r="F831" s="2359"/>
      <c r="G831" s="2359"/>
      <c r="H831" s="2359"/>
      <c r="I831" s="2359"/>
      <c r="J831" s="2359"/>
      <c r="K831" s="2359"/>
      <c r="L831" s="2359"/>
      <c r="M831" s="2359"/>
      <c r="N831" s="2359"/>
      <c r="O831" s="2359"/>
      <c r="P831" s="2359"/>
      <c r="Q831" s="2359"/>
      <c r="R831" s="2359"/>
      <c r="S831" s="2359"/>
      <c r="T831" s="2359"/>
      <c r="U831" s="2359"/>
      <c r="V831" s="2359"/>
      <c r="W831" s="2359"/>
      <c r="X831" s="97"/>
      <c r="Y831" s="107"/>
      <c r="Z831" s="97"/>
      <c r="AA831" s="107"/>
      <c r="AB831" s="97"/>
      <c r="AC831" s="107"/>
    </row>
    <row r="832" spans="1:29" ht="12.6" customHeight="1">
      <c r="A832" s="97"/>
      <c r="B832" s="98"/>
      <c r="C832" s="98"/>
      <c r="D832" s="97"/>
      <c r="E832" s="2361"/>
      <c r="F832" s="2359"/>
      <c r="G832" s="2359"/>
      <c r="H832" s="2359"/>
      <c r="I832" s="2359"/>
      <c r="J832" s="2359"/>
      <c r="K832" s="2359"/>
      <c r="L832" s="2359"/>
      <c r="M832" s="2359"/>
      <c r="N832" s="2359"/>
      <c r="O832" s="2359"/>
      <c r="P832" s="2359"/>
      <c r="Q832" s="2359"/>
      <c r="R832" s="2359"/>
      <c r="S832" s="2359"/>
      <c r="T832" s="2359"/>
      <c r="U832" s="2359"/>
      <c r="V832" s="2359"/>
      <c r="W832" s="2359"/>
      <c r="X832" s="97"/>
      <c r="Y832" s="107"/>
      <c r="Z832" s="97"/>
      <c r="AA832" s="107"/>
      <c r="AB832" s="97"/>
      <c r="AC832" s="107"/>
    </row>
    <row r="833" spans="1:29" ht="12.6" customHeight="1">
      <c r="A833" s="97"/>
      <c r="B833" s="98"/>
      <c r="C833" s="98"/>
      <c r="D833" s="97"/>
      <c r="E833" s="2361"/>
      <c r="F833" s="2359"/>
      <c r="G833" s="2359"/>
      <c r="H833" s="2359"/>
      <c r="I833" s="2359"/>
      <c r="J833" s="2359"/>
      <c r="K833" s="2359"/>
      <c r="L833" s="2359"/>
      <c r="M833" s="2359"/>
      <c r="N833" s="2359"/>
      <c r="O833" s="2359"/>
      <c r="P833" s="2359"/>
      <c r="Q833" s="2359"/>
      <c r="R833" s="2359"/>
      <c r="S833" s="2359"/>
      <c r="T833" s="2359"/>
      <c r="U833" s="2359"/>
      <c r="V833" s="2359"/>
      <c r="W833" s="2359"/>
      <c r="X833" s="97"/>
      <c r="Y833" s="107"/>
      <c r="Z833" s="97"/>
      <c r="AA833" s="107"/>
      <c r="AB833" s="97"/>
      <c r="AC833" s="107"/>
    </row>
    <row r="834" spans="1:29" ht="12.6" customHeight="1">
      <c r="A834" s="97"/>
      <c r="B834" s="98"/>
      <c r="C834" s="98"/>
      <c r="D834" s="97"/>
      <c r="E834" s="2361"/>
      <c r="F834" s="2359"/>
      <c r="G834" s="2359"/>
      <c r="H834" s="2359"/>
      <c r="I834" s="2359"/>
      <c r="J834" s="2359"/>
      <c r="K834" s="2359"/>
      <c r="L834" s="2359"/>
      <c r="M834" s="2359"/>
      <c r="N834" s="2359"/>
      <c r="O834" s="2359"/>
      <c r="P834" s="2359"/>
      <c r="Q834" s="2359"/>
      <c r="R834" s="2359"/>
      <c r="S834" s="2359"/>
      <c r="T834" s="2359"/>
      <c r="U834" s="2359"/>
      <c r="V834" s="2359"/>
      <c r="W834" s="2359"/>
      <c r="X834" s="97"/>
      <c r="Y834" s="107"/>
      <c r="Z834" s="97"/>
      <c r="AA834" s="107"/>
      <c r="AB834" s="97"/>
      <c r="AC834" s="107"/>
    </row>
    <row r="835" spans="1:29" ht="12.6" customHeight="1">
      <c r="A835" s="97"/>
      <c r="B835" s="98"/>
      <c r="C835" s="98"/>
      <c r="D835" s="97"/>
      <c r="E835" s="2361"/>
      <c r="F835" s="2359"/>
      <c r="G835" s="2359"/>
      <c r="H835" s="2359"/>
      <c r="I835" s="2359"/>
      <c r="J835" s="2359"/>
      <c r="K835" s="2359"/>
      <c r="L835" s="2359"/>
      <c r="M835" s="2359"/>
      <c r="N835" s="2359"/>
      <c r="O835" s="2359"/>
      <c r="P835" s="2359"/>
      <c r="Q835" s="2359"/>
      <c r="R835" s="2359"/>
      <c r="S835" s="2359"/>
      <c r="T835" s="2359"/>
      <c r="U835" s="2359"/>
      <c r="V835" s="2359"/>
      <c r="W835" s="2359"/>
      <c r="X835" s="97"/>
      <c r="Y835" s="107"/>
      <c r="Z835" s="97"/>
      <c r="AA835" s="107"/>
      <c r="AB835" s="97"/>
      <c r="AC835" s="107"/>
    </row>
    <row r="836" spans="1:29" ht="12.6" customHeight="1">
      <c r="A836" s="97"/>
      <c r="B836" s="98"/>
      <c r="C836" s="98"/>
      <c r="D836" s="97"/>
      <c r="E836" s="2361"/>
      <c r="F836" s="2359"/>
      <c r="G836" s="2359"/>
      <c r="H836" s="2359"/>
      <c r="I836" s="2359"/>
      <c r="J836" s="2359"/>
      <c r="K836" s="2359"/>
      <c r="L836" s="2359"/>
      <c r="M836" s="2359"/>
      <c r="N836" s="2359"/>
      <c r="O836" s="2359"/>
      <c r="P836" s="2359"/>
      <c r="Q836" s="2359"/>
      <c r="R836" s="2359"/>
      <c r="S836" s="2359"/>
      <c r="T836" s="2359"/>
      <c r="U836" s="2359"/>
      <c r="V836" s="2359"/>
      <c r="W836" s="2359"/>
      <c r="X836" s="97"/>
      <c r="Y836" s="106"/>
      <c r="Z836" s="97"/>
      <c r="AA836" s="107"/>
      <c r="AB836" s="97"/>
      <c r="AC836" s="107"/>
    </row>
    <row r="837" spans="1:29" ht="12.6" customHeight="1">
      <c r="A837" s="97"/>
      <c r="B837" s="98"/>
      <c r="C837" s="98"/>
      <c r="D837" s="97"/>
      <c r="E837" s="2361"/>
      <c r="F837" s="2359"/>
      <c r="G837" s="2359"/>
      <c r="H837" s="2359"/>
      <c r="I837" s="2359"/>
      <c r="J837" s="2359"/>
      <c r="K837" s="2359"/>
      <c r="L837" s="2359"/>
      <c r="M837" s="2359"/>
      <c r="N837" s="2359"/>
      <c r="O837" s="2359"/>
      <c r="P837" s="2359"/>
      <c r="Q837" s="2359"/>
      <c r="R837" s="2359"/>
      <c r="S837" s="2359"/>
      <c r="T837" s="2359"/>
      <c r="U837" s="2359"/>
      <c r="V837" s="2359"/>
      <c r="W837" s="2359"/>
      <c r="X837" s="97"/>
      <c r="Y837" s="105"/>
      <c r="Z837" s="97"/>
      <c r="AA837" s="106"/>
      <c r="AB837" s="97"/>
      <c r="AC837" s="106"/>
    </row>
    <row r="838" spans="1:29" ht="12.6" customHeight="1">
      <c r="A838" s="97"/>
      <c r="B838" s="98"/>
      <c r="C838" s="98"/>
      <c r="D838" s="97"/>
      <c r="E838" s="2361"/>
      <c r="F838" s="2359"/>
      <c r="G838" s="2359"/>
      <c r="H838" s="2359"/>
      <c r="I838" s="2359"/>
      <c r="J838" s="2359"/>
      <c r="K838" s="2359"/>
      <c r="L838" s="2359"/>
      <c r="M838" s="2359"/>
      <c r="N838" s="2359"/>
      <c r="O838" s="2359"/>
      <c r="P838" s="2359"/>
      <c r="Q838" s="2359"/>
      <c r="R838" s="2359"/>
      <c r="S838" s="2359"/>
      <c r="T838" s="2359"/>
      <c r="U838" s="2359"/>
      <c r="V838" s="2359"/>
      <c r="W838" s="2359"/>
      <c r="X838" s="97"/>
      <c r="Y838" s="103"/>
      <c r="Z838" s="97"/>
      <c r="AA838" s="105"/>
      <c r="AB838" s="97"/>
      <c r="AC838" s="105"/>
    </row>
    <row r="839" spans="1:29" ht="12.6" customHeight="1">
      <c r="A839" s="97"/>
      <c r="B839" s="98"/>
      <c r="C839" s="98"/>
      <c r="D839" s="97"/>
      <c r="E839" s="2361"/>
      <c r="F839" s="2359"/>
      <c r="G839" s="2359"/>
      <c r="H839" s="2359"/>
      <c r="I839" s="2359"/>
      <c r="J839" s="2359"/>
      <c r="K839" s="2359"/>
      <c r="L839" s="2359"/>
      <c r="M839" s="2359"/>
      <c r="N839" s="2359"/>
      <c r="O839" s="2359"/>
      <c r="P839" s="2359"/>
      <c r="Q839" s="2359"/>
      <c r="R839" s="2359"/>
      <c r="S839" s="2359"/>
      <c r="T839" s="2359"/>
      <c r="U839" s="2359"/>
      <c r="V839" s="2359"/>
      <c r="W839" s="2359"/>
      <c r="X839" s="97"/>
      <c r="Y839" s="103"/>
      <c r="Z839" s="97"/>
      <c r="AA839" s="103"/>
      <c r="AB839" s="97"/>
      <c r="AC839" s="103"/>
    </row>
    <row r="840" spans="1:29" ht="12.6" customHeight="1">
      <c r="A840" s="97"/>
      <c r="B840" s="98"/>
      <c r="C840" s="98"/>
      <c r="D840" s="97"/>
      <c r="E840" s="2361"/>
      <c r="F840" s="2359"/>
      <c r="G840" s="2359"/>
      <c r="H840" s="2359"/>
      <c r="I840" s="2359"/>
      <c r="J840" s="2359"/>
      <c r="K840" s="2359"/>
      <c r="L840" s="2359"/>
      <c r="M840" s="2359"/>
      <c r="N840" s="2359"/>
      <c r="O840" s="2359"/>
      <c r="P840" s="2359"/>
      <c r="Q840" s="2359"/>
      <c r="R840" s="2359"/>
      <c r="S840" s="2359"/>
      <c r="T840" s="2359"/>
      <c r="U840" s="2359"/>
      <c r="V840" s="2359"/>
      <c r="W840" s="2359"/>
      <c r="X840" s="97"/>
      <c r="Y840" s="102"/>
      <c r="Z840" s="97"/>
      <c r="AA840" s="103"/>
      <c r="AB840" s="97"/>
      <c r="AC840" s="103"/>
    </row>
    <row r="841" spans="1:29" ht="12.6" customHeight="1">
      <c r="A841" s="97"/>
      <c r="B841" s="98"/>
      <c r="C841" s="98"/>
      <c r="D841" s="97"/>
      <c r="E841" s="2361"/>
      <c r="F841" s="2359"/>
      <c r="G841" s="2359"/>
      <c r="H841" s="2359"/>
      <c r="I841" s="2359"/>
      <c r="J841" s="2359"/>
      <c r="K841" s="2359"/>
      <c r="L841" s="2359"/>
      <c r="M841" s="2359"/>
      <c r="N841" s="2359"/>
      <c r="O841" s="2359"/>
      <c r="P841" s="2359"/>
      <c r="Q841" s="2359"/>
      <c r="R841" s="2359"/>
      <c r="S841" s="2359"/>
      <c r="T841" s="2359"/>
      <c r="U841" s="2359"/>
      <c r="V841" s="2359"/>
      <c r="W841" s="2359"/>
      <c r="X841" s="97"/>
      <c r="Y841" s="108"/>
      <c r="Z841" s="97"/>
      <c r="AA841" s="102"/>
      <c r="AB841" s="97"/>
      <c r="AC841" s="102"/>
    </row>
    <row r="842" spans="1:29" ht="12.6" customHeight="1">
      <c r="A842" s="97"/>
      <c r="B842" s="98"/>
      <c r="C842" s="98"/>
      <c r="D842" s="97"/>
      <c r="E842" s="2361"/>
      <c r="F842" s="2359"/>
      <c r="G842" s="2359"/>
      <c r="H842" s="2359"/>
      <c r="I842" s="2359"/>
      <c r="J842" s="2359"/>
      <c r="K842" s="2359"/>
      <c r="L842" s="2359"/>
      <c r="M842" s="2359"/>
      <c r="N842" s="2359"/>
      <c r="O842" s="2359"/>
      <c r="P842" s="2359"/>
      <c r="Q842" s="2359"/>
      <c r="R842" s="2359"/>
      <c r="S842" s="2359"/>
      <c r="T842" s="2359"/>
      <c r="U842" s="2359"/>
      <c r="V842" s="2359"/>
      <c r="W842" s="2359"/>
      <c r="X842" s="97"/>
      <c r="Y842" s="107"/>
      <c r="Z842" s="97"/>
      <c r="AA842" s="108"/>
      <c r="AB842" s="97"/>
      <c r="AC842" s="108"/>
    </row>
    <row r="843" spans="1:29" ht="12.6" customHeight="1">
      <c r="A843" s="97"/>
      <c r="B843" s="98"/>
      <c r="C843" s="98"/>
      <c r="D843" s="97"/>
      <c r="E843" s="2361"/>
      <c r="F843" s="2359"/>
      <c r="G843" s="2359"/>
      <c r="H843" s="2359"/>
      <c r="I843" s="2359"/>
      <c r="J843" s="2359"/>
      <c r="K843" s="2359"/>
      <c r="L843" s="2359"/>
      <c r="M843" s="2359"/>
      <c r="N843" s="2359"/>
      <c r="O843" s="2359"/>
      <c r="P843" s="2359"/>
      <c r="Q843" s="2359"/>
      <c r="R843" s="2359"/>
      <c r="S843" s="2359"/>
      <c r="T843" s="2359"/>
      <c r="U843" s="2359"/>
      <c r="V843" s="2359"/>
      <c r="W843" s="2359"/>
      <c r="X843" s="97"/>
      <c r="Y843" s="107"/>
      <c r="Z843" s="97"/>
      <c r="AA843" s="107"/>
      <c r="AB843" s="97"/>
      <c r="AC843" s="107"/>
    </row>
    <row r="844" spans="1:29" ht="12.6" customHeight="1">
      <c r="A844" s="97"/>
      <c r="B844" s="98"/>
      <c r="C844" s="98"/>
      <c r="D844" s="97"/>
      <c r="E844" s="2361"/>
      <c r="F844" s="2359"/>
      <c r="G844" s="2359"/>
      <c r="H844" s="2359"/>
      <c r="I844" s="2359"/>
      <c r="J844" s="2359"/>
      <c r="K844" s="2359"/>
      <c r="L844" s="2359"/>
      <c r="M844" s="2359"/>
      <c r="N844" s="2359"/>
      <c r="O844" s="2359"/>
      <c r="P844" s="2359"/>
      <c r="Q844" s="2359"/>
      <c r="R844" s="2359"/>
      <c r="S844" s="2359"/>
      <c r="T844" s="2359"/>
      <c r="U844" s="2359"/>
      <c r="V844" s="2359"/>
      <c r="W844" s="2359"/>
      <c r="X844" s="97"/>
      <c r="Y844" s="107"/>
      <c r="Z844" s="97"/>
      <c r="AA844" s="107"/>
      <c r="AB844" s="97"/>
      <c r="AC844" s="107"/>
    </row>
    <row r="845" spans="1:29" ht="12.6" customHeight="1">
      <c r="A845" s="97"/>
      <c r="B845" s="98"/>
      <c r="C845" s="98"/>
      <c r="D845" s="97"/>
      <c r="E845" s="2361"/>
      <c r="F845" s="2359"/>
      <c r="G845" s="2359"/>
      <c r="H845" s="2359"/>
      <c r="I845" s="2359"/>
      <c r="J845" s="2359"/>
      <c r="K845" s="2359"/>
      <c r="L845" s="2359"/>
      <c r="M845" s="2359"/>
      <c r="N845" s="2359"/>
      <c r="O845" s="2359"/>
      <c r="P845" s="2359"/>
      <c r="Q845" s="2359"/>
      <c r="R845" s="2359"/>
      <c r="S845" s="2359"/>
      <c r="T845" s="2359"/>
      <c r="U845" s="2359"/>
      <c r="V845" s="2359"/>
      <c r="W845" s="2359"/>
      <c r="X845" s="97"/>
      <c r="Y845" s="107"/>
      <c r="Z845" s="97"/>
      <c r="AA845" s="107"/>
      <c r="AB845" s="97"/>
      <c r="AC845" s="107"/>
    </row>
    <row r="846" spans="1:29" ht="12.6" customHeight="1">
      <c r="A846" s="97"/>
      <c r="B846" s="98"/>
      <c r="C846" s="98"/>
      <c r="D846" s="97"/>
      <c r="E846" s="2361"/>
      <c r="F846" s="2359"/>
      <c r="G846" s="2359"/>
      <c r="H846" s="2359"/>
      <c r="I846" s="2359"/>
      <c r="J846" s="2359"/>
      <c r="K846" s="2359"/>
      <c r="L846" s="2359"/>
      <c r="M846" s="2359"/>
      <c r="N846" s="2359"/>
      <c r="O846" s="2359"/>
      <c r="P846" s="2359"/>
      <c r="Q846" s="2359"/>
      <c r="R846" s="2359"/>
      <c r="S846" s="2359"/>
      <c r="T846" s="2359"/>
      <c r="U846" s="2359"/>
      <c r="V846" s="2359"/>
      <c r="W846" s="2359"/>
      <c r="X846" s="97"/>
      <c r="Y846" s="107"/>
      <c r="Z846" s="97"/>
      <c r="AA846" s="107"/>
      <c r="AB846" s="97"/>
      <c r="AC846" s="107"/>
    </row>
    <row r="847" spans="1:29" ht="12.6" customHeight="1">
      <c r="A847" s="97"/>
      <c r="B847" s="98"/>
      <c r="C847" s="98"/>
      <c r="D847" s="97"/>
      <c r="E847" s="2361"/>
      <c r="F847" s="2359"/>
      <c r="G847" s="2359"/>
      <c r="H847" s="2359"/>
      <c r="I847" s="2359"/>
      <c r="J847" s="2359"/>
      <c r="K847" s="2359"/>
      <c r="L847" s="2359"/>
      <c r="M847" s="2359"/>
      <c r="N847" s="2359"/>
      <c r="O847" s="2359"/>
      <c r="P847" s="2359"/>
      <c r="Q847" s="2359"/>
      <c r="R847" s="2359"/>
      <c r="S847" s="2359"/>
      <c r="T847" s="2359"/>
      <c r="U847" s="2359"/>
      <c r="V847" s="2359"/>
      <c r="W847" s="2359"/>
      <c r="X847" s="97"/>
      <c r="Y847" s="107"/>
      <c r="Z847" s="97"/>
      <c r="AA847" s="107"/>
      <c r="AB847" s="97"/>
      <c r="AC847" s="107"/>
    </row>
    <row r="848" spans="1:29" ht="12.6" customHeight="1">
      <c r="A848" s="97"/>
      <c r="B848" s="98"/>
      <c r="C848" s="98"/>
      <c r="D848" s="97"/>
      <c r="E848" s="2361"/>
      <c r="F848" s="2359"/>
      <c r="G848" s="2359"/>
      <c r="H848" s="2359"/>
      <c r="I848" s="2359"/>
      <c r="J848" s="2359"/>
      <c r="K848" s="2359"/>
      <c r="L848" s="2359"/>
      <c r="M848" s="2359"/>
      <c r="N848" s="2359"/>
      <c r="O848" s="2359"/>
      <c r="P848" s="2359"/>
      <c r="Q848" s="2359"/>
      <c r="R848" s="2359"/>
      <c r="S848" s="2359"/>
      <c r="T848" s="2359"/>
      <c r="U848" s="2359"/>
      <c r="V848" s="2359"/>
      <c r="W848" s="2359"/>
      <c r="X848" s="97"/>
      <c r="Y848" s="107"/>
      <c r="Z848" s="97"/>
      <c r="AA848" s="107"/>
      <c r="AB848" s="97"/>
      <c r="AC848" s="107"/>
    </row>
    <row r="849" spans="1:29" ht="12.6" customHeight="1">
      <c r="A849" s="97"/>
      <c r="B849" s="98"/>
      <c r="C849" s="98"/>
      <c r="D849" s="97"/>
      <c r="E849" s="2361"/>
      <c r="F849" s="2359"/>
      <c r="G849" s="2359"/>
      <c r="H849" s="2359"/>
      <c r="I849" s="2359"/>
      <c r="J849" s="2359"/>
      <c r="K849" s="2359"/>
      <c r="L849" s="2359"/>
      <c r="M849" s="2359"/>
      <c r="N849" s="2359"/>
      <c r="O849" s="2359"/>
      <c r="P849" s="2359"/>
      <c r="Q849" s="2359"/>
      <c r="R849" s="2359"/>
      <c r="S849" s="2359"/>
      <c r="T849" s="2359"/>
      <c r="U849" s="2359"/>
      <c r="V849" s="2359"/>
      <c r="W849" s="2359"/>
      <c r="X849" s="97"/>
      <c r="Y849" s="106"/>
      <c r="Z849" s="97"/>
      <c r="AA849" s="107"/>
      <c r="AB849" s="97"/>
      <c r="AC849" s="107"/>
    </row>
    <row r="850" spans="1:29" ht="12.6" customHeight="1">
      <c r="A850" s="97"/>
      <c r="B850" s="98"/>
      <c r="C850" s="98"/>
      <c r="D850" s="97"/>
      <c r="E850" s="2361"/>
      <c r="F850" s="2359"/>
      <c r="G850" s="2359"/>
      <c r="H850" s="2359"/>
      <c r="I850" s="2359"/>
      <c r="J850" s="2359"/>
      <c r="K850" s="2359"/>
      <c r="L850" s="2359"/>
      <c r="M850" s="2359"/>
      <c r="N850" s="2359"/>
      <c r="O850" s="2359"/>
      <c r="P850" s="2359"/>
      <c r="Q850" s="2359"/>
      <c r="R850" s="2359"/>
      <c r="S850" s="2359"/>
      <c r="T850" s="2359"/>
      <c r="U850" s="2359"/>
      <c r="V850" s="2359"/>
      <c r="W850" s="2359"/>
      <c r="X850" s="97"/>
      <c r="Y850" s="105"/>
      <c r="Z850" s="97"/>
      <c r="AA850" s="106"/>
      <c r="AB850" s="97"/>
      <c r="AC850" s="106"/>
    </row>
    <row r="851" spans="1:29" ht="12.6" customHeight="1">
      <c r="A851" s="97"/>
      <c r="B851" s="98"/>
      <c r="C851" s="98"/>
      <c r="D851" s="97"/>
      <c r="E851" s="2361"/>
      <c r="F851" s="2359"/>
      <c r="G851" s="2359"/>
      <c r="H851" s="2359"/>
      <c r="I851" s="2359"/>
      <c r="J851" s="2359"/>
      <c r="K851" s="2359"/>
      <c r="L851" s="2359"/>
      <c r="M851" s="2359"/>
      <c r="N851" s="2359"/>
      <c r="O851" s="2359"/>
      <c r="P851" s="2359"/>
      <c r="Q851" s="2359"/>
      <c r="R851" s="2359"/>
      <c r="S851" s="2359"/>
      <c r="T851" s="2359"/>
      <c r="U851" s="2359"/>
      <c r="V851" s="2359"/>
      <c r="W851" s="2359"/>
      <c r="X851" s="97"/>
      <c r="Y851" s="104"/>
      <c r="Z851" s="97"/>
      <c r="AA851" s="105"/>
      <c r="AB851" s="97"/>
      <c r="AC851" s="105"/>
    </row>
    <row r="852" spans="1:29" ht="12.6" customHeight="1">
      <c r="A852" s="97"/>
      <c r="B852" s="98"/>
      <c r="C852" s="98"/>
      <c r="D852" s="97"/>
      <c r="E852" s="2361"/>
      <c r="F852" s="2359"/>
      <c r="G852" s="2359"/>
      <c r="H852" s="2359"/>
      <c r="I852" s="2359"/>
      <c r="J852" s="2359"/>
      <c r="K852" s="2359"/>
      <c r="L852" s="2359"/>
      <c r="M852" s="2359"/>
      <c r="N852" s="2359"/>
      <c r="O852" s="2359"/>
      <c r="P852" s="2359"/>
      <c r="Q852" s="2359"/>
      <c r="R852" s="2359"/>
      <c r="S852" s="2359"/>
      <c r="T852" s="2359"/>
      <c r="U852" s="2359"/>
      <c r="V852" s="2359"/>
      <c r="W852" s="2359"/>
      <c r="X852" s="97"/>
      <c r="Y852" s="104"/>
      <c r="Z852" s="97"/>
      <c r="AA852" s="104"/>
      <c r="AB852" s="97"/>
      <c r="AC852" s="104"/>
    </row>
    <row r="853" spans="1:29" ht="12.6" customHeight="1">
      <c r="A853" s="97"/>
      <c r="B853" s="98"/>
      <c r="C853" s="98"/>
      <c r="D853" s="97"/>
      <c r="E853" s="2361"/>
      <c r="F853" s="2359"/>
      <c r="G853" s="2359"/>
      <c r="H853" s="2359"/>
      <c r="I853" s="2359"/>
      <c r="J853" s="2359"/>
      <c r="K853" s="2359"/>
      <c r="L853" s="2359"/>
      <c r="M853" s="2359"/>
      <c r="N853" s="2359"/>
      <c r="O853" s="2359"/>
      <c r="P853" s="2359"/>
      <c r="Q853" s="2359"/>
      <c r="R853" s="2359"/>
      <c r="S853" s="2359"/>
      <c r="T853" s="2359"/>
      <c r="U853" s="2359"/>
      <c r="V853" s="2359"/>
      <c r="W853" s="2359"/>
      <c r="X853" s="97"/>
      <c r="Y853" s="104"/>
      <c r="Z853" s="97"/>
      <c r="AA853" s="104"/>
      <c r="AB853" s="97"/>
      <c r="AC853" s="104"/>
    </row>
    <row r="854" spans="1:29" ht="12.6" customHeight="1">
      <c r="A854" s="97"/>
      <c r="B854" s="98"/>
      <c r="C854" s="98"/>
      <c r="D854" s="97"/>
      <c r="E854" s="2361"/>
      <c r="F854" s="2359"/>
      <c r="G854" s="2359"/>
      <c r="H854" s="2359"/>
      <c r="I854" s="2359"/>
      <c r="J854" s="2359"/>
      <c r="K854" s="2359"/>
      <c r="L854" s="2359"/>
      <c r="M854" s="2359"/>
      <c r="N854" s="2359"/>
      <c r="O854" s="2359"/>
      <c r="P854" s="2359"/>
      <c r="Q854" s="2359"/>
      <c r="R854" s="2359"/>
      <c r="S854" s="2359"/>
      <c r="T854" s="2359"/>
      <c r="U854" s="2359"/>
      <c r="V854" s="2359"/>
      <c r="W854" s="2359"/>
      <c r="X854" s="97"/>
      <c r="Y854" s="103"/>
      <c r="Z854" s="97"/>
      <c r="AA854" s="104"/>
      <c r="AB854" s="97"/>
      <c r="AC854" s="104"/>
    </row>
    <row r="855" spans="1:29" ht="12.6" customHeight="1">
      <c r="A855" s="97"/>
      <c r="B855" s="98"/>
      <c r="C855" s="98"/>
      <c r="D855" s="97"/>
      <c r="E855" s="2361"/>
      <c r="F855" s="2359"/>
      <c r="G855" s="2359"/>
      <c r="H855" s="2359"/>
      <c r="I855" s="2359"/>
      <c r="J855" s="2359"/>
      <c r="K855" s="2359"/>
      <c r="L855" s="2359"/>
      <c r="M855" s="2359"/>
      <c r="N855" s="2359"/>
      <c r="O855" s="2359"/>
      <c r="P855" s="2359"/>
      <c r="Q855" s="2359"/>
      <c r="R855" s="2359"/>
      <c r="S855" s="2359"/>
      <c r="T855" s="2359"/>
      <c r="U855" s="2359"/>
      <c r="V855" s="2359"/>
      <c r="W855" s="2359"/>
      <c r="X855" s="97"/>
      <c r="Y855" s="104"/>
      <c r="Z855" s="97"/>
      <c r="AA855" s="103"/>
      <c r="AB855" s="97"/>
      <c r="AC855" s="103"/>
    </row>
    <row r="856" spans="1:29" ht="12.6" customHeight="1">
      <c r="A856" s="97"/>
      <c r="B856" s="98"/>
      <c r="C856" s="98"/>
      <c r="D856" s="97"/>
      <c r="E856" s="2361"/>
      <c r="F856" s="2359"/>
      <c r="G856" s="2359"/>
      <c r="H856" s="2359"/>
      <c r="I856" s="2359"/>
      <c r="J856" s="2359"/>
      <c r="K856" s="2359"/>
      <c r="L856" s="2359"/>
      <c r="M856" s="2359"/>
      <c r="N856" s="2359"/>
      <c r="O856" s="2359"/>
      <c r="P856" s="2359"/>
      <c r="Q856" s="2359"/>
      <c r="R856" s="2359"/>
      <c r="S856" s="2359"/>
      <c r="T856" s="2359"/>
      <c r="U856" s="2359"/>
      <c r="V856" s="2359"/>
      <c r="W856" s="2359"/>
      <c r="X856" s="97"/>
      <c r="Y856" s="104"/>
      <c r="Z856" s="97"/>
      <c r="AA856" s="104"/>
      <c r="AB856" s="97"/>
      <c r="AC856" s="104"/>
    </row>
    <row r="857" spans="1:29" ht="12.6" customHeight="1">
      <c r="A857" s="97"/>
      <c r="B857" s="98"/>
      <c r="C857" s="98"/>
      <c r="D857" s="97"/>
      <c r="E857" s="2361"/>
      <c r="F857" s="2359"/>
      <c r="G857" s="2359"/>
      <c r="H857" s="2359"/>
      <c r="I857" s="2359"/>
      <c r="J857" s="2359"/>
      <c r="K857" s="2359"/>
      <c r="L857" s="2359"/>
      <c r="M857" s="2359"/>
      <c r="N857" s="2359"/>
      <c r="O857" s="2359"/>
      <c r="P857" s="2359"/>
      <c r="Q857" s="2359"/>
      <c r="R857" s="2359"/>
      <c r="S857" s="2359"/>
      <c r="T857" s="2359"/>
      <c r="U857" s="2359"/>
      <c r="V857" s="2359"/>
      <c r="W857" s="2359"/>
      <c r="X857" s="97"/>
      <c r="Y857" s="104"/>
      <c r="Z857" s="97"/>
      <c r="AA857" s="104"/>
      <c r="AB857" s="97"/>
      <c r="AC857" s="104"/>
    </row>
    <row r="858" spans="1:29" ht="12.6" customHeight="1">
      <c r="A858" s="97"/>
      <c r="B858" s="98"/>
      <c r="C858" s="98"/>
      <c r="D858" s="97"/>
      <c r="E858" s="2361"/>
      <c r="F858" s="2359"/>
      <c r="G858" s="2359"/>
      <c r="H858" s="2359"/>
      <c r="I858" s="2359"/>
      <c r="J858" s="2359"/>
      <c r="K858" s="2359"/>
      <c r="L858" s="2359"/>
      <c r="M858" s="2359"/>
      <c r="N858" s="2359"/>
      <c r="O858" s="2359"/>
      <c r="P858" s="2359"/>
      <c r="Q858" s="2359"/>
      <c r="R858" s="2359"/>
      <c r="S858" s="2359"/>
      <c r="T858" s="2359"/>
      <c r="U858" s="2359"/>
      <c r="V858" s="2359"/>
      <c r="W858" s="2359"/>
      <c r="X858" s="97"/>
      <c r="Y858" s="104"/>
      <c r="Z858" s="97"/>
      <c r="AA858" s="104"/>
      <c r="AB858" s="97"/>
      <c r="AC858" s="104"/>
    </row>
    <row r="859" spans="1:29" ht="12.6" customHeight="1">
      <c r="A859" s="97"/>
      <c r="B859" s="98"/>
      <c r="C859" s="98"/>
      <c r="D859" s="97"/>
      <c r="E859" s="2361"/>
      <c r="F859" s="2359"/>
      <c r="G859" s="2359"/>
      <c r="H859" s="2359"/>
      <c r="I859" s="2359"/>
      <c r="J859" s="2359"/>
      <c r="K859" s="2359"/>
      <c r="L859" s="2359"/>
      <c r="M859" s="2359"/>
      <c r="N859" s="2359"/>
      <c r="O859" s="2359"/>
      <c r="P859" s="2359"/>
      <c r="Q859" s="2359"/>
      <c r="R859" s="2359"/>
      <c r="S859" s="2359"/>
      <c r="T859" s="2359"/>
      <c r="U859" s="2359"/>
      <c r="V859" s="2359"/>
      <c r="W859" s="2359"/>
      <c r="X859" s="97"/>
      <c r="Y859" s="104"/>
      <c r="Z859" s="97"/>
      <c r="AA859" s="104"/>
      <c r="AB859" s="97"/>
      <c r="AC859" s="104"/>
    </row>
    <row r="860" spans="1:29" ht="12.6" customHeight="1">
      <c r="A860" s="97"/>
      <c r="B860" s="98"/>
      <c r="C860" s="98"/>
      <c r="D860" s="97"/>
      <c r="E860" s="2361"/>
      <c r="F860" s="2359"/>
      <c r="G860" s="2359"/>
      <c r="H860" s="2359"/>
      <c r="I860" s="2359"/>
      <c r="J860" s="2359"/>
      <c r="K860" s="2359"/>
      <c r="L860" s="2359"/>
      <c r="M860" s="2359"/>
      <c r="N860" s="2359"/>
      <c r="O860" s="2359"/>
      <c r="P860" s="2359"/>
      <c r="Q860" s="2359"/>
      <c r="R860" s="2359"/>
      <c r="S860" s="2359"/>
      <c r="T860" s="2359"/>
      <c r="U860" s="2359"/>
      <c r="V860" s="2359"/>
      <c r="W860" s="2359"/>
      <c r="X860" s="97"/>
      <c r="Y860" s="104"/>
      <c r="Z860" s="97"/>
      <c r="AA860" s="104"/>
      <c r="AB860" s="97"/>
      <c r="AC860" s="104"/>
    </row>
    <row r="861" spans="1:29" ht="12.6" customHeight="1">
      <c r="A861" s="97"/>
      <c r="B861" s="98"/>
      <c r="C861" s="98"/>
      <c r="D861" s="97"/>
      <c r="E861" s="2361"/>
      <c r="F861" s="2359"/>
      <c r="G861" s="2359"/>
      <c r="H861" s="2359"/>
      <c r="I861" s="2359"/>
      <c r="J861" s="2359"/>
      <c r="K861" s="2359"/>
      <c r="L861" s="2359"/>
      <c r="M861" s="2359"/>
      <c r="N861" s="2359"/>
      <c r="O861" s="2359"/>
      <c r="P861" s="2359"/>
      <c r="Q861" s="2359"/>
      <c r="R861" s="2359"/>
      <c r="S861" s="2359"/>
      <c r="T861" s="2359"/>
      <c r="U861" s="2359"/>
      <c r="V861" s="2359"/>
      <c r="W861" s="2359"/>
      <c r="X861" s="97"/>
      <c r="Y861" s="104"/>
      <c r="Z861" s="97"/>
      <c r="AA861" s="104"/>
      <c r="AB861" s="97"/>
      <c r="AC861" s="104"/>
    </row>
    <row r="862" spans="1:29" ht="12.6" customHeight="1">
      <c r="A862" s="97"/>
      <c r="B862" s="98"/>
      <c r="C862" s="98"/>
      <c r="D862" s="97"/>
      <c r="E862" s="2361"/>
      <c r="F862" s="2359"/>
      <c r="G862" s="2359"/>
      <c r="H862" s="2359"/>
      <c r="I862" s="2359"/>
      <c r="J862" s="2359"/>
      <c r="K862" s="2359"/>
      <c r="L862" s="2359"/>
      <c r="M862" s="2359"/>
      <c r="N862" s="2359"/>
      <c r="O862" s="2359"/>
      <c r="P862" s="2359"/>
      <c r="Q862" s="2359"/>
      <c r="R862" s="2359"/>
      <c r="S862" s="2359"/>
      <c r="T862" s="2359"/>
      <c r="U862" s="2359"/>
      <c r="V862" s="2359"/>
      <c r="W862" s="2359"/>
      <c r="X862" s="97"/>
      <c r="Y862" s="104"/>
      <c r="Z862" s="97"/>
      <c r="AA862" s="104"/>
      <c r="AB862" s="97"/>
      <c r="AC862" s="104"/>
    </row>
    <row r="863" spans="1:29" ht="12.6" customHeight="1">
      <c r="A863" s="97"/>
      <c r="B863" s="98"/>
      <c r="C863" s="98"/>
      <c r="D863" s="97"/>
      <c r="E863" s="2361"/>
      <c r="F863" s="2359"/>
      <c r="G863" s="2359"/>
      <c r="H863" s="2359"/>
      <c r="I863" s="2359"/>
      <c r="J863" s="2359"/>
      <c r="K863" s="2359"/>
      <c r="L863" s="2359"/>
      <c r="M863" s="2359"/>
      <c r="N863" s="2359"/>
      <c r="O863" s="2359"/>
      <c r="P863" s="2359"/>
      <c r="Q863" s="2359"/>
      <c r="R863" s="2359"/>
      <c r="S863" s="2359"/>
      <c r="T863" s="2359"/>
      <c r="U863" s="2359"/>
      <c r="V863" s="2359"/>
      <c r="W863" s="2359"/>
      <c r="X863" s="97"/>
      <c r="Y863" s="104"/>
      <c r="Z863" s="97"/>
      <c r="AA863" s="104"/>
      <c r="AB863" s="97"/>
      <c r="AC863" s="104"/>
    </row>
    <row r="864" spans="1:29" ht="12.6" customHeight="1">
      <c r="A864" s="97"/>
      <c r="B864" s="98"/>
      <c r="C864" s="98"/>
      <c r="D864" s="97"/>
      <c r="E864" s="2361"/>
      <c r="F864" s="2359"/>
      <c r="G864" s="2359"/>
      <c r="H864" s="2359"/>
      <c r="I864" s="2359"/>
      <c r="J864" s="2359"/>
      <c r="K864" s="2359"/>
      <c r="L864" s="2359"/>
      <c r="M864" s="2359"/>
      <c r="N864" s="2359"/>
      <c r="O864" s="2359"/>
      <c r="P864" s="2359"/>
      <c r="Q864" s="2359"/>
      <c r="R864" s="2359"/>
      <c r="S864" s="2359"/>
      <c r="T864" s="2359"/>
      <c r="U864" s="2359"/>
      <c r="V864" s="2359"/>
      <c r="W864" s="2359"/>
      <c r="X864" s="97"/>
      <c r="Y864" s="104"/>
      <c r="Z864" s="97"/>
      <c r="AA864" s="104"/>
      <c r="AB864" s="97"/>
      <c r="AC864" s="104"/>
    </row>
    <row r="865" spans="1:29" ht="12.6" customHeight="1">
      <c r="A865" s="97"/>
      <c r="B865" s="98"/>
      <c r="C865" s="98"/>
      <c r="D865" s="97"/>
      <c r="E865" s="2361"/>
      <c r="F865" s="2359"/>
      <c r="G865" s="2359"/>
      <c r="H865" s="2359"/>
      <c r="I865" s="2359"/>
      <c r="J865" s="2359"/>
      <c r="K865" s="2359"/>
      <c r="L865" s="2359"/>
      <c r="M865" s="2359"/>
      <c r="N865" s="2359"/>
      <c r="O865" s="2359"/>
      <c r="P865" s="2359"/>
      <c r="Q865" s="2359"/>
      <c r="R865" s="2359"/>
      <c r="S865" s="2359"/>
      <c r="T865" s="2359"/>
      <c r="U865" s="2359"/>
      <c r="V865" s="2359"/>
      <c r="W865" s="2359"/>
      <c r="X865" s="97"/>
      <c r="Y865" s="104"/>
      <c r="Z865" s="97"/>
      <c r="AA865" s="104"/>
      <c r="AB865" s="97"/>
      <c r="AC865" s="104"/>
    </row>
    <row r="866" spans="1:29" ht="12.6" customHeight="1">
      <c r="A866" s="97"/>
      <c r="B866" s="98"/>
      <c r="C866" s="98"/>
      <c r="D866" s="97"/>
      <c r="E866" s="2361"/>
      <c r="F866" s="2359"/>
      <c r="G866" s="2359"/>
      <c r="H866" s="2359"/>
      <c r="I866" s="2359"/>
      <c r="J866" s="2359"/>
      <c r="K866" s="2359"/>
      <c r="L866" s="2359"/>
      <c r="M866" s="2359"/>
      <c r="N866" s="2359"/>
      <c r="O866" s="2359"/>
      <c r="P866" s="2359"/>
      <c r="Q866" s="2359"/>
      <c r="R866" s="2359"/>
      <c r="S866" s="2359"/>
      <c r="T866" s="2359"/>
      <c r="U866" s="2359"/>
      <c r="V866" s="2359"/>
      <c r="W866" s="2359"/>
      <c r="X866" s="97"/>
      <c r="Y866" s="104"/>
      <c r="Z866" s="97"/>
      <c r="AA866" s="104"/>
      <c r="AB866" s="97"/>
      <c r="AC866" s="104"/>
    </row>
    <row r="867" spans="1:29" ht="12.6" customHeight="1">
      <c r="A867" s="97"/>
      <c r="B867" s="98"/>
      <c r="C867" s="98"/>
      <c r="D867" s="97"/>
      <c r="E867" s="2361"/>
      <c r="F867" s="2359"/>
      <c r="G867" s="2359"/>
      <c r="H867" s="2359"/>
      <c r="I867" s="2359"/>
      <c r="J867" s="2359"/>
      <c r="K867" s="2359"/>
      <c r="L867" s="2359"/>
      <c r="M867" s="2359"/>
      <c r="N867" s="2359"/>
      <c r="O867" s="2359"/>
      <c r="P867" s="2359"/>
      <c r="Q867" s="2359"/>
      <c r="R867" s="2359"/>
      <c r="S867" s="2359"/>
      <c r="T867" s="2359"/>
      <c r="U867" s="2359"/>
      <c r="V867" s="2359"/>
      <c r="W867" s="2359"/>
      <c r="X867" s="97"/>
      <c r="Y867" s="104"/>
      <c r="Z867" s="97"/>
      <c r="AA867" s="104"/>
      <c r="AB867" s="97"/>
      <c r="AC867" s="104"/>
    </row>
    <row r="868" spans="1:29" ht="12.6" customHeight="1">
      <c r="A868" s="97"/>
      <c r="B868" s="98"/>
      <c r="C868" s="98"/>
      <c r="D868" s="97"/>
      <c r="E868" s="2361"/>
      <c r="F868" s="2359"/>
      <c r="G868" s="2359"/>
      <c r="H868" s="2359"/>
      <c r="I868" s="2359"/>
      <c r="J868" s="2359"/>
      <c r="K868" s="2359"/>
      <c r="L868" s="2359"/>
      <c r="M868" s="2359"/>
      <c r="N868" s="2359"/>
      <c r="O868" s="2359"/>
      <c r="P868" s="2359"/>
      <c r="Q868" s="2359"/>
      <c r="R868" s="2359"/>
      <c r="S868" s="2359"/>
      <c r="T868" s="2359"/>
      <c r="U868" s="2359"/>
      <c r="V868" s="2359"/>
      <c r="W868" s="2359"/>
      <c r="X868" s="97"/>
      <c r="Y868" s="103"/>
      <c r="Z868" s="97"/>
      <c r="AA868" s="104"/>
      <c r="AB868" s="97"/>
      <c r="AC868" s="104"/>
    </row>
    <row r="869" spans="1:29" ht="12.6" customHeight="1">
      <c r="A869" s="97"/>
      <c r="B869" s="98"/>
      <c r="C869" s="98"/>
      <c r="D869" s="97"/>
      <c r="E869" s="2361"/>
      <c r="F869" s="2359"/>
      <c r="G869" s="2359"/>
      <c r="H869" s="2359"/>
      <c r="I869" s="2359"/>
      <c r="J869" s="2359"/>
      <c r="K869" s="2359"/>
      <c r="L869" s="2359"/>
      <c r="M869" s="2359"/>
      <c r="N869" s="2359"/>
      <c r="O869" s="2359"/>
      <c r="P869" s="2359"/>
      <c r="Q869" s="2359"/>
      <c r="R869" s="2359"/>
      <c r="S869" s="2359"/>
      <c r="T869" s="2359"/>
      <c r="U869" s="2359"/>
      <c r="V869" s="2359"/>
      <c r="W869" s="2359"/>
      <c r="X869" s="97"/>
      <c r="Y869" s="103"/>
      <c r="Z869" s="97"/>
      <c r="AA869" s="103"/>
      <c r="AB869" s="97"/>
      <c r="AC869" s="103"/>
    </row>
    <row r="870" spans="1:29" ht="12.6" customHeight="1">
      <c r="A870" s="97"/>
      <c r="B870" s="98"/>
      <c r="C870" s="98"/>
      <c r="D870" s="97"/>
      <c r="E870" s="2361"/>
      <c r="F870" s="2359"/>
      <c r="G870" s="2359"/>
      <c r="H870" s="2359"/>
      <c r="I870" s="2359"/>
      <c r="J870" s="2359"/>
      <c r="K870" s="2359"/>
      <c r="L870" s="2359"/>
      <c r="M870" s="2359"/>
      <c r="N870" s="2359"/>
      <c r="O870" s="2359"/>
      <c r="P870" s="2359"/>
      <c r="Q870" s="2359"/>
      <c r="R870" s="2359"/>
      <c r="S870" s="2359"/>
      <c r="T870" s="2359"/>
      <c r="U870" s="2359"/>
      <c r="V870" s="2359"/>
      <c r="W870" s="2359"/>
      <c r="X870" s="97"/>
      <c r="Y870" s="103"/>
      <c r="Z870" s="97"/>
      <c r="AA870" s="103"/>
      <c r="AB870" s="97"/>
      <c r="AC870" s="103"/>
    </row>
    <row r="871" spans="1:29" ht="12.6" customHeight="1">
      <c r="A871" s="97"/>
      <c r="B871" s="98"/>
      <c r="C871" s="98"/>
      <c r="D871" s="97"/>
      <c r="E871" s="2361"/>
      <c r="F871" s="2359"/>
      <c r="G871" s="2359"/>
      <c r="H871" s="2359"/>
      <c r="I871" s="2359"/>
      <c r="J871" s="2359"/>
      <c r="K871" s="2359"/>
      <c r="L871" s="2359"/>
      <c r="M871" s="2359"/>
      <c r="N871" s="2359"/>
      <c r="O871" s="2359"/>
      <c r="P871" s="2359"/>
      <c r="Q871" s="2359"/>
      <c r="R871" s="2359"/>
      <c r="S871" s="2359"/>
      <c r="T871" s="2359"/>
      <c r="U871" s="2359"/>
      <c r="V871" s="2359"/>
      <c r="W871" s="2359"/>
      <c r="X871" s="97"/>
      <c r="Y871" s="103"/>
      <c r="Z871" s="97"/>
      <c r="AA871" s="103"/>
      <c r="AB871" s="97"/>
      <c r="AC871" s="103"/>
    </row>
    <row r="872" spans="1:29" ht="12.6" customHeight="1">
      <c r="A872" s="97"/>
      <c r="B872" s="98"/>
      <c r="C872" s="98"/>
      <c r="D872" s="97"/>
      <c r="E872" s="2361"/>
      <c r="F872" s="2359"/>
      <c r="G872" s="2359"/>
      <c r="H872" s="2359"/>
      <c r="I872" s="2359"/>
      <c r="J872" s="2359"/>
      <c r="K872" s="2359"/>
      <c r="L872" s="2359"/>
      <c r="M872" s="2359"/>
      <c r="N872" s="2359"/>
      <c r="O872" s="2359"/>
      <c r="P872" s="2359"/>
      <c r="Q872" s="2359"/>
      <c r="R872" s="2359"/>
      <c r="S872" s="2359"/>
      <c r="T872" s="2359"/>
      <c r="U872" s="2359"/>
      <c r="V872" s="2359"/>
      <c r="W872" s="2359"/>
      <c r="X872" s="97"/>
      <c r="Y872" s="103"/>
      <c r="Z872" s="97"/>
      <c r="AA872" s="103"/>
      <c r="AB872" s="97"/>
      <c r="AC872" s="103"/>
    </row>
    <row r="873" spans="1:29" ht="12.6" customHeight="1">
      <c r="A873" s="97"/>
      <c r="B873" s="98"/>
      <c r="C873" s="98"/>
      <c r="D873" s="97"/>
      <c r="E873" s="2361"/>
      <c r="F873" s="2359"/>
      <c r="G873" s="2359"/>
      <c r="H873" s="2359"/>
      <c r="I873" s="2359"/>
      <c r="J873" s="2359"/>
      <c r="K873" s="2359"/>
      <c r="L873" s="2359"/>
      <c r="M873" s="2359"/>
      <c r="N873" s="2359"/>
      <c r="O873" s="2359"/>
      <c r="P873" s="2359"/>
      <c r="Q873" s="2359"/>
      <c r="R873" s="2359"/>
      <c r="S873" s="2359"/>
      <c r="T873" s="2359"/>
      <c r="U873" s="2359"/>
      <c r="V873" s="2359"/>
      <c r="W873" s="2359"/>
      <c r="X873" s="97"/>
      <c r="Y873" s="103"/>
      <c r="Z873" s="97"/>
      <c r="AA873" s="103"/>
      <c r="AB873" s="97"/>
      <c r="AC873" s="103"/>
    </row>
    <row r="874" spans="1:29" ht="12.6" customHeight="1">
      <c r="A874" s="97"/>
      <c r="B874" s="98"/>
      <c r="C874" s="98"/>
      <c r="D874" s="97"/>
      <c r="E874" s="2361"/>
      <c r="F874" s="2359"/>
      <c r="G874" s="2359"/>
      <c r="H874" s="2359"/>
      <c r="I874" s="2359"/>
      <c r="J874" s="2359"/>
      <c r="K874" s="2359"/>
      <c r="L874" s="2359"/>
      <c r="M874" s="2359"/>
      <c r="N874" s="2359"/>
      <c r="O874" s="2359"/>
      <c r="P874" s="2359"/>
      <c r="Q874" s="2359"/>
      <c r="R874" s="2359"/>
      <c r="S874" s="2359"/>
      <c r="T874" s="2359"/>
      <c r="U874" s="2359"/>
      <c r="V874" s="2359"/>
      <c r="W874" s="2359"/>
      <c r="X874" s="97"/>
      <c r="Y874" s="103"/>
      <c r="Z874" s="97"/>
      <c r="AA874" s="103"/>
      <c r="AB874" s="97"/>
      <c r="AC874" s="103"/>
    </row>
    <row r="875" spans="1:29" ht="12.6" customHeight="1">
      <c r="A875" s="97"/>
      <c r="B875" s="98"/>
      <c r="C875" s="98"/>
      <c r="D875" s="97"/>
      <c r="E875" s="2361"/>
      <c r="F875" s="2359"/>
      <c r="G875" s="2359"/>
      <c r="H875" s="2359"/>
      <c r="I875" s="2359"/>
      <c r="J875" s="2359"/>
      <c r="K875" s="2359"/>
      <c r="L875" s="2359"/>
      <c r="M875" s="2359"/>
      <c r="N875" s="2359"/>
      <c r="O875" s="2359"/>
      <c r="P875" s="2359"/>
      <c r="Q875" s="2359"/>
      <c r="R875" s="2359"/>
      <c r="S875" s="2359"/>
      <c r="T875" s="2359"/>
      <c r="U875" s="2359"/>
      <c r="V875" s="2359"/>
      <c r="W875" s="2359"/>
      <c r="X875" s="97"/>
      <c r="Y875" s="103"/>
      <c r="Z875" s="97"/>
      <c r="AA875" s="103"/>
      <c r="AB875" s="97"/>
      <c r="AC875" s="103"/>
    </row>
    <row r="876" spans="1:29" ht="12.6" customHeight="1">
      <c r="W876" s="2359"/>
      <c r="Y876" s="103"/>
      <c r="Z876" s="97"/>
      <c r="AA876" s="103"/>
      <c r="AB876" s="97"/>
      <c r="AC876" s="103"/>
    </row>
    <row r="877" spans="1:29" ht="12.6" customHeight="1">
      <c r="Y877" s="102"/>
      <c r="AA877" s="103"/>
      <c r="AC877" s="103"/>
    </row>
    <row r="878" spans="1:29" ht="12.6" customHeight="1">
      <c r="AA878" s="102"/>
      <c r="AC878" s="102"/>
    </row>
  </sheetData>
  <sheetProtection formatCells="0" formatColumns="0" formatRows="0" insertColumns="0" insertRows="0" insertHyperlinks="0" deleteColumns="0" deleteRows="0" sort="0" autoFilter="0" pivotTables="0"/>
  <mergeCells count="730">
    <mergeCell ref="P6:Q6"/>
    <mergeCell ref="P4:Q4"/>
    <mergeCell ref="P8:Q8"/>
    <mergeCell ref="V523:V524"/>
    <mergeCell ref="W523:W524"/>
    <mergeCell ref="U529:U530"/>
    <mergeCell ref="V529:V530"/>
    <mergeCell ref="W529:W530"/>
    <mergeCell ref="N523:N524"/>
    <mergeCell ref="O523:O524"/>
    <mergeCell ref="P523:P524"/>
    <mergeCell ref="Q523:Q524"/>
    <mergeCell ref="R523:R524"/>
    <mergeCell ref="U523:U524"/>
    <mergeCell ref="W483:W484"/>
    <mergeCell ref="V494:V495"/>
    <mergeCell ref="W494:W495"/>
    <mergeCell ref="T477:T478"/>
    <mergeCell ref="U477:U478"/>
    <mergeCell ref="V477:V478"/>
    <mergeCell ref="W477:W478"/>
    <mergeCell ref="V483:V484"/>
    <mergeCell ref="U434:U435"/>
    <mergeCell ref="V434:V435"/>
    <mergeCell ref="V540:V541"/>
    <mergeCell ref="W540:W541"/>
    <mergeCell ref="N540:N541"/>
    <mergeCell ref="O540:O541"/>
    <mergeCell ref="P540:P541"/>
    <mergeCell ref="Q540:Q541"/>
    <mergeCell ref="R540:R541"/>
    <mergeCell ref="S540:S541"/>
    <mergeCell ref="T540:T541"/>
    <mergeCell ref="U540:U541"/>
    <mergeCell ref="E540:E541"/>
    <mergeCell ref="F540:F541"/>
    <mergeCell ref="G540:G541"/>
    <mergeCell ref="H540:H541"/>
    <mergeCell ref="I540:I541"/>
    <mergeCell ref="J540:J541"/>
    <mergeCell ref="K540:K541"/>
    <mergeCell ref="L540:L541"/>
    <mergeCell ref="M540:M541"/>
    <mergeCell ref="B529:D530"/>
    <mergeCell ref="E529:E530"/>
    <mergeCell ref="F529:F530"/>
    <mergeCell ref="G529:G530"/>
    <mergeCell ref="H529:H530"/>
    <mergeCell ref="I529:I530"/>
    <mergeCell ref="J529:J530"/>
    <mergeCell ref="K529:K530"/>
    <mergeCell ref="L529:L530"/>
    <mergeCell ref="M529:M530"/>
    <mergeCell ref="N529:N530"/>
    <mergeCell ref="O529:O530"/>
    <mergeCell ref="P529:P530"/>
    <mergeCell ref="Q529:Q530"/>
    <mergeCell ref="R529:R530"/>
    <mergeCell ref="S529:S530"/>
    <mergeCell ref="T529:T530"/>
    <mergeCell ref="S523:S524"/>
    <mergeCell ref="T523:T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B494:D495"/>
    <mergeCell ref="E494:E495"/>
    <mergeCell ref="F494:F495"/>
    <mergeCell ref="G494:G495"/>
    <mergeCell ref="H494:H495"/>
    <mergeCell ref="I494:I495"/>
    <mergeCell ref="J494:J495"/>
    <mergeCell ref="K494:K495"/>
    <mergeCell ref="L494:L495"/>
    <mergeCell ref="M494:M495"/>
    <mergeCell ref="N494:N495"/>
    <mergeCell ref="O494:O495"/>
    <mergeCell ref="P494:P495"/>
    <mergeCell ref="Q494:Q495"/>
    <mergeCell ref="R494:R495"/>
    <mergeCell ref="S494:S495"/>
    <mergeCell ref="T494:T495"/>
    <mergeCell ref="U494:U495"/>
    <mergeCell ref="B483:D484"/>
    <mergeCell ref="E483:E484"/>
    <mergeCell ref="F483:F484"/>
    <mergeCell ref="G483:G484"/>
    <mergeCell ref="H483:H484"/>
    <mergeCell ref="I483:I484"/>
    <mergeCell ref="J483:J484"/>
    <mergeCell ref="K483:K484"/>
    <mergeCell ref="L483:L484"/>
    <mergeCell ref="M483:M484"/>
    <mergeCell ref="N483:N484"/>
    <mergeCell ref="O483:O484"/>
    <mergeCell ref="P483:P484"/>
    <mergeCell ref="Q483:Q484"/>
    <mergeCell ref="R483:R484"/>
    <mergeCell ref="S483:S484"/>
    <mergeCell ref="T483:T484"/>
    <mergeCell ref="U483:U484"/>
    <mergeCell ref="L477:L478"/>
    <mergeCell ref="M477:M478"/>
    <mergeCell ref="N477:N478"/>
    <mergeCell ref="O477:O478"/>
    <mergeCell ref="P477:P478"/>
    <mergeCell ref="Q477:Q478"/>
    <mergeCell ref="R477:R478"/>
    <mergeCell ref="S477:S478"/>
    <mergeCell ref="B476:D476"/>
    <mergeCell ref="B477:D478"/>
    <mergeCell ref="E477:E478"/>
    <mergeCell ref="F477:F478"/>
    <mergeCell ref="G477:G478"/>
    <mergeCell ref="H477:H478"/>
    <mergeCell ref="I477:I478"/>
    <mergeCell ref="J477:J478"/>
    <mergeCell ref="K477:K478"/>
    <mergeCell ref="W434:W435"/>
    <mergeCell ref="N428:N429"/>
    <mergeCell ref="E445:E446"/>
    <mergeCell ref="F445:F446"/>
    <mergeCell ref="G445:G446"/>
    <mergeCell ref="H445:H446"/>
    <mergeCell ref="I445:I446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R445:R446"/>
    <mergeCell ref="S445:S446"/>
    <mergeCell ref="T445:T446"/>
    <mergeCell ref="U445:U446"/>
    <mergeCell ref="V445:V446"/>
    <mergeCell ref="W445:W446"/>
    <mergeCell ref="M434:M435"/>
    <mergeCell ref="N434:N435"/>
    <mergeCell ref="O434:O435"/>
    <mergeCell ref="P434:P435"/>
    <mergeCell ref="Q434:Q435"/>
    <mergeCell ref="R434:R435"/>
    <mergeCell ref="S434:S435"/>
    <mergeCell ref="T434:T435"/>
    <mergeCell ref="B434:D435"/>
    <mergeCell ref="E434:E435"/>
    <mergeCell ref="F434:F435"/>
    <mergeCell ref="G434:G435"/>
    <mergeCell ref="H434:H435"/>
    <mergeCell ref="I434:I435"/>
    <mergeCell ref="J434:J435"/>
    <mergeCell ref="K434:K435"/>
    <mergeCell ref="L434:L435"/>
    <mergeCell ref="E428:E429"/>
    <mergeCell ref="F428:F429"/>
    <mergeCell ref="G428:G429"/>
    <mergeCell ref="H428:H429"/>
    <mergeCell ref="I428:I429"/>
    <mergeCell ref="J428:J429"/>
    <mergeCell ref="K428:K429"/>
    <mergeCell ref="L428:L429"/>
    <mergeCell ref="M428:M429"/>
    <mergeCell ref="U402:U403"/>
    <mergeCell ref="V402:V403"/>
    <mergeCell ref="W402:W403"/>
    <mergeCell ref="N391:N392"/>
    <mergeCell ref="O428:O429"/>
    <mergeCell ref="P428:P429"/>
    <mergeCell ref="Q428:Q429"/>
    <mergeCell ref="R428:R429"/>
    <mergeCell ref="S428:S429"/>
    <mergeCell ref="T428:T429"/>
    <mergeCell ref="U428:U429"/>
    <mergeCell ref="V428:V429"/>
    <mergeCell ref="W428:W429"/>
    <mergeCell ref="M402:M403"/>
    <mergeCell ref="N402:N403"/>
    <mergeCell ref="O402:O403"/>
    <mergeCell ref="P402:P403"/>
    <mergeCell ref="Q402:Q403"/>
    <mergeCell ref="R402:R403"/>
    <mergeCell ref="S402:S403"/>
    <mergeCell ref="T402:T403"/>
    <mergeCell ref="B402:D403"/>
    <mergeCell ref="E402:E403"/>
    <mergeCell ref="F402:F403"/>
    <mergeCell ref="G402:G403"/>
    <mergeCell ref="H402:H403"/>
    <mergeCell ref="I402:I403"/>
    <mergeCell ref="J402:J403"/>
    <mergeCell ref="K402:K403"/>
    <mergeCell ref="L402:L403"/>
    <mergeCell ref="E391:E392"/>
    <mergeCell ref="F391:F392"/>
    <mergeCell ref="G391:G392"/>
    <mergeCell ref="H391:H392"/>
    <mergeCell ref="I391:I392"/>
    <mergeCell ref="J391:J392"/>
    <mergeCell ref="K391:K392"/>
    <mergeCell ref="L391:L392"/>
    <mergeCell ref="M391:M392"/>
    <mergeCell ref="U385:U386"/>
    <mergeCell ref="V385:V386"/>
    <mergeCell ref="W385:W386"/>
    <mergeCell ref="O391:O392"/>
    <mergeCell ref="P391:P392"/>
    <mergeCell ref="Q391:Q392"/>
    <mergeCell ref="R391:R392"/>
    <mergeCell ref="S391:S392"/>
    <mergeCell ref="T391:T392"/>
    <mergeCell ref="U391:U392"/>
    <mergeCell ref="V391:V392"/>
    <mergeCell ref="W391:W392"/>
    <mergeCell ref="M385:M386"/>
    <mergeCell ref="N385:N386"/>
    <mergeCell ref="O385:O386"/>
    <mergeCell ref="P385:P386"/>
    <mergeCell ref="Q385:Q386"/>
    <mergeCell ref="R385:R386"/>
    <mergeCell ref="S385:S386"/>
    <mergeCell ref="T385:T386"/>
    <mergeCell ref="B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V341:V342"/>
    <mergeCell ref="W341:W342"/>
    <mergeCell ref="E352:E353"/>
    <mergeCell ref="F352:F353"/>
    <mergeCell ref="G352:G353"/>
    <mergeCell ref="H352:H353"/>
    <mergeCell ref="I352:I353"/>
    <mergeCell ref="J352:J353"/>
    <mergeCell ref="K352:K353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T352:T353"/>
    <mergeCell ref="U352:U353"/>
    <mergeCell ref="V352:V353"/>
    <mergeCell ref="W352:W353"/>
    <mergeCell ref="N341:N342"/>
    <mergeCell ref="O341:O342"/>
    <mergeCell ref="P341:P342"/>
    <mergeCell ref="Q341:Q342"/>
    <mergeCell ref="R341:R342"/>
    <mergeCell ref="S341:S342"/>
    <mergeCell ref="T341:T342"/>
    <mergeCell ref="U341:U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V304:V305"/>
    <mergeCell ref="W304:W305"/>
    <mergeCell ref="B334:D334"/>
    <mergeCell ref="B335:D336"/>
    <mergeCell ref="E335:E336"/>
    <mergeCell ref="F335:F336"/>
    <mergeCell ref="G335:G336"/>
    <mergeCell ref="H335:H336"/>
    <mergeCell ref="I335:I336"/>
    <mergeCell ref="J335:J336"/>
    <mergeCell ref="K335:K336"/>
    <mergeCell ref="L335:L336"/>
    <mergeCell ref="M335:M336"/>
    <mergeCell ref="N335:N336"/>
    <mergeCell ref="O335:O336"/>
    <mergeCell ref="P335:P336"/>
    <mergeCell ref="Q335:Q336"/>
    <mergeCell ref="R335:R336"/>
    <mergeCell ref="S335:S336"/>
    <mergeCell ref="T335:T336"/>
    <mergeCell ref="U335:U336"/>
    <mergeCell ref="V335:V336"/>
    <mergeCell ref="W335:W336"/>
    <mergeCell ref="N304:N305"/>
    <mergeCell ref="O304:O305"/>
    <mergeCell ref="P304:P305"/>
    <mergeCell ref="Q304:Q305"/>
    <mergeCell ref="R304:R305"/>
    <mergeCell ref="S304:S305"/>
    <mergeCell ref="T304:T305"/>
    <mergeCell ref="U304:U305"/>
    <mergeCell ref="E304:E305"/>
    <mergeCell ref="F304:F305"/>
    <mergeCell ref="G304:G305"/>
    <mergeCell ref="H304:H305"/>
    <mergeCell ref="I304:I305"/>
    <mergeCell ref="J304:J305"/>
    <mergeCell ref="K304:K305"/>
    <mergeCell ref="L304:L305"/>
    <mergeCell ref="M304:M305"/>
    <mergeCell ref="V287:V288"/>
    <mergeCell ref="W287:W288"/>
    <mergeCell ref="B293:D294"/>
    <mergeCell ref="E293:E294"/>
    <mergeCell ref="F293:F294"/>
    <mergeCell ref="G293:G294"/>
    <mergeCell ref="H293:H294"/>
    <mergeCell ref="I293:I294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R293:R294"/>
    <mergeCell ref="S293:S294"/>
    <mergeCell ref="T293:T294"/>
    <mergeCell ref="U293:U294"/>
    <mergeCell ref="V293:V294"/>
    <mergeCell ref="W293:W294"/>
    <mergeCell ref="N287:N288"/>
    <mergeCell ref="O287:O288"/>
    <mergeCell ref="P287:P288"/>
    <mergeCell ref="Q287:Q288"/>
    <mergeCell ref="R287:R288"/>
    <mergeCell ref="S287:S288"/>
    <mergeCell ref="T287:T288"/>
    <mergeCell ref="U287:U288"/>
    <mergeCell ref="E287:E288"/>
    <mergeCell ref="F287:F288"/>
    <mergeCell ref="G287:G288"/>
    <mergeCell ref="H287:H288"/>
    <mergeCell ref="I287:I288"/>
    <mergeCell ref="J287:J288"/>
    <mergeCell ref="K287:K288"/>
    <mergeCell ref="L287:L288"/>
    <mergeCell ref="M287:M288"/>
    <mergeCell ref="W245:W246"/>
    <mergeCell ref="B256:D257"/>
    <mergeCell ref="E256:E257"/>
    <mergeCell ref="F256:F257"/>
    <mergeCell ref="G256:G257"/>
    <mergeCell ref="H256:H257"/>
    <mergeCell ref="I256:I257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S256:S257"/>
    <mergeCell ref="T256:T257"/>
    <mergeCell ref="U256:U257"/>
    <mergeCell ref="V256:V257"/>
    <mergeCell ref="W256:W257"/>
    <mergeCell ref="O245:O246"/>
    <mergeCell ref="P245:P246"/>
    <mergeCell ref="S245:S246"/>
    <mergeCell ref="T245:T246"/>
    <mergeCell ref="U245:U246"/>
    <mergeCell ref="V245:V246"/>
    <mergeCell ref="F245:F246"/>
    <mergeCell ref="G245:G246"/>
    <mergeCell ref="H245:H246"/>
    <mergeCell ref="I245:I246"/>
    <mergeCell ref="J245:J246"/>
    <mergeCell ref="K245:K246"/>
    <mergeCell ref="L245:L246"/>
    <mergeCell ref="M245:M246"/>
    <mergeCell ref="N245:N246"/>
    <mergeCell ref="E239:E240"/>
    <mergeCell ref="F239:F240"/>
    <mergeCell ref="G239:G240"/>
    <mergeCell ref="H239:H240"/>
    <mergeCell ref="I239:I240"/>
    <mergeCell ref="J239:J240"/>
    <mergeCell ref="K239:K240"/>
    <mergeCell ref="Q245:Q246"/>
    <mergeCell ref="R245:R246"/>
    <mergeCell ref="L239:L240"/>
    <mergeCell ref="M239:M240"/>
    <mergeCell ref="N239:N240"/>
    <mergeCell ref="O239:O240"/>
    <mergeCell ref="P239:P240"/>
    <mergeCell ref="Q239:Q240"/>
    <mergeCell ref="R239:R240"/>
    <mergeCell ref="E245:E246"/>
    <mergeCell ref="S239:S240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M230:M231"/>
    <mergeCell ref="N230:N231"/>
    <mergeCell ref="O196:O197"/>
    <mergeCell ref="P196:P197"/>
    <mergeCell ref="Q196:Q197"/>
    <mergeCell ref="R196:R197"/>
    <mergeCell ref="S196:S197"/>
    <mergeCell ref="O230:O231"/>
    <mergeCell ref="P230:P231"/>
    <mergeCell ref="Q230:Q231"/>
    <mergeCell ref="R230:R231"/>
    <mergeCell ref="S230:S231"/>
    <mergeCell ref="E230:E231"/>
    <mergeCell ref="F230:F231"/>
    <mergeCell ref="T239:T240"/>
    <mergeCell ref="U239:U240"/>
    <mergeCell ref="V239:V240"/>
    <mergeCell ref="W239:W240"/>
    <mergeCell ref="W155:W156"/>
    <mergeCell ref="T196:T197"/>
    <mergeCell ref="U196:U197"/>
    <mergeCell ref="W230:W231"/>
    <mergeCell ref="T230:T231"/>
    <mergeCell ref="U230:U231"/>
    <mergeCell ref="V230:V231"/>
    <mergeCell ref="M155:M156"/>
    <mergeCell ref="N155:N156"/>
    <mergeCell ref="V196:V197"/>
    <mergeCell ref="W196:W197"/>
    <mergeCell ref="O155:O156"/>
    <mergeCell ref="P155:P156"/>
    <mergeCell ref="Q155:Q156"/>
    <mergeCell ref="R155:R156"/>
    <mergeCell ref="S155:S156"/>
    <mergeCell ref="T155:T156"/>
    <mergeCell ref="U155:U156"/>
    <mergeCell ref="V155:V156"/>
    <mergeCell ref="W190:W191"/>
    <mergeCell ref="U190:U191"/>
    <mergeCell ref="V190:V191"/>
    <mergeCell ref="W186:W187"/>
    <mergeCell ref="O186:O187"/>
    <mergeCell ref="P186:P187"/>
    <mergeCell ref="N196:N197"/>
    <mergeCell ref="T186:T187"/>
    <mergeCell ref="U186:U187"/>
    <mergeCell ref="V186:V187"/>
    <mergeCell ref="M190:M191"/>
    <mergeCell ref="N190:N191"/>
    <mergeCell ref="R116:R117"/>
    <mergeCell ref="S116:S117"/>
    <mergeCell ref="T116:T117"/>
    <mergeCell ref="N149:N150"/>
    <mergeCell ref="O149:O150"/>
    <mergeCell ref="P149:P150"/>
    <mergeCell ref="Q149:Q150"/>
    <mergeCell ref="R149:R150"/>
    <mergeCell ref="S149:S150"/>
    <mergeCell ref="S186:S187"/>
    <mergeCell ref="U110:U111"/>
    <mergeCell ref="V110:V111"/>
    <mergeCell ref="W110:W111"/>
    <mergeCell ref="M110:M111"/>
    <mergeCell ref="M186:M187"/>
    <mergeCell ref="N186:N187"/>
    <mergeCell ref="N110:N111"/>
    <mergeCell ref="O110:O111"/>
    <mergeCell ref="P110:P111"/>
    <mergeCell ref="Q110:Q111"/>
    <mergeCell ref="R110:R111"/>
    <mergeCell ref="S110:S111"/>
    <mergeCell ref="T110:T111"/>
    <mergeCell ref="M149:M150"/>
    <mergeCell ref="V116:V117"/>
    <mergeCell ref="W116:W117"/>
    <mergeCell ref="U149:U150"/>
    <mergeCell ref="V149:V150"/>
    <mergeCell ref="W149:W150"/>
    <mergeCell ref="T149:T150"/>
    <mergeCell ref="O116:O117"/>
    <mergeCell ref="P116:P117"/>
    <mergeCell ref="Q116:Q117"/>
    <mergeCell ref="G230:G231"/>
    <mergeCell ref="H230:H231"/>
    <mergeCell ref="I230:I231"/>
    <mergeCell ref="J230:J231"/>
    <mergeCell ref="K230:K231"/>
    <mergeCell ref="L230:L231"/>
    <mergeCell ref="U116:U117"/>
    <mergeCell ref="O190:O191"/>
    <mergeCell ref="P190:P191"/>
    <mergeCell ref="Q190:Q191"/>
    <mergeCell ref="R190:R191"/>
    <mergeCell ref="S190:S191"/>
    <mergeCell ref="T190:T191"/>
    <mergeCell ref="G190:G191"/>
    <mergeCell ref="H190:H191"/>
    <mergeCell ref="I190:I191"/>
    <mergeCell ref="J190:J191"/>
    <mergeCell ref="K190:K191"/>
    <mergeCell ref="L149:L150"/>
    <mergeCell ref="M116:M117"/>
    <mergeCell ref="N116:N117"/>
    <mergeCell ref="L186:L187"/>
    <mergeCell ref="Q186:Q187"/>
    <mergeCell ref="R186:R187"/>
    <mergeCell ref="J149:J150"/>
    <mergeCell ref="K149:K150"/>
    <mergeCell ref="F186:F187"/>
    <mergeCell ref="G186:G187"/>
    <mergeCell ref="H186:H187"/>
    <mergeCell ref="I186:I187"/>
    <mergeCell ref="J186:J187"/>
    <mergeCell ref="B155:D156"/>
    <mergeCell ref="E155:E156"/>
    <mergeCell ref="B149:D150"/>
    <mergeCell ref="E149:E150"/>
    <mergeCell ref="F155:F156"/>
    <mergeCell ref="G155:G156"/>
    <mergeCell ref="K186:K187"/>
    <mergeCell ref="F190:F191"/>
    <mergeCell ref="H155:H156"/>
    <mergeCell ref="L190:L191"/>
    <mergeCell ref="I155:I156"/>
    <mergeCell ref="J155:J156"/>
    <mergeCell ref="K155:K156"/>
    <mergeCell ref="L155:L156"/>
    <mergeCell ref="L110:L111"/>
    <mergeCell ref="B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E110:E111"/>
    <mergeCell ref="B186:D187"/>
    <mergeCell ref="E186:E187"/>
    <mergeCell ref="F149:F150"/>
    <mergeCell ref="G149:G150"/>
    <mergeCell ref="H149:H150"/>
    <mergeCell ref="I149:I150"/>
    <mergeCell ref="B391:D392"/>
    <mergeCell ref="B427:D427"/>
    <mergeCell ref="F110:F111"/>
    <mergeCell ref="G110:G111"/>
    <mergeCell ref="H110:H111"/>
    <mergeCell ref="I110:I111"/>
    <mergeCell ref="T20:T21"/>
    <mergeCell ref="U20:U21"/>
    <mergeCell ref="V20:V21"/>
    <mergeCell ref="E20:E21"/>
    <mergeCell ref="F20:F21"/>
    <mergeCell ref="G20:G21"/>
    <mergeCell ref="H20:H21"/>
    <mergeCell ref="I20:I21"/>
    <mergeCell ref="Q55:Q56"/>
    <mergeCell ref="R55:R56"/>
    <mergeCell ref="B58:D58"/>
    <mergeCell ref="B55:D56"/>
    <mergeCell ref="E55:E56"/>
    <mergeCell ref="B189:D189"/>
    <mergeCell ref="B190:D191"/>
    <mergeCell ref="E190:E191"/>
    <mergeCell ref="J110:J111"/>
    <mergeCell ref="K110:K111"/>
    <mergeCell ref="B428:D429"/>
    <mergeCell ref="B445:D446"/>
    <mergeCell ref="B522:D522"/>
    <mergeCell ref="B523:D524"/>
    <mergeCell ref="B540:D541"/>
    <mergeCell ref="B5:C5"/>
    <mergeCell ref="B3:C3"/>
    <mergeCell ref="B148:D148"/>
    <mergeCell ref="B20:D21"/>
    <mergeCell ref="B12:D12"/>
    <mergeCell ref="B245:D246"/>
    <mergeCell ref="B109:D109"/>
    <mergeCell ref="B110:D111"/>
    <mergeCell ref="B230:D231"/>
    <mergeCell ref="B196:D197"/>
    <mergeCell ref="B238:D238"/>
    <mergeCell ref="B239:D240"/>
    <mergeCell ref="B304:D305"/>
    <mergeCell ref="B341:D342"/>
    <mergeCell ref="B384:D384"/>
    <mergeCell ref="B286:D286"/>
    <mergeCell ref="B65:D66"/>
    <mergeCell ref="B287:D288"/>
    <mergeCell ref="B352:D353"/>
    <mergeCell ref="W20:W21"/>
    <mergeCell ref="O20:O21"/>
    <mergeCell ref="P20:P21"/>
    <mergeCell ref="Q20:Q21"/>
    <mergeCell ref="R20:R21"/>
    <mergeCell ref="S20:S21"/>
    <mergeCell ref="J20:J21"/>
    <mergeCell ref="K20:K21"/>
    <mergeCell ref="L20:L21"/>
    <mergeCell ref="M20:M21"/>
    <mergeCell ref="N20:N21"/>
    <mergeCell ref="W13:W14"/>
    <mergeCell ref="S13:S14"/>
    <mergeCell ref="T13:T14"/>
    <mergeCell ref="U13:U14"/>
    <mergeCell ref="V13:V14"/>
    <mergeCell ref="B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P65:P66"/>
    <mergeCell ref="Q65:Q66"/>
    <mergeCell ref="R59:R60"/>
    <mergeCell ref="S59:S60"/>
    <mergeCell ref="T59:T60"/>
    <mergeCell ref="U59:U60"/>
    <mergeCell ref="M59:M60"/>
    <mergeCell ref="N59:N60"/>
    <mergeCell ref="W55:W56"/>
    <mergeCell ref="V55:V56"/>
    <mergeCell ref="O59:O60"/>
    <mergeCell ref="P59:P60"/>
    <mergeCell ref="Q59:Q60"/>
    <mergeCell ref="S55:S56"/>
    <mergeCell ref="T55:T56"/>
    <mergeCell ref="U55:U56"/>
    <mergeCell ref="M55:M56"/>
    <mergeCell ref="N55:N56"/>
    <mergeCell ref="O55:O56"/>
    <mergeCell ref="P55:P56"/>
    <mergeCell ref="I65:I66"/>
    <mergeCell ref="J65:J66"/>
    <mergeCell ref="K65:K66"/>
    <mergeCell ref="L65:L66"/>
    <mergeCell ref="B9:D9"/>
    <mergeCell ref="M65:M66"/>
    <mergeCell ref="N65:N66"/>
    <mergeCell ref="O65:O66"/>
    <mergeCell ref="B59:D60"/>
    <mergeCell ref="E59:E60"/>
    <mergeCell ref="F59:F60"/>
    <mergeCell ref="G59:G60"/>
    <mergeCell ref="H59:H60"/>
    <mergeCell ref="I59:I60"/>
    <mergeCell ref="J59:J60"/>
    <mergeCell ref="K59:K60"/>
    <mergeCell ref="L59:L60"/>
    <mergeCell ref="F55:F56"/>
    <mergeCell ref="G55:G56"/>
    <mergeCell ref="H55:H56"/>
    <mergeCell ref="E65:E66"/>
    <mergeCell ref="F65:F66"/>
    <mergeCell ref="W105:W106"/>
    <mergeCell ref="Q105:Q106"/>
    <mergeCell ref="R105:R106"/>
    <mergeCell ref="S105:S106"/>
    <mergeCell ref="T105:T106"/>
    <mergeCell ref="B105:D106"/>
    <mergeCell ref="E105:E106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O105:O106"/>
    <mergeCell ref="P105:P106"/>
    <mergeCell ref="U105:U106"/>
    <mergeCell ref="V105:V106"/>
    <mergeCell ref="G65:G66"/>
    <mergeCell ref="H65:H66"/>
    <mergeCell ref="P1:Q1"/>
    <mergeCell ref="H1:J1"/>
    <mergeCell ref="B6:D6"/>
    <mergeCell ref="B7:D7"/>
    <mergeCell ref="B8:D8"/>
    <mergeCell ref="P9:Q9"/>
    <mergeCell ref="V65:V66"/>
    <mergeCell ref="W65:W66"/>
    <mergeCell ref="B11:D11"/>
    <mergeCell ref="E1:G1"/>
    <mergeCell ref="P3:Q3"/>
    <mergeCell ref="P5:Q5"/>
    <mergeCell ref="T65:T66"/>
    <mergeCell ref="U65:U66"/>
    <mergeCell ref="V59:V60"/>
    <mergeCell ref="I55:I56"/>
    <mergeCell ref="J55:J56"/>
    <mergeCell ref="K55:K56"/>
    <mergeCell ref="L55:L56"/>
    <mergeCell ref="P2:Q2"/>
    <mergeCell ref="R65:R66"/>
    <mergeCell ref="S65:S66"/>
    <mergeCell ref="W59:W60"/>
    <mergeCell ref="P7:Q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629"/>
  <sheetViews>
    <sheetView workbookViewId="0">
      <pane ySplit="6" topLeftCell="A603" activePane="bottomLeft" state="frozen"/>
      <selection activeCell="J211" sqref="J211"/>
      <selection pane="bottomLeft" activeCell="F634" sqref="F634"/>
    </sheetView>
  </sheetViews>
  <sheetFormatPr defaultColWidth="9.109375" defaultRowHeight="13.8"/>
  <cols>
    <col min="1" max="1" width="10.88671875" style="1308" customWidth="1"/>
    <col min="2" max="2" width="20.109375" style="1302" customWidth="1"/>
    <col min="3" max="3" width="6.88671875" style="1307" customWidth="1"/>
    <col min="4" max="10" width="13" style="1304" customWidth="1"/>
    <col min="11" max="11" width="13" style="1303" customWidth="1"/>
    <col min="12" max="13" width="13" style="1304" customWidth="1"/>
    <col min="14" max="14" width="13" style="1306" customWidth="1"/>
    <col min="15" max="15" width="12.6640625" style="1305" customWidth="1"/>
    <col min="16" max="16" width="8.6640625" style="1305" customWidth="1"/>
    <col min="17" max="17" width="8.6640625" style="1304" customWidth="1"/>
    <col min="18" max="21" width="8.6640625" style="1303" customWidth="1"/>
    <col min="22" max="35" width="8.6640625" style="1302" customWidth="1"/>
    <col min="36" max="16384" width="9.109375" style="1302"/>
  </cols>
  <sheetData>
    <row r="1" spans="1:35" ht="12.75" customHeight="1">
      <c r="A1" s="2754" t="s">
        <v>1212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5"/>
      <c r="O1" s="1375"/>
      <c r="P1" s="1375"/>
      <c r="Q1" s="1374"/>
      <c r="R1" s="1373"/>
      <c r="S1" s="1373"/>
      <c r="T1" s="1373"/>
      <c r="U1" s="1373"/>
      <c r="V1" s="1372"/>
      <c r="W1" s="1372"/>
      <c r="X1" s="1372"/>
      <c r="Y1" s="1372"/>
      <c r="Z1" s="1372"/>
      <c r="AA1" s="1372"/>
      <c r="AB1" s="1372"/>
      <c r="AC1" s="1372"/>
      <c r="AD1" s="1372"/>
      <c r="AE1" s="1372"/>
      <c r="AF1" s="1372"/>
      <c r="AG1" s="1372"/>
      <c r="AH1" s="1372"/>
      <c r="AI1" s="1372"/>
    </row>
    <row r="2" spans="1:35">
      <c r="A2" s="1359"/>
      <c r="B2" s="1358"/>
      <c r="C2" s="1365" t="s">
        <v>1211</v>
      </c>
      <c r="D2" s="1354"/>
      <c r="E2" s="1354"/>
      <c r="F2" s="1354"/>
      <c r="G2" s="1354" t="s">
        <v>1210</v>
      </c>
      <c r="H2" s="2753" t="s">
        <v>1209</v>
      </c>
      <c r="I2" s="2753"/>
      <c r="J2" s="2752" t="s">
        <v>1208</v>
      </c>
      <c r="K2" s="2752"/>
      <c r="L2" s="1355"/>
      <c r="M2" s="1354" t="s">
        <v>1207</v>
      </c>
      <c r="N2" s="1354"/>
      <c r="O2" s="1371" t="s">
        <v>1206</v>
      </c>
      <c r="P2" s="1370" t="s">
        <v>1184</v>
      </c>
      <c r="Q2" s="1369" t="s">
        <v>111</v>
      </c>
      <c r="R2" s="1369" t="s">
        <v>550</v>
      </c>
      <c r="S2" s="1369" t="s">
        <v>613</v>
      </c>
      <c r="T2" s="1369" t="s">
        <v>1101</v>
      </c>
      <c r="U2" s="1368" t="s">
        <v>706</v>
      </c>
      <c r="V2" s="1368" t="s">
        <v>1205</v>
      </c>
      <c r="W2" s="1368" t="s">
        <v>1204</v>
      </c>
      <c r="X2" s="1368" t="s">
        <v>1203</v>
      </c>
      <c r="Y2" s="1368" t="s">
        <v>1202</v>
      </c>
      <c r="Z2" s="1368" t="s">
        <v>1201</v>
      </c>
      <c r="AA2" s="1368" t="s">
        <v>1200</v>
      </c>
      <c r="AB2" s="1368" t="s">
        <v>1199</v>
      </c>
      <c r="AC2" s="1368" t="s">
        <v>1198</v>
      </c>
      <c r="AD2" s="1368" t="s">
        <v>1197</v>
      </c>
      <c r="AE2" s="1368" t="s">
        <v>1196</v>
      </c>
      <c r="AF2" s="1368" t="s">
        <v>1195</v>
      </c>
      <c r="AG2" s="1368" t="s">
        <v>1194</v>
      </c>
      <c r="AH2" s="1368" t="s">
        <v>1193</v>
      </c>
    </row>
    <row r="3" spans="1:35" s="1360" customFormat="1">
      <c r="A3" s="1359"/>
      <c r="B3" s="1358" t="s">
        <v>1114</v>
      </c>
      <c r="C3" s="1365" t="s">
        <v>1192</v>
      </c>
      <c r="D3" s="1354" t="s">
        <v>1191</v>
      </c>
      <c r="E3" s="1354" t="s">
        <v>1190</v>
      </c>
      <c r="F3" s="1354" t="s">
        <v>1189</v>
      </c>
      <c r="G3" s="1354" t="s">
        <v>1185</v>
      </c>
      <c r="H3" s="1354" t="s">
        <v>1188</v>
      </c>
      <c r="I3" s="1354" t="s">
        <v>1187</v>
      </c>
      <c r="J3" s="1364" t="s">
        <v>1186</v>
      </c>
      <c r="K3" s="1364" t="s">
        <v>567</v>
      </c>
      <c r="L3" s="1354" t="s">
        <v>1185</v>
      </c>
      <c r="M3" s="1354">
        <f ca="1">$I$6/365</f>
        <v>22.612456747404845</v>
      </c>
      <c r="N3" s="1354">
        <f>57000/365</f>
        <v>156.16438356164383</v>
      </c>
      <c r="O3" s="1367">
        <f>G577/1000</f>
        <v>37.44107317073189</v>
      </c>
      <c r="P3" s="1366">
        <v>50</v>
      </c>
      <c r="Q3" s="1366">
        <v>57</v>
      </c>
      <c r="R3" s="1366"/>
      <c r="S3" s="1366"/>
      <c r="T3" s="1366"/>
      <c r="U3" s="1366">
        <v>58</v>
      </c>
      <c r="V3" s="1366">
        <v>77</v>
      </c>
      <c r="W3" s="1366">
        <v>70</v>
      </c>
      <c r="X3" s="1366">
        <v>71</v>
      </c>
      <c r="Y3" s="1366">
        <v>75</v>
      </c>
      <c r="Z3" s="1366">
        <v>67</v>
      </c>
      <c r="AA3" s="1366">
        <v>79</v>
      </c>
      <c r="AB3" s="1366"/>
      <c r="AC3" s="1366">
        <v>98</v>
      </c>
      <c r="AD3" s="1366">
        <v>101</v>
      </c>
      <c r="AE3" s="1366">
        <v>96</v>
      </c>
      <c r="AF3" s="1366">
        <v>106</v>
      </c>
      <c r="AG3" s="1366">
        <v>100</v>
      </c>
      <c r="AH3" s="1366">
        <v>104</v>
      </c>
    </row>
    <row r="4" spans="1:35" s="1360" customFormat="1">
      <c r="A4" s="1359"/>
      <c r="B4" s="1358"/>
      <c r="C4" s="1365"/>
      <c r="D4" s="1354"/>
      <c r="E4" s="1354"/>
      <c r="F4" s="1354"/>
      <c r="G4" s="1354"/>
      <c r="H4" s="1354"/>
      <c r="I4" s="1354"/>
      <c r="J4" s="1364"/>
      <c r="K4" s="1364"/>
      <c r="L4" s="1354"/>
      <c r="M4" s="1354"/>
      <c r="N4" s="1354"/>
      <c r="O4" s="1363"/>
      <c r="P4" s="1362">
        <f>'2021'!E147</f>
        <v>1106.0899999999999</v>
      </c>
      <c r="Q4" s="1362">
        <f>'2020'!D132</f>
        <v>1113</v>
      </c>
      <c r="R4" s="1362">
        <f>'2019'!D196</f>
        <v>2323.88</v>
      </c>
      <c r="S4" s="1362">
        <f>'2018-'!H51</f>
        <v>1824.85</v>
      </c>
      <c r="T4" s="1362">
        <f>'2017'!H58</f>
        <v>842.92</v>
      </c>
      <c r="U4" s="1362"/>
      <c r="V4" s="1362"/>
      <c r="W4" s="1362"/>
      <c r="X4" s="1362"/>
      <c r="Y4" s="1361"/>
      <c r="Z4" s="1361"/>
      <c r="AA4" s="1361"/>
      <c r="AB4" s="1361"/>
      <c r="AC4" s="1361"/>
      <c r="AD4" s="1361"/>
      <c r="AE4" s="1361"/>
      <c r="AF4" s="1361"/>
      <c r="AG4" s="1361"/>
      <c r="AH4" s="1361"/>
    </row>
    <row r="5" spans="1:35" s="1360" customFormat="1">
      <c r="A5" s="1359"/>
      <c r="B5" s="1358"/>
      <c r="C5" s="1365"/>
      <c r="D5" s="1354"/>
      <c r="E5" s="1354"/>
      <c r="F5" s="1354"/>
      <c r="G5" s="1354"/>
      <c r="H5" s="1354"/>
      <c r="I5" s="1354"/>
      <c r="J5" s="1364"/>
      <c r="K5" s="1364"/>
      <c r="L5" s="1354"/>
      <c r="M5" s="1354"/>
      <c r="N5" s="1354"/>
      <c r="O5" s="1363"/>
      <c r="P5" s="1362">
        <f>'2021'!E504</f>
        <v>1252.79</v>
      </c>
      <c r="Q5" s="1362">
        <f>'2020'!D493</f>
        <v>1209.47</v>
      </c>
      <c r="R5" s="1362">
        <f>'2019'!D577</f>
        <v>2139.06</v>
      </c>
      <c r="S5" s="1362">
        <f>'2018-'!H153</f>
        <v>1782.27</v>
      </c>
      <c r="T5" s="1362">
        <f>'2017'!H194</f>
        <v>1663.17</v>
      </c>
      <c r="U5" s="1362"/>
      <c r="V5" s="1362"/>
      <c r="W5" s="1362"/>
      <c r="X5" s="1362"/>
      <c r="Y5" s="1361"/>
      <c r="Z5" s="1361"/>
      <c r="AA5" s="1361"/>
      <c r="AB5" s="1361"/>
      <c r="AC5" s="1361"/>
      <c r="AD5" s="1361"/>
      <c r="AE5" s="1361"/>
      <c r="AF5" s="1361"/>
      <c r="AG5" s="1361"/>
      <c r="AH5" s="1361"/>
    </row>
    <row r="6" spans="1:35">
      <c r="A6" s="1359"/>
      <c r="B6" s="1358"/>
      <c r="C6" s="1357">
        <f ca="1">(TODAY()-$B$212)</f>
        <v>867</v>
      </c>
      <c r="D6" s="1354"/>
      <c r="E6" s="1354"/>
      <c r="F6" s="1354"/>
      <c r="G6" s="1354">
        <f>MAX($G$213:$G$393)</f>
        <v>19605</v>
      </c>
      <c r="H6" s="1354">
        <f ca="1">G6/C6</f>
        <v>22.612456747404845</v>
      </c>
      <c r="I6" s="1354">
        <f ca="1">H6*365</f>
        <v>8253.5467128027685</v>
      </c>
      <c r="J6" s="1356"/>
      <c r="K6" s="1356"/>
      <c r="L6" s="1355"/>
      <c r="M6" s="1354"/>
      <c r="N6" s="1354"/>
      <c r="O6" s="1353">
        <f ca="1">R38</f>
        <v>1478.7862795198962</v>
      </c>
      <c r="P6" s="1352">
        <f>SUM(P4:P5)</f>
        <v>2358.88</v>
      </c>
      <c r="Q6" s="1352">
        <f>SUM(Q4:Q5)</f>
        <v>2322.4700000000003</v>
      </c>
      <c r="R6" s="1352">
        <f>SUM(R4:R5)</f>
        <v>4462.9400000000005</v>
      </c>
      <c r="S6" s="1352">
        <f>SUM(S4:S5)</f>
        <v>3607.12</v>
      </c>
      <c r="T6" s="1352">
        <f>SUM(T4:T5)</f>
        <v>2506.09</v>
      </c>
      <c r="U6" s="1352">
        <v>3234.99</v>
      </c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  <c r="AF6" s="1352"/>
      <c r="AG6" s="1352"/>
      <c r="AH6" s="1352"/>
    </row>
    <row r="7" spans="1:35" ht="16.5" customHeight="1">
      <c r="A7" s="1328"/>
      <c r="B7" s="1327">
        <v>44356</v>
      </c>
      <c r="C7" s="1326">
        <v>0</v>
      </c>
      <c r="D7" s="1323">
        <v>437550</v>
      </c>
      <c r="E7" s="1335">
        <v>437550</v>
      </c>
      <c r="F7" s="1323">
        <f t="shared" ref="F7:F70" si="0">E7-D7</f>
        <v>0</v>
      </c>
      <c r="G7" s="1323">
        <f t="shared" ref="G7:G70" si="1">E7-$E$7</f>
        <v>0</v>
      </c>
      <c r="H7" s="1323">
        <f>G7/C8</f>
        <v>0</v>
      </c>
      <c r="I7" s="1323"/>
      <c r="J7" s="1323"/>
      <c r="K7" s="1338"/>
      <c r="L7" s="1323"/>
      <c r="M7" s="1323"/>
      <c r="N7" s="1323"/>
      <c r="O7" s="1347" t="s">
        <v>1184</v>
      </c>
      <c r="P7" s="1351"/>
      <c r="Q7" s="1347"/>
      <c r="R7" s="1347"/>
      <c r="S7" s="1347"/>
      <c r="T7" s="1302"/>
      <c r="U7" s="1302"/>
    </row>
    <row r="8" spans="1:35" ht="15.6">
      <c r="A8" s="1328"/>
      <c r="B8" s="1327">
        <v>44357</v>
      </c>
      <c r="C8" s="1326">
        <v>1</v>
      </c>
      <c r="D8" s="1323">
        <v>437550</v>
      </c>
      <c r="E8" s="1325">
        <v>437760</v>
      </c>
      <c r="F8" s="1322">
        <f t="shared" si="0"/>
        <v>210</v>
      </c>
      <c r="G8" s="1322">
        <f t="shared" si="1"/>
        <v>210</v>
      </c>
      <c r="H8" s="1322">
        <f t="shared" ref="H8:H71" si="2">G8/C8</f>
        <v>210</v>
      </c>
      <c r="I8" s="1322">
        <f t="shared" ref="I8:I71" si="3">G8/C8*365</f>
        <v>76650</v>
      </c>
      <c r="J8" s="1324">
        <f t="shared" ref="J8:J39" ca="1" si="4">F7:F8/$M$3</f>
        <v>9.2869166029074215</v>
      </c>
      <c r="K8" s="1340">
        <f t="shared" ref="K8:K71" si="5">I8/570</f>
        <v>134.47368421052633</v>
      </c>
      <c r="L8" s="1323">
        <f t="shared" ref="L8:L71" si="6">E8-411000</f>
        <v>26760</v>
      </c>
      <c r="M8" s="1322"/>
      <c r="N8" s="1322"/>
      <c r="O8" s="1346" t="s">
        <v>1179</v>
      </c>
      <c r="P8" s="1345">
        <v>50</v>
      </c>
      <c r="Q8" s="1344">
        <v>7.5</v>
      </c>
      <c r="R8" s="1344">
        <f>P8*Q8</f>
        <v>375</v>
      </c>
      <c r="S8" s="1344"/>
      <c r="T8" s="1302"/>
      <c r="U8" s="1302"/>
    </row>
    <row r="9" spans="1:35" ht="15.6">
      <c r="A9" s="1328"/>
      <c r="B9" s="1327">
        <v>44358</v>
      </c>
      <c r="C9" s="1326">
        <v>2</v>
      </c>
      <c r="D9" s="1323">
        <v>437760</v>
      </c>
      <c r="E9" s="1325">
        <v>438040</v>
      </c>
      <c r="F9" s="1322">
        <f t="shared" si="0"/>
        <v>280</v>
      </c>
      <c r="G9" s="1322">
        <f t="shared" si="1"/>
        <v>490</v>
      </c>
      <c r="H9" s="1322">
        <f t="shared" si="2"/>
        <v>245</v>
      </c>
      <c r="I9" s="1322">
        <f t="shared" si="3"/>
        <v>89425</v>
      </c>
      <c r="J9" s="1324">
        <f t="shared" ca="1" si="4"/>
        <v>12.382555470543227</v>
      </c>
      <c r="K9" s="1340">
        <f t="shared" si="5"/>
        <v>156.88596491228071</v>
      </c>
      <c r="L9" s="1323">
        <f t="shared" si="6"/>
        <v>27040</v>
      </c>
      <c r="M9" s="1322"/>
      <c r="N9" s="1322"/>
      <c r="O9" s="1346" t="s">
        <v>1178</v>
      </c>
      <c r="P9" s="1345">
        <v>50</v>
      </c>
      <c r="Q9" s="1344">
        <v>6.37</v>
      </c>
      <c r="R9" s="1344">
        <f>P9*Q9</f>
        <v>318.5</v>
      </c>
      <c r="S9" s="1344"/>
      <c r="T9" s="1302"/>
    </row>
    <row r="10" spans="1:35" ht="15.6">
      <c r="A10" s="1328"/>
      <c r="B10" s="1327">
        <v>44359</v>
      </c>
      <c r="C10" s="1326">
        <v>3</v>
      </c>
      <c r="D10" s="1323">
        <v>438040</v>
      </c>
      <c r="E10" s="1325">
        <v>438170</v>
      </c>
      <c r="F10" s="1322">
        <f t="shared" si="0"/>
        <v>130</v>
      </c>
      <c r="G10" s="1322">
        <f t="shared" si="1"/>
        <v>620</v>
      </c>
      <c r="H10" s="1322">
        <f t="shared" si="2"/>
        <v>206.66666666666666</v>
      </c>
      <c r="I10" s="1322">
        <f t="shared" si="3"/>
        <v>75433.333333333328</v>
      </c>
      <c r="J10" s="1324">
        <f t="shared" ca="1" si="4"/>
        <v>5.7490436113236418</v>
      </c>
      <c r="K10" s="1340">
        <f t="shared" si="5"/>
        <v>132.33918128654969</v>
      </c>
      <c r="L10" s="1323">
        <f t="shared" si="6"/>
        <v>27170</v>
      </c>
      <c r="M10" s="1322"/>
      <c r="N10" s="1322"/>
      <c r="O10" s="1346" t="s">
        <v>1177</v>
      </c>
      <c r="P10" s="1345">
        <v>50</v>
      </c>
      <c r="Q10" s="1344">
        <v>0</v>
      </c>
      <c r="R10" s="1344">
        <f>P10*Q10</f>
        <v>0</v>
      </c>
      <c r="S10" s="1344"/>
      <c r="T10" s="1302"/>
    </row>
    <row r="11" spans="1:35" ht="15.6">
      <c r="A11" s="1328"/>
      <c r="B11" s="1327">
        <v>44360</v>
      </c>
      <c r="C11" s="1326">
        <v>4</v>
      </c>
      <c r="D11" s="1323">
        <v>438170</v>
      </c>
      <c r="E11" s="1325">
        <v>438260</v>
      </c>
      <c r="F11" s="1322">
        <f t="shared" si="0"/>
        <v>90</v>
      </c>
      <c r="G11" s="1322">
        <f t="shared" si="1"/>
        <v>710</v>
      </c>
      <c r="H11" s="1322">
        <f t="shared" si="2"/>
        <v>177.5</v>
      </c>
      <c r="I11" s="1322">
        <f t="shared" si="3"/>
        <v>64787.5</v>
      </c>
      <c r="J11" s="1324">
        <f t="shared" ca="1" si="4"/>
        <v>3.980107115531752</v>
      </c>
      <c r="K11" s="1340">
        <f t="shared" si="5"/>
        <v>113.66228070175438</v>
      </c>
      <c r="L11" s="1323">
        <f t="shared" si="6"/>
        <v>27260</v>
      </c>
      <c r="M11" s="1322"/>
      <c r="N11" s="1322"/>
      <c r="O11" s="1346" t="s">
        <v>1176</v>
      </c>
      <c r="P11" s="1345"/>
      <c r="Q11" s="1344"/>
      <c r="R11" s="1344">
        <v>525</v>
      </c>
      <c r="S11" s="1344"/>
      <c r="T11" s="1302"/>
    </row>
    <row r="12" spans="1:35" ht="15.6">
      <c r="A12" s="1328"/>
      <c r="B12" s="1327">
        <v>44361</v>
      </c>
      <c r="C12" s="1326">
        <v>5</v>
      </c>
      <c r="D12" s="1323">
        <v>438260</v>
      </c>
      <c r="E12" s="1325">
        <v>438500</v>
      </c>
      <c r="F12" s="1322">
        <f t="shared" si="0"/>
        <v>240</v>
      </c>
      <c r="G12" s="1322">
        <f t="shared" si="1"/>
        <v>950</v>
      </c>
      <c r="H12" s="1322">
        <f t="shared" si="2"/>
        <v>190</v>
      </c>
      <c r="I12" s="1322">
        <f t="shared" si="3"/>
        <v>69350</v>
      </c>
      <c r="J12" s="1324">
        <f t="shared" ca="1" si="4"/>
        <v>10.613618974751338</v>
      </c>
      <c r="K12" s="1340">
        <f t="shared" si="5"/>
        <v>121.66666666666667</v>
      </c>
      <c r="L12" s="1323">
        <f t="shared" si="6"/>
        <v>27500</v>
      </c>
      <c r="M12" s="1322"/>
      <c r="N12" s="1322"/>
      <c r="O12" s="1346" t="s">
        <v>1175</v>
      </c>
      <c r="P12" s="1345"/>
      <c r="Q12" s="1344"/>
      <c r="R12" s="1344">
        <v>150</v>
      </c>
      <c r="S12" s="1344"/>
      <c r="T12" s="1302"/>
    </row>
    <row r="13" spans="1:35" ht="15.6">
      <c r="A13" s="1328"/>
      <c r="B13" s="1327">
        <v>44362</v>
      </c>
      <c r="C13" s="1326">
        <v>6</v>
      </c>
      <c r="D13" s="1323">
        <v>438500</v>
      </c>
      <c r="E13" s="1325">
        <v>438658</v>
      </c>
      <c r="F13" s="1322">
        <f t="shared" si="0"/>
        <v>158</v>
      </c>
      <c r="G13" s="1322">
        <f t="shared" si="1"/>
        <v>1108</v>
      </c>
      <c r="H13" s="1322">
        <f t="shared" si="2"/>
        <v>184.66666666666666</v>
      </c>
      <c r="I13" s="1322">
        <f t="shared" si="3"/>
        <v>67403.333333333328</v>
      </c>
      <c r="J13" s="1324">
        <f t="shared" ca="1" si="4"/>
        <v>6.9872991583779642</v>
      </c>
      <c r="K13" s="1340">
        <f t="shared" si="5"/>
        <v>118.25146198830409</v>
      </c>
      <c r="L13" s="1323">
        <f t="shared" si="6"/>
        <v>27658</v>
      </c>
      <c r="M13" s="1322"/>
      <c r="N13" s="1322"/>
      <c r="O13" s="1346" t="s">
        <v>41</v>
      </c>
      <c r="P13" s="1345"/>
      <c r="Q13" s="1344"/>
      <c r="R13" s="1344">
        <f>SUM(R8:R12)</f>
        <v>1368.5</v>
      </c>
      <c r="S13" s="1344"/>
      <c r="T13" s="1302"/>
    </row>
    <row r="14" spans="1:35" ht="15.6">
      <c r="A14" s="1328"/>
      <c r="B14" s="1327">
        <v>44363</v>
      </c>
      <c r="C14" s="1326">
        <v>7</v>
      </c>
      <c r="D14" s="1323">
        <v>438658</v>
      </c>
      <c r="E14" s="1325">
        <v>438841</v>
      </c>
      <c r="F14" s="1322">
        <f t="shared" si="0"/>
        <v>183</v>
      </c>
      <c r="G14" s="1322">
        <f t="shared" si="1"/>
        <v>1291</v>
      </c>
      <c r="H14" s="1322">
        <f t="shared" si="2"/>
        <v>184.42857142857142</v>
      </c>
      <c r="I14" s="1322">
        <f t="shared" si="3"/>
        <v>67316.428571428565</v>
      </c>
      <c r="J14" s="1324">
        <f t="shared" ca="1" si="4"/>
        <v>8.0928844682478953</v>
      </c>
      <c r="K14" s="1340">
        <f t="shared" si="5"/>
        <v>118.09899749373433</v>
      </c>
      <c r="L14" s="1323">
        <f t="shared" si="6"/>
        <v>27841</v>
      </c>
      <c r="M14" s="1322"/>
      <c r="N14" s="1322"/>
      <c r="O14" s="1346" t="s">
        <v>1174</v>
      </c>
      <c r="P14" s="1345"/>
      <c r="Q14" s="1344"/>
      <c r="R14" s="1344">
        <f>R13*0.25</f>
        <v>342.125</v>
      </c>
      <c r="S14" s="1344"/>
      <c r="T14" s="1302"/>
    </row>
    <row r="15" spans="1:35" ht="15.6">
      <c r="A15" s="1328"/>
      <c r="B15" s="1327">
        <v>44364</v>
      </c>
      <c r="C15" s="1326">
        <v>8</v>
      </c>
      <c r="D15" s="1323">
        <v>438841</v>
      </c>
      <c r="E15" s="1325">
        <v>438929</v>
      </c>
      <c r="F15" s="1322">
        <f t="shared" si="0"/>
        <v>88</v>
      </c>
      <c r="G15" s="1322">
        <f t="shared" si="1"/>
        <v>1379</v>
      </c>
      <c r="H15" s="1322">
        <f t="shared" si="2"/>
        <v>172.375</v>
      </c>
      <c r="I15" s="1322">
        <f t="shared" si="3"/>
        <v>62916.875</v>
      </c>
      <c r="J15" s="1324">
        <f t="shared" ca="1" si="4"/>
        <v>3.8916602907421574</v>
      </c>
      <c r="K15" s="1340">
        <f t="shared" si="5"/>
        <v>110.38048245614036</v>
      </c>
      <c r="L15" s="1323">
        <f t="shared" si="6"/>
        <v>27929</v>
      </c>
      <c r="M15" s="1322"/>
      <c r="N15" s="1322"/>
      <c r="O15" s="1346"/>
      <c r="P15" s="1345"/>
      <c r="Q15" s="1344"/>
      <c r="R15" s="1344">
        <f>SUM(R13:R14)</f>
        <v>1710.625</v>
      </c>
      <c r="S15" s="1344"/>
      <c r="T15" s="1302"/>
    </row>
    <row r="16" spans="1:35" ht="15.6">
      <c r="A16" s="1328"/>
      <c r="B16" s="1327">
        <v>44365</v>
      </c>
      <c r="C16" s="1326">
        <v>9</v>
      </c>
      <c r="D16" s="1323">
        <f t="shared" ref="D16:D79" si="7">E15</f>
        <v>438929</v>
      </c>
      <c r="E16" s="1325">
        <v>438979</v>
      </c>
      <c r="F16" s="1322">
        <f t="shared" si="0"/>
        <v>50</v>
      </c>
      <c r="G16" s="1322">
        <f t="shared" si="1"/>
        <v>1429</v>
      </c>
      <c r="H16" s="1322">
        <f t="shared" si="2"/>
        <v>158.77777777777777</v>
      </c>
      <c r="I16" s="1322">
        <f t="shared" si="3"/>
        <v>57953.888888888883</v>
      </c>
      <c r="J16" s="1324">
        <f t="shared" ca="1" si="4"/>
        <v>2.2111706197398622</v>
      </c>
      <c r="K16" s="1340">
        <f t="shared" si="5"/>
        <v>101.67348927875243</v>
      </c>
      <c r="L16" s="1323">
        <f t="shared" si="6"/>
        <v>27979</v>
      </c>
      <c r="M16" s="1322"/>
      <c r="N16" s="1322"/>
      <c r="O16" s="1346" t="s">
        <v>1173</v>
      </c>
      <c r="P16" s="1345"/>
      <c r="Q16" s="1344"/>
      <c r="R16" s="1344">
        <v>2443.08</v>
      </c>
      <c r="S16" s="1344"/>
      <c r="T16" s="1302"/>
    </row>
    <row r="17" spans="1:19" s="1302" customFormat="1" ht="15.6">
      <c r="A17" s="1328"/>
      <c r="B17" s="1327">
        <v>44366</v>
      </c>
      <c r="C17" s="1326">
        <v>10</v>
      </c>
      <c r="D17" s="1323">
        <f t="shared" si="7"/>
        <v>438979</v>
      </c>
      <c r="E17" s="1325">
        <v>439134</v>
      </c>
      <c r="F17" s="1322">
        <f t="shared" si="0"/>
        <v>155</v>
      </c>
      <c r="G17" s="1322">
        <f t="shared" si="1"/>
        <v>1584</v>
      </c>
      <c r="H17" s="1322">
        <f t="shared" si="2"/>
        <v>158.4</v>
      </c>
      <c r="I17" s="1322">
        <f t="shared" si="3"/>
        <v>57816</v>
      </c>
      <c r="J17" s="1324">
        <f t="shared" ca="1" si="4"/>
        <v>6.8546289211935729</v>
      </c>
      <c r="K17" s="1340">
        <f t="shared" si="5"/>
        <v>101.43157894736842</v>
      </c>
      <c r="L17" s="1323">
        <f t="shared" si="6"/>
        <v>28134</v>
      </c>
      <c r="M17" s="1322"/>
      <c r="N17" s="1322"/>
      <c r="O17" s="1343" t="s">
        <v>1183</v>
      </c>
      <c r="P17" s="1342"/>
      <c r="Q17" s="1341"/>
      <c r="R17" s="1341">
        <f>R15-R16</f>
        <v>-732.45499999999993</v>
      </c>
      <c r="S17" s="1341"/>
    </row>
    <row r="18" spans="1:19" s="1302" customFormat="1" ht="15.6">
      <c r="A18" s="1328"/>
      <c r="B18" s="1327">
        <v>44367</v>
      </c>
      <c r="C18" s="1326">
        <v>11</v>
      </c>
      <c r="D18" s="1323">
        <f t="shared" si="7"/>
        <v>439134</v>
      </c>
      <c r="E18" s="1325">
        <v>439202</v>
      </c>
      <c r="F18" s="1322">
        <f t="shared" si="0"/>
        <v>68</v>
      </c>
      <c r="G18" s="1322">
        <f t="shared" si="1"/>
        <v>1652</v>
      </c>
      <c r="H18" s="1322">
        <f t="shared" si="2"/>
        <v>150.18181818181819</v>
      </c>
      <c r="I18" s="1322">
        <f t="shared" si="3"/>
        <v>54816.36363636364</v>
      </c>
      <c r="J18" s="1324">
        <f t="shared" ca="1" si="4"/>
        <v>3.0071920428462127</v>
      </c>
      <c r="K18" s="1340">
        <f t="shared" si="5"/>
        <v>96.169059011164279</v>
      </c>
      <c r="L18" s="1323">
        <f t="shared" si="6"/>
        <v>28202</v>
      </c>
      <c r="M18" s="1322"/>
      <c r="N18" s="1322"/>
      <c r="O18" s="1346"/>
      <c r="P18" s="1345"/>
      <c r="Q18" s="1344"/>
      <c r="R18" s="1344"/>
      <c r="S18" s="1344"/>
    </row>
    <row r="19" spans="1:19" s="1302" customFormat="1" ht="15.6">
      <c r="A19" s="1328"/>
      <c r="B19" s="1327">
        <v>44368</v>
      </c>
      <c r="C19" s="1326">
        <v>12</v>
      </c>
      <c r="D19" s="1323">
        <f t="shared" si="7"/>
        <v>439202</v>
      </c>
      <c r="E19" s="1325">
        <v>439639</v>
      </c>
      <c r="F19" s="1322">
        <f t="shared" si="0"/>
        <v>437</v>
      </c>
      <c r="G19" s="1322">
        <f t="shared" si="1"/>
        <v>2089</v>
      </c>
      <c r="H19" s="1322">
        <f t="shared" si="2"/>
        <v>174.08333333333334</v>
      </c>
      <c r="I19" s="1322">
        <f t="shared" si="3"/>
        <v>63540.416666666672</v>
      </c>
      <c r="J19" s="1324">
        <f t="shared" ca="1" si="4"/>
        <v>19.325631216526396</v>
      </c>
      <c r="K19" s="1340">
        <f t="shared" si="5"/>
        <v>111.47441520467837</v>
      </c>
      <c r="L19" s="1323">
        <f t="shared" si="6"/>
        <v>28639</v>
      </c>
      <c r="M19" s="1322" t="s">
        <v>238</v>
      </c>
      <c r="N19" s="1322"/>
      <c r="O19" s="1346" t="s">
        <v>1179</v>
      </c>
      <c r="P19" s="1345">
        <v>25</v>
      </c>
      <c r="Q19" s="1344">
        <v>7.5</v>
      </c>
      <c r="R19" s="1344">
        <f>P19*Q19</f>
        <v>187.5</v>
      </c>
      <c r="S19" s="1344"/>
    </row>
    <row r="20" spans="1:19" s="1302" customFormat="1" ht="15.6">
      <c r="A20" s="1328"/>
      <c r="B20" s="1327">
        <v>44369</v>
      </c>
      <c r="C20" s="1326">
        <v>13</v>
      </c>
      <c r="D20" s="1323">
        <f t="shared" si="7"/>
        <v>439639</v>
      </c>
      <c r="E20" s="1325">
        <v>440095</v>
      </c>
      <c r="F20" s="1322">
        <f t="shared" si="0"/>
        <v>456</v>
      </c>
      <c r="G20" s="1322">
        <f t="shared" si="1"/>
        <v>2545</v>
      </c>
      <c r="H20" s="1322">
        <f t="shared" si="2"/>
        <v>195.76923076923077</v>
      </c>
      <c r="I20" s="1322">
        <f t="shared" si="3"/>
        <v>71455.769230769234</v>
      </c>
      <c r="J20" s="1324">
        <f t="shared" ca="1" si="4"/>
        <v>20.165876052027542</v>
      </c>
      <c r="K20" s="1340">
        <f t="shared" si="5"/>
        <v>125.36099865047234</v>
      </c>
      <c r="L20" s="1323">
        <f t="shared" si="6"/>
        <v>29095</v>
      </c>
      <c r="M20" s="1322" t="s">
        <v>1134</v>
      </c>
      <c r="N20" s="1322"/>
      <c r="O20" s="1346" t="s">
        <v>1178</v>
      </c>
      <c r="P20" s="1345">
        <v>25</v>
      </c>
      <c r="Q20" s="1344">
        <v>6.37</v>
      </c>
      <c r="R20" s="1344">
        <f>P20*Q20</f>
        <v>159.25</v>
      </c>
      <c r="S20" s="1344"/>
    </row>
    <row r="21" spans="1:19" s="1302" customFormat="1" ht="15.6">
      <c r="A21" s="1328"/>
      <c r="B21" s="1327">
        <v>44370</v>
      </c>
      <c r="C21" s="1326">
        <v>14</v>
      </c>
      <c r="D21" s="1323">
        <f t="shared" si="7"/>
        <v>440095</v>
      </c>
      <c r="E21" s="1325">
        <v>440159</v>
      </c>
      <c r="F21" s="1322">
        <f t="shared" si="0"/>
        <v>64</v>
      </c>
      <c r="G21" s="1322">
        <f t="shared" si="1"/>
        <v>2609</v>
      </c>
      <c r="H21" s="1322">
        <f t="shared" si="2"/>
        <v>186.35714285714286</v>
      </c>
      <c r="I21" s="1322">
        <f t="shared" si="3"/>
        <v>68020.357142857145</v>
      </c>
      <c r="J21" s="1324">
        <f t="shared" ca="1" si="4"/>
        <v>2.8302983932670234</v>
      </c>
      <c r="K21" s="1340">
        <f t="shared" si="5"/>
        <v>119.33395989974937</v>
      </c>
      <c r="L21" s="1323">
        <f t="shared" si="6"/>
        <v>29159</v>
      </c>
      <c r="M21" s="1322"/>
      <c r="N21" s="1322"/>
      <c r="O21" s="1346" t="s">
        <v>1177</v>
      </c>
      <c r="P21" s="1345">
        <v>25</v>
      </c>
      <c r="Q21" s="1344"/>
      <c r="R21" s="1344">
        <f>P21*Q21</f>
        <v>0</v>
      </c>
      <c r="S21" s="1344"/>
    </row>
    <row r="22" spans="1:19" s="1302" customFormat="1" ht="15.6">
      <c r="A22" s="1328"/>
      <c r="B22" s="1327">
        <v>44371</v>
      </c>
      <c r="C22" s="1326">
        <v>15</v>
      </c>
      <c r="D22" s="1323">
        <f t="shared" si="7"/>
        <v>440159</v>
      </c>
      <c r="E22" s="1325">
        <v>440271</v>
      </c>
      <c r="F22" s="1322">
        <f t="shared" si="0"/>
        <v>112</v>
      </c>
      <c r="G22" s="1322">
        <f t="shared" si="1"/>
        <v>2721</v>
      </c>
      <c r="H22" s="1322">
        <f t="shared" si="2"/>
        <v>181.4</v>
      </c>
      <c r="I22" s="1322">
        <f t="shared" si="3"/>
        <v>66211</v>
      </c>
      <c r="J22" s="1324">
        <f t="shared" ca="1" si="4"/>
        <v>4.9530221882172913</v>
      </c>
      <c r="K22" s="1340">
        <f t="shared" si="5"/>
        <v>116.15964912280701</v>
      </c>
      <c r="L22" s="1323">
        <f t="shared" si="6"/>
        <v>29271</v>
      </c>
      <c r="M22" s="1322"/>
      <c r="N22" s="1322"/>
      <c r="O22" s="1346" t="s">
        <v>1176</v>
      </c>
      <c r="P22" s="1345"/>
      <c r="Q22" s="1344"/>
      <c r="R22" s="1344">
        <v>525</v>
      </c>
      <c r="S22" s="1344"/>
    </row>
    <row r="23" spans="1:19" s="1302" customFormat="1" ht="15.6">
      <c r="A23" s="1328"/>
      <c r="B23" s="1327">
        <v>44372</v>
      </c>
      <c r="C23" s="1326">
        <v>16</v>
      </c>
      <c r="D23" s="1323">
        <f t="shared" si="7"/>
        <v>440271</v>
      </c>
      <c r="E23" s="1325">
        <v>440360</v>
      </c>
      <c r="F23" s="1322">
        <f t="shared" si="0"/>
        <v>89</v>
      </c>
      <c r="G23" s="1322">
        <f t="shared" si="1"/>
        <v>2810</v>
      </c>
      <c r="H23" s="1322">
        <f t="shared" si="2"/>
        <v>175.625</v>
      </c>
      <c r="I23" s="1322">
        <f t="shared" si="3"/>
        <v>64103.125</v>
      </c>
      <c r="J23" s="1324">
        <f t="shared" ca="1" si="4"/>
        <v>3.9358837031369545</v>
      </c>
      <c r="K23" s="1340">
        <f t="shared" si="5"/>
        <v>112.46162280701755</v>
      </c>
      <c r="L23" s="1323">
        <f t="shared" si="6"/>
        <v>29360</v>
      </c>
      <c r="M23" s="1322"/>
      <c r="N23" s="1322"/>
      <c r="O23" s="1346" t="s">
        <v>1175</v>
      </c>
      <c r="P23" s="1345"/>
      <c r="Q23" s="1344"/>
      <c r="R23" s="1344">
        <v>75</v>
      </c>
      <c r="S23" s="1344"/>
    </row>
    <row r="24" spans="1:19" s="1302" customFormat="1" ht="15.6">
      <c r="A24" s="1328"/>
      <c r="B24" s="1327">
        <v>44373</v>
      </c>
      <c r="C24" s="1326">
        <v>17</v>
      </c>
      <c r="D24" s="1323">
        <f t="shared" si="7"/>
        <v>440360</v>
      </c>
      <c r="E24" s="1325">
        <v>440474</v>
      </c>
      <c r="F24" s="1322">
        <f t="shared" si="0"/>
        <v>114</v>
      </c>
      <c r="G24" s="1322">
        <f t="shared" si="1"/>
        <v>2924</v>
      </c>
      <c r="H24" s="1322">
        <f t="shared" si="2"/>
        <v>172</v>
      </c>
      <c r="I24" s="1322">
        <f t="shared" si="3"/>
        <v>62780</v>
      </c>
      <c r="J24" s="1324">
        <f t="shared" ca="1" si="4"/>
        <v>5.0414690130068855</v>
      </c>
      <c r="K24" s="1340">
        <f t="shared" si="5"/>
        <v>110.14035087719299</v>
      </c>
      <c r="L24" s="1323">
        <f t="shared" si="6"/>
        <v>29474</v>
      </c>
      <c r="M24" s="1322"/>
      <c r="N24" s="1322"/>
      <c r="O24" s="1346" t="s">
        <v>41</v>
      </c>
      <c r="P24" s="1345"/>
      <c r="Q24" s="1344"/>
      <c r="R24" s="1344">
        <f>SUM(R19:R23)</f>
        <v>946.75</v>
      </c>
      <c r="S24" s="1344"/>
    </row>
    <row r="25" spans="1:19" s="1302" customFormat="1" ht="15.6">
      <c r="A25" s="1328"/>
      <c r="B25" s="1327">
        <v>44374</v>
      </c>
      <c r="C25" s="1326">
        <v>18</v>
      </c>
      <c r="D25" s="1323">
        <f t="shared" si="7"/>
        <v>440474</v>
      </c>
      <c r="E25" s="1325">
        <v>440560</v>
      </c>
      <c r="F25" s="1322">
        <f t="shared" si="0"/>
        <v>86</v>
      </c>
      <c r="G25" s="1322">
        <f t="shared" si="1"/>
        <v>3010</v>
      </c>
      <c r="H25" s="1322">
        <f t="shared" si="2"/>
        <v>167.22222222222223</v>
      </c>
      <c r="I25" s="1322">
        <f t="shared" si="3"/>
        <v>61036.111111111117</v>
      </c>
      <c r="J25" s="1324">
        <f t="shared" ca="1" si="4"/>
        <v>3.8032134659525627</v>
      </c>
      <c r="K25" s="1340">
        <f t="shared" si="5"/>
        <v>107.08089668615986</v>
      </c>
      <c r="L25" s="1323">
        <f t="shared" si="6"/>
        <v>29560</v>
      </c>
      <c r="M25" s="1322"/>
      <c r="N25" s="1322"/>
      <c r="O25" s="1346" t="s">
        <v>1174</v>
      </c>
      <c r="P25" s="1345"/>
      <c r="Q25" s="1344"/>
      <c r="R25" s="1344">
        <f>R24*0.25</f>
        <v>236.6875</v>
      </c>
      <c r="S25" s="1344"/>
    </row>
    <row r="26" spans="1:19" s="1302" customFormat="1" ht="15.6">
      <c r="A26" s="1328"/>
      <c r="B26" s="1327">
        <v>44375</v>
      </c>
      <c r="C26" s="1326">
        <v>19</v>
      </c>
      <c r="D26" s="1323">
        <f t="shared" si="7"/>
        <v>440560</v>
      </c>
      <c r="E26" s="1325">
        <v>440720</v>
      </c>
      <c r="F26" s="1322">
        <f t="shared" si="0"/>
        <v>160</v>
      </c>
      <c r="G26" s="1322">
        <f t="shared" si="1"/>
        <v>3170</v>
      </c>
      <c r="H26" s="1322">
        <f t="shared" si="2"/>
        <v>166.84210526315789</v>
      </c>
      <c r="I26" s="1322">
        <f t="shared" si="3"/>
        <v>60897.368421052633</v>
      </c>
      <c r="J26" s="1324">
        <f t="shared" ca="1" si="4"/>
        <v>7.0757459831675593</v>
      </c>
      <c r="K26" s="1340">
        <f t="shared" si="5"/>
        <v>106.83748845798708</v>
      </c>
      <c r="L26" s="1323">
        <f t="shared" si="6"/>
        <v>29720</v>
      </c>
      <c r="M26" s="1322"/>
      <c r="N26" s="1322"/>
      <c r="O26" s="1343" t="s">
        <v>1170</v>
      </c>
      <c r="P26" s="1342"/>
      <c r="Q26" s="1341"/>
      <c r="R26" s="1341">
        <f>SUM(R24:R25)</f>
        <v>1183.4375</v>
      </c>
      <c r="S26" s="1341"/>
    </row>
    <row r="27" spans="1:19" s="1302" customFormat="1" ht="15.6">
      <c r="A27" s="1328"/>
      <c r="B27" s="1327">
        <v>44376</v>
      </c>
      <c r="C27" s="1326">
        <v>20</v>
      </c>
      <c r="D27" s="1323">
        <f t="shared" si="7"/>
        <v>440720</v>
      </c>
      <c r="E27" s="1325">
        <v>441139</v>
      </c>
      <c r="F27" s="1322">
        <f t="shared" si="0"/>
        <v>419</v>
      </c>
      <c r="G27" s="1322">
        <f t="shared" si="1"/>
        <v>3589</v>
      </c>
      <c r="H27" s="1322">
        <f t="shared" si="2"/>
        <v>179.45</v>
      </c>
      <c r="I27" s="1322">
        <f t="shared" si="3"/>
        <v>65499.249999999993</v>
      </c>
      <c r="J27" s="1324">
        <f t="shared" ca="1" si="4"/>
        <v>18.529609793420043</v>
      </c>
      <c r="K27" s="1340">
        <f t="shared" si="5"/>
        <v>114.91096491228069</v>
      </c>
      <c r="L27" s="1323">
        <f t="shared" si="6"/>
        <v>30139</v>
      </c>
      <c r="M27" s="1322" t="s">
        <v>238</v>
      </c>
      <c r="N27" s="1322"/>
      <c r="O27" s="1346"/>
      <c r="P27" s="1345"/>
      <c r="Q27" s="1344"/>
      <c r="R27" s="1344"/>
      <c r="S27" s="1344"/>
    </row>
    <row r="28" spans="1:19" s="1302" customFormat="1" ht="15.6">
      <c r="A28" s="1328"/>
      <c r="B28" s="1327">
        <v>44377</v>
      </c>
      <c r="C28" s="1326">
        <v>21</v>
      </c>
      <c r="D28" s="1323">
        <f t="shared" si="7"/>
        <v>441139</v>
      </c>
      <c r="E28" s="1325">
        <v>441195</v>
      </c>
      <c r="F28" s="1322">
        <f t="shared" si="0"/>
        <v>56</v>
      </c>
      <c r="G28" s="1322">
        <f t="shared" si="1"/>
        <v>3645</v>
      </c>
      <c r="H28" s="1322">
        <f t="shared" si="2"/>
        <v>173.57142857142858</v>
      </c>
      <c r="I28" s="1322">
        <f t="shared" si="3"/>
        <v>63353.571428571435</v>
      </c>
      <c r="J28" s="1324">
        <f t="shared" ca="1" si="4"/>
        <v>2.4765110941086457</v>
      </c>
      <c r="K28" s="1340">
        <f t="shared" si="5"/>
        <v>111.1466165413534</v>
      </c>
      <c r="L28" s="1323">
        <f t="shared" si="6"/>
        <v>30195</v>
      </c>
      <c r="M28" s="1322"/>
      <c r="N28" s="1322"/>
      <c r="O28" s="1350" t="s">
        <v>1182</v>
      </c>
      <c r="P28" s="1349"/>
      <c r="Q28" s="1348"/>
      <c r="R28" s="1348">
        <f>R17+R26</f>
        <v>450.98250000000007</v>
      </c>
      <c r="S28" s="1348"/>
    </row>
    <row r="29" spans="1:19" s="1302" customFormat="1" ht="15.6">
      <c r="A29" s="1328"/>
      <c r="B29" s="1327">
        <v>44378</v>
      </c>
      <c r="C29" s="1326">
        <v>22</v>
      </c>
      <c r="D29" s="1323">
        <f t="shared" si="7"/>
        <v>441195</v>
      </c>
      <c r="E29" s="1325">
        <v>441292</v>
      </c>
      <c r="F29" s="1322">
        <f t="shared" si="0"/>
        <v>97</v>
      </c>
      <c r="G29" s="1322">
        <f t="shared" si="1"/>
        <v>3742</v>
      </c>
      <c r="H29" s="1322">
        <f t="shared" si="2"/>
        <v>170.09090909090909</v>
      </c>
      <c r="I29" s="1322">
        <f t="shared" si="3"/>
        <v>62083.181818181816</v>
      </c>
      <c r="J29" s="1324">
        <f t="shared" ca="1" si="4"/>
        <v>4.2896710022953322</v>
      </c>
      <c r="K29" s="1340">
        <f t="shared" si="5"/>
        <v>108.91786283891547</v>
      </c>
      <c r="L29" s="1323">
        <f t="shared" si="6"/>
        <v>30292</v>
      </c>
      <c r="M29" s="1322"/>
      <c r="N29" s="1322"/>
      <c r="O29" s="1305"/>
      <c r="P29" s="1304"/>
      <c r="Q29" s="1303"/>
      <c r="R29" s="1303"/>
      <c r="S29" s="1303"/>
    </row>
    <row r="30" spans="1:19" s="1302" customFormat="1" ht="15.6">
      <c r="A30" s="1328"/>
      <c r="B30" s="1327">
        <v>44379</v>
      </c>
      <c r="C30" s="1326">
        <v>23</v>
      </c>
      <c r="D30" s="1323">
        <f t="shared" si="7"/>
        <v>441292</v>
      </c>
      <c r="E30" s="1325">
        <v>441372</v>
      </c>
      <c r="F30" s="1322">
        <f t="shared" si="0"/>
        <v>80</v>
      </c>
      <c r="G30" s="1322">
        <f t="shared" si="1"/>
        <v>3822</v>
      </c>
      <c r="H30" s="1322">
        <f t="shared" si="2"/>
        <v>166.17391304347825</v>
      </c>
      <c r="I30" s="1322">
        <f t="shared" si="3"/>
        <v>60653.47826086956</v>
      </c>
      <c r="J30" s="1324">
        <f t="shared" ca="1" si="4"/>
        <v>3.5378729915837797</v>
      </c>
      <c r="K30" s="1340">
        <f t="shared" si="5"/>
        <v>106.40961098398168</v>
      </c>
      <c r="L30" s="1323">
        <f t="shared" si="6"/>
        <v>30372</v>
      </c>
      <c r="M30" s="1322"/>
      <c r="N30" s="1322"/>
      <c r="O30" s="1347" t="s">
        <v>1181</v>
      </c>
      <c r="P30" s="1347"/>
      <c r="Q30" s="1347"/>
      <c r="R30" s="1347"/>
      <c r="S30" s="1347"/>
    </row>
    <row r="31" spans="1:19" s="1302" customFormat="1" ht="15.6">
      <c r="A31" s="1328"/>
      <c r="B31" s="1327">
        <v>44380</v>
      </c>
      <c r="C31" s="1326">
        <v>24</v>
      </c>
      <c r="D31" s="1323">
        <f t="shared" si="7"/>
        <v>441372</v>
      </c>
      <c r="E31" s="1325">
        <v>441452</v>
      </c>
      <c r="F31" s="1322">
        <f t="shared" si="0"/>
        <v>80</v>
      </c>
      <c r="G31" s="1322">
        <f t="shared" si="1"/>
        <v>3902</v>
      </c>
      <c r="H31" s="1322">
        <f t="shared" si="2"/>
        <v>162.58333333333334</v>
      </c>
      <c r="I31" s="1322">
        <f t="shared" si="3"/>
        <v>59342.916666666672</v>
      </c>
      <c r="J31" s="1324">
        <f t="shared" ca="1" si="4"/>
        <v>3.5378729915837797</v>
      </c>
      <c r="K31" s="1340">
        <f t="shared" si="5"/>
        <v>104.11038011695908</v>
      </c>
      <c r="L31" s="1323">
        <f t="shared" si="6"/>
        <v>30452</v>
      </c>
      <c r="M31" s="1322"/>
      <c r="N31" s="1322"/>
      <c r="O31" s="1346" t="s">
        <v>1179</v>
      </c>
      <c r="P31" s="1345">
        <f ca="1">($I$6/2)/1000</f>
        <v>4.126773356401384</v>
      </c>
      <c r="Q31" s="1344">
        <v>7.5</v>
      </c>
      <c r="R31" s="1344">
        <f ca="1">P31*Q31</f>
        <v>30.950800173010379</v>
      </c>
      <c r="S31" s="1344"/>
    </row>
    <row r="32" spans="1:19" s="1302" customFormat="1" ht="15.6">
      <c r="A32" s="1328"/>
      <c r="B32" s="1327">
        <v>44381</v>
      </c>
      <c r="C32" s="1326">
        <v>25</v>
      </c>
      <c r="D32" s="1323">
        <f t="shared" si="7"/>
        <v>441452</v>
      </c>
      <c r="E32" s="1325">
        <v>441533</v>
      </c>
      <c r="F32" s="1322">
        <f t="shared" si="0"/>
        <v>81</v>
      </c>
      <c r="G32" s="1322">
        <f t="shared" si="1"/>
        <v>3983</v>
      </c>
      <c r="H32" s="1322">
        <f t="shared" si="2"/>
        <v>159.32</v>
      </c>
      <c r="I32" s="1322">
        <f t="shared" si="3"/>
        <v>58151.799999999996</v>
      </c>
      <c r="J32" s="1324">
        <f t="shared" ca="1" si="4"/>
        <v>3.5820964039785768</v>
      </c>
      <c r="K32" s="1340">
        <f t="shared" si="5"/>
        <v>102.02070175438595</v>
      </c>
      <c r="L32" s="1323">
        <f t="shared" si="6"/>
        <v>30533</v>
      </c>
      <c r="M32" s="1322"/>
      <c r="N32" s="1322"/>
      <c r="O32" s="1346" t="s">
        <v>1178</v>
      </c>
      <c r="P32" s="1345">
        <f ca="1">($I$6/2)/1000</f>
        <v>4.126773356401384</v>
      </c>
      <c r="Q32" s="1344">
        <v>6.37</v>
      </c>
      <c r="R32" s="1344">
        <f ca="1">P32*Q32</f>
        <v>26.287546280276818</v>
      </c>
      <c r="S32" s="1344"/>
    </row>
    <row r="33" spans="1:19" s="1302" customFormat="1" ht="15.6">
      <c r="A33" s="1328"/>
      <c r="B33" s="1327">
        <v>44382</v>
      </c>
      <c r="C33" s="1326">
        <v>26</v>
      </c>
      <c r="D33" s="1323">
        <f t="shared" si="7"/>
        <v>441533</v>
      </c>
      <c r="E33" s="1325">
        <v>441653</v>
      </c>
      <c r="F33" s="1322">
        <f t="shared" si="0"/>
        <v>120</v>
      </c>
      <c r="G33" s="1322">
        <f t="shared" si="1"/>
        <v>4103</v>
      </c>
      <c r="H33" s="1322">
        <f t="shared" si="2"/>
        <v>157.80769230769232</v>
      </c>
      <c r="I33" s="1322">
        <f t="shared" si="3"/>
        <v>57599.807692307695</v>
      </c>
      <c r="J33" s="1324">
        <f t="shared" ca="1" si="4"/>
        <v>5.306809487375669</v>
      </c>
      <c r="K33" s="1340">
        <f t="shared" si="5"/>
        <v>101.05229419703105</v>
      </c>
      <c r="L33" s="1323">
        <f t="shared" si="6"/>
        <v>30653</v>
      </c>
      <c r="M33" s="1322"/>
      <c r="N33" s="1322"/>
      <c r="O33" s="1346" t="s">
        <v>1177</v>
      </c>
      <c r="P33" s="1345">
        <f ca="1">($I$6/2)/1000</f>
        <v>4.126773356401384</v>
      </c>
      <c r="Q33" s="1344"/>
      <c r="R33" s="1344">
        <f ca="1">P33*Q33</f>
        <v>0</v>
      </c>
      <c r="S33" s="1344"/>
    </row>
    <row r="34" spans="1:19" s="1302" customFormat="1" ht="15.6">
      <c r="A34" s="1328"/>
      <c r="B34" s="1327">
        <v>44383</v>
      </c>
      <c r="C34" s="1326">
        <v>27</v>
      </c>
      <c r="D34" s="1323">
        <f t="shared" si="7"/>
        <v>441653</v>
      </c>
      <c r="E34" s="1325">
        <v>441951</v>
      </c>
      <c r="F34" s="1322">
        <f t="shared" si="0"/>
        <v>298</v>
      </c>
      <c r="G34" s="1322">
        <f t="shared" si="1"/>
        <v>4401</v>
      </c>
      <c r="H34" s="1322">
        <f t="shared" si="2"/>
        <v>163</v>
      </c>
      <c r="I34" s="1322">
        <f t="shared" si="3"/>
        <v>59495</v>
      </c>
      <c r="J34" s="1324">
        <f t="shared" ca="1" si="4"/>
        <v>13.178576893649579</v>
      </c>
      <c r="K34" s="1340">
        <f t="shared" si="5"/>
        <v>104.37719298245614</v>
      </c>
      <c r="L34" s="1323">
        <f t="shared" si="6"/>
        <v>30951</v>
      </c>
      <c r="M34" s="1322"/>
      <c r="N34" s="1322"/>
      <c r="O34" s="1346" t="s">
        <v>1176</v>
      </c>
      <c r="P34" s="1345"/>
      <c r="Q34" s="1344"/>
      <c r="R34" s="1344">
        <v>525</v>
      </c>
      <c r="S34" s="1344"/>
    </row>
    <row r="35" spans="1:19" s="1302" customFormat="1" ht="15.6">
      <c r="A35" s="1328"/>
      <c r="B35" s="1327">
        <v>44384</v>
      </c>
      <c r="C35" s="1326">
        <v>28</v>
      </c>
      <c r="D35" s="1323">
        <f t="shared" si="7"/>
        <v>441951</v>
      </c>
      <c r="E35" s="1325">
        <v>441965</v>
      </c>
      <c r="F35" s="1322">
        <f t="shared" si="0"/>
        <v>14</v>
      </c>
      <c r="G35" s="1322">
        <f t="shared" si="1"/>
        <v>4415</v>
      </c>
      <c r="H35" s="1322">
        <f t="shared" si="2"/>
        <v>157.67857142857142</v>
      </c>
      <c r="I35" s="1322">
        <f t="shared" si="3"/>
        <v>57552.678571428565</v>
      </c>
      <c r="J35" s="1324">
        <f t="shared" ca="1" si="4"/>
        <v>0.61912777352716142</v>
      </c>
      <c r="K35" s="1340">
        <f t="shared" si="5"/>
        <v>100.96961152882204</v>
      </c>
      <c r="L35" s="1323">
        <f t="shared" si="6"/>
        <v>30965</v>
      </c>
      <c r="M35" s="1322"/>
      <c r="N35" s="1322"/>
      <c r="O35" s="1346" t="s">
        <v>1175</v>
      </c>
      <c r="P35" s="1345"/>
      <c r="Q35" s="1344"/>
      <c r="R35" s="1344">
        <v>75</v>
      </c>
      <c r="S35" s="1344"/>
    </row>
    <row r="36" spans="1:19" s="1302" customFormat="1" ht="15.6">
      <c r="A36" s="1328"/>
      <c r="B36" s="1327">
        <v>44385</v>
      </c>
      <c r="C36" s="1326">
        <v>29</v>
      </c>
      <c r="D36" s="1323">
        <f t="shared" si="7"/>
        <v>441965</v>
      </c>
      <c r="E36" s="1325">
        <v>442337</v>
      </c>
      <c r="F36" s="1322">
        <f t="shared" si="0"/>
        <v>372</v>
      </c>
      <c r="G36" s="1322">
        <f t="shared" si="1"/>
        <v>4787</v>
      </c>
      <c r="H36" s="1322">
        <f t="shared" si="2"/>
        <v>165.06896551724137</v>
      </c>
      <c r="I36" s="1322">
        <f t="shared" si="3"/>
        <v>60250.172413793101</v>
      </c>
      <c r="J36" s="1324">
        <f t="shared" ca="1" si="4"/>
        <v>16.451109410864575</v>
      </c>
      <c r="K36" s="1340">
        <f t="shared" si="5"/>
        <v>105.70205686630369</v>
      </c>
      <c r="L36" s="1323">
        <f t="shared" si="6"/>
        <v>31337</v>
      </c>
      <c r="M36" s="1322" t="s">
        <v>1134</v>
      </c>
      <c r="N36" s="1322"/>
      <c r="O36" s="1346" t="s">
        <v>41</v>
      </c>
      <c r="P36" s="1345"/>
      <c r="Q36" s="1344"/>
      <c r="R36" s="1344">
        <f ca="1">SUM(R31:R35)</f>
        <v>657.23834645328725</v>
      </c>
      <c r="S36" s="1344"/>
    </row>
    <row r="37" spans="1:19" s="1302" customFormat="1" ht="15.6">
      <c r="A37" s="1328"/>
      <c r="B37" s="1327">
        <v>44386</v>
      </c>
      <c r="C37" s="1326">
        <v>30</v>
      </c>
      <c r="D37" s="1323">
        <f t="shared" si="7"/>
        <v>442337</v>
      </c>
      <c r="E37" s="1325">
        <v>442456</v>
      </c>
      <c r="F37" s="1322">
        <f t="shared" si="0"/>
        <v>119</v>
      </c>
      <c r="G37" s="1322">
        <f t="shared" si="1"/>
        <v>4906</v>
      </c>
      <c r="H37" s="1322">
        <f t="shared" si="2"/>
        <v>163.53333333333333</v>
      </c>
      <c r="I37" s="1322">
        <f t="shared" si="3"/>
        <v>59689.666666666664</v>
      </c>
      <c r="J37" s="1324">
        <f t="shared" ca="1" si="4"/>
        <v>5.2625860749808719</v>
      </c>
      <c r="K37" s="1340">
        <f t="shared" si="5"/>
        <v>104.7187134502924</v>
      </c>
      <c r="L37" s="1323">
        <f t="shared" si="6"/>
        <v>31456</v>
      </c>
      <c r="M37" s="1322"/>
      <c r="N37" s="1322"/>
      <c r="O37" s="1346" t="s">
        <v>1174</v>
      </c>
      <c r="P37" s="1345"/>
      <c r="Q37" s="1344"/>
      <c r="R37" s="1344">
        <f ca="1">R36*0.25</f>
        <v>164.30958661332181</v>
      </c>
      <c r="S37" s="1344"/>
    </row>
    <row r="38" spans="1:19" s="1302" customFormat="1" ht="15.6">
      <c r="A38" s="1328"/>
      <c r="B38" s="1327">
        <v>44387</v>
      </c>
      <c r="C38" s="1326">
        <v>31</v>
      </c>
      <c r="D38" s="1323">
        <f t="shared" si="7"/>
        <v>442456</v>
      </c>
      <c r="E38" s="1325">
        <v>442806</v>
      </c>
      <c r="F38" s="1322">
        <f t="shared" si="0"/>
        <v>350</v>
      </c>
      <c r="G38" s="1322">
        <f t="shared" si="1"/>
        <v>5256</v>
      </c>
      <c r="H38" s="1322">
        <f t="shared" si="2"/>
        <v>169.54838709677421</v>
      </c>
      <c r="I38" s="1322">
        <f t="shared" si="3"/>
        <v>61885.161290322583</v>
      </c>
      <c r="J38" s="1324">
        <f t="shared" ca="1" si="4"/>
        <v>15.478194338179035</v>
      </c>
      <c r="K38" s="1340">
        <f t="shared" si="5"/>
        <v>108.57045840407471</v>
      </c>
      <c r="L38" s="1323">
        <f t="shared" si="6"/>
        <v>31806</v>
      </c>
      <c r="M38" s="1322" t="s">
        <v>238</v>
      </c>
      <c r="N38" s="1322"/>
      <c r="O38" s="1343" t="s">
        <v>1170</v>
      </c>
      <c r="P38" s="1342"/>
      <c r="Q38" s="1341"/>
      <c r="R38" s="1341">
        <f ca="1">SUM(R31:R37)</f>
        <v>1478.7862795198962</v>
      </c>
      <c r="S38" s="1341"/>
    </row>
    <row r="39" spans="1:19" s="1302" customFormat="1" ht="15.6">
      <c r="A39" s="1328"/>
      <c r="B39" s="1327">
        <v>44388</v>
      </c>
      <c r="C39" s="1326">
        <v>32</v>
      </c>
      <c r="D39" s="1323">
        <f t="shared" si="7"/>
        <v>442806</v>
      </c>
      <c r="E39" s="1325">
        <v>442863</v>
      </c>
      <c r="F39" s="1322">
        <f t="shared" si="0"/>
        <v>57</v>
      </c>
      <c r="G39" s="1322">
        <f t="shared" si="1"/>
        <v>5313</v>
      </c>
      <c r="H39" s="1322">
        <f t="shared" si="2"/>
        <v>166.03125</v>
      </c>
      <c r="I39" s="1322">
        <f t="shared" si="3"/>
        <v>60601.40625</v>
      </c>
      <c r="J39" s="1324">
        <f t="shared" ca="1" si="4"/>
        <v>2.5207345065034428</v>
      </c>
      <c r="K39" s="1340">
        <f t="shared" si="5"/>
        <v>106.31825657894737</v>
      </c>
      <c r="L39" s="1323">
        <f t="shared" si="6"/>
        <v>31863</v>
      </c>
      <c r="M39" s="1322"/>
      <c r="N39" s="1322"/>
      <c r="O39" s="1347" t="s">
        <v>1180</v>
      </c>
      <c r="P39" s="1347"/>
      <c r="Q39" s="1347"/>
      <c r="R39" s="1347"/>
      <c r="S39" s="1347"/>
    </row>
    <row r="40" spans="1:19" s="1302" customFormat="1" ht="15.6">
      <c r="A40" s="1328"/>
      <c r="B40" s="1327">
        <v>44389</v>
      </c>
      <c r="C40" s="1326">
        <v>33</v>
      </c>
      <c r="D40" s="1323">
        <f t="shared" si="7"/>
        <v>442863</v>
      </c>
      <c r="E40" s="1325">
        <v>443100</v>
      </c>
      <c r="F40" s="1322">
        <f t="shared" si="0"/>
        <v>237</v>
      </c>
      <c r="G40" s="1322">
        <f t="shared" si="1"/>
        <v>5550</v>
      </c>
      <c r="H40" s="1322">
        <f t="shared" si="2"/>
        <v>168.18181818181819</v>
      </c>
      <c r="I40" s="1322">
        <f t="shared" si="3"/>
        <v>61386.36363636364</v>
      </c>
      <c r="J40" s="1324">
        <f t="shared" ref="J40:J71" ca="1" si="8">F39:F40/$M$3</f>
        <v>10.480948737566946</v>
      </c>
      <c r="K40" s="1340">
        <f t="shared" si="5"/>
        <v>107.69537480063796</v>
      </c>
      <c r="L40" s="1323">
        <f t="shared" si="6"/>
        <v>32100</v>
      </c>
      <c r="M40" s="1322" t="s">
        <v>238</v>
      </c>
      <c r="N40" s="1322"/>
      <c r="O40" s="1346" t="s">
        <v>1179</v>
      </c>
      <c r="P40" s="1345">
        <f ca="1">$I$6/1000</f>
        <v>8.253546712802768</v>
      </c>
      <c r="Q40" s="1344">
        <v>7.5</v>
      </c>
      <c r="R40" s="1344">
        <f ca="1">P40*Q40</f>
        <v>61.901600346020757</v>
      </c>
      <c r="S40" s="1344"/>
    </row>
    <row r="41" spans="1:19" s="1302" customFormat="1" ht="15.6">
      <c r="A41" s="1328"/>
      <c r="B41" s="1327">
        <v>44390</v>
      </c>
      <c r="C41" s="1326">
        <v>34</v>
      </c>
      <c r="D41" s="1323">
        <f t="shared" si="7"/>
        <v>443100</v>
      </c>
      <c r="E41" s="1325">
        <v>443243</v>
      </c>
      <c r="F41" s="1322">
        <f t="shared" si="0"/>
        <v>143</v>
      </c>
      <c r="G41" s="1322">
        <f t="shared" si="1"/>
        <v>5693</v>
      </c>
      <c r="H41" s="1322">
        <f t="shared" si="2"/>
        <v>167.44117647058823</v>
      </c>
      <c r="I41" s="1322">
        <f t="shared" si="3"/>
        <v>61116.029411764706</v>
      </c>
      <c r="J41" s="1324">
        <f t="shared" ca="1" si="8"/>
        <v>6.3239479724560059</v>
      </c>
      <c r="K41" s="1340">
        <f t="shared" si="5"/>
        <v>107.22110423116615</v>
      </c>
      <c r="L41" s="1323">
        <f t="shared" si="6"/>
        <v>32243</v>
      </c>
      <c r="M41" s="1322"/>
      <c r="N41" s="1322"/>
      <c r="O41" s="1346" t="s">
        <v>1178</v>
      </c>
      <c r="P41" s="1345">
        <f ca="1">$I$6/1000</f>
        <v>8.253546712802768</v>
      </c>
      <c r="Q41" s="1344">
        <v>6.37</v>
      </c>
      <c r="R41" s="1344">
        <f ca="1">P41*Q41</f>
        <v>52.575092560553635</v>
      </c>
      <c r="S41" s="1344"/>
    </row>
    <row r="42" spans="1:19" s="1302" customFormat="1" ht="15.6">
      <c r="A42" s="1328"/>
      <c r="B42" s="1327">
        <v>44391</v>
      </c>
      <c r="C42" s="1326">
        <v>35</v>
      </c>
      <c r="D42" s="1323">
        <f t="shared" si="7"/>
        <v>443243</v>
      </c>
      <c r="E42" s="1325">
        <v>443308</v>
      </c>
      <c r="F42" s="1322">
        <f t="shared" si="0"/>
        <v>65</v>
      </c>
      <c r="G42" s="1322">
        <f t="shared" si="1"/>
        <v>5758</v>
      </c>
      <c r="H42" s="1322">
        <f t="shared" si="2"/>
        <v>164.51428571428571</v>
      </c>
      <c r="I42" s="1322">
        <f t="shared" si="3"/>
        <v>60047.714285714283</v>
      </c>
      <c r="J42" s="1324">
        <f t="shared" ca="1" si="8"/>
        <v>2.8745218056618209</v>
      </c>
      <c r="K42" s="1340">
        <f t="shared" si="5"/>
        <v>105.3468671679198</v>
      </c>
      <c r="L42" s="1323">
        <f t="shared" si="6"/>
        <v>32308</v>
      </c>
      <c r="M42" s="1322"/>
      <c r="N42" s="1322"/>
      <c r="O42" s="1346" t="s">
        <v>1177</v>
      </c>
      <c r="P42" s="1345">
        <f ca="1">$I$6/1000</f>
        <v>8.253546712802768</v>
      </c>
      <c r="Q42" s="1344">
        <v>0</v>
      </c>
      <c r="R42" s="1344">
        <f ca="1">P42*Q42</f>
        <v>0</v>
      </c>
      <c r="S42" s="1344"/>
    </row>
    <row r="43" spans="1:19" s="1302" customFormat="1" ht="15.6">
      <c r="A43" s="1328"/>
      <c r="B43" s="1327">
        <v>44392</v>
      </c>
      <c r="C43" s="1326">
        <v>36</v>
      </c>
      <c r="D43" s="1323">
        <f t="shared" si="7"/>
        <v>443308</v>
      </c>
      <c r="E43" s="1325">
        <v>443373</v>
      </c>
      <c r="F43" s="1322">
        <f t="shared" si="0"/>
        <v>65</v>
      </c>
      <c r="G43" s="1322">
        <f t="shared" si="1"/>
        <v>5823</v>
      </c>
      <c r="H43" s="1322">
        <f t="shared" si="2"/>
        <v>161.75</v>
      </c>
      <c r="I43" s="1322">
        <f t="shared" si="3"/>
        <v>59038.75</v>
      </c>
      <c r="J43" s="1324">
        <f t="shared" ca="1" si="8"/>
        <v>2.8745218056618209</v>
      </c>
      <c r="K43" s="1340">
        <f t="shared" si="5"/>
        <v>103.57675438596492</v>
      </c>
      <c r="L43" s="1323">
        <f t="shared" si="6"/>
        <v>32373</v>
      </c>
      <c r="M43" s="1322"/>
      <c r="N43" s="1322"/>
      <c r="O43" s="1346" t="s">
        <v>1176</v>
      </c>
      <c r="P43" s="1345"/>
      <c r="Q43" s="1344"/>
      <c r="R43" s="1344">
        <v>1050</v>
      </c>
      <c r="S43" s="1344"/>
    </row>
    <row r="44" spans="1:19" s="1302" customFormat="1" ht="15.6">
      <c r="A44" s="1328"/>
      <c r="B44" s="1327">
        <v>44393</v>
      </c>
      <c r="C44" s="1326">
        <v>37</v>
      </c>
      <c r="D44" s="1323">
        <f t="shared" si="7"/>
        <v>443373</v>
      </c>
      <c r="E44" s="1325">
        <v>443516</v>
      </c>
      <c r="F44" s="1322">
        <f t="shared" si="0"/>
        <v>143</v>
      </c>
      <c r="G44" s="1322">
        <f t="shared" si="1"/>
        <v>5966</v>
      </c>
      <c r="H44" s="1322">
        <f t="shared" si="2"/>
        <v>161.24324324324326</v>
      </c>
      <c r="I44" s="1322">
        <f t="shared" si="3"/>
        <v>58853.783783783787</v>
      </c>
      <c r="J44" s="1324">
        <f t="shared" ca="1" si="8"/>
        <v>6.3239479724560059</v>
      </c>
      <c r="K44" s="1340">
        <f t="shared" si="5"/>
        <v>103.25225225225226</v>
      </c>
      <c r="L44" s="1323">
        <f t="shared" si="6"/>
        <v>32516</v>
      </c>
      <c r="M44" s="1322"/>
      <c r="N44" s="1322"/>
      <c r="O44" s="1346" t="s">
        <v>1175</v>
      </c>
      <c r="P44" s="1345"/>
      <c r="Q44" s="1344"/>
      <c r="R44" s="1344">
        <v>150</v>
      </c>
      <c r="S44" s="1344"/>
    </row>
    <row r="45" spans="1:19" s="1302" customFormat="1" ht="15.6">
      <c r="A45" s="1328"/>
      <c r="B45" s="1327">
        <v>44394</v>
      </c>
      <c r="C45" s="1326">
        <v>38</v>
      </c>
      <c r="D45" s="1323">
        <f t="shared" si="7"/>
        <v>443516</v>
      </c>
      <c r="E45" s="1325">
        <v>443598</v>
      </c>
      <c r="F45" s="1322">
        <f t="shared" si="0"/>
        <v>82</v>
      </c>
      <c r="G45" s="1322">
        <f t="shared" si="1"/>
        <v>6048</v>
      </c>
      <c r="H45" s="1322">
        <f t="shared" si="2"/>
        <v>159.15789473684211</v>
      </c>
      <c r="I45" s="1322">
        <f t="shared" si="3"/>
        <v>58092.631578947367</v>
      </c>
      <c r="J45" s="1324">
        <f t="shared" ca="1" si="8"/>
        <v>3.6263198163733739</v>
      </c>
      <c r="K45" s="1340">
        <f t="shared" si="5"/>
        <v>101.91689750692521</v>
      </c>
      <c r="L45" s="1323">
        <f t="shared" si="6"/>
        <v>32598</v>
      </c>
      <c r="M45" s="1322"/>
      <c r="N45" s="1322"/>
      <c r="O45" s="1346" t="s">
        <v>41</v>
      </c>
      <c r="P45" s="1345"/>
      <c r="Q45" s="1344"/>
      <c r="R45" s="1344">
        <f ca="1">SUM(R40:R44)</f>
        <v>1314.4766929065745</v>
      </c>
      <c r="S45" s="1344"/>
    </row>
    <row r="46" spans="1:19" s="1302" customFormat="1" ht="15.6">
      <c r="A46" s="1328"/>
      <c r="B46" s="1327">
        <v>44395</v>
      </c>
      <c r="C46" s="1326">
        <v>39</v>
      </c>
      <c r="D46" s="1323">
        <f t="shared" si="7"/>
        <v>443598</v>
      </c>
      <c r="E46" s="1325">
        <v>443680</v>
      </c>
      <c r="F46" s="1322">
        <f t="shared" si="0"/>
        <v>82</v>
      </c>
      <c r="G46" s="1322">
        <f t="shared" si="1"/>
        <v>6130</v>
      </c>
      <c r="H46" s="1322">
        <f t="shared" si="2"/>
        <v>157.17948717948718</v>
      </c>
      <c r="I46" s="1322">
        <f t="shared" si="3"/>
        <v>57370.51282051282</v>
      </c>
      <c r="J46" s="1324">
        <f t="shared" ca="1" si="8"/>
        <v>3.6263198163733739</v>
      </c>
      <c r="K46" s="1340">
        <f t="shared" si="5"/>
        <v>100.65002249212776</v>
      </c>
      <c r="L46" s="1323">
        <f t="shared" si="6"/>
        <v>32680</v>
      </c>
      <c r="M46" s="1322"/>
      <c r="N46" s="1322"/>
      <c r="O46" s="1346" t="s">
        <v>1174</v>
      </c>
      <c r="P46" s="1345"/>
      <c r="Q46" s="1344"/>
      <c r="R46" s="1344">
        <f ca="1">R45*0.25</f>
        <v>328.61917322664362</v>
      </c>
      <c r="S46" s="1344"/>
    </row>
    <row r="47" spans="1:19" s="1302" customFormat="1" ht="15.6">
      <c r="A47" s="1328"/>
      <c r="B47" s="1327">
        <v>44396</v>
      </c>
      <c r="C47" s="1326">
        <v>40</v>
      </c>
      <c r="D47" s="1323">
        <f t="shared" si="7"/>
        <v>443680</v>
      </c>
      <c r="E47" s="1325">
        <v>443762</v>
      </c>
      <c r="F47" s="1322">
        <f t="shared" si="0"/>
        <v>82</v>
      </c>
      <c r="G47" s="1322">
        <f t="shared" si="1"/>
        <v>6212</v>
      </c>
      <c r="H47" s="1322">
        <f t="shared" si="2"/>
        <v>155.30000000000001</v>
      </c>
      <c r="I47" s="1322">
        <f t="shared" si="3"/>
        <v>56684.500000000007</v>
      </c>
      <c r="J47" s="1324">
        <f t="shared" ca="1" si="8"/>
        <v>3.6263198163733739</v>
      </c>
      <c r="K47" s="1340">
        <f t="shared" si="5"/>
        <v>99.446491228070187</v>
      </c>
      <c r="L47" s="1323">
        <f t="shared" si="6"/>
        <v>32762</v>
      </c>
      <c r="M47" s="1322"/>
      <c r="N47" s="1322"/>
      <c r="O47" s="1346"/>
      <c r="P47" s="1345"/>
      <c r="Q47" s="1344"/>
      <c r="R47" s="1344">
        <f ca="1">SUM(R45:R46)</f>
        <v>1643.0958661332181</v>
      </c>
      <c r="S47" s="1344"/>
    </row>
    <row r="48" spans="1:19" s="1302" customFormat="1" ht="15.6">
      <c r="A48" s="1328"/>
      <c r="B48" s="1327">
        <v>44397</v>
      </c>
      <c r="C48" s="1326">
        <v>41</v>
      </c>
      <c r="D48" s="1323">
        <f t="shared" si="7"/>
        <v>443762</v>
      </c>
      <c r="E48" s="1325">
        <v>443844</v>
      </c>
      <c r="F48" s="1322">
        <f t="shared" si="0"/>
        <v>82</v>
      </c>
      <c r="G48" s="1322">
        <f t="shared" si="1"/>
        <v>6294</v>
      </c>
      <c r="H48" s="1322">
        <f t="shared" si="2"/>
        <v>153.51219512195121</v>
      </c>
      <c r="I48" s="1322">
        <f t="shared" si="3"/>
        <v>56031.951219512193</v>
      </c>
      <c r="J48" s="1324">
        <f t="shared" ca="1" si="8"/>
        <v>3.6263198163733739</v>
      </c>
      <c r="K48" s="1340">
        <f t="shared" si="5"/>
        <v>98.301668806161743</v>
      </c>
      <c r="L48" s="1323">
        <f t="shared" si="6"/>
        <v>32844</v>
      </c>
      <c r="M48" s="1322"/>
      <c r="N48" s="1322"/>
      <c r="O48" s="1346" t="s">
        <v>1173</v>
      </c>
      <c r="P48" s="1345"/>
      <c r="Q48" s="1344"/>
      <c r="R48" s="1344">
        <f ca="1">R38</f>
        <v>1478.7862795198962</v>
      </c>
      <c r="S48" s="1344"/>
    </row>
    <row r="49" spans="1:20" s="1302" customFormat="1" ht="15.6">
      <c r="A49" s="1328"/>
      <c r="B49" s="1327">
        <v>44398</v>
      </c>
      <c r="C49" s="1326">
        <v>42</v>
      </c>
      <c r="D49" s="1323">
        <f t="shared" si="7"/>
        <v>443844</v>
      </c>
      <c r="E49" s="1325">
        <v>444195</v>
      </c>
      <c r="F49" s="1322">
        <f t="shared" si="0"/>
        <v>351</v>
      </c>
      <c r="G49" s="1322">
        <f t="shared" si="1"/>
        <v>6645</v>
      </c>
      <c r="H49" s="1322">
        <f t="shared" si="2"/>
        <v>158.21428571428572</v>
      </c>
      <c r="I49" s="1322">
        <f t="shared" si="3"/>
        <v>57748.21428571429</v>
      </c>
      <c r="J49" s="1324">
        <f t="shared" ca="1" si="8"/>
        <v>15.522417750573833</v>
      </c>
      <c r="K49" s="1340">
        <f t="shared" si="5"/>
        <v>101.31265664160402</v>
      </c>
      <c r="L49" s="1323">
        <f t="shared" si="6"/>
        <v>33195</v>
      </c>
      <c r="M49" s="1322" t="s">
        <v>238</v>
      </c>
      <c r="N49" s="1322"/>
      <c r="O49" s="1343" t="s">
        <v>1172</v>
      </c>
      <c r="P49" s="1342"/>
      <c r="Q49" s="1341"/>
      <c r="R49" s="1341">
        <f ca="1">R47-R48</f>
        <v>164.30958661332193</v>
      </c>
      <c r="S49" s="1341"/>
    </row>
    <row r="50" spans="1:20" s="1302" customFormat="1" ht="15.6">
      <c r="A50" s="1328"/>
      <c r="B50" s="1327">
        <v>44399</v>
      </c>
      <c r="C50" s="1326">
        <v>43</v>
      </c>
      <c r="D50" s="1323">
        <f t="shared" si="7"/>
        <v>444195</v>
      </c>
      <c r="E50" s="1325">
        <v>444270</v>
      </c>
      <c r="F50" s="1322">
        <f t="shared" si="0"/>
        <v>75</v>
      </c>
      <c r="G50" s="1322">
        <f t="shared" si="1"/>
        <v>6720</v>
      </c>
      <c r="H50" s="1322">
        <f t="shared" si="2"/>
        <v>156.27906976744185</v>
      </c>
      <c r="I50" s="1322">
        <f t="shared" si="3"/>
        <v>57041.860465116275</v>
      </c>
      <c r="J50" s="1324">
        <f t="shared" ca="1" si="8"/>
        <v>3.3167559296097933</v>
      </c>
      <c r="K50" s="1340">
        <f t="shared" si="5"/>
        <v>100.07343941248469</v>
      </c>
      <c r="L50" s="1323">
        <f t="shared" si="6"/>
        <v>33270</v>
      </c>
      <c r="M50" s="1322"/>
      <c r="N50" s="1322"/>
      <c r="O50" s="1343" t="s">
        <v>1171</v>
      </c>
      <c r="P50" s="1342"/>
      <c r="Q50" s="1341"/>
      <c r="R50" s="1341">
        <f ca="1">R38</f>
        <v>1478.7862795198962</v>
      </c>
      <c r="S50" s="1341"/>
    </row>
    <row r="51" spans="1:20" s="1302" customFormat="1" ht="15.6">
      <c r="A51" s="1328"/>
      <c r="B51" s="1327">
        <v>44400</v>
      </c>
      <c r="C51" s="1326">
        <v>44</v>
      </c>
      <c r="D51" s="1323">
        <f t="shared" si="7"/>
        <v>444270</v>
      </c>
      <c r="E51" s="1325">
        <v>444345</v>
      </c>
      <c r="F51" s="1322">
        <f t="shared" si="0"/>
        <v>75</v>
      </c>
      <c r="G51" s="1322">
        <f t="shared" si="1"/>
        <v>6795</v>
      </c>
      <c r="H51" s="1322">
        <f t="shared" si="2"/>
        <v>154.43181818181819</v>
      </c>
      <c r="I51" s="1322">
        <f t="shared" si="3"/>
        <v>56367.61363636364</v>
      </c>
      <c r="J51" s="1324">
        <f t="shared" ca="1" si="8"/>
        <v>3.3167559296097933</v>
      </c>
      <c r="K51" s="1340">
        <f t="shared" si="5"/>
        <v>98.890550239234457</v>
      </c>
      <c r="L51" s="1323">
        <f t="shared" si="6"/>
        <v>33345</v>
      </c>
      <c r="M51" s="1322"/>
      <c r="N51" s="1322"/>
      <c r="O51" s="1343" t="s">
        <v>1170</v>
      </c>
      <c r="P51" s="1342"/>
      <c r="Q51" s="1341"/>
      <c r="R51" s="1341">
        <f ca="1">SUM(R49:R50)</f>
        <v>1643.0958661332181</v>
      </c>
      <c r="S51" s="1341"/>
    </row>
    <row r="52" spans="1:20" s="1302" customFormat="1" ht="15.6">
      <c r="A52" s="1328"/>
      <c r="B52" s="1327">
        <v>44401</v>
      </c>
      <c r="C52" s="1326">
        <v>45</v>
      </c>
      <c r="D52" s="1323">
        <f t="shared" si="7"/>
        <v>444345</v>
      </c>
      <c r="E52" s="1325">
        <v>444421</v>
      </c>
      <c r="F52" s="1322">
        <f t="shared" si="0"/>
        <v>76</v>
      </c>
      <c r="G52" s="1322">
        <f t="shared" si="1"/>
        <v>6871</v>
      </c>
      <c r="H52" s="1322">
        <f t="shared" si="2"/>
        <v>152.6888888888889</v>
      </c>
      <c r="I52" s="1322">
        <f t="shared" si="3"/>
        <v>55731.444444444445</v>
      </c>
      <c r="J52" s="1324">
        <f t="shared" ca="1" si="8"/>
        <v>3.3609793420045904</v>
      </c>
      <c r="K52" s="1340">
        <f t="shared" si="5"/>
        <v>97.774463937621832</v>
      </c>
      <c r="L52" s="1323">
        <f t="shared" si="6"/>
        <v>33421</v>
      </c>
      <c r="M52" s="1322"/>
      <c r="N52" s="1322"/>
      <c r="O52" s="1305"/>
      <c r="P52" s="1305"/>
      <c r="Q52" s="1304"/>
      <c r="R52" s="1303"/>
      <c r="S52" s="1303"/>
      <c r="T52" s="1303"/>
    </row>
    <row r="53" spans="1:20" s="1302" customFormat="1" ht="15.6">
      <c r="A53" s="1328"/>
      <c r="B53" s="1327">
        <v>44402</v>
      </c>
      <c r="C53" s="1326">
        <v>46</v>
      </c>
      <c r="D53" s="1323">
        <f t="shared" si="7"/>
        <v>444421</v>
      </c>
      <c r="E53" s="1325">
        <v>444497</v>
      </c>
      <c r="F53" s="1322">
        <f t="shared" si="0"/>
        <v>76</v>
      </c>
      <c r="G53" s="1322">
        <f t="shared" si="1"/>
        <v>6947</v>
      </c>
      <c r="H53" s="1322">
        <f t="shared" si="2"/>
        <v>151.02173913043478</v>
      </c>
      <c r="I53" s="1322">
        <f t="shared" si="3"/>
        <v>55122.934782608696</v>
      </c>
      <c r="J53" s="1324">
        <f t="shared" ca="1" si="8"/>
        <v>3.3609793420045904</v>
      </c>
      <c r="K53" s="1340">
        <f t="shared" si="5"/>
        <v>96.706903127383683</v>
      </c>
      <c r="L53" s="1323">
        <f t="shared" si="6"/>
        <v>33497</v>
      </c>
      <c r="M53" s="1322"/>
      <c r="N53" s="1322"/>
      <c r="O53" s="1305"/>
      <c r="P53" s="1305"/>
      <c r="Q53" s="1304"/>
      <c r="R53" s="1303"/>
      <c r="S53" s="1303"/>
      <c r="T53" s="1303"/>
    </row>
    <row r="54" spans="1:20" s="1302" customFormat="1" ht="15.6">
      <c r="A54" s="1328"/>
      <c r="B54" s="1327">
        <v>44403</v>
      </c>
      <c r="C54" s="1326">
        <v>47</v>
      </c>
      <c r="D54" s="1323">
        <f t="shared" si="7"/>
        <v>444497</v>
      </c>
      <c r="E54" s="1325">
        <v>444565</v>
      </c>
      <c r="F54" s="1322">
        <f t="shared" si="0"/>
        <v>68</v>
      </c>
      <c r="G54" s="1322">
        <f t="shared" si="1"/>
        <v>7015</v>
      </c>
      <c r="H54" s="1322">
        <f t="shared" si="2"/>
        <v>149.25531914893617</v>
      </c>
      <c r="I54" s="1322">
        <f t="shared" si="3"/>
        <v>54478.191489361699</v>
      </c>
      <c r="J54" s="1324">
        <f t="shared" ca="1" si="8"/>
        <v>3.0071920428462127</v>
      </c>
      <c r="K54" s="1340">
        <f t="shared" si="5"/>
        <v>95.575774542739822</v>
      </c>
      <c r="L54" s="1323">
        <f t="shared" si="6"/>
        <v>33565</v>
      </c>
      <c r="M54" s="1322"/>
      <c r="N54" s="1322"/>
      <c r="O54" s="1305"/>
      <c r="P54" s="1305"/>
      <c r="Q54" s="1304"/>
      <c r="R54" s="1303"/>
      <c r="S54" s="1303"/>
      <c r="T54" s="1303"/>
    </row>
    <row r="55" spans="1:20" s="1302" customFormat="1" ht="15.6">
      <c r="A55" s="1328"/>
      <c r="B55" s="1327">
        <v>44404</v>
      </c>
      <c r="C55" s="1326">
        <v>48</v>
      </c>
      <c r="D55" s="1323">
        <f t="shared" si="7"/>
        <v>444565</v>
      </c>
      <c r="E55" s="1325">
        <v>444657</v>
      </c>
      <c r="F55" s="1322">
        <f t="shared" si="0"/>
        <v>92</v>
      </c>
      <c r="G55" s="1322">
        <f t="shared" si="1"/>
        <v>7107</v>
      </c>
      <c r="H55" s="1322">
        <f t="shared" si="2"/>
        <v>148.0625</v>
      </c>
      <c r="I55" s="1322">
        <f t="shared" si="3"/>
        <v>54042.8125</v>
      </c>
      <c r="J55" s="1324">
        <f t="shared" ca="1" si="8"/>
        <v>4.0685539403213467</v>
      </c>
      <c r="K55" s="1340">
        <f t="shared" si="5"/>
        <v>94.811951754385959</v>
      </c>
      <c r="L55" s="1323">
        <f t="shared" si="6"/>
        <v>33657</v>
      </c>
      <c r="M55" s="1322"/>
      <c r="N55" s="1322"/>
      <c r="O55" s="1305"/>
      <c r="P55" s="1305"/>
      <c r="Q55" s="1304"/>
      <c r="R55" s="1303"/>
      <c r="S55" s="1303"/>
      <c r="T55" s="1303"/>
    </row>
    <row r="56" spans="1:20" s="1302" customFormat="1" ht="15.6">
      <c r="A56" s="1328"/>
      <c r="B56" s="1327">
        <v>44405</v>
      </c>
      <c r="C56" s="1326">
        <v>49</v>
      </c>
      <c r="D56" s="1323">
        <f t="shared" si="7"/>
        <v>444657</v>
      </c>
      <c r="E56" s="1325">
        <v>444749</v>
      </c>
      <c r="F56" s="1322">
        <f t="shared" si="0"/>
        <v>92</v>
      </c>
      <c r="G56" s="1322">
        <f t="shared" si="1"/>
        <v>7199</v>
      </c>
      <c r="H56" s="1322">
        <f t="shared" si="2"/>
        <v>146.91836734693877</v>
      </c>
      <c r="I56" s="1322">
        <f t="shared" si="3"/>
        <v>53625.204081632648</v>
      </c>
      <c r="J56" s="1324">
        <f t="shared" ca="1" si="8"/>
        <v>4.0685539403213467</v>
      </c>
      <c r="K56" s="1340">
        <f t="shared" si="5"/>
        <v>94.079305406373066</v>
      </c>
      <c r="L56" s="1323">
        <f t="shared" si="6"/>
        <v>33749</v>
      </c>
      <c r="M56" s="1322"/>
      <c r="N56" s="1322"/>
      <c r="O56" s="1305"/>
      <c r="P56" s="1305"/>
      <c r="Q56" s="1304"/>
      <c r="R56" s="1303"/>
      <c r="S56" s="1303"/>
      <c r="T56" s="1303"/>
    </row>
    <row r="57" spans="1:20" s="1302" customFormat="1" ht="15.6">
      <c r="A57" s="1328"/>
      <c r="B57" s="1327">
        <v>44406</v>
      </c>
      <c r="C57" s="1326">
        <v>50</v>
      </c>
      <c r="D57" s="1323">
        <f t="shared" si="7"/>
        <v>444749</v>
      </c>
      <c r="E57" s="1325">
        <v>444841</v>
      </c>
      <c r="F57" s="1322">
        <f t="shared" si="0"/>
        <v>92</v>
      </c>
      <c r="G57" s="1322">
        <f t="shared" si="1"/>
        <v>7291</v>
      </c>
      <c r="H57" s="1322">
        <f t="shared" si="2"/>
        <v>145.82</v>
      </c>
      <c r="I57" s="1322">
        <f t="shared" si="3"/>
        <v>53224.299999999996</v>
      </c>
      <c r="J57" s="1324">
        <f t="shared" ca="1" si="8"/>
        <v>4.0685539403213467</v>
      </c>
      <c r="K57" s="1340">
        <f t="shared" si="5"/>
        <v>93.375964912280693</v>
      </c>
      <c r="L57" s="1323">
        <f t="shared" si="6"/>
        <v>33841</v>
      </c>
      <c r="M57" s="1322"/>
      <c r="N57" s="1322"/>
      <c r="O57" s="1305"/>
      <c r="P57" s="1305"/>
      <c r="Q57" s="1304"/>
      <c r="R57" s="1303"/>
      <c r="S57" s="1303"/>
      <c r="T57" s="1303"/>
    </row>
    <row r="58" spans="1:20" s="1302" customFormat="1" ht="15.6">
      <c r="A58" s="1328"/>
      <c r="B58" s="1327">
        <v>44407</v>
      </c>
      <c r="C58" s="1326">
        <v>51</v>
      </c>
      <c r="D58" s="1323">
        <f t="shared" si="7"/>
        <v>444841</v>
      </c>
      <c r="E58" s="1325">
        <v>444931</v>
      </c>
      <c r="F58" s="1322">
        <f t="shared" si="0"/>
        <v>90</v>
      </c>
      <c r="G58" s="1322">
        <f t="shared" si="1"/>
        <v>7381</v>
      </c>
      <c r="H58" s="1322">
        <f t="shared" si="2"/>
        <v>144.72549019607843</v>
      </c>
      <c r="I58" s="1322">
        <f t="shared" si="3"/>
        <v>52824.803921568622</v>
      </c>
      <c r="J58" s="1324">
        <f t="shared" ca="1" si="8"/>
        <v>3.980107115531752</v>
      </c>
      <c r="K58" s="1340">
        <f t="shared" si="5"/>
        <v>92.675094599243195</v>
      </c>
      <c r="L58" s="1323">
        <f t="shared" si="6"/>
        <v>33931</v>
      </c>
      <c r="M58" s="1322"/>
      <c r="N58" s="1322"/>
      <c r="O58" s="1305"/>
      <c r="P58" s="1305"/>
      <c r="Q58" s="1304"/>
      <c r="R58" s="1303"/>
      <c r="S58" s="1303"/>
      <c r="T58" s="1303"/>
    </row>
    <row r="59" spans="1:20" s="1302" customFormat="1" ht="15.6">
      <c r="A59" s="1328"/>
      <c r="B59" s="1327">
        <v>44408</v>
      </c>
      <c r="C59" s="1326">
        <v>52</v>
      </c>
      <c r="D59" s="1323">
        <f t="shared" si="7"/>
        <v>444931</v>
      </c>
      <c r="E59" s="1325">
        <v>444984</v>
      </c>
      <c r="F59" s="1322">
        <f t="shared" si="0"/>
        <v>53</v>
      </c>
      <c r="G59" s="1322">
        <f t="shared" si="1"/>
        <v>7434</v>
      </c>
      <c r="H59" s="1322">
        <f t="shared" si="2"/>
        <v>142.96153846153845</v>
      </c>
      <c r="I59" s="1322">
        <f t="shared" si="3"/>
        <v>52180.961538461532</v>
      </c>
      <c r="J59" s="1324">
        <f t="shared" ca="1" si="8"/>
        <v>2.3438408569242539</v>
      </c>
      <c r="K59" s="1340">
        <f t="shared" si="5"/>
        <v>91.545546558704444</v>
      </c>
      <c r="L59" s="1323">
        <f t="shared" si="6"/>
        <v>33984</v>
      </c>
      <c r="M59" s="1322"/>
      <c r="N59" s="1322"/>
      <c r="O59" s="1305"/>
      <c r="P59" s="1305"/>
      <c r="Q59" s="1304"/>
      <c r="R59" s="1303"/>
      <c r="S59" s="1303"/>
      <c r="T59" s="1303"/>
    </row>
    <row r="60" spans="1:20" s="1302" customFormat="1" ht="15.6">
      <c r="A60" s="1328"/>
      <c r="B60" s="1327">
        <v>44409</v>
      </c>
      <c r="C60" s="1326">
        <v>53</v>
      </c>
      <c r="D60" s="1323">
        <f t="shared" si="7"/>
        <v>444984</v>
      </c>
      <c r="E60" s="1325">
        <v>445038</v>
      </c>
      <c r="F60" s="1322">
        <f t="shared" si="0"/>
        <v>54</v>
      </c>
      <c r="G60" s="1322">
        <f t="shared" si="1"/>
        <v>7488</v>
      </c>
      <c r="H60" s="1322">
        <f t="shared" si="2"/>
        <v>141.28301886792454</v>
      </c>
      <c r="I60" s="1322">
        <f t="shared" si="3"/>
        <v>51568.301886792455</v>
      </c>
      <c r="J60" s="1324">
        <f t="shared" ca="1" si="8"/>
        <v>2.388064269319051</v>
      </c>
      <c r="K60" s="1340">
        <f t="shared" si="5"/>
        <v>90.47070506454817</v>
      </c>
      <c r="L60" s="1323">
        <f t="shared" si="6"/>
        <v>34038</v>
      </c>
      <c r="M60" s="1322"/>
      <c r="N60" s="1322"/>
      <c r="O60" s="1305"/>
      <c r="P60" s="1305"/>
      <c r="Q60" s="1304"/>
      <c r="R60" s="1303"/>
      <c r="S60" s="1303"/>
      <c r="T60" s="1303"/>
    </row>
    <row r="61" spans="1:20" s="1302" customFormat="1" ht="15.6">
      <c r="A61" s="1328"/>
      <c r="B61" s="1327">
        <v>44410</v>
      </c>
      <c r="C61" s="1326">
        <v>54</v>
      </c>
      <c r="D61" s="1323">
        <f t="shared" si="7"/>
        <v>445038</v>
      </c>
      <c r="E61" s="1325">
        <v>445109</v>
      </c>
      <c r="F61" s="1322">
        <f t="shared" si="0"/>
        <v>71</v>
      </c>
      <c r="G61" s="1322">
        <f t="shared" si="1"/>
        <v>7559</v>
      </c>
      <c r="H61" s="1322">
        <f t="shared" si="2"/>
        <v>139.9814814814815</v>
      </c>
      <c r="I61" s="1322">
        <f t="shared" si="3"/>
        <v>51093.240740740745</v>
      </c>
      <c r="J61" s="1324">
        <f t="shared" ca="1" si="8"/>
        <v>3.1398622800306044</v>
      </c>
      <c r="K61" s="1340">
        <f t="shared" si="5"/>
        <v>89.637264457439898</v>
      </c>
      <c r="L61" s="1323">
        <f t="shared" si="6"/>
        <v>34109</v>
      </c>
      <c r="M61" s="1322"/>
      <c r="N61" s="1322"/>
      <c r="O61" s="1305"/>
      <c r="P61" s="1305"/>
      <c r="Q61" s="1304"/>
      <c r="R61" s="1303"/>
      <c r="S61" s="1303"/>
      <c r="T61" s="1303"/>
    </row>
    <row r="62" spans="1:20" s="1302" customFormat="1" ht="15.6">
      <c r="A62" s="1328"/>
      <c r="B62" s="1327">
        <v>44411</v>
      </c>
      <c r="C62" s="1326">
        <v>55</v>
      </c>
      <c r="D62" s="1323">
        <f t="shared" si="7"/>
        <v>445109</v>
      </c>
      <c r="E62" s="1325">
        <v>445195</v>
      </c>
      <c r="F62" s="1322">
        <f t="shared" si="0"/>
        <v>86</v>
      </c>
      <c r="G62" s="1322">
        <f t="shared" si="1"/>
        <v>7645</v>
      </c>
      <c r="H62" s="1322">
        <f t="shared" si="2"/>
        <v>139</v>
      </c>
      <c r="I62" s="1322">
        <f t="shared" si="3"/>
        <v>50735</v>
      </c>
      <c r="J62" s="1324">
        <f t="shared" ca="1" si="8"/>
        <v>3.8032134659525627</v>
      </c>
      <c r="K62" s="1340">
        <f t="shared" si="5"/>
        <v>89.008771929824562</v>
      </c>
      <c r="L62" s="1323">
        <f t="shared" si="6"/>
        <v>34195</v>
      </c>
      <c r="M62" s="1322"/>
      <c r="N62" s="1322"/>
      <c r="O62" s="1305"/>
      <c r="P62" s="1305"/>
      <c r="Q62" s="1304"/>
      <c r="R62" s="1303"/>
      <c r="S62" s="1303"/>
      <c r="T62" s="1303"/>
    </row>
    <row r="63" spans="1:20" s="1302" customFormat="1" ht="15.6">
      <c r="A63" s="1328"/>
      <c r="B63" s="1327">
        <v>44412</v>
      </c>
      <c r="C63" s="1326">
        <v>56</v>
      </c>
      <c r="D63" s="1323">
        <f t="shared" si="7"/>
        <v>445195</v>
      </c>
      <c r="E63" s="1325">
        <v>445282</v>
      </c>
      <c r="F63" s="1322">
        <f t="shared" si="0"/>
        <v>87</v>
      </c>
      <c r="G63" s="1322">
        <f t="shared" si="1"/>
        <v>7732</v>
      </c>
      <c r="H63" s="1322">
        <f t="shared" si="2"/>
        <v>138.07142857142858</v>
      </c>
      <c r="I63" s="1322">
        <f t="shared" si="3"/>
        <v>50396.071428571435</v>
      </c>
      <c r="J63" s="1324">
        <f t="shared" ca="1" si="8"/>
        <v>3.8474368783473603</v>
      </c>
      <c r="K63" s="1340">
        <f t="shared" si="5"/>
        <v>88.414160401002519</v>
      </c>
      <c r="L63" s="1323">
        <f t="shared" si="6"/>
        <v>34282</v>
      </c>
      <c r="M63" s="1322"/>
      <c r="N63" s="1322"/>
      <c r="O63" s="1305"/>
      <c r="P63" s="1305"/>
      <c r="Q63" s="1304"/>
      <c r="R63" s="1303"/>
      <c r="S63" s="1303"/>
      <c r="T63" s="1303"/>
    </row>
    <row r="64" spans="1:20" s="1302" customFormat="1" ht="15.6">
      <c r="A64" s="1328"/>
      <c r="B64" s="1327">
        <v>44413</v>
      </c>
      <c r="C64" s="1326">
        <v>57</v>
      </c>
      <c r="D64" s="1323">
        <f t="shared" si="7"/>
        <v>445282</v>
      </c>
      <c r="E64" s="1325">
        <v>446084</v>
      </c>
      <c r="F64" s="1322">
        <f t="shared" si="0"/>
        <v>802</v>
      </c>
      <c r="G64" s="1322">
        <f t="shared" si="1"/>
        <v>8534</v>
      </c>
      <c r="H64" s="1322">
        <f t="shared" si="2"/>
        <v>149.71929824561403</v>
      </c>
      <c r="I64" s="1322">
        <f t="shared" si="3"/>
        <v>54647.543859649122</v>
      </c>
      <c r="J64" s="1324">
        <f t="shared" ca="1" si="8"/>
        <v>35.467176740627387</v>
      </c>
      <c r="K64" s="1340">
        <f t="shared" si="5"/>
        <v>95.872883964296705</v>
      </c>
      <c r="L64" s="1323">
        <f t="shared" si="6"/>
        <v>35084</v>
      </c>
      <c r="M64" s="1322" t="s">
        <v>238</v>
      </c>
      <c r="N64" s="1322"/>
      <c r="O64" s="1305"/>
      <c r="P64" s="1305"/>
      <c r="Q64" s="1304"/>
      <c r="R64" s="1303"/>
      <c r="S64" s="1303"/>
      <c r="T64" s="1303"/>
    </row>
    <row r="65" spans="1:14" s="1302" customFormat="1" ht="15.6">
      <c r="A65" s="1328"/>
      <c r="B65" s="1327">
        <v>44414</v>
      </c>
      <c r="C65" s="1326">
        <v>58</v>
      </c>
      <c r="D65" s="1323">
        <f t="shared" si="7"/>
        <v>446084</v>
      </c>
      <c r="E65" s="1325">
        <v>446144</v>
      </c>
      <c r="F65" s="1322">
        <f t="shared" si="0"/>
        <v>60</v>
      </c>
      <c r="G65" s="1322">
        <f t="shared" si="1"/>
        <v>8594</v>
      </c>
      <c r="H65" s="1322">
        <f t="shared" si="2"/>
        <v>148.17241379310346</v>
      </c>
      <c r="I65" s="1322">
        <f t="shared" si="3"/>
        <v>54082.931034482761</v>
      </c>
      <c r="J65" s="1324">
        <f t="shared" ca="1" si="8"/>
        <v>2.6534047436878345</v>
      </c>
      <c r="K65" s="1340">
        <f t="shared" si="5"/>
        <v>94.882335148215375</v>
      </c>
      <c r="L65" s="1323">
        <f t="shared" si="6"/>
        <v>35144</v>
      </c>
      <c r="M65" s="1322"/>
      <c r="N65" s="1322"/>
    </row>
    <row r="66" spans="1:14" s="1302" customFormat="1" ht="15.6">
      <c r="A66" s="1328"/>
      <c r="B66" s="1327">
        <v>44415</v>
      </c>
      <c r="C66" s="1326">
        <v>59</v>
      </c>
      <c r="D66" s="1323">
        <f t="shared" si="7"/>
        <v>446144</v>
      </c>
      <c r="E66" s="1325">
        <v>446213</v>
      </c>
      <c r="F66" s="1322">
        <f t="shared" si="0"/>
        <v>69</v>
      </c>
      <c r="G66" s="1322">
        <f t="shared" si="1"/>
        <v>8663</v>
      </c>
      <c r="H66" s="1322">
        <f t="shared" si="2"/>
        <v>146.83050847457628</v>
      </c>
      <c r="I66" s="1322">
        <f t="shared" si="3"/>
        <v>53593.135593220344</v>
      </c>
      <c r="J66" s="1324">
        <f t="shared" ca="1" si="8"/>
        <v>3.0514154552410098</v>
      </c>
      <c r="K66" s="1340">
        <f t="shared" si="5"/>
        <v>94.023044900386566</v>
      </c>
      <c r="L66" s="1323">
        <f t="shared" si="6"/>
        <v>35213</v>
      </c>
      <c r="M66" s="1322"/>
      <c r="N66" s="1322"/>
    </row>
    <row r="67" spans="1:14" s="1302" customFormat="1" ht="15.6">
      <c r="A67" s="1328"/>
      <c r="B67" s="1327">
        <v>44416</v>
      </c>
      <c r="C67" s="1326">
        <v>60</v>
      </c>
      <c r="D67" s="1323">
        <f t="shared" si="7"/>
        <v>446213</v>
      </c>
      <c r="E67" s="1325">
        <v>446523</v>
      </c>
      <c r="F67" s="1322">
        <f t="shared" si="0"/>
        <v>310</v>
      </c>
      <c r="G67" s="1322">
        <f t="shared" si="1"/>
        <v>8973</v>
      </c>
      <c r="H67" s="1322">
        <f t="shared" si="2"/>
        <v>149.55000000000001</v>
      </c>
      <c r="I67" s="1322">
        <f t="shared" si="3"/>
        <v>54585.750000000007</v>
      </c>
      <c r="J67" s="1324">
        <f t="shared" ca="1" si="8"/>
        <v>13.709257842387146</v>
      </c>
      <c r="K67" s="1340">
        <f t="shared" si="5"/>
        <v>95.764473684210543</v>
      </c>
      <c r="L67" s="1323">
        <f t="shared" si="6"/>
        <v>35523</v>
      </c>
      <c r="M67" s="1322" t="s">
        <v>238</v>
      </c>
      <c r="N67" s="1322"/>
    </row>
    <row r="68" spans="1:14" s="1302" customFormat="1" ht="15.6">
      <c r="A68" s="1328"/>
      <c r="B68" s="1327">
        <v>44417</v>
      </c>
      <c r="C68" s="1326">
        <v>61</v>
      </c>
      <c r="D68" s="1323">
        <f t="shared" si="7"/>
        <v>446523</v>
      </c>
      <c r="E68" s="1325">
        <v>446590</v>
      </c>
      <c r="F68" s="1322">
        <f t="shared" si="0"/>
        <v>67</v>
      </c>
      <c r="G68" s="1322">
        <f t="shared" si="1"/>
        <v>9040</v>
      </c>
      <c r="H68" s="1322">
        <f t="shared" si="2"/>
        <v>148.19672131147541</v>
      </c>
      <c r="I68" s="1322">
        <f t="shared" si="3"/>
        <v>54091.803278688523</v>
      </c>
      <c r="J68" s="1324">
        <f t="shared" ca="1" si="8"/>
        <v>2.9629686304514151</v>
      </c>
      <c r="K68" s="1340">
        <f t="shared" si="5"/>
        <v>94.897900488927235</v>
      </c>
      <c r="L68" s="1323">
        <f t="shared" si="6"/>
        <v>35590</v>
      </c>
      <c r="M68" s="1322"/>
      <c r="N68" s="1322"/>
    </row>
    <row r="69" spans="1:14" s="1302" customFormat="1" ht="15.6">
      <c r="A69" s="1328"/>
      <c r="B69" s="1327">
        <v>44418</v>
      </c>
      <c r="C69" s="1326">
        <v>62</v>
      </c>
      <c r="D69" s="1323">
        <f t="shared" si="7"/>
        <v>446590</v>
      </c>
      <c r="E69" s="1325">
        <v>446658</v>
      </c>
      <c r="F69" s="1322">
        <f t="shared" si="0"/>
        <v>68</v>
      </c>
      <c r="G69" s="1322">
        <f t="shared" si="1"/>
        <v>9108</v>
      </c>
      <c r="H69" s="1322">
        <f t="shared" si="2"/>
        <v>146.90322580645162</v>
      </c>
      <c r="I69" s="1322">
        <f t="shared" si="3"/>
        <v>53619.677419354841</v>
      </c>
      <c r="J69" s="1324">
        <f t="shared" ca="1" si="8"/>
        <v>3.0071920428462127</v>
      </c>
      <c r="K69" s="1340">
        <f t="shared" si="5"/>
        <v>94.069609507640067</v>
      </c>
      <c r="L69" s="1323">
        <f t="shared" si="6"/>
        <v>35658</v>
      </c>
      <c r="M69" s="1322"/>
      <c r="N69" s="1322"/>
    </row>
    <row r="70" spans="1:14" s="1302" customFormat="1" ht="15.6">
      <c r="A70" s="1328"/>
      <c r="B70" s="1327">
        <v>44419</v>
      </c>
      <c r="C70" s="1326">
        <v>63</v>
      </c>
      <c r="D70" s="1323">
        <f t="shared" si="7"/>
        <v>446658</v>
      </c>
      <c r="E70" s="1325">
        <v>446864</v>
      </c>
      <c r="F70" s="1322">
        <f t="shared" si="0"/>
        <v>206</v>
      </c>
      <c r="G70" s="1322">
        <f t="shared" si="1"/>
        <v>9314</v>
      </c>
      <c r="H70" s="1322">
        <f t="shared" si="2"/>
        <v>147.84126984126985</v>
      </c>
      <c r="I70" s="1322">
        <f t="shared" si="3"/>
        <v>53962.063492063498</v>
      </c>
      <c r="J70" s="1324">
        <f t="shared" ca="1" si="8"/>
        <v>9.1100229533282313</v>
      </c>
      <c r="K70" s="1340">
        <f t="shared" si="5"/>
        <v>94.670286828181574</v>
      </c>
      <c r="L70" s="1323">
        <f t="shared" si="6"/>
        <v>35864</v>
      </c>
      <c r="M70" s="1322"/>
      <c r="N70" s="1322"/>
    </row>
    <row r="71" spans="1:14" s="1302" customFormat="1" ht="15.6">
      <c r="A71" s="1328"/>
      <c r="B71" s="1327">
        <v>44420</v>
      </c>
      <c r="C71" s="1326">
        <v>64</v>
      </c>
      <c r="D71" s="1323">
        <f t="shared" si="7"/>
        <v>446864</v>
      </c>
      <c r="E71" s="1325">
        <v>446954</v>
      </c>
      <c r="F71" s="1322">
        <f t="shared" ref="F71:F134" si="9">E71-D71</f>
        <v>90</v>
      </c>
      <c r="G71" s="1322">
        <f t="shared" ref="G71:G134" si="10">E71-$E$7</f>
        <v>9404</v>
      </c>
      <c r="H71" s="1322">
        <f t="shared" si="2"/>
        <v>146.9375</v>
      </c>
      <c r="I71" s="1322">
        <f t="shared" si="3"/>
        <v>53632.1875</v>
      </c>
      <c r="J71" s="1324">
        <f t="shared" ca="1" si="8"/>
        <v>3.980107115531752</v>
      </c>
      <c r="K71" s="1340">
        <f t="shared" si="5"/>
        <v>94.091557017543863</v>
      </c>
      <c r="L71" s="1323">
        <f t="shared" si="6"/>
        <v>35954</v>
      </c>
      <c r="M71" s="1322"/>
      <c r="N71" s="1322"/>
    </row>
    <row r="72" spans="1:14" s="1302" customFormat="1" ht="15.6">
      <c r="A72" s="1328"/>
      <c r="B72" s="1327">
        <v>44421</v>
      </c>
      <c r="C72" s="1326">
        <v>65</v>
      </c>
      <c r="D72" s="1323">
        <f t="shared" si="7"/>
        <v>446954</v>
      </c>
      <c r="E72" s="1325">
        <v>447043</v>
      </c>
      <c r="F72" s="1322">
        <f t="shared" si="9"/>
        <v>89</v>
      </c>
      <c r="G72" s="1322">
        <f t="shared" si="10"/>
        <v>9493</v>
      </c>
      <c r="H72" s="1322">
        <f t="shared" ref="H72:H135" si="11">G72/C72</f>
        <v>146.04615384615386</v>
      </c>
      <c r="I72" s="1322">
        <f t="shared" ref="I72:I135" si="12">G72/C72*365</f>
        <v>53306.846153846156</v>
      </c>
      <c r="J72" s="1324">
        <f t="shared" ref="J72:J78" ca="1" si="13">F71:F72/$M$3</f>
        <v>3.9358837031369545</v>
      </c>
      <c r="K72" s="1340">
        <f t="shared" ref="K72:K135" si="14">I72/570</f>
        <v>93.520782726045894</v>
      </c>
      <c r="L72" s="1323">
        <f t="shared" ref="L72:L135" si="15">E72-411000</f>
        <v>36043</v>
      </c>
      <c r="M72" s="1322"/>
      <c r="N72" s="1322"/>
    </row>
    <row r="73" spans="1:14" s="1302" customFormat="1" ht="15.6">
      <c r="A73" s="1328"/>
      <c r="B73" s="1327">
        <v>44422</v>
      </c>
      <c r="C73" s="1326">
        <v>66</v>
      </c>
      <c r="D73" s="1323">
        <f t="shared" si="7"/>
        <v>447043</v>
      </c>
      <c r="E73" s="1325">
        <v>447133</v>
      </c>
      <c r="F73" s="1322">
        <f t="shared" si="9"/>
        <v>90</v>
      </c>
      <c r="G73" s="1322">
        <f t="shared" si="10"/>
        <v>9583</v>
      </c>
      <c r="H73" s="1322">
        <f t="shared" si="11"/>
        <v>145.19696969696969</v>
      </c>
      <c r="I73" s="1322">
        <f t="shared" si="12"/>
        <v>52996.893939393936</v>
      </c>
      <c r="J73" s="1324">
        <f t="shared" ca="1" si="13"/>
        <v>3.980107115531752</v>
      </c>
      <c r="K73" s="1340">
        <f t="shared" si="14"/>
        <v>92.97700691121743</v>
      </c>
      <c r="L73" s="1323">
        <f t="shared" si="15"/>
        <v>36133</v>
      </c>
      <c r="M73" s="1322"/>
      <c r="N73" s="1322"/>
    </row>
    <row r="74" spans="1:14" s="1302" customFormat="1" ht="15.6">
      <c r="A74" s="1328"/>
      <c r="B74" s="1327">
        <v>44423</v>
      </c>
      <c r="C74" s="1326">
        <v>67</v>
      </c>
      <c r="D74" s="1323">
        <f t="shared" si="7"/>
        <v>447133</v>
      </c>
      <c r="E74" s="1325">
        <v>447228</v>
      </c>
      <c r="F74" s="1322">
        <f t="shared" si="9"/>
        <v>95</v>
      </c>
      <c r="G74" s="1322">
        <f t="shared" si="10"/>
        <v>9678</v>
      </c>
      <c r="H74" s="1322">
        <f t="shared" si="11"/>
        <v>144.44776119402985</v>
      </c>
      <c r="I74" s="1322">
        <f t="shared" si="12"/>
        <v>52723.432835820895</v>
      </c>
      <c r="J74" s="1324">
        <f t="shared" ca="1" si="13"/>
        <v>4.201224177505738</v>
      </c>
      <c r="K74" s="1340">
        <f t="shared" si="14"/>
        <v>92.497250589159464</v>
      </c>
      <c r="L74" s="1323">
        <f t="shared" si="15"/>
        <v>36228</v>
      </c>
      <c r="M74" s="1322"/>
      <c r="N74" s="1322"/>
    </row>
    <row r="75" spans="1:14" s="1302" customFormat="1" ht="15.6">
      <c r="A75" s="1328"/>
      <c r="B75" s="1327">
        <v>44424</v>
      </c>
      <c r="C75" s="1326">
        <v>68</v>
      </c>
      <c r="D75" s="1323">
        <f t="shared" si="7"/>
        <v>447228</v>
      </c>
      <c r="E75" s="1325">
        <v>447338</v>
      </c>
      <c r="F75" s="1322">
        <f t="shared" si="9"/>
        <v>110</v>
      </c>
      <c r="G75" s="1322">
        <f t="shared" si="10"/>
        <v>9788</v>
      </c>
      <c r="H75" s="1322">
        <f t="shared" si="11"/>
        <v>143.94117647058823</v>
      </c>
      <c r="I75" s="1322">
        <f t="shared" si="12"/>
        <v>52538.529411764706</v>
      </c>
      <c r="J75" s="1324">
        <f t="shared" ca="1" si="13"/>
        <v>4.8645753634276971</v>
      </c>
      <c r="K75" s="1340">
        <f t="shared" si="14"/>
        <v>92.17285861713107</v>
      </c>
      <c r="L75" s="1323">
        <f t="shared" si="15"/>
        <v>36338</v>
      </c>
      <c r="M75" s="1322"/>
      <c r="N75" s="1322"/>
    </row>
    <row r="76" spans="1:14" s="1302" customFormat="1" ht="15.6">
      <c r="A76" s="1328"/>
      <c r="B76" s="1327">
        <v>44425</v>
      </c>
      <c r="C76" s="1326">
        <v>69</v>
      </c>
      <c r="D76" s="1323">
        <f t="shared" si="7"/>
        <v>447338</v>
      </c>
      <c r="E76" s="1325">
        <v>447451</v>
      </c>
      <c r="F76" s="1322">
        <f t="shared" si="9"/>
        <v>113</v>
      </c>
      <c r="G76" s="1322">
        <f t="shared" si="10"/>
        <v>9901</v>
      </c>
      <c r="H76" s="1322">
        <f t="shared" si="11"/>
        <v>143.49275362318841</v>
      </c>
      <c r="I76" s="1322">
        <f t="shared" si="12"/>
        <v>52374.855072463768</v>
      </c>
      <c r="J76" s="1324">
        <f t="shared" ca="1" si="13"/>
        <v>4.9972456006120884</v>
      </c>
      <c r="K76" s="1340">
        <f t="shared" si="14"/>
        <v>91.885710653445202</v>
      </c>
      <c r="L76" s="1323">
        <f t="shared" si="15"/>
        <v>36451</v>
      </c>
      <c r="M76" s="1322"/>
      <c r="N76" s="1322"/>
    </row>
    <row r="77" spans="1:14" s="1302" customFormat="1" ht="15.6">
      <c r="A77" s="1328"/>
      <c r="B77" s="1327">
        <v>44426</v>
      </c>
      <c r="C77" s="1326">
        <v>70</v>
      </c>
      <c r="D77" s="1323">
        <f t="shared" si="7"/>
        <v>447451</v>
      </c>
      <c r="E77" s="1325">
        <v>447550</v>
      </c>
      <c r="F77" s="1322">
        <f t="shared" si="9"/>
        <v>99</v>
      </c>
      <c r="G77" s="1322">
        <f t="shared" si="10"/>
        <v>10000</v>
      </c>
      <c r="H77" s="1322">
        <f t="shared" si="11"/>
        <v>142.85714285714286</v>
      </c>
      <c r="I77" s="1322">
        <f t="shared" si="12"/>
        <v>52142.857142857145</v>
      </c>
      <c r="J77" s="1324">
        <f t="shared" ca="1" si="13"/>
        <v>4.3781178270849272</v>
      </c>
      <c r="K77" s="1340">
        <f t="shared" si="14"/>
        <v>91.478696741854634</v>
      </c>
      <c r="L77" s="1323">
        <f t="shared" si="15"/>
        <v>36550</v>
      </c>
      <c r="M77" s="1322"/>
      <c r="N77" s="1322"/>
    </row>
    <row r="78" spans="1:14" s="1302" customFormat="1" ht="15.6">
      <c r="A78" s="1328"/>
      <c r="B78" s="1327">
        <v>44427</v>
      </c>
      <c r="C78" s="1326">
        <v>71</v>
      </c>
      <c r="D78" s="1323">
        <f t="shared" si="7"/>
        <v>447550</v>
      </c>
      <c r="E78" s="1325">
        <v>447756</v>
      </c>
      <c r="F78" s="1322">
        <f t="shared" si="9"/>
        <v>206</v>
      </c>
      <c r="G78" s="1322">
        <f t="shared" si="10"/>
        <v>10206</v>
      </c>
      <c r="H78" s="1322">
        <f t="shared" si="11"/>
        <v>143.74647887323943</v>
      </c>
      <c r="I78" s="1322">
        <f t="shared" si="12"/>
        <v>52467.464788732388</v>
      </c>
      <c r="J78" s="1324">
        <f t="shared" ca="1" si="13"/>
        <v>9.1100229533282313</v>
      </c>
      <c r="K78" s="1340">
        <f t="shared" si="14"/>
        <v>92.048183839881389</v>
      </c>
      <c r="L78" s="1323">
        <f t="shared" si="15"/>
        <v>36756</v>
      </c>
      <c r="M78" s="1322" t="s">
        <v>238</v>
      </c>
      <c r="N78" s="1322"/>
    </row>
    <row r="79" spans="1:14" s="1302" customFormat="1" ht="16.5" customHeight="1">
      <c r="A79" s="1328"/>
      <c r="B79" s="1327">
        <v>44428</v>
      </c>
      <c r="C79" s="1326">
        <v>72</v>
      </c>
      <c r="D79" s="1323">
        <f t="shared" si="7"/>
        <v>447756</v>
      </c>
      <c r="E79" s="1335">
        <f>E78</f>
        <v>447756</v>
      </c>
      <c r="F79" s="1323">
        <f t="shared" si="9"/>
        <v>0</v>
      </c>
      <c r="G79" s="1323">
        <f t="shared" si="10"/>
        <v>10206</v>
      </c>
      <c r="H79" s="1323">
        <f t="shared" si="11"/>
        <v>141.75</v>
      </c>
      <c r="I79" s="1323">
        <f t="shared" si="12"/>
        <v>51738.75</v>
      </c>
      <c r="J79" s="1323"/>
      <c r="K79" s="1338">
        <f t="shared" si="14"/>
        <v>90.76973684210526</v>
      </c>
      <c r="L79" s="1323">
        <f t="shared" si="15"/>
        <v>36756</v>
      </c>
      <c r="M79" s="1323"/>
      <c r="N79" s="1323"/>
    </row>
    <row r="80" spans="1:14" s="1302" customFormat="1" ht="16.5" customHeight="1">
      <c r="A80" s="1328"/>
      <c r="B80" s="1327">
        <v>44429</v>
      </c>
      <c r="C80" s="1326">
        <v>73</v>
      </c>
      <c r="D80" s="1323">
        <f t="shared" ref="D80:D143" si="16">E79</f>
        <v>447756</v>
      </c>
      <c r="E80" s="1335">
        <f>E79</f>
        <v>447756</v>
      </c>
      <c r="F80" s="1323">
        <f t="shared" si="9"/>
        <v>0</v>
      </c>
      <c r="G80" s="1323">
        <f t="shared" si="10"/>
        <v>10206</v>
      </c>
      <c r="H80" s="1323">
        <f t="shared" si="11"/>
        <v>139.8082191780822</v>
      </c>
      <c r="I80" s="1323">
        <f t="shared" si="12"/>
        <v>51030</v>
      </c>
      <c r="J80" s="1323"/>
      <c r="K80" s="1338">
        <f t="shared" si="14"/>
        <v>89.526315789473685</v>
      </c>
      <c r="L80" s="1323">
        <f t="shared" si="15"/>
        <v>36756</v>
      </c>
      <c r="M80" s="1323"/>
      <c r="N80" s="1323"/>
    </row>
    <row r="81" spans="1:14" s="1302" customFormat="1" ht="16.5" customHeight="1">
      <c r="A81" s="1328"/>
      <c r="B81" s="1327">
        <v>44430</v>
      </c>
      <c r="C81" s="1326">
        <v>74</v>
      </c>
      <c r="D81" s="1323">
        <f t="shared" si="16"/>
        <v>447756</v>
      </c>
      <c r="E81" s="1335">
        <f>E80</f>
        <v>447756</v>
      </c>
      <c r="F81" s="1323">
        <f t="shared" si="9"/>
        <v>0</v>
      </c>
      <c r="G81" s="1323">
        <f t="shared" si="10"/>
        <v>10206</v>
      </c>
      <c r="H81" s="1323">
        <f t="shared" si="11"/>
        <v>137.91891891891891</v>
      </c>
      <c r="I81" s="1323">
        <f t="shared" si="12"/>
        <v>50340.4054054054</v>
      </c>
      <c r="J81" s="1323"/>
      <c r="K81" s="1338">
        <f t="shared" si="14"/>
        <v>88.316500711237538</v>
      </c>
      <c r="L81" s="1323">
        <f t="shared" si="15"/>
        <v>36756</v>
      </c>
      <c r="M81" s="1323"/>
      <c r="N81" s="1323"/>
    </row>
    <row r="82" spans="1:14" s="1302" customFormat="1" ht="15.6">
      <c r="A82" s="1328"/>
      <c r="B82" s="1327">
        <v>44431</v>
      </c>
      <c r="C82" s="1326">
        <v>75</v>
      </c>
      <c r="D82" s="1323">
        <f t="shared" si="16"/>
        <v>447756</v>
      </c>
      <c r="E82" s="1325">
        <v>448081</v>
      </c>
      <c r="F82" s="1322">
        <f t="shared" si="9"/>
        <v>325</v>
      </c>
      <c r="G82" s="1322">
        <f t="shared" si="10"/>
        <v>10531</v>
      </c>
      <c r="H82" s="1322">
        <f t="shared" si="11"/>
        <v>140.41333333333333</v>
      </c>
      <c r="I82" s="1322">
        <f t="shared" si="12"/>
        <v>51250.866666666661</v>
      </c>
      <c r="J82" s="1324">
        <f t="shared" ref="J82:J99" ca="1" si="17">F81:F82/$M$3</f>
        <v>14.372609028309103</v>
      </c>
      <c r="K82" s="1340">
        <f t="shared" si="14"/>
        <v>89.913801169590627</v>
      </c>
      <c r="L82" s="1323">
        <f t="shared" si="15"/>
        <v>37081</v>
      </c>
      <c r="M82" s="1322" t="s">
        <v>238</v>
      </c>
      <c r="N82" s="1322"/>
    </row>
    <row r="83" spans="1:14" s="1302" customFormat="1" ht="15.6">
      <c r="A83" s="1328"/>
      <c r="B83" s="1327">
        <v>44432</v>
      </c>
      <c r="C83" s="1326">
        <v>76</v>
      </c>
      <c r="D83" s="1323">
        <f t="shared" si="16"/>
        <v>448081</v>
      </c>
      <c r="E83" s="1325">
        <v>448366</v>
      </c>
      <c r="F83" s="1322">
        <f t="shared" si="9"/>
        <v>285</v>
      </c>
      <c r="G83" s="1322">
        <f t="shared" si="10"/>
        <v>10816</v>
      </c>
      <c r="H83" s="1322">
        <f t="shared" si="11"/>
        <v>142.31578947368422</v>
      </c>
      <c r="I83" s="1322">
        <f t="shared" si="12"/>
        <v>51945.26315789474</v>
      </c>
      <c r="J83" s="1324">
        <f t="shared" ca="1" si="17"/>
        <v>12.603672532517214</v>
      </c>
      <c r="K83" s="1340">
        <f t="shared" si="14"/>
        <v>91.132040627885516</v>
      </c>
      <c r="L83" s="1323">
        <f t="shared" si="15"/>
        <v>37366</v>
      </c>
      <c r="M83" s="1322"/>
      <c r="N83" s="1322"/>
    </row>
    <row r="84" spans="1:14" s="1302" customFormat="1" ht="15.6">
      <c r="A84" s="1328"/>
      <c r="B84" s="1327">
        <v>44433</v>
      </c>
      <c r="C84" s="1326">
        <v>77</v>
      </c>
      <c r="D84" s="1323">
        <f t="shared" si="16"/>
        <v>448366</v>
      </c>
      <c r="E84" s="1325">
        <v>448436</v>
      </c>
      <c r="F84" s="1322">
        <f t="shared" si="9"/>
        <v>70</v>
      </c>
      <c r="G84" s="1322">
        <f t="shared" si="10"/>
        <v>10886</v>
      </c>
      <c r="H84" s="1322">
        <f t="shared" si="11"/>
        <v>141.37662337662337</v>
      </c>
      <c r="I84" s="1322">
        <f t="shared" si="12"/>
        <v>51602.467532467534</v>
      </c>
      <c r="J84" s="1324">
        <f t="shared" ca="1" si="17"/>
        <v>3.0956388676358069</v>
      </c>
      <c r="K84" s="1340">
        <f t="shared" si="14"/>
        <v>90.530644793802693</v>
      </c>
      <c r="L84" s="1323">
        <f t="shared" si="15"/>
        <v>37436</v>
      </c>
      <c r="M84" s="1322"/>
      <c r="N84" s="1322"/>
    </row>
    <row r="85" spans="1:14" s="1302" customFormat="1" ht="15.6">
      <c r="A85" s="1328"/>
      <c r="B85" s="1327">
        <v>44434</v>
      </c>
      <c r="C85" s="1326">
        <v>78</v>
      </c>
      <c r="D85" s="1323">
        <f t="shared" si="16"/>
        <v>448436</v>
      </c>
      <c r="E85" s="1325">
        <v>448505</v>
      </c>
      <c r="F85" s="1322">
        <f t="shared" si="9"/>
        <v>69</v>
      </c>
      <c r="G85" s="1322">
        <f t="shared" si="10"/>
        <v>10955</v>
      </c>
      <c r="H85" s="1322">
        <f t="shared" si="11"/>
        <v>140.44871794871796</v>
      </c>
      <c r="I85" s="1322">
        <f t="shared" si="12"/>
        <v>51263.782051282054</v>
      </c>
      <c r="J85" s="1324">
        <f t="shared" ca="1" si="17"/>
        <v>3.0514154552410098</v>
      </c>
      <c r="K85" s="1340">
        <f t="shared" si="14"/>
        <v>89.936459739091319</v>
      </c>
      <c r="L85" s="1323">
        <f t="shared" si="15"/>
        <v>37505</v>
      </c>
      <c r="M85" s="1322"/>
      <c r="N85" s="1322"/>
    </row>
    <row r="86" spans="1:14" s="1302" customFormat="1" ht="15.6">
      <c r="A86" s="1328"/>
      <c r="B86" s="1327">
        <v>44435</v>
      </c>
      <c r="C86" s="1326">
        <v>79</v>
      </c>
      <c r="D86" s="1323">
        <f t="shared" si="16"/>
        <v>448505</v>
      </c>
      <c r="E86" s="1325">
        <v>448574</v>
      </c>
      <c r="F86" s="1322">
        <f t="shared" si="9"/>
        <v>69</v>
      </c>
      <c r="G86" s="1322">
        <f t="shared" si="10"/>
        <v>11024</v>
      </c>
      <c r="H86" s="1322">
        <f t="shared" si="11"/>
        <v>139.54430379746836</v>
      </c>
      <c r="I86" s="1322">
        <f t="shared" si="12"/>
        <v>50933.670886075954</v>
      </c>
      <c r="J86" s="1324">
        <f t="shared" ca="1" si="17"/>
        <v>3.0514154552410098</v>
      </c>
      <c r="K86" s="1340">
        <f t="shared" si="14"/>
        <v>89.357317343992904</v>
      </c>
      <c r="L86" s="1323">
        <f t="shared" si="15"/>
        <v>37574</v>
      </c>
      <c r="M86" s="1322"/>
      <c r="N86" s="1322"/>
    </row>
    <row r="87" spans="1:14" s="1302" customFormat="1" ht="15.6">
      <c r="A87" s="1328"/>
      <c r="B87" s="1327">
        <v>44436</v>
      </c>
      <c r="C87" s="1326">
        <v>80</v>
      </c>
      <c r="D87" s="1323">
        <f t="shared" si="16"/>
        <v>448574</v>
      </c>
      <c r="E87" s="1325">
        <v>448643</v>
      </c>
      <c r="F87" s="1322">
        <f t="shared" si="9"/>
        <v>69</v>
      </c>
      <c r="G87" s="1322">
        <f t="shared" si="10"/>
        <v>11093</v>
      </c>
      <c r="H87" s="1322">
        <f t="shared" si="11"/>
        <v>138.66249999999999</v>
      </c>
      <c r="I87" s="1322">
        <f t="shared" si="12"/>
        <v>50611.8125</v>
      </c>
      <c r="J87" s="1324">
        <f t="shared" ca="1" si="17"/>
        <v>3.0514154552410098</v>
      </c>
      <c r="K87" s="1340">
        <f t="shared" si="14"/>
        <v>88.792653508771934</v>
      </c>
      <c r="L87" s="1323">
        <f t="shared" si="15"/>
        <v>37643</v>
      </c>
      <c r="M87" s="1322"/>
      <c r="N87" s="1322"/>
    </row>
    <row r="88" spans="1:14" s="1302" customFormat="1" ht="15.6">
      <c r="A88" s="1328"/>
      <c r="B88" s="1327">
        <v>44437</v>
      </c>
      <c r="C88" s="1326">
        <v>81</v>
      </c>
      <c r="D88" s="1323">
        <f t="shared" si="16"/>
        <v>448643</v>
      </c>
      <c r="E88" s="1325">
        <v>448713</v>
      </c>
      <c r="F88" s="1322">
        <f t="shared" si="9"/>
        <v>70</v>
      </c>
      <c r="G88" s="1322">
        <f t="shared" si="10"/>
        <v>11163</v>
      </c>
      <c r="H88" s="1322">
        <f t="shared" si="11"/>
        <v>137.81481481481481</v>
      </c>
      <c r="I88" s="1322">
        <f t="shared" si="12"/>
        <v>50302.407407407409</v>
      </c>
      <c r="J88" s="1324">
        <f t="shared" ca="1" si="17"/>
        <v>3.0956388676358069</v>
      </c>
      <c r="K88" s="1340">
        <f t="shared" si="14"/>
        <v>88.249837556855098</v>
      </c>
      <c r="L88" s="1323">
        <f t="shared" si="15"/>
        <v>37713</v>
      </c>
      <c r="M88" s="1322"/>
      <c r="N88" s="1322"/>
    </row>
    <row r="89" spans="1:14" s="1302" customFormat="1" ht="15.6">
      <c r="A89" s="1328"/>
      <c r="B89" s="1327">
        <v>44438</v>
      </c>
      <c r="C89" s="1326">
        <v>82</v>
      </c>
      <c r="D89" s="1323">
        <f t="shared" si="16"/>
        <v>448713</v>
      </c>
      <c r="E89" s="1325">
        <v>448783</v>
      </c>
      <c r="F89" s="1322">
        <f t="shared" si="9"/>
        <v>70</v>
      </c>
      <c r="G89" s="1322">
        <f t="shared" si="10"/>
        <v>11233</v>
      </c>
      <c r="H89" s="1322">
        <f t="shared" si="11"/>
        <v>136.98780487804879</v>
      </c>
      <c r="I89" s="1322">
        <f t="shared" si="12"/>
        <v>50000.548780487807</v>
      </c>
      <c r="J89" s="1324">
        <f t="shared" ca="1" si="17"/>
        <v>3.0956388676358069</v>
      </c>
      <c r="K89" s="1340">
        <f t="shared" si="14"/>
        <v>87.720261018399654</v>
      </c>
      <c r="L89" s="1323">
        <f t="shared" si="15"/>
        <v>37783</v>
      </c>
      <c r="M89" s="1322"/>
      <c r="N89" s="1322"/>
    </row>
    <row r="90" spans="1:14" s="1302" customFormat="1" ht="15.6">
      <c r="A90" s="1328"/>
      <c r="B90" s="1327">
        <v>44439</v>
      </c>
      <c r="C90" s="1326">
        <v>83</v>
      </c>
      <c r="D90" s="1323">
        <f t="shared" si="16"/>
        <v>448783</v>
      </c>
      <c r="E90" s="1325">
        <v>448864</v>
      </c>
      <c r="F90" s="1322">
        <f t="shared" si="9"/>
        <v>81</v>
      </c>
      <c r="G90" s="1322">
        <f t="shared" si="10"/>
        <v>11314</v>
      </c>
      <c r="H90" s="1322">
        <f t="shared" si="11"/>
        <v>136.31325301204819</v>
      </c>
      <c r="I90" s="1322">
        <f t="shared" si="12"/>
        <v>49754.337349397589</v>
      </c>
      <c r="J90" s="1324">
        <f t="shared" ca="1" si="17"/>
        <v>3.5820964039785768</v>
      </c>
      <c r="K90" s="1340">
        <f t="shared" si="14"/>
        <v>87.288311139294009</v>
      </c>
      <c r="L90" s="1323">
        <f t="shared" si="15"/>
        <v>37864</v>
      </c>
      <c r="M90" s="1322"/>
      <c r="N90" s="1322"/>
    </row>
    <row r="91" spans="1:14" s="1302" customFormat="1" ht="15.6">
      <c r="A91" s="1328"/>
      <c r="B91" s="1327">
        <v>44440</v>
      </c>
      <c r="C91" s="1326">
        <v>84</v>
      </c>
      <c r="D91" s="1323">
        <f t="shared" si="16"/>
        <v>448864</v>
      </c>
      <c r="E91" s="1325">
        <v>448945</v>
      </c>
      <c r="F91" s="1322">
        <f t="shared" si="9"/>
        <v>81</v>
      </c>
      <c r="G91" s="1322">
        <f t="shared" si="10"/>
        <v>11395</v>
      </c>
      <c r="H91" s="1322">
        <f t="shared" si="11"/>
        <v>135.6547619047619</v>
      </c>
      <c r="I91" s="1322">
        <f t="shared" si="12"/>
        <v>49513.988095238092</v>
      </c>
      <c r="J91" s="1324">
        <f t="shared" ca="1" si="17"/>
        <v>3.5820964039785768</v>
      </c>
      <c r="K91" s="1340">
        <f t="shared" si="14"/>
        <v>86.866645781119459</v>
      </c>
      <c r="L91" s="1323">
        <f t="shared" si="15"/>
        <v>37945</v>
      </c>
      <c r="M91" s="1322"/>
      <c r="N91" s="1322"/>
    </row>
    <row r="92" spans="1:14" s="1302" customFormat="1" ht="15.6">
      <c r="A92" s="1328"/>
      <c r="B92" s="1327">
        <v>44441</v>
      </c>
      <c r="C92" s="1326">
        <v>85</v>
      </c>
      <c r="D92" s="1323">
        <f t="shared" si="16"/>
        <v>448945</v>
      </c>
      <c r="E92" s="1325">
        <v>449178</v>
      </c>
      <c r="F92" s="1322">
        <f t="shared" si="9"/>
        <v>233</v>
      </c>
      <c r="G92" s="1322">
        <f t="shared" si="10"/>
        <v>11628</v>
      </c>
      <c r="H92" s="1322">
        <f t="shared" si="11"/>
        <v>136.80000000000001</v>
      </c>
      <c r="I92" s="1322">
        <f t="shared" si="12"/>
        <v>49932.000000000007</v>
      </c>
      <c r="J92" s="1324">
        <f t="shared" ca="1" si="17"/>
        <v>10.304055087987757</v>
      </c>
      <c r="K92" s="1340">
        <f t="shared" si="14"/>
        <v>87.600000000000009</v>
      </c>
      <c r="L92" s="1323">
        <f t="shared" si="15"/>
        <v>38178</v>
      </c>
      <c r="M92" s="1322" t="s">
        <v>238</v>
      </c>
      <c r="N92" s="1322"/>
    </row>
    <row r="93" spans="1:14" s="1302" customFormat="1" ht="15.6">
      <c r="A93" s="1328"/>
      <c r="B93" s="1327">
        <v>44442</v>
      </c>
      <c r="C93" s="1326">
        <v>86</v>
      </c>
      <c r="D93" s="1323">
        <f t="shared" si="16"/>
        <v>449178</v>
      </c>
      <c r="E93" s="1325">
        <v>449228</v>
      </c>
      <c r="F93" s="1322">
        <f t="shared" si="9"/>
        <v>50</v>
      </c>
      <c r="G93" s="1322">
        <f t="shared" si="10"/>
        <v>11678</v>
      </c>
      <c r="H93" s="1322">
        <f t="shared" si="11"/>
        <v>135.7906976744186</v>
      </c>
      <c r="I93" s="1322">
        <f t="shared" si="12"/>
        <v>49563.604651162786</v>
      </c>
      <c r="J93" s="1324">
        <f t="shared" ca="1" si="17"/>
        <v>2.2111706197398622</v>
      </c>
      <c r="K93" s="1340">
        <f t="shared" si="14"/>
        <v>86.953692370461027</v>
      </c>
      <c r="L93" s="1323">
        <f t="shared" si="15"/>
        <v>38228</v>
      </c>
      <c r="M93" s="1322"/>
      <c r="N93" s="1322"/>
    </row>
    <row r="94" spans="1:14" s="1302" customFormat="1" ht="15.6">
      <c r="A94" s="1328"/>
      <c r="B94" s="1327">
        <v>44443</v>
      </c>
      <c r="C94" s="1326">
        <v>87</v>
      </c>
      <c r="D94" s="1323">
        <f t="shared" si="16"/>
        <v>449228</v>
      </c>
      <c r="E94" s="1325">
        <v>449403</v>
      </c>
      <c r="F94" s="1322">
        <f t="shared" si="9"/>
        <v>175</v>
      </c>
      <c r="G94" s="1322">
        <f t="shared" si="10"/>
        <v>11853</v>
      </c>
      <c r="H94" s="1322">
        <f t="shared" si="11"/>
        <v>136.24137931034483</v>
      </c>
      <c r="I94" s="1322">
        <f t="shared" si="12"/>
        <v>49728.103448275862</v>
      </c>
      <c r="J94" s="1324">
        <f t="shared" ca="1" si="17"/>
        <v>7.7390971690895176</v>
      </c>
      <c r="K94" s="1340">
        <f t="shared" si="14"/>
        <v>87.242286751361164</v>
      </c>
      <c r="L94" s="1323">
        <f t="shared" si="15"/>
        <v>38403</v>
      </c>
      <c r="M94" s="1322" t="s">
        <v>1134</v>
      </c>
      <c r="N94" s="1322"/>
    </row>
    <row r="95" spans="1:14" s="1302" customFormat="1" ht="15.6">
      <c r="A95" s="1328"/>
      <c r="B95" s="1327">
        <v>44444</v>
      </c>
      <c r="C95" s="1326">
        <v>88</v>
      </c>
      <c r="D95" s="1323">
        <f t="shared" si="16"/>
        <v>449403</v>
      </c>
      <c r="E95" s="1325">
        <v>449471</v>
      </c>
      <c r="F95" s="1322">
        <f t="shared" si="9"/>
        <v>68</v>
      </c>
      <c r="G95" s="1322">
        <f t="shared" si="10"/>
        <v>11921</v>
      </c>
      <c r="H95" s="1322">
        <f t="shared" si="11"/>
        <v>135.46590909090909</v>
      </c>
      <c r="I95" s="1322">
        <f t="shared" si="12"/>
        <v>49445.056818181816</v>
      </c>
      <c r="J95" s="1324">
        <f t="shared" ca="1" si="17"/>
        <v>3.0071920428462127</v>
      </c>
      <c r="K95" s="1340">
        <f t="shared" si="14"/>
        <v>86.745713716108455</v>
      </c>
      <c r="L95" s="1323">
        <f t="shared" si="15"/>
        <v>38471</v>
      </c>
      <c r="M95" s="1322"/>
      <c r="N95" s="1322"/>
    </row>
    <row r="96" spans="1:14" s="1302" customFormat="1" ht="15.6">
      <c r="A96" s="1328"/>
      <c r="B96" s="1327">
        <v>44445</v>
      </c>
      <c r="C96" s="1326">
        <v>89</v>
      </c>
      <c r="D96" s="1323">
        <f t="shared" si="16"/>
        <v>449471</v>
      </c>
      <c r="E96" s="1325">
        <v>449615</v>
      </c>
      <c r="F96" s="1322">
        <f t="shared" si="9"/>
        <v>144</v>
      </c>
      <c r="G96" s="1322">
        <f t="shared" si="10"/>
        <v>12065</v>
      </c>
      <c r="H96" s="1322">
        <f t="shared" si="11"/>
        <v>135.56179775280899</v>
      </c>
      <c r="I96" s="1322">
        <f t="shared" si="12"/>
        <v>49480.056179775282</v>
      </c>
      <c r="J96" s="1324">
        <f t="shared" ca="1" si="17"/>
        <v>6.368171384850803</v>
      </c>
      <c r="K96" s="1340">
        <f t="shared" si="14"/>
        <v>86.807116104868911</v>
      </c>
      <c r="L96" s="1323">
        <f t="shared" si="15"/>
        <v>38615</v>
      </c>
      <c r="M96" s="1322"/>
      <c r="N96" s="1322"/>
    </row>
    <row r="97" spans="1:14" s="1302" customFormat="1" ht="15.6">
      <c r="A97" s="1328"/>
      <c r="B97" s="1327">
        <v>44446</v>
      </c>
      <c r="C97" s="1326">
        <v>90</v>
      </c>
      <c r="D97" s="1323">
        <f t="shared" si="16"/>
        <v>449615</v>
      </c>
      <c r="E97" s="1325">
        <v>449715</v>
      </c>
      <c r="F97" s="1322">
        <f t="shared" si="9"/>
        <v>100</v>
      </c>
      <c r="G97" s="1322">
        <f t="shared" si="10"/>
        <v>12165</v>
      </c>
      <c r="H97" s="1322">
        <f t="shared" si="11"/>
        <v>135.16666666666666</v>
      </c>
      <c r="I97" s="1322">
        <f t="shared" si="12"/>
        <v>49335.833333333328</v>
      </c>
      <c r="J97" s="1324">
        <f t="shared" ca="1" si="17"/>
        <v>4.4223412394797244</v>
      </c>
      <c r="K97" s="1340">
        <f t="shared" si="14"/>
        <v>86.554093567251456</v>
      </c>
      <c r="L97" s="1323">
        <f t="shared" si="15"/>
        <v>38715</v>
      </c>
      <c r="M97" s="1322"/>
      <c r="N97" s="1322"/>
    </row>
    <row r="98" spans="1:14" s="1302" customFormat="1" ht="15.6">
      <c r="A98" s="1328"/>
      <c r="B98" s="1327">
        <v>44447</v>
      </c>
      <c r="C98" s="1326">
        <v>91</v>
      </c>
      <c r="D98" s="1323">
        <f t="shared" si="16"/>
        <v>449715</v>
      </c>
      <c r="E98" s="1325">
        <v>449815</v>
      </c>
      <c r="F98" s="1322">
        <f t="shared" si="9"/>
        <v>100</v>
      </c>
      <c r="G98" s="1322">
        <f t="shared" si="10"/>
        <v>12265</v>
      </c>
      <c r="H98" s="1322">
        <f t="shared" si="11"/>
        <v>134.78021978021977</v>
      </c>
      <c r="I98" s="1322">
        <f t="shared" si="12"/>
        <v>49194.780219780216</v>
      </c>
      <c r="J98" s="1324">
        <f t="shared" ca="1" si="17"/>
        <v>4.4223412394797244</v>
      </c>
      <c r="K98" s="1340">
        <f t="shared" si="14"/>
        <v>86.306631964526687</v>
      </c>
      <c r="L98" s="1323">
        <f t="shared" si="15"/>
        <v>38815</v>
      </c>
      <c r="M98" s="1322"/>
      <c r="N98" s="1322"/>
    </row>
    <row r="99" spans="1:14" s="1302" customFormat="1" ht="15.6">
      <c r="A99" s="1328"/>
      <c r="B99" s="1327">
        <v>44448</v>
      </c>
      <c r="C99" s="1326">
        <v>92</v>
      </c>
      <c r="D99" s="1323">
        <f t="shared" si="16"/>
        <v>449815</v>
      </c>
      <c r="E99" s="1325">
        <v>449915</v>
      </c>
      <c r="F99" s="1322">
        <f t="shared" si="9"/>
        <v>100</v>
      </c>
      <c r="G99" s="1322">
        <f t="shared" si="10"/>
        <v>12365</v>
      </c>
      <c r="H99" s="1322">
        <f t="shared" si="11"/>
        <v>134.40217391304347</v>
      </c>
      <c r="I99" s="1322">
        <f t="shared" si="12"/>
        <v>49056.793478260865</v>
      </c>
      <c r="J99" s="1324">
        <f t="shared" ca="1" si="17"/>
        <v>4.4223412394797244</v>
      </c>
      <c r="K99" s="1340">
        <f t="shared" si="14"/>
        <v>86.064549961861161</v>
      </c>
      <c r="L99" s="1323">
        <f t="shared" si="15"/>
        <v>38915</v>
      </c>
      <c r="M99" s="1322"/>
      <c r="N99" s="1322"/>
    </row>
    <row r="100" spans="1:14" s="1302" customFormat="1" ht="16.5" customHeight="1">
      <c r="A100" s="1328"/>
      <c r="B100" s="1327">
        <v>44449</v>
      </c>
      <c r="C100" s="1326">
        <v>93</v>
      </c>
      <c r="D100" s="1323">
        <f t="shared" si="16"/>
        <v>449915</v>
      </c>
      <c r="E100" s="1335">
        <f>E99</f>
        <v>449915</v>
      </c>
      <c r="F100" s="1323">
        <f t="shared" si="9"/>
        <v>0</v>
      </c>
      <c r="G100" s="1323">
        <f t="shared" si="10"/>
        <v>12365</v>
      </c>
      <c r="H100" s="1323">
        <f t="shared" si="11"/>
        <v>132.95698924731184</v>
      </c>
      <c r="I100" s="1323">
        <f t="shared" si="12"/>
        <v>48529.301075268821</v>
      </c>
      <c r="J100" s="1323"/>
      <c r="K100" s="1338">
        <f t="shared" si="14"/>
        <v>85.139124693454065</v>
      </c>
      <c r="L100" s="1323">
        <f t="shared" si="15"/>
        <v>38915</v>
      </c>
      <c r="M100" s="1323"/>
      <c r="N100" s="1323"/>
    </row>
    <row r="101" spans="1:14" s="1302" customFormat="1" ht="16.5" customHeight="1">
      <c r="A101" s="1328"/>
      <c r="B101" s="1327">
        <v>44450</v>
      </c>
      <c r="C101" s="1326">
        <v>94</v>
      </c>
      <c r="D101" s="1323">
        <f t="shared" si="16"/>
        <v>449915</v>
      </c>
      <c r="E101" s="1335">
        <f>E100</f>
        <v>449915</v>
      </c>
      <c r="F101" s="1323">
        <f t="shared" si="9"/>
        <v>0</v>
      </c>
      <c r="G101" s="1323">
        <f t="shared" si="10"/>
        <v>12365</v>
      </c>
      <c r="H101" s="1323">
        <f t="shared" si="11"/>
        <v>131.54255319148936</v>
      </c>
      <c r="I101" s="1323">
        <f t="shared" si="12"/>
        <v>48013.031914893618</v>
      </c>
      <c r="J101" s="1323"/>
      <c r="K101" s="1338">
        <f t="shared" si="14"/>
        <v>84.23338932437477</v>
      </c>
      <c r="L101" s="1323">
        <f t="shared" si="15"/>
        <v>38915</v>
      </c>
      <c r="M101" s="1323"/>
      <c r="N101" s="1323"/>
    </row>
    <row r="102" spans="1:14" s="1302" customFormat="1" ht="15.6">
      <c r="A102" s="1328"/>
      <c r="B102" s="1327">
        <v>44451</v>
      </c>
      <c r="C102" s="1326">
        <v>95</v>
      </c>
      <c r="D102" s="1323">
        <f t="shared" si="16"/>
        <v>449915</v>
      </c>
      <c r="E102" s="1325">
        <v>450195</v>
      </c>
      <c r="F102" s="1322">
        <f t="shared" si="9"/>
        <v>280</v>
      </c>
      <c r="G102" s="1322">
        <f t="shared" si="10"/>
        <v>12645</v>
      </c>
      <c r="H102" s="1322">
        <f t="shared" si="11"/>
        <v>133.10526315789474</v>
      </c>
      <c r="I102" s="1322">
        <f t="shared" si="12"/>
        <v>48583.42105263158</v>
      </c>
      <c r="J102" s="1324">
        <f ca="1">F101:F102/$M$3</f>
        <v>12.382555470543227</v>
      </c>
      <c r="K102" s="1340">
        <f t="shared" si="14"/>
        <v>85.23407202216066</v>
      </c>
      <c r="L102" s="1323">
        <f t="shared" si="15"/>
        <v>39195</v>
      </c>
      <c r="M102" s="1322"/>
      <c r="N102" s="1322"/>
    </row>
    <row r="103" spans="1:14" s="1302" customFormat="1" ht="16.5" customHeight="1">
      <c r="A103" s="1328"/>
      <c r="B103" s="1327">
        <v>44452</v>
      </c>
      <c r="C103" s="1326">
        <v>96</v>
      </c>
      <c r="D103" s="1323">
        <f t="shared" si="16"/>
        <v>450195</v>
      </c>
      <c r="E103" s="1335">
        <f>E102</f>
        <v>450195</v>
      </c>
      <c r="F103" s="1323">
        <f t="shared" si="9"/>
        <v>0</v>
      </c>
      <c r="G103" s="1323">
        <f t="shared" si="10"/>
        <v>12645</v>
      </c>
      <c r="H103" s="1323">
        <f t="shared" si="11"/>
        <v>131.71875</v>
      </c>
      <c r="I103" s="1323">
        <f t="shared" si="12"/>
        <v>48077.34375</v>
      </c>
      <c r="J103" s="1323"/>
      <c r="K103" s="1338">
        <f t="shared" si="14"/>
        <v>84.346217105263165</v>
      </c>
      <c r="L103" s="1323">
        <f t="shared" si="15"/>
        <v>39195</v>
      </c>
      <c r="M103" s="1323"/>
      <c r="N103" s="1323"/>
    </row>
    <row r="104" spans="1:14" s="1302" customFormat="1" ht="15.6">
      <c r="A104" s="1328"/>
      <c r="B104" s="1327">
        <v>44453</v>
      </c>
      <c r="C104" s="1326">
        <v>97</v>
      </c>
      <c r="D104" s="1323">
        <f t="shared" si="16"/>
        <v>450195</v>
      </c>
      <c r="E104" s="1325">
        <v>450281</v>
      </c>
      <c r="F104" s="1322">
        <f t="shared" si="9"/>
        <v>86</v>
      </c>
      <c r="G104" s="1322">
        <f t="shared" si="10"/>
        <v>12731</v>
      </c>
      <c r="H104" s="1322">
        <f t="shared" si="11"/>
        <v>131.24742268041237</v>
      </c>
      <c r="I104" s="1322">
        <f t="shared" si="12"/>
        <v>47905.309278350513</v>
      </c>
      <c r="J104" s="1324">
        <f t="shared" ref="J104:J109" ca="1" si="18">F103:F104/$M$3</f>
        <v>3.8032134659525627</v>
      </c>
      <c r="K104" s="1340">
        <f t="shared" si="14"/>
        <v>84.044402242720196</v>
      </c>
      <c r="L104" s="1323">
        <f t="shared" si="15"/>
        <v>39281</v>
      </c>
      <c r="M104" s="1322"/>
      <c r="N104" s="1322"/>
    </row>
    <row r="105" spans="1:14" s="1302" customFormat="1" ht="15.6">
      <c r="A105" s="1328"/>
      <c r="B105" s="1327">
        <v>44454</v>
      </c>
      <c r="C105" s="1326">
        <v>98</v>
      </c>
      <c r="D105" s="1323">
        <f t="shared" si="16"/>
        <v>450281</v>
      </c>
      <c r="E105" s="1325">
        <v>450380</v>
      </c>
      <c r="F105" s="1322">
        <f t="shared" si="9"/>
        <v>99</v>
      </c>
      <c r="G105" s="1322">
        <f t="shared" si="10"/>
        <v>12830</v>
      </c>
      <c r="H105" s="1322">
        <f t="shared" si="11"/>
        <v>130.91836734693877</v>
      </c>
      <c r="I105" s="1322">
        <f t="shared" si="12"/>
        <v>47785.204081632648</v>
      </c>
      <c r="J105" s="1324">
        <f t="shared" ca="1" si="18"/>
        <v>4.3781178270849272</v>
      </c>
      <c r="K105" s="1340">
        <f t="shared" si="14"/>
        <v>83.833691371285354</v>
      </c>
      <c r="L105" s="1323">
        <f t="shared" si="15"/>
        <v>39380</v>
      </c>
      <c r="M105" s="1322"/>
      <c r="N105" s="1322"/>
    </row>
    <row r="106" spans="1:14" s="1302" customFormat="1" ht="15.6">
      <c r="A106" s="1328"/>
      <c r="B106" s="1327">
        <v>44455</v>
      </c>
      <c r="C106" s="1326">
        <v>99</v>
      </c>
      <c r="D106" s="1323">
        <f t="shared" si="16"/>
        <v>450380</v>
      </c>
      <c r="E106" s="1325">
        <v>450553</v>
      </c>
      <c r="F106" s="1322">
        <f t="shared" si="9"/>
        <v>173</v>
      </c>
      <c r="G106" s="1322">
        <f t="shared" si="10"/>
        <v>13003</v>
      </c>
      <c r="H106" s="1322">
        <f t="shared" si="11"/>
        <v>131.34343434343435</v>
      </c>
      <c r="I106" s="1322">
        <f t="shared" si="12"/>
        <v>47940.353535353541</v>
      </c>
      <c r="J106" s="1324">
        <f t="shared" ca="1" si="18"/>
        <v>7.6506503442999234</v>
      </c>
      <c r="K106" s="1340">
        <f t="shared" si="14"/>
        <v>84.105883395357083</v>
      </c>
      <c r="L106" s="1323">
        <f t="shared" si="15"/>
        <v>39553</v>
      </c>
      <c r="M106" s="1322" t="s">
        <v>238</v>
      </c>
      <c r="N106" s="1322"/>
    </row>
    <row r="107" spans="1:14" s="1302" customFormat="1" ht="15.6">
      <c r="A107" s="1328"/>
      <c r="B107" s="1327">
        <v>44456</v>
      </c>
      <c r="C107" s="1326">
        <v>100</v>
      </c>
      <c r="D107" s="1323">
        <f t="shared" si="16"/>
        <v>450553</v>
      </c>
      <c r="E107" s="1325">
        <v>450742</v>
      </c>
      <c r="F107" s="1322">
        <f t="shared" si="9"/>
        <v>189</v>
      </c>
      <c r="G107" s="1322">
        <f t="shared" si="10"/>
        <v>13192</v>
      </c>
      <c r="H107" s="1322">
        <f t="shared" si="11"/>
        <v>131.91999999999999</v>
      </c>
      <c r="I107" s="1322">
        <f t="shared" si="12"/>
        <v>48150.799999999996</v>
      </c>
      <c r="J107" s="1324">
        <f t="shared" ca="1" si="18"/>
        <v>8.3582249426166797</v>
      </c>
      <c r="K107" s="1340">
        <f t="shared" si="14"/>
        <v>84.475087719298244</v>
      </c>
      <c r="L107" s="1323">
        <f t="shared" si="15"/>
        <v>39742</v>
      </c>
      <c r="M107" s="1322" t="s">
        <v>1134</v>
      </c>
      <c r="N107" s="1322"/>
    </row>
    <row r="108" spans="1:14" s="1302" customFormat="1" ht="15.6">
      <c r="A108" s="1328"/>
      <c r="B108" s="1327">
        <v>44457</v>
      </c>
      <c r="C108" s="1326">
        <v>101</v>
      </c>
      <c r="D108" s="1323">
        <f t="shared" si="16"/>
        <v>450742</v>
      </c>
      <c r="E108" s="1325">
        <v>450898</v>
      </c>
      <c r="F108" s="1322">
        <f t="shared" si="9"/>
        <v>156</v>
      </c>
      <c r="G108" s="1322">
        <f t="shared" si="10"/>
        <v>13348</v>
      </c>
      <c r="H108" s="1322">
        <f t="shared" si="11"/>
        <v>132.15841584158414</v>
      </c>
      <c r="I108" s="1322">
        <f t="shared" si="12"/>
        <v>48237.821782178209</v>
      </c>
      <c r="J108" s="1324">
        <f t="shared" ca="1" si="18"/>
        <v>6.89885233358837</v>
      </c>
      <c r="K108" s="1340">
        <f t="shared" si="14"/>
        <v>84.627757512593348</v>
      </c>
      <c r="L108" s="1323">
        <f t="shared" si="15"/>
        <v>39898</v>
      </c>
      <c r="M108" s="1322" t="s">
        <v>238</v>
      </c>
      <c r="N108" s="1322"/>
    </row>
    <row r="109" spans="1:14" s="1302" customFormat="1" ht="15.6">
      <c r="A109" s="1328"/>
      <c r="B109" s="1327">
        <v>44458</v>
      </c>
      <c r="C109" s="1326">
        <v>102</v>
      </c>
      <c r="D109" s="1323">
        <f t="shared" si="16"/>
        <v>450898</v>
      </c>
      <c r="E109" s="1325">
        <v>450990</v>
      </c>
      <c r="F109" s="1322">
        <f t="shared" si="9"/>
        <v>92</v>
      </c>
      <c r="G109" s="1322">
        <f t="shared" si="10"/>
        <v>13440</v>
      </c>
      <c r="H109" s="1322">
        <f t="shared" si="11"/>
        <v>131.76470588235293</v>
      </c>
      <c r="I109" s="1322">
        <f t="shared" si="12"/>
        <v>48094.117647058818</v>
      </c>
      <c r="J109" s="1324">
        <f t="shared" ca="1" si="18"/>
        <v>4.0685539403213467</v>
      </c>
      <c r="K109" s="1340">
        <f t="shared" si="14"/>
        <v>84.37564499484003</v>
      </c>
      <c r="L109" s="1323">
        <f t="shared" si="15"/>
        <v>39990</v>
      </c>
      <c r="M109" s="1322"/>
      <c r="N109" s="1322"/>
    </row>
    <row r="110" spans="1:14" s="1302" customFormat="1" ht="16.5" customHeight="1">
      <c r="A110" s="1328"/>
      <c r="B110" s="1327">
        <v>44459</v>
      </c>
      <c r="C110" s="1326">
        <v>103</v>
      </c>
      <c r="D110" s="1323">
        <f t="shared" si="16"/>
        <v>450990</v>
      </c>
      <c r="E110" s="1335">
        <f t="shared" ref="E110:E115" si="19">E109</f>
        <v>450990</v>
      </c>
      <c r="F110" s="1323">
        <f t="shared" si="9"/>
        <v>0</v>
      </c>
      <c r="G110" s="1323">
        <f t="shared" si="10"/>
        <v>13440</v>
      </c>
      <c r="H110" s="1323">
        <f t="shared" si="11"/>
        <v>130.48543689320388</v>
      </c>
      <c r="I110" s="1323">
        <f t="shared" si="12"/>
        <v>47627.184466019418</v>
      </c>
      <c r="J110" s="1323"/>
      <c r="K110" s="1338">
        <f t="shared" si="14"/>
        <v>83.556463975472667</v>
      </c>
      <c r="L110" s="1323">
        <f t="shared" si="15"/>
        <v>39990</v>
      </c>
      <c r="M110" s="1323"/>
      <c r="N110" s="1323"/>
    </row>
    <row r="111" spans="1:14" s="1302" customFormat="1" ht="16.5" customHeight="1">
      <c r="A111" s="1328"/>
      <c r="B111" s="1327">
        <v>44460</v>
      </c>
      <c r="C111" s="1326">
        <v>104</v>
      </c>
      <c r="D111" s="1323">
        <f t="shared" si="16"/>
        <v>450990</v>
      </c>
      <c r="E111" s="1335">
        <f t="shared" si="19"/>
        <v>450990</v>
      </c>
      <c r="F111" s="1323">
        <f t="shared" si="9"/>
        <v>0</v>
      </c>
      <c r="G111" s="1323">
        <f t="shared" si="10"/>
        <v>13440</v>
      </c>
      <c r="H111" s="1323">
        <f t="shared" si="11"/>
        <v>129.23076923076923</v>
      </c>
      <c r="I111" s="1323">
        <f t="shared" si="12"/>
        <v>47169.230769230766</v>
      </c>
      <c r="J111" s="1323"/>
      <c r="K111" s="1338">
        <f t="shared" si="14"/>
        <v>82.753036437246962</v>
      </c>
      <c r="L111" s="1323">
        <f t="shared" si="15"/>
        <v>39990</v>
      </c>
      <c r="M111" s="1323"/>
      <c r="N111" s="1323"/>
    </row>
    <row r="112" spans="1:14" s="1302" customFormat="1" ht="16.5" customHeight="1">
      <c r="A112" s="1328"/>
      <c r="B112" s="1327">
        <v>44461</v>
      </c>
      <c r="C112" s="1326">
        <v>105</v>
      </c>
      <c r="D112" s="1323">
        <f t="shared" si="16"/>
        <v>450990</v>
      </c>
      <c r="E112" s="1335">
        <f t="shared" si="19"/>
        <v>450990</v>
      </c>
      <c r="F112" s="1323">
        <f t="shared" si="9"/>
        <v>0</v>
      </c>
      <c r="G112" s="1323">
        <f t="shared" si="10"/>
        <v>13440</v>
      </c>
      <c r="H112" s="1323">
        <f t="shared" si="11"/>
        <v>128</v>
      </c>
      <c r="I112" s="1323">
        <f t="shared" si="12"/>
        <v>46720</v>
      </c>
      <c r="J112" s="1323"/>
      <c r="K112" s="1338">
        <f t="shared" si="14"/>
        <v>81.964912280701753</v>
      </c>
      <c r="L112" s="1323">
        <f t="shared" si="15"/>
        <v>39990</v>
      </c>
      <c r="M112" s="1323"/>
      <c r="N112" s="1323"/>
    </row>
    <row r="113" spans="1:14" s="1302" customFormat="1" ht="16.5" customHeight="1">
      <c r="A113" s="1328"/>
      <c r="B113" s="1327">
        <v>44462</v>
      </c>
      <c r="C113" s="1326">
        <v>106</v>
      </c>
      <c r="D113" s="1323">
        <f t="shared" si="16"/>
        <v>450990</v>
      </c>
      <c r="E113" s="1335">
        <f t="shared" si="19"/>
        <v>450990</v>
      </c>
      <c r="F113" s="1323">
        <f t="shared" si="9"/>
        <v>0</v>
      </c>
      <c r="G113" s="1323">
        <f t="shared" si="10"/>
        <v>13440</v>
      </c>
      <c r="H113" s="1323">
        <f t="shared" si="11"/>
        <v>126.79245283018868</v>
      </c>
      <c r="I113" s="1323">
        <f t="shared" si="12"/>
        <v>46279.24528301887</v>
      </c>
      <c r="J113" s="1323"/>
      <c r="K113" s="1338">
        <f t="shared" si="14"/>
        <v>81.191658391261171</v>
      </c>
      <c r="L113" s="1323">
        <f t="shared" si="15"/>
        <v>39990</v>
      </c>
      <c r="M113" s="1323"/>
      <c r="N113" s="1323"/>
    </row>
    <row r="114" spans="1:14" s="1302" customFormat="1" ht="16.5" customHeight="1">
      <c r="A114" s="1328"/>
      <c r="B114" s="1327">
        <v>44463</v>
      </c>
      <c r="C114" s="1326">
        <v>107</v>
      </c>
      <c r="D114" s="1323">
        <f t="shared" si="16"/>
        <v>450990</v>
      </c>
      <c r="E114" s="1335">
        <f t="shared" si="19"/>
        <v>450990</v>
      </c>
      <c r="F114" s="1323">
        <f t="shared" si="9"/>
        <v>0</v>
      </c>
      <c r="G114" s="1323">
        <f t="shared" si="10"/>
        <v>13440</v>
      </c>
      <c r="H114" s="1323">
        <f t="shared" si="11"/>
        <v>125.60747663551402</v>
      </c>
      <c r="I114" s="1323">
        <f t="shared" si="12"/>
        <v>45846.728971962613</v>
      </c>
      <c r="J114" s="1323"/>
      <c r="K114" s="1338">
        <f t="shared" si="14"/>
        <v>80.43285784554844</v>
      </c>
      <c r="L114" s="1323">
        <f t="shared" si="15"/>
        <v>39990</v>
      </c>
      <c r="M114" s="1323"/>
      <c r="N114" s="1323"/>
    </row>
    <row r="115" spans="1:14" s="1302" customFormat="1" ht="16.5" customHeight="1">
      <c r="A115" s="1328"/>
      <c r="B115" s="1327">
        <v>44464</v>
      </c>
      <c r="C115" s="1326">
        <v>108</v>
      </c>
      <c r="D115" s="1323">
        <f t="shared" si="16"/>
        <v>450990</v>
      </c>
      <c r="E115" s="1335">
        <f t="shared" si="19"/>
        <v>450990</v>
      </c>
      <c r="F115" s="1323">
        <f t="shared" si="9"/>
        <v>0</v>
      </c>
      <c r="G115" s="1323">
        <f t="shared" si="10"/>
        <v>13440</v>
      </c>
      <c r="H115" s="1323">
        <f t="shared" si="11"/>
        <v>124.44444444444444</v>
      </c>
      <c r="I115" s="1323">
        <f t="shared" si="12"/>
        <v>45422.222222222219</v>
      </c>
      <c r="J115" s="1323"/>
      <c r="K115" s="1338">
        <f t="shared" si="14"/>
        <v>79.688109161793363</v>
      </c>
      <c r="L115" s="1323">
        <f t="shared" si="15"/>
        <v>39990</v>
      </c>
      <c r="M115" s="1323" t="s">
        <v>238</v>
      </c>
      <c r="N115" s="1323"/>
    </row>
    <row r="116" spans="1:14" s="1302" customFormat="1" ht="15.6">
      <c r="A116" s="1328"/>
      <c r="B116" s="1327">
        <v>44465</v>
      </c>
      <c r="C116" s="1326">
        <v>109</v>
      </c>
      <c r="D116" s="1323">
        <f t="shared" si="16"/>
        <v>450990</v>
      </c>
      <c r="E116" s="1325">
        <v>451530</v>
      </c>
      <c r="F116" s="1322">
        <f t="shared" si="9"/>
        <v>540</v>
      </c>
      <c r="G116" s="1322">
        <f t="shared" si="10"/>
        <v>13980</v>
      </c>
      <c r="H116" s="1322">
        <f t="shared" si="11"/>
        <v>128.25688073394497</v>
      </c>
      <c r="I116" s="1322">
        <f t="shared" si="12"/>
        <v>46813.761467889912</v>
      </c>
      <c r="J116" s="1324">
        <f ca="1">F115:F116/$M$3</f>
        <v>23.880642693190513</v>
      </c>
      <c r="K116" s="1340">
        <f t="shared" si="14"/>
        <v>82.12940608401739</v>
      </c>
      <c r="L116" s="1323">
        <f t="shared" si="15"/>
        <v>40530</v>
      </c>
      <c r="M116" s="1322"/>
      <c r="N116" s="1322"/>
    </row>
    <row r="117" spans="1:14" s="1302" customFormat="1" ht="16.5" customHeight="1">
      <c r="A117" s="1328"/>
      <c r="B117" s="1327">
        <v>44466</v>
      </c>
      <c r="C117" s="1326">
        <v>110</v>
      </c>
      <c r="D117" s="1323">
        <f t="shared" si="16"/>
        <v>451530</v>
      </c>
      <c r="E117" s="1335">
        <f>E116</f>
        <v>451530</v>
      </c>
      <c r="F117" s="1323">
        <f t="shared" si="9"/>
        <v>0</v>
      </c>
      <c r="G117" s="1323">
        <f t="shared" si="10"/>
        <v>13980</v>
      </c>
      <c r="H117" s="1323">
        <f t="shared" si="11"/>
        <v>127.09090909090909</v>
      </c>
      <c r="I117" s="1323">
        <f t="shared" si="12"/>
        <v>46388.181818181816</v>
      </c>
      <c r="J117" s="1323"/>
      <c r="K117" s="1338">
        <f t="shared" si="14"/>
        <v>81.382775119617222</v>
      </c>
      <c r="L117" s="1323">
        <f t="shared" si="15"/>
        <v>40530</v>
      </c>
      <c r="M117" s="1323"/>
      <c r="N117" s="1323"/>
    </row>
    <row r="118" spans="1:14" s="1302" customFormat="1" ht="15.6">
      <c r="A118" s="1328"/>
      <c r="B118" s="1327">
        <v>44467</v>
      </c>
      <c r="C118" s="1326">
        <v>111</v>
      </c>
      <c r="D118" s="1323">
        <f t="shared" si="16"/>
        <v>451530</v>
      </c>
      <c r="E118" s="1325">
        <v>451753</v>
      </c>
      <c r="F118" s="1322">
        <f t="shared" si="9"/>
        <v>223</v>
      </c>
      <c r="G118" s="1322">
        <f t="shared" si="10"/>
        <v>14203</v>
      </c>
      <c r="H118" s="1322">
        <f t="shared" si="11"/>
        <v>127.95495495495496</v>
      </c>
      <c r="I118" s="1322">
        <f t="shared" si="12"/>
        <v>46703.558558558558</v>
      </c>
      <c r="J118" s="1324">
        <f ca="1">F117:F118/$M$3</f>
        <v>9.8618209640397847</v>
      </c>
      <c r="K118" s="1340">
        <f t="shared" si="14"/>
        <v>81.936067646593955</v>
      </c>
      <c r="L118" s="1323">
        <f t="shared" si="15"/>
        <v>40753</v>
      </c>
      <c r="M118" s="1322" t="s">
        <v>1134</v>
      </c>
      <c r="N118" s="1322"/>
    </row>
    <row r="119" spans="1:14" s="1302" customFormat="1" ht="16.5" customHeight="1">
      <c r="A119" s="1328"/>
      <c r="B119" s="1327">
        <v>44468</v>
      </c>
      <c r="C119" s="1326">
        <v>112</v>
      </c>
      <c r="D119" s="1323">
        <f t="shared" si="16"/>
        <v>451753</v>
      </c>
      <c r="E119" s="1335">
        <f>E118</f>
        <v>451753</v>
      </c>
      <c r="F119" s="1323">
        <f t="shared" si="9"/>
        <v>0</v>
      </c>
      <c r="G119" s="1323">
        <f t="shared" si="10"/>
        <v>14203</v>
      </c>
      <c r="H119" s="1323">
        <f t="shared" si="11"/>
        <v>126.8125</v>
      </c>
      <c r="I119" s="1323">
        <f t="shared" si="12"/>
        <v>46286.5625</v>
      </c>
      <c r="J119" s="1323"/>
      <c r="K119" s="1338">
        <f t="shared" si="14"/>
        <v>81.204495614035082</v>
      </c>
      <c r="L119" s="1323">
        <f t="shared" si="15"/>
        <v>40753</v>
      </c>
      <c r="M119" s="1323"/>
      <c r="N119" s="1323"/>
    </row>
    <row r="120" spans="1:14" s="1302" customFormat="1" ht="16.5" customHeight="1">
      <c r="A120" s="1328"/>
      <c r="B120" s="1327">
        <v>44469</v>
      </c>
      <c r="C120" s="1326">
        <v>113</v>
      </c>
      <c r="D120" s="1323">
        <f t="shared" si="16"/>
        <v>451753</v>
      </c>
      <c r="E120" s="1335">
        <f>E119</f>
        <v>451753</v>
      </c>
      <c r="F120" s="1323">
        <f t="shared" si="9"/>
        <v>0</v>
      </c>
      <c r="G120" s="1323">
        <f t="shared" si="10"/>
        <v>14203</v>
      </c>
      <c r="H120" s="1323">
        <f t="shared" si="11"/>
        <v>125.69026548672566</v>
      </c>
      <c r="I120" s="1323">
        <f t="shared" si="12"/>
        <v>45876.946902654869</v>
      </c>
      <c r="J120" s="1323"/>
      <c r="K120" s="1338">
        <f t="shared" si="14"/>
        <v>80.485871759043633</v>
      </c>
      <c r="L120" s="1323">
        <f t="shared" si="15"/>
        <v>40753</v>
      </c>
      <c r="M120" s="1323"/>
      <c r="N120" s="1323"/>
    </row>
    <row r="121" spans="1:14" s="1302" customFormat="1" ht="15.6">
      <c r="A121" s="1328"/>
      <c r="B121" s="1327">
        <v>44470</v>
      </c>
      <c r="C121" s="1326">
        <v>114</v>
      </c>
      <c r="D121" s="1323">
        <f t="shared" si="16"/>
        <v>451753</v>
      </c>
      <c r="E121" s="1325">
        <v>452074</v>
      </c>
      <c r="F121" s="1322">
        <f t="shared" si="9"/>
        <v>321</v>
      </c>
      <c r="G121" s="1322">
        <f t="shared" si="10"/>
        <v>14524</v>
      </c>
      <c r="H121" s="1322">
        <f t="shared" si="11"/>
        <v>127.40350877192982</v>
      </c>
      <c r="I121" s="1322">
        <f t="shared" si="12"/>
        <v>46502.280701754382</v>
      </c>
      <c r="J121" s="1324">
        <f ca="1">F120:F121/$M$3</f>
        <v>14.195715378729915</v>
      </c>
      <c r="K121" s="1340">
        <f t="shared" si="14"/>
        <v>81.582948599569093</v>
      </c>
      <c r="L121" s="1323">
        <f t="shared" si="15"/>
        <v>41074</v>
      </c>
      <c r="M121" s="1322" t="s">
        <v>238</v>
      </c>
      <c r="N121" s="1322"/>
    </row>
    <row r="122" spans="1:14" s="1302" customFormat="1" ht="15.6">
      <c r="A122" s="1328"/>
      <c r="B122" s="1327">
        <v>44471</v>
      </c>
      <c r="C122" s="1326">
        <v>115</v>
      </c>
      <c r="D122" s="1323">
        <f t="shared" si="16"/>
        <v>452074</v>
      </c>
      <c r="E122" s="1325">
        <v>452167</v>
      </c>
      <c r="F122" s="1322">
        <f t="shared" si="9"/>
        <v>93</v>
      </c>
      <c r="G122" s="1322">
        <f t="shared" si="10"/>
        <v>14617</v>
      </c>
      <c r="H122" s="1322">
        <f t="shared" si="11"/>
        <v>127.10434782608695</v>
      </c>
      <c r="I122" s="1322">
        <f t="shared" si="12"/>
        <v>46393.086956521736</v>
      </c>
      <c r="J122" s="1324">
        <f ca="1">F121:F122/$M$3</f>
        <v>4.1127773527161438</v>
      </c>
      <c r="K122" s="1340">
        <f t="shared" si="14"/>
        <v>81.391380625476728</v>
      </c>
      <c r="L122" s="1323">
        <f t="shared" si="15"/>
        <v>41167</v>
      </c>
      <c r="M122" s="1322" t="s">
        <v>238</v>
      </c>
      <c r="N122" s="1322"/>
    </row>
    <row r="123" spans="1:14" s="1302" customFormat="1" ht="16.5" customHeight="1">
      <c r="A123" s="1328"/>
      <c r="B123" s="1327">
        <v>44472</v>
      </c>
      <c r="C123" s="1326">
        <v>116</v>
      </c>
      <c r="D123" s="1323">
        <f t="shared" si="16"/>
        <v>452167</v>
      </c>
      <c r="E123" s="1335">
        <f>E122</f>
        <v>452167</v>
      </c>
      <c r="F123" s="1323">
        <f t="shared" si="9"/>
        <v>0</v>
      </c>
      <c r="G123" s="1323">
        <f t="shared" si="10"/>
        <v>14617</v>
      </c>
      <c r="H123" s="1323">
        <f t="shared" si="11"/>
        <v>126.00862068965517</v>
      </c>
      <c r="I123" s="1323">
        <f t="shared" si="12"/>
        <v>45993.146551724138</v>
      </c>
      <c r="J123" s="1323"/>
      <c r="K123" s="1338">
        <f t="shared" si="14"/>
        <v>80.68973079249848</v>
      </c>
      <c r="L123" s="1323">
        <f t="shared" si="15"/>
        <v>41167</v>
      </c>
      <c r="M123" s="1323"/>
      <c r="N123" s="1323"/>
    </row>
    <row r="124" spans="1:14" s="1302" customFormat="1" ht="15.6">
      <c r="A124" s="1328"/>
      <c r="B124" s="1327">
        <v>44473</v>
      </c>
      <c r="C124" s="1326">
        <v>117</v>
      </c>
      <c r="D124" s="1323">
        <f t="shared" si="16"/>
        <v>452167</v>
      </c>
      <c r="E124" s="1325">
        <v>452384</v>
      </c>
      <c r="F124" s="1322">
        <f t="shared" si="9"/>
        <v>217</v>
      </c>
      <c r="G124" s="1322">
        <f t="shared" si="10"/>
        <v>14834</v>
      </c>
      <c r="H124" s="1322">
        <f t="shared" si="11"/>
        <v>126.78632478632478</v>
      </c>
      <c r="I124" s="1322">
        <f t="shared" si="12"/>
        <v>46277.008547008547</v>
      </c>
      <c r="J124" s="1324">
        <f ca="1">F123:F124/$M$3</f>
        <v>9.5964804896710021</v>
      </c>
      <c r="K124" s="1340">
        <f t="shared" si="14"/>
        <v>81.187734292997447</v>
      </c>
      <c r="L124" s="1323">
        <f t="shared" si="15"/>
        <v>41384</v>
      </c>
      <c r="M124" s="1322"/>
      <c r="N124" s="1322"/>
    </row>
    <row r="125" spans="1:14" s="1302" customFormat="1" ht="16.5" customHeight="1">
      <c r="A125" s="1328"/>
      <c r="B125" s="1327">
        <v>44474</v>
      </c>
      <c r="C125" s="1326">
        <v>118</v>
      </c>
      <c r="D125" s="1323">
        <f t="shared" si="16"/>
        <v>452384</v>
      </c>
      <c r="E125" s="1335">
        <f>E124</f>
        <v>452384</v>
      </c>
      <c r="F125" s="1323">
        <f t="shared" si="9"/>
        <v>0</v>
      </c>
      <c r="G125" s="1323">
        <f t="shared" si="10"/>
        <v>14834</v>
      </c>
      <c r="H125" s="1323">
        <f t="shared" si="11"/>
        <v>125.71186440677967</v>
      </c>
      <c r="I125" s="1323">
        <f t="shared" si="12"/>
        <v>45884.830508474581</v>
      </c>
      <c r="J125" s="1323"/>
      <c r="K125" s="1338">
        <f t="shared" si="14"/>
        <v>80.499702646446636</v>
      </c>
      <c r="L125" s="1323">
        <f t="shared" si="15"/>
        <v>41384</v>
      </c>
      <c r="M125" s="1323"/>
      <c r="N125" s="1323"/>
    </row>
    <row r="126" spans="1:14" s="1302" customFormat="1" ht="16.5" customHeight="1">
      <c r="A126" s="1328"/>
      <c r="B126" s="1327">
        <v>44475</v>
      </c>
      <c r="C126" s="1326">
        <v>119</v>
      </c>
      <c r="D126" s="1323">
        <f t="shared" si="16"/>
        <v>452384</v>
      </c>
      <c r="E126" s="1335">
        <f>E125</f>
        <v>452384</v>
      </c>
      <c r="F126" s="1323">
        <f t="shared" si="9"/>
        <v>0</v>
      </c>
      <c r="G126" s="1323">
        <f t="shared" si="10"/>
        <v>14834</v>
      </c>
      <c r="H126" s="1323">
        <f t="shared" si="11"/>
        <v>124.65546218487395</v>
      </c>
      <c r="I126" s="1323">
        <f t="shared" si="12"/>
        <v>45499.243697478996</v>
      </c>
      <c r="J126" s="1323"/>
      <c r="K126" s="1338">
        <f t="shared" si="14"/>
        <v>79.823234556980694</v>
      </c>
      <c r="L126" s="1323">
        <f t="shared" si="15"/>
        <v>41384</v>
      </c>
      <c r="M126" s="1323"/>
      <c r="N126" s="1323"/>
    </row>
    <row r="127" spans="1:14" s="1302" customFormat="1" ht="15.6">
      <c r="A127" s="1328"/>
      <c r="B127" s="1327">
        <v>44476</v>
      </c>
      <c r="C127" s="1326">
        <v>120</v>
      </c>
      <c r="D127" s="1323">
        <f t="shared" si="16"/>
        <v>452384</v>
      </c>
      <c r="E127" s="1325">
        <v>452570</v>
      </c>
      <c r="F127" s="1322">
        <f t="shared" si="9"/>
        <v>186</v>
      </c>
      <c r="G127" s="1322">
        <f t="shared" si="10"/>
        <v>15020</v>
      </c>
      <c r="H127" s="1322">
        <f t="shared" si="11"/>
        <v>125.16666666666667</v>
      </c>
      <c r="I127" s="1322">
        <f t="shared" si="12"/>
        <v>45685.833333333336</v>
      </c>
      <c r="J127" s="1324">
        <f ca="1">F126:F127/$M$3</f>
        <v>8.2255547054322875</v>
      </c>
      <c r="K127" s="1340">
        <f t="shared" si="14"/>
        <v>80.150584795321635</v>
      </c>
      <c r="L127" s="1323">
        <f t="shared" si="15"/>
        <v>41570</v>
      </c>
      <c r="M127" s="1322"/>
      <c r="N127" s="1322"/>
    </row>
    <row r="128" spans="1:14" s="1302" customFormat="1" ht="15.6">
      <c r="A128" s="1328"/>
      <c r="B128" s="1327">
        <v>44477</v>
      </c>
      <c r="C128" s="1326">
        <v>121</v>
      </c>
      <c r="D128" s="1323">
        <f t="shared" si="16"/>
        <v>452570</v>
      </c>
      <c r="E128" s="1325">
        <v>452706</v>
      </c>
      <c r="F128" s="1322">
        <f t="shared" si="9"/>
        <v>136</v>
      </c>
      <c r="G128" s="1322">
        <f t="shared" si="10"/>
        <v>15156</v>
      </c>
      <c r="H128" s="1322">
        <f t="shared" si="11"/>
        <v>125.25619834710744</v>
      </c>
      <c r="I128" s="1322">
        <f t="shared" si="12"/>
        <v>45718.512396694219</v>
      </c>
      <c r="J128" s="1324">
        <f ca="1">F127:F128/$M$3</f>
        <v>6.0143840856924253</v>
      </c>
      <c r="K128" s="1340">
        <f t="shared" si="14"/>
        <v>80.207916485428456</v>
      </c>
      <c r="L128" s="1323">
        <f t="shared" si="15"/>
        <v>41706</v>
      </c>
      <c r="M128" s="1322"/>
      <c r="N128" s="1322"/>
    </row>
    <row r="129" spans="1:14" s="1302" customFormat="1" ht="16.5" customHeight="1">
      <c r="A129" s="1328"/>
      <c r="B129" s="1327">
        <v>44478</v>
      </c>
      <c r="C129" s="1326">
        <v>122</v>
      </c>
      <c r="D129" s="1323">
        <f t="shared" si="16"/>
        <v>452706</v>
      </c>
      <c r="E129" s="1335">
        <f>E128</f>
        <v>452706</v>
      </c>
      <c r="F129" s="1323">
        <f t="shared" si="9"/>
        <v>0</v>
      </c>
      <c r="G129" s="1323">
        <f t="shared" si="10"/>
        <v>15156</v>
      </c>
      <c r="H129" s="1323">
        <f t="shared" si="11"/>
        <v>124.22950819672131</v>
      </c>
      <c r="I129" s="1323">
        <f t="shared" si="12"/>
        <v>45343.770491803276</v>
      </c>
      <c r="J129" s="1323"/>
      <c r="K129" s="1338">
        <f t="shared" si="14"/>
        <v>79.550474547023285</v>
      </c>
      <c r="L129" s="1323">
        <f t="shared" si="15"/>
        <v>41706</v>
      </c>
      <c r="M129" s="1323"/>
      <c r="N129" s="1323"/>
    </row>
    <row r="130" spans="1:14" s="1302" customFormat="1" ht="15.6">
      <c r="A130" s="1328"/>
      <c r="B130" s="1327">
        <v>44479</v>
      </c>
      <c r="C130" s="1326">
        <v>123</v>
      </c>
      <c r="D130" s="1323">
        <f t="shared" si="16"/>
        <v>452706</v>
      </c>
      <c r="E130" s="1325">
        <v>452904</v>
      </c>
      <c r="F130" s="1322">
        <f t="shared" si="9"/>
        <v>198</v>
      </c>
      <c r="G130" s="1322">
        <f t="shared" si="10"/>
        <v>15354</v>
      </c>
      <c r="H130" s="1322">
        <f t="shared" si="11"/>
        <v>124.82926829268293</v>
      </c>
      <c r="I130" s="1322">
        <f t="shared" si="12"/>
        <v>45562.682926829271</v>
      </c>
      <c r="J130" s="1324">
        <f ca="1">F129:F130/$M$3</f>
        <v>8.7562356541698545</v>
      </c>
      <c r="K130" s="1340">
        <f t="shared" si="14"/>
        <v>79.934531450577666</v>
      </c>
      <c r="L130" s="1323">
        <f t="shared" si="15"/>
        <v>41904</v>
      </c>
      <c r="M130" s="1322" t="s">
        <v>1134</v>
      </c>
      <c r="N130" s="1322"/>
    </row>
    <row r="131" spans="1:14" s="1302" customFormat="1" ht="16.5" customHeight="1">
      <c r="A131" s="1328"/>
      <c r="B131" s="1327">
        <v>44480</v>
      </c>
      <c r="C131" s="1326">
        <v>124</v>
      </c>
      <c r="D131" s="1323">
        <f t="shared" si="16"/>
        <v>452904</v>
      </c>
      <c r="E131" s="1335">
        <f>E130</f>
        <v>452904</v>
      </c>
      <c r="F131" s="1323">
        <f t="shared" si="9"/>
        <v>0</v>
      </c>
      <c r="G131" s="1323">
        <f t="shared" si="10"/>
        <v>15354</v>
      </c>
      <c r="H131" s="1323">
        <f t="shared" si="11"/>
        <v>123.8225806451613</v>
      </c>
      <c r="I131" s="1323">
        <f t="shared" si="12"/>
        <v>45195.241935483871</v>
      </c>
      <c r="J131" s="1323"/>
      <c r="K131" s="1338">
        <f t="shared" si="14"/>
        <v>79.289898132427851</v>
      </c>
      <c r="L131" s="1323">
        <f t="shared" si="15"/>
        <v>41904</v>
      </c>
      <c r="M131" s="1323"/>
      <c r="N131" s="1323"/>
    </row>
    <row r="132" spans="1:14" s="1302" customFormat="1" ht="16.5" customHeight="1">
      <c r="A132" s="1328"/>
      <c r="B132" s="1327">
        <v>44481</v>
      </c>
      <c r="C132" s="1326">
        <v>125</v>
      </c>
      <c r="D132" s="1323">
        <f t="shared" si="16"/>
        <v>452904</v>
      </c>
      <c r="E132" s="1335">
        <f>E131</f>
        <v>452904</v>
      </c>
      <c r="F132" s="1323">
        <f t="shared" si="9"/>
        <v>0</v>
      </c>
      <c r="G132" s="1323">
        <f t="shared" si="10"/>
        <v>15354</v>
      </c>
      <c r="H132" s="1323">
        <f t="shared" si="11"/>
        <v>122.83199999999999</v>
      </c>
      <c r="I132" s="1323">
        <f t="shared" si="12"/>
        <v>44833.68</v>
      </c>
      <c r="J132" s="1323"/>
      <c r="K132" s="1338">
        <f t="shared" si="14"/>
        <v>78.655578947368426</v>
      </c>
      <c r="L132" s="1323">
        <f t="shared" si="15"/>
        <v>41904</v>
      </c>
      <c r="M132" s="1323"/>
      <c r="N132" s="1323"/>
    </row>
    <row r="133" spans="1:14" s="1302" customFormat="1" ht="15.6">
      <c r="A133" s="1328"/>
      <c r="B133" s="1327">
        <v>44482</v>
      </c>
      <c r="C133" s="1326">
        <v>126</v>
      </c>
      <c r="D133" s="1323">
        <f t="shared" si="16"/>
        <v>452904</v>
      </c>
      <c r="E133" s="1325">
        <v>453159</v>
      </c>
      <c r="F133" s="1322">
        <f t="shared" si="9"/>
        <v>255</v>
      </c>
      <c r="G133" s="1322">
        <f t="shared" si="10"/>
        <v>15609</v>
      </c>
      <c r="H133" s="1322">
        <f t="shared" si="11"/>
        <v>123.88095238095238</v>
      </c>
      <c r="I133" s="1322">
        <f t="shared" si="12"/>
        <v>45216.547619047618</v>
      </c>
      <c r="J133" s="1324">
        <f ca="1">F132:F133/$M$3</f>
        <v>11.276970160673297</v>
      </c>
      <c r="K133" s="1340">
        <f t="shared" si="14"/>
        <v>79.327276524644944</v>
      </c>
      <c r="L133" s="1323">
        <f t="shared" si="15"/>
        <v>42159</v>
      </c>
      <c r="M133" s="1322"/>
      <c r="N133" s="1322"/>
    </row>
    <row r="134" spans="1:14" s="1302" customFormat="1" ht="15.6">
      <c r="A134" s="1328"/>
      <c r="B134" s="1327">
        <v>44483</v>
      </c>
      <c r="C134" s="1326">
        <v>127</v>
      </c>
      <c r="D134" s="1323">
        <f t="shared" si="16"/>
        <v>453159</v>
      </c>
      <c r="E134" s="1325">
        <v>453410</v>
      </c>
      <c r="F134" s="1322">
        <f t="shared" si="9"/>
        <v>251</v>
      </c>
      <c r="G134" s="1322">
        <f t="shared" si="10"/>
        <v>15860</v>
      </c>
      <c r="H134" s="1322">
        <f t="shared" si="11"/>
        <v>124.88188976377953</v>
      </c>
      <c r="I134" s="1322">
        <f t="shared" si="12"/>
        <v>45581.889763779523</v>
      </c>
      <c r="J134" s="1324">
        <f ca="1">F133:F134/$M$3</f>
        <v>11.100076511094109</v>
      </c>
      <c r="K134" s="1340">
        <f t="shared" si="14"/>
        <v>79.968227655753552</v>
      </c>
      <c r="L134" s="1323">
        <f t="shared" si="15"/>
        <v>42410</v>
      </c>
      <c r="M134" s="1322" t="s">
        <v>238</v>
      </c>
      <c r="N134" s="1322"/>
    </row>
    <row r="135" spans="1:14" s="1302" customFormat="1" ht="16.5" customHeight="1">
      <c r="A135" s="1328"/>
      <c r="B135" s="1327">
        <v>44484</v>
      </c>
      <c r="C135" s="1326">
        <v>128</v>
      </c>
      <c r="D135" s="1323">
        <f t="shared" si="16"/>
        <v>453410</v>
      </c>
      <c r="E135" s="1335">
        <f>E134</f>
        <v>453410</v>
      </c>
      <c r="F135" s="1323">
        <f t="shared" ref="F135:F198" si="20">E135-D135</f>
        <v>0</v>
      </c>
      <c r="G135" s="1323">
        <f t="shared" ref="G135:G198" si="21">E135-$E$7</f>
        <v>15860</v>
      </c>
      <c r="H135" s="1323">
        <f t="shared" si="11"/>
        <v>123.90625</v>
      </c>
      <c r="I135" s="1323">
        <f t="shared" si="12"/>
        <v>45225.78125</v>
      </c>
      <c r="J135" s="1323"/>
      <c r="K135" s="1338">
        <f t="shared" si="14"/>
        <v>79.343475877192986</v>
      </c>
      <c r="L135" s="1323">
        <f t="shared" si="15"/>
        <v>42410</v>
      </c>
      <c r="M135" s="1323"/>
      <c r="N135" s="1323"/>
    </row>
    <row r="136" spans="1:14" s="1302" customFormat="1" ht="15.6">
      <c r="A136" s="1328"/>
      <c r="B136" s="1327">
        <v>44485</v>
      </c>
      <c r="C136" s="1326">
        <v>129</v>
      </c>
      <c r="D136" s="1323">
        <f t="shared" si="16"/>
        <v>453410</v>
      </c>
      <c r="E136" s="1325">
        <v>453589</v>
      </c>
      <c r="F136" s="1322">
        <f t="shared" si="20"/>
        <v>179</v>
      </c>
      <c r="G136" s="1322">
        <f t="shared" si="21"/>
        <v>16039</v>
      </c>
      <c r="H136" s="1322">
        <f t="shared" ref="H136:H199" si="22">G136/C136</f>
        <v>124.33333333333333</v>
      </c>
      <c r="I136" s="1322">
        <f t="shared" ref="I136:I199" si="23">G136/C136*365</f>
        <v>45381.666666666664</v>
      </c>
      <c r="J136" s="1324">
        <f ca="1">F135:F136/$M$3</f>
        <v>7.9159908186687069</v>
      </c>
      <c r="K136" s="1340">
        <f t="shared" ref="K136:K199" si="24">I136/570</f>
        <v>79.616959064327474</v>
      </c>
      <c r="L136" s="1323">
        <f t="shared" ref="L136:L199" si="25">E136-411000</f>
        <v>42589</v>
      </c>
      <c r="M136" s="1322"/>
      <c r="N136" s="1322"/>
    </row>
    <row r="137" spans="1:14" s="1302" customFormat="1" ht="16.5" customHeight="1">
      <c r="A137" s="1328"/>
      <c r="B137" s="1327">
        <v>44486</v>
      </c>
      <c r="C137" s="1326">
        <v>130</v>
      </c>
      <c r="D137" s="1323">
        <f t="shared" si="16"/>
        <v>453589</v>
      </c>
      <c r="E137" s="1335">
        <f>E136</f>
        <v>453589</v>
      </c>
      <c r="F137" s="1323">
        <f t="shared" si="20"/>
        <v>0</v>
      </c>
      <c r="G137" s="1323">
        <f t="shared" si="21"/>
        <v>16039</v>
      </c>
      <c r="H137" s="1323">
        <f t="shared" si="22"/>
        <v>123.37692307692308</v>
      </c>
      <c r="I137" s="1323">
        <f t="shared" si="23"/>
        <v>45032.576923076922</v>
      </c>
      <c r="J137" s="1323"/>
      <c r="K137" s="1338">
        <f t="shared" si="24"/>
        <v>79.004520917678803</v>
      </c>
      <c r="L137" s="1323">
        <f t="shared" si="25"/>
        <v>42589</v>
      </c>
      <c r="M137" s="1323"/>
      <c r="N137" s="1323"/>
    </row>
    <row r="138" spans="1:14" s="1302" customFormat="1" ht="16.5" customHeight="1">
      <c r="A138" s="1328"/>
      <c r="B138" s="1327">
        <v>44487</v>
      </c>
      <c r="C138" s="1326">
        <v>131</v>
      </c>
      <c r="D138" s="1323">
        <f t="shared" si="16"/>
        <v>453589</v>
      </c>
      <c r="E138" s="1335">
        <f>E137</f>
        <v>453589</v>
      </c>
      <c r="F138" s="1323">
        <f t="shared" si="20"/>
        <v>0</v>
      </c>
      <c r="G138" s="1323">
        <f t="shared" si="21"/>
        <v>16039</v>
      </c>
      <c r="H138" s="1323">
        <f t="shared" si="22"/>
        <v>122.43511450381679</v>
      </c>
      <c r="I138" s="1323">
        <f t="shared" si="23"/>
        <v>44688.816793893129</v>
      </c>
      <c r="J138" s="1323"/>
      <c r="K138" s="1338">
        <f t="shared" si="24"/>
        <v>78.401432971742338</v>
      </c>
      <c r="L138" s="1323">
        <f t="shared" si="25"/>
        <v>42589</v>
      </c>
      <c r="M138" s="1323"/>
      <c r="N138" s="1323"/>
    </row>
    <row r="139" spans="1:14" s="1302" customFormat="1" ht="16.5" customHeight="1">
      <c r="A139" s="1328"/>
      <c r="B139" s="1327">
        <v>44488</v>
      </c>
      <c r="C139" s="1326">
        <v>132</v>
      </c>
      <c r="D139" s="1323">
        <f t="shared" si="16"/>
        <v>453589</v>
      </c>
      <c r="E139" s="1335">
        <f>E138</f>
        <v>453589</v>
      </c>
      <c r="F139" s="1323">
        <f t="shared" si="20"/>
        <v>0</v>
      </c>
      <c r="G139" s="1323">
        <f t="shared" si="21"/>
        <v>16039</v>
      </c>
      <c r="H139" s="1323">
        <f t="shared" si="22"/>
        <v>121.50757575757575</v>
      </c>
      <c r="I139" s="1323">
        <f t="shared" si="23"/>
        <v>44350.265151515152</v>
      </c>
      <c r="J139" s="1323"/>
      <c r="K139" s="1338">
        <f t="shared" si="24"/>
        <v>77.807482721956404</v>
      </c>
      <c r="L139" s="1323">
        <f t="shared" si="25"/>
        <v>42589</v>
      </c>
      <c r="M139" s="1323"/>
      <c r="N139" s="1323"/>
    </row>
    <row r="140" spans="1:14" s="1302" customFormat="1" ht="16.5" customHeight="1">
      <c r="A140" s="1328"/>
      <c r="B140" s="1327">
        <v>44489</v>
      </c>
      <c r="C140" s="1326">
        <v>133</v>
      </c>
      <c r="D140" s="1323">
        <f t="shared" si="16"/>
        <v>453589</v>
      </c>
      <c r="E140" s="1335">
        <f>E139</f>
        <v>453589</v>
      </c>
      <c r="F140" s="1323">
        <f t="shared" si="20"/>
        <v>0</v>
      </c>
      <c r="G140" s="1323">
        <f t="shared" si="21"/>
        <v>16039</v>
      </c>
      <c r="H140" s="1323">
        <f t="shared" si="22"/>
        <v>120.59398496240601</v>
      </c>
      <c r="I140" s="1323">
        <f t="shared" si="23"/>
        <v>44016.804511278191</v>
      </c>
      <c r="J140" s="1323"/>
      <c r="K140" s="1338">
        <f t="shared" si="24"/>
        <v>77.222464054874024</v>
      </c>
      <c r="L140" s="1323">
        <f t="shared" si="25"/>
        <v>42589</v>
      </c>
      <c r="M140" s="1323"/>
      <c r="N140" s="1323"/>
    </row>
    <row r="141" spans="1:14" s="1302" customFormat="1" ht="16.5" customHeight="1">
      <c r="A141" s="1328"/>
      <c r="B141" s="1327">
        <v>44490</v>
      </c>
      <c r="C141" s="1326">
        <v>134</v>
      </c>
      <c r="D141" s="1323">
        <f t="shared" si="16"/>
        <v>453589</v>
      </c>
      <c r="E141" s="1335">
        <f>E140</f>
        <v>453589</v>
      </c>
      <c r="F141" s="1323">
        <f t="shared" si="20"/>
        <v>0</v>
      </c>
      <c r="G141" s="1323">
        <f t="shared" si="21"/>
        <v>16039</v>
      </c>
      <c r="H141" s="1323">
        <f t="shared" si="22"/>
        <v>119.69402985074628</v>
      </c>
      <c r="I141" s="1323">
        <f t="shared" si="23"/>
        <v>43688.320895522389</v>
      </c>
      <c r="J141" s="1323"/>
      <c r="K141" s="1338">
        <f t="shared" si="24"/>
        <v>76.646177009688401</v>
      </c>
      <c r="L141" s="1323">
        <f t="shared" si="25"/>
        <v>42589</v>
      </c>
      <c r="M141" s="1323"/>
      <c r="N141" s="1323"/>
    </row>
    <row r="142" spans="1:14" s="1302" customFormat="1" ht="15.6">
      <c r="A142" s="1328"/>
      <c r="B142" s="1327">
        <v>44491</v>
      </c>
      <c r="C142" s="1326">
        <v>135</v>
      </c>
      <c r="D142" s="1323">
        <f t="shared" si="16"/>
        <v>453589</v>
      </c>
      <c r="E142" s="1325">
        <v>454049</v>
      </c>
      <c r="F142" s="1322">
        <f t="shared" si="20"/>
        <v>460</v>
      </c>
      <c r="G142" s="1322">
        <f t="shared" si="21"/>
        <v>16499</v>
      </c>
      <c r="H142" s="1322">
        <f t="shared" si="22"/>
        <v>122.21481481481482</v>
      </c>
      <c r="I142" s="1322">
        <f t="shared" si="23"/>
        <v>44608.407407407409</v>
      </c>
      <c r="J142" s="1324">
        <f ca="1">F141:F142/$M$3</f>
        <v>20.342769701606731</v>
      </c>
      <c r="K142" s="1340">
        <f t="shared" si="24"/>
        <v>78.260363872644575</v>
      </c>
      <c r="L142" s="1323">
        <f t="shared" si="25"/>
        <v>43049</v>
      </c>
      <c r="M142" s="1322"/>
      <c r="N142" s="1322"/>
    </row>
    <row r="143" spans="1:14" s="1302" customFormat="1" ht="15.6">
      <c r="A143" s="1328"/>
      <c r="B143" s="1327">
        <v>44492</v>
      </c>
      <c r="C143" s="1326">
        <v>136</v>
      </c>
      <c r="D143" s="1323">
        <f t="shared" si="16"/>
        <v>454049</v>
      </c>
      <c r="E143" s="1325">
        <v>454191</v>
      </c>
      <c r="F143" s="1322">
        <f t="shared" si="20"/>
        <v>142</v>
      </c>
      <c r="G143" s="1322">
        <f t="shared" si="21"/>
        <v>16641</v>
      </c>
      <c r="H143" s="1322">
        <f t="shared" si="22"/>
        <v>122.36029411764706</v>
      </c>
      <c r="I143" s="1322">
        <f t="shared" si="23"/>
        <v>44661.507352941175</v>
      </c>
      <c r="J143" s="1324">
        <f ca="1">F142:F143/$M$3</f>
        <v>6.2797245600612088</v>
      </c>
      <c r="K143" s="1340">
        <f t="shared" si="24"/>
        <v>78.353521671826627</v>
      </c>
      <c r="L143" s="1323">
        <f t="shared" si="25"/>
        <v>43191</v>
      </c>
      <c r="M143" s="1322"/>
      <c r="N143" s="1322"/>
    </row>
    <row r="144" spans="1:14" s="1302" customFormat="1" ht="16.5" customHeight="1">
      <c r="A144" s="1328"/>
      <c r="B144" s="1327">
        <v>44493</v>
      </c>
      <c r="C144" s="1326">
        <v>137</v>
      </c>
      <c r="D144" s="1323">
        <f t="shared" ref="D144:D207" si="26">E143</f>
        <v>454191</v>
      </c>
      <c r="E144" s="1335">
        <f>E143</f>
        <v>454191</v>
      </c>
      <c r="F144" s="1323">
        <f t="shared" si="20"/>
        <v>0</v>
      </c>
      <c r="G144" s="1323">
        <f t="shared" si="21"/>
        <v>16641</v>
      </c>
      <c r="H144" s="1323">
        <f t="shared" si="22"/>
        <v>121.46715328467154</v>
      </c>
      <c r="I144" s="1323">
        <f t="shared" si="23"/>
        <v>44335.51094890511</v>
      </c>
      <c r="J144" s="1323"/>
      <c r="K144" s="1338">
        <f t="shared" si="24"/>
        <v>77.781598155973882</v>
      </c>
      <c r="L144" s="1323">
        <f t="shared" si="25"/>
        <v>43191</v>
      </c>
      <c r="M144" s="1323"/>
      <c r="N144" s="1323"/>
    </row>
    <row r="145" spans="1:14" s="1302" customFormat="1" ht="15.6">
      <c r="A145" s="1328"/>
      <c r="B145" s="1327">
        <v>44494</v>
      </c>
      <c r="C145" s="1326">
        <v>138</v>
      </c>
      <c r="D145" s="1323">
        <f t="shared" si="26"/>
        <v>454191</v>
      </c>
      <c r="E145" s="1325">
        <v>454340</v>
      </c>
      <c r="F145" s="1322">
        <f t="shared" si="20"/>
        <v>149</v>
      </c>
      <c r="G145" s="1322">
        <f t="shared" si="21"/>
        <v>16790</v>
      </c>
      <c r="H145" s="1322">
        <f t="shared" si="22"/>
        <v>121.66666666666667</v>
      </c>
      <c r="I145" s="1322">
        <f t="shared" si="23"/>
        <v>44408.333333333336</v>
      </c>
      <c r="J145" s="1324">
        <f ca="1">F144:F145/$M$3</f>
        <v>6.5892884468247894</v>
      </c>
      <c r="K145" s="1340">
        <f t="shared" si="24"/>
        <v>77.909356725146196</v>
      </c>
      <c r="L145" s="1323">
        <f t="shared" si="25"/>
        <v>43340</v>
      </c>
      <c r="M145" s="1322"/>
      <c r="N145" s="1322"/>
    </row>
    <row r="146" spans="1:14" s="1302" customFormat="1" ht="16.5" customHeight="1">
      <c r="A146" s="1328"/>
      <c r="B146" s="1327">
        <v>44495</v>
      </c>
      <c r="C146" s="1326">
        <v>139</v>
      </c>
      <c r="D146" s="1323">
        <f t="shared" si="26"/>
        <v>454340</v>
      </c>
      <c r="E146" s="1335">
        <f>E145</f>
        <v>454340</v>
      </c>
      <c r="F146" s="1323">
        <f t="shared" si="20"/>
        <v>0</v>
      </c>
      <c r="G146" s="1323">
        <f t="shared" si="21"/>
        <v>16790</v>
      </c>
      <c r="H146" s="1323">
        <f t="shared" si="22"/>
        <v>120.79136690647482</v>
      </c>
      <c r="I146" s="1323">
        <f t="shared" si="23"/>
        <v>44088.848920863311</v>
      </c>
      <c r="J146" s="1323"/>
      <c r="K146" s="1338">
        <f t="shared" si="24"/>
        <v>77.348857755900539</v>
      </c>
      <c r="L146" s="1323">
        <f t="shared" si="25"/>
        <v>43340</v>
      </c>
      <c r="M146" s="1323"/>
      <c r="N146" s="1323"/>
    </row>
    <row r="147" spans="1:14" s="1302" customFormat="1" ht="15.6">
      <c r="A147" s="1328"/>
      <c r="B147" s="1327">
        <v>44496</v>
      </c>
      <c r="C147" s="1326">
        <v>140</v>
      </c>
      <c r="D147" s="1323">
        <f t="shared" si="26"/>
        <v>454340</v>
      </c>
      <c r="E147" s="1325">
        <v>454489</v>
      </c>
      <c r="F147" s="1322">
        <f t="shared" si="20"/>
        <v>149</v>
      </c>
      <c r="G147" s="1322">
        <f t="shared" si="21"/>
        <v>16939</v>
      </c>
      <c r="H147" s="1322">
        <f t="shared" si="22"/>
        <v>120.99285714285715</v>
      </c>
      <c r="I147" s="1322">
        <f t="shared" si="23"/>
        <v>44162.392857142862</v>
      </c>
      <c r="J147" s="1324">
        <f ca="1">F146:F147/$M$3</f>
        <v>6.5892884468247894</v>
      </c>
      <c r="K147" s="1340">
        <f t="shared" si="24"/>
        <v>77.477882205513794</v>
      </c>
      <c r="L147" s="1323">
        <f t="shared" si="25"/>
        <v>43489</v>
      </c>
      <c r="M147" s="1322"/>
      <c r="N147" s="1322"/>
    </row>
    <row r="148" spans="1:14" s="1302" customFormat="1" ht="15.6">
      <c r="A148" s="1328"/>
      <c r="B148" s="1327">
        <v>44497</v>
      </c>
      <c r="C148" s="1326">
        <v>141</v>
      </c>
      <c r="D148" s="1323">
        <f t="shared" si="26"/>
        <v>454489</v>
      </c>
      <c r="E148" s="1325">
        <v>454802</v>
      </c>
      <c r="F148" s="1322">
        <f t="shared" si="20"/>
        <v>313</v>
      </c>
      <c r="G148" s="1322">
        <f t="shared" si="21"/>
        <v>17252</v>
      </c>
      <c r="H148" s="1322">
        <f t="shared" si="22"/>
        <v>122.35460992907801</v>
      </c>
      <c r="I148" s="1322">
        <f t="shared" si="23"/>
        <v>44659.432624113477</v>
      </c>
      <c r="J148" s="1324">
        <f ca="1">F147:F148/$M$3</f>
        <v>13.841928079571538</v>
      </c>
      <c r="K148" s="1340">
        <f t="shared" si="24"/>
        <v>78.349881796690312</v>
      </c>
      <c r="L148" s="1323">
        <f t="shared" si="25"/>
        <v>43802</v>
      </c>
      <c r="M148" s="1322" t="s">
        <v>238</v>
      </c>
      <c r="N148" s="1322"/>
    </row>
    <row r="149" spans="1:14" s="1302" customFormat="1" ht="16.5" customHeight="1">
      <c r="A149" s="1328"/>
      <c r="B149" s="1327">
        <v>44498</v>
      </c>
      <c r="C149" s="1326">
        <v>142</v>
      </c>
      <c r="D149" s="1323">
        <f t="shared" si="26"/>
        <v>454802</v>
      </c>
      <c r="E149" s="1335">
        <f>E148</f>
        <v>454802</v>
      </c>
      <c r="F149" s="1323">
        <f t="shared" si="20"/>
        <v>0</v>
      </c>
      <c r="G149" s="1323">
        <f t="shared" si="21"/>
        <v>17252</v>
      </c>
      <c r="H149" s="1323">
        <f t="shared" si="22"/>
        <v>121.49295774647888</v>
      </c>
      <c r="I149" s="1323">
        <f t="shared" si="23"/>
        <v>44344.929577464791</v>
      </c>
      <c r="J149" s="1323"/>
      <c r="K149" s="1338">
        <f t="shared" si="24"/>
        <v>77.798122065727696</v>
      </c>
      <c r="L149" s="1323">
        <f t="shared" si="25"/>
        <v>43802</v>
      </c>
      <c r="M149" s="1323"/>
      <c r="N149" s="1323"/>
    </row>
    <row r="150" spans="1:14" s="1302" customFormat="1" ht="16.5" customHeight="1">
      <c r="A150" s="1328"/>
      <c r="B150" s="1327">
        <v>44499</v>
      </c>
      <c r="C150" s="1326">
        <v>143</v>
      </c>
      <c r="D150" s="1323">
        <f t="shared" si="26"/>
        <v>454802</v>
      </c>
      <c r="E150" s="1335">
        <f>E149</f>
        <v>454802</v>
      </c>
      <c r="F150" s="1323">
        <f t="shared" si="20"/>
        <v>0</v>
      </c>
      <c r="G150" s="1323">
        <f t="shared" si="21"/>
        <v>17252</v>
      </c>
      <c r="H150" s="1323">
        <f t="shared" si="22"/>
        <v>120.64335664335664</v>
      </c>
      <c r="I150" s="1323">
        <f t="shared" si="23"/>
        <v>44034.825174825171</v>
      </c>
      <c r="J150" s="1323"/>
      <c r="K150" s="1338">
        <f t="shared" si="24"/>
        <v>77.254079254079244</v>
      </c>
      <c r="L150" s="1323">
        <f t="shared" si="25"/>
        <v>43802</v>
      </c>
      <c r="M150" s="1323"/>
      <c r="N150" s="1323"/>
    </row>
    <row r="151" spans="1:14" s="1302" customFormat="1" ht="16.5" customHeight="1">
      <c r="A151" s="1328"/>
      <c r="B151" s="1327">
        <v>44500</v>
      </c>
      <c r="C151" s="1326">
        <v>144</v>
      </c>
      <c r="D151" s="1323">
        <f t="shared" si="26"/>
        <v>454802</v>
      </c>
      <c r="E151" s="1335">
        <f>E150</f>
        <v>454802</v>
      </c>
      <c r="F151" s="1323">
        <f t="shared" si="20"/>
        <v>0</v>
      </c>
      <c r="G151" s="1323">
        <f t="shared" si="21"/>
        <v>17252</v>
      </c>
      <c r="H151" s="1323">
        <f t="shared" si="22"/>
        <v>119.80555555555556</v>
      </c>
      <c r="I151" s="1323">
        <f t="shared" si="23"/>
        <v>43729.027777777781</v>
      </c>
      <c r="J151" s="1323"/>
      <c r="K151" s="1338">
        <f t="shared" si="24"/>
        <v>76.717592592592595</v>
      </c>
      <c r="L151" s="1323">
        <f t="shared" si="25"/>
        <v>43802</v>
      </c>
      <c r="M151" s="1323"/>
      <c r="N151" s="1323"/>
    </row>
    <row r="152" spans="1:14" s="1302" customFormat="1" ht="16.5" customHeight="1">
      <c r="A152" s="1328"/>
      <c r="B152" s="1327">
        <v>44501</v>
      </c>
      <c r="C152" s="1326">
        <v>145</v>
      </c>
      <c r="D152" s="1323">
        <f t="shared" si="26"/>
        <v>454802</v>
      </c>
      <c r="E152" s="1335">
        <f>E151</f>
        <v>454802</v>
      </c>
      <c r="F152" s="1323">
        <f t="shared" si="20"/>
        <v>0</v>
      </c>
      <c r="G152" s="1323">
        <f t="shared" si="21"/>
        <v>17252</v>
      </c>
      <c r="H152" s="1323">
        <f t="shared" si="22"/>
        <v>118.97931034482758</v>
      </c>
      <c r="I152" s="1323">
        <f t="shared" si="23"/>
        <v>43427.448275862065</v>
      </c>
      <c r="J152" s="1323"/>
      <c r="K152" s="1338">
        <f t="shared" si="24"/>
        <v>76.188505747126428</v>
      </c>
      <c r="L152" s="1323">
        <f t="shared" si="25"/>
        <v>43802</v>
      </c>
      <c r="M152" s="1323"/>
      <c r="N152" s="1323"/>
    </row>
    <row r="153" spans="1:14" s="1302" customFormat="1" ht="15.6">
      <c r="A153" s="1328"/>
      <c r="B153" s="1327">
        <v>44502</v>
      </c>
      <c r="C153" s="1326">
        <v>146</v>
      </c>
      <c r="D153" s="1323">
        <f t="shared" si="26"/>
        <v>454802</v>
      </c>
      <c r="E153" s="1325">
        <v>455121</v>
      </c>
      <c r="F153" s="1322">
        <f t="shared" si="20"/>
        <v>319</v>
      </c>
      <c r="G153" s="1322">
        <f t="shared" si="21"/>
        <v>17571</v>
      </c>
      <c r="H153" s="1322">
        <f t="shared" si="22"/>
        <v>120.34931506849315</v>
      </c>
      <c r="I153" s="1322">
        <f t="shared" si="23"/>
        <v>43927.5</v>
      </c>
      <c r="J153" s="1324">
        <f ca="1">F152:F153/$M$3</f>
        <v>14.107268553940321</v>
      </c>
      <c r="K153" s="1340">
        <f t="shared" si="24"/>
        <v>77.065789473684205</v>
      </c>
      <c r="L153" s="1323">
        <f t="shared" si="25"/>
        <v>44121</v>
      </c>
      <c r="M153" s="1322"/>
      <c r="N153" s="1322"/>
    </row>
    <row r="154" spans="1:14" s="1302" customFormat="1" ht="15.6">
      <c r="A154" s="1328"/>
      <c r="B154" s="1327">
        <v>44503</v>
      </c>
      <c r="C154" s="1326">
        <v>147</v>
      </c>
      <c r="D154" s="1323">
        <f t="shared" si="26"/>
        <v>455121</v>
      </c>
      <c r="E154" s="1325">
        <v>455192</v>
      </c>
      <c r="F154" s="1322">
        <f t="shared" si="20"/>
        <v>71</v>
      </c>
      <c r="G154" s="1322">
        <f t="shared" si="21"/>
        <v>17642</v>
      </c>
      <c r="H154" s="1322">
        <f t="shared" si="22"/>
        <v>120.01360544217687</v>
      </c>
      <c r="I154" s="1322">
        <f t="shared" si="23"/>
        <v>43804.965986394556</v>
      </c>
      <c r="J154" s="1324">
        <f ca="1">F153:F154/$M$3</f>
        <v>3.1398622800306044</v>
      </c>
      <c r="K154" s="1340">
        <f t="shared" si="24"/>
        <v>76.850817519990443</v>
      </c>
      <c r="L154" s="1323">
        <f t="shared" si="25"/>
        <v>44192</v>
      </c>
      <c r="M154" s="1322"/>
      <c r="N154" s="1322"/>
    </row>
    <row r="155" spans="1:14" s="1302" customFormat="1" ht="16.5" customHeight="1">
      <c r="A155" s="1328"/>
      <c r="B155" s="1327">
        <v>44504</v>
      </c>
      <c r="C155" s="1326">
        <v>148</v>
      </c>
      <c r="D155" s="1323">
        <f t="shared" si="26"/>
        <v>455192</v>
      </c>
      <c r="E155" s="1335">
        <f>E154</f>
        <v>455192</v>
      </c>
      <c r="F155" s="1323">
        <f t="shared" si="20"/>
        <v>0</v>
      </c>
      <c r="G155" s="1323">
        <f t="shared" si="21"/>
        <v>17642</v>
      </c>
      <c r="H155" s="1323">
        <f t="shared" si="22"/>
        <v>119.20270270270271</v>
      </c>
      <c r="I155" s="1323">
        <f t="shared" si="23"/>
        <v>43508.986486486487</v>
      </c>
      <c r="J155" s="1323"/>
      <c r="K155" s="1338">
        <f t="shared" si="24"/>
        <v>76.331555239449983</v>
      </c>
      <c r="L155" s="1323">
        <f t="shared" si="25"/>
        <v>44192</v>
      </c>
      <c r="M155" s="1323"/>
      <c r="N155" s="1323"/>
    </row>
    <row r="156" spans="1:14" s="1302" customFormat="1" ht="15.6">
      <c r="A156" s="1328"/>
      <c r="B156" s="1327">
        <v>44505</v>
      </c>
      <c r="C156" s="1326">
        <v>149</v>
      </c>
      <c r="D156" s="1323">
        <f t="shared" si="26"/>
        <v>455192</v>
      </c>
      <c r="E156" s="1325">
        <v>455434</v>
      </c>
      <c r="F156" s="1322">
        <f t="shared" si="20"/>
        <v>242</v>
      </c>
      <c r="G156" s="1322">
        <f t="shared" si="21"/>
        <v>17884</v>
      </c>
      <c r="H156" s="1322">
        <f t="shared" si="22"/>
        <v>120.02684563758389</v>
      </c>
      <c r="I156" s="1322">
        <f t="shared" si="23"/>
        <v>43809.798657718122</v>
      </c>
      <c r="J156" s="1324">
        <f ca="1">F155:F156/$M$3</f>
        <v>10.702065799540932</v>
      </c>
      <c r="K156" s="1340">
        <f t="shared" si="24"/>
        <v>76.859295890733549</v>
      </c>
      <c r="L156" s="1323">
        <f t="shared" si="25"/>
        <v>44434</v>
      </c>
      <c r="M156" s="1322"/>
      <c r="N156" s="1322"/>
    </row>
    <row r="157" spans="1:14" s="1302" customFormat="1" ht="15.6">
      <c r="A157" s="1328"/>
      <c r="B157" s="1327">
        <v>44506</v>
      </c>
      <c r="C157" s="1326">
        <v>150</v>
      </c>
      <c r="D157" s="1323">
        <f t="shared" si="26"/>
        <v>455434</v>
      </c>
      <c r="E157" s="1325">
        <v>455500</v>
      </c>
      <c r="F157" s="1322">
        <f t="shared" si="20"/>
        <v>66</v>
      </c>
      <c r="G157" s="1322">
        <f t="shared" si="21"/>
        <v>17950</v>
      </c>
      <c r="H157" s="1322">
        <f t="shared" si="22"/>
        <v>119.66666666666667</v>
      </c>
      <c r="I157" s="1322">
        <f t="shared" si="23"/>
        <v>43678.333333333336</v>
      </c>
      <c r="J157" s="1324">
        <f ca="1">F156:F157/$M$3</f>
        <v>2.918745218056618</v>
      </c>
      <c r="K157" s="1340">
        <f t="shared" si="24"/>
        <v>76.628654970760238</v>
      </c>
      <c r="L157" s="1323">
        <f t="shared" si="25"/>
        <v>44500</v>
      </c>
      <c r="M157" s="1322"/>
      <c r="N157" s="1322"/>
    </row>
    <row r="158" spans="1:14" s="1302" customFormat="1" ht="15.6">
      <c r="A158" s="1328"/>
      <c r="B158" s="1327">
        <v>44507</v>
      </c>
      <c r="C158" s="1326">
        <v>151</v>
      </c>
      <c r="D158" s="1323">
        <f t="shared" si="26"/>
        <v>455500</v>
      </c>
      <c r="E158" s="1325">
        <v>455645</v>
      </c>
      <c r="F158" s="1322">
        <f t="shared" si="20"/>
        <v>145</v>
      </c>
      <c r="G158" s="1322">
        <f t="shared" si="21"/>
        <v>18095</v>
      </c>
      <c r="H158" s="1322">
        <f t="shared" si="22"/>
        <v>119.83443708609272</v>
      </c>
      <c r="I158" s="1322">
        <f t="shared" si="23"/>
        <v>43739.569536423842</v>
      </c>
      <c r="J158" s="1324">
        <f ca="1">F157:F158/$M$3</f>
        <v>6.4123947972456001</v>
      </c>
      <c r="K158" s="1340">
        <f t="shared" si="24"/>
        <v>76.736086906006733</v>
      </c>
      <c r="L158" s="1323">
        <f t="shared" si="25"/>
        <v>44645</v>
      </c>
      <c r="M158" s="1322"/>
      <c r="N158" s="1322"/>
    </row>
    <row r="159" spans="1:14" s="1302" customFormat="1" ht="16.5" customHeight="1">
      <c r="A159" s="1328"/>
      <c r="B159" s="1327">
        <v>44508</v>
      </c>
      <c r="C159" s="1326">
        <v>152</v>
      </c>
      <c r="D159" s="1323">
        <f t="shared" si="26"/>
        <v>455645</v>
      </c>
      <c r="E159" s="1335">
        <f>E158</f>
        <v>455645</v>
      </c>
      <c r="F159" s="1323">
        <f t="shared" si="20"/>
        <v>0</v>
      </c>
      <c r="G159" s="1323">
        <f t="shared" si="21"/>
        <v>18095</v>
      </c>
      <c r="H159" s="1323">
        <f t="shared" si="22"/>
        <v>119.04605263157895</v>
      </c>
      <c r="I159" s="1323">
        <f t="shared" si="23"/>
        <v>43451.809210526313</v>
      </c>
      <c r="J159" s="1323"/>
      <c r="K159" s="1338">
        <f t="shared" si="24"/>
        <v>76.231244228993532</v>
      </c>
      <c r="L159" s="1323">
        <f t="shared" si="25"/>
        <v>44645</v>
      </c>
      <c r="M159" s="1323"/>
      <c r="N159" s="1323"/>
    </row>
    <row r="160" spans="1:14" s="1302" customFormat="1" ht="15.6">
      <c r="A160" s="1328"/>
      <c r="B160" s="1327">
        <v>44509</v>
      </c>
      <c r="C160" s="1326">
        <v>153</v>
      </c>
      <c r="D160" s="1323">
        <f t="shared" si="26"/>
        <v>455645</v>
      </c>
      <c r="E160" s="1325">
        <v>455810</v>
      </c>
      <c r="F160" s="1322">
        <f t="shared" si="20"/>
        <v>165</v>
      </c>
      <c r="G160" s="1322">
        <f t="shared" si="21"/>
        <v>18260</v>
      </c>
      <c r="H160" s="1322">
        <f t="shared" si="22"/>
        <v>119.34640522875817</v>
      </c>
      <c r="I160" s="1322">
        <f t="shared" si="23"/>
        <v>43561.43790849673</v>
      </c>
      <c r="J160" s="1324">
        <f ca="1">F159:F160/$M$3</f>
        <v>7.2968630451415448</v>
      </c>
      <c r="K160" s="1340">
        <f t="shared" si="24"/>
        <v>76.423575278064433</v>
      </c>
      <c r="L160" s="1323">
        <f t="shared" si="25"/>
        <v>44810</v>
      </c>
      <c r="M160" s="1322"/>
      <c r="N160" s="1322"/>
    </row>
    <row r="161" spans="1:14" s="1302" customFormat="1" ht="16.5" customHeight="1">
      <c r="A161" s="1328"/>
      <c r="B161" s="1327">
        <v>44510</v>
      </c>
      <c r="C161" s="1326">
        <v>154</v>
      </c>
      <c r="D161" s="1323">
        <f t="shared" si="26"/>
        <v>455810</v>
      </c>
      <c r="E161" s="1335">
        <f>E160</f>
        <v>455810</v>
      </c>
      <c r="F161" s="1323">
        <f t="shared" si="20"/>
        <v>0</v>
      </c>
      <c r="G161" s="1323">
        <f t="shared" si="21"/>
        <v>18260</v>
      </c>
      <c r="H161" s="1323">
        <f t="shared" si="22"/>
        <v>118.57142857142857</v>
      </c>
      <c r="I161" s="1323">
        <f t="shared" si="23"/>
        <v>43278.571428571428</v>
      </c>
      <c r="J161" s="1323"/>
      <c r="K161" s="1338">
        <f t="shared" si="24"/>
        <v>75.92731829573934</v>
      </c>
      <c r="L161" s="1323">
        <f t="shared" si="25"/>
        <v>44810</v>
      </c>
      <c r="M161" s="1323"/>
      <c r="N161" s="1323"/>
    </row>
    <row r="162" spans="1:14" s="1302" customFormat="1" ht="16.5" customHeight="1">
      <c r="A162" s="1328"/>
      <c r="B162" s="1327">
        <v>44511</v>
      </c>
      <c r="C162" s="1326">
        <v>155</v>
      </c>
      <c r="D162" s="1323">
        <f t="shared" si="26"/>
        <v>455810</v>
      </c>
      <c r="E162" s="1335">
        <f>E161</f>
        <v>455810</v>
      </c>
      <c r="F162" s="1323">
        <f t="shared" si="20"/>
        <v>0</v>
      </c>
      <c r="G162" s="1323">
        <f t="shared" si="21"/>
        <v>18260</v>
      </c>
      <c r="H162" s="1323">
        <f t="shared" si="22"/>
        <v>117.80645161290323</v>
      </c>
      <c r="I162" s="1323">
        <f t="shared" si="23"/>
        <v>42999.354838709682</v>
      </c>
      <c r="J162" s="1323"/>
      <c r="K162" s="1338">
        <f t="shared" si="24"/>
        <v>75.43746462931523</v>
      </c>
      <c r="L162" s="1323">
        <f t="shared" si="25"/>
        <v>44810</v>
      </c>
      <c r="M162" s="1323"/>
      <c r="N162" s="1323"/>
    </row>
    <row r="163" spans="1:14" s="1302" customFormat="1" ht="15.6">
      <c r="A163" s="1328"/>
      <c r="B163" s="1327">
        <v>44512</v>
      </c>
      <c r="C163" s="1326">
        <v>156</v>
      </c>
      <c r="D163" s="1323">
        <f t="shared" si="26"/>
        <v>455810</v>
      </c>
      <c r="E163" s="1325">
        <v>455993</v>
      </c>
      <c r="F163" s="1322">
        <f t="shared" si="20"/>
        <v>183</v>
      </c>
      <c r="G163" s="1322">
        <f t="shared" si="21"/>
        <v>18443</v>
      </c>
      <c r="H163" s="1322">
        <f t="shared" si="22"/>
        <v>118.22435897435898</v>
      </c>
      <c r="I163" s="1322">
        <f t="shared" si="23"/>
        <v>43151.891025641024</v>
      </c>
      <c r="J163" s="1324">
        <f ca="1">F162:F163/$M$3</f>
        <v>8.0928844682478953</v>
      </c>
      <c r="K163" s="1340">
        <f t="shared" si="24"/>
        <v>75.705071974808817</v>
      </c>
      <c r="L163" s="1323">
        <f t="shared" si="25"/>
        <v>44993</v>
      </c>
      <c r="M163" s="1322"/>
      <c r="N163" s="1322"/>
    </row>
    <row r="164" spans="1:14" s="1302" customFormat="1" ht="16.5" customHeight="1">
      <c r="A164" s="1328"/>
      <c r="B164" s="1327">
        <v>44513</v>
      </c>
      <c r="C164" s="1326">
        <v>157</v>
      </c>
      <c r="D164" s="1323">
        <f t="shared" si="26"/>
        <v>455993</v>
      </c>
      <c r="E164" s="1335">
        <f>E163</f>
        <v>455993</v>
      </c>
      <c r="F164" s="1323">
        <f t="shared" si="20"/>
        <v>0</v>
      </c>
      <c r="G164" s="1323">
        <f t="shared" si="21"/>
        <v>18443</v>
      </c>
      <c r="H164" s="1323">
        <f t="shared" si="22"/>
        <v>117.47133757961784</v>
      </c>
      <c r="I164" s="1323">
        <f t="shared" si="23"/>
        <v>42877.038216560512</v>
      </c>
      <c r="J164" s="1323"/>
      <c r="K164" s="1338">
        <f t="shared" si="24"/>
        <v>75.222874064141251</v>
      </c>
      <c r="L164" s="1323">
        <f t="shared" si="25"/>
        <v>44993</v>
      </c>
      <c r="M164" s="1323"/>
      <c r="N164" s="1323"/>
    </row>
    <row r="165" spans="1:14" s="1302" customFormat="1" ht="16.5" customHeight="1">
      <c r="A165" s="1328"/>
      <c r="B165" s="1327">
        <v>44514</v>
      </c>
      <c r="C165" s="1326">
        <v>158</v>
      </c>
      <c r="D165" s="1323">
        <f t="shared" si="26"/>
        <v>455993</v>
      </c>
      <c r="E165" s="1335">
        <f>E164</f>
        <v>455993</v>
      </c>
      <c r="F165" s="1323">
        <f t="shared" si="20"/>
        <v>0</v>
      </c>
      <c r="G165" s="1323">
        <f t="shared" si="21"/>
        <v>18443</v>
      </c>
      <c r="H165" s="1323">
        <f t="shared" si="22"/>
        <v>116.72784810126582</v>
      </c>
      <c r="I165" s="1323">
        <f t="shared" si="23"/>
        <v>42605.664556962023</v>
      </c>
      <c r="J165" s="1323"/>
      <c r="K165" s="1338">
        <f t="shared" si="24"/>
        <v>74.746779924494774</v>
      </c>
      <c r="L165" s="1323">
        <f t="shared" si="25"/>
        <v>44993</v>
      </c>
      <c r="M165" s="1323"/>
      <c r="N165" s="1323"/>
    </row>
    <row r="166" spans="1:14" s="1302" customFormat="1" ht="15.6">
      <c r="A166" s="1328"/>
      <c r="B166" s="1327">
        <v>44515</v>
      </c>
      <c r="C166" s="1326">
        <v>159</v>
      </c>
      <c r="D166" s="1323">
        <f t="shared" si="26"/>
        <v>455993</v>
      </c>
      <c r="E166" s="1325">
        <v>456379</v>
      </c>
      <c r="F166" s="1322">
        <f t="shared" si="20"/>
        <v>386</v>
      </c>
      <c r="G166" s="1322">
        <f t="shared" si="21"/>
        <v>18829</v>
      </c>
      <c r="H166" s="1322">
        <f t="shared" si="22"/>
        <v>118.42138364779875</v>
      </c>
      <c r="I166" s="1322">
        <f t="shared" si="23"/>
        <v>43223.805031446544</v>
      </c>
      <c r="J166" s="1324">
        <f ca="1">F165:F166/$M$3</f>
        <v>17.070237184391736</v>
      </c>
      <c r="K166" s="1340">
        <f t="shared" si="24"/>
        <v>75.831236897274636</v>
      </c>
      <c r="L166" s="1323">
        <f t="shared" si="25"/>
        <v>45379</v>
      </c>
      <c r="M166" s="1322"/>
      <c r="N166" s="1322"/>
    </row>
    <row r="167" spans="1:14" s="1302" customFormat="1" ht="16.5" customHeight="1">
      <c r="A167" s="1328"/>
      <c r="B167" s="1327">
        <v>44516</v>
      </c>
      <c r="C167" s="1326">
        <v>160</v>
      </c>
      <c r="D167" s="1323">
        <f t="shared" si="26"/>
        <v>456379</v>
      </c>
      <c r="E167" s="1335">
        <f>E166</f>
        <v>456379</v>
      </c>
      <c r="F167" s="1323">
        <f t="shared" si="20"/>
        <v>0</v>
      </c>
      <c r="G167" s="1323">
        <f t="shared" si="21"/>
        <v>18829</v>
      </c>
      <c r="H167" s="1323">
        <f t="shared" si="22"/>
        <v>117.68125000000001</v>
      </c>
      <c r="I167" s="1323">
        <f t="shared" si="23"/>
        <v>42953.65625</v>
      </c>
      <c r="J167" s="1323"/>
      <c r="K167" s="1338">
        <f t="shared" si="24"/>
        <v>75.357291666666669</v>
      </c>
      <c r="L167" s="1323">
        <f t="shared" si="25"/>
        <v>45379</v>
      </c>
      <c r="M167" s="1323"/>
      <c r="N167" s="1323"/>
    </row>
    <row r="168" spans="1:14" s="1302" customFormat="1" ht="16.5" customHeight="1">
      <c r="A168" s="1328"/>
      <c r="B168" s="1327">
        <v>44517</v>
      </c>
      <c r="C168" s="1326">
        <v>161</v>
      </c>
      <c r="D168" s="1323">
        <f t="shared" si="26"/>
        <v>456379</v>
      </c>
      <c r="E168" s="1335">
        <f>E167</f>
        <v>456379</v>
      </c>
      <c r="F168" s="1323">
        <f t="shared" si="20"/>
        <v>0</v>
      </c>
      <c r="G168" s="1323">
        <f t="shared" si="21"/>
        <v>18829</v>
      </c>
      <c r="H168" s="1323">
        <f t="shared" si="22"/>
        <v>116.95031055900621</v>
      </c>
      <c r="I168" s="1323">
        <f t="shared" si="23"/>
        <v>42686.863354037268</v>
      </c>
      <c r="J168" s="1323"/>
      <c r="K168" s="1338">
        <f t="shared" si="24"/>
        <v>74.889233954451342</v>
      </c>
      <c r="L168" s="1323">
        <f t="shared" si="25"/>
        <v>45379</v>
      </c>
      <c r="M168" s="1323"/>
      <c r="N168" s="1323"/>
    </row>
    <row r="169" spans="1:14" s="1302" customFormat="1" ht="16.5" customHeight="1">
      <c r="A169" s="1328"/>
      <c r="B169" s="1327">
        <v>44518</v>
      </c>
      <c r="C169" s="1326">
        <v>162</v>
      </c>
      <c r="D169" s="1323">
        <f t="shared" si="26"/>
        <v>456379</v>
      </c>
      <c r="E169" s="1335">
        <f>E168</f>
        <v>456379</v>
      </c>
      <c r="F169" s="1323">
        <f t="shared" si="20"/>
        <v>0</v>
      </c>
      <c r="G169" s="1323">
        <f t="shared" si="21"/>
        <v>18829</v>
      </c>
      <c r="H169" s="1323">
        <f t="shared" si="22"/>
        <v>116.22839506172839</v>
      </c>
      <c r="I169" s="1323">
        <f t="shared" si="23"/>
        <v>42423.364197530864</v>
      </c>
      <c r="J169" s="1323"/>
      <c r="K169" s="1338">
        <f t="shared" si="24"/>
        <v>74.426954732510282</v>
      </c>
      <c r="L169" s="1323">
        <f t="shared" si="25"/>
        <v>45379</v>
      </c>
      <c r="M169" s="1323"/>
      <c r="N169" s="1323"/>
    </row>
    <row r="170" spans="1:14" s="1302" customFormat="1" ht="15.6">
      <c r="A170" s="1328"/>
      <c r="B170" s="1327">
        <v>44519</v>
      </c>
      <c r="C170" s="1326">
        <v>163</v>
      </c>
      <c r="D170" s="1323">
        <f t="shared" si="26"/>
        <v>456379</v>
      </c>
      <c r="E170" s="1325">
        <v>456893</v>
      </c>
      <c r="F170" s="1322">
        <f t="shared" si="20"/>
        <v>514</v>
      </c>
      <c r="G170" s="1322">
        <f t="shared" si="21"/>
        <v>19343</v>
      </c>
      <c r="H170" s="1322">
        <f t="shared" si="22"/>
        <v>118.66871165644172</v>
      </c>
      <c r="I170" s="1322">
        <f t="shared" si="23"/>
        <v>43314.079754601225</v>
      </c>
      <c r="J170" s="1324">
        <f ca="1">F169:F170/$M$3</f>
        <v>22.730833970925783</v>
      </c>
      <c r="K170" s="1340">
        <f t="shared" si="24"/>
        <v>75.989613604563559</v>
      </c>
      <c r="L170" s="1323">
        <f t="shared" si="25"/>
        <v>45893</v>
      </c>
      <c r="M170" s="1322"/>
      <c r="N170" s="1322"/>
    </row>
    <row r="171" spans="1:14" s="1302" customFormat="1" ht="16.5" customHeight="1">
      <c r="A171" s="1328"/>
      <c r="B171" s="1327">
        <v>44520</v>
      </c>
      <c r="C171" s="1326">
        <v>164</v>
      </c>
      <c r="D171" s="1323">
        <f t="shared" si="26"/>
        <v>456893</v>
      </c>
      <c r="E171" s="1335">
        <f>E170</f>
        <v>456893</v>
      </c>
      <c r="F171" s="1323">
        <f t="shared" si="20"/>
        <v>0</v>
      </c>
      <c r="G171" s="1323">
        <f t="shared" si="21"/>
        <v>19343</v>
      </c>
      <c r="H171" s="1323">
        <f t="shared" si="22"/>
        <v>117.94512195121951</v>
      </c>
      <c r="I171" s="1323">
        <f t="shared" si="23"/>
        <v>43049.969512195123</v>
      </c>
      <c r="J171" s="1323"/>
      <c r="K171" s="1338">
        <f t="shared" si="24"/>
        <v>75.526262302096711</v>
      </c>
      <c r="L171" s="1323">
        <f t="shared" si="25"/>
        <v>45893</v>
      </c>
      <c r="M171" s="1323"/>
      <c r="N171" s="1323"/>
    </row>
    <row r="172" spans="1:14" s="1302" customFormat="1" ht="16.5" customHeight="1">
      <c r="A172" s="1328"/>
      <c r="B172" s="1327">
        <v>44521</v>
      </c>
      <c r="C172" s="1326">
        <v>165</v>
      </c>
      <c r="D172" s="1323">
        <f t="shared" si="26"/>
        <v>456893</v>
      </c>
      <c r="E172" s="1335">
        <f>E171</f>
        <v>456893</v>
      </c>
      <c r="F172" s="1323">
        <f t="shared" si="20"/>
        <v>0</v>
      </c>
      <c r="G172" s="1323">
        <f t="shared" si="21"/>
        <v>19343</v>
      </c>
      <c r="H172" s="1323">
        <f t="shared" si="22"/>
        <v>117.23030303030303</v>
      </c>
      <c r="I172" s="1323">
        <f t="shared" si="23"/>
        <v>42789.060606060608</v>
      </c>
      <c r="J172" s="1323"/>
      <c r="K172" s="1338">
        <f t="shared" si="24"/>
        <v>75.068527379053691</v>
      </c>
      <c r="L172" s="1323">
        <f t="shared" si="25"/>
        <v>45893</v>
      </c>
      <c r="M172" s="1323"/>
      <c r="N172" s="1323"/>
    </row>
    <row r="173" spans="1:14" s="1302" customFormat="1" ht="16.5" customHeight="1">
      <c r="A173" s="1328"/>
      <c r="B173" s="1327">
        <v>44522</v>
      </c>
      <c r="C173" s="1326">
        <v>166</v>
      </c>
      <c r="D173" s="1323">
        <f t="shared" si="26"/>
        <v>456893</v>
      </c>
      <c r="E173" s="1335">
        <f>E172</f>
        <v>456893</v>
      </c>
      <c r="F173" s="1323">
        <f t="shared" si="20"/>
        <v>0</v>
      </c>
      <c r="G173" s="1323">
        <f t="shared" si="21"/>
        <v>19343</v>
      </c>
      <c r="H173" s="1323">
        <f t="shared" si="22"/>
        <v>116.52409638554217</v>
      </c>
      <c r="I173" s="1323">
        <f t="shared" si="23"/>
        <v>42531.295180722889</v>
      </c>
      <c r="J173" s="1323"/>
      <c r="K173" s="1338">
        <f t="shared" si="24"/>
        <v>74.616307334601558</v>
      </c>
      <c r="L173" s="1323">
        <f t="shared" si="25"/>
        <v>45893</v>
      </c>
      <c r="M173" s="1323"/>
      <c r="N173" s="1323"/>
    </row>
    <row r="174" spans="1:14" s="1302" customFormat="1" ht="15.6">
      <c r="A174" s="1328"/>
      <c r="B174" s="1327">
        <v>44523</v>
      </c>
      <c r="C174" s="1326">
        <v>167</v>
      </c>
      <c r="D174" s="1323">
        <f t="shared" si="26"/>
        <v>456893</v>
      </c>
      <c r="E174" s="1325">
        <v>457400</v>
      </c>
      <c r="F174" s="1322">
        <f t="shared" si="20"/>
        <v>507</v>
      </c>
      <c r="G174" s="1322">
        <f t="shared" si="21"/>
        <v>19850</v>
      </c>
      <c r="H174" s="1322">
        <f t="shared" si="22"/>
        <v>118.8622754491018</v>
      </c>
      <c r="I174" s="1322">
        <f t="shared" si="23"/>
        <v>43384.730538922158</v>
      </c>
      <c r="J174" s="1324">
        <f ca="1">F173:F174/$M$3</f>
        <v>22.421270084162202</v>
      </c>
      <c r="K174" s="1340">
        <f t="shared" si="24"/>
        <v>76.11356234898625</v>
      </c>
      <c r="L174" s="1323">
        <f t="shared" si="25"/>
        <v>46400</v>
      </c>
      <c r="M174" s="1322"/>
      <c r="N174" s="1322"/>
    </row>
    <row r="175" spans="1:14" s="1302" customFormat="1" ht="16.5" customHeight="1">
      <c r="A175" s="1328"/>
      <c r="B175" s="1327">
        <v>44524</v>
      </c>
      <c r="C175" s="1326">
        <v>168</v>
      </c>
      <c r="D175" s="1323">
        <f t="shared" si="26"/>
        <v>457400</v>
      </c>
      <c r="E175" s="1335">
        <f>E174</f>
        <v>457400</v>
      </c>
      <c r="F175" s="1323">
        <f t="shared" si="20"/>
        <v>0</v>
      </c>
      <c r="G175" s="1323">
        <f t="shared" si="21"/>
        <v>19850</v>
      </c>
      <c r="H175" s="1323">
        <f t="shared" si="22"/>
        <v>118.1547619047619</v>
      </c>
      <c r="I175" s="1323">
        <f t="shared" si="23"/>
        <v>43126.488095238092</v>
      </c>
      <c r="J175" s="1323"/>
      <c r="K175" s="1338">
        <f t="shared" si="24"/>
        <v>75.660505430242267</v>
      </c>
      <c r="L175" s="1323">
        <f t="shared" si="25"/>
        <v>46400</v>
      </c>
      <c r="M175" s="1323"/>
      <c r="N175" s="1323"/>
    </row>
    <row r="176" spans="1:14" s="1302" customFormat="1" ht="15.6">
      <c r="A176" s="1328"/>
      <c r="B176" s="1327">
        <v>44525</v>
      </c>
      <c r="C176" s="1326">
        <v>169</v>
      </c>
      <c r="D176" s="1323">
        <f t="shared" si="26"/>
        <v>457400</v>
      </c>
      <c r="E176" s="1325">
        <v>457617</v>
      </c>
      <c r="F176" s="1322">
        <f t="shared" si="20"/>
        <v>217</v>
      </c>
      <c r="G176" s="1322">
        <f t="shared" si="21"/>
        <v>20067</v>
      </c>
      <c r="H176" s="1322">
        <f t="shared" si="22"/>
        <v>118.7396449704142</v>
      </c>
      <c r="I176" s="1322">
        <f t="shared" si="23"/>
        <v>43339.970414201183</v>
      </c>
      <c r="J176" s="1324">
        <f t="shared" ref="J176:J184" ca="1" si="27">F175:F176/$M$3</f>
        <v>9.5964804896710021</v>
      </c>
      <c r="K176" s="1340">
        <f t="shared" si="24"/>
        <v>76.035035814388038</v>
      </c>
      <c r="L176" s="1323">
        <f t="shared" si="25"/>
        <v>46617</v>
      </c>
      <c r="M176" s="1322"/>
      <c r="N176" s="1322"/>
    </row>
    <row r="177" spans="1:14" s="1302" customFormat="1" ht="15.6">
      <c r="A177" s="1328"/>
      <c r="B177" s="1327">
        <v>44526</v>
      </c>
      <c r="C177" s="1326">
        <v>170</v>
      </c>
      <c r="D177" s="1323">
        <f t="shared" si="26"/>
        <v>457617</v>
      </c>
      <c r="E177" s="1325">
        <v>457685</v>
      </c>
      <c r="F177" s="1322">
        <f t="shared" si="20"/>
        <v>68</v>
      </c>
      <c r="G177" s="1322">
        <f t="shared" si="21"/>
        <v>20135</v>
      </c>
      <c r="H177" s="1322">
        <f t="shared" si="22"/>
        <v>118.44117647058823</v>
      </c>
      <c r="I177" s="1322">
        <f t="shared" si="23"/>
        <v>43231.029411764706</v>
      </c>
      <c r="J177" s="1324">
        <f t="shared" ca="1" si="27"/>
        <v>3.0071920428462127</v>
      </c>
      <c r="K177" s="1340">
        <f t="shared" si="24"/>
        <v>75.843911248710015</v>
      </c>
      <c r="L177" s="1323">
        <f t="shared" si="25"/>
        <v>46685</v>
      </c>
      <c r="M177" s="1322"/>
      <c r="N177" s="1322"/>
    </row>
    <row r="178" spans="1:14" s="1302" customFormat="1" ht="15.6">
      <c r="A178" s="1328"/>
      <c r="B178" s="1327">
        <v>44527</v>
      </c>
      <c r="C178" s="1326">
        <v>171</v>
      </c>
      <c r="D178" s="1323">
        <f t="shared" si="26"/>
        <v>457685</v>
      </c>
      <c r="E178" s="1325">
        <v>457753</v>
      </c>
      <c r="F178" s="1322">
        <f t="shared" si="20"/>
        <v>68</v>
      </c>
      <c r="G178" s="1322">
        <f t="shared" si="21"/>
        <v>20203</v>
      </c>
      <c r="H178" s="1322">
        <f t="shared" si="22"/>
        <v>118.14619883040936</v>
      </c>
      <c r="I178" s="1322">
        <f t="shared" si="23"/>
        <v>43123.362573099417</v>
      </c>
      <c r="J178" s="1324">
        <f t="shared" ca="1" si="27"/>
        <v>3.0071920428462127</v>
      </c>
      <c r="K178" s="1340">
        <f t="shared" si="24"/>
        <v>75.65502205806915</v>
      </c>
      <c r="L178" s="1323">
        <f t="shared" si="25"/>
        <v>46753</v>
      </c>
      <c r="M178" s="1322"/>
      <c r="N178" s="1322"/>
    </row>
    <row r="179" spans="1:14" s="1302" customFormat="1" ht="15.6">
      <c r="A179" s="1328"/>
      <c r="B179" s="1327">
        <v>44528</v>
      </c>
      <c r="C179" s="1326">
        <v>172</v>
      </c>
      <c r="D179" s="1323">
        <f t="shared" si="26"/>
        <v>457753</v>
      </c>
      <c r="E179" s="1325">
        <v>457821</v>
      </c>
      <c r="F179" s="1322">
        <f t="shared" si="20"/>
        <v>68</v>
      </c>
      <c r="G179" s="1322">
        <f t="shared" si="21"/>
        <v>20271</v>
      </c>
      <c r="H179" s="1322">
        <f t="shared" si="22"/>
        <v>117.8546511627907</v>
      </c>
      <c r="I179" s="1322">
        <f t="shared" si="23"/>
        <v>43016.947674418603</v>
      </c>
      <c r="J179" s="1324">
        <f t="shared" ca="1" si="27"/>
        <v>3.0071920428462127</v>
      </c>
      <c r="K179" s="1340">
        <f t="shared" si="24"/>
        <v>75.468329253365965</v>
      </c>
      <c r="L179" s="1323">
        <f t="shared" si="25"/>
        <v>46821</v>
      </c>
      <c r="M179" s="1322"/>
      <c r="N179" s="1322"/>
    </row>
    <row r="180" spans="1:14" s="1302" customFormat="1" ht="15.6">
      <c r="A180" s="1328"/>
      <c r="B180" s="1327">
        <v>44529</v>
      </c>
      <c r="C180" s="1326">
        <v>173</v>
      </c>
      <c r="D180" s="1323">
        <f t="shared" si="26"/>
        <v>457821</v>
      </c>
      <c r="E180" s="1325">
        <v>457889</v>
      </c>
      <c r="F180" s="1322">
        <f t="shared" si="20"/>
        <v>68</v>
      </c>
      <c r="G180" s="1322">
        <f t="shared" si="21"/>
        <v>20339</v>
      </c>
      <c r="H180" s="1322">
        <f t="shared" si="22"/>
        <v>117.56647398843931</v>
      </c>
      <c r="I180" s="1322">
        <f t="shared" si="23"/>
        <v>42911.763005780347</v>
      </c>
      <c r="J180" s="1324">
        <f t="shared" ca="1" si="27"/>
        <v>3.0071920428462127</v>
      </c>
      <c r="K180" s="1340">
        <f t="shared" si="24"/>
        <v>75.283794746983062</v>
      </c>
      <c r="L180" s="1323">
        <f t="shared" si="25"/>
        <v>46889</v>
      </c>
      <c r="M180" s="1322"/>
      <c r="N180" s="1322"/>
    </row>
    <row r="181" spans="1:14" s="1302" customFormat="1" ht="15.6">
      <c r="A181" s="1328"/>
      <c r="B181" s="1327">
        <v>44530</v>
      </c>
      <c r="C181" s="1326">
        <v>174</v>
      </c>
      <c r="D181" s="1323">
        <f t="shared" si="26"/>
        <v>457889</v>
      </c>
      <c r="E181" s="1325">
        <v>457997</v>
      </c>
      <c r="F181" s="1322">
        <f t="shared" si="20"/>
        <v>108</v>
      </c>
      <c r="G181" s="1322">
        <f t="shared" si="21"/>
        <v>20447</v>
      </c>
      <c r="H181" s="1322">
        <f t="shared" si="22"/>
        <v>117.51149425287356</v>
      </c>
      <c r="I181" s="1322">
        <f t="shared" si="23"/>
        <v>42891.69540229885</v>
      </c>
      <c r="J181" s="1324">
        <f t="shared" ca="1" si="27"/>
        <v>4.7761285386381021</v>
      </c>
      <c r="K181" s="1340">
        <f t="shared" si="24"/>
        <v>75.2485884250857</v>
      </c>
      <c r="L181" s="1323">
        <f t="shared" si="25"/>
        <v>46997</v>
      </c>
      <c r="M181" s="1322"/>
      <c r="N181" s="1322"/>
    </row>
    <row r="182" spans="1:14" s="1302" customFormat="1" ht="15.6">
      <c r="A182" s="1328"/>
      <c r="B182" s="1327">
        <v>44531</v>
      </c>
      <c r="C182" s="1326">
        <v>175</v>
      </c>
      <c r="D182" s="1323">
        <f t="shared" si="26"/>
        <v>457997</v>
      </c>
      <c r="E182" s="1325">
        <v>458078</v>
      </c>
      <c r="F182" s="1322">
        <f t="shared" si="20"/>
        <v>81</v>
      </c>
      <c r="G182" s="1322">
        <f t="shared" si="21"/>
        <v>20528</v>
      </c>
      <c r="H182" s="1322">
        <f t="shared" si="22"/>
        <v>117.30285714285715</v>
      </c>
      <c r="I182" s="1322">
        <f t="shared" si="23"/>
        <v>42815.542857142857</v>
      </c>
      <c r="J182" s="1324">
        <f t="shared" ca="1" si="27"/>
        <v>3.5820964039785768</v>
      </c>
      <c r="K182" s="1340">
        <f t="shared" si="24"/>
        <v>75.114987468671671</v>
      </c>
      <c r="L182" s="1323">
        <f t="shared" si="25"/>
        <v>47078</v>
      </c>
      <c r="M182" s="1322"/>
      <c r="N182" s="1322"/>
    </row>
    <row r="183" spans="1:14" s="1302" customFormat="1" ht="15.6">
      <c r="A183" s="1328"/>
      <c r="B183" s="1327">
        <v>44532</v>
      </c>
      <c r="C183" s="1326">
        <v>176</v>
      </c>
      <c r="D183" s="1323">
        <f t="shared" si="26"/>
        <v>458078</v>
      </c>
      <c r="E183" s="1325">
        <v>458160</v>
      </c>
      <c r="F183" s="1322">
        <f t="shared" si="20"/>
        <v>82</v>
      </c>
      <c r="G183" s="1322">
        <f t="shared" si="21"/>
        <v>20610</v>
      </c>
      <c r="H183" s="1322">
        <f t="shared" si="22"/>
        <v>117.10227272727273</v>
      </c>
      <c r="I183" s="1322">
        <f t="shared" si="23"/>
        <v>42742.329545454551</v>
      </c>
      <c r="J183" s="1324">
        <f t="shared" ca="1" si="27"/>
        <v>3.6263198163733739</v>
      </c>
      <c r="K183" s="1340">
        <f t="shared" si="24"/>
        <v>74.986543062200965</v>
      </c>
      <c r="L183" s="1323">
        <f t="shared" si="25"/>
        <v>47160</v>
      </c>
      <c r="M183" s="1322"/>
      <c r="N183" s="1322"/>
    </row>
    <row r="184" spans="1:14" s="1302" customFormat="1" ht="15.6">
      <c r="A184" s="1328"/>
      <c r="B184" s="1327">
        <v>44533</v>
      </c>
      <c r="C184" s="1326">
        <v>177</v>
      </c>
      <c r="D184" s="1323">
        <f t="shared" si="26"/>
        <v>458160</v>
      </c>
      <c r="E184" s="1325">
        <v>458242</v>
      </c>
      <c r="F184" s="1322">
        <f t="shared" si="20"/>
        <v>82</v>
      </c>
      <c r="G184" s="1322">
        <f t="shared" si="21"/>
        <v>20692</v>
      </c>
      <c r="H184" s="1322">
        <f t="shared" si="22"/>
        <v>116.90395480225989</v>
      </c>
      <c r="I184" s="1322">
        <f t="shared" si="23"/>
        <v>42669.943502824863</v>
      </c>
      <c r="J184" s="1324">
        <f t="shared" ca="1" si="27"/>
        <v>3.6263198163733739</v>
      </c>
      <c r="K184" s="1340">
        <f t="shared" si="24"/>
        <v>74.859550004955906</v>
      </c>
      <c r="L184" s="1323">
        <f t="shared" si="25"/>
        <v>47242</v>
      </c>
      <c r="M184" s="1322"/>
      <c r="N184" s="1322"/>
    </row>
    <row r="185" spans="1:14" s="1302" customFormat="1" ht="16.5" customHeight="1">
      <c r="A185" s="1328"/>
      <c r="B185" s="1327">
        <v>44534</v>
      </c>
      <c r="C185" s="1326">
        <v>178</v>
      </c>
      <c r="D185" s="1323">
        <f t="shared" si="26"/>
        <v>458242</v>
      </c>
      <c r="E185" s="1335">
        <f>E184</f>
        <v>458242</v>
      </c>
      <c r="F185" s="1323">
        <f t="shared" si="20"/>
        <v>0</v>
      </c>
      <c r="G185" s="1323">
        <f t="shared" si="21"/>
        <v>20692</v>
      </c>
      <c r="H185" s="1323">
        <f t="shared" si="22"/>
        <v>116.24719101123596</v>
      </c>
      <c r="I185" s="1323">
        <f t="shared" si="23"/>
        <v>42430.224719101127</v>
      </c>
      <c r="J185" s="1323"/>
      <c r="K185" s="1338">
        <f t="shared" si="24"/>
        <v>74.438990735265136</v>
      </c>
      <c r="L185" s="1323">
        <f t="shared" si="25"/>
        <v>47242</v>
      </c>
      <c r="M185" s="1323"/>
      <c r="N185" s="1323"/>
    </row>
    <row r="186" spans="1:14" s="1302" customFormat="1" ht="16.5" customHeight="1">
      <c r="A186" s="1328"/>
      <c r="B186" s="1327">
        <v>44535</v>
      </c>
      <c r="C186" s="1326">
        <v>179</v>
      </c>
      <c r="D186" s="1323">
        <f t="shared" si="26"/>
        <v>458242</v>
      </c>
      <c r="E186" s="1335">
        <f>E185</f>
        <v>458242</v>
      </c>
      <c r="F186" s="1323">
        <f t="shared" si="20"/>
        <v>0</v>
      </c>
      <c r="G186" s="1323">
        <f t="shared" si="21"/>
        <v>20692</v>
      </c>
      <c r="H186" s="1323">
        <f t="shared" si="22"/>
        <v>115.59776536312849</v>
      </c>
      <c r="I186" s="1323">
        <f t="shared" si="23"/>
        <v>42193.184357541897</v>
      </c>
      <c r="J186" s="1323"/>
      <c r="K186" s="1338">
        <f t="shared" si="24"/>
        <v>74.023130451827896</v>
      </c>
      <c r="L186" s="1323">
        <f t="shared" si="25"/>
        <v>47242</v>
      </c>
      <c r="M186" s="1323"/>
      <c r="N186" s="1323"/>
    </row>
    <row r="187" spans="1:14" s="1302" customFormat="1" ht="15.6">
      <c r="A187" s="1328"/>
      <c r="B187" s="1327">
        <v>44536</v>
      </c>
      <c r="C187" s="1326">
        <v>180</v>
      </c>
      <c r="D187" s="1323">
        <f t="shared" si="26"/>
        <v>458242</v>
      </c>
      <c r="E187" s="1325">
        <v>458574</v>
      </c>
      <c r="F187" s="1322">
        <f t="shared" si="20"/>
        <v>332</v>
      </c>
      <c r="G187" s="1322">
        <f t="shared" si="21"/>
        <v>21024</v>
      </c>
      <c r="H187" s="1322">
        <f t="shared" si="22"/>
        <v>116.8</v>
      </c>
      <c r="I187" s="1322">
        <f t="shared" si="23"/>
        <v>42632</v>
      </c>
      <c r="J187" s="1324">
        <f ca="1">F186:F187/$M$3</f>
        <v>14.682172915072686</v>
      </c>
      <c r="K187" s="1340">
        <f t="shared" si="24"/>
        <v>74.792982456140351</v>
      </c>
      <c r="L187" s="1323">
        <f t="shared" si="25"/>
        <v>47574</v>
      </c>
      <c r="M187" s="1322"/>
      <c r="N187" s="1322"/>
    </row>
    <row r="188" spans="1:14" s="1302" customFormat="1" ht="16.5" customHeight="1">
      <c r="A188" s="1328"/>
      <c r="B188" s="1327">
        <v>44537</v>
      </c>
      <c r="C188" s="1326">
        <v>181</v>
      </c>
      <c r="D188" s="1323">
        <f t="shared" si="26"/>
        <v>458574</v>
      </c>
      <c r="E188" s="1335">
        <f>E187</f>
        <v>458574</v>
      </c>
      <c r="F188" s="1323">
        <f t="shared" si="20"/>
        <v>0</v>
      </c>
      <c r="G188" s="1323">
        <f t="shared" si="21"/>
        <v>21024</v>
      </c>
      <c r="H188" s="1323">
        <f t="shared" si="22"/>
        <v>116.15469613259668</v>
      </c>
      <c r="I188" s="1323">
        <f t="shared" si="23"/>
        <v>42396.464088397792</v>
      </c>
      <c r="J188" s="1323"/>
      <c r="K188" s="1338">
        <f t="shared" si="24"/>
        <v>74.37976155859262</v>
      </c>
      <c r="L188" s="1323">
        <f t="shared" si="25"/>
        <v>47574</v>
      </c>
      <c r="M188" s="1323"/>
      <c r="N188" s="1323"/>
    </row>
    <row r="189" spans="1:14" s="1302" customFormat="1" ht="16.5" customHeight="1">
      <c r="A189" s="1328"/>
      <c r="B189" s="1327">
        <v>44538</v>
      </c>
      <c r="C189" s="1326">
        <v>182</v>
      </c>
      <c r="D189" s="1323">
        <f t="shared" si="26"/>
        <v>458574</v>
      </c>
      <c r="E189" s="1335">
        <f>E188</f>
        <v>458574</v>
      </c>
      <c r="F189" s="1323">
        <f t="shared" si="20"/>
        <v>0</v>
      </c>
      <c r="G189" s="1323">
        <f t="shared" si="21"/>
        <v>21024</v>
      </c>
      <c r="H189" s="1323">
        <f t="shared" si="22"/>
        <v>115.51648351648352</v>
      </c>
      <c r="I189" s="1323">
        <f t="shared" si="23"/>
        <v>42163.516483516483</v>
      </c>
      <c r="J189" s="1323"/>
      <c r="K189" s="1338">
        <f t="shared" si="24"/>
        <v>73.971081550028913</v>
      </c>
      <c r="L189" s="1323">
        <f t="shared" si="25"/>
        <v>47574</v>
      </c>
      <c r="M189" s="1323"/>
      <c r="N189" s="1323"/>
    </row>
    <row r="190" spans="1:14" s="1302" customFormat="1" ht="15.6">
      <c r="A190" s="1328"/>
      <c r="B190" s="1327">
        <v>44539</v>
      </c>
      <c r="C190" s="1326">
        <v>183</v>
      </c>
      <c r="D190" s="1323">
        <f t="shared" si="26"/>
        <v>458574</v>
      </c>
      <c r="E190" s="1325">
        <v>458781</v>
      </c>
      <c r="F190" s="1322">
        <f t="shared" si="20"/>
        <v>207</v>
      </c>
      <c r="G190" s="1322">
        <f t="shared" si="21"/>
        <v>21231</v>
      </c>
      <c r="H190" s="1322">
        <f t="shared" si="22"/>
        <v>116.01639344262296</v>
      </c>
      <c r="I190" s="1322">
        <f t="shared" si="23"/>
        <v>42345.983606557376</v>
      </c>
      <c r="J190" s="1324">
        <f ca="1">F189:F190/$M$3</f>
        <v>9.1542463657230293</v>
      </c>
      <c r="K190" s="1340">
        <f t="shared" si="24"/>
        <v>74.291199309749786</v>
      </c>
      <c r="L190" s="1323">
        <f t="shared" si="25"/>
        <v>47781</v>
      </c>
      <c r="M190" s="1322"/>
      <c r="N190" s="1322"/>
    </row>
    <row r="191" spans="1:14" s="1302" customFormat="1" ht="16.5" customHeight="1">
      <c r="A191" s="1328"/>
      <c r="B191" s="1327">
        <v>44540</v>
      </c>
      <c r="C191" s="1326">
        <v>184</v>
      </c>
      <c r="D191" s="1323">
        <f t="shared" si="26"/>
        <v>458781</v>
      </c>
      <c r="E191" s="1335">
        <f>E190</f>
        <v>458781</v>
      </c>
      <c r="F191" s="1323">
        <f t="shared" si="20"/>
        <v>0</v>
      </c>
      <c r="G191" s="1323">
        <f t="shared" si="21"/>
        <v>21231</v>
      </c>
      <c r="H191" s="1323">
        <f t="shared" si="22"/>
        <v>115.38586956521739</v>
      </c>
      <c r="I191" s="1323">
        <f t="shared" si="23"/>
        <v>42115.842391304344</v>
      </c>
      <c r="J191" s="1323"/>
      <c r="K191" s="1338">
        <f t="shared" si="24"/>
        <v>73.887442791762012</v>
      </c>
      <c r="L191" s="1323">
        <f t="shared" si="25"/>
        <v>47781</v>
      </c>
      <c r="M191" s="1323"/>
      <c r="N191" s="1323"/>
    </row>
    <row r="192" spans="1:14" s="1302" customFormat="1" ht="16.5" customHeight="1">
      <c r="A192" s="1328"/>
      <c r="B192" s="1327">
        <v>44541</v>
      </c>
      <c r="C192" s="1326">
        <v>185</v>
      </c>
      <c r="D192" s="1323">
        <f t="shared" si="26"/>
        <v>458781</v>
      </c>
      <c r="E192" s="1335">
        <f>E191</f>
        <v>458781</v>
      </c>
      <c r="F192" s="1323">
        <f t="shared" si="20"/>
        <v>0</v>
      </c>
      <c r="G192" s="1323">
        <f t="shared" si="21"/>
        <v>21231</v>
      </c>
      <c r="H192" s="1323">
        <f t="shared" si="22"/>
        <v>114.76216216216216</v>
      </c>
      <c r="I192" s="1323">
        <f t="shared" si="23"/>
        <v>41888.189189189186</v>
      </c>
      <c r="J192" s="1323"/>
      <c r="K192" s="1338">
        <f t="shared" si="24"/>
        <v>73.48805120910383</v>
      </c>
      <c r="L192" s="1323">
        <f t="shared" si="25"/>
        <v>47781</v>
      </c>
      <c r="M192" s="1323"/>
      <c r="N192" s="1323"/>
    </row>
    <row r="193" spans="1:14" s="1302" customFormat="1" ht="15.6">
      <c r="A193" s="1328"/>
      <c r="B193" s="1327">
        <v>44542</v>
      </c>
      <c r="C193" s="1326">
        <v>186</v>
      </c>
      <c r="D193" s="1323">
        <f t="shared" si="26"/>
        <v>458781</v>
      </c>
      <c r="E193" s="1325">
        <v>459092</v>
      </c>
      <c r="F193" s="1322">
        <f t="shared" si="20"/>
        <v>311</v>
      </c>
      <c r="G193" s="1322">
        <f t="shared" si="21"/>
        <v>21542</v>
      </c>
      <c r="H193" s="1322">
        <f t="shared" si="22"/>
        <v>115.81720430107526</v>
      </c>
      <c r="I193" s="1322">
        <f t="shared" si="23"/>
        <v>42273.279569892475</v>
      </c>
      <c r="J193" s="1324">
        <f ca="1">F192:F193/$M$3</f>
        <v>13.753481254781942</v>
      </c>
      <c r="K193" s="1340">
        <f t="shared" si="24"/>
        <v>74.163648368232415</v>
      </c>
      <c r="L193" s="1323">
        <f t="shared" si="25"/>
        <v>48092</v>
      </c>
      <c r="M193" s="1322"/>
      <c r="N193" s="1322"/>
    </row>
    <row r="194" spans="1:14" s="1302" customFormat="1" ht="16.5" customHeight="1">
      <c r="A194" s="1328"/>
      <c r="B194" s="1327">
        <v>44543</v>
      </c>
      <c r="C194" s="1326">
        <v>187</v>
      </c>
      <c r="D194" s="1323">
        <f t="shared" si="26"/>
        <v>459092</v>
      </c>
      <c r="E194" s="1335">
        <f>E193</f>
        <v>459092</v>
      </c>
      <c r="F194" s="1323">
        <f t="shared" si="20"/>
        <v>0</v>
      </c>
      <c r="G194" s="1323">
        <f t="shared" si="21"/>
        <v>21542</v>
      </c>
      <c r="H194" s="1323">
        <f t="shared" si="22"/>
        <v>115.19786096256685</v>
      </c>
      <c r="I194" s="1323">
        <f t="shared" si="23"/>
        <v>42047.219251336901</v>
      </c>
      <c r="J194" s="1323"/>
      <c r="K194" s="1338">
        <f t="shared" si="24"/>
        <v>73.767051318134918</v>
      </c>
      <c r="L194" s="1323">
        <f t="shared" si="25"/>
        <v>48092</v>
      </c>
      <c r="M194" s="1323"/>
      <c r="N194" s="1323"/>
    </row>
    <row r="195" spans="1:14" s="1302" customFormat="1" ht="15.6">
      <c r="A195" s="1328"/>
      <c r="B195" s="1327">
        <v>44544</v>
      </c>
      <c r="C195" s="1326">
        <v>188</v>
      </c>
      <c r="D195" s="1323">
        <f t="shared" si="26"/>
        <v>459092</v>
      </c>
      <c r="E195" s="1325">
        <v>459218</v>
      </c>
      <c r="F195" s="1322">
        <f t="shared" si="20"/>
        <v>126</v>
      </c>
      <c r="G195" s="1322">
        <f t="shared" si="21"/>
        <v>21668</v>
      </c>
      <c r="H195" s="1322">
        <f t="shared" si="22"/>
        <v>115.25531914893617</v>
      </c>
      <c r="I195" s="1322">
        <f t="shared" si="23"/>
        <v>42068.191489361699</v>
      </c>
      <c r="J195" s="1324">
        <f ca="1">F194:F195/$M$3</f>
        <v>5.5721499617444525</v>
      </c>
      <c r="K195" s="1340">
        <f t="shared" si="24"/>
        <v>73.803844718178425</v>
      </c>
      <c r="L195" s="1323">
        <f t="shared" si="25"/>
        <v>48218</v>
      </c>
      <c r="M195" s="1322"/>
      <c r="N195" s="1322"/>
    </row>
    <row r="196" spans="1:14" s="1302" customFormat="1" ht="16.5" customHeight="1">
      <c r="A196" s="1328"/>
      <c r="B196" s="1327">
        <v>44545</v>
      </c>
      <c r="C196" s="1326">
        <v>189</v>
      </c>
      <c r="D196" s="1323">
        <f t="shared" si="26"/>
        <v>459218</v>
      </c>
      <c r="E196" s="1335">
        <f>E195</f>
        <v>459218</v>
      </c>
      <c r="F196" s="1323">
        <f t="shared" si="20"/>
        <v>0</v>
      </c>
      <c r="G196" s="1323">
        <f t="shared" si="21"/>
        <v>21668</v>
      </c>
      <c r="H196" s="1323">
        <f t="shared" si="22"/>
        <v>114.64550264550265</v>
      </c>
      <c r="I196" s="1323">
        <f t="shared" si="23"/>
        <v>41845.608465608464</v>
      </c>
      <c r="J196" s="1323"/>
      <c r="K196" s="1338">
        <f t="shared" si="24"/>
        <v>73.413348185278011</v>
      </c>
      <c r="L196" s="1323">
        <f t="shared" si="25"/>
        <v>48218</v>
      </c>
      <c r="M196" s="1323"/>
      <c r="N196" s="1323"/>
    </row>
    <row r="197" spans="1:14" s="1302" customFormat="1" ht="16.5" customHeight="1">
      <c r="A197" s="1328"/>
      <c r="B197" s="1327">
        <v>44546</v>
      </c>
      <c r="C197" s="1326">
        <v>190</v>
      </c>
      <c r="D197" s="1323">
        <f t="shared" si="26"/>
        <v>459218</v>
      </c>
      <c r="E197" s="1335">
        <f>E196</f>
        <v>459218</v>
      </c>
      <c r="F197" s="1323">
        <f t="shared" si="20"/>
        <v>0</v>
      </c>
      <c r="G197" s="1323">
        <f t="shared" si="21"/>
        <v>21668</v>
      </c>
      <c r="H197" s="1323">
        <f t="shared" si="22"/>
        <v>114.04210526315789</v>
      </c>
      <c r="I197" s="1323">
        <f t="shared" si="23"/>
        <v>41625.368421052633</v>
      </c>
      <c r="J197" s="1323"/>
      <c r="K197" s="1338">
        <f t="shared" si="24"/>
        <v>73.026962142197604</v>
      </c>
      <c r="L197" s="1323">
        <f t="shared" si="25"/>
        <v>48218</v>
      </c>
      <c r="M197" s="1323"/>
      <c r="N197" s="1323"/>
    </row>
    <row r="198" spans="1:14" s="1302" customFormat="1" ht="16.5" customHeight="1">
      <c r="A198" s="1328"/>
      <c r="B198" s="1327">
        <v>44547</v>
      </c>
      <c r="C198" s="1326">
        <v>191</v>
      </c>
      <c r="D198" s="1323">
        <f t="shared" si="26"/>
        <v>459218</v>
      </c>
      <c r="E198" s="1335">
        <f>E197</f>
        <v>459218</v>
      </c>
      <c r="F198" s="1323">
        <f t="shared" si="20"/>
        <v>0</v>
      </c>
      <c r="G198" s="1323">
        <f t="shared" si="21"/>
        <v>21668</v>
      </c>
      <c r="H198" s="1323">
        <f t="shared" si="22"/>
        <v>113.44502617801047</v>
      </c>
      <c r="I198" s="1323">
        <f t="shared" si="23"/>
        <v>41407.434554973821</v>
      </c>
      <c r="J198" s="1323"/>
      <c r="K198" s="1338">
        <f t="shared" si="24"/>
        <v>72.644622026269857</v>
      </c>
      <c r="L198" s="1323">
        <f t="shared" si="25"/>
        <v>48218</v>
      </c>
      <c r="M198" s="1323"/>
      <c r="N198" s="1323"/>
    </row>
    <row r="199" spans="1:14" s="1302" customFormat="1" ht="15.6">
      <c r="A199" s="1328"/>
      <c r="B199" s="1327">
        <v>44548</v>
      </c>
      <c r="C199" s="1326">
        <v>192</v>
      </c>
      <c r="D199" s="1323">
        <f t="shared" si="26"/>
        <v>459218</v>
      </c>
      <c r="E199" s="1325">
        <v>459690</v>
      </c>
      <c r="F199" s="1322">
        <f t="shared" ref="F199:F262" si="28">E199-D199</f>
        <v>472</v>
      </c>
      <c r="G199" s="1322">
        <f t="shared" ref="G199:G212" si="29">E199-$E$7</f>
        <v>22140</v>
      </c>
      <c r="H199" s="1322">
        <f t="shared" si="22"/>
        <v>115.3125</v>
      </c>
      <c r="I199" s="1322">
        <f t="shared" si="23"/>
        <v>42089.0625</v>
      </c>
      <c r="J199" s="1324">
        <f ca="1">F198:F199/$M$3</f>
        <v>20.873450650344299</v>
      </c>
      <c r="K199" s="1340">
        <f t="shared" si="24"/>
        <v>73.840460526315795</v>
      </c>
      <c r="L199" s="1323">
        <f t="shared" si="25"/>
        <v>48690</v>
      </c>
      <c r="M199" s="1322"/>
      <c r="N199" s="1322"/>
    </row>
    <row r="200" spans="1:14" s="1302" customFormat="1" ht="16.5" customHeight="1">
      <c r="A200" s="1328"/>
      <c r="B200" s="1327">
        <v>44549</v>
      </c>
      <c r="C200" s="1326">
        <v>193</v>
      </c>
      <c r="D200" s="1323">
        <f t="shared" si="26"/>
        <v>459690</v>
      </c>
      <c r="E200" s="1335">
        <f>E199</f>
        <v>459690</v>
      </c>
      <c r="F200" s="1323">
        <f t="shared" si="28"/>
        <v>0</v>
      </c>
      <c r="G200" s="1323">
        <f t="shared" si="29"/>
        <v>22140</v>
      </c>
      <c r="H200" s="1323">
        <f t="shared" ref="H200:H263" si="30">G200/C200</f>
        <v>114.71502590673575</v>
      </c>
      <c r="I200" s="1323">
        <f t="shared" ref="I200:I263" si="31">G200/C200*365</f>
        <v>41870.984455958547</v>
      </c>
      <c r="J200" s="1323"/>
      <c r="K200" s="1338">
        <f t="shared" ref="K200:K212" si="32">I200/570</f>
        <v>73.457867466593939</v>
      </c>
      <c r="L200" s="1323">
        <f t="shared" ref="L200:L263" si="33">E200-411000</f>
        <v>48690</v>
      </c>
      <c r="M200" s="1323"/>
      <c r="N200" s="1323"/>
    </row>
    <row r="201" spans="1:14" s="1302" customFormat="1" ht="15.6">
      <c r="A201" s="1328"/>
      <c r="B201" s="1327">
        <v>44550</v>
      </c>
      <c r="C201" s="1326">
        <v>194</v>
      </c>
      <c r="D201" s="1323">
        <f t="shared" si="26"/>
        <v>459690</v>
      </c>
      <c r="E201" s="1325">
        <v>459812</v>
      </c>
      <c r="F201" s="1322">
        <f t="shared" si="28"/>
        <v>122</v>
      </c>
      <c r="G201" s="1322">
        <f t="shared" si="29"/>
        <v>22262</v>
      </c>
      <c r="H201" s="1322">
        <f t="shared" si="30"/>
        <v>114.75257731958763</v>
      </c>
      <c r="I201" s="1322">
        <f t="shared" si="31"/>
        <v>41884.690721649487</v>
      </c>
      <c r="J201" s="1324">
        <f t="shared" ref="J201:J208" ca="1" si="34">F200:F201/$M$3</f>
        <v>5.3952563121652632</v>
      </c>
      <c r="K201" s="1340">
        <f t="shared" si="32"/>
        <v>73.481913546753489</v>
      </c>
      <c r="L201" s="1323">
        <f t="shared" si="33"/>
        <v>48812</v>
      </c>
      <c r="M201" s="1322"/>
      <c r="N201" s="1322"/>
    </row>
    <row r="202" spans="1:14" s="1302" customFormat="1" ht="15.6">
      <c r="A202" s="1328"/>
      <c r="B202" s="1327">
        <v>44551</v>
      </c>
      <c r="C202" s="1326">
        <v>195</v>
      </c>
      <c r="D202" s="1323">
        <f t="shared" si="26"/>
        <v>459812</v>
      </c>
      <c r="E202" s="1325">
        <v>459927</v>
      </c>
      <c r="F202" s="1322">
        <f t="shared" si="28"/>
        <v>115</v>
      </c>
      <c r="G202" s="1322">
        <f t="shared" si="29"/>
        <v>22377</v>
      </c>
      <c r="H202" s="1322">
        <f t="shared" si="30"/>
        <v>114.75384615384615</v>
      </c>
      <c r="I202" s="1322">
        <f t="shared" si="31"/>
        <v>41885.153846153844</v>
      </c>
      <c r="J202" s="1324">
        <f t="shared" ca="1" si="34"/>
        <v>5.0856924254016826</v>
      </c>
      <c r="K202" s="1340">
        <f t="shared" si="32"/>
        <v>73.482726045883936</v>
      </c>
      <c r="L202" s="1323">
        <f t="shared" si="33"/>
        <v>48927</v>
      </c>
      <c r="M202" s="1322"/>
      <c r="N202" s="1322"/>
    </row>
    <row r="203" spans="1:14" s="1302" customFormat="1" ht="15.6">
      <c r="A203" s="1328"/>
      <c r="B203" s="1327">
        <v>44552</v>
      </c>
      <c r="C203" s="1326">
        <v>196</v>
      </c>
      <c r="D203" s="1323">
        <f t="shared" si="26"/>
        <v>459927</v>
      </c>
      <c r="E203" s="1325">
        <v>460043</v>
      </c>
      <c r="F203" s="1322">
        <f t="shared" si="28"/>
        <v>116</v>
      </c>
      <c r="G203" s="1322">
        <f t="shared" si="29"/>
        <v>22493</v>
      </c>
      <c r="H203" s="1322">
        <f t="shared" si="30"/>
        <v>114.76020408163265</v>
      </c>
      <c r="I203" s="1322">
        <f t="shared" si="31"/>
        <v>41887.474489795917</v>
      </c>
      <c r="J203" s="1324">
        <f t="shared" ca="1" si="34"/>
        <v>5.1299158377964806</v>
      </c>
      <c r="K203" s="1340">
        <f t="shared" si="32"/>
        <v>73.486797350519154</v>
      </c>
      <c r="L203" s="1323">
        <f t="shared" si="33"/>
        <v>49043</v>
      </c>
      <c r="M203" s="1322"/>
      <c r="N203" s="1322"/>
    </row>
    <row r="204" spans="1:14" s="1302" customFormat="1" ht="15.6">
      <c r="A204" s="1328"/>
      <c r="B204" s="1327">
        <v>44553</v>
      </c>
      <c r="C204" s="1326">
        <v>197</v>
      </c>
      <c r="D204" s="1323">
        <f t="shared" si="26"/>
        <v>460043</v>
      </c>
      <c r="E204" s="1325">
        <v>460158</v>
      </c>
      <c r="F204" s="1322">
        <f t="shared" si="28"/>
        <v>115</v>
      </c>
      <c r="G204" s="1322">
        <f t="shared" si="29"/>
        <v>22608</v>
      </c>
      <c r="H204" s="1322">
        <f t="shared" si="30"/>
        <v>114.76142131979695</v>
      </c>
      <c r="I204" s="1322">
        <f t="shared" si="31"/>
        <v>41887.918781725886</v>
      </c>
      <c r="J204" s="1324">
        <f t="shared" ca="1" si="34"/>
        <v>5.0856924254016826</v>
      </c>
      <c r="K204" s="1340">
        <f t="shared" si="32"/>
        <v>73.487576810045411</v>
      </c>
      <c r="L204" s="1323">
        <f t="shared" si="33"/>
        <v>49158</v>
      </c>
      <c r="M204" s="1322"/>
      <c r="N204" s="1322"/>
    </row>
    <row r="205" spans="1:14" s="1302" customFormat="1" ht="15.6">
      <c r="A205" s="1328"/>
      <c r="B205" s="1327">
        <v>44554</v>
      </c>
      <c r="C205" s="1326">
        <v>198</v>
      </c>
      <c r="D205" s="1323">
        <f t="shared" si="26"/>
        <v>460158</v>
      </c>
      <c r="E205" s="1325">
        <v>460278</v>
      </c>
      <c r="F205" s="1322">
        <f t="shared" si="28"/>
        <v>120</v>
      </c>
      <c r="G205" s="1322">
        <f t="shared" si="29"/>
        <v>22728</v>
      </c>
      <c r="H205" s="1322">
        <f t="shared" si="30"/>
        <v>114.78787878787878</v>
      </c>
      <c r="I205" s="1322">
        <f t="shared" si="31"/>
        <v>41897.575757575753</v>
      </c>
      <c r="J205" s="1324">
        <f t="shared" ca="1" si="34"/>
        <v>5.306809487375669</v>
      </c>
      <c r="K205" s="1340">
        <f t="shared" si="32"/>
        <v>73.504518872939911</v>
      </c>
      <c r="L205" s="1323">
        <f t="shared" si="33"/>
        <v>49278</v>
      </c>
      <c r="M205" s="1322"/>
      <c r="N205" s="1322"/>
    </row>
    <row r="206" spans="1:14" s="1302" customFormat="1" ht="15.6">
      <c r="A206" s="1328"/>
      <c r="B206" s="1327">
        <v>44555</v>
      </c>
      <c r="C206" s="1326">
        <v>199</v>
      </c>
      <c r="D206" s="1323">
        <f t="shared" si="26"/>
        <v>460278</v>
      </c>
      <c r="E206" s="1325">
        <v>460509</v>
      </c>
      <c r="F206" s="1322">
        <f t="shared" si="28"/>
        <v>231</v>
      </c>
      <c r="G206" s="1322">
        <f t="shared" si="29"/>
        <v>22959</v>
      </c>
      <c r="H206" s="1322">
        <f t="shared" si="30"/>
        <v>115.37185929648241</v>
      </c>
      <c r="I206" s="1322">
        <f t="shared" si="31"/>
        <v>42110.728643216084</v>
      </c>
      <c r="J206" s="1324">
        <f t="shared" ca="1" si="34"/>
        <v>10.215608263198163</v>
      </c>
      <c r="K206" s="1340">
        <f t="shared" si="32"/>
        <v>73.878471303887864</v>
      </c>
      <c r="L206" s="1323">
        <f t="shared" si="33"/>
        <v>49509</v>
      </c>
      <c r="M206" s="1322"/>
      <c r="N206" s="1322"/>
    </row>
    <row r="207" spans="1:14" s="1302" customFormat="1" ht="16.5" customHeight="1">
      <c r="A207" s="1328"/>
      <c r="B207" s="1327">
        <v>44556</v>
      </c>
      <c r="C207" s="1326">
        <v>200</v>
      </c>
      <c r="D207" s="1323">
        <f t="shared" si="26"/>
        <v>460509</v>
      </c>
      <c r="E207" s="1325">
        <v>460600</v>
      </c>
      <c r="F207" s="1322">
        <f t="shared" si="28"/>
        <v>91</v>
      </c>
      <c r="G207" s="1322">
        <f t="shared" si="29"/>
        <v>23050</v>
      </c>
      <c r="H207" s="1322">
        <f t="shared" si="30"/>
        <v>115.25</v>
      </c>
      <c r="I207" s="1322">
        <f t="shared" si="31"/>
        <v>42066.25</v>
      </c>
      <c r="J207" s="1324">
        <f t="shared" ca="1" si="34"/>
        <v>4.0243305279265495</v>
      </c>
      <c r="K207" s="1340">
        <f t="shared" si="32"/>
        <v>73.800438596491233</v>
      </c>
      <c r="L207" s="1323">
        <f t="shared" si="33"/>
        <v>49600</v>
      </c>
      <c r="M207" s="1322"/>
      <c r="N207" s="1322"/>
    </row>
    <row r="208" spans="1:14" s="1302" customFormat="1" ht="16.5" customHeight="1">
      <c r="A208" s="1328"/>
      <c r="B208" s="1327">
        <v>44557</v>
      </c>
      <c r="C208" s="1326">
        <v>201</v>
      </c>
      <c r="D208" s="1323">
        <f t="shared" ref="D208:D271" si="35">E207</f>
        <v>460600</v>
      </c>
      <c r="E208" s="1325">
        <v>460692</v>
      </c>
      <c r="F208" s="1322">
        <f t="shared" si="28"/>
        <v>92</v>
      </c>
      <c r="G208" s="1322">
        <f t="shared" si="29"/>
        <v>23142</v>
      </c>
      <c r="H208" s="1322">
        <f t="shared" si="30"/>
        <v>115.13432835820896</v>
      </c>
      <c r="I208" s="1322">
        <f t="shared" si="31"/>
        <v>42024.029850746272</v>
      </c>
      <c r="J208" s="1324">
        <f t="shared" ca="1" si="34"/>
        <v>4.0685539403213467</v>
      </c>
      <c r="K208" s="1340">
        <f t="shared" si="32"/>
        <v>73.726368159203986</v>
      </c>
      <c r="L208" s="1323">
        <f t="shared" si="33"/>
        <v>49692</v>
      </c>
      <c r="M208" s="1322"/>
      <c r="N208" s="1322"/>
    </row>
    <row r="209" spans="1:14" s="1302" customFormat="1" ht="16.5" customHeight="1">
      <c r="A209" s="1328"/>
      <c r="B209" s="1327">
        <v>44558</v>
      </c>
      <c r="C209" s="1326">
        <v>202</v>
      </c>
      <c r="D209" s="1323">
        <f t="shared" si="35"/>
        <v>460692</v>
      </c>
      <c r="E209" s="1335">
        <f>E208</f>
        <v>460692</v>
      </c>
      <c r="F209" s="1323">
        <f t="shared" si="28"/>
        <v>0</v>
      </c>
      <c r="G209" s="1323">
        <f t="shared" si="29"/>
        <v>23142</v>
      </c>
      <c r="H209" s="1323">
        <f t="shared" si="30"/>
        <v>114.56435643564356</v>
      </c>
      <c r="I209" s="1323">
        <f t="shared" si="31"/>
        <v>41815.990099009898</v>
      </c>
      <c r="J209" s="1323"/>
      <c r="K209" s="1338">
        <f t="shared" si="32"/>
        <v>73.361386138613852</v>
      </c>
      <c r="L209" s="1323">
        <f t="shared" si="33"/>
        <v>49692</v>
      </c>
      <c r="M209" s="1323"/>
      <c r="N209" s="1323"/>
    </row>
    <row r="210" spans="1:14" s="1302" customFormat="1" ht="16.5" customHeight="1">
      <c r="A210" s="1328"/>
      <c r="B210" s="1327">
        <v>44559</v>
      </c>
      <c r="C210" s="1326">
        <v>203</v>
      </c>
      <c r="D210" s="1323">
        <f t="shared" si="35"/>
        <v>460692</v>
      </c>
      <c r="E210" s="1335">
        <f>E209</f>
        <v>460692</v>
      </c>
      <c r="F210" s="1323">
        <f t="shared" si="28"/>
        <v>0</v>
      </c>
      <c r="G210" s="1323">
        <f t="shared" si="29"/>
        <v>23142</v>
      </c>
      <c r="H210" s="1323">
        <f t="shared" si="30"/>
        <v>114</v>
      </c>
      <c r="I210" s="1323">
        <f t="shared" si="31"/>
        <v>41610</v>
      </c>
      <c r="J210" s="1323"/>
      <c r="K210" s="1338">
        <f t="shared" si="32"/>
        <v>73</v>
      </c>
      <c r="L210" s="1323">
        <f t="shared" si="33"/>
        <v>49692</v>
      </c>
      <c r="M210" s="1323"/>
      <c r="N210" s="1323"/>
    </row>
    <row r="211" spans="1:14" s="1302" customFormat="1" ht="16.5" customHeight="1">
      <c r="A211" s="1328"/>
      <c r="B211" s="1327">
        <v>44560</v>
      </c>
      <c r="C211" s="1326">
        <v>204</v>
      </c>
      <c r="D211" s="1323">
        <f t="shared" si="35"/>
        <v>460692</v>
      </c>
      <c r="E211" s="1335">
        <f>E210</f>
        <v>460692</v>
      </c>
      <c r="F211" s="1323">
        <f t="shared" si="28"/>
        <v>0</v>
      </c>
      <c r="G211" s="1323">
        <f t="shared" si="29"/>
        <v>23142</v>
      </c>
      <c r="H211" s="1323">
        <f t="shared" si="30"/>
        <v>113.44117647058823</v>
      </c>
      <c r="I211" s="1323">
        <f t="shared" si="31"/>
        <v>41406.029411764706</v>
      </c>
      <c r="J211" s="1323"/>
      <c r="K211" s="1338">
        <f t="shared" si="32"/>
        <v>72.642156862745097</v>
      </c>
      <c r="L211" s="1323">
        <f t="shared" si="33"/>
        <v>49692</v>
      </c>
      <c r="M211" s="1323"/>
      <c r="N211" s="1323"/>
    </row>
    <row r="212" spans="1:14" s="1302" customFormat="1" ht="16.5" customHeight="1">
      <c r="A212" s="1328"/>
      <c r="B212" s="1327">
        <v>44561</v>
      </c>
      <c r="C212" s="1326">
        <v>205</v>
      </c>
      <c r="D212" s="1323">
        <f t="shared" si="35"/>
        <v>460692</v>
      </c>
      <c r="E212" s="1325">
        <v>461152</v>
      </c>
      <c r="F212" s="1322">
        <f t="shared" si="28"/>
        <v>460</v>
      </c>
      <c r="G212" s="1322">
        <f t="shared" si="29"/>
        <v>23602</v>
      </c>
      <c r="H212" s="1322">
        <f t="shared" si="30"/>
        <v>115.13170731707316</v>
      </c>
      <c r="I212" s="1322">
        <f t="shared" si="31"/>
        <v>42023.073170731703</v>
      </c>
      <c r="J212" s="1324">
        <f ca="1">F211:F212/$M$3</f>
        <v>20.342769701606731</v>
      </c>
      <c r="K212" s="1340">
        <f t="shared" si="32"/>
        <v>73.724689773213512</v>
      </c>
      <c r="L212" s="1323">
        <f t="shared" si="33"/>
        <v>50152</v>
      </c>
      <c r="M212" s="1322"/>
      <c r="N212" s="1322"/>
    </row>
    <row r="213" spans="1:14" s="1302" customFormat="1" ht="16.5" customHeight="1">
      <c r="A213" s="1328"/>
      <c r="B213" s="1327">
        <v>44562</v>
      </c>
      <c r="C213" s="1326">
        <v>1</v>
      </c>
      <c r="D213" s="1323">
        <f t="shared" si="35"/>
        <v>461152</v>
      </c>
      <c r="E213" s="1335">
        <f>E212</f>
        <v>461152</v>
      </c>
      <c r="F213" s="1323">
        <f t="shared" si="28"/>
        <v>0</v>
      </c>
      <c r="G213" s="1323">
        <f t="shared" ref="G213:G276" si="36">E213-$E$212</f>
        <v>0</v>
      </c>
      <c r="H213" s="1323">
        <f t="shared" si="30"/>
        <v>0</v>
      </c>
      <c r="I213" s="1323">
        <f t="shared" si="31"/>
        <v>0</v>
      </c>
      <c r="J213" s="1323"/>
      <c r="K213" s="1338">
        <f t="shared" ref="K213:K276" si="37">I213/50000</f>
        <v>0</v>
      </c>
      <c r="L213" s="1323">
        <f t="shared" si="33"/>
        <v>50152</v>
      </c>
      <c r="M213" s="1323"/>
      <c r="N213" s="1323"/>
    </row>
    <row r="214" spans="1:14" s="1302" customFormat="1" ht="16.5" customHeight="1">
      <c r="A214" s="1328"/>
      <c r="B214" s="1327">
        <v>44563</v>
      </c>
      <c r="C214" s="1326">
        <v>2</v>
      </c>
      <c r="D214" s="1323">
        <f t="shared" si="35"/>
        <v>461152</v>
      </c>
      <c r="E214" s="1335">
        <f>E213</f>
        <v>461152</v>
      </c>
      <c r="F214" s="1323">
        <f t="shared" si="28"/>
        <v>0</v>
      </c>
      <c r="G214" s="1323">
        <f t="shared" si="36"/>
        <v>0</v>
      </c>
      <c r="H214" s="1323">
        <f t="shared" si="30"/>
        <v>0</v>
      </c>
      <c r="I214" s="1323">
        <f t="shared" si="31"/>
        <v>0</v>
      </c>
      <c r="J214" s="1323"/>
      <c r="K214" s="1338">
        <f t="shared" si="37"/>
        <v>0</v>
      </c>
      <c r="L214" s="1323">
        <f t="shared" si="33"/>
        <v>50152</v>
      </c>
      <c r="M214" s="1323"/>
      <c r="N214" s="1323"/>
    </row>
    <row r="215" spans="1:14" s="1302" customFormat="1" ht="16.5" customHeight="1">
      <c r="A215" s="1328" t="s">
        <v>1138</v>
      </c>
      <c r="B215" s="1327">
        <v>44564</v>
      </c>
      <c r="C215" s="1326">
        <v>3</v>
      </c>
      <c r="D215" s="1323">
        <f t="shared" si="35"/>
        <v>461152</v>
      </c>
      <c r="E215" s="1325">
        <v>461443</v>
      </c>
      <c r="F215" s="1322">
        <f t="shared" si="28"/>
        <v>291</v>
      </c>
      <c r="G215" s="1322">
        <f t="shared" si="36"/>
        <v>291</v>
      </c>
      <c r="H215" s="1322">
        <f t="shared" si="30"/>
        <v>97</v>
      </c>
      <c r="I215" s="1322">
        <f t="shared" si="31"/>
        <v>35405</v>
      </c>
      <c r="J215" s="1324">
        <f ca="1">F214:F215/$M$3</f>
        <v>12.869013006885998</v>
      </c>
      <c r="K215" s="1338">
        <f t="shared" si="37"/>
        <v>0.70809999999999995</v>
      </c>
      <c r="L215" s="1323">
        <f t="shared" si="33"/>
        <v>50443</v>
      </c>
      <c r="M215" s="1322"/>
      <c r="N215" s="1322"/>
    </row>
    <row r="216" spans="1:14" s="1302" customFormat="1" ht="16.5" customHeight="1">
      <c r="A216" s="1328" t="s">
        <v>1137</v>
      </c>
      <c r="B216" s="1327">
        <v>44565</v>
      </c>
      <c r="C216" s="1326">
        <v>4</v>
      </c>
      <c r="D216" s="1323">
        <f t="shared" si="35"/>
        <v>461443</v>
      </c>
      <c r="E216" s="1335">
        <f>E215</f>
        <v>461443</v>
      </c>
      <c r="F216" s="1323">
        <f t="shared" si="28"/>
        <v>0</v>
      </c>
      <c r="G216" s="1323">
        <f t="shared" si="36"/>
        <v>291</v>
      </c>
      <c r="H216" s="1323">
        <f t="shared" si="30"/>
        <v>72.75</v>
      </c>
      <c r="I216" s="1323">
        <f t="shared" si="31"/>
        <v>26553.75</v>
      </c>
      <c r="J216" s="1323"/>
      <c r="K216" s="1338">
        <f t="shared" si="37"/>
        <v>0.53107499999999996</v>
      </c>
      <c r="L216" s="1323">
        <f t="shared" si="33"/>
        <v>50443</v>
      </c>
      <c r="M216" s="1323"/>
      <c r="N216" s="1323"/>
    </row>
    <row r="217" spans="1:14" s="1302" customFormat="1" ht="16.5" customHeight="1">
      <c r="A217" s="1328" t="s">
        <v>1131</v>
      </c>
      <c r="B217" s="1327">
        <v>44566</v>
      </c>
      <c r="C217" s="1326">
        <v>5</v>
      </c>
      <c r="D217" s="1323">
        <f t="shared" si="35"/>
        <v>461443</v>
      </c>
      <c r="E217" s="1335">
        <f>E216</f>
        <v>461443</v>
      </c>
      <c r="F217" s="1323">
        <f t="shared" si="28"/>
        <v>0</v>
      </c>
      <c r="G217" s="1323">
        <f t="shared" si="36"/>
        <v>291</v>
      </c>
      <c r="H217" s="1323">
        <f t="shared" si="30"/>
        <v>58.2</v>
      </c>
      <c r="I217" s="1323">
        <f t="shared" si="31"/>
        <v>21243</v>
      </c>
      <c r="J217" s="1323"/>
      <c r="K217" s="1338">
        <f t="shared" si="37"/>
        <v>0.42486000000000002</v>
      </c>
      <c r="L217" s="1323">
        <f t="shared" si="33"/>
        <v>50443</v>
      </c>
      <c r="M217" s="1323"/>
      <c r="N217" s="1323"/>
    </row>
    <row r="218" spans="1:14" s="1302" customFormat="1" ht="16.5" customHeight="1">
      <c r="A218" s="1328" t="s">
        <v>1136</v>
      </c>
      <c r="B218" s="1327">
        <v>44567</v>
      </c>
      <c r="C218" s="1326">
        <v>6</v>
      </c>
      <c r="D218" s="1323">
        <f t="shared" si="35"/>
        <v>461443</v>
      </c>
      <c r="E218" s="1325">
        <v>461681</v>
      </c>
      <c r="F218" s="1322">
        <f t="shared" si="28"/>
        <v>238</v>
      </c>
      <c r="G218" s="1322">
        <f t="shared" si="36"/>
        <v>529</v>
      </c>
      <c r="H218" s="1322">
        <f t="shared" si="30"/>
        <v>88.166666666666671</v>
      </c>
      <c r="I218" s="1322">
        <f t="shared" si="31"/>
        <v>32180.833333333336</v>
      </c>
      <c r="J218" s="1324">
        <f ca="1">F217:F218/$M$3</f>
        <v>10.525172149961744</v>
      </c>
      <c r="K218" s="1338">
        <f t="shared" si="37"/>
        <v>0.64361666666666673</v>
      </c>
      <c r="L218" s="1323">
        <f t="shared" si="33"/>
        <v>50681</v>
      </c>
      <c r="M218" s="1322"/>
      <c r="N218" s="1322"/>
    </row>
    <row r="219" spans="1:14" s="1302" customFormat="1" ht="16.5" customHeight="1">
      <c r="A219" s="1328" t="s">
        <v>1130</v>
      </c>
      <c r="B219" s="1327">
        <v>44568</v>
      </c>
      <c r="C219" s="1326">
        <v>7</v>
      </c>
      <c r="D219" s="1323">
        <f t="shared" si="35"/>
        <v>461681</v>
      </c>
      <c r="E219" s="1335">
        <f>E218</f>
        <v>461681</v>
      </c>
      <c r="F219" s="1323">
        <f t="shared" si="28"/>
        <v>0</v>
      </c>
      <c r="G219" s="1323">
        <f t="shared" si="36"/>
        <v>529</v>
      </c>
      <c r="H219" s="1323">
        <f t="shared" si="30"/>
        <v>75.571428571428569</v>
      </c>
      <c r="I219" s="1323">
        <f t="shared" si="31"/>
        <v>27583.571428571428</v>
      </c>
      <c r="J219" s="1323"/>
      <c r="K219" s="1338">
        <f t="shared" si="37"/>
        <v>0.55167142857142859</v>
      </c>
      <c r="L219" s="1323">
        <f t="shared" si="33"/>
        <v>50681</v>
      </c>
      <c r="M219" s="1323"/>
      <c r="N219" s="1323"/>
    </row>
    <row r="220" spans="1:14" s="1302" customFormat="1" ht="16.5" customHeight="1">
      <c r="A220" s="1328" t="s">
        <v>1128</v>
      </c>
      <c r="B220" s="1327">
        <v>44569</v>
      </c>
      <c r="C220" s="1326">
        <v>8</v>
      </c>
      <c r="D220" s="1323">
        <f t="shared" si="35"/>
        <v>461681</v>
      </c>
      <c r="E220" s="1325">
        <v>461882</v>
      </c>
      <c r="F220" s="1322">
        <f t="shared" si="28"/>
        <v>201</v>
      </c>
      <c r="G220" s="1322">
        <f t="shared" si="36"/>
        <v>730</v>
      </c>
      <c r="H220" s="1322">
        <f t="shared" si="30"/>
        <v>91.25</v>
      </c>
      <c r="I220" s="1322">
        <f t="shared" si="31"/>
        <v>33306.25</v>
      </c>
      <c r="J220" s="1324">
        <f ca="1">F219:F220/$M$3</f>
        <v>8.8889058913542467</v>
      </c>
      <c r="K220" s="1338">
        <f t="shared" si="37"/>
        <v>0.66612499999999997</v>
      </c>
      <c r="L220" s="1323">
        <f t="shared" si="33"/>
        <v>50882</v>
      </c>
      <c r="M220" s="1322"/>
      <c r="N220" s="1322"/>
    </row>
    <row r="221" spans="1:14" s="1302" customFormat="1" ht="16.5" customHeight="1">
      <c r="A221" s="1328" t="s">
        <v>1139</v>
      </c>
      <c r="B221" s="1327">
        <v>44570</v>
      </c>
      <c r="C221" s="1326">
        <v>9</v>
      </c>
      <c r="D221" s="1323">
        <f t="shared" si="35"/>
        <v>461882</v>
      </c>
      <c r="E221" s="1335">
        <f>E220</f>
        <v>461882</v>
      </c>
      <c r="F221" s="1323">
        <f t="shared" si="28"/>
        <v>0</v>
      </c>
      <c r="G221" s="1323">
        <f t="shared" si="36"/>
        <v>730</v>
      </c>
      <c r="H221" s="1323">
        <f t="shared" si="30"/>
        <v>81.111111111111114</v>
      </c>
      <c r="I221" s="1323">
        <f t="shared" si="31"/>
        <v>29605.555555555558</v>
      </c>
      <c r="J221" s="1323"/>
      <c r="K221" s="1338">
        <f t="shared" si="37"/>
        <v>0.59211111111111114</v>
      </c>
      <c r="L221" s="1323">
        <f t="shared" si="33"/>
        <v>50882</v>
      </c>
      <c r="M221" s="1323"/>
      <c r="N221" s="1323"/>
    </row>
    <row r="222" spans="1:14" s="1302" customFormat="1" ht="16.5" customHeight="1">
      <c r="A222" s="1328" t="s">
        <v>1138</v>
      </c>
      <c r="B222" s="1327">
        <v>44571</v>
      </c>
      <c r="C222" s="1326">
        <v>10</v>
      </c>
      <c r="D222" s="1323">
        <f t="shared" si="35"/>
        <v>461882</v>
      </c>
      <c r="E222" s="1335">
        <f>E221</f>
        <v>461882</v>
      </c>
      <c r="F222" s="1323">
        <f t="shared" si="28"/>
        <v>0</v>
      </c>
      <c r="G222" s="1323">
        <f t="shared" si="36"/>
        <v>730</v>
      </c>
      <c r="H222" s="1323">
        <f t="shared" si="30"/>
        <v>73</v>
      </c>
      <c r="I222" s="1323">
        <f t="shared" si="31"/>
        <v>26645</v>
      </c>
      <c r="J222" s="1323"/>
      <c r="K222" s="1338">
        <f t="shared" si="37"/>
        <v>0.53290000000000004</v>
      </c>
      <c r="L222" s="1323">
        <f t="shared" si="33"/>
        <v>50882</v>
      </c>
      <c r="M222" s="1323"/>
      <c r="N222" s="1323"/>
    </row>
    <row r="223" spans="1:14" s="1302" customFormat="1" ht="16.5" customHeight="1">
      <c r="A223" s="1328" t="s">
        <v>1137</v>
      </c>
      <c r="B223" s="1327">
        <v>44572</v>
      </c>
      <c r="C223" s="1326">
        <v>11</v>
      </c>
      <c r="D223" s="1323">
        <f t="shared" si="35"/>
        <v>461882</v>
      </c>
      <c r="E223" s="1325">
        <v>462165</v>
      </c>
      <c r="F223" s="1322">
        <f t="shared" si="28"/>
        <v>283</v>
      </c>
      <c r="G223" s="1322">
        <f t="shared" si="36"/>
        <v>1013</v>
      </c>
      <c r="H223" s="1322">
        <f t="shared" si="30"/>
        <v>92.090909090909093</v>
      </c>
      <c r="I223" s="1322">
        <f t="shared" si="31"/>
        <v>33613.181818181816</v>
      </c>
      <c r="J223" s="1324">
        <f ca="1">F222:F223/$M$3</f>
        <v>12.51522570772762</v>
      </c>
      <c r="K223" s="1338">
        <f t="shared" si="37"/>
        <v>0.67226363636363629</v>
      </c>
      <c r="L223" s="1323">
        <f t="shared" si="33"/>
        <v>51165</v>
      </c>
      <c r="M223" s="1322"/>
      <c r="N223" s="1322"/>
    </row>
    <row r="224" spans="1:14" s="1302" customFormat="1" ht="16.5" customHeight="1">
      <c r="A224" s="1328" t="s">
        <v>1131</v>
      </c>
      <c r="B224" s="1327">
        <v>44573</v>
      </c>
      <c r="C224" s="1326">
        <v>12</v>
      </c>
      <c r="D224" s="1323">
        <f t="shared" si="35"/>
        <v>462165</v>
      </c>
      <c r="E224" s="1335">
        <f>E223</f>
        <v>462165</v>
      </c>
      <c r="F224" s="1323">
        <f t="shared" si="28"/>
        <v>0</v>
      </c>
      <c r="G224" s="1323">
        <f t="shared" si="36"/>
        <v>1013</v>
      </c>
      <c r="H224" s="1323">
        <f t="shared" si="30"/>
        <v>84.416666666666671</v>
      </c>
      <c r="I224" s="1323">
        <f t="shared" si="31"/>
        <v>30812.083333333336</v>
      </c>
      <c r="J224" s="1323"/>
      <c r="K224" s="1338">
        <f t="shared" si="37"/>
        <v>0.61624166666666669</v>
      </c>
      <c r="L224" s="1323">
        <f t="shared" si="33"/>
        <v>51165</v>
      </c>
      <c r="M224" s="1323"/>
      <c r="N224" s="1323"/>
    </row>
    <row r="225" spans="1:14" s="1302" customFormat="1" ht="16.5" customHeight="1">
      <c r="A225" s="1328" t="s">
        <v>1136</v>
      </c>
      <c r="B225" s="1327">
        <v>44574</v>
      </c>
      <c r="C225" s="1326">
        <v>13</v>
      </c>
      <c r="D225" s="1323">
        <f t="shared" si="35"/>
        <v>462165</v>
      </c>
      <c r="E225" s="1325">
        <v>462462</v>
      </c>
      <c r="F225" s="1322">
        <f t="shared" si="28"/>
        <v>297</v>
      </c>
      <c r="G225" s="1322">
        <f t="shared" si="36"/>
        <v>1310</v>
      </c>
      <c r="H225" s="1322">
        <f t="shared" si="30"/>
        <v>100.76923076923077</v>
      </c>
      <c r="I225" s="1322">
        <f t="shared" si="31"/>
        <v>36780.769230769234</v>
      </c>
      <c r="J225" s="1324">
        <f ca="1">F224:F225/$M$3</f>
        <v>13.134353481254781</v>
      </c>
      <c r="K225" s="1338">
        <f t="shared" si="37"/>
        <v>0.73561538461538467</v>
      </c>
      <c r="L225" s="1323">
        <f t="shared" si="33"/>
        <v>51462</v>
      </c>
      <c r="M225" s="1322"/>
      <c r="N225" s="1322"/>
    </row>
    <row r="226" spans="1:14" s="1302" customFormat="1" ht="16.5" customHeight="1">
      <c r="A226" s="1328" t="s">
        <v>1130</v>
      </c>
      <c r="B226" s="1327">
        <v>44575</v>
      </c>
      <c r="C226" s="1326">
        <v>14</v>
      </c>
      <c r="D226" s="1323">
        <f t="shared" si="35"/>
        <v>462462</v>
      </c>
      <c r="E226" s="1335">
        <f>E225</f>
        <v>462462</v>
      </c>
      <c r="F226" s="1323">
        <f t="shared" si="28"/>
        <v>0</v>
      </c>
      <c r="G226" s="1323">
        <f t="shared" si="36"/>
        <v>1310</v>
      </c>
      <c r="H226" s="1323">
        <f t="shared" si="30"/>
        <v>93.571428571428569</v>
      </c>
      <c r="I226" s="1323">
        <f t="shared" si="31"/>
        <v>34153.571428571428</v>
      </c>
      <c r="J226" s="1323"/>
      <c r="K226" s="1338">
        <f t="shared" si="37"/>
        <v>0.68307142857142855</v>
      </c>
      <c r="L226" s="1323">
        <f t="shared" si="33"/>
        <v>51462</v>
      </c>
      <c r="M226" s="1323"/>
      <c r="N226" s="1323"/>
    </row>
    <row r="227" spans="1:14" s="1302" customFormat="1" ht="16.5" customHeight="1">
      <c r="A227" s="1328" t="s">
        <v>1128</v>
      </c>
      <c r="B227" s="1327">
        <v>44576</v>
      </c>
      <c r="C227" s="1326">
        <v>15</v>
      </c>
      <c r="D227" s="1323">
        <f t="shared" si="35"/>
        <v>462462</v>
      </c>
      <c r="E227" s="1335">
        <f>E226</f>
        <v>462462</v>
      </c>
      <c r="F227" s="1323">
        <f t="shared" si="28"/>
        <v>0</v>
      </c>
      <c r="G227" s="1323">
        <f t="shared" si="36"/>
        <v>1310</v>
      </c>
      <c r="H227" s="1323">
        <f t="shared" si="30"/>
        <v>87.333333333333329</v>
      </c>
      <c r="I227" s="1323">
        <f t="shared" si="31"/>
        <v>31876.666666666664</v>
      </c>
      <c r="J227" s="1323"/>
      <c r="K227" s="1338">
        <f t="shared" si="37"/>
        <v>0.63753333333333329</v>
      </c>
      <c r="L227" s="1323">
        <f t="shared" si="33"/>
        <v>51462</v>
      </c>
      <c r="M227" s="1323"/>
      <c r="N227" s="1323"/>
    </row>
    <row r="228" spans="1:14" s="1302" customFormat="1" ht="16.5" customHeight="1">
      <c r="A228" s="1328" t="s">
        <v>1139</v>
      </c>
      <c r="B228" s="1327">
        <v>44577</v>
      </c>
      <c r="C228" s="1326">
        <v>16</v>
      </c>
      <c r="D228" s="1323">
        <f t="shared" si="35"/>
        <v>462462</v>
      </c>
      <c r="E228" s="1325">
        <v>462699</v>
      </c>
      <c r="F228" s="1322">
        <f t="shared" si="28"/>
        <v>237</v>
      </c>
      <c r="G228" s="1322">
        <f t="shared" si="36"/>
        <v>1547</v>
      </c>
      <c r="H228" s="1322">
        <f t="shared" si="30"/>
        <v>96.6875</v>
      </c>
      <c r="I228" s="1322">
        <f t="shared" si="31"/>
        <v>35290.9375</v>
      </c>
      <c r="J228" s="1324">
        <f ca="1">F227:F228/$M$3</f>
        <v>10.480948737566946</v>
      </c>
      <c r="K228" s="1338">
        <f t="shared" si="37"/>
        <v>0.70581875000000005</v>
      </c>
      <c r="L228" s="1323">
        <f t="shared" si="33"/>
        <v>51699</v>
      </c>
      <c r="M228" s="1322"/>
      <c r="N228" s="1322"/>
    </row>
    <row r="229" spans="1:14" s="1302" customFormat="1" ht="16.5" customHeight="1">
      <c r="A229" s="1328" t="s">
        <v>1138</v>
      </c>
      <c r="B229" s="1327">
        <v>44578</v>
      </c>
      <c r="C229" s="1326">
        <v>17</v>
      </c>
      <c r="D229" s="1323">
        <f t="shared" si="35"/>
        <v>462699</v>
      </c>
      <c r="E229" s="1325">
        <v>462775</v>
      </c>
      <c r="F229" s="1322">
        <f t="shared" si="28"/>
        <v>76</v>
      </c>
      <c r="G229" s="1322">
        <f t="shared" si="36"/>
        <v>1623</v>
      </c>
      <c r="H229" s="1322">
        <f t="shared" si="30"/>
        <v>95.470588235294116</v>
      </c>
      <c r="I229" s="1322">
        <f t="shared" si="31"/>
        <v>34846.76470588235</v>
      </c>
      <c r="J229" s="1324">
        <f ca="1">F228:F229/$M$3</f>
        <v>3.3609793420045904</v>
      </c>
      <c r="K229" s="1338">
        <f t="shared" si="37"/>
        <v>0.69693529411764699</v>
      </c>
      <c r="L229" s="1323">
        <f t="shared" si="33"/>
        <v>51775</v>
      </c>
      <c r="M229" s="1322"/>
      <c r="N229" s="1322"/>
    </row>
    <row r="230" spans="1:14" s="1302" customFormat="1" ht="16.5" customHeight="1">
      <c r="A230" s="1328" t="s">
        <v>1137</v>
      </c>
      <c r="B230" s="1327">
        <v>44579</v>
      </c>
      <c r="C230" s="1326">
        <v>18</v>
      </c>
      <c r="D230" s="1323">
        <f t="shared" si="35"/>
        <v>462775</v>
      </c>
      <c r="E230" s="1335">
        <f>E229</f>
        <v>462775</v>
      </c>
      <c r="F230" s="1323">
        <f t="shared" si="28"/>
        <v>0</v>
      </c>
      <c r="G230" s="1323">
        <f t="shared" si="36"/>
        <v>1623</v>
      </c>
      <c r="H230" s="1323">
        <f t="shared" si="30"/>
        <v>90.166666666666671</v>
      </c>
      <c r="I230" s="1323">
        <f t="shared" si="31"/>
        <v>32910.833333333336</v>
      </c>
      <c r="J230" s="1323"/>
      <c r="K230" s="1338">
        <f t="shared" si="37"/>
        <v>0.65821666666666667</v>
      </c>
      <c r="L230" s="1323">
        <f t="shared" si="33"/>
        <v>51775</v>
      </c>
      <c r="M230" s="1323"/>
      <c r="N230" s="1323"/>
    </row>
    <row r="231" spans="1:14" s="1302" customFormat="1" ht="16.5" customHeight="1">
      <c r="A231" s="1328" t="s">
        <v>1131</v>
      </c>
      <c r="B231" s="1327">
        <v>44580</v>
      </c>
      <c r="C231" s="1326">
        <v>19</v>
      </c>
      <c r="D231" s="1323">
        <f t="shared" si="35"/>
        <v>462775</v>
      </c>
      <c r="E231" s="1335">
        <f>E230</f>
        <v>462775</v>
      </c>
      <c r="F231" s="1323">
        <f t="shared" si="28"/>
        <v>0</v>
      </c>
      <c r="G231" s="1323">
        <f t="shared" si="36"/>
        <v>1623</v>
      </c>
      <c r="H231" s="1323">
        <f t="shared" si="30"/>
        <v>85.421052631578945</v>
      </c>
      <c r="I231" s="1323">
        <f t="shared" si="31"/>
        <v>31178.684210526317</v>
      </c>
      <c r="J231" s="1323"/>
      <c r="K231" s="1338">
        <f t="shared" si="37"/>
        <v>0.62357368421052628</v>
      </c>
      <c r="L231" s="1323">
        <f t="shared" si="33"/>
        <v>51775</v>
      </c>
      <c r="M231" s="1323"/>
      <c r="N231" s="1323"/>
    </row>
    <row r="232" spans="1:14" s="1302" customFormat="1" ht="16.5" customHeight="1">
      <c r="A232" s="1328" t="s">
        <v>1136</v>
      </c>
      <c r="B232" s="1327">
        <v>44581</v>
      </c>
      <c r="C232" s="1326">
        <v>20</v>
      </c>
      <c r="D232" s="1323">
        <f t="shared" si="35"/>
        <v>462775</v>
      </c>
      <c r="E232" s="1325">
        <v>462939</v>
      </c>
      <c r="F232" s="1322">
        <f t="shared" si="28"/>
        <v>164</v>
      </c>
      <c r="G232" s="1322">
        <f t="shared" si="36"/>
        <v>1787</v>
      </c>
      <c r="H232" s="1322">
        <f t="shared" si="30"/>
        <v>89.35</v>
      </c>
      <c r="I232" s="1322">
        <f t="shared" si="31"/>
        <v>32612.749999999996</v>
      </c>
      <c r="J232" s="1324">
        <f ca="1">F231:F232/$M$3</f>
        <v>7.2526396327467477</v>
      </c>
      <c r="K232" s="1338">
        <f t="shared" si="37"/>
        <v>0.65225499999999992</v>
      </c>
      <c r="L232" s="1323">
        <f t="shared" si="33"/>
        <v>51939</v>
      </c>
      <c r="M232" s="1322"/>
      <c r="N232" s="1322"/>
    </row>
    <row r="233" spans="1:14" s="1302" customFormat="1" ht="16.5" customHeight="1">
      <c r="A233" s="1328" t="s">
        <v>1130</v>
      </c>
      <c r="B233" s="1327">
        <v>44582</v>
      </c>
      <c r="C233" s="1326">
        <v>21</v>
      </c>
      <c r="D233" s="1323">
        <f t="shared" si="35"/>
        <v>462939</v>
      </c>
      <c r="E233" s="1325">
        <v>463091</v>
      </c>
      <c r="F233" s="1322">
        <f t="shared" si="28"/>
        <v>152</v>
      </c>
      <c r="G233" s="1322">
        <f t="shared" si="36"/>
        <v>1939</v>
      </c>
      <c r="H233" s="1322">
        <f t="shared" si="30"/>
        <v>92.333333333333329</v>
      </c>
      <c r="I233" s="1322">
        <f t="shared" si="31"/>
        <v>33701.666666666664</v>
      </c>
      <c r="J233" s="1324">
        <f ca="1">F232:F233/$M$3</f>
        <v>6.7219586840091807</v>
      </c>
      <c r="K233" s="1338">
        <f t="shared" si="37"/>
        <v>0.67403333333333326</v>
      </c>
      <c r="L233" s="1323">
        <f t="shared" si="33"/>
        <v>52091</v>
      </c>
      <c r="M233" s="1322"/>
      <c r="N233" s="1322"/>
    </row>
    <row r="234" spans="1:14" s="1302" customFormat="1" ht="16.5" customHeight="1">
      <c r="A234" s="1328" t="s">
        <v>1128</v>
      </c>
      <c r="B234" s="1327">
        <v>44583</v>
      </c>
      <c r="C234" s="1326">
        <v>22</v>
      </c>
      <c r="D234" s="1323">
        <f t="shared" si="35"/>
        <v>463091</v>
      </c>
      <c r="E234" s="1335">
        <f>E233</f>
        <v>463091</v>
      </c>
      <c r="F234" s="1323">
        <f t="shared" si="28"/>
        <v>0</v>
      </c>
      <c r="G234" s="1323">
        <f t="shared" si="36"/>
        <v>1939</v>
      </c>
      <c r="H234" s="1323">
        <f t="shared" si="30"/>
        <v>88.13636363636364</v>
      </c>
      <c r="I234" s="1323">
        <f t="shared" si="31"/>
        <v>32169.772727272728</v>
      </c>
      <c r="J234" s="1323"/>
      <c r="K234" s="1338">
        <f t="shared" si="37"/>
        <v>0.64339545454545455</v>
      </c>
      <c r="L234" s="1323">
        <f t="shared" si="33"/>
        <v>52091</v>
      </c>
      <c r="M234" s="1323"/>
      <c r="N234" s="1323"/>
    </row>
    <row r="235" spans="1:14" s="1302" customFormat="1" ht="16.5" customHeight="1">
      <c r="A235" s="1328" t="s">
        <v>1139</v>
      </c>
      <c r="B235" s="1327">
        <v>44584</v>
      </c>
      <c r="C235" s="1326">
        <v>23</v>
      </c>
      <c r="D235" s="1323">
        <f t="shared" si="35"/>
        <v>463091</v>
      </c>
      <c r="E235" s="1325">
        <v>463717</v>
      </c>
      <c r="F235" s="1322">
        <f t="shared" si="28"/>
        <v>626</v>
      </c>
      <c r="G235" s="1322">
        <f t="shared" si="36"/>
        <v>2565</v>
      </c>
      <c r="H235" s="1322">
        <f t="shared" si="30"/>
        <v>111.52173913043478</v>
      </c>
      <c r="I235" s="1322">
        <f t="shared" si="31"/>
        <v>40705.434782608696</v>
      </c>
      <c r="J235" s="1324">
        <f ca="1">F234:F235/$M$3</f>
        <v>27.683856159143076</v>
      </c>
      <c r="K235" s="1338">
        <f t="shared" si="37"/>
        <v>0.81410869565217392</v>
      </c>
      <c r="L235" s="1323">
        <f t="shared" si="33"/>
        <v>52717</v>
      </c>
      <c r="M235" s="1322"/>
      <c r="N235" s="1322"/>
    </row>
    <row r="236" spans="1:14" s="1302" customFormat="1" ht="16.5" customHeight="1">
      <c r="A236" s="1328" t="s">
        <v>1138</v>
      </c>
      <c r="B236" s="1327">
        <v>44585</v>
      </c>
      <c r="C236" s="1326">
        <v>24</v>
      </c>
      <c r="D236" s="1323">
        <f t="shared" si="35"/>
        <v>463717</v>
      </c>
      <c r="E236" s="1325">
        <v>463910</v>
      </c>
      <c r="F236" s="1322">
        <f t="shared" si="28"/>
        <v>193</v>
      </c>
      <c r="G236" s="1322">
        <f t="shared" si="36"/>
        <v>2758</v>
      </c>
      <c r="H236" s="1322">
        <f t="shared" si="30"/>
        <v>114.91666666666667</v>
      </c>
      <c r="I236" s="1322">
        <f t="shared" si="31"/>
        <v>41944.583333333336</v>
      </c>
      <c r="J236" s="1324">
        <f ca="1">F235:F236/$M$3</f>
        <v>8.5351185921958681</v>
      </c>
      <c r="K236" s="1338">
        <f t="shared" si="37"/>
        <v>0.8388916666666667</v>
      </c>
      <c r="L236" s="1323">
        <f t="shared" si="33"/>
        <v>52910</v>
      </c>
      <c r="M236" s="1322"/>
      <c r="N236" s="1322"/>
    </row>
    <row r="237" spans="1:14" s="1302" customFormat="1" ht="16.5" customHeight="1">
      <c r="A237" s="1328" t="s">
        <v>1137</v>
      </c>
      <c r="B237" s="1327">
        <v>44586</v>
      </c>
      <c r="C237" s="1326">
        <v>25</v>
      </c>
      <c r="D237" s="1323">
        <f t="shared" si="35"/>
        <v>463910</v>
      </c>
      <c r="E237" s="1335">
        <f>E236</f>
        <v>463910</v>
      </c>
      <c r="F237" s="1323">
        <f t="shared" si="28"/>
        <v>0</v>
      </c>
      <c r="G237" s="1323">
        <f t="shared" si="36"/>
        <v>2758</v>
      </c>
      <c r="H237" s="1323">
        <f t="shared" si="30"/>
        <v>110.32</v>
      </c>
      <c r="I237" s="1323">
        <f t="shared" si="31"/>
        <v>40266.799999999996</v>
      </c>
      <c r="J237" s="1323"/>
      <c r="K237" s="1338">
        <f t="shared" si="37"/>
        <v>0.80533599999999994</v>
      </c>
      <c r="L237" s="1323">
        <f t="shared" si="33"/>
        <v>52910</v>
      </c>
      <c r="M237" s="1323"/>
      <c r="N237" s="1323"/>
    </row>
    <row r="238" spans="1:14" s="1302" customFormat="1" ht="16.5" customHeight="1">
      <c r="A238" s="1328" t="s">
        <v>1131</v>
      </c>
      <c r="B238" s="1327">
        <v>44587</v>
      </c>
      <c r="C238" s="1326">
        <v>26</v>
      </c>
      <c r="D238" s="1323">
        <f t="shared" si="35"/>
        <v>463910</v>
      </c>
      <c r="E238" s="1335">
        <f>E237</f>
        <v>463910</v>
      </c>
      <c r="F238" s="1323">
        <f t="shared" si="28"/>
        <v>0</v>
      </c>
      <c r="G238" s="1323">
        <f t="shared" si="36"/>
        <v>2758</v>
      </c>
      <c r="H238" s="1323">
        <f t="shared" si="30"/>
        <v>106.07692307692308</v>
      </c>
      <c r="I238" s="1323">
        <f t="shared" si="31"/>
        <v>38718.076923076922</v>
      </c>
      <c r="J238" s="1323"/>
      <c r="K238" s="1338">
        <f t="shared" si="37"/>
        <v>0.77436153846153843</v>
      </c>
      <c r="L238" s="1323">
        <f t="shared" si="33"/>
        <v>52910</v>
      </c>
      <c r="M238" s="1323"/>
      <c r="N238" s="1323"/>
    </row>
    <row r="239" spans="1:14" s="1302" customFormat="1" ht="16.5" customHeight="1">
      <c r="A239" s="1328" t="s">
        <v>1136</v>
      </c>
      <c r="B239" s="1327">
        <v>44588</v>
      </c>
      <c r="C239" s="1326">
        <v>27</v>
      </c>
      <c r="D239" s="1323">
        <f t="shared" si="35"/>
        <v>463910</v>
      </c>
      <c r="E239" s="1325">
        <v>464054</v>
      </c>
      <c r="F239" s="1322">
        <f t="shared" si="28"/>
        <v>144</v>
      </c>
      <c r="G239" s="1322">
        <f t="shared" si="36"/>
        <v>2902</v>
      </c>
      <c r="H239" s="1322">
        <f t="shared" si="30"/>
        <v>107.48148148148148</v>
      </c>
      <c r="I239" s="1322">
        <f t="shared" si="31"/>
        <v>39230.740740740737</v>
      </c>
      <c r="J239" s="1324">
        <f ca="1">F238:F239/$M$3</f>
        <v>6.368171384850803</v>
      </c>
      <c r="K239" s="1338">
        <f t="shared" si="37"/>
        <v>0.78461481481481476</v>
      </c>
      <c r="L239" s="1323">
        <f t="shared" si="33"/>
        <v>53054</v>
      </c>
      <c r="M239" s="1322"/>
      <c r="N239" s="1322"/>
    </row>
    <row r="240" spans="1:14" s="1302" customFormat="1" ht="16.5" customHeight="1">
      <c r="A240" s="1328" t="s">
        <v>1130</v>
      </c>
      <c r="B240" s="1327">
        <v>44589</v>
      </c>
      <c r="C240" s="1326">
        <v>28</v>
      </c>
      <c r="D240" s="1323">
        <f t="shared" si="35"/>
        <v>464054</v>
      </c>
      <c r="E240" s="1325">
        <v>464180</v>
      </c>
      <c r="F240" s="1322">
        <f t="shared" si="28"/>
        <v>126</v>
      </c>
      <c r="G240" s="1322">
        <f t="shared" si="36"/>
        <v>3028</v>
      </c>
      <c r="H240" s="1322">
        <f t="shared" si="30"/>
        <v>108.14285714285714</v>
      </c>
      <c r="I240" s="1322">
        <f t="shared" si="31"/>
        <v>39472.142857142855</v>
      </c>
      <c r="J240" s="1324">
        <f ca="1">F239:F240/$M$3</f>
        <v>5.5721499617444525</v>
      </c>
      <c r="K240" s="1338">
        <f t="shared" si="37"/>
        <v>0.78944285714285711</v>
      </c>
      <c r="L240" s="1323">
        <f t="shared" si="33"/>
        <v>53180</v>
      </c>
      <c r="M240" s="1322"/>
      <c r="N240" s="1322"/>
    </row>
    <row r="241" spans="1:14" s="1302" customFormat="1" ht="16.5" customHeight="1">
      <c r="A241" s="1328" t="s">
        <v>1128</v>
      </c>
      <c r="B241" s="1327">
        <v>44590</v>
      </c>
      <c r="C241" s="1326">
        <v>29</v>
      </c>
      <c r="D241" s="1323">
        <f t="shared" si="35"/>
        <v>464180</v>
      </c>
      <c r="E241" s="1325">
        <v>464231</v>
      </c>
      <c r="F241" s="1322">
        <f t="shared" si="28"/>
        <v>51</v>
      </c>
      <c r="G241" s="1322">
        <f t="shared" si="36"/>
        <v>3079</v>
      </c>
      <c r="H241" s="1322">
        <f t="shared" si="30"/>
        <v>106.17241379310344</v>
      </c>
      <c r="I241" s="1322">
        <f t="shared" si="31"/>
        <v>38752.931034482761</v>
      </c>
      <c r="J241" s="1324">
        <f ca="1">F240:F241/$M$3</f>
        <v>2.2553940321346593</v>
      </c>
      <c r="K241" s="1338">
        <f t="shared" si="37"/>
        <v>0.77505862068965525</v>
      </c>
      <c r="L241" s="1323">
        <f t="shared" si="33"/>
        <v>53231</v>
      </c>
      <c r="M241" s="1322"/>
      <c r="N241" s="1322"/>
    </row>
    <row r="242" spans="1:14" s="1302" customFormat="1" ht="16.5" customHeight="1">
      <c r="A242" s="1328" t="s">
        <v>1139</v>
      </c>
      <c r="B242" s="1327">
        <v>44591</v>
      </c>
      <c r="C242" s="1326">
        <v>30</v>
      </c>
      <c r="D242" s="1323">
        <f t="shared" si="35"/>
        <v>464231</v>
      </c>
      <c r="E242" s="1325">
        <v>464315</v>
      </c>
      <c r="F242" s="1322">
        <f t="shared" si="28"/>
        <v>84</v>
      </c>
      <c r="G242" s="1322">
        <f t="shared" si="36"/>
        <v>3163</v>
      </c>
      <c r="H242" s="1322">
        <f t="shared" si="30"/>
        <v>105.43333333333334</v>
      </c>
      <c r="I242" s="1322">
        <f t="shared" si="31"/>
        <v>38483.166666666672</v>
      </c>
      <c r="J242" s="1324">
        <f ca="1">F241:F242/$M$3</f>
        <v>3.7147666411629685</v>
      </c>
      <c r="K242" s="1338">
        <f t="shared" si="37"/>
        <v>0.76966333333333348</v>
      </c>
      <c r="L242" s="1323">
        <f t="shared" si="33"/>
        <v>53315</v>
      </c>
      <c r="M242" s="1322"/>
      <c r="N242" s="1322"/>
    </row>
    <row r="243" spans="1:14" s="1302" customFormat="1" ht="16.5" customHeight="1">
      <c r="A243" s="1328" t="s">
        <v>1138</v>
      </c>
      <c r="B243" s="1327">
        <v>44592</v>
      </c>
      <c r="C243" s="1326">
        <v>31</v>
      </c>
      <c r="D243" s="1323">
        <f t="shared" si="35"/>
        <v>464315</v>
      </c>
      <c r="E243" s="1325">
        <v>464468</v>
      </c>
      <c r="F243" s="1322">
        <f t="shared" si="28"/>
        <v>153</v>
      </c>
      <c r="G243" s="1322">
        <f t="shared" si="36"/>
        <v>3316</v>
      </c>
      <c r="H243" s="1322">
        <f t="shared" si="30"/>
        <v>106.96774193548387</v>
      </c>
      <c r="I243" s="1322">
        <f t="shared" si="31"/>
        <v>39043.225806451614</v>
      </c>
      <c r="J243" s="1324">
        <f ca="1">F242:F243/$M$3</f>
        <v>6.7661820964039778</v>
      </c>
      <c r="K243" s="1338">
        <f t="shared" si="37"/>
        <v>0.78086451612903229</v>
      </c>
      <c r="L243" s="1323">
        <f t="shared" si="33"/>
        <v>53468</v>
      </c>
      <c r="M243" s="1322"/>
      <c r="N243" s="1322"/>
    </row>
    <row r="244" spans="1:14" s="1302" customFormat="1" ht="16.5" customHeight="1">
      <c r="A244" s="1328" t="s">
        <v>1137</v>
      </c>
      <c r="B244" s="1327">
        <v>44593</v>
      </c>
      <c r="C244" s="1326">
        <v>32</v>
      </c>
      <c r="D244" s="1323">
        <f t="shared" si="35"/>
        <v>464468</v>
      </c>
      <c r="E244" s="1335">
        <f>E243</f>
        <v>464468</v>
      </c>
      <c r="F244" s="1323">
        <f t="shared" si="28"/>
        <v>0</v>
      </c>
      <c r="G244" s="1323">
        <f t="shared" si="36"/>
        <v>3316</v>
      </c>
      <c r="H244" s="1323">
        <f t="shared" si="30"/>
        <v>103.625</v>
      </c>
      <c r="I244" s="1323">
        <f t="shared" si="31"/>
        <v>37823.125</v>
      </c>
      <c r="J244" s="1323"/>
      <c r="K244" s="1338">
        <f t="shared" si="37"/>
        <v>0.75646250000000004</v>
      </c>
      <c r="L244" s="1323">
        <f t="shared" si="33"/>
        <v>53468</v>
      </c>
      <c r="M244" s="1323"/>
      <c r="N244" s="1323"/>
    </row>
    <row r="245" spans="1:14" s="1302" customFormat="1" ht="16.5" customHeight="1">
      <c r="A245" s="1328" t="s">
        <v>1131</v>
      </c>
      <c r="B245" s="1327">
        <v>44594</v>
      </c>
      <c r="C245" s="1326">
        <v>33</v>
      </c>
      <c r="D245" s="1323">
        <f t="shared" si="35"/>
        <v>464468</v>
      </c>
      <c r="E245" s="1325">
        <v>464607</v>
      </c>
      <c r="F245" s="1322">
        <f t="shared" si="28"/>
        <v>139</v>
      </c>
      <c r="G245" s="1322">
        <f t="shared" si="36"/>
        <v>3455</v>
      </c>
      <c r="H245" s="1322">
        <f t="shared" si="30"/>
        <v>104.6969696969697</v>
      </c>
      <c r="I245" s="1322">
        <f t="shared" si="31"/>
        <v>38214.393939393944</v>
      </c>
      <c r="J245" s="1324">
        <f ca="1">F244:F245/$M$3</f>
        <v>6.1470543228768166</v>
      </c>
      <c r="K245" s="1338">
        <f t="shared" si="37"/>
        <v>0.76428787878787885</v>
      </c>
      <c r="L245" s="1323">
        <f t="shared" si="33"/>
        <v>53607</v>
      </c>
      <c r="M245" s="1322"/>
      <c r="N245" s="1322"/>
    </row>
    <row r="246" spans="1:14" s="1302" customFormat="1" ht="16.5" customHeight="1">
      <c r="A246" s="1328" t="s">
        <v>1136</v>
      </c>
      <c r="B246" s="1327">
        <v>44595</v>
      </c>
      <c r="C246" s="1326">
        <v>34</v>
      </c>
      <c r="D246" s="1323">
        <f t="shared" si="35"/>
        <v>464607</v>
      </c>
      <c r="E246" s="1325">
        <v>464998</v>
      </c>
      <c r="F246" s="1322">
        <f t="shared" si="28"/>
        <v>391</v>
      </c>
      <c r="G246" s="1322">
        <f t="shared" si="36"/>
        <v>3846</v>
      </c>
      <c r="H246" s="1322">
        <f t="shared" si="30"/>
        <v>113.11764705882354</v>
      </c>
      <c r="I246" s="1322">
        <f t="shared" si="31"/>
        <v>41287.941176470587</v>
      </c>
      <c r="J246" s="1324">
        <f ca="1">F245:F246/$M$3</f>
        <v>17.291354246365721</v>
      </c>
      <c r="K246" s="1338">
        <f t="shared" si="37"/>
        <v>0.82575882352941177</v>
      </c>
      <c r="L246" s="1323">
        <f t="shared" si="33"/>
        <v>53998</v>
      </c>
      <c r="M246" s="1322"/>
      <c r="N246" s="1322"/>
    </row>
    <row r="247" spans="1:14" s="1302" customFormat="1" ht="16.5" customHeight="1">
      <c r="A247" s="1328" t="s">
        <v>1130</v>
      </c>
      <c r="B247" s="1327">
        <v>44596</v>
      </c>
      <c r="C247" s="1326">
        <v>35</v>
      </c>
      <c r="D247" s="1323">
        <f t="shared" si="35"/>
        <v>464998</v>
      </c>
      <c r="E247" s="1325">
        <v>465040</v>
      </c>
      <c r="F247" s="1322">
        <f t="shared" si="28"/>
        <v>42</v>
      </c>
      <c r="G247" s="1322">
        <f t="shared" si="36"/>
        <v>3888</v>
      </c>
      <c r="H247" s="1322">
        <f t="shared" si="30"/>
        <v>111.08571428571429</v>
      </c>
      <c r="I247" s="1322">
        <f t="shared" si="31"/>
        <v>40546.285714285717</v>
      </c>
      <c r="J247" s="1324">
        <f ca="1">F246:F247/$M$3</f>
        <v>1.8573833205814843</v>
      </c>
      <c r="K247" s="1338">
        <f t="shared" si="37"/>
        <v>0.81092571428571436</v>
      </c>
      <c r="L247" s="1323">
        <f t="shared" si="33"/>
        <v>54040</v>
      </c>
      <c r="M247" s="1322"/>
      <c r="N247" s="1322"/>
    </row>
    <row r="248" spans="1:14" s="1302" customFormat="1" ht="16.5" customHeight="1">
      <c r="A248" s="1328" t="s">
        <v>1128</v>
      </c>
      <c r="B248" s="1327">
        <v>44597</v>
      </c>
      <c r="C248" s="1326">
        <v>36</v>
      </c>
      <c r="D248" s="1323">
        <f t="shared" si="35"/>
        <v>465040</v>
      </c>
      <c r="E248" s="1325">
        <v>465229</v>
      </c>
      <c r="F248" s="1322">
        <f t="shared" si="28"/>
        <v>189</v>
      </c>
      <c r="G248" s="1322">
        <f t="shared" si="36"/>
        <v>4077</v>
      </c>
      <c r="H248" s="1322">
        <f t="shared" si="30"/>
        <v>113.25</v>
      </c>
      <c r="I248" s="1322">
        <f t="shared" si="31"/>
        <v>41336.25</v>
      </c>
      <c r="J248" s="1324">
        <f ca="1">F247:F248/$M$3</f>
        <v>8.3582249426166797</v>
      </c>
      <c r="K248" s="1338">
        <f t="shared" si="37"/>
        <v>0.82672500000000004</v>
      </c>
      <c r="L248" s="1323">
        <f t="shared" si="33"/>
        <v>54229</v>
      </c>
      <c r="M248" s="1322"/>
      <c r="N248" s="1322"/>
    </row>
    <row r="249" spans="1:14" s="1302" customFormat="1" ht="16.5" customHeight="1">
      <c r="A249" s="1328" t="s">
        <v>1139</v>
      </c>
      <c r="B249" s="1327">
        <v>44598</v>
      </c>
      <c r="C249" s="1326">
        <v>37</v>
      </c>
      <c r="D249" s="1323">
        <f t="shared" si="35"/>
        <v>465229</v>
      </c>
      <c r="E249" s="1335">
        <f>E248</f>
        <v>465229</v>
      </c>
      <c r="F249" s="1323">
        <f t="shared" si="28"/>
        <v>0</v>
      </c>
      <c r="G249" s="1323">
        <f t="shared" si="36"/>
        <v>4077</v>
      </c>
      <c r="H249" s="1323">
        <f t="shared" si="30"/>
        <v>110.18918918918919</v>
      </c>
      <c r="I249" s="1323">
        <f t="shared" si="31"/>
        <v>40219.054054054053</v>
      </c>
      <c r="J249" s="1323"/>
      <c r="K249" s="1338">
        <f t="shared" si="37"/>
        <v>0.80438108108108108</v>
      </c>
      <c r="L249" s="1323">
        <f t="shared" si="33"/>
        <v>54229</v>
      </c>
      <c r="M249" s="1323"/>
      <c r="N249" s="1323"/>
    </row>
    <row r="250" spans="1:14" s="1302" customFormat="1" ht="16.5" customHeight="1">
      <c r="A250" s="1328" t="s">
        <v>1138</v>
      </c>
      <c r="B250" s="1327">
        <v>44599</v>
      </c>
      <c r="C250" s="1326">
        <v>38</v>
      </c>
      <c r="D250" s="1323">
        <f t="shared" si="35"/>
        <v>465229</v>
      </c>
      <c r="E250" s="1335">
        <f>E249</f>
        <v>465229</v>
      </c>
      <c r="F250" s="1323">
        <f t="shared" si="28"/>
        <v>0</v>
      </c>
      <c r="G250" s="1323">
        <f t="shared" si="36"/>
        <v>4077</v>
      </c>
      <c r="H250" s="1323">
        <f t="shared" si="30"/>
        <v>107.28947368421052</v>
      </c>
      <c r="I250" s="1323">
        <f t="shared" si="31"/>
        <v>39160.65789473684</v>
      </c>
      <c r="J250" s="1323"/>
      <c r="K250" s="1338">
        <f t="shared" si="37"/>
        <v>0.78321315789473678</v>
      </c>
      <c r="L250" s="1323">
        <f t="shared" si="33"/>
        <v>54229</v>
      </c>
      <c r="M250" s="1323"/>
      <c r="N250" s="1323"/>
    </row>
    <row r="251" spans="1:14" s="1302" customFormat="1" ht="16.5" customHeight="1">
      <c r="A251" s="1328" t="s">
        <v>1137</v>
      </c>
      <c r="B251" s="1327">
        <v>44600</v>
      </c>
      <c r="C251" s="1326">
        <v>39</v>
      </c>
      <c r="D251" s="1323">
        <f t="shared" si="35"/>
        <v>465229</v>
      </c>
      <c r="E251" s="1325">
        <v>465565</v>
      </c>
      <c r="F251" s="1322">
        <f t="shared" si="28"/>
        <v>336</v>
      </c>
      <c r="G251" s="1322">
        <f t="shared" si="36"/>
        <v>4413</v>
      </c>
      <c r="H251" s="1322">
        <f t="shared" si="30"/>
        <v>113.15384615384616</v>
      </c>
      <c r="I251" s="1322">
        <f t="shared" si="31"/>
        <v>41301.153846153851</v>
      </c>
      <c r="J251" s="1324">
        <f ca="1">F250:F251/$M$3</f>
        <v>14.859066564651874</v>
      </c>
      <c r="K251" s="1338">
        <f t="shared" si="37"/>
        <v>0.82602307692307697</v>
      </c>
      <c r="L251" s="1323">
        <f t="shared" si="33"/>
        <v>54565</v>
      </c>
      <c r="M251" s="1322"/>
      <c r="N251" s="1322"/>
    </row>
    <row r="252" spans="1:14" s="1302" customFormat="1" ht="16.5" customHeight="1">
      <c r="A252" s="1328" t="s">
        <v>1131</v>
      </c>
      <c r="B252" s="1327">
        <v>44601</v>
      </c>
      <c r="C252" s="1326">
        <v>40</v>
      </c>
      <c r="D252" s="1323">
        <f t="shared" si="35"/>
        <v>465565</v>
      </c>
      <c r="E252" s="1325">
        <v>465739</v>
      </c>
      <c r="F252" s="1322">
        <f t="shared" si="28"/>
        <v>174</v>
      </c>
      <c r="G252" s="1322">
        <f t="shared" si="36"/>
        <v>4587</v>
      </c>
      <c r="H252" s="1322">
        <f t="shared" si="30"/>
        <v>114.675</v>
      </c>
      <c r="I252" s="1322">
        <f t="shared" si="31"/>
        <v>41856.375</v>
      </c>
      <c r="J252" s="1324">
        <f ca="1">F251:F252/$M$3</f>
        <v>7.6948737566947205</v>
      </c>
      <c r="K252" s="1338">
        <f t="shared" si="37"/>
        <v>0.83712750000000002</v>
      </c>
      <c r="L252" s="1323">
        <f t="shared" si="33"/>
        <v>54739</v>
      </c>
      <c r="M252" s="1322"/>
      <c r="N252" s="1322"/>
    </row>
    <row r="253" spans="1:14" s="1302" customFormat="1" ht="16.5" customHeight="1">
      <c r="A253" s="1328" t="s">
        <v>1136</v>
      </c>
      <c r="B253" s="1327">
        <v>44602</v>
      </c>
      <c r="C253" s="1326">
        <v>41</v>
      </c>
      <c r="D253" s="1323">
        <f t="shared" si="35"/>
        <v>465739</v>
      </c>
      <c r="E253" s="1325">
        <v>465779</v>
      </c>
      <c r="F253" s="1322">
        <f t="shared" si="28"/>
        <v>40</v>
      </c>
      <c r="G253" s="1322">
        <f t="shared" si="36"/>
        <v>4627</v>
      </c>
      <c r="H253" s="1322">
        <f t="shared" si="30"/>
        <v>112.85365853658537</v>
      </c>
      <c r="I253" s="1322">
        <f t="shared" si="31"/>
        <v>41191.585365853658</v>
      </c>
      <c r="J253" s="1324">
        <f ca="1">F252:F253/$M$3</f>
        <v>1.7689364957918898</v>
      </c>
      <c r="K253" s="1338">
        <f t="shared" si="37"/>
        <v>0.82383170731707311</v>
      </c>
      <c r="L253" s="1323">
        <f t="shared" si="33"/>
        <v>54779</v>
      </c>
      <c r="M253" s="1322"/>
      <c r="N253" s="1322"/>
    </row>
    <row r="254" spans="1:14" s="1302" customFormat="1" ht="16.5" customHeight="1">
      <c r="A254" s="1328" t="s">
        <v>1130</v>
      </c>
      <c r="B254" s="1327">
        <v>44603</v>
      </c>
      <c r="C254" s="1326">
        <v>42</v>
      </c>
      <c r="D254" s="1323">
        <f t="shared" si="35"/>
        <v>465779</v>
      </c>
      <c r="E254" s="1335">
        <f>E253</f>
        <v>465779</v>
      </c>
      <c r="F254" s="1323">
        <f t="shared" si="28"/>
        <v>0</v>
      </c>
      <c r="G254" s="1323">
        <f t="shared" si="36"/>
        <v>4627</v>
      </c>
      <c r="H254" s="1323">
        <f t="shared" si="30"/>
        <v>110.16666666666667</v>
      </c>
      <c r="I254" s="1323">
        <f t="shared" si="31"/>
        <v>40210.833333333336</v>
      </c>
      <c r="J254" s="1323"/>
      <c r="K254" s="1338">
        <f t="shared" si="37"/>
        <v>0.80421666666666669</v>
      </c>
      <c r="L254" s="1323">
        <f t="shared" si="33"/>
        <v>54779</v>
      </c>
      <c r="M254" s="1323"/>
      <c r="N254" s="1323"/>
    </row>
    <row r="255" spans="1:14" s="1302" customFormat="1" ht="16.5" customHeight="1">
      <c r="A255" s="1328" t="s">
        <v>1128</v>
      </c>
      <c r="B255" s="1327">
        <v>44604</v>
      </c>
      <c r="C255" s="1326">
        <v>43</v>
      </c>
      <c r="D255" s="1323">
        <f t="shared" si="35"/>
        <v>465779</v>
      </c>
      <c r="E255" s="1325">
        <v>465918</v>
      </c>
      <c r="F255" s="1322">
        <f t="shared" si="28"/>
        <v>139</v>
      </c>
      <c r="G255" s="1322">
        <f t="shared" si="36"/>
        <v>4766</v>
      </c>
      <c r="H255" s="1322">
        <f t="shared" si="30"/>
        <v>110.83720930232558</v>
      </c>
      <c r="I255" s="1322">
        <f t="shared" si="31"/>
        <v>40455.581395348832</v>
      </c>
      <c r="J255" s="1324">
        <f ca="1">F254:F255/$M$3</f>
        <v>6.1470543228768166</v>
      </c>
      <c r="K255" s="1338">
        <f t="shared" si="37"/>
        <v>0.80911162790697666</v>
      </c>
      <c r="L255" s="1323">
        <f t="shared" si="33"/>
        <v>54918</v>
      </c>
      <c r="M255" s="1322"/>
      <c r="N255" s="1322"/>
    </row>
    <row r="256" spans="1:14" s="1302" customFormat="1" ht="16.5" customHeight="1">
      <c r="A256" s="1328" t="s">
        <v>1139</v>
      </c>
      <c r="B256" s="1327">
        <v>44605</v>
      </c>
      <c r="C256" s="1326">
        <v>44</v>
      </c>
      <c r="D256" s="1323">
        <f t="shared" si="35"/>
        <v>465918</v>
      </c>
      <c r="E256" s="1325">
        <v>465995</v>
      </c>
      <c r="F256" s="1322">
        <f t="shared" si="28"/>
        <v>77</v>
      </c>
      <c r="G256" s="1322">
        <f t="shared" si="36"/>
        <v>4843</v>
      </c>
      <c r="H256" s="1322">
        <f t="shared" si="30"/>
        <v>110.06818181818181</v>
      </c>
      <c r="I256" s="1322">
        <f t="shared" si="31"/>
        <v>40174.88636363636</v>
      </c>
      <c r="J256" s="1324">
        <f ca="1">F255:F256/$M$3</f>
        <v>3.4052027543993879</v>
      </c>
      <c r="K256" s="1338">
        <f t="shared" si="37"/>
        <v>0.80349772727272717</v>
      </c>
      <c r="L256" s="1323">
        <f t="shared" si="33"/>
        <v>54995</v>
      </c>
      <c r="M256" s="1322"/>
      <c r="N256" s="1322"/>
    </row>
    <row r="257" spans="1:14" s="1302" customFormat="1" ht="16.5" customHeight="1">
      <c r="A257" s="1328" t="s">
        <v>1138</v>
      </c>
      <c r="B257" s="1327">
        <v>44606</v>
      </c>
      <c r="C257" s="1326">
        <v>45</v>
      </c>
      <c r="D257" s="1323">
        <f t="shared" si="35"/>
        <v>465995</v>
      </c>
      <c r="E257" s="1335">
        <f>E256</f>
        <v>465995</v>
      </c>
      <c r="F257" s="1323">
        <f t="shared" si="28"/>
        <v>0</v>
      </c>
      <c r="G257" s="1323">
        <f t="shared" si="36"/>
        <v>4843</v>
      </c>
      <c r="H257" s="1323">
        <f t="shared" si="30"/>
        <v>107.62222222222222</v>
      </c>
      <c r="I257" s="1323">
        <f t="shared" si="31"/>
        <v>39282.111111111109</v>
      </c>
      <c r="J257" s="1323"/>
      <c r="K257" s="1338">
        <f t="shared" si="37"/>
        <v>0.78564222222222224</v>
      </c>
      <c r="L257" s="1323">
        <f t="shared" si="33"/>
        <v>54995</v>
      </c>
      <c r="M257" s="1323"/>
      <c r="N257" s="1323"/>
    </row>
    <row r="258" spans="1:14" s="1302" customFormat="1" ht="16.5" customHeight="1">
      <c r="A258" s="1328" t="s">
        <v>1137</v>
      </c>
      <c r="B258" s="1327">
        <v>44607</v>
      </c>
      <c r="C258" s="1326">
        <v>46</v>
      </c>
      <c r="D258" s="1323">
        <f t="shared" si="35"/>
        <v>465995</v>
      </c>
      <c r="E258" s="1325">
        <v>466286</v>
      </c>
      <c r="F258" s="1322">
        <f t="shared" si="28"/>
        <v>291</v>
      </c>
      <c r="G258" s="1322">
        <f t="shared" si="36"/>
        <v>5134</v>
      </c>
      <c r="H258" s="1322">
        <f t="shared" si="30"/>
        <v>111.60869565217391</v>
      </c>
      <c r="I258" s="1322">
        <f t="shared" si="31"/>
        <v>40737.173913043473</v>
      </c>
      <c r="J258" s="1324">
        <f ca="1">F257:F258/$M$3</f>
        <v>12.869013006885998</v>
      </c>
      <c r="K258" s="1338">
        <f t="shared" si="37"/>
        <v>0.81474347826086946</v>
      </c>
      <c r="L258" s="1323">
        <f t="shared" si="33"/>
        <v>55286</v>
      </c>
      <c r="M258" s="1322"/>
      <c r="N258" s="1322"/>
    </row>
    <row r="259" spans="1:14" s="1302" customFormat="1" ht="16.5" customHeight="1">
      <c r="A259" s="1328" t="s">
        <v>1131</v>
      </c>
      <c r="B259" s="1327">
        <v>44608</v>
      </c>
      <c r="C259" s="1326">
        <v>47</v>
      </c>
      <c r="D259" s="1323">
        <f t="shared" si="35"/>
        <v>466286</v>
      </c>
      <c r="E259" s="1335">
        <f>E258</f>
        <v>466286</v>
      </c>
      <c r="F259" s="1323">
        <f t="shared" si="28"/>
        <v>0</v>
      </c>
      <c r="G259" s="1323">
        <f t="shared" si="36"/>
        <v>5134</v>
      </c>
      <c r="H259" s="1323">
        <f t="shared" si="30"/>
        <v>109.23404255319149</v>
      </c>
      <c r="I259" s="1323">
        <f t="shared" si="31"/>
        <v>39870.425531914894</v>
      </c>
      <c r="J259" s="1323"/>
      <c r="K259" s="1338">
        <f t="shared" si="37"/>
        <v>0.79740851063829787</v>
      </c>
      <c r="L259" s="1323">
        <f t="shared" si="33"/>
        <v>55286</v>
      </c>
      <c r="M259" s="1323"/>
      <c r="N259" s="1323"/>
    </row>
    <row r="260" spans="1:14" s="1302" customFormat="1" ht="16.5" customHeight="1">
      <c r="A260" s="1328" t="s">
        <v>1136</v>
      </c>
      <c r="B260" s="1327">
        <v>44609</v>
      </c>
      <c r="C260" s="1326">
        <v>48</v>
      </c>
      <c r="D260" s="1323">
        <f t="shared" si="35"/>
        <v>466286</v>
      </c>
      <c r="E260" s="1325">
        <v>466470</v>
      </c>
      <c r="F260" s="1322">
        <f t="shared" si="28"/>
        <v>184</v>
      </c>
      <c r="G260" s="1322">
        <f t="shared" si="36"/>
        <v>5318</v>
      </c>
      <c r="H260" s="1322">
        <f t="shared" si="30"/>
        <v>110.79166666666667</v>
      </c>
      <c r="I260" s="1322">
        <f t="shared" si="31"/>
        <v>40438.958333333336</v>
      </c>
      <c r="J260" s="1324">
        <f ca="1">F259:F260/$M$3</f>
        <v>8.1371078806426933</v>
      </c>
      <c r="K260" s="1338">
        <f t="shared" si="37"/>
        <v>0.80877916666666672</v>
      </c>
      <c r="L260" s="1323">
        <f t="shared" si="33"/>
        <v>55470</v>
      </c>
      <c r="M260" s="1322"/>
      <c r="N260" s="1322"/>
    </row>
    <row r="261" spans="1:14" s="1302" customFormat="1" ht="16.5" customHeight="1">
      <c r="A261" s="1328" t="s">
        <v>1130</v>
      </c>
      <c r="B261" s="1327">
        <v>44610</v>
      </c>
      <c r="C261" s="1326">
        <v>49</v>
      </c>
      <c r="D261" s="1323">
        <f t="shared" si="35"/>
        <v>466470</v>
      </c>
      <c r="E261" s="1335">
        <f>E260</f>
        <v>466470</v>
      </c>
      <c r="F261" s="1323">
        <f t="shared" si="28"/>
        <v>0</v>
      </c>
      <c r="G261" s="1323">
        <f t="shared" si="36"/>
        <v>5318</v>
      </c>
      <c r="H261" s="1323">
        <f t="shared" si="30"/>
        <v>108.53061224489795</v>
      </c>
      <c r="I261" s="1323">
        <f t="shared" si="31"/>
        <v>39613.673469387752</v>
      </c>
      <c r="J261" s="1323"/>
      <c r="K261" s="1338">
        <f t="shared" si="37"/>
        <v>0.792273469387755</v>
      </c>
      <c r="L261" s="1323">
        <f t="shared" si="33"/>
        <v>55470</v>
      </c>
      <c r="M261" s="1323"/>
      <c r="N261" s="1323"/>
    </row>
    <row r="262" spans="1:14" s="1302" customFormat="1" ht="16.5" customHeight="1">
      <c r="A262" s="1328" t="s">
        <v>1128</v>
      </c>
      <c r="B262" s="1327">
        <v>44611</v>
      </c>
      <c r="C262" s="1326">
        <v>50</v>
      </c>
      <c r="D262" s="1323">
        <f t="shared" si="35"/>
        <v>466470</v>
      </c>
      <c r="E262" s="1335">
        <f>E261</f>
        <v>466470</v>
      </c>
      <c r="F262" s="1323">
        <f t="shared" si="28"/>
        <v>0</v>
      </c>
      <c r="G262" s="1323">
        <f t="shared" si="36"/>
        <v>5318</v>
      </c>
      <c r="H262" s="1323">
        <f t="shared" si="30"/>
        <v>106.36</v>
      </c>
      <c r="I262" s="1323">
        <f t="shared" si="31"/>
        <v>38821.4</v>
      </c>
      <c r="J262" s="1323"/>
      <c r="K262" s="1338">
        <f t="shared" si="37"/>
        <v>0.77642800000000001</v>
      </c>
      <c r="L262" s="1323">
        <f t="shared" si="33"/>
        <v>55470</v>
      </c>
      <c r="M262" s="1323"/>
      <c r="N262" s="1323"/>
    </row>
    <row r="263" spans="1:14" s="1302" customFormat="1" ht="16.5" customHeight="1">
      <c r="A263" s="1328" t="s">
        <v>1139</v>
      </c>
      <c r="B263" s="1327">
        <v>44612</v>
      </c>
      <c r="C263" s="1326">
        <v>51</v>
      </c>
      <c r="D263" s="1323">
        <f t="shared" si="35"/>
        <v>466470</v>
      </c>
      <c r="E263" s="1325">
        <v>466626</v>
      </c>
      <c r="F263" s="1322">
        <f t="shared" ref="F263:F326" si="38">E263-D263</f>
        <v>156</v>
      </c>
      <c r="G263" s="1322">
        <f t="shared" si="36"/>
        <v>5474</v>
      </c>
      <c r="H263" s="1322">
        <f t="shared" si="30"/>
        <v>107.33333333333333</v>
      </c>
      <c r="I263" s="1322">
        <f t="shared" si="31"/>
        <v>39176.666666666664</v>
      </c>
      <c r="J263" s="1324">
        <f t="shared" ref="J263:J275" ca="1" si="39">F262:F263/$M$3</f>
        <v>6.89885233358837</v>
      </c>
      <c r="K263" s="1338">
        <f t="shared" si="37"/>
        <v>0.7835333333333333</v>
      </c>
      <c r="L263" s="1323">
        <f t="shared" si="33"/>
        <v>55626</v>
      </c>
      <c r="M263" s="1322"/>
      <c r="N263" s="1322"/>
    </row>
    <row r="264" spans="1:14" s="1302" customFormat="1" ht="16.5" customHeight="1">
      <c r="A264" s="1328" t="s">
        <v>1138</v>
      </c>
      <c r="B264" s="1327">
        <v>44613</v>
      </c>
      <c r="C264" s="1326">
        <v>52</v>
      </c>
      <c r="D264" s="1323">
        <f t="shared" si="35"/>
        <v>466626</v>
      </c>
      <c r="E264" s="1325">
        <v>466719</v>
      </c>
      <c r="F264" s="1322">
        <f t="shared" si="38"/>
        <v>93</v>
      </c>
      <c r="G264" s="1322">
        <f t="shared" si="36"/>
        <v>5567</v>
      </c>
      <c r="H264" s="1322">
        <f t="shared" ref="H264:H327" si="40">G264/C264</f>
        <v>107.05769230769231</v>
      </c>
      <c r="I264" s="1322">
        <f t="shared" ref="I264:I327" si="41">G264/C264*365</f>
        <v>39076.057692307695</v>
      </c>
      <c r="J264" s="1324">
        <f t="shared" ca="1" si="39"/>
        <v>4.1127773527161438</v>
      </c>
      <c r="K264" s="1338">
        <f t="shared" si="37"/>
        <v>0.78152115384615395</v>
      </c>
      <c r="L264" s="1323">
        <f t="shared" ref="L264:L276" si="42">E264-411000</f>
        <v>55719</v>
      </c>
      <c r="M264" s="1322"/>
      <c r="N264" s="1322"/>
    </row>
    <row r="265" spans="1:14" s="1302" customFormat="1" ht="16.5" customHeight="1">
      <c r="A265" s="1328" t="s">
        <v>1137</v>
      </c>
      <c r="B265" s="1327">
        <v>44614</v>
      </c>
      <c r="C265" s="1326">
        <v>53</v>
      </c>
      <c r="D265" s="1323">
        <f t="shared" si="35"/>
        <v>466719</v>
      </c>
      <c r="E265" s="1325">
        <v>466839</v>
      </c>
      <c r="F265" s="1322">
        <f t="shared" si="38"/>
        <v>120</v>
      </c>
      <c r="G265" s="1322">
        <f t="shared" si="36"/>
        <v>5687</v>
      </c>
      <c r="H265" s="1322">
        <f t="shared" si="40"/>
        <v>107.30188679245283</v>
      </c>
      <c r="I265" s="1322">
        <f t="shared" si="41"/>
        <v>39165.188679245286</v>
      </c>
      <c r="J265" s="1324">
        <f t="shared" ca="1" si="39"/>
        <v>5.306809487375669</v>
      </c>
      <c r="K265" s="1338">
        <f t="shared" si="37"/>
        <v>0.78330377358490577</v>
      </c>
      <c r="L265" s="1323">
        <f t="shared" si="42"/>
        <v>55839</v>
      </c>
      <c r="M265" s="1322"/>
      <c r="N265" s="1322"/>
    </row>
    <row r="266" spans="1:14" s="1302" customFormat="1" ht="16.5" customHeight="1">
      <c r="A266" s="1328" t="s">
        <v>1131</v>
      </c>
      <c r="B266" s="1327">
        <v>44615</v>
      </c>
      <c r="C266" s="1326">
        <v>54</v>
      </c>
      <c r="D266" s="1323">
        <f t="shared" si="35"/>
        <v>466839</v>
      </c>
      <c r="E266" s="1325">
        <v>466907</v>
      </c>
      <c r="F266" s="1322">
        <f t="shared" si="38"/>
        <v>68</v>
      </c>
      <c r="G266" s="1322">
        <f t="shared" si="36"/>
        <v>5755</v>
      </c>
      <c r="H266" s="1322">
        <f t="shared" si="40"/>
        <v>106.57407407407408</v>
      </c>
      <c r="I266" s="1322">
        <f t="shared" si="41"/>
        <v>38899.537037037036</v>
      </c>
      <c r="J266" s="1324">
        <f t="shared" ca="1" si="39"/>
        <v>3.0071920428462127</v>
      </c>
      <c r="K266" s="1338">
        <f t="shared" si="37"/>
        <v>0.7779907407407407</v>
      </c>
      <c r="L266" s="1323">
        <f t="shared" si="42"/>
        <v>55907</v>
      </c>
      <c r="M266" s="1322"/>
      <c r="N266" s="1322"/>
    </row>
    <row r="267" spans="1:14" s="1302" customFormat="1" ht="16.5" customHeight="1">
      <c r="A267" s="1328" t="s">
        <v>1136</v>
      </c>
      <c r="B267" s="1327">
        <v>44616</v>
      </c>
      <c r="C267" s="1326">
        <v>55</v>
      </c>
      <c r="D267" s="1323">
        <f t="shared" si="35"/>
        <v>466907</v>
      </c>
      <c r="E267" s="1325">
        <v>466987</v>
      </c>
      <c r="F267" s="1322">
        <f t="shared" si="38"/>
        <v>80</v>
      </c>
      <c r="G267" s="1322">
        <f t="shared" si="36"/>
        <v>5835</v>
      </c>
      <c r="H267" s="1322">
        <f t="shared" si="40"/>
        <v>106.09090909090909</v>
      </c>
      <c r="I267" s="1322">
        <f t="shared" si="41"/>
        <v>38723.181818181816</v>
      </c>
      <c r="J267" s="1324">
        <f t="shared" ca="1" si="39"/>
        <v>3.5378729915837797</v>
      </c>
      <c r="K267" s="1338">
        <f t="shared" si="37"/>
        <v>0.77446363636363635</v>
      </c>
      <c r="L267" s="1323">
        <f t="shared" si="42"/>
        <v>55987</v>
      </c>
      <c r="M267" s="1322"/>
      <c r="N267" s="1322"/>
    </row>
    <row r="268" spans="1:14" s="1302" customFormat="1" ht="16.5" customHeight="1">
      <c r="A268" s="1328" t="s">
        <v>1130</v>
      </c>
      <c r="B268" s="1327">
        <v>44617</v>
      </c>
      <c r="C268" s="1326">
        <v>56</v>
      </c>
      <c r="D268" s="1323">
        <f t="shared" si="35"/>
        <v>466987</v>
      </c>
      <c r="E268" s="1325">
        <v>467072</v>
      </c>
      <c r="F268" s="1322">
        <f t="shared" si="38"/>
        <v>85</v>
      </c>
      <c r="G268" s="1322">
        <f t="shared" si="36"/>
        <v>5920</v>
      </c>
      <c r="H268" s="1322">
        <f t="shared" si="40"/>
        <v>105.71428571428571</v>
      </c>
      <c r="I268" s="1322">
        <f t="shared" si="41"/>
        <v>38585.714285714283</v>
      </c>
      <c r="J268" s="1324">
        <f t="shared" ca="1" si="39"/>
        <v>3.7589900535577656</v>
      </c>
      <c r="K268" s="1338">
        <f t="shared" si="37"/>
        <v>0.77171428571428569</v>
      </c>
      <c r="L268" s="1323">
        <f t="shared" si="42"/>
        <v>56072</v>
      </c>
      <c r="M268" s="1322"/>
      <c r="N268" s="1322"/>
    </row>
    <row r="269" spans="1:14" s="1302" customFormat="1" ht="16.5" customHeight="1">
      <c r="A269" s="1328" t="s">
        <v>1128</v>
      </c>
      <c r="B269" s="1327">
        <v>44618</v>
      </c>
      <c r="C269" s="1326">
        <v>57</v>
      </c>
      <c r="D269" s="1323">
        <f t="shared" si="35"/>
        <v>467072</v>
      </c>
      <c r="E269" s="1325">
        <v>467149</v>
      </c>
      <c r="F269" s="1322">
        <f t="shared" si="38"/>
        <v>77</v>
      </c>
      <c r="G269" s="1322">
        <f t="shared" si="36"/>
        <v>5997</v>
      </c>
      <c r="H269" s="1322">
        <f t="shared" si="40"/>
        <v>105.21052631578948</v>
      </c>
      <c r="I269" s="1322">
        <f t="shared" si="41"/>
        <v>38401.84210526316</v>
      </c>
      <c r="J269" s="1324">
        <f t="shared" ca="1" si="39"/>
        <v>3.4052027543993879</v>
      </c>
      <c r="K269" s="1338">
        <f t="shared" si="37"/>
        <v>0.76803684210526324</v>
      </c>
      <c r="L269" s="1323">
        <f t="shared" si="42"/>
        <v>56149</v>
      </c>
      <c r="M269" s="1322"/>
      <c r="N269" s="1322"/>
    </row>
    <row r="270" spans="1:14" s="1302" customFormat="1" ht="16.5" customHeight="1">
      <c r="A270" s="1328" t="s">
        <v>1139</v>
      </c>
      <c r="B270" s="1327">
        <v>44619</v>
      </c>
      <c r="C270" s="1326">
        <v>58</v>
      </c>
      <c r="D270" s="1323">
        <f t="shared" si="35"/>
        <v>467149</v>
      </c>
      <c r="E270" s="1325">
        <v>467375</v>
      </c>
      <c r="F270" s="1322">
        <f t="shared" si="38"/>
        <v>226</v>
      </c>
      <c r="G270" s="1322">
        <f t="shared" si="36"/>
        <v>6223</v>
      </c>
      <c r="H270" s="1322">
        <f t="shared" si="40"/>
        <v>107.29310344827586</v>
      </c>
      <c r="I270" s="1322">
        <f t="shared" si="41"/>
        <v>39161.982758620688</v>
      </c>
      <c r="J270" s="1324">
        <f t="shared" ca="1" si="39"/>
        <v>9.9944912012241769</v>
      </c>
      <c r="K270" s="1338">
        <f t="shared" si="37"/>
        <v>0.78323965517241378</v>
      </c>
      <c r="L270" s="1323">
        <f t="shared" si="42"/>
        <v>56375</v>
      </c>
      <c r="M270" s="1322"/>
      <c r="N270" s="1322"/>
    </row>
    <row r="271" spans="1:14" s="1302" customFormat="1" ht="16.5" customHeight="1">
      <c r="A271" s="1328" t="s">
        <v>1138</v>
      </c>
      <c r="B271" s="1327">
        <v>44620</v>
      </c>
      <c r="C271" s="1326">
        <v>59</v>
      </c>
      <c r="D271" s="1323">
        <f t="shared" si="35"/>
        <v>467375</v>
      </c>
      <c r="E271" s="1325">
        <v>467443</v>
      </c>
      <c r="F271" s="1322">
        <f t="shared" si="38"/>
        <v>68</v>
      </c>
      <c r="G271" s="1322">
        <f t="shared" si="36"/>
        <v>6291</v>
      </c>
      <c r="H271" s="1322">
        <f t="shared" si="40"/>
        <v>106.62711864406779</v>
      </c>
      <c r="I271" s="1322">
        <f t="shared" si="41"/>
        <v>38918.898305084746</v>
      </c>
      <c r="J271" s="1324">
        <f t="shared" ca="1" si="39"/>
        <v>3.0071920428462127</v>
      </c>
      <c r="K271" s="1338">
        <f t="shared" si="37"/>
        <v>0.77837796610169496</v>
      </c>
      <c r="L271" s="1323">
        <f t="shared" si="42"/>
        <v>56443</v>
      </c>
      <c r="M271" s="1322"/>
      <c r="N271" s="1322"/>
    </row>
    <row r="272" spans="1:14" s="1302" customFormat="1" ht="16.5" customHeight="1">
      <c r="A272" s="1328" t="s">
        <v>1137</v>
      </c>
      <c r="B272" s="1327">
        <v>44621</v>
      </c>
      <c r="C272" s="1326">
        <v>60</v>
      </c>
      <c r="D272" s="1323">
        <f t="shared" ref="D272:D335" si="43">E271</f>
        <v>467443</v>
      </c>
      <c r="E272" s="1325">
        <v>467491</v>
      </c>
      <c r="F272" s="1322">
        <f t="shared" si="38"/>
        <v>48</v>
      </c>
      <c r="G272" s="1322">
        <f t="shared" si="36"/>
        <v>6339</v>
      </c>
      <c r="H272" s="1322">
        <f t="shared" si="40"/>
        <v>105.65</v>
      </c>
      <c r="I272" s="1322">
        <f t="shared" si="41"/>
        <v>38562.25</v>
      </c>
      <c r="J272" s="1324">
        <f t="shared" ca="1" si="39"/>
        <v>2.1227237949502675</v>
      </c>
      <c r="K272" s="1338">
        <f t="shared" si="37"/>
        <v>0.77124499999999996</v>
      </c>
      <c r="L272" s="1323">
        <f t="shared" si="42"/>
        <v>56491</v>
      </c>
      <c r="M272" s="1322"/>
      <c r="N272" s="1322"/>
    </row>
    <row r="273" spans="1:14" s="1302" customFormat="1" ht="16.5" customHeight="1">
      <c r="A273" s="1328" t="s">
        <v>1131</v>
      </c>
      <c r="B273" s="1327">
        <v>44622</v>
      </c>
      <c r="C273" s="1326">
        <v>61</v>
      </c>
      <c r="D273" s="1323">
        <f t="shared" si="43"/>
        <v>467491</v>
      </c>
      <c r="E273" s="1325">
        <v>467802</v>
      </c>
      <c r="F273" s="1322">
        <f t="shared" si="38"/>
        <v>311</v>
      </c>
      <c r="G273" s="1322">
        <f t="shared" si="36"/>
        <v>6650</v>
      </c>
      <c r="H273" s="1322">
        <f t="shared" si="40"/>
        <v>109.01639344262296</v>
      </c>
      <c r="I273" s="1322">
        <f t="shared" si="41"/>
        <v>39790.983606557376</v>
      </c>
      <c r="J273" s="1324">
        <f t="shared" ca="1" si="39"/>
        <v>13.753481254781942</v>
      </c>
      <c r="K273" s="1338">
        <f t="shared" si="37"/>
        <v>0.79581967213114757</v>
      </c>
      <c r="L273" s="1323">
        <f t="shared" si="42"/>
        <v>56802</v>
      </c>
      <c r="M273" s="1322"/>
      <c r="N273" s="1322"/>
    </row>
    <row r="274" spans="1:14" s="1302" customFormat="1" ht="16.5" customHeight="1">
      <c r="A274" s="1328" t="s">
        <v>1136</v>
      </c>
      <c r="B274" s="1327">
        <v>44623</v>
      </c>
      <c r="C274" s="1326">
        <v>62</v>
      </c>
      <c r="D274" s="1323">
        <f t="shared" si="43"/>
        <v>467802</v>
      </c>
      <c r="E274" s="1325">
        <v>467837</v>
      </c>
      <c r="F274" s="1322">
        <f t="shared" si="38"/>
        <v>35</v>
      </c>
      <c r="G274" s="1322">
        <f t="shared" si="36"/>
        <v>6685</v>
      </c>
      <c r="H274" s="1322">
        <f t="shared" si="40"/>
        <v>107.8225806451613</v>
      </c>
      <c r="I274" s="1322">
        <f t="shared" si="41"/>
        <v>39355.241935483871</v>
      </c>
      <c r="J274" s="1324">
        <f t="shared" ca="1" si="39"/>
        <v>1.5478194338179034</v>
      </c>
      <c r="K274" s="1338">
        <f t="shared" si="37"/>
        <v>0.7871048387096774</v>
      </c>
      <c r="L274" s="1323">
        <f t="shared" si="42"/>
        <v>56837</v>
      </c>
      <c r="M274" s="1322"/>
      <c r="N274" s="1322"/>
    </row>
    <row r="275" spans="1:14" s="1302" customFormat="1" ht="16.5" customHeight="1">
      <c r="A275" s="1328" t="s">
        <v>1130</v>
      </c>
      <c r="B275" s="1327">
        <v>44624</v>
      </c>
      <c r="C275" s="1326">
        <v>63</v>
      </c>
      <c r="D275" s="1323">
        <f t="shared" si="43"/>
        <v>467837</v>
      </c>
      <c r="E275" s="1325">
        <v>468023</v>
      </c>
      <c r="F275" s="1322">
        <f t="shared" si="38"/>
        <v>186</v>
      </c>
      <c r="G275" s="1322">
        <f t="shared" si="36"/>
        <v>6871</v>
      </c>
      <c r="H275" s="1322">
        <f t="shared" si="40"/>
        <v>109.06349206349206</v>
      </c>
      <c r="I275" s="1322">
        <f t="shared" si="41"/>
        <v>39808.174603174601</v>
      </c>
      <c r="J275" s="1324">
        <f t="shared" ca="1" si="39"/>
        <v>8.2255547054322875</v>
      </c>
      <c r="K275" s="1338">
        <f t="shared" si="37"/>
        <v>0.79616349206349202</v>
      </c>
      <c r="L275" s="1323">
        <f t="shared" si="42"/>
        <v>57023</v>
      </c>
      <c r="M275" s="1322"/>
      <c r="N275" s="1322"/>
    </row>
    <row r="276" spans="1:14" s="1302" customFormat="1" ht="16.5" customHeight="1">
      <c r="A276" s="1328" t="s">
        <v>1128</v>
      </c>
      <c r="B276" s="1327">
        <v>44625</v>
      </c>
      <c r="C276" s="1326">
        <v>64</v>
      </c>
      <c r="D276" s="1323">
        <f t="shared" si="43"/>
        <v>468023</v>
      </c>
      <c r="E276" s="1335">
        <f>E275</f>
        <v>468023</v>
      </c>
      <c r="F276" s="1323">
        <f t="shared" si="38"/>
        <v>0</v>
      </c>
      <c r="G276" s="1323">
        <f t="shared" si="36"/>
        <v>6871</v>
      </c>
      <c r="H276" s="1323">
        <f t="shared" si="40"/>
        <v>107.359375</v>
      </c>
      <c r="I276" s="1323">
        <f t="shared" si="41"/>
        <v>39186.171875</v>
      </c>
      <c r="J276" s="1323"/>
      <c r="K276" s="1338">
        <f t="shared" si="37"/>
        <v>0.78372343749999995</v>
      </c>
      <c r="L276" s="1323">
        <f t="shared" si="42"/>
        <v>57023</v>
      </c>
      <c r="M276" s="1323"/>
      <c r="N276" s="1323"/>
    </row>
    <row r="277" spans="1:14" s="1302" customFormat="1" ht="16.5" customHeight="1">
      <c r="A277" s="1328" t="s">
        <v>1139</v>
      </c>
      <c r="B277" s="1327">
        <v>44626</v>
      </c>
      <c r="C277" s="1326">
        <v>65</v>
      </c>
      <c r="D277" s="1323">
        <f t="shared" si="43"/>
        <v>468023</v>
      </c>
      <c r="E277" s="1325">
        <v>468247</v>
      </c>
      <c r="F277" s="1322">
        <f t="shared" si="38"/>
        <v>224</v>
      </c>
      <c r="G277" s="1322">
        <f t="shared" ref="G277:G340" si="44">E277-$E$212</f>
        <v>7095</v>
      </c>
      <c r="H277" s="1322">
        <f t="shared" si="40"/>
        <v>109.15384615384616</v>
      </c>
      <c r="I277" s="1322">
        <f t="shared" si="41"/>
        <v>39841.153846153851</v>
      </c>
      <c r="J277" s="1324">
        <f t="shared" ref="J277:J284" ca="1" si="45">F276:F277/$M$3</f>
        <v>9.9060443764345827</v>
      </c>
      <c r="K277" s="1338">
        <f t="shared" ref="K277:K340" si="46">I277/50000</f>
        <v>0.79682307692307708</v>
      </c>
      <c r="L277" s="1323">
        <f t="shared" ref="L277:L340" si="47">E277-461000</f>
        <v>7247</v>
      </c>
      <c r="M277" s="1322"/>
      <c r="N277" s="1322"/>
    </row>
    <row r="278" spans="1:14" s="1302" customFormat="1" ht="16.5" customHeight="1">
      <c r="A278" s="1328" t="s">
        <v>1138</v>
      </c>
      <c r="B278" s="1327">
        <v>44627</v>
      </c>
      <c r="C278" s="1326">
        <v>66</v>
      </c>
      <c r="D278" s="1323">
        <f t="shared" si="43"/>
        <v>468247</v>
      </c>
      <c r="E278" s="1325">
        <v>468310</v>
      </c>
      <c r="F278" s="1322">
        <f t="shared" si="38"/>
        <v>63</v>
      </c>
      <c r="G278" s="1322">
        <f t="shared" si="44"/>
        <v>7158</v>
      </c>
      <c r="H278" s="1322">
        <f t="shared" si="40"/>
        <v>108.45454545454545</v>
      </c>
      <c r="I278" s="1322">
        <f t="shared" si="41"/>
        <v>39585.909090909088</v>
      </c>
      <c r="J278" s="1324">
        <f t="shared" ca="1" si="45"/>
        <v>2.7860749808722263</v>
      </c>
      <c r="K278" s="1338">
        <f t="shared" si="46"/>
        <v>0.79171818181818177</v>
      </c>
      <c r="L278" s="1323">
        <f t="shared" si="47"/>
        <v>7310</v>
      </c>
      <c r="M278" s="1322"/>
      <c r="N278" s="1322"/>
    </row>
    <row r="279" spans="1:14" s="1302" customFormat="1" ht="16.5" customHeight="1">
      <c r="A279" s="1328" t="s">
        <v>1137</v>
      </c>
      <c r="B279" s="1327">
        <v>44628</v>
      </c>
      <c r="C279" s="1326">
        <v>67</v>
      </c>
      <c r="D279" s="1323">
        <f t="shared" si="43"/>
        <v>468310</v>
      </c>
      <c r="E279" s="1325">
        <v>468362</v>
      </c>
      <c r="F279" s="1322">
        <f t="shared" si="38"/>
        <v>52</v>
      </c>
      <c r="G279" s="1322">
        <f t="shared" si="44"/>
        <v>7210</v>
      </c>
      <c r="H279" s="1322">
        <f t="shared" si="40"/>
        <v>107.61194029850746</v>
      </c>
      <c r="I279" s="1322">
        <f t="shared" si="41"/>
        <v>39278.358208955222</v>
      </c>
      <c r="J279" s="1324">
        <f t="shared" ca="1" si="45"/>
        <v>2.2996174445294568</v>
      </c>
      <c r="K279" s="1338">
        <f t="shared" si="46"/>
        <v>0.78556716417910444</v>
      </c>
      <c r="L279" s="1323">
        <f t="shared" si="47"/>
        <v>7362</v>
      </c>
      <c r="M279" s="1322"/>
      <c r="N279" s="1322"/>
    </row>
    <row r="280" spans="1:14" s="1302" customFormat="1" ht="16.5" customHeight="1">
      <c r="A280" s="1328" t="s">
        <v>1131</v>
      </c>
      <c r="B280" s="1327">
        <v>44629</v>
      </c>
      <c r="C280" s="1326">
        <v>68</v>
      </c>
      <c r="D280" s="1323">
        <f t="shared" si="43"/>
        <v>468362</v>
      </c>
      <c r="E280" s="1325">
        <v>468506</v>
      </c>
      <c r="F280" s="1322">
        <f t="shared" si="38"/>
        <v>144</v>
      </c>
      <c r="G280" s="1322">
        <f t="shared" si="44"/>
        <v>7354</v>
      </c>
      <c r="H280" s="1322">
        <f t="shared" si="40"/>
        <v>108.14705882352941</v>
      </c>
      <c r="I280" s="1322">
        <f t="shared" si="41"/>
        <v>39473.676470588231</v>
      </c>
      <c r="J280" s="1324">
        <f t="shared" ca="1" si="45"/>
        <v>6.368171384850803</v>
      </c>
      <c r="K280" s="1338">
        <f t="shared" si="46"/>
        <v>0.78947352941176463</v>
      </c>
      <c r="L280" s="1323">
        <f t="shared" si="47"/>
        <v>7506</v>
      </c>
      <c r="M280" s="1322"/>
      <c r="N280" s="1322"/>
    </row>
    <row r="281" spans="1:14" s="1302" customFormat="1" ht="16.5" customHeight="1">
      <c r="A281" s="1328" t="s">
        <v>1136</v>
      </c>
      <c r="B281" s="1327">
        <v>44630</v>
      </c>
      <c r="C281" s="1326">
        <v>69</v>
      </c>
      <c r="D281" s="1323">
        <f t="shared" si="43"/>
        <v>468506</v>
      </c>
      <c r="E281" s="1325">
        <v>468576</v>
      </c>
      <c r="F281" s="1322">
        <f t="shared" si="38"/>
        <v>70</v>
      </c>
      <c r="G281" s="1322">
        <f t="shared" si="44"/>
        <v>7424</v>
      </c>
      <c r="H281" s="1322">
        <f t="shared" si="40"/>
        <v>107.59420289855072</v>
      </c>
      <c r="I281" s="1322">
        <f t="shared" si="41"/>
        <v>39271.884057971016</v>
      </c>
      <c r="J281" s="1324">
        <f t="shared" ca="1" si="45"/>
        <v>3.0956388676358069</v>
      </c>
      <c r="K281" s="1338">
        <f t="shared" si="46"/>
        <v>0.78543768115942036</v>
      </c>
      <c r="L281" s="1323">
        <f t="shared" si="47"/>
        <v>7576</v>
      </c>
      <c r="M281" s="1322"/>
      <c r="N281" s="1322"/>
    </row>
    <row r="282" spans="1:14" s="1302" customFormat="1" ht="16.5" customHeight="1">
      <c r="A282" s="1328" t="s">
        <v>1130</v>
      </c>
      <c r="B282" s="1327">
        <v>44631</v>
      </c>
      <c r="C282" s="1326">
        <v>70</v>
      </c>
      <c r="D282" s="1323">
        <f t="shared" si="43"/>
        <v>468576</v>
      </c>
      <c r="E282" s="1325">
        <v>468800</v>
      </c>
      <c r="F282" s="1322">
        <f t="shared" si="38"/>
        <v>224</v>
      </c>
      <c r="G282" s="1322">
        <f t="shared" si="44"/>
        <v>7648</v>
      </c>
      <c r="H282" s="1322">
        <f t="shared" si="40"/>
        <v>109.25714285714285</v>
      </c>
      <c r="I282" s="1322">
        <f t="shared" si="41"/>
        <v>39878.857142857138</v>
      </c>
      <c r="J282" s="1324">
        <f t="shared" ca="1" si="45"/>
        <v>9.9060443764345827</v>
      </c>
      <c r="K282" s="1338">
        <f t="shared" si="46"/>
        <v>0.79757714285714276</v>
      </c>
      <c r="L282" s="1323">
        <f t="shared" si="47"/>
        <v>7800</v>
      </c>
      <c r="M282" s="1322"/>
      <c r="N282" s="1322"/>
    </row>
    <row r="283" spans="1:14" s="1302" customFormat="1" ht="16.5" customHeight="1">
      <c r="A283" s="1328" t="s">
        <v>1128</v>
      </c>
      <c r="B283" s="1327">
        <v>44632</v>
      </c>
      <c r="C283" s="1326">
        <v>71</v>
      </c>
      <c r="D283" s="1323">
        <f t="shared" si="43"/>
        <v>468800</v>
      </c>
      <c r="E283" s="1325">
        <v>468872</v>
      </c>
      <c r="F283" s="1322">
        <f t="shared" si="38"/>
        <v>72</v>
      </c>
      <c r="G283" s="1322">
        <f t="shared" si="44"/>
        <v>7720</v>
      </c>
      <c r="H283" s="1322">
        <f t="shared" si="40"/>
        <v>108.73239436619718</v>
      </c>
      <c r="I283" s="1322">
        <f t="shared" si="41"/>
        <v>39687.32394366197</v>
      </c>
      <c r="J283" s="1324">
        <f t="shared" ca="1" si="45"/>
        <v>3.1840856924254015</v>
      </c>
      <c r="K283" s="1338">
        <f t="shared" si="46"/>
        <v>0.79374647887323935</v>
      </c>
      <c r="L283" s="1323">
        <f t="shared" si="47"/>
        <v>7872</v>
      </c>
      <c r="M283" s="1322"/>
      <c r="N283" s="1322"/>
    </row>
    <row r="284" spans="1:14" s="1302" customFormat="1" ht="16.5" customHeight="1">
      <c r="A284" s="1328" t="s">
        <v>1139</v>
      </c>
      <c r="B284" s="1327">
        <v>44633</v>
      </c>
      <c r="C284" s="1326">
        <v>72</v>
      </c>
      <c r="D284" s="1323">
        <f t="shared" si="43"/>
        <v>468872</v>
      </c>
      <c r="E284" s="1325">
        <v>468921</v>
      </c>
      <c r="F284" s="1322">
        <f t="shared" si="38"/>
        <v>49</v>
      </c>
      <c r="G284" s="1322">
        <f t="shared" si="44"/>
        <v>7769</v>
      </c>
      <c r="H284" s="1322">
        <f t="shared" si="40"/>
        <v>107.90277777777777</v>
      </c>
      <c r="I284" s="1322">
        <f t="shared" si="41"/>
        <v>39384.513888888883</v>
      </c>
      <c r="J284" s="1324">
        <f t="shared" ca="1" si="45"/>
        <v>2.1669472073450651</v>
      </c>
      <c r="K284" s="1338">
        <f t="shared" si="46"/>
        <v>0.78769027777777767</v>
      </c>
      <c r="L284" s="1323">
        <f t="shared" si="47"/>
        <v>7921</v>
      </c>
      <c r="M284" s="1322"/>
      <c r="N284" s="1322"/>
    </row>
    <row r="285" spans="1:14" s="1302" customFormat="1" ht="16.5" customHeight="1">
      <c r="A285" s="1328" t="s">
        <v>1138</v>
      </c>
      <c r="B285" s="1327">
        <v>44634</v>
      </c>
      <c r="C285" s="1326">
        <v>73</v>
      </c>
      <c r="D285" s="1323">
        <f t="shared" si="43"/>
        <v>468921</v>
      </c>
      <c r="E285" s="1335">
        <f>E284</f>
        <v>468921</v>
      </c>
      <c r="F285" s="1323">
        <f t="shared" si="38"/>
        <v>0</v>
      </c>
      <c r="G285" s="1323">
        <f t="shared" si="44"/>
        <v>7769</v>
      </c>
      <c r="H285" s="1323">
        <f t="shared" si="40"/>
        <v>106.42465753424658</v>
      </c>
      <c r="I285" s="1323">
        <f t="shared" si="41"/>
        <v>38845</v>
      </c>
      <c r="J285" s="1323"/>
      <c r="K285" s="1338">
        <f t="shared" si="46"/>
        <v>0.77690000000000003</v>
      </c>
      <c r="L285" s="1323">
        <f t="shared" si="47"/>
        <v>7921</v>
      </c>
      <c r="M285" s="1323"/>
      <c r="N285" s="1323"/>
    </row>
    <row r="286" spans="1:14" s="1302" customFormat="1" ht="16.5" customHeight="1">
      <c r="A286" s="1328" t="s">
        <v>1137</v>
      </c>
      <c r="B286" s="1327">
        <v>44635</v>
      </c>
      <c r="C286" s="1326">
        <v>74</v>
      </c>
      <c r="D286" s="1323">
        <f t="shared" si="43"/>
        <v>468921</v>
      </c>
      <c r="E286" s="1325">
        <v>469087</v>
      </c>
      <c r="F286" s="1322">
        <f t="shared" si="38"/>
        <v>166</v>
      </c>
      <c r="G286" s="1322">
        <f t="shared" si="44"/>
        <v>7935</v>
      </c>
      <c r="H286" s="1322">
        <f t="shared" si="40"/>
        <v>107.22972972972973</v>
      </c>
      <c r="I286" s="1322">
        <f t="shared" si="41"/>
        <v>39138.851351351354</v>
      </c>
      <c r="J286" s="1324">
        <f t="shared" ref="J286:J293" ca="1" si="48">F285:F286/$M$3</f>
        <v>7.3410864575363428</v>
      </c>
      <c r="K286" s="1338">
        <f t="shared" si="46"/>
        <v>0.78277702702702712</v>
      </c>
      <c r="L286" s="1323">
        <f t="shared" si="47"/>
        <v>8087</v>
      </c>
      <c r="M286" s="1322"/>
      <c r="N286" s="1322"/>
    </row>
    <row r="287" spans="1:14" s="1302" customFormat="1" ht="16.5" customHeight="1">
      <c r="A287" s="1328" t="s">
        <v>1131</v>
      </c>
      <c r="B287" s="1327">
        <v>44636</v>
      </c>
      <c r="C287" s="1326">
        <v>75</v>
      </c>
      <c r="D287" s="1323">
        <f t="shared" si="43"/>
        <v>469087</v>
      </c>
      <c r="E287" s="1325">
        <v>469164</v>
      </c>
      <c r="F287" s="1322">
        <f t="shared" si="38"/>
        <v>77</v>
      </c>
      <c r="G287" s="1322">
        <f t="shared" si="44"/>
        <v>8012</v>
      </c>
      <c r="H287" s="1322">
        <f t="shared" si="40"/>
        <v>106.82666666666667</v>
      </c>
      <c r="I287" s="1322">
        <f t="shared" si="41"/>
        <v>38991.733333333337</v>
      </c>
      <c r="J287" s="1324">
        <f t="shared" ca="1" si="48"/>
        <v>3.4052027543993879</v>
      </c>
      <c r="K287" s="1338">
        <f t="shared" si="46"/>
        <v>0.77983466666666679</v>
      </c>
      <c r="L287" s="1323">
        <f t="shared" si="47"/>
        <v>8164</v>
      </c>
      <c r="M287" s="1322"/>
      <c r="N287" s="1322"/>
    </row>
    <row r="288" spans="1:14" s="1302" customFormat="1" ht="16.5" customHeight="1">
      <c r="A288" s="1328" t="s">
        <v>1136</v>
      </c>
      <c r="B288" s="1327">
        <v>44637</v>
      </c>
      <c r="C288" s="1326">
        <v>76</v>
      </c>
      <c r="D288" s="1323">
        <f t="shared" si="43"/>
        <v>469164</v>
      </c>
      <c r="E288" s="1325">
        <v>469341</v>
      </c>
      <c r="F288" s="1322">
        <f t="shared" si="38"/>
        <v>177</v>
      </c>
      <c r="G288" s="1322">
        <f t="shared" si="44"/>
        <v>8189</v>
      </c>
      <c r="H288" s="1322">
        <f t="shared" si="40"/>
        <v>107.75</v>
      </c>
      <c r="I288" s="1322">
        <f t="shared" si="41"/>
        <v>39328.75</v>
      </c>
      <c r="J288" s="1324">
        <f t="shared" ca="1" si="48"/>
        <v>7.8275439938791118</v>
      </c>
      <c r="K288" s="1338">
        <f t="shared" si="46"/>
        <v>0.78657500000000002</v>
      </c>
      <c r="L288" s="1323">
        <f t="shared" si="47"/>
        <v>8341</v>
      </c>
      <c r="M288" s="1322"/>
      <c r="N288" s="1322"/>
    </row>
    <row r="289" spans="1:20" s="1302" customFormat="1" ht="16.5" customHeight="1">
      <c r="A289" s="1328" t="s">
        <v>1130</v>
      </c>
      <c r="B289" s="1327">
        <v>44638</v>
      </c>
      <c r="C289" s="1326">
        <v>77</v>
      </c>
      <c r="D289" s="1323">
        <f t="shared" si="43"/>
        <v>469341</v>
      </c>
      <c r="E289" s="1325">
        <v>469406</v>
      </c>
      <c r="F289" s="1322">
        <f t="shared" si="38"/>
        <v>65</v>
      </c>
      <c r="G289" s="1322">
        <f t="shared" si="44"/>
        <v>8254</v>
      </c>
      <c r="H289" s="1322">
        <f t="shared" si="40"/>
        <v>107.1948051948052</v>
      </c>
      <c r="I289" s="1322">
        <f t="shared" si="41"/>
        <v>39126.103896103894</v>
      </c>
      <c r="J289" s="1324">
        <f t="shared" ca="1" si="48"/>
        <v>2.8745218056618209</v>
      </c>
      <c r="K289" s="1338">
        <f t="shared" si="46"/>
        <v>0.78252207792207784</v>
      </c>
      <c r="L289" s="1323">
        <f t="shared" si="47"/>
        <v>8406</v>
      </c>
      <c r="M289" s="1322"/>
      <c r="N289" s="1322"/>
      <c r="O289" s="1305"/>
      <c r="P289" s="1305"/>
      <c r="Q289" s="1304"/>
      <c r="R289" s="1303"/>
      <c r="S289" s="1303"/>
      <c r="T289" s="1303"/>
    </row>
    <row r="290" spans="1:20" s="1302" customFormat="1" ht="16.5" customHeight="1">
      <c r="A290" s="1328" t="s">
        <v>1128</v>
      </c>
      <c r="B290" s="1327">
        <v>44639</v>
      </c>
      <c r="C290" s="1326">
        <v>78</v>
      </c>
      <c r="D290" s="1323">
        <f t="shared" si="43"/>
        <v>469406</v>
      </c>
      <c r="E290" s="1325">
        <v>469483</v>
      </c>
      <c r="F290" s="1322">
        <f t="shared" si="38"/>
        <v>77</v>
      </c>
      <c r="G290" s="1322">
        <f t="shared" si="44"/>
        <v>8331</v>
      </c>
      <c r="H290" s="1322">
        <f t="shared" si="40"/>
        <v>106.80769230769231</v>
      </c>
      <c r="I290" s="1322">
        <f t="shared" si="41"/>
        <v>38984.807692307695</v>
      </c>
      <c r="J290" s="1324">
        <f t="shared" ca="1" si="48"/>
        <v>3.4052027543993879</v>
      </c>
      <c r="K290" s="1338">
        <f t="shared" si="46"/>
        <v>0.77969615384615387</v>
      </c>
      <c r="L290" s="1323">
        <f t="shared" si="47"/>
        <v>8483</v>
      </c>
      <c r="M290" s="1322"/>
      <c r="N290" s="1322"/>
      <c r="O290" s="1305"/>
      <c r="P290" s="1305"/>
      <c r="Q290" s="1304"/>
      <c r="R290" s="1303"/>
      <c r="S290" s="1303"/>
      <c r="T290" s="1303"/>
    </row>
    <row r="291" spans="1:20" s="1302" customFormat="1" ht="16.5" customHeight="1">
      <c r="A291" s="1328" t="s">
        <v>1139</v>
      </c>
      <c r="B291" s="1327">
        <v>44640</v>
      </c>
      <c r="C291" s="1326">
        <v>79</v>
      </c>
      <c r="D291" s="1323">
        <f t="shared" si="43"/>
        <v>469483</v>
      </c>
      <c r="E291" s="1325">
        <v>469692</v>
      </c>
      <c r="F291" s="1322">
        <f t="shared" si="38"/>
        <v>209</v>
      </c>
      <c r="G291" s="1322">
        <f t="shared" si="44"/>
        <v>8540</v>
      </c>
      <c r="H291" s="1322">
        <f t="shared" si="40"/>
        <v>108.10126582278481</v>
      </c>
      <c r="I291" s="1322">
        <f t="shared" si="41"/>
        <v>39456.962025316454</v>
      </c>
      <c r="J291" s="1324">
        <f t="shared" ca="1" si="48"/>
        <v>9.2426931905126235</v>
      </c>
      <c r="K291" s="1338">
        <f t="shared" si="46"/>
        <v>0.78913924050632911</v>
      </c>
      <c r="L291" s="1323">
        <f t="shared" si="47"/>
        <v>8692</v>
      </c>
      <c r="M291" s="1322"/>
      <c r="N291" s="1322"/>
    </row>
    <row r="292" spans="1:20" s="1302" customFormat="1" ht="16.5" customHeight="1">
      <c r="A292" s="1328" t="s">
        <v>1138</v>
      </c>
      <c r="B292" s="1327">
        <v>44641</v>
      </c>
      <c r="C292" s="1326">
        <v>80</v>
      </c>
      <c r="D292" s="1323">
        <f t="shared" si="43"/>
        <v>469692</v>
      </c>
      <c r="E292" s="1325">
        <v>469926</v>
      </c>
      <c r="F292" s="1322">
        <f t="shared" si="38"/>
        <v>234</v>
      </c>
      <c r="G292" s="1322">
        <f t="shared" si="44"/>
        <v>8774</v>
      </c>
      <c r="H292" s="1322">
        <f t="shared" si="40"/>
        <v>109.675</v>
      </c>
      <c r="I292" s="1322">
        <f t="shared" si="41"/>
        <v>40031.375</v>
      </c>
      <c r="J292" s="1324">
        <f t="shared" ca="1" si="48"/>
        <v>10.348278500382555</v>
      </c>
      <c r="K292" s="1338">
        <f t="shared" si="46"/>
        <v>0.80062750000000005</v>
      </c>
      <c r="L292" s="1323">
        <f t="shared" si="47"/>
        <v>8926</v>
      </c>
      <c r="M292" s="1322"/>
      <c r="N292" s="1322"/>
      <c r="O292" s="1305"/>
      <c r="P292" s="1305"/>
      <c r="Q292" s="1304"/>
      <c r="R292" s="1303"/>
      <c r="S292" s="1303"/>
      <c r="T292" s="1303"/>
    </row>
    <row r="293" spans="1:20" s="1302" customFormat="1" ht="16.5" customHeight="1">
      <c r="A293" s="1328" t="s">
        <v>1137</v>
      </c>
      <c r="B293" s="1327">
        <v>44642</v>
      </c>
      <c r="C293" s="1326">
        <v>81</v>
      </c>
      <c r="D293" s="1323">
        <f t="shared" si="43"/>
        <v>469926</v>
      </c>
      <c r="E293" s="1325">
        <v>470053</v>
      </c>
      <c r="F293" s="1322">
        <f t="shared" si="38"/>
        <v>127</v>
      </c>
      <c r="G293" s="1322">
        <f t="shared" si="44"/>
        <v>8901</v>
      </c>
      <c r="H293" s="1322">
        <f t="shared" si="40"/>
        <v>109.88888888888889</v>
      </c>
      <c r="I293" s="1322">
        <f t="shared" si="41"/>
        <v>40109.444444444445</v>
      </c>
      <c r="J293" s="1324">
        <f t="shared" ca="1" si="48"/>
        <v>5.6163733741392496</v>
      </c>
      <c r="K293" s="1338">
        <f t="shared" si="46"/>
        <v>0.80218888888888895</v>
      </c>
      <c r="L293" s="1323">
        <f t="shared" si="47"/>
        <v>9053</v>
      </c>
      <c r="M293" s="1322"/>
      <c r="N293" s="1322"/>
      <c r="O293" s="1305"/>
      <c r="P293" s="1305"/>
      <c r="Q293" s="1304"/>
      <c r="R293" s="1303"/>
      <c r="S293" s="1303"/>
      <c r="T293" s="1303"/>
    </row>
    <row r="294" spans="1:20" s="1302" customFormat="1" ht="16.5" customHeight="1">
      <c r="A294" s="1328" t="s">
        <v>1131</v>
      </c>
      <c r="B294" s="1327">
        <v>44643</v>
      </c>
      <c r="C294" s="1326">
        <v>82</v>
      </c>
      <c r="D294" s="1323">
        <f t="shared" si="43"/>
        <v>470053</v>
      </c>
      <c r="E294" s="1335">
        <f>E293</f>
        <v>470053</v>
      </c>
      <c r="F294" s="1323">
        <f t="shared" si="38"/>
        <v>0</v>
      </c>
      <c r="G294" s="1323">
        <f t="shared" si="44"/>
        <v>8901</v>
      </c>
      <c r="H294" s="1323">
        <f t="shared" si="40"/>
        <v>108.54878048780488</v>
      </c>
      <c r="I294" s="1323">
        <f t="shared" si="41"/>
        <v>39620.304878048781</v>
      </c>
      <c r="J294" s="1323"/>
      <c r="K294" s="1338">
        <f t="shared" si="46"/>
        <v>0.79240609756097558</v>
      </c>
      <c r="L294" s="1323">
        <f t="shared" si="47"/>
        <v>9053</v>
      </c>
      <c r="M294" s="1323"/>
      <c r="N294" s="1323"/>
      <c r="O294" s="1305"/>
      <c r="P294" s="1305"/>
      <c r="Q294" s="1304"/>
      <c r="R294" s="1303"/>
      <c r="S294" s="1303"/>
      <c r="T294" s="1303"/>
    </row>
    <row r="295" spans="1:20" s="1302" customFormat="1" ht="16.5" customHeight="1">
      <c r="A295" s="1328" t="s">
        <v>1136</v>
      </c>
      <c r="B295" s="1327">
        <v>44644</v>
      </c>
      <c r="C295" s="1326">
        <v>83</v>
      </c>
      <c r="D295" s="1323">
        <f t="shared" si="43"/>
        <v>470053</v>
      </c>
      <c r="E295" s="1325">
        <v>470201</v>
      </c>
      <c r="F295" s="1322">
        <f t="shared" si="38"/>
        <v>148</v>
      </c>
      <c r="G295" s="1322">
        <f t="shared" si="44"/>
        <v>9049</v>
      </c>
      <c r="H295" s="1322">
        <f t="shared" si="40"/>
        <v>109.02409638554217</v>
      </c>
      <c r="I295" s="1322">
        <f t="shared" si="41"/>
        <v>39793.795180722889</v>
      </c>
      <c r="J295" s="1324">
        <f ca="1">F294:F295/$M$3</f>
        <v>6.5450650344299923</v>
      </c>
      <c r="K295" s="1338">
        <f t="shared" si="46"/>
        <v>0.79587590361445781</v>
      </c>
      <c r="L295" s="1323">
        <f t="shared" si="47"/>
        <v>9201</v>
      </c>
      <c r="M295" s="1322"/>
      <c r="N295" s="1322"/>
      <c r="O295" s="1305"/>
      <c r="P295" s="1305"/>
      <c r="Q295" s="1304"/>
      <c r="R295" s="1303"/>
      <c r="S295" s="1303"/>
      <c r="T295" s="1303"/>
    </row>
    <row r="296" spans="1:20" s="1302" customFormat="1" ht="16.5" customHeight="1">
      <c r="A296" s="1328" t="s">
        <v>1130</v>
      </c>
      <c r="B296" s="1327">
        <v>44645</v>
      </c>
      <c r="C296" s="1326">
        <v>84</v>
      </c>
      <c r="D296" s="1323">
        <f t="shared" si="43"/>
        <v>470201</v>
      </c>
      <c r="E296" s="1325">
        <v>470322</v>
      </c>
      <c r="F296" s="1322">
        <f t="shared" si="38"/>
        <v>121</v>
      </c>
      <c r="G296" s="1322">
        <f t="shared" si="44"/>
        <v>9170</v>
      </c>
      <c r="H296" s="1322">
        <f t="shared" si="40"/>
        <v>109.16666666666667</v>
      </c>
      <c r="I296" s="1322">
        <f t="shared" si="41"/>
        <v>39845.833333333336</v>
      </c>
      <c r="J296" s="1324">
        <f ca="1">F295:F296/$M$3</f>
        <v>5.3510328997704661</v>
      </c>
      <c r="K296" s="1338">
        <f t="shared" si="46"/>
        <v>0.79691666666666672</v>
      </c>
      <c r="L296" s="1323">
        <f t="shared" si="47"/>
        <v>9322</v>
      </c>
      <c r="M296" s="1322"/>
      <c r="N296" s="1322"/>
      <c r="O296" s="1305"/>
      <c r="P296" s="1305"/>
      <c r="Q296" s="1304"/>
      <c r="R296" s="1303"/>
      <c r="S296" s="1303"/>
      <c r="T296" s="1303"/>
    </row>
    <row r="297" spans="1:20" s="1302" customFormat="1" ht="16.5" customHeight="1">
      <c r="A297" s="1328" t="s">
        <v>1128</v>
      </c>
      <c r="B297" s="1327">
        <v>44646</v>
      </c>
      <c r="C297" s="1326">
        <v>85</v>
      </c>
      <c r="D297" s="1323">
        <f t="shared" si="43"/>
        <v>470322</v>
      </c>
      <c r="E297" s="1335">
        <f>E296</f>
        <v>470322</v>
      </c>
      <c r="F297" s="1323">
        <f t="shared" si="38"/>
        <v>0</v>
      </c>
      <c r="G297" s="1323">
        <f t="shared" si="44"/>
        <v>9170</v>
      </c>
      <c r="H297" s="1323">
        <f t="shared" si="40"/>
        <v>107.88235294117646</v>
      </c>
      <c r="I297" s="1323">
        <f t="shared" si="41"/>
        <v>39377.058823529413</v>
      </c>
      <c r="J297" s="1323"/>
      <c r="K297" s="1338">
        <f t="shared" si="46"/>
        <v>0.7875411764705883</v>
      </c>
      <c r="L297" s="1323">
        <f t="shared" si="47"/>
        <v>9322</v>
      </c>
      <c r="M297" s="1323"/>
      <c r="N297" s="1323"/>
      <c r="O297" s="1305"/>
      <c r="P297" s="1305"/>
      <c r="Q297" s="1304"/>
      <c r="R297" s="1303"/>
      <c r="S297" s="1303"/>
      <c r="T297" s="1303"/>
    </row>
    <row r="298" spans="1:20" s="1302" customFormat="1" ht="16.5" customHeight="1">
      <c r="A298" s="1328" t="s">
        <v>1139</v>
      </c>
      <c r="B298" s="1327">
        <v>44647</v>
      </c>
      <c r="C298" s="1326">
        <v>86</v>
      </c>
      <c r="D298" s="1323">
        <f t="shared" si="43"/>
        <v>470322</v>
      </c>
      <c r="E298" s="1325">
        <v>470458</v>
      </c>
      <c r="F298" s="1322">
        <f t="shared" si="38"/>
        <v>136</v>
      </c>
      <c r="G298" s="1322">
        <f t="shared" si="44"/>
        <v>9306</v>
      </c>
      <c r="H298" s="1322">
        <f t="shared" si="40"/>
        <v>108.20930232558139</v>
      </c>
      <c r="I298" s="1322">
        <f t="shared" si="41"/>
        <v>39496.395348837206</v>
      </c>
      <c r="J298" s="1324">
        <f ca="1">F297:F298/$M$3</f>
        <v>6.0143840856924253</v>
      </c>
      <c r="K298" s="1338">
        <f t="shared" si="46"/>
        <v>0.78992790697674409</v>
      </c>
      <c r="L298" s="1323">
        <f t="shared" si="47"/>
        <v>9458</v>
      </c>
      <c r="M298" s="1322"/>
      <c r="N298" s="1322"/>
      <c r="O298" s="1305"/>
      <c r="P298" s="1305"/>
      <c r="Q298" s="1304"/>
      <c r="R298" s="1303"/>
      <c r="S298" s="1303"/>
      <c r="T298" s="1303"/>
    </row>
    <row r="299" spans="1:20" s="1302" customFormat="1" ht="16.5" customHeight="1">
      <c r="A299" s="1328" t="s">
        <v>1138</v>
      </c>
      <c r="B299" s="1327">
        <v>44648</v>
      </c>
      <c r="C299" s="1326">
        <v>87</v>
      </c>
      <c r="D299" s="1323">
        <f t="shared" si="43"/>
        <v>470458</v>
      </c>
      <c r="E299" s="1325">
        <v>470694</v>
      </c>
      <c r="F299" s="1322">
        <f t="shared" si="38"/>
        <v>236</v>
      </c>
      <c r="G299" s="1322">
        <f t="shared" si="44"/>
        <v>9542</v>
      </c>
      <c r="H299" s="1322">
        <f t="shared" si="40"/>
        <v>109.67816091954023</v>
      </c>
      <c r="I299" s="1322">
        <f t="shared" si="41"/>
        <v>40032.528735632186</v>
      </c>
      <c r="J299" s="1324">
        <f ca="1">F298:F299/$M$3</f>
        <v>10.43672532517215</v>
      </c>
      <c r="K299" s="1338">
        <f t="shared" si="46"/>
        <v>0.80065057471264367</v>
      </c>
      <c r="L299" s="1323">
        <f t="shared" si="47"/>
        <v>9694</v>
      </c>
      <c r="M299" s="1322"/>
      <c r="N299" s="1322"/>
      <c r="O299" s="1305"/>
      <c r="P299" s="1305"/>
      <c r="Q299" s="1304"/>
      <c r="R299" s="1303"/>
      <c r="S299" s="1303"/>
      <c r="T299" s="1303"/>
    </row>
    <row r="300" spans="1:20" s="1302" customFormat="1" ht="16.5" customHeight="1">
      <c r="A300" s="1328" t="s">
        <v>1137</v>
      </c>
      <c r="B300" s="1327">
        <v>44649</v>
      </c>
      <c r="C300" s="1326">
        <v>88</v>
      </c>
      <c r="D300" s="1323">
        <f t="shared" si="43"/>
        <v>470694</v>
      </c>
      <c r="E300" s="1325">
        <v>470786</v>
      </c>
      <c r="F300" s="1322">
        <f t="shared" si="38"/>
        <v>92</v>
      </c>
      <c r="G300" s="1322">
        <f t="shared" si="44"/>
        <v>9634</v>
      </c>
      <c r="H300" s="1322">
        <f t="shared" si="40"/>
        <v>109.47727272727273</v>
      </c>
      <c r="I300" s="1322">
        <f t="shared" si="41"/>
        <v>39959.204545454551</v>
      </c>
      <c r="J300" s="1324">
        <f ca="1">F299:F300/$M$3</f>
        <v>4.0685539403213467</v>
      </c>
      <c r="K300" s="1338">
        <f t="shared" si="46"/>
        <v>0.79918409090909104</v>
      </c>
      <c r="L300" s="1323">
        <f t="shared" si="47"/>
        <v>9786</v>
      </c>
      <c r="M300" s="1322"/>
      <c r="N300" s="1322"/>
      <c r="O300" s="1305"/>
      <c r="P300" s="1305"/>
      <c r="Q300" s="1304"/>
      <c r="R300" s="1303"/>
      <c r="S300" s="1303"/>
      <c r="T300" s="1303"/>
    </row>
    <row r="301" spans="1:20" s="1302" customFormat="1" ht="16.5" customHeight="1">
      <c r="A301" s="1328" t="s">
        <v>1131</v>
      </c>
      <c r="B301" s="1327">
        <v>44650</v>
      </c>
      <c r="C301" s="1326">
        <v>89</v>
      </c>
      <c r="D301" s="1323">
        <f t="shared" si="43"/>
        <v>470786</v>
      </c>
      <c r="E301" s="1325">
        <v>470903</v>
      </c>
      <c r="F301" s="1322">
        <f t="shared" si="38"/>
        <v>117</v>
      </c>
      <c r="G301" s="1322">
        <f t="shared" si="44"/>
        <v>9751</v>
      </c>
      <c r="H301" s="1322">
        <f t="shared" si="40"/>
        <v>109.56179775280899</v>
      </c>
      <c r="I301" s="1322">
        <f t="shared" si="41"/>
        <v>39990.056179775282</v>
      </c>
      <c r="J301" s="1324">
        <f ca="1">F300:F301/$M$3</f>
        <v>5.1741392501912777</v>
      </c>
      <c r="K301" s="1338">
        <f t="shared" si="46"/>
        <v>0.79980112359550559</v>
      </c>
      <c r="L301" s="1323">
        <f t="shared" si="47"/>
        <v>9903</v>
      </c>
      <c r="M301" s="1322"/>
      <c r="N301" s="1322"/>
      <c r="O301" s="1305"/>
      <c r="P301" s="1305"/>
      <c r="Q301" s="1304"/>
      <c r="R301" s="1303"/>
      <c r="S301" s="1303"/>
      <c r="T301" s="1303"/>
    </row>
    <row r="302" spans="1:20" s="1302" customFormat="1" ht="16.5" customHeight="1">
      <c r="A302" s="1328" t="s">
        <v>1136</v>
      </c>
      <c r="B302" s="1327">
        <v>44651</v>
      </c>
      <c r="C302" s="1326">
        <v>90</v>
      </c>
      <c r="D302" s="1323">
        <f t="shared" si="43"/>
        <v>470903</v>
      </c>
      <c r="E302" s="1335">
        <f>E301</f>
        <v>470903</v>
      </c>
      <c r="F302" s="1323">
        <f t="shared" si="38"/>
        <v>0</v>
      </c>
      <c r="G302" s="1323">
        <f t="shared" si="44"/>
        <v>9751</v>
      </c>
      <c r="H302" s="1323">
        <f t="shared" si="40"/>
        <v>108.34444444444445</v>
      </c>
      <c r="I302" s="1323">
        <f t="shared" si="41"/>
        <v>39545.722222222226</v>
      </c>
      <c r="J302" s="1323"/>
      <c r="K302" s="1338">
        <f t="shared" si="46"/>
        <v>0.79091444444444448</v>
      </c>
      <c r="L302" s="1323">
        <f t="shared" si="47"/>
        <v>9903</v>
      </c>
      <c r="M302" s="1323"/>
      <c r="N302" s="1323"/>
    </row>
    <row r="303" spans="1:20" s="1302" customFormat="1" ht="16.5" customHeight="1">
      <c r="A303" s="1328" t="s">
        <v>1130</v>
      </c>
      <c r="B303" s="1327">
        <v>44652</v>
      </c>
      <c r="C303" s="1326">
        <v>91</v>
      </c>
      <c r="D303" s="1323">
        <f t="shared" si="43"/>
        <v>470903</v>
      </c>
      <c r="E303" s="1325">
        <v>471040</v>
      </c>
      <c r="F303" s="1322">
        <f t="shared" si="38"/>
        <v>137</v>
      </c>
      <c r="G303" s="1322">
        <f t="shared" si="44"/>
        <v>9888</v>
      </c>
      <c r="H303" s="1322">
        <f t="shared" si="40"/>
        <v>108.65934065934066</v>
      </c>
      <c r="I303" s="1322">
        <f t="shared" si="41"/>
        <v>39660.659340659338</v>
      </c>
      <c r="J303" s="1324">
        <f ca="1">F302:F303/$M$3</f>
        <v>6.0586074980872224</v>
      </c>
      <c r="K303" s="1338">
        <f t="shared" si="46"/>
        <v>0.79321318681318675</v>
      </c>
      <c r="L303" s="1323">
        <f t="shared" si="47"/>
        <v>10040</v>
      </c>
      <c r="M303" s="1322"/>
      <c r="N303" s="1322"/>
    </row>
    <row r="304" spans="1:20" s="1302" customFormat="1" ht="16.5" customHeight="1">
      <c r="A304" s="1328" t="s">
        <v>1128</v>
      </c>
      <c r="B304" s="1327">
        <v>44653</v>
      </c>
      <c r="C304" s="1326">
        <v>92</v>
      </c>
      <c r="D304" s="1323">
        <f t="shared" si="43"/>
        <v>471040</v>
      </c>
      <c r="E304" s="1325">
        <v>471221</v>
      </c>
      <c r="F304" s="1322">
        <f t="shared" si="38"/>
        <v>181</v>
      </c>
      <c r="G304" s="1322">
        <f t="shared" si="44"/>
        <v>10069</v>
      </c>
      <c r="H304" s="1322">
        <f t="shared" si="40"/>
        <v>109.44565217391305</v>
      </c>
      <c r="I304" s="1322">
        <f t="shared" si="41"/>
        <v>39947.663043478264</v>
      </c>
      <c r="J304" s="1324">
        <f ca="1">F303:F304/$M$3</f>
        <v>8.0044376434583011</v>
      </c>
      <c r="K304" s="1338">
        <f t="shared" si="46"/>
        <v>0.79895326086956531</v>
      </c>
      <c r="L304" s="1323">
        <f t="shared" si="47"/>
        <v>10221</v>
      </c>
      <c r="M304" s="1322"/>
      <c r="N304" s="1322"/>
      <c r="O304" s="1305"/>
      <c r="P304" s="1305"/>
      <c r="Q304" s="1304"/>
      <c r="R304" s="1303"/>
      <c r="S304" s="1303"/>
      <c r="T304" s="1303"/>
    </row>
    <row r="305" spans="1:20" s="1302" customFormat="1" ht="16.5" customHeight="1">
      <c r="A305" s="1328" t="s">
        <v>1139</v>
      </c>
      <c r="B305" s="1327">
        <v>44654</v>
      </c>
      <c r="C305" s="1326">
        <v>93</v>
      </c>
      <c r="D305" s="1323">
        <f t="shared" si="43"/>
        <v>471221</v>
      </c>
      <c r="E305" s="1335">
        <f>E304</f>
        <v>471221</v>
      </c>
      <c r="F305" s="1323">
        <f t="shared" si="38"/>
        <v>0</v>
      </c>
      <c r="G305" s="1323">
        <f t="shared" si="44"/>
        <v>10069</v>
      </c>
      <c r="H305" s="1323">
        <f t="shared" si="40"/>
        <v>108.26881720430107</v>
      </c>
      <c r="I305" s="1323">
        <f t="shared" si="41"/>
        <v>39518.118279569891</v>
      </c>
      <c r="J305" s="1323"/>
      <c r="K305" s="1338">
        <f t="shared" si="46"/>
        <v>0.79036236559139783</v>
      </c>
      <c r="L305" s="1323">
        <f t="shared" si="47"/>
        <v>10221</v>
      </c>
      <c r="M305" s="1323"/>
      <c r="N305" s="1323"/>
      <c r="O305" s="1305"/>
      <c r="P305" s="1305"/>
      <c r="Q305" s="1304"/>
      <c r="R305" s="1303"/>
      <c r="S305" s="1303"/>
      <c r="T305" s="1303"/>
    </row>
    <row r="306" spans="1:20" s="1302" customFormat="1" ht="16.5" customHeight="1">
      <c r="A306" s="1328" t="s">
        <v>1138</v>
      </c>
      <c r="B306" s="1327">
        <v>44655</v>
      </c>
      <c r="C306" s="1326">
        <v>94</v>
      </c>
      <c r="D306" s="1323">
        <f t="shared" si="43"/>
        <v>471221</v>
      </c>
      <c r="E306" s="1325">
        <v>471379</v>
      </c>
      <c r="F306" s="1322">
        <f t="shared" si="38"/>
        <v>158</v>
      </c>
      <c r="G306" s="1322">
        <f t="shared" si="44"/>
        <v>10227</v>
      </c>
      <c r="H306" s="1322">
        <f t="shared" si="40"/>
        <v>108.79787234042553</v>
      </c>
      <c r="I306" s="1322">
        <f t="shared" si="41"/>
        <v>39711.223404255317</v>
      </c>
      <c r="J306" s="1324">
        <f t="shared" ref="J306:J314" ca="1" si="49">F305:F306/$M$3</f>
        <v>6.9872991583779642</v>
      </c>
      <c r="K306" s="1338">
        <f t="shared" si="46"/>
        <v>0.79422446808510638</v>
      </c>
      <c r="L306" s="1323">
        <f t="shared" si="47"/>
        <v>10379</v>
      </c>
      <c r="M306" s="1322"/>
      <c r="N306" s="1322"/>
      <c r="O306" s="1305"/>
      <c r="P306" s="1305"/>
      <c r="Q306" s="1304"/>
      <c r="R306" s="1303"/>
      <c r="S306" s="1303"/>
      <c r="T306" s="1303"/>
    </row>
    <row r="307" spans="1:20" s="1302" customFormat="1" ht="16.5" customHeight="1">
      <c r="A307" s="1328" t="s">
        <v>1137</v>
      </c>
      <c r="B307" s="1327">
        <v>44656</v>
      </c>
      <c r="C307" s="1326">
        <v>95</v>
      </c>
      <c r="D307" s="1323">
        <f t="shared" si="43"/>
        <v>471379</v>
      </c>
      <c r="E307" s="1325">
        <v>471414</v>
      </c>
      <c r="F307" s="1322">
        <f t="shared" si="38"/>
        <v>35</v>
      </c>
      <c r="G307" s="1322">
        <f t="shared" si="44"/>
        <v>10262</v>
      </c>
      <c r="H307" s="1322">
        <f t="shared" si="40"/>
        <v>108.02105263157895</v>
      </c>
      <c r="I307" s="1322">
        <f t="shared" si="41"/>
        <v>39427.68421052632</v>
      </c>
      <c r="J307" s="1324">
        <f t="shared" ca="1" si="49"/>
        <v>1.5478194338179034</v>
      </c>
      <c r="K307" s="1338">
        <f t="shared" si="46"/>
        <v>0.78855368421052641</v>
      </c>
      <c r="L307" s="1323">
        <f t="shared" si="47"/>
        <v>10414</v>
      </c>
      <c r="M307" s="1322"/>
      <c r="N307" s="1322"/>
      <c r="O307" s="1305"/>
      <c r="P307" s="1305"/>
      <c r="Q307" s="1304"/>
      <c r="R307" s="1303"/>
      <c r="S307" s="1303"/>
      <c r="T307" s="1303"/>
    </row>
    <row r="308" spans="1:20" s="1302" customFormat="1" ht="16.5" customHeight="1">
      <c r="A308" s="1328" t="s">
        <v>1131</v>
      </c>
      <c r="B308" s="1327">
        <v>44657</v>
      </c>
      <c r="C308" s="1326">
        <v>96</v>
      </c>
      <c r="D308" s="1323">
        <f t="shared" si="43"/>
        <v>471414</v>
      </c>
      <c r="E308" s="1325">
        <v>471478</v>
      </c>
      <c r="F308" s="1322">
        <f t="shared" si="38"/>
        <v>64</v>
      </c>
      <c r="G308" s="1322">
        <f t="shared" si="44"/>
        <v>10326</v>
      </c>
      <c r="H308" s="1322">
        <f t="shared" si="40"/>
        <v>107.5625</v>
      </c>
      <c r="I308" s="1322">
        <f t="shared" si="41"/>
        <v>39260.3125</v>
      </c>
      <c r="J308" s="1324">
        <f t="shared" ca="1" si="49"/>
        <v>2.8302983932670234</v>
      </c>
      <c r="K308" s="1338">
        <f t="shared" si="46"/>
        <v>0.78520624999999999</v>
      </c>
      <c r="L308" s="1323">
        <f t="shared" si="47"/>
        <v>10478</v>
      </c>
      <c r="M308" s="1322"/>
      <c r="N308" s="1322"/>
      <c r="O308" s="1305"/>
      <c r="P308" s="1305"/>
      <c r="Q308" s="1304"/>
      <c r="R308" s="1303"/>
      <c r="S308" s="1303"/>
      <c r="T308" s="1303"/>
    </row>
    <row r="309" spans="1:20" s="1302" customFormat="1" ht="16.5" customHeight="1">
      <c r="A309" s="1328" t="s">
        <v>1136</v>
      </c>
      <c r="B309" s="1327">
        <v>44658</v>
      </c>
      <c r="C309" s="1326">
        <v>97</v>
      </c>
      <c r="D309" s="1323">
        <f t="shared" si="43"/>
        <v>471478</v>
      </c>
      <c r="E309" s="1325">
        <v>471512</v>
      </c>
      <c r="F309" s="1322">
        <f t="shared" si="38"/>
        <v>34</v>
      </c>
      <c r="G309" s="1322">
        <f t="shared" si="44"/>
        <v>10360</v>
      </c>
      <c r="H309" s="1322">
        <f t="shared" si="40"/>
        <v>106.80412371134021</v>
      </c>
      <c r="I309" s="1322">
        <f t="shared" si="41"/>
        <v>38983.505154639177</v>
      </c>
      <c r="J309" s="1324">
        <f t="shared" ca="1" si="49"/>
        <v>1.5035960214231063</v>
      </c>
      <c r="K309" s="1338">
        <f t="shared" si="46"/>
        <v>0.77967010309278351</v>
      </c>
      <c r="L309" s="1323">
        <f t="shared" si="47"/>
        <v>10512</v>
      </c>
      <c r="M309" s="1322"/>
      <c r="N309" s="1322"/>
      <c r="O309" s="1305"/>
      <c r="P309" s="1305"/>
      <c r="Q309" s="1304"/>
      <c r="R309" s="1303"/>
      <c r="S309" s="1303"/>
      <c r="T309" s="1303"/>
    </row>
    <row r="310" spans="1:20" s="1302" customFormat="1" ht="16.5" customHeight="1">
      <c r="A310" s="1328" t="s">
        <v>1130</v>
      </c>
      <c r="B310" s="1327">
        <v>44659</v>
      </c>
      <c r="C310" s="1326">
        <v>98</v>
      </c>
      <c r="D310" s="1323">
        <f t="shared" si="43"/>
        <v>471512</v>
      </c>
      <c r="E310" s="1325">
        <v>471573</v>
      </c>
      <c r="F310" s="1322">
        <f t="shared" si="38"/>
        <v>61</v>
      </c>
      <c r="G310" s="1322">
        <f t="shared" si="44"/>
        <v>10421</v>
      </c>
      <c r="H310" s="1322">
        <f t="shared" si="40"/>
        <v>106.33673469387755</v>
      </c>
      <c r="I310" s="1322">
        <f t="shared" si="41"/>
        <v>38812.908163265303</v>
      </c>
      <c r="J310" s="1324">
        <f t="shared" ca="1" si="49"/>
        <v>2.6976281560826316</v>
      </c>
      <c r="K310" s="1338">
        <f t="shared" si="46"/>
        <v>0.77625816326530606</v>
      </c>
      <c r="L310" s="1323">
        <f t="shared" si="47"/>
        <v>10573</v>
      </c>
      <c r="M310" s="1322"/>
      <c r="N310" s="1322"/>
      <c r="O310" s="1305"/>
      <c r="P310" s="1305"/>
      <c r="Q310" s="1304"/>
      <c r="R310" s="1303"/>
      <c r="S310" s="1303"/>
      <c r="T310" s="1303"/>
    </row>
    <row r="311" spans="1:20" s="1302" customFormat="1" ht="16.5" customHeight="1">
      <c r="A311" s="1328" t="s">
        <v>1128</v>
      </c>
      <c r="B311" s="1327">
        <v>44660</v>
      </c>
      <c r="C311" s="1326">
        <v>99</v>
      </c>
      <c r="D311" s="1323">
        <f t="shared" si="43"/>
        <v>471573</v>
      </c>
      <c r="E311" s="1325">
        <v>471621</v>
      </c>
      <c r="F311" s="1322">
        <f t="shared" si="38"/>
        <v>48</v>
      </c>
      <c r="G311" s="1322">
        <f t="shared" si="44"/>
        <v>10469</v>
      </c>
      <c r="H311" s="1322">
        <f t="shared" si="40"/>
        <v>105.74747474747475</v>
      </c>
      <c r="I311" s="1322">
        <f t="shared" si="41"/>
        <v>38597.828282828283</v>
      </c>
      <c r="J311" s="1324">
        <f t="shared" ca="1" si="49"/>
        <v>2.1227237949502675</v>
      </c>
      <c r="K311" s="1338">
        <f t="shared" si="46"/>
        <v>0.77195656565656567</v>
      </c>
      <c r="L311" s="1323">
        <f t="shared" si="47"/>
        <v>10621</v>
      </c>
      <c r="M311" s="1322"/>
      <c r="N311" s="1322"/>
      <c r="O311" s="1305"/>
      <c r="P311" s="1305"/>
      <c r="Q311" s="1304"/>
      <c r="R311" s="1303"/>
      <c r="S311" s="1303"/>
      <c r="T311" s="1303"/>
    </row>
    <row r="312" spans="1:20" s="1302" customFormat="1" ht="16.5" customHeight="1">
      <c r="A312" s="1328" t="s">
        <v>1139</v>
      </c>
      <c r="B312" s="1327">
        <v>44661</v>
      </c>
      <c r="C312" s="1326">
        <v>100</v>
      </c>
      <c r="D312" s="1323">
        <f t="shared" si="43"/>
        <v>471621</v>
      </c>
      <c r="E312" s="1325">
        <v>471826</v>
      </c>
      <c r="F312" s="1322">
        <f t="shared" si="38"/>
        <v>205</v>
      </c>
      <c r="G312" s="1322">
        <f t="shared" si="44"/>
        <v>10674</v>
      </c>
      <c r="H312" s="1322">
        <f t="shared" si="40"/>
        <v>106.74</v>
      </c>
      <c r="I312" s="1322">
        <f t="shared" si="41"/>
        <v>38960.1</v>
      </c>
      <c r="J312" s="1324">
        <f t="shared" ca="1" si="49"/>
        <v>9.0657995409334351</v>
      </c>
      <c r="K312" s="1338">
        <f t="shared" si="46"/>
        <v>0.77920199999999995</v>
      </c>
      <c r="L312" s="1323">
        <f t="shared" si="47"/>
        <v>10826</v>
      </c>
      <c r="M312" s="1322"/>
      <c r="N312" s="1322"/>
    </row>
    <row r="313" spans="1:20" s="1302" customFormat="1" ht="16.5" customHeight="1">
      <c r="A313" s="1328" t="s">
        <v>1138</v>
      </c>
      <c r="B313" s="1327">
        <v>44662</v>
      </c>
      <c r="C313" s="1326">
        <v>101</v>
      </c>
      <c r="D313" s="1323">
        <f t="shared" si="43"/>
        <v>471826</v>
      </c>
      <c r="E313" s="1325">
        <v>471902</v>
      </c>
      <c r="F313" s="1322">
        <f t="shared" si="38"/>
        <v>76</v>
      </c>
      <c r="G313" s="1322">
        <f t="shared" si="44"/>
        <v>10750</v>
      </c>
      <c r="H313" s="1322">
        <f t="shared" si="40"/>
        <v>106.43564356435644</v>
      </c>
      <c r="I313" s="1322">
        <f t="shared" si="41"/>
        <v>38849.009900990102</v>
      </c>
      <c r="J313" s="1324">
        <f t="shared" ca="1" si="49"/>
        <v>3.3609793420045904</v>
      </c>
      <c r="K313" s="1338">
        <f t="shared" si="46"/>
        <v>0.776980198019802</v>
      </c>
      <c r="L313" s="1323">
        <f t="shared" si="47"/>
        <v>10902</v>
      </c>
      <c r="M313" s="1322"/>
      <c r="N313" s="1322"/>
      <c r="O313" s="1305"/>
      <c r="P313" s="1305"/>
      <c r="Q313" s="1304"/>
      <c r="R313" s="1303"/>
      <c r="S313" s="1303"/>
      <c r="T313" s="1303"/>
    </row>
    <row r="314" spans="1:20" s="1302" customFormat="1" ht="16.5" customHeight="1">
      <c r="A314" s="1328" t="s">
        <v>1137</v>
      </c>
      <c r="B314" s="1327">
        <v>44663</v>
      </c>
      <c r="C314" s="1326">
        <v>102</v>
      </c>
      <c r="D314" s="1323">
        <f t="shared" si="43"/>
        <v>471902</v>
      </c>
      <c r="E314" s="1325">
        <v>471968</v>
      </c>
      <c r="F314" s="1322">
        <f t="shared" si="38"/>
        <v>66</v>
      </c>
      <c r="G314" s="1322">
        <f t="shared" si="44"/>
        <v>10816</v>
      </c>
      <c r="H314" s="1322">
        <f t="shared" si="40"/>
        <v>106.03921568627452</v>
      </c>
      <c r="I314" s="1322">
        <f t="shared" si="41"/>
        <v>38704.313725490196</v>
      </c>
      <c r="J314" s="1324">
        <f t="shared" ca="1" si="49"/>
        <v>2.918745218056618</v>
      </c>
      <c r="K314" s="1338">
        <f t="shared" si="46"/>
        <v>0.77408627450980394</v>
      </c>
      <c r="L314" s="1323">
        <f t="shared" si="47"/>
        <v>10968</v>
      </c>
      <c r="M314" s="1322"/>
      <c r="N314" s="1322"/>
    </row>
    <row r="315" spans="1:20" s="1302" customFormat="1" ht="16.5" customHeight="1">
      <c r="A315" s="1328" t="s">
        <v>1131</v>
      </c>
      <c r="B315" s="1337">
        <v>44664</v>
      </c>
      <c r="C315" s="1336">
        <v>103</v>
      </c>
      <c r="D315" s="1333">
        <f t="shared" si="43"/>
        <v>471968</v>
      </c>
      <c r="E315" s="1335">
        <f>E314</f>
        <v>471968</v>
      </c>
      <c r="F315" s="1333">
        <f t="shared" si="38"/>
        <v>0</v>
      </c>
      <c r="G315" s="1333">
        <f t="shared" si="44"/>
        <v>10816</v>
      </c>
      <c r="H315" s="1333">
        <f t="shared" si="40"/>
        <v>105.00970873786407</v>
      </c>
      <c r="I315" s="1333">
        <f t="shared" si="41"/>
        <v>38328.543689320388</v>
      </c>
      <c r="J315" s="1333"/>
      <c r="K315" s="1339">
        <f t="shared" si="46"/>
        <v>0.76657087378640776</v>
      </c>
      <c r="L315" s="1333">
        <f t="shared" si="47"/>
        <v>10968</v>
      </c>
      <c r="M315" s="1333"/>
      <c r="N315" s="1333"/>
      <c r="O315" s="1305"/>
      <c r="P315" s="1305"/>
      <c r="Q315" s="1304"/>
      <c r="R315" s="1303"/>
      <c r="S315" s="1303"/>
      <c r="T315" s="1303"/>
    </row>
    <row r="316" spans="1:20" s="1302" customFormat="1" ht="16.5" customHeight="1">
      <c r="A316" s="1328" t="s">
        <v>1136</v>
      </c>
      <c r="B316" s="1327">
        <v>44665</v>
      </c>
      <c r="C316" s="1326">
        <v>104</v>
      </c>
      <c r="D316" s="1323">
        <f t="shared" si="43"/>
        <v>471968</v>
      </c>
      <c r="E316" s="1325">
        <v>472144</v>
      </c>
      <c r="F316" s="1322">
        <f t="shared" si="38"/>
        <v>176</v>
      </c>
      <c r="G316" s="1322">
        <f t="shared" si="44"/>
        <v>10992</v>
      </c>
      <c r="H316" s="1322">
        <f t="shared" si="40"/>
        <v>105.69230769230769</v>
      </c>
      <c r="I316" s="1322">
        <f t="shared" si="41"/>
        <v>38577.692307692305</v>
      </c>
      <c r="J316" s="1324">
        <f ca="1">F315:F316/$M$3</f>
        <v>7.7833205814843147</v>
      </c>
      <c r="K316" s="1338">
        <f t="shared" si="46"/>
        <v>0.77155384615384615</v>
      </c>
      <c r="L316" s="1323">
        <f t="shared" si="47"/>
        <v>11144</v>
      </c>
      <c r="M316" s="1322"/>
      <c r="N316" s="1322"/>
      <c r="O316" s="1305"/>
      <c r="P316" s="1305"/>
      <c r="Q316" s="1304"/>
      <c r="R316" s="1303"/>
      <c r="S316" s="1303"/>
      <c r="T316" s="1303"/>
    </row>
    <row r="317" spans="1:20" s="1302" customFormat="1" ht="16.5" customHeight="1">
      <c r="A317" s="1328" t="s">
        <v>1130</v>
      </c>
      <c r="B317" s="1337">
        <v>44666</v>
      </c>
      <c r="C317" s="1336">
        <v>105</v>
      </c>
      <c r="D317" s="1333">
        <f t="shared" si="43"/>
        <v>472144</v>
      </c>
      <c r="E317" s="1335">
        <f>E316</f>
        <v>472144</v>
      </c>
      <c r="F317" s="1333">
        <f t="shared" si="38"/>
        <v>0</v>
      </c>
      <c r="G317" s="1333">
        <f t="shared" si="44"/>
        <v>10992</v>
      </c>
      <c r="H317" s="1333">
        <f t="shared" si="40"/>
        <v>104.68571428571428</v>
      </c>
      <c r="I317" s="1333">
        <f t="shared" si="41"/>
        <v>38210.28571428571</v>
      </c>
      <c r="J317" s="1333"/>
      <c r="K317" s="1339">
        <f t="shared" si="46"/>
        <v>0.76420571428571415</v>
      </c>
      <c r="L317" s="1333">
        <f t="shared" si="47"/>
        <v>11144</v>
      </c>
      <c r="M317" s="1333"/>
      <c r="N317" s="1333"/>
      <c r="O317" s="1305"/>
      <c r="P317" s="1305"/>
      <c r="Q317" s="1304"/>
      <c r="R317" s="1303"/>
      <c r="S317" s="1303"/>
      <c r="T317" s="1303"/>
    </row>
    <row r="318" spans="1:20" s="1302" customFormat="1" ht="16.5" customHeight="1">
      <c r="A318" s="1328" t="s">
        <v>1128</v>
      </c>
      <c r="B318" s="1327">
        <v>44667</v>
      </c>
      <c r="C318" s="1326">
        <v>106</v>
      </c>
      <c r="D318" s="1323">
        <f t="shared" si="43"/>
        <v>472144</v>
      </c>
      <c r="E318" s="1325">
        <v>472457</v>
      </c>
      <c r="F318" s="1322">
        <f t="shared" si="38"/>
        <v>313</v>
      </c>
      <c r="G318" s="1322">
        <f t="shared" si="44"/>
        <v>11305</v>
      </c>
      <c r="H318" s="1322">
        <f t="shared" si="40"/>
        <v>106.65094339622641</v>
      </c>
      <c r="I318" s="1322">
        <f t="shared" si="41"/>
        <v>38927.594339622643</v>
      </c>
      <c r="J318" s="1324">
        <f ca="1">F317:F318/$M$3</f>
        <v>13.841928079571538</v>
      </c>
      <c r="K318" s="1338">
        <f t="shared" si="46"/>
        <v>0.77855188679245291</v>
      </c>
      <c r="L318" s="1323">
        <f t="shared" si="47"/>
        <v>11457</v>
      </c>
      <c r="M318" s="1322"/>
      <c r="N318" s="1322"/>
      <c r="O318" s="1305"/>
      <c r="P318" s="1305"/>
      <c r="Q318" s="1304"/>
      <c r="R318" s="1303"/>
      <c r="S318" s="1303"/>
      <c r="T318" s="1303"/>
    </row>
    <row r="319" spans="1:20" s="1302" customFormat="1" ht="16.5" customHeight="1">
      <c r="A319" s="1328" t="s">
        <v>1139</v>
      </c>
      <c r="B319" s="1327">
        <v>44668</v>
      </c>
      <c r="C319" s="1326">
        <v>107</v>
      </c>
      <c r="D319" s="1323">
        <f t="shared" si="43"/>
        <v>472457</v>
      </c>
      <c r="E319" s="1325">
        <v>472598</v>
      </c>
      <c r="F319" s="1322">
        <f t="shared" si="38"/>
        <v>141</v>
      </c>
      <c r="G319" s="1322">
        <f t="shared" si="44"/>
        <v>11446</v>
      </c>
      <c r="H319" s="1322">
        <f t="shared" si="40"/>
        <v>106.97196261682242</v>
      </c>
      <c r="I319" s="1322">
        <f t="shared" si="41"/>
        <v>39044.766355140186</v>
      </c>
      <c r="J319" s="1324">
        <f ca="1">F318:F319/$M$3</f>
        <v>6.2355011476664117</v>
      </c>
      <c r="K319" s="1324">
        <f t="shared" si="46"/>
        <v>0.78089532710280374</v>
      </c>
      <c r="L319" s="1323">
        <f t="shared" si="47"/>
        <v>11598</v>
      </c>
      <c r="M319" s="1322"/>
      <c r="N319" s="1322"/>
      <c r="O319" s="1305"/>
      <c r="P319" s="1305"/>
      <c r="Q319" s="1304"/>
      <c r="R319" s="1303"/>
      <c r="S319" s="1303"/>
      <c r="T319" s="1303"/>
    </row>
    <row r="320" spans="1:20" s="1302" customFormat="1" ht="16.5" customHeight="1">
      <c r="A320" s="1328" t="s">
        <v>1138</v>
      </c>
      <c r="B320" s="1337">
        <v>44669</v>
      </c>
      <c r="C320" s="1336">
        <v>108</v>
      </c>
      <c r="D320" s="1333">
        <f t="shared" si="43"/>
        <v>472598</v>
      </c>
      <c r="E320" s="1335">
        <f>E319</f>
        <v>472598</v>
      </c>
      <c r="F320" s="1333">
        <f t="shared" si="38"/>
        <v>0</v>
      </c>
      <c r="G320" s="1333">
        <f t="shared" si="44"/>
        <v>11446</v>
      </c>
      <c r="H320" s="1333">
        <f t="shared" si="40"/>
        <v>105.98148148148148</v>
      </c>
      <c r="I320" s="1333">
        <f t="shared" si="41"/>
        <v>38683.240740740737</v>
      </c>
      <c r="J320" s="1333"/>
      <c r="K320" s="1334">
        <f t="shared" si="46"/>
        <v>0.77366481481481475</v>
      </c>
      <c r="L320" s="1333">
        <f t="shared" si="47"/>
        <v>11598</v>
      </c>
      <c r="M320" s="1333"/>
      <c r="N320" s="1333"/>
      <c r="O320" s="1305"/>
      <c r="P320" s="1305"/>
      <c r="Q320" s="1304"/>
      <c r="R320" s="1303"/>
      <c r="S320" s="1303"/>
      <c r="T320" s="1303"/>
    </row>
    <row r="321" spans="1:20" s="1302" customFormat="1" ht="16.5" customHeight="1">
      <c r="A321" s="1328" t="s">
        <v>1137</v>
      </c>
      <c r="B321" s="1327">
        <v>44670</v>
      </c>
      <c r="C321" s="1326">
        <v>109</v>
      </c>
      <c r="D321" s="1323">
        <f t="shared" si="43"/>
        <v>472598</v>
      </c>
      <c r="E321" s="1325">
        <v>472754</v>
      </c>
      <c r="F321" s="1322">
        <f t="shared" si="38"/>
        <v>156</v>
      </c>
      <c r="G321" s="1322">
        <f t="shared" si="44"/>
        <v>11602</v>
      </c>
      <c r="H321" s="1322">
        <f t="shared" si="40"/>
        <v>106.44036697247707</v>
      </c>
      <c r="I321" s="1322">
        <f t="shared" si="41"/>
        <v>38850.733944954132</v>
      </c>
      <c r="J321" s="1324">
        <f ca="1">F320:F321/$M$3</f>
        <v>6.89885233358837</v>
      </c>
      <c r="K321" s="1324">
        <f t="shared" si="46"/>
        <v>0.7770146788990826</v>
      </c>
      <c r="L321" s="1323">
        <f t="shared" si="47"/>
        <v>11754</v>
      </c>
      <c r="M321" s="1322"/>
      <c r="N321" s="1322"/>
      <c r="O321" s="1305"/>
      <c r="P321" s="1305"/>
      <c r="Q321" s="1304"/>
      <c r="R321" s="1303"/>
      <c r="S321" s="1303"/>
      <c r="T321" s="1303"/>
    </row>
    <row r="322" spans="1:20" s="1302" customFormat="1" ht="16.5" customHeight="1">
      <c r="A322" s="1328" t="s">
        <v>1131</v>
      </c>
      <c r="B322" s="1337">
        <v>44671</v>
      </c>
      <c r="C322" s="1336">
        <v>110</v>
      </c>
      <c r="D322" s="1333">
        <f t="shared" si="43"/>
        <v>472754</v>
      </c>
      <c r="E322" s="1335">
        <f>E321</f>
        <v>472754</v>
      </c>
      <c r="F322" s="1333">
        <f t="shared" si="38"/>
        <v>0</v>
      </c>
      <c r="G322" s="1333">
        <f t="shared" si="44"/>
        <v>11602</v>
      </c>
      <c r="H322" s="1333">
        <f t="shared" si="40"/>
        <v>105.47272727272727</v>
      </c>
      <c r="I322" s="1333">
        <f t="shared" si="41"/>
        <v>38497.545454545456</v>
      </c>
      <c r="J322" s="1333"/>
      <c r="K322" s="1334">
        <f t="shared" si="46"/>
        <v>0.76995090909090913</v>
      </c>
      <c r="L322" s="1333">
        <f t="shared" si="47"/>
        <v>11754</v>
      </c>
      <c r="M322" s="1333"/>
      <c r="N322" s="1333"/>
      <c r="O322" s="1305"/>
      <c r="P322" s="1305"/>
      <c r="Q322" s="1304"/>
      <c r="R322" s="1303"/>
      <c r="S322" s="1303"/>
      <c r="T322" s="1303"/>
    </row>
    <row r="323" spans="1:20" s="1302" customFormat="1" ht="16.5" customHeight="1">
      <c r="A323" s="1328" t="s">
        <v>1136</v>
      </c>
      <c r="B323" s="1337">
        <v>44672</v>
      </c>
      <c r="C323" s="1336">
        <v>111</v>
      </c>
      <c r="D323" s="1333">
        <f t="shared" si="43"/>
        <v>472754</v>
      </c>
      <c r="E323" s="1335">
        <f>E322</f>
        <v>472754</v>
      </c>
      <c r="F323" s="1333">
        <f t="shared" si="38"/>
        <v>0</v>
      </c>
      <c r="G323" s="1333">
        <f t="shared" si="44"/>
        <v>11602</v>
      </c>
      <c r="H323" s="1333">
        <f t="shared" si="40"/>
        <v>104.52252252252252</v>
      </c>
      <c r="I323" s="1333">
        <f t="shared" si="41"/>
        <v>38150.720720720718</v>
      </c>
      <c r="J323" s="1333"/>
      <c r="K323" s="1334">
        <f t="shared" si="46"/>
        <v>0.76301441441441431</v>
      </c>
      <c r="L323" s="1333">
        <f t="shared" si="47"/>
        <v>11754</v>
      </c>
      <c r="M323" s="1333"/>
      <c r="N323" s="1333"/>
      <c r="O323" s="1305"/>
      <c r="P323" s="1305"/>
      <c r="Q323" s="1304"/>
      <c r="R323" s="1303"/>
      <c r="S323" s="1303"/>
      <c r="T323" s="1303"/>
    </row>
    <row r="324" spans="1:20" s="1302" customFormat="1" ht="16.5" customHeight="1">
      <c r="A324" s="1328" t="s">
        <v>1130</v>
      </c>
      <c r="B324" s="1327">
        <v>44673</v>
      </c>
      <c r="C324" s="1326">
        <v>112</v>
      </c>
      <c r="D324" s="1323">
        <f t="shared" si="43"/>
        <v>472754</v>
      </c>
      <c r="E324" s="1325">
        <v>473036</v>
      </c>
      <c r="F324" s="1322">
        <f t="shared" si="38"/>
        <v>282</v>
      </c>
      <c r="G324" s="1322">
        <f t="shared" si="44"/>
        <v>11884</v>
      </c>
      <c r="H324" s="1322">
        <f t="shared" si="40"/>
        <v>106.10714285714286</v>
      </c>
      <c r="I324" s="1322">
        <f t="shared" si="41"/>
        <v>38729.107142857145</v>
      </c>
      <c r="J324" s="1324">
        <f ca="1">F323:F324/$M$3</f>
        <v>12.471002295332823</v>
      </c>
      <c r="K324" s="1324">
        <f t="shared" si="46"/>
        <v>0.77458214285714289</v>
      </c>
      <c r="L324" s="1323">
        <f t="shared" si="47"/>
        <v>12036</v>
      </c>
      <c r="M324" s="1322"/>
      <c r="N324" s="1322"/>
      <c r="O324" s="1305"/>
      <c r="P324" s="1305"/>
      <c r="Q324" s="1304"/>
      <c r="R324" s="1303"/>
      <c r="S324" s="1303"/>
      <c r="T324" s="1303"/>
    </row>
    <row r="325" spans="1:20" s="1302" customFormat="1" ht="16.5" customHeight="1">
      <c r="A325" s="1328" t="s">
        <v>1128</v>
      </c>
      <c r="B325" s="1337">
        <v>44674</v>
      </c>
      <c r="C325" s="1336">
        <v>113</v>
      </c>
      <c r="D325" s="1333">
        <f t="shared" si="43"/>
        <v>473036</v>
      </c>
      <c r="E325" s="1335">
        <f>E324</f>
        <v>473036</v>
      </c>
      <c r="F325" s="1333">
        <f t="shared" si="38"/>
        <v>0</v>
      </c>
      <c r="G325" s="1333">
        <f t="shared" si="44"/>
        <v>11884</v>
      </c>
      <c r="H325" s="1333">
        <f t="shared" si="40"/>
        <v>105.16814159292035</v>
      </c>
      <c r="I325" s="1333">
        <f t="shared" si="41"/>
        <v>38386.371681415927</v>
      </c>
      <c r="J325" s="1333"/>
      <c r="K325" s="1334">
        <f t="shared" si="46"/>
        <v>0.76772743362831852</v>
      </c>
      <c r="L325" s="1333">
        <f t="shared" si="47"/>
        <v>12036</v>
      </c>
      <c r="M325" s="1333"/>
      <c r="N325" s="1333"/>
      <c r="O325" s="1305"/>
      <c r="P325" s="1305"/>
      <c r="Q325" s="1304"/>
      <c r="R325" s="1303"/>
      <c r="S325" s="1303"/>
      <c r="T325" s="1303"/>
    </row>
    <row r="326" spans="1:20" s="1302" customFormat="1" ht="16.5" customHeight="1">
      <c r="A326" s="1328" t="s">
        <v>1139</v>
      </c>
      <c r="B326" s="1337">
        <v>44675</v>
      </c>
      <c r="C326" s="1336">
        <v>114</v>
      </c>
      <c r="D326" s="1333">
        <f t="shared" si="43"/>
        <v>473036</v>
      </c>
      <c r="E326" s="1335">
        <f>E325</f>
        <v>473036</v>
      </c>
      <c r="F326" s="1333">
        <f t="shared" si="38"/>
        <v>0</v>
      </c>
      <c r="G326" s="1333">
        <f t="shared" si="44"/>
        <v>11884</v>
      </c>
      <c r="H326" s="1333">
        <f t="shared" si="40"/>
        <v>104.24561403508773</v>
      </c>
      <c r="I326" s="1333">
        <f t="shared" si="41"/>
        <v>38049.649122807023</v>
      </c>
      <c r="J326" s="1333"/>
      <c r="K326" s="1334">
        <f t="shared" si="46"/>
        <v>0.76099298245614044</v>
      </c>
      <c r="L326" s="1333">
        <f t="shared" si="47"/>
        <v>12036</v>
      </c>
      <c r="M326" s="1333"/>
      <c r="N326" s="1333"/>
      <c r="O326" s="1305"/>
      <c r="P326" s="1305"/>
      <c r="Q326" s="1304"/>
      <c r="R326" s="1303"/>
      <c r="S326" s="1303"/>
      <c r="T326" s="1303"/>
    </row>
    <row r="327" spans="1:20" s="1302" customFormat="1" ht="16.5" customHeight="1">
      <c r="A327" s="1328" t="s">
        <v>1138</v>
      </c>
      <c r="B327" s="1327">
        <v>44676</v>
      </c>
      <c r="C327" s="1326">
        <v>115</v>
      </c>
      <c r="D327" s="1323">
        <f t="shared" si="43"/>
        <v>473036</v>
      </c>
      <c r="E327" s="1325">
        <v>473456</v>
      </c>
      <c r="F327" s="1322">
        <f t="shared" ref="F327:F390" si="50">E327-D327</f>
        <v>420</v>
      </c>
      <c r="G327" s="1322">
        <f t="shared" si="44"/>
        <v>12304</v>
      </c>
      <c r="H327" s="1322">
        <f t="shared" si="40"/>
        <v>106.99130434782609</v>
      </c>
      <c r="I327" s="1322">
        <f t="shared" si="41"/>
        <v>39051.82608695652</v>
      </c>
      <c r="J327" s="1324">
        <f ca="1">F326:F327/$M$3</f>
        <v>18.573833205814843</v>
      </c>
      <c r="K327" s="1324">
        <f t="shared" si="46"/>
        <v>0.78103652173913041</v>
      </c>
      <c r="L327" s="1323">
        <f t="shared" si="47"/>
        <v>12456</v>
      </c>
      <c r="M327" s="1322"/>
      <c r="N327" s="1322"/>
      <c r="O327" s="1305"/>
      <c r="P327" s="1305"/>
      <c r="Q327" s="1304"/>
      <c r="R327" s="1303"/>
      <c r="S327" s="1303"/>
      <c r="T327" s="1303"/>
    </row>
    <row r="328" spans="1:20" s="1302" customFormat="1" ht="16.5" customHeight="1">
      <c r="A328" s="1328" t="s">
        <v>1137</v>
      </c>
      <c r="B328" s="1327">
        <v>44677</v>
      </c>
      <c r="C328" s="1326">
        <v>116</v>
      </c>
      <c r="D328" s="1323">
        <f t="shared" si="43"/>
        <v>473456</v>
      </c>
      <c r="E328" s="1325">
        <v>473601</v>
      </c>
      <c r="F328" s="1322">
        <f t="shared" si="50"/>
        <v>145</v>
      </c>
      <c r="G328" s="1322">
        <f t="shared" si="44"/>
        <v>12449</v>
      </c>
      <c r="H328" s="1322">
        <f t="shared" ref="H328:H391" si="51">G328/C328</f>
        <v>107.31896551724138</v>
      </c>
      <c r="I328" s="1322">
        <f t="shared" ref="I328:I391" si="52">G328/C328*365</f>
        <v>39171.422413793101</v>
      </c>
      <c r="J328" s="1324">
        <f ca="1">F327:F328/$M$3</f>
        <v>6.4123947972456001</v>
      </c>
      <c r="K328" s="1324">
        <f t="shared" si="46"/>
        <v>0.783428448275862</v>
      </c>
      <c r="L328" s="1323">
        <f t="shared" si="47"/>
        <v>12601</v>
      </c>
      <c r="M328" s="1322"/>
      <c r="N328" s="1322"/>
      <c r="O328" s="1305"/>
      <c r="P328" s="1305"/>
      <c r="Q328" s="1304"/>
      <c r="R328" s="1303"/>
      <c r="S328" s="1303"/>
      <c r="T328" s="1303"/>
    </row>
    <row r="329" spans="1:20" s="1302" customFormat="1" ht="16.5" customHeight="1">
      <c r="A329" s="1328" t="s">
        <v>1131</v>
      </c>
      <c r="B329" s="1327">
        <v>44678</v>
      </c>
      <c r="C329" s="1326">
        <v>117</v>
      </c>
      <c r="D329" s="1323">
        <f t="shared" si="43"/>
        <v>473601</v>
      </c>
      <c r="E329" s="1325">
        <v>473767</v>
      </c>
      <c r="F329" s="1322">
        <f t="shared" si="50"/>
        <v>166</v>
      </c>
      <c r="G329" s="1322">
        <f t="shared" si="44"/>
        <v>12615</v>
      </c>
      <c r="H329" s="1322">
        <f t="shared" si="51"/>
        <v>107.82051282051282</v>
      </c>
      <c r="I329" s="1322">
        <f t="shared" si="52"/>
        <v>39354.48717948718</v>
      </c>
      <c r="J329" s="1324">
        <f ca="1">F328:F329/$M$3</f>
        <v>7.3410864575363428</v>
      </c>
      <c r="K329" s="1324">
        <f t="shared" si="46"/>
        <v>0.7870897435897436</v>
      </c>
      <c r="L329" s="1323">
        <f t="shared" si="47"/>
        <v>12767</v>
      </c>
      <c r="M329" s="1322"/>
      <c r="N329" s="1322"/>
      <c r="O329" s="1305"/>
      <c r="P329" s="1305"/>
      <c r="Q329" s="1304"/>
      <c r="R329" s="1303"/>
      <c r="S329" s="1303"/>
      <c r="T329" s="1303"/>
    </row>
    <row r="330" spans="1:20" s="1302" customFormat="1" ht="16.5" customHeight="1">
      <c r="A330" s="1328" t="s">
        <v>1136</v>
      </c>
      <c r="B330" s="1337">
        <v>44679</v>
      </c>
      <c r="C330" s="1336">
        <v>118</v>
      </c>
      <c r="D330" s="1333">
        <f t="shared" si="43"/>
        <v>473767</v>
      </c>
      <c r="E330" s="1335">
        <f>E329</f>
        <v>473767</v>
      </c>
      <c r="F330" s="1333">
        <f t="shared" si="50"/>
        <v>0</v>
      </c>
      <c r="G330" s="1333">
        <f t="shared" si="44"/>
        <v>12615</v>
      </c>
      <c r="H330" s="1333">
        <f t="shared" si="51"/>
        <v>106.90677966101696</v>
      </c>
      <c r="I330" s="1333">
        <f t="shared" si="52"/>
        <v>39020.97457627119</v>
      </c>
      <c r="J330" s="1333"/>
      <c r="K330" s="1334">
        <f t="shared" si="46"/>
        <v>0.78041949152542378</v>
      </c>
      <c r="L330" s="1333">
        <f t="shared" si="47"/>
        <v>12767</v>
      </c>
      <c r="M330" s="1333"/>
      <c r="N330" s="1333"/>
      <c r="O330" s="1305"/>
      <c r="P330" s="1305"/>
      <c r="Q330" s="1304"/>
      <c r="R330" s="1303"/>
      <c r="S330" s="1303"/>
      <c r="T330" s="1303"/>
    </row>
    <row r="331" spans="1:20" s="1302" customFormat="1" ht="16.5" customHeight="1">
      <c r="A331" s="1328" t="s">
        <v>1130</v>
      </c>
      <c r="B331" s="1327">
        <v>44680</v>
      </c>
      <c r="C331" s="1326">
        <v>119</v>
      </c>
      <c r="D331" s="1323">
        <f t="shared" si="43"/>
        <v>473767</v>
      </c>
      <c r="E331" s="1325">
        <v>473894</v>
      </c>
      <c r="F331" s="1322">
        <f t="shared" si="50"/>
        <v>127</v>
      </c>
      <c r="G331" s="1322">
        <f t="shared" si="44"/>
        <v>12742</v>
      </c>
      <c r="H331" s="1322">
        <f t="shared" si="51"/>
        <v>107.07563025210084</v>
      </c>
      <c r="I331" s="1322">
        <f t="shared" si="52"/>
        <v>39082.605042016803</v>
      </c>
      <c r="J331" s="1324">
        <f t="shared" ref="J331:J337" ca="1" si="53">F330:F331/$M$3</f>
        <v>5.6163733741392496</v>
      </c>
      <c r="K331" s="1324">
        <f t="shared" si="46"/>
        <v>0.78165210084033609</v>
      </c>
      <c r="L331" s="1323">
        <f t="shared" si="47"/>
        <v>12894</v>
      </c>
      <c r="M331" s="1322"/>
      <c r="N331" s="1322"/>
      <c r="O331" s="1305"/>
      <c r="P331" s="1305"/>
      <c r="Q331" s="1304"/>
      <c r="R331" s="1303"/>
      <c r="S331" s="1303"/>
      <c r="T331" s="1303"/>
    </row>
    <row r="332" spans="1:20" s="1302" customFormat="1" ht="16.5" customHeight="1">
      <c r="A332" s="1328" t="s">
        <v>1128</v>
      </c>
      <c r="B332" s="1327">
        <v>44681</v>
      </c>
      <c r="C332" s="1326">
        <v>120</v>
      </c>
      <c r="D332" s="1323">
        <f t="shared" si="43"/>
        <v>473894</v>
      </c>
      <c r="E332" s="1325">
        <v>474015</v>
      </c>
      <c r="F332" s="1322">
        <f t="shared" si="50"/>
        <v>121</v>
      </c>
      <c r="G332" s="1322">
        <f t="shared" si="44"/>
        <v>12863</v>
      </c>
      <c r="H332" s="1322">
        <f t="shared" si="51"/>
        <v>107.19166666666666</v>
      </c>
      <c r="I332" s="1322">
        <f t="shared" si="52"/>
        <v>39124.958333333328</v>
      </c>
      <c r="J332" s="1324">
        <f t="shared" ca="1" si="53"/>
        <v>5.3510328997704661</v>
      </c>
      <c r="K332" s="1324">
        <f t="shared" si="46"/>
        <v>0.78249916666666652</v>
      </c>
      <c r="L332" s="1323">
        <f t="shared" si="47"/>
        <v>13015</v>
      </c>
      <c r="M332" s="1322"/>
      <c r="N332" s="1322"/>
      <c r="O332" s="1305"/>
      <c r="P332" s="1305"/>
      <c r="Q332" s="1304"/>
      <c r="R332" s="1303"/>
      <c r="S332" s="1303"/>
      <c r="T332" s="1303"/>
    </row>
    <row r="333" spans="1:20" s="1302" customFormat="1" ht="16.5" customHeight="1">
      <c r="A333" s="1328" t="s">
        <v>1139</v>
      </c>
      <c r="B333" s="1327">
        <v>44682</v>
      </c>
      <c r="C333" s="1326">
        <v>121</v>
      </c>
      <c r="D333" s="1323">
        <f t="shared" si="43"/>
        <v>474015</v>
      </c>
      <c r="E333" s="1325">
        <v>474082</v>
      </c>
      <c r="F333" s="1322">
        <f t="shared" si="50"/>
        <v>67</v>
      </c>
      <c r="G333" s="1322">
        <f t="shared" si="44"/>
        <v>12930</v>
      </c>
      <c r="H333" s="1322">
        <f t="shared" si="51"/>
        <v>106.85950413223141</v>
      </c>
      <c r="I333" s="1322">
        <f t="shared" si="52"/>
        <v>39003.719008264467</v>
      </c>
      <c r="J333" s="1324">
        <f t="shared" ca="1" si="53"/>
        <v>2.9629686304514151</v>
      </c>
      <c r="K333" s="1324">
        <f t="shared" si="46"/>
        <v>0.78007438016528929</v>
      </c>
      <c r="L333" s="1323">
        <f t="shared" si="47"/>
        <v>13082</v>
      </c>
      <c r="M333" s="1322"/>
      <c r="N333" s="1322"/>
      <c r="O333" s="1305"/>
      <c r="P333" s="1305"/>
      <c r="Q333" s="1304"/>
      <c r="R333" s="1303"/>
      <c r="S333" s="1303"/>
      <c r="T333" s="1303"/>
    </row>
    <row r="334" spans="1:20" s="1302" customFormat="1" ht="16.5" customHeight="1">
      <c r="A334" s="1328" t="s">
        <v>1138</v>
      </c>
      <c r="B334" s="1327">
        <v>44683</v>
      </c>
      <c r="C334" s="1326">
        <v>122</v>
      </c>
      <c r="D334" s="1323">
        <f t="shared" si="43"/>
        <v>474082</v>
      </c>
      <c r="E334" s="1325">
        <v>474217</v>
      </c>
      <c r="F334" s="1322">
        <f t="shared" si="50"/>
        <v>135</v>
      </c>
      <c r="G334" s="1322">
        <f t="shared" si="44"/>
        <v>13065</v>
      </c>
      <c r="H334" s="1322">
        <f t="shared" si="51"/>
        <v>107.09016393442623</v>
      </c>
      <c r="I334" s="1322">
        <f t="shared" si="52"/>
        <v>39087.909836065577</v>
      </c>
      <c r="J334" s="1324">
        <f t="shared" ca="1" si="53"/>
        <v>5.9701606732976282</v>
      </c>
      <c r="K334" s="1324">
        <f t="shared" si="46"/>
        <v>0.78175819672131153</v>
      </c>
      <c r="L334" s="1323">
        <f t="shared" si="47"/>
        <v>13217</v>
      </c>
      <c r="M334" s="1322"/>
      <c r="N334" s="1322"/>
      <c r="O334" s="1331"/>
      <c r="P334" s="1331"/>
      <c r="Q334" s="1330"/>
      <c r="R334" s="1329"/>
      <c r="S334" s="1329"/>
      <c r="T334" s="1329"/>
    </row>
    <row r="335" spans="1:20" s="1302" customFormat="1" ht="16.5" customHeight="1">
      <c r="A335" s="1328" t="s">
        <v>1137</v>
      </c>
      <c r="B335" s="1327">
        <v>44684</v>
      </c>
      <c r="C335" s="1326">
        <v>123</v>
      </c>
      <c r="D335" s="1323">
        <f t="shared" si="43"/>
        <v>474217</v>
      </c>
      <c r="E335" s="1325">
        <v>474303</v>
      </c>
      <c r="F335" s="1322">
        <f t="shared" si="50"/>
        <v>86</v>
      </c>
      <c r="G335" s="1322">
        <f t="shared" si="44"/>
        <v>13151</v>
      </c>
      <c r="H335" s="1322">
        <f t="shared" si="51"/>
        <v>106.91869918699187</v>
      </c>
      <c r="I335" s="1322">
        <f t="shared" si="52"/>
        <v>39025.325203252032</v>
      </c>
      <c r="J335" s="1324">
        <f t="shared" ca="1" si="53"/>
        <v>3.8032134659525627</v>
      </c>
      <c r="K335" s="1324">
        <f t="shared" si="46"/>
        <v>0.78050650406504063</v>
      </c>
      <c r="L335" s="1323">
        <f t="shared" si="47"/>
        <v>13303</v>
      </c>
      <c r="M335" s="1322"/>
      <c r="N335" s="1322"/>
      <c r="O335" s="1305"/>
      <c r="P335" s="1305"/>
      <c r="Q335" s="1304"/>
      <c r="R335" s="1303"/>
      <c r="S335" s="1303"/>
      <c r="T335" s="1303"/>
    </row>
    <row r="336" spans="1:20" s="1302" customFormat="1" ht="16.5" customHeight="1">
      <c r="A336" s="1328" t="s">
        <v>1131</v>
      </c>
      <c r="B336" s="1327">
        <v>44685</v>
      </c>
      <c r="C336" s="1326">
        <v>124</v>
      </c>
      <c r="D336" s="1323">
        <f t="shared" ref="D336:D399" si="54">E335</f>
        <v>474303</v>
      </c>
      <c r="E336" s="1325">
        <v>474336</v>
      </c>
      <c r="F336" s="1322">
        <f t="shared" si="50"/>
        <v>33</v>
      </c>
      <c r="G336" s="1322">
        <f t="shared" si="44"/>
        <v>13184</v>
      </c>
      <c r="H336" s="1322">
        <f t="shared" si="51"/>
        <v>106.3225806451613</v>
      </c>
      <c r="I336" s="1322">
        <f t="shared" si="52"/>
        <v>38807.741935483871</v>
      </c>
      <c r="J336" s="1324">
        <f t="shared" ca="1" si="53"/>
        <v>1.459372609028309</v>
      </c>
      <c r="K336" s="1324">
        <f t="shared" si="46"/>
        <v>0.77615483870967739</v>
      </c>
      <c r="L336" s="1323">
        <f t="shared" si="47"/>
        <v>13336</v>
      </c>
      <c r="M336" s="1322"/>
      <c r="N336" s="1322"/>
      <c r="O336" s="1305"/>
      <c r="P336" s="1305"/>
      <c r="Q336" s="1304"/>
      <c r="R336" s="1303"/>
      <c r="S336" s="1303"/>
      <c r="T336" s="1303"/>
    </row>
    <row r="337" spans="1:21" ht="16.5" customHeight="1">
      <c r="A337" s="1328" t="s">
        <v>1136</v>
      </c>
      <c r="B337" s="1327">
        <v>44686</v>
      </c>
      <c r="C337" s="1326">
        <v>125</v>
      </c>
      <c r="D337" s="1323">
        <f t="shared" si="54"/>
        <v>474336</v>
      </c>
      <c r="E337" s="1325">
        <v>474382</v>
      </c>
      <c r="F337" s="1322">
        <f t="shared" si="50"/>
        <v>46</v>
      </c>
      <c r="G337" s="1322">
        <f t="shared" si="44"/>
        <v>13230</v>
      </c>
      <c r="H337" s="1322">
        <f t="shared" si="51"/>
        <v>105.84</v>
      </c>
      <c r="I337" s="1322">
        <f t="shared" si="52"/>
        <v>38631.599999999999</v>
      </c>
      <c r="J337" s="1324">
        <f t="shared" ca="1" si="53"/>
        <v>2.0342769701606733</v>
      </c>
      <c r="K337" s="1324">
        <f t="shared" si="46"/>
        <v>0.77263199999999999</v>
      </c>
      <c r="L337" s="1323">
        <f t="shared" si="47"/>
        <v>13382</v>
      </c>
      <c r="M337" s="1322"/>
      <c r="N337" s="1322"/>
    </row>
    <row r="338" spans="1:21" s="1332" customFormat="1" ht="15.6">
      <c r="A338" s="1328" t="s">
        <v>1130</v>
      </c>
      <c r="B338" s="1337">
        <v>44687</v>
      </c>
      <c r="C338" s="1336">
        <v>126</v>
      </c>
      <c r="D338" s="1333">
        <f t="shared" si="54"/>
        <v>474382</v>
      </c>
      <c r="E338" s="1335">
        <f>E337</f>
        <v>474382</v>
      </c>
      <c r="F338" s="1333">
        <f t="shared" si="50"/>
        <v>0</v>
      </c>
      <c r="G338" s="1333">
        <f t="shared" si="44"/>
        <v>13230</v>
      </c>
      <c r="H338" s="1333">
        <f t="shared" si="51"/>
        <v>105</v>
      </c>
      <c r="I338" s="1333">
        <f t="shared" si="52"/>
        <v>38325</v>
      </c>
      <c r="J338" s="1334"/>
      <c r="K338" s="1334">
        <f t="shared" si="46"/>
        <v>0.76649999999999996</v>
      </c>
      <c r="L338" s="1333">
        <f t="shared" si="47"/>
        <v>13382</v>
      </c>
      <c r="M338" s="1333"/>
      <c r="N338" s="1333"/>
      <c r="O338" s="1305"/>
      <c r="P338" s="1305"/>
      <c r="Q338" s="1304"/>
      <c r="R338" s="1303"/>
      <c r="S338" s="1303"/>
      <c r="T338" s="1303"/>
      <c r="U338" s="1329"/>
    </row>
    <row r="339" spans="1:21" ht="16.5" customHeight="1">
      <c r="A339" s="1328" t="s">
        <v>1128</v>
      </c>
      <c r="B339" s="1327">
        <v>44688</v>
      </c>
      <c r="C339" s="1326">
        <v>127</v>
      </c>
      <c r="D339" s="1323">
        <f t="shared" si="54"/>
        <v>474382</v>
      </c>
      <c r="E339" s="1325">
        <v>474681</v>
      </c>
      <c r="F339" s="1322">
        <f t="shared" si="50"/>
        <v>299</v>
      </c>
      <c r="G339" s="1322">
        <f t="shared" si="44"/>
        <v>13529</v>
      </c>
      <c r="H339" s="1322">
        <f t="shared" si="51"/>
        <v>106.5275590551181</v>
      </c>
      <c r="I339" s="1322">
        <f t="shared" si="52"/>
        <v>38882.559055118109</v>
      </c>
      <c r="J339" s="1324">
        <f t="shared" ref="J339:J402" ca="1" si="55">F338:F339/$M$3</f>
        <v>13.222800306044375</v>
      </c>
      <c r="K339" s="1324">
        <f t="shared" si="46"/>
        <v>0.7776511811023622</v>
      </c>
      <c r="L339" s="1323">
        <f t="shared" si="47"/>
        <v>13681</v>
      </c>
      <c r="M339" s="1322"/>
      <c r="N339" s="1322"/>
    </row>
    <row r="340" spans="1:21" ht="16.5" customHeight="1">
      <c r="A340" s="1328" t="s">
        <v>1139</v>
      </c>
      <c r="B340" s="1327">
        <v>44689</v>
      </c>
      <c r="C340" s="1326">
        <v>128</v>
      </c>
      <c r="D340" s="1323">
        <f t="shared" si="54"/>
        <v>474681</v>
      </c>
      <c r="E340" s="1325">
        <v>474938</v>
      </c>
      <c r="F340" s="1322">
        <f t="shared" si="50"/>
        <v>257</v>
      </c>
      <c r="G340" s="1322">
        <f t="shared" si="44"/>
        <v>13786</v>
      </c>
      <c r="H340" s="1322">
        <f t="shared" si="51"/>
        <v>107.703125</v>
      </c>
      <c r="I340" s="1322">
        <f t="shared" si="52"/>
        <v>39311.640625</v>
      </c>
      <c r="J340" s="1324">
        <f t="shared" ca="1" si="55"/>
        <v>11.365416985462891</v>
      </c>
      <c r="K340" s="1324">
        <f t="shared" si="46"/>
        <v>0.78623281249999999</v>
      </c>
      <c r="L340" s="1323">
        <f t="shared" si="47"/>
        <v>13938</v>
      </c>
      <c r="M340" s="1322"/>
      <c r="N340" s="1322"/>
    </row>
    <row r="341" spans="1:21" ht="16.5" customHeight="1">
      <c r="A341" s="1328" t="s">
        <v>1138</v>
      </c>
      <c r="B341" s="1327">
        <v>44690</v>
      </c>
      <c r="C341" s="1326">
        <v>129</v>
      </c>
      <c r="D341" s="1323">
        <f t="shared" si="54"/>
        <v>474938</v>
      </c>
      <c r="E341" s="1325">
        <v>475224</v>
      </c>
      <c r="F341" s="1322">
        <f t="shared" si="50"/>
        <v>286</v>
      </c>
      <c r="G341" s="1322">
        <f t="shared" ref="G341:G404" si="56">E341-$E$212</f>
        <v>14072</v>
      </c>
      <c r="H341" s="1322">
        <f t="shared" si="51"/>
        <v>109.08527131782945</v>
      </c>
      <c r="I341" s="1322">
        <f t="shared" si="52"/>
        <v>39816.124031007748</v>
      </c>
      <c r="J341" s="1324">
        <f t="shared" ca="1" si="55"/>
        <v>12.647895944912012</v>
      </c>
      <c r="K341" s="1324">
        <f t="shared" ref="K341:K404" si="57">I341/50000</f>
        <v>0.79632248062015498</v>
      </c>
      <c r="L341" s="1323">
        <f t="shared" ref="L341:L404" si="58">E341-461000</f>
        <v>14224</v>
      </c>
      <c r="M341" s="1322"/>
      <c r="N341" s="1322"/>
    </row>
    <row r="342" spans="1:21" ht="16.5" customHeight="1">
      <c r="A342" s="1328" t="s">
        <v>1137</v>
      </c>
      <c r="B342" s="1327">
        <v>44691</v>
      </c>
      <c r="C342" s="1326">
        <v>130</v>
      </c>
      <c r="D342" s="1323">
        <f t="shared" si="54"/>
        <v>475224</v>
      </c>
      <c r="E342" s="1325">
        <v>475278</v>
      </c>
      <c r="F342" s="1322">
        <f t="shared" si="50"/>
        <v>54</v>
      </c>
      <c r="G342" s="1322">
        <f t="shared" si="56"/>
        <v>14126</v>
      </c>
      <c r="H342" s="1322">
        <f t="shared" si="51"/>
        <v>108.66153846153846</v>
      </c>
      <c r="I342" s="1322">
        <f t="shared" si="52"/>
        <v>39661.461538461539</v>
      </c>
      <c r="J342" s="1324">
        <f t="shared" ca="1" si="55"/>
        <v>2.388064269319051</v>
      </c>
      <c r="K342" s="1324">
        <f t="shared" si="57"/>
        <v>0.7932292307692308</v>
      </c>
      <c r="L342" s="1323">
        <f t="shared" si="58"/>
        <v>14278</v>
      </c>
      <c r="M342" s="1322"/>
      <c r="N342" s="1322"/>
    </row>
    <row r="343" spans="1:21" ht="16.5" customHeight="1">
      <c r="A343" s="1328" t="s">
        <v>1131</v>
      </c>
      <c r="B343" s="1327">
        <v>44692</v>
      </c>
      <c r="C343" s="1326">
        <v>131</v>
      </c>
      <c r="D343" s="1323">
        <f t="shared" si="54"/>
        <v>475278</v>
      </c>
      <c r="E343" s="1325">
        <v>475422</v>
      </c>
      <c r="F343" s="1322">
        <f t="shared" si="50"/>
        <v>144</v>
      </c>
      <c r="G343" s="1322">
        <f t="shared" si="56"/>
        <v>14270</v>
      </c>
      <c r="H343" s="1322">
        <f t="shared" si="51"/>
        <v>108.93129770992367</v>
      </c>
      <c r="I343" s="1322">
        <f t="shared" si="52"/>
        <v>39759.923664122136</v>
      </c>
      <c r="J343" s="1324">
        <f t="shared" ca="1" si="55"/>
        <v>6.368171384850803</v>
      </c>
      <c r="K343" s="1324">
        <f t="shared" si="57"/>
        <v>0.79519847328244275</v>
      </c>
      <c r="L343" s="1323">
        <f t="shared" si="58"/>
        <v>14422</v>
      </c>
      <c r="M343" s="1322"/>
      <c r="N343" s="1322"/>
      <c r="O343" s="1331"/>
      <c r="P343" s="1331"/>
      <c r="Q343" s="1330"/>
      <c r="R343" s="1329"/>
      <c r="S343" s="1329"/>
      <c r="T343" s="1329"/>
    </row>
    <row r="344" spans="1:21" ht="16.5" customHeight="1">
      <c r="A344" s="1328" t="s">
        <v>1136</v>
      </c>
      <c r="B344" s="1327">
        <v>44693</v>
      </c>
      <c r="C344" s="1326">
        <v>132</v>
      </c>
      <c r="D344" s="1323">
        <f t="shared" si="54"/>
        <v>475422</v>
      </c>
      <c r="E344" s="1325">
        <v>475508</v>
      </c>
      <c r="F344" s="1322">
        <f t="shared" si="50"/>
        <v>86</v>
      </c>
      <c r="G344" s="1322">
        <f t="shared" si="56"/>
        <v>14356</v>
      </c>
      <c r="H344" s="1322">
        <f t="shared" si="51"/>
        <v>108.75757575757575</v>
      </c>
      <c r="I344" s="1322">
        <f t="shared" si="52"/>
        <v>39696.515151515152</v>
      </c>
      <c r="J344" s="1324">
        <f t="shared" ca="1" si="55"/>
        <v>3.8032134659525627</v>
      </c>
      <c r="K344" s="1324">
        <f t="shared" si="57"/>
        <v>0.79393030303030299</v>
      </c>
      <c r="L344" s="1323">
        <f t="shared" si="58"/>
        <v>14508</v>
      </c>
      <c r="M344" s="1322"/>
      <c r="N344" s="1322"/>
      <c r="O344" s="1331"/>
      <c r="P344" s="1331"/>
      <c r="Q344" s="1330"/>
      <c r="R344" s="1329"/>
      <c r="S344" s="1329"/>
      <c r="T344" s="1329"/>
    </row>
    <row r="345" spans="1:21" ht="16.5" customHeight="1">
      <c r="A345" s="1328" t="s">
        <v>1130</v>
      </c>
      <c r="B345" s="1327">
        <v>44694</v>
      </c>
      <c r="C345" s="1326">
        <v>133</v>
      </c>
      <c r="D345" s="1323">
        <f t="shared" si="54"/>
        <v>475508</v>
      </c>
      <c r="E345" s="1325">
        <v>475622</v>
      </c>
      <c r="F345" s="1322">
        <f t="shared" si="50"/>
        <v>114</v>
      </c>
      <c r="G345" s="1322">
        <f t="shared" si="56"/>
        <v>14470</v>
      </c>
      <c r="H345" s="1322">
        <f t="shared" si="51"/>
        <v>108.79699248120301</v>
      </c>
      <c r="I345" s="1322">
        <f t="shared" si="52"/>
        <v>39710.902255639099</v>
      </c>
      <c r="J345" s="1324">
        <f t="shared" ca="1" si="55"/>
        <v>5.0414690130068855</v>
      </c>
      <c r="K345" s="1324">
        <f t="shared" si="57"/>
        <v>0.79421804511278193</v>
      </c>
      <c r="L345" s="1323">
        <f t="shared" si="58"/>
        <v>14622</v>
      </c>
      <c r="M345" s="1322"/>
      <c r="N345" s="1322"/>
      <c r="O345" s="1331"/>
      <c r="P345" s="1331"/>
      <c r="Q345" s="1330"/>
      <c r="R345" s="1329"/>
      <c r="S345" s="1329"/>
      <c r="T345" s="1329"/>
    </row>
    <row r="346" spans="1:21" ht="16.5" customHeight="1">
      <c r="A346" s="1328" t="s">
        <v>1128</v>
      </c>
      <c r="B346" s="1327">
        <v>44695</v>
      </c>
      <c r="C346" s="1326">
        <v>134</v>
      </c>
      <c r="D346" s="1323">
        <f t="shared" si="54"/>
        <v>475622</v>
      </c>
      <c r="E346" s="1325">
        <v>475757</v>
      </c>
      <c r="F346" s="1322">
        <f t="shared" si="50"/>
        <v>135</v>
      </c>
      <c r="G346" s="1322">
        <f t="shared" si="56"/>
        <v>14605</v>
      </c>
      <c r="H346" s="1322">
        <f t="shared" si="51"/>
        <v>108.99253731343283</v>
      </c>
      <c r="I346" s="1322">
        <f t="shared" si="52"/>
        <v>39782.276119402981</v>
      </c>
      <c r="J346" s="1324">
        <f t="shared" ca="1" si="55"/>
        <v>5.9701606732976282</v>
      </c>
      <c r="K346" s="1324">
        <f t="shared" si="57"/>
        <v>0.79564552238805963</v>
      </c>
      <c r="L346" s="1323">
        <f t="shared" si="58"/>
        <v>14757</v>
      </c>
      <c r="M346" s="1322"/>
      <c r="N346" s="1322"/>
      <c r="O346" s="1331"/>
      <c r="P346" s="1331"/>
      <c r="Q346" s="1330"/>
      <c r="R346" s="1329"/>
      <c r="S346" s="1329"/>
      <c r="T346" s="1329"/>
    </row>
    <row r="347" spans="1:21" ht="16.5" customHeight="1">
      <c r="A347" s="1328" t="s">
        <v>1139</v>
      </c>
      <c r="B347" s="1327">
        <v>44696</v>
      </c>
      <c r="C347" s="1326">
        <v>135</v>
      </c>
      <c r="D347" s="1323">
        <f t="shared" si="54"/>
        <v>475757</v>
      </c>
      <c r="E347" s="1325">
        <v>475982</v>
      </c>
      <c r="F347" s="1322">
        <f t="shared" si="50"/>
        <v>225</v>
      </c>
      <c r="G347" s="1322">
        <f t="shared" si="56"/>
        <v>14830</v>
      </c>
      <c r="H347" s="1322">
        <f t="shared" si="51"/>
        <v>109.85185185185185</v>
      </c>
      <c r="I347" s="1322">
        <f t="shared" si="52"/>
        <v>40095.925925925927</v>
      </c>
      <c r="J347" s="1324">
        <f t="shared" ca="1" si="55"/>
        <v>9.9502677888293789</v>
      </c>
      <c r="K347" s="1324">
        <f t="shared" si="57"/>
        <v>0.80191851851851859</v>
      </c>
      <c r="L347" s="1323">
        <f t="shared" si="58"/>
        <v>14982</v>
      </c>
      <c r="M347" s="1322"/>
      <c r="N347" s="1322"/>
      <c r="O347" s="1331"/>
      <c r="P347" s="1331"/>
      <c r="Q347" s="1330"/>
      <c r="R347" s="1329"/>
      <c r="S347" s="1329"/>
      <c r="T347" s="1329"/>
    </row>
    <row r="348" spans="1:21" ht="16.5" customHeight="1">
      <c r="A348" s="1328" t="s">
        <v>1138</v>
      </c>
      <c r="B348" s="1327">
        <v>44697</v>
      </c>
      <c r="C348" s="1326">
        <v>136</v>
      </c>
      <c r="D348" s="1323">
        <f t="shared" si="54"/>
        <v>475982</v>
      </c>
      <c r="E348" s="1325">
        <v>476073</v>
      </c>
      <c r="F348" s="1322">
        <f t="shared" si="50"/>
        <v>91</v>
      </c>
      <c r="G348" s="1322">
        <f t="shared" si="56"/>
        <v>14921</v>
      </c>
      <c r="H348" s="1322">
        <f t="shared" si="51"/>
        <v>109.71323529411765</v>
      </c>
      <c r="I348" s="1322">
        <f t="shared" si="52"/>
        <v>40045.330882352944</v>
      </c>
      <c r="J348" s="1324">
        <f t="shared" ca="1" si="55"/>
        <v>4.0243305279265495</v>
      </c>
      <c r="K348" s="1324">
        <f t="shared" si="57"/>
        <v>0.80090661764705884</v>
      </c>
      <c r="L348" s="1323">
        <f t="shared" si="58"/>
        <v>15073</v>
      </c>
      <c r="M348" s="1322"/>
      <c r="N348" s="1322"/>
      <c r="O348" s="1331"/>
      <c r="P348" s="1331"/>
      <c r="Q348" s="1330"/>
      <c r="R348" s="1329"/>
      <c r="S348" s="1329"/>
      <c r="T348" s="1329"/>
    </row>
    <row r="349" spans="1:21" ht="16.5" customHeight="1">
      <c r="A349" s="1328" t="s">
        <v>1137</v>
      </c>
      <c r="B349" s="1327">
        <v>44698</v>
      </c>
      <c r="C349" s="1326">
        <v>137</v>
      </c>
      <c r="D349" s="1323">
        <f t="shared" si="54"/>
        <v>476073</v>
      </c>
      <c r="E349" s="1325">
        <v>476206</v>
      </c>
      <c r="F349" s="1322">
        <f t="shared" si="50"/>
        <v>133</v>
      </c>
      <c r="G349" s="1322">
        <f t="shared" si="56"/>
        <v>15054</v>
      </c>
      <c r="H349" s="1322">
        <f t="shared" si="51"/>
        <v>109.88321167883211</v>
      </c>
      <c r="I349" s="1322">
        <f t="shared" si="52"/>
        <v>40107.372262773722</v>
      </c>
      <c r="J349" s="1324">
        <f t="shared" ca="1" si="55"/>
        <v>5.8817138485080331</v>
      </c>
      <c r="K349" s="1324">
        <f t="shared" si="57"/>
        <v>0.80214744525547443</v>
      </c>
      <c r="L349" s="1323">
        <f t="shared" si="58"/>
        <v>15206</v>
      </c>
      <c r="M349" s="1322"/>
      <c r="N349" s="1322"/>
      <c r="O349" s="1331"/>
      <c r="P349" s="1331"/>
      <c r="Q349" s="1330"/>
      <c r="R349" s="1329"/>
      <c r="S349" s="1329"/>
      <c r="T349" s="1329"/>
    </row>
    <row r="350" spans="1:21" ht="16.5" customHeight="1">
      <c r="A350" s="1328" t="s">
        <v>1131</v>
      </c>
      <c r="B350" s="1327">
        <v>44699</v>
      </c>
      <c r="C350" s="1326">
        <v>138</v>
      </c>
      <c r="D350" s="1323">
        <f t="shared" si="54"/>
        <v>476206</v>
      </c>
      <c r="E350" s="1325">
        <v>476443</v>
      </c>
      <c r="F350" s="1322">
        <f t="shared" si="50"/>
        <v>237</v>
      </c>
      <c r="G350" s="1322">
        <f t="shared" si="56"/>
        <v>15291</v>
      </c>
      <c r="H350" s="1322">
        <f t="shared" si="51"/>
        <v>110.80434782608695</v>
      </c>
      <c r="I350" s="1322">
        <f t="shared" si="52"/>
        <v>40443.586956521736</v>
      </c>
      <c r="J350" s="1324">
        <f t="shared" ca="1" si="55"/>
        <v>10.480948737566946</v>
      </c>
      <c r="K350" s="1324">
        <f t="shared" si="57"/>
        <v>0.80887173913043475</v>
      </c>
      <c r="L350" s="1323">
        <f t="shared" si="58"/>
        <v>15443</v>
      </c>
      <c r="M350" s="1322"/>
      <c r="N350" s="1322"/>
      <c r="O350" s="1331"/>
      <c r="P350" s="1331"/>
      <c r="Q350" s="1330"/>
      <c r="R350" s="1329"/>
      <c r="S350" s="1329"/>
      <c r="T350" s="1329"/>
    </row>
    <row r="351" spans="1:21" ht="16.5" customHeight="1">
      <c r="A351" s="1328" t="s">
        <v>1136</v>
      </c>
      <c r="B351" s="1327">
        <v>44700</v>
      </c>
      <c r="C351" s="1326">
        <v>139</v>
      </c>
      <c r="D351" s="1323">
        <f t="shared" si="54"/>
        <v>476443</v>
      </c>
      <c r="E351" s="1325">
        <v>476501</v>
      </c>
      <c r="F351" s="1322">
        <f t="shared" si="50"/>
        <v>58</v>
      </c>
      <c r="G351" s="1322">
        <f t="shared" si="56"/>
        <v>15349</v>
      </c>
      <c r="H351" s="1322">
        <f t="shared" si="51"/>
        <v>110.42446043165468</v>
      </c>
      <c r="I351" s="1322">
        <f t="shared" si="52"/>
        <v>40304.92805755396</v>
      </c>
      <c r="J351" s="1324">
        <f t="shared" ca="1" si="55"/>
        <v>2.5649579188982403</v>
      </c>
      <c r="K351" s="1324">
        <f t="shared" si="57"/>
        <v>0.80609856115107914</v>
      </c>
      <c r="L351" s="1323">
        <f t="shared" si="58"/>
        <v>15501</v>
      </c>
      <c r="M351" s="1322"/>
      <c r="N351" s="1322"/>
      <c r="O351" s="1302"/>
      <c r="P351" s="1302"/>
      <c r="Q351" s="1302"/>
      <c r="R351" s="1302"/>
      <c r="S351" s="1302"/>
      <c r="T351" s="1302"/>
    </row>
    <row r="352" spans="1:21" ht="16.5" customHeight="1">
      <c r="A352" s="1328" t="s">
        <v>1130</v>
      </c>
      <c r="B352" s="1327">
        <v>44701</v>
      </c>
      <c r="C352" s="1326">
        <v>140</v>
      </c>
      <c r="D352" s="1323">
        <f t="shared" si="54"/>
        <v>476501</v>
      </c>
      <c r="E352" s="1325">
        <v>476560</v>
      </c>
      <c r="F352" s="1322">
        <f t="shared" si="50"/>
        <v>59</v>
      </c>
      <c r="G352" s="1322">
        <f t="shared" si="56"/>
        <v>15408</v>
      </c>
      <c r="H352" s="1322">
        <f t="shared" si="51"/>
        <v>110.05714285714286</v>
      </c>
      <c r="I352" s="1322">
        <f t="shared" si="52"/>
        <v>40170.857142857145</v>
      </c>
      <c r="J352" s="1324">
        <f t="shared" ca="1" si="55"/>
        <v>2.6091813312930374</v>
      </c>
      <c r="K352" s="1324">
        <f t="shared" si="57"/>
        <v>0.80341714285714294</v>
      </c>
      <c r="L352" s="1323">
        <f t="shared" si="58"/>
        <v>15560</v>
      </c>
      <c r="M352" s="1322"/>
      <c r="N352" s="1322"/>
      <c r="O352" s="1302"/>
      <c r="P352" s="1302"/>
      <c r="Q352" s="1302"/>
      <c r="R352" s="1302"/>
      <c r="S352" s="1302"/>
      <c r="T352" s="1302"/>
    </row>
    <row r="353" spans="1:14" s="1302" customFormat="1" ht="16.5" customHeight="1">
      <c r="A353" s="1328" t="s">
        <v>1128</v>
      </c>
      <c r="B353" s="1327">
        <v>44702</v>
      </c>
      <c r="C353" s="1326">
        <v>141</v>
      </c>
      <c r="D353" s="1323">
        <f t="shared" si="54"/>
        <v>476560</v>
      </c>
      <c r="E353" s="1325">
        <v>476635</v>
      </c>
      <c r="F353" s="1322">
        <f t="shared" si="50"/>
        <v>75</v>
      </c>
      <c r="G353" s="1322">
        <f t="shared" si="56"/>
        <v>15483</v>
      </c>
      <c r="H353" s="1322">
        <f t="shared" si="51"/>
        <v>109.80851063829788</v>
      </c>
      <c r="I353" s="1322">
        <f t="shared" si="52"/>
        <v>40080.106382978724</v>
      </c>
      <c r="J353" s="1324">
        <f t="shared" ca="1" si="55"/>
        <v>3.3167559296097933</v>
      </c>
      <c r="K353" s="1324">
        <f t="shared" si="57"/>
        <v>0.8016021276595745</v>
      </c>
      <c r="L353" s="1323">
        <f t="shared" si="58"/>
        <v>15635</v>
      </c>
      <c r="M353" s="1322"/>
      <c r="N353" s="1322"/>
    </row>
    <row r="354" spans="1:14" s="1302" customFormat="1" ht="16.5" customHeight="1">
      <c r="A354" s="1328" t="s">
        <v>1139</v>
      </c>
      <c r="B354" s="1327">
        <v>44703</v>
      </c>
      <c r="C354" s="1326">
        <v>142</v>
      </c>
      <c r="D354" s="1323">
        <f t="shared" si="54"/>
        <v>476635</v>
      </c>
      <c r="E354" s="1325">
        <v>476712</v>
      </c>
      <c r="F354" s="1322">
        <f t="shared" si="50"/>
        <v>77</v>
      </c>
      <c r="G354" s="1322">
        <f t="shared" si="56"/>
        <v>15560</v>
      </c>
      <c r="H354" s="1322">
        <f t="shared" si="51"/>
        <v>109.5774647887324</v>
      </c>
      <c r="I354" s="1322">
        <f t="shared" si="52"/>
        <v>39995.774647887323</v>
      </c>
      <c r="J354" s="1324">
        <f t="shared" ca="1" si="55"/>
        <v>3.4052027543993879</v>
      </c>
      <c r="K354" s="1324">
        <f t="shared" si="57"/>
        <v>0.79991549295774644</v>
      </c>
      <c r="L354" s="1323">
        <f t="shared" si="58"/>
        <v>15712</v>
      </c>
      <c r="M354" s="1322"/>
      <c r="N354" s="1322"/>
    </row>
    <row r="355" spans="1:14" s="1302" customFormat="1" ht="16.5" customHeight="1">
      <c r="A355" s="1328" t="s">
        <v>1138</v>
      </c>
      <c r="B355" s="1327">
        <v>44704</v>
      </c>
      <c r="C355" s="1326">
        <v>143</v>
      </c>
      <c r="D355" s="1323">
        <f t="shared" si="54"/>
        <v>476712</v>
      </c>
      <c r="E355" s="1325">
        <v>476782</v>
      </c>
      <c r="F355" s="1322">
        <f t="shared" si="50"/>
        <v>70</v>
      </c>
      <c r="G355" s="1322">
        <f t="shared" si="56"/>
        <v>15630</v>
      </c>
      <c r="H355" s="1322">
        <f t="shared" si="51"/>
        <v>109.30069930069931</v>
      </c>
      <c r="I355" s="1322">
        <f t="shared" si="52"/>
        <v>39894.755244755244</v>
      </c>
      <c r="J355" s="1324">
        <f t="shared" ca="1" si="55"/>
        <v>3.0956388676358069</v>
      </c>
      <c r="K355" s="1324">
        <f t="shared" si="57"/>
        <v>0.79789510489510485</v>
      </c>
      <c r="L355" s="1323">
        <f t="shared" si="58"/>
        <v>15782</v>
      </c>
      <c r="M355" s="1322"/>
      <c r="N355" s="1322"/>
    </row>
    <row r="356" spans="1:14" s="1302" customFormat="1" ht="16.5" customHeight="1">
      <c r="A356" s="1328" t="s">
        <v>1137</v>
      </c>
      <c r="B356" s="1327">
        <v>44705</v>
      </c>
      <c r="C356" s="1326">
        <v>144</v>
      </c>
      <c r="D356" s="1323">
        <f t="shared" si="54"/>
        <v>476782</v>
      </c>
      <c r="E356" s="1325">
        <v>476840</v>
      </c>
      <c r="F356" s="1322">
        <f t="shared" si="50"/>
        <v>58</v>
      </c>
      <c r="G356" s="1322">
        <f t="shared" si="56"/>
        <v>15688</v>
      </c>
      <c r="H356" s="1322">
        <f t="shared" si="51"/>
        <v>108.94444444444444</v>
      </c>
      <c r="I356" s="1322">
        <f t="shared" si="52"/>
        <v>39764.722222222219</v>
      </c>
      <c r="J356" s="1324">
        <f t="shared" ca="1" si="55"/>
        <v>2.5649579188982403</v>
      </c>
      <c r="K356" s="1324">
        <f t="shared" si="57"/>
        <v>0.79529444444444441</v>
      </c>
      <c r="L356" s="1323">
        <f t="shared" si="58"/>
        <v>15840</v>
      </c>
      <c r="M356" s="1322"/>
      <c r="N356" s="1322"/>
    </row>
    <row r="357" spans="1:14" s="1302" customFormat="1" ht="16.5" customHeight="1">
      <c r="A357" s="1328" t="s">
        <v>1131</v>
      </c>
      <c r="B357" s="1327">
        <v>44706</v>
      </c>
      <c r="C357" s="1326">
        <v>145</v>
      </c>
      <c r="D357" s="1323">
        <f t="shared" si="54"/>
        <v>476840</v>
      </c>
      <c r="E357" s="1325">
        <v>476921</v>
      </c>
      <c r="F357" s="1322">
        <f t="shared" si="50"/>
        <v>81</v>
      </c>
      <c r="G357" s="1322">
        <f t="shared" si="56"/>
        <v>15769</v>
      </c>
      <c r="H357" s="1322">
        <f t="shared" si="51"/>
        <v>108.75172413793103</v>
      </c>
      <c r="I357" s="1322">
        <f t="shared" si="52"/>
        <v>39694.379310344826</v>
      </c>
      <c r="J357" s="1324">
        <f t="shared" ca="1" si="55"/>
        <v>3.5820964039785768</v>
      </c>
      <c r="K357" s="1324">
        <f t="shared" si="57"/>
        <v>0.79388758620689648</v>
      </c>
      <c r="L357" s="1323">
        <f t="shared" si="58"/>
        <v>15921</v>
      </c>
      <c r="M357" s="1322"/>
      <c r="N357" s="1322"/>
    </row>
    <row r="358" spans="1:14" s="1302" customFormat="1" ht="16.5" customHeight="1">
      <c r="A358" s="1328" t="s">
        <v>1136</v>
      </c>
      <c r="B358" s="1327">
        <v>44707</v>
      </c>
      <c r="C358" s="1326">
        <v>146</v>
      </c>
      <c r="D358" s="1323">
        <f t="shared" si="54"/>
        <v>476921</v>
      </c>
      <c r="E358" s="1325">
        <v>476985</v>
      </c>
      <c r="F358" s="1322">
        <f t="shared" si="50"/>
        <v>64</v>
      </c>
      <c r="G358" s="1322">
        <f t="shared" si="56"/>
        <v>15833</v>
      </c>
      <c r="H358" s="1322">
        <f t="shared" si="51"/>
        <v>108.44520547945206</v>
      </c>
      <c r="I358" s="1322">
        <f t="shared" si="52"/>
        <v>39582.5</v>
      </c>
      <c r="J358" s="1324">
        <f t="shared" ca="1" si="55"/>
        <v>2.8302983932670234</v>
      </c>
      <c r="K358" s="1324">
        <f t="shared" si="57"/>
        <v>0.79164999999999996</v>
      </c>
      <c r="L358" s="1323">
        <f t="shared" si="58"/>
        <v>15985</v>
      </c>
      <c r="M358" s="1322"/>
      <c r="N358" s="1322"/>
    </row>
    <row r="359" spans="1:14" s="1302" customFormat="1" ht="16.5" customHeight="1">
      <c r="A359" s="1328" t="s">
        <v>1130</v>
      </c>
      <c r="B359" s="1327">
        <v>44708</v>
      </c>
      <c r="C359" s="1326">
        <v>147</v>
      </c>
      <c r="D359" s="1323">
        <f t="shared" si="54"/>
        <v>476985</v>
      </c>
      <c r="E359" s="1325">
        <v>477044</v>
      </c>
      <c r="F359" s="1322">
        <f t="shared" si="50"/>
        <v>59</v>
      </c>
      <c r="G359" s="1322">
        <f t="shared" si="56"/>
        <v>15892</v>
      </c>
      <c r="H359" s="1322">
        <f t="shared" si="51"/>
        <v>108.10884353741497</v>
      </c>
      <c r="I359" s="1322">
        <f t="shared" si="52"/>
        <v>39459.727891156464</v>
      </c>
      <c r="J359" s="1324">
        <f t="shared" ca="1" si="55"/>
        <v>2.6091813312930374</v>
      </c>
      <c r="K359" s="1324">
        <f t="shared" si="57"/>
        <v>0.78919455782312931</v>
      </c>
      <c r="L359" s="1323">
        <f t="shared" si="58"/>
        <v>16044</v>
      </c>
      <c r="M359" s="1322"/>
      <c r="N359" s="1322"/>
    </row>
    <row r="360" spans="1:14" s="1302" customFormat="1" ht="16.5" customHeight="1">
      <c r="A360" s="1328" t="s">
        <v>1128</v>
      </c>
      <c r="B360" s="1327">
        <v>44709</v>
      </c>
      <c r="C360" s="1326">
        <v>148</v>
      </c>
      <c r="D360" s="1323">
        <f t="shared" si="54"/>
        <v>477044</v>
      </c>
      <c r="E360" s="1325">
        <v>477220</v>
      </c>
      <c r="F360" s="1322">
        <f t="shared" si="50"/>
        <v>176</v>
      </c>
      <c r="G360" s="1322">
        <f t="shared" si="56"/>
        <v>16068</v>
      </c>
      <c r="H360" s="1322">
        <f t="shared" si="51"/>
        <v>108.56756756756756</v>
      </c>
      <c r="I360" s="1322">
        <f t="shared" si="52"/>
        <v>39627.16216216216</v>
      </c>
      <c r="J360" s="1324">
        <f t="shared" ca="1" si="55"/>
        <v>7.7833205814843147</v>
      </c>
      <c r="K360" s="1324">
        <f t="shared" si="57"/>
        <v>0.79254324324324321</v>
      </c>
      <c r="L360" s="1323">
        <f t="shared" si="58"/>
        <v>16220</v>
      </c>
      <c r="M360" s="1322"/>
      <c r="N360" s="1322"/>
    </row>
    <row r="361" spans="1:14" s="1302" customFormat="1" ht="16.5" customHeight="1">
      <c r="A361" s="1328" t="s">
        <v>1139</v>
      </c>
      <c r="B361" s="1327">
        <v>44710</v>
      </c>
      <c r="C361" s="1326">
        <v>149</v>
      </c>
      <c r="D361" s="1323">
        <f t="shared" si="54"/>
        <v>477220</v>
      </c>
      <c r="E361" s="1325">
        <v>477396</v>
      </c>
      <c r="F361" s="1322">
        <f t="shared" si="50"/>
        <v>176</v>
      </c>
      <c r="G361" s="1322">
        <f t="shared" si="56"/>
        <v>16244</v>
      </c>
      <c r="H361" s="1322">
        <f t="shared" si="51"/>
        <v>109.02013422818791</v>
      </c>
      <c r="I361" s="1322">
        <f t="shared" si="52"/>
        <v>39792.348993288586</v>
      </c>
      <c r="J361" s="1324">
        <f t="shared" ca="1" si="55"/>
        <v>7.7833205814843147</v>
      </c>
      <c r="K361" s="1324">
        <f t="shared" si="57"/>
        <v>0.79584697986577169</v>
      </c>
      <c r="L361" s="1323">
        <f t="shared" si="58"/>
        <v>16396</v>
      </c>
      <c r="M361" s="1322"/>
      <c r="N361" s="1322"/>
    </row>
    <row r="362" spans="1:14" s="1302" customFormat="1" ht="16.5" customHeight="1">
      <c r="A362" s="1328" t="s">
        <v>1138</v>
      </c>
      <c r="B362" s="1327">
        <v>44711</v>
      </c>
      <c r="C362" s="1326">
        <v>150</v>
      </c>
      <c r="D362" s="1323">
        <f t="shared" si="54"/>
        <v>477396</v>
      </c>
      <c r="E362" s="1325">
        <v>477654</v>
      </c>
      <c r="F362" s="1322">
        <f t="shared" si="50"/>
        <v>258</v>
      </c>
      <c r="G362" s="1322">
        <f t="shared" si="56"/>
        <v>16502</v>
      </c>
      <c r="H362" s="1322">
        <f t="shared" si="51"/>
        <v>110.01333333333334</v>
      </c>
      <c r="I362" s="1322">
        <f t="shared" si="52"/>
        <v>40154.866666666669</v>
      </c>
      <c r="J362" s="1324">
        <f t="shared" ca="1" si="55"/>
        <v>11.409640397857689</v>
      </c>
      <c r="K362" s="1324">
        <f t="shared" si="57"/>
        <v>0.80309733333333333</v>
      </c>
      <c r="L362" s="1323">
        <f t="shared" si="58"/>
        <v>16654</v>
      </c>
      <c r="M362" s="1322"/>
      <c r="N362" s="1322"/>
    </row>
    <row r="363" spans="1:14" s="1302" customFormat="1" ht="16.5" customHeight="1">
      <c r="A363" s="1328" t="s">
        <v>1137</v>
      </c>
      <c r="B363" s="1327">
        <v>44712</v>
      </c>
      <c r="C363" s="1326">
        <v>151</v>
      </c>
      <c r="D363" s="1323">
        <f t="shared" si="54"/>
        <v>477654</v>
      </c>
      <c r="E363" s="1325">
        <v>477808</v>
      </c>
      <c r="F363" s="1322">
        <f t="shared" si="50"/>
        <v>154</v>
      </c>
      <c r="G363" s="1322">
        <f t="shared" si="56"/>
        <v>16656</v>
      </c>
      <c r="H363" s="1322">
        <f t="shared" si="51"/>
        <v>110.30463576158941</v>
      </c>
      <c r="I363" s="1322">
        <f t="shared" si="52"/>
        <v>40261.192052980135</v>
      </c>
      <c r="J363" s="1324">
        <f t="shared" ca="1" si="55"/>
        <v>6.8104055087987758</v>
      </c>
      <c r="K363" s="1324">
        <f t="shared" si="57"/>
        <v>0.80522384105960276</v>
      </c>
      <c r="L363" s="1323">
        <f t="shared" si="58"/>
        <v>16808</v>
      </c>
      <c r="M363" s="1322"/>
      <c r="N363" s="1322"/>
    </row>
    <row r="364" spans="1:14" s="1302" customFormat="1" ht="16.5" customHeight="1">
      <c r="A364" s="1328" t="s">
        <v>1131</v>
      </c>
      <c r="B364" s="1327">
        <v>44713</v>
      </c>
      <c r="C364" s="1326">
        <v>152</v>
      </c>
      <c r="D364" s="1323">
        <f t="shared" si="54"/>
        <v>477808</v>
      </c>
      <c r="E364" s="1325">
        <v>477869</v>
      </c>
      <c r="F364" s="1322">
        <f t="shared" si="50"/>
        <v>61</v>
      </c>
      <c r="G364" s="1322">
        <f t="shared" si="56"/>
        <v>16717</v>
      </c>
      <c r="H364" s="1322">
        <f t="shared" si="51"/>
        <v>109.98026315789474</v>
      </c>
      <c r="I364" s="1322">
        <f t="shared" si="52"/>
        <v>40142.79605263158</v>
      </c>
      <c r="J364" s="1324">
        <f t="shared" ca="1" si="55"/>
        <v>2.6976281560826316</v>
      </c>
      <c r="K364" s="1324">
        <f t="shared" si="57"/>
        <v>0.80285592105263159</v>
      </c>
      <c r="L364" s="1323">
        <f t="shared" si="58"/>
        <v>16869</v>
      </c>
      <c r="M364" s="1322"/>
      <c r="N364" s="1322"/>
    </row>
    <row r="365" spans="1:14" s="1302" customFormat="1" ht="16.5" customHeight="1">
      <c r="A365" s="1328" t="s">
        <v>1136</v>
      </c>
      <c r="B365" s="1327">
        <v>44714</v>
      </c>
      <c r="C365" s="1326">
        <v>153</v>
      </c>
      <c r="D365" s="1323">
        <f t="shared" si="54"/>
        <v>477869</v>
      </c>
      <c r="E365" s="1325">
        <v>477909</v>
      </c>
      <c r="F365" s="1322">
        <f t="shared" si="50"/>
        <v>40</v>
      </c>
      <c r="G365" s="1322">
        <f t="shared" si="56"/>
        <v>16757</v>
      </c>
      <c r="H365" s="1322">
        <f t="shared" si="51"/>
        <v>109.52287581699346</v>
      </c>
      <c r="I365" s="1322">
        <f t="shared" si="52"/>
        <v>39975.849673202611</v>
      </c>
      <c r="J365" s="1324">
        <f t="shared" ca="1" si="55"/>
        <v>1.7689364957918898</v>
      </c>
      <c r="K365" s="1324">
        <f t="shared" si="57"/>
        <v>0.79951699346405225</v>
      </c>
      <c r="L365" s="1323">
        <f t="shared" si="58"/>
        <v>16909</v>
      </c>
      <c r="M365" s="1322"/>
      <c r="N365" s="1322"/>
    </row>
    <row r="366" spans="1:14" s="1302" customFormat="1" ht="16.5" customHeight="1">
      <c r="A366" s="1328" t="s">
        <v>1130</v>
      </c>
      <c r="B366" s="1327">
        <v>44715</v>
      </c>
      <c r="C366" s="1326">
        <v>154</v>
      </c>
      <c r="D366" s="1323">
        <f t="shared" si="54"/>
        <v>477909</v>
      </c>
      <c r="E366" s="1325">
        <v>478147</v>
      </c>
      <c r="F366" s="1322">
        <f t="shared" si="50"/>
        <v>238</v>
      </c>
      <c r="G366" s="1322">
        <f t="shared" si="56"/>
        <v>16995</v>
      </c>
      <c r="H366" s="1322">
        <f t="shared" si="51"/>
        <v>110.35714285714286</v>
      </c>
      <c r="I366" s="1322">
        <f t="shared" si="52"/>
        <v>40280.357142857145</v>
      </c>
      <c r="J366" s="1324">
        <f t="shared" ca="1" si="55"/>
        <v>10.525172149961744</v>
      </c>
      <c r="K366" s="1324">
        <f t="shared" si="57"/>
        <v>0.80560714285714285</v>
      </c>
      <c r="L366" s="1323">
        <f t="shared" si="58"/>
        <v>17147</v>
      </c>
      <c r="M366" s="1322"/>
      <c r="N366" s="1322"/>
    </row>
    <row r="367" spans="1:14" s="1302" customFormat="1" ht="16.5" customHeight="1">
      <c r="A367" s="1328" t="s">
        <v>1128</v>
      </c>
      <c r="B367" s="1327">
        <v>44716</v>
      </c>
      <c r="C367" s="1326">
        <v>155</v>
      </c>
      <c r="D367" s="1323">
        <f t="shared" si="54"/>
        <v>478147</v>
      </c>
      <c r="E367" s="1325">
        <v>478268</v>
      </c>
      <c r="F367" s="1322">
        <f t="shared" si="50"/>
        <v>121</v>
      </c>
      <c r="G367" s="1322">
        <f t="shared" si="56"/>
        <v>17116</v>
      </c>
      <c r="H367" s="1322">
        <f t="shared" si="51"/>
        <v>110.4258064516129</v>
      </c>
      <c r="I367" s="1322">
        <f t="shared" si="52"/>
        <v>40305.419354838705</v>
      </c>
      <c r="J367" s="1324">
        <f t="shared" ca="1" si="55"/>
        <v>5.3510328997704661</v>
      </c>
      <c r="K367" s="1324">
        <f t="shared" si="57"/>
        <v>0.80610838709677413</v>
      </c>
      <c r="L367" s="1323">
        <f t="shared" si="58"/>
        <v>17268</v>
      </c>
      <c r="M367" s="1322"/>
      <c r="N367" s="1322"/>
    </row>
    <row r="368" spans="1:14" s="1302" customFormat="1" ht="16.5" customHeight="1">
      <c r="A368" s="1328" t="s">
        <v>1139</v>
      </c>
      <c r="B368" s="1327">
        <v>44717</v>
      </c>
      <c r="C368" s="1326">
        <v>156</v>
      </c>
      <c r="D368" s="1323">
        <f t="shared" si="54"/>
        <v>478268</v>
      </c>
      <c r="E368" s="1325">
        <v>478378</v>
      </c>
      <c r="F368" s="1322">
        <f t="shared" si="50"/>
        <v>110</v>
      </c>
      <c r="G368" s="1322">
        <f t="shared" si="56"/>
        <v>17226</v>
      </c>
      <c r="H368" s="1322">
        <f t="shared" si="51"/>
        <v>110.42307692307692</v>
      </c>
      <c r="I368" s="1322">
        <f t="shared" si="52"/>
        <v>40304.423076923078</v>
      </c>
      <c r="J368" s="1324">
        <f t="shared" ca="1" si="55"/>
        <v>4.8645753634276971</v>
      </c>
      <c r="K368" s="1324">
        <f t="shared" si="57"/>
        <v>0.80608846153846159</v>
      </c>
      <c r="L368" s="1323">
        <f t="shared" si="58"/>
        <v>17378</v>
      </c>
      <c r="M368" s="1322"/>
      <c r="N368" s="1322"/>
    </row>
    <row r="369" spans="1:14" s="1302" customFormat="1" ht="16.5" customHeight="1">
      <c r="A369" s="1328" t="s">
        <v>1138</v>
      </c>
      <c r="B369" s="1327">
        <v>44718</v>
      </c>
      <c r="C369" s="1326">
        <v>157</v>
      </c>
      <c r="D369" s="1323">
        <f t="shared" si="54"/>
        <v>478378</v>
      </c>
      <c r="E369" s="1325">
        <v>478381</v>
      </c>
      <c r="F369" s="1322">
        <f t="shared" si="50"/>
        <v>3</v>
      </c>
      <c r="G369" s="1322">
        <f t="shared" si="56"/>
        <v>17229</v>
      </c>
      <c r="H369" s="1322">
        <f t="shared" si="51"/>
        <v>109.73885350318471</v>
      </c>
      <c r="I369" s="1322">
        <f t="shared" si="52"/>
        <v>40054.681528662419</v>
      </c>
      <c r="J369" s="1324">
        <f t="shared" ca="1" si="55"/>
        <v>0.13267023718439172</v>
      </c>
      <c r="K369" s="1324">
        <f t="shared" si="57"/>
        <v>0.80109363057324834</v>
      </c>
      <c r="L369" s="1323">
        <f t="shared" si="58"/>
        <v>17381</v>
      </c>
      <c r="M369" s="1322"/>
      <c r="N369" s="1322"/>
    </row>
    <row r="370" spans="1:14" s="1302" customFormat="1" ht="16.5" customHeight="1">
      <c r="A370" s="1328" t="s">
        <v>1137</v>
      </c>
      <c r="B370" s="1327">
        <v>44719</v>
      </c>
      <c r="C370" s="1326">
        <v>158</v>
      </c>
      <c r="D370" s="1323">
        <f t="shared" si="54"/>
        <v>478381</v>
      </c>
      <c r="E370" s="1325">
        <v>478491</v>
      </c>
      <c r="F370" s="1322">
        <f t="shared" si="50"/>
        <v>110</v>
      </c>
      <c r="G370" s="1322">
        <f t="shared" si="56"/>
        <v>17339</v>
      </c>
      <c r="H370" s="1322">
        <f t="shared" si="51"/>
        <v>109.74050632911393</v>
      </c>
      <c r="I370" s="1322">
        <f t="shared" si="52"/>
        <v>40055.284810126584</v>
      </c>
      <c r="J370" s="1324">
        <f t="shared" ca="1" si="55"/>
        <v>4.8645753634276971</v>
      </c>
      <c r="K370" s="1324">
        <f t="shared" si="57"/>
        <v>0.80110569620253169</v>
      </c>
      <c r="L370" s="1323">
        <f t="shared" si="58"/>
        <v>17491</v>
      </c>
      <c r="M370" s="1322"/>
      <c r="N370" s="1322"/>
    </row>
    <row r="371" spans="1:14" s="1302" customFormat="1" ht="16.5" customHeight="1">
      <c r="A371" s="1328" t="s">
        <v>1131</v>
      </c>
      <c r="B371" s="1327">
        <v>44720</v>
      </c>
      <c r="C371" s="1326">
        <v>159</v>
      </c>
      <c r="D371" s="1323">
        <f t="shared" si="54"/>
        <v>478491</v>
      </c>
      <c r="E371" s="1325">
        <v>478575</v>
      </c>
      <c r="F371" s="1322">
        <f t="shared" si="50"/>
        <v>84</v>
      </c>
      <c r="G371" s="1322">
        <f t="shared" si="56"/>
        <v>17423</v>
      </c>
      <c r="H371" s="1322">
        <f t="shared" si="51"/>
        <v>109.57861635220125</v>
      </c>
      <c r="I371" s="1322">
        <f t="shared" si="52"/>
        <v>39996.194968553456</v>
      </c>
      <c r="J371" s="1324">
        <f t="shared" ca="1" si="55"/>
        <v>3.7147666411629685</v>
      </c>
      <c r="K371" s="1324">
        <f t="shared" si="57"/>
        <v>0.79992389937106911</v>
      </c>
      <c r="L371" s="1323">
        <f t="shared" si="58"/>
        <v>17575</v>
      </c>
      <c r="M371" s="1322"/>
      <c r="N371" s="1322"/>
    </row>
    <row r="372" spans="1:14" s="1302" customFormat="1" ht="16.5" customHeight="1">
      <c r="A372" s="1328" t="s">
        <v>1136</v>
      </c>
      <c r="B372" s="1327">
        <v>44721</v>
      </c>
      <c r="C372" s="1326">
        <v>160</v>
      </c>
      <c r="D372" s="1323">
        <f t="shared" si="54"/>
        <v>478575</v>
      </c>
      <c r="E372" s="1325">
        <v>478659</v>
      </c>
      <c r="F372" s="1322">
        <f t="shared" si="50"/>
        <v>84</v>
      </c>
      <c r="G372" s="1322">
        <f t="shared" si="56"/>
        <v>17507</v>
      </c>
      <c r="H372" s="1322">
        <f t="shared" si="51"/>
        <v>109.41875</v>
      </c>
      <c r="I372" s="1322">
        <f t="shared" si="52"/>
        <v>39937.84375</v>
      </c>
      <c r="J372" s="1324">
        <f t="shared" ca="1" si="55"/>
        <v>3.7147666411629685</v>
      </c>
      <c r="K372" s="1324">
        <f t="shared" si="57"/>
        <v>0.79875687500000003</v>
      </c>
      <c r="L372" s="1323">
        <f t="shared" si="58"/>
        <v>17659</v>
      </c>
      <c r="M372" s="1322"/>
      <c r="N372" s="1322"/>
    </row>
    <row r="373" spans="1:14" s="1302" customFormat="1" ht="16.5" customHeight="1">
      <c r="A373" s="1328" t="s">
        <v>1130</v>
      </c>
      <c r="B373" s="1327">
        <v>44722</v>
      </c>
      <c r="C373" s="1326">
        <v>161</v>
      </c>
      <c r="D373" s="1323">
        <f t="shared" si="54"/>
        <v>478659</v>
      </c>
      <c r="E373" s="1325">
        <v>478776</v>
      </c>
      <c r="F373" s="1322">
        <f t="shared" si="50"/>
        <v>117</v>
      </c>
      <c r="G373" s="1322">
        <f t="shared" si="56"/>
        <v>17624</v>
      </c>
      <c r="H373" s="1322">
        <f t="shared" si="51"/>
        <v>109.46583850931677</v>
      </c>
      <c r="I373" s="1322">
        <f t="shared" si="52"/>
        <v>39955.031055900618</v>
      </c>
      <c r="J373" s="1324">
        <f t="shared" ca="1" si="55"/>
        <v>5.1741392501912777</v>
      </c>
      <c r="K373" s="1324">
        <f t="shared" si="57"/>
        <v>0.79910062111801239</v>
      </c>
      <c r="L373" s="1323">
        <f t="shared" si="58"/>
        <v>17776</v>
      </c>
      <c r="M373" s="1322"/>
      <c r="N373" s="1322"/>
    </row>
    <row r="374" spans="1:14" s="1302" customFormat="1" ht="16.5" customHeight="1">
      <c r="A374" s="1328" t="s">
        <v>1128</v>
      </c>
      <c r="B374" s="1327">
        <v>44723</v>
      </c>
      <c r="C374" s="1326">
        <v>162</v>
      </c>
      <c r="D374" s="1323">
        <f t="shared" si="54"/>
        <v>478776</v>
      </c>
      <c r="E374" s="1325">
        <v>478950</v>
      </c>
      <c r="F374" s="1322">
        <f t="shared" si="50"/>
        <v>174</v>
      </c>
      <c r="G374" s="1322">
        <f t="shared" si="56"/>
        <v>17798</v>
      </c>
      <c r="H374" s="1322">
        <f t="shared" si="51"/>
        <v>109.8641975308642</v>
      </c>
      <c r="I374" s="1322">
        <f t="shared" si="52"/>
        <v>40100.432098765436</v>
      </c>
      <c r="J374" s="1324">
        <f t="shared" ca="1" si="55"/>
        <v>7.6948737566947205</v>
      </c>
      <c r="K374" s="1324">
        <f t="shared" si="57"/>
        <v>0.80200864197530874</v>
      </c>
      <c r="L374" s="1323">
        <f t="shared" si="58"/>
        <v>17950</v>
      </c>
      <c r="M374" s="1322"/>
      <c r="N374" s="1322"/>
    </row>
    <row r="375" spans="1:14" s="1302" customFormat="1" ht="16.5" customHeight="1">
      <c r="A375" s="1328" t="s">
        <v>1139</v>
      </c>
      <c r="B375" s="1327">
        <v>44724</v>
      </c>
      <c r="C375" s="1326">
        <v>163</v>
      </c>
      <c r="D375" s="1323">
        <f t="shared" si="54"/>
        <v>478950</v>
      </c>
      <c r="E375" s="1325">
        <v>478984</v>
      </c>
      <c r="F375" s="1322">
        <f t="shared" si="50"/>
        <v>34</v>
      </c>
      <c r="G375" s="1322">
        <f t="shared" si="56"/>
        <v>17832</v>
      </c>
      <c r="H375" s="1322">
        <f t="shared" si="51"/>
        <v>109.39877300613497</v>
      </c>
      <c r="I375" s="1322">
        <f t="shared" si="52"/>
        <v>39930.552147239265</v>
      </c>
      <c r="J375" s="1324">
        <f t="shared" ca="1" si="55"/>
        <v>1.5035960214231063</v>
      </c>
      <c r="K375" s="1324">
        <f t="shared" si="57"/>
        <v>0.79861104294478524</v>
      </c>
      <c r="L375" s="1323">
        <f t="shared" si="58"/>
        <v>17984</v>
      </c>
      <c r="M375" s="1322"/>
      <c r="N375" s="1322"/>
    </row>
    <row r="376" spans="1:14" s="1302" customFormat="1" ht="16.5" customHeight="1">
      <c r="A376" s="1328" t="s">
        <v>1138</v>
      </c>
      <c r="B376" s="1327">
        <v>44725</v>
      </c>
      <c r="C376" s="1326">
        <v>164</v>
      </c>
      <c r="D376" s="1323">
        <f t="shared" si="54"/>
        <v>478984</v>
      </c>
      <c r="E376" s="1325">
        <v>479102</v>
      </c>
      <c r="F376" s="1322">
        <f t="shared" si="50"/>
        <v>118</v>
      </c>
      <c r="G376" s="1322">
        <f t="shared" si="56"/>
        <v>17950</v>
      </c>
      <c r="H376" s="1322">
        <f t="shared" si="51"/>
        <v>109.45121951219512</v>
      </c>
      <c r="I376" s="1322">
        <f t="shared" si="52"/>
        <v>39949.695121951219</v>
      </c>
      <c r="J376" s="1324">
        <f t="shared" ca="1" si="55"/>
        <v>5.2183626625860748</v>
      </c>
      <c r="K376" s="1324">
        <f t="shared" si="57"/>
        <v>0.79899390243902435</v>
      </c>
      <c r="L376" s="1323">
        <f t="shared" si="58"/>
        <v>18102</v>
      </c>
      <c r="M376" s="1322"/>
      <c r="N376" s="1322"/>
    </row>
    <row r="377" spans="1:14" s="1302" customFormat="1" ht="16.5" customHeight="1">
      <c r="A377" s="1328" t="s">
        <v>1137</v>
      </c>
      <c r="B377" s="1327">
        <v>44726</v>
      </c>
      <c r="C377" s="1326">
        <v>165</v>
      </c>
      <c r="D377" s="1323">
        <f t="shared" si="54"/>
        <v>479102</v>
      </c>
      <c r="E377" s="1325">
        <v>479171</v>
      </c>
      <c r="F377" s="1322">
        <f t="shared" si="50"/>
        <v>69</v>
      </c>
      <c r="G377" s="1322">
        <f t="shared" si="56"/>
        <v>18019</v>
      </c>
      <c r="H377" s="1322">
        <f t="shared" si="51"/>
        <v>109.2060606060606</v>
      </c>
      <c r="I377" s="1322">
        <f t="shared" si="52"/>
        <v>39860.21212121212</v>
      </c>
      <c r="J377" s="1324">
        <f t="shared" ca="1" si="55"/>
        <v>3.0514154552410098</v>
      </c>
      <c r="K377" s="1324">
        <f t="shared" si="57"/>
        <v>0.79720424242424237</v>
      </c>
      <c r="L377" s="1323">
        <f t="shared" si="58"/>
        <v>18171</v>
      </c>
      <c r="M377" s="1322"/>
      <c r="N377" s="1322"/>
    </row>
    <row r="378" spans="1:14" s="1302" customFormat="1" ht="16.5" customHeight="1">
      <c r="A378" s="1328" t="s">
        <v>1131</v>
      </c>
      <c r="B378" s="1327">
        <v>44727</v>
      </c>
      <c r="C378" s="1326">
        <v>166</v>
      </c>
      <c r="D378" s="1323">
        <f t="shared" si="54"/>
        <v>479171</v>
      </c>
      <c r="E378" s="1325">
        <v>479216</v>
      </c>
      <c r="F378" s="1322">
        <f t="shared" si="50"/>
        <v>45</v>
      </c>
      <c r="G378" s="1322">
        <f t="shared" si="56"/>
        <v>18064</v>
      </c>
      <c r="H378" s="1322">
        <f t="shared" si="51"/>
        <v>108.81927710843374</v>
      </c>
      <c r="I378" s="1322">
        <f t="shared" si="52"/>
        <v>39719.036144578313</v>
      </c>
      <c r="J378" s="1324">
        <f t="shared" ca="1" si="55"/>
        <v>1.990053557765876</v>
      </c>
      <c r="K378" s="1324">
        <f t="shared" si="57"/>
        <v>0.79438072289156625</v>
      </c>
      <c r="L378" s="1323">
        <f t="shared" si="58"/>
        <v>18216</v>
      </c>
      <c r="M378" s="1322"/>
      <c r="N378" s="1322"/>
    </row>
    <row r="379" spans="1:14" s="1302" customFormat="1" ht="16.5" customHeight="1">
      <c r="A379" s="1328" t="s">
        <v>1136</v>
      </c>
      <c r="B379" s="1327">
        <v>44728</v>
      </c>
      <c r="C379" s="1326">
        <v>167</v>
      </c>
      <c r="D379" s="1323">
        <f t="shared" si="54"/>
        <v>479216</v>
      </c>
      <c r="E379" s="1325">
        <v>479316</v>
      </c>
      <c r="F379" s="1322">
        <f t="shared" si="50"/>
        <v>100</v>
      </c>
      <c r="G379" s="1322">
        <f t="shared" si="56"/>
        <v>18164</v>
      </c>
      <c r="H379" s="1322">
        <f t="shared" si="51"/>
        <v>108.76646706586827</v>
      </c>
      <c r="I379" s="1322">
        <f t="shared" si="52"/>
        <v>39699.760479041921</v>
      </c>
      <c r="J379" s="1324">
        <f t="shared" ca="1" si="55"/>
        <v>4.4223412394797244</v>
      </c>
      <c r="K379" s="1324">
        <f t="shared" si="57"/>
        <v>0.79399520958083847</v>
      </c>
      <c r="L379" s="1323">
        <f t="shared" si="58"/>
        <v>18316</v>
      </c>
      <c r="M379" s="1322"/>
      <c r="N379" s="1322"/>
    </row>
    <row r="380" spans="1:14" s="1302" customFormat="1" ht="16.5" customHeight="1">
      <c r="A380" s="1328" t="s">
        <v>1130</v>
      </c>
      <c r="B380" s="1327">
        <v>44729</v>
      </c>
      <c r="C380" s="1326">
        <v>168</v>
      </c>
      <c r="D380" s="1323">
        <f t="shared" si="54"/>
        <v>479316</v>
      </c>
      <c r="E380" s="1325">
        <v>479420</v>
      </c>
      <c r="F380" s="1322">
        <f t="shared" si="50"/>
        <v>104</v>
      </c>
      <c r="G380" s="1322">
        <f t="shared" si="56"/>
        <v>18268</v>
      </c>
      <c r="H380" s="1322">
        <f t="shared" si="51"/>
        <v>108.73809523809524</v>
      </c>
      <c r="I380" s="1322">
        <f t="shared" si="52"/>
        <v>39689.404761904763</v>
      </c>
      <c r="J380" s="1324">
        <f t="shared" ca="1" si="55"/>
        <v>4.5992348890589136</v>
      </c>
      <c r="K380" s="1324">
        <f t="shared" si="57"/>
        <v>0.79378809523809524</v>
      </c>
      <c r="L380" s="1323">
        <f t="shared" si="58"/>
        <v>18420</v>
      </c>
      <c r="M380" s="1322"/>
      <c r="N380" s="1322"/>
    </row>
    <row r="381" spans="1:14" s="1302" customFormat="1" ht="16.5" customHeight="1">
      <c r="A381" s="1328" t="s">
        <v>1128</v>
      </c>
      <c r="B381" s="1327">
        <v>44730</v>
      </c>
      <c r="C381" s="1326">
        <v>169</v>
      </c>
      <c r="D381" s="1323">
        <f t="shared" si="54"/>
        <v>479420</v>
      </c>
      <c r="E381" s="1325">
        <v>479527</v>
      </c>
      <c r="F381" s="1322">
        <f t="shared" si="50"/>
        <v>107</v>
      </c>
      <c r="G381" s="1322">
        <f t="shared" si="56"/>
        <v>18375</v>
      </c>
      <c r="H381" s="1322">
        <f t="shared" si="51"/>
        <v>108.72781065088758</v>
      </c>
      <c r="I381" s="1322">
        <f t="shared" si="52"/>
        <v>39685.650887573967</v>
      </c>
      <c r="J381" s="1324">
        <f t="shared" ca="1" si="55"/>
        <v>4.7319051262433049</v>
      </c>
      <c r="K381" s="1324">
        <f t="shared" si="57"/>
        <v>0.7937130177514794</v>
      </c>
      <c r="L381" s="1323">
        <f t="shared" si="58"/>
        <v>18527</v>
      </c>
      <c r="M381" s="1322"/>
      <c r="N381" s="1322"/>
    </row>
    <row r="382" spans="1:14" s="1302" customFormat="1" ht="16.5" customHeight="1">
      <c r="A382" s="1328" t="s">
        <v>1139</v>
      </c>
      <c r="B382" s="1327">
        <v>44731</v>
      </c>
      <c r="C382" s="1326">
        <v>170</v>
      </c>
      <c r="D382" s="1323">
        <f t="shared" si="54"/>
        <v>479527</v>
      </c>
      <c r="E382" s="1325">
        <v>479568</v>
      </c>
      <c r="F382" s="1322">
        <f t="shared" si="50"/>
        <v>41</v>
      </c>
      <c r="G382" s="1322">
        <f t="shared" si="56"/>
        <v>18416</v>
      </c>
      <c r="H382" s="1322">
        <f t="shared" si="51"/>
        <v>108.32941176470588</v>
      </c>
      <c r="I382" s="1322">
        <f t="shared" si="52"/>
        <v>39540.235294117643</v>
      </c>
      <c r="J382" s="1324">
        <f t="shared" ca="1" si="55"/>
        <v>1.8131599081866869</v>
      </c>
      <c r="K382" s="1324">
        <f t="shared" si="57"/>
        <v>0.79080470588235285</v>
      </c>
      <c r="L382" s="1323">
        <f t="shared" si="58"/>
        <v>18568</v>
      </c>
      <c r="M382" s="1322"/>
      <c r="N382" s="1322"/>
    </row>
    <row r="383" spans="1:14" s="1302" customFormat="1" ht="16.5" customHeight="1">
      <c r="A383" s="1328" t="s">
        <v>1138</v>
      </c>
      <c r="B383" s="1327">
        <v>44732</v>
      </c>
      <c r="C383" s="1326">
        <v>171</v>
      </c>
      <c r="D383" s="1323">
        <f t="shared" si="54"/>
        <v>479568</v>
      </c>
      <c r="E383" s="1325">
        <v>479609</v>
      </c>
      <c r="F383" s="1322">
        <f t="shared" si="50"/>
        <v>41</v>
      </c>
      <c r="G383" s="1322">
        <f t="shared" si="56"/>
        <v>18457</v>
      </c>
      <c r="H383" s="1322">
        <f t="shared" si="51"/>
        <v>107.93567251461988</v>
      </c>
      <c r="I383" s="1322">
        <f t="shared" si="52"/>
        <v>39396.520467836257</v>
      </c>
      <c r="J383" s="1324">
        <f t="shared" ca="1" si="55"/>
        <v>1.8131599081866869</v>
      </c>
      <c r="K383" s="1324">
        <f t="shared" si="57"/>
        <v>0.78793040935672509</v>
      </c>
      <c r="L383" s="1323">
        <f t="shared" si="58"/>
        <v>18609</v>
      </c>
      <c r="M383" s="1322"/>
      <c r="N383" s="1322"/>
    </row>
    <row r="384" spans="1:14" s="1302" customFormat="1" ht="16.5" customHeight="1">
      <c r="A384" s="1328" t="s">
        <v>1137</v>
      </c>
      <c r="B384" s="1327">
        <v>44733</v>
      </c>
      <c r="C384" s="1326">
        <v>172</v>
      </c>
      <c r="D384" s="1323">
        <f t="shared" si="54"/>
        <v>479609</v>
      </c>
      <c r="E384" s="1325">
        <v>479694</v>
      </c>
      <c r="F384" s="1322">
        <f t="shared" si="50"/>
        <v>85</v>
      </c>
      <c r="G384" s="1322">
        <f t="shared" si="56"/>
        <v>18542</v>
      </c>
      <c r="H384" s="1322">
        <f t="shared" si="51"/>
        <v>107.80232558139535</v>
      </c>
      <c r="I384" s="1322">
        <f t="shared" si="52"/>
        <v>39347.848837209305</v>
      </c>
      <c r="J384" s="1324">
        <f t="shared" ca="1" si="55"/>
        <v>3.7589900535577656</v>
      </c>
      <c r="K384" s="1324">
        <f t="shared" si="57"/>
        <v>0.78695697674418608</v>
      </c>
      <c r="L384" s="1323">
        <f t="shared" si="58"/>
        <v>18694</v>
      </c>
      <c r="M384" s="1322"/>
      <c r="N384" s="1322"/>
    </row>
    <row r="385" spans="1:14" s="1302" customFormat="1" ht="16.5" customHeight="1">
      <c r="A385" s="1328" t="s">
        <v>1131</v>
      </c>
      <c r="B385" s="1327">
        <v>44734</v>
      </c>
      <c r="C385" s="1326">
        <v>173</v>
      </c>
      <c r="D385" s="1323">
        <f t="shared" si="54"/>
        <v>479694</v>
      </c>
      <c r="E385" s="1325">
        <v>479772</v>
      </c>
      <c r="F385" s="1322">
        <f t="shared" si="50"/>
        <v>78</v>
      </c>
      <c r="G385" s="1322">
        <f t="shared" si="56"/>
        <v>18620</v>
      </c>
      <c r="H385" s="1322">
        <f t="shared" si="51"/>
        <v>107.6300578034682</v>
      </c>
      <c r="I385" s="1322">
        <f t="shared" si="52"/>
        <v>39284.971098265894</v>
      </c>
      <c r="J385" s="1324">
        <f t="shared" ca="1" si="55"/>
        <v>3.449426166794185</v>
      </c>
      <c r="K385" s="1324">
        <f t="shared" si="57"/>
        <v>0.78569942196531783</v>
      </c>
      <c r="L385" s="1323">
        <f t="shared" si="58"/>
        <v>18772</v>
      </c>
      <c r="M385" s="1322"/>
      <c r="N385" s="1322"/>
    </row>
    <row r="386" spans="1:14" s="1302" customFormat="1" ht="16.5" customHeight="1">
      <c r="A386" s="1328" t="s">
        <v>1136</v>
      </c>
      <c r="B386" s="1327">
        <v>44735</v>
      </c>
      <c r="C386" s="1326">
        <v>174</v>
      </c>
      <c r="D386" s="1323">
        <f t="shared" si="54"/>
        <v>479772</v>
      </c>
      <c r="E386" s="1325">
        <v>479862</v>
      </c>
      <c r="F386" s="1322">
        <f t="shared" si="50"/>
        <v>90</v>
      </c>
      <c r="G386" s="1322">
        <f t="shared" si="56"/>
        <v>18710</v>
      </c>
      <c r="H386" s="1322">
        <f t="shared" si="51"/>
        <v>107.52873563218391</v>
      </c>
      <c r="I386" s="1322">
        <f t="shared" si="52"/>
        <v>39247.988505747126</v>
      </c>
      <c r="J386" s="1324">
        <f t="shared" ca="1" si="55"/>
        <v>3.980107115531752</v>
      </c>
      <c r="K386" s="1324">
        <f t="shared" si="57"/>
        <v>0.78495977011494256</v>
      </c>
      <c r="L386" s="1323">
        <f t="shared" si="58"/>
        <v>18862</v>
      </c>
      <c r="M386" s="1322"/>
      <c r="N386" s="1322"/>
    </row>
    <row r="387" spans="1:14" s="1302" customFormat="1" ht="16.5" customHeight="1">
      <c r="A387" s="1328" t="s">
        <v>1130</v>
      </c>
      <c r="B387" s="1327">
        <v>44736</v>
      </c>
      <c r="C387" s="1326">
        <v>175</v>
      </c>
      <c r="D387" s="1323">
        <f t="shared" si="54"/>
        <v>479862</v>
      </c>
      <c r="E387" s="1325">
        <v>480077</v>
      </c>
      <c r="F387" s="1322">
        <f t="shared" si="50"/>
        <v>215</v>
      </c>
      <c r="G387" s="1322">
        <f t="shared" si="56"/>
        <v>18925</v>
      </c>
      <c r="H387" s="1322">
        <f t="shared" si="51"/>
        <v>108.14285714285714</v>
      </c>
      <c r="I387" s="1322">
        <f t="shared" si="52"/>
        <v>39472.142857142855</v>
      </c>
      <c r="J387" s="1324">
        <f t="shared" ca="1" si="55"/>
        <v>9.5080336648814079</v>
      </c>
      <c r="K387" s="1324">
        <f t="shared" si="57"/>
        <v>0.78944285714285711</v>
      </c>
      <c r="L387" s="1323">
        <f t="shared" si="58"/>
        <v>19077</v>
      </c>
      <c r="M387" s="1322"/>
      <c r="N387" s="1322"/>
    </row>
    <row r="388" spans="1:14" s="1302" customFormat="1" ht="16.5" customHeight="1">
      <c r="A388" s="1328" t="s">
        <v>1128</v>
      </c>
      <c r="B388" s="1327">
        <v>44737</v>
      </c>
      <c r="C388" s="1326">
        <v>176</v>
      </c>
      <c r="D388" s="1323">
        <f t="shared" si="54"/>
        <v>480077</v>
      </c>
      <c r="E388" s="1325">
        <v>480222</v>
      </c>
      <c r="F388" s="1322">
        <f t="shared" si="50"/>
        <v>145</v>
      </c>
      <c r="G388" s="1322">
        <f t="shared" si="56"/>
        <v>19070</v>
      </c>
      <c r="H388" s="1322">
        <f t="shared" si="51"/>
        <v>108.35227272727273</v>
      </c>
      <c r="I388" s="1322">
        <f t="shared" si="52"/>
        <v>39548.579545454551</v>
      </c>
      <c r="J388" s="1324">
        <f t="shared" ca="1" si="55"/>
        <v>6.4123947972456001</v>
      </c>
      <c r="K388" s="1324">
        <f t="shared" si="57"/>
        <v>0.79097159090909108</v>
      </c>
      <c r="L388" s="1323">
        <f t="shared" si="58"/>
        <v>19222</v>
      </c>
      <c r="M388" s="1322"/>
      <c r="N388" s="1322"/>
    </row>
    <row r="389" spans="1:14" s="1302" customFormat="1" ht="16.5" customHeight="1">
      <c r="A389" s="1328" t="s">
        <v>1139</v>
      </c>
      <c r="B389" s="1327">
        <v>44738</v>
      </c>
      <c r="C389" s="1326">
        <v>177</v>
      </c>
      <c r="D389" s="1323">
        <f t="shared" si="54"/>
        <v>480222</v>
      </c>
      <c r="E389" s="1325">
        <v>480298</v>
      </c>
      <c r="F389" s="1322">
        <f t="shared" si="50"/>
        <v>76</v>
      </c>
      <c r="G389" s="1322">
        <f t="shared" si="56"/>
        <v>19146</v>
      </c>
      <c r="H389" s="1322">
        <f t="shared" si="51"/>
        <v>108.16949152542372</v>
      </c>
      <c r="I389" s="1322">
        <f t="shared" si="52"/>
        <v>39481.864406779656</v>
      </c>
      <c r="J389" s="1324">
        <f t="shared" ca="1" si="55"/>
        <v>3.3609793420045904</v>
      </c>
      <c r="K389" s="1324">
        <f t="shared" si="57"/>
        <v>0.78963728813559309</v>
      </c>
      <c r="L389" s="1323">
        <f t="shared" si="58"/>
        <v>19298</v>
      </c>
      <c r="M389" s="1322"/>
      <c r="N389" s="1322"/>
    </row>
    <row r="390" spans="1:14" s="1302" customFormat="1" ht="16.5" customHeight="1">
      <c r="A390" s="1328" t="s">
        <v>1138</v>
      </c>
      <c r="B390" s="1327">
        <v>44739</v>
      </c>
      <c r="C390" s="1326">
        <v>178</v>
      </c>
      <c r="D390" s="1323">
        <f t="shared" si="54"/>
        <v>480298</v>
      </c>
      <c r="E390" s="1325">
        <v>480334</v>
      </c>
      <c r="F390" s="1322">
        <f t="shared" si="50"/>
        <v>36</v>
      </c>
      <c r="G390" s="1322">
        <f t="shared" si="56"/>
        <v>19182</v>
      </c>
      <c r="H390" s="1322">
        <f t="shared" si="51"/>
        <v>107.76404494382022</v>
      </c>
      <c r="I390" s="1322">
        <f t="shared" si="52"/>
        <v>39333.876404494382</v>
      </c>
      <c r="J390" s="1324">
        <f t="shared" ca="1" si="55"/>
        <v>1.5920428462127008</v>
      </c>
      <c r="K390" s="1324">
        <f t="shared" si="57"/>
        <v>0.78667752808988767</v>
      </c>
      <c r="L390" s="1323">
        <f t="shared" si="58"/>
        <v>19334</v>
      </c>
      <c r="M390" s="1322"/>
      <c r="N390" s="1322"/>
    </row>
    <row r="391" spans="1:14" s="1302" customFormat="1" ht="16.5" customHeight="1">
      <c r="A391" s="1328" t="s">
        <v>1137</v>
      </c>
      <c r="B391" s="1327">
        <v>44740</v>
      </c>
      <c r="C391" s="1326">
        <v>179</v>
      </c>
      <c r="D391" s="1323">
        <f t="shared" si="54"/>
        <v>480334</v>
      </c>
      <c r="E391" s="1325">
        <v>480419</v>
      </c>
      <c r="F391" s="1322">
        <f t="shared" ref="F391:F454" si="59">E391-D391</f>
        <v>85</v>
      </c>
      <c r="G391" s="1322">
        <f t="shared" si="56"/>
        <v>19267</v>
      </c>
      <c r="H391" s="1322">
        <f t="shared" si="51"/>
        <v>107.63687150837988</v>
      </c>
      <c r="I391" s="1322">
        <f t="shared" si="52"/>
        <v>39287.458100558659</v>
      </c>
      <c r="J391" s="1324">
        <f t="shared" ca="1" si="55"/>
        <v>3.7589900535577656</v>
      </c>
      <c r="K391" s="1324">
        <f t="shared" si="57"/>
        <v>0.78574916201117317</v>
      </c>
      <c r="L391" s="1323">
        <f t="shared" si="58"/>
        <v>19419</v>
      </c>
      <c r="M391" s="1322"/>
      <c r="N391" s="1322"/>
    </row>
    <row r="392" spans="1:14" s="1302" customFormat="1" ht="16.5" customHeight="1">
      <c r="A392" s="1328" t="s">
        <v>1131</v>
      </c>
      <c r="B392" s="1327">
        <v>44741</v>
      </c>
      <c r="C392" s="1326">
        <v>180</v>
      </c>
      <c r="D392" s="1323">
        <f t="shared" si="54"/>
        <v>480419</v>
      </c>
      <c r="E392" s="1325">
        <v>480514</v>
      </c>
      <c r="F392" s="1322">
        <f t="shared" si="59"/>
        <v>95</v>
      </c>
      <c r="G392" s="1322">
        <f t="shared" si="56"/>
        <v>19362</v>
      </c>
      <c r="H392" s="1322">
        <f t="shared" ref="H392:H455" si="60">G392/C392</f>
        <v>107.56666666666666</v>
      </c>
      <c r="I392" s="1322">
        <f t="shared" ref="I392:I455" si="61">G392/C392*365</f>
        <v>39261.833333333328</v>
      </c>
      <c r="J392" s="1324">
        <f t="shared" ca="1" si="55"/>
        <v>4.201224177505738</v>
      </c>
      <c r="K392" s="1324">
        <f t="shared" si="57"/>
        <v>0.78523666666666658</v>
      </c>
      <c r="L392" s="1323">
        <f t="shared" si="58"/>
        <v>19514</v>
      </c>
      <c r="M392" s="1322"/>
      <c r="N392" s="1322"/>
    </row>
    <row r="393" spans="1:14" s="1302" customFormat="1" ht="16.5" customHeight="1">
      <c r="A393" s="1328" t="s">
        <v>1136</v>
      </c>
      <c r="B393" s="1327">
        <v>44742</v>
      </c>
      <c r="C393" s="1326">
        <v>181</v>
      </c>
      <c r="D393" s="1323">
        <f t="shared" si="54"/>
        <v>480514</v>
      </c>
      <c r="E393" s="1325">
        <v>480757</v>
      </c>
      <c r="F393" s="1322">
        <f t="shared" si="59"/>
        <v>243</v>
      </c>
      <c r="G393" s="1322">
        <f t="shared" si="56"/>
        <v>19605</v>
      </c>
      <c r="H393" s="1322">
        <f t="shared" si="60"/>
        <v>108.31491712707182</v>
      </c>
      <c r="I393" s="1322">
        <f t="shared" si="61"/>
        <v>39534.944751381212</v>
      </c>
      <c r="J393" s="1324">
        <f t="shared" ca="1" si="55"/>
        <v>10.74628921193573</v>
      </c>
      <c r="K393" s="1324">
        <f t="shared" si="57"/>
        <v>0.79069889502762425</v>
      </c>
      <c r="L393" s="1323">
        <f t="shared" si="58"/>
        <v>19757</v>
      </c>
      <c r="M393" s="1322"/>
      <c r="N393" s="1322"/>
    </row>
    <row r="394" spans="1:14" s="1302" customFormat="1" ht="16.5" customHeight="1">
      <c r="A394" s="1328" t="s">
        <v>1130</v>
      </c>
      <c r="B394" s="1327">
        <v>44743</v>
      </c>
      <c r="C394" s="1326">
        <v>182</v>
      </c>
      <c r="D394" s="1323">
        <f t="shared" si="54"/>
        <v>480757</v>
      </c>
      <c r="E394" s="1325">
        <v>480820</v>
      </c>
      <c r="F394" s="1322">
        <f t="shared" si="59"/>
        <v>63</v>
      </c>
      <c r="G394" s="1322">
        <f t="shared" si="56"/>
        <v>19668</v>
      </c>
      <c r="H394" s="1322">
        <f t="shared" si="60"/>
        <v>108.06593406593407</v>
      </c>
      <c r="I394" s="1322">
        <f t="shared" si="61"/>
        <v>39444.065934065933</v>
      </c>
      <c r="J394" s="1324">
        <f t="shared" ca="1" si="55"/>
        <v>2.7860749808722263</v>
      </c>
      <c r="K394" s="1324">
        <f t="shared" si="57"/>
        <v>0.78888131868131861</v>
      </c>
      <c r="L394" s="1323">
        <f t="shared" si="58"/>
        <v>19820</v>
      </c>
      <c r="M394" s="1322"/>
      <c r="N394" s="1322"/>
    </row>
    <row r="395" spans="1:14" s="1302" customFormat="1" ht="16.5" customHeight="1">
      <c r="A395" s="1328" t="s">
        <v>1128</v>
      </c>
      <c r="B395" s="1327">
        <v>44744</v>
      </c>
      <c r="C395" s="1326">
        <v>183</v>
      </c>
      <c r="D395" s="1323">
        <f t="shared" si="54"/>
        <v>480820</v>
      </c>
      <c r="E395" s="1325">
        <v>480936</v>
      </c>
      <c r="F395" s="1322">
        <f t="shared" si="59"/>
        <v>116</v>
      </c>
      <c r="G395" s="1322">
        <f t="shared" si="56"/>
        <v>19784</v>
      </c>
      <c r="H395" s="1322">
        <f t="shared" si="60"/>
        <v>108.10928961748634</v>
      </c>
      <c r="I395" s="1322">
        <f t="shared" si="61"/>
        <v>39459.890710382511</v>
      </c>
      <c r="J395" s="1324">
        <f t="shared" ca="1" si="55"/>
        <v>5.1299158377964806</v>
      </c>
      <c r="K395" s="1324">
        <f t="shared" si="57"/>
        <v>0.78919781420765023</v>
      </c>
      <c r="L395" s="1323">
        <f t="shared" si="58"/>
        <v>19936</v>
      </c>
      <c r="M395" s="1322"/>
      <c r="N395" s="1322"/>
    </row>
    <row r="396" spans="1:14" s="1302" customFormat="1" ht="16.5" customHeight="1">
      <c r="A396" s="1328" t="s">
        <v>1139</v>
      </c>
      <c r="B396" s="1327">
        <v>44745</v>
      </c>
      <c r="C396" s="1326">
        <v>184</v>
      </c>
      <c r="D396" s="1323">
        <f t="shared" si="54"/>
        <v>480936</v>
      </c>
      <c r="E396" s="1325">
        <v>481026</v>
      </c>
      <c r="F396" s="1322">
        <f t="shared" si="59"/>
        <v>90</v>
      </c>
      <c r="G396" s="1322">
        <f t="shared" si="56"/>
        <v>19874</v>
      </c>
      <c r="H396" s="1322">
        <f t="shared" si="60"/>
        <v>108.01086956521739</v>
      </c>
      <c r="I396" s="1322">
        <f t="shared" si="61"/>
        <v>39423.967391304344</v>
      </c>
      <c r="J396" s="1324">
        <f t="shared" ca="1" si="55"/>
        <v>3.980107115531752</v>
      </c>
      <c r="K396" s="1324">
        <f t="shared" si="57"/>
        <v>0.78847934782608686</v>
      </c>
      <c r="L396" s="1323">
        <f t="shared" si="58"/>
        <v>20026</v>
      </c>
      <c r="M396" s="1322"/>
      <c r="N396" s="1322"/>
    </row>
    <row r="397" spans="1:14" s="1302" customFormat="1" ht="16.5" customHeight="1">
      <c r="A397" s="1328" t="s">
        <v>1138</v>
      </c>
      <c r="B397" s="1327">
        <v>44746</v>
      </c>
      <c r="C397" s="1326">
        <v>185</v>
      </c>
      <c r="D397" s="1323">
        <f t="shared" si="54"/>
        <v>481026</v>
      </c>
      <c r="E397" s="1325">
        <v>481083</v>
      </c>
      <c r="F397" s="1322">
        <f t="shared" si="59"/>
        <v>57</v>
      </c>
      <c r="G397" s="1322">
        <f t="shared" si="56"/>
        <v>19931</v>
      </c>
      <c r="H397" s="1322">
        <f t="shared" si="60"/>
        <v>107.73513513513514</v>
      </c>
      <c r="I397" s="1322">
        <f t="shared" si="61"/>
        <v>39323.324324324327</v>
      </c>
      <c r="J397" s="1324">
        <f t="shared" ca="1" si="55"/>
        <v>2.5207345065034428</v>
      </c>
      <c r="K397" s="1324">
        <f t="shared" si="57"/>
        <v>0.78646648648648654</v>
      </c>
      <c r="L397" s="1323">
        <f t="shared" si="58"/>
        <v>20083</v>
      </c>
      <c r="M397" s="1322"/>
      <c r="N397" s="1322"/>
    </row>
    <row r="398" spans="1:14" s="1302" customFormat="1" ht="16.5" customHeight="1">
      <c r="A398" s="1328" t="s">
        <v>1137</v>
      </c>
      <c r="B398" s="1327">
        <v>44747</v>
      </c>
      <c r="C398" s="1326">
        <v>186</v>
      </c>
      <c r="D398" s="1323">
        <f t="shared" si="54"/>
        <v>481083</v>
      </c>
      <c r="E398" s="1325">
        <v>481142</v>
      </c>
      <c r="F398" s="1322">
        <f t="shared" si="59"/>
        <v>59</v>
      </c>
      <c r="G398" s="1322">
        <f t="shared" si="56"/>
        <v>19990</v>
      </c>
      <c r="H398" s="1322">
        <f t="shared" si="60"/>
        <v>107.47311827956989</v>
      </c>
      <c r="I398" s="1322">
        <f t="shared" si="61"/>
        <v>39227.68817204301</v>
      </c>
      <c r="J398" s="1324">
        <f t="shared" ca="1" si="55"/>
        <v>2.6091813312930374</v>
      </c>
      <c r="K398" s="1324">
        <f t="shared" si="57"/>
        <v>0.78455376344086025</v>
      </c>
      <c r="L398" s="1323">
        <f t="shared" si="58"/>
        <v>20142</v>
      </c>
      <c r="M398" s="1322"/>
      <c r="N398" s="1322"/>
    </row>
    <row r="399" spans="1:14" s="1302" customFormat="1" ht="16.5" customHeight="1">
      <c r="A399" s="1328" t="s">
        <v>1131</v>
      </c>
      <c r="B399" s="1327">
        <v>44748</v>
      </c>
      <c r="C399" s="1326">
        <v>187</v>
      </c>
      <c r="D399" s="1323">
        <f t="shared" si="54"/>
        <v>481142</v>
      </c>
      <c r="E399" s="1325">
        <v>481213</v>
      </c>
      <c r="F399" s="1322">
        <f t="shared" si="59"/>
        <v>71</v>
      </c>
      <c r="G399" s="1322">
        <f t="shared" si="56"/>
        <v>20061</v>
      </c>
      <c r="H399" s="1322">
        <f t="shared" si="60"/>
        <v>107.27807486631016</v>
      </c>
      <c r="I399" s="1322">
        <f t="shared" si="61"/>
        <v>39156.497326203207</v>
      </c>
      <c r="J399" s="1324">
        <f t="shared" ca="1" si="55"/>
        <v>3.1398622800306044</v>
      </c>
      <c r="K399" s="1324">
        <f t="shared" si="57"/>
        <v>0.78312994652406409</v>
      </c>
      <c r="L399" s="1323">
        <f t="shared" si="58"/>
        <v>20213</v>
      </c>
      <c r="M399" s="1322"/>
      <c r="N399" s="1322"/>
    </row>
    <row r="400" spans="1:14" s="1302" customFormat="1" ht="16.5" customHeight="1">
      <c r="A400" s="1328" t="s">
        <v>1136</v>
      </c>
      <c r="B400" s="1327">
        <v>44749</v>
      </c>
      <c r="C400" s="1326">
        <v>188</v>
      </c>
      <c r="D400" s="1323">
        <f t="shared" ref="D400:D463" si="62">E399</f>
        <v>481213</v>
      </c>
      <c r="E400" s="1325">
        <v>481344</v>
      </c>
      <c r="F400" s="1322">
        <f t="shared" si="59"/>
        <v>131</v>
      </c>
      <c r="G400" s="1322">
        <f t="shared" si="56"/>
        <v>20192</v>
      </c>
      <c r="H400" s="1322">
        <f t="shared" si="60"/>
        <v>107.40425531914893</v>
      </c>
      <c r="I400" s="1322">
        <f t="shared" si="61"/>
        <v>39202.553191489358</v>
      </c>
      <c r="J400" s="1324">
        <f t="shared" ca="1" si="55"/>
        <v>5.7932670237184389</v>
      </c>
      <c r="K400" s="1324">
        <f t="shared" si="57"/>
        <v>0.78405106382978718</v>
      </c>
      <c r="L400" s="1323">
        <f t="shared" si="58"/>
        <v>20344</v>
      </c>
      <c r="M400" s="1322"/>
      <c r="N400" s="1322"/>
    </row>
    <row r="401" spans="1:14" s="1302" customFormat="1" ht="16.5" customHeight="1">
      <c r="A401" s="1328" t="s">
        <v>1130</v>
      </c>
      <c r="B401" s="1327">
        <v>44750</v>
      </c>
      <c r="C401" s="1326">
        <v>189</v>
      </c>
      <c r="D401" s="1323">
        <f t="shared" si="62"/>
        <v>481344</v>
      </c>
      <c r="E401" s="1325">
        <v>481579</v>
      </c>
      <c r="F401" s="1322">
        <f t="shared" si="59"/>
        <v>235</v>
      </c>
      <c r="G401" s="1322">
        <f t="shared" si="56"/>
        <v>20427</v>
      </c>
      <c r="H401" s="1322">
        <f t="shared" si="60"/>
        <v>108.07936507936508</v>
      </c>
      <c r="I401" s="1322">
        <f t="shared" si="61"/>
        <v>39448.968253968254</v>
      </c>
      <c r="J401" s="1324">
        <f t="shared" ca="1" si="55"/>
        <v>10.392501912777352</v>
      </c>
      <c r="K401" s="1324">
        <f t="shared" si="57"/>
        <v>0.78897936507936506</v>
      </c>
      <c r="L401" s="1323">
        <f t="shared" si="58"/>
        <v>20579</v>
      </c>
      <c r="M401" s="1322"/>
      <c r="N401" s="1322"/>
    </row>
    <row r="402" spans="1:14" s="1302" customFormat="1" ht="16.5" customHeight="1">
      <c r="A402" s="1328" t="s">
        <v>1128</v>
      </c>
      <c r="B402" s="1327">
        <v>44751</v>
      </c>
      <c r="C402" s="1326">
        <v>190</v>
      </c>
      <c r="D402" s="1323">
        <f t="shared" si="62"/>
        <v>481579</v>
      </c>
      <c r="E402" s="1325">
        <v>481662</v>
      </c>
      <c r="F402" s="1322">
        <f t="shared" si="59"/>
        <v>83</v>
      </c>
      <c r="G402" s="1322">
        <f t="shared" si="56"/>
        <v>20510</v>
      </c>
      <c r="H402" s="1322">
        <f t="shared" si="60"/>
        <v>107.94736842105263</v>
      </c>
      <c r="I402" s="1322">
        <f t="shared" si="61"/>
        <v>39400.789473684214</v>
      </c>
      <c r="J402" s="1324">
        <f t="shared" ca="1" si="55"/>
        <v>3.6705432287681714</v>
      </c>
      <c r="K402" s="1324">
        <f t="shared" si="57"/>
        <v>0.78801578947368423</v>
      </c>
      <c r="L402" s="1323">
        <f t="shared" si="58"/>
        <v>20662</v>
      </c>
      <c r="M402" s="1322"/>
      <c r="N402" s="1322"/>
    </row>
    <row r="403" spans="1:14" s="1302" customFormat="1" ht="16.5" customHeight="1">
      <c r="A403" s="1328" t="s">
        <v>1139</v>
      </c>
      <c r="B403" s="1327">
        <v>44752</v>
      </c>
      <c r="C403" s="1326">
        <v>191</v>
      </c>
      <c r="D403" s="1323">
        <f t="shared" si="62"/>
        <v>481662</v>
      </c>
      <c r="E403" s="1325">
        <v>481731</v>
      </c>
      <c r="F403" s="1322">
        <f t="shared" si="59"/>
        <v>69</v>
      </c>
      <c r="G403" s="1322">
        <f t="shared" si="56"/>
        <v>20579</v>
      </c>
      <c r="H403" s="1322">
        <f t="shared" si="60"/>
        <v>107.7434554973822</v>
      </c>
      <c r="I403" s="1322">
        <f t="shared" si="61"/>
        <v>39326.3612565445</v>
      </c>
      <c r="J403" s="1324">
        <f t="shared" ref="J403:J466" ca="1" si="63">F402:F403/$M$3</f>
        <v>3.0514154552410098</v>
      </c>
      <c r="K403" s="1324">
        <f t="shared" si="57"/>
        <v>0.78652722513089002</v>
      </c>
      <c r="L403" s="1323">
        <f t="shared" si="58"/>
        <v>20731</v>
      </c>
      <c r="M403" s="1322"/>
      <c r="N403" s="1322"/>
    </row>
    <row r="404" spans="1:14" s="1302" customFormat="1" ht="16.5" customHeight="1">
      <c r="A404" s="1328" t="s">
        <v>1138</v>
      </c>
      <c r="B404" s="1327">
        <v>44753</v>
      </c>
      <c r="C404" s="1326">
        <v>192</v>
      </c>
      <c r="D404" s="1323">
        <f t="shared" si="62"/>
        <v>481731</v>
      </c>
      <c r="E404" s="1325">
        <v>481956</v>
      </c>
      <c r="F404" s="1322">
        <f t="shared" si="59"/>
        <v>225</v>
      </c>
      <c r="G404" s="1322">
        <f t="shared" si="56"/>
        <v>20804</v>
      </c>
      <c r="H404" s="1322">
        <f t="shared" si="60"/>
        <v>108.35416666666667</v>
      </c>
      <c r="I404" s="1322">
        <f t="shared" si="61"/>
        <v>39549.270833333336</v>
      </c>
      <c r="J404" s="1324">
        <f t="shared" ca="1" si="63"/>
        <v>9.9502677888293789</v>
      </c>
      <c r="K404" s="1324">
        <f t="shared" si="57"/>
        <v>0.79098541666666666</v>
      </c>
      <c r="L404" s="1323">
        <f t="shared" si="58"/>
        <v>20956</v>
      </c>
      <c r="M404" s="1322"/>
      <c r="N404" s="1322"/>
    </row>
    <row r="405" spans="1:14" s="1302" customFormat="1" ht="16.5" customHeight="1">
      <c r="A405" s="1328" t="s">
        <v>1137</v>
      </c>
      <c r="B405" s="1327">
        <v>44754</v>
      </c>
      <c r="C405" s="1326">
        <v>193</v>
      </c>
      <c r="D405" s="1323">
        <f t="shared" si="62"/>
        <v>481956</v>
      </c>
      <c r="E405" s="1325">
        <v>482099</v>
      </c>
      <c r="F405" s="1322">
        <f t="shared" si="59"/>
        <v>143</v>
      </c>
      <c r="G405" s="1322">
        <f t="shared" ref="G405:G468" si="64">E405-$E$212</f>
        <v>20947</v>
      </c>
      <c r="H405" s="1322">
        <f t="shared" si="60"/>
        <v>108.53367875647669</v>
      </c>
      <c r="I405" s="1322">
        <f t="shared" si="61"/>
        <v>39614.792746113992</v>
      </c>
      <c r="J405" s="1324">
        <f t="shared" ca="1" si="63"/>
        <v>6.3239479724560059</v>
      </c>
      <c r="K405" s="1324">
        <f t="shared" ref="K405:K468" si="65">I405/50000</f>
        <v>0.79229585492227983</v>
      </c>
      <c r="L405" s="1323">
        <f t="shared" ref="L405:L468" si="66">E405-461000</f>
        <v>21099</v>
      </c>
      <c r="M405" s="1322"/>
      <c r="N405" s="1322"/>
    </row>
    <row r="406" spans="1:14" s="1302" customFormat="1" ht="16.5" customHeight="1">
      <c r="A406" s="1328" t="s">
        <v>1131</v>
      </c>
      <c r="B406" s="1327">
        <v>44755</v>
      </c>
      <c r="C406" s="1326">
        <v>194</v>
      </c>
      <c r="D406" s="1323">
        <f t="shared" si="62"/>
        <v>482099</v>
      </c>
      <c r="E406" s="1325">
        <v>482177</v>
      </c>
      <c r="F406" s="1322">
        <f t="shared" si="59"/>
        <v>78</v>
      </c>
      <c r="G406" s="1322">
        <f t="shared" si="64"/>
        <v>21025</v>
      </c>
      <c r="H406" s="1322">
        <f t="shared" si="60"/>
        <v>108.37628865979381</v>
      </c>
      <c r="I406" s="1322">
        <f t="shared" si="61"/>
        <v>39557.345360824744</v>
      </c>
      <c r="J406" s="1324">
        <f t="shared" ca="1" si="63"/>
        <v>3.449426166794185</v>
      </c>
      <c r="K406" s="1324">
        <f t="shared" si="65"/>
        <v>0.79114690721649483</v>
      </c>
      <c r="L406" s="1323">
        <f t="shared" si="66"/>
        <v>21177</v>
      </c>
      <c r="M406" s="1322"/>
      <c r="N406" s="1322"/>
    </row>
    <row r="407" spans="1:14" s="1302" customFormat="1" ht="16.5" customHeight="1">
      <c r="A407" s="1328" t="s">
        <v>1136</v>
      </c>
      <c r="B407" s="1327">
        <v>44756</v>
      </c>
      <c r="C407" s="1326">
        <v>195</v>
      </c>
      <c r="D407" s="1323">
        <f t="shared" si="62"/>
        <v>482177</v>
      </c>
      <c r="E407" s="1325">
        <v>482298</v>
      </c>
      <c r="F407" s="1322">
        <f t="shared" si="59"/>
        <v>121</v>
      </c>
      <c r="G407" s="1322">
        <f t="shared" si="64"/>
        <v>21146</v>
      </c>
      <c r="H407" s="1322">
        <f t="shared" si="60"/>
        <v>108.44102564102565</v>
      </c>
      <c r="I407" s="1322">
        <f t="shared" si="61"/>
        <v>39580.974358974359</v>
      </c>
      <c r="J407" s="1324">
        <f t="shared" ca="1" si="63"/>
        <v>5.3510328997704661</v>
      </c>
      <c r="K407" s="1324">
        <f t="shared" si="65"/>
        <v>0.79161948717948716</v>
      </c>
      <c r="L407" s="1323">
        <f t="shared" si="66"/>
        <v>21298</v>
      </c>
      <c r="M407" s="1322"/>
      <c r="N407" s="1322"/>
    </row>
    <row r="408" spans="1:14" s="1302" customFormat="1" ht="16.5" customHeight="1">
      <c r="A408" s="1328" t="s">
        <v>1130</v>
      </c>
      <c r="B408" s="1327">
        <v>44757</v>
      </c>
      <c r="C408" s="1326">
        <v>196</v>
      </c>
      <c r="D408" s="1323">
        <f t="shared" si="62"/>
        <v>482298</v>
      </c>
      <c r="E408" s="1325">
        <v>482361</v>
      </c>
      <c r="F408" s="1322">
        <f t="shared" si="59"/>
        <v>63</v>
      </c>
      <c r="G408" s="1322">
        <f t="shared" si="64"/>
        <v>21209</v>
      </c>
      <c r="H408" s="1322">
        <f t="shared" si="60"/>
        <v>108.20918367346938</v>
      </c>
      <c r="I408" s="1322">
        <f t="shared" si="61"/>
        <v>39496.352040816324</v>
      </c>
      <c r="J408" s="1324">
        <f t="shared" ca="1" si="63"/>
        <v>2.7860749808722263</v>
      </c>
      <c r="K408" s="1324">
        <f t="shared" si="65"/>
        <v>0.78992704081632648</v>
      </c>
      <c r="L408" s="1323">
        <f t="shared" si="66"/>
        <v>21361</v>
      </c>
      <c r="M408" s="1322"/>
      <c r="N408" s="1322"/>
    </row>
    <row r="409" spans="1:14" s="1302" customFormat="1" ht="16.5" customHeight="1">
      <c r="A409" s="1328" t="s">
        <v>1128</v>
      </c>
      <c r="B409" s="1327">
        <v>44758</v>
      </c>
      <c r="C409" s="1326">
        <v>197</v>
      </c>
      <c r="D409" s="1323">
        <f t="shared" si="62"/>
        <v>482361</v>
      </c>
      <c r="E409" s="1325">
        <v>482495</v>
      </c>
      <c r="F409" s="1322">
        <f t="shared" si="59"/>
        <v>134</v>
      </c>
      <c r="G409" s="1322">
        <f t="shared" si="64"/>
        <v>21343</v>
      </c>
      <c r="H409" s="1322">
        <f t="shared" si="60"/>
        <v>108.34010152284264</v>
      </c>
      <c r="I409" s="1322">
        <f t="shared" si="61"/>
        <v>39544.137055837564</v>
      </c>
      <c r="J409" s="1324">
        <f t="shared" ca="1" si="63"/>
        <v>5.9259372609028302</v>
      </c>
      <c r="K409" s="1324">
        <f t="shared" si="65"/>
        <v>0.79088274111675128</v>
      </c>
      <c r="L409" s="1323">
        <f t="shared" si="66"/>
        <v>21495</v>
      </c>
      <c r="M409" s="1322"/>
      <c r="N409" s="1322"/>
    </row>
    <row r="410" spans="1:14" s="1302" customFormat="1" ht="16.5" customHeight="1">
      <c r="A410" s="1328" t="s">
        <v>1139</v>
      </c>
      <c r="B410" s="1327">
        <v>44759</v>
      </c>
      <c r="C410" s="1326">
        <v>198</v>
      </c>
      <c r="D410" s="1323">
        <f t="shared" si="62"/>
        <v>482495</v>
      </c>
      <c r="E410" s="1325">
        <v>482554</v>
      </c>
      <c r="F410" s="1322">
        <f t="shared" si="59"/>
        <v>59</v>
      </c>
      <c r="G410" s="1322">
        <f t="shared" si="64"/>
        <v>21402</v>
      </c>
      <c r="H410" s="1322">
        <f t="shared" si="60"/>
        <v>108.09090909090909</v>
      </c>
      <c r="I410" s="1322">
        <f t="shared" si="61"/>
        <v>39453.181818181816</v>
      </c>
      <c r="J410" s="1324">
        <f t="shared" ca="1" si="63"/>
        <v>2.6091813312930374</v>
      </c>
      <c r="K410" s="1324">
        <f t="shared" si="65"/>
        <v>0.7890636363636363</v>
      </c>
      <c r="L410" s="1323">
        <f t="shared" si="66"/>
        <v>21554</v>
      </c>
      <c r="M410" s="1322"/>
      <c r="N410" s="1322"/>
    </row>
    <row r="411" spans="1:14" s="1302" customFormat="1" ht="16.5" customHeight="1">
      <c r="A411" s="1328" t="s">
        <v>1138</v>
      </c>
      <c r="B411" s="1327">
        <v>44760</v>
      </c>
      <c r="C411" s="1326">
        <v>199</v>
      </c>
      <c r="D411" s="1323">
        <f t="shared" si="62"/>
        <v>482554</v>
      </c>
      <c r="E411" s="1325">
        <f>E410</f>
        <v>482554</v>
      </c>
      <c r="F411" s="1322">
        <f t="shared" si="59"/>
        <v>0</v>
      </c>
      <c r="G411" s="1322">
        <f t="shared" si="64"/>
        <v>21402</v>
      </c>
      <c r="H411" s="1322">
        <f t="shared" si="60"/>
        <v>107.54773869346734</v>
      </c>
      <c r="I411" s="1322">
        <f t="shared" si="61"/>
        <v>39254.924623115578</v>
      </c>
      <c r="J411" s="1324">
        <f t="shared" ca="1" si="63"/>
        <v>0</v>
      </c>
      <c r="K411" s="1324">
        <f t="shared" si="65"/>
        <v>0.78509849246231156</v>
      </c>
      <c r="L411" s="1323">
        <f t="shared" si="66"/>
        <v>21554</v>
      </c>
      <c r="M411" s="1322"/>
      <c r="N411" s="1322"/>
    </row>
    <row r="412" spans="1:14" s="1302" customFormat="1" ht="16.5" customHeight="1">
      <c r="A412" s="1328" t="s">
        <v>1137</v>
      </c>
      <c r="B412" s="1327">
        <v>44761</v>
      </c>
      <c r="C412" s="1326">
        <v>200</v>
      </c>
      <c r="D412" s="1323">
        <f t="shared" si="62"/>
        <v>482554</v>
      </c>
      <c r="E412" s="1325">
        <v>482849</v>
      </c>
      <c r="F412" s="1322">
        <f t="shared" si="59"/>
        <v>295</v>
      </c>
      <c r="G412" s="1322">
        <f t="shared" si="64"/>
        <v>21697</v>
      </c>
      <c r="H412" s="1322">
        <f t="shared" si="60"/>
        <v>108.485</v>
      </c>
      <c r="I412" s="1322">
        <f t="shared" si="61"/>
        <v>39597.025000000001</v>
      </c>
      <c r="J412" s="1324">
        <f t="shared" ca="1" si="63"/>
        <v>13.045906656465187</v>
      </c>
      <c r="K412" s="1324">
        <f t="shared" si="65"/>
        <v>0.79194050000000005</v>
      </c>
      <c r="L412" s="1323">
        <f t="shared" si="66"/>
        <v>21849</v>
      </c>
      <c r="M412" s="1322" t="s">
        <v>238</v>
      </c>
      <c r="N412" s="1322"/>
    </row>
    <row r="413" spans="1:14" s="1302" customFormat="1" ht="16.5" customHeight="1">
      <c r="A413" s="1328" t="s">
        <v>1131</v>
      </c>
      <c r="B413" s="1327">
        <v>44762</v>
      </c>
      <c r="C413" s="1326">
        <v>201</v>
      </c>
      <c r="D413" s="1323">
        <f t="shared" si="62"/>
        <v>482849</v>
      </c>
      <c r="E413" s="1325">
        <v>482958</v>
      </c>
      <c r="F413" s="1322">
        <f t="shared" si="59"/>
        <v>109</v>
      </c>
      <c r="G413" s="1322">
        <f t="shared" si="64"/>
        <v>21806</v>
      </c>
      <c r="H413" s="1322">
        <f t="shared" si="60"/>
        <v>108.48756218905473</v>
      </c>
      <c r="I413" s="1322">
        <f t="shared" si="61"/>
        <v>39597.960199004978</v>
      </c>
      <c r="J413" s="1324">
        <f t="shared" ca="1" si="63"/>
        <v>4.8203519510328992</v>
      </c>
      <c r="K413" s="1324">
        <f t="shared" si="65"/>
        <v>0.79195920398009956</v>
      </c>
      <c r="L413" s="1323">
        <f t="shared" si="66"/>
        <v>21958</v>
      </c>
      <c r="M413" s="1322" t="s">
        <v>1134</v>
      </c>
      <c r="N413" s="1322"/>
    </row>
    <row r="414" spans="1:14" s="1302" customFormat="1" ht="16.5" customHeight="1">
      <c r="A414" s="1328" t="s">
        <v>1136</v>
      </c>
      <c r="B414" s="1327">
        <v>44763</v>
      </c>
      <c r="C414" s="1326">
        <v>202</v>
      </c>
      <c r="D414" s="1323">
        <f t="shared" si="62"/>
        <v>482958</v>
      </c>
      <c r="E414" s="1325">
        <v>483027</v>
      </c>
      <c r="F414" s="1322">
        <f t="shared" si="59"/>
        <v>69</v>
      </c>
      <c r="G414" s="1322">
        <f t="shared" si="64"/>
        <v>21875</v>
      </c>
      <c r="H414" s="1322">
        <f t="shared" si="60"/>
        <v>108.29207920792079</v>
      </c>
      <c r="I414" s="1322">
        <f t="shared" si="61"/>
        <v>39526.608910891089</v>
      </c>
      <c r="J414" s="1324">
        <f t="shared" ca="1" si="63"/>
        <v>3.0514154552410098</v>
      </c>
      <c r="K414" s="1324">
        <f t="shared" si="65"/>
        <v>0.79053217821782173</v>
      </c>
      <c r="L414" s="1323">
        <f t="shared" si="66"/>
        <v>22027</v>
      </c>
      <c r="M414" s="1322"/>
      <c r="N414" s="1322"/>
    </row>
    <row r="415" spans="1:14" s="1302" customFormat="1" ht="16.5" customHeight="1">
      <c r="A415" s="1328" t="s">
        <v>1130</v>
      </c>
      <c r="B415" s="1327">
        <v>44764</v>
      </c>
      <c r="C415" s="1326">
        <v>203</v>
      </c>
      <c r="D415" s="1323">
        <f t="shared" si="62"/>
        <v>483027</v>
      </c>
      <c r="E415" s="1325">
        <v>483113</v>
      </c>
      <c r="F415" s="1322">
        <f t="shared" si="59"/>
        <v>86</v>
      </c>
      <c r="G415" s="1322">
        <f t="shared" si="64"/>
        <v>21961</v>
      </c>
      <c r="H415" s="1322">
        <f t="shared" si="60"/>
        <v>108.18226600985221</v>
      </c>
      <c r="I415" s="1322">
        <f t="shared" si="61"/>
        <v>39486.527093596058</v>
      </c>
      <c r="J415" s="1324">
        <f t="shared" ca="1" si="63"/>
        <v>3.8032134659525627</v>
      </c>
      <c r="K415" s="1324">
        <f t="shared" si="65"/>
        <v>0.78973054187192115</v>
      </c>
      <c r="L415" s="1323">
        <f t="shared" si="66"/>
        <v>22113</v>
      </c>
      <c r="M415" s="1322"/>
      <c r="N415" s="1322"/>
    </row>
    <row r="416" spans="1:14" s="1302" customFormat="1" ht="16.5" customHeight="1">
      <c r="A416" s="1328" t="s">
        <v>1128</v>
      </c>
      <c r="B416" s="1327">
        <v>44765</v>
      </c>
      <c r="C416" s="1326">
        <v>204</v>
      </c>
      <c r="D416" s="1323">
        <f t="shared" si="62"/>
        <v>483113</v>
      </c>
      <c r="E416" s="1325">
        <v>483222</v>
      </c>
      <c r="F416" s="1322">
        <f t="shared" si="59"/>
        <v>109</v>
      </c>
      <c r="G416" s="1322">
        <f t="shared" si="64"/>
        <v>22070</v>
      </c>
      <c r="H416" s="1322">
        <f t="shared" si="60"/>
        <v>108.18627450980392</v>
      </c>
      <c r="I416" s="1322">
        <f t="shared" si="61"/>
        <v>39487.990196078434</v>
      </c>
      <c r="J416" s="1324">
        <f t="shared" ca="1" si="63"/>
        <v>4.8203519510328992</v>
      </c>
      <c r="K416" s="1324">
        <f t="shared" si="65"/>
        <v>0.78975980392156864</v>
      </c>
      <c r="L416" s="1323">
        <f t="shared" si="66"/>
        <v>22222</v>
      </c>
      <c r="M416" s="1322"/>
      <c r="N416" s="1322"/>
    </row>
    <row r="417" spans="1:14" s="1302" customFormat="1" ht="16.5" customHeight="1">
      <c r="A417" s="1328" t="s">
        <v>1139</v>
      </c>
      <c r="B417" s="1327">
        <v>44766</v>
      </c>
      <c r="C417" s="1326">
        <v>205</v>
      </c>
      <c r="D417" s="1323">
        <f t="shared" si="62"/>
        <v>483222</v>
      </c>
      <c r="E417" s="1325">
        <f>E416</f>
        <v>483222</v>
      </c>
      <c r="F417" s="1322">
        <f t="shared" si="59"/>
        <v>0</v>
      </c>
      <c r="G417" s="1322">
        <f t="shared" si="64"/>
        <v>22070</v>
      </c>
      <c r="H417" s="1322">
        <f t="shared" si="60"/>
        <v>107.65853658536585</v>
      </c>
      <c r="I417" s="1322">
        <f t="shared" si="61"/>
        <v>39295.365853658535</v>
      </c>
      <c r="J417" s="1324">
        <f t="shared" ca="1" si="63"/>
        <v>0</v>
      </c>
      <c r="K417" s="1324">
        <f t="shared" si="65"/>
        <v>0.78590731707317074</v>
      </c>
      <c r="L417" s="1323">
        <f t="shared" si="66"/>
        <v>22222</v>
      </c>
      <c r="M417" s="1322"/>
      <c r="N417" s="1322"/>
    </row>
    <row r="418" spans="1:14" s="1302" customFormat="1" ht="16.5" customHeight="1">
      <c r="A418" s="1328" t="s">
        <v>1138</v>
      </c>
      <c r="B418" s="1327">
        <v>44767</v>
      </c>
      <c r="C418" s="1326">
        <v>206</v>
      </c>
      <c r="D418" s="1323">
        <f t="shared" si="62"/>
        <v>483222</v>
      </c>
      <c r="E418" s="1325">
        <v>483346</v>
      </c>
      <c r="F418" s="1322">
        <f t="shared" si="59"/>
        <v>124</v>
      </c>
      <c r="G418" s="1322">
        <f t="shared" si="64"/>
        <v>22194</v>
      </c>
      <c r="H418" s="1322">
        <f t="shared" si="60"/>
        <v>107.7378640776699</v>
      </c>
      <c r="I418" s="1322">
        <f t="shared" si="61"/>
        <v>39324.320388349515</v>
      </c>
      <c r="J418" s="1324">
        <f t="shared" ca="1" si="63"/>
        <v>5.4837031369548583</v>
      </c>
      <c r="K418" s="1324">
        <f t="shared" si="65"/>
        <v>0.7864864077669903</v>
      </c>
      <c r="L418" s="1323">
        <f t="shared" si="66"/>
        <v>22346</v>
      </c>
      <c r="M418" s="1322"/>
      <c r="N418" s="1322"/>
    </row>
    <row r="419" spans="1:14" s="1302" customFormat="1" ht="16.5" customHeight="1">
      <c r="A419" s="1328" t="s">
        <v>1137</v>
      </c>
      <c r="B419" s="1327">
        <v>44768</v>
      </c>
      <c r="C419" s="1326">
        <v>207</v>
      </c>
      <c r="D419" s="1323">
        <f t="shared" si="62"/>
        <v>483346</v>
      </c>
      <c r="E419" s="1325">
        <v>483411</v>
      </c>
      <c r="F419" s="1322">
        <f t="shared" si="59"/>
        <v>65</v>
      </c>
      <c r="G419" s="1322">
        <f t="shared" si="64"/>
        <v>22259</v>
      </c>
      <c r="H419" s="1322">
        <f t="shared" si="60"/>
        <v>107.53140096618357</v>
      </c>
      <c r="I419" s="1322">
        <f t="shared" si="61"/>
        <v>39248.961352657003</v>
      </c>
      <c r="J419" s="1324">
        <f t="shared" ca="1" si="63"/>
        <v>2.8745218056618209</v>
      </c>
      <c r="K419" s="1324">
        <f t="shared" si="65"/>
        <v>0.78497922705314005</v>
      </c>
      <c r="L419" s="1323">
        <f t="shared" si="66"/>
        <v>22411</v>
      </c>
      <c r="M419" s="1322"/>
      <c r="N419" s="1322"/>
    </row>
    <row r="420" spans="1:14" s="1302" customFormat="1" ht="16.5" customHeight="1">
      <c r="A420" s="1328" t="s">
        <v>1131</v>
      </c>
      <c r="B420" s="1327">
        <v>44769</v>
      </c>
      <c r="C420" s="1326">
        <v>208</v>
      </c>
      <c r="D420" s="1323">
        <f t="shared" si="62"/>
        <v>483411</v>
      </c>
      <c r="E420" s="1325">
        <v>483521</v>
      </c>
      <c r="F420" s="1322">
        <f t="shared" si="59"/>
        <v>110</v>
      </c>
      <c r="G420" s="1322">
        <f t="shared" si="64"/>
        <v>22369</v>
      </c>
      <c r="H420" s="1322">
        <f t="shared" si="60"/>
        <v>107.54326923076923</v>
      </c>
      <c r="I420" s="1322">
        <f t="shared" si="61"/>
        <v>39253.293269230766</v>
      </c>
      <c r="J420" s="1324">
        <f t="shared" ca="1" si="63"/>
        <v>4.8645753634276971</v>
      </c>
      <c r="K420" s="1324">
        <f t="shared" si="65"/>
        <v>0.78506586538461531</v>
      </c>
      <c r="L420" s="1323">
        <f t="shared" si="66"/>
        <v>22521</v>
      </c>
      <c r="M420" s="1322"/>
      <c r="N420" s="1322"/>
    </row>
    <row r="421" spans="1:14" s="1302" customFormat="1" ht="16.5" customHeight="1">
      <c r="A421" s="1328" t="s">
        <v>1136</v>
      </c>
      <c r="B421" s="1327">
        <v>44770</v>
      </c>
      <c r="C421" s="1326">
        <v>209</v>
      </c>
      <c r="D421" s="1323">
        <f t="shared" si="62"/>
        <v>483521</v>
      </c>
      <c r="E421" s="1325">
        <v>483625</v>
      </c>
      <c r="F421" s="1322">
        <f t="shared" si="59"/>
        <v>104</v>
      </c>
      <c r="G421" s="1322">
        <f t="shared" si="64"/>
        <v>22473</v>
      </c>
      <c r="H421" s="1322">
        <f t="shared" si="60"/>
        <v>107.52631578947368</v>
      </c>
      <c r="I421" s="1322">
        <f t="shared" si="61"/>
        <v>39247.105263157893</v>
      </c>
      <c r="J421" s="1324">
        <f t="shared" ca="1" si="63"/>
        <v>4.5992348890589136</v>
      </c>
      <c r="K421" s="1324">
        <f t="shared" si="65"/>
        <v>0.78494210526315789</v>
      </c>
      <c r="L421" s="1323">
        <f t="shared" si="66"/>
        <v>22625</v>
      </c>
      <c r="M421" s="1322"/>
      <c r="N421" s="1322"/>
    </row>
    <row r="422" spans="1:14" s="1302" customFormat="1" ht="16.5" customHeight="1">
      <c r="A422" s="1328" t="s">
        <v>1130</v>
      </c>
      <c r="B422" s="1327">
        <v>44771</v>
      </c>
      <c r="C422" s="1326">
        <v>210</v>
      </c>
      <c r="D422" s="1323">
        <f t="shared" si="62"/>
        <v>483625</v>
      </c>
      <c r="E422" s="1325">
        <v>483729</v>
      </c>
      <c r="F422" s="1322">
        <f t="shared" si="59"/>
        <v>104</v>
      </c>
      <c r="G422" s="1322">
        <f t="shared" si="64"/>
        <v>22577</v>
      </c>
      <c r="H422" s="1322">
        <f t="shared" si="60"/>
        <v>107.50952380952381</v>
      </c>
      <c r="I422" s="1322">
        <f t="shared" si="61"/>
        <v>39240.976190476191</v>
      </c>
      <c r="J422" s="1324">
        <f t="shared" ca="1" si="63"/>
        <v>4.5992348890589136</v>
      </c>
      <c r="K422" s="1324">
        <f t="shared" si="65"/>
        <v>0.7848195238095238</v>
      </c>
      <c r="L422" s="1323">
        <f t="shared" si="66"/>
        <v>22729</v>
      </c>
      <c r="M422" s="1322" t="s">
        <v>1134</v>
      </c>
      <c r="N422" s="1322"/>
    </row>
    <row r="423" spans="1:14" s="1302" customFormat="1" ht="16.5" customHeight="1">
      <c r="A423" s="1328" t="s">
        <v>1128</v>
      </c>
      <c r="B423" s="1327">
        <v>44772</v>
      </c>
      <c r="C423" s="1326">
        <v>211</v>
      </c>
      <c r="D423" s="1323">
        <f t="shared" si="62"/>
        <v>483729</v>
      </c>
      <c r="E423" s="1325">
        <v>483942</v>
      </c>
      <c r="F423" s="1322">
        <f t="shared" si="59"/>
        <v>213</v>
      </c>
      <c r="G423" s="1322">
        <f t="shared" si="64"/>
        <v>22790</v>
      </c>
      <c r="H423" s="1322">
        <f t="shared" si="60"/>
        <v>108.00947867298578</v>
      </c>
      <c r="I423" s="1322">
        <f t="shared" si="61"/>
        <v>39423.459715639809</v>
      </c>
      <c r="J423" s="1324">
        <f t="shared" ca="1" si="63"/>
        <v>9.4195868400918137</v>
      </c>
      <c r="K423" s="1324">
        <f t="shared" si="65"/>
        <v>0.78846919431279616</v>
      </c>
      <c r="L423" s="1323">
        <f t="shared" si="66"/>
        <v>22942</v>
      </c>
      <c r="M423" s="1322" t="s">
        <v>238</v>
      </c>
      <c r="N423" s="1322"/>
    </row>
    <row r="424" spans="1:14" s="1302" customFormat="1" ht="16.5" customHeight="1">
      <c r="A424" s="1328" t="s">
        <v>1139</v>
      </c>
      <c r="B424" s="1327">
        <v>44773</v>
      </c>
      <c r="C424" s="1326">
        <v>212</v>
      </c>
      <c r="D424" s="1323">
        <f t="shared" si="62"/>
        <v>483942</v>
      </c>
      <c r="E424" s="1325">
        <v>484033</v>
      </c>
      <c r="F424" s="1322">
        <f t="shared" si="59"/>
        <v>91</v>
      </c>
      <c r="G424" s="1322">
        <f t="shared" si="64"/>
        <v>22881</v>
      </c>
      <c r="H424" s="1322">
        <f t="shared" si="60"/>
        <v>107.92924528301887</v>
      </c>
      <c r="I424" s="1322">
        <f t="shared" si="61"/>
        <v>39394.17452830189</v>
      </c>
      <c r="J424" s="1324">
        <f t="shared" ca="1" si="63"/>
        <v>4.0243305279265495</v>
      </c>
      <c r="K424" s="1324">
        <f t="shared" si="65"/>
        <v>0.78788349056603779</v>
      </c>
      <c r="L424" s="1323">
        <f t="shared" si="66"/>
        <v>23033</v>
      </c>
      <c r="M424" s="1322"/>
      <c r="N424" s="1322"/>
    </row>
    <row r="425" spans="1:14" s="1302" customFormat="1" ht="16.5" customHeight="1">
      <c r="A425" s="1328" t="s">
        <v>1138</v>
      </c>
      <c r="B425" s="1327">
        <v>44774</v>
      </c>
      <c r="C425" s="1326">
        <v>213</v>
      </c>
      <c r="D425" s="1323">
        <f t="shared" si="62"/>
        <v>484033</v>
      </c>
      <c r="E425" s="1325">
        <v>484115</v>
      </c>
      <c r="F425" s="1322">
        <f t="shared" si="59"/>
        <v>82</v>
      </c>
      <c r="G425" s="1322">
        <f t="shared" si="64"/>
        <v>22963</v>
      </c>
      <c r="H425" s="1322">
        <f t="shared" si="60"/>
        <v>107.8075117370892</v>
      </c>
      <c r="I425" s="1322">
        <f t="shared" si="61"/>
        <v>39349.741784037556</v>
      </c>
      <c r="J425" s="1324">
        <f t="shared" ca="1" si="63"/>
        <v>3.6263198163733739</v>
      </c>
      <c r="K425" s="1324">
        <f t="shared" si="65"/>
        <v>0.78699483568075113</v>
      </c>
      <c r="L425" s="1323">
        <f t="shared" si="66"/>
        <v>23115</v>
      </c>
      <c r="M425" s="1322"/>
      <c r="N425" s="1322"/>
    </row>
    <row r="426" spans="1:14" s="1302" customFormat="1" ht="16.5" customHeight="1">
      <c r="A426" s="1328" t="s">
        <v>1137</v>
      </c>
      <c r="B426" s="1327">
        <v>44775</v>
      </c>
      <c r="C426" s="1326">
        <v>214</v>
      </c>
      <c r="D426" s="1323">
        <f t="shared" si="62"/>
        <v>484115</v>
      </c>
      <c r="E426" s="1325">
        <v>484232</v>
      </c>
      <c r="F426" s="1322">
        <f t="shared" si="59"/>
        <v>117</v>
      </c>
      <c r="G426" s="1322">
        <f t="shared" si="64"/>
        <v>23080</v>
      </c>
      <c r="H426" s="1322">
        <f t="shared" si="60"/>
        <v>107.85046728971963</v>
      </c>
      <c r="I426" s="1322">
        <f t="shared" si="61"/>
        <v>39365.420560747669</v>
      </c>
      <c r="J426" s="1324">
        <f t="shared" ca="1" si="63"/>
        <v>5.1741392501912777</v>
      </c>
      <c r="K426" s="1324">
        <f t="shared" si="65"/>
        <v>0.78730841121495343</v>
      </c>
      <c r="L426" s="1323">
        <f t="shared" si="66"/>
        <v>23232</v>
      </c>
      <c r="M426" s="1322"/>
      <c r="N426" s="1322"/>
    </row>
    <row r="427" spans="1:14" s="1302" customFormat="1" ht="16.5" customHeight="1">
      <c r="A427" s="1328" t="s">
        <v>1131</v>
      </c>
      <c r="B427" s="1327">
        <v>44776</v>
      </c>
      <c r="C427" s="1326">
        <v>215</v>
      </c>
      <c r="D427" s="1323">
        <f t="shared" si="62"/>
        <v>484232</v>
      </c>
      <c r="E427" s="1325">
        <v>484350</v>
      </c>
      <c r="F427" s="1322">
        <f t="shared" si="59"/>
        <v>118</v>
      </c>
      <c r="G427" s="1322">
        <f t="shared" si="64"/>
        <v>23198</v>
      </c>
      <c r="H427" s="1322">
        <f t="shared" si="60"/>
        <v>107.89767441860465</v>
      </c>
      <c r="I427" s="1322">
        <f t="shared" si="61"/>
        <v>39382.651162790695</v>
      </c>
      <c r="J427" s="1324">
        <f t="shared" ca="1" si="63"/>
        <v>5.2183626625860748</v>
      </c>
      <c r="K427" s="1324">
        <f t="shared" si="65"/>
        <v>0.78765302325581388</v>
      </c>
      <c r="L427" s="1323">
        <f t="shared" si="66"/>
        <v>23350</v>
      </c>
      <c r="M427" s="1322"/>
      <c r="N427" s="1322"/>
    </row>
    <row r="428" spans="1:14" s="1302" customFormat="1" ht="16.5" customHeight="1">
      <c r="A428" s="1328" t="s">
        <v>1136</v>
      </c>
      <c r="B428" s="1327">
        <v>44777</v>
      </c>
      <c r="C428" s="1326">
        <v>216</v>
      </c>
      <c r="D428" s="1323">
        <f t="shared" si="62"/>
        <v>484350</v>
      </c>
      <c r="E428" s="1325">
        <v>484438</v>
      </c>
      <c r="F428" s="1322">
        <f t="shared" si="59"/>
        <v>88</v>
      </c>
      <c r="G428" s="1322">
        <f t="shared" si="64"/>
        <v>23286</v>
      </c>
      <c r="H428" s="1322">
        <f t="shared" si="60"/>
        <v>107.80555555555556</v>
      </c>
      <c r="I428" s="1322">
        <f t="shared" si="61"/>
        <v>39349.027777777781</v>
      </c>
      <c r="J428" s="1324">
        <f t="shared" ca="1" si="63"/>
        <v>3.8916602907421574</v>
      </c>
      <c r="K428" s="1324">
        <f t="shared" si="65"/>
        <v>0.78698055555555557</v>
      </c>
      <c r="L428" s="1323">
        <f t="shared" si="66"/>
        <v>23438</v>
      </c>
      <c r="M428" s="1322"/>
      <c r="N428" s="1322"/>
    </row>
    <row r="429" spans="1:14" s="1302" customFormat="1" ht="16.5" customHeight="1">
      <c r="A429" s="1328" t="s">
        <v>1130</v>
      </c>
      <c r="B429" s="1327">
        <v>44778</v>
      </c>
      <c r="C429" s="1326">
        <v>217</v>
      </c>
      <c r="D429" s="1323">
        <f t="shared" si="62"/>
        <v>484438</v>
      </c>
      <c r="E429" s="1325">
        <v>484495</v>
      </c>
      <c r="F429" s="1322">
        <f t="shared" si="59"/>
        <v>57</v>
      </c>
      <c r="G429" s="1322">
        <f t="shared" si="64"/>
        <v>23343</v>
      </c>
      <c r="H429" s="1322">
        <f t="shared" si="60"/>
        <v>107.57142857142857</v>
      </c>
      <c r="I429" s="1322">
        <f t="shared" si="61"/>
        <v>39263.571428571428</v>
      </c>
      <c r="J429" s="1324">
        <f t="shared" ca="1" si="63"/>
        <v>2.5207345065034428</v>
      </c>
      <c r="K429" s="1324">
        <f t="shared" si="65"/>
        <v>0.78527142857142851</v>
      </c>
      <c r="L429" s="1323">
        <f t="shared" si="66"/>
        <v>23495</v>
      </c>
      <c r="M429" s="1322"/>
      <c r="N429" s="1322"/>
    </row>
    <row r="430" spans="1:14" s="1302" customFormat="1" ht="16.5" customHeight="1">
      <c r="A430" s="1328" t="s">
        <v>1128</v>
      </c>
      <c r="B430" s="1327">
        <v>44779</v>
      </c>
      <c r="C430" s="1326">
        <v>218</v>
      </c>
      <c r="D430" s="1323">
        <f t="shared" si="62"/>
        <v>484495</v>
      </c>
      <c r="E430" s="1325">
        <v>484622</v>
      </c>
      <c r="F430" s="1322">
        <f t="shared" si="59"/>
        <v>127</v>
      </c>
      <c r="G430" s="1322">
        <f t="shared" si="64"/>
        <v>23470</v>
      </c>
      <c r="H430" s="1322">
        <f t="shared" si="60"/>
        <v>107.66055045871559</v>
      </c>
      <c r="I430" s="1322">
        <f t="shared" si="61"/>
        <v>39296.100917431191</v>
      </c>
      <c r="J430" s="1324">
        <f t="shared" ca="1" si="63"/>
        <v>5.6163733741392496</v>
      </c>
      <c r="K430" s="1324">
        <f t="shared" si="65"/>
        <v>0.78592201834862385</v>
      </c>
      <c r="L430" s="1323">
        <f t="shared" si="66"/>
        <v>23622</v>
      </c>
      <c r="M430" s="1322"/>
      <c r="N430" s="1322"/>
    </row>
    <row r="431" spans="1:14" s="1302" customFormat="1" ht="16.5" customHeight="1">
      <c r="A431" s="1328" t="s">
        <v>1139</v>
      </c>
      <c r="B431" s="1327">
        <v>44780</v>
      </c>
      <c r="C431" s="1326">
        <v>219</v>
      </c>
      <c r="D431" s="1323">
        <f t="shared" si="62"/>
        <v>484622</v>
      </c>
      <c r="E431" s="1325">
        <f>E430</f>
        <v>484622</v>
      </c>
      <c r="F431" s="1322">
        <f t="shared" si="59"/>
        <v>0</v>
      </c>
      <c r="G431" s="1322">
        <f t="shared" si="64"/>
        <v>23470</v>
      </c>
      <c r="H431" s="1322">
        <f t="shared" si="60"/>
        <v>107.1689497716895</v>
      </c>
      <c r="I431" s="1322">
        <f t="shared" si="61"/>
        <v>39116.666666666664</v>
      </c>
      <c r="J431" s="1324">
        <f t="shared" ca="1" si="63"/>
        <v>0</v>
      </c>
      <c r="K431" s="1324">
        <f t="shared" si="65"/>
        <v>0.78233333333333333</v>
      </c>
      <c r="L431" s="1323">
        <f t="shared" si="66"/>
        <v>23622</v>
      </c>
      <c r="M431" s="1322"/>
      <c r="N431" s="1322"/>
    </row>
    <row r="432" spans="1:14" s="1302" customFormat="1" ht="16.5" customHeight="1">
      <c r="A432" s="1328" t="s">
        <v>1138</v>
      </c>
      <c r="B432" s="1327">
        <v>44781</v>
      </c>
      <c r="C432" s="1326">
        <v>220</v>
      </c>
      <c r="D432" s="1323">
        <f t="shared" si="62"/>
        <v>484622</v>
      </c>
      <c r="E432" s="1325">
        <v>484763</v>
      </c>
      <c r="F432" s="1322">
        <f t="shared" si="59"/>
        <v>141</v>
      </c>
      <c r="G432" s="1322">
        <f t="shared" si="64"/>
        <v>23611</v>
      </c>
      <c r="H432" s="1322">
        <f t="shared" si="60"/>
        <v>107.32272727272728</v>
      </c>
      <c r="I432" s="1322">
        <f t="shared" si="61"/>
        <v>39172.795454545456</v>
      </c>
      <c r="J432" s="1324">
        <f t="shared" ca="1" si="63"/>
        <v>6.2355011476664117</v>
      </c>
      <c r="K432" s="1324">
        <f t="shared" si="65"/>
        <v>0.78345590909090912</v>
      </c>
      <c r="L432" s="1323">
        <f t="shared" si="66"/>
        <v>23763</v>
      </c>
      <c r="M432" s="1322" t="s">
        <v>238</v>
      </c>
      <c r="N432" s="1322"/>
    </row>
    <row r="433" spans="1:14" s="1302" customFormat="1" ht="16.5" customHeight="1">
      <c r="A433" s="1328" t="s">
        <v>1137</v>
      </c>
      <c r="B433" s="1327">
        <v>44782</v>
      </c>
      <c r="C433" s="1326">
        <v>221</v>
      </c>
      <c r="D433" s="1323">
        <f t="shared" si="62"/>
        <v>484763</v>
      </c>
      <c r="E433" s="1325">
        <f>E432</f>
        <v>484763</v>
      </c>
      <c r="F433" s="1322">
        <f t="shared" si="59"/>
        <v>0</v>
      </c>
      <c r="G433" s="1322">
        <f t="shared" si="64"/>
        <v>23611</v>
      </c>
      <c r="H433" s="1322">
        <f t="shared" si="60"/>
        <v>106.83710407239819</v>
      </c>
      <c r="I433" s="1322">
        <f t="shared" si="61"/>
        <v>38995.542986425338</v>
      </c>
      <c r="J433" s="1324">
        <f t="shared" ca="1" si="63"/>
        <v>0</v>
      </c>
      <c r="K433" s="1324">
        <f t="shared" si="65"/>
        <v>0.77991085972850671</v>
      </c>
      <c r="L433" s="1323">
        <f t="shared" si="66"/>
        <v>23763</v>
      </c>
      <c r="M433" s="1322" t="s">
        <v>238</v>
      </c>
      <c r="N433" s="1322"/>
    </row>
    <row r="434" spans="1:14" s="1302" customFormat="1" ht="16.5" customHeight="1">
      <c r="A434" s="1328" t="s">
        <v>1131</v>
      </c>
      <c r="B434" s="1327">
        <v>44783</v>
      </c>
      <c r="C434" s="1326">
        <v>222</v>
      </c>
      <c r="D434" s="1323">
        <f t="shared" si="62"/>
        <v>484763</v>
      </c>
      <c r="E434" s="1325">
        <f>E433</f>
        <v>484763</v>
      </c>
      <c r="F434" s="1322">
        <f t="shared" si="59"/>
        <v>0</v>
      </c>
      <c r="G434" s="1322">
        <f t="shared" si="64"/>
        <v>23611</v>
      </c>
      <c r="H434" s="1322">
        <f t="shared" si="60"/>
        <v>106.35585585585585</v>
      </c>
      <c r="I434" s="1322">
        <f t="shared" si="61"/>
        <v>38819.887387387382</v>
      </c>
      <c r="J434" s="1324">
        <f t="shared" ca="1" si="63"/>
        <v>0</v>
      </c>
      <c r="K434" s="1324">
        <f t="shared" si="65"/>
        <v>0.77639774774774761</v>
      </c>
      <c r="L434" s="1323">
        <f t="shared" si="66"/>
        <v>23763</v>
      </c>
      <c r="M434" s="1322"/>
      <c r="N434" s="1322"/>
    </row>
    <row r="435" spans="1:14" s="1302" customFormat="1" ht="16.5" customHeight="1">
      <c r="A435" s="1328" t="s">
        <v>1136</v>
      </c>
      <c r="B435" s="1327">
        <v>44784</v>
      </c>
      <c r="C435" s="1326">
        <v>223</v>
      </c>
      <c r="D435" s="1323">
        <f t="shared" si="62"/>
        <v>484763</v>
      </c>
      <c r="E435" s="1325">
        <f>E434</f>
        <v>484763</v>
      </c>
      <c r="F435" s="1322">
        <f t="shared" si="59"/>
        <v>0</v>
      </c>
      <c r="G435" s="1322">
        <f t="shared" si="64"/>
        <v>23611</v>
      </c>
      <c r="H435" s="1322">
        <f t="shared" si="60"/>
        <v>105.87892376681614</v>
      </c>
      <c r="I435" s="1322">
        <f t="shared" si="61"/>
        <v>38645.807174887894</v>
      </c>
      <c r="J435" s="1324">
        <f t="shared" ca="1" si="63"/>
        <v>0</v>
      </c>
      <c r="K435" s="1324">
        <f t="shared" si="65"/>
        <v>0.77291614349775783</v>
      </c>
      <c r="L435" s="1323">
        <f t="shared" si="66"/>
        <v>23763</v>
      </c>
      <c r="M435" s="1322"/>
      <c r="N435" s="1322"/>
    </row>
    <row r="436" spans="1:14" s="1302" customFormat="1" ht="16.5" customHeight="1">
      <c r="A436" s="1328" t="s">
        <v>1130</v>
      </c>
      <c r="B436" s="1327">
        <v>44785</v>
      </c>
      <c r="C436" s="1326">
        <v>224</v>
      </c>
      <c r="D436" s="1323">
        <f t="shared" si="62"/>
        <v>484763</v>
      </c>
      <c r="E436" s="1325">
        <v>485134</v>
      </c>
      <c r="F436" s="1322">
        <f t="shared" si="59"/>
        <v>371</v>
      </c>
      <c r="G436" s="1322">
        <f t="shared" si="64"/>
        <v>23982</v>
      </c>
      <c r="H436" s="1322">
        <f t="shared" si="60"/>
        <v>107.0625</v>
      </c>
      <c r="I436" s="1322">
        <f t="shared" si="61"/>
        <v>39077.8125</v>
      </c>
      <c r="J436" s="1324">
        <f t="shared" ca="1" si="63"/>
        <v>16.406885998469779</v>
      </c>
      <c r="K436" s="1324">
        <f t="shared" si="65"/>
        <v>0.78155624999999995</v>
      </c>
      <c r="L436" s="1323">
        <f t="shared" si="66"/>
        <v>24134</v>
      </c>
      <c r="M436" s="1322"/>
      <c r="N436" s="1322"/>
    </row>
    <row r="437" spans="1:14" s="1302" customFormat="1" ht="16.5" customHeight="1">
      <c r="A437" s="1328" t="s">
        <v>1128</v>
      </c>
      <c r="B437" s="1327">
        <v>44786</v>
      </c>
      <c r="C437" s="1326">
        <v>225</v>
      </c>
      <c r="D437" s="1323">
        <f t="shared" si="62"/>
        <v>485134</v>
      </c>
      <c r="E437" s="1325">
        <f>E436</f>
        <v>485134</v>
      </c>
      <c r="F437" s="1322">
        <f t="shared" si="59"/>
        <v>0</v>
      </c>
      <c r="G437" s="1322">
        <f t="shared" si="64"/>
        <v>23982</v>
      </c>
      <c r="H437" s="1322">
        <f t="shared" si="60"/>
        <v>106.58666666666667</v>
      </c>
      <c r="I437" s="1322">
        <f t="shared" si="61"/>
        <v>38904.133333333339</v>
      </c>
      <c r="J437" s="1324">
        <f t="shared" ca="1" si="63"/>
        <v>0</v>
      </c>
      <c r="K437" s="1324">
        <f t="shared" si="65"/>
        <v>0.77808266666666681</v>
      </c>
      <c r="L437" s="1323">
        <f t="shared" si="66"/>
        <v>24134</v>
      </c>
      <c r="M437" s="1322"/>
      <c r="N437" s="1322"/>
    </row>
    <row r="438" spans="1:14" s="1302" customFormat="1" ht="16.5" customHeight="1">
      <c r="A438" s="1328" t="s">
        <v>1139</v>
      </c>
      <c r="B438" s="1327">
        <v>44787</v>
      </c>
      <c r="C438" s="1326">
        <v>226</v>
      </c>
      <c r="D438" s="1323">
        <f t="shared" si="62"/>
        <v>485134</v>
      </c>
      <c r="E438" s="1325">
        <f>E437</f>
        <v>485134</v>
      </c>
      <c r="F438" s="1322">
        <f t="shared" si="59"/>
        <v>0</v>
      </c>
      <c r="G438" s="1322">
        <f t="shared" si="64"/>
        <v>23982</v>
      </c>
      <c r="H438" s="1322">
        <f t="shared" si="60"/>
        <v>106.11504424778761</v>
      </c>
      <c r="I438" s="1322">
        <f t="shared" si="61"/>
        <v>38731.991150442474</v>
      </c>
      <c r="J438" s="1324">
        <f t="shared" ca="1" si="63"/>
        <v>0</v>
      </c>
      <c r="K438" s="1324">
        <f t="shared" si="65"/>
        <v>0.77463982300884948</v>
      </c>
      <c r="L438" s="1323">
        <f t="shared" si="66"/>
        <v>24134</v>
      </c>
      <c r="M438" s="1322"/>
      <c r="N438" s="1322"/>
    </row>
    <row r="439" spans="1:14" s="1302" customFormat="1" ht="16.5" customHeight="1">
      <c r="A439" s="1328" t="s">
        <v>1138</v>
      </c>
      <c r="B439" s="1327">
        <v>44788</v>
      </c>
      <c r="C439" s="1326">
        <v>227</v>
      </c>
      <c r="D439" s="1323">
        <f t="shared" si="62"/>
        <v>485134</v>
      </c>
      <c r="E439" s="1325">
        <v>485416</v>
      </c>
      <c r="F439" s="1322">
        <f t="shared" si="59"/>
        <v>282</v>
      </c>
      <c r="G439" s="1322">
        <f t="shared" si="64"/>
        <v>24264</v>
      </c>
      <c r="H439" s="1322">
        <f t="shared" si="60"/>
        <v>106.8898678414097</v>
      </c>
      <c r="I439" s="1322">
        <f t="shared" si="61"/>
        <v>39014.801762114541</v>
      </c>
      <c r="J439" s="1324">
        <f t="shared" ca="1" si="63"/>
        <v>12.471002295332823</v>
      </c>
      <c r="K439" s="1324">
        <f t="shared" si="65"/>
        <v>0.78029603524229085</v>
      </c>
      <c r="L439" s="1323">
        <f t="shared" si="66"/>
        <v>24416</v>
      </c>
      <c r="M439" s="1322"/>
      <c r="N439" s="1322"/>
    </row>
    <row r="440" spans="1:14" s="1302" customFormat="1" ht="16.5" customHeight="1">
      <c r="A440" s="1328" t="s">
        <v>1137</v>
      </c>
      <c r="B440" s="1327">
        <v>44789</v>
      </c>
      <c r="C440" s="1326">
        <v>228</v>
      </c>
      <c r="D440" s="1323">
        <f t="shared" si="62"/>
        <v>485416</v>
      </c>
      <c r="E440" s="1325">
        <f>E439</f>
        <v>485416</v>
      </c>
      <c r="F440" s="1322">
        <f t="shared" si="59"/>
        <v>0</v>
      </c>
      <c r="G440" s="1322">
        <f t="shared" si="64"/>
        <v>24264</v>
      </c>
      <c r="H440" s="1322">
        <f t="shared" si="60"/>
        <v>106.42105263157895</v>
      </c>
      <c r="I440" s="1322">
        <f t="shared" si="61"/>
        <v>38843.684210526313</v>
      </c>
      <c r="J440" s="1324">
        <f t="shared" ca="1" si="63"/>
        <v>0</v>
      </c>
      <c r="K440" s="1324">
        <f t="shared" si="65"/>
        <v>0.77687368421052627</v>
      </c>
      <c r="L440" s="1323">
        <f t="shared" si="66"/>
        <v>24416</v>
      </c>
      <c r="M440" s="1322"/>
      <c r="N440" s="1322"/>
    </row>
    <row r="441" spans="1:14" s="1302" customFormat="1" ht="16.5" customHeight="1">
      <c r="A441" s="1328" t="s">
        <v>1131</v>
      </c>
      <c r="B441" s="1327">
        <v>44790</v>
      </c>
      <c r="C441" s="1326">
        <v>229</v>
      </c>
      <c r="D441" s="1323">
        <f t="shared" si="62"/>
        <v>485416</v>
      </c>
      <c r="E441" s="1325">
        <f>E440</f>
        <v>485416</v>
      </c>
      <c r="F441" s="1322">
        <f t="shared" si="59"/>
        <v>0</v>
      </c>
      <c r="G441" s="1322">
        <f t="shared" si="64"/>
        <v>24264</v>
      </c>
      <c r="H441" s="1322">
        <f t="shared" si="60"/>
        <v>105.95633187772926</v>
      </c>
      <c r="I441" s="1322">
        <f t="shared" si="61"/>
        <v>38674.061135371179</v>
      </c>
      <c r="J441" s="1324">
        <f t="shared" ca="1" si="63"/>
        <v>0</v>
      </c>
      <c r="K441" s="1324">
        <f t="shared" si="65"/>
        <v>0.77348122270742359</v>
      </c>
      <c r="L441" s="1323">
        <f t="shared" si="66"/>
        <v>24416</v>
      </c>
      <c r="M441" s="1322"/>
      <c r="N441" s="1322"/>
    </row>
    <row r="442" spans="1:14" s="1302" customFormat="1" ht="16.5" customHeight="1">
      <c r="A442" s="1328" t="s">
        <v>1136</v>
      </c>
      <c r="B442" s="1327">
        <v>44791</v>
      </c>
      <c r="C442" s="1326">
        <v>230</v>
      </c>
      <c r="D442" s="1323">
        <f t="shared" si="62"/>
        <v>485416</v>
      </c>
      <c r="E442" s="1325">
        <v>485520</v>
      </c>
      <c r="F442" s="1322">
        <f t="shared" si="59"/>
        <v>104</v>
      </c>
      <c r="G442" s="1322">
        <f t="shared" si="64"/>
        <v>24368</v>
      </c>
      <c r="H442" s="1322">
        <f t="shared" si="60"/>
        <v>105.94782608695652</v>
      </c>
      <c r="I442" s="1322">
        <f t="shared" si="61"/>
        <v>38670.956521739128</v>
      </c>
      <c r="J442" s="1324">
        <f t="shared" ca="1" si="63"/>
        <v>4.5992348890589136</v>
      </c>
      <c r="K442" s="1324">
        <f t="shared" si="65"/>
        <v>0.77341913043478261</v>
      </c>
      <c r="L442" s="1323">
        <f t="shared" si="66"/>
        <v>24520</v>
      </c>
      <c r="M442" s="1322"/>
      <c r="N442" s="1322"/>
    </row>
    <row r="443" spans="1:14" s="1302" customFormat="1" ht="16.5" customHeight="1">
      <c r="A443" s="1328" t="s">
        <v>1130</v>
      </c>
      <c r="B443" s="1327">
        <v>44792</v>
      </c>
      <c r="C443" s="1326">
        <v>231</v>
      </c>
      <c r="D443" s="1323">
        <f t="shared" si="62"/>
        <v>485520</v>
      </c>
      <c r="E443" s="1325">
        <v>485604</v>
      </c>
      <c r="F443" s="1322">
        <f t="shared" si="59"/>
        <v>84</v>
      </c>
      <c r="G443" s="1322">
        <f t="shared" si="64"/>
        <v>24452</v>
      </c>
      <c r="H443" s="1322">
        <f t="shared" si="60"/>
        <v>105.85281385281385</v>
      </c>
      <c r="I443" s="1322">
        <f t="shared" si="61"/>
        <v>38636.277056277053</v>
      </c>
      <c r="J443" s="1324">
        <f t="shared" ca="1" si="63"/>
        <v>3.7147666411629685</v>
      </c>
      <c r="K443" s="1324">
        <f t="shared" si="65"/>
        <v>0.77272554112554104</v>
      </c>
      <c r="L443" s="1323">
        <f t="shared" si="66"/>
        <v>24604</v>
      </c>
      <c r="M443" s="1322"/>
      <c r="N443" s="1322"/>
    </row>
    <row r="444" spans="1:14" s="1302" customFormat="1" ht="16.5" customHeight="1">
      <c r="A444" s="1328" t="s">
        <v>1128</v>
      </c>
      <c r="B444" s="1327">
        <v>44793</v>
      </c>
      <c r="C444" s="1326">
        <v>232</v>
      </c>
      <c r="D444" s="1323">
        <f t="shared" si="62"/>
        <v>485604</v>
      </c>
      <c r="E444" s="1325">
        <f>E443</f>
        <v>485604</v>
      </c>
      <c r="F444" s="1322">
        <f t="shared" si="59"/>
        <v>0</v>
      </c>
      <c r="G444" s="1322">
        <f t="shared" si="64"/>
        <v>24452</v>
      </c>
      <c r="H444" s="1322">
        <f t="shared" si="60"/>
        <v>105.39655172413794</v>
      </c>
      <c r="I444" s="1322">
        <f t="shared" si="61"/>
        <v>38469.741379310348</v>
      </c>
      <c r="J444" s="1324">
        <f t="shared" ca="1" si="63"/>
        <v>0</v>
      </c>
      <c r="K444" s="1324">
        <f t="shared" si="65"/>
        <v>0.76939482758620692</v>
      </c>
      <c r="L444" s="1323">
        <f t="shared" si="66"/>
        <v>24604</v>
      </c>
      <c r="M444" s="1322"/>
      <c r="N444" s="1322"/>
    </row>
    <row r="445" spans="1:14" s="1302" customFormat="1" ht="16.5" customHeight="1">
      <c r="A445" s="1328" t="s">
        <v>1139</v>
      </c>
      <c r="B445" s="1327">
        <v>44794</v>
      </c>
      <c r="C445" s="1326">
        <v>233</v>
      </c>
      <c r="D445" s="1323">
        <f t="shared" si="62"/>
        <v>485604</v>
      </c>
      <c r="E445" s="1325">
        <v>485645</v>
      </c>
      <c r="F445" s="1322">
        <f t="shared" si="59"/>
        <v>41</v>
      </c>
      <c r="G445" s="1322">
        <f t="shared" si="64"/>
        <v>24493</v>
      </c>
      <c r="H445" s="1322">
        <f t="shared" si="60"/>
        <v>105.12017167381974</v>
      </c>
      <c r="I445" s="1322">
        <f t="shared" si="61"/>
        <v>38368.862660944207</v>
      </c>
      <c r="J445" s="1324">
        <f t="shared" ca="1" si="63"/>
        <v>1.8131599081866869</v>
      </c>
      <c r="K445" s="1324">
        <f t="shared" si="65"/>
        <v>0.76737725321888417</v>
      </c>
      <c r="L445" s="1323">
        <f t="shared" si="66"/>
        <v>24645</v>
      </c>
      <c r="M445" s="1322"/>
      <c r="N445" s="1322"/>
    </row>
    <row r="446" spans="1:14" s="1302" customFormat="1" ht="16.5" customHeight="1">
      <c r="A446" s="1328" t="s">
        <v>1138</v>
      </c>
      <c r="B446" s="1327">
        <v>44795</v>
      </c>
      <c r="C446" s="1326">
        <v>234</v>
      </c>
      <c r="D446" s="1323">
        <f t="shared" si="62"/>
        <v>485645</v>
      </c>
      <c r="E446" s="1325">
        <v>485766</v>
      </c>
      <c r="F446" s="1322">
        <f t="shared" si="59"/>
        <v>121</v>
      </c>
      <c r="G446" s="1322">
        <f t="shared" si="64"/>
        <v>24614</v>
      </c>
      <c r="H446" s="1322">
        <f t="shared" si="60"/>
        <v>105.18803418803419</v>
      </c>
      <c r="I446" s="1322">
        <f t="shared" si="61"/>
        <v>38393.632478632484</v>
      </c>
      <c r="J446" s="1324">
        <f t="shared" ca="1" si="63"/>
        <v>5.3510328997704661</v>
      </c>
      <c r="K446" s="1324">
        <f t="shared" si="65"/>
        <v>0.76787264957264967</v>
      </c>
      <c r="L446" s="1323">
        <f t="shared" si="66"/>
        <v>24766</v>
      </c>
      <c r="M446" s="1322"/>
      <c r="N446" s="1322"/>
    </row>
    <row r="447" spans="1:14" s="1302" customFormat="1" ht="16.5" customHeight="1">
      <c r="A447" s="1328" t="s">
        <v>1137</v>
      </c>
      <c r="B447" s="1327">
        <v>44796</v>
      </c>
      <c r="C447" s="1326">
        <v>235</v>
      </c>
      <c r="D447" s="1323">
        <f t="shared" si="62"/>
        <v>485766</v>
      </c>
      <c r="E447" s="1325">
        <v>485831</v>
      </c>
      <c r="F447" s="1322">
        <f t="shared" si="59"/>
        <v>65</v>
      </c>
      <c r="G447" s="1322">
        <f t="shared" si="64"/>
        <v>24679</v>
      </c>
      <c r="H447" s="1322">
        <f t="shared" si="60"/>
        <v>105.01702127659574</v>
      </c>
      <c r="I447" s="1322">
        <f t="shared" si="61"/>
        <v>38331.212765957447</v>
      </c>
      <c r="J447" s="1324">
        <f t="shared" ca="1" si="63"/>
        <v>2.8745218056618209</v>
      </c>
      <c r="K447" s="1324">
        <f t="shared" si="65"/>
        <v>0.76662425531914891</v>
      </c>
      <c r="L447" s="1323">
        <f t="shared" si="66"/>
        <v>24831</v>
      </c>
      <c r="M447" s="1322"/>
      <c r="N447" s="1322"/>
    </row>
    <row r="448" spans="1:14" s="1302" customFormat="1" ht="16.5" customHeight="1">
      <c r="A448" s="1328" t="s">
        <v>1131</v>
      </c>
      <c r="B448" s="1327">
        <v>44797</v>
      </c>
      <c r="C448" s="1326">
        <v>236</v>
      </c>
      <c r="D448" s="1323">
        <f t="shared" si="62"/>
        <v>485831</v>
      </c>
      <c r="E448" s="1325">
        <v>486020</v>
      </c>
      <c r="F448" s="1322">
        <f t="shared" si="59"/>
        <v>189</v>
      </c>
      <c r="G448" s="1322">
        <f t="shared" si="64"/>
        <v>24868</v>
      </c>
      <c r="H448" s="1322">
        <f t="shared" si="60"/>
        <v>105.37288135593221</v>
      </c>
      <c r="I448" s="1322">
        <f t="shared" si="61"/>
        <v>38461.101694915254</v>
      </c>
      <c r="J448" s="1324">
        <f t="shared" ca="1" si="63"/>
        <v>8.3582249426166797</v>
      </c>
      <c r="K448" s="1324">
        <f t="shared" si="65"/>
        <v>0.76922203389830512</v>
      </c>
      <c r="L448" s="1323">
        <f t="shared" si="66"/>
        <v>25020</v>
      </c>
      <c r="M448" s="1322" t="s">
        <v>238</v>
      </c>
      <c r="N448" s="1322"/>
    </row>
    <row r="449" spans="1:14" s="1302" customFormat="1" ht="16.5" customHeight="1">
      <c r="A449" s="1328" t="s">
        <v>1136</v>
      </c>
      <c r="B449" s="1327">
        <v>44798</v>
      </c>
      <c r="C449" s="1326">
        <v>237</v>
      </c>
      <c r="D449" s="1323">
        <f t="shared" si="62"/>
        <v>486020</v>
      </c>
      <c r="E449" s="1325">
        <v>486092</v>
      </c>
      <c r="F449" s="1322">
        <f t="shared" si="59"/>
        <v>72</v>
      </c>
      <c r="G449" s="1322">
        <f t="shared" si="64"/>
        <v>24940</v>
      </c>
      <c r="H449" s="1322">
        <f t="shared" si="60"/>
        <v>105.23206751054852</v>
      </c>
      <c r="I449" s="1322">
        <f t="shared" si="61"/>
        <v>38409.70464135021</v>
      </c>
      <c r="J449" s="1324">
        <f t="shared" ca="1" si="63"/>
        <v>3.1840856924254015</v>
      </c>
      <c r="K449" s="1324">
        <f t="shared" si="65"/>
        <v>0.76819409282700424</v>
      </c>
      <c r="L449" s="1323">
        <f t="shared" si="66"/>
        <v>25092</v>
      </c>
      <c r="M449" s="1322"/>
      <c r="N449" s="1322"/>
    </row>
    <row r="450" spans="1:14" s="1302" customFormat="1" ht="16.5" customHeight="1">
      <c r="A450" s="1328" t="s">
        <v>1130</v>
      </c>
      <c r="B450" s="1327">
        <v>44799</v>
      </c>
      <c r="C450" s="1326">
        <v>238</v>
      </c>
      <c r="D450" s="1323">
        <f t="shared" si="62"/>
        <v>486092</v>
      </c>
      <c r="E450" s="1325">
        <v>486155</v>
      </c>
      <c r="F450" s="1322">
        <f t="shared" si="59"/>
        <v>63</v>
      </c>
      <c r="G450" s="1322">
        <f t="shared" si="64"/>
        <v>25003</v>
      </c>
      <c r="H450" s="1322">
        <f t="shared" si="60"/>
        <v>105.0546218487395</v>
      </c>
      <c r="I450" s="1322">
        <f t="shared" si="61"/>
        <v>38344.936974789918</v>
      </c>
      <c r="J450" s="1324">
        <f t="shared" ca="1" si="63"/>
        <v>2.7860749808722263</v>
      </c>
      <c r="K450" s="1324">
        <f t="shared" si="65"/>
        <v>0.76689873949579834</v>
      </c>
      <c r="L450" s="1323">
        <f t="shared" si="66"/>
        <v>25155</v>
      </c>
      <c r="M450" s="1322"/>
      <c r="N450" s="1322"/>
    </row>
    <row r="451" spans="1:14" s="1302" customFormat="1" ht="16.5" customHeight="1">
      <c r="A451" s="1328" t="s">
        <v>1128</v>
      </c>
      <c r="B451" s="1327">
        <v>44800</v>
      </c>
      <c r="C451" s="1326">
        <v>239</v>
      </c>
      <c r="D451" s="1323">
        <f t="shared" si="62"/>
        <v>486155</v>
      </c>
      <c r="E451" s="1325">
        <v>486215</v>
      </c>
      <c r="F451" s="1322">
        <f t="shared" si="59"/>
        <v>60</v>
      </c>
      <c r="G451" s="1322">
        <f t="shared" si="64"/>
        <v>25063</v>
      </c>
      <c r="H451" s="1322">
        <f t="shared" si="60"/>
        <v>104.86610878661088</v>
      </c>
      <c r="I451" s="1322">
        <f t="shared" si="61"/>
        <v>38276.129707112974</v>
      </c>
      <c r="J451" s="1324">
        <f t="shared" ca="1" si="63"/>
        <v>2.6534047436878345</v>
      </c>
      <c r="K451" s="1324">
        <f t="shared" si="65"/>
        <v>0.76552259414225943</v>
      </c>
      <c r="L451" s="1323">
        <f t="shared" si="66"/>
        <v>25215</v>
      </c>
      <c r="M451" s="1322"/>
      <c r="N451" s="1322"/>
    </row>
    <row r="452" spans="1:14" s="1302" customFormat="1" ht="16.5" customHeight="1">
      <c r="A452" s="1328" t="s">
        <v>1139</v>
      </c>
      <c r="B452" s="1327">
        <v>44801</v>
      </c>
      <c r="C452" s="1326">
        <v>240</v>
      </c>
      <c r="D452" s="1323">
        <f t="shared" si="62"/>
        <v>486215</v>
      </c>
      <c r="E452" s="1325">
        <v>486341</v>
      </c>
      <c r="F452" s="1322">
        <f t="shared" si="59"/>
        <v>126</v>
      </c>
      <c r="G452" s="1322">
        <f t="shared" si="64"/>
        <v>25189</v>
      </c>
      <c r="H452" s="1322">
        <f t="shared" si="60"/>
        <v>104.95416666666667</v>
      </c>
      <c r="I452" s="1322">
        <f t="shared" si="61"/>
        <v>38308.270833333336</v>
      </c>
      <c r="J452" s="1324">
        <f t="shared" ca="1" si="63"/>
        <v>5.5721499617444525</v>
      </c>
      <c r="K452" s="1324">
        <f t="shared" si="65"/>
        <v>0.76616541666666671</v>
      </c>
      <c r="L452" s="1323">
        <f t="shared" si="66"/>
        <v>25341</v>
      </c>
      <c r="M452" s="1322"/>
      <c r="N452" s="1322"/>
    </row>
    <row r="453" spans="1:14" s="1302" customFormat="1" ht="16.5" customHeight="1">
      <c r="A453" s="1328" t="s">
        <v>1138</v>
      </c>
      <c r="B453" s="1327">
        <v>44802</v>
      </c>
      <c r="C453" s="1326">
        <v>241</v>
      </c>
      <c r="D453" s="1323">
        <f t="shared" si="62"/>
        <v>486341</v>
      </c>
      <c r="E453" s="1325">
        <f>E452</f>
        <v>486341</v>
      </c>
      <c r="F453" s="1322">
        <f t="shared" si="59"/>
        <v>0</v>
      </c>
      <c r="G453" s="1322">
        <f t="shared" si="64"/>
        <v>25189</v>
      </c>
      <c r="H453" s="1322">
        <f t="shared" si="60"/>
        <v>104.51867219917013</v>
      </c>
      <c r="I453" s="1322">
        <f t="shared" si="61"/>
        <v>38149.315352697093</v>
      </c>
      <c r="J453" s="1324">
        <f t="shared" ca="1" si="63"/>
        <v>0</v>
      </c>
      <c r="K453" s="1324">
        <f t="shared" si="65"/>
        <v>0.76298630705394188</v>
      </c>
      <c r="L453" s="1323">
        <f t="shared" si="66"/>
        <v>25341</v>
      </c>
      <c r="M453" s="1322"/>
      <c r="N453" s="1322"/>
    </row>
    <row r="454" spans="1:14" s="1302" customFormat="1" ht="16.5" customHeight="1">
      <c r="A454" s="1328" t="s">
        <v>1137</v>
      </c>
      <c r="B454" s="1327">
        <v>44803</v>
      </c>
      <c r="C454" s="1326">
        <v>242</v>
      </c>
      <c r="D454" s="1323">
        <f t="shared" si="62"/>
        <v>486341</v>
      </c>
      <c r="E454" s="1325">
        <v>486481</v>
      </c>
      <c r="F454" s="1322">
        <f t="shared" si="59"/>
        <v>140</v>
      </c>
      <c r="G454" s="1322">
        <f t="shared" si="64"/>
        <v>25329</v>
      </c>
      <c r="H454" s="1322">
        <f t="shared" si="60"/>
        <v>104.66528925619835</v>
      </c>
      <c r="I454" s="1322">
        <f t="shared" si="61"/>
        <v>38202.830578512396</v>
      </c>
      <c r="J454" s="1324">
        <f t="shared" ca="1" si="63"/>
        <v>6.1912777352716137</v>
      </c>
      <c r="K454" s="1324">
        <f t="shared" si="65"/>
        <v>0.76405661157024796</v>
      </c>
      <c r="L454" s="1323">
        <f t="shared" si="66"/>
        <v>25481</v>
      </c>
      <c r="M454" s="1322"/>
      <c r="N454" s="1322"/>
    </row>
    <row r="455" spans="1:14" s="1302" customFormat="1" ht="16.5" customHeight="1">
      <c r="A455" s="1328" t="s">
        <v>1131</v>
      </c>
      <c r="B455" s="1327">
        <v>44804</v>
      </c>
      <c r="C455" s="1326">
        <v>243</v>
      </c>
      <c r="D455" s="1323">
        <f t="shared" si="62"/>
        <v>486481</v>
      </c>
      <c r="E455" s="1325">
        <v>486632</v>
      </c>
      <c r="F455" s="1322">
        <f t="shared" ref="F455:F479" si="67">E455-D455</f>
        <v>151</v>
      </c>
      <c r="G455" s="1322">
        <f t="shared" si="64"/>
        <v>25480</v>
      </c>
      <c r="H455" s="1322">
        <f t="shared" si="60"/>
        <v>104.85596707818929</v>
      </c>
      <c r="I455" s="1322">
        <f t="shared" si="61"/>
        <v>38272.427983539092</v>
      </c>
      <c r="J455" s="1324">
        <f t="shared" ca="1" si="63"/>
        <v>6.6777352716143836</v>
      </c>
      <c r="K455" s="1324">
        <f t="shared" si="65"/>
        <v>0.76544855967078185</v>
      </c>
      <c r="L455" s="1323">
        <f t="shared" si="66"/>
        <v>25632</v>
      </c>
      <c r="M455" s="1322" t="s">
        <v>238</v>
      </c>
      <c r="N455" s="1322"/>
    </row>
    <row r="456" spans="1:14" s="1302" customFormat="1" ht="16.5" customHeight="1">
      <c r="A456" s="1328" t="s">
        <v>1136</v>
      </c>
      <c r="B456" s="1327">
        <v>44805</v>
      </c>
      <c r="C456" s="1326">
        <v>244</v>
      </c>
      <c r="D456" s="1323">
        <f t="shared" si="62"/>
        <v>486632</v>
      </c>
      <c r="E456" s="1325">
        <v>486725</v>
      </c>
      <c r="F456" s="1322">
        <f t="shared" si="67"/>
        <v>93</v>
      </c>
      <c r="G456" s="1322">
        <f t="shared" si="64"/>
        <v>25573</v>
      </c>
      <c r="H456" s="1322">
        <f t="shared" ref="H456:H519" si="68">G456/C456</f>
        <v>104.80737704918033</v>
      </c>
      <c r="I456" s="1322">
        <f t="shared" ref="I456:I519" si="69">G456/C456*365</f>
        <v>38254.692622950824</v>
      </c>
      <c r="J456" s="1324">
        <f t="shared" ca="1" si="63"/>
        <v>4.1127773527161438</v>
      </c>
      <c r="K456" s="1324">
        <f t="shared" si="65"/>
        <v>0.76509385245901651</v>
      </c>
      <c r="L456" s="1323">
        <f t="shared" si="66"/>
        <v>25725</v>
      </c>
      <c r="M456" s="1322" t="s">
        <v>238</v>
      </c>
      <c r="N456" s="1322"/>
    </row>
    <row r="457" spans="1:14" s="1302" customFormat="1" ht="16.5" customHeight="1">
      <c r="A457" s="1328" t="s">
        <v>1130</v>
      </c>
      <c r="B457" s="1327">
        <v>44806</v>
      </c>
      <c r="C457" s="1326">
        <v>245</v>
      </c>
      <c r="D457" s="1323">
        <f t="shared" si="62"/>
        <v>486725</v>
      </c>
      <c r="E457" s="1325">
        <v>486790</v>
      </c>
      <c r="F457" s="1322">
        <f t="shared" si="67"/>
        <v>65</v>
      </c>
      <c r="G457" s="1322">
        <f t="shared" si="64"/>
        <v>25638</v>
      </c>
      <c r="H457" s="1322">
        <f t="shared" si="68"/>
        <v>104.64489795918368</v>
      </c>
      <c r="I457" s="1322">
        <f t="shared" si="69"/>
        <v>38195.387755102041</v>
      </c>
      <c r="J457" s="1324">
        <f t="shared" ca="1" si="63"/>
        <v>2.8745218056618209</v>
      </c>
      <c r="K457" s="1324">
        <f t="shared" si="65"/>
        <v>0.76390775510204079</v>
      </c>
      <c r="L457" s="1323">
        <f t="shared" si="66"/>
        <v>25790</v>
      </c>
      <c r="M457" s="1322"/>
      <c r="N457" s="1322"/>
    </row>
    <row r="458" spans="1:14" s="1302" customFormat="1" ht="16.5" customHeight="1">
      <c r="A458" s="1328" t="s">
        <v>1128</v>
      </c>
      <c r="B458" s="1327">
        <v>44807</v>
      </c>
      <c r="C458" s="1326">
        <v>246</v>
      </c>
      <c r="D458" s="1323">
        <f t="shared" si="62"/>
        <v>486790</v>
      </c>
      <c r="E458" s="1325">
        <v>486913</v>
      </c>
      <c r="F458" s="1322">
        <f t="shared" si="67"/>
        <v>123</v>
      </c>
      <c r="G458" s="1322">
        <f t="shared" si="64"/>
        <v>25761</v>
      </c>
      <c r="H458" s="1322">
        <f t="shared" si="68"/>
        <v>104.71951219512195</v>
      </c>
      <c r="I458" s="1322">
        <f t="shared" si="69"/>
        <v>38222.621951219509</v>
      </c>
      <c r="J458" s="1324">
        <f t="shared" ca="1" si="63"/>
        <v>5.4394797245600612</v>
      </c>
      <c r="K458" s="1324">
        <f t="shared" si="65"/>
        <v>0.7644524390243902</v>
      </c>
      <c r="L458" s="1323">
        <f t="shared" si="66"/>
        <v>25913</v>
      </c>
      <c r="M458" s="1322"/>
      <c r="N458" s="1322"/>
    </row>
    <row r="459" spans="1:14" s="1302" customFormat="1" ht="16.5" customHeight="1">
      <c r="A459" s="1328" t="s">
        <v>1139</v>
      </c>
      <c r="B459" s="1327">
        <v>44808</v>
      </c>
      <c r="C459" s="1326">
        <v>247</v>
      </c>
      <c r="D459" s="1323">
        <f t="shared" si="62"/>
        <v>486913</v>
      </c>
      <c r="E459" s="1325">
        <v>486971</v>
      </c>
      <c r="F459" s="1322">
        <f t="shared" si="67"/>
        <v>58</v>
      </c>
      <c r="G459" s="1322">
        <f t="shared" si="64"/>
        <v>25819</v>
      </c>
      <c r="H459" s="1322">
        <f t="shared" si="68"/>
        <v>104.53036437246963</v>
      </c>
      <c r="I459" s="1322">
        <f t="shared" si="69"/>
        <v>38153.582995951416</v>
      </c>
      <c r="J459" s="1324">
        <f t="shared" ca="1" si="63"/>
        <v>2.5649579188982403</v>
      </c>
      <c r="K459" s="1324">
        <f t="shared" si="65"/>
        <v>0.76307165991902837</v>
      </c>
      <c r="L459" s="1323">
        <f t="shared" si="66"/>
        <v>25971</v>
      </c>
      <c r="M459" s="1322"/>
      <c r="N459" s="1322"/>
    </row>
    <row r="460" spans="1:14" s="1302" customFormat="1" ht="16.5" customHeight="1">
      <c r="A460" s="1328" t="s">
        <v>1138</v>
      </c>
      <c r="B460" s="1327">
        <v>44809</v>
      </c>
      <c r="C460" s="1326">
        <v>248</v>
      </c>
      <c r="D460" s="1323">
        <f t="shared" si="62"/>
        <v>486971</v>
      </c>
      <c r="E460" s="1325">
        <v>487030</v>
      </c>
      <c r="F460" s="1322">
        <f t="shared" si="67"/>
        <v>59</v>
      </c>
      <c r="G460" s="1322">
        <f t="shared" si="64"/>
        <v>25878</v>
      </c>
      <c r="H460" s="1322">
        <f t="shared" si="68"/>
        <v>104.34677419354838</v>
      </c>
      <c r="I460" s="1322">
        <f t="shared" si="69"/>
        <v>38086.572580645159</v>
      </c>
      <c r="J460" s="1324">
        <f t="shared" ca="1" si="63"/>
        <v>2.6091813312930374</v>
      </c>
      <c r="K460" s="1324">
        <f t="shared" si="65"/>
        <v>0.76173145161290323</v>
      </c>
      <c r="L460" s="1323">
        <f t="shared" si="66"/>
        <v>26030</v>
      </c>
      <c r="M460" s="1322"/>
      <c r="N460" s="1322"/>
    </row>
    <row r="461" spans="1:14" s="1302" customFormat="1" ht="16.5" customHeight="1">
      <c r="A461" s="1328" t="s">
        <v>1137</v>
      </c>
      <c r="B461" s="1327">
        <v>44810</v>
      </c>
      <c r="C461" s="1326">
        <v>249</v>
      </c>
      <c r="D461" s="1323">
        <f t="shared" si="62"/>
        <v>487030</v>
      </c>
      <c r="E461" s="1325">
        <v>487088</v>
      </c>
      <c r="F461" s="1322">
        <f t="shared" si="67"/>
        <v>58</v>
      </c>
      <c r="G461" s="1322">
        <f t="shared" si="64"/>
        <v>25936</v>
      </c>
      <c r="H461" s="1322">
        <f t="shared" si="68"/>
        <v>104.16064257028113</v>
      </c>
      <c r="I461" s="1322">
        <f t="shared" si="69"/>
        <v>38018.634538152612</v>
      </c>
      <c r="J461" s="1324">
        <f t="shared" ca="1" si="63"/>
        <v>2.5649579188982403</v>
      </c>
      <c r="K461" s="1324">
        <f t="shared" si="65"/>
        <v>0.76037269076305225</v>
      </c>
      <c r="L461" s="1323">
        <f t="shared" si="66"/>
        <v>26088</v>
      </c>
      <c r="M461" s="1322"/>
      <c r="N461" s="1322"/>
    </row>
    <row r="462" spans="1:14" s="1302" customFormat="1" ht="16.5" customHeight="1">
      <c r="A462" s="1328" t="s">
        <v>1131</v>
      </c>
      <c r="B462" s="1327">
        <v>44811</v>
      </c>
      <c r="C462" s="1326">
        <v>250</v>
      </c>
      <c r="D462" s="1323">
        <f t="shared" si="62"/>
        <v>487088</v>
      </c>
      <c r="E462" s="1325">
        <v>487177</v>
      </c>
      <c r="F462" s="1322">
        <f t="shared" si="67"/>
        <v>89</v>
      </c>
      <c r="G462" s="1322">
        <f t="shared" si="64"/>
        <v>26025</v>
      </c>
      <c r="H462" s="1322">
        <f t="shared" si="68"/>
        <v>104.1</v>
      </c>
      <c r="I462" s="1322">
        <f t="shared" si="69"/>
        <v>37996.5</v>
      </c>
      <c r="J462" s="1324">
        <f t="shared" ca="1" si="63"/>
        <v>3.9358837031369545</v>
      </c>
      <c r="K462" s="1324">
        <f t="shared" si="65"/>
        <v>0.75992999999999999</v>
      </c>
      <c r="L462" s="1323">
        <f t="shared" si="66"/>
        <v>26177</v>
      </c>
      <c r="M462" s="1322"/>
      <c r="N462" s="1322"/>
    </row>
    <row r="463" spans="1:14" s="1302" customFormat="1" ht="16.5" customHeight="1">
      <c r="A463" s="1328" t="s">
        <v>1136</v>
      </c>
      <c r="B463" s="1327">
        <v>44812</v>
      </c>
      <c r="C463" s="1326">
        <v>251</v>
      </c>
      <c r="D463" s="1323">
        <f t="shared" si="62"/>
        <v>487177</v>
      </c>
      <c r="E463" s="1325">
        <v>487299</v>
      </c>
      <c r="F463" s="1322">
        <f t="shared" si="67"/>
        <v>122</v>
      </c>
      <c r="G463" s="1322">
        <f t="shared" si="64"/>
        <v>26147</v>
      </c>
      <c r="H463" s="1322">
        <f t="shared" si="68"/>
        <v>104.17131474103586</v>
      </c>
      <c r="I463" s="1322">
        <f t="shared" si="69"/>
        <v>38022.52988047809</v>
      </c>
      <c r="J463" s="1324">
        <f t="shared" ca="1" si="63"/>
        <v>5.3952563121652632</v>
      </c>
      <c r="K463" s="1324">
        <f t="shared" si="65"/>
        <v>0.7604505976095618</v>
      </c>
      <c r="L463" s="1323">
        <f t="shared" si="66"/>
        <v>26299</v>
      </c>
      <c r="M463" s="1322"/>
      <c r="N463" s="1322"/>
    </row>
    <row r="464" spans="1:14" s="1302" customFormat="1" ht="16.5" customHeight="1">
      <c r="A464" s="1328" t="s">
        <v>1130</v>
      </c>
      <c r="B464" s="1327">
        <v>44813</v>
      </c>
      <c r="C464" s="1326">
        <v>252</v>
      </c>
      <c r="D464" s="1323">
        <f t="shared" ref="D464:D527" si="70">E463</f>
        <v>487299</v>
      </c>
      <c r="E464" s="1325">
        <v>487393</v>
      </c>
      <c r="F464" s="1322">
        <f t="shared" si="67"/>
        <v>94</v>
      </c>
      <c r="G464" s="1322">
        <f t="shared" si="64"/>
        <v>26241</v>
      </c>
      <c r="H464" s="1322">
        <f t="shared" si="68"/>
        <v>104.13095238095238</v>
      </c>
      <c r="I464" s="1322">
        <f t="shared" si="69"/>
        <v>38007.797619047618</v>
      </c>
      <c r="J464" s="1324">
        <f t="shared" ca="1" si="63"/>
        <v>4.1570007651109409</v>
      </c>
      <c r="K464" s="1324">
        <f t="shared" si="65"/>
        <v>0.76015595238095235</v>
      </c>
      <c r="L464" s="1323">
        <f t="shared" si="66"/>
        <v>26393</v>
      </c>
      <c r="M464" s="1322"/>
      <c r="N464" s="1322"/>
    </row>
    <row r="465" spans="1:14" s="1302" customFormat="1" ht="16.5" customHeight="1">
      <c r="A465" s="1328" t="s">
        <v>1128</v>
      </c>
      <c r="B465" s="1327">
        <v>44814</v>
      </c>
      <c r="C465" s="1326">
        <v>253</v>
      </c>
      <c r="D465" s="1323">
        <f t="shared" si="70"/>
        <v>487393</v>
      </c>
      <c r="E465" s="1325">
        <v>487456</v>
      </c>
      <c r="F465" s="1322">
        <f t="shared" si="67"/>
        <v>63</v>
      </c>
      <c r="G465" s="1322">
        <f t="shared" si="64"/>
        <v>26304</v>
      </c>
      <c r="H465" s="1322">
        <f t="shared" si="68"/>
        <v>103.96837944664031</v>
      </c>
      <c r="I465" s="1322">
        <f t="shared" si="69"/>
        <v>37948.458498023712</v>
      </c>
      <c r="J465" s="1324">
        <f t="shared" ca="1" si="63"/>
        <v>2.7860749808722263</v>
      </c>
      <c r="K465" s="1324">
        <f t="shared" si="65"/>
        <v>0.75896916996047425</v>
      </c>
      <c r="L465" s="1323">
        <f t="shared" si="66"/>
        <v>26456</v>
      </c>
      <c r="M465" s="1322"/>
      <c r="N465" s="1322"/>
    </row>
    <row r="466" spans="1:14" s="1302" customFormat="1" ht="16.5" customHeight="1">
      <c r="A466" s="1328" t="s">
        <v>1139</v>
      </c>
      <c r="B466" s="1327">
        <v>44815</v>
      </c>
      <c r="C466" s="1326">
        <v>254</v>
      </c>
      <c r="D466" s="1323">
        <f t="shared" si="70"/>
        <v>487456</v>
      </c>
      <c r="E466" s="1325">
        <v>487554</v>
      </c>
      <c r="F466" s="1322">
        <f t="shared" si="67"/>
        <v>98</v>
      </c>
      <c r="G466" s="1322">
        <f t="shared" si="64"/>
        <v>26402</v>
      </c>
      <c r="H466" s="1322">
        <f t="shared" si="68"/>
        <v>103.94488188976378</v>
      </c>
      <c r="I466" s="1322">
        <f t="shared" si="69"/>
        <v>37939.881889763776</v>
      </c>
      <c r="J466" s="1324">
        <f t="shared" ca="1" si="63"/>
        <v>4.3338944146901301</v>
      </c>
      <c r="K466" s="1324">
        <f t="shared" si="65"/>
        <v>0.75879763779527554</v>
      </c>
      <c r="L466" s="1323">
        <f t="shared" si="66"/>
        <v>26554</v>
      </c>
      <c r="M466" s="1322" t="s">
        <v>1134</v>
      </c>
      <c r="N466" s="1322"/>
    </row>
    <row r="467" spans="1:14" s="1302" customFormat="1" ht="16.5" customHeight="1">
      <c r="A467" s="1328" t="s">
        <v>1138</v>
      </c>
      <c r="B467" s="1327">
        <v>44816</v>
      </c>
      <c r="C467" s="1326">
        <v>255</v>
      </c>
      <c r="D467" s="1323">
        <f t="shared" si="70"/>
        <v>487554</v>
      </c>
      <c r="E467" s="1325">
        <v>487665</v>
      </c>
      <c r="F467" s="1322">
        <f t="shared" si="67"/>
        <v>111</v>
      </c>
      <c r="G467" s="1322">
        <f t="shared" si="64"/>
        <v>26513</v>
      </c>
      <c r="H467" s="1322">
        <f t="shared" si="68"/>
        <v>103.97254901960784</v>
      </c>
      <c r="I467" s="1322">
        <f t="shared" si="69"/>
        <v>37949.98039215686</v>
      </c>
      <c r="J467" s="1324">
        <f t="shared" ref="J467:J530" ca="1" si="71">F466:F467/$M$3</f>
        <v>4.9087987758224942</v>
      </c>
      <c r="K467" s="1324">
        <f t="shared" si="65"/>
        <v>0.75899960784313725</v>
      </c>
      <c r="L467" s="1323">
        <f t="shared" si="66"/>
        <v>26665</v>
      </c>
      <c r="M467" s="1322"/>
      <c r="N467" s="1322"/>
    </row>
    <row r="468" spans="1:14" s="1302" customFormat="1" ht="16.5" customHeight="1">
      <c r="A468" s="1328" t="s">
        <v>1137</v>
      </c>
      <c r="B468" s="1327">
        <v>44817</v>
      </c>
      <c r="C468" s="1326">
        <v>256</v>
      </c>
      <c r="D468" s="1323">
        <f t="shared" si="70"/>
        <v>487665</v>
      </c>
      <c r="E468" s="1325">
        <v>487743</v>
      </c>
      <c r="F468" s="1322">
        <f t="shared" si="67"/>
        <v>78</v>
      </c>
      <c r="G468" s="1322">
        <f t="shared" si="64"/>
        <v>26591</v>
      </c>
      <c r="H468" s="1322">
        <f t="shared" si="68"/>
        <v>103.87109375</v>
      </c>
      <c r="I468" s="1322">
        <f t="shared" si="69"/>
        <v>37912.94921875</v>
      </c>
      <c r="J468" s="1324">
        <f t="shared" ca="1" si="71"/>
        <v>3.449426166794185</v>
      </c>
      <c r="K468" s="1324">
        <f t="shared" si="65"/>
        <v>0.75825898437499994</v>
      </c>
      <c r="L468" s="1323">
        <f t="shared" si="66"/>
        <v>26743</v>
      </c>
      <c r="M468" s="1322"/>
      <c r="N468" s="1322"/>
    </row>
    <row r="469" spans="1:14" s="1302" customFormat="1" ht="16.5" customHeight="1">
      <c r="A469" s="1328" t="s">
        <v>1131</v>
      </c>
      <c r="B469" s="1327">
        <v>44818</v>
      </c>
      <c r="C469" s="1326">
        <v>257</v>
      </c>
      <c r="D469" s="1323">
        <f t="shared" si="70"/>
        <v>487743</v>
      </c>
      <c r="E469" s="1325">
        <v>487773</v>
      </c>
      <c r="F469" s="1322">
        <f t="shared" si="67"/>
        <v>30</v>
      </c>
      <c r="G469" s="1322">
        <f t="shared" ref="G469:G532" si="72">E469-$E$212</f>
        <v>26621</v>
      </c>
      <c r="H469" s="1322">
        <f t="shared" si="68"/>
        <v>103.58365758754864</v>
      </c>
      <c r="I469" s="1322">
        <f t="shared" si="69"/>
        <v>37808.035019455252</v>
      </c>
      <c r="J469" s="1324">
        <f t="shared" ca="1" si="71"/>
        <v>1.3267023718439173</v>
      </c>
      <c r="K469" s="1324">
        <f t="shared" ref="K469:K532" si="73">I469/50000</f>
        <v>0.75616070038910499</v>
      </c>
      <c r="L469" s="1323">
        <f t="shared" ref="L469:L532" si="74">E469-461000</f>
        <v>26773</v>
      </c>
      <c r="M469" s="1322"/>
      <c r="N469" s="1322"/>
    </row>
    <row r="470" spans="1:14" s="1302" customFormat="1" ht="16.5" customHeight="1">
      <c r="A470" s="1328" t="s">
        <v>1136</v>
      </c>
      <c r="B470" s="1327">
        <v>44819</v>
      </c>
      <c r="C470" s="1326">
        <v>258</v>
      </c>
      <c r="D470" s="1323">
        <f t="shared" si="70"/>
        <v>487773</v>
      </c>
      <c r="E470" s="1325">
        <v>487845</v>
      </c>
      <c r="F470" s="1322">
        <f t="shared" si="67"/>
        <v>72</v>
      </c>
      <c r="G470" s="1322">
        <f t="shared" si="72"/>
        <v>26693</v>
      </c>
      <c r="H470" s="1322">
        <f t="shared" si="68"/>
        <v>103.46124031007751</v>
      </c>
      <c r="I470" s="1322">
        <f t="shared" si="69"/>
        <v>37763.35271317829</v>
      </c>
      <c r="J470" s="1324">
        <f t="shared" ca="1" si="71"/>
        <v>3.1840856924254015</v>
      </c>
      <c r="K470" s="1324">
        <f t="shared" si="73"/>
        <v>0.75526705426356577</v>
      </c>
      <c r="L470" s="1323">
        <f t="shared" si="74"/>
        <v>26845</v>
      </c>
      <c r="M470" s="1322"/>
      <c r="N470" s="1322"/>
    </row>
    <row r="471" spans="1:14" s="1302" customFormat="1" ht="16.5" customHeight="1">
      <c r="A471" s="1328" t="s">
        <v>1130</v>
      </c>
      <c r="B471" s="1327">
        <v>44820</v>
      </c>
      <c r="C471" s="1326">
        <v>259</v>
      </c>
      <c r="D471" s="1323">
        <f t="shared" si="70"/>
        <v>487845</v>
      </c>
      <c r="E471" s="1325">
        <v>487976</v>
      </c>
      <c r="F471" s="1322">
        <f t="shared" si="67"/>
        <v>131</v>
      </c>
      <c r="G471" s="1322">
        <f t="shared" si="72"/>
        <v>26824</v>
      </c>
      <c r="H471" s="1322">
        <f t="shared" si="68"/>
        <v>103.56756756756756</v>
      </c>
      <c r="I471" s="1322">
        <f t="shared" si="69"/>
        <v>37802.16216216216</v>
      </c>
      <c r="J471" s="1324">
        <f t="shared" ca="1" si="71"/>
        <v>5.7932670237184389</v>
      </c>
      <c r="K471" s="1324">
        <f t="shared" si="73"/>
        <v>0.75604324324324323</v>
      </c>
      <c r="L471" s="1323">
        <f t="shared" si="74"/>
        <v>26976</v>
      </c>
      <c r="M471" s="1322"/>
      <c r="N471" s="1322"/>
    </row>
    <row r="472" spans="1:14" s="1302" customFormat="1" ht="16.5" customHeight="1">
      <c r="A472" s="1328" t="s">
        <v>1128</v>
      </c>
      <c r="B472" s="1327">
        <v>44821</v>
      </c>
      <c r="C472" s="1326">
        <v>260</v>
      </c>
      <c r="D472" s="1323">
        <f t="shared" si="70"/>
        <v>487976</v>
      </c>
      <c r="E472" s="1325">
        <v>488113</v>
      </c>
      <c r="F472" s="1322">
        <f t="shared" si="67"/>
        <v>137</v>
      </c>
      <c r="G472" s="1322">
        <f t="shared" si="72"/>
        <v>26961</v>
      </c>
      <c r="H472" s="1322">
        <f t="shared" si="68"/>
        <v>103.69615384615385</v>
      </c>
      <c r="I472" s="1322">
        <f t="shared" si="69"/>
        <v>37849.096153846156</v>
      </c>
      <c r="J472" s="1324">
        <f t="shared" ca="1" si="71"/>
        <v>6.0586074980872224</v>
      </c>
      <c r="K472" s="1324">
        <f t="shared" si="73"/>
        <v>0.75698192307692314</v>
      </c>
      <c r="L472" s="1323">
        <f t="shared" si="74"/>
        <v>27113</v>
      </c>
      <c r="M472" s="1322"/>
      <c r="N472" s="1322"/>
    </row>
    <row r="473" spans="1:14" s="1302" customFormat="1" ht="16.5" customHeight="1">
      <c r="A473" s="1328" t="s">
        <v>1139</v>
      </c>
      <c r="B473" s="1327">
        <v>44822</v>
      </c>
      <c r="C473" s="1326">
        <v>261</v>
      </c>
      <c r="D473" s="1323">
        <f t="shared" si="70"/>
        <v>488113</v>
      </c>
      <c r="E473" s="1325">
        <v>488173</v>
      </c>
      <c r="F473" s="1322">
        <f t="shared" si="67"/>
        <v>60</v>
      </c>
      <c r="G473" s="1322">
        <f t="shared" si="72"/>
        <v>27021</v>
      </c>
      <c r="H473" s="1322">
        <f t="shared" si="68"/>
        <v>103.52873563218391</v>
      </c>
      <c r="I473" s="1322">
        <f t="shared" si="69"/>
        <v>37787.988505747126</v>
      </c>
      <c r="J473" s="1324">
        <f t="shared" ca="1" si="71"/>
        <v>2.6534047436878345</v>
      </c>
      <c r="K473" s="1324">
        <f t="shared" si="73"/>
        <v>0.75575977011494255</v>
      </c>
      <c r="L473" s="1323">
        <f t="shared" si="74"/>
        <v>27173</v>
      </c>
      <c r="M473" s="1322"/>
      <c r="N473" s="1322"/>
    </row>
    <row r="474" spans="1:14" s="1302" customFormat="1" ht="16.5" customHeight="1">
      <c r="A474" s="1328" t="s">
        <v>1138</v>
      </c>
      <c r="B474" s="1327">
        <v>44823</v>
      </c>
      <c r="C474" s="1326">
        <v>262</v>
      </c>
      <c r="D474" s="1323">
        <f t="shared" si="70"/>
        <v>488173</v>
      </c>
      <c r="E474" s="1325">
        <v>488224</v>
      </c>
      <c r="F474" s="1322">
        <f t="shared" si="67"/>
        <v>51</v>
      </c>
      <c r="G474" s="1322">
        <f t="shared" si="72"/>
        <v>27072</v>
      </c>
      <c r="H474" s="1322">
        <f t="shared" si="68"/>
        <v>103.32824427480917</v>
      </c>
      <c r="I474" s="1322">
        <f t="shared" si="69"/>
        <v>37714.809160305347</v>
      </c>
      <c r="J474" s="1324">
        <f t="shared" ca="1" si="71"/>
        <v>2.2553940321346593</v>
      </c>
      <c r="K474" s="1324">
        <f t="shared" si="73"/>
        <v>0.75429618320610692</v>
      </c>
      <c r="L474" s="1323">
        <f t="shared" si="74"/>
        <v>27224</v>
      </c>
      <c r="M474" s="1322"/>
      <c r="N474" s="1322"/>
    </row>
    <row r="475" spans="1:14" s="1302" customFormat="1" ht="16.5" customHeight="1">
      <c r="A475" s="1328" t="s">
        <v>1137</v>
      </c>
      <c r="B475" s="1327">
        <v>44824</v>
      </c>
      <c r="C475" s="1326">
        <v>263</v>
      </c>
      <c r="D475" s="1323">
        <f t="shared" si="70"/>
        <v>488224</v>
      </c>
      <c r="E475" s="1325">
        <v>488364</v>
      </c>
      <c r="F475" s="1322">
        <f t="shared" si="67"/>
        <v>140</v>
      </c>
      <c r="G475" s="1322">
        <f t="shared" si="72"/>
        <v>27212</v>
      </c>
      <c r="H475" s="1322">
        <f t="shared" si="68"/>
        <v>103.46768060836501</v>
      </c>
      <c r="I475" s="1322">
        <f t="shared" si="69"/>
        <v>37765.70342205323</v>
      </c>
      <c r="J475" s="1324">
        <f t="shared" ca="1" si="71"/>
        <v>6.1912777352716137</v>
      </c>
      <c r="K475" s="1324">
        <f t="shared" si="73"/>
        <v>0.75531406844106463</v>
      </c>
      <c r="L475" s="1323">
        <f t="shared" si="74"/>
        <v>27364</v>
      </c>
      <c r="M475" s="1322"/>
      <c r="N475" s="1322"/>
    </row>
    <row r="476" spans="1:14" s="1302" customFormat="1" ht="16.5" customHeight="1">
      <c r="A476" s="1328" t="s">
        <v>1131</v>
      </c>
      <c r="B476" s="1327">
        <v>44825</v>
      </c>
      <c r="C476" s="1326">
        <v>264</v>
      </c>
      <c r="D476" s="1323">
        <f t="shared" si="70"/>
        <v>488364</v>
      </c>
      <c r="E476" s="1325">
        <v>488426</v>
      </c>
      <c r="F476" s="1322">
        <f t="shared" si="67"/>
        <v>62</v>
      </c>
      <c r="G476" s="1322">
        <f t="shared" si="72"/>
        <v>27274</v>
      </c>
      <c r="H476" s="1322">
        <f t="shared" si="68"/>
        <v>103.31060606060606</v>
      </c>
      <c r="I476" s="1322">
        <f t="shared" si="69"/>
        <v>37708.371212121216</v>
      </c>
      <c r="J476" s="1324">
        <f t="shared" ca="1" si="71"/>
        <v>2.7418515684774292</v>
      </c>
      <c r="K476" s="1324">
        <f t="shared" si="73"/>
        <v>0.75416742424242433</v>
      </c>
      <c r="L476" s="1323">
        <f t="shared" si="74"/>
        <v>27426</v>
      </c>
      <c r="M476" s="1322"/>
      <c r="N476" s="1322"/>
    </row>
    <row r="477" spans="1:14" s="1302" customFormat="1" ht="16.5" customHeight="1">
      <c r="A477" s="1328" t="s">
        <v>1136</v>
      </c>
      <c r="B477" s="1327">
        <v>44826</v>
      </c>
      <c r="C477" s="1326">
        <v>265</v>
      </c>
      <c r="D477" s="1323">
        <f t="shared" si="70"/>
        <v>488426</v>
      </c>
      <c r="E477" s="1325">
        <v>488477</v>
      </c>
      <c r="F477" s="1322">
        <f t="shared" si="67"/>
        <v>51</v>
      </c>
      <c r="G477" s="1322">
        <f t="shared" si="72"/>
        <v>27325</v>
      </c>
      <c r="H477" s="1322">
        <f t="shared" si="68"/>
        <v>103.11320754716981</v>
      </c>
      <c r="I477" s="1322">
        <f t="shared" si="69"/>
        <v>37636.32075471698</v>
      </c>
      <c r="J477" s="1324">
        <f t="shared" ca="1" si="71"/>
        <v>2.2553940321346593</v>
      </c>
      <c r="K477" s="1324">
        <f t="shared" si="73"/>
        <v>0.75272641509433957</v>
      </c>
      <c r="L477" s="1323">
        <f t="shared" si="74"/>
        <v>27477</v>
      </c>
      <c r="M477" s="1322"/>
      <c r="N477" s="1322"/>
    </row>
    <row r="478" spans="1:14" s="1302" customFormat="1" ht="16.5" customHeight="1">
      <c r="A478" s="1328" t="s">
        <v>1130</v>
      </c>
      <c r="B478" s="1327">
        <v>44827</v>
      </c>
      <c r="C478" s="1326">
        <v>266</v>
      </c>
      <c r="D478" s="1323">
        <f t="shared" si="70"/>
        <v>488477</v>
      </c>
      <c r="E478" s="1325">
        <v>488606</v>
      </c>
      <c r="F478" s="1322">
        <f t="shared" si="67"/>
        <v>129</v>
      </c>
      <c r="G478" s="1322">
        <f t="shared" si="72"/>
        <v>27454</v>
      </c>
      <c r="H478" s="1322">
        <f t="shared" si="68"/>
        <v>103.21052631578948</v>
      </c>
      <c r="I478" s="1322">
        <f t="shared" si="69"/>
        <v>37671.84210526316</v>
      </c>
      <c r="J478" s="1324">
        <f t="shared" ca="1" si="71"/>
        <v>5.7048201989288447</v>
      </c>
      <c r="K478" s="1324">
        <f t="shared" si="73"/>
        <v>0.75343684210526318</v>
      </c>
      <c r="L478" s="1323">
        <f t="shared" si="74"/>
        <v>27606</v>
      </c>
      <c r="M478" s="1322"/>
      <c r="N478" s="1322"/>
    </row>
    <row r="479" spans="1:14" s="1302" customFormat="1" ht="16.5" customHeight="1">
      <c r="A479" s="1328" t="s">
        <v>1128</v>
      </c>
      <c r="B479" s="1327">
        <v>44828</v>
      </c>
      <c r="C479" s="1326">
        <v>267</v>
      </c>
      <c r="D479" s="1323">
        <f t="shared" si="70"/>
        <v>488606</v>
      </c>
      <c r="E479" s="1325">
        <v>488772</v>
      </c>
      <c r="F479" s="1322">
        <f t="shared" si="67"/>
        <v>166</v>
      </c>
      <c r="G479" s="1322">
        <f t="shared" si="72"/>
        <v>27620</v>
      </c>
      <c r="H479" s="1322">
        <f t="shared" si="68"/>
        <v>103.44569288389513</v>
      </c>
      <c r="I479" s="1322">
        <f t="shared" si="69"/>
        <v>37757.677902621726</v>
      </c>
      <c r="J479" s="1324">
        <f t="shared" ca="1" si="71"/>
        <v>7.3410864575363428</v>
      </c>
      <c r="K479" s="1324">
        <f t="shared" si="73"/>
        <v>0.75515355805243456</v>
      </c>
      <c r="L479" s="1323">
        <f t="shared" si="74"/>
        <v>27772</v>
      </c>
      <c r="M479" s="1322"/>
      <c r="N479" s="1322"/>
    </row>
    <row r="480" spans="1:14" s="1302" customFormat="1" ht="16.5" customHeight="1">
      <c r="A480" s="1328" t="s">
        <v>1139</v>
      </c>
      <c r="B480" s="1327">
        <v>44829</v>
      </c>
      <c r="C480" s="1326">
        <v>268</v>
      </c>
      <c r="D480" s="1323">
        <f t="shared" si="70"/>
        <v>488772</v>
      </c>
      <c r="E480" s="1325">
        <f>E479</f>
        <v>488772</v>
      </c>
      <c r="F480" s="1322">
        <v>38</v>
      </c>
      <c r="G480" s="1322">
        <f t="shared" si="72"/>
        <v>27620</v>
      </c>
      <c r="H480" s="1322">
        <f t="shared" si="68"/>
        <v>103.05970149253731</v>
      </c>
      <c r="I480" s="1322">
        <f t="shared" si="69"/>
        <v>37616.791044776117</v>
      </c>
      <c r="J480" s="1324">
        <f t="shared" ca="1" si="71"/>
        <v>1.6804896710022952</v>
      </c>
      <c r="K480" s="1324">
        <f t="shared" si="73"/>
        <v>0.75233582089552231</v>
      </c>
      <c r="L480" s="1323">
        <f t="shared" si="74"/>
        <v>27772</v>
      </c>
      <c r="M480" s="1322"/>
      <c r="N480" s="1322"/>
    </row>
    <row r="481" spans="1:14" s="1302" customFormat="1" ht="16.5" customHeight="1">
      <c r="A481" s="1328" t="s">
        <v>1138</v>
      </c>
      <c r="B481" s="1327">
        <v>44830</v>
      </c>
      <c r="C481" s="1326">
        <v>269</v>
      </c>
      <c r="D481" s="1323">
        <f t="shared" si="70"/>
        <v>488772</v>
      </c>
      <c r="E481" s="1325">
        <f>E480</f>
        <v>488772</v>
      </c>
      <c r="F481" s="1322">
        <v>38</v>
      </c>
      <c r="G481" s="1322">
        <f t="shared" si="72"/>
        <v>27620</v>
      </c>
      <c r="H481" s="1322">
        <f t="shared" si="68"/>
        <v>102.67657992565056</v>
      </c>
      <c r="I481" s="1322">
        <f t="shared" si="69"/>
        <v>37476.951672862451</v>
      </c>
      <c r="J481" s="1324">
        <f t="shared" ca="1" si="71"/>
        <v>1.6804896710022952</v>
      </c>
      <c r="K481" s="1324">
        <f t="shared" si="73"/>
        <v>0.74953903345724904</v>
      </c>
      <c r="L481" s="1323">
        <f t="shared" si="74"/>
        <v>27772</v>
      </c>
      <c r="M481" s="1322"/>
      <c r="N481" s="1322"/>
    </row>
    <row r="482" spans="1:14" s="1302" customFormat="1" ht="16.5" customHeight="1">
      <c r="A482" s="1328" t="s">
        <v>1137</v>
      </c>
      <c r="B482" s="1327">
        <v>44831</v>
      </c>
      <c r="C482" s="1326">
        <v>270</v>
      </c>
      <c r="D482" s="1323">
        <f t="shared" si="70"/>
        <v>488772</v>
      </c>
      <c r="E482" s="1325">
        <v>488886</v>
      </c>
      <c r="F482" s="1322">
        <v>38</v>
      </c>
      <c r="G482" s="1322">
        <f t="shared" si="72"/>
        <v>27734</v>
      </c>
      <c r="H482" s="1322">
        <f t="shared" si="68"/>
        <v>102.71851851851852</v>
      </c>
      <c r="I482" s="1322">
        <f t="shared" si="69"/>
        <v>37492.259259259263</v>
      </c>
      <c r="J482" s="1324">
        <f t="shared" ca="1" si="71"/>
        <v>1.6804896710022952</v>
      </c>
      <c r="K482" s="1324">
        <f t="shared" si="73"/>
        <v>0.74984518518518528</v>
      </c>
      <c r="L482" s="1323">
        <f t="shared" si="74"/>
        <v>27886</v>
      </c>
      <c r="M482" s="1322" t="s">
        <v>238</v>
      </c>
      <c r="N482" s="1322"/>
    </row>
    <row r="483" spans="1:14" s="1302" customFormat="1" ht="16.5" customHeight="1">
      <c r="A483" s="1328" t="s">
        <v>1131</v>
      </c>
      <c r="B483" s="1327">
        <v>44832</v>
      </c>
      <c r="C483" s="1326">
        <v>271</v>
      </c>
      <c r="D483" s="1323">
        <f t="shared" si="70"/>
        <v>488886</v>
      </c>
      <c r="E483" s="1325">
        <v>489186</v>
      </c>
      <c r="F483" s="1322">
        <v>300</v>
      </c>
      <c r="G483" s="1322">
        <f t="shared" si="72"/>
        <v>28034</v>
      </c>
      <c r="H483" s="1322">
        <f t="shared" si="68"/>
        <v>103.44649446494465</v>
      </c>
      <c r="I483" s="1322">
        <f t="shared" si="69"/>
        <v>37757.970479704796</v>
      </c>
      <c r="J483" s="1324">
        <f t="shared" ca="1" si="71"/>
        <v>13.267023718439173</v>
      </c>
      <c r="K483" s="1324">
        <f t="shared" si="73"/>
        <v>0.75515940959409589</v>
      </c>
      <c r="L483" s="1323">
        <f t="shared" si="74"/>
        <v>28186</v>
      </c>
      <c r="M483" s="1322"/>
      <c r="N483" s="1322"/>
    </row>
    <row r="484" spans="1:14" s="1302" customFormat="1" ht="16.5" customHeight="1">
      <c r="A484" s="1328" t="s">
        <v>1136</v>
      </c>
      <c r="B484" s="1327">
        <v>44833</v>
      </c>
      <c r="C484" s="1326">
        <v>272</v>
      </c>
      <c r="D484" s="1323">
        <f t="shared" si="70"/>
        <v>489186</v>
      </c>
      <c r="E484" s="1325">
        <v>489300</v>
      </c>
      <c r="F484" s="1322">
        <v>114</v>
      </c>
      <c r="G484" s="1322">
        <f t="shared" si="72"/>
        <v>28148</v>
      </c>
      <c r="H484" s="1322">
        <f t="shared" si="68"/>
        <v>103.48529411764706</v>
      </c>
      <c r="I484" s="1322">
        <f t="shared" si="69"/>
        <v>37772.132352941175</v>
      </c>
      <c r="J484" s="1324">
        <f t="shared" ca="1" si="71"/>
        <v>5.0414690130068855</v>
      </c>
      <c r="K484" s="1324">
        <f t="shared" si="73"/>
        <v>0.75544264705882347</v>
      </c>
      <c r="L484" s="1323">
        <f t="shared" si="74"/>
        <v>28300</v>
      </c>
      <c r="M484" s="1322"/>
      <c r="N484" s="1322"/>
    </row>
    <row r="485" spans="1:14" s="1302" customFormat="1" ht="16.5" customHeight="1">
      <c r="A485" s="1328" t="s">
        <v>1130</v>
      </c>
      <c r="B485" s="1327">
        <v>44834</v>
      </c>
      <c r="C485" s="1326">
        <v>273</v>
      </c>
      <c r="D485" s="1323">
        <f t="shared" si="70"/>
        <v>489300</v>
      </c>
      <c r="E485" s="1325">
        <v>489353</v>
      </c>
      <c r="F485" s="1322">
        <v>53</v>
      </c>
      <c r="G485" s="1322">
        <f t="shared" si="72"/>
        <v>28201</v>
      </c>
      <c r="H485" s="1322">
        <f t="shared" si="68"/>
        <v>103.30036630036631</v>
      </c>
      <c r="I485" s="1322">
        <f t="shared" si="69"/>
        <v>37704.633699633705</v>
      </c>
      <c r="J485" s="1324">
        <f t="shared" ca="1" si="71"/>
        <v>2.3438408569242539</v>
      </c>
      <c r="K485" s="1324">
        <f t="shared" si="73"/>
        <v>0.7540926739926741</v>
      </c>
      <c r="L485" s="1323">
        <f t="shared" si="74"/>
        <v>28353</v>
      </c>
      <c r="M485" s="1322"/>
      <c r="N485" s="1322"/>
    </row>
    <row r="486" spans="1:14" s="1302" customFormat="1" ht="16.5" customHeight="1">
      <c r="A486" s="1328" t="s">
        <v>1128</v>
      </c>
      <c r="B486" s="1327">
        <v>44835</v>
      </c>
      <c r="C486" s="1326">
        <v>274</v>
      </c>
      <c r="D486" s="1323">
        <f t="shared" si="70"/>
        <v>489353</v>
      </c>
      <c r="E486" s="1325">
        <v>489536</v>
      </c>
      <c r="F486" s="1322">
        <v>183</v>
      </c>
      <c r="G486" s="1322">
        <f t="shared" si="72"/>
        <v>28384</v>
      </c>
      <c r="H486" s="1322">
        <f t="shared" si="68"/>
        <v>103.5912408759124</v>
      </c>
      <c r="I486" s="1322">
        <f t="shared" si="69"/>
        <v>37810.802919708025</v>
      </c>
      <c r="J486" s="1324">
        <f t="shared" ca="1" si="71"/>
        <v>8.0928844682478953</v>
      </c>
      <c r="K486" s="1324">
        <f t="shared" si="73"/>
        <v>0.75621605839416051</v>
      </c>
      <c r="L486" s="1323">
        <f t="shared" si="74"/>
        <v>28536</v>
      </c>
      <c r="M486" s="1322" t="s">
        <v>1134</v>
      </c>
      <c r="N486" s="1322"/>
    </row>
    <row r="487" spans="1:14" s="1302" customFormat="1" ht="16.5" customHeight="1">
      <c r="A487" s="1328" t="s">
        <v>1139</v>
      </c>
      <c r="B487" s="1327">
        <v>44836</v>
      </c>
      <c r="C487" s="1326">
        <v>275</v>
      </c>
      <c r="D487" s="1323">
        <f t="shared" si="70"/>
        <v>489536</v>
      </c>
      <c r="E487" s="1325">
        <v>489612</v>
      </c>
      <c r="F487" s="1322">
        <v>76</v>
      </c>
      <c r="G487" s="1322">
        <f t="shared" si="72"/>
        <v>28460</v>
      </c>
      <c r="H487" s="1322">
        <f t="shared" si="68"/>
        <v>103.49090909090908</v>
      </c>
      <c r="I487" s="1322">
        <f t="shared" si="69"/>
        <v>37774.181818181816</v>
      </c>
      <c r="J487" s="1324">
        <f t="shared" ca="1" si="71"/>
        <v>3.3609793420045904</v>
      </c>
      <c r="K487" s="1324">
        <f t="shared" si="73"/>
        <v>0.75548363636363636</v>
      </c>
      <c r="L487" s="1323">
        <f t="shared" si="74"/>
        <v>28612</v>
      </c>
      <c r="M487" s="1322"/>
      <c r="N487" s="1322"/>
    </row>
    <row r="488" spans="1:14" s="1302" customFormat="1" ht="16.5" customHeight="1">
      <c r="A488" s="1328" t="s">
        <v>1138</v>
      </c>
      <c r="B488" s="1327">
        <v>44837</v>
      </c>
      <c r="C488" s="1326">
        <v>276</v>
      </c>
      <c r="D488" s="1323">
        <f t="shared" si="70"/>
        <v>489612</v>
      </c>
      <c r="E488" s="1325">
        <v>489758</v>
      </c>
      <c r="F488" s="1322">
        <v>146</v>
      </c>
      <c r="G488" s="1322">
        <f t="shared" si="72"/>
        <v>28606</v>
      </c>
      <c r="H488" s="1322">
        <f t="shared" si="68"/>
        <v>103.64492753623189</v>
      </c>
      <c r="I488" s="1322">
        <f t="shared" si="69"/>
        <v>37830.39855072464</v>
      </c>
      <c r="J488" s="1324">
        <f t="shared" ca="1" si="71"/>
        <v>6.4566182096403972</v>
      </c>
      <c r="K488" s="1324">
        <f t="shared" si="73"/>
        <v>0.75660797101449284</v>
      </c>
      <c r="L488" s="1323">
        <f t="shared" si="74"/>
        <v>28758</v>
      </c>
      <c r="M488" s="1322"/>
      <c r="N488" s="1322"/>
    </row>
    <row r="489" spans="1:14" s="1302" customFormat="1" ht="16.5" customHeight="1">
      <c r="A489" s="1328" t="s">
        <v>1137</v>
      </c>
      <c r="B489" s="1327">
        <v>44838</v>
      </c>
      <c r="C489" s="1326">
        <v>277</v>
      </c>
      <c r="D489" s="1323">
        <f t="shared" si="70"/>
        <v>489758</v>
      </c>
      <c r="E489" s="1325">
        <v>489797</v>
      </c>
      <c r="F489" s="1322">
        <v>39</v>
      </c>
      <c r="G489" s="1322">
        <f t="shared" si="72"/>
        <v>28645</v>
      </c>
      <c r="H489" s="1322">
        <f t="shared" si="68"/>
        <v>103.4115523465704</v>
      </c>
      <c r="I489" s="1322">
        <f t="shared" si="69"/>
        <v>37745.216606498194</v>
      </c>
      <c r="J489" s="1324">
        <f t="shared" ca="1" si="71"/>
        <v>1.7247130833970925</v>
      </c>
      <c r="K489" s="1324">
        <f t="shared" si="73"/>
        <v>0.75490433212996388</v>
      </c>
      <c r="L489" s="1323">
        <f t="shared" si="74"/>
        <v>28797</v>
      </c>
      <c r="M489" s="1322"/>
      <c r="N489" s="1322"/>
    </row>
    <row r="490" spans="1:14" s="1302" customFormat="1" ht="16.5" customHeight="1">
      <c r="A490" s="1328" t="s">
        <v>1131</v>
      </c>
      <c r="B490" s="1327">
        <v>44839</v>
      </c>
      <c r="C490" s="1326">
        <v>278</v>
      </c>
      <c r="D490" s="1323">
        <f t="shared" si="70"/>
        <v>489797</v>
      </c>
      <c r="E490" s="1325">
        <v>489920</v>
      </c>
      <c r="F490" s="1322">
        <v>123</v>
      </c>
      <c r="G490" s="1322">
        <f t="shared" si="72"/>
        <v>28768</v>
      </c>
      <c r="H490" s="1322">
        <f t="shared" si="68"/>
        <v>103.4820143884892</v>
      </c>
      <c r="I490" s="1322">
        <f t="shared" si="69"/>
        <v>37770.935251798561</v>
      </c>
      <c r="J490" s="1324">
        <f t="shared" ca="1" si="71"/>
        <v>5.4394797245600612</v>
      </c>
      <c r="K490" s="1324">
        <f t="shared" si="73"/>
        <v>0.75541870503597119</v>
      </c>
      <c r="L490" s="1323">
        <f t="shared" si="74"/>
        <v>28920</v>
      </c>
      <c r="M490" s="1322"/>
      <c r="N490" s="1322"/>
    </row>
    <row r="491" spans="1:14" s="1302" customFormat="1" ht="16.5" customHeight="1">
      <c r="A491" s="1328" t="s">
        <v>1136</v>
      </c>
      <c r="B491" s="1327">
        <v>44840</v>
      </c>
      <c r="C491" s="1326">
        <v>279</v>
      </c>
      <c r="D491" s="1323">
        <f t="shared" si="70"/>
        <v>489920</v>
      </c>
      <c r="E491" s="1325">
        <f>E490</f>
        <v>489920</v>
      </c>
      <c r="F491" s="1322">
        <v>44</v>
      </c>
      <c r="G491" s="1322">
        <f t="shared" si="72"/>
        <v>28768</v>
      </c>
      <c r="H491" s="1322">
        <f t="shared" si="68"/>
        <v>103.11111111111111</v>
      </c>
      <c r="I491" s="1322">
        <f t="shared" si="69"/>
        <v>37635.555555555555</v>
      </c>
      <c r="J491" s="1324">
        <f t="shared" ca="1" si="71"/>
        <v>1.9458301453710787</v>
      </c>
      <c r="K491" s="1324">
        <f t="shared" si="73"/>
        <v>0.75271111111111111</v>
      </c>
      <c r="L491" s="1323">
        <f t="shared" si="74"/>
        <v>28920</v>
      </c>
      <c r="M491" s="1322"/>
      <c r="N491" s="1322"/>
    </row>
    <row r="492" spans="1:14" s="1302" customFormat="1" ht="16.5" customHeight="1">
      <c r="A492" s="1328" t="s">
        <v>1130</v>
      </c>
      <c r="B492" s="1327">
        <v>44841</v>
      </c>
      <c r="C492" s="1326">
        <v>280</v>
      </c>
      <c r="D492" s="1323">
        <f t="shared" si="70"/>
        <v>489920</v>
      </c>
      <c r="E492" s="1325">
        <v>490009</v>
      </c>
      <c r="F492" s="1322">
        <v>45</v>
      </c>
      <c r="G492" s="1322">
        <f t="shared" si="72"/>
        <v>28857</v>
      </c>
      <c r="H492" s="1322">
        <f t="shared" si="68"/>
        <v>103.06071428571428</v>
      </c>
      <c r="I492" s="1322">
        <f t="shared" si="69"/>
        <v>37617.16071428571</v>
      </c>
      <c r="J492" s="1324">
        <f t="shared" ca="1" si="71"/>
        <v>1.990053557765876</v>
      </c>
      <c r="K492" s="1324">
        <f t="shared" si="73"/>
        <v>0.75234321428571416</v>
      </c>
      <c r="L492" s="1323">
        <f t="shared" si="74"/>
        <v>29009</v>
      </c>
      <c r="M492" s="1322"/>
      <c r="N492" s="1322"/>
    </row>
    <row r="493" spans="1:14" s="1302" customFormat="1" ht="16.5" customHeight="1">
      <c r="A493" s="1328" t="s">
        <v>1128</v>
      </c>
      <c r="B493" s="1327">
        <v>44842</v>
      </c>
      <c r="C493" s="1326">
        <v>281</v>
      </c>
      <c r="D493" s="1323">
        <f t="shared" si="70"/>
        <v>490009</v>
      </c>
      <c r="E493" s="1325">
        <v>490079</v>
      </c>
      <c r="F493" s="1322">
        <v>70</v>
      </c>
      <c r="G493" s="1322">
        <f t="shared" si="72"/>
        <v>28927</v>
      </c>
      <c r="H493" s="1322">
        <f t="shared" si="68"/>
        <v>102.94306049822065</v>
      </c>
      <c r="I493" s="1322">
        <f t="shared" si="69"/>
        <v>37574.217081850533</v>
      </c>
      <c r="J493" s="1324">
        <f t="shared" ca="1" si="71"/>
        <v>3.0956388676358069</v>
      </c>
      <c r="K493" s="1324">
        <f t="shared" si="73"/>
        <v>0.75148434163701061</v>
      </c>
      <c r="L493" s="1323">
        <f t="shared" si="74"/>
        <v>29079</v>
      </c>
      <c r="M493" s="1322"/>
      <c r="N493" s="1322"/>
    </row>
    <row r="494" spans="1:14" s="1302" customFormat="1" ht="16.5" customHeight="1">
      <c r="A494" s="1328" t="s">
        <v>1139</v>
      </c>
      <c r="B494" s="1327">
        <v>44843</v>
      </c>
      <c r="C494" s="1326">
        <v>282</v>
      </c>
      <c r="D494" s="1323">
        <f t="shared" si="70"/>
        <v>490079</v>
      </c>
      <c r="E494" s="1325">
        <v>490218</v>
      </c>
      <c r="F494" s="1322">
        <v>139</v>
      </c>
      <c r="G494" s="1322">
        <f t="shared" si="72"/>
        <v>29066</v>
      </c>
      <c r="H494" s="1322">
        <f t="shared" si="68"/>
        <v>103.0709219858156</v>
      </c>
      <c r="I494" s="1322">
        <f t="shared" si="69"/>
        <v>37620.886524822694</v>
      </c>
      <c r="J494" s="1324">
        <f t="shared" ca="1" si="71"/>
        <v>6.1470543228768166</v>
      </c>
      <c r="K494" s="1324">
        <f t="shared" si="73"/>
        <v>0.75241773049645388</v>
      </c>
      <c r="L494" s="1323">
        <f t="shared" si="74"/>
        <v>29218</v>
      </c>
      <c r="M494" s="1322"/>
      <c r="N494" s="1322"/>
    </row>
    <row r="495" spans="1:14" s="1302" customFormat="1" ht="16.5" customHeight="1">
      <c r="A495" s="1328" t="s">
        <v>1138</v>
      </c>
      <c r="B495" s="1327">
        <v>44844</v>
      </c>
      <c r="C495" s="1326">
        <v>283</v>
      </c>
      <c r="D495" s="1323">
        <f t="shared" si="70"/>
        <v>490218</v>
      </c>
      <c r="E495" s="1325">
        <v>490294</v>
      </c>
      <c r="F495" s="1322">
        <v>76</v>
      </c>
      <c r="G495" s="1322">
        <f t="shared" si="72"/>
        <v>29142</v>
      </c>
      <c r="H495" s="1322">
        <f t="shared" si="68"/>
        <v>102.97526501766785</v>
      </c>
      <c r="I495" s="1322">
        <f t="shared" si="69"/>
        <v>37585.971731448764</v>
      </c>
      <c r="J495" s="1324">
        <f t="shared" ca="1" si="71"/>
        <v>3.3609793420045904</v>
      </c>
      <c r="K495" s="1324">
        <f t="shared" si="73"/>
        <v>0.75171943462897528</v>
      </c>
      <c r="L495" s="1323">
        <f t="shared" si="74"/>
        <v>29294</v>
      </c>
      <c r="M495" s="1322"/>
      <c r="N495" s="1322"/>
    </row>
    <row r="496" spans="1:14" s="1302" customFormat="1" ht="16.5" customHeight="1">
      <c r="A496" s="1328" t="s">
        <v>1137</v>
      </c>
      <c r="B496" s="1327">
        <v>44845</v>
      </c>
      <c r="C496" s="1326">
        <v>284</v>
      </c>
      <c r="D496" s="1323">
        <f t="shared" si="70"/>
        <v>490294</v>
      </c>
      <c r="E496" s="1325">
        <v>490369</v>
      </c>
      <c r="F496" s="1322">
        <v>75</v>
      </c>
      <c r="G496" s="1322">
        <f t="shared" si="72"/>
        <v>29217</v>
      </c>
      <c r="H496" s="1322">
        <f t="shared" si="68"/>
        <v>102.87676056338029</v>
      </c>
      <c r="I496" s="1322">
        <f t="shared" si="69"/>
        <v>37550.017605633802</v>
      </c>
      <c r="J496" s="1324">
        <f t="shared" ca="1" si="71"/>
        <v>3.3167559296097933</v>
      </c>
      <c r="K496" s="1324">
        <f t="shared" si="73"/>
        <v>0.75100035211267602</v>
      </c>
      <c r="L496" s="1323">
        <f t="shared" si="74"/>
        <v>29369</v>
      </c>
      <c r="M496" s="1322"/>
      <c r="N496" s="1322"/>
    </row>
    <row r="497" spans="1:14" s="1302" customFormat="1" ht="16.5" customHeight="1">
      <c r="A497" s="1328" t="s">
        <v>1131</v>
      </c>
      <c r="B497" s="1327">
        <v>44846</v>
      </c>
      <c r="C497" s="1326">
        <v>285</v>
      </c>
      <c r="D497" s="1323">
        <f t="shared" si="70"/>
        <v>490369</v>
      </c>
      <c r="E497" s="1325">
        <v>490409</v>
      </c>
      <c r="F497" s="1322">
        <v>40</v>
      </c>
      <c r="G497" s="1322">
        <f t="shared" si="72"/>
        <v>29257</v>
      </c>
      <c r="H497" s="1322">
        <f t="shared" si="68"/>
        <v>102.65614035087719</v>
      </c>
      <c r="I497" s="1322">
        <f t="shared" si="69"/>
        <v>37469.491228070176</v>
      </c>
      <c r="J497" s="1324">
        <f t="shared" ca="1" si="71"/>
        <v>1.7689364957918898</v>
      </c>
      <c r="K497" s="1324">
        <f t="shared" si="73"/>
        <v>0.74938982456140346</v>
      </c>
      <c r="L497" s="1323">
        <f t="shared" si="74"/>
        <v>29409</v>
      </c>
      <c r="M497" s="1322"/>
      <c r="N497" s="1322"/>
    </row>
    <row r="498" spans="1:14" s="1302" customFormat="1" ht="16.5" customHeight="1">
      <c r="A498" s="1328" t="s">
        <v>1136</v>
      </c>
      <c r="B498" s="1327">
        <v>44847</v>
      </c>
      <c r="C498" s="1326">
        <v>286</v>
      </c>
      <c r="D498" s="1323">
        <f t="shared" si="70"/>
        <v>490409</v>
      </c>
      <c r="E498" s="1325">
        <v>490448</v>
      </c>
      <c r="F498" s="1322">
        <v>39</v>
      </c>
      <c r="G498" s="1322">
        <f t="shared" si="72"/>
        <v>29296</v>
      </c>
      <c r="H498" s="1322">
        <f t="shared" si="68"/>
        <v>102.43356643356644</v>
      </c>
      <c r="I498" s="1322">
        <f t="shared" si="69"/>
        <v>37388.251748251751</v>
      </c>
      <c r="J498" s="1324">
        <f t="shared" ca="1" si="71"/>
        <v>1.7247130833970925</v>
      </c>
      <c r="K498" s="1324">
        <f t="shared" si="73"/>
        <v>0.74776503496503499</v>
      </c>
      <c r="L498" s="1323">
        <f t="shared" si="74"/>
        <v>29448</v>
      </c>
      <c r="M498" s="1322"/>
      <c r="N498" s="1322"/>
    </row>
    <row r="499" spans="1:14" s="1302" customFormat="1" ht="16.5" customHeight="1">
      <c r="A499" s="1328" t="s">
        <v>1130</v>
      </c>
      <c r="B499" s="1327">
        <v>44848</v>
      </c>
      <c r="C499" s="1326">
        <v>287</v>
      </c>
      <c r="D499" s="1323">
        <f t="shared" si="70"/>
        <v>490448</v>
      </c>
      <c r="E499" s="1325">
        <v>490570</v>
      </c>
      <c r="F499" s="1322">
        <v>122</v>
      </c>
      <c r="G499" s="1322">
        <f t="shared" si="72"/>
        <v>29418</v>
      </c>
      <c r="H499" s="1322">
        <f t="shared" si="68"/>
        <v>102.50174216027875</v>
      </c>
      <c r="I499" s="1322">
        <f t="shared" si="69"/>
        <v>37413.135888501747</v>
      </c>
      <c r="J499" s="1324">
        <f t="shared" ca="1" si="71"/>
        <v>5.3952563121652632</v>
      </c>
      <c r="K499" s="1324">
        <f t="shared" si="73"/>
        <v>0.74826271777003495</v>
      </c>
      <c r="L499" s="1323">
        <f t="shared" si="74"/>
        <v>29570</v>
      </c>
      <c r="M499" s="1322" t="s">
        <v>1134</v>
      </c>
      <c r="N499" s="1322"/>
    </row>
    <row r="500" spans="1:14" s="1302" customFormat="1" ht="16.5" customHeight="1">
      <c r="A500" s="1328" t="s">
        <v>1128</v>
      </c>
      <c r="B500" s="1327">
        <v>44849</v>
      </c>
      <c r="C500" s="1326">
        <v>288</v>
      </c>
      <c r="D500" s="1323">
        <f t="shared" si="70"/>
        <v>490570</v>
      </c>
      <c r="E500" s="1325">
        <v>490659</v>
      </c>
      <c r="F500" s="1322">
        <v>89</v>
      </c>
      <c r="G500" s="1322">
        <f t="shared" si="72"/>
        <v>29507</v>
      </c>
      <c r="H500" s="1322">
        <f t="shared" si="68"/>
        <v>102.45486111111111</v>
      </c>
      <c r="I500" s="1322">
        <f t="shared" si="69"/>
        <v>37396.024305555555</v>
      </c>
      <c r="J500" s="1324">
        <f t="shared" ca="1" si="71"/>
        <v>3.9358837031369545</v>
      </c>
      <c r="K500" s="1324">
        <f t="shared" si="73"/>
        <v>0.74792048611111106</v>
      </c>
      <c r="L500" s="1323">
        <f t="shared" si="74"/>
        <v>29659</v>
      </c>
      <c r="M500" s="1322"/>
      <c r="N500" s="1322"/>
    </row>
    <row r="501" spans="1:14" s="1302" customFormat="1" ht="16.5" customHeight="1">
      <c r="A501" s="1328" t="s">
        <v>1139</v>
      </c>
      <c r="B501" s="1327">
        <v>44850</v>
      </c>
      <c r="C501" s="1326">
        <v>289</v>
      </c>
      <c r="D501" s="1323">
        <f t="shared" si="70"/>
        <v>490659</v>
      </c>
      <c r="E501" s="1325">
        <v>490857</v>
      </c>
      <c r="F501" s="1322">
        <v>198</v>
      </c>
      <c r="G501" s="1322">
        <f t="shared" si="72"/>
        <v>29705</v>
      </c>
      <c r="H501" s="1322">
        <f t="shared" si="68"/>
        <v>102.78546712802768</v>
      </c>
      <c r="I501" s="1322">
        <f t="shared" si="69"/>
        <v>37516.695501730101</v>
      </c>
      <c r="J501" s="1324">
        <f t="shared" ca="1" si="71"/>
        <v>8.7562356541698545</v>
      </c>
      <c r="K501" s="1324">
        <f t="shared" si="73"/>
        <v>0.75033391003460204</v>
      </c>
      <c r="L501" s="1323">
        <f t="shared" si="74"/>
        <v>29857</v>
      </c>
      <c r="M501" s="1322" t="s">
        <v>238</v>
      </c>
      <c r="N501" s="1322"/>
    </row>
    <row r="502" spans="1:14" s="1302" customFormat="1" ht="16.5" customHeight="1">
      <c r="A502" s="1328" t="s">
        <v>1138</v>
      </c>
      <c r="B502" s="1327">
        <v>44851</v>
      </c>
      <c r="C502" s="1326">
        <v>290</v>
      </c>
      <c r="D502" s="1323">
        <f t="shared" si="70"/>
        <v>490857</v>
      </c>
      <c r="E502" s="1325">
        <v>490942</v>
      </c>
      <c r="F502" s="1322">
        <v>85</v>
      </c>
      <c r="G502" s="1322">
        <f t="shared" si="72"/>
        <v>29790</v>
      </c>
      <c r="H502" s="1322">
        <f t="shared" si="68"/>
        <v>102.72413793103448</v>
      </c>
      <c r="I502" s="1322">
        <f t="shared" si="69"/>
        <v>37494.310344827587</v>
      </c>
      <c r="J502" s="1324">
        <f t="shared" ca="1" si="71"/>
        <v>3.7589900535577656</v>
      </c>
      <c r="K502" s="1324">
        <f t="shared" si="73"/>
        <v>0.74988620689655172</v>
      </c>
      <c r="L502" s="1323">
        <f t="shared" si="74"/>
        <v>29942</v>
      </c>
      <c r="M502" s="1322"/>
      <c r="N502" s="1322"/>
    </row>
    <row r="503" spans="1:14" s="1302" customFormat="1" ht="16.5" customHeight="1">
      <c r="A503" s="1328" t="s">
        <v>1137</v>
      </c>
      <c r="B503" s="1327">
        <v>44852</v>
      </c>
      <c r="C503" s="1326">
        <v>291</v>
      </c>
      <c r="D503" s="1323">
        <f t="shared" si="70"/>
        <v>490942</v>
      </c>
      <c r="E503" s="1325">
        <v>491088</v>
      </c>
      <c r="F503" s="1322">
        <v>146</v>
      </c>
      <c r="G503" s="1322">
        <f t="shared" si="72"/>
        <v>29936</v>
      </c>
      <c r="H503" s="1322">
        <f t="shared" si="68"/>
        <v>102.87285223367698</v>
      </c>
      <c r="I503" s="1322">
        <f t="shared" si="69"/>
        <v>37548.591065292101</v>
      </c>
      <c r="J503" s="1324">
        <f t="shared" ca="1" si="71"/>
        <v>6.4566182096403972</v>
      </c>
      <c r="K503" s="1324">
        <f t="shared" si="73"/>
        <v>0.75097182130584206</v>
      </c>
      <c r="L503" s="1323">
        <f t="shared" si="74"/>
        <v>30088</v>
      </c>
      <c r="M503" s="1322" t="s">
        <v>238</v>
      </c>
      <c r="N503" s="1322"/>
    </row>
    <row r="504" spans="1:14" s="1302" customFormat="1" ht="16.5" customHeight="1">
      <c r="A504" s="1328" t="s">
        <v>1131</v>
      </c>
      <c r="B504" s="1327">
        <v>44853</v>
      </c>
      <c r="C504" s="1326">
        <v>292</v>
      </c>
      <c r="D504" s="1323">
        <f t="shared" si="70"/>
        <v>491088</v>
      </c>
      <c r="E504" s="1325">
        <v>491173</v>
      </c>
      <c r="F504" s="1322">
        <v>85</v>
      </c>
      <c r="G504" s="1322">
        <f t="shared" si="72"/>
        <v>30021</v>
      </c>
      <c r="H504" s="1322">
        <f t="shared" si="68"/>
        <v>102.81164383561644</v>
      </c>
      <c r="I504" s="1322">
        <f t="shared" si="69"/>
        <v>37526.25</v>
      </c>
      <c r="J504" s="1324">
        <f t="shared" ca="1" si="71"/>
        <v>3.7589900535577656</v>
      </c>
      <c r="K504" s="1324">
        <f t="shared" si="73"/>
        <v>0.750525</v>
      </c>
      <c r="L504" s="1323">
        <f t="shared" si="74"/>
        <v>30173</v>
      </c>
      <c r="M504" s="1322"/>
      <c r="N504" s="1322"/>
    </row>
    <row r="505" spans="1:14" s="1302" customFormat="1" ht="16.5" customHeight="1">
      <c r="A505" s="1328" t="s">
        <v>1136</v>
      </c>
      <c r="B505" s="1327">
        <v>44854</v>
      </c>
      <c r="C505" s="1326">
        <v>293</v>
      </c>
      <c r="D505" s="1323">
        <f t="shared" si="70"/>
        <v>491173</v>
      </c>
      <c r="E505" s="1325">
        <v>491241</v>
      </c>
      <c r="F505" s="1322">
        <v>68</v>
      </c>
      <c r="G505" s="1322">
        <f t="shared" si="72"/>
        <v>30089</v>
      </c>
      <c r="H505" s="1322">
        <f t="shared" si="68"/>
        <v>102.69283276450511</v>
      </c>
      <c r="I505" s="1322">
        <f t="shared" si="69"/>
        <v>37482.883959044368</v>
      </c>
      <c r="J505" s="1324">
        <f t="shared" ca="1" si="71"/>
        <v>3.0071920428462127</v>
      </c>
      <c r="K505" s="1324">
        <f t="shared" si="73"/>
        <v>0.74965767918088733</v>
      </c>
      <c r="L505" s="1323">
        <f t="shared" si="74"/>
        <v>30241</v>
      </c>
      <c r="M505" s="1322"/>
      <c r="N505" s="1322"/>
    </row>
    <row r="506" spans="1:14" s="1302" customFormat="1" ht="16.5" customHeight="1">
      <c r="A506" s="1328" t="s">
        <v>1130</v>
      </c>
      <c r="B506" s="1327">
        <v>44855</v>
      </c>
      <c r="C506" s="1326">
        <v>294</v>
      </c>
      <c r="D506" s="1323">
        <f t="shared" si="70"/>
        <v>491241</v>
      </c>
      <c r="E506" s="1325">
        <v>491360</v>
      </c>
      <c r="F506" s="1322">
        <f t="shared" ref="F506:F522" si="75">E506-D506</f>
        <v>119</v>
      </c>
      <c r="G506" s="1322">
        <f t="shared" si="72"/>
        <v>30208</v>
      </c>
      <c r="H506" s="1322">
        <f t="shared" si="68"/>
        <v>102.74829931972789</v>
      </c>
      <c r="I506" s="1322">
        <f t="shared" si="69"/>
        <v>37503.12925170068</v>
      </c>
      <c r="J506" s="1324">
        <f t="shared" ca="1" si="71"/>
        <v>5.2625860749808719</v>
      </c>
      <c r="K506" s="1324">
        <f t="shared" si="73"/>
        <v>0.75006258503401357</v>
      </c>
      <c r="L506" s="1323">
        <f t="shared" si="74"/>
        <v>30360</v>
      </c>
      <c r="M506" s="1322"/>
      <c r="N506" s="1322"/>
    </row>
    <row r="507" spans="1:14" s="1302" customFormat="1" ht="16.5" customHeight="1">
      <c r="A507" s="1328" t="s">
        <v>1128</v>
      </c>
      <c r="B507" s="1327">
        <v>44856</v>
      </c>
      <c r="C507" s="1326">
        <v>295</v>
      </c>
      <c r="D507" s="1323">
        <f t="shared" si="70"/>
        <v>491360</v>
      </c>
      <c r="E507" s="1325">
        <v>491411</v>
      </c>
      <c r="F507" s="1322">
        <f t="shared" si="75"/>
        <v>51</v>
      </c>
      <c r="G507" s="1322">
        <f t="shared" si="72"/>
        <v>30259</v>
      </c>
      <c r="H507" s="1322">
        <f t="shared" si="68"/>
        <v>102.5728813559322</v>
      </c>
      <c r="I507" s="1322">
        <f t="shared" si="69"/>
        <v>37439.101694915254</v>
      </c>
      <c r="J507" s="1324">
        <f t="shared" ca="1" si="71"/>
        <v>2.2553940321346593</v>
      </c>
      <c r="K507" s="1324">
        <f t="shared" si="73"/>
        <v>0.74878203389830511</v>
      </c>
      <c r="L507" s="1323">
        <f t="shared" si="74"/>
        <v>30411</v>
      </c>
      <c r="M507" s="1322"/>
      <c r="N507" s="1322"/>
    </row>
    <row r="508" spans="1:14" s="1302" customFormat="1" ht="16.5" customHeight="1">
      <c r="A508" s="1328" t="s">
        <v>1139</v>
      </c>
      <c r="B508" s="1327">
        <v>44857</v>
      </c>
      <c r="C508" s="1326">
        <v>296</v>
      </c>
      <c r="D508" s="1323">
        <f t="shared" si="70"/>
        <v>491411</v>
      </c>
      <c r="E508" s="1325">
        <v>491480</v>
      </c>
      <c r="F508" s="1322">
        <f t="shared" si="75"/>
        <v>69</v>
      </c>
      <c r="G508" s="1322">
        <f t="shared" si="72"/>
        <v>30328</v>
      </c>
      <c r="H508" s="1322">
        <f t="shared" si="68"/>
        <v>102.45945945945945</v>
      </c>
      <c r="I508" s="1322">
        <f t="shared" si="69"/>
        <v>37397.7027027027</v>
      </c>
      <c r="J508" s="1324">
        <f t="shared" ca="1" si="71"/>
        <v>3.0514154552410098</v>
      </c>
      <c r="K508" s="1324">
        <f t="shared" si="73"/>
        <v>0.74795405405405402</v>
      </c>
      <c r="L508" s="1323">
        <f t="shared" si="74"/>
        <v>30480</v>
      </c>
      <c r="M508" s="1322"/>
      <c r="N508" s="1322"/>
    </row>
    <row r="509" spans="1:14" s="1302" customFormat="1" ht="16.5" customHeight="1">
      <c r="A509" s="1328" t="s">
        <v>1138</v>
      </c>
      <c r="B509" s="1327">
        <v>44858</v>
      </c>
      <c r="C509" s="1326">
        <v>297</v>
      </c>
      <c r="D509" s="1323">
        <f t="shared" si="70"/>
        <v>491480</v>
      </c>
      <c r="E509" s="1325">
        <v>491652</v>
      </c>
      <c r="F509" s="1322">
        <f t="shared" si="75"/>
        <v>172</v>
      </c>
      <c r="G509" s="1322">
        <f t="shared" si="72"/>
        <v>30500</v>
      </c>
      <c r="H509" s="1322">
        <f t="shared" si="68"/>
        <v>102.6936026936027</v>
      </c>
      <c r="I509" s="1322">
        <f t="shared" si="69"/>
        <v>37483.164983164985</v>
      </c>
      <c r="J509" s="1324">
        <f t="shared" ca="1" si="71"/>
        <v>7.6064269319051254</v>
      </c>
      <c r="K509" s="1324">
        <f t="shared" si="73"/>
        <v>0.7496632996632997</v>
      </c>
      <c r="L509" s="1323">
        <f t="shared" si="74"/>
        <v>30652</v>
      </c>
      <c r="M509" s="1322"/>
      <c r="N509" s="1322"/>
    </row>
    <row r="510" spans="1:14" s="1302" customFormat="1" ht="16.5" customHeight="1">
      <c r="A510" s="1328" t="s">
        <v>1137</v>
      </c>
      <c r="B510" s="1327">
        <v>44859</v>
      </c>
      <c r="C510" s="1326">
        <v>298</v>
      </c>
      <c r="D510" s="1323">
        <f t="shared" si="70"/>
        <v>491652</v>
      </c>
      <c r="E510" s="1325">
        <v>491824</v>
      </c>
      <c r="F510" s="1322">
        <f t="shared" si="75"/>
        <v>172</v>
      </c>
      <c r="G510" s="1322">
        <f t="shared" si="72"/>
        <v>30672</v>
      </c>
      <c r="H510" s="1322">
        <f t="shared" si="68"/>
        <v>102.92617449664429</v>
      </c>
      <c r="I510" s="1322">
        <f t="shared" si="69"/>
        <v>37568.05369127517</v>
      </c>
      <c r="J510" s="1324">
        <f t="shared" ca="1" si="71"/>
        <v>7.6064269319051254</v>
      </c>
      <c r="K510" s="1324">
        <f t="shared" si="73"/>
        <v>0.75136107382550343</v>
      </c>
      <c r="L510" s="1323">
        <f t="shared" si="74"/>
        <v>30824</v>
      </c>
      <c r="M510" s="1322"/>
      <c r="N510" s="1322"/>
    </row>
    <row r="511" spans="1:14" s="1302" customFormat="1" ht="16.5" customHeight="1">
      <c r="A511" s="1328" t="s">
        <v>1131</v>
      </c>
      <c r="B511" s="1327">
        <v>44860</v>
      </c>
      <c r="C511" s="1326">
        <v>299</v>
      </c>
      <c r="D511" s="1323">
        <f t="shared" si="70"/>
        <v>491824</v>
      </c>
      <c r="E511" s="1325">
        <v>491947</v>
      </c>
      <c r="F511" s="1322">
        <f t="shared" si="75"/>
        <v>123</v>
      </c>
      <c r="G511" s="1322">
        <f t="shared" si="72"/>
        <v>30795</v>
      </c>
      <c r="H511" s="1322">
        <f t="shared" si="68"/>
        <v>102.99331103678929</v>
      </c>
      <c r="I511" s="1322">
        <f t="shared" si="69"/>
        <v>37592.55852842809</v>
      </c>
      <c r="J511" s="1324">
        <f t="shared" ca="1" si="71"/>
        <v>5.4394797245600612</v>
      </c>
      <c r="K511" s="1324">
        <f t="shared" si="73"/>
        <v>0.75185117056856177</v>
      </c>
      <c r="L511" s="1323">
        <f t="shared" si="74"/>
        <v>30947</v>
      </c>
      <c r="M511" s="1322"/>
      <c r="N511" s="1322"/>
    </row>
    <row r="512" spans="1:14" s="1302" customFormat="1" ht="16.5" customHeight="1">
      <c r="A512" s="1328" t="s">
        <v>1136</v>
      </c>
      <c r="B512" s="1327">
        <v>44861</v>
      </c>
      <c r="C512" s="1326">
        <v>300</v>
      </c>
      <c r="D512" s="1323">
        <f t="shared" si="70"/>
        <v>491947</v>
      </c>
      <c r="E512" s="1325">
        <v>492070</v>
      </c>
      <c r="F512" s="1322">
        <f t="shared" si="75"/>
        <v>123</v>
      </c>
      <c r="G512" s="1322">
        <f t="shared" si="72"/>
        <v>30918</v>
      </c>
      <c r="H512" s="1322">
        <f t="shared" si="68"/>
        <v>103.06</v>
      </c>
      <c r="I512" s="1322">
        <f t="shared" si="69"/>
        <v>37616.9</v>
      </c>
      <c r="J512" s="1324">
        <f t="shared" ca="1" si="71"/>
        <v>5.4394797245600612</v>
      </c>
      <c r="K512" s="1324">
        <f t="shared" si="73"/>
        <v>0.75233800000000006</v>
      </c>
      <c r="L512" s="1323">
        <f t="shared" si="74"/>
        <v>31070</v>
      </c>
      <c r="M512" s="1322"/>
      <c r="N512" s="1322"/>
    </row>
    <row r="513" spans="1:14" s="1302" customFormat="1" ht="16.5" customHeight="1">
      <c r="A513" s="1328" t="s">
        <v>1130</v>
      </c>
      <c r="B513" s="1327">
        <v>44862</v>
      </c>
      <c r="C513" s="1326">
        <v>301</v>
      </c>
      <c r="D513" s="1323">
        <f t="shared" si="70"/>
        <v>492070</v>
      </c>
      <c r="E513" s="1325">
        <v>492192</v>
      </c>
      <c r="F513" s="1322">
        <f t="shared" si="75"/>
        <v>122</v>
      </c>
      <c r="G513" s="1322">
        <f t="shared" si="72"/>
        <v>31040</v>
      </c>
      <c r="H513" s="1322">
        <f t="shared" si="68"/>
        <v>103.12292358803987</v>
      </c>
      <c r="I513" s="1322">
        <f t="shared" si="69"/>
        <v>37639.86710963455</v>
      </c>
      <c r="J513" s="1324">
        <f t="shared" ca="1" si="71"/>
        <v>5.3952563121652632</v>
      </c>
      <c r="K513" s="1324">
        <f t="shared" si="73"/>
        <v>0.75279734219269101</v>
      </c>
      <c r="L513" s="1323">
        <f t="shared" si="74"/>
        <v>31192</v>
      </c>
      <c r="M513" s="1322"/>
      <c r="N513" s="1322"/>
    </row>
    <row r="514" spans="1:14" s="1302" customFormat="1" ht="16.5" customHeight="1">
      <c r="A514" s="1328" t="s">
        <v>1128</v>
      </c>
      <c r="B514" s="1327">
        <v>44863</v>
      </c>
      <c r="C514" s="1326">
        <v>302</v>
      </c>
      <c r="D514" s="1323">
        <f t="shared" si="70"/>
        <v>492192</v>
      </c>
      <c r="E514" s="1325">
        <v>492470</v>
      </c>
      <c r="F514" s="1322">
        <f t="shared" si="75"/>
        <v>278</v>
      </c>
      <c r="G514" s="1322">
        <f t="shared" si="72"/>
        <v>31318</v>
      </c>
      <c r="H514" s="1322">
        <f t="shared" si="68"/>
        <v>103.70198675496688</v>
      </c>
      <c r="I514" s="1322">
        <f t="shared" si="69"/>
        <v>37851.225165562915</v>
      </c>
      <c r="J514" s="1324">
        <f t="shared" ca="1" si="71"/>
        <v>12.294108645753633</v>
      </c>
      <c r="K514" s="1324">
        <f t="shared" si="73"/>
        <v>0.75702450331125826</v>
      </c>
      <c r="L514" s="1323">
        <f t="shared" si="74"/>
        <v>31470</v>
      </c>
      <c r="M514" s="1322"/>
      <c r="N514" s="1322"/>
    </row>
    <row r="515" spans="1:14" s="1302" customFormat="1" ht="16.5" customHeight="1">
      <c r="A515" s="1328" t="s">
        <v>1139</v>
      </c>
      <c r="B515" s="1327">
        <v>44864</v>
      </c>
      <c r="C515" s="1326">
        <v>303</v>
      </c>
      <c r="D515" s="1323">
        <f t="shared" si="70"/>
        <v>492470</v>
      </c>
      <c r="E515" s="1325">
        <v>492557</v>
      </c>
      <c r="F515" s="1322">
        <f t="shared" si="75"/>
        <v>87</v>
      </c>
      <c r="G515" s="1322">
        <f t="shared" si="72"/>
        <v>31405</v>
      </c>
      <c r="H515" s="1322">
        <f t="shared" si="68"/>
        <v>103.64686468646865</v>
      </c>
      <c r="I515" s="1322">
        <f t="shared" si="69"/>
        <v>37831.105610561055</v>
      </c>
      <c r="J515" s="1324">
        <f t="shared" ca="1" si="71"/>
        <v>3.8474368783473603</v>
      </c>
      <c r="K515" s="1324">
        <f t="shared" si="73"/>
        <v>0.75662211221122111</v>
      </c>
      <c r="L515" s="1323">
        <f t="shared" si="74"/>
        <v>31557</v>
      </c>
      <c r="M515" s="1322"/>
      <c r="N515" s="1322"/>
    </row>
    <row r="516" spans="1:14" s="1302" customFormat="1" ht="16.5" customHeight="1">
      <c r="A516" s="1328" t="s">
        <v>1138</v>
      </c>
      <c r="B516" s="1327">
        <v>44865</v>
      </c>
      <c r="C516" s="1326">
        <v>304</v>
      </c>
      <c r="D516" s="1323">
        <f t="shared" si="70"/>
        <v>492557</v>
      </c>
      <c r="E516" s="1325">
        <v>492635</v>
      </c>
      <c r="F516" s="1322">
        <f t="shared" si="75"/>
        <v>78</v>
      </c>
      <c r="G516" s="1322">
        <f t="shared" si="72"/>
        <v>31483</v>
      </c>
      <c r="H516" s="1322">
        <f t="shared" si="68"/>
        <v>103.5625</v>
      </c>
      <c r="I516" s="1322">
        <f t="shared" si="69"/>
        <v>37800.3125</v>
      </c>
      <c r="J516" s="1324">
        <f t="shared" ca="1" si="71"/>
        <v>3.449426166794185</v>
      </c>
      <c r="K516" s="1324">
        <f t="shared" si="73"/>
        <v>0.75600624999999999</v>
      </c>
      <c r="L516" s="1323">
        <f t="shared" si="74"/>
        <v>31635</v>
      </c>
      <c r="M516" s="1322"/>
      <c r="N516" s="1322"/>
    </row>
    <row r="517" spans="1:14" s="1302" customFormat="1" ht="16.5" customHeight="1">
      <c r="A517" s="1328" t="s">
        <v>1137</v>
      </c>
      <c r="B517" s="1327">
        <v>44866</v>
      </c>
      <c r="C517" s="1326">
        <v>305</v>
      </c>
      <c r="D517" s="1323">
        <f t="shared" si="70"/>
        <v>492635</v>
      </c>
      <c r="E517" s="1325">
        <v>492713</v>
      </c>
      <c r="F517" s="1322">
        <f t="shared" si="75"/>
        <v>78</v>
      </c>
      <c r="G517" s="1322">
        <f t="shared" si="72"/>
        <v>31561</v>
      </c>
      <c r="H517" s="1322">
        <f t="shared" si="68"/>
        <v>103.47868852459017</v>
      </c>
      <c r="I517" s="1322">
        <f t="shared" si="69"/>
        <v>37769.721311475412</v>
      </c>
      <c r="J517" s="1324">
        <f t="shared" ca="1" si="71"/>
        <v>3.449426166794185</v>
      </c>
      <c r="K517" s="1324">
        <f t="shared" si="73"/>
        <v>0.75539442622950825</v>
      </c>
      <c r="L517" s="1323">
        <f t="shared" si="74"/>
        <v>31713</v>
      </c>
      <c r="M517" s="1322"/>
      <c r="N517" s="1322"/>
    </row>
    <row r="518" spans="1:14" s="1302" customFormat="1" ht="16.5" customHeight="1">
      <c r="A518" s="1328" t="s">
        <v>1131</v>
      </c>
      <c r="B518" s="1327">
        <v>44867</v>
      </c>
      <c r="C518" s="1326">
        <v>306</v>
      </c>
      <c r="D518" s="1323">
        <f t="shared" si="70"/>
        <v>492713</v>
      </c>
      <c r="E518" s="1325">
        <v>492803</v>
      </c>
      <c r="F518" s="1322">
        <f t="shared" si="75"/>
        <v>90</v>
      </c>
      <c r="G518" s="1322">
        <f t="shared" si="72"/>
        <v>31651</v>
      </c>
      <c r="H518" s="1322">
        <f t="shared" si="68"/>
        <v>103.43464052287581</v>
      </c>
      <c r="I518" s="1322">
        <f t="shared" si="69"/>
        <v>37753.643790849674</v>
      </c>
      <c r="J518" s="1324">
        <f t="shared" ca="1" si="71"/>
        <v>3.980107115531752</v>
      </c>
      <c r="K518" s="1324">
        <f t="shared" si="73"/>
        <v>0.75507287581699345</v>
      </c>
      <c r="L518" s="1323">
        <f t="shared" si="74"/>
        <v>31803</v>
      </c>
      <c r="M518" s="1322"/>
      <c r="N518" s="1322"/>
    </row>
    <row r="519" spans="1:14" s="1302" customFormat="1" ht="16.5" customHeight="1">
      <c r="A519" s="1328" t="s">
        <v>1136</v>
      </c>
      <c r="B519" s="1327">
        <v>44868</v>
      </c>
      <c r="C519" s="1326">
        <v>307</v>
      </c>
      <c r="D519" s="1323">
        <f t="shared" si="70"/>
        <v>492803</v>
      </c>
      <c r="E519" s="1325">
        <v>492873</v>
      </c>
      <c r="F519" s="1322">
        <f t="shared" si="75"/>
        <v>70</v>
      </c>
      <c r="G519" s="1322">
        <f t="shared" si="72"/>
        <v>31721</v>
      </c>
      <c r="H519" s="1322">
        <f t="shared" si="68"/>
        <v>103.3257328990228</v>
      </c>
      <c r="I519" s="1322">
        <f t="shared" si="69"/>
        <v>37713.892508143319</v>
      </c>
      <c r="J519" s="1324">
        <f t="shared" ca="1" si="71"/>
        <v>3.0956388676358069</v>
      </c>
      <c r="K519" s="1324">
        <f t="shared" si="73"/>
        <v>0.75427785016286641</v>
      </c>
      <c r="L519" s="1323">
        <f t="shared" si="74"/>
        <v>31873</v>
      </c>
      <c r="M519" s="1322"/>
      <c r="N519" s="1322"/>
    </row>
    <row r="520" spans="1:14" s="1302" customFormat="1" ht="16.5" customHeight="1">
      <c r="A520" s="1328" t="s">
        <v>1130</v>
      </c>
      <c r="B520" s="1327">
        <v>44869</v>
      </c>
      <c r="C520" s="1326">
        <v>308</v>
      </c>
      <c r="D520" s="1323">
        <f t="shared" si="70"/>
        <v>492873</v>
      </c>
      <c r="E520" s="1325">
        <v>493114</v>
      </c>
      <c r="F520" s="1322">
        <f t="shared" si="75"/>
        <v>241</v>
      </c>
      <c r="G520" s="1322">
        <f t="shared" si="72"/>
        <v>31962</v>
      </c>
      <c r="H520" s="1322">
        <f t="shared" ref="H520:H577" si="76">G520/C520</f>
        <v>103.77272727272727</v>
      </c>
      <c r="I520" s="1322">
        <f t="shared" ref="I520:I577" si="77">G520/C520*365</f>
        <v>37877.045454545449</v>
      </c>
      <c r="J520" s="1324">
        <f t="shared" ca="1" si="71"/>
        <v>10.657842387146136</v>
      </c>
      <c r="K520" s="1324">
        <f t="shared" si="73"/>
        <v>0.75754090909090899</v>
      </c>
      <c r="L520" s="1323">
        <f t="shared" si="74"/>
        <v>32114</v>
      </c>
      <c r="M520" s="1322"/>
      <c r="N520" s="1322"/>
    </row>
    <row r="521" spans="1:14" s="1302" customFormat="1" ht="16.5" customHeight="1">
      <c r="A521" s="1328" t="s">
        <v>1128</v>
      </c>
      <c r="B521" s="1327">
        <v>44870</v>
      </c>
      <c r="C521" s="1326">
        <v>309</v>
      </c>
      <c r="D521" s="1323">
        <f t="shared" si="70"/>
        <v>493114</v>
      </c>
      <c r="E521" s="1325">
        <v>493282</v>
      </c>
      <c r="F521" s="1322">
        <f t="shared" si="75"/>
        <v>168</v>
      </c>
      <c r="G521" s="1322">
        <f t="shared" si="72"/>
        <v>32130</v>
      </c>
      <c r="H521" s="1322">
        <f t="shared" si="76"/>
        <v>103.98058252427184</v>
      </c>
      <c r="I521" s="1322">
        <f t="shared" si="77"/>
        <v>37952.912621359224</v>
      </c>
      <c r="J521" s="1324">
        <f t="shared" ca="1" si="71"/>
        <v>7.429533282325937</v>
      </c>
      <c r="K521" s="1324">
        <f t="shared" si="73"/>
        <v>0.7590582524271845</v>
      </c>
      <c r="L521" s="1323">
        <f t="shared" si="74"/>
        <v>32282</v>
      </c>
      <c r="M521" s="1322"/>
      <c r="N521" s="1322"/>
    </row>
    <row r="522" spans="1:14" s="1302" customFormat="1" ht="16.5" customHeight="1">
      <c r="A522" s="1328" t="s">
        <v>1139</v>
      </c>
      <c r="B522" s="1327">
        <v>44871</v>
      </c>
      <c r="C522" s="1326">
        <v>310</v>
      </c>
      <c r="D522" s="1323">
        <f t="shared" si="70"/>
        <v>493282</v>
      </c>
      <c r="E522" s="1325">
        <v>493328</v>
      </c>
      <c r="F522" s="1322">
        <f t="shared" si="75"/>
        <v>46</v>
      </c>
      <c r="G522" s="1322">
        <f t="shared" si="72"/>
        <v>32176</v>
      </c>
      <c r="H522" s="1322">
        <f t="shared" si="76"/>
        <v>103.79354838709678</v>
      </c>
      <c r="I522" s="1322">
        <f t="shared" si="77"/>
        <v>37884.645161290326</v>
      </c>
      <c r="J522" s="1324">
        <f t="shared" ca="1" si="71"/>
        <v>2.0342769701606733</v>
      </c>
      <c r="K522" s="1324">
        <f t="shared" si="73"/>
        <v>0.75769290322580651</v>
      </c>
      <c r="L522" s="1323">
        <f t="shared" si="74"/>
        <v>32328</v>
      </c>
      <c r="M522" s="1322"/>
      <c r="N522" s="1322"/>
    </row>
    <row r="523" spans="1:14" s="1302" customFormat="1" ht="16.5" customHeight="1">
      <c r="A523" s="1328" t="s">
        <v>1138</v>
      </c>
      <c r="B523" s="1327">
        <v>44872</v>
      </c>
      <c r="C523" s="1326">
        <v>311</v>
      </c>
      <c r="D523" s="1323">
        <f t="shared" si="70"/>
        <v>493328</v>
      </c>
      <c r="E523" s="1325">
        <v>493374</v>
      </c>
      <c r="F523" s="1322">
        <v>46</v>
      </c>
      <c r="G523" s="1322">
        <f t="shared" si="72"/>
        <v>32222</v>
      </c>
      <c r="H523" s="1322">
        <f t="shared" si="76"/>
        <v>103.60771704180064</v>
      </c>
      <c r="I523" s="1322">
        <f t="shared" si="77"/>
        <v>37816.816720257237</v>
      </c>
      <c r="J523" s="1324">
        <f t="shared" ca="1" si="71"/>
        <v>2.0342769701606733</v>
      </c>
      <c r="K523" s="1324">
        <f t="shared" si="73"/>
        <v>0.75633633440514469</v>
      </c>
      <c r="L523" s="1323">
        <f t="shared" si="74"/>
        <v>32374</v>
      </c>
      <c r="M523" s="1322"/>
      <c r="N523" s="1322"/>
    </row>
    <row r="524" spans="1:14" s="1302" customFormat="1" ht="16.5" customHeight="1">
      <c r="A524" s="1328" t="s">
        <v>1137</v>
      </c>
      <c r="B524" s="1327">
        <v>44873</v>
      </c>
      <c r="C524" s="1326">
        <v>312</v>
      </c>
      <c r="D524" s="1323">
        <f t="shared" si="70"/>
        <v>493374</v>
      </c>
      <c r="E524" s="1325">
        <v>493431</v>
      </c>
      <c r="F524" s="1322">
        <v>57</v>
      </c>
      <c r="G524" s="1322">
        <f t="shared" si="72"/>
        <v>32279</v>
      </c>
      <c r="H524" s="1322">
        <f t="shared" si="76"/>
        <v>103.45833333333333</v>
      </c>
      <c r="I524" s="1322">
        <f t="shared" si="77"/>
        <v>37762.291666666664</v>
      </c>
      <c r="J524" s="1324">
        <f t="shared" ca="1" si="71"/>
        <v>2.5207345065034428</v>
      </c>
      <c r="K524" s="1324">
        <f t="shared" si="73"/>
        <v>0.75524583333333328</v>
      </c>
      <c r="L524" s="1323">
        <f t="shared" si="74"/>
        <v>32431</v>
      </c>
      <c r="M524" s="1322"/>
      <c r="N524" s="1322"/>
    </row>
    <row r="525" spans="1:14" s="1302" customFormat="1" ht="16.5" customHeight="1">
      <c r="A525" s="1328" t="s">
        <v>1131</v>
      </c>
      <c r="B525" s="1327">
        <v>44874</v>
      </c>
      <c r="C525" s="1326">
        <v>313</v>
      </c>
      <c r="D525" s="1323">
        <f t="shared" si="70"/>
        <v>493431</v>
      </c>
      <c r="E525" s="1325">
        <v>493525</v>
      </c>
      <c r="F525" s="1322">
        <v>94</v>
      </c>
      <c r="G525" s="1322">
        <f t="shared" si="72"/>
        <v>32373</v>
      </c>
      <c r="H525" s="1322">
        <f t="shared" si="76"/>
        <v>103.42811501597444</v>
      </c>
      <c r="I525" s="1322">
        <f t="shared" si="77"/>
        <v>37751.26198083067</v>
      </c>
      <c r="J525" s="1324">
        <f t="shared" ca="1" si="71"/>
        <v>4.1570007651109409</v>
      </c>
      <c r="K525" s="1324">
        <f t="shared" si="73"/>
        <v>0.75502523961661339</v>
      </c>
      <c r="L525" s="1323">
        <f t="shared" si="74"/>
        <v>32525</v>
      </c>
      <c r="M525" s="1322"/>
      <c r="N525" s="1322"/>
    </row>
    <row r="526" spans="1:14" s="1302" customFormat="1" ht="16.5" customHeight="1">
      <c r="A526" s="1328" t="s">
        <v>1136</v>
      </c>
      <c r="B526" s="1327">
        <v>44875</v>
      </c>
      <c r="C526" s="1326">
        <v>314</v>
      </c>
      <c r="D526" s="1323">
        <f t="shared" si="70"/>
        <v>493525</v>
      </c>
      <c r="E526" s="1325">
        <v>493593</v>
      </c>
      <c r="F526" s="1322">
        <v>68</v>
      </c>
      <c r="G526" s="1322">
        <f t="shared" si="72"/>
        <v>32441</v>
      </c>
      <c r="H526" s="1322">
        <f t="shared" si="76"/>
        <v>103.31528662420382</v>
      </c>
      <c r="I526" s="1322">
        <f t="shared" si="77"/>
        <v>37710.079617834395</v>
      </c>
      <c r="J526" s="1324">
        <f t="shared" ca="1" si="71"/>
        <v>3.0071920428462127</v>
      </c>
      <c r="K526" s="1324">
        <f t="shared" si="73"/>
        <v>0.75420159235668793</v>
      </c>
      <c r="L526" s="1323">
        <f t="shared" si="74"/>
        <v>32593</v>
      </c>
      <c r="M526" s="1322"/>
      <c r="N526" s="1322"/>
    </row>
    <row r="527" spans="1:14" s="1302" customFormat="1" ht="16.5" customHeight="1">
      <c r="A527" s="1328" t="s">
        <v>1130</v>
      </c>
      <c r="B527" s="1327">
        <v>44876</v>
      </c>
      <c r="C527" s="1326">
        <v>315</v>
      </c>
      <c r="D527" s="1323">
        <f t="shared" si="70"/>
        <v>493593</v>
      </c>
      <c r="E527" s="1325">
        <v>493769</v>
      </c>
      <c r="F527" s="1322">
        <v>176</v>
      </c>
      <c r="G527" s="1322">
        <f t="shared" si="72"/>
        <v>32617</v>
      </c>
      <c r="H527" s="1322">
        <f t="shared" si="76"/>
        <v>103.54603174603174</v>
      </c>
      <c r="I527" s="1322">
        <f t="shared" si="77"/>
        <v>37794.30158730159</v>
      </c>
      <c r="J527" s="1324">
        <f t="shared" ca="1" si="71"/>
        <v>7.7833205814843147</v>
      </c>
      <c r="K527" s="1324">
        <f t="shared" si="73"/>
        <v>0.75588603174603175</v>
      </c>
      <c r="L527" s="1323">
        <f t="shared" si="74"/>
        <v>32769</v>
      </c>
      <c r="M527" s="1322" t="s">
        <v>238</v>
      </c>
      <c r="N527" s="1322"/>
    </row>
    <row r="528" spans="1:14" s="1302" customFormat="1" ht="16.5" customHeight="1">
      <c r="A528" s="1328" t="s">
        <v>1128</v>
      </c>
      <c r="B528" s="1327">
        <v>44877</v>
      </c>
      <c r="C528" s="1326">
        <v>316</v>
      </c>
      <c r="D528" s="1323">
        <f t="shared" ref="D528:D577" si="78">E527</f>
        <v>493769</v>
      </c>
      <c r="E528" s="1325">
        <v>493929</v>
      </c>
      <c r="F528" s="1322">
        <v>160</v>
      </c>
      <c r="G528" s="1322">
        <f t="shared" si="72"/>
        <v>32777</v>
      </c>
      <c r="H528" s="1322">
        <f t="shared" si="76"/>
        <v>103.7246835443038</v>
      </c>
      <c r="I528" s="1322">
        <f t="shared" si="77"/>
        <v>37859.509493670885</v>
      </c>
      <c r="J528" s="1324">
        <f t="shared" ca="1" si="71"/>
        <v>7.0757459831675593</v>
      </c>
      <c r="K528" s="1324">
        <f t="shared" si="73"/>
        <v>0.75719018987341769</v>
      </c>
      <c r="L528" s="1323">
        <f t="shared" si="74"/>
        <v>32929</v>
      </c>
      <c r="M528" s="1322" t="s">
        <v>238</v>
      </c>
      <c r="N528" s="1322"/>
    </row>
    <row r="529" spans="1:14" s="1302" customFormat="1" ht="16.5" customHeight="1">
      <c r="A529" s="1328" t="s">
        <v>1139</v>
      </c>
      <c r="B529" s="1327">
        <v>44878</v>
      </c>
      <c r="C529" s="1326">
        <v>317</v>
      </c>
      <c r="D529" s="1323">
        <f t="shared" si="78"/>
        <v>493929</v>
      </c>
      <c r="E529" s="1325">
        <v>493984</v>
      </c>
      <c r="F529" s="1322">
        <v>55</v>
      </c>
      <c r="G529" s="1322">
        <f t="shared" si="72"/>
        <v>32832</v>
      </c>
      <c r="H529" s="1322">
        <f t="shared" si="76"/>
        <v>103.57097791798107</v>
      </c>
      <c r="I529" s="1322">
        <f t="shared" si="77"/>
        <v>37803.406940063091</v>
      </c>
      <c r="J529" s="1324">
        <f t="shared" ca="1" si="71"/>
        <v>2.4322876817138486</v>
      </c>
      <c r="K529" s="1324">
        <f t="shared" si="73"/>
        <v>0.75606813880126178</v>
      </c>
      <c r="L529" s="1323">
        <f t="shared" si="74"/>
        <v>32984</v>
      </c>
      <c r="M529" s="1322"/>
      <c r="N529" s="1322"/>
    </row>
    <row r="530" spans="1:14" s="1302" customFormat="1" ht="16.5" customHeight="1">
      <c r="A530" s="1328" t="s">
        <v>1138</v>
      </c>
      <c r="B530" s="1327">
        <v>44879</v>
      </c>
      <c r="C530" s="1326">
        <v>318</v>
      </c>
      <c r="D530" s="1323">
        <f t="shared" si="78"/>
        <v>493984</v>
      </c>
      <c r="E530" s="1325">
        <v>494062</v>
      </c>
      <c r="F530" s="1322">
        <v>78</v>
      </c>
      <c r="G530" s="1322">
        <f t="shared" si="72"/>
        <v>32910</v>
      </c>
      <c r="H530" s="1322">
        <f t="shared" si="76"/>
        <v>103.49056603773585</v>
      </c>
      <c r="I530" s="1322">
        <f t="shared" si="77"/>
        <v>37774.056603773584</v>
      </c>
      <c r="J530" s="1324">
        <f t="shared" ca="1" si="71"/>
        <v>3.449426166794185</v>
      </c>
      <c r="K530" s="1324">
        <f t="shared" si="73"/>
        <v>0.75548113207547174</v>
      </c>
      <c r="L530" s="1323">
        <f t="shared" si="74"/>
        <v>33062</v>
      </c>
      <c r="M530" s="1322"/>
      <c r="N530" s="1322"/>
    </row>
    <row r="531" spans="1:14" s="1302" customFormat="1" ht="16.5" customHeight="1">
      <c r="A531" s="1328" t="s">
        <v>1137</v>
      </c>
      <c r="B531" s="1327">
        <v>44880</v>
      </c>
      <c r="C531" s="1326">
        <v>319</v>
      </c>
      <c r="D531" s="1323">
        <f t="shared" si="78"/>
        <v>494062</v>
      </c>
      <c r="E531" s="1325">
        <v>494106</v>
      </c>
      <c r="F531" s="1322">
        <v>44</v>
      </c>
      <c r="G531" s="1322">
        <f t="shared" si="72"/>
        <v>32954</v>
      </c>
      <c r="H531" s="1322">
        <f t="shared" si="76"/>
        <v>103.30407523510972</v>
      </c>
      <c r="I531" s="1322">
        <f t="shared" si="77"/>
        <v>37705.987460815049</v>
      </c>
      <c r="J531" s="1324">
        <f t="shared" ref="J531:J577" ca="1" si="79">F530:F531/$M$3</f>
        <v>1.9458301453710787</v>
      </c>
      <c r="K531" s="1324">
        <f t="shared" si="73"/>
        <v>0.75411974921630098</v>
      </c>
      <c r="L531" s="1323">
        <f t="shared" si="74"/>
        <v>33106</v>
      </c>
      <c r="M531" s="1322"/>
      <c r="N531" s="1322"/>
    </row>
    <row r="532" spans="1:14" s="1302" customFormat="1" ht="16.5" customHeight="1">
      <c r="A532" s="1328" t="s">
        <v>1131</v>
      </c>
      <c r="B532" s="1327">
        <v>44881</v>
      </c>
      <c r="C532" s="1326">
        <v>320</v>
      </c>
      <c r="D532" s="1323">
        <f t="shared" si="78"/>
        <v>494106</v>
      </c>
      <c r="E532" s="1325">
        <v>494151</v>
      </c>
      <c r="F532" s="1322">
        <v>45</v>
      </c>
      <c r="G532" s="1322">
        <f t="shared" si="72"/>
        <v>32999</v>
      </c>
      <c r="H532" s="1322">
        <f t="shared" si="76"/>
        <v>103.121875</v>
      </c>
      <c r="I532" s="1322">
        <f t="shared" si="77"/>
        <v>37639.484375</v>
      </c>
      <c r="J532" s="1324">
        <f t="shared" ca="1" si="79"/>
        <v>1.990053557765876</v>
      </c>
      <c r="K532" s="1324">
        <f t="shared" si="73"/>
        <v>0.75278968749999997</v>
      </c>
      <c r="L532" s="1323">
        <f t="shared" si="74"/>
        <v>33151</v>
      </c>
      <c r="M532" s="1322"/>
      <c r="N532" s="1322"/>
    </row>
    <row r="533" spans="1:14" s="1302" customFormat="1" ht="16.5" customHeight="1">
      <c r="A533" s="1328" t="s">
        <v>1136</v>
      </c>
      <c r="B533" s="1327">
        <v>44882</v>
      </c>
      <c r="C533" s="1326">
        <v>321</v>
      </c>
      <c r="D533" s="1323">
        <f t="shared" si="78"/>
        <v>494151</v>
      </c>
      <c r="E533" s="1325">
        <v>494233</v>
      </c>
      <c r="F533" s="1322">
        <v>82</v>
      </c>
      <c r="G533" s="1322">
        <f t="shared" ref="G533:G577" si="80">E533-$E$212</f>
        <v>33081</v>
      </c>
      <c r="H533" s="1322">
        <f t="shared" si="76"/>
        <v>103.05607476635514</v>
      </c>
      <c r="I533" s="1322">
        <f t="shared" si="77"/>
        <v>37615.467289719629</v>
      </c>
      <c r="J533" s="1324">
        <f t="shared" ca="1" si="79"/>
        <v>3.6263198163733739</v>
      </c>
      <c r="K533" s="1324">
        <f t="shared" ref="K533:K577" si="81">I533/50000</f>
        <v>0.75230934579439257</v>
      </c>
      <c r="L533" s="1323">
        <f t="shared" ref="L533:L577" si="82">E533-461000</f>
        <v>33233</v>
      </c>
      <c r="M533" s="1322"/>
      <c r="N533" s="1322"/>
    </row>
    <row r="534" spans="1:14" s="1302" customFormat="1" ht="16.5" customHeight="1">
      <c r="A534" s="1328" t="s">
        <v>1130</v>
      </c>
      <c r="B534" s="1327">
        <v>44883</v>
      </c>
      <c r="C534" s="1326">
        <v>322</v>
      </c>
      <c r="D534" s="1323">
        <f t="shared" si="78"/>
        <v>494233</v>
      </c>
      <c r="E534" s="1325">
        <v>494315</v>
      </c>
      <c r="F534" s="1322">
        <v>82</v>
      </c>
      <c r="G534" s="1322">
        <f t="shared" si="80"/>
        <v>33163</v>
      </c>
      <c r="H534" s="1322">
        <f t="shared" si="76"/>
        <v>102.99068322981367</v>
      </c>
      <c r="I534" s="1322">
        <f t="shared" si="77"/>
        <v>37591.599378881991</v>
      </c>
      <c r="J534" s="1324">
        <f t="shared" ca="1" si="79"/>
        <v>3.6263198163733739</v>
      </c>
      <c r="K534" s="1324">
        <f t="shared" si="81"/>
        <v>0.7518319875776398</v>
      </c>
      <c r="L534" s="1323">
        <f t="shared" si="82"/>
        <v>33315</v>
      </c>
      <c r="M534" s="1322"/>
      <c r="N534" s="1322"/>
    </row>
    <row r="535" spans="1:14" s="1302" customFormat="1" ht="16.5" customHeight="1">
      <c r="A535" s="1328" t="s">
        <v>1128</v>
      </c>
      <c r="B535" s="1327">
        <v>44884</v>
      </c>
      <c r="C535" s="1326">
        <v>323</v>
      </c>
      <c r="D535" s="1323">
        <f t="shared" si="78"/>
        <v>494315</v>
      </c>
      <c r="E535" s="1325">
        <v>494412</v>
      </c>
      <c r="F535" s="1322">
        <v>97</v>
      </c>
      <c r="G535" s="1322">
        <f t="shared" si="80"/>
        <v>33260</v>
      </c>
      <c r="H535" s="1322">
        <f t="shared" si="76"/>
        <v>102.97213622291022</v>
      </c>
      <c r="I535" s="1322">
        <f t="shared" si="77"/>
        <v>37584.829721362228</v>
      </c>
      <c r="J535" s="1324">
        <f t="shared" ca="1" si="79"/>
        <v>4.2896710022953322</v>
      </c>
      <c r="K535" s="1324">
        <f t="shared" si="81"/>
        <v>0.75169659442724457</v>
      </c>
      <c r="L535" s="1323">
        <f t="shared" si="82"/>
        <v>33412</v>
      </c>
      <c r="M535" s="1322"/>
      <c r="N535" s="1322"/>
    </row>
    <row r="536" spans="1:14" s="1302" customFormat="1" ht="16.5" customHeight="1">
      <c r="A536" s="1328" t="s">
        <v>1139</v>
      </c>
      <c r="B536" s="1327">
        <v>44885</v>
      </c>
      <c r="C536" s="1326">
        <v>324</v>
      </c>
      <c r="D536" s="1323">
        <f t="shared" si="78"/>
        <v>494412</v>
      </c>
      <c r="E536" s="1325">
        <v>494509</v>
      </c>
      <c r="F536" s="1322">
        <v>97</v>
      </c>
      <c r="G536" s="1322">
        <f t="shared" si="80"/>
        <v>33357</v>
      </c>
      <c r="H536" s="1322">
        <f t="shared" si="76"/>
        <v>102.95370370370371</v>
      </c>
      <c r="I536" s="1322">
        <f t="shared" si="77"/>
        <v>37578.101851851854</v>
      </c>
      <c r="J536" s="1324">
        <f t="shared" ca="1" si="79"/>
        <v>4.2896710022953322</v>
      </c>
      <c r="K536" s="1324">
        <f t="shared" si="81"/>
        <v>0.75156203703703706</v>
      </c>
      <c r="L536" s="1323">
        <f t="shared" si="82"/>
        <v>33509</v>
      </c>
      <c r="M536" s="1322"/>
      <c r="N536" s="1322"/>
    </row>
    <row r="537" spans="1:14" s="1302" customFormat="1" ht="16.5" customHeight="1">
      <c r="A537" s="1328" t="s">
        <v>1138</v>
      </c>
      <c r="B537" s="1327">
        <v>44886</v>
      </c>
      <c r="C537" s="1326">
        <v>325</v>
      </c>
      <c r="D537" s="1323">
        <f t="shared" si="78"/>
        <v>494509</v>
      </c>
      <c r="E537" s="1325">
        <v>494606</v>
      </c>
      <c r="F537" s="1322">
        <v>97</v>
      </c>
      <c r="G537" s="1322">
        <f t="shared" si="80"/>
        <v>33454</v>
      </c>
      <c r="H537" s="1322">
        <f t="shared" si="76"/>
        <v>102.93538461538462</v>
      </c>
      <c r="I537" s="1322">
        <f t="shared" si="77"/>
        <v>37571.415384615386</v>
      </c>
      <c r="J537" s="1324">
        <f t="shared" ca="1" si="79"/>
        <v>4.2896710022953322</v>
      </c>
      <c r="K537" s="1324">
        <f t="shared" si="81"/>
        <v>0.75142830769230773</v>
      </c>
      <c r="L537" s="1323">
        <f t="shared" si="82"/>
        <v>33606</v>
      </c>
      <c r="M537" s="1322"/>
      <c r="N537" s="1322"/>
    </row>
    <row r="538" spans="1:14" s="1302" customFormat="1" ht="16.5" customHeight="1">
      <c r="A538" s="1328" t="s">
        <v>1137</v>
      </c>
      <c r="B538" s="1327">
        <v>44887</v>
      </c>
      <c r="C538" s="1326">
        <v>326</v>
      </c>
      <c r="D538" s="1323">
        <f t="shared" si="78"/>
        <v>494606</v>
      </c>
      <c r="E538" s="1325">
        <v>494678</v>
      </c>
      <c r="F538" s="1322">
        <v>72</v>
      </c>
      <c r="G538" s="1322">
        <f t="shared" si="80"/>
        <v>33526</v>
      </c>
      <c r="H538" s="1322">
        <f t="shared" si="76"/>
        <v>102.84049079754601</v>
      </c>
      <c r="I538" s="1322">
        <f t="shared" si="77"/>
        <v>37536.779141104293</v>
      </c>
      <c r="J538" s="1324">
        <f t="shared" ca="1" si="79"/>
        <v>3.1840856924254015</v>
      </c>
      <c r="K538" s="1324">
        <f t="shared" si="81"/>
        <v>0.75073558282208586</v>
      </c>
      <c r="L538" s="1323">
        <f t="shared" si="82"/>
        <v>33678</v>
      </c>
      <c r="M538" s="1322"/>
      <c r="N538" s="1322"/>
    </row>
    <row r="539" spans="1:14" s="1302" customFormat="1" ht="16.5" customHeight="1">
      <c r="A539" s="1328" t="s">
        <v>1131</v>
      </c>
      <c r="B539" s="1327">
        <v>44888</v>
      </c>
      <c r="C539" s="1326">
        <v>327</v>
      </c>
      <c r="D539" s="1323">
        <f t="shared" si="78"/>
        <v>494678</v>
      </c>
      <c r="E539" s="1325">
        <v>494750</v>
      </c>
      <c r="F539" s="1322">
        <v>72</v>
      </c>
      <c r="G539" s="1322">
        <f t="shared" si="80"/>
        <v>33598</v>
      </c>
      <c r="H539" s="1322">
        <f t="shared" si="76"/>
        <v>102.74617737003058</v>
      </c>
      <c r="I539" s="1322">
        <f t="shared" si="77"/>
        <v>37502.354740061164</v>
      </c>
      <c r="J539" s="1324">
        <f t="shared" ca="1" si="79"/>
        <v>3.1840856924254015</v>
      </c>
      <c r="K539" s="1324">
        <f t="shared" si="81"/>
        <v>0.75004709480122334</v>
      </c>
      <c r="L539" s="1323">
        <f t="shared" si="82"/>
        <v>33750</v>
      </c>
      <c r="M539" s="1322"/>
      <c r="N539" s="1322"/>
    </row>
    <row r="540" spans="1:14" s="1302" customFormat="1" ht="16.5" customHeight="1">
      <c r="A540" s="1328" t="s">
        <v>1136</v>
      </c>
      <c r="B540" s="1327">
        <v>44889</v>
      </c>
      <c r="C540" s="1326">
        <v>328</v>
      </c>
      <c r="D540" s="1323">
        <f t="shared" si="78"/>
        <v>494750</v>
      </c>
      <c r="E540" s="1325">
        <v>494828</v>
      </c>
      <c r="F540" s="1322">
        <v>78</v>
      </c>
      <c r="G540" s="1322">
        <f t="shared" si="80"/>
        <v>33676</v>
      </c>
      <c r="H540" s="1322">
        <f t="shared" si="76"/>
        <v>102.67073170731707</v>
      </c>
      <c r="I540" s="1322">
        <f t="shared" si="77"/>
        <v>37474.817073170729</v>
      </c>
      <c r="J540" s="1324">
        <f t="shared" ca="1" si="79"/>
        <v>3.449426166794185</v>
      </c>
      <c r="K540" s="1324">
        <f t="shared" si="81"/>
        <v>0.74949634146341459</v>
      </c>
      <c r="L540" s="1323">
        <f t="shared" si="82"/>
        <v>33828</v>
      </c>
      <c r="M540" s="1322"/>
      <c r="N540" s="1322"/>
    </row>
    <row r="541" spans="1:14" s="1302" customFormat="1" ht="16.5" customHeight="1">
      <c r="A541" s="1328" t="s">
        <v>1130</v>
      </c>
      <c r="B541" s="1327">
        <v>44890</v>
      </c>
      <c r="C541" s="1326">
        <v>329</v>
      </c>
      <c r="D541" s="1323">
        <f t="shared" si="78"/>
        <v>494828</v>
      </c>
      <c r="E541" s="1325">
        <v>494906</v>
      </c>
      <c r="F541" s="1322">
        <v>78</v>
      </c>
      <c r="G541" s="1322">
        <f t="shared" si="80"/>
        <v>33754</v>
      </c>
      <c r="H541" s="1322">
        <f t="shared" si="76"/>
        <v>102.59574468085107</v>
      </c>
      <c r="I541" s="1322">
        <f t="shared" si="77"/>
        <v>37447.446808510642</v>
      </c>
      <c r="J541" s="1324">
        <f t="shared" ca="1" si="79"/>
        <v>3.449426166794185</v>
      </c>
      <c r="K541" s="1324">
        <f t="shared" si="81"/>
        <v>0.74894893617021285</v>
      </c>
      <c r="L541" s="1323">
        <f t="shared" si="82"/>
        <v>33906</v>
      </c>
      <c r="M541" s="1322"/>
      <c r="N541" s="1322"/>
    </row>
    <row r="542" spans="1:14" s="1302" customFormat="1" ht="16.5" customHeight="1">
      <c r="A542" s="1328" t="s">
        <v>1128</v>
      </c>
      <c r="B542" s="1327">
        <v>44891</v>
      </c>
      <c r="C542" s="1326">
        <v>330</v>
      </c>
      <c r="D542" s="1323">
        <f t="shared" si="78"/>
        <v>494906</v>
      </c>
      <c r="E542" s="1325">
        <v>494986</v>
      </c>
      <c r="F542" s="1322">
        <v>80</v>
      </c>
      <c r="G542" s="1322">
        <f t="shared" si="80"/>
        <v>33834</v>
      </c>
      <c r="H542" s="1322">
        <f t="shared" si="76"/>
        <v>102.52727272727273</v>
      </c>
      <c r="I542" s="1322">
        <f t="shared" si="77"/>
        <v>37422.454545454544</v>
      </c>
      <c r="J542" s="1324">
        <f t="shared" ca="1" si="79"/>
        <v>3.5378729915837797</v>
      </c>
      <c r="K542" s="1324">
        <f t="shared" si="81"/>
        <v>0.74844909090909084</v>
      </c>
      <c r="L542" s="1323">
        <f t="shared" si="82"/>
        <v>33986</v>
      </c>
      <c r="M542" s="1322"/>
      <c r="N542" s="1322"/>
    </row>
    <row r="543" spans="1:14" s="1302" customFormat="1" ht="16.5" customHeight="1">
      <c r="A543" s="1328" t="s">
        <v>1139</v>
      </c>
      <c r="B543" s="1327">
        <v>44892</v>
      </c>
      <c r="C543" s="1326">
        <v>331</v>
      </c>
      <c r="D543" s="1323">
        <f t="shared" si="78"/>
        <v>494986</v>
      </c>
      <c r="E543" s="1325">
        <v>495067</v>
      </c>
      <c r="F543" s="1322">
        <v>81</v>
      </c>
      <c r="G543" s="1322">
        <f t="shared" si="80"/>
        <v>33915</v>
      </c>
      <c r="H543" s="1322">
        <f t="shared" si="76"/>
        <v>102.46223564954683</v>
      </c>
      <c r="I543" s="1322">
        <f t="shared" si="77"/>
        <v>37398.716012084595</v>
      </c>
      <c r="J543" s="1324">
        <f t="shared" ca="1" si="79"/>
        <v>3.5820964039785768</v>
      </c>
      <c r="K543" s="1324">
        <f t="shared" si="81"/>
        <v>0.74797432024169186</v>
      </c>
      <c r="L543" s="1323">
        <f t="shared" si="82"/>
        <v>34067</v>
      </c>
      <c r="M543" s="1322"/>
      <c r="N543" s="1322"/>
    </row>
    <row r="544" spans="1:14" s="1302" customFormat="1" ht="16.5" customHeight="1">
      <c r="A544" s="1328" t="s">
        <v>1138</v>
      </c>
      <c r="B544" s="1327">
        <v>44893</v>
      </c>
      <c r="C544" s="1326">
        <v>332</v>
      </c>
      <c r="D544" s="1323">
        <f t="shared" si="78"/>
        <v>495067</v>
      </c>
      <c r="E544" s="1325">
        <v>495118</v>
      </c>
      <c r="F544" s="1322">
        <v>51</v>
      </c>
      <c r="G544" s="1322">
        <f t="shared" si="80"/>
        <v>33966</v>
      </c>
      <c r="H544" s="1322">
        <f t="shared" si="76"/>
        <v>102.30722891566265</v>
      </c>
      <c r="I544" s="1322">
        <f t="shared" si="77"/>
        <v>37342.138554216865</v>
      </c>
      <c r="J544" s="1324">
        <f t="shared" ca="1" si="79"/>
        <v>2.2553940321346593</v>
      </c>
      <c r="K544" s="1324">
        <f t="shared" si="81"/>
        <v>0.74684277108433728</v>
      </c>
      <c r="L544" s="1323">
        <f t="shared" si="82"/>
        <v>34118</v>
      </c>
      <c r="M544" s="1322"/>
      <c r="N544" s="1322"/>
    </row>
    <row r="545" spans="1:14" s="1302" customFormat="1" ht="16.5" customHeight="1">
      <c r="A545" s="1328" t="s">
        <v>1137</v>
      </c>
      <c r="B545" s="1327">
        <v>44894</v>
      </c>
      <c r="C545" s="1326">
        <v>333</v>
      </c>
      <c r="D545" s="1323">
        <f t="shared" si="78"/>
        <v>495118</v>
      </c>
      <c r="E545" s="1325">
        <v>495264</v>
      </c>
      <c r="F545" s="1322">
        <v>146</v>
      </c>
      <c r="G545" s="1322">
        <f t="shared" si="80"/>
        <v>34112</v>
      </c>
      <c r="H545" s="1322">
        <f t="shared" si="76"/>
        <v>102.43843843843844</v>
      </c>
      <c r="I545" s="1322">
        <f t="shared" si="77"/>
        <v>37390.03003003003</v>
      </c>
      <c r="J545" s="1324">
        <f t="shared" ca="1" si="79"/>
        <v>6.4566182096403972</v>
      </c>
      <c r="K545" s="1324">
        <f t="shared" si="81"/>
        <v>0.74780060060060061</v>
      </c>
      <c r="L545" s="1323">
        <f t="shared" si="82"/>
        <v>34264</v>
      </c>
      <c r="M545" s="1322" t="s">
        <v>238</v>
      </c>
      <c r="N545" s="1322"/>
    </row>
    <row r="546" spans="1:14" s="1302" customFormat="1" ht="16.5" customHeight="1">
      <c r="A546" s="1328" t="s">
        <v>1131</v>
      </c>
      <c r="B546" s="1327">
        <v>44895</v>
      </c>
      <c r="C546" s="1326">
        <v>334</v>
      </c>
      <c r="D546" s="1323">
        <f t="shared" si="78"/>
        <v>495264</v>
      </c>
      <c r="E546" s="1325">
        <v>495507</v>
      </c>
      <c r="F546" s="1322">
        <v>243</v>
      </c>
      <c r="G546" s="1322">
        <f t="shared" si="80"/>
        <v>34355</v>
      </c>
      <c r="H546" s="1322">
        <f t="shared" si="76"/>
        <v>102.85928143712574</v>
      </c>
      <c r="I546" s="1322">
        <f t="shared" si="77"/>
        <v>37543.637724550899</v>
      </c>
      <c r="J546" s="1324">
        <f t="shared" ca="1" si="79"/>
        <v>10.74628921193573</v>
      </c>
      <c r="K546" s="1324">
        <f t="shared" si="81"/>
        <v>0.75087275449101798</v>
      </c>
      <c r="L546" s="1323">
        <f t="shared" si="82"/>
        <v>34507</v>
      </c>
      <c r="M546" s="1322"/>
      <c r="N546" s="1322"/>
    </row>
    <row r="547" spans="1:14" s="1302" customFormat="1" ht="16.5" customHeight="1">
      <c r="A547" s="1328" t="s">
        <v>1136</v>
      </c>
      <c r="B547" s="1327">
        <v>44896</v>
      </c>
      <c r="C547" s="1326">
        <v>335</v>
      </c>
      <c r="D547" s="1323">
        <f t="shared" si="78"/>
        <v>495507</v>
      </c>
      <c r="E547" s="1325">
        <v>495582</v>
      </c>
      <c r="F547" s="1322">
        <v>75</v>
      </c>
      <c r="G547" s="1322">
        <f t="shared" si="80"/>
        <v>34430</v>
      </c>
      <c r="H547" s="1322">
        <f t="shared" si="76"/>
        <v>102.77611940298507</v>
      </c>
      <c r="I547" s="1322">
        <f t="shared" si="77"/>
        <v>37513.283582089549</v>
      </c>
      <c r="J547" s="1324">
        <f t="shared" ca="1" si="79"/>
        <v>3.3167559296097933</v>
      </c>
      <c r="K547" s="1324">
        <f t="shared" si="81"/>
        <v>0.75026567164179103</v>
      </c>
      <c r="L547" s="1323">
        <f t="shared" si="82"/>
        <v>34582</v>
      </c>
      <c r="M547" s="1322"/>
      <c r="N547" s="1322"/>
    </row>
    <row r="548" spans="1:14" s="1302" customFormat="1" ht="16.5" customHeight="1">
      <c r="A548" s="1328" t="s">
        <v>1130</v>
      </c>
      <c r="B548" s="1327">
        <v>44897</v>
      </c>
      <c r="C548" s="1326">
        <v>336</v>
      </c>
      <c r="D548" s="1323">
        <f t="shared" si="78"/>
        <v>495582</v>
      </c>
      <c r="E548" s="1325">
        <v>495750</v>
      </c>
      <c r="F548" s="1322">
        <v>168</v>
      </c>
      <c r="G548" s="1322">
        <f t="shared" si="80"/>
        <v>34598</v>
      </c>
      <c r="H548" s="1322">
        <f t="shared" si="76"/>
        <v>102.9702380952381</v>
      </c>
      <c r="I548" s="1322">
        <f t="shared" si="77"/>
        <v>37584.136904761908</v>
      </c>
      <c r="J548" s="1324">
        <f t="shared" ca="1" si="79"/>
        <v>7.429533282325937</v>
      </c>
      <c r="K548" s="1324">
        <f t="shared" si="81"/>
        <v>0.75168273809523811</v>
      </c>
      <c r="L548" s="1323">
        <f t="shared" si="82"/>
        <v>34750</v>
      </c>
      <c r="M548" s="1322"/>
      <c r="N548" s="1322"/>
    </row>
    <row r="549" spans="1:14" s="1302" customFormat="1" ht="16.5" customHeight="1">
      <c r="A549" s="1328" t="s">
        <v>1128</v>
      </c>
      <c r="B549" s="1327">
        <v>44898</v>
      </c>
      <c r="C549" s="1326">
        <v>337</v>
      </c>
      <c r="D549" s="1323">
        <f t="shared" si="78"/>
        <v>495750</v>
      </c>
      <c r="E549" s="1325">
        <v>495774</v>
      </c>
      <c r="F549" s="1322">
        <v>24</v>
      </c>
      <c r="G549" s="1322">
        <f t="shared" si="80"/>
        <v>34622</v>
      </c>
      <c r="H549" s="1322">
        <f t="shared" si="76"/>
        <v>102.73590504451039</v>
      </c>
      <c r="I549" s="1322">
        <f t="shared" si="77"/>
        <v>37498.605341246293</v>
      </c>
      <c r="J549" s="1324">
        <f t="shared" ca="1" si="79"/>
        <v>1.0613618974751338</v>
      </c>
      <c r="K549" s="1324">
        <f t="shared" si="81"/>
        <v>0.74997210682492588</v>
      </c>
      <c r="L549" s="1323">
        <f t="shared" si="82"/>
        <v>34774</v>
      </c>
      <c r="M549" s="1322"/>
      <c r="N549" s="1322"/>
    </row>
    <row r="550" spans="1:14" s="1302" customFormat="1" ht="16.5" customHeight="1">
      <c r="A550" s="1328" t="s">
        <v>1139</v>
      </c>
      <c r="B550" s="1327">
        <v>44899</v>
      </c>
      <c r="C550" s="1326">
        <v>338</v>
      </c>
      <c r="D550" s="1323">
        <f t="shared" si="78"/>
        <v>495774</v>
      </c>
      <c r="E550" s="1325">
        <v>495798</v>
      </c>
      <c r="F550" s="1322">
        <v>24</v>
      </c>
      <c r="G550" s="1322">
        <f t="shared" si="80"/>
        <v>34646</v>
      </c>
      <c r="H550" s="1322">
        <f t="shared" si="76"/>
        <v>102.50295857988165</v>
      </c>
      <c r="I550" s="1322">
        <f t="shared" si="77"/>
        <v>37413.579881656806</v>
      </c>
      <c r="J550" s="1324">
        <f t="shared" ca="1" si="79"/>
        <v>1.0613618974751338</v>
      </c>
      <c r="K550" s="1324">
        <f t="shared" si="81"/>
        <v>0.74827159763313611</v>
      </c>
      <c r="L550" s="1323">
        <f t="shared" si="82"/>
        <v>34798</v>
      </c>
      <c r="M550" s="1322"/>
      <c r="N550" s="1322"/>
    </row>
    <row r="551" spans="1:14" s="1302" customFormat="1" ht="16.5" customHeight="1">
      <c r="A551" s="1328" t="s">
        <v>1138</v>
      </c>
      <c r="B551" s="1327">
        <v>44900</v>
      </c>
      <c r="C551" s="1326">
        <v>339</v>
      </c>
      <c r="D551" s="1323">
        <f t="shared" si="78"/>
        <v>495798</v>
      </c>
      <c r="E551" s="1325">
        <v>495823</v>
      </c>
      <c r="F551" s="1322">
        <v>25</v>
      </c>
      <c r="G551" s="1322">
        <f t="shared" si="80"/>
        <v>34671</v>
      </c>
      <c r="H551" s="1322">
        <f t="shared" si="76"/>
        <v>102.27433628318585</v>
      </c>
      <c r="I551" s="1322">
        <f t="shared" si="77"/>
        <v>37330.132743362832</v>
      </c>
      <c r="J551" s="1324">
        <f t="shared" ca="1" si="79"/>
        <v>1.1055853098699311</v>
      </c>
      <c r="K551" s="1324">
        <f t="shared" si="81"/>
        <v>0.74660265486725663</v>
      </c>
      <c r="L551" s="1323">
        <f t="shared" si="82"/>
        <v>34823</v>
      </c>
      <c r="M551" s="1322"/>
      <c r="N551" s="1322"/>
    </row>
    <row r="552" spans="1:14" s="1302" customFormat="1" ht="16.5" customHeight="1">
      <c r="A552" s="1328" t="s">
        <v>1137</v>
      </c>
      <c r="B552" s="1327">
        <v>44901</v>
      </c>
      <c r="C552" s="1326">
        <v>340</v>
      </c>
      <c r="D552" s="1323">
        <f t="shared" si="78"/>
        <v>495823</v>
      </c>
      <c r="E552" s="1325">
        <v>495942</v>
      </c>
      <c r="F552" s="1322">
        <v>119</v>
      </c>
      <c r="G552" s="1322">
        <f t="shared" si="80"/>
        <v>34790</v>
      </c>
      <c r="H552" s="1322">
        <f t="shared" si="76"/>
        <v>102.32352941176471</v>
      </c>
      <c r="I552" s="1322">
        <f t="shared" si="77"/>
        <v>37348.088235294119</v>
      </c>
      <c r="J552" s="1324">
        <f t="shared" ca="1" si="79"/>
        <v>5.2625860749808719</v>
      </c>
      <c r="K552" s="1324">
        <f t="shared" si="81"/>
        <v>0.74696176470588238</v>
      </c>
      <c r="L552" s="1323">
        <f t="shared" si="82"/>
        <v>34942</v>
      </c>
      <c r="M552" s="1322"/>
      <c r="N552" s="1322"/>
    </row>
    <row r="553" spans="1:14" s="1302" customFormat="1" ht="16.5" customHeight="1">
      <c r="A553" s="1328" t="s">
        <v>1131</v>
      </c>
      <c r="B553" s="1327">
        <v>44902</v>
      </c>
      <c r="C553" s="1326">
        <v>341</v>
      </c>
      <c r="D553" s="1323">
        <f t="shared" si="78"/>
        <v>495942</v>
      </c>
      <c r="E553" s="1325">
        <v>496061</v>
      </c>
      <c r="F553" s="1322">
        <v>119</v>
      </c>
      <c r="G553" s="1322">
        <f t="shared" si="80"/>
        <v>34909</v>
      </c>
      <c r="H553" s="1322">
        <f t="shared" si="76"/>
        <v>102.37243401759531</v>
      </c>
      <c r="I553" s="1322">
        <f t="shared" si="77"/>
        <v>37365.938416422287</v>
      </c>
      <c r="J553" s="1324">
        <f t="shared" ca="1" si="79"/>
        <v>5.2625860749808719</v>
      </c>
      <c r="K553" s="1324">
        <f t="shared" si="81"/>
        <v>0.74731876832844568</v>
      </c>
      <c r="L553" s="1323">
        <f t="shared" si="82"/>
        <v>35061</v>
      </c>
      <c r="M553" s="1322"/>
      <c r="N553" s="1322"/>
    </row>
    <row r="554" spans="1:14" s="1302" customFormat="1" ht="16.5" customHeight="1">
      <c r="A554" s="1328" t="s">
        <v>1136</v>
      </c>
      <c r="B554" s="1327">
        <v>44903</v>
      </c>
      <c r="C554" s="1326">
        <v>342</v>
      </c>
      <c r="D554" s="1323">
        <f t="shared" si="78"/>
        <v>496061</v>
      </c>
      <c r="E554" s="1325">
        <v>496189</v>
      </c>
      <c r="F554" s="1322">
        <v>128</v>
      </c>
      <c r="G554" s="1322">
        <f t="shared" si="80"/>
        <v>35037</v>
      </c>
      <c r="H554" s="1322">
        <f t="shared" si="76"/>
        <v>102.44736842105263</v>
      </c>
      <c r="I554" s="1322">
        <f t="shared" si="77"/>
        <v>37393.289473684214</v>
      </c>
      <c r="J554" s="1324">
        <f t="shared" ca="1" si="79"/>
        <v>5.6605967865340467</v>
      </c>
      <c r="K554" s="1324">
        <f t="shared" si="81"/>
        <v>0.74786578947368432</v>
      </c>
      <c r="L554" s="1323">
        <f t="shared" si="82"/>
        <v>35189</v>
      </c>
      <c r="M554" s="1322"/>
      <c r="N554" s="1322"/>
    </row>
    <row r="555" spans="1:14" s="1302" customFormat="1" ht="16.5" customHeight="1">
      <c r="A555" s="1328" t="s">
        <v>1130</v>
      </c>
      <c r="B555" s="1327">
        <v>44904</v>
      </c>
      <c r="C555" s="1326">
        <v>343</v>
      </c>
      <c r="D555" s="1323">
        <f t="shared" si="78"/>
        <v>496189</v>
      </c>
      <c r="E555" s="1325">
        <f>E554</f>
        <v>496189</v>
      </c>
      <c r="F555" s="1322">
        <f>E555-D555</f>
        <v>0</v>
      </c>
      <c r="G555" s="1322">
        <f t="shared" si="80"/>
        <v>35037</v>
      </c>
      <c r="H555" s="1322">
        <f t="shared" si="76"/>
        <v>102.14868804664724</v>
      </c>
      <c r="I555" s="1322">
        <f t="shared" si="77"/>
        <v>37284.27113702624</v>
      </c>
      <c r="J555" s="1324">
        <f t="shared" ca="1" si="79"/>
        <v>0</v>
      </c>
      <c r="K555" s="1324">
        <f t="shared" si="81"/>
        <v>0.74568542274052485</v>
      </c>
      <c r="L555" s="1323">
        <f t="shared" si="82"/>
        <v>35189</v>
      </c>
      <c r="M555" s="1322"/>
      <c r="N555" s="1322"/>
    </row>
    <row r="556" spans="1:14" s="1302" customFormat="1" ht="16.5" customHeight="1">
      <c r="A556" s="1328" t="s">
        <v>1128</v>
      </c>
      <c r="B556" s="1327">
        <v>44905</v>
      </c>
      <c r="C556" s="1326">
        <v>344</v>
      </c>
      <c r="D556" s="1323">
        <f t="shared" si="78"/>
        <v>496189</v>
      </c>
      <c r="E556" s="1325">
        <f>E555</f>
        <v>496189</v>
      </c>
      <c r="F556" s="1322">
        <f>E556-D556</f>
        <v>0</v>
      </c>
      <c r="G556" s="1322">
        <f t="shared" si="80"/>
        <v>35037</v>
      </c>
      <c r="H556" s="1322">
        <f t="shared" si="76"/>
        <v>101.85174418604652</v>
      </c>
      <c r="I556" s="1322">
        <f t="shared" si="77"/>
        <v>37175.886627906977</v>
      </c>
      <c r="J556" s="1324">
        <f t="shared" ca="1" si="79"/>
        <v>0</v>
      </c>
      <c r="K556" s="1324">
        <f t="shared" si="81"/>
        <v>0.74351773255813958</v>
      </c>
      <c r="L556" s="1323">
        <f t="shared" si="82"/>
        <v>35189</v>
      </c>
      <c r="M556" s="1322"/>
      <c r="N556" s="1322"/>
    </row>
    <row r="557" spans="1:14" s="1302" customFormat="1" ht="16.5" customHeight="1">
      <c r="A557" s="1328" t="s">
        <v>1139</v>
      </c>
      <c r="B557" s="1327">
        <v>44906</v>
      </c>
      <c r="C557" s="1326">
        <v>345</v>
      </c>
      <c r="D557" s="1323">
        <f t="shared" si="78"/>
        <v>496189</v>
      </c>
      <c r="E557" s="1325">
        <f>E556</f>
        <v>496189</v>
      </c>
      <c r="F557" s="1322">
        <f>E557-D557</f>
        <v>0</v>
      </c>
      <c r="G557" s="1322">
        <f t="shared" si="80"/>
        <v>35037</v>
      </c>
      <c r="H557" s="1322">
        <f t="shared" si="76"/>
        <v>101.55652173913043</v>
      </c>
      <c r="I557" s="1322">
        <f t="shared" si="77"/>
        <v>37068.130434782608</v>
      </c>
      <c r="J557" s="1324">
        <f t="shared" ca="1" si="79"/>
        <v>0</v>
      </c>
      <c r="K557" s="1324">
        <f t="shared" si="81"/>
        <v>0.74136260869565218</v>
      </c>
      <c r="L557" s="1323">
        <f t="shared" si="82"/>
        <v>35189</v>
      </c>
      <c r="M557" s="1322"/>
      <c r="N557" s="1322"/>
    </row>
    <row r="558" spans="1:14" s="1302" customFormat="1" ht="16.5" customHeight="1">
      <c r="A558" s="1328" t="s">
        <v>1138</v>
      </c>
      <c r="B558" s="1327">
        <v>44907</v>
      </c>
      <c r="C558" s="1326">
        <v>346</v>
      </c>
      <c r="D558" s="1323">
        <f t="shared" si="78"/>
        <v>496189</v>
      </c>
      <c r="E558" s="1325">
        <v>496528</v>
      </c>
      <c r="F558" s="1322">
        <f>E558-D558</f>
        <v>339</v>
      </c>
      <c r="G558" s="1322">
        <f t="shared" si="80"/>
        <v>35376</v>
      </c>
      <c r="H558" s="1322">
        <f t="shared" si="76"/>
        <v>102.24277456647398</v>
      </c>
      <c r="I558" s="1322">
        <f t="shared" si="77"/>
        <v>37318.612716763004</v>
      </c>
      <c r="J558" s="1324">
        <f t="shared" ca="1" si="79"/>
        <v>14.991736801836266</v>
      </c>
      <c r="K558" s="1324">
        <f t="shared" si="81"/>
        <v>0.74637225433526011</v>
      </c>
      <c r="L558" s="1323">
        <f t="shared" si="82"/>
        <v>35528</v>
      </c>
      <c r="M558" s="1322"/>
      <c r="N558" s="1322"/>
    </row>
    <row r="559" spans="1:14" s="1302" customFormat="1" ht="16.5" customHeight="1">
      <c r="A559" s="1328" t="s">
        <v>1137</v>
      </c>
      <c r="B559" s="1327">
        <v>44908</v>
      </c>
      <c r="C559" s="1326">
        <v>347</v>
      </c>
      <c r="D559" s="1323">
        <f t="shared" si="78"/>
        <v>496528</v>
      </c>
      <c r="E559" s="1325">
        <v>496640</v>
      </c>
      <c r="F559" s="1322">
        <v>112</v>
      </c>
      <c r="G559" s="1322">
        <f t="shared" si="80"/>
        <v>35488</v>
      </c>
      <c r="H559" s="1322">
        <f t="shared" si="76"/>
        <v>102.27089337175792</v>
      </c>
      <c r="I559" s="1322">
        <f t="shared" si="77"/>
        <v>37328.87608069164</v>
      </c>
      <c r="J559" s="1324">
        <f t="shared" ca="1" si="79"/>
        <v>4.9530221882172913</v>
      </c>
      <c r="K559" s="1324">
        <f t="shared" si="81"/>
        <v>0.74657752161383284</v>
      </c>
      <c r="L559" s="1323">
        <f t="shared" si="82"/>
        <v>35640</v>
      </c>
      <c r="M559" s="1322"/>
      <c r="N559" s="1322"/>
    </row>
    <row r="560" spans="1:14" s="1302" customFormat="1" ht="16.5" customHeight="1">
      <c r="A560" s="1328" t="s">
        <v>1131</v>
      </c>
      <c r="B560" s="1327">
        <v>44909</v>
      </c>
      <c r="C560" s="1326">
        <v>348</v>
      </c>
      <c r="D560" s="1323">
        <f t="shared" si="78"/>
        <v>496640</v>
      </c>
      <c r="E560" s="1325">
        <v>496753</v>
      </c>
      <c r="F560" s="1322">
        <v>113</v>
      </c>
      <c r="G560" s="1322">
        <f t="shared" si="80"/>
        <v>35601</v>
      </c>
      <c r="H560" s="1322">
        <f t="shared" si="76"/>
        <v>102.30172413793103</v>
      </c>
      <c r="I560" s="1322">
        <f t="shared" si="77"/>
        <v>37340.129310344826</v>
      </c>
      <c r="J560" s="1324">
        <f t="shared" ca="1" si="79"/>
        <v>4.9972456006120884</v>
      </c>
      <c r="K560" s="1324">
        <f t="shared" si="81"/>
        <v>0.74680258620689655</v>
      </c>
      <c r="L560" s="1323">
        <f t="shared" si="82"/>
        <v>35753</v>
      </c>
      <c r="M560" s="1322"/>
      <c r="N560" s="1322"/>
    </row>
    <row r="561" spans="1:20" s="1302" customFormat="1" ht="16.5" customHeight="1">
      <c r="A561" s="1328" t="s">
        <v>1136</v>
      </c>
      <c r="B561" s="1327">
        <v>44910</v>
      </c>
      <c r="C561" s="1326">
        <v>349</v>
      </c>
      <c r="D561" s="1323">
        <f t="shared" si="78"/>
        <v>496753</v>
      </c>
      <c r="E561" s="1325">
        <f t="shared" ref="E561:E566" si="83">E560</f>
        <v>496753</v>
      </c>
      <c r="F561" s="1322">
        <f t="shared" ref="F561:F567" si="84">E561-D561</f>
        <v>0</v>
      </c>
      <c r="G561" s="1322">
        <f t="shared" si="80"/>
        <v>35601</v>
      </c>
      <c r="H561" s="1322">
        <f t="shared" si="76"/>
        <v>102.00859598853869</v>
      </c>
      <c r="I561" s="1322">
        <f t="shared" si="77"/>
        <v>37233.137535816619</v>
      </c>
      <c r="J561" s="1324">
        <f t="shared" ca="1" si="79"/>
        <v>0</v>
      </c>
      <c r="K561" s="1324">
        <f t="shared" si="81"/>
        <v>0.74466275071633237</v>
      </c>
      <c r="L561" s="1323">
        <f t="shared" si="82"/>
        <v>35753</v>
      </c>
      <c r="M561" s="1322"/>
      <c r="N561" s="1322"/>
    </row>
    <row r="562" spans="1:20" s="1302" customFormat="1" ht="16.5" customHeight="1">
      <c r="A562" s="1328" t="s">
        <v>1130</v>
      </c>
      <c r="B562" s="1327">
        <v>44911</v>
      </c>
      <c r="C562" s="1326">
        <v>350</v>
      </c>
      <c r="D562" s="1323">
        <f t="shared" si="78"/>
        <v>496753</v>
      </c>
      <c r="E562" s="1325">
        <f t="shared" si="83"/>
        <v>496753</v>
      </c>
      <c r="F562" s="1322">
        <f t="shared" si="84"/>
        <v>0</v>
      </c>
      <c r="G562" s="1322">
        <f t="shared" si="80"/>
        <v>35601</v>
      </c>
      <c r="H562" s="1322">
        <f t="shared" si="76"/>
        <v>101.71714285714286</v>
      </c>
      <c r="I562" s="1322">
        <f t="shared" si="77"/>
        <v>37126.757142857146</v>
      </c>
      <c r="J562" s="1324">
        <f t="shared" ca="1" si="79"/>
        <v>0</v>
      </c>
      <c r="K562" s="1324">
        <f t="shared" si="81"/>
        <v>0.74253514285714295</v>
      </c>
      <c r="L562" s="1323">
        <f t="shared" si="82"/>
        <v>35753</v>
      </c>
      <c r="M562" s="1322"/>
      <c r="N562" s="1322"/>
    </row>
    <row r="563" spans="1:20" s="1302" customFormat="1" ht="16.5" customHeight="1">
      <c r="A563" s="1328" t="s">
        <v>1128</v>
      </c>
      <c r="B563" s="1327">
        <v>44912</v>
      </c>
      <c r="C563" s="1326">
        <v>351</v>
      </c>
      <c r="D563" s="1323">
        <f t="shared" si="78"/>
        <v>496753</v>
      </c>
      <c r="E563" s="1325">
        <f t="shared" si="83"/>
        <v>496753</v>
      </c>
      <c r="F563" s="1322">
        <f t="shared" si="84"/>
        <v>0</v>
      </c>
      <c r="G563" s="1322">
        <f t="shared" si="80"/>
        <v>35601</v>
      </c>
      <c r="H563" s="1322">
        <f t="shared" si="76"/>
        <v>101.42735042735043</v>
      </c>
      <c r="I563" s="1322">
        <f t="shared" si="77"/>
        <v>37020.982905982906</v>
      </c>
      <c r="J563" s="1324">
        <f t="shared" ca="1" si="79"/>
        <v>0</v>
      </c>
      <c r="K563" s="1324">
        <f t="shared" si="81"/>
        <v>0.74041965811965815</v>
      </c>
      <c r="L563" s="1323">
        <f t="shared" si="82"/>
        <v>35753</v>
      </c>
      <c r="M563" s="1322"/>
      <c r="N563" s="1322"/>
    </row>
    <row r="564" spans="1:20" s="1302" customFormat="1" ht="16.5" customHeight="1">
      <c r="A564" s="1328" t="s">
        <v>1139</v>
      </c>
      <c r="B564" s="1327">
        <v>44913</v>
      </c>
      <c r="C564" s="1326">
        <v>352</v>
      </c>
      <c r="D564" s="1323">
        <f t="shared" si="78"/>
        <v>496753</v>
      </c>
      <c r="E564" s="1325">
        <f t="shared" si="83"/>
        <v>496753</v>
      </c>
      <c r="F564" s="1322">
        <f t="shared" si="84"/>
        <v>0</v>
      </c>
      <c r="G564" s="1322">
        <f t="shared" si="80"/>
        <v>35601</v>
      </c>
      <c r="H564" s="1322">
        <f t="shared" si="76"/>
        <v>101.13920454545455</v>
      </c>
      <c r="I564" s="1322">
        <f t="shared" si="77"/>
        <v>36915.809659090912</v>
      </c>
      <c r="J564" s="1324">
        <f t="shared" ca="1" si="79"/>
        <v>0</v>
      </c>
      <c r="K564" s="1324">
        <f t="shared" si="81"/>
        <v>0.73831619318181818</v>
      </c>
      <c r="L564" s="1323">
        <f t="shared" si="82"/>
        <v>35753</v>
      </c>
      <c r="M564" s="1322"/>
      <c r="N564" s="1322"/>
    </row>
    <row r="565" spans="1:20" s="1302" customFormat="1" ht="16.5" customHeight="1">
      <c r="A565" s="1328" t="s">
        <v>1138</v>
      </c>
      <c r="B565" s="1327">
        <v>44914</v>
      </c>
      <c r="C565" s="1326">
        <v>353</v>
      </c>
      <c r="D565" s="1323">
        <f t="shared" si="78"/>
        <v>496753</v>
      </c>
      <c r="E565" s="1325">
        <f t="shared" si="83"/>
        <v>496753</v>
      </c>
      <c r="F565" s="1322">
        <f t="shared" si="84"/>
        <v>0</v>
      </c>
      <c r="G565" s="1322">
        <f t="shared" si="80"/>
        <v>35601</v>
      </c>
      <c r="H565" s="1322">
        <f t="shared" si="76"/>
        <v>100.85269121813032</v>
      </c>
      <c r="I565" s="1322">
        <f t="shared" si="77"/>
        <v>36811.232294617563</v>
      </c>
      <c r="J565" s="1324">
        <f t="shared" ca="1" si="79"/>
        <v>0</v>
      </c>
      <c r="K565" s="1324">
        <f t="shared" si="81"/>
        <v>0.73622464589235126</v>
      </c>
      <c r="L565" s="1323">
        <f t="shared" si="82"/>
        <v>35753</v>
      </c>
      <c r="M565" s="1322"/>
      <c r="N565" s="1322"/>
    </row>
    <row r="566" spans="1:20" s="1302" customFormat="1" ht="16.5" customHeight="1">
      <c r="A566" s="1328" t="s">
        <v>1137</v>
      </c>
      <c r="B566" s="1327">
        <v>44915</v>
      </c>
      <c r="C566" s="1326">
        <v>354</v>
      </c>
      <c r="D566" s="1323">
        <f t="shared" si="78"/>
        <v>496753</v>
      </c>
      <c r="E566" s="1325">
        <f t="shared" si="83"/>
        <v>496753</v>
      </c>
      <c r="F566" s="1322">
        <f t="shared" si="84"/>
        <v>0</v>
      </c>
      <c r="G566" s="1322">
        <f t="shared" si="80"/>
        <v>35601</v>
      </c>
      <c r="H566" s="1322">
        <f t="shared" si="76"/>
        <v>100.56779661016949</v>
      </c>
      <c r="I566" s="1322">
        <f t="shared" si="77"/>
        <v>36707.245762711864</v>
      </c>
      <c r="J566" s="1324">
        <f t="shared" ca="1" si="79"/>
        <v>0</v>
      </c>
      <c r="K566" s="1324">
        <f t="shared" si="81"/>
        <v>0.73414491525423731</v>
      </c>
      <c r="L566" s="1323">
        <f t="shared" si="82"/>
        <v>35753</v>
      </c>
      <c r="M566" s="1322"/>
      <c r="N566" s="1322"/>
    </row>
    <row r="567" spans="1:20" s="1302" customFormat="1" ht="16.5" customHeight="1">
      <c r="A567" s="1328" t="s">
        <v>1131</v>
      </c>
      <c r="B567" s="1327">
        <v>44916</v>
      </c>
      <c r="C567" s="1326">
        <v>355</v>
      </c>
      <c r="D567" s="1323">
        <f t="shared" si="78"/>
        <v>496753</v>
      </c>
      <c r="E567" s="1325">
        <v>497496</v>
      </c>
      <c r="F567" s="1322">
        <f t="shared" si="84"/>
        <v>743</v>
      </c>
      <c r="G567" s="1322">
        <f t="shared" si="80"/>
        <v>36344</v>
      </c>
      <c r="H567" s="1322">
        <f t="shared" si="76"/>
        <v>102.3774647887324</v>
      </c>
      <c r="I567" s="1322">
        <f t="shared" si="77"/>
        <v>37367.774647887323</v>
      </c>
      <c r="J567" s="1324">
        <f t="shared" ca="1" si="79"/>
        <v>32.85799540933435</v>
      </c>
      <c r="K567" s="1324">
        <f t="shared" si="81"/>
        <v>0.7473554929577465</v>
      </c>
      <c r="L567" s="1323">
        <f t="shared" si="82"/>
        <v>36496</v>
      </c>
      <c r="M567" s="1322"/>
      <c r="N567" s="1322"/>
    </row>
    <row r="568" spans="1:20" s="1302" customFormat="1" ht="16.5" customHeight="1">
      <c r="A568" s="1328" t="s">
        <v>1136</v>
      </c>
      <c r="B568" s="1327">
        <v>44917</v>
      </c>
      <c r="C568" s="1326">
        <v>356</v>
      </c>
      <c r="D568" s="1323">
        <f t="shared" si="78"/>
        <v>497496</v>
      </c>
      <c r="E568" s="1325">
        <v>497596</v>
      </c>
      <c r="F568" s="1322">
        <v>100</v>
      </c>
      <c r="G568" s="1322">
        <f t="shared" si="80"/>
        <v>36444</v>
      </c>
      <c r="H568" s="1322">
        <f t="shared" si="76"/>
        <v>102.37078651685393</v>
      </c>
      <c r="I568" s="1322">
        <f t="shared" si="77"/>
        <v>37365.337078651683</v>
      </c>
      <c r="J568" s="1324">
        <f t="shared" ca="1" si="79"/>
        <v>4.4223412394797244</v>
      </c>
      <c r="K568" s="1324">
        <f t="shared" si="81"/>
        <v>0.74730674157303367</v>
      </c>
      <c r="L568" s="1323">
        <f t="shared" si="82"/>
        <v>36596</v>
      </c>
      <c r="M568" s="1322"/>
      <c r="N568" s="1322"/>
    </row>
    <row r="569" spans="1:20" s="1302" customFormat="1" ht="15.6">
      <c r="A569" s="1316" t="s">
        <v>1130</v>
      </c>
      <c r="B569" s="1312">
        <v>44918</v>
      </c>
      <c r="C569" s="1320">
        <v>357</v>
      </c>
      <c r="D569" s="1317">
        <f t="shared" si="78"/>
        <v>497596</v>
      </c>
      <c r="E569" s="1315">
        <f t="shared" ref="E569:E603" si="85">E568+$O$604</f>
        <v>497706.7859078591</v>
      </c>
      <c r="F569" s="1317">
        <f t="shared" ref="F569:F577" si="86">E569-D569</f>
        <v>110.7859078590991</v>
      </c>
      <c r="G569" s="1317">
        <f t="shared" si="80"/>
        <v>36554.785907859099</v>
      </c>
      <c r="H569" s="1317">
        <f t="shared" si="76"/>
        <v>102.39435828531961</v>
      </c>
      <c r="I569" s="1317">
        <f t="shared" si="77"/>
        <v>37373.940774141658</v>
      </c>
      <c r="J569" s="1319">
        <f t="shared" ca="1" si="79"/>
        <v>4.899330890784948</v>
      </c>
      <c r="K569" s="1318">
        <f t="shared" si="81"/>
        <v>0.74747881548283313</v>
      </c>
      <c r="L569" s="1317">
        <f t="shared" si="82"/>
        <v>36706.785907859099</v>
      </c>
      <c r="M569" s="1317"/>
      <c r="N569" s="1317"/>
      <c r="O569" s="1305"/>
      <c r="P569" s="1305"/>
      <c r="Q569" s="1304"/>
      <c r="R569" s="1303"/>
      <c r="S569" s="1303"/>
      <c r="T569" s="1303"/>
    </row>
    <row r="570" spans="1:20" s="1302" customFormat="1" ht="15.6">
      <c r="A570" s="1316" t="s">
        <v>1128</v>
      </c>
      <c r="B570" s="1312">
        <v>44919</v>
      </c>
      <c r="C570" s="1320">
        <v>358</v>
      </c>
      <c r="D570" s="1317">
        <f t="shared" si="78"/>
        <v>497706.7859078591</v>
      </c>
      <c r="E570" s="1315">
        <f t="shared" si="85"/>
        <v>497817.5718157182</v>
      </c>
      <c r="F570" s="1317">
        <f t="shared" si="86"/>
        <v>110.7859078590991</v>
      </c>
      <c r="G570" s="1317">
        <f t="shared" si="80"/>
        <v>36665.571815718198</v>
      </c>
      <c r="H570" s="1317">
        <f t="shared" si="76"/>
        <v>102.41779836792793</v>
      </c>
      <c r="I570" s="1317">
        <f t="shared" si="77"/>
        <v>37382.496404293692</v>
      </c>
      <c r="J570" s="1319">
        <f t="shared" ca="1" si="79"/>
        <v>4.899330890784948</v>
      </c>
      <c r="K570" s="1318">
        <f t="shared" si="81"/>
        <v>0.74764992808587383</v>
      </c>
      <c r="L570" s="1317">
        <f t="shared" si="82"/>
        <v>36817.571815718198</v>
      </c>
      <c r="M570" s="1317"/>
      <c r="N570" s="1317"/>
      <c r="O570" s="1305"/>
      <c r="P570" s="1305"/>
      <c r="Q570" s="1304"/>
      <c r="R570" s="1303"/>
      <c r="S570" s="1303"/>
      <c r="T570" s="1303"/>
    </row>
    <row r="571" spans="1:20" s="1302" customFormat="1" ht="15.6">
      <c r="A571" s="1316" t="s">
        <v>1139</v>
      </c>
      <c r="B571" s="1312">
        <v>44920</v>
      </c>
      <c r="C571" s="1320">
        <v>359</v>
      </c>
      <c r="D571" s="1317">
        <f t="shared" si="78"/>
        <v>497817.5718157182</v>
      </c>
      <c r="E571" s="1315">
        <f t="shared" si="85"/>
        <v>497928.3577235773</v>
      </c>
      <c r="F571" s="1317">
        <f t="shared" si="86"/>
        <v>110.7859078590991</v>
      </c>
      <c r="G571" s="1317">
        <f t="shared" si="80"/>
        <v>36776.357723577297</v>
      </c>
      <c r="H571" s="1317">
        <f t="shared" si="76"/>
        <v>102.44110786511781</v>
      </c>
      <c r="I571" s="1317">
        <f t="shared" si="77"/>
        <v>37391.004370768002</v>
      </c>
      <c r="J571" s="1319">
        <f t="shared" ca="1" si="79"/>
        <v>4.899330890784948</v>
      </c>
      <c r="K571" s="1318">
        <f t="shared" si="81"/>
        <v>0.74782008741535999</v>
      </c>
      <c r="L571" s="1317">
        <f t="shared" si="82"/>
        <v>36928.357723577297</v>
      </c>
      <c r="M571" s="1317"/>
      <c r="N571" s="1317"/>
      <c r="O571" s="1305"/>
      <c r="P571" s="1305"/>
      <c r="Q571" s="1304"/>
      <c r="R571" s="1303"/>
      <c r="S571" s="1303"/>
      <c r="T571" s="1303"/>
    </row>
    <row r="572" spans="1:20" s="1302" customFormat="1" ht="15.6">
      <c r="A572" s="1316" t="s">
        <v>1138</v>
      </c>
      <c r="B572" s="1312">
        <v>44921</v>
      </c>
      <c r="C572" s="1320">
        <v>360</v>
      </c>
      <c r="D572" s="1317">
        <f t="shared" si="78"/>
        <v>497928.3577235773</v>
      </c>
      <c r="E572" s="1315">
        <f t="shared" si="85"/>
        <v>498039.1436314364</v>
      </c>
      <c r="F572" s="1317">
        <f t="shared" si="86"/>
        <v>110.7859078590991</v>
      </c>
      <c r="G572" s="1317">
        <f t="shared" si="80"/>
        <v>36887.143631436396</v>
      </c>
      <c r="H572" s="1317">
        <f t="shared" si="76"/>
        <v>102.4642878651011</v>
      </c>
      <c r="I572" s="1317">
        <f t="shared" si="77"/>
        <v>37399.4650707619</v>
      </c>
      <c r="J572" s="1319">
        <f t="shared" ca="1" si="79"/>
        <v>4.899330890784948</v>
      </c>
      <c r="K572" s="1318">
        <f t="shared" si="81"/>
        <v>0.74798930141523801</v>
      </c>
      <c r="L572" s="1317">
        <f t="shared" si="82"/>
        <v>37039.143631436396</v>
      </c>
      <c r="M572" s="1317"/>
      <c r="N572" s="1317"/>
      <c r="O572" s="1305"/>
      <c r="P572" s="1305"/>
      <c r="Q572" s="1304"/>
      <c r="R572" s="1303"/>
      <c r="S572" s="1303"/>
      <c r="T572" s="1303"/>
    </row>
    <row r="573" spans="1:20" s="1302" customFormat="1" ht="15.6">
      <c r="A573" s="1316" t="s">
        <v>1137</v>
      </c>
      <c r="B573" s="1312">
        <v>44922</v>
      </c>
      <c r="C573" s="1320">
        <v>361</v>
      </c>
      <c r="D573" s="1317">
        <f t="shared" si="78"/>
        <v>498039.1436314364</v>
      </c>
      <c r="E573" s="1315">
        <f t="shared" si="85"/>
        <v>498149.9295392955</v>
      </c>
      <c r="F573" s="1317">
        <f t="shared" si="86"/>
        <v>110.7859078590991</v>
      </c>
      <c r="G573" s="1317">
        <f t="shared" si="80"/>
        <v>36997.929539295495</v>
      </c>
      <c r="H573" s="1317">
        <f t="shared" si="76"/>
        <v>102.48733944403185</v>
      </c>
      <c r="I573" s="1317">
        <f t="shared" si="77"/>
        <v>37407.878897071627</v>
      </c>
      <c r="J573" s="1319">
        <f t="shared" ca="1" si="79"/>
        <v>4.899330890784948</v>
      </c>
      <c r="K573" s="1318">
        <f t="shared" si="81"/>
        <v>0.74815757794143256</v>
      </c>
      <c r="L573" s="1317">
        <f t="shared" si="82"/>
        <v>37149.929539295495</v>
      </c>
      <c r="M573" s="1317"/>
      <c r="N573" s="1317"/>
      <c r="O573" s="1305"/>
      <c r="P573" s="1305"/>
      <c r="Q573" s="1304"/>
      <c r="R573" s="1303"/>
      <c r="S573" s="1303"/>
      <c r="T573" s="1303"/>
    </row>
    <row r="574" spans="1:20" s="1302" customFormat="1" ht="15.6">
      <c r="A574" s="1316" t="s">
        <v>1131</v>
      </c>
      <c r="B574" s="1312">
        <v>44923</v>
      </c>
      <c r="C574" s="1320">
        <v>362</v>
      </c>
      <c r="D574" s="1317">
        <f t="shared" si="78"/>
        <v>498149.9295392955</v>
      </c>
      <c r="E574" s="1315">
        <f t="shared" si="85"/>
        <v>498260.71544715459</v>
      </c>
      <c r="F574" s="1317">
        <f t="shared" si="86"/>
        <v>110.7859078590991</v>
      </c>
      <c r="G574" s="1317">
        <f t="shared" si="80"/>
        <v>37108.715447154595</v>
      </c>
      <c r="H574" s="1317">
        <f t="shared" si="76"/>
        <v>102.51026366617292</v>
      </c>
      <c r="I574" s="1317">
        <f t="shared" si="77"/>
        <v>37416.246238153115</v>
      </c>
      <c r="J574" s="1319">
        <f t="shared" ca="1" si="79"/>
        <v>4.899330890784948</v>
      </c>
      <c r="K574" s="1318">
        <f t="shared" si="81"/>
        <v>0.74832492476306234</v>
      </c>
      <c r="L574" s="1317">
        <f t="shared" si="82"/>
        <v>37260.715447154595</v>
      </c>
      <c r="M574" s="1317"/>
      <c r="N574" s="1317"/>
      <c r="O574" s="1305"/>
      <c r="P574" s="1305"/>
      <c r="Q574" s="1304"/>
      <c r="R574" s="1303"/>
      <c r="S574" s="1303"/>
      <c r="T574" s="1303"/>
    </row>
    <row r="575" spans="1:20" s="1302" customFormat="1" ht="15.6">
      <c r="A575" s="1321" t="s">
        <v>1136</v>
      </c>
      <c r="B575" s="1312">
        <v>44924</v>
      </c>
      <c r="C575" s="1320">
        <v>363</v>
      </c>
      <c r="D575" s="1317">
        <f t="shared" si="78"/>
        <v>498260.71544715459</v>
      </c>
      <c r="E575" s="1315">
        <f t="shared" si="85"/>
        <v>498371.50135501369</v>
      </c>
      <c r="F575" s="1317">
        <f t="shared" si="86"/>
        <v>110.7859078590991</v>
      </c>
      <c r="G575" s="1317">
        <f t="shared" si="80"/>
        <v>37219.501355013694</v>
      </c>
      <c r="H575" s="1317">
        <f t="shared" si="76"/>
        <v>102.53306158405977</v>
      </c>
      <c r="I575" s="1317">
        <f t="shared" si="77"/>
        <v>37424.567478181816</v>
      </c>
      <c r="J575" s="1319">
        <f t="shared" ca="1" si="79"/>
        <v>4.899330890784948</v>
      </c>
      <c r="K575" s="1318">
        <f t="shared" si="81"/>
        <v>0.74849134956363628</v>
      </c>
      <c r="L575" s="1317">
        <f t="shared" si="82"/>
        <v>37371.501355013694</v>
      </c>
      <c r="M575" s="1317"/>
      <c r="N575" s="1317"/>
      <c r="O575" s="1305"/>
      <c r="P575" s="1305"/>
      <c r="Q575" s="1304"/>
      <c r="R575" s="1303"/>
      <c r="S575" s="1303"/>
      <c r="T575" s="1303"/>
    </row>
    <row r="576" spans="1:20" s="1302" customFormat="1" ht="15.6">
      <c r="A576" s="1316" t="s">
        <v>1130</v>
      </c>
      <c r="B576" s="1312">
        <v>44925</v>
      </c>
      <c r="C576" s="1320">
        <v>364</v>
      </c>
      <c r="D576" s="1317">
        <f t="shared" si="78"/>
        <v>498371.50135501369</v>
      </c>
      <c r="E576" s="1315">
        <f t="shared" si="85"/>
        <v>498482.28726287279</v>
      </c>
      <c r="F576" s="1317">
        <f t="shared" si="86"/>
        <v>110.7859078590991</v>
      </c>
      <c r="G576" s="1317">
        <f t="shared" si="80"/>
        <v>37330.287262872793</v>
      </c>
      <c r="H576" s="1317">
        <f t="shared" si="76"/>
        <v>102.55573423866151</v>
      </c>
      <c r="I576" s="1317">
        <f t="shared" si="77"/>
        <v>37432.842997111453</v>
      </c>
      <c r="J576" s="1319">
        <f t="shared" ca="1" si="79"/>
        <v>4.899330890784948</v>
      </c>
      <c r="K576" s="1318">
        <f t="shared" si="81"/>
        <v>0.74865685994222908</v>
      </c>
      <c r="L576" s="1317">
        <f t="shared" si="82"/>
        <v>37482.287262872793</v>
      </c>
      <c r="M576" s="1317"/>
      <c r="N576" s="1317"/>
      <c r="O576" s="1305"/>
      <c r="P576" s="1305"/>
      <c r="Q576" s="1304"/>
      <c r="R576" s="1303"/>
      <c r="S576" s="1303"/>
      <c r="T576" s="1303"/>
    </row>
    <row r="577" spans="1:14" s="1302" customFormat="1" ht="15.6">
      <c r="A577" s="1316" t="s">
        <v>1128</v>
      </c>
      <c r="B577" s="1312">
        <v>44926</v>
      </c>
      <c r="C577" s="1320">
        <v>365</v>
      </c>
      <c r="D577" s="1317">
        <f t="shared" si="78"/>
        <v>498482.28726287279</v>
      </c>
      <c r="E577" s="1315">
        <f t="shared" si="85"/>
        <v>498593.07317073189</v>
      </c>
      <c r="F577" s="1317">
        <f t="shared" si="86"/>
        <v>110.7859078590991</v>
      </c>
      <c r="G577" s="1317">
        <f t="shared" si="80"/>
        <v>37441.073170731892</v>
      </c>
      <c r="H577" s="1317">
        <f t="shared" si="76"/>
        <v>102.57828265953943</v>
      </c>
      <c r="I577" s="1317">
        <f t="shared" si="77"/>
        <v>37441.073170731892</v>
      </c>
      <c r="J577" s="1319">
        <f t="shared" ca="1" si="79"/>
        <v>4.899330890784948</v>
      </c>
      <c r="K577" s="1318">
        <f t="shared" si="81"/>
        <v>0.74882146341463784</v>
      </c>
      <c r="L577" s="1317">
        <f t="shared" si="82"/>
        <v>37593.073170731892</v>
      </c>
      <c r="M577" s="1317"/>
      <c r="N577" s="1317"/>
    </row>
    <row r="578" spans="1:14" s="1302" customFormat="1" ht="15.6">
      <c r="A578" s="1316" t="s">
        <v>1139</v>
      </c>
      <c r="B578" s="1312">
        <v>44927</v>
      </c>
      <c r="C578" s="1311"/>
      <c r="D578" s="1309"/>
      <c r="E578" s="1315">
        <f t="shared" si="85"/>
        <v>498703.85907859099</v>
      </c>
      <c r="F578" s="1309"/>
      <c r="G578" s="1309"/>
      <c r="H578" s="1309"/>
      <c r="I578" s="1309"/>
      <c r="J578" s="1309"/>
      <c r="K578" s="1310"/>
      <c r="L578" s="1309"/>
      <c r="M578" s="1309"/>
      <c r="N578" s="1309"/>
    </row>
    <row r="579" spans="1:14" s="1302" customFormat="1" ht="15.6">
      <c r="A579" s="1313"/>
      <c r="B579" s="1312">
        <v>44928</v>
      </c>
      <c r="C579" s="1311"/>
      <c r="D579" s="1309"/>
      <c r="E579" s="1315">
        <f t="shared" si="85"/>
        <v>498814.64498645009</v>
      </c>
      <c r="F579" s="1309"/>
      <c r="G579" s="1309"/>
      <c r="H579" s="1309"/>
      <c r="I579" s="1309"/>
      <c r="J579" s="1309"/>
      <c r="K579" s="1310"/>
      <c r="L579" s="1309"/>
      <c r="M579" s="1309"/>
      <c r="N579" s="1309"/>
    </row>
    <row r="580" spans="1:14" s="1302" customFormat="1" ht="15.6">
      <c r="A580" s="1313"/>
      <c r="B580" s="1312">
        <v>44929</v>
      </c>
      <c r="C580" s="1311"/>
      <c r="D580" s="1309"/>
      <c r="E580" s="1315">
        <f t="shared" si="85"/>
        <v>498925.43089430919</v>
      </c>
      <c r="F580" s="1309"/>
      <c r="G580" s="1309"/>
      <c r="H580" s="1309"/>
      <c r="I580" s="1309"/>
      <c r="J580" s="1309"/>
      <c r="K580" s="1310"/>
      <c r="L580" s="1309"/>
      <c r="M580" s="1309"/>
      <c r="N580" s="1309"/>
    </row>
    <row r="581" spans="1:14" s="1302" customFormat="1" ht="15.6">
      <c r="A581" s="1313"/>
      <c r="B581" s="1312">
        <v>44930</v>
      </c>
      <c r="C581" s="1311"/>
      <c r="D581" s="1309"/>
      <c r="E581" s="1315">
        <f t="shared" si="85"/>
        <v>499036.21680216829</v>
      </c>
      <c r="F581" s="1309"/>
      <c r="G581" s="1309"/>
      <c r="H581" s="1309"/>
      <c r="I581" s="1309"/>
      <c r="J581" s="1309"/>
      <c r="K581" s="1310"/>
      <c r="L581" s="1309"/>
      <c r="M581" s="1309"/>
      <c r="N581" s="1309"/>
    </row>
    <row r="582" spans="1:14" s="1302" customFormat="1" ht="15.6">
      <c r="A582" s="1313"/>
      <c r="B582" s="1312">
        <v>44931</v>
      </c>
      <c r="C582" s="1311"/>
      <c r="D582" s="1309"/>
      <c r="E582" s="1315">
        <f t="shared" si="85"/>
        <v>499147.00271002739</v>
      </c>
      <c r="F582" s="1309"/>
      <c r="G582" s="1309"/>
      <c r="H582" s="1309"/>
      <c r="I582" s="1309"/>
      <c r="J582" s="1309"/>
      <c r="K582" s="1310"/>
      <c r="L582" s="1309"/>
      <c r="M582" s="1309"/>
      <c r="N582" s="1309"/>
    </row>
    <row r="583" spans="1:14" s="1302" customFormat="1" ht="15.6">
      <c r="A583" s="1313"/>
      <c r="B583" s="1312">
        <v>44932</v>
      </c>
      <c r="C583" s="1311"/>
      <c r="D583" s="1309"/>
      <c r="E583" s="1315">
        <f t="shared" si="85"/>
        <v>499257.78861788649</v>
      </c>
      <c r="F583" s="1309"/>
      <c r="G583" s="1309"/>
      <c r="H583" s="1309"/>
      <c r="I583" s="1309"/>
      <c r="J583" s="1309"/>
      <c r="K583" s="1310"/>
      <c r="L583" s="1309"/>
      <c r="M583" s="1309"/>
      <c r="N583" s="1309"/>
    </row>
    <row r="584" spans="1:14" s="1302" customFormat="1" ht="15.6">
      <c r="A584" s="1313"/>
      <c r="B584" s="1312">
        <v>44933</v>
      </c>
      <c r="C584" s="1311"/>
      <c r="D584" s="1309"/>
      <c r="E584" s="1315">
        <f t="shared" si="85"/>
        <v>499368.57452574559</v>
      </c>
      <c r="F584" s="1309"/>
      <c r="G584" s="1309"/>
      <c r="H584" s="1309"/>
      <c r="I584" s="1309"/>
      <c r="J584" s="1309"/>
      <c r="K584" s="1310"/>
      <c r="L584" s="1309"/>
      <c r="M584" s="1309"/>
      <c r="N584" s="1309"/>
    </row>
    <row r="585" spans="1:14" s="1302" customFormat="1" ht="15.6">
      <c r="A585" s="1313"/>
      <c r="B585" s="1312">
        <v>44934</v>
      </c>
      <c r="C585" s="1311"/>
      <c r="D585" s="1309"/>
      <c r="E585" s="1315">
        <f t="shared" si="85"/>
        <v>499479.36043360468</v>
      </c>
      <c r="F585" s="1309"/>
      <c r="G585" s="1309"/>
      <c r="H585" s="1309"/>
      <c r="I585" s="1309"/>
      <c r="J585" s="1309"/>
      <c r="K585" s="1310"/>
      <c r="L585" s="1309"/>
      <c r="M585" s="1309"/>
      <c r="N585" s="1309"/>
    </row>
    <row r="586" spans="1:14" s="1302" customFormat="1" ht="15.6">
      <c r="A586" s="1313"/>
      <c r="B586" s="1312">
        <v>44935</v>
      </c>
      <c r="C586" s="1311"/>
      <c r="D586" s="1309"/>
      <c r="E586" s="1315">
        <f t="shared" si="85"/>
        <v>499590.14634146378</v>
      </c>
      <c r="F586" s="1309"/>
      <c r="G586" s="1309"/>
      <c r="H586" s="1309"/>
      <c r="I586" s="1309"/>
      <c r="J586" s="1309"/>
      <c r="K586" s="1310"/>
      <c r="L586" s="1309"/>
      <c r="M586" s="1309"/>
      <c r="N586" s="1309"/>
    </row>
    <row r="587" spans="1:14" s="1302" customFormat="1" ht="15.6">
      <c r="A587" s="1313"/>
      <c r="B587" s="1312">
        <v>44936</v>
      </c>
      <c r="C587" s="1311"/>
      <c r="D587" s="1309"/>
      <c r="E587" s="1315">
        <f t="shared" si="85"/>
        <v>499700.93224932288</v>
      </c>
      <c r="F587" s="1309"/>
      <c r="G587" s="1309"/>
      <c r="H587" s="1309"/>
      <c r="I587" s="1309"/>
      <c r="J587" s="1309"/>
      <c r="K587" s="1310"/>
      <c r="L587" s="1309"/>
      <c r="M587" s="1309"/>
      <c r="N587" s="1309"/>
    </row>
    <row r="588" spans="1:14" s="1302" customFormat="1" ht="15.6">
      <c r="A588" s="1313"/>
      <c r="B588" s="1312">
        <v>44937</v>
      </c>
      <c r="C588" s="1311"/>
      <c r="D588" s="1309"/>
      <c r="E588" s="1315">
        <f t="shared" si="85"/>
        <v>499811.71815718198</v>
      </c>
      <c r="F588" s="1309"/>
      <c r="G588" s="1309"/>
      <c r="H588" s="1309"/>
      <c r="I588" s="1309"/>
      <c r="J588" s="1309"/>
      <c r="K588" s="1310"/>
      <c r="L588" s="1309"/>
      <c r="M588" s="1309"/>
      <c r="N588" s="1309"/>
    </row>
    <row r="589" spans="1:14" s="1302" customFormat="1" ht="15.6">
      <c r="A589" s="1313"/>
      <c r="B589" s="1312">
        <v>44938</v>
      </c>
      <c r="C589" s="1311"/>
      <c r="D589" s="1309"/>
      <c r="E589" s="1315">
        <f t="shared" si="85"/>
        <v>499922.50406504108</v>
      </c>
      <c r="F589" s="1309"/>
      <c r="G589" s="1309"/>
      <c r="H589" s="1309"/>
      <c r="I589" s="1309"/>
      <c r="J589" s="1309"/>
      <c r="K589" s="1310"/>
      <c r="L589" s="1309"/>
      <c r="M589" s="1309"/>
      <c r="N589" s="1309"/>
    </row>
    <row r="590" spans="1:14" s="1302" customFormat="1" ht="15.6">
      <c r="A590" s="1313"/>
      <c r="B590" s="1312">
        <v>44939</v>
      </c>
      <c r="C590" s="1311"/>
      <c r="D590" s="1309"/>
      <c r="E590" s="1315">
        <f t="shared" si="85"/>
        <v>500033.28997290018</v>
      </c>
      <c r="F590" s="1309"/>
      <c r="G590" s="1309"/>
      <c r="H590" s="1309"/>
      <c r="I590" s="1309"/>
      <c r="J590" s="1309"/>
      <c r="K590" s="1310"/>
      <c r="L590" s="1309"/>
      <c r="M590" s="1309"/>
      <c r="N590" s="1309"/>
    </row>
    <row r="591" spans="1:14" s="1302" customFormat="1" ht="15.6">
      <c r="A591" s="1313"/>
      <c r="B591" s="1312">
        <v>44940</v>
      </c>
      <c r="C591" s="1311"/>
      <c r="D591" s="1309"/>
      <c r="E591" s="1315">
        <f t="shared" si="85"/>
        <v>500144.07588075928</v>
      </c>
      <c r="F591" s="1309"/>
      <c r="G591" s="1309"/>
      <c r="H591" s="1309"/>
      <c r="I591" s="1309"/>
      <c r="J591" s="1309"/>
      <c r="K591" s="1310"/>
      <c r="L591" s="1309"/>
      <c r="M591" s="1309"/>
      <c r="N591" s="1309"/>
    </row>
    <row r="592" spans="1:14" s="1302" customFormat="1" ht="15.6">
      <c r="A592" s="1313"/>
      <c r="B592" s="1312">
        <v>44941</v>
      </c>
      <c r="C592" s="1311"/>
      <c r="D592" s="1309"/>
      <c r="E592" s="1315">
        <f t="shared" si="85"/>
        <v>500254.86178861838</v>
      </c>
      <c r="F592" s="1309"/>
      <c r="G592" s="1309"/>
      <c r="H592" s="1309"/>
      <c r="I592" s="1309"/>
      <c r="J592" s="1309"/>
      <c r="K592" s="1310"/>
      <c r="L592" s="1309"/>
      <c r="M592" s="1309"/>
      <c r="N592" s="1309"/>
    </row>
    <row r="593" spans="1:15" s="1302" customFormat="1" ht="15.6">
      <c r="A593" s="1313"/>
      <c r="B593" s="1312">
        <v>44942</v>
      </c>
      <c r="C593" s="1311"/>
      <c r="D593" s="1309"/>
      <c r="E593" s="1315">
        <f t="shared" si="85"/>
        <v>500365.64769647748</v>
      </c>
      <c r="F593" s="1309"/>
      <c r="G593" s="1309"/>
      <c r="H593" s="1309"/>
      <c r="I593" s="1309"/>
      <c r="J593" s="1309"/>
      <c r="K593" s="1310"/>
      <c r="L593" s="1309"/>
      <c r="M593" s="1309"/>
      <c r="N593" s="1309"/>
    </row>
    <row r="594" spans="1:15" s="1302" customFormat="1" ht="15.6">
      <c r="A594" s="1313"/>
      <c r="B594" s="1312">
        <v>44943</v>
      </c>
      <c r="C594" s="1311"/>
      <c r="D594" s="1309"/>
      <c r="E594" s="1315">
        <f t="shared" si="85"/>
        <v>500476.43360433658</v>
      </c>
      <c r="F594" s="1309"/>
      <c r="G594" s="1309"/>
      <c r="H594" s="1309"/>
      <c r="I594" s="1309"/>
      <c r="J594" s="1309"/>
      <c r="K594" s="1310"/>
      <c r="L594" s="1309"/>
      <c r="M594" s="1309"/>
      <c r="N594" s="1309"/>
    </row>
    <row r="595" spans="1:15" s="1302" customFormat="1" ht="15.6">
      <c r="A595" s="1313"/>
      <c r="B595" s="1312">
        <v>44944</v>
      </c>
      <c r="C595" s="1311"/>
      <c r="D595" s="1309"/>
      <c r="E595" s="1315">
        <f t="shared" si="85"/>
        <v>500587.21951219568</v>
      </c>
      <c r="F595" s="1309"/>
      <c r="G595" s="1309"/>
      <c r="H595" s="1309"/>
      <c r="I595" s="1309"/>
      <c r="J595" s="1309"/>
      <c r="K595" s="1310"/>
      <c r="L595" s="1309"/>
      <c r="M595" s="1309"/>
      <c r="N595" s="1309"/>
    </row>
    <row r="596" spans="1:15" s="1302" customFormat="1" ht="15.6">
      <c r="A596" s="1313"/>
      <c r="B596" s="1312">
        <v>44945</v>
      </c>
      <c r="C596" s="1311"/>
      <c r="D596" s="1309"/>
      <c r="E596" s="1315">
        <f t="shared" si="85"/>
        <v>500698.00542005477</v>
      </c>
      <c r="F596" s="1309"/>
      <c r="G596" s="1309"/>
      <c r="H596" s="1309"/>
      <c r="I596" s="1309"/>
      <c r="J596" s="1309"/>
      <c r="K596" s="1310"/>
      <c r="L596" s="1309"/>
      <c r="M596" s="1309"/>
      <c r="N596" s="1309"/>
    </row>
    <row r="597" spans="1:15" s="1302" customFormat="1" ht="15.6">
      <c r="A597" s="1313"/>
      <c r="B597" s="1312">
        <v>44946</v>
      </c>
      <c r="C597" s="1311"/>
      <c r="D597" s="1309"/>
      <c r="E597" s="1315">
        <f t="shared" si="85"/>
        <v>500808.79132791387</v>
      </c>
      <c r="F597" s="1309"/>
      <c r="G597" s="1309"/>
      <c r="H597" s="1309"/>
      <c r="I597" s="1309"/>
      <c r="J597" s="1309"/>
      <c r="K597" s="1310"/>
      <c r="L597" s="1309"/>
      <c r="M597" s="1309"/>
      <c r="N597" s="1309"/>
    </row>
    <row r="598" spans="1:15" s="1302" customFormat="1" ht="15.6">
      <c r="A598" s="1313"/>
      <c r="B598" s="1312">
        <v>44947</v>
      </c>
      <c r="C598" s="1311"/>
      <c r="D598" s="1309"/>
      <c r="E598" s="1315">
        <f t="shared" si="85"/>
        <v>500919.57723577297</v>
      </c>
      <c r="F598" s="1309"/>
      <c r="G598" s="1309"/>
      <c r="H598" s="1309"/>
      <c r="I598" s="1309"/>
      <c r="J598" s="1309"/>
      <c r="K598" s="1310"/>
      <c r="L598" s="1309"/>
      <c r="M598" s="1309"/>
      <c r="N598" s="1309"/>
    </row>
    <row r="599" spans="1:15" s="1302" customFormat="1" ht="15.6">
      <c r="A599" s="1313"/>
      <c r="B599" s="1312">
        <v>44948</v>
      </c>
      <c r="C599" s="1311"/>
      <c r="D599" s="1309"/>
      <c r="E599" s="1315">
        <f t="shared" si="85"/>
        <v>501030.36314363207</v>
      </c>
      <c r="F599" s="1309"/>
      <c r="G599" s="1309"/>
      <c r="H599" s="1309"/>
      <c r="I599" s="1309"/>
      <c r="J599" s="1309"/>
      <c r="K599" s="1310"/>
      <c r="L599" s="1309"/>
      <c r="M599" s="1309"/>
      <c r="N599" s="1309"/>
    </row>
    <row r="600" spans="1:15" s="1302" customFormat="1" ht="15.6">
      <c r="A600" s="1313"/>
      <c r="B600" s="1312">
        <v>44949</v>
      </c>
      <c r="C600" s="1311"/>
      <c r="D600" s="1309"/>
      <c r="E600" s="1315">
        <f t="shared" si="85"/>
        <v>501141.14905149117</v>
      </c>
      <c r="F600" s="1309"/>
      <c r="G600" s="1309"/>
      <c r="H600" s="1309"/>
      <c r="I600" s="1309"/>
      <c r="J600" s="1309"/>
      <c r="K600" s="1310"/>
      <c r="L600" s="1309"/>
      <c r="M600" s="1309"/>
      <c r="N600" s="1309"/>
    </row>
    <row r="601" spans="1:15" s="1302" customFormat="1" ht="15.6">
      <c r="A601" s="1313"/>
      <c r="B601" s="1312">
        <v>44950</v>
      </c>
      <c r="C601" s="1311"/>
      <c r="D601" s="1309"/>
      <c r="E601" s="1315">
        <f t="shared" si="85"/>
        <v>501251.93495935027</v>
      </c>
      <c r="F601" s="1309"/>
      <c r="G601" s="1309"/>
      <c r="H601" s="1309"/>
      <c r="I601" s="1309"/>
      <c r="J601" s="1309"/>
      <c r="K601" s="1310"/>
      <c r="L601" s="1309"/>
      <c r="M601" s="1309"/>
      <c r="N601" s="1309"/>
    </row>
    <row r="602" spans="1:15" s="1302" customFormat="1" ht="15.6">
      <c r="A602" s="1313"/>
      <c r="B602" s="1312">
        <v>44951</v>
      </c>
      <c r="C602" s="1311"/>
      <c r="D602" s="1309"/>
      <c r="E602" s="1315">
        <f t="shared" si="85"/>
        <v>501362.72086720937</v>
      </c>
      <c r="F602" s="1309"/>
      <c r="G602" s="1309"/>
      <c r="H602" s="1309"/>
      <c r="I602" s="1309"/>
      <c r="J602" s="1309"/>
      <c r="K602" s="1310"/>
      <c r="L602" s="1309"/>
      <c r="M602" s="1309"/>
      <c r="N602" s="1309"/>
    </row>
    <row r="603" spans="1:15" s="1302" customFormat="1" ht="15.6">
      <c r="A603" s="1313"/>
      <c r="B603" s="1312">
        <v>44952</v>
      </c>
      <c r="C603" s="1311"/>
      <c r="D603" s="1309"/>
      <c r="E603" s="1315">
        <f t="shared" si="85"/>
        <v>501473.50677506847</v>
      </c>
      <c r="F603" s="1309"/>
      <c r="G603" s="1309"/>
      <c r="H603" s="1309"/>
      <c r="I603" s="1309"/>
      <c r="J603" s="1309"/>
      <c r="K603" s="1310"/>
      <c r="L603" s="1309"/>
      <c r="M603" s="1309"/>
      <c r="N603" s="1309"/>
    </row>
    <row r="604" spans="1:15" s="1302" customFormat="1" ht="15.6">
      <c r="A604" s="1313"/>
      <c r="B604" s="1312">
        <v>44953</v>
      </c>
      <c r="C604" s="1311"/>
      <c r="D604" s="1309"/>
      <c r="E604" s="1314">
        <v>501584</v>
      </c>
      <c r="F604" s="1309"/>
      <c r="G604" s="1309"/>
      <c r="H604" s="1309"/>
      <c r="I604" s="1309"/>
      <c r="J604" s="1309"/>
      <c r="K604" s="1310"/>
      <c r="L604" s="1309"/>
      <c r="M604" s="1309"/>
      <c r="N604" s="1309"/>
      <c r="O604" s="1314">
        <f>(E604-E567)/36.9</f>
        <v>110.78590785907859</v>
      </c>
    </row>
    <row r="605" spans="1:15" s="1302" customFormat="1" ht="15.6">
      <c r="A605" s="1313"/>
      <c r="B605" s="1312">
        <v>44954</v>
      </c>
      <c r="C605" s="1311"/>
      <c r="D605" s="1309"/>
      <c r="E605" s="1314">
        <v>501770</v>
      </c>
      <c r="F605" s="1309"/>
      <c r="G605" s="1309"/>
      <c r="H605" s="1309"/>
      <c r="I605" s="1309"/>
      <c r="J605" s="1309"/>
      <c r="K605" s="1310"/>
      <c r="L605" s="1309"/>
      <c r="M605" s="1309"/>
      <c r="N605" s="1309"/>
    </row>
    <row r="606" spans="1:15" s="1302" customFormat="1" ht="15.6">
      <c r="A606" s="1313"/>
      <c r="B606" s="1312">
        <v>44955</v>
      </c>
      <c r="C606" s="1311"/>
      <c r="D606" s="1309"/>
      <c r="E606" s="1315">
        <v>501956</v>
      </c>
      <c r="F606" s="1309"/>
      <c r="G606" s="1309"/>
      <c r="H606" s="1309"/>
      <c r="I606" s="1309"/>
      <c r="J606" s="1309"/>
      <c r="K606" s="1310"/>
      <c r="L606" s="1309"/>
      <c r="M606" s="1309"/>
      <c r="N606" s="1309"/>
    </row>
    <row r="607" spans="1:15" s="1302" customFormat="1" ht="15.6">
      <c r="A607" s="1313"/>
      <c r="B607" s="1312">
        <v>44956</v>
      </c>
      <c r="C607" s="1311"/>
      <c r="D607" s="1309"/>
      <c r="E607" s="1315">
        <v>502147</v>
      </c>
      <c r="F607" s="1309"/>
      <c r="G607" s="1309"/>
      <c r="H607" s="1309"/>
      <c r="I607" s="1309"/>
      <c r="J607" s="1309"/>
      <c r="K607" s="1310"/>
      <c r="L607" s="1309"/>
      <c r="M607" s="1309"/>
      <c r="N607" s="1309"/>
    </row>
    <row r="608" spans="1:15" s="1302" customFormat="1" ht="15.6">
      <c r="A608" s="1313"/>
      <c r="B608" s="1312">
        <v>44957</v>
      </c>
      <c r="C608" s="1311"/>
      <c r="D608" s="1309"/>
      <c r="E608" s="1309"/>
      <c r="F608" s="1309"/>
      <c r="G608" s="1309"/>
      <c r="H608" s="1309"/>
      <c r="I608" s="1309"/>
      <c r="J608" s="1309"/>
      <c r="K608" s="1310"/>
      <c r="L608" s="1309"/>
      <c r="M608" s="1309"/>
      <c r="N608" s="1309"/>
    </row>
    <row r="610" spans="2:5">
      <c r="B610" s="1729" t="s">
        <v>1179</v>
      </c>
      <c r="C610" s="1307">
        <v>37</v>
      </c>
      <c r="D610" s="1725">
        <v>7.5</v>
      </c>
      <c r="E610" s="1726">
        <f>C610*D610</f>
        <v>277.5</v>
      </c>
    </row>
    <row r="611" spans="2:5">
      <c r="B611" s="1729" t="s">
        <v>1178</v>
      </c>
      <c r="C611" s="1307">
        <v>37</v>
      </c>
      <c r="D611" s="1725">
        <v>6.37</v>
      </c>
      <c r="E611" s="1726">
        <f t="shared" ref="E611" si="87">C611*D611</f>
        <v>235.69</v>
      </c>
    </row>
    <row r="612" spans="2:5">
      <c r="B612" s="1729" t="s">
        <v>1176</v>
      </c>
      <c r="D612" s="1725"/>
      <c r="E612" s="1726">
        <v>1050</v>
      </c>
    </row>
    <row r="613" spans="2:5">
      <c r="B613" s="1729" t="s">
        <v>1175</v>
      </c>
      <c r="D613" s="1725"/>
      <c r="E613" s="1726">
        <v>150</v>
      </c>
    </row>
    <row r="614" spans="2:5">
      <c r="B614" s="1729"/>
      <c r="D614" s="1725"/>
      <c r="E614" s="1727">
        <f>SUM(E610:E613)</f>
        <v>1713.19</v>
      </c>
    </row>
    <row r="615" spans="2:5">
      <c r="B615" s="1729" t="s">
        <v>1174</v>
      </c>
      <c r="D615" s="1725"/>
      <c r="E615" s="1726">
        <f>E614*0.25</f>
        <v>428.29750000000001</v>
      </c>
    </row>
    <row r="616" spans="2:5" ht="14.4" thickBot="1">
      <c r="B616" s="1729"/>
      <c r="D616" s="1725"/>
      <c r="E616" s="1728">
        <f>SUM(E614:E615)</f>
        <v>2141.4875000000002</v>
      </c>
    </row>
    <row r="617" spans="2:5" ht="14.4" thickTop="1">
      <c r="B617" s="1729"/>
      <c r="D617" s="1725"/>
      <c r="E617" s="1726"/>
    </row>
    <row r="618" spans="2:5">
      <c r="B618" s="1729" t="s">
        <v>1179</v>
      </c>
      <c r="C618" s="1307">
        <v>4</v>
      </c>
      <c r="D618" s="1725">
        <v>7.5</v>
      </c>
      <c r="E618" s="1726">
        <f>C618*D618</f>
        <v>30</v>
      </c>
    </row>
    <row r="619" spans="2:5">
      <c r="B619" s="1729" t="s">
        <v>1178</v>
      </c>
      <c r="C619" s="1307">
        <v>4</v>
      </c>
      <c r="D619" s="1725">
        <v>6.37</v>
      </c>
      <c r="E619" s="1726">
        <f t="shared" ref="E619" si="88">C619*D619</f>
        <v>25.48</v>
      </c>
    </row>
    <row r="620" spans="2:5">
      <c r="B620" s="1729" t="s">
        <v>1176</v>
      </c>
      <c r="D620" s="1725"/>
      <c r="E620" s="1726">
        <f>1050/12</f>
        <v>87.5</v>
      </c>
    </row>
    <row r="621" spans="2:5">
      <c r="B621" s="1729" t="s">
        <v>1175</v>
      </c>
      <c r="D621" s="1725"/>
      <c r="E621" s="1726">
        <f>150/12</f>
        <v>12.5</v>
      </c>
    </row>
    <row r="622" spans="2:5">
      <c r="B622" s="1729"/>
      <c r="D622" s="1725"/>
      <c r="E622" s="1727">
        <f>SUM(E618:E621)</f>
        <v>155.48000000000002</v>
      </c>
    </row>
    <row r="623" spans="2:5">
      <c r="B623" s="1729" t="s">
        <v>1174</v>
      </c>
      <c r="D623" s="1725"/>
      <c r="E623" s="1726">
        <f>E622*0.25</f>
        <v>38.870000000000005</v>
      </c>
    </row>
    <row r="624" spans="2:5" ht="14.4" thickBot="1">
      <c r="B624" s="1729"/>
      <c r="D624" s="1725"/>
      <c r="E624" s="1728">
        <f>SUM(E622:E623)</f>
        <v>194.35000000000002</v>
      </c>
    </row>
    <row r="625" spans="2:5" ht="14.4" thickTop="1">
      <c r="B625" s="1729"/>
    </row>
    <row r="626" spans="2:5">
      <c r="B626" s="1729"/>
      <c r="E626" s="1727">
        <f>E616+E624</f>
        <v>2335.8375000000001</v>
      </c>
    </row>
    <row r="627" spans="2:5">
      <c r="B627" s="1729" t="s">
        <v>1173</v>
      </c>
      <c r="E627" s="1726">
        <v>2366.88</v>
      </c>
    </row>
    <row r="628" spans="2:5" ht="14.4" thickBot="1">
      <c r="B628" s="1729" t="s">
        <v>1347</v>
      </c>
      <c r="E628" s="1728">
        <f>E627-E626</f>
        <v>31.042500000000018</v>
      </c>
    </row>
    <row r="629" spans="2:5" ht="14.4" thickTop="1"/>
  </sheetData>
  <mergeCells count="3">
    <mergeCell ref="J2:K2"/>
    <mergeCell ref="H2:I2"/>
    <mergeCell ref="A1:N1"/>
  </mergeCells>
  <conditionalFormatting sqref="F1:F1048576">
    <cfRule type="dataBar" priority="1">
      <dataBar>
        <cfvo type="min" val="0"/>
        <cfvo type="max" val="0"/>
        <color rgb="FF638EC6"/>
      </dataBar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B748"/>
  <sheetViews>
    <sheetView topLeftCell="A6" zoomScale="90" zoomScaleNormal="90" workbookViewId="0">
      <pane ySplit="12" topLeftCell="A330" activePane="bottomLeft" state="frozen"/>
      <selection activeCell="EZ40" sqref="EZ40"/>
      <selection pane="bottomLeft" activeCell="N354" sqref="N354"/>
    </sheetView>
  </sheetViews>
  <sheetFormatPr defaultColWidth="9.109375" defaultRowHeight="13.2"/>
  <cols>
    <col min="1" max="1" width="0.6640625" style="5" customWidth="1"/>
    <col min="2" max="2" width="15.44140625" style="4" customWidth="1"/>
    <col min="3" max="3" width="1.6640625" style="4" customWidth="1"/>
    <col min="4" max="4" width="16.33203125" style="3" customWidth="1"/>
    <col min="5" max="5" width="12.5546875" style="986" customWidth="1"/>
    <col min="6" max="11" width="11.33203125" style="2" customWidth="1"/>
    <col min="12" max="12" width="11.33203125" style="2" hidden="1" customWidth="1"/>
    <col min="13" max="15" width="11.33203125" style="2" customWidth="1"/>
    <col min="16" max="16" width="10.6640625" style="2" customWidth="1"/>
    <col min="17" max="21" width="10.33203125" style="2" customWidth="1"/>
    <col min="22" max="22" width="10.6640625" style="2" customWidth="1"/>
    <col min="23" max="24" width="10.33203125" style="2" customWidth="1"/>
    <col min="25" max="25" width="9.109375" style="1"/>
    <col min="26" max="27" width="9.44140625" style="1" bestFit="1" customWidth="1"/>
    <col min="28" max="30" width="9.109375" style="1"/>
    <col min="31" max="31" width="10.44140625" style="1" bestFit="1" customWidth="1"/>
    <col min="32" max="33" width="9.6640625" style="1" bestFit="1" customWidth="1"/>
    <col min="34" max="16384" width="9.109375" style="1"/>
  </cols>
  <sheetData>
    <row r="1" spans="1:54" s="26" customFormat="1" ht="19.5" customHeight="1">
      <c r="A1" s="29"/>
      <c r="B1" s="96" t="s">
        <v>111</v>
      </c>
      <c r="C1" s="96"/>
      <c r="D1" s="95" t="s">
        <v>122</v>
      </c>
      <c r="E1" s="983" t="s">
        <v>121</v>
      </c>
      <c r="F1" s="94" t="s">
        <v>120</v>
      </c>
      <c r="G1" s="94" t="s">
        <v>119</v>
      </c>
      <c r="H1" s="94" t="s">
        <v>118</v>
      </c>
      <c r="I1" s="94" t="s">
        <v>44</v>
      </c>
      <c r="J1" s="94" t="s">
        <v>117</v>
      </c>
      <c r="K1" s="94" t="s">
        <v>116</v>
      </c>
      <c r="L1" s="94" t="s">
        <v>115</v>
      </c>
      <c r="M1" s="94" t="s">
        <v>114</v>
      </c>
      <c r="N1" s="94" t="s">
        <v>113</v>
      </c>
      <c r="O1" s="94" t="s">
        <v>112</v>
      </c>
      <c r="P1" s="2905" t="s">
        <v>111</v>
      </c>
      <c r="Q1" s="2906"/>
      <c r="R1" s="93" t="s">
        <v>110</v>
      </c>
      <c r="S1" s="92"/>
      <c r="T1" s="92"/>
      <c r="U1" s="2907" t="s">
        <v>109</v>
      </c>
      <c r="V1" s="2908"/>
      <c r="W1" s="91"/>
      <c r="X1" s="91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1"/>
      <c r="AL1" s="1"/>
      <c r="AM1" s="1"/>
      <c r="AN1" s="1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</row>
    <row r="2" spans="1:54" ht="13.8">
      <c r="A2" s="88"/>
      <c r="B2" s="87" t="s">
        <v>35</v>
      </c>
      <c r="C2" s="87"/>
      <c r="D2" s="86" t="e">
        <f>-#REF!</f>
        <v>#REF!</v>
      </c>
      <c r="E2" s="984" t="e">
        <f>-#REF!</f>
        <v>#REF!</v>
      </c>
      <c r="F2" s="81" t="e">
        <f>-#REF!</f>
        <v>#REF!</v>
      </c>
      <c r="G2" s="81" t="e">
        <f>-#REF!</f>
        <v>#REF!</v>
      </c>
      <c r="H2" s="81" t="e">
        <f>-#REF!</f>
        <v>#REF!</v>
      </c>
      <c r="I2" s="81" t="e">
        <f>-#REF!</f>
        <v>#REF!</v>
      </c>
      <c r="J2" s="81" t="e">
        <f>-#REF!</f>
        <v>#REF!</v>
      </c>
      <c r="K2" s="81" t="e">
        <f>-#REF!</f>
        <v>#REF!</v>
      </c>
      <c r="L2" s="81" t="e">
        <f>-#REF!</f>
        <v>#REF!</v>
      </c>
      <c r="M2" s="81" t="e">
        <f>-#REF!</f>
        <v>#REF!</v>
      </c>
      <c r="N2" s="81" t="e">
        <f>-#REF!</f>
        <v>#REF!</v>
      </c>
      <c r="O2" s="81" t="e">
        <f>-#REF!</f>
        <v>#REF!</v>
      </c>
      <c r="P2" s="85"/>
      <c r="Q2" s="89" t="e">
        <f>SUM(D2:O2)</f>
        <v>#REF!</v>
      </c>
      <c r="R2" s="83" t="e">
        <f>Q2/12</f>
        <v>#REF!</v>
      </c>
      <c r="S2" s="82" t="s">
        <v>35</v>
      </c>
      <c r="T2" s="81"/>
      <c r="U2" s="82" t="s">
        <v>108</v>
      </c>
      <c r="V2" s="81">
        <v>16432</v>
      </c>
      <c r="W2" s="81"/>
      <c r="X2" s="81"/>
      <c r="Y2" s="82"/>
      <c r="Z2" s="82"/>
      <c r="AA2" s="81">
        <v>18478</v>
      </c>
      <c r="AK2" s="9"/>
      <c r="AL2" s="9"/>
      <c r="AM2" s="9"/>
      <c r="AN2" s="9"/>
    </row>
    <row r="3" spans="1:54" ht="13.8">
      <c r="A3" s="88"/>
      <c r="B3" s="87" t="s">
        <v>34</v>
      </c>
      <c r="C3" s="87"/>
      <c r="D3" s="86">
        <f>-$AH$12</f>
        <v>-456</v>
      </c>
      <c r="E3" s="984">
        <f>-($AH$12+$AA$5)</f>
        <v>-11728</v>
      </c>
      <c r="F3" s="81">
        <f t="shared" ref="F3:O3" si="0">-$AH$12</f>
        <v>-456</v>
      </c>
      <c r="G3" s="81">
        <f t="shared" si="0"/>
        <v>-456</v>
      </c>
      <c r="H3" s="81">
        <f t="shared" si="0"/>
        <v>-456</v>
      </c>
      <c r="I3" s="81">
        <f t="shared" si="0"/>
        <v>-456</v>
      </c>
      <c r="J3" s="81">
        <f t="shared" si="0"/>
        <v>-456</v>
      </c>
      <c r="K3" s="81">
        <f t="shared" si="0"/>
        <v>-456</v>
      </c>
      <c r="L3" s="81">
        <f t="shared" si="0"/>
        <v>-456</v>
      </c>
      <c r="M3" s="81">
        <f t="shared" si="0"/>
        <v>-456</v>
      </c>
      <c r="N3" s="81">
        <f t="shared" si="0"/>
        <v>-456</v>
      </c>
      <c r="O3" s="81">
        <f t="shared" si="0"/>
        <v>-456</v>
      </c>
      <c r="P3" s="85"/>
      <c r="Q3" s="89">
        <f>SUM(D3:O3)</f>
        <v>-16744</v>
      </c>
      <c r="R3" s="83">
        <f>Q3/12</f>
        <v>-1395.3333333333333</v>
      </c>
      <c r="S3" s="82" t="s">
        <v>34</v>
      </c>
      <c r="T3" s="81"/>
      <c r="U3" s="82" t="s">
        <v>107</v>
      </c>
      <c r="V3" s="81">
        <v>4243</v>
      </c>
      <c r="W3" s="81"/>
      <c r="X3" s="81"/>
      <c r="Y3" s="82"/>
      <c r="Z3" s="82"/>
      <c r="AA3" s="81"/>
      <c r="AK3" s="90"/>
      <c r="AL3" s="90"/>
      <c r="AM3" s="90"/>
      <c r="AN3" s="90"/>
    </row>
    <row r="4" spans="1:54" ht="13.8">
      <c r="A4" s="88"/>
      <c r="B4" s="87" t="s">
        <v>33</v>
      </c>
      <c r="C4" s="87"/>
      <c r="D4" s="86" t="e">
        <f t="shared" ref="D4:O4" si="1">-$T$4</f>
        <v>#REF!</v>
      </c>
      <c r="E4" s="984" t="e">
        <f t="shared" si="1"/>
        <v>#REF!</v>
      </c>
      <c r="F4" s="81" t="e">
        <f t="shared" si="1"/>
        <v>#REF!</v>
      </c>
      <c r="G4" s="81" t="e">
        <f t="shared" si="1"/>
        <v>#REF!</v>
      </c>
      <c r="H4" s="81" t="e">
        <f t="shared" si="1"/>
        <v>#REF!</v>
      </c>
      <c r="I4" s="81" t="e">
        <f t="shared" si="1"/>
        <v>#REF!</v>
      </c>
      <c r="J4" s="81" t="e">
        <f t="shared" si="1"/>
        <v>#REF!</v>
      </c>
      <c r="K4" s="81" t="e">
        <f t="shared" si="1"/>
        <v>#REF!</v>
      </c>
      <c r="L4" s="81" t="e">
        <f t="shared" si="1"/>
        <v>#REF!</v>
      </c>
      <c r="M4" s="81" t="e">
        <f t="shared" si="1"/>
        <v>#REF!</v>
      </c>
      <c r="N4" s="81" t="e">
        <f t="shared" si="1"/>
        <v>#REF!</v>
      </c>
      <c r="O4" s="81" t="e">
        <f t="shared" si="1"/>
        <v>#REF!</v>
      </c>
      <c r="P4" s="85"/>
      <c r="Q4" s="89" t="e">
        <f>SUM(D4:O4)</f>
        <v>#REF!</v>
      </c>
      <c r="R4" s="83" t="e">
        <f>Q4/12</f>
        <v>#REF!</v>
      </c>
      <c r="S4" s="82" t="s">
        <v>33</v>
      </c>
      <c r="T4" s="81" t="e">
        <f>ROUNDUP(#REF!*0.61,0)</f>
        <v>#REF!</v>
      </c>
      <c r="U4" s="82" t="s">
        <v>106</v>
      </c>
      <c r="V4" s="81">
        <v>0.39</v>
      </c>
      <c r="W4" s="81"/>
      <c r="X4" s="81"/>
      <c r="Y4" s="82"/>
      <c r="Z4" s="82"/>
      <c r="AA4" s="81">
        <v>0.39</v>
      </c>
    </row>
    <row r="5" spans="1:54" ht="14.4" thickBot="1">
      <c r="A5" s="88"/>
      <c r="B5" s="87" t="s">
        <v>31</v>
      </c>
      <c r="C5" s="87"/>
      <c r="D5" s="86" t="e">
        <f>-#REF!</f>
        <v>#REF!</v>
      </c>
      <c r="E5" s="984" t="e">
        <f>-#REF!</f>
        <v>#REF!</v>
      </c>
      <c r="F5" s="81" t="e">
        <f>-#REF!</f>
        <v>#REF!</v>
      </c>
      <c r="G5" s="81" t="e">
        <f>-#REF!</f>
        <v>#REF!</v>
      </c>
      <c r="H5" s="81" t="e">
        <f>-#REF!</f>
        <v>#REF!</v>
      </c>
      <c r="I5" s="81" t="e">
        <f>-#REF!</f>
        <v>#REF!</v>
      </c>
      <c r="J5" s="81" t="e">
        <f>-#REF!</f>
        <v>#REF!</v>
      </c>
      <c r="K5" s="81" t="e">
        <f>-#REF!</f>
        <v>#REF!</v>
      </c>
      <c r="L5" s="81" t="e">
        <f>-#REF!</f>
        <v>#REF!</v>
      </c>
      <c r="M5" s="81" t="e">
        <f>-#REF!</f>
        <v>#REF!</v>
      </c>
      <c r="N5" s="81" t="e">
        <f>-#REF!</f>
        <v>#REF!</v>
      </c>
      <c r="O5" s="81" t="e">
        <f>-#REF!</f>
        <v>#REF!</v>
      </c>
      <c r="P5" s="85"/>
      <c r="Q5" s="84" t="e">
        <f>SUM(D5:O5)</f>
        <v>#REF!</v>
      </c>
      <c r="R5" s="83" t="e">
        <f>Q5/12</f>
        <v>#REF!</v>
      </c>
      <c r="S5" s="82"/>
      <c r="T5" s="81"/>
      <c r="U5" s="82" t="s">
        <v>41</v>
      </c>
      <c r="V5" s="81">
        <f>ROUNDUP($V$2-(($V$2-$V$3)*$V$4),0)</f>
        <v>11679</v>
      </c>
      <c r="W5" s="81"/>
      <c r="X5" s="81"/>
      <c r="Y5" s="82"/>
      <c r="Z5" s="82"/>
      <c r="AA5" s="81">
        <f>ROUNDUP($AA$2*0.61,0)</f>
        <v>11272</v>
      </c>
    </row>
    <row r="6" spans="1:54" s="50" customFormat="1" ht="18">
      <c r="A6" s="60"/>
      <c r="B6" s="80">
        <f ca="1">TODAY()</f>
        <v>45428</v>
      </c>
      <c r="C6" s="79">
        <v>44927</v>
      </c>
      <c r="D6" s="2885">
        <f>N10</f>
        <v>0</v>
      </c>
      <c r="E6" s="2886"/>
      <c r="F6" s="2886"/>
      <c r="G6" s="2887">
        <f ca="1">C7-B6</f>
        <v>-137</v>
      </c>
      <c r="H6" s="2887"/>
      <c r="I6" s="2888">
        <f ca="1">$D$6/($G$6-1)</f>
        <v>0</v>
      </c>
      <c r="J6" s="2888"/>
      <c r="K6" s="2883">
        <f>K9</f>
        <v>0</v>
      </c>
      <c r="L6" s="2883"/>
      <c r="M6" s="2883"/>
      <c r="N6" s="2883"/>
      <c r="O6" s="2884"/>
      <c r="P6" s="2915" t="s">
        <v>105</v>
      </c>
      <c r="Q6" s="2916"/>
      <c r="R6" s="2909" t="s">
        <v>29</v>
      </c>
      <c r="S6" s="2911" t="s">
        <v>104</v>
      </c>
      <c r="T6" s="2912"/>
      <c r="U6" s="2911" t="s">
        <v>103</v>
      </c>
      <c r="V6" s="2912"/>
      <c r="W6" s="2909" t="s">
        <v>102</v>
      </c>
      <c r="X6" s="2909" t="s">
        <v>101</v>
      </c>
      <c r="Y6" s="2903"/>
      <c r="Z6" s="2903" t="s">
        <v>30</v>
      </c>
      <c r="AA6" s="2903" t="s">
        <v>31</v>
      </c>
      <c r="AB6" s="2903" t="s">
        <v>27</v>
      </c>
      <c r="AC6" s="2903" t="s">
        <v>100</v>
      </c>
      <c r="AD6" s="2903" t="s">
        <v>99</v>
      </c>
      <c r="AE6" s="2903" t="s">
        <v>98</v>
      </c>
      <c r="AF6" s="2903" t="s">
        <v>35</v>
      </c>
      <c r="AG6" s="2903" t="s">
        <v>34</v>
      </c>
      <c r="AH6" s="2903" t="s">
        <v>33</v>
      </c>
      <c r="AI6" s="2903" t="s">
        <v>21</v>
      </c>
      <c r="AJ6" s="2903" t="s">
        <v>22</v>
      </c>
      <c r="AK6" s="2903" t="s">
        <v>20</v>
      </c>
      <c r="AL6" s="2901" t="s">
        <v>97</v>
      </c>
      <c r="AM6" s="2902"/>
      <c r="AN6" s="2901" t="s">
        <v>49</v>
      </c>
      <c r="AO6" s="2902"/>
      <c r="AP6" s="78" t="s">
        <v>15</v>
      </c>
      <c r="AQ6" s="78" t="s">
        <v>96</v>
      </c>
      <c r="AR6" s="78" t="s">
        <v>95</v>
      </c>
      <c r="AS6" s="78" t="s">
        <v>28</v>
      </c>
      <c r="AT6" s="78" t="s">
        <v>29</v>
      </c>
      <c r="AU6" s="764" t="s">
        <v>1102</v>
      </c>
      <c r="AV6" s="965"/>
      <c r="AW6" s="1766" t="s">
        <v>96</v>
      </c>
      <c r="AX6" s="72"/>
      <c r="AY6" s="72"/>
      <c r="AZ6" s="72"/>
    </row>
    <row r="7" spans="1:54" s="50" customFormat="1" ht="15.6">
      <c r="A7" s="60">
        <f ca="1">MONTH($B$6)-1</f>
        <v>4</v>
      </c>
      <c r="B7" s="77">
        <f ca="1">$C$6-$B$6</f>
        <v>-501</v>
      </c>
      <c r="C7" s="79">
        <v>45291</v>
      </c>
      <c r="D7" s="75" t="s">
        <v>94</v>
      </c>
      <c r="E7" s="985" t="s">
        <v>93</v>
      </c>
      <c r="F7" s="75" t="s">
        <v>92</v>
      </c>
      <c r="G7" s="75" t="s">
        <v>91</v>
      </c>
      <c r="H7" s="75" t="s">
        <v>90</v>
      </c>
      <c r="I7" s="75" t="s">
        <v>89</v>
      </c>
      <c r="J7" s="75" t="s">
        <v>88</v>
      </c>
      <c r="K7" s="75" t="s">
        <v>87</v>
      </c>
      <c r="L7" s="75" t="s">
        <v>86</v>
      </c>
      <c r="M7" s="75" t="s">
        <v>85</v>
      </c>
      <c r="N7" s="75" t="s">
        <v>84</v>
      </c>
      <c r="O7" s="74" t="s">
        <v>83</v>
      </c>
      <c r="P7" s="2913"/>
      <c r="Q7" s="2914"/>
      <c r="R7" s="2910"/>
      <c r="S7" s="73" t="s">
        <v>82</v>
      </c>
      <c r="T7" s="73" t="s">
        <v>29</v>
      </c>
      <c r="U7" s="73" t="s">
        <v>81</v>
      </c>
      <c r="V7" s="73" t="s">
        <v>29</v>
      </c>
      <c r="W7" s="2910"/>
      <c r="X7" s="2910"/>
      <c r="Y7" s="2904"/>
      <c r="Z7" s="2904"/>
      <c r="AA7" s="2904"/>
      <c r="AB7" s="2904"/>
      <c r="AC7" s="2904"/>
      <c r="AD7" s="2904"/>
      <c r="AE7" s="2904"/>
      <c r="AF7" s="2904"/>
      <c r="AG7" s="2904"/>
      <c r="AH7" s="2904"/>
      <c r="AI7" s="2904"/>
      <c r="AJ7" s="2904"/>
      <c r="AK7" s="2904"/>
      <c r="AL7" s="66" t="s">
        <v>80</v>
      </c>
      <c r="AM7" s="66" t="s">
        <v>79</v>
      </c>
      <c r="AN7" s="66" t="s">
        <v>80</v>
      </c>
      <c r="AO7" s="66" t="s">
        <v>79</v>
      </c>
      <c r="AP7" s="66"/>
      <c r="AQ7" s="66"/>
      <c r="AR7" s="52"/>
      <c r="AS7" s="52"/>
      <c r="AT7" s="52"/>
      <c r="AU7" s="52"/>
      <c r="AV7" s="52"/>
      <c r="AW7" s="66">
        <v>69</v>
      </c>
      <c r="AX7" s="72"/>
      <c r="AY7" s="72"/>
      <c r="AZ7" s="72"/>
    </row>
    <row r="8" spans="1:54" s="69" customFormat="1" ht="15" customHeight="1">
      <c r="A8" s="71">
        <f>E55492</f>
        <v>0</v>
      </c>
      <c r="B8" s="2926" t="s">
        <v>1122</v>
      </c>
      <c r="C8" s="2927"/>
      <c r="D8" s="1010"/>
      <c r="E8" s="1010"/>
      <c r="F8" s="1010"/>
      <c r="G8" s="1010"/>
      <c r="H8" s="1010"/>
      <c r="I8" s="1010"/>
      <c r="J8" s="1010"/>
      <c r="K8" s="1010"/>
      <c r="L8" s="1010"/>
      <c r="M8" s="1010"/>
      <c r="N8" s="1010"/>
      <c r="O8" s="1010">
        <f>$P$8-$E436</f>
        <v>264.53000000000003</v>
      </c>
      <c r="P8" s="2917">
        <f>SUM(R8:X10)</f>
        <v>264.53000000000003</v>
      </c>
      <c r="Q8" s="2917"/>
      <c r="R8" s="2917">
        <v>283.68</v>
      </c>
      <c r="S8" s="2917">
        <v>-24.21</v>
      </c>
      <c r="T8" s="2917">
        <v>0.96</v>
      </c>
      <c r="U8" s="2917">
        <v>0</v>
      </c>
      <c r="V8" s="2917">
        <v>0.1</v>
      </c>
      <c r="W8" s="2917">
        <v>0</v>
      </c>
      <c r="X8" s="2917">
        <v>4</v>
      </c>
      <c r="Y8" s="67" t="s">
        <v>77</v>
      </c>
      <c r="Z8" s="52"/>
      <c r="AA8" s="52">
        <v>-20664</v>
      </c>
      <c r="AB8" s="52">
        <f>AB12*12</f>
        <v>7773</v>
      </c>
      <c r="AC8" s="52"/>
      <c r="AD8" s="52"/>
      <c r="AE8" s="52"/>
      <c r="AF8" s="66">
        <f>AE12*12</f>
        <v>-142116</v>
      </c>
      <c r="AG8" s="66">
        <f>AF12*12</f>
        <v>-97908</v>
      </c>
      <c r="AH8" s="66"/>
      <c r="AI8" s="66">
        <f>AH12*12</f>
        <v>5472</v>
      </c>
      <c r="AJ8" s="66">
        <f>AI12*12</f>
        <v>2724</v>
      </c>
      <c r="AK8" s="52">
        <v>2246</v>
      </c>
      <c r="AL8" s="66">
        <v>2518</v>
      </c>
      <c r="AM8" s="66">
        <v>2536</v>
      </c>
      <c r="AN8" s="66">
        <v>8060</v>
      </c>
      <c r="AO8" s="66">
        <v>3160</v>
      </c>
      <c r="AP8" s="66">
        <f ca="1">H13*31</f>
        <v>1101.2443305006755</v>
      </c>
      <c r="AQ8" s="66"/>
      <c r="AR8" s="52"/>
      <c r="AS8" s="52"/>
      <c r="AT8" s="52"/>
      <c r="AU8" s="52">
        <f>[3]bil!$D$4</f>
        <v>630.8225000000001</v>
      </c>
      <c r="AV8" s="52">
        <f>'2022'!H14</f>
        <v>87.804904109589046</v>
      </c>
      <c r="AW8" s="66"/>
      <c r="AX8" s="70"/>
    </row>
    <row r="9" spans="1:54" s="69" customFormat="1" ht="15" customHeight="1">
      <c r="A9" s="71"/>
      <c r="B9" s="2928" t="s">
        <v>1123</v>
      </c>
      <c r="C9" s="2929"/>
      <c r="D9" s="80">
        <f>D10+(9*7)</f>
        <v>45271</v>
      </c>
      <c r="E9" s="80">
        <f>D10+(12*7)</f>
        <v>45292</v>
      </c>
      <c r="F9" s="1011"/>
      <c r="G9" s="1011"/>
      <c r="H9" s="1011"/>
      <c r="I9" s="1011">
        <f>94*18</f>
        <v>1692</v>
      </c>
      <c r="J9" s="1787"/>
      <c r="K9" s="1787"/>
      <c r="L9" s="1787"/>
      <c r="M9" s="1787"/>
      <c r="N9" s="1787"/>
      <c r="O9" s="1787">
        <f>$O$8-E442</f>
        <v>-2748.7512499999998</v>
      </c>
      <c r="P9" s="2918"/>
      <c r="Q9" s="2918"/>
      <c r="R9" s="2918"/>
      <c r="S9" s="2918"/>
      <c r="T9" s="2918"/>
      <c r="U9" s="2918"/>
      <c r="V9" s="2918"/>
      <c r="W9" s="2918"/>
      <c r="X9" s="2918"/>
      <c r="Y9" s="67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66"/>
      <c r="AQ9" s="66"/>
      <c r="AR9" s="52"/>
      <c r="AS9" s="52"/>
      <c r="AT9" s="52"/>
      <c r="AU9" s="52"/>
      <c r="AV9" s="52"/>
      <c r="AW9" s="66"/>
      <c r="AX9" s="70"/>
    </row>
    <row r="10" spans="1:54" s="61" customFormat="1" ht="15" customHeight="1">
      <c r="A10" s="64"/>
      <c r="B10" s="2928" t="s">
        <v>76</v>
      </c>
      <c r="C10" s="2929"/>
      <c r="D10" s="80">
        <v>45208</v>
      </c>
      <c r="E10" s="1011"/>
      <c r="F10" s="1011"/>
      <c r="G10" s="1011"/>
      <c r="H10" s="1011"/>
      <c r="I10" s="1011"/>
      <c r="J10" s="1787"/>
      <c r="K10" s="1787"/>
      <c r="L10" s="1787"/>
      <c r="M10" s="2090"/>
      <c r="N10" s="2090"/>
      <c r="O10" s="2090">
        <f>N10+O9</f>
        <v>-2748.7512499999998</v>
      </c>
      <c r="P10" s="2919"/>
      <c r="Q10" s="2919"/>
      <c r="R10" s="2919"/>
      <c r="S10" s="2919"/>
      <c r="T10" s="2919"/>
      <c r="U10" s="2919"/>
      <c r="V10" s="2919"/>
      <c r="W10" s="2919"/>
      <c r="X10" s="2919"/>
      <c r="Y10" s="51"/>
      <c r="Z10" s="51"/>
      <c r="AA10" s="51"/>
      <c r="AB10" s="51"/>
      <c r="AC10" s="52"/>
      <c r="AD10" s="51"/>
      <c r="AE10" s="51"/>
      <c r="AF10" s="51"/>
      <c r="AG10" s="51"/>
      <c r="AH10" s="51"/>
      <c r="AI10" s="52"/>
      <c r="AJ10" s="52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4" s="61" customFormat="1" ht="21" customHeight="1">
      <c r="A11" s="64"/>
      <c r="B11" s="2920" t="s">
        <v>74</v>
      </c>
      <c r="C11" s="2920"/>
      <c r="D11" s="2920"/>
      <c r="E11" s="2920"/>
      <c r="F11" s="63" t="s">
        <v>73</v>
      </c>
      <c r="G11" s="63" t="s">
        <v>72</v>
      </c>
      <c r="H11" s="63" t="s">
        <v>71</v>
      </c>
      <c r="I11" s="63" t="s">
        <v>70</v>
      </c>
      <c r="J11" s="63" t="s">
        <v>69</v>
      </c>
      <c r="K11" s="63" t="s">
        <v>68</v>
      </c>
      <c r="L11" s="63" t="s">
        <v>66</v>
      </c>
      <c r="M11" s="63" t="s">
        <v>65</v>
      </c>
      <c r="N11" s="63" t="s">
        <v>1352</v>
      </c>
      <c r="O11" s="63" t="s">
        <v>63</v>
      </c>
      <c r="P11" s="63" t="s">
        <v>62</v>
      </c>
      <c r="Q11" s="63" t="s">
        <v>61</v>
      </c>
      <c r="R11" s="63" t="s">
        <v>60</v>
      </c>
      <c r="S11" s="63" t="s">
        <v>59</v>
      </c>
      <c r="T11" s="63" t="s">
        <v>58</v>
      </c>
      <c r="U11" s="63" t="s">
        <v>57</v>
      </c>
      <c r="V11" s="63" t="s">
        <v>56</v>
      </c>
      <c r="W11" s="63"/>
      <c r="X11" s="62" t="s">
        <v>55</v>
      </c>
      <c r="Y11" s="52"/>
      <c r="Z11" s="52">
        <f>Z12*3</f>
        <v>-12840</v>
      </c>
      <c r="AA11" s="52">
        <v>-3977</v>
      </c>
      <c r="AB11" s="52">
        <v>5000</v>
      </c>
      <c r="AC11" s="52"/>
      <c r="AD11" s="52"/>
      <c r="AE11" s="52">
        <f>AE12*3</f>
        <v>-35529</v>
      </c>
      <c r="AF11" s="52">
        <f>AF12*3</f>
        <v>-24477</v>
      </c>
      <c r="AG11" s="52"/>
      <c r="AH11" s="52">
        <f>AH12*3</f>
        <v>1368</v>
      </c>
      <c r="AI11" s="52">
        <f>AI12*3</f>
        <v>681</v>
      </c>
      <c r="AJ11" s="52">
        <f>AK8/4</f>
        <v>561.5</v>
      </c>
      <c r="AK11" s="52">
        <f>AL8/4</f>
        <v>629.5</v>
      </c>
      <c r="AL11" s="52">
        <f>AM8/4</f>
        <v>634</v>
      </c>
      <c r="AM11" s="52">
        <f>AN8/4</f>
        <v>2015</v>
      </c>
      <c r="AN11" s="52">
        <f>AO8/4</f>
        <v>790</v>
      </c>
      <c r="AO11" s="52"/>
      <c r="AP11" s="52"/>
      <c r="AQ11" s="52"/>
      <c r="AR11" s="52"/>
      <c r="AS11" s="52"/>
      <c r="AT11" s="52"/>
      <c r="AU11" s="52"/>
      <c r="AW11" s="52"/>
    </row>
    <row r="12" spans="1:54" s="50" customFormat="1" ht="15" customHeight="1">
      <c r="A12" s="60"/>
      <c r="B12" s="2920" t="s">
        <v>54</v>
      </c>
      <c r="C12" s="2920"/>
      <c r="D12" s="2920"/>
      <c r="E12" s="2920"/>
      <c r="F12" s="59">
        <f t="shared" ref="F12:W12" si="2">F14</f>
        <v>4770.96</v>
      </c>
      <c r="G12" s="59">
        <f t="shared" si="2"/>
        <v>40538.15</v>
      </c>
      <c r="H12" s="59">
        <f t="shared" ca="1" si="2"/>
        <v>17797.529341317368</v>
      </c>
      <c r="I12" s="59">
        <f t="shared" si="2"/>
        <v>5760.5</v>
      </c>
      <c r="J12" s="59">
        <f t="shared" si="2"/>
        <v>221.10000000000002</v>
      </c>
      <c r="K12" s="59">
        <f t="shared" si="2"/>
        <v>8590</v>
      </c>
      <c r="L12" s="59">
        <f t="shared" si="2"/>
        <v>4603.8100000000004</v>
      </c>
      <c r="M12" s="59">
        <f t="shared" si="2"/>
        <v>70114.8</v>
      </c>
      <c r="N12" s="59">
        <f t="shared" si="2"/>
        <v>10713.48</v>
      </c>
      <c r="O12" s="59">
        <f t="shared" si="2"/>
        <v>38019.230000000003</v>
      </c>
      <c r="P12" s="59">
        <f t="shared" si="2"/>
        <v>22518.04</v>
      </c>
      <c r="Q12" s="59">
        <f t="shared" si="2"/>
        <v>3442</v>
      </c>
      <c r="R12" s="59">
        <f t="shared" si="2"/>
        <v>6026</v>
      </c>
      <c r="S12" s="59">
        <f t="shared" si="2"/>
        <v>815.5</v>
      </c>
      <c r="T12" s="59">
        <f t="shared" si="2"/>
        <v>9425.91</v>
      </c>
      <c r="U12" s="59">
        <f t="shared" si="2"/>
        <v>11260</v>
      </c>
      <c r="V12" s="59">
        <f t="shared" si="2"/>
        <v>10607.2</v>
      </c>
      <c r="W12" s="59">
        <f t="shared" si="2"/>
        <v>0</v>
      </c>
      <c r="X12" s="58" t="s">
        <v>53</v>
      </c>
      <c r="Y12" s="52">
        <v>4270</v>
      </c>
      <c r="Z12" s="52">
        <v>-4280</v>
      </c>
      <c r="AA12" s="52"/>
      <c r="AB12" s="52">
        <v>647.75</v>
      </c>
      <c r="AC12" s="52"/>
      <c r="AD12" s="52"/>
      <c r="AE12" s="52">
        <v>-11843</v>
      </c>
      <c r="AF12" s="52">
        <v>-8159</v>
      </c>
      <c r="AG12" s="52">
        <v>-213</v>
      </c>
      <c r="AH12" s="52">
        <v>456</v>
      </c>
      <c r="AI12" s="52">
        <v>227</v>
      </c>
      <c r="AJ12" s="52">
        <v>236</v>
      </c>
      <c r="AK12" s="52">
        <v>62</v>
      </c>
      <c r="AL12" s="52">
        <v>306</v>
      </c>
      <c r="AM12" s="52">
        <f>AN8/12</f>
        <v>671.66666666666663</v>
      </c>
      <c r="AN12" s="52">
        <f>AO8/12</f>
        <v>263.33333333333331</v>
      </c>
      <c r="AO12" s="52"/>
      <c r="AP12" s="52">
        <v>79</v>
      </c>
      <c r="AQ12" s="52">
        <v>359</v>
      </c>
      <c r="AR12" s="52">
        <v>200</v>
      </c>
      <c r="AS12" s="52">
        <v>69</v>
      </c>
      <c r="AT12" s="52"/>
      <c r="AU12" s="52"/>
      <c r="AW12" s="52"/>
    </row>
    <row r="13" spans="1:54" s="50" customFormat="1" ht="15" customHeight="1">
      <c r="A13" s="57"/>
      <c r="B13" s="2920"/>
      <c r="C13" s="2920"/>
      <c r="D13" s="2920"/>
      <c r="E13" s="2920"/>
      <c r="F13" s="55">
        <f>INT(F12/12)</f>
        <v>397</v>
      </c>
      <c r="G13" s="55">
        <f>INT(G12/12)</f>
        <v>3378</v>
      </c>
      <c r="H13" s="56">
        <f ca="1">-$H$14/$B$7</f>
        <v>35.524010661312111</v>
      </c>
      <c r="I13" s="55">
        <f>INT(I12/12)</f>
        <v>480</v>
      </c>
      <c r="J13" s="55">
        <f>INT(J12/12)</f>
        <v>18</v>
      </c>
      <c r="K13" s="56">
        <f>'2022'!K15/365</f>
        <v>21.712328767123289</v>
      </c>
      <c r="L13" s="55">
        <f t="shared" ref="L13:V13" si="3">INT(L12/12)</f>
        <v>383</v>
      </c>
      <c r="M13" s="55">
        <f>Y12</f>
        <v>4270</v>
      </c>
      <c r="N13" s="55">
        <f t="shared" si="3"/>
        <v>892</v>
      </c>
      <c r="O13" s="55">
        <f t="shared" si="3"/>
        <v>3168</v>
      </c>
      <c r="P13" s="55">
        <f t="shared" si="3"/>
        <v>1876</v>
      </c>
      <c r="Q13" s="55">
        <f t="shared" si="3"/>
        <v>286</v>
      </c>
      <c r="R13" s="55">
        <f t="shared" si="3"/>
        <v>502</v>
      </c>
      <c r="S13" s="55">
        <f t="shared" si="3"/>
        <v>67</v>
      </c>
      <c r="T13" s="55">
        <f t="shared" si="3"/>
        <v>785</v>
      </c>
      <c r="U13" s="55">
        <f t="shared" si="3"/>
        <v>938</v>
      </c>
      <c r="V13" s="55">
        <f t="shared" si="3"/>
        <v>883</v>
      </c>
      <c r="W13" s="54"/>
      <c r="X13" s="53"/>
      <c r="Y13" s="52"/>
      <c r="Z13" s="52"/>
      <c r="AA13" s="52"/>
      <c r="AB13" s="52"/>
      <c r="AC13" s="52"/>
      <c r="AD13" s="52"/>
      <c r="AE13" s="52"/>
      <c r="AF13" s="46">
        <v>6694</v>
      </c>
      <c r="AG13" s="52"/>
      <c r="AH13" s="52">
        <v>11533</v>
      </c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W13" s="52"/>
    </row>
    <row r="14" spans="1:54" s="46" customFormat="1" ht="15" customHeight="1">
      <c r="A14" s="48"/>
      <c r="B14" s="2921" t="s">
        <v>52</v>
      </c>
      <c r="C14" s="2921"/>
      <c r="D14" s="2921"/>
      <c r="E14" s="2921"/>
      <c r="F14" s="49">
        <f t="shared" ref="F14:W14" si="4">SUM(F15:F16)</f>
        <v>4770.96</v>
      </c>
      <c r="G14" s="49">
        <f>SUM(G15:G16)</f>
        <v>40538.15</v>
      </c>
      <c r="H14" s="49">
        <f t="shared" ca="1" si="4"/>
        <v>17797.529341317368</v>
      </c>
      <c r="I14" s="49">
        <f t="shared" si="4"/>
        <v>5760.5</v>
      </c>
      <c r="J14" s="49">
        <f t="shared" si="4"/>
        <v>221.10000000000002</v>
      </c>
      <c r="K14" s="49">
        <f t="shared" si="4"/>
        <v>8590</v>
      </c>
      <c r="L14" s="49">
        <f t="shared" si="4"/>
        <v>4603.8100000000004</v>
      </c>
      <c r="M14" s="49">
        <f t="shared" si="4"/>
        <v>70114.8</v>
      </c>
      <c r="N14" s="49">
        <f t="shared" si="4"/>
        <v>10713.48</v>
      </c>
      <c r="O14" s="49">
        <f t="shared" si="4"/>
        <v>38019.230000000003</v>
      </c>
      <c r="P14" s="49">
        <f t="shared" si="4"/>
        <v>22518.04</v>
      </c>
      <c r="Q14" s="49">
        <f t="shared" si="4"/>
        <v>3442</v>
      </c>
      <c r="R14" s="49">
        <f t="shared" si="4"/>
        <v>6026</v>
      </c>
      <c r="S14" s="49">
        <f t="shared" si="4"/>
        <v>815.5</v>
      </c>
      <c r="T14" s="49">
        <f t="shared" si="4"/>
        <v>9425.91</v>
      </c>
      <c r="U14" s="49">
        <f t="shared" si="4"/>
        <v>11260</v>
      </c>
      <c r="V14" s="49">
        <f t="shared" si="4"/>
        <v>10607.2</v>
      </c>
      <c r="W14" s="49">
        <f t="shared" si="4"/>
        <v>0</v>
      </c>
      <c r="AF14" s="46">
        <v>3963</v>
      </c>
    </row>
    <row r="15" spans="1:54" s="46" customFormat="1" ht="15" customHeight="1">
      <c r="A15" s="48"/>
      <c r="B15" s="2922" t="s">
        <v>51</v>
      </c>
      <c r="C15" s="2922"/>
      <c r="D15" s="2922"/>
      <c r="E15" s="2922" t="e">
        <f>MIN(#REF!)</f>
        <v>#REF!</v>
      </c>
      <c r="F15" s="47">
        <f t="shared" ref="F15:W15" si="5">F18+F55+F95+F137+F169+F207+F240+F275+F307+F342+F376+F412</f>
        <v>3450.96</v>
      </c>
      <c r="G15" s="47">
        <f t="shared" si="5"/>
        <v>40538.15</v>
      </c>
      <c r="H15" s="47">
        <f t="shared" si="5"/>
        <v>24496.050000000003</v>
      </c>
      <c r="I15" s="47">
        <f t="shared" si="5"/>
        <v>3644.7000000000003</v>
      </c>
      <c r="J15" s="47">
        <f t="shared" si="5"/>
        <v>221.10000000000002</v>
      </c>
      <c r="K15" s="47">
        <f t="shared" si="5"/>
        <v>6130</v>
      </c>
      <c r="L15" s="47">
        <f t="shared" si="5"/>
        <v>2827.8100000000004</v>
      </c>
      <c r="M15" s="47">
        <f t="shared" si="5"/>
        <v>51752.800000000003</v>
      </c>
      <c r="N15" s="47">
        <f t="shared" si="5"/>
        <v>8381.16</v>
      </c>
      <c r="O15" s="47">
        <f t="shared" si="5"/>
        <v>24121.530000000002</v>
      </c>
      <c r="P15" s="47">
        <f t="shared" si="5"/>
        <v>17058.04</v>
      </c>
      <c r="Q15" s="47">
        <f t="shared" si="5"/>
        <v>2672</v>
      </c>
      <c r="R15" s="47">
        <f t="shared" si="5"/>
        <v>4026</v>
      </c>
      <c r="S15" s="47">
        <f t="shared" si="5"/>
        <v>815.5</v>
      </c>
      <c r="T15" s="47">
        <f t="shared" si="5"/>
        <v>7989.91</v>
      </c>
      <c r="U15" s="47">
        <f t="shared" si="5"/>
        <v>7860</v>
      </c>
      <c r="V15" s="47">
        <f t="shared" si="5"/>
        <v>9406.08</v>
      </c>
      <c r="W15" s="47">
        <f t="shared" si="5"/>
        <v>0</v>
      </c>
      <c r="AC15" s="46">
        <f>AE15-AD15</f>
        <v>11842.93</v>
      </c>
      <c r="AD15" s="46">
        <f>(AE15-4271)*0.39</f>
        <v>4841.0700000000006</v>
      </c>
      <c r="AE15" s="46">
        <v>16684</v>
      </c>
      <c r="AF15" s="46">
        <f>AF16*0.61</f>
        <v>-11712</v>
      </c>
      <c r="AG15" s="46">
        <v>4250</v>
      </c>
    </row>
    <row r="16" spans="1:54" s="43" customFormat="1" ht="15" customHeight="1">
      <c r="A16" s="45"/>
      <c r="B16" s="2923" t="s">
        <v>50</v>
      </c>
      <c r="C16" s="2923"/>
      <c r="D16" s="2923"/>
      <c r="E16" s="2923"/>
      <c r="F16" s="44">
        <f>F50+F91+F132+F165+F202+F234+F270+F302+F336+F371+F409+F436</f>
        <v>1320</v>
      </c>
      <c r="G16" s="44"/>
      <c r="H16" s="44">
        <f ca="1">-(H15/B7)*G6</f>
        <v>-6698.5206586826353</v>
      </c>
      <c r="I16" s="44">
        <f t="shared" ref="I16:W16" si="6">I50+I91+I132+I165+I202+I234+I270+I302+I336+I371+I409+I436</f>
        <v>2115.8000000000002</v>
      </c>
      <c r="J16" s="44">
        <f t="shared" si="6"/>
        <v>0</v>
      </c>
      <c r="K16" s="44">
        <f t="shared" si="6"/>
        <v>2460</v>
      </c>
      <c r="L16" s="44">
        <f t="shared" si="6"/>
        <v>1776</v>
      </c>
      <c r="M16" s="44">
        <f t="shared" si="6"/>
        <v>18362</v>
      </c>
      <c r="N16" s="44">
        <f t="shared" si="6"/>
        <v>2332.3200000000002</v>
      </c>
      <c r="O16" s="44">
        <f t="shared" si="6"/>
        <v>13897.699999999999</v>
      </c>
      <c r="P16" s="44">
        <f t="shared" si="6"/>
        <v>5460</v>
      </c>
      <c r="Q16" s="44">
        <f t="shared" si="6"/>
        <v>770</v>
      </c>
      <c r="R16" s="44">
        <f t="shared" si="6"/>
        <v>2000</v>
      </c>
      <c r="S16" s="44">
        <f t="shared" si="6"/>
        <v>0</v>
      </c>
      <c r="T16" s="44">
        <f t="shared" si="6"/>
        <v>1436</v>
      </c>
      <c r="U16" s="44">
        <f t="shared" si="6"/>
        <v>3400</v>
      </c>
      <c r="V16" s="44">
        <f t="shared" si="6"/>
        <v>1201.1199999999999</v>
      </c>
      <c r="W16" s="44">
        <f t="shared" si="6"/>
        <v>0</v>
      </c>
      <c r="AF16" s="43">
        <v>-19200</v>
      </c>
    </row>
    <row r="17" spans="1:49" ht="2.25" customHeight="1">
      <c r="X17" s="42"/>
      <c r="Y17" s="42"/>
      <c r="Z17" s="42"/>
      <c r="AA17" s="42"/>
      <c r="AB17" s="42"/>
      <c r="AC17" s="42"/>
      <c r="AD17" s="41"/>
      <c r="AE17" s="41"/>
      <c r="AF17" s="41"/>
      <c r="AG17" s="41"/>
      <c r="AH17" s="41"/>
      <c r="AI17" s="42"/>
      <c r="AJ17" s="41"/>
      <c r="AK17" s="41"/>
      <c r="AL17" s="41"/>
      <c r="AM17" s="41"/>
      <c r="AN17" s="41"/>
    </row>
    <row r="18" spans="1:49" s="35" customFormat="1" ht="13.5" customHeight="1">
      <c r="A18" s="39"/>
      <c r="B18" s="979" t="str">
        <f>D7</f>
        <v>Januar</v>
      </c>
      <c r="C18" s="980"/>
      <c r="D18" s="981"/>
      <c r="E18" s="1724">
        <f t="shared" ref="E18:V18" si="7">SUM(E19:E49)</f>
        <v>-2538.7900000000045</v>
      </c>
      <c r="F18" s="982">
        <f t="shared" si="7"/>
        <v>427.96</v>
      </c>
      <c r="G18" s="982">
        <f t="shared" si="7"/>
        <v>2172</v>
      </c>
      <c r="H18" s="982">
        <f t="shared" si="7"/>
        <v>1873</v>
      </c>
      <c r="I18" s="982">
        <f t="shared" si="7"/>
        <v>0</v>
      </c>
      <c r="J18" s="982">
        <f t="shared" si="7"/>
        <v>0</v>
      </c>
      <c r="K18" s="982">
        <f t="shared" si="7"/>
        <v>671</v>
      </c>
      <c r="L18" s="982">
        <f t="shared" si="7"/>
        <v>269</v>
      </c>
      <c r="M18" s="982">
        <f t="shared" si="7"/>
        <v>8247</v>
      </c>
      <c r="N18" s="982">
        <f t="shared" si="7"/>
        <v>2051</v>
      </c>
      <c r="O18" s="982">
        <f t="shared" si="7"/>
        <v>1155.56</v>
      </c>
      <c r="P18" s="982">
        <f t="shared" si="7"/>
        <v>1324.41</v>
      </c>
      <c r="Q18" s="982">
        <f t="shared" si="7"/>
        <v>457</v>
      </c>
      <c r="R18" s="982">
        <f t="shared" si="7"/>
        <v>0</v>
      </c>
      <c r="S18" s="982">
        <f t="shared" si="7"/>
        <v>0</v>
      </c>
      <c r="T18" s="982">
        <f t="shared" si="7"/>
        <v>339</v>
      </c>
      <c r="U18" s="982">
        <f t="shared" si="7"/>
        <v>500</v>
      </c>
      <c r="V18" s="982">
        <f t="shared" si="7"/>
        <v>2995.28</v>
      </c>
      <c r="W18" s="982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2"/>
      <c r="AP18" s="12"/>
      <c r="AQ18" s="12"/>
      <c r="AR18" s="12"/>
      <c r="AW18" s="12"/>
    </row>
    <row r="19" spans="1:49" s="1001" customFormat="1" ht="12.75" customHeight="1">
      <c r="A19" s="1000"/>
      <c r="B19" s="1006">
        <v>44925</v>
      </c>
      <c r="C19" s="1006" t="s">
        <v>17</v>
      </c>
      <c r="D19" s="1007" t="s">
        <v>35</v>
      </c>
      <c r="E19" s="1722">
        <v>-11078</v>
      </c>
      <c r="F19" s="1008"/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</row>
    <row r="20" spans="1:49" s="1001" customFormat="1" ht="12.75" customHeight="1">
      <c r="A20" s="1000"/>
      <c r="B20" s="1006">
        <v>44925</v>
      </c>
      <c r="C20" s="1006" t="s">
        <v>17</v>
      </c>
      <c r="D20" s="1007" t="s">
        <v>34</v>
      </c>
      <c r="E20" s="1722">
        <v>-7943</v>
      </c>
      <c r="F20" s="1008"/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</row>
    <row r="21" spans="1:49" s="1001" customFormat="1" ht="13.8">
      <c r="A21" s="1000"/>
      <c r="B21" s="1006">
        <v>44925</v>
      </c>
      <c r="C21" s="1006" t="s">
        <v>17</v>
      </c>
      <c r="D21" s="1007" t="s">
        <v>33</v>
      </c>
      <c r="E21" s="1722">
        <f>$AG$12</f>
        <v>-213</v>
      </c>
      <c r="F21" s="1008"/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9" s="1001" customFormat="1" ht="13.8">
      <c r="A22" s="1000"/>
      <c r="B22" s="1006">
        <v>44925</v>
      </c>
      <c r="C22" s="1006" t="s">
        <v>19</v>
      </c>
      <c r="D22" s="1007" t="s">
        <v>32</v>
      </c>
      <c r="E22" s="1722">
        <v>339</v>
      </c>
      <c r="F22" s="1008"/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>
        <v>339</v>
      </c>
      <c r="U22" s="1008"/>
      <c r="V22" s="1008"/>
      <c r="W22" s="1008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9" s="1001" customFormat="1" ht="13.8">
      <c r="A23" s="1000"/>
      <c r="B23" s="1006">
        <v>44927</v>
      </c>
      <c r="C23" s="1006" t="s">
        <v>17</v>
      </c>
      <c r="D23" s="1007" t="s">
        <v>31</v>
      </c>
      <c r="E23" s="1722">
        <v>-1287</v>
      </c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9" s="1001" customFormat="1" ht="13.8">
      <c r="A24" s="1000"/>
      <c r="B24" s="1006">
        <v>44927</v>
      </c>
      <c r="C24" s="1006" t="s">
        <v>17</v>
      </c>
      <c r="D24" s="1007" t="s">
        <v>28</v>
      </c>
      <c r="E24" s="1722">
        <f t="shared" ref="E24:E32" si="8">SUM(F24:W24)</f>
        <v>200</v>
      </c>
      <c r="F24" s="1008">
        <f>$AR$12</f>
        <v>200</v>
      </c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</row>
    <row r="25" spans="1:49" s="1001" customFormat="1" ht="13.8">
      <c r="A25" s="1000"/>
      <c r="B25" s="1006">
        <v>44927</v>
      </c>
      <c r="C25" s="1006" t="s">
        <v>17</v>
      </c>
      <c r="D25" s="1007" t="s">
        <v>29</v>
      </c>
      <c r="E25" s="1722">
        <f t="shared" si="8"/>
        <v>69</v>
      </c>
      <c r="F25" s="1008">
        <f>$AS$12</f>
        <v>69</v>
      </c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</row>
    <row r="26" spans="1:49" s="1001" customFormat="1" ht="13.8">
      <c r="A26" s="1000"/>
      <c r="B26" s="1006">
        <v>44927</v>
      </c>
      <c r="C26" s="1006" t="s">
        <v>19</v>
      </c>
      <c r="D26" s="1007" t="s">
        <v>26</v>
      </c>
      <c r="E26" s="1722">
        <f t="shared" si="8"/>
        <v>2995.28</v>
      </c>
      <c r="F26" s="1008"/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>
        <v>2995.28</v>
      </c>
      <c r="W26" s="1008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</row>
    <row r="27" spans="1:49" s="1001" customFormat="1" ht="13.8">
      <c r="A27" s="1000"/>
      <c r="B27" s="1006">
        <v>44927</v>
      </c>
      <c r="C27" s="1006" t="s">
        <v>19</v>
      </c>
      <c r="D27" s="1007" t="s">
        <v>25</v>
      </c>
      <c r="E27" s="1722">
        <f t="shared" si="8"/>
        <v>915.42</v>
      </c>
      <c r="F27" s="1008"/>
      <c r="G27" s="1008"/>
      <c r="H27" s="1008"/>
      <c r="I27" s="1008"/>
      <c r="J27" s="1008"/>
      <c r="K27" s="1008"/>
      <c r="L27" s="1008"/>
      <c r="M27" s="1008"/>
      <c r="N27" s="1008"/>
      <c r="O27" s="1008">
        <v>915.42</v>
      </c>
      <c r="P27" s="1008"/>
      <c r="Q27" s="1008"/>
      <c r="R27" s="1008"/>
      <c r="S27" s="1008"/>
      <c r="T27" s="1008"/>
      <c r="U27" s="1008"/>
      <c r="V27" s="1008"/>
      <c r="W27" s="1008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1:49" s="1001" customFormat="1" ht="13.8">
      <c r="A28" s="1000"/>
      <c r="B28" s="1006">
        <v>44927</v>
      </c>
      <c r="C28" s="1006" t="s">
        <v>19</v>
      </c>
      <c r="D28" s="1007" t="s">
        <v>27</v>
      </c>
      <c r="E28" s="1722">
        <f t="shared" si="8"/>
        <v>478.75</v>
      </c>
      <c r="F28" s="1008"/>
      <c r="G28" s="1008"/>
      <c r="H28" s="1008"/>
      <c r="I28" s="1008"/>
      <c r="J28" s="1008"/>
      <c r="K28" s="1008"/>
      <c r="L28" s="1008"/>
      <c r="M28" s="1008"/>
      <c r="N28" s="1008"/>
      <c r="O28" s="1008"/>
      <c r="P28" s="1008">
        <v>478.75</v>
      </c>
      <c r="Q28" s="1008"/>
      <c r="R28" s="1008"/>
      <c r="S28" s="1008"/>
      <c r="T28" s="1008"/>
      <c r="U28" s="1008"/>
      <c r="V28" s="1008"/>
      <c r="W28" s="1008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1:49" s="1001" customFormat="1" ht="13.8">
      <c r="A29" s="1000"/>
      <c r="B29" s="1006">
        <v>44927</v>
      </c>
      <c r="C29" s="1006" t="s">
        <v>17</v>
      </c>
      <c r="D29" s="1007" t="s">
        <v>22</v>
      </c>
      <c r="E29" s="1722">
        <f t="shared" si="8"/>
        <v>217</v>
      </c>
      <c r="F29" s="1008"/>
      <c r="G29" s="1008"/>
      <c r="H29" s="1008"/>
      <c r="I29" s="1008"/>
      <c r="J29" s="1008"/>
      <c r="K29" s="1008"/>
      <c r="L29" s="1008"/>
      <c r="M29" s="1008"/>
      <c r="N29" s="1008"/>
      <c r="O29" s="1008"/>
      <c r="P29" s="1008">
        <v>217</v>
      </c>
      <c r="Q29" s="1008"/>
      <c r="R29" s="1008"/>
      <c r="S29" s="1008"/>
      <c r="T29" s="1008"/>
      <c r="U29" s="1008"/>
      <c r="V29" s="1008"/>
      <c r="W29" s="1008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1:49" s="1001" customFormat="1" ht="13.8">
      <c r="A30" s="1000"/>
      <c r="B30" s="1006">
        <v>44927</v>
      </c>
      <c r="C30" s="1006" t="s">
        <v>17</v>
      </c>
      <c r="D30" s="1007" t="s">
        <v>125</v>
      </c>
      <c r="E30" s="1722">
        <f t="shared" si="8"/>
        <v>45</v>
      </c>
      <c r="F30" s="1008"/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>
        <v>45</v>
      </c>
      <c r="R30" s="1008"/>
      <c r="S30" s="1008"/>
      <c r="T30" s="1008"/>
      <c r="U30" s="1008"/>
      <c r="V30" s="1008"/>
      <c r="W30" s="1008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</row>
    <row r="31" spans="1:49" s="1001" customFormat="1" ht="13.8">
      <c r="A31" s="1000"/>
      <c r="B31" s="1006">
        <v>44929</v>
      </c>
      <c r="C31" s="1006" t="s">
        <v>17</v>
      </c>
      <c r="D31" s="1007" t="s">
        <v>21</v>
      </c>
      <c r="E31" s="1722">
        <f t="shared" si="8"/>
        <v>426</v>
      </c>
      <c r="F31" s="1008"/>
      <c r="G31" s="1008"/>
      <c r="H31" s="1008"/>
      <c r="I31" s="1008"/>
      <c r="J31" s="1008"/>
      <c r="K31" s="1008"/>
      <c r="L31" s="1008"/>
      <c r="M31" s="1008"/>
      <c r="N31" s="1008"/>
      <c r="O31" s="1008"/>
      <c r="P31" s="1008">
        <v>426</v>
      </c>
      <c r="Q31" s="1008"/>
      <c r="R31" s="1008"/>
      <c r="S31" s="1008"/>
      <c r="T31" s="1008"/>
      <c r="U31" s="1008"/>
      <c r="V31" s="1008"/>
      <c r="W31" s="1008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</row>
    <row r="32" spans="1:49" s="1001" customFormat="1" ht="13.8">
      <c r="A32" s="1000"/>
      <c r="B32" s="1006">
        <v>44931</v>
      </c>
      <c r="C32" s="1006" t="s">
        <v>19</v>
      </c>
      <c r="D32" s="1007" t="s">
        <v>20</v>
      </c>
      <c r="E32" s="1722">
        <f t="shared" si="8"/>
        <v>80.959999999999994</v>
      </c>
      <c r="F32" s="1008">
        <v>80.959999999999994</v>
      </c>
      <c r="G32" s="1008"/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</row>
    <row r="33" spans="1:40" s="1001" customFormat="1" ht="13.8">
      <c r="A33" s="1000"/>
      <c r="B33" s="1006">
        <v>44932</v>
      </c>
      <c r="C33" s="1006" t="s">
        <v>17</v>
      </c>
      <c r="D33" s="1007" t="s">
        <v>427</v>
      </c>
      <c r="E33" s="1722">
        <v>-2500</v>
      </c>
      <c r="F33" s="1008"/>
      <c r="G33" s="1008"/>
      <c r="H33" s="1008"/>
      <c r="I33" s="1008"/>
      <c r="J33" s="1008"/>
      <c r="K33" s="1008"/>
      <c r="L33" s="1008"/>
      <c r="M33" s="1008"/>
      <c r="N33" s="1008"/>
      <c r="O33" s="1008"/>
      <c r="P33" s="1008"/>
      <c r="Q33" s="1008"/>
      <c r="R33" s="1008"/>
      <c r="S33" s="1008"/>
      <c r="T33" s="1008"/>
      <c r="U33" s="1008"/>
      <c r="V33" s="1008"/>
      <c r="W33" s="1008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</row>
    <row r="34" spans="1:40" s="1001" customFormat="1" ht="13.8">
      <c r="A34" s="1000"/>
      <c r="B34" s="1006">
        <v>44931</v>
      </c>
      <c r="C34" s="1006" t="s">
        <v>19</v>
      </c>
      <c r="D34" s="1007" t="s">
        <v>20</v>
      </c>
      <c r="E34" s="1722">
        <f>SUM(F34:W34)</f>
        <v>78</v>
      </c>
      <c r="F34" s="1008">
        <v>78</v>
      </c>
      <c r="G34" s="1008"/>
      <c r="H34" s="1008"/>
      <c r="I34" s="1008"/>
      <c r="J34" s="1008"/>
      <c r="K34" s="1008"/>
      <c r="L34" s="1008"/>
      <c r="M34" s="1008"/>
      <c r="N34" s="1008"/>
      <c r="O34" s="1008"/>
      <c r="P34" s="1008"/>
      <c r="Q34" s="1008"/>
      <c r="R34" s="1008"/>
      <c r="S34" s="1008"/>
      <c r="T34" s="1008"/>
      <c r="U34" s="1008"/>
      <c r="V34" s="1008"/>
      <c r="W34" s="1008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s="1001" customFormat="1" ht="13.8">
      <c r="A35" s="1000"/>
      <c r="B35" s="1006">
        <v>44932</v>
      </c>
      <c r="C35" s="1006" t="s">
        <v>19</v>
      </c>
      <c r="D35" s="1007" t="s">
        <v>18</v>
      </c>
      <c r="E35" s="1722">
        <f>SUM(F35:W35)</f>
        <v>240.14</v>
      </c>
      <c r="F35" s="1008"/>
      <c r="G35" s="1008"/>
      <c r="H35" s="1008"/>
      <c r="I35" s="1008"/>
      <c r="J35" s="1008"/>
      <c r="K35" s="1008"/>
      <c r="L35" s="1008"/>
      <c r="M35" s="1008"/>
      <c r="N35" s="1008"/>
      <c r="O35" s="1008">
        <v>240.14</v>
      </c>
      <c r="P35" s="1008"/>
      <c r="Q35" s="1008"/>
      <c r="R35" s="1008"/>
      <c r="S35" s="1008"/>
      <c r="T35" s="1008"/>
      <c r="U35" s="1008"/>
      <c r="V35" s="1008"/>
      <c r="W35" s="1008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</row>
    <row r="36" spans="1:40" s="1001" customFormat="1" ht="13.8">
      <c r="A36" s="1000"/>
      <c r="B36" s="1006">
        <v>44932</v>
      </c>
      <c r="C36" s="1015"/>
      <c r="D36" s="1016" t="s">
        <v>23</v>
      </c>
      <c r="E36" s="1722">
        <f>SUM(F36:W36)</f>
        <v>412</v>
      </c>
      <c r="F36" s="1008"/>
      <c r="G36" s="1008"/>
      <c r="H36" s="1008"/>
      <c r="I36" s="1008"/>
      <c r="J36" s="1008"/>
      <c r="K36" s="1008"/>
      <c r="L36" s="1008"/>
      <c r="M36" s="1008"/>
      <c r="N36" s="1008"/>
      <c r="O36" s="1008"/>
      <c r="P36" s="1008"/>
      <c r="Q36" s="1008">
        <f>172+60+120+60</f>
        <v>412</v>
      </c>
      <c r="R36" s="1008"/>
      <c r="S36" s="1008"/>
      <c r="T36" s="1008"/>
      <c r="U36" s="1008"/>
      <c r="V36" s="1008"/>
      <c r="W36" s="1008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001" customFormat="1" ht="13.8">
      <c r="A37" s="1000"/>
      <c r="B37" s="1006">
        <v>44569</v>
      </c>
      <c r="C37" s="1015" t="s">
        <v>17</v>
      </c>
      <c r="D37" s="1016" t="s">
        <v>16</v>
      </c>
      <c r="E37" s="1722">
        <f>SUM(F37:W37)</f>
        <v>623</v>
      </c>
      <c r="F37" s="1008"/>
      <c r="G37" s="1008">
        <v>623</v>
      </c>
      <c r="H37" s="1008"/>
      <c r="I37" s="1008"/>
      <c r="J37" s="1008"/>
      <c r="K37" s="1008"/>
      <c r="L37" s="1008"/>
      <c r="M37" s="1008"/>
      <c r="N37" s="1008"/>
      <c r="O37" s="1008"/>
      <c r="P37" s="1008"/>
      <c r="Q37" s="1008"/>
      <c r="R37" s="1008"/>
      <c r="S37" s="1008"/>
      <c r="T37" s="1008"/>
      <c r="U37" s="1008"/>
      <c r="V37" s="1008"/>
      <c r="W37" s="1008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s="1001" customFormat="1" ht="13.8">
      <c r="A38" s="1000"/>
      <c r="B38" s="1006">
        <v>44936</v>
      </c>
      <c r="C38" s="1015" t="s">
        <v>17</v>
      </c>
      <c r="D38" s="1016" t="s">
        <v>254</v>
      </c>
      <c r="E38" s="1722">
        <v>-2000</v>
      </c>
      <c r="F38" s="1008"/>
      <c r="G38" s="1008"/>
      <c r="H38" s="1008"/>
      <c r="I38" s="1008"/>
      <c r="J38" s="1008"/>
      <c r="K38" s="1008"/>
      <c r="L38" s="1008"/>
      <c r="M38" s="1008"/>
      <c r="N38" s="1008"/>
      <c r="O38" s="1008"/>
      <c r="P38" s="1008"/>
      <c r="Q38" s="1008"/>
      <c r="R38" s="1008"/>
      <c r="S38" s="1008"/>
      <c r="T38" s="1008"/>
      <c r="U38" s="1008"/>
      <c r="V38" s="1008"/>
      <c r="W38" s="1008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0" s="1001" customFormat="1" ht="13.8">
      <c r="A39" s="1000"/>
      <c r="B39" s="1006">
        <v>44937</v>
      </c>
      <c r="C39" s="1015"/>
      <c r="D39" s="1016" t="s">
        <v>1121</v>
      </c>
      <c r="E39" s="1722">
        <f t="shared" ref="E39:E49" si="9">SUM(F39:W39)</f>
        <v>-200</v>
      </c>
      <c r="F39" s="1008"/>
      <c r="G39" s="1008">
        <v>-200</v>
      </c>
      <c r="H39" s="1008"/>
      <c r="I39" s="1008"/>
      <c r="J39" s="1008"/>
      <c r="K39" s="1008"/>
      <c r="L39" s="1008"/>
      <c r="M39" s="1008"/>
      <c r="N39" s="1008"/>
      <c r="O39" s="1008"/>
      <c r="P39" s="1008"/>
      <c r="Q39" s="1008"/>
      <c r="R39" s="1008"/>
      <c r="S39" s="1008"/>
      <c r="T39" s="1008"/>
      <c r="U39" s="1008"/>
      <c r="V39" s="1008"/>
      <c r="W39" s="1008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</row>
    <row r="40" spans="1:40" s="1001" customFormat="1" ht="13.8">
      <c r="A40" s="1000"/>
      <c r="B40" s="1006">
        <v>44942</v>
      </c>
      <c r="C40" s="1015"/>
      <c r="D40" s="1016" t="s">
        <v>57</v>
      </c>
      <c r="E40" s="1722">
        <f t="shared" si="9"/>
        <v>500</v>
      </c>
      <c r="F40" s="1008"/>
      <c r="G40" s="1008"/>
      <c r="H40" s="1008"/>
      <c r="I40" s="1008"/>
      <c r="J40" s="1008"/>
      <c r="K40" s="1008"/>
      <c r="L40" s="1008"/>
      <c r="M40" s="1008"/>
      <c r="N40" s="1008"/>
      <c r="O40" s="1008"/>
      <c r="P40" s="1008"/>
      <c r="Q40" s="1008"/>
      <c r="R40" s="1008"/>
      <c r="S40" s="1008"/>
      <c r="T40" s="1008"/>
      <c r="U40" s="1008">
        <v>500</v>
      </c>
      <c r="V40" s="1008"/>
      <c r="W40" s="1008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</row>
    <row r="41" spans="1:40" s="1001" customFormat="1" ht="13.8">
      <c r="A41" s="1000"/>
      <c r="B41" s="1006">
        <v>44951</v>
      </c>
      <c r="C41" s="1015"/>
      <c r="D41" s="1016" t="s">
        <v>1104</v>
      </c>
      <c r="E41" s="1722">
        <f t="shared" si="9"/>
        <v>49</v>
      </c>
      <c r="F41" s="1008"/>
      <c r="G41" s="1008"/>
      <c r="H41" s="1008"/>
      <c r="I41" s="1008"/>
      <c r="J41" s="1008"/>
      <c r="K41" s="1008"/>
      <c r="L41" s="1008"/>
      <c r="M41" s="1008"/>
      <c r="N41" s="1008"/>
      <c r="O41" s="1008"/>
      <c r="P41" s="1008">
        <v>49</v>
      </c>
      <c r="Q41" s="1008"/>
      <c r="R41" s="1008"/>
      <c r="S41" s="1008"/>
      <c r="T41" s="1008"/>
      <c r="U41" s="1008"/>
      <c r="V41" s="1008"/>
      <c r="W41" s="1008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</row>
    <row r="42" spans="1:40" s="1001" customFormat="1" ht="13.8">
      <c r="A42" s="1000"/>
      <c r="B42" s="1006">
        <v>26.1</v>
      </c>
      <c r="C42" s="1015"/>
      <c r="D42" s="1016" t="s">
        <v>1125</v>
      </c>
      <c r="E42" s="1722">
        <f t="shared" si="9"/>
        <v>8247</v>
      </c>
      <c r="F42" s="1008"/>
      <c r="G42" s="1008"/>
      <c r="H42" s="1008"/>
      <c r="I42" s="1008"/>
      <c r="J42" s="1008"/>
      <c r="K42" s="1008"/>
      <c r="L42" s="1008"/>
      <c r="M42" s="1008">
        <v>8247</v>
      </c>
      <c r="N42" s="1008"/>
      <c r="O42" s="1008"/>
      <c r="P42" s="1008"/>
      <c r="Q42" s="1008"/>
      <c r="R42" s="1008"/>
      <c r="S42" s="1008"/>
      <c r="T42" s="1008"/>
      <c r="U42" s="1008"/>
      <c r="V42" s="1008"/>
      <c r="W42" s="1008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</row>
    <row r="43" spans="1:40" s="1001" customFormat="1" ht="13.8">
      <c r="A43" s="1000"/>
      <c r="B43" s="1006">
        <v>44955</v>
      </c>
      <c r="C43" s="1015"/>
      <c r="D43" s="1016" t="s">
        <v>1346</v>
      </c>
      <c r="E43" s="1722">
        <f t="shared" si="9"/>
        <v>39.659999999999997</v>
      </c>
      <c r="F43" s="1008"/>
      <c r="G43" s="1008"/>
      <c r="H43" s="1008"/>
      <c r="I43" s="1008"/>
      <c r="J43" s="1008"/>
      <c r="K43" s="1008"/>
      <c r="L43" s="1008"/>
      <c r="M43" s="1008"/>
      <c r="N43" s="1008"/>
      <c r="O43" s="1008"/>
      <c r="P43" s="1008">
        <v>39.659999999999997</v>
      </c>
      <c r="Q43" s="1008"/>
      <c r="R43" s="1008"/>
      <c r="S43" s="1008"/>
      <c r="T43" s="1008"/>
      <c r="U43" s="1008"/>
      <c r="V43" s="1008"/>
      <c r="W43" s="1008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</row>
    <row r="44" spans="1:40" s="90" customFormat="1" ht="13.8">
      <c r="A44" s="973"/>
      <c r="B44" s="974"/>
      <c r="C44" s="977"/>
      <c r="D44" s="978" t="s">
        <v>42</v>
      </c>
      <c r="E44" s="1722">
        <f t="shared" si="9"/>
        <v>1119</v>
      </c>
      <c r="F44" s="976"/>
      <c r="G44" s="976"/>
      <c r="H44" s="976">
        <v>833</v>
      </c>
      <c r="I44" s="976"/>
      <c r="J44" s="976"/>
      <c r="K44" s="976">
        <v>183</v>
      </c>
      <c r="L44" s="976">
        <v>103</v>
      </c>
      <c r="M44" s="976"/>
      <c r="N44" s="976"/>
      <c r="O44" s="976"/>
      <c r="P44" s="976"/>
      <c r="Q44" s="976"/>
      <c r="R44" s="976"/>
      <c r="S44" s="976"/>
      <c r="T44" s="976"/>
      <c r="U44" s="976"/>
      <c r="V44" s="976"/>
      <c r="W44" s="976"/>
    </row>
    <row r="45" spans="1:40" s="90" customFormat="1" ht="13.8">
      <c r="A45" s="973"/>
      <c r="B45" s="974"/>
      <c r="C45" s="977"/>
      <c r="D45" s="978" t="s">
        <v>41</v>
      </c>
      <c r="E45" s="1722">
        <f t="shared" si="9"/>
        <v>105</v>
      </c>
      <c r="F45" s="976"/>
      <c r="G45" s="976"/>
      <c r="H45" s="976">
        <v>72</v>
      </c>
      <c r="I45" s="976"/>
      <c r="J45" s="976"/>
      <c r="K45" s="976"/>
      <c r="L45" s="976">
        <v>33</v>
      </c>
      <c r="M45" s="976"/>
      <c r="N45" s="976"/>
      <c r="O45" s="976"/>
      <c r="P45" s="976"/>
      <c r="Q45" s="976"/>
      <c r="R45" s="976"/>
      <c r="S45" s="976"/>
      <c r="T45" s="976"/>
      <c r="U45" s="976"/>
      <c r="V45" s="976"/>
      <c r="W45" s="976"/>
    </row>
    <row r="46" spans="1:40" s="90" customFormat="1" ht="13.8">
      <c r="A46" s="973"/>
      <c r="B46" s="974"/>
      <c r="C46" s="977"/>
      <c r="D46" s="978" t="s">
        <v>1348</v>
      </c>
      <c r="E46" s="1722">
        <f t="shared" si="9"/>
        <v>129</v>
      </c>
      <c r="F46" s="976"/>
      <c r="G46" s="976"/>
      <c r="H46" s="976">
        <v>129</v>
      </c>
      <c r="I46" s="976"/>
      <c r="J46" s="976"/>
      <c r="K46" s="976"/>
      <c r="L46" s="976"/>
      <c r="M46" s="976"/>
      <c r="N46" s="976"/>
      <c r="O46" s="976"/>
      <c r="P46" s="976"/>
      <c r="Q46" s="976"/>
      <c r="R46" s="976"/>
      <c r="S46" s="976"/>
      <c r="T46" s="976"/>
      <c r="U46" s="976"/>
      <c r="V46" s="976"/>
      <c r="W46" s="976"/>
    </row>
    <row r="47" spans="1:40" s="90" customFormat="1" ht="13.8">
      <c r="A47" s="973"/>
      <c r="B47" s="974"/>
      <c r="C47" s="977"/>
      <c r="D47" s="978" t="s">
        <v>39</v>
      </c>
      <c r="E47" s="1722">
        <f t="shared" si="9"/>
        <v>109</v>
      </c>
      <c r="F47" s="976"/>
      <c r="G47" s="976"/>
      <c r="H47" s="976">
        <v>109</v>
      </c>
      <c r="I47" s="976"/>
      <c r="J47" s="976"/>
      <c r="K47" s="976"/>
      <c r="L47" s="976"/>
      <c r="M47" s="976"/>
      <c r="N47" s="976"/>
      <c r="O47" s="976"/>
      <c r="P47" s="976"/>
      <c r="Q47" s="976"/>
      <c r="R47" s="976"/>
      <c r="S47" s="976"/>
      <c r="T47" s="976"/>
      <c r="U47" s="976"/>
      <c r="V47" s="976"/>
      <c r="W47" s="976"/>
    </row>
    <row r="48" spans="1:40" s="90" customFormat="1" ht="13.8">
      <c r="A48" s="973"/>
      <c r="B48" s="974"/>
      <c r="C48" s="977"/>
      <c r="D48" s="978" t="s">
        <v>123</v>
      </c>
      <c r="E48" s="1722">
        <f t="shared" si="9"/>
        <v>1256</v>
      </c>
      <c r="F48" s="976"/>
      <c r="G48" s="976"/>
      <c r="H48" s="976">
        <v>635</v>
      </c>
      <c r="I48" s="976"/>
      <c r="J48" s="976"/>
      <c r="K48" s="976">
        <v>488</v>
      </c>
      <c r="L48" s="976">
        <v>133</v>
      </c>
      <c r="M48" s="976"/>
      <c r="N48" s="976"/>
      <c r="O48" s="976"/>
      <c r="P48" s="976"/>
      <c r="Q48" s="976"/>
      <c r="R48" s="976"/>
      <c r="S48" s="976"/>
      <c r="T48" s="976"/>
      <c r="U48" s="976"/>
      <c r="V48" s="976"/>
      <c r="W48" s="976"/>
    </row>
    <row r="49" spans="1:51" s="90" customFormat="1" ht="13.8">
      <c r="A49" s="973"/>
      <c r="B49" s="974"/>
      <c r="C49" s="977"/>
      <c r="D49" s="978" t="s">
        <v>37</v>
      </c>
      <c r="E49" s="1722">
        <f t="shared" si="9"/>
        <v>4009</v>
      </c>
      <c r="F49" s="976"/>
      <c r="G49" s="976">
        <v>1749</v>
      </c>
      <c r="H49" s="976">
        <v>95</v>
      </c>
      <c r="I49" s="976"/>
      <c r="J49" s="976"/>
      <c r="K49" s="976"/>
      <c r="L49" s="976"/>
      <c r="M49" s="976"/>
      <c r="N49" s="976">
        <v>2051</v>
      </c>
      <c r="O49" s="976"/>
      <c r="P49" s="976">
        <v>114</v>
      </c>
      <c r="Q49" s="976"/>
      <c r="R49" s="976"/>
      <c r="S49" s="976"/>
      <c r="T49" s="976"/>
      <c r="U49" s="976"/>
      <c r="V49" s="976"/>
      <c r="W49" s="976"/>
    </row>
    <row r="50" spans="1:51" s="26" customFormat="1" ht="12" customHeight="1">
      <c r="A50" s="29"/>
      <c r="B50" s="2889" t="str">
        <f>D7</f>
        <v>Januar</v>
      </c>
      <c r="C50" s="1013">
        <v>44926</v>
      </c>
      <c r="D50" s="2895" t="s">
        <v>36</v>
      </c>
      <c r="E50" s="2899">
        <f t="shared" ref="E50:W50" si="10">SUM(E52:E52)</f>
        <v>0</v>
      </c>
      <c r="F50" s="2891">
        <f t="shared" si="10"/>
        <v>0</v>
      </c>
      <c r="G50" s="2891">
        <f t="shared" si="10"/>
        <v>0</v>
      </c>
      <c r="H50" s="2891">
        <f t="shared" si="10"/>
        <v>0</v>
      </c>
      <c r="I50" s="2891">
        <f t="shared" si="10"/>
        <v>0</v>
      </c>
      <c r="J50" s="2891">
        <f t="shared" si="10"/>
        <v>0</v>
      </c>
      <c r="K50" s="2891">
        <f t="shared" si="10"/>
        <v>0</v>
      </c>
      <c r="L50" s="2891">
        <f t="shared" si="10"/>
        <v>0</v>
      </c>
      <c r="M50" s="2891">
        <f t="shared" si="10"/>
        <v>0</v>
      </c>
      <c r="N50" s="2891">
        <f t="shared" si="10"/>
        <v>0</v>
      </c>
      <c r="O50" s="2891">
        <f t="shared" si="10"/>
        <v>0</v>
      </c>
      <c r="P50" s="2891">
        <f t="shared" si="10"/>
        <v>0</v>
      </c>
      <c r="Q50" s="2891">
        <f t="shared" si="10"/>
        <v>0</v>
      </c>
      <c r="R50" s="2891">
        <f t="shared" si="10"/>
        <v>0</v>
      </c>
      <c r="S50" s="2891">
        <f t="shared" si="10"/>
        <v>0</v>
      </c>
      <c r="T50" s="2891">
        <f t="shared" si="10"/>
        <v>0</v>
      </c>
      <c r="U50" s="2891">
        <f t="shared" si="10"/>
        <v>0</v>
      </c>
      <c r="V50" s="2891">
        <f t="shared" si="10"/>
        <v>0</v>
      </c>
      <c r="W50" s="2891">
        <f t="shared" si="10"/>
        <v>0</v>
      </c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9"/>
      <c r="AV50" s="9"/>
      <c r="AW50" s="10"/>
      <c r="AX50" s="9"/>
      <c r="AY50" s="9"/>
    </row>
    <row r="51" spans="1:51" s="26" customFormat="1" ht="12" customHeight="1">
      <c r="A51" s="29"/>
      <c r="B51" s="2890"/>
      <c r="C51" s="1014"/>
      <c r="D51" s="2896"/>
      <c r="E51" s="2900"/>
      <c r="F51" s="2892"/>
      <c r="G51" s="2892"/>
      <c r="H51" s="2892"/>
      <c r="I51" s="2892"/>
      <c r="J51" s="2892"/>
      <c r="K51" s="2892"/>
      <c r="L51" s="2892"/>
      <c r="M51" s="2892"/>
      <c r="N51" s="2892"/>
      <c r="O51" s="2892"/>
      <c r="P51" s="2892"/>
      <c r="Q51" s="2892"/>
      <c r="R51" s="2892"/>
      <c r="S51" s="2892"/>
      <c r="T51" s="2892"/>
      <c r="U51" s="2892"/>
      <c r="V51" s="2892"/>
      <c r="W51" s="2892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9"/>
      <c r="AV51" s="9"/>
      <c r="AW51" s="10"/>
      <c r="AX51" s="9"/>
      <c r="AY51" s="9"/>
    </row>
    <row r="52" spans="1:51" s="995" customFormat="1" ht="13.8">
      <c r="A52" s="991"/>
      <c r="B52" s="992">
        <v>44925</v>
      </c>
      <c r="C52" s="992"/>
      <c r="D52" s="993" t="s">
        <v>1103</v>
      </c>
      <c r="E52" s="1722">
        <f>SUM(F52:W52)</f>
        <v>0</v>
      </c>
      <c r="F52" s="994"/>
      <c r="G52" s="994"/>
      <c r="H52" s="994"/>
      <c r="I52" s="994"/>
      <c r="J52" s="994"/>
      <c r="K52" s="994"/>
      <c r="L52" s="994"/>
      <c r="M52" s="994"/>
      <c r="N52" s="994"/>
      <c r="O52" s="994"/>
      <c r="P52" s="994"/>
      <c r="Q52" s="994"/>
      <c r="R52" s="994"/>
      <c r="S52" s="994"/>
      <c r="T52" s="994"/>
      <c r="U52" s="994"/>
      <c r="V52" s="994"/>
      <c r="W52" s="994"/>
      <c r="X52" s="996"/>
      <c r="Y52" s="996"/>
      <c r="Z52" s="996"/>
      <c r="AA52" s="996"/>
      <c r="AB52" s="996"/>
      <c r="AC52" s="996"/>
      <c r="AD52" s="996"/>
      <c r="AE52" s="996"/>
      <c r="AF52" s="996"/>
      <c r="AG52" s="996"/>
      <c r="AH52" s="996"/>
      <c r="AI52" s="996"/>
      <c r="AJ52" s="996"/>
      <c r="AK52" s="996"/>
      <c r="AL52" s="996"/>
      <c r="AM52" s="996"/>
      <c r="AN52" s="996"/>
    </row>
    <row r="53" spans="1:51" s="1005" customFormat="1" ht="12" customHeight="1">
      <c r="A53" s="1002"/>
      <c r="B53" s="1009"/>
      <c r="C53" s="2893" t="s">
        <v>1120</v>
      </c>
      <c r="D53" s="2894"/>
      <c r="E53" s="1723">
        <f t="shared" ref="E53:W53" si="11">SUM(E54:E54)</f>
        <v>0</v>
      </c>
      <c r="F53" s="1012">
        <f t="shared" si="11"/>
        <v>0</v>
      </c>
      <c r="G53" s="1012">
        <f t="shared" si="11"/>
        <v>0</v>
      </c>
      <c r="H53" s="1012">
        <f t="shared" si="11"/>
        <v>0</v>
      </c>
      <c r="I53" s="1012">
        <f t="shared" si="11"/>
        <v>0</v>
      </c>
      <c r="J53" s="1012">
        <f t="shared" si="11"/>
        <v>0</v>
      </c>
      <c r="K53" s="1012">
        <f t="shared" si="11"/>
        <v>0</v>
      </c>
      <c r="L53" s="1012">
        <f t="shared" si="11"/>
        <v>0</v>
      </c>
      <c r="M53" s="1012">
        <f t="shared" si="11"/>
        <v>0</v>
      </c>
      <c r="N53" s="1012">
        <f t="shared" si="11"/>
        <v>0</v>
      </c>
      <c r="O53" s="1012">
        <f t="shared" si="11"/>
        <v>0</v>
      </c>
      <c r="P53" s="1012">
        <f t="shared" si="11"/>
        <v>0</v>
      </c>
      <c r="Q53" s="1012">
        <f t="shared" si="11"/>
        <v>0</v>
      </c>
      <c r="R53" s="1012">
        <f t="shared" si="11"/>
        <v>0</v>
      </c>
      <c r="S53" s="1012">
        <f t="shared" si="11"/>
        <v>0</v>
      </c>
      <c r="T53" s="1012">
        <f t="shared" si="11"/>
        <v>0</v>
      </c>
      <c r="U53" s="1012">
        <f t="shared" si="11"/>
        <v>0</v>
      </c>
      <c r="V53" s="1012">
        <f t="shared" si="11"/>
        <v>0</v>
      </c>
      <c r="W53" s="1012">
        <f t="shared" si="11"/>
        <v>0</v>
      </c>
      <c r="X53" s="1003"/>
      <c r="Y53" s="1003"/>
      <c r="Z53" s="1003"/>
      <c r="AA53" s="1003"/>
      <c r="AB53" s="1003"/>
      <c r="AC53" s="1003"/>
      <c r="AD53" s="1003"/>
      <c r="AE53" s="1003"/>
      <c r="AF53" s="1003"/>
      <c r="AG53" s="1003"/>
      <c r="AH53" s="1003"/>
      <c r="AI53" s="1004"/>
      <c r="AJ53" s="1004"/>
      <c r="AK53" s="1004"/>
      <c r="AL53" s="1004"/>
      <c r="AM53" s="1003"/>
      <c r="AN53" s="1003"/>
      <c r="AO53" s="1003"/>
      <c r="AP53" s="1003"/>
      <c r="AQ53" s="1003"/>
      <c r="AR53" s="1003"/>
      <c r="AS53" s="1003"/>
      <c r="AT53" s="1003"/>
      <c r="AU53" s="1003"/>
      <c r="AV53" s="1003"/>
      <c r="AW53" s="1003"/>
    </row>
    <row r="54" spans="1:51" s="90" customFormat="1" ht="13.8">
      <c r="A54" s="973"/>
      <c r="B54" s="974"/>
      <c r="C54" s="974"/>
      <c r="D54" s="975" t="s">
        <v>15</v>
      </c>
      <c r="E54" s="1722">
        <f>SUM(G54:W54)</f>
        <v>0</v>
      </c>
      <c r="F54" s="976"/>
      <c r="G54" s="976"/>
      <c r="H54" s="976"/>
      <c r="I54" s="976"/>
      <c r="J54" s="976"/>
      <c r="K54" s="976"/>
      <c r="L54" s="976"/>
      <c r="M54" s="976"/>
      <c r="N54" s="976"/>
      <c r="O54" s="976"/>
      <c r="P54" s="976"/>
      <c r="Q54" s="976"/>
      <c r="R54" s="976"/>
      <c r="S54" s="976"/>
      <c r="T54" s="976"/>
      <c r="U54" s="976"/>
      <c r="V54" s="976"/>
      <c r="W54" s="976"/>
    </row>
    <row r="55" spans="1:51" s="35" customFormat="1" ht="13.5" customHeight="1">
      <c r="A55" s="39"/>
      <c r="B55" s="979" t="str">
        <f>E7</f>
        <v>Februar</v>
      </c>
      <c r="C55" s="980"/>
      <c r="D55" s="981"/>
      <c r="E55" s="1724">
        <f t="shared" ref="E55:U55" si="12">SUM(E56:E90)</f>
        <v>1188</v>
      </c>
      <c r="F55" s="982">
        <f t="shared" si="12"/>
        <v>336</v>
      </c>
      <c r="G55" s="982">
        <f t="shared" si="12"/>
        <v>7100.36</v>
      </c>
      <c r="H55" s="982">
        <f t="shared" si="12"/>
        <v>2917</v>
      </c>
      <c r="I55" s="982">
        <f t="shared" si="12"/>
        <v>594.80000000000007</v>
      </c>
      <c r="J55" s="982">
        <f t="shared" si="12"/>
        <v>7.5</v>
      </c>
      <c r="K55" s="982">
        <f t="shared" si="12"/>
        <v>610</v>
      </c>
      <c r="L55" s="982">
        <f t="shared" si="12"/>
        <v>235</v>
      </c>
      <c r="M55" s="982">
        <f t="shared" si="12"/>
        <v>9148</v>
      </c>
      <c r="N55" s="982">
        <f t="shared" si="12"/>
        <v>0</v>
      </c>
      <c r="O55" s="982">
        <f t="shared" si="12"/>
        <v>3811.37</v>
      </c>
      <c r="P55" s="982">
        <f t="shared" si="12"/>
        <v>1544.75</v>
      </c>
      <c r="Q55" s="982">
        <f t="shared" si="12"/>
        <v>405</v>
      </c>
      <c r="R55" s="982">
        <f t="shared" si="12"/>
        <v>1110</v>
      </c>
      <c r="S55" s="982">
        <f t="shared" si="12"/>
        <v>78.75</v>
      </c>
      <c r="T55" s="982">
        <f t="shared" si="12"/>
        <v>339</v>
      </c>
      <c r="U55" s="982">
        <f t="shared" si="12"/>
        <v>1000</v>
      </c>
      <c r="V55" s="982"/>
      <c r="W55" s="982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2"/>
      <c r="AP55" s="12"/>
      <c r="AQ55" s="12"/>
      <c r="AR55" s="12"/>
      <c r="AW55" s="12"/>
    </row>
    <row r="56" spans="1:51" s="1001" customFormat="1" ht="12.75" customHeight="1">
      <c r="A56" s="1000"/>
      <c r="B56" s="1006">
        <v>44957</v>
      </c>
      <c r="C56" s="1006" t="s">
        <v>17</v>
      </c>
      <c r="D56" s="1007" t="s">
        <v>35</v>
      </c>
      <c r="E56" s="1722">
        <v>-11347</v>
      </c>
      <c r="F56" s="1008"/>
      <c r="G56" s="1008"/>
      <c r="H56" s="1008"/>
      <c r="I56" s="1008"/>
      <c r="J56" s="1008"/>
      <c r="K56" s="1008"/>
      <c r="L56" s="1008"/>
      <c r="M56" s="1008"/>
      <c r="N56" s="1008"/>
      <c r="O56" s="1008"/>
      <c r="P56" s="1008"/>
      <c r="Q56" s="1008"/>
      <c r="R56" s="1008"/>
      <c r="S56" s="1008"/>
      <c r="T56" s="1008"/>
      <c r="U56" s="1008"/>
      <c r="V56" s="1008"/>
      <c r="W56" s="1008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</row>
    <row r="57" spans="1:51" s="1001" customFormat="1" ht="12.75" customHeight="1">
      <c r="A57" s="1000"/>
      <c r="B57" s="1006">
        <v>44957</v>
      </c>
      <c r="C57" s="1006" t="s">
        <v>17</v>
      </c>
      <c r="D57" s="1007" t="s">
        <v>34</v>
      </c>
      <c r="E57" s="1722">
        <v>-4778</v>
      </c>
      <c r="F57" s="1008"/>
      <c r="G57" s="1008"/>
      <c r="H57" s="1008"/>
      <c r="I57" s="1008"/>
      <c r="J57" s="1008"/>
      <c r="K57" s="1008"/>
      <c r="L57" s="1008"/>
      <c r="M57" s="1008"/>
      <c r="N57" s="1008"/>
      <c r="O57" s="1008"/>
      <c r="P57" s="1008"/>
      <c r="Q57" s="1008"/>
      <c r="R57" s="1008"/>
      <c r="S57" s="1008"/>
      <c r="T57" s="1008"/>
      <c r="U57" s="1008"/>
      <c r="V57" s="1008"/>
      <c r="W57" s="1008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</row>
    <row r="58" spans="1:51" s="1001" customFormat="1" ht="12.75" customHeight="1">
      <c r="A58" s="1000"/>
      <c r="B58" s="1006">
        <v>44957</v>
      </c>
      <c r="C58" s="1006" t="s">
        <v>17</v>
      </c>
      <c r="D58" s="1007" t="s">
        <v>47</v>
      </c>
      <c r="E58" s="1722">
        <v>-11712</v>
      </c>
      <c r="F58" s="1008"/>
      <c r="G58" s="1008"/>
      <c r="H58" s="1008"/>
      <c r="I58" s="1008"/>
      <c r="J58" s="1008"/>
      <c r="K58" s="1008"/>
      <c r="L58" s="1008"/>
      <c r="M58" s="1008"/>
      <c r="N58" s="1008"/>
      <c r="O58" s="1008"/>
      <c r="P58" s="1008"/>
      <c r="Q58" s="1008"/>
      <c r="R58" s="1008"/>
      <c r="S58" s="1008"/>
      <c r="T58" s="1008"/>
      <c r="U58" s="1008"/>
      <c r="V58" s="1008"/>
      <c r="W58" s="1008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</row>
    <row r="59" spans="1:51" s="1001" customFormat="1" ht="12.75" customHeight="1">
      <c r="A59" s="1000"/>
      <c r="B59" s="1006">
        <v>44957</v>
      </c>
      <c r="C59" s="1006" t="s">
        <v>17</v>
      </c>
      <c r="D59" s="1007" t="s">
        <v>33</v>
      </c>
      <c r="E59" s="1722">
        <v>-213</v>
      </c>
      <c r="F59" s="1008"/>
      <c r="G59" s="1008"/>
      <c r="H59" s="1008"/>
      <c r="I59" s="1008"/>
      <c r="J59" s="1008"/>
      <c r="K59" s="1008"/>
      <c r="L59" s="1008"/>
      <c r="M59" s="1008"/>
      <c r="N59" s="1008"/>
      <c r="O59" s="1008"/>
      <c r="P59" s="1008"/>
      <c r="Q59" s="1008"/>
      <c r="R59" s="1008"/>
      <c r="S59" s="1008"/>
      <c r="T59" s="1008"/>
      <c r="U59" s="1008"/>
      <c r="V59" s="1008"/>
      <c r="W59" s="1008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</row>
    <row r="60" spans="1:51" s="1001" customFormat="1" ht="12.75" customHeight="1">
      <c r="A60" s="1000"/>
      <c r="B60" s="1006">
        <v>44957</v>
      </c>
      <c r="C60" s="1006" t="s">
        <v>19</v>
      </c>
      <c r="D60" s="1007" t="s">
        <v>32</v>
      </c>
      <c r="E60" s="1722">
        <v>339</v>
      </c>
      <c r="F60" s="1008"/>
      <c r="G60" s="1008"/>
      <c r="H60" s="1008"/>
      <c r="I60" s="1008"/>
      <c r="J60" s="1008"/>
      <c r="K60" s="1008"/>
      <c r="L60" s="1008"/>
      <c r="M60" s="1008"/>
      <c r="N60" s="1008"/>
      <c r="O60" s="1008"/>
      <c r="P60" s="1008"/>
      <c r="Q60" s="1008"/>
      <c r="R60" s="1008"/>
      <c r="S60" s="1008"/>
      <c r="T60" s="1008">
        <v>339</v>
      </c>
      <c r="U60" s="1008"/>
      <c r="V60" s="1008"/>
      <c r="W60" s="1008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</row>
    <row r="61" spans="1:51" s="1001" customFormat="1" ht="12.75" customHeight="1">
      <c r="A61" s="1000"/>
      <c r="B61" s="1006">
        <v>44957</v>
      </c>
      <c r="C61" s="1006" t="s">
        <v>17</v>
      </c>
      <c r="D61" s="1007" t="s">
        <v>46</v>
      </c>
      <c r="E61" s="1722">
        <v>13125</v>
      </c>
      <c r="F61" s="1008"/>
      <c r="G61" s="1008"/>
      <c r="H61" s="1008"/>
      <c r="I61" s="1008"/>
      <c r="J61" s="1008"/>
      <c r="K61" s="1008"/>
      <c r="L61" s="1008"/>
      <c r="M61" s="1008">
        <v>13125</v>
      </c>
      <c r="N61" s="1008"/>
      <c r="O61" s="1008"/>
      <c r="P61" s="1008"/>
      <c r="Q61" s="1008"/>
      <c r="R61" s="1008"/>
      <c r="S61" s="1008"/>
      <c r="T61" s="1008"/>
      <c r="U61" s="1008"/>
      <c r="V61" s="1008"/>
      <c r="W61" s="1008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</row>
    <row r="62" spans="1:51" s="1001" customFormat="1" ht="12.75" customHeight="1">
      <c r="A62" s="1000"/>
      <c r="B62" s="1006">
        <v>44958</v>
      </c>
      <c r="C62" s="1006" t="s">
        <v>19</v>
      </c>
      <c r="D62" s="1007" t="s">
        <v>27</v>
      </c>
      <c r="E62" s="1722">
        <v>739</v>
      </c>
      <c r="F62" s="1008"/>
      <c r="G62" s="1008"/>
      <c r="H62" s="1008"/>
      <c r="I62" s="1008"/>
      <c r="J62" s="1008"/>
      <c r="K62" s="1008"/>
      <c r="L62" s="1008"/>
      <c r="M62" s="1008"/>
      <c r="N62" s="1008"/>
      <c r="O62" s="1008"/>
      <c r="P62" s="1008">
        <v>738.75</v>
      </c>
      <c r="Q62" s="1008"/>
      <c r="R62" s="1008"/>
      <c r="S62" s="1008"/>
      <c r="T62" s="1008"/>
      <c r="U62" s="1008"/>
      <c r="V62" s="1008"/>
      <c r="W62" s="1008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</row>
    <row r="63" spans="1:51" s="1001" customFormat="1" ht="12.75" customHeight="1">
      <c r="A63" s="1000"/>
      <c r="B63" s="1006">
        <v>44958</v>
      </c>
      <c r="C63" s="1006" t="s">
        <v>19</v>
      </c>
      <c r="D63" s="1007" t="s">
        <v>25</v>
      </c>
      <c r="E63" s="1722">
        <v>659</v>
      </c>
      <c r="F63" s="1008"/>
      <c r="G63" s="1008"/>
      <c r="H63" s="1008"/>
      <c r="I63" s="1008"/>
      <c r="J63" s="1008"/>
      <c r="K63" s="1008"/>
      <c r="L63" s="1008"/>
      <c r="M63" s="1008"/>
      <c r="N63" s="1008"/>
      <c r="O63" s="1008">
        <v>658.93</v>
      </c>
      <c r="P63" s="1008"/>
      <c r="Q63" s="1008"/>
      <c r="R63" s="1008"/>
      <c r="S63" s="1008"/>
      <c r="T63" s="1008"/>
      <c r="U63" s="1008"/>
      <c r="V63" s="1008"/>
      <c r="W63" s="1008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</row>
    <row r="64" spans="1:51" s="1001" customFormat="1" ht="12.75" customHeight="1">
      <c r="A64" s="1000"/>
      <c r="B64" s="1006">
        <v>44958</v>
      </c>
      <c r="C64" s="1006"/>
      <c r="D64" s="1007" t="s">
        <v>125</v>
      </c>
      <c r="E64" s="1722">
        <v>45</v>
      </c>
      <c r="F64" s="1008"/>
      <c r="G64" s="1008"/>
      <c r="H64" s="1008"/>
      <c r="I64" s="1008"/>
      <c r="J64" s="1008"/>
      <c r="K64" s="1008"/>
      <c r="L64" s="1008"/>
      <c r="M64" s="1008"/>
      <c r="N64" s="1008"/>
      <c r="O64" s="1008"/>
      <c r="P64" s="1008"/>
      <c r="Q64" s="1008">
        <v>45</v>
      </c>
      <c r="R64" s="1008"/>
      <c r="S64" s="1008"/>
      <c r="T64" s="1008"/>
      <c r="U64" s="1008"/>
      <c r="V64" s="1008"/>
      <c r="W64" s="1008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</row>
    <row r="65" spans="1:40" s="1001" customFormat="1" ht="12.75" customHeight="1">
      <c r="A65" s="1000"/>
      <c r="B65" s="1006">
        <v>44958</v>
      </c>
      <c r="C65" s="1006" t="s">
        <v>17</v>
      </c>
      <c r="D65" s="1007" t="s">
        <v>16</v>
      </c>
      <c r="E65" s="1722">
        <v>800</v>
      </c>
      <c r="F65" s="1008"/>
      <c r="G65" s="1008">
        <v>800</v>
      </c>
      <c r="H65" s="1008"/>
      <c r="I65" s="1008"/>
      <c r="J65" s="1008"/>
      <c r="K65" s="1008"/>
      <c r="L65" s="1008"/>
      <c r="M65" s="1008"/>
      <c r="N65" s="1008"/>
      <c r="O65" s="1008"/>
      <c r="P65" s="1008"/>
      <c r="Q65" s="1008"/>
      <c r="R65" s="1008"/>
      <c r="S65" s="1008"/>
      <c r="T65" s="1008"/>
      <c r="U65" s="1008"/>
      <c r="V65" s="1008"/>
      <c r="W65" s="1008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</row>
    <row r="66" spans="1:40" s="1001" customFormat="1" ht="12.75" customHeight="1">
      <c r="A66" s="1000"/>
      <c r="B66" s="1006">
        <v>44958</v>
      </c>
      <c r="C66" s="1006" t="s">
        <v>17</v>
      </c>
      <c r="D66" s="1007" t="s">
        <v>28</v>
      </c>
      <c r="E66" s="1722">
        <v>200</v>
      </c>
      <c r="F66" s="1008">
        <v>200</v>
      </c>
      <c r="G66" s="1008"/>
      <c r="H66" s="1008"/>
      <c r="I66" s="1008"/>
      <c r="J66" s="1008"/>
      <c r="K66" s="1008"/>
      <c r="L66" s="1008"/>
      <c r="M66" s="1008"/>
      <c r="N66" s="1008"/>
      <c r="O66" s="1008"/>
      <c r="P66" s="1008"/>
      <c r="Q66" s="1008"/>
      <c r="R66" s="1008"/>
      <c r="S66" s="1008"/>
      <c r="T66" s="1008"/>
      <c r="U66" s="1008"/>
      <c r="V66" s="1008"/>
      <c r="W66" s="1008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</row>
    <row r="67" spans="1:40" s="1001" customFormat="1" ht="12.75" customHeight="1">
      <c r="A67" s="1000"/>
      <c r="B67" s="1006">
        <v>44958</v>
      </c>
      <c r="C67" s="1006" t="s">
        <v>17</v>
      </c>
      <c r="D67" s="1007" t="s">
        <v>22</v>
      </c>
      <c r="E67" s="1722">
        <v>217</v>
      </c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>
        <v>217</v>
      </c>
      <c r="Q67" s="1008"/>
      <c r="R67" s="1008"/>
      <c r="S67" s="1008"/>
      <c r="T67" s="1008"/>
      <c r="U67" s="1008"/>
      <c r="V67" s="1008"/>
      <c r="W67" s="1008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</row>
    <row r="68" spans="1:40" s="1001" customFormat="1" ht="12.75" customHeight="1">
      <c r="A68" s="1000"/>
      <c r="B68" s="1006">
        <v>44958</v>
      </c>
      <c r="C68" s="1006" t="s">
        <v>17</v>
      </c>
      <c r="D68" s="1007" t="s">
        <v>29</v>
      </c>
      <c r="E68" s="1722">
        <v>69</v>
      </c>
      <c r="F68" s="1008">
        <v>69</v>
      </c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1008"/>
      <c r="T68" s="1008"/>
      <c r="U68" s="1008"/>
      <c r="V68" s="1008"/>
      <c r="W68" s="1008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</row>
    <row r="69" spans="1:40" s="1001" customFormat="1" ht="12.75" customHeight="1">
      <c r="A69" s="1000"/>
      <c r="B69" s="1006">
        <v>44960</v>
      </c>
      <c r="C69" s="1006" t="s">
        <v>17</v>
      </c>
      <c r="D69" s="1007" t="s">
        <v>43</v>
      </c>
      <c r="E69" s="1722">
        <v>2935</v>
      </c>
      <c r="F69" s="1008"/>
      <c r="G69" s="1008"/>
      <c r="H69" s="1008"/>
      <c r="I69" s="1008"/>
      <c r="J69" s="1008"/>
      <c r="K69" s="1008"/>
      <c r="L69" s="1008"/>
      <c r="M69" s="1008"/>
      <c r="N69" s="1008"/>
      <c r="O69" s="1008">
        <v>2935</v>
      </c>
      <c r="P69" s="1008"/>
      <c r="Q69" s="1008"/>
      <c r="R69" s="1008"/>
      <c r="S69" s="1008"/>
      <c r="T69" s="1008"/>
      <c r="U69" s="1008"/>
      <c r="V69" s="1008"/>
      <c r="W69" s="1008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</row>
    <row r="70" spans="1:40" s="1001" customFormat="1" ht="12.75" customHeight="1">
      <c r="A70" s="1000"/>
      <c r="B70" s="1006">
        <v>44960</v>
      </c>
      <c r="C70" s="1006" t="s">
        <v>17</v>
      </c>
      <c r="D70" s="1007" t="s">
        <v>21</v>
      </c>
      <c r="E70" s="1722">
        <v>426</v>
      </c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>
        <v>426</v>
      </c>
      <c r="Q70" s="1008"/>
      <c r="R70" s="1008"/>
      <c r="S70" s="1008"/>
      <c r="T70" s="1008"/>
      <c r="U70" s="1008"/>
      <c r="V70" s="1008"/>
      <c r="W70" s="1008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</row>
    <row r="71" spans="1:40" s="1001" customFormat="1" ht="12.75" customHeight="1">
      <c r="A71" s="1000"/>
      <c r="B71" s="1006">
        <v>44963</v>
      </c>
      <c r="C71" s="1006" t="s">
        <v>19</v>
      </c>
      <c r="D71" s="1007" t="s">
        <v>20</v>
      </c>
      <c r="E71" s="1722">
        <v>67</v>
      </c>
      <c r="F71" s="1008">
        <v>67</v>
      </c>
      <c r="G71" s="1008"/>
      <c r="H71" s="1008"/>
      <c r="I71" s="1008"/>
      <c r="J71" s="1008"/>
      <c r="K71" s="1008"/>
      <c r="L71" s="1008"/>
      <c r="M71" s="1008"/>
      <c r="N71" s="1008"/>
      <c r="O71" s="1008"/>
      <c r="P71" s="1008"/>
      <c r="Q71" s="1008"/>
      <c r="R71" s="1008"/>
      <c r="S71" s="1008"/>
      <c r="T71" s="1008"/>
      <c r="U71" s="1008"/>
      <c r="V71" s="1008"/>
      <c r="W71" s="1008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</row>
    <row r="72" spans="1:40" s="1001" customFormat="1" ht="12.75" customHeight="1">
      <c r="A72" s="1000"/>
      <c r="B72" s="1006">
        <v>44963</v>
      </c>
      <c r="C72" s="1006" t="s">
        <v>19</v>
      </c>
      <c r="D72" s="1007" t="s">
        <v>18</v>
      </c>
      <c r="E72" s="1722">
        <v>217</v>
      </c>
      <c r="F72" s="1008"/>
      <c r="G72" s="1008"/>
      <c r="H72" s="1008"/>
      <c r="I72" s="1008"/>
      <c r="J72" s="1008"/>
      <c r="K72" s="1008"/>
      <c r="L72" s="1008"/>
      <c r="M72" s="1008"/>
      <c r="N72" s="1008"/>
      <c r="O72" s="1008">
        <v>217.44</v>
      </c>
      <c r="P72" s="1008"/>
      <c r="Q72" s="1008"/>
      <c r="R72" s="1008"/>
      <c r="S72" s="1008"/>
      <c r="T72" s="1008"/>
      <c r="U72" s="1008"/>
      <c r="V72" s="1008"/>
      <c r="W72" s="1008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</row>
    <row r="73" spans="1:40" s="1001" customFormat="1" ht="12.75" customHeight="1">
      <c r="A73" s="1000"/>
      <c r="B73" s="1006">
        <v>44964</v>
      </c>
      <c r="C73" s="1006" t="s">
        <v>19</v>
      </c>
      <c r="D73" s="1007" t="s">
        <v>23</v>
      </c>
      <c r="E73" s="1722">
        <v>360</v>
      </c>
      <c r="F73" s="1008"/>
      <c r="G73" s="1008"/>
      <c r="H73" s="1008"/>
      <c r="I73" s="1008"/>
      <c r="J73" s="1008"/>
      <c r="K73" s="1008"/>
      <c r="L73" s="1008"/>
      <c r="M73" s="1008"/>
      <c r="N73" s="1008"/>
      <c r="O73" s="1008"/>
      <c r="P73" s="1008"/>
      <c r="Q73" s="1008">
        <v>360</v>
      </c>
      <c r="R73" s="1008"/>
      <c r="S73" s="1008"/>
      <c r="T73" s="1008"/>
      <c r="U73" s="1008"/>
      <c r="V73" s="1008"/>
      <c r="W73" s="1008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</row>
    <row r="74" spans="1:40" s="1001" customFormat="1" ht="12.75" customHeight="1">
      <c r="A74" s="1000"/>
      <c r="B74" s="1006">
        <v>44964</v>
      </c>
      <c r="C74" s="1006"/>
      <c r="D74" s="1007" t="s">
        <v>164</v>
      </c>
      <c r="E74" s="1722">
        <v>350</v>
      </c>
      <c r="F74" s="1008"/>
      <c r="G74" s="1008">
        <v>350</v>
      </c>
      <c r="H74" s="1008"/>
      <c r="I74" s="1008"/>
      <c r="J74" s="1008"/>
      <c r="K74" s="1008"/>
      <c r="L74" s="1008"/>
      <c r="M74" s="1008"/>
      <c r="N74" s="1008"/>
      <c r="O74" s="1008"/>
      <c r="P74" s="1008"/>
      <c r="Q74" s="1008"/>
      <c r="R74" s="1008"/>
      <c r="S74" s="1008"/>
      <c r="T74" s="1008"/>
      <c r="U74" s="1008"/>
      <c r="V74" s="1008"/>
      <c r="W74" s="1008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</row>
    <row r="75" spans="1:40" s="1001" customFormat="1" ht="12.75" customHeight="1">
      <c r="A75" s="1000"/>
      <c r="B75" s="1006">
        <v>44964</v>
      </c>
      <c r="C75" s="1006"/>
      <c r="D75" s="1007" t="s">
        <v>127</v>
      </c>
      <c r="E75" s="1722">
        <v>200</v>
      </c>
      <c r="F75" s="1008"/>
      <c r="G75" s="1008">
        <v>200</v>
      </c>
      <c r="H75" s="1008"/>
      <c r="I75" s="1008"/>
      <c r="J75" s="1008"/>
      <c r="K75" s="1008"/>
      <c r="L75" s="1008"/>
      <c r="M75" s="1008"/>
      <c r="N75" s="1008"/>
      <c r="O75" s="1008"/>
      <c r="P75" s="1008"/>
      <c r="Q75" s="1008"/>
      <c r="R75" s="1008"/>
      <c r="S75" s="1008"/>
      <c r="T75" s="1008"/>
      <c r="U75" s="1008"/>
      <c r="V75" s="1008"/>
      <c r="W75" s="1008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</row>
    <row r="76" spans="1:40" s="1001" customFormat="1" ht="12.75" customHeight="1">
      <c r="A76" s="1000"/>
      <c r="B76" s="1006">
        <v>44973</v>
      </c>
      <c r="C76" s="1006"/>
      <c r="D76" s="1007" t="s">
        <v>529</v>
      </c>
      <c r="E76" s="1722">
        <v>114</v>
      </c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>
        <v>114</v>
      </c>
      <c r="Q76" s="1008"/>
      <c r="R76" s="1008"/>
      <c r="S76" s="1008"/>
      <c r="T76" s="1008"/>
      <c r="U76" s="1008"/>
      <c r="V76" s="1008"/>
      <c r="W76" s="1008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</row>
    <row r="77" spans="1:40" s="1001" customFormat="1" ht="12.75" customHeight="1">
      <c r="A77" s="1000"/>
      <c r="B77" s="1006"/>
      <c r="C77" s="1006"/>
      <c r="D77" s="1007" t="s">
        <v>124</v>
      </c>
      <c r="E77" s="1722">
        <v>602</v>
      </c>
      <c r="F77" s="1008"/>
      <c r="G77" s="1008"/>
      <c r="H77" s="1008"/>
      <c r="I77" s="1008">
        <f>539.2+55.6</f>
        <v>594.80000000000007</v>
      </c>
      <c r="J77" s="1008">
        <v>7.5</v>
      </c>
      <c r="K77" s="1008"/>
      <c r="L77" s="1008"/>
      <c r="M77" s="1008"/>
      <c r="N77" s="1008"/>
      <c r="O77" s="1008"/>
      <c r="P77" s="1008"/>
      <c r="Q77" s="1008"/>
      <c r="R77" s="1008"/>
      <c r="S77" s="1008"/>
      <c r="T77" s="1008"/>
      <c r="U77" s="1008"/>
      <c r="V77" s="1008"/>
      <c r="W77" s="1008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</row>
    <row r="78" spans="1:40" s="1001" customFormat="1" ht="12.75" customHeight="1">
      <c r="A78" s="1000"/>
      <c r="B78" s="1006">
        <v>44977</v>
      </c>
      <c r="C78" s="1006"/>
      <c r="D78" s="1007" t="s">
        <v>1349</v>
      </c>
      <c r="E78" s="1722">
        <v>-132</v>
      </c>
      <c r="F78" s="1008"/>
      <c r="G78" s="1008">
        <v>-132.38</v>
      </c>
      <c r="H78" s="1008"/>
      <c r="I78" s="1008"/>
      <c r="J78" s="1008"/>
      <c r="K78" s="1008"/>
      <c r="L78" s="1008"/>
      <c r="M78" s="1008"/>
      <c r="N78" s="1008"/>
      <c r="O78" s="1008"/>
      <c r="P78" s="1008"/>
      <c r="Q78" s="1008"/>
      <c r="R78" s="1008"/>
      <c r="S78" s="1008"/>
      <c r="T78" s="1008"/>
      <c r="U78" s="1008"/>
      <c r="V78" s="1008"/>
      <c r="W78" s="1008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</row>
    <row r="79" spans="1:40" s="1001" customFormat="1" ht="12.75" customHeight="1">
      <c r="A79" s="1000"/>
      <c r="B79" s="1006">
        <v>44979</v>
      </c>
      <c r="C79" s="1006"/>
      <c r="D79" s="1007" t="s">
        <v>1350</v>
      </c>
      <c r="E79" s="1722">
        <v>-3977</v>
      </c>
      <c r="F79" s="1008"/>
      <c r="G79" s="1008"/>
      <c r="H79" s="1008"/>
      <c r="I79" s="1008"/>
      <c r="J79" s="1008"/>
      <c r="K79" s="1008"/>
      <c r="L79" s="1008"/>
      <c r="M79" s="1008">
        <v>-3977</v>
      </c>
      <c r="N79" s="1008"/>
      <c r="O79" s="1008"/>
      <c r="P79" s="1008"/>
      <c r="Q79" s="1008"/>
      <c r="R79" s="1008"/>
      <c r="S79" s="1008"/>
      <c r="T79" s="1008"/>
      <c r="U79" s="1008"/>
      <c r="V79" s="1008"/>
      <c r="W79" s="10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</row>
    <row r="80" spans="1:40" s="1001" customFormat="1" ht="12.75" customHeight="1">
      <c r="A80" s="1000"/>
      <c r="B80" s="1006">
        <v>44979</v>
      </c>
      <c r="C80" s="1006"/>
      <c r="D80" s="1007" t="s">
        <v>1351</v>
      </c>
      <c r="E80" s="1722">
        <v>700</v>
      </c>
      <c r="F80" s="1008"/>
      <c r="G80" s="1008">
        <v>700</v>
      </c>
      <c r="H80" s="1008"/>
      <c r="I80" s="1008"/>
      <c r="J80" s="1008"/>
      <c r="K80" s="1008"/>
      <c r="L80" s="1008"/>
      <c r="M80" s="1008"/>
      <c r="N80" s="1008"/>
      <c r="O80" s="1008"/>
      <c r="P80" s="1008"/>
      <c r="Q80" s="1008"/>
      <c r="R80" s="1008"/>
      <c r="S80" s="1008"/>
      <c r="T80" s="1008"/>
      <c r="U80" s="1008"/>
      <c r="V80" s="1008"/>
      <c r="W80" s="1008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</row>
    <row r="81" spans="1:51" s="1001" customFormat="1" ht="12.75" customHeight="1">
      <c r="A81" s="1000"/>
      <c r="B81" s="1006">
        <v>44980</v>
      </c>
      <c r="C81" s="1006"/>
      <c r="D81" s="1007" t="s">
        <v>12</v>
      </c>
      <c r="E81" s="1722">
        <v>500</v>
      </c>
      <c r="F81" s="1008"/>
      <c r="G81" s="1008"/>
      <c r="H81" s="1008"/>
      <c r="I81" s="1008"/>
      <c r="J81" s="1008"/>
      <c r="K81" s="1008"/>
      <c r="L81" s="1008"/>
      <c r="M81" s="1008"/>
      <c r="N81" s="1008"/>
      <c r="O81" s="1008"/>
      <c r="P81" s="1008"/>
      <c r="Q81" s="1008"/>
      <c r="R81" s="1008">
        <v>500</v>
      </c>
      <c r="S81" s="1008"/>
      <c r="T81" s="1008"/>
      <c r="U81" s="1008"/>
      <c r="V81" s="1008"/>
      <c r="W81" s="1008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</row>
    <row r="82" spans="1:51" s="1001" customFormat="1" ht="12.75" customHeight="1">
      <c r="A82" s="1000"/>
      <c r="B82" s="1006">
        <v>44981</v>
      </c>
      <c r="C82" s="1006"/>
      <c r="D82" s="1007" t="s">
        <v>1353</v>
      </c>
      <c r="E82" s="1722">
        <v>220</v>
      </c>
      <c r="F82" s="1008"/>
      <c r="G82" s="1008">
        <v>219.74</v>
      </c>
      <c r="H82" s="1008"/>
      <c r="I82" s="1008"/>
      <c r="J82" s="1008"/>
      <c r="K82" s="1008"/>
      <c r="L82" s="1008"/>
      <c r="M82" s="1008"/>
      <c r="N82" s="1008"/>
      <c r="O82" s="1008"/>
      <c r="P82" s="1008"/>
      <c r="Q82" s="1008"/>
      <c r="R82" s="1008"/>
      <c r="S82" s="1008"/>
      <c r="T82" s="1008"/>
      <c r="U82" s="1008"/>
      <c r="V82" s="1008"/>
      <c r="W82" s="1008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</row>
    <row r="83" spans="1:51" s="1001" customFormat="1" ht="12.75" customHeight="1">
      <c r="A83" s="1000"/>
      <c r="B83" s="1006">
        <v>44982</v>
      </c>
      <c r="C83" s="1006"/>
      <c r="D83" s="1007" t="s">
        <v>24</v>
      </c>
      <c r="E83" s="1722">
        <v>79</v>
      </c>
      <c r="F83" s="1008"/>
      <c r="G83" s="1008"/>
      <c r="H83" s="1008"/>
      <c r="I83" s="1008"/>
      <c r="J83" s="1008"/>
      <c r="K83" s="1008"/>
      <c r="L83" s="1008"/>
      <c r="M83" s="1008"/>
      <c r="N83" s="1008"/>
      <c r="O83" s="1008"/>
      <c r="P83" s="1008"/>
      <c r="Q83" s="1008"/>
      <c r="R83" s="1008"/>
      <c r="S83" s="1008">
        <v>78.75</v>
      </c>
      <c r="T83" s="1008"/>
      <c r="U83" s="1008"/>
      <c r="V83" s="1008"/>
      <c r="W83" s="1008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</row>
    <row r="84" spans="1:51" s="1001" customFormat="1" ht="12.75" customHeight="1">
      <c r="A84" s="1000"/>
      <c r="B84" s="1006">
        <v>44984</v>
      </c>
      <c r="C84" s="1006"/>
      <c r="D84" s="1007" t="s">
        <v>1104</v>
      </c>
      <c r="E84" s="1722">
        <v>49</v>
      </c>
      <c r="F84" s="1008"/>
      <c r="G84" s="1008"/>
      <c r="H84" s="1008"/>
      <c r="I84" s="1008"/>
      <c r="J84" s="1008"/>
      <c r="K84" s="1008"/>
      <c r="L84" s="1008"/>
      <c r="M84" s="1008"/>
      <c r="N84" s="1008"/>
      <c r="O84" s="1008"/>
      <c r="P84" s="1008">
        <v>49</v>
      </c>
      <c r="Q84" s="1008"/>
      <c r="R84" s="1008"/>
      <c r="S84" s="1008"/>
      <c r="T84" s="1008"/>
      <c r="U84" s="1008"/>
      <c r="V84" s="1008"/>
      <c r="W84" s="1008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</row>
    <row r="85" spans="1:51" s="10" customFormat="1" ht="13.8">
      <c r="A85" s="25"/>
      <c r="B85" s="34"/>
      <c r="C85" s="34"/>
      <c r="D85" s="33" t="s">
        <v>42</v>
      </c>
      <c r="E85" s="1722">
        <v>980</v>
      </c>
      <c r="F85" s="31"/>
      <c r="G85" s="31"/>
      <c r="H85" s="31">
        <v>980</v>
      </c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N85" s="9"/>
      <c r="AO85" s="9"/>
      <c r="AP85" s="9"/>
      <c r="AQ85" s="9"/>
      <c r="AR85" s="9"/>
      <c r="AS85" s="9"/>
      <c r="AT85" s="9"/>
      <c r="AW85" s="9"/>
    </row>
    <row r="86" spans="1:51" s="10" customFormat="1" ht="13.8">
      <c r="A86" s="25"/>
      <c r="B86" s="34"/>
      <c r="C86" s="34"/>
      <c r="D86" s="33" t="s">
        <v>41</v>
      </c>
      <c r="E86" s="1722">
        <v>500</v>
      </c>
      <c r="F86" s="31"/>
      <c r="G86" s="31"/>
      <c r="H86" s="31">
        <v>500</v>
      </c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N86" s="6"/>
      <c r="AO86" s="12"/>
      <c r="AP86" s="12"/>
      <c r="AQ86" s="12"/>
      <c r="AR86" s="12"/>
      <c r="AS86" s="12"/>
      <c r="AT86" s="30"/>
      <c r="AW86" s="12"/>
    </row>
    <row r="87" spans="1:51" s="10" customFormat="1" ht="13.8">
      <c r="A87" s="25"/>
      <c r="B87" s="34"/>
      <c r="C87" s="34"/>
      <c r="D87" s="33" t="s">
        <v>1348</v>
      </c>
      <c r="E87" s="1722">
        <v>1090</v>
      </c>
      <c r="F87" s="31"/>
      <c r="G87" s="31"/>
      <c r="H87" s="31">
        <v>380</v>
      </c>
      <c r="I87" s="31"/>
      <c r="J87" s="31"/>
      <c r="K87" s="31"/>
      <c r="L87" s="31">
        <v>100</v>
      </c>
      <c r="M87" s="31"/>
      <c r="N87" s="31"/>
      <c r="O87" s="31"/>
      <c r="P87" s="31"/>
      <c r="Q87" s="31"/>
      <c r="R87" s="31">
        <v>610</v>
      </c>
      <c r="S87" s="31"/>
      <c r="T87" s="31"/>
      <c r="U87" s="31"/>
      <c r="V87" s="31"/>
      <c r="W87" s="31"/>
    </row>
    <row r="88" spans="1:51" s="10" customFormat="1" ht="13.8">
      <c r="A88" s="25"/>
      <c r="B88" s="34"/>
      <c r="C88" s="34"/>
      <c r="D88" s="33" t="s">
        <v>39</v>
      </c>
      <c r="E88" s="1722">
        <v>143</v>
      </c>
      <c r="F88" s="31"/>
      <c r="G88" s="31"/>
      <c r="H88" s="31">
        <v>143</v>
      </c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</row>
    <row r="89" spans="1:51" s="10" customFormat="1" ht="13.8">
      <c r="A89" s="25"/>
      <c r="B89" s="34"/>
      <c r="C89" s="34"/>
      <c r="D89" s="33" t="s">
        <v>123</v>
      </c>
      <c r="E89" s="1722">
        <v>1285</v>
      </c>
      <c r="F89" s="31"/>
      <c r="G89" s="31">
        <v>293</v>
      </c>
      <c r="H89" s="31">
        <v>349</v>
      </c>
      <c r="I89" s="31"/>
      <c r="J89" s="31"/>
      <c r="K89" s="31">
        <v>610</v>
      </c>
      <c r="L89" s="31">
        <v>33</v>
      </c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</row>
    <row r="90" spans="1:51" s="10" customFormat="1" ht="13.8">
      <c r="A90" s="25"/>
      <c r="B90" s="34"/>
      <c r="C90" s="34"/>
      <c r="D90" s="33" t="s">
        <v>37</v>
      </c>
      <c r="E90" s="1722">
        <v>6337</v>
      </c>
      <c r="F90" s="31"/>
      <c r="G90" s="31">
        <v>4670</v>
      </c>
      <c r="H90" s="31">
        <v>565</v>
      </c>
      <c r="I90" s="31"/>
      <c r="J90" s="31"/>
      <c r="K90" s="31"/>
      <c r="L90" s="31">
        <v>102</v>
      </c>
      <c r="M90" s="31"/>
      <c r="N90" s="31"/>
      <c r="O90" s="31"/>
      <c r="P90" s="31"/>
      <c r="Q90" s="31"/>
      <c r="R90" s="31"/>
      <c r="S90" s="31"/>
      <c r="T90" s="31"/>
      <c r="U90" s="31">
        <v>1000</v>
      </c>
      <c r="V90" s="31"/>
      <c r="W90" s="31"/>
    </row>
    <row r="91" spans="1:51" s="26" customFormat="1" ht="12" customHeight="1">
      <c r="A91" s="29"/>
      <c r="B91" s="2889" t="str">
        <f>E7</f>
        <v>Februar</v>
      </c>
      <c r="C91" s="1013">
        <v>44957</v>
      </c>
      <c r="D91" s="2895" t="s">
        <v>36</v>
      </c>
      <c r="E91" s="2899">
        <f t="shared" ref="E91:W91" si="13">SUM(E92:E92)</f>
        <v>0</v>
      </c>
      <c r="F91" s="2891">
        <f t="shared" si="13"/>
        <v>0</v>
      </c>
      <c r="G91" s="2891">
        <f t="shared" si="13"/>
        <v>0</v>
      </c>
      <c r="H91" s="2891">
        <f t="shared" si="13"/>
        <v>0</v>
      </c>
      <c r="I91" s="2891">
        <f t="shared" si="13"/>
        <v>0</v>
      </c>
      <c r="J91" s="2891">
        <f t="shared" si="13"/>
        <v>0</v>
      </c>
      <c r="K91" s="2891">
        <f t="shared" si="13"/>
        <v>0</v>
      </c>
      <c r="L91" s="2891">
        <f t="shared" si="13"/>
        <v>0</v>
      </c>
      <c r="M91" s="2891">
        <f t="shared" si="13"/>
        <v>0</v>
      </c>
      <c r="N91" s="2891">
        <f t="shared" si="13"/>
        <v>0</v>
      </c>
      <c r="O91" s="2891">
        <f t="shared" si="13"/>
        <v>0</v>
      </c>
      <c r="P91" s="2891">
        <f t="shared" si="13"/>
        <v>0</v>
      </c>
      <c r="Q91" s="2891">
        <f t="shared" si="13"/>
        <v>0</v>
      </c>
      <c r="R91" s="2891">
        <f t="shared" si="13"/>
        <v>0</v>
      </c>
      <c r="S91" s="2891">
        <f t="shared" si="13"/>
        <v>0</v>
      </c>
      <c r="T91" s="2891">
        <f t="shared" si="13"/>
        <v>0</v>
      </c>
      <c r="U91" s="2891">
        <f t="shared" si="13"/>
        <v>0</v>
      </c>
      <c r="V91" s="2891">
        <f t="shared" si="13"/>
        <v>0</v>
      </c>
      <c r="W91" s="2891">
        <f t="shared" si="13"/>
        <v>0</v>
      </c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9"/>
      <c r="AV91" s="9"/>
      <c r="AW91" s="10"/>
      <c r="AX91" s="9"/>
      <c r="AY91" s="9"/>
    </row>
    <row r="92" spans="1:51" s="26" customFormat="1" ht="12" customHeight="1">
      <c r="A92" s="29"/>
      <c r="B92" s="2890"/>
      <c r="C92" s="1014"/>
      <c r="D92" s="2896"/>
      <c r="E92" s="2900"/>
      <c r="F92" s="2892"/>
      <c r="G92" s="2892"/>
      <c r="H92" s="2892"/>
      <c r="I92" s="2892"/>
      <c r="J92" s="2892"/>
      <c r="K92" s="2892"/>
      <c r="L92" s="2892"/>
      <c r="M92" s="2892"/>
      <c r="N92" s="2892"/>
      <c r="O92" s="2892"/>
      <c r="P92" s="2892"/>
      <c r="Q92" s="2892"/>
      <c r="R92" s="2892"/>
      <c r="S92" s="2892"/>
      <c r="T92" s="2892"/>
      <c r="U92" s="2892"/>
      <c r="V92" s="2892"/>
      <c r="W92" s="2892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9"/>
      <c r="AV92" s="9"/>
      <c r="AW92" s="10"/>
      <c r="AX92" s="9"/>
      <c r="AY92" s="9"/>
    </row>
    <row r="93" spans="1:51" s="1005" customFormat="1" ht="12" customHeight="1">
      <c r="A93" s="1002"/>
      <c r="B93" s="1009"/>
      <c r="C93" s="2893" t="s">
        <v>1120</v>
      </c>
      <c r="D93" s="2894"/>
      <c r="E93" s="1723">
        <f t="shared" ref="E93:W93" si="14">SUM(E94:E94)</f>
        <v>0</v>
      </c>
      <c r="F93" s="1012">
        <f t="shared" si="14"/>
        <v>0</v>
      </c>
      <c r="G93" s="1012">
        <f t="shared" si="14"/>
        <v>0</v>
      </c>
      <c r="H93" s="1012">
        <f t="shared" si="14"/>
        <v>0</v>
      </c>
      <c r="I93" s="1012">
        <f t="shared" si="14"/>
        <v>0</v>
      </c>
      <c r="J93" s="1012">
        <f t="shared" si="14"/>
        <v>0</v>
      </c>
      <c r="K93" s="1012">
        <f t="shared" si="14"/>
        <v>0</v>
      </c>
      <c r="L93" s="1012">
        <f t="shared" si="14"/>
        <v>0</v>
      </c>
      <c r="M93" s="1012">
        <f t="shared" si="14"/>
        <v>0</v>
      </c>
      <c r="N93" s="1012">
        <f t="shared" si="14"/>
        <v>0</v>
      </c>
      <c r="O93" s="1012">
        <f t="shared" si="14"/>
        <v>0</v>
      </c>
      <c r="P93" s="1012">
        <f t="shared" si="14"/>
        <v>0</v>
      </c>
      <c r="Q93" s="1012">
        <f t="shared" si="14"/>
        <v>0</v>
      </c>
      <c r="R93" s="1012">
        <f t="shared" si="14"/>
        <v>0</v>
      </c>
      <c r="S93" s="1012">
        <f t="shared" si="14"/>
        <v>0</v>
      </c>
      <c r="T93" s="1012">
        <f t="shared" si="14"/>
        <v>0</v>
      </c>
      <c r="U93" s="1012">
        <f t="shared" si="14"/>
        <v>0</v>
      </c>
      <c r="V93" s="1012">
        <f t="shared" si="14"/>
        <v>0</v>
      </c>
      <c r="W93" s="1012">
        <f t="shared" si="14"/>
        <v>0</v>
      </c>
      <c r="X93" s="1003"/>
      <c r="Y93" s="1003"/>
      <c r="Z93" s="1003"/>
      <c r="AA93" s="1003"/>
      <c r="AB93" s="1003"/>
      <c r="AC93" s="1003"/>
      <c r="AD93" s="1003"/>
      <c r="AE93" s="1003"/>
      <c r="AF93" s="1003"/>
      <c r="AG93" s="1003"/>
      <c r="AH93" s="1003"/>
      <c r="AI93" s="1004"/>
      <c r="AJ93" s="1004"/>
      <c r="AK93" s="1004"/>
      <c r="AL93" s="1004"/>
      <c r="AM93" s="1003"/>
      <c r="AN93" s="1003"/>
      <c r="AO93" s="1003"/>
      <c r="AP93" s="1003"/>
      <c r="AQ93" s="1003"/>
      <c r="AR93" s="1003"/>
      <c r="AS93" s="1003"/>
      <c r="AT93" s="1003"/>
      <c r="AU93" s="1003"/>
      <c r="AV93" s="1003"/>
      <c r="AW93" s="1003"/>
    </row>
    <row r="94" spans="1:51" s="90" customFormat="1" ht="13.8">
      <c r="A94" s="973"/>
      <c r="B94" s="974"/>
      <c r="C94" s="977"/>
      <c r="D94" s="978"/>
      <c r="E94" s="1722"/>
      <c r="F94" s="976"/>
      <c r="G94" s="976"/>
      <c r="H94" s="976"/>
      <c r="I94" s="976"/>
      <c r="J94" s="976"/>
      <c r="K94" s="976"/>
      <c r="L94" s="976"/>
      <c r="M94" s="976"/>
      <c r="N94" s="976"/>
      <c r="O94" s="976"/>
      <c r="P94" s="976"/>
      <c r="Q94" s="976"/>
      <c r="R94" s="976"/>
      <c r="S94" s="976"/>
      <c r="T94" s="976"/>
      <c r="U94" s="976"/>
      <c r="V94" s="976"/>
      <c r="W94" s="976"/>
    </row>
    <row r="95" spans="1:51" s="35" customFormat="1" ht="13.5" customHeight="1">
      <c r="A95" s="39"/>
      <c r="B95" s="979" t="str">
        <f>F7</f>
        <v>Marts</v>
      </c>
      <c r="C95" s="980"/>
      <c r="D95" s="981"/>
      <c r="E95" s="1724">
        <f t="shared" ref="E95:W95" si="15">SUM(E96:E131)</f>
        <v>3412.7</v>
      </c>
      <c r="F95" s="982">
        <f t="shared" si="15"/>
        <v>316</v>
      </c>
      <c r="G95" s="982">
        <f t="shared" si="15"/>
        <v>6307.8</v>
      </c>
      <c r="H95" s="982">
        <f t="shared" si="15"/>
        <v>2910</v>
      </c>
      <c r="I95" s="982">
        <f t="shared" si="15"/>
        <v>991</v>
      </c>
      <c r="J95" s="982">
        <f t="shared" si="15"/>
        <v>1.5</v>
      </c>
      <c r="K95" s="982">
        <f t="shared" si="15"/>
        <v>488</v>
      </c>
      <c r="L95" s="982">
        <f t="shared" si="15"/>
        <v>461</v>
      </c>
      <c r="M95" s="982">
        <f t="shared" si="15"/>
        <v>4533.8</v>
      </c>
      <c r="N95" s="982">
        <f t="shared" si="15"/>
        <v>930</v>
      </c>
      <c r="O95" s="982">
        <f t="shared" si="15"/>
        <v>1612.02</v>
      </c>
      <c r="P95" s="982">
        <f t="shared" si="15"/>
        <v>1601.9499999999998</v>
      </c>
      <c r="Q95" s="982">
        <f t="shared" si="15"/>
        <v>274</v>
      </c>
      <c r="R95" s="982">
        <f t="shared" si="15"/>
        <v>1000</v>
      </c>
      <c r="S95" s="982">
        <f t="shared" si="15"/>
        <v>78.75</v>
      </c>
      <c r="T95" s="982">
        <f t="shared" si="15"/>
        <v>339</v>
      </c>
      <c r="U95" s="982">
        <f t="shared" si="15"/>
        <v>560</v>
      </c>
      <c r="V95" s="982">
        <f t="shared" si="15"/>
        <v>765.88</v>
      </c>
      <c r="W95" s="982">
        <f t="shared" si="15"/>
        <v>0</v>
      </c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2"/>
      <c r="AP95" s="12"/>
      <c r="AQ95" s="12"/>
      <c r="AR95" s="12"/>
      <c r="AW95" s="12"/>
    </row>
    <row r="96" spans="1:51" s="10" customFormat="1" ht="13.8">
      <c r="A96" s="25"/>
      <c r="B96" s="34">
        <v>44985</v>
      </c>
      <c r="C96" s="34" t="s">
        <v>17</v>
      </c>
      <c r="D96" s="33" t="s">
        <v>35</v>
      </c>
      <c r="E96" s="1722">
        <v>-11347</v>
      </c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</row>
    <row r="97" spans="1:24" s="10" customFormat="1" ht="13.8">
      <c r="A97" s="25"/>
      <c r="B97" s="34">
        <v>44985</v>
      </c>
      <c r="C97" s="34" t="s">
        <v>17</v>
      </c>
      <c r="D97" s="33" t="s">
        <v>34</v>
      </c>
      <c r="E97" s="1722">
        <v>-8159</v>
      </c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</row>
    <row r="98" spans="1:24" s="10" customFormat="1" ht="13.8">
      <c r="A98" s="25"/>
      <c r="B98" s="34">
        <v>44985</v>
      </c>
      <c r="C98" s="34" t="s">
        <v>17</v>
      </c>
      <c r="D98" s="33" t="s">
        <v>33</v>
      </c>
      <c r="E98" s="1722">
        <v>-213</v>
      </c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</row>
    <row r="99" spans="1:24" s="10" customFormat="1" ht="13.8">
      <c r="A99" s="25"/>
      <c r="B99" s="34">
        <v>44985</v>
      </c>
      <c r="C99" s="34" t="s">
        <v>19</v>
      </c>
      <c r="D99" s="33" t="s">
        <v>32</v>
      </c>
      <c r="E99" s="1722">
        <v>339</v>
      </c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>
        <v>339</v>
      </c>
      <c r="U99" s="31"/>
      <c r="V99" s="31"/>
      <c r="W99" s="31"/>
    </row>
    <row r="100" spans="1:24" s="10" customFormat="1" ht="13.8">
      <c r="A100" s="25"/>
      <c r="B100" s="34">
        <v>44986</v>
      </c>
      <c r="C100" s="34"/>
      <c r="D100" s="33" t="s">
        <v>31</v>
      </c>
      <c r="E100" s="1722">
        <v>-3977</v>
      </c>
      <c r="F100" s="31"/>
      <c r="G100" s="31"/>
      <c r="H100" s="31"/>
      <c r="I100" s="31"/>
      <c r="J100" s="31"/>
      <c r="K100" s="31"/>
      <c r="L100" s="31"/>
      <c r="M100" s="31">
        <v>-3977</v>
      </c>
      <c r="N100" s="31"/>
      <c r="O100" s="31"/>
      <c r="P100" s="31"/>
      <c r="Q100" s="31"/>
      <c r="R100" s="31"/>
      <c r="S100" s="31"/>
      <c r="T100" s="31"/>
      <c r="U100" s="31"/>
      <c r="V100" s="31"/>
      <c r="W100" s="31"/>
    </row>
    <row r="101" spans="1:24" s="10" customFormat="1" ht="13.8">
      <c r="A101" s="25"/>
      <c r="B101" s="34">
        <v>44986</v>
      </c>
      <c r="C101" s="34"/>
      <c r="D101" s="33" t="s">
        <v>1346</v>
      </c>
      <c r="E101" s="1722">
        <f>SUM(F101:W101)</f>
        <v>39.659999999999997</v>
      </c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>
        <f>39.66</f>
        <v>39.659999999999997</v>
      </c>
      <c r="Q101" s="31"/>
      <c r="R101" s="31"/>
      <c r="S101" s="31"/>
      <c r="T101" s="31"/>
      <c r="U101" s="31"/>
      <c r="V101" s="31"/>
      <c r="W101" s="31"/>
    </row>
    <row r="102" spans="1:24" s="10" customFormat="1" ht="13.8">
      <c r="A102" s="25"/>
      <c r="B102" s="34">
        <v>44986</v>
      </c>
      <c r="C102" s="34" t="s">
        <v>17</v>
      </c>
      <c r="D102" s="33" t="s">
        <v>26</v>
      </c>
      <c r="E102" s="1722">
        <v>765.88</v>
      </c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>
        <v>765.88</v>
      </c>
      <c r="W102" s="31"/>
    </row>
    <row r="103" spans="1:24" s="10" customFormat="1" ht="13.8">
      <c r="A103" s="25"/>
      <c r="B103" s="34">
        <v>44986</v>
      </c>
      <c r="C103" s="34" t="s">
        <v>17</v>
      </c>
      <c r="D103" s="33" t="s">
        <v>25</v>
      </c>
      <c r="E103" s="1722">
        <v>1449.89</v>
      </c>
      <c r="F103" s="31"/>
      <c r="G103" s="31"/>
      <c r="H103" s="31"/>
      <c r="I103" s="31"/>
      <c r="J103" s="31"/>
      <c r="K103" s="31"/>
      <c r="L103" s="31"/>
      <c r="M103" s="31"/>
      <c r="N103" s="31"/>
      <c r="O103" s="31">
        <v>1449.89</v>
      </c>
      <c r="P103" s="31"/>
      <c r="Q103" s="31"/>
      <c r="R103" s="31"/>
      <c r="S103" s="31"/>
      <c r="T103" s="31"/>
      <c r="U103" s="31"/>
      <c r="V103" s="31"/>
      <c r="W103" s="31"/>
    </row>
    <row r="104" spans="1:24" s="10" customFormat="1" ht="13.8">
      <c r="A104" s="25"/>
      <c r="B104" s="34">
        <v>44986</v>
      </c>
      <c r="C104" s="34" t="s">
        <v>17</v>
      </c>
      <c r="D104" s="33" t="s">
        <v>27</v>
      </c>
      <c r="E104" s="1722">
        <v>608.75</v>
      </c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>
        <f>$AB$12</f>
        <v>647.75</v>
      </c>
      <c r="Q104" s="31"/>
      <c r="R104" s="31"/>
      <c r="S104" s="31"/>
      <c r="T104" s="31"/>
      <c r="U104" s="31"/>
      <c r="V104" s="31"/>
      <c r="W104" s="31"/>
    </row>
    <row r="105" spans="1:24" s="10" customFormat="1" ht="13.8">
      <c r="A105" s="25"/>
      <c r="B105" s="34">
        <v>44986</v>
      </c>
      <c r="C105" s="34" t="s">
        <v>17</v>
      </c>
      <c r="D105" s="33" t="s">
        <v>125</v>
      </c>
      <c r="E105" s="1722">
        <v>45</v>
      </c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>
        <f>45</f>
        <v>45</v>
      </c>
      <c r="R105" s="31"/>
      <c r="S105" s="31"/>
      <c r="T105" s="31"/>
      <c r="U105" s="31"/>
      <c r="V105" s="31"/>
      <c r="W105" s="31"/>
    </row>
    <row r="106" spans="1:24" s="10" customFormat="1" ht="13.8">
      <c r="A106" s="25"/>
      <c r="B106" s="34">
        <v>44986</v>
      </c>
      <c r="C106" s="34" t="s">
        <v>19</v>
      </c>
      <c r="D106" s="33" t="s">
        <v>131</v>
      </c>
      <c r="E106" s="1722">
        <v>78.75</v>
      </c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>
        <v>78.75</v>
      </c>
      <c r="T106" s="31"/>
      <c r="U106" s="31"/>
      <c r="V106" s="31"/>
      <c r="W106" s="31"/>
      <c r="X106" s="1760"/>
    </row>
    <row r="107" spans="1:24" s="10" customFormat="1" ht="13.8">
      <c r="A107" s="25"/>
      <c r="B107" s="34">
        <v>44958</v>
      </c>
      <c r="C107" s="34" t="s">
        <v>17</v>
      </c>
      <c r="D107" s="33" t="s">
        <v>16</v>
      </c>
      <c r="E107" s="1722">
        <v>800</v>
      </c>
      <c r="F107" s="31"/>
      <c r="G107" s="31">
        <v>800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1760"/>
    </row>
    <row r="108" spans="1:24" s="10" customFormat="1" ht="13.8">
      <c r="A108" s="25"/>
      <c r="B108" s="34">
        <v>44986</v>
      </c>
      <c r="C108" s="34" t="s">
        <v>17</v>
      </c>
      <c r="D108" s="33" t="s">
        <v>30</v>
      </c>
      <c r="E108" s="1722">
        <v>4270</v>
      </c>
      <c r="F108" s="31"/>
      <c r="G108" s="31"/>
      <c r="H108" s="31"/>
      <c r="I108" s="31"/>
      <c r="J108" s="31"/>
      <c r="K108" s="31"/>
      <c r="L108" s="31"/>
      <c r="M108" s="31">
        <v>4270</v>
      </c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1760"/>
    </row>
    <row r="109" spans="1:24" s="10" customFormat="1" ht="13.8">
      <c r="A109" s="25"/>
      <c r="B109" s="34">
        <v>44986</v>
      </c>
      <c r="C109" s="34" t="s">
        <v>17</v>
      </c>
      <c r="D109" s="33" t="s">
        <v>1352</v>
      </c>
      <c r="E109" s="1722">
        <v>930</v>
      </c>
      <c r="F109" s="31"/>
      <c r="G109" s="31"/>
      <c r="H109" s="31"/>
      <c r="I109" s="31"/>
      <c r="J109" s="31"/>
      <c r="K109" s="31"/>
      <c r="L109" s="31"/>
      <c r="M109" s="31"/>
      <c r="N109" s="31">
        <v>930</v>
      </c>
      <c r="O109" s="31"/>
      <c r="P109" s="31"/>
      <c r="Q109" s="31"/>
      <c r="R109" s="31"/>
      <c r="S109" s="31"/>
      <c r="T109" s="31"/>
      <c r="U109" s="31"/>
      <c r="V109" s="31"/>
      <c r="W109" s="31"/>
      <c r="X109" s="1760"/>
    </row>
    <row r="110" spans="1:24" s="10" customFormat="1" ht="13.8">
      <c r="A110" s="25"/>
      <c r="B110" s="34">
        <v>44986</v>
      </c>
      <c r="C110" s="34" t="s">
        <v>17</v>
      </c>
      <c r="D110" s="33" t="s">
        <v>22</v>
      </c>
      <c r="E110" s="1722">
        <v>227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>
        <v>227</v>
      </c>
      <c r="Q110" s="31"/>
      <c r="R110" s="31"/>
      <c r="S110" s="31"/>
      <c r="T110" s="31"/>
      <c r="U110" s="31"/>
      <c r="V110" s="31"/>
      <c r="W110" s="31"/>
      <c r="X110" s="1760"/>
    </row>
    <row r="111" spans="1:24" s="10" customFormat="1" ht="13.8">
      <c r="A111" s="25"/>
      <c r="B111" s="34">
        <v>44986</v>
      </c>
      <c r="C111" s="34" t="s">
        <v>17</v>
      </c>
      <c r="D111" s="33" t="s">
        <v>1354</v>
      </c>
      <c r="E111" s="1722">
        <v>159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>
        <v>159</v>
      </c>
      <c r="Q111" s="31"/>
      <c r="R111" s="31"/>
      <c r="S111" s="31"/>
      <c r="T111" s="31"/>
      <c r="U111" s="31"/>
      <c r="V111" s="31"/>
      <c r="W111" s="31"/>
      <c r="X111" s="1760"/>
    </row>
    <row r="112" spans="1:24" s="10" customFormat="1" ht="13.8">
      <c r="A112" s="25"/>
      <c r="B112" s="34">
        <v>44986</v>
      </c>
      <c r="C112" s="34" t="s">
        <v>17</v>
      </c>
      <c r="D112" s="33" t="s">
        <v>29</v>
      </c>
      <c r="E112" s="1722">
        <f>SUM(F112:W112)</f>
        <v>69</v>
      </c>
      <c r="F112" s="31">
        <f>$AS$12</f>
        <v>69</v>
      </c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</row>
    <row r="113" spans="1:49" s="10" customFormat="1" ht="13.8">
      <c r="A113" s="25"/>
      <c r="B113" s="34">
        <v>44987</v>
      </c>
      <c r="C113" s="34" t="s">
        <v>17</v>
      </c>
      <c r="D113" s="33" t="s">
        <v>28</v>
      </c>
      <c r="E113" s="1722">
        <f>SUM(F113:W113)</f>
        <v>200</v>
      </c>
      <c r="F113" s="31">
        <f>$AR$12</f>
        <v>200</v>
      </c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</row>
    <row r="114" spans="1:49" s="10" customFormat="1" ht="13.8">
      <c r="A114" s="25"/>
      <c r="B114" s="34">
        <v>44988</v>
      </c>
      <c r="C114" s="34" t="s">
        <v>17</v>
      </c>
      <c r="D114" s="33" t="s">
        <v>21</v>
      </c>
      <c r="E114" s="1722">
        <v>479.54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>
        <v>479.54</v>
      </c>
      <c r="Q114" s="31"/>
      <c r="R114" s="31"/>
      <c r="S114" s="31"/>
      <c r="T114" s="31"/>
      <c r="U114" s="31"/>
      <c r="V114" s="31"/>
      <c r="W114" s="31"/>
    </row>
    <row r="115" spans="1:49" s="10" customFormat="1" ht="13.8">
      <c r="A115" s="25"/>
      <c r="B115" s="34">
        <v>44988</v>
      </c>
      <c r="C115" s="34" t="s">
        <v>17</v>
      </c>
      <c r="D115" s="33" t="s">
        <v>30</v>
      </c>
      <c r="E115" s="1722">
        <v>3977</v>
      </c>
      <c r="F115" s="31"/>
      <c r="G115" s="31"/>
      <c r="H115" s="31"/>
      <c r="I115" s="31"/>
      <c r="J115" s="31"/>
      <c r="K115" s="31"/>
      <c r="L115" s="31"/>
      <c r="M115" s="31">
        <v>3977</v>
      </c>
      <c r="N115" s="31"/>
      <c r="O115" s="31"/>
      <c r="P115" s="31"/>
      <c r="Q115" s="31"/>
      <c r="R115" s="31"/>
      <c r="S115" s="31"/>
      <c r="T115" s="31"/>
      <c r="U115" s="31"/>
      <c r="V115" s="31"/>
      <c r="W115" s="31"/>
    </row>
    <row r="116" spans="1:49" s="10" customFormat="1" ht="13.8">
      <c r="A116" s="25"/>
      <c r="B116" s="34">
        <v>44990</v>
      </c>
      <c r="C116" s="34" t="s">
        <v>19</v>
      </c>
      <c r="D116" s="33" t="s">
        <v>20</v>
      </c>
      <c r="E116" s="1722">
        <f t="shared" ref="E116:E131" si="16">SUM(F116:W116)</f>
        <v>47</v>
      </c>
      <c r="F116" s="31">
        <v>47</v>
      </c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</row>
    <row r="117" spans="1:49" s="10" customFormat="1" ht="13.8">
      <c r="A117" s="25"/>
      <c r="B117" s="34">
        <v>44991</v>
      </c>
      <c r="C117" s="34" t="s">
        <v>19</v>
      </c>
      <c r="D117" s="33" t="s">
        <v>18</v>
      </c>
      <c r="E117" s="1722">
        <f t="shared" si="16"/>
        <v>240.13</v>
      </c>
      <c r="F117" s="31"/>
      <c r="G117" s="31"/>
      <c r="H117" s="31"/>
      <c r="I117" s="31"/>
      <c r="J117" s="31"/>
      <c r="K117" s="31"/>
      <c r="L117" s="31"/>
      <c r="M117" s="31"/>
      <c r="N117" s="31"/>
      <c r="O117" s="31">
        <v>240.13</v>
      </c>
      <c r="P117" s="31"/>
      <c r="Q117" s="31"/>
      <c r="R117" s="31"/>
      <c r="S117" s="31"/>
      <c r="T117" s="31"/>
      <c r="U117" s="31"/>
      <c r="V117" s="31"/>
      <c r="W117" s="31"/>
    </row>
    <row r="118" spans="1:49" s="10" customFormat="1" ht="13.8">
      <c r="A118" s="25"/>
      <c r="B118" s="34">
        <v>44992</v>
      </c>
      <c r="C118" s="34" t="s">
        <v>17</v>
      </c>
      <c r="D118" s="33" t="s">
        <v>23</v>
      </c>
      <c r="E118" s="1722">
        <f t="shared" si="16"/>
        <v>229</v>
      </c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>
        <f>120+60-65+120+60-66</f>
        <v>229</v>
      </c>
      <c r="R118" s="31"/>
      <c r="S118" s="31"/>
      <c r="T118" s="31"/>
      <c r="U118" s="31"/>
      <c r="V118" s="31"/>
      <c r="W118" s="31"/>
    </row>
    <row r="119" spans="1:49" s="10" customFormat="1" ht="13.8">
      <c r="A119" s="25"/>
      <c r="B119" s="34">
        <v>44992</v>
      </c>
      <c r="C119" s="34" t="s">
        <v>17</v>
      </c>
      <c r="D119" s="33" t="s">
        <v>99</v>
      </c>
      <c r="E119" s="1722">
        <f t="shared" si="16"/>
        <v>263.8</v>
      </c>
      <c r="F119" s="31"/>
      <c r="G119" s="31"/>
      <c r="H119" s="31"/>
      <c r="I119" s="31"/>
      <c r="J119" s="31"/>
      <c r="K119" s="31"/>
      <c r="L119" s="31"/>
      <c r="M119" s="31">
        <v>263.8</v>
      </c>
      <c r="N119" s="31"/>
      <c r="O119" s="31"/>
      <c r="P119" s="31"/>
      <c r="Q119" s="31"/>
      <c r="R119" s="31"/>
      <c r="S119" s="31"/>
      <c r="T119" s="31"/>
      <c r="U119" s="31"/>
      <c r="V119" s="31"/>
      <c r="W119" s="31"/>
    </row>
    <row r="120" spans="1:49" s="10" customFormat="1" ht="13.8">
      <c r="A120" s="25"/>
      <c r="B120" s="34">
        <v>45003</v>
      </c>
      <c r="C120" s="34" t="s">
        <v>129</v>
      </c>
      <c r="D120" s="33" t="s">
        <v>403</v>
      </c>
      <c r="E120" s="1722">
        <f t="shared" si="16"/>
        <v>500</v>
      </c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>
        <v>500</v>
      </c>
      <c r="S120" s="31"/>
      <c r="T120" s="31"/>
      <c r="U120" s="31"/>
      <c r="V120" s="31"/>
      <c r="W120" s="31"/>
    </row>
    <row r="121" spans="1:49" s="10" customFormat="1" ht="13.8">
      <c r="A121" s="25"/>
      <c r="B121" s="34">
        <v>45004</v>
      </c>
      <c r="C121" s="34"/>
      <c r="D121" s="33" t="s">
        <v>164</v>
      </c>
      <c r="E121" s="1722">
        <f t="shared" si="16"/>
        <v>300</v>
      </c>
      <c r="F121" s="31"/>
      <c r="G121" s="31">
        <f>300</f>
        <v>300</v>
      </c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</row>
    <row r="122" spans="1:49" s="10" customFormat="1" ht="13.8">
      <c r="A122" s="25"/>
      <c r="B122" s="34">
        <v>45006</v>
      </c>
      <c r="C122" s="34"/>
      <c r="D122" s="33" t="s">
        <v>805</v>
      </c>
      <c r="E122" s="1722">
        <f t="shared" si="16"/>
        <v>500</v>
      </c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>
        <v>500</v>
      </c>
      <c r="S122" s="31"/>
      <c r="T122" s="31"/>
      <c r="U122" s="31"/>
      <c r="V122" s="31"/>
      <c r="W122" s="31"/>
    </row>
    <row r="123" spans="1:49" s="10" customFormat="1" ht="13.8">
      <c r="A123" s="25"/>
      <c r="B123" s="34">
        <v>45012</v>
      </c>
      <c r="C123" s="34" t="s">
        <v>145</v>
      </c>
      <c r="D123" s="33" t="s">
        <v>1104</v>
      </c>
      <c r="E123" s="1722">
        <f t="shared" si="16"/>
        <v>49</v>
      </c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>
        <v>49</v>
      </c>
      <c r="Q123" s="31"/>
      <c r="R123" s="31"/>
      <c r="S123" s="31"/>
      <c r="T123" s="31"/>
      <c r="U123" s="31"/>
      <c r="V123" s="31"/>
      <c r="W123" s="31"/>
    </row>
    <row r="124" spans="1:49" s="995" customFormat="1" ht="13.8">
      <c r="A124" s="991"/>
      <c r="B124" s="997">
        <v>45014</v>
      </c>
      <c r="C124" s="997" t="s">
        <v>17</v>
      </c>
      <c r="D124" s="1767" t="s">
        <v>1360</v>
      </c>
      <c r="E124" s="1722">
        <f t="shared" si="16"/>
        <v>4025.8</v>
      </c>
      <c r="F124" s="999"/>
      <c r="G124" s="1759">
        <v>4025.8</v>
      </c>
      <c r="H124" s="999"/>
      <c r="I124" s="999"/>
      <c r="J124" s="999"/>
      <c r="K124" s="999"/>
      <c r="L124" s="999"/>
      <c r="M124" s="999"/>
      <c r="N124" s="999"/>
      <c r="O124" s="999"/>
      <c r="P124" s="999"/>
      <c r="Q124" s="999"/>
      <c r="R124" s="999"/>
      <c r="S124" s="999"/>
      <c r="T124" s="999"/>
      <c r="U124" s="999"/>
      <c r="V124" s="999"/>
      <c r="W124" s="999"/>
      <c r="X124" s="1003"/>
      <c r="Y124" s="996"/>
      <c r="Z124" s="996"/>
      <c r="AA124" s="996"/>
      <c r="AB124" s="996"/>
      <c r="AC124" s="996"/>
      <c r="AD124" s="996"/>
      <c r="AE124" s="996"/>
      <c r="AF124" s="996"/>
      <c r="AG124" s="996"/>
      <c r="AH124" s="996"/>
      <c r="AI124" s="996"/>
      <c r="AJ124" s="996"/>
      <c r="AK124" s="996"/>
      <c r="AL124" s="996"/>
      <c r="AM124" s="996"/>
      <c r="AN124" s="996"/>
    </row>
    <row r="125" spans="1:49" s="10" customFormat="1" ht="13.8">
      <c r="A125" s="25"/>
      <c r="B125" s="34"/>
      <c r="C125" s="34"/>
      <c r="D125" s="33" t="s">
        <v>148</v>
      </c>
      <c r="E125" s="1722">
        <f t="shared" si="16"/>
        <v>992.5</v>
      </c>
      <c r="F125" s="31"/>
      <c r="G125" s="31"/>
      <c r="H125" s="31"/>
      <c r="I125" s="31">
        <v>991</v>
      </c>
      <c r="J125" s="31">
        <v>1.5</v>
      </c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</row>
    <row r="126" spans="1:49" s="10" customFormat="1" ht="13.8">
      <c r="A126" s="25"/>
      <c r="B126" s="34"/>
      <c r="C126" s="34"/>
      <c r="D126" s="1757" t="s">
        <v>42</v>
      </c>
      <c r="E126" s="1722">
        <f t="shared" si="16"/>
        <v>1625</v>
      </c>
      <c r="F126" s="31"/>
      <c r="G126" s="31"/>
      <c r="H126" s="31">
        <v>1296</v>
      </c>
      <c r="I126" s="31"/>
      <c r="J126" s="31"/>
      <c r="K126" s="31">
        <v>305</v>
      </c>
      <c r="L126" s="31">
        <v>24</v>
      </c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</row>
    <row r="127" spans="1:49" s="10" customFormat="1" ht="13.8">
      <c r="A127" s="25"/>
      <c r="B127" s="34"/>
      <c r="C127" s="34"/>
      <c r="D127" s="1757" t="s">
        <v>41</v>
      </c>
      <c r="E127" s="1722">
        <f t="shared" si="16"/>
        <v>369</v>
      </c>
      <c r="F127" s="31"/>
      <c r="G127" s="31"/>
      <c r="H127" s="31">
        <v>369</v>
      </c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9"/>
      <c r="AO127" s="9"/>
      <c r="AP127" s="9"/>
      <c r="AQ127" s="9"/>
      <c r="AR127" s="9"/>
      <c r="AS127" s="9"/>
      <c r="AT127" s="9"/>
      <c r="AW127" s="9"/>
    </row>
    <row r="128" spans="1:49" s="10" customFormat="1" ht="13.8">
      <c r="A128" s="25"/>
      <c r="B128" s="34"/>
      <c r="C128" s="34"/>
      <c r="D128" s="33" t="s">
        <v>1348</v>
      </c>
      <c r="E128" s="1722">
        <f t="shared" si="16"/>
        <v>690</v>
      </c>
      <c r="F128" s="31"/>
      <c r="G128" s="31"/>
      <c r="H128" s="31">
        <v>462</v>
      </c>
      <c r="I128" s="31"/>
      <c r="J128" s="31"/>
      <c r="K128" s="31"/>
      <c r="L128" s="31">
        <v>228</v>
      </c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6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N128" s="9"/>
      <c r="AO128" s="9"/>
      <c r="AP128" s="9"/>
      <c r="AQ128" s="9"/>
      <c r="AR128" s="9"/>
      <c r="AS128" s="9"/>
      <c r="AT128" s="9"/>
      <c r="AW128" s="9"/>
    </row>
    <row r="129" spans="1:51" s="10" customFormat="1" ht="13.8">
      <c r="A129" s="25"/>
      <c r="B129" s="34"/>
      <c r="C129" s="34"/>
      <c r="D129" s="33" t="s">
        <v>39</v>
      </c>
      <c r="E129" s="1722">
        <f t="shared" si="16"/>
        <v>299</v>
      </c>
      <c r="F129" s="31"/>
      <c r="G129" s="31">
        <v>97</v>
      </c>
      <c r="H129" s="31">
        <v>202</v>
      </c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N129" s="6"/>
      <c r="AO129" s="12"/>
      <c r="AP129" s="12"/>
      <c r="AQ129" s="12"/>
      <c r="AR129" s="12"/>
      <c r="AS129" s="12"/>
      <c r="AT129" s="30"/>
      <c r="AW129" s="12"/>
    </row>
    <row r="130" spans="1:51" s="10" customFormat="1" ht="13.8">
      <c r="A130" s="25"/>
      <c r="B130" s="34"/>
      <c r="C130" s="34"/>
      <c r="D130" s="33" t="s">
        <v>1485</v>
      </c>
      <c r="E130" s="1722">
        <f t="shared" si="16"/>
        <v>901</v>
      </c>
      <c r="F130" s="31"/>
      <c r="G130" s="31"/>
      <c r="H130" s="31">
        <v>581</v>
      </c>
      <c r="I130" s="31"/>
      <c r="J130" s="31"/>
      <c r="K130" s="31">
        <v>183</v>
      </c>
      <c r="L130" s="31">
        <v>137</v>
      </c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</row>
    <row r="131" spans="1:51" s="10" customFormat="1" ht="13.8">
      <c r="A131" s="25"/>
      <c r="B131" s="34"/>
      <c r="C131" s="34"/>
      <c r="D131" s="33" t="s">
        <v>37</v>
      </c>
      <c r="E131" s="1722">
        <f t="shared" si="16"/>
        <v>1639</v>
      </c>
      <c r="F131" s="31"/>
      <c r="G131" s="31">
        <v>1085</v>
      </c>
      <c r="H131" s="31"/>
      <c r="I131" s="31"/>
      <c r="J131" s="31"/>
      <c r="K131" s="31"/>
      <c r="L131" s="31">
        <v>72</v>
      </c>
      <c r="M131" s="31"/>
      <c r="N131" s="31"/>
      <c r="O131" s="31">
        <v>-78</v>
      </c>
      <c r="P131" s="31"/>
      <c r="Q131" s="31"/>
      <c r="R131" s="31"/>
      <c r="S131" s="31"/>
      <c r="T131" s="31"/>
      <c r="U131" s="31">
        <v>560</v>
      </c>
      <c r="V131" s="31"/>
      <c r="W131" s="31"/>
    </row>
    <row r="132" spans="1:51" s="26" customFormat="1" ht="12" customHeight="1">
      <c r="A132" s="29"/>
      <c r="B132" s="2889" t="str">
        <f>F7</f>
        <v>Marts</v>
      </c>
      <c r="C132" s="1013">
        <v>44985</v>
      </c>
      <c r="D132" s="2895" t="s">
        <v>36</v>
      </c>
      <c r="E132" s="2891">
        <f t="shared" ref="E132:W132" si="17">SUM(E133:E134)</f>
        <v>0</v>
      </c>
      <c r="F132" s="2891">
        <f t="shared" si="17"/>
        <v>0</v>
      </c>
      <c r="G132" s="2891">
        <f t="shared" si="17"/>
        <v>0</v>
      </c>
      <c r="H132" s="2891">
        <f t="shared" si="17"/>
        <v>0</v>
      </c>
      <c r="I132" s="2891">
        <f t="shared" si="17"/>
        <v>0</v>
      </c>
      <c r="J132" s="2891">
        <f t="shared" si="17"/>
        <v>0</v>
      </c>
      <c r="K132" s="2891">
        <f t="shared" si="17"/>
        <v>0</v>
      </c>
      <c r="L132" s="2891">
        <f t="shared" si="17"/>
        <v>0</v>
      </c>
      <c r="M132" s="2891">
        <f t="shared" si="17"/>
        <v>0</v>
      </c>
      <c r="N132" s="2891">
        <f t="shared" si="17"/>
        <v>0</v>
      </c>
      <c r="O132" s="2891">
        <f t="shared" si="17"/>
        <v>0</v>
      </c>
      <c r="P132" s="2891">
        <f t="shared" si="17"/>
        <v>0</v>
      </c>
      <c r="Q132" s="2891">
        <f t="shared" si="17"/>
        <v>0</v>
      </c>
      <c r="R132" s="2891">
        <f t="shared" si="17"/>
        <v>0</v>
      </c>
      <c r="S132" s="2891">
        <f t="shared" si="17"/>
        <v>0</v>
      </c>
      <c r="T132" s="2891">
        <f t="shared" si="17"/>
        <v>0</v>
      </c>
      <c r="U132" s="2891">
        <f t="shared" si="17"/>
        <v>0</v>
      </c>
      <c r="V132" s="2891">
        <f t="shared" si="17"/>
        <v>0</v>
      </c>
      <c r="W132" s="2891">
        <f t="shared" si="17"/>
        <v>0</v>
      </c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9"/>
      <c r="AV132" s="9"/>
      <c r="AW132" s="10"/>
      <c r="AX132" s="9"/>
      <c r="AY132" s="9"/>
    </row>
    <row r="133" spans="1:51" s="26" customFormat="1" ht="12" customHeight="1">
      <c r="A133" s="29"/>
      <c r="B133" s="2890"/>
      <c r="C133" s="1014"/>
      <c r="D133" s="2896"/>
      <c r="E133" s="2892"/>
      <c r="F133" s="2892"/>
      <c r="G133" s="2892"/>
      <c r="H133" s="2892"/>
      <c r="I133" s="2892"/>
      <c r="J133" s="2892"/>
      <c r="K133" s="2892"/>
      <c r="L133" s="2892"/>
      <c r="M133" s="2892"/>
      <c r="N133" s="2892"/>
      <c r="O133" s="2892"/>
      <c r="P133" s="2892"/>
      <c r="Q133" s="2892"/>
      <c r="R133" s="2892"/>
      <c r="S133" s="2892"/>
      <c r="T133" s="2892"/>
      <c r="U133" s="2892"/>
      <c r="V133" s="2892"/>
      <c r="W133" s="2892"/>
      <c r="X133" s="995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9"/>
      <c r="AV133" s="9"/>
      <c r="AW133" s="10"/>
      <c r="AX133" s="9"/>
      <c r="AY133" s="9"/>
    </row>
    <row r="134" spans="1:51" s="995" customFormat="1" ht="13.8">
      <c r="A134" s="991"/>
      <c r="B134" s="997"/>
      <c r="C134" s="997"/>
      <c r="D134" s="998"/>
      <c r="E134" s="1722">
        <f>SUM(F134:W134)</f>
        <v>0</v>
      </c>
      <c r="F134" s="999"/>
      <c r="G134" s="999"/>
      <c r="H134" s="999"/>
      <c r="I134" s="999"/>
      <c r="J134" s="999"/>
      <c r="K134" s="999"/>
      <c r="L134" s="999"/>
      <c r="M134" s="999"/>
      <c r="N134" s="999"/>
      <c r="O134" s="999"/>
      <c r="P134" s="999"/>
      <c r="Q134" s="999"/>
      <c r="R134" s="999"/>
      <c r="S134" s="999"/>
      <c r="T134" s="999"/>
      <c r="U134" s="999"/>
      <c r="V134" s="999"/>
      <c r="W134" s="999"/>
      <c r="X134" s="1003"/>
    </row>
    <row r="135" spans="1:51" s="1005" customFormat="1" ht="12" customHeight="1">
      <c r="A135" s="1002"/>
      <c r="B135" s="1009"/>
      <c r="C135" s="2893" t="s">
        <v>1120</v>
      </c>
      <c r="D135" s="2894"/>
      <c r="E135" s="1723">
        <f t="shared" ref="E135:W135" si="18">SUM(E136:E136)</f>
        <v>0</v>
      </c>
      <c r="F135" s="1012">
        <f t="shared" si="18"/>
        <v>0</v>
      </c>
      <c r="G135" s="1012">
        <f t="shared" si="18"/>
        <v>0</v>
      </c>
      <c r="H135" s="1012">
        <f t="shared" si="18"/>
        <v>0</v>
      </c>
      <c r="I135" s="1012">
        <f t="shared" si="18"/>
        <v>0</v>
      </c>
      <c r="J135" s="1012">
        <f t="shared" si="18"/>
        <v>0</v>
      </c>
      <c r="K135" s="1012">
        <f t="shared" si="18"/>
        <v>0</v>
      </c>
      <c r="L135" s="1012">
        <f t="shared" si="18"/>
        <v>0</v>
      </c>
      <c r="M135" s="1012">
        <f t="shared" si="18"/>
        <v>0</v>
      </c>
      <c r="N135" s="1012">
        <f t="shared" si="18"/>
        <v>0</v>
      </c>
      <c r="O135" s="1012">
        <f t="shared" si="18"/>
        <v>0</v>
      </c>
      <c r="P135" s="1012">
        <f t="shared" si="18"/>
        <v>0</v>
      </c>
      <c r="Q135" s="1012">
        <f t="shared" si="18"/>
        <v>0</v>
      </c>
      <c r="R135" s="1012">
        <f t="shared" si="18"/>
        <v>0</v>
      </c>
      <c r="S135" s="1012">
        <f t="shared" si="18"/>
        <v>0</v>
      </c>
      <c r="T135" s="1012">
        <f t="shared" si="18"/>
        <v>0</v>
      </c>
      <c r="U135" s="1012">
        <f t="shared" si="18"/>
        <v>0</v>
      </c>
      <c r="V135" s="1012">
        <f t="shared" si="18"/>
        <v>0</v>
      </c>
      <c r="W135" s="1012">
        <f t="shared" si="18"/>
        <v>0</v>
      </c>
      <c r="X135" s="90"/>
      <c r="Y135" s="1003"/>
      <c r="Z135" s="1003"/>
      <c r="AA135" s="1003"/>
      <c r="AB135" s="1003"/>
      <c r="AC135" s="1003"/>
      <c r="AD135" s="1003"/>
      <c r="AE135" s="1003"/>
      <c r="AF135" s="1003"/>
      <c r="AG135" s="1003"/>
      <c r="AH135" s="1003"/>
      <c r="AI135" s="1004"/>
      <c r="AJ135" s="1004"/>
      <c r="AK135" s="1004"/>
      <c r="AL135" s="1004"/>
      <c r="AM135" s="1003"/>
      <c r="AN135" s="1003"/>
      <c r="AO135" s="1003"/>
      <c r="AP135" s="1003"/>
      <c r="AQ135" s="1003"/>
      <c r="AR135" s="1003"/>
      <c r="AS135" s="1003"/>
      <c r="AT135" s="1003"/>
      <c r="AU135" s="1003"/>
      <c r="AV135" s="1003"/>
      <c r="AW135" s="1003"/>
    </row>
    <row r="136" spans="1:51" s="90" customFormat="1" ht="13.8">
      <c r="A136" s="973"/>
      <c r="B136" s="974"/>
      <c r="C136" s="977"/>
      <c r="D136" s="978" t="s">
        <v>15</v>
      </c>
      <c r="E136" s="1722">
        <f>SUM(F136:W136)</f>
        <v>0</v>
      </c>
      <c r="F136" s="976"/>
      <c r="G136" s="976"/>
      <c r="H136" s="976"/>
      <c r="I136" s="976"/>
      <c r="J136" s="976"/>
      <c r="K136" s="976"/>
      <c r="L136" s="976"/>
      <c r="M136" s="976"/>
      <c r="N136" s="976"/>
      <c r="O136" s="976"/>
      <c r="P136" s="976"/>
      <c r="Q136" s="976"/>
      <c r="R136" s="976"/>
      <c r="S136" s="976"/>
      <c r="T136" s="976"/>
      <c r="U136" s="976"/>
      <c r="V136" s="976"/>
      <c r="W136" s="976"/>
      <c r="X136" s="1"/>
    </row>
    <row r="137" spans="1:51" s="35" customFormat="1" ht="13.5" customHeight="1">
      <c r="A137" s="39"/>
      <c r="B137" s="979" t="str">
        <f>G7</f>
        <v>April</v>
      </c>
      <c r="C137" s="980">
        <v>44652</v>
      </c>
      <c r="D137" s="981"/>
      <c r="E137" s="1724">
        <f t="shared" ref="E137:V137" si="19">SUM(E138:E164)</f>
        <v>-745.1700000000003</v>
      </c>
      <c r="F137" s="982">
        <f t="shared" si="19"/>
        <v>329</v>
      </c>
      <c r="G137" s="982">
        <f t="shared" si="19"/>
        <v>1529.45</v>
      </c>
      <c r="H137" s="982">
        <f t="shared" si="19"/>
        <v>1714.4</v>
      </c>
      <c r="I137" s="982">
        <f t="shared" si="19"/>
        <v>0</v>
      </c>
      <c r="J137" s="982">
        <f t="shared" si="19"/>
        <v>0</v>
      </c>
      <c r="K137" s="982">
        <f t="shared" si="19"/>
        <v>610</v>
      </c>
      <c r="L137" s="982">
        <f t="shared" si="19"/>
        <v>252</v>
      </c>
      <c r="M137" s="982">
        <f t="shared" si="19"/>
        <v>4270</v>
      </c>
      <c r="N137" s="982">
        <f t="shared" si="19"/>
        <v>930</v>
      </c>
      <c r="O137" s="982">
        <f t="shared" si="19"/>
        <v>938.87</v>
      </c>
      <c r="P137" s="982">
        <f t="shared" si="19"/>
        <v>2775.75</v>
      </c>
      <c r="Q137" s="982">
        <f t="shared" si="19"/>
        <v>21</v>
      </c>
      <c r="R137" s="982">
        <f t="shared" si="19"/>
        <v>116</v>
      </c>
      <c r="S137" s="982">
        <f t="shared" si="19"/>
        <v>0</v>
      </c>
      <c r="T137" s="982">
        <f t="shared" si="19"/>
        <v>339</v>
      </c>
      <c r="U137" s="982">
        <f t="shared" si="19"/>
        <v>2100</v>
      </c>
      <c r="V137" s="982">
        <f t="shared" si="19"/>
        <v>5044.3599999999997</v>
      </c>
      <c r="W137" s="982"/>
      <c r="X137" s="10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2"/>
      <c r="AP137" s="12"/>
      <c r="AQ137" s="12"/>
      <c r="AR137" s="12"/>
      <c r="AW137" s="12"/>
    </row>
    <row r="138" spans="1:51" s="6" customFormat="1" ht="13.8">
      <c r="A138" s="1768"/>
      <c r="B138" s="1769">
        <v>45016</v>
      </c>
      <c r="C138" s="1769" t="s">
        <v>17</v>
      </c>
      <c r="D138" s="1770" t="s">
        <v>35</v>
      </c>
      <c r="E138" s="1775">
        <f>$AE$12</f>
        <v>-11843</v>
      </c>
      <c r="F138" s="1771"/>
      <c r="G138" s="1771"/>
      <c r="H138" s="1771"/>
      <c r="I138" s="1771"/>
      <c r="J138" s="1771"/>
      <c r="K138" s="1771"/>
      <c r="L138" s="1771"/>
      <c r="M138" s="1771"/>
      <c r="N138" s="1771"/>
      <c r="O138" s="1771"/>
      <c r="P138" s="1771"/>
      <c r="Q138" s="1771"/>
      <c r="R138" s="1771"/>
      <c r="S138" s="1771"/>
      <c r="T138" s="1771"/>
      <c r="U138" s="1771"/>
      <c r="V138" s="1771"/>
      <c r="W138" s="1771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N138" s="30"/>
      <c r="AO138" s="30"/>
      <c r="AP138" s="30"/>
      <c r="AQ138" s="30"/>
      <c r="AR138" s="30"/>
      <c r="AS138" s="30"/>
      <c r="AT138" s="30"/>
      <c r="AW138" s="30"/>
    </row>
    <row r="139" spans="1:51" s="6" customFormat="1" ht="13.8">
      <c r="A139" s="1768"/>
      <c r="B139" s="1769">
        <v>45016</v>
      </c>
      <c r="C139" s="1769" t="s">
        <v>17</v>
      </c>
      <c r="D139" s="1770" t="s">
        <v>34</v>
      </c>
      <c r="E139" s="1775">
        <f>$AF$12</f>
        <v>-8159</v>
      </c>
      <c r="F139" s="1771"/>
      <c r="G139" s="1771"/>
      <c r="H139" s="1771"/>
      <c r="I139" s="1771"/>
      <c r="J139" s="1771"/>
      <c r="K139" s="1771"/>
      <c r="L139" s="1771"/>
      <c r="M139" s="1771"/>
      <c r="N139" s="1771"/>
      <c r="O139" s="1771"/>
      <c r="P139" s="1771"/>
      <c r="Q139" s="1771"/>
      <c r="R139" s="1771"/>
      <c r="S139" s="1771"/>
      <c r="T139" s="1771"/>
      <c r="U139" s="1771"/>
      <c r="V139" s="1771"/>
      <c r="W139" s="1771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N139" s="30"/>
      <c r="AO139" s="30"/>
      <c r="AP139" s="30"/>
      <c r="AQ139" s="30"/>
      <c r="AR139" s="30"/>
      <c r="AS139" s="30"/>
      <c r="AT139" s="30"/>
      <c r="AW139" s="30"/>
    </row>
    <row r="140" spans="1:51" s="6" customFormat="1" ht="13.8">
      <c r="A140" s="1768"/>
      <c r="B140" s="1769">
        <v>45016</v>
      </c>
      <c r="C140" s="1769" t="s">
        <v>17</v>
      </c>
      <c r="D140" s="1770" t="s">
        <v>33</v>
      </c>
      <c r="E140" s="1775">
        <f>$AG$12</f>
        <v>-213</v>
      </c>
      <c r="F140" s="1771"/>
      <c r="G140" s="1771"/>
      <c r="H140" s="1771"/>
      <c r="I140" s="1771"/>
      <c r="J140" s="1771"/>
      <c r="K140" s="1771"/>
      <c r="L140" s="1771"/>
      <c r="M140" s="1771"/>
      <c r="N140" s="1771"/>
      <c r="O140" s="1771"/>
      <c r="P140" s="1771"/>
      <c r="Q140" s="1771"/>
      <c r="R140" s="1771"/>
      <c r="S140" s="1771"/>
      <c r="T140" s="1771"/>
      <c r="U140" s="1771"/>
      <c r="V140" s="1771"/>
      <c r="W140" s="1771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N140" s="30"/>
      <c r="AO140" s="30"/>
      <c r="AP140" s="30"/>
      <c r="AQ140" s="30"/>
      <c r="AR140" s="30"/>
      <c r="AS140" s="30"/>
      <c r="AT140" s="30"/>
      <c r="AW140" s="30"/>
    </row>
    <row r="141" spans="1:51" s="6" customFormat="1" ht="13.8">
      <c r="A141" s="1768"/>
      <c r="B141" s="1769">
        <v>45016</v>
      </c>
      <c r="C141" s="1769" t="s">
        <v>145</v>
      </c>
      <c r="D141" s="1770" t="s">
        <v>32</v>
      </c>
      <c r="E141" s="1775">
        <f t="shared" ref="E141:E157" si="20">SUM(F141:W141)</f>
        <v>339</v>
      </c>
      <c r="F141" s="1771"/>
      <c r="G141" s="1771"/>
      <c r="H141" s="1771"/>
      <c r="I141" s="1771"/>
      <c r="J141" s="1771"/>
      <c r="K141" s="1771"/>
      <c r="L141" s="1771"/>
      <c r="M141" s="1771"/>
      <c r="N141" s="1771"/>
      <c r="O141" s="1771"/>
      <c r="P141" s="1771"/>
      <c r="Q141" s="1771"/>
      <c r="R141" s="1771"/>
      <c r="S141" s="1771"/>
      <c r="T141" s="1771">
        <v>339</v>
      </c>
      <c r="U141" s="1771"/>
      <c r="V141" s="1771"/>
      <c r="W141" s="1771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N141" s="30"/>
      <c r="AO141" s="30"/>
      <c r="AP141" s="30"/>
      <c r="AQ141" s="30"/>
      <c r="AR141" s="30"/>
      <c r="AS141" s="30"/>
      <c r="AT141" s="30"/>
      <c r="AW141" s="30"/>
    </row>
    <row r="142" spans="1:51" s="6" customFormat="1" ht="13.8">
      <c r="A142" s="1768"/>
      <c r="B142" s="1769">
        <v>45016</v>
      </c>
      <c r="C142" s="1769" t="s">
        <v>17</v>
      </c>
      <c r="D142" s="1770" t="s">
        <v>29</v>
      </c>
      <c r="E142" s="1775">
        <f t="shared" si="20"/>
        <v>69</v>
      </c>
      <c r="F142" s="1771">
        <v>69</v>
      </c>
      <c r="G142" s="1771"/>
      <c r="H142" s="1771"/>
      <c r="I142" s="1771"/>
      <c r="J142" s="1771"/>
      <c r="K142" s="1771"/>
      <c r="L142" s="1771"/>
      <c r="M142" s="1771"/>
      <c r="N142" s="1771"/>
      <c r="O142" s="1771"/>
      <c r="P142" s="1771"/>
      <c r="Q142" s="1771"/>
      <c r="R142" s="1771"/>
      <c r="S142" s="1771"/>
      <c r="T142" s="1771"/>
      <c r="U142" s="1771"/>
      <c r="V142" s="1771"/>
      <c r="W142" s="1771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N142" s="30"/>
      <c r="AO142" s="30"/>
      <c r="AP142" s="30"/>
      <c r="AQ142" s="30"/>
      <c r="AR142" s="30"/>
      <c r="AS142" s="30"/>
      <c r="AT142" s="30"/>
      <c r="AW142" s="30"/>
    </row>
    <row r="143" spans="1:51" s="6" customFormat="1" ht="13.8">
      <c r="A143" s="1768"/>
      <c r="B143" s="1769">
        <v>45016</v>
      </c>
      <c r="C143" s="1769" t="s">
        <v>129</v>
      </c>
      <c r="D143" s="1770" t="s">
        <v>57</v>
      </c>
      <c r="E143" s="1775">
        <f t="shared" si="20"/>
        <v>2100</v>
      </c>
      <c r="F143" s="1771"/>
      <c r="G143" s="1771"/>
      <c r="H143" s="1771"/>
      <c r="I143" s="1771"/>
      <c r="J143" s="1771"/>
      <c r="K143" s="1771"/>
      <c r="L143" s="1771"/>
      <c r="M143" s="1771"/>
      <c r="N143" s="1771"/>
      <c r="O143" s="1771"/>
      <c r="P143" s="1771"/>
      <c r="Q143" s="1771"/>
      <c r="R143" s="1771"/>
      <c r="S143" s="1771"/>
      <c r="T143" s="1771"/>
      <c r="U143" s="1771">
        <v>2100</v>
      </c>
      <c r="V143" s="1771"/>
      <c r="W143" s="1771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N143" s="30"/>
      <c r="AO143" s="30"/>
      <c r="AP143" s="30"/>
      <c r="AQ143" s="30"/>
      <c r="AR143" s="30"/>
      <c r="AS143" s="30"/>
      <c r="AT143" s="30"/>
      <c r="AW143" s="30"/>
    </row>
    <row r="144" spans="1:51" s="6" customFormat="1" ht="13.8">
      <c r="A144" s="1768"/>
      <c r="B144" s="1769">
        <v>45016</v>
      </c>
      <c r="C144" s="1769" t="s">
        <v>17</v>
      </c>
      <c r="D144" s="1770" t="s">
        <v>1361</v>
      </c>
      <c r="E144" s="1775">
        <f t="shared" si="20"/>
        <v>79</v>
      </c>
      <c r="F144" s="1771"/>
      <c r="G144" s="1771"/>
      <c r="H144" s="1771"/>
      <c r="I144" s="1771"/>
      <c r="J144" s="1771"/>
      <c r="K144" s="1771"/>
      <c r="L144" s="1771"/>
      <c r="M144" s="1771"/>
      <c r="N144" s="1771"/>
      <c r="O144" s="1771"/>
      <c r="P144" s="1771">
        <v>79</v>
      </c>
      <c r="Q144" s="1771"/>
      <c r="R144" s="1771"/>
      <c r="S144" s="1771"/>
      <c r="T144" s="1771"/>
      <c r="U144" s="1771"/>
      <c r="V144" s="1771"/>
      <c r="W144" s="1771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N144" s="30"/>
      <c r="AO144" s="30"/>
      <c r="AP144" s="30"/>
      <c r="AQ144" s="30"/>
      <c r="AR144" s="30"/>
      <c r="AS144" s="30"/>
      <c r="AT144" s="30"/>
      <c r="AW144" s="30"/>
    </row>
    <row r="145" spans="1:49" s="6" customFormat="1" ht="13.8">
      <c r="A145" s="1768"/>
      <c r="B145" s="1769">
        <v>45017</v>
      </c>
      <c r="C145" s="1769" t="s">
        <v>17</v>
      </c>
      <c r="D145" s="1770" t="s">
        <v>22</v>
      </c>
      <c r="E145" s="1775">
        <f t="shared" si="20"/>
        <v>227</v>
      </c>
      <c r="F145" s="1771"/>
      <c r="G145" s="1771"/>
      <c r="H145" s="1771"/>
      <c r="I145" s="1771"/>
      <c r="J145" s="1771"/>
      <c r="K145" s="1771"/>
      <c r="L145" s="1771"/>
      <c r="M145" s="1771"/>
      <c r="N145" s="1771"/>
      <c r="O145" s="1771"/>
      <c r="P145" s="1771">
        <v>227</v>
      </c>
      <c r="Q145" s="1771"/>
      <c r="R145" s="1771"/>
      <c r="S145" s="1771"/>
      <c r="T145" s="1771"/>
      <c r="U145" s="1771"/>
      <c r="V145" s="1771"/>
      <c r="W145" s="1771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N145" s="30"/>
      <c r="AO145" s="30"/>
      <c r="AP145" s="30"/>
      <c r="AQ145" s="30"/>
      <c r="AR145" s="30"/>
      <c r="AS145" s="30"/>
      <c r="AT145" s="30"/>
      <c r="AW145" s="30"/>
    </row>
    <row r="146" spans="1:49" s="6" customFormat="1" ht="13.8">
      <c r="A146" s="1768"/>
      <c r="B146" s="1769">
        <v>45019</v>
      </c>
      <c r="C146" s="1769" t="s">
        <v>17</v>
      </c>
      <c r="D146" s="1770" t="s">
        <v>30</v>
      </c>
      <c r="E146" s="1775">
        <f t="shared" si="20"/>
        <v>4270</v>
      </c>
      <c r="F146" s="1771"/>
      <c r="G146" s="1771"/>
      <c r="H146" s="1771"/>
      <c r="I146" s="1771"/>
      <c r="J146" s="1771"/>
      <c r="K146" s="1771"/>
      <c r="L146" s="1771"/>
      <c r="M146" s="1771">
        <v>4270</v>
      </c>
      <c r="N146" s="1771"/>
      <c r="O146" s="1771"/>
      <c r="P146" s="1771"/>
      <c r="Q146" s="1771"/>
      <c r="R146" s="1771"/>
      <c r="S146" s="1771"/>
      <c r="T146" s="1771"/>
      <c r="U146" s="1771"/>
      <c r="V146" s="1771"/>
      <c r="W146" s="1771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N146" s="30"/>
      <c r="AO146" s="30"/>
      <c r="AP146" s="30"/>
      <c r="AQ146" s="30"/>
      <c r="AR146" s="30"/>
      <c r="AS146" s="30"/>
      <c r="AT146" s="30"/>
      <c r="AW146" s="30"/>
    </row>
    <row r="147" spans="1:49" s="6" customFormat="1" ht="13.8">
      <c r="A147" s="1768"/>
      <c r="B147" s="1769">
        <v>45019</v>
      </c>
      <c r="C147" s="1769" t="s">
        <v>17</v>
      </c>
      <c r="D147" s="1770" t="s">
        <v>28</v>
      </c>
      <c r="E147" s="1775">
        <f t="shared" si="20"/>
        <v>200</v>
      </c>
      <c r="F147" s="1771">
        <v>200</v>
      </c>
      <c r="G147" s="1771"/>
      <c r="H147" s="1771"/>
      <c r="I147" s="1771"/>
      <c r="J147" s="1771"/>
      <c r="K147" s="1771"/>
      <c r="L147" s="1771"/>
      <c r="M147" s="1771"/>
      <c r="N147" s="1771"/>
      <c r="O147" s="1771"/>
      <c r="P147" s="1771"/>
      <c r="Q147" s="1771"/>
      <c r="R147" s="1771"/>
      <c r="S147" s="1771"/>
      <c r="T147" s="1771"/>
      <c r="U147" s="1771"/>
      <c r="V147" s="1771"/>
      <c r="W147" s="1771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N147" s="30"/>
      <c r="AO147" s="30"/>
      <c r="AP147" s="30"/>
      <c r="AQ147" s="30"/>
      <c r="AR147" s="30"/>
      <c r="AS147" s="30"/>
      <c r="AT147" s="30"/>
      <c r="AW147" s="30"/>
    </row>
    <row r="148" spans="1:49" s="6" customFormat="1" ht="13.8">
      <c r="A148" s="1768"/>
      <c r="B148" s="1769">
        <v>45019</v>
      </c>
      <c r="C148" s="1769" t="s">
        <v>17</v>
      </c>
      <c r="D148" s="1770" t="s">
        <v>21</v>
      </c>
      <c r="E148" s="1775">
        <f t="shared" si="20"/>
        <v>396</v>
      </c>
      <c r="F148" s="1771"/>
      <c r="G148" s="1771"/>
      <c r="H148" s="1771"/>
      <c r="I148" s="1771"/>
      <c r="J148" s="1771"/>
      <c r="K148" s="1771"/>
      <c r="L148" s="1771"/>
      <c r="M148" s="1771"/>
      <c r="N148" s="1771"/>
      <c r="O148" s="1771"/>
      <c r="P148" s="1771">
        <v>396</v>
      </c>
      <c r="Q148" s="1771"/>
      <c r="R148" s="1771"/>
      <c r="S148" s="1771"/>
      <c r="T148" s="1771"/>
      <c r="U148" s="1771"/>
      <c r="V148" s="1771"/>
      <c r="W148" s="1771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N148" s="30"/>
      <c r="AO148" s="30"/>
      <c r="AP148" s="30"/>
      <c r="AQ148" s="30"/>
      <c r="AR148" s="30"/>
      <c r="AS148" s="30"/>
      <c r="AT148" s="30"/>
      <c r="AW148" s="30"/>
    </row>
    <row r="149" spans="1:49" s="6" customFormat="1" ht="13.8">
      <c r="A149" s="1768"/>
      <c r="B149" s="1769">
        <v>45019</v>
      </c>
      <c r="C149" s="1769" t="s">
        <v>17</v>
      </c>
      <c r="D149" s="1770" t="s">
        <v>16</v>
      </c>
      <c r="E149" s="1775">
        <f t="shared" si="20"/>
        <v>800</v>
      </c>
      <c r="F149" s="1771"/>
      <c r="G149" s="1771">
        <v>800</v>
      </c>
      <c r="H149" s="1771"/>
      <c r="I149" s="1771"/>
      <c r="J149" s="1771"/>
      <c r="K149" s="1771"/>
      <c r="L149" s="1771"/>
      <c r="M149" s="1771"/>
      <c r="N149" s="1771"/>
      <c r="O149" s="1771"/>
      <c r="P149" s="1771"/>
      <c r="Q149" s="1771"/>
      <c r="R149" s="1771"/>
      <c r="S149" s="1771"/>
      <c r="T149" s="1771"/>
      <c r="U149" s="1771"/>
      <c r="V149" s="1771"/>
      <c r="W149" s="1771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N149" s="30"/>
      <c r="AO149" s="30"/>
      <c r="AP149" s="30"/>
      <c r="AQ149" s="30"/>
      <c r="AR149" s="30"/>
      <c r="AS149" s="30"/>
      <c r="AT149" s="30"/>
      <c r="AW149" s="30"/>
    </row>
    <row r="150" spans="1:49" s="6" customFormat="1" ht="13.8">
      <c r="A150" s="1768"/>
      <c r="B150" s="1769">
        <v>45019</v>
      </c>
      <c r="C150" s="1769" t="s">
        <v>572</v>
      </c>
      <c r="D150" s="1770" t="s">
        <v>26</v>
      </c>
      <c r="E150" s="1775">
        <f t="shared" si="20"/>
        <v>5044.3599999999997</v>
      </c>
      <c r="F150" s="1771"/>
      <c r="G150" s="1771"/>
      <c r="H150" s="1771"/>
      <c r="I150" s="1771"/>
      <c r="J150" s="1771"/>
      <c r="K150" s="1771"/>
      <c r="L150" s="1771"/>
      <c r="M150" s="1771"/>
      <c r="N150" s="1771"/>
      <c r="O150" s="1771"/>
      <c r="P150" s="1771"/>
      <c r="Q150" s="1771"/>
      <c r="R150" s="1771"/>
      <c r="S150" s="1771"/>
      <c r="T150" s="1771"/>
      <c r="U150" s="1771"/>
      <c r="V150" s="1771">
        <v>5044.3599999999997</v>
      </c>
      <c r="W150" s="1771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N150" s="30"/>
      <c r="AO150" s="30"/>
      <c r="AP150" s="30"/>
      <c r="AQ150" s="30"/>
      <c r="AR150" s="30"/>
      <c r="AS150" s="30"/>
      <c r="AT150" s="30"/>
      <c r="AW150" s="30"/>
    </row>
    <row r="151" spans="1:49" s="6" customFormat="1" ht="13.8">
      <c r="A151" s="1768"/>
      <c r="B151" s="1769">
        <v>45019</v>
      </c>
      <c r="C151" s="1769" t="s">
        <v>572</v>
      </c>
      <c r="D151" s="1770" t="s">
        <v>1352</v>
      </c>
      <c r="E151" s="1775">
        <f t="shared" si="20"/>
        <v>930</v>
      </c>
      <c r="F151" s="1771"/>
      <c r="G151" s="1771"/>
      <c r="H151" s="1771"/>
      <c r="I151" s="1771"/>
      <c r="J151" s="1771"/>
      <c r="K151" s="1771"/>
      <c r="L151" s="1771"/>
      <c r="M151" s="1771"/>
      <c r="N151" s="1771">
        <v>930</v>
      </c>
      <c r="O151" s="1771"/>
      <c r="P151" s="1771"/>
      <c r="Q151" s="1771"/>
      <c r="R151" s="1771"/>
      <c r="S151" s="1771"/>
      <c r="T151" s="1771"/>
      <c r="U151" s="1771"/>
      <c r="V151" s="1771"/>
      <c r="W151" s="1771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N151" s="30"/>
      <c r="AO151" s="30"/>
      <c r="AP151" s="30"/>
      <c r="AQ151" s="30"/>
      <c r="AR151" s="30"/>
      <c r="AS151" s="30"/>
      <c r="AT151" s="30"/>
      <c r="AW151" s="30"/>
    </row>
    <row r="152" spans="1:49" s="6" customFormat="1" ht="13.8">
      <c r="A152" s="1768"/>
      <c r="B152" s="1769">
        <v>3.4</v>
      </c>
      <c r="C152" s="1769" t="s">
        <v>572</v>
      </c>
      <c r="D152" s="1770" t="s">
        <v>27</v>
      </c>
      <c r="E152" s="1775">
        <f t="shared" si="20"/>
        <v>2073.75</v>
      </c>
      <c r="F152" s="1771"/>
      <c r="G152" s="1771"/>
      <c r="H152" s="1771"/>
      <c r="I152" s="1771"/>
      <c r="J152" s="1771"/>
      <c r="K152" s="1771"/>
      <c r="L152" s="1771"/>
      <c r="M152" s="1771"/>
      <c r="N152" s="1771"/>
      <c r="O152" s="1771"/>
      <c r="P152" s="1771">
        <v>2073.75</v>
      </c>
      <c r="Q152" s="1771"/>
      <c r="R152" s="1771"/>
      <c r="S152" s="1771"/>
      <c r="T152" s="1771"/>
      <c r="U152" s="1771"/>
      <c r="V152" s="1771"/>
      <c r="W152" s="1771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N152" s="30"/>
      <c r="AO152" s="30"/>
      <c r="AP152" s="30"/>
      <c r="AQ152" s="30"/>
      <c r="AR152" s="30"/>
      <c r="AS152" s="30"/>
      <c r="AT152" s="30"/>
      <c r="AW152" s="30"/>
    </row>
    <row r="153" spans="1:49" s="6" customFormat="1" ht="13.8">
      <c r="A153" s="1768"/>
      <c r="B153" s="1769">
        <v>45019</v>
      </c>
      <c r="C153" s="1769" t="s">
        <v>572</v>
      </c>
      <c r="D153" s="1770" t="s">
        <v>125</v>
      </c>
      <c r="E153" s="1775">
        <f t="shared" si="20"/>
        <v>45</v>
      </c>
      <c r="F153" s="1771"/>
      <c r="G153" s="1771"/>
      <c r="H153" s="1771"/>
      <c r="I153" s="1771"/>
      <c r="J153" s="1771"/>
      <c r="K153" s="1771"/>
      <c r="L153" s="1771"/>
      <c r="M153" s="1771"/>
      <c r="N153" s="1771"/>
      <c r="O153" s="1771"/>
      <c r="P153" s="1771"/>
      <c r="Q153" s="1771">
        <v>45</v>
      </c>
      <c r="R153" s="1771"/>
      <c r="S153" s="1771"/>
      <c r="T153" s="1771"/>
      <c r="U153" s="1771"/>
      <c r="V153" s="1771"/>
      <c r="W153" s="1771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N153" s="30"/>
      <c r="AO153" s="30"/>
      <c r="AP153" s="30"/>
      <c r="AQ153" s="30"/>
      <c r="AR153" s="30"/>
      <c r="AS153" s="30"/>
      <c r="AT153" s="30"/>
      <c r="AW153" s="30"/>
    </row>
    <row r="154" spans="1:49" s="6" customFormat="1" ht="13.8">
      <c r="A154" s="1768"/>
      <c r="B154" s="1769">
        <v>45019</v>
      </c>
      <c r="C154" s="1769" t="s">
        <v>17</v>
      </c>
      <c r="D154" s="1770" t="s">
        <v>25</v>
      </c>
      <c r="E154" s="1775">
        <f t="shared" si="20"/>
        <v>751.87</v>
      </c>
      <c r="F154" s="1771"/>
      <c r="G154" s="1771"/>
      <c r="H154" s="1771"/>
      <c r="I154" s="1771"/>
      <c r="J154" s="1771"/>
      <c r="K154" s="1771"/>
      <c r="L154" s="1771"/>
      <c r="M154" s="1771"/>
      <c r="N154" s="1771"/>
      <c r="O154" s="1771">
        <f>bil!I45</f>
        <v>751.87</v>
      </c>
      <c r="P154" s="1771"/>
      <c r="Q154" s="1771"/>
      <c r="R154" s="1771"/>
      <c r="S154" s="1771"/>
      <c r="T154" s="1771"/>
      <c r="U154" s="1771"/>
      <c r="V154" s="1771"/>
      <c r="W154" s="1771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N154" s="30"/>
      <c r="AO154" s="30"/>
      <c r="AP154" s="30"/>
      <c r="AQ154" s="30"/>
      <c r="AR154" s="30"/>
      <c r="AS154" s="30"/>
      <c r="AT154" s="30"/>
      <c r="AW154" s="30"/>
    </row>
    <row r="155" spans="1:49" s="6" customFormat="1" ht="13.8">
      <c r="A155" s="1768"/>
      <c r="B155" s="1769">
        <v>404</v>
      </c>
      <c r="C155" s="1769" t="s">
        <v>17</v>
      </c>
      <c r="D155" s="1770" t="s">
        <v>23</v>
      </c>
      <c r="E155" s="1775">
        <f t="shared" si="20"/>
        <v>-24</v>
      </c>
      <c r="F155" s="1771"/>
      <c r="G155" s="1771"/>
      <c r="H155" s="1771"/>
      <c r="I155" s="1771"/>
      <c r="J155" s="1771"/>
      <c r="K155" s="1771"/>
      <c r="L155" s="1771"/>
      <c r="M155" s="1771"/>
      <c r="N155" s="1771"/>
      <c r="O155" s="1771"/>
      <c r="P155" s="1771"/>
      <c r="Q155" s="1771">
        <f>-84+60</f>
        <v>-24</v>
      </c>
      <c r="R155" s="1771"/>
      <c r="S155" s="1771"/>
      <c r="T155" s="1771"/>
      <c r="U155" s="1771"/>
      <c r="V155" s="1771"/>
      <c r="W155" s="1771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N155" s="30"/>
      <c r="AO155" s="30"/>
      <c r="AP155" s="30"/>
      <c r="AQ155" s="30"/>
      <c r="AR155" s="30"/>
      <c r="AS155" s="30"/>
      <c r="AT155" s="30"/>
      <c r="AW155" s="30"/>
    </row>
    <row r="156" spans="1:49" s="6" customFormat="1" ht="13.8">
      <c r="A156" s="1768"/>
      <c r="B156" s="1769">
        <v>45021</v>
      </c>
      <c r="C156" s="1769" t="s">
        <v>17</v>
      </c>
      <c r="D156" s="1770" t="s">
        <v>20</v>
      </c>
      <c r="E156" s="1775">
        <f t="shared" si="20"/>
        <v>60</v>
      </c>
      <c r="F156" s="1771">
        <v>60</v>
      </c>
      <c r="G156" s="1771"/>
      <c r="H156" s="1771"/>
      <c r="I156" s="1771"/>
      <c r="J156" s="1771"/>
      <c r="K156" s="1771"/>
      <c r="L156" s="1771"/>
      <c r="M156" s="1771"/>
      <c r="N156" s="1771"/>
      <c r="O156" s="1771"/>
      <c r="P156" s="1771"/>
      <c r="Q156" s="1771"/>
      <c r="R156" s="1771"/>
      <c r="S156" s="1771"/>
      <c r="T156" s="1771"/>
      <c r="U156" s="1771"/>
      <c r="V156" s="1771"/>
      <c r="W156" s="1771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N156" s="30"/>
      <c r="AO156" s="30"/>
      <c r="AP156" s="30"/>
      <c r="AQ156" s="30"/>
      <c r="AR156" s="30"/>
      <c r="AS156" s="30"/>
      <c r="AT156" s="30"/>
      <c r="AW156" s="30"/>
    </row>
    <row r="157" spans="1:49" s="6" customFormat="1" ht="13.8">
      <c r="A157" s="1768"/>
      <c r="B157" s="1769">
        <v>45022</v>
      </c>
      <c r="C157" s="1769" t="s">
        <v>17</v>
      </c>
      <c r="D157" s="1770" t="s">
        <v>18</v>
      </c>
      <c r="E157" s="1775">
        <f t="shared" si="20"/>
        <v>187</v>
      </c>
      <c r="F157" s="1771"/>
      <c r="G157" s="1771"/>
      <c r="H157" s="1771"/>
      <c r="I157" s="1771"/>
      <c r="J157" s="1771"/>
      <c r="K157" s="1771"/>
      <c r="L157" s="1771"/>
      <c r="M157" s="1771"/>
      <c r="N157" s="1771"/>
      <c r="O157" s="1771">
        <v>187</v>
      </c>
      <c r="P157" s="1771"/>
      <c r="Q157" s="1771"/>
      <c r="R157" s="1771"/>
      <c r="S157" s="1771"/>
      <c r="T157" s="1771"/>
      <c r="U157" s="1771"/>
      <c r="V157" s="1771"/>
      <c r="W157" s="1771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N157" s="30"/>
      <c r="AO157" s="30"/>
      <c r="AP157" s="30"/>
      <c r="AQ157" s="30"/>
      <c r="AR157" s="30"/>
      <c r="AS157" s="30"/>
      <c r="AT157" s="30"/>
      <c r="AW157" s="30"/>
    </row>
    <row r="158" spans="1:49" s="6" customFormat="1" ht="13.8">
      <c r="A158" s="1768"/>
      <c r="B158" s="1769">
        <v>45040</v>
      </c>
      <c r="C158" s="1769"/>
      <c r="D158" s="1770" t="s">
        <v>185</v>
      </c>
      <c r="E158" s="1775">
        <v>-1500</v>
      </c>
      <c r="F158" s="1771"/>
      <c r="G158" s="1771"/>
      <c r="H158" s="1771"/>
      <c r="I158" s="1771"/>
      <c r="J158" s="1771"/>
      <c r="K158" s="1771"/>
      <c r="L158" s="1771"/>
      <c r="M158" s="1771"/>
      <c r="N158" s="1771"/>
      <c r="O158" s="1771"/>
      <c r="P158" s="1771"/>
      <c r="Q158" s="1771"/>
      <c r="R158" s="1771"/>
      <c r="S158" s="1771"/>
      <c r="T158" s="1771"/>
      <c r="U158" s="1771"/>
      <c r="V158" s="1771"/>
      <c r="W158" s="1771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N158" s="30"/>
      <c r="AO158" s="30"/>
      <c r="AP158" s="30"/>
      <c r="AQ158" s="30"/>
      <c r="AR158" s="30"/>
      <c r="AS158" s="30"/>
      <c r="AT158" s="30"/>
      <c r="AW158" s="30"/>
    </row>
    <row r="159" spans="1:49" s="6" customFormat="1" ht="13.8">
      <c r="A159" s="1768"/>
      <c r="B159" s="1769"/>
      <c r="C159" s="1769"/>
      <c r="D159" s="1770" t="s">
        <v>42</v>
      </c>
      <c r="E159" s="1775">
        <f t="shared" ref="E159:E164" si="21">SUM(F159:W159)</f>
        <v>1674</v>
      </c>
      <c r="F159" s="1771"/>
      <c r="G159" s="1771"/>
      <c r="H159" s="1771">
        <v>1614</v>
      </c>
      <c r="I159" s="1771"/>
      <c r="J159" s="1771"/>
      <c r="K159" s="1771"/>
      <c r="L159" s="1771">
        <v>60</v>
      </c>
      <c r="M159" s="1771"/>
      <c r="N159" s="1771"/>
      <c r="O159" s="1771"/>
      <c r="P159" s="1771"/>
      <c r="Q159" s="1771"/>
      <c r="R159" s="1771"/>
      <c r="S159" s="1771"/>
      <c r="T159" s="1771"/>
      <c r="U159" s="1771"/>
      <c r="V159" s="1771"/>
      <c r="W159" s="1771"/>
    </row>
    <row r="160" spans="1:49" s="6" customFormat="1" ht="13.8">
      <c r="A160" s="1768"/>
      <c r="B160" s="1769"/>
      <c r="C160" s="1769"/>
      <c r="D160" s="1770" t="s">
        <v>41</v>
      </c>
      <c r="E160" s="1775">
        <f t="shared" si="21"/>
        <v>80</v>
      </c>
      <c r="F160" s="1771"/>
      <c r="G160" s="1771"/>
      <c r="H160" s="1771">
        <v>80</v>
      </c>
      <c r="I160" s="1771"/>
      <c r="J160" s="1771"/>
      <c r="K160" s="1771"/>
      <c r="L160" s="1771"/>
      <c r="M160" s="1771"/>
      <c r="N160" s="1771"/>
      <c r="O160" s="1771"/>
      <c r="P160" s="1771"/>
      <c r="Q160" s="1771"/>
      <c r="R160" s="1771"/>
      <c r="S160" s="1771"/>
      <c r="T160" s="1771"/>
      <c r="U160" s="1771"/>
      <c r="V160" s="1771"/>
      <c r="W160" s="1771"/>
    </row>
    <row r="161" spans="1:51" s="6" customFormat="1" ht="13.8">
      <c r="A161" s="1768"/>
      <c r="B161" s="1769"/>
      <c r="C161" s="1769"/>
      <c r="D161" s="1770" t="s">
        <v>1348</v>
      </c>
      <c r="E161" s="1775">
        <f t="shared" si="21"/>
        <v>288.39999999999998</v>
      </c>
      <c r="F161" s="1771"/>
      <c r="G161" s="1771">
        <v>144</v>
      </c>
      <c r="H161" s="1771">
        <v>20.399999999999999</v>
      </c>
      <c r="I161" s="1771"/>
      <c r="J161" s="1771"/>
      <c r="K161" s="1771"/>
      <c r="L161" s="1771">
        <v>124</v>
      </c>
      <c r="M161" s="1771"/>
      <c r="N161" s="1771"/>
      <c r="O161" s="1771"/>
      <c r="P161" s="1771"/>
      <c r="Q161" s="1771"/>
      <c r="R161" s="1771"/>
      <c r="S161" s="1771"/>
      <c r="T161" s="1771"/>
      <c r="U161" s="1771"/>
      <c r="V161" s="1771"/>
      <c r="W161" s="1771"/>
    </row>
    <row r="162" spans="1:51" s="6" customFormat="1" ht="13.8">
      <c r="A162" s="1768"/>
      <c r="B162" s="1769"/>
      <c r="C162" s="1769"/>
      <c r="D162" s="1770" t="s">
        <v>39</v>
      </c>
      <c r="E162" s="1775">
        <f t="shared" si="21"/>
        <v>0</v>
      </c>
      <c r="F162" s="1771"/>
      <c r="G162" s="1771"/>
      <c r="H162" s="1771"/>
      <c r="I162" s="1771"/>
      <c r="J162" s="1771"/>
      <c r="K162" s="1771"/>
      <c r="L162" s="1771"/>
      <c r="M162" s="1771"/>
      <c r="N162" s="1771"/>
      <c r="O162" s="1771"/>
      <c r="P162" s="1771"/>
      <c r="Q162" s="1771"/>
      <c r="R162" s="1771"/>
      <c r="S162" s="1771"/>
      <c r="T162" s="1771"/>
      <c r="U162" s="1771"/>
      <c r="V162" s="1771"/>
      <c r="W162" s="1771"/>
    </row>
    <row r="163" spans="1:51" s="6" customFormat="1" ht="13.8">
      <c r="A163" s="1768"/>
      <c r="B163" s="1769"/>
      <c r="C163" s="1769"/>
      <c r="D163" s="1770" t="s">
        <v>1485</v>
      </c>
      <c r="E163" s="1775">
        <f t="shared" si="21"/>
        <v>678</v>
      </c>
      <c r="F163" s="1771"/>
      <c r="G163" s="1771"/>
      <c r="H163" s="1771" t="s">
        <v>1465</v>
      </c>
      <c r="I163" s="1771"/>
      <c r="J163" s="1771"/>
      <c r="K163" s="1771">
        <v>610</v>
      </c>
      <c r="L163" s="1771">
        <v>68</v>
      </c>
      <c r="M163" s="1771"/>
      <c r="N163" s="1771"/>
      <c r="O163" s="1771"/>
      <c r="P163" s="1771"/>
      <c r="Q163" s="1771"/>
      <c r="R163" s="1771"/>
      <c r="S163" s="1771"/>
      <c r="T163" s="1771"/>
      <c r="U163" s="1771"/>
      <c r="V163" s="1771"/>
      <c r="W163" s="1771"/>
      <c r="X163" s="30"/>
      <c r="AO163" s="30"/>
      <c r="AP163" s="30"/>
      <c r="AQ163" s="30"/>
      <c r="AR163" s="30"/>
      <c r="AS163" s="30"/>
      <c r="AT163" s="30"/>
      <c r="AW163" s="30"/>
    </row>
    <row r="164" spans="1:51" s="6" customFormat="1" ht="13.8">
      <c r="A164" s="1768"/>
      <c r="B164" s="1769"/>
      <c r="C164" s="1769"/>
      <c r="D164" s="1770" t="s">
        <v>37</v>
      </c>
      <c r="E164" s="1775">
        <f t="shared" si="21"/>
        <v>701.45</v>
      </c>
      <c r="F164" s="1771"/>
      <c r="G164" s="1771">
        <f>49.95+75+25+30+82.5+39+75+69+120+20</f>
        <v>585.45000000000005</v>
      </c>
      <c r="H164" s="1771"/>
      <c r="I164" s="1771"/>
      <c r="J164" s="1771"/>
      <c r="K164" s="1771"/>
      <c r="L164" s="1771"/>
      <c r="M164" s="1771"/>
      <c r="N164" s="1771"/>
      <c r="O164" s="1771"/>
      <c r="P164" s="1771"/>
      <c r="Q164" s="1771"/>
      <c r="R164" s="1771">
        <v>116</v>
      </c>
      <c r="S164" s="1771"/>
      <c r="T164" s="1771"/>
      <c r="U164" s="1771"/>
      <c r="V164" s="1771"/>
      <c r="W164" s="1771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N164" s="30"/>
      <c r="AO164" s="30"/>
      <c r="AP164" s="30"/>
      <c r="AQ164" s="30"/>
      <c r="AR164" s="30"/>
      <c r="AS164" s="30"/>
      <c r="AT164" s="30"/>
      <c r="AW164" s="30"/>
    </row>
    <row r="165" spans="1:51" s="26" customFormat="1" ht="12" customHeight="1">
      <c r="A165" s="29"/>
      <c r="B165" s="2889" t="str">
        <f>G7</f>
        <v>April</v>
      </c>
      <c r="C165" s="1013">
        <v>45016</v>
      </c>
      <c r="D165" s="2895" t="s">
        <v>36</v>
      </c>
      <c r="E165" s="2897">
        <f t="shared" ref="E165:W165" si="22">SUM(E166:E203)</f>
        <v>-4700.8600000000024</v>
      </c>
      <c r="F165" s="2897">
        <f t="shared" si="22"/>
        <v>262</v>
      </c>
      <c r="G165" s="2897">
        <f t="shared" si="22"/>
        <v>13957.779999999999</v>
      </c>
      <c r="H165" s="2897">
        <f t="shared" si="22"/>
        <v>3944</v>
      </c>
      <c r="I165" s="2897">
        <f t="shared" si="22"/>
        <v>465.8</v>
      </c>
      <c r="J165" s="2897">
        <f t="shared" si="22"/>
        <v>0</v>
      </c>
      <c r="K165" s="2897">
        <f t="shared" si="22"/>
        <v>1220</v>
      </c>
      <c r="L165" s="2897">
        <f t="shared" si="22"/>
        <v>1338</v>
      </c>
      <c r="M165" s="2897">
        <f t="shared" si="22"/>
        <v>8338</v>
      </c>
      <c r="N165" s="2897">
        <f t="shared" si="22"/>
        <v>2804</v>
      </c>
      <c r="O165" s="2897">
        <f t="shared" si="22"/>
        <v>3870.06</v>
      </c>
      <c r="P165" s="2897">
        <f t="shared" si="22"/>
        <v>2621.5</v>
      </c>
      <c r="Q165" s="2897">
        <f t="shared" si="22"/>
        <v>390</v>
      </c>
      <c r="R165" s="2897">
        <f t="shared" si="22"/>
        <v>2000</v>
      </c>
      <c r="S165" s="2897">
        <f t="shared" si="22"/>
        <v>0</v>
      </c>
      <c r="T165" s="2897">
        <f t="shared" si="22"/>
        <v>718</v>
      </c>
      <c r="U165" s="2897">
        <f t="shared" si="22"/>
        <v>3400</v>
      </c>
      <c r="V165" s="2897">
        <f t="shared" si="22"/>
        <v>0</v>
      </c>
      <c r="W165" s="2897">
        <f t="shared" si="22"/>
        <v>0</v>
      </c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9"/>
      <c r="AV165" s="9"/>
      <c r="AW165" s="10"/>
      <c r="AX165" s="9"/>
      <c r="AY165" s="9"/>
    </row>
    <row r="166" spans="1:51" s="26" customFormat="1" ht="12" customHeight="1">
      <c r="A166" s="29"/>
      <c r="B166" s="2890"/>
      <c r="C166" s="1772">
        <v>45046</v>
      </c>
      <c r="D166" s="2896"/>
      <c r="E166" s="2898"/>
      <c r="F166" s="2898"/>
      <c r="G166" s="2898"/>
      <c r="H166" s="2898"/>
      <c r="I166" s="2898"/>
      <c r="J166" s="2898"/>
      <c r="K166" s="2898"/>
      <c r="L166" s="2898"/>
      <c r="M166" s="2898"/>
      <c r="N166" s="2898"/>
      <c r="O166" s="2898"/>
      <c r="P166" s="2898"/>
      <c r="Q166" s="2898"/>
      <c r="R166" s="2898"/>
      <c r="S166" s="2898"/>
      <c r="T166" s="2898"/>
      <c r="U166" s="2898"/>
      <c r="V166" s="2898"/>
      <c r="W166" s="2898"/>
      <c r="X166" s="995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9"/>
      <c r="AV166" s="9"/>
      <c r="AW166" s="10"/>
      <c r="AX166" s="9"/>
      <c r="AY166" s="9"/>
    </row>
    <row r="167" spans="1:51" s="1005" customFormat="1" ht="12" customHeight="1">
      <c r="A167" s="1002"/>
      <c r="B167" s="1009"/>
      <c r="C167" s="2893" t="s">
        <v>1120</v>
      </c>
      <c r="D167" s="2894"/>
      <c r="E167" s="1723">
        <f t="shared" ref="E167:W167" si="23">SUM(E168:E168)</f>
        <v>0</v>
      </c>
      <c r="F167" s="1012">
        <f t="shared" si="23"/>
        <v>0</v>
      </c>
      <c r="G167" s="1012">
        <f t="shared" si="23"/>
        <v>0</v>
      </c>
      <c r="H167" s="1012">
        <f t="shared" si="23"/>
        <v>0</v>
      </c>
      <c r="I167" s="1012">
        <f t="shared" si="23"/>
        <v>0</v>
      </c>
      <c r="J167" s="1012">
        <f t="shared" si="23"/>
        <v>0</v>
      </c>
      <c r="K167" s="1012">
        <f t="shared" si="23"/>
        <v>0</v>
      </c>
      <c r="L167" s="1012">
        <f t="shared" si="23"/>
        <v>0</v>
      </c>
      <c r="M167" s="1012">
        <f t="shared" si="23"/>
        <v>0</v>
      </c>
      <c r="N167" s="1012">
        <f t="shared" si="23"/>
        <v>0</v>
      </c>
      <c r="O167" s="1012">
        <f t="shared" si="23"/>
        <v>0</v>
      </c>
      <c r="P167" s="1012">
        <f t="shared" si="23"/>
        <v>0</v>
      </c>
      <c r="Q167" s="1012">
        <f t="shared" si="23"/>
        <v>0</v>
      </c>
      <c r="R167" s="1012">
        <f t="shared" si="23"/>
        <v>0</v>
      </c>
      <c r="S167" s="1012">
        <f t="shared" si="23"/>
        <v>0</v>
      </c>
      <c r="T167" s="1012">
        <f t="shared" si="23"/>
        <v>0</v>
      </c>
      <c r="U167" s="1012">
        <f t="shared" si="23"/>
        <v>0</v>
      </c>
      <c r="V167" s="1012">
        <f t="shared" si="23"/>
        <v>0</v>
      </c>
      <c r="W167" s="1012">
        <f t="shared" si="23"/>
        <v>0</v>
      </c>
      <c r="X167" s="90"/>
      <c r="Y167" s="1003"/>
      <c r="Z167" s="1003"/>
      <c r="AA167" s="1003"/>
      <c r="AB167" s="1003"/>
      <c r="AC167" s="1003"/>
      <c r="AD167" s="1003"/>
      <c r="AE167" s="1003"/>
      <c r="AF167" s="1003"/>
      <c r="AG167" s="1003"/>
      <c r="AH167" s="1003"/>
      <c r="AI167" s="1004"/>
      <c r="AJ167" s="1004"/>
      <c r="AK167" s="1004"/>
      <c r="AL167" s="1004"/>
      <c r="AM167" s="1003"/>
      <c r="AN167" s="1003"/>
      <c r="AO167" s="1003"/>
      <c r="AP167" s="1003"/>
      <c r="AQ167" s="1003"/>
      <c r="AR167" s="1003"/>
      <c r="AS167" s="1003"/>
      <c r="AT167" s="1003"/>
      <c r="AU167" s="1003"/>
      <c r="AV167" s="1003"/>
      <c r="AW167" s="1003"/>
    </row>
    <row r="168" spans="1:51" s="90" customFormat="1" ht="13.8">
      <c r="A168" s="973"/>
      <c r="B168" s="974"/>
      <c r="C168" s="977"/>
      <c r="D168" s="978" t="s">
        <v>15</v>
      </c>
      <c r="E168" s="1774">
        <f>SUM(F168:W168)</f>
        <v>0</v>
      </c>
      <c r="F168" s="976"/>
      <c r="G168" s="976"/>
      <c r="H168" s="976"/>
      <c r="I168" s="976"/>
      <c r="J168" s="976"/>
      <c r="K168" s="976"/>
      <c r="L168" s="976"/>
      <c r="M168" s="976"/>
      <c r="N168" s="976"/>
      <c r="O168" s="976"/>
      <c r="P168" s="976"/>
      <c r="Q168" s="976"/>
      <c r="R168" s="976"/>
      <c r="S168" s="976"/>
      <c r="T168" s="976"/>
      <c r="U168" s="976"/>
      <c r="V168" s="976"/>
      <c r="W168" s="976"/>
    </row>
    <row r="169" spans="1:51" s="35" customFormat="1" ht="13.5" customHeight="1">
      <c r="A169" s="39"/>
      <c r="B169" s="979" t="str">
        <f>H7</f>
        <v>Maj</v>
      </c>
      <c r="C169" s="980">
        <v>44682</v>
      </c>
      <c r="D169" s="981"/>
      <c r="E169" s="1724">
        <f t="shared" ref="E169:U169" si="24">SUM(E170:E201)</f>
        <v>-2350.4300000000021</v>
      </c>
      <c r="F169" s="982">
        <f t="shared" si="24"/>
        <v>131</v>
      </c>
      <c r="G169" s="982">
        <f t="shared" si="24"/>
        <v>6978.89</v>
      </c>
      <c r="H169" s="982">
        <f t="shared" si="24"/>
        <v>1972</v>
      </c>
      <c r="I169" s="982">
        <f t="shared" si="24"/>
        <v>232.9</v>
      </c>
      <c r="J169" s="982">
        <f t="shared" si="24"/>
        <v>0</v>
      </c>
      <c r="K169" s="982">
        <f t="shared" si="24"/>
        <v>610</v>
      </c>
      <c r="L169" s="982">
        <f t="shared" si="24"/>
        <v>669</v>
      </c>
      <c r="M169" s="982">
        <f t="shared" si="24"/>
        <v>4169</v>
      </c>
      <c r="N169" s="982">
        <f t="shared" si="24"/>
        <v>1402</v>
      </c>
      <c r="O169" s="982">
        <f t="shared" si="24"/>
        <v>1935.03</v>
      </c>
      <c r="P169" s="982">
        <f t="shared" si="24"/>
        <v>1310.75</v>
      </c>
      <c r="Q169" s="982">
        <f t="shared" si="24"/>
        <v>195</v>
      </c>
      <c r="R169" s="982">
        <f t="shared" si="24"/>
        <v>1000</v>
      </c>
      <c r="S169" s="982">
        <f t="shared" si="24"/>
        <v>0</v>
      </c>
      <c r="T169" s="982">
        <f t="shared" si="24"/>
        <v>359</v>
      </c>
      <c r="U169" s="982">
        <f t="shared" si="24"/>
        <v>1700</v>
      </c>
      <c r="V169" s="982"/>
      <c r="W169" s="982"/>
      <c r="X169" s="10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2"/>
      <c r="AP169" s="12"/>
      <c r="AQ169" s="12"/>
      <c r="AR169" s="12"/>
      <c r="AW169" s="12"/>
    </row>
    <row r="170" spans="1:51" s="6" customFormat="1" ht="13.8">
      <c r="A170" s="1768"/>
      <c r="B170" s="1769">
        <v>45044</v>
      </c>
      <c r="C170" s="1769" t="s">
        <v>17</v>
      </c>
      <c r="D170" s="1770" t="s">
        <v>35</v>
      </c>
      <c r="E170" s="1775">
        <f>$AE$12</f>
        <v>-11843</v>
      </c>
      <c r="F170" s="1771"/>
      <c r="G170" s="1771"/>
      <c r="H170" s="1771"/>
      <c r="I170" s="1771"/>
      <c r="J170" s="1771"/>
      <c r="K170" s="1771"/>
      <c r="L170" s="1771"/>
      <c r="M170" s="1771"/>
      <c r="N170" s="1771"/>
      <c r="O170" s="1771"/>
      <c r="P170" s="1771"/>
      <c r="Q170" s="1771"/>
      <c r="R170" s="1771"/>
      <c r="S170" s="1771"/>
      <c r="T170" s="1771"/>
      <c r="U170" s="1771"/>
      <c r="V170" s="1771"/>
      <c r="W170" s="1771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N170" s="30"/>
      <c r="AO170" s="30"/>
      <c r="AP170" s="30"/>
      <c r="AQ170" s="30"/>
      <c r="AR170" s="30"/>
      <c r="AS170" s="30"/>
      <c r="AT170" s="30"/>
      <c r="AW170" s="30"/>
    </row>
    <row r="171" spans="1:51" s="6" customFormat="1" ht="13.8">
      <c r="A171" s="1768"/>
      <c r="B171" s="1769">
        <v>45044</v>
      </c>
      <c r="C171" s="1769" t="s">
        <v>17</v>
      </c>
      <c r="D171" s="1770" t="s">
        <v>34</v>
      </c>
      <c r="E171" s="1775">
        <f>$AF$12</f>
        <v>-8159</v>
      </c>
      <c r="F171" s="1771"/>
      <c r="G171" s="1771"/>
      <c r="H171" s="1771"/>
      <c r="I171" s="1771"/>
      <c r="J171" s="1771"/>
      <c r="K171" s="1771"/>
      <c r="L171" s="1771"/>
      <c r="M171" s="1771"/>
      <c r="N171" s="1771"/>
      <c r="O171" s="1771"/>
      <c r="P171" s="1771"/>
      <c r="Q171" s="1771"/>
      <c r="R171" s="1771"/>
      <c r="S171" s="1771"/>
      <c r="T171" s="1771"/>
      <c r="U171" s="1771"/>
      <c r="V171" s="1771"/>
      <c r="W171" s="1771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N171" s="30"/>
      <c r="AO171" s="30"/>
      <c r="AP171" s="30"/>
      <c r="AQ171" s="30"/>
      <c r="AR171" s="30"/>
      <c r="AS171" s="30"/>
      <c r="AT171" s="30"/>
      <c r="AW171" s="30"/>
    </row>
    <row r="172" spans="1:51" s="6" customFormat="1" ht="13.8">
      <c r="A172" s="1768"/>
      <c r="B172" s="1769">
        <v>45044</v>
      </c>
      <c r="C172" s="1769" t="s">
        <v>17</v>
      </c>
      <c r="D172" s="1770" t="s">
        <v>33</v>
      </c>
      <c r="E172" s="1775">
        <f>$AG$12</f>
        <v>-213</v>
      </c>
      <c r="F172" s="1771"/>
      <c r="G172" s="1771"/>
      <c r="H172" s="1771"/>
      <c r="I172" s="1771"/>
      <c r="J172" s="1771"/>
      <c r="K172" s="1771"/>
      <c r="L172" s="1771"/>
      <c r="M172" s="1771"/>
      <c r="N172" s="1771"/>
      <c r="O172" s="1771"/>
      <c r="P172" s="1771"/>
      <c r="Q172" s="1771"/>
      <c r="R172" s="1771"/>
      <c r="S172" s="1771"/>
      <c r="T172" s="1771"/>
      <c r="U172" s="1771"/>
      <c r="V172" s="1771"/>
      <c r="W172" s="1771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N172" s="30"/>
      <c r="AO172" s="30"/>
      <c r="AP172" s="30"/>
      <c r="AQ172" s="30"/>
      <c r="AR172" s="30"/>
      <c r="AS172" s="30"/>
      <c r="AT172" s="30"/>
      <c r="AW172" s="30"/>
    </row>
    <row r="173" spans="1:51" s="6" customFormat="1" ht="13.8">
      <c r="A173" s="1768"/>
      <c r="B173" s="1769">
        <v>45044</v>
      </c>
      <c r="C173" s="1769"/>
      <c r="D173" s="1770" t="s">
        <v>57</v>
      </c>
      <c r="E173" s="1775">
        <f t="shared" ref="E173:E181" si="25">SUM(F173:W173)</f>
        <v>1700</v>
      </c>
      <c r="F173" s="1771"/>
      <c r="G173" s="1771"/>
      <c r="H173" s="1771"/>
      <c r="I173" s="1771"/>
      <c r="J173" s="1771"/>
      <c r="K173" s="1771"/>
      <c r="L173" s="1771"/>
      <c r="M173" s="1771"/>
      <c r="N173" s="1771"/>
      <c r="O173" s="1771"/>
      <c r="P173" s="1771"/>
      <c r="Q173" s="1771"/>
      <c r="R173" s="1771"/>
      <c r="S173" s="1771"/>
      <c r="T173" s="1771"/>
      <c r="U173" s="1771">
        <f>700+500+500</f>
        <v>1700</v>
      </c>
      <c r="V173" s="1771"/>
      <c r="W173" s="1771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N173" s="30"/>
      <c r="AO173" s="30"/>
      <c r="AP173" s="30"/>
      <c r="AQ173" s="30"/>
      <c r="AR173" s="30"/>
      <c r="AS173" s="30"/>
      <c r="AT173" s="30"/>
      <c r="AW173" s="30"/>
    </row>
    <row r="174" spans="1:51" s="6" customFormat="1" ht="13.8">
      <c r="A174" s="1768"/>
      <c r="B174" s="1769">
        <v>45044</v>
      </c>
      <c r="C174" s="1769" t="s">
        <v>19</v>
      </c>
      <c r="D174" s="1770" t="s">
        <v>32</v>
      </c>
      <c r="E174" s="1775">
        <f t="shared" si="25"/>
        <v>359</v>
      </c>
      <c r="F174" s="1771"/>
      <c r="G174" s="1771"/>
      <c r="H174" s="1771"/>
      <c r="I174" s="1771"/>
      <c r="J174" s="1771"/>
      <c r="K174" s="1771"/>
      <c r="L174" s="1771"/>
      <c r="M174" s="1771"/>
      <c r="N174" s="1771"/>
      <c r="O174" s="1771"/>
      <c r="P174" s="1771"/>
      <c r="Q174" s="1771"/>
      <c r="R174" s="1771"/>
      <c r="S174" s="1771"/>
      <c r="T174" s="1771">
        <v>359</v>
      </c>
      <c r="U174" s="1771"/>
      <c r="V174" s="1771"/>
      <c r="W174" s="1771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N174" s="30"/>
      <c r="AO174" s="30"/>
      <c r="AP174" s="30"/>
      <c r="AQ174" s="30"/>
      <c r="AR174" s="30"/>
      <c r="AS174" s="30"/>
      <c r="AT174" s="30"/>
      <c r="AW174" s="30"/>
    </row>
    <row r="175" spans="1:51" s="6" customFormat="1" ht="13.8">
      <c r="A175" s="1768"/>
      <c r="B175" s="1769">
        <v>45044</v>
      </c>
      <c r="C175" s="1769" t="s">
        <v>17</v>
      </c>
      <c r="D175" s="1770" t="s">
        <v>1361</v>
      </c>
      <c r="E175" s="1775">
        <f t="shared" si="25"/>
        <v>79</v>
      </c>
      <c r="F175" s="1771"/>
      <c r="G175" s="1771"/>
      <c r="H175" s="1771"/>
      <c r="I175" s="1771"/>
      <c r="J175" s="1771"/>
      <c r="K175" s="1771"/>
      <c r="L175" s="1771"/>
      <c r="M175" s="1771"/>
      <c r="N175" s="1771"/>
      <c r="O175" s="1771"/>
      <c r="P175" s="1771">
        <v>79</v>
      </c>
      <c r="Q175" s="1771"/>
      <c r="R175" s="1771"/>
      <c r="S175" s="1771"/>
      <c r="T175" s="1771"/>
      <c r="U175" s="1771"/>
      <c r="V175" s="1771"/>
      <c r="W175" s="1771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N175" s="30"/>
      <c r="AO175" s="30"/>
      <c r="AP175" s="30"/>
      <c r="AQ175" s="30"/>
      <c r="AR175" s="30"/>
      <c r="AS175" s="30"/>
      <c r="AT175" s="30"/>
      <c r="AW175" s="30"/>
    </row>
    <row r="176" spans="1:51" s="6" customFormat="1" ht="13.8">
      <c r="A176" s="1768"/>
      <c r="B176" s="1769">
        <v>45047</v>
      </c>
      <c r="C176" s="1769" t="s">
        <v>572</v>
      </c>
      <c r="D176" s="1770" t="s">
        <v>30</v>
      </c>
      <c r="E176" s="1775">
        <f t="shared" si="25"/>
        <v>4169</v>
      </c>
      <c r="F176" s="1771"/>
      <c r="G176" s="1771"/>
      <c r="H176" s="1771"/>
      <c r="I176" s="1771"/>
      <c r="J176" s="1771"/>
      <c r="K176" s="1771"/>
      <c r="L176" s="1771"/>
      <c r="M176" s="1771">
        <v>4169</v>
      </c>
      <c r="N176" s="1771"/>
      <c r="O176" s="1771"/>
      <c r="P176" s="1771"/>
      <c r="Q176" s="1771"/>
      <c r="R176" s="1771"/>
      <c r="S176" s="1771"/>
      <c r="T176" s="1771"/>
      <c r="U176" s="1771"/>
      <c r="V176" s="1771"/>
      <c r="W176" s="1771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N176" s="30"/>
      <c r="AO176" s="30"/>
      <c r="AP176" s="30"/>
      <c r="AQ176" s="30"/>
      <c r="AR176" s="30"/>
      <c r="AS176" s="30"/>
      <c r="AT176" s="30"/>
      <c r="AW176" s="30"/>
    </row>
    <row r="177" spans="1:49" s="6" customFormat="1" ht="13.8">
      <c r="A177" s="1768"/>
      <c r="B177" s="1769">
        <v>45047</v>
      </c>
      <c r="C177" s="1769" t="s">
        <v>572</v>
      </c>
      <c r="D177" s="1770" t="s">
        <v>27</v>
      </c>
      <c r="E177" s="1775">
        <f t="shared" si="25"/>
        <v>608.75</v>
      </c>
      <c r="F177" s="1771"/>
      <c r="G177" s="1771"/>
      <c r="H177" s="1771"/>
      <c r="I177" s="1771"/>
      <c r="J177" s="1771"/>
      <c r="K177" s="1771"/>
      <c r="L177" s="1771"/>
      <c r="M177" s="1771"/>
      <c r="N177" s="1771"/>
      <c r="O177" s="1771"/>
      <c r="P177" s="1771">
        <v>608.75</v>
      </c>
      <c r="Q177" s="1771"/>
      <c r="R177" s="1771"/>
      <c r="S177" s="1771"/>
      <c r="T177" s="1771"/>
      <c r="U177" s="1771"/>
      <c r="V177" s="1771"/>
      <c r="W177" s="1771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N177" s="30"/>
      <c r="AO177" s="30"/>
      <c r="AP177" s="30"/>
      <c r="AQ177" s="30"/>
      <c r="AR177" s="30"/>
      <c r="AS177" s="30"/>
      <c r="AT177" s="30"/>
      <c r="AW177" s="30"/>
    </row>
    <row r="178" spans="1:49" s="6" customFormat="1" ht="13.8">
      <c r="A178" s="1768"/>
      <c r="B178" s="1769">
        <v>45047</v>
      </c>
      <c r="C178" s="1769" t="s">
        <v>572</v>
      </c>
      <c r="D178" s="1770" t="s">
        <v>1352</v>
      </c>
      <c r="E178" s="1775">
        <f t="shared" si="25"/>
        <v>930</v>
      </c>
      <c r="F178" s="1771"/>
      <c r="G178" s="1771"/>
      <c r="H178" s="1771"/>
      <c r="I178" s="1771"/>
      <c r="J178" s="1771"/>
      <c r="K178" s="1771"/>
      <c r="L178" s="1771"/>
      <c r="M178" s="1771"/>
      <c r="N178" s="1771">
        <v>930</v>
      </c>
      <c r="O178" s="1771"/>
      <c r="P178" s="1771"/>
      <c r="Q178" s="1771"/>
      <c r="R178" s="1771"/>
      <c r="S178" s="1771"/>
      <c r="T178" s="1771"/>
      <c r="U178" s="1771"/>
      <c r="V178" s="1771"/>
      <c r="W178" s="1771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N178" s="30"/>
      <c r="AO178" s="30"/>
      <c r="AP178" s="30"/>
      <c r="AQ178" s="30"/>
      <c r="AR178" s="30"/>
      <c r="AS178" s="30"/>
      <c r="AT178" s="30"/>
      <c r="AW178" s="30"/>
    </row>
    <row r="179" spans="1:49" s="6" customFormat="1" ht="13.8">
      <c r="A179" s="1768"/>
      <c r="B179" s="1769">
        <v>45047</v>
      </c>
      <c r="C179" s="1769" t="s">
        <v>572</v>
      </c>
      <c r="D179" s="1770" t="s">
        <v>125</v>
      </c>
      <c r="E179" s="1775">
        <f t="shared" si="25"/>
        <v>45</v>
      </c>
      <c r="F179" s="1771"/>
      <c r="G179" s="1771"/>
      <c r="H179" s="1771"/>
      <c r="I179" s="1771"/>
      <c r="J179" s="1771"/>
      <c r="K179" s="1771"/>
      <c r="L179" s="1771"/>
      <c r="M179" s="1771"/>
      <c r="N179" s="1771"/>
      <c r="O179" s="1771"/>
      <c r="P179" s="1771"/>
      <c r="Q179" s="1771">
        <v>45</v>
      </c>
      <c r="R179" s="1771"/>
      <c r="S179" s="1771"/>
      <c r="T179" s="1771"/>
      <c r="U179" s="1771"/>
      <c r="V179" s="1771"/>
      <c r="W179" s="1771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N179" s="30"/>
      <c r="AO179" s="30"/>
      <c r="AP179" s="30"/>
      <c r="AQ179" s="30"/>
      <c r="AR179" s="30"/>
      <c r="AS179" s="30"/>
      <c r="AT179" s="30"/>
      <c r="AW179" s="30"/>
    </row>
    <row r="180" spans="1:49" s="6" customFormat="1" ht="13.8">
      <c r="A180" s="1768"/>
      <c r="B180" s="1769">
        <v>45047</v>
      </c>
      <c r="C180" s="1769" t="s">
        <v>17</v>
      </c>
      <c r="D180" s="1770" t="s">
        <v>16</v>
      </c>
      <c r="E180" s="1775">
        <f t="shared" si="25"/>
        <v>800</v>
      </c>
      <c r="F180" s="1771"/>
      <c r="G180" s="1771">
        <v>800</v>
      </c>
      <c r="H180" s="1771"/>
      <c r="I180" s="1771"/>
      <c r="J180" s="1771"/>
      <c r="K180" s="1771"/>
      <c r="L180" s="1771"/>
      <c r="M180" s="1771"/>
      <c r="N180" s="1771"/>
      <c r="O180" s="1771"/>
      <c r="P180" s="1771"/>
      <c r="Q180" s="1771"/>
      <c r="R180" s="1771"/>
      <c r="S180" s="1771"/>
      <c r="T180" s="1771"/>
      <c r="U180" s="1771"/>
      <c r="V180" s="1771"/>
      <c r="W180" s="1771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N180" s="30"/>
      <c r="AO180" s="30"/>
      <c r="AP180" s="30"/>
      <c r="AQ180" s="30"/>
      <c r="AR180" s="30"/>
      <c r="AS180" s="30"/>
      <c r="AT180" s="30"/>
      <c r="AW180" s="30"/>
    </row>
    <row r="181" spans="1:49" s="6" customFormat="1" ht="13.8">
      <c r="A181" s="1768"/>
      <c r="B181" s="1769">
        <v>45044</v>
      </c>
      <c r="C181" s="1769" t="s">
        <v>17</v>
      </c>
      <c r="D181" s="1770" t="s">
        <v>1360</v>
      </c>
      <c r="E181" s="1775">
        <f t="shared" si="25"/>
        <v>4025.8</v>
      </c>
      <c r="F181" s="1771"/>
      <c r="G181" s="1771">
        <v>4025.8</v>
      </c>
      <c r="H181" s="1771"/>
      <c r="I181" s="1771"/>
      <c r="J181" s="1771"/>
      <c r="K181" s="1771"/>
      <c r="L181" s="1771"/>
      <c r="M181" s="1771"/>
      <c r="N181" s="1771"/>
      <c r="O181" s="1771"/>
      <c r="P181" s="1771"/>
      <c r="Q181" s="1771"/>
      <c r="R181" s="1771"/>
      <c r="S181" s="1771"/>
      <c r="T181" s="1771"/>
      <c r="U181" s="1771"/>
      <c r="V181" s="1771"/>
      <c r="W181" s="1771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N181" s="30"/>
      <c r="AO181" s="30"/>
      <c r="AP181" s="30"/>
      <c r="AQ181" s="30"/>
      <c r="AR181" s="30"/>
      <c r="AS181" s="30"/>
      <c r="AT181" s="30"/>
      <c r="AW181" s="30"/>
    </row>
    <row r="182" spans="1:49" s="6" customFormat="1" ht="13.8">
      <c r="A182" s="1768"/>
      <c r="B182" s="1769">
        <v>45047</v>
      </c>
      <c r="C182" s="1769" t="s">
        <v>17</v>
      </c>
      <c r="D182" s="1770" t="s">
        <v>28</v>
      </c>
      <c r="E182" s="1775">
        <v>200</v>
      </c>
      <c r="F182" s="1771"/>
      <c r="G182" s="1771"/>
      <c r="H182" s="1771"/>
      <c r="I182" s="1771"/>
      <c r="J182" s="1771"/>
      <c r="K182" s="1771"/>
      <c r="L182" s="1771"/>
      <c r="M182" s="1771"/>
      <c r="N182" s="1771"/>
      <c r="O182" s="1771"/>
      <c r="P182" s="1771"/>
      <c r="Q182" s="1771"/>
      <c r="R182" s="1771"/>
      <c r="S182" s="1771"/>
      <c r="T182" s="1771"/>
      <c r="U182" s="1771"/>
      <c r="V182" s="1771"/>
      <c r="W182" s="1771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N182" s="30"/>
      <c r="AO182" s="30"/>
      <c r="AP182" s="30"/>
      <c r="AQ182" s="30"/>
      <c r="AR182" s="30"/>
      <c r="AS182" s="30"/>
      <c r="AT182" s="30"/>
      <c r="AW182" s="30"/>
    </row>
    <row r="183" spans="1:49" s="6" customFormat="1" ht="13.8">
      <c r="A183" s="1768"/>
      <c r="B183" s="1769">
        <v>45047</v>
      </c>
      <c r="C183" s="1769" t="s">
        <v>17</v>
      </c>
      <c r="D183" s="1770" t="s">
        <v>29</v>
      </c>
      <c r="E183" s="1775">
        <f>SUM(F183:W183)</f>
        <v>69</v>
      </c>
      <c r="F183" s="1771">
        <f>$AS$12</f>
        <v>69</v>
      </c>
      <c r="G183" s="1771"/>
      <c r="H183" s="1771"/>
      <c r="I183" s="1771"/>
      <c r="J183" s="1771"/>
      <c r="K183" s="1771"/>
      <c r="L183" s="1771"/>
      <c r="M183" s="1771"/>
      <c r="N183" s="1771"/>
      <c r="O183" s="1771"/>
      <c r="P183" s="1771"/>
      <c r="Q183" s="1771"/>
      <c r="R183" s="1771"/>
      <c r="S183" s="1771"/>
      <c r="T183" s="1771"/>
      <c r="U183" s="1771"/>
      <c r="V183" s="1771"/>
      <c r="W183" s="1771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N183" s="30"/>
      <c r="AO183" s="30"/>
      <c r="AP183" s="30"/>
      <c r="AQ183" s="30"/>
      <c r="AR183" s="30"/>
      <c r="AS183" s="30"/>
      <c r="AT183" s="30"/>
      <c r="AW183" s="30"/>
    </row>
    <row r="184" spans="1:49" s="6" customFormat="1" ht="13.8">
      <c r="A184" s="1768"/>
      <c r="B184" s="1769">
        <v>45047</v>
      </c>
      <c r="C184" s="1769" t="s">
        <v>572</v>
      </c>
      <c r="D184" s="1770" t="s">
        <v>25</v>
      </c>
      <c r="E184" s="1775">
        <f>SUM(F184:W184)</f>
        <v>970.03</v>
      </c>
      <c r="F184" s="1771"/>
      <c r="G184" s="1771"/>
      <c r="H184" s="1771"/>
      <c r="I184" s="1771"/>
      <c r="J184" s="1771"/>
      <c r="K184" s="1771"/>
      <c r="L184" s="1771"/>
      <c r="M184" s="1771"/>
      <c r="N184" s="1771"/>
      <c r="O184" s="1771">
        <v>970.03</v>
      </c>
      <c r="P184" s="1771"/>
      <c r="Q184" s="1771"/>
      <c r="R184" s="1771"/>
      <c r="S184" s="1771"/>
      <c r="T184" s="1771"/>
      <c r="U184" s="1771"/>
      <c r="V184" s="1771"/>
      <c r="W184" s="1771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N184" s="30"/>
      <c r="AO184" s="30"/>
      <c r="AP184" s="30"/>
      <c r="AQ184" s="30"/>
      <c r="AR184" s="30"/>
      <c r="AS184" s="30"/>
      <c r="AT184" s="30"/>
      <c r="AW184" s="30"/>
    </row>
    <row r="185" spans="1:49" s="6" customFormat="1" ht="13.8">
      <c r="A185" s="1768"/>
      <c r="B185" s="1769">
        <v>45047</v>
      </c>
      <c r="C185" s="1769" t="s">
        <v>572</v>
      </c>
      <c r="D185" s="1770" t="s">
        <v>1464</v>
      </c>
      <c r="E185" s="1775">
        <f>SUM(G185:W185)</f>
        <v>472</v>
      </c>
      <c r="F185" s="1771"/>
      <c r="G185" s="1771"/>
      <c r="H185" s="1771"/>
      <c r="I185" s="1771"/>
      <c r="J185" s="1771"/>
      <c r="K185" s="1771"/>
      <c r="L185" s="1771"/>
      <c r="M185" s="1771"/>
      <c r="N185" s="1771">
        <v>472</v>
      </c>
      <c r="O185" s="1771"/>
      <c r="P185" s="1771"/>
      <c r="Q185" s="1771"/>
      <c r="R185" s="1771"/>
      <c r="S185" s="1771"/>
      <c r="T185" s="1771"/>
      <c r="U185" s="1771"/>
      <c r="V185" s="1771"/>
      <c r="W185" s="1771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N185" s="30"/>
      <c r="AO185" s="30"/>
      <c r="AP185" s="30"/>
      <c r="AQ185" s="30"/>
      <c r="AR185" s="30"/>
      <c r="AS185" s="30"/>
      <c r="AT185" s="30"/>
      <c r="AW185" s="30"/>
    </row>
    <row r="186" spans="1:49" s="6" customFormat="1" ht="13.8">
      <c r="A186" s="1768"/>
      <c r="B186" s="1769">
        <v>45047</v>
      </c>
      <c r="C186" s="1769" t="s">
        <v>129</v>
      </c>
      <c r="D186" s="1770" t="s">
        <v>167</v>
      </c>
      <c r="E186" s="1775">
        <f>SUM(F186:W186)</f>
        <v>310</v>
      </c>
      <c r="F186" s="1771"/>
      <c r="G186" s="1771">
        <v>310</v>
      </c>
      <c r="H186" s="1771"/>
      <c r="I186" s="1771"/>
      <c r="J186" s="1771"/>
      <c r="K186" s="1771"/>
      <c r="L186" s="1771"/>
      <c r="M186" s="1771"/>
      <c r="N186" s="1771"/>
      <c r="O186" s="1771"/>
      <c r="P186" s="1771"/>
      <c r="Q186" s="1771"/>
      <c r="R186" s="1771"/>
      <c r="S186" s="1771"/>
      <c r="T186" s="1771"/>
      <c r="U186" s="1771"/>
      <c r="V186" s="1771"/>
      <c r="W186" s="1771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N186" s="30"/>
      <c r="AO186" s="30"/>
      <c r="AP186" s="30"/>
      <c r="AQ186" s="30"/>
      <c r="AR186" s="30"/>
      <c r="AS186" s="30"/>
      <c r="AT186" s="30"/>
      <c r="AW186" s="30"/>
    </row>
    <row r="187" spans="1:49" s="6" customFormat="1" ht="13.8">
      <c r="A187" s="1768"/>
      <c r="B187" s="1769">
        <v>45047</v>
      </c>
      <c r="C187" s="1769" t="s">
        <v>17</v>
      </c>
      <c r="D187" s="1770" t="s">
        <v>22</v>
      </c>
      <c r="E187" s="1775">
        <f>SUM(F187:W187)</f>
        <v>227</v>
      </c>
      <c r="F187" s="1771"/>
      <c r="G187" s="1771"/>
      <c r="H187" s="1771"/>
      <c r="I187" s="1771"/>
      <c r="J187" s="1771"/>
      <c r="K187" s="1771"/>
      <c r="L187" s="1771"/>
      <c r="M187" s="1771"/>
      <c r="N187" s="1771"/>
      <c r="O187" s="1771"/>
      <c r="P187" s="1771">
        <v>227</v>
      </c>
      <c r="Q187" s="1771"/>
      <c r="R187" s="1771"/>
      <c r="S187" s="1771"/>
      <c r="T187" s="1771"/>
      <c r="U187" s="1771"/>
      <c r="V187" s="1771"/>
      <c r="W187" s="1771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N187" s="30"/>
      <c r="AO187" s="30"/>
      <c r="AP187" s="30"/>
      <c r="AQ187" s="30"/>
      <c r="AR187" s="30"/>
      <c r="AS187" s="30"/>
      <c r="AT187" s="30"/>
      <c r="AW187" s="30"/>
    </row>
    <row r="188" spans="1:49" s="6" customFormat="1" ht="13.8">
      <c r="A188" s="1768"/>
      <c r="B188" s="1769">
        <v>44929</v>
      </c>
      <c r="C188" s="1769" t="s">
        <v>17</v>
      </c>
      <c r="D188" s="1770" t="s">
        <v>21</v>
      </c>
      <c r="E188" s="1775">
        <f>SUM(F188:W188)</f>
        <v>396</v>
      </c>
      <c r="F188" s="1771"/>
      <c r="G188" s="1771"/>
      <c r="H188" s="1771"/>
      <c r="I188" s="1771"/>
      <c r="J188" s="1771"/>
      <c r="K188" s="1771"/>
      <c r="L188" s="1771"/>
      <c r="M188" s="1771"/>
      <c r="N188" s="1771"/>
      <c r="O188" s="1771"/>
      <c r="P188" s="1771">
        <v>396</v>
      </c>
      <c r="Q188" s="1771"/>
      <c r="R188" s="1771"/>
      <c r="S188" s="1771"/>
      <c r="T188" s="1771"/>
      <c r="U188" s="1771"/>
      <c r="V188" s="1771"/>
      <c r="W188" s="1771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N188" s="30"/>
      <c r="AO188" s="30"/>
      <c r="AP188" s="30"/>
      <c r="AQ188" s="30"/>
      <c r="AR188" s="30"/>
      <c r="AS188" s="30"/>
      <c r="AT188" s="30"/>
      <c r="AW188" s="30"/>
    </row>
    <row r="189" spans="1:49" s="6" customFormat="1" ht="13.8">
      <c r="A189" s="1768"/>
      <c r="B189" s="1769">
        <v>45050</v>
      </c>
      <c r="C189" s="1769"/>
      <c r="D189" s="1770" t="s">
        <v>396</v>
      </c>
      <c r="E189" s="1775">
        <f>SUM(F189:W189)</f>
        <v>500</v>
      </c>
      <c r="F189" s="1771"/>
      <c r="G189" s="1771"/>
      <c r="H189" s="1771"/>
      <c r="I189" s="1771"/>
      <c r="J189" s="1771"/>
      <c r="K189" s="1771"/>
      <c r="L189" s="1771"/>
      <c r="M189" s="1771"/>
      <c r="N189" s="1771"/>
      <c r="O189" s="1771"/>
      <c r="P189" s="1771"/>
      <c r="Q189" s="1771"/>
      <c r="R189" s="1771">
        <v>500</v>
      </c>
      <c r="S189" s="1771"/>
      <c r="T189" s="1771"/>
      <c r="U189" s="1771"/>
      <c r="V189" s="1771"/>
      <c r="W189" s="1771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N189" s="30"/>
      <c r="AO189" s="30"/>
      <c r="AP189" s="30"/>
      <c r="AQ189" s="30"/>
      <c r="AR189" s="30"/>
      <c r="AS189" s="30"/>
      <c r="AT189" s="30"/>
      <c r="AW189" s="30"/>
    </row>
    <row r="190" spans="1:49" s="6" customFormat="1" ht="13.8">
      <c r="A190" s="1768"/>
      <c r="B190" s="1769">
        <v>44932</v>
      </c>
      <c r="C190" s="1769" t="s">
        <v>17</v>
      </c>
      <c r="D190" s="1770" t="s">
        <v>620</v>
      </c>
      <c r="E190" s="1775">
        <f>SUM(F190:W190)</f>
        <v>303.13</v>
      </c>
      <c r="F190" s="1771">
        <f>$AK$12</f>
        <v>62</v>
      </c>
      <c r="G190" s="1771">
        <v>5.13</v>
      </c>
      <c r="H190" s="1771"/>
      <c r="I190" s="1771"/>
      <c r="J190" s="1771"/>
      <c r="K190" s="1771"/>
      <c r="L190" s="1771"/>
      <c r="M190" s="1771"/>
      <c r="N190" s="1771"/>
      <c r="O190" s="1771">
        <v>236</v>
      </c>
      <c r="P190" s="1771"/>
      <c r="Q190" s="1771"/>
      <c r="R190" s="1771"/>
      <c r="S190" s="1771"/>
      <c r="T190" s="1771"/>
      <c r="U190" s="1771"/>
      <c r="V190" s="1771"/>
      <c r="W190" s="1771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N190" s="30"/>
      <c r="AO190" s="30"/>
      <c r="AP190" s="30"/>
      <c r="AQ190" s="30"/>
      <c r="AR190" s="30"/>
      <c r="AS190" s="30"/>
      <c r="AT190" s="30"/>
      <c r="AW190" s="30"/>
    </row>
    <row r="191" spans="1:49" s="6" customFormat="1" ht="13.8">
      <c r="A191" s="1768"/>
      <c r="B191" s="1769">
        <v>45054</v>
      </c>
      <c r="C191" s="1769"/>
      <c r="D191" s="1770" t="s">
        <v>1355</v>
      </c>
      <c r="E191" s="1775">
        <v>-5000</v>
      </c>
      <c r="F191" s="1771"/>
      <c r="G191" s="1771"/>
      <c r="H191" s="1771"/>
      <c r="I191" s="1771"/>
      <c r="J191" s="1771"/>
      <c r="K191" s="1771"/>
      <c r="L191" s="1771"/>
      <c r="M191" s="1771"/>
      <c r="N191" s="1771"/>
      <c r="O191" s="1771"/>
      <c r="P191" s="1771"/>
      <c r="Q191" s="1771"/>
      <c r="R191" s="1771"/>
      <c r="S191" s="1771"/>
      <c r="T191" s="1771"/>
      <c r="U191" s="1771"/>
      <c r="V191" s="1771"/>
      <c r="W191" s="1771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N191" s="30"/>
      <c r="AO191" s="30"/>
      <c r="AP191" s="30"/>
      <c r="AQ191" s="30"/>
      <c r="AR191" s="30"/>
      <c r="AS191" s="30"/>
      <c r="AT191" s="30"/>
      <c r="AW191" s="30"/>
    </row>
    <row r="192" spans="1:49" s="6" customFormat="1" ht="13.8">
      <c r="A192" s="1768"/>
      <c r="B192" s="1769">
        <v>45026</v>
      </c>
      <c r="C192" s="1769" t="s">
        <v>572</v>
      </c>
      <c r="D192" s="1770" t="s">
        <v>144</v>
      </c>
      <c r="E192" s="1775">
        <f t="shared" ref="E192:E201" si="26">SUM(F192:W192)</f>
        <v>412.96</v>
      </c>
      <c r="F192" s="1771"/>
      <c r="G192" s="1771">
        <v>412.96</v>
      </c>
      <c r="H192" s="1771"/>
      <c r="I192" s="1771"/>
      <c r="J192" s="1771"/>
      <c r="K192" s="1771"/>
      <c r="L192" s="1771"/>
      <c r="M192" s="1771"/>
      <c r="N192" s="1771"/>
      <c r="O192" s="1771"/>
      <c r="P192" s="1771"/>
      <c r="Q192" s="1771"/>
      <c r="R192" s="1771"/>
      <c r="S192" s="1771"/>
      <c r="T192" s="1771"/>
      <c r="U192" s="1771"/>
      <c r="V192" s="1771"/>
      <c r="W192" s="1771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N192" s="30"/>
      <c r="AO192" s="30"/>
      <c r="AP192" s="30"/>
      <c r="AQ192" s="30"/>
      <c r="AR192" s="30"/>
      <c r="AS192" s="30"/>
      <c r="AT192" s="30"/>
      <c r="AW192" s="30"/>
    </row>
    <row r="193" spans="1:51" s="6" customFormat="1" ht="13.8">
      <c r="A193" s="1768"/>
      <c r="B193" s="1769">
        <v>45059</v>
      </c>
      <c r="C193" s="1769"/>
      <c r="D193" s="1770" t="s">
        <v>1356</v>
      </c>
      <c r="E193" s="1775">
        <f t="shared" si="26"/>
        <v>500</v>
      </c>
      <c r="F193" s="1771"/>
      <c r="G193" s="1771"/>
      <c r="H193" s="1771"/>
      <c r="I193" s="1771"/>
      <c r="J193" s="1771"/>
      <c r="K193" s="1771"/>
      <c r="L193" s="1771"/>
      <c r="M193" s="1771"/>
      <c r="N193" s="1771"/>
      <c r="O193" s="1771"/>
      <c r="P193" s="1771"/>
      <c r="Q193" s="1771"/>
      <c r="R193" s="1771">
        <v>500</v>
      </c>
      <c r="S193" s="1771"/>
      <c r="T193" s="1771"/>
      <c r="U193" s="1771"/>
      <c r="V193" s="1771"/>
      <c r="W193" s="1771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N193" s="30"/>
      <c r="AO193" s="30"/>
      <c r="AP193" s="30"/>
      <c r="AQ193" s="30"/>
      <c r="AR193" s="30"/>
      <c r="AS193" s="30"/>
      <c r="AT193" s="30"/>
      <c r="AW193" s="30"/>
    </row>
    <row r="194" spans="1:51" s="6" customFormat="1" ht="13.8">
      <c r="A194" s="1768"/>
      <c r="B194" s="1769">
        <v>45072</v>
      </c>
      <c r="C194" s="1769"/>
      <c r="D194" s="1770" t="s">
        <v>23</v>
      </c>
      <c r="E194" s="1775">
        <f t="shared" si="26"/>
        <v>150</v>
      </c>
      <c r="F194" s="1771"/>
      <c r="G194" s="1771"/>
      <c r="H194" s="1771"/>
      <c r="I194" s="1771"/>
      <c r="J194" s="1771"/>
      <c r="K194" s="1771"/>
      <c r="L194" s="1771"/>
      <c r="M194" s="1771"/>
      <c r="N194" s="1771"/>
      <c r="O194" s="1771"/>
      <c r="P194" s="1771"/>
      <c r="Q194" s="1771">
        <v>150</v>
      </c>
      <c r="R194" s="1771"/>
      <c r="S194" s="1771"/>
      <c r="T194" s="1771"/>
      <c r="U194" s="1771"/>
      <c r="V194" s="1771"/>
      <c r="W194" s="1771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N194" s="30"/>
      <c r="AO194" s="30"/>
      <c r="AP194" s="30"/>
      <c r="AQ194" s="30"/>
      <c r="AR194" s="30"/>
      <c r="AS194" s="30"/>
      <c r="AT194" s="30"/>
      <c r="AW194" s="30"/>
    </row>
    <row r="195" spans="1:51" s="6" customFormat="1" ht="13.8">
      <c r="A195" s="1768"/>
      <c r="B195" s="1769"/>
      <c r="C195" s="1769"/>
      <c r="D195" s="1770" t="s">
        <v>124</v>
      </c>
      <c r="E195" s="1775">
        <f t="shared" si="26"/>
        <v>232.9</v>
      </c>
      <c r="F195" s="1771"/>
      <c r="G195" s="1771"/>
      <c r="H195" s="1771"/>
      <c r="I195" s="1771">
        <v>232.9</v>
      </c>
      <c r="J195" s="1771"/>
      <c r="K195" s="1771"/>
      <c r="L195" s="1771"/>
      <c r="M195" s="1771"/>
      <c r="N195" s="1771"/>
      <c r="O195" s="1771"/>
      <c r="P195" s="1771"/>
      <c r="Q195" s="1771"/>
      <c r="R195" s="1771"/>
      <c r="S195" s="1771"/>
      <c r="T195" s="1771"/>
      <c r="U195" s="1771"/>
      <c r="V195" s="1771"/>
      <c r="W195" s="1771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N195" s="30"/>
      <c r="AO195" s="30"/>
      <c r="AP195" s="30"/>
      <c r="AQ195" s="30"/>
      <c r="AR195" s="30"/>
      <c r="AS195" s="30"/>
      <c r="AT195" s="30"/>
      <c r="AW195" s="30"/>
    </row>
    <row r="196" spans="1:51" s="6" customFormat="1" ht="13.8">
      <c r="A196" s="1768"/>
      <c r="B196" s="1769"/>
      <c r="C196" s="1769"/>
      <c r="D196" s="1770" t="s">
        <v>42</v>
      </c>
      <c r="E196" s="1775">
        <f t="shared" si="26"/>
        <v>1056</v>
      </c>
      <c r="F196" s="1771"/>
      <c r="G196" s="1771"/>
      <c r="H196" s="1771">
        <v>914</v>
      </c>
      <c r="I196" s="1771"/>
      <c r="J196" s="1771"/>
      <c r="K196" s="1771"/>
      <c r="L196" s="1771">
        <v>142</v>
      </c>
      <c r="M196" s="1771"/>
      <c r="N196" s="1771"/>
      <c r="O196" s="1771"/>
      <c r="P196" s="1771"/>
      <c r="Q196" s="1771"/>
      <c r="R196" s="1771"/>
      <c r="S196" s="1771"/>
      <c r="T196" s="1771"/>
      <c r="U196" s="1771"/>
      <c r="V196" s="1771"/>
      <c r="W196" s="1771"/>
    </row>
    <row r="197" spans="1:51" s="6" customFormat="1" ht="13.8">
      <c r="A197" s="1768"/>
      <c r="B197" s="1769"/>
      <c r="C197" s="1769"/>
      <c r="D197" s="1770" t="s">
        <v>41</v>
      </c>
      <c r="E197" s="1775">
        <f t="shared" si="26"/>
        <v>156</v>
      </c>
      <c r="F197" s="1771"/>
      <c r="G197" s="1771"/>
      <c r="H197" s="1771">
        <v>156</v>
      </c>
      <c r="I197" s="1771"/>
      <c r="J197" s="1771"/>
      <c r="K197" s="1771"/>
      <c r="L197" s="1771"/>
      <c r="M197" s="1771"/>
      <c r="N197" s="1771"/>
      <c r="O197" s="1771"/>
      <c r="P197" s="1771"/>
      <c r="Q197" s="1771"/>
      <c r="R197" s="1771"/>
      <c r="S197" s="1771"/>
      <c r="T197" s="1771"/>
      <c r="U197" s="1771"/>
      <c r="V197" s="1771"/>
      <c r="W197" s="1771"/>
    </row>
    <row r="198" spans="1:51" s="6" customFormat="1" ht="13.8">
      <c r="A198" s="1768"/>
      <c r="B198" s="1769"/>
      <c r="C198" s="1769"/>
      <c r="D198" s="1770" t="s">
        <v>1348</v>
      </c>
      <c r="E198" s="1775">
        <f t="shared" si="26"/>
        <v>377</v>
      </c>
      <c r="F198" s="1771"/>
      <c r="G198" s="1771"/>
      <c r="H198" s="1771">
        <v>28</v>
      </c>
      <c r="I198" s="1771"/>
      <c r="J198" s="1771"/>
      <c r="K198" s="1771"/>
      <c r="L198" s="1771">
        <v>349</v>
      </c>
      <c r="M198" s="1771"/>
      <c r="N198" s="1771"/>
      <c r="O198" s="1771"/>
      <c r="P198" s="1771"/>
      <c r="Q198" s="1771"/>
      <c r="R198" s="1771"/>
      <c r="S198" s="1771"/>
      <c r="T198" s="1771"/>
      <c r="U198" s="1771"/>
      <c r="V198" s="1771"/>
      <c r="W198" s="1771"/>
    </row>
    <row r="199" spans="1:51" s="6" customFormat="1" ht="13.8">
      <c r="A199" s="1768"/>
      <c r="B199" s="1769"/>
      <c r="C199" s="1769"/>
      <c r="D199" s="1770" t="s">
        <v>39</v>
      </c>
      <c r="E199" s="1775">
        <f t="shared" si="26"/>
        <v>125</v>
      </c>
      <c r="F199" s="1771"/>
      <c r="G199" s="1771"/>
      <c r="H199" s="1771">
        <v>125</v>
      </c>
      <c r="I199" s="1771"/>
      <c r="J199" s="1771"/>
      <c r="K199" s="1771"/>
      <c r="L199" s="1771"/>
      <c r="M199" s="1771"/>
      <c r="N199" s="1771"/>
      <c r="O199" s="1771"/>
      <c r="P199" s="1771"/>
      <c r="Q199" s="1771"/>
      <c r="R199" s="1771"/>
      <c r="S199" s="1771"/>
      <c r="T199" s="1771"/>
      <c r="U199" s="1771"/>
      <c r="V199" s="1771"/>
      <c r="W199" s="1771"/>
      <c r="X199" s="30"/>
      <c r="AO199" s="30"/>
      <c r="AP199" s="30"/>
      <c r="AQ199" s="30"/>
      <c r="AR199" s="30"/>
      <c r="AS199" s="30"/>
      <c r="AT199" s="30"/>
      <c r="AW199" s="30"/>
    </row>
    <row r="200" spans="1:51" s="6" customFormat="1" ht="13.8">
      <c r="A200" s="1768"/>
      <c r="B200" s="1769"/>
      <c r="C200" s="1769"/>
      <c r="D200" s="1770" t="s">
        <v>1485</v>
      </c>
      <c r="E200" s="1775">
        <f t="shared" si="26"/>
        <v>1529</v>
      </c>
      <c r="F200" s="1771"/>
      <c r="G200" s="1771"/>
      <c r="H200" s="1771">
        <v>749</v>
      </c>
      <c r="I200" s="1771"/>
      <c r="J200" s="1771"/>
      <c r="K200" s="1771">
        <v>610</v>
      </c>
      <c r="L200" s="1771">
        <v>170</v>
      </c>
      <c r="M200" s="1771"/>
      <c r="N200" s="1771"/>
      <c r="O200" s="1771"/>
      <c r="P200" s="1771"/>
      <c r="Q200" s="1771"/>
      <c r="R200" s="1771"/>
      <c r="S200" s="1771"/>
      <c r="T200" s="1771"/>
      <c r="U200" s="1771"/>
      <c r="V200" s="1771"/>
      <c r="W200" s="1771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N200" s="30"/>
      <c r="AO200" s="30"/>
      <c r="AP200" s="30"/>
      <c r="AQ200" s="30"/>
      <c r="AR200" s="30"/>
      <c r="AS200" s="30"/>
      <c r="AT200" s="30"/>
      <c r="AW200" s="30"/>
    </row>
    <row r="201" spans="1:51" s="6" customFormat="1" ht="13.8">
      <c r="A201" s="1768"/>
      <c r="B201" s="1769"/>
      <c r="C201" s="1769"/>
      <c r="D201" s="1770" t="s">
        <v>37</v>
      </c>
      <c r="E201" s="1775">
        <f t="shared" si="26"/>
        <v>2162</v>
      </c>
      <c r="F201" s="1771"/>
      <c r="G201" s="1771">
        <v>1425</v>
      </c>
      <c r="H201" s="1771"/>
      <c r="I201" s="1771"/>
      <c r="J201" s="1771"/>
      <c r="K201" s="1771"/>
      <c r="L201" s="1771">
        <v>8</v>
      </c>
      <c r="M201" s="1771"/>
      <c r="N201" s="1771"/>
      <c r="O201" s="1771">
        <v>729</v>
      </c>
      <c r="P201" s="1771"/>
      <c r="Q201" s="1771"/>
      <c r="R201" s="1771"/>
      <c r="S201" s="1771"/>
      <c r="T201" s="1771"/>
      <c r="U201" s="1771"/>
      <c r="V201" s="1771"/>
      <c r="W201" s="1771"/>
      <c r="AO201" s="12"/>
      <c r="AP201" s="12"/>
      <c r="AQ201" s="12"/>
      <c r="AR201" s="12"/>
      <c r="AS201" s="12"/>
      <c r="AT201" s="30"/>
      <c r="AW201" s="12"/>
    </row>
    <row r="202" spans="1:51" s="26" customFormat="1" ht="12" customHeight="1">
      <c r="A202" s="29"/>
      <c r="B202" s="2889" t="str">
        <f>H7</f>
        <v>Maj</v>
      </c>
      <c r="C202" s="1013">
        <v>45046</v>
      </c>
      <c r="D202" s="2895" t="s">
        <v>36</v>
      </c>
      <c r="E202" s="2897">
        <f t="shared" ref="E202:W202" si="27">SUM(E203:E203)</f>
        <v>0</v>
      </c>
      <c r="F202" s="2897">
        <f t="shared" si="27"/>
        <v>0</v>
      </c>
      <c r="G202" s="2897">
        <f t="shared" si="27"/>
        <v>0</v>
      </c>
      <c r="H202" s="2897">
        <f t="shared" si="27"/>
        <v>0</v>
      </c>
      <c r="I202" s="2897">
        <f t="shared" si="27"/>
        <v>0</v>
      </c>
      <c r="J202" s="2897">
        <f t="shared" si="27"/>
        <v>0</v>
      </c>
      <c r="K202" s="2897">
        <f t="shared" si="27"/>
        <v>0</v>
      </c>
      <c r="L202" s="2897">
        <f t="shared" si="27"/>
        <v>0</v>
      </c>
      <c r="M202" s="2897">
        <f t="shared" si="27"/>
        <v>0</v>
      </c>
      <c r="N202" s="2897">
        <f t="shared" si="27"/>
        <v>0</v>
      </c>
      <c r="O202" s="2897">
        <f t="shared" si="27"/>
        <v>0</v>
      </c>
      <c r="P202" s="2897">
        <f t="shared" si="27"/>
        <v>0</v>
      </c>
      <c r="Q202" s="2897">
        <f t="shared" si="27"/>
        <v>0</v>
      </c>
      <c r="R202" s="2897">
        <f t="shared" si="27"/>
        <v>0</v>
      </c>
      <c r="S202" s="2897">
        <f t="shared" si="27"/>
        <v>0</v>
      </c>
      <c r="T202" s="2897">
        <f t="shared" si="27"/>
        <v>0</v>
      </c>
      <c r="U202" s="2897">
        <f t="shared" si="27"/>
        <v>0</v>
      </c>
      <c r="V202" s="2897">
        <f t="shared" si="27"/>
        <v>0</v>
      </c>
      <c r="W202" s="2897">
        <f t="shared" si="27"/>
        <v>0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9"/>
      <c r="AV202" s="9"/>
      <c r="AW202" s="10"/>
      <c r="AX202" s="9"/>
      <c r="AY202" s="9"/>
    </row>
    <row r="203" spans="1:51" s="26" customFormat="1" ht="12" customHeight="1">
      <c r="A203" s="29"/>
      <c r="B203" s="2890"/>
      <c r="C203" s="1014"/>
      <c r="D203" s="2896"/>
      <c r="E203" s="2898"/>
      <c r="F203" s="2898"/>
      <c r="G203" s="2898"/>
      <c r="H203" s="2898"/>
      <c r="I203" s="2898"/>
      <c r="J203" s="2898"/>
      <c r="K203" s="2898"/>
      <c r="L203" s="2898"/>
      <c r="M203" s="2898"/>
      <c r="N203" s="2898"/>
      <c r="O203" s="2898"/>
      <c r="P203" s="2898"/>
      <c r="Q203" s="2898"/>
      <c r="R203" s="2898"/>
      <c r="S203" s="2898"/>
      <c r="T203" s="2898"/>
      <c r="U203" s="2898"/>
      <c r="V203" s="2898"/>
      <c r="W203" s="2898"/>
      <c r="X203" s="995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9"/>
      <c r="AV203" s="9"/>
      <c r="AW203" s="10"/>
      <c r="AX203" s="9"/>
      <c r="AY203" s="9"/>
    </row>
    <row r="204" spans="1:51" s="1005" customFormat="1" ht="12" customHeight="1">
      <c r="A204" s="1002"/>
      <c r="B204" s="1009"/>
      <c r="C204" s="2893" t="s">
        <v>1120</v>
      </c>
      <c r="D204" s="2894"/>
      <c r="E204" s="1723">
        <f t="shared" ref="E204:W204" si="28">SUM(E205:E206)</f>
        <v>0</v>
      </c>
      <c r="F204" s="1012">
        <f t="shared" si="28"/>
        <v>0</v>
      </c>
      <c r="G204" s="1012">
        <f t="shared" si="28"/>
        <v>0</v>
      </c>
      <c r="H204" s="1012">
        <f t="shared" si="28"/>
        <v>0</v>
      </c>
      <c r="I204" s="1012">
        <f t="shared" si="28"/>
        <v>0</v>
      </c>
      <c r="J204" s="1012">
        <f t="shared" si="28"/>
        <v>0</v>
      </c>
      <c r="K204" s="1012">
        <f t="shared" si="28"/>
        <v>0</v>
      </c>
      <c r="L204" s="1012">
        <f t="shared" si="28"/>
        <v>0</v>
      </c>
      <c r="M204" s="1012">
        <f t="shared" si="28"/>
        <v>0</v>
      </c>
      <c r="N204" s="1012">
        <f t="shared" si="28"/>
        <v>0</v>
      </c>
      <c r="O204" s="1012">
        <f t="shared" si="28"/>
        <v>0</v>
      </c>
      <c r="P204" s="1012">
        <f t="shared" si="28"/>
        <v>0</v>
      </c>
      <c r="Q204" s="1012">
        <f t="shared" si="28"/>
        <v>0</v>
      </c>
      <c r="R204" s="1012">
        <f t="shared" si="28"/>
        <v>0</v>
      </c>
      <c r="S204" s="1012">
        <f t="shared" si="28"/>
        <v>0</v>
      </c>
      <c r="T204" s="1012">
        <f t="shared" si="28"/>
        <v>0</v>
      </c>
      <c r="U204" s="1012">
        <f t="shared" si="28"/>
        <v>0</v>
      </c>
      <c r="V204" s="1012">
        <f t="shared" si="28"/>
        <v>0</v>
      </c>
      <c r="W204" s="1012">
        <f t="shared" si="28"/>
        <v>0</v>
      </c>
      <c r="X204" s="90"/>
      <c r="Y204" s="1003"/>
      <c r="Z204" s="1003"/>
      <c r="AA204" s="1003"/>
      <c r="AB204" s="1003"/>
      <c r="AC204" s="1003"/>
      <c r="AD204" s="1003"/>
      <c r="AE204" s="1003"/>
      <c r="AF204" s="1003"/>
      <c r="AG204" s="1003"/>
      <c r="AH204" s="1003"/>
      <c r="AI204" s="1004"/>
      <c r="AJ204" s="1004"/>
      <c r="AK204" s="1004"/>
      <c r="AL204" s="1004"/>
      <c r="AM204" s="1003"/>
      <c r="AN204" s="1003"/>
      <c r="AO204" s="1003"/>
      <c r="AP204" s="1003"/>
      <c r="AQ204" s="1003"/>
      <c r="AR204" s="1003"/>
      <c r="AS204" s="1003"/>
      <c r="AT204" s="1003"/>
      <c r="AU204" s="1003"/>
      <c r="AV204" s="1003"/>
      <c r="AW204" s="1003"/>
    </row>
    <row r="205" spans="1:51" s="6" customFormat="1" ht="13.8">
      <c r="A205" s="1768"/>
      <c r="B205" s="1776"/>
      <c r="C205" s="1776"/>
      <c r="D205" s="1777" t="s">
        <v>15</v>
      </c>
      <c r="E205" s="1774">
        <f>SUM(F205:W205)</f>
        <v>0</v>
      </c>
      <c r="F205" s="1778"/>
      <c r="G205" s="1778"/>
      <c r="H205" s="1778"/>
      <c r="I205" s="1778"/>
      <c r="J205" s="1778"/>
      <c r="K205" s="1778"/>
      <c r="L205" s="1778"/>
      <c r="M205" s="1778"/>
      <c r="N205" s="1778"/>
      <c r="O205" s="1778"/>
      <c r="P205" s="1778"/>
      <c r="Q205" s="1778"/>
      <c r="R205" s="1778"/>
      <c r="S205" s="1778"/>
      <c r="T205" s="1778"/>
      <c r="U205" s="1778"/>
      <c r="V205" s="1778"/>
      <c r="W205" s="1778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N205" s="30"/>
      <c r="AO205" s="30"/>
      <c r="AP205" s="30"/>
      <c r="AQ205" s="30"/>
      <c r="AR205" s="30"/>
      <c r="AS205" s="30"/>
      <c r="AT205" s="30"/>
      <c r="AW205" s="30"/>
    </row>
    <row r="206" spans="1:51" s="6" customFormat="1" ht="13.8">
      <c r="A206" s="1768"/>
      <c r="B206" s="1776"/>
      <c r="C206" s="1776"/>
      <c r="D206" s="1777" t="s">
        <v>14</v>
      </c>
      <c r="E206" s="1774">
        <f>SUM(F206:W206)</f>
        <v>0</v>
      </c>
      <c r="F206" s="1778"/>
      <c r="G206" s="1778"/>
      <c r="H206" s="1778"/>
      <c r="I206" s="1778"/>
      <c r="J206" s="1778"/>
      <c r="K206" s="1778">
        <v>0</v>
      </c>
      <c r="L206" s="1778"/>
      <c r="M206" s="1778"/>
      <c r="N206" s="1778"/>
      <c r="O206" s="1778"/>
      <c r="P206" s="1778"/>
      <c r="Q206" s="1778"/>
      <c r="R206" s="1778"/>
      <c r="S206" s="1778"/>
      <c r="T206" s="1778"/>
      <c r="U206" s="1778"/>
      <c r="V206" s="1778"/>
      <c r="W206" s="1778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N206" s="30"/>
      <c r="AO206" s="30"/>
      <c r="AP206" s="30"/>
      <c r="AQ206" s="30"/>
      <c r="AR206" s="30"/>
      <c r="AS206" s="30"/>
      <c r="AT206" s="30"/>
      <c r="AW206" s="30"/>
    </row>
    <row r="207" spans="1:51" s="35" customFormat="1" ht="13.5" customHeight="1">
      <c r="A207" s="39"/>
      <c r="B207" s="979" t="str">
        <f>I7</f>
        <v>Juni</v>
      </c>
      <c r="C207" s="980">
        <v>44713</v>
      </c>
      <c r="D207" s="981"/>
      <c r="E207" s="1724">
        <f t="shared" ref="E207:U207" si="29">SUM(E208:E233)</f>
        <v>-772.75000000000091</v>
      </c>
      <c r="F207" s="982">
        <f t="shared" si="29"/>
        <v>329</v>
      </c>
      <c r="G207" s="982">
        <f>SUM(G208:G233)</f>
        <v>7053.8</v>
      </c>
      <c r="H207" s="982">
        <f t="shared" si="29"/>
        <v>794</v>
      </c>
      <c r="I207" s="982">
        <f t="shared" si="29"/>
        <v>0</v>
      </c>
      <c r="J207" s="982">
        <f t="shared" si="29"/>
        <v>9.0500000000000007</v>
      </c>
      <c r="K207" s="982">
        <f t="shared" si="29"/>
        <v>620</v>
      </c>
      <c r="L207" s="982">
        <f t="shared" si="29"/>
        <v>43</v>
      </c>
      <c r="M207" s="982">
        <f t="shared" si="29"/>
        <v>4068</v>
      </c>
      <c r="N207" s="982">
        <f t="shared" si="29"/>
        <v>944</v>
      </c>
      <c r="O207" s="982">
        <f t="shared" si="29"/>
        <v>3122.66</v>
      </c>
      <c r="P207" s="982">
        <f t="shared" si="29"/>
        <v>1360.75</v>
      </c>
      <c r="Q207" s="982">
        <f t="shared" si="29"/>
        <v>165</v>
      </c>
      <c r="R207" s="982">
        <f t="shared" si="29"/>
        <v>0</v>
      </c>
      <c r="S207" s="982">
        <f t="shared" si="29"/>
        <v>0</v>
      </c>
      <c r="T207" s="982">
        <f t="shared" si="29"/>
        <v>359</v>
      </c>
      <c r="U207" s="982">
        <f t="shared" si="29"/>
        <v>0</v>
      </c>
      <c r="V207" s="982"/>
      <c r="W207" s="982"/>
      <c r="X207" s="10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2"/>
      <c r="AP207" s="12"/>
      <c r="AQ207" s="12"/>
      <c r="AR207" s="12"/>
      <c r="AW207" s="12"/>
    </row>
    <row r="208" spans="1:51" s="6" customFormat="1" ht="13.8">
      <c r="A208" s="1768"/>
      <c r="B208" s="1769">
        <v>45077</v>
      </c>
      <c r="C208" s="1769" t="s">
        <v>17</v>
      </c>
      <c r="D208" s="1770" t="s">
        <v>35</v>
      </c>
      <c r="E208" s="1775">
        <f>$AE$12</f>
        <v>-11843</v>
      </c>
      <c r="F208" s="1771"/>
      <c r="G208" s="1771"/>
      <c r="H208" s="1771"/>
      <c r="I208" s="1771"/>
      <c r="J208" s="1771"/>
      <c r="K208" s="1771"/>
      <c r="L208" s="1771"/>
      <c r="M208" s="1771"/>
      <c r="N208" s="1771"/>
      <c r="O208" s="1771"/>
      <c r="P208" s="1771"/>
      <c r="Q208" s="1771"/>
      <c r="R208" s="1771"/>
      <c r="S208" s="1771"/>
      <c r="T208" s="1771"/>
      <c r="U208" s="1771"/>
      <c r="V208" s="1771"/>
      <c r="W208" s="1771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N208" s="30"/>
      <c r="AO208" s="30"/>
      <c r="AP208" s="30"/>
      <c r="AQ208" s="30"/>
      <c r="AR208" s="30"/>
      <c r="AS208" s="30"/>
      <c r="AT208" s="30"/>
      <c r="AW208" s="30"/>
    </row>
    <row r="209" spans="1:49" s="6" customFormat="1" ht="13.8">
      <c r="A209" s="1768"/>
      <c r="B209" s="1769">
        <v>45077</v>
      </c>
      <c r="C209" s="1769" t="s">
        <v>17</v>
      </c>
      <c r="D209" s="1770" t="s">
        <v>34</v>
      </c>
      <c r="E209" s="1775">
        <f>$AF$12</f>
        <v>-8159</v>
      </c>
      <c r="F209" s="1771"/>
      <c r="G209" s="1771"/>
      <c r="H209" s="1771"/>
      <c r="I209" s="1771"/>
      <c r="J209" s="1771"/>
      <c r="K209" s="1771"/>
      <c r="L209" s="1771"/>
      <c r="M209" s="1771"/>
      <c r="N209" s="1771"/>
      <c r="O209" s="1771"/>
      <c r="P209" s="1771"/>
      <c r="Q209" s="1771"/>
      <c r="R209" s="1771"/>
      <c r="S209" s="1771"/>
      <c r="T209" s="1771"/>
      <c r="U209" s="1771"/>
      <c r="V209" s="1771"/>
      <c r="W209" s="1771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N209" s="30"/>
      <c r="AO209" s="30"/>
      <c r="AP209" s="30"/>
      <c r="AQ209" s="30"/>
      <c r="AR209" s="30"/>
      <c r="AS209" s="30"/>
      <c r="AT209" s="30"/>
      <c r="AW209" s="30"/>
    </row>
    <row r="210" spans="1:49" s="6" customFormat="1" ht="13.8">
      <c r="A210" s="1768"/>
      <c r="B210" s="1769">
        <v>45077</v>
      </c>
      <c r="C210" s="1769" t="s">
        <v>17</v>
      </c>
      <c r="D210" s="1770" t="s">
        <v>33</v>
      </c>
      <c r="E210" s="1775">
        <f>$AG$12</f>
        <v>-213</v>
      </c>
      <c r="F210" s="1771"/>
      <c r="G210" s="1771"/>
      <c r="H210" s="1771"/>
      <c r="I210" s="1771"/>
      <c r="J210" s="1771"/>
      <c r="K210" s="1771"/>
      <c r="L210" s="1771"/>
      <c r="M210" s="1771"/>
      <c r="N210" s="1771"/>
      <c r="O210" s="1771"/>
      <c r="P210" s="1771"/>
      <c r="Q210" s="1771"/>
      <c r="R210" s="1771"/>
      <c r="S210" s="1771"/>
      <c r="T210" s="1771"/>
      <c r="U210" s="1771"/>
      <c r="V210" s="1771"/>
      <c r="W210" s="1771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N210" s="30"/>
      <c r="AO210" s="30"/>
      <c r="AP210" s="30"/>
      <c r="AQ210" s="30"/>
      <c r="AR210" s="30"/>
      <c r="AS210" s="30"/>
      <c r="AT210" s="30"/>
      <c r="AW210" s="30"/>
    </row>
    <row r="211" spans="1:49" s="6" customFormat="1" ht="13.8">
      <c r="A211" s="1768"/>
      <c r="B211" s="1769">
        <v>45078</v>
      </c>
      <c r="C211" s="1769" t="s">
        <v>17</v>
      </c>
      <c r="D211" s="1770" t="s">
        <v>29</v>
      </c>
      <c r="E211" s="1775">
        <f>SUM(F211:W211)</f>
        <v>69</v>
      </c>
      <c r="F211" s="1771">
        <v>69</v>
      </c>
      <c r="G211" s="1771"/>
      <c r="H211" s="1771"/>
      <c r="I211" s="1771"/>
      <c r="J211" s="1771"/>
      <c r="K211" s="1771"/>
      <c r="L211" s="1771"/>
      <c r="M211" s="1771"/>
      <c r="N211" s="1771"/>
      <c r="O211" s="1771"/>
      <c r="P211" s="1771"/>
      <c r="Q211" s="1771"/>
      <c r="R211" s="1771"/>
      <c r="S211" s="1771"/>
      <c r="T211" s="1771"/>
      <c r="U211" s="1771"/>
      <c r="V211" s="1771"/>
      <c r="W211" s="1771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N211" s="30"/>
      <c r="AO211" s="30"/>
      <c r="AP211" s="30"/>
      <c r="AQ211" s="30"/>
      <c r="AR211" s="30"/>
      <c r="AS211" s="30"/>
      <c r="AT211" s="30"/>
      <c r="AW211" s="30"/>
    </row>
    <row r="212" spans="1:49" s="6" customFormat="1" ht="13.8">
      <c r="A212" s="1768"/>
      <c r="B212" s="1769">
        <v>45077</v>
      </c>
      <c r="C212" s="1769" t="s">
        <v>17</v>
      </c>
      <c r="D212" s="1770" t="s">
        <v>1466</v>
      </c>
      <c r="E212" s="1775">
        <v>778</v>
      </c>
      <c r="F212" s="1771"/>
      <c r="G212" s="1771">
        <v>439</v>
      </c>
      <c r="H212" s="1771"/>
      <c r="I212" s="1771"/>
      <c r="J212" s="1771"/>
      <c r="K212" s="1771"/>
      <c r="L212" s="1771"/>
      <c r="M212" s="1771"/>
      <c r="N212" s="1771"/>
      <c r="O212" s="1771"/>
      <c r="P212" s="1771"/>
      <c r="Q212" s="1771"/>
      <c r="R212" s="1771"/>
      <c r="S212" s="1771"/>
      <c r="T212" s="1771">
        <v>359</v>
      </c>
      <c r="U212" s="1771"/>
      <c r="V212" s="1771"/>
      <c r="W212" s="1771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N212" s="30"/>
      <c r="AO212" s="30"/>
      <c r="AP212" s="30"/>
      <c r="AQ212" s="30"/>
      <c r="AR212" s="30"/>
      <c r="AS212" s="30"/>
      <c r="AT212" s="30"/>
      <c r="AW212" s="30"/>
    </row>
    <row r="213" spans="1:49" s="6" customFormat="1" ht="13.8">
      <c r="A213" s="1768"/>
      <c r="B213" s="1769">
        <v>45078</v>
      </c>
      <c r="C213" s="1769" t="s">
        <v>17</v>
      </c>
      <c r="D213" s="1770" t="s">
        <v>28</v>
      </c>
      <c r="E213" s="1775">
        <f t="shared" ref="E213:E232" si="30">SUM(F213:W213)</f>
        <v>200</v>
      </c>
      <c r="F213" s="1771">
        <v>200</v>
      </c>
      <c r="G213" s="1771"/>
      <c r="H213" s="1771"/>
      <c r="I213" s="1771"/>
      <c r="J213" s="1771"/>
      <c r="K213" s="1771"/>
      <c r="L213" s="1771"/>
      <c r="M213" s="1771"/>
      <c r="N213" s="1771"/>
      <c r="O213" s="1771"/>
      <c r="P213" s="1771"/>
      <c r="Q213" s="1771"/>
      <c r="R213" s="1771"/>
      <c r="S213" s="1771"/>
      <c r="T213" s="1771"/>
      <c r="U213" s="1771"/>
      <c r="V213" s="1771"/>
      <c r="W213" s="1771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N213" s="30"/>
      <c r="AO213" s="30"/>
      <c r="AP213" s="30"/>
      <c r="AQ213" s="30"/>
      <c r="AR213" s="30"/>
      <c r="AS213" s="30"/>
      <c r="AT213" s="30"/>
      <c r="AW213" s="30"/>
    </row>
    <row r="214" spans="1:49" s="6" customFormat="1" ht="13.8">
      <c r="A214" s="1768"/>
      <c r="B214" s="1769">
        <v>45078</v>
      </c>
      <c r="C214" s="1769" t="s">
        <v>572</v>
      </c>
      <c r="D214" s="1770" t="s">
        <v>25</v>
      </c>
      <c r="E214" s="1775">
        <f t="shared" si="30"/>
        <v>760.75</v>
      </c>
      <c r="F214" s="1771"/>
      <c r="G214" s="1771"/>
      <c r="H214" s="1771"/>
      <c r="I214" s="1771"/>
      <c r="J214" s="1771"/>
      <c r="K214" s="1771"/>
      <c r="L214" s="1771"/>
      <c r="M214" s="1771"/>
      <c r="N214" s="1771"/>
      <c r="O214" s="1771">
        <v>760.75</v>
      </c>
      <c r="P214" s="1771"/>
      <c r="Q214" s="1771"/>
      <c r="R214" s="1771"/>
      <c r="S214" s="1771"/>
      <c r="T214" s="1771"/>
      <c r="U214" s="1771"/>
      <c r="V214" s="1771"/>
      <c r="W214" s="1771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N214" s="30"/>
      <c r="AO214" s="30"/>
      <c r="AP214" s="30"/>
      <c r="AQ214" s="30"/>
      <c r="AR214" s="30"/>
      <c r="AS214" s="30"/>
      <c r="AT214" s="30"/>
      <c r="AW214" s="30"/>
    </row>
    <row r="215" spans="1:49" s="6" customFormat="1" ht="13.8">
      <c r="A215" s="1768"/>
      <c r="B215" s="1769">
        <v>45075</v>
      </c>
      <c r="C215" s="1769" t="s">
        <v>17</v>
      </c>
      <c r="D215" s="1770" t="s">
        <v>1360</v>
      </c>
      <c r="E215" s="1775">
        <f t="shared" si="30"/>
        <v>4025.8</v>
      </c>
      <c r="F215" s="1771"/>
      <c r="G215" s="1771">
        <v>4025.8</v>
      </c>
      <c r="H215" s="1771"/>
      <c r="I215" s="1771"/>
      <c r="J215" s="1771"/>
      <c r="K215" s="1771"/>
      <c r="L215" s="1771"/>
      <c r="M215" s="1771"/>
      <c r="N215" s="1771"/>
      <c r="O215" s="1771"/>
      <c r="P215" s="1771"/>
      <c r="Q215" s="1771"/>
      <c r="R215" s="1771"/>
      <c r="S215" s="1771"/>
      <c r="T215" s="1771"/>
      <c r="U215" s="1771"/>
      <c r="V215" s="1771"/>
      <c r="W215" s="1771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N215" s="30"/>
      <c r="AO215" s="30"/>
      <c r="AP215" s="30"/>
      <c r="AQ215" s="30"/>
      <c r="AR215" s="30"/>
      <c r="AS215" s="30"/>
      <c r="AT215" s="30"/>
      <c r="AW215" s="30"/>
    </row>
    <row r="216" spans="1:49" s="6" customFormat="1" ht="13.8">
      <c r="A216" s="1768"/>
      <c r="B216" s="1769">
        <v>45078</v>
      </c>
      <c r="C216" s="1769" t="s">
        <v>572</v>
      </c>
      <c r="D216" s="1770" t="s">
        <v>26</v>
      </c>
      <c r="E216" s="1775">
        <f t="shared" si="30"/>
        <v>593.99</v>
      </c>
      <c r="F216" s="1771"/>
      <c r="G216" s="1771"/>
      <c r="H216" s="1771"/>
      <c r="I216" s="1771"/>
      <c r="J216" s="1771"/>
      <c r="K216" s="1771"/>
      <c r="L216" s="1771"/>
      <c r="M216" s="1771"/>
      <c r="N216" s="1771"/>
      <c r="O216" s="1771"/>
      <c r="P216" s="1771"/>
      <c r="Q216" s="1771"/>
      <c r="R216" s="1771"/>
      <c r="S216" s="1771"/>
      <c r="T216" s="1771"/>
      <c r="U216" s="1771"/>
      <c r="V216" s="1771">
        <v>593.99</v>
      </c>
      <c r="W216" s="1771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N216" s="30"/>
      <c r="AO216" s="30"/>
      <c r="AP216" s="30"/>
      <c r="AQ216" s="30"/>
      <c r="AR216" s="30"/>
      <c r="AS216" s="30"/>
      <c r="AT216" s="30"/>
      <c r="AW216" s="30"/>
    </row>
    <row r="217" spans="1:49" s="6" customFormat="1" ht="13.8">
      <c r="A217" s="1768"/>
      <c r="B217" s="1769">
        <v>45078</v>
      </c>
      <c r="C217" s="1769" t="s">
        <v>572</v>
      </c>
      <c r="D217" s="1770" t="s">
        <v>1352</v>
      </c>
      <c r="E217" s="1775">
        <f t="shared" si="30"/>
        <v>944</v>
      </c>
      <c r="F217" s="1771"/>
      <c r="G217" s="1771"/>
      <c r="H217" s="1771"/>
      <c r="I217" s="1771"/>
      <c r="J217" s="1771"/>
      <c r="K217" s="1771"/>
      <c r="L217" s="1771"/>
      <c r="M217" s="1771"/>
      <c r="N217" s="1771">
        <v>944</v>
      </c>
      <c r="O217" s="1771"/>
      <c r="P217" s="1771"/>
      <c r="Q217" s="1771"/>
      <c r="R217" s="1771"/>
      <c r="S217" s="1771"/>
      <c r="T217" s="1771"/>
      <c r="U217" s="1771"/>
      <c r="V217" s="1771"/>
      <c r="W217" s="1771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N217" s="30"/>
      <c r="AO217" s="30"/>
      <c r="AP217" s="30"/>
      <c r="AQ217" s="30"/>
      <c r="AR217" s="30"/>
      <c r="AS217" s="30"/>
      <c r="AT217" s="30"/>
      <c r="AW217" s="30"/>
    </row>
    <row r="218" spans="1:49" s="6" customFormat="1" ht="13.8">
      <c r="A218" s="1768"/>
      <c r="B218" s="1769">
        <v>45078</v>
      </c>
      <c r="C218" s="1769" t="s">
        <v>572</v>
      </c>
      <c r="D218" s="1770" t="s">
        <v>27</v>
      </c>
      <c r="E218" s="1775">
        <f t="shared" si="30"/>
        <v>647.75</v>
      </c>
      <c r="F218" s="1771"/>
      <c r="G218" s="1771"/>
      <c r="H218" s="1771"/>
      <c r="I218" s="1771"/>
      <c r="J218" s="1771"/>
      <c r="K218" s="1771"/>
      <c r="L218" s="1771"/>
      <c r="M218" s="1771"/>
      <c r="N218" s="1771"/>
      <c r="O218" s="1771"/>
      <c r="P218" s="1771">
        <v>647.75</v>
      </c>
      <c r="Q218" s="1771"/>
      <c r="R218" s="1771"/>
      <c r="S218" s="1771"/>
      <c r="T218" s="1771"/>
      <c r="U218" s="1771"/>
      <c r="V218" s="1771"/>
      <c r="W218" s="1771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N218" s="30"/>
      <c r="AO218" s="30"/>
      <c r="AP218" s="30"/>
      <c r="AQ218" s="30"/>
      <c r="AR218" s="30"/>
      <c r="AS218" s="30"/>
      <c r="AT218" s="30"/>
      <c r="AW218" s="30"/>
    </row>
    <row r="219" spans="1:49" s="6" customFormat="1" ht="13.8">
      <c r="A219" s="1768"/>
      <c r="B219" s="1769">
        <v>45078</v>
      </c>
      <c r="C219" s="1769" t="s">
        <v>17</v>
      </c>
      <c r="D219" s="1770" t="s">
        <v>30</v>
      </c>
      <c r="E219" s="1775">
        <f t="shared" si="30"/>
        <v>4068</v>
      </c>
      <c r="F219" s="1771"/>
      <c r="G219" s="1771"/>
      <c r="H219" s="1771"/>
      <c r="I219" s="1771"/>
      <c r="J219" s="1771"/>
      <c r="K219" s="1771"/>
      <c r="L219" s="1771"/>
      <c r="M219" s="1771">
        <v>4068</v>
      </c>
      <c r="N219" s="1771"/>
      <c r="O219" s="1771"/>
      <c r="P219" s="1771"/>
      <c r="Q219" s="1771"/>
      <c r="R219" s="1771"/>
      <c r="S219" s="1771"/>
      <c r="T219" s="1771"/>
      <c r="U219" s="1771"/>
      <c r="V219" s="1771"/>
      <c r="W219" s="1771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N219" s="30"/>
      <c r="AO219" s="30"/>
      <c r="AP219" s="30"/>
      <c r="AQ219" s="30"/>
      <c r="AR219" s="30"/>
      <c r="AS219" s="30"/>
      <c r="AT219" s="30"/>
      <c r="AW219" s="30"/>
    </row>
    <row r="220" spans="1:49" s="6" customFormat="1" ht="13.8">
      <c r="A220" s="1768"/>
      <c r="B220" s="1769">
        <v>45078</v>
      </c>
      <c r="C220" s="1769" t="s">
        <v>572</v>
      </c>
      <c r="D220" s="1770" t="s">
        <v>125</v>
      </c>
      <c r="E220" s="1775">
        <f t="shared" si="30"/>
        <v>45</v>
      </c>
      <c r="F220" s="1771"/>
      <c r="G220" s="1771"/>
      <c r="H220" s="1771"/>
      <c r="I220" s="1771"/>
      <c r="J220" s="1771"/>
      <c r="K220" s="1771"/>
      <c r="L220" s="1771"/>
      <c r="M220" s="1771"/>
      <c r="N220" s="1771"/>
      <c r="O220" s="1771"/>
      <c r="P220" s="1771"/>
      <c r="Q220" s="1771">
        <v>45</v>
      </c>
      <c r="R220" s="1771"/>
      <c r="S220" s="1771"/>
      <c r="T220" s="1771"/>
      <c r="U220" s="1771"/>
      <c r="V220" s="1771"/>
      <c r="W220" s="1771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N220" s="30"/>
      <c r="AO220" s="30"/>
      <c r="AP220" s="30"/>
      <c r="AQ220" s="30"/>
      <c r="AR220" s="30"/>
      <c r="AS220" s="30"/>
      <c r="AT220" s="30"/>
      <c r="AW220" s="30"/>
    </row>
    <row r="221" spans="1:49" s="6" customFormat="1" ht="13.8">
      <c r="A221" s="1768"/>
      <c r="B221" s="1769">
        <v>45078</v>
      </c>
      <c r="C221" s="1769" t="s">
        <v>17</v>
      </c>
      <c r="D221" s="1770" t="s">
        <v>16</v>
      </c>
      <c r="E221" s="1775">
        <f t="shared" si="30"/>
        <v>800</v>
      </c>
      <c r="F221" s="1771"/>
      <c r="G221" s="1771">
        <v>800</v>
      </c>
      <c r="H221" s="1771"/>
      <c r="I221" s="1771"/>
      <c r="J221" s="1771"/>
      <c r="K221" s="1771"/>
      <c r="L221" s="1771"/>
      <c r="M221" s="1771"/>
      <c r="N221" s="1771"/>
      <c r="O221" s="1771"/>
      <c r="P221" s="1771"/>
      <c r="Q221" s="1771"/>
      <c r="R221" s="1771"/>
      <c r="S221" s="1771"/>
      <c r="T221" s="1771"/>
      <c r="U221" s="1771"/>
      <c r="V221" s="1771"/>
      <c r="W221" s="1771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N221" s="30"/>
      <c r="AO221" s="30"/>
      <c r="AP221" s="30"/>
      <c r="AQ221" s="30"/>
      <c r="AR221" s="30"/>
      <c r="AS221" s="30"/>
      <c r="AT221" s="30"/>
      <c r="AW221" s="30"/>
    </row>
    <row r="222" spans="1:49" s="6" customFormat="1" ht="13.8">
      <c r="A222" s="1768"/>
      <c r="B222" s="1769">
        <v>45078</v>
      </c>
      <c r="C222" s="1769" t="s">
        <v>17</v>
      </c>
      <c r="D222" s="1770" t="s">
        <v>22</v>
      </c>
      <c r="E222" s="1775">
        <f t="shared" si="30"/>
        <v>317</v>
      </c>
      <c r="F222" s="1771"/>
      <c r="G222" s="1771"/>
      <c r="H222" s="1771"/>
      <c r="I222" s="1771"/>
      <c r="J222" s="1771"/>
      <c r="K222" s="1771"/>
      <c r="L222" s="1771"/>
      <c r="M222" s="1771"/>
      <c r="N222" s="1771"/>
      <c r="O222" s="1771"/>
      <c r="P222" s="1771">
        <v>317</v>
      </c>
      <c r="Q222" s="1771"/>
      <c r="R222" s="1771"/>
      <c r="S222" s="1771"/>
      <c r="T222" s="1771"/>
      <c r="U222" s="1771"/>
      <c r="V222" s="1771"/>
      <c r="W222" s="1771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N222" s="30"/>
      <c r="AO222" s="30"/>
      <c r="AP222" s="30"/>
      <c r="AQ222" s="30"/>
      <c r="AR222" s="30"/>
      <c r="AS222" s="30"/>
      <c r="AT222" s="30"/>
      <c r="AW222" s="30"/>
    </row>
    <row r="223" spans="1:49" s="6" customFormat="1" ht="13.8">
      <c r="A223" s="1768"/>
      <c r="B223" s="1769">
        <v>45080</v>
      </c>
      <c r="C223" s="1769" t="s">
        <v>17</v>
      </c>
      <c r="D223" s="1770" t="s">
        <v>21</v>
      </c>
      <c r="E223" s="1775">
        <f t="shared" si="30"/>
        <v>396</v>
      </c>
      <c r="F223" s="1771"/>
      <c r="G223" s="1771"/>
      <c r="H223" s="1771"/>
      <c r="I223" s="1771"/>
      <c r="J223" s="1771"/>
      <c r="K223" s="1771"/>
      <c r="L223" s="1771"/>
      <c r="M223" s="1771"/>
      <c r="N223" s="1771"/>
      <c r="O223" s="1771"/>
      <c r="P223" s="1771">
        <v>396</v>
      </c>
      <c r="Q223" s="1771"/>
      <c r="R223" s="1771"/>
      <c r="S223" s="1771"/>
      <c r="T223" s="1771"/>
      <c r="U223" s="1771"/>
      <c r="V223" s="1771"/>
      <c r="W223" s="1771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N223" s="30"/>
      <c r="AO223" s="30"/>
      <c r="AP223" s="30"/>
      <c r="AQ223" s="30"/>
      <c r="AR223" s="30"/>
      <c r="AS223" s="30"/>
      <c r="AT223" s="30"/>
      <c r="AW223" s="30"/>
    </row>
    <row r="224" spans="1:49" s="6" customFormat="1" ht="13.8">
      <c r="A224" s="1768"/>
      <c r="B224" s="1769">
        <v>45078</v>
      </c>
      <c r="C224" s="1769" t="s">
        <v>19</v>
      </c>
      <c r="D224" s="1770" t="s">
        <v>23</v>
      </c>
      <c r="E224" s="1775">
        <f t="shared" si="30"/>
        <v>120</v>
      </c>
      <c r="F224" s="1771"/>
      <c r="G224" s="1771"/>
      <c r="H224" s="1771"/>
      <c r="I224" s="1771"/>
      <c r="J224" s="1771"/>
      <c r="K224" s="1771"/>
      <c r="L224" s="1771"/>
      <c r="M224" s="1771"/>
      <c r="N224" s="1771"/>
      <c r="O224" s="1771"/>
      <c r="P224" s="1771"/>
      <c r="Q224" s="1771">
        <v>120</v>
      </c>
      <c r="R224" s="1771"/>
      <c r="S224" s="1771"/>
      <c r="T224" s="1771"/>
      <c r="U224" s="1771"/>
      <c r="V224" s="1771"/>
      <c r="W224" s="1771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N224" s="30"/>
      <c r="AO224" s="30"/>
      <c r="AP224" s="30"/>
      <c r="AQ224" s="30"/>
      <c r="AR224" s="30"/>
      <c r="AS224" s="30"/>
      <c r="AT224" s="30"/>
      <c r="AW224" s="30"/>
    </row>
    <row r="225" spans="1:51" s="6" customFormat="1" ht="13.8">
      <c r="A225" s="1768"/>
      <c r="B225" s="1769">
        <v>45083</v>
      </c>
      <c r="C225" s="1769" t="s">
        <v>17</v>
      </c>
      <c r="D225" s="1770" t="s">
        <v>620</v>
      </c>
      <c r="E225" s="1775">
        <f t="shared" si="30"/>
        <v>291.90999999999997</v>
      </c>
      <c r="F225" s="1771">
        <v>60</v>
      </c>
      <c r="G225" s="1771"/>
      <c r="H225" s="1771"/>
      <c r="I225" s="1771"/>
      <c r="J225" s="1771"/>
      <c r="K225" s="1771"/>
      <c r="L225" s="1771"/>
      <c r="M225" s="1771"/>
      <c r="N225" s="1771"/>
      <c r="O225" s="1771">
        <v>231.91</v>
      </c>
      <c r="P225" s="1771"/>
      <c r="Q225" s="1771"/>
      <c r="R225" s="1771"/>
      <c r="S225" s="1771"/>
      <c r="T225" s="1771"/>
      <c r="U225" s="1771"/>
      <c r="V225" s="1771"/>
      <c r="W225" s="1771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N225" s="30"/>
      <c r="AO225" s="30"/>
      <c r="AP225" s="30"/>
      <c r="AQ225" s="30"/>
      <c r="AR225" s="30"/>
      <c r="AS225" s="30"/>
      <c r="AT225" s="30"/>
      <c r="AW225" s="30"/>
    </row>
    <row r="226" spans="1:51" s="6" customFormat="1" ht="13.8">
      <c r="A226" s="1768"/>
      <c r="B226" s="1769">
        <v>45085</v>
      </c>
      <c r="C226" s="1769"/>
      <c r="D226" s="1770" t="s">
        <v>154</v>
      </c>
      <c r="E226" s="1775">
        <f t="shared" si="30"/>
        <v>2130</v>
      </c>
      <c r="F226" s="1771"/>
      <c r="G226" s="1771"/>
      <c r="H226" s="1771"/>
      <c r="I226" s="1771"/>
      <c r="J226" s="1771"/>
      <c r="K226" s="1771"/>
      <c r="L226" s="1771"/>
      <c r="M226" s="1771"/>
      <c r="N226" s="1771"/>
      <c r="O226" s="1771">
        <v>2130</v>
      </c>
      <c r="P226" s="1771"/>
      <c r="Q226" s="1771"/>
      <c r="R226" s="1771"/>
      <c r="S226" s="1771"/>
      <c r="T226" s="1771"/>
      <c r="U226" s="1771"/>
      <c r="V226" s="1771"/>
      <c r="W226" s="1771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N226" s="30"/>
      <c r="AO226" s="30"/>
      <c r="AP226" s="30"/>
      <c r="AQ226" s="30"/>
      <c r="AR226" s="30"/>
      <c r="AS226" s="30"/>
      <c r="AT226" s="30"/>
      <c r="AW226" s="30"/>
    </row>
    <row r="227" spans="1:51" s="6" customFormat="1" ht="13.8">
      <c r="A227" s="1768"/>
      <c r="B227" s="1769"/>
      <c r="C227" s="1769"/>
      <c r="D227" s="1770" t="s">
        <v>124</v>
      </c>
      <c r="E227" s="1775">
        <f t="shared" si="30"/>
        <v>9.0500000000000007</v>
      </c>
      <c r="F227" s="1771"/>
      <c r="G227" s="1771"/>
      <c r="H227" s="1771"/>
      <c r="I227" s="1771"/>
      <c r="J227" s="1771">
        <v>9.0500000000000007</v>
      </c>
      <c r="K227" s="1771"/>
      <c r="L227" s="1771"/>
      <c r="M227" s="1771"/>
      <c r="N227" s="1771"/>
      <c r="O227" s="1771"/>
      <c r="P227" s="1771"/>
      <c r="Q227" s="1771"/>
      <c r="R227" s="1771"/>
      <c r="S227" s="1771"/>
      <c r="T227" s="1771"/>
      <c r="U227" s="1771"/>
      <c r="V227" s="1771"/>
      <c r="W227" s="1771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N227" s="30"/>
      <c r="AO227" s="30"/>
      <c r="AP227" s="30"/>
      <c r="AQ227" s="30"/>
      <c r="AR227" s="30"/>
      <c r="AS227" s="30"/>
      <c r="AT227" s="30"/>
      <c r="AW227" s="30"/>
    </row>
    <row r="228" spans="1:51" s="6" customFormat="1" ht="13.8">
      <c r="A228" s="1768"/>
      <c r="B228" s="1769"/>
      <c r="C228" s="1769"/>
      <c r="D228" s="1770" t="s">
        <v>42</v>
      </c>
      <c r="E228" s="1775">
        <f t="shared" si="30"/>
        <v>234</v>
      </c>
      <c r="F228" s="1771"/>
      <c r="G228" s="1771"/>
      <c r="H228" s="1771">
        <v>234</v>
      </c>
      <c r="I228" s="1771"/>
      <c r="J228" s="1771"/>
      <c r="K228" s="1771"/>
      <c r="L228" s="1771"/>
      <c r="M228" s="1771"/>
      <c r="N228" s="1771"/>
      <c r="O228" s="1771"/>
      <c r="P228" s="1771"/>
      <c r="Q228" s="1771"/>
      <c r="R228" s="1771"/>
      <c r="S228" s="1771"/>
      <c r="T228" s="1771"/>
      <c r="U228" s="1771"/>
      <c r="V228" s="1771"/>
      <c r="W228" s="1771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N228" s="30"/>
      <c r="AO228" s="30"/>
      <c r="AP228" s="30"/>
      <c r="AQ228" s="30"/>
      <c r="AR228" s="30"/>
      <c r="AS228" s="30"/>
      <c r="AT228" s="30"/>
      <c r="AW228" s="30"/>
    </row>
    <row r="229" spans="1:51" s="6" customFormat="1" ht="13.8">
      <c r="A229" s="1768"/>
      <c r="B229" s="1769"/>
      <c r="C229" s="1769"/>
      <c r="D229" s="1770" t="s">
        <v>41</v>
      </c>
      <c r="E229" s="1775">
        <f t="shared" si="30"/>
        <v>0</v>
      </c>
      <c r="F229" s="1771"/>
      <c r="G229" s="1771"/>
      <c r="H229" s="1771"/>
      <c r="I229" s="1771"/>
      <c r="J229" s="1771"/>
      <c r="K229" s="1771"/>
      <c r="L229" s="1771"/>
      <c r="M229" s="1771"/>
      <c r="N229" s="1771"/>
      <c r="O229" s="1771"/>
      <c r="P229" s="1771"/>
      <c r="Q229" s="1771"/>
      <c r="R229" s="1771"/>
      <c r="S229" s="1771"/>
      <c r="T229" s="1771"/>
      <c r="U229" s="1771"/>
      <c r="V229" s="1771"/>
      <c r="W229" s="1771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N229" s="30"/>
      <c r="AO229" s="30"/>
      <c r="AP229" s="30"/>
      <c r="AQ229" s="30"/>
      <c r="AR229" s="30"/>
      <c r="AS229" s="30"/>
      <c r="AT229" s="30"/>
      <c r="AW229" s="30"/>
    </row>
    <row r="230" spans="1:51" s="6" customFormat="1" ht="13.8">
      <c r="A230" s="1768"/>
      <c r="B230" s="1769"/>
      <c r="C230" s="1769"/>
      <c r="D230" s="1770" t="s">
        <v>1348</v>
      </c>
      <c r="E230" s="1775">
        <f t="shared" si="30"/>
        <v>708</v>
      </c>
      <c r="F230" s="1771"/>
      <c r="G230" s="1771"/>
      <c r="H230" s="1771">
        <v>88</v>
      </c>
      <c r="I230" s="1771"/>
      <c r="J230" s="1771"/>
      <c r="K230" s="1771">
        <v>620</v>
      </c>
      <c r="L230" s="1771"/>
      <c r="M230" s="1771"/>
      <c r="N230" s="1771"/>
      <c r="O230" s="1771"/>
      <c r="P230" s="1771"/>
      <c r="Q230" s="1771"/>
      <c r="R230" s="1771"/>
      <c r="S230" s="1771"/>
      <c r="T230" s="1771"/>
      <c r="U230" s="1771"/>
      <c r="V230" s="1771"/>
      <c r="W230" s="1771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N230" s="30"/>
      <c r="AO230" s="30"/>
      <c r="AP230" s="30"/>
      <c r="AQ230" s="30"/>
      <c r="AR230" s="30"/>
      <c r="AS230" s="30"/>
      <c r="AT230" s="30"/>
      <c r="AW230" s="30"/>
    </row>
    <row r="231" spans="1:51" s="6" customFormat="1" ht="13.8">
      <c r="A231" s="1768"/>
      <c r="B231" s="1769"/>
      <c r="C231" s="1769"/>
      <c r="D231" s="1770" t="s">
        <v>39</v>
      </c>
      <c r="E231" s="1775">
        <f t="shared" si="30"/>
        <v>0</v>
      </c>
      <c r="F231" s="1771"/>
      <c r="G231" s="1771"/>
      <c r="H231" s="1771"/>
      <c r="I231" s="1771"/>
      <c r="J231" s="1771"/>
      <c r="K231" s="1771"/>
      <c r="L231" s="1771"/>
      <c r="M231" s="1771"/>
      <c r="N231" s="1771"/>
      <c r="O231" s="1771"/>
      <c r="P231" s="1771"/>
      <c r="Q231" s="1771"/>
      <c r="R231" s="1771"/>
      <c r="S231" s="1771"/>
      <c r="T231" s="1771"/>
      <c r="U231" s="1771"/>
      <c r="V231" s="1771"/>
      <c r="W231" s="1771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N231" s="30"/>
      <c r="AO231" s="30"/>
      <c r="AP231" s="30"/>
      <c r="AQ231" s="30"/>
      <c r="AR231" s="30"/>
      <c r="AS231" s="30"/>
      <c r="AT231" s="30"/>
      <c r="AW231" s="30"/>
    </row>
    <row r="232" spans="1:51" s="6" customFormat="1" ht="13.8">
      <c r="A232" s="1768"/>
      <c r="B232" s="1769"/>
      <c r="C232" s="1769"/>
      <c r="D232" s="1770" t="s">
        <v>1485</v>
      </c>
      <c r="E232" s="1775">
        <f t="shared" si="30"/>
        <v>515</v>
      </c>
      <c r="F232" s="1771"/>
      <c r="G232" s="1771"/>
      <c r="H232" s="1771">
        <v>472</v>
      </c>
      <c r="I232" s="1771"/>
      <c r="J232" s="1771"/>
      <c r="K232" s="1771"/>
      <c r="L232" s="1771">
        <v>43</v>
      </c>
      <c r="M232" s="1771"/>
      <c r="N232" s="1771"/>
      <c r="O232" s="1771"/>
      <c r="P232" s="1771"/>
      <c r="Q232" s="1771"/>
      <c r="R232" s="1771"/>
      <c r="S232" s="1771"/>
      <c r="T232" s="1771"/>
      <c r="U232" s="1771"/>
      <c r="V232" s="1771"/>
      <c r="W232" s="1771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N232" s="30"/>
      <c r="AO232" s="30"/>
      <c r="AP232" s="30"/>
      <c r="AQ232" s="30"/>
      <c r="AR232" s="30"/>
      <c r="AS232" s="30"/>
      <c r="AT232" s="30"/>
      <c r="AW232" s="30"/>
    </row>
    <row r="233" spans="1:51" s="6" customFormat="1" ht="13.8">
      <c r="A233" s="1768"/>
      <c r="B233" s="1769"/>
      <c r="C233" s="1769"/>
      <c r="D233" s="1770" t="s">
        <v>37</v>
      </c>
      <c r="E233" s="1775">
        <f>SUM(G233:W233)</f>
        <v>1789</v>
      </c>
      <c r="F233" s="1771"/>
      <c r="G233" s="1771">
        <v>1789</v>
      </c>
      <c r="H233" s="1771"/>
      <c r="I233" s="1771"/>
      <c r="J233" s="1771"/>
      <c r="K233" s="1771"/>
      <c r="L233" s="1771"/>
      <c r="M233" s="1771"/>
      <c r="N233" s="1771"/>
      <c r="O233" s="1771"/>
      <c r="P233" s="1771"/>
      <c r="Q233" s="1771"/>
      <c r="R233" s="1771"/>
      <c r="S233" s="1771"/>
      <c r="T233" s="1771"/>
      <c r="U233" s="1771"/>
      <c r="V233" s="1771"/>
      <c r="W233" s="1771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N233" s="30"/>
      <c r="AO233" s="30"/>
      <c r="AP233" s="30"/>
      <c r="AQ233" s="30"/>
      <c r="AR233" s="30"/>
      <c r="AS233" s="30"/>
      <c r="AT233" s="30"/>
      <c r="AW233" s="30"/>
    </row>
    <row r="234" spans="1:51" s="26" customFormat="1" ht="12" customHeight="1">
      <c r="A234" s="29"/>
      <c r="B234" s="2889" t="s">
        <v>44</v>
      </c>
      <c r="C234" s="1013">
        <v>45077</v>
      </c>
      <c r="D234" s="2895" t="s">
        <v>36</v>
      </c>
      <c r="E234" s="2891">
        <f>SUM(E235:E236)</f>
        <v>0</v>
      </c>
      <c r="F234" s="2891">
        <f t="shared" ref="F234:W234" si="31">SUM(F235:F271)</f>
        <v>658</v>
      </c>
      <c r="G234" s="2891">
        <f t="shared" si="31"/>
        <v>2336</v>
      </c>
      <c r="H234" s="2891">
        <f t="shared" si="31"/>
        <v>6476</v>
      </c>
      <c r="I234" s="2891">
        <f t="shared" si="31"/>
        <v>1650</v>
      </c>
      <c r="J234" s="2891">
        <f t="shared" si="31"/>
        <v>0</v>
      </c>
      <c r="K234" s="2891">
        <f t="shared" si="31"/>
        <v>1240</v>
      </c>
      <c r="L234" s="2891">
        <f t="shared" si="31"/>
        <v>438</v>
      </c>
      <c r="M234" s="2891">
        <f t="shared" si="31"/>
        <v>10024</v>
      </c>
      <c r="N234" s="2891">
        <f t="shared" si="31"/>
        <v>-471.68</v>
      </c>
      <c r="O234" s="2891">
        <f t="shared" si="31"/>
        <v>10027.64</v>
      </c>
      <c r="P234" s="2891">
        <f t="shared" si="31"/>
        <v>2679.5</v>
      </c>
      <c r="Q234" s="2891">
        <f t="shared" si="31"/>
        <v>210</v>
      </c>
      <c r="R234" s="2891">
        <f t="shared" si="31"/>
        <v>0</v>
      </c>
      <c r="S234" s="2891">
        <f t="shared" si="31"/>
        <v>0</v>
      </c>
      <c r="T234" s="2891">
        <f t="shared" si="31"/>
        <v>718</v>
      </c>
      <c r="U234" s="2891">
        <f t="shared" si="31"/>
        <v>0</v>
      </c>
      <c r="V234" s="2891">
        <f t="shared" si="31"/>
        <v>1201.1199999999999</v>
      </c>
      <c r="W234" s="2891">
        <f t="shared" si="31"/>
        <v>0</v>
      </c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9"/>
      <c r="AV234" s="9"/>
      <c r="AW234" s="10"/>
      <c r="AX234" s="9"/>
      <c r="AY234" s="9"/>
    </row>
    <row r="235" spans="1:51" s="26" customFormat="1" ht="12" customHeight="1">
      <c r="A235" s="29"/>
      <c r="B235" s="2890"/>
      <c r="C235" s="1014"/>
      <c r="D235" s="2896"/>
      <c r="E235" s="2892"/>
      <c r="F235" s="2892"/>
      <c r="G235" s="2892"/>
      <c r="H235" s="2892"/>
      <c r="I235" s="2892"/>
      <c r="J235" s="2892"/>
      <c r="K235" s="2892"/>
      <c r="L235" s="2892"/>
      <c r="M235" s="2892"/>
      <c r="N235" s="2892"/>
      <c r="O235" s="2892"/>
      <c r="P235" s="2892"/>
      <c r="Q235" s="2892"/>
      <c r="R235" s="2892"/>
      <c r="S235" s="2892"/>
      <c r="T235" s="2892"/>
      <c r="U235" s="2892"/>
      <c r="V235" s="2892"/>
      <c r="W235" s="2892"/>
      <c r="X235" s="995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9"/>
      <c r="AV235" s="9"/>
      <c r="AW235" s="10"/>
      <c r="AX235" s="9"/>
      <c r="AY235" s="9"/>
    </row>
    <row r="236" spans="1:51" s="995" customFormat="1" ht="13.8">
      <c r="A236" s="991"/>
      <c r="B236" s="1780">
        <v>45077</v>
      </c>
      <c r="C236" s="1780" t="s">
        <v>17</v>
      </c>
      <c r="D236" s="1781" t="s">
        <v>1361</v>
      </c>
      <c r="E236" s="1779">
        <f>SUM(F236:W236)</f>
        <v>0</v>
      </c>
      <c r="F236" s="1782"/>
      <c r="G236" s="1782"/>
      <c r="H236" s="1782"/>
      <c r="I236" s="1782"/>
      <c r="J236" s="1782"/>
      <c r="K236" s="1782"/>
      <c r="L236" s="1782"/>
      <c r="M236" s="1782"/>
      <c r="N236" s="1782"/>
      <c r="O236" s="1782"/>
      <c r="P236" s="1782">
        <v>0</v>
      </c>
      <c r="Q236" s="1782"/>
      <c r="R236" s="1782"/>
      <c r="S236" s="1782"/>
      <c r="T236" s="1782"/>
      <c r="U236" s="1782"/>
      <c r="V236" s="1782"/>
      <c r="W236" s="1782"/>
    </row>
    <row r="237" spans="1:51" s="1005" customFormat="1" ht="12" customHeight="1">
      <c r="A237" s="1002"/>
      <c r="B237" s="1009"/>
      <c r="C237" s="2893" t="s">
        <v>1120</v>
      </c>
      <c r="D237" s="2894"/>
      <c r="E237" s="1723">
        <f t="shared" ref="E237:W237" si="32">SUM(E238:E239)</f>
        <v>0</v>
      </c>
      <c r="F237" s="1012">
        <f t="shared" si="32"/>
        <v>0</v>
      </c>
      <c r="G237" s="1012">
        <f t="shared" si="32"/>
        <v>0</v>
      </c>
      <c r="H237" s="1012">
        <f t="shared" si="32"/>
        <v>0</v>
      </c>
      <c r="I237" s="1012">
        <f t="shared" si="32"/>
        <v>0</v>
      </c>
      <c r="J237" s="1012">
        <f t="shared" si="32"/>
        <v>0</v>
      </c>
      <c r="K237" s="1012">
        <f t="shared" si="32"/>
        <v>0</v>
      </c>
      <c r="L237" s="1012">
        <f t="shared" si="32"/>
        <v>0</v>
      </c>
      <c r="M237" s="1012">
        <f t="shared" si="32"/>
        <v>0</v>
      </c>
      <c r="N237" s="1012">
        <f t="shared" si="32"/>
        <v>0</v>
      </c>
      <c r="O237" s="1012">
        <f t="shared" si="32"/>
        <v>0</v>
      </c>
      <c r="P237" s="1012">
        <f t="shared" si="32"/>
        <v>0</v>
      </c>
      <c r="Q237" s="1012">
        <f t="shared" si="32"/>
        <v>0</v>
      </c>
      <c r="R237" s="1012">
        <f t="shared" si="32"/>
        <v>0</v>
      </c>
      <c r="S237" s="1012">
        <f t="shared" si="32"/>
        <v>0</v>
      </c>
      <c r="T237" s="1012">
        <f t="shared" si="32"/>
        <v>0</v>
      </c>
      <c r="U237" s="1012">
        <f t="shared" si="32"/>
        <v>0</v>
      </c>
      <c r="V237" s="1012">
        <f t="shared" si="32"/>
        <v>0</v>
      </c>
      <c r="W237" s="1012">
        <f t="shared" si="32"/>
        <v>0</v>
      </c>
      <c r="X237" s="90"/>
      <c r="Y237" s="1003"/>
      <c r="Z237" s="1003"/>
      <c r="AA237" s="1003"/>
      <c r="AB237" s="1003"/>
      <c r="AC237" s="1003"/>
      <c r="AD237" s="1003"/>
      <c r="AE237" s="1003"/>
      <c r="AF237" s="1003"/>
      <c r="AG237" s="1003"/>
      <c r="AH237" s="1003"/>
      <c r="AI237" s="1004"/>
      <c r="AJ237" s="1004"/>
      <c r="AK237" s="1004"/>
      <c r="AL237" s="1004"/>
      <c r="AM237" s="1003"/>
      <c r="AN237" s="1003"/>
      <c r="AO237" s="1003"/>
      <c r="AP237" s="1003"/>
      <c r="AQ237" s="1003"/>
      <c r="AR237" s="1003"/>
      <c r="AS237" s="1003"/>
      <c r="AT237" s="1003"/>
      <c r="AU237" s="1003"/>
      <c r="AV237" s="1003"/>
      <c r="AW237" s="1003"/>
    </row>
    <row r="238" spans="1:51" s="90" customFormat="1" ht="13.8">
      <c r="A238" s="973"/>
      <c r="B238" s="974"/>
      <c r="C238" s="977"/>
      <c r="D238" s="978" t="s">
        <v>15</v>
      </c>
      <c r="E238" s="1774">
        <f>SUM(F238:W238)</f>
        <v>0</v>
      </c>
      <c r="F238" s="976"/>
      <c r="G238" s="976"/>
      <c r="H238" s="976" t="s">
        <v>389</v>
      </c>
      <c r="I238" s="976"/>
      <c r="J238" s="976"/>
      <c r="K238" s="976"/>
      <c r="L238" s="976"/>
      <c r="M238" s="976"/>
      <c r="N238" s="976"/>
      <c r="O238" s="976"/>
      <c r="P238" s="976"/>
      <c r="Q238" s="976"/>
      <c r="R238" s="976"/>
      <c r="S238" s="976"/>
      <c r="T238" s="976"/>
      <c r="U238" s="976"/>
      <c r="V238" s="976"/>
      <c r="W238" s="976"/>
    </row>
    <row r="239" spans="1:51" s="90" customFormat="1" ht="13.8">
      <c r="A239" s="973"/>
      <c r="B239" s="974"/>
      <c r="C239" s="974"/>
      <c r="D239" s="975" t="s">
        <v>384</v>
      </c>
      <c r="E239" s="1774">
        <f>SUM(F239:W239)</f>
        <v>0</v>
      </c>
      <c r="F239" s="976"/>
      <c r="G239" s="976"/>
      <c r="H239" s="976"/>
      <c r="I239" s="976" t="s">
        <v>389</v>
      </c>
      <c r="J239" s="976"/>
      <c r="K239" s="976"/>
      <c r="L239" s="976"/>
      <c r="M239" s="976"/>
      <c r="N239" s="976"/>
      <c r="O239" s="976"/>
      <c r="P239" s="976"/>
      <c r="Q239" s="976"/>
      <c r="R239" s="976"/>
      <c r="S239" s="976"/>
      <c r="T239" s="976"/>
      <c r="U239" s="976"/>
      <c r="V239" s="976"/>
      <c r="W239" s="976"/>
      <c r="X239" s="1"/>
    </row>
    <row r="240" spans="1:51" s="35" customFormat="1" ht="13.5" customHeight="1">
      <c r="A240" s="39"/>
      <c r="B240" s="979" t="str">
        <f>J7</f>
        <v>Juli</v>
      </c>
      <c r="C240" s="980">
        <v>44773</v>
      </c>
      <c r="D240" s="981"/>
      <c r="E240" s="1724">
        <f t="shared" ref="E240:V240" si="33">SUM(E241:E269)</f>
        <v>-1059.0399999999981</v>
      </c>
      <c r="F240" s="982">
        <f t="shared" si="33"/>
        <v>329</v>
      </c>
      <c r="G240" s="982">
        <f t="shared" si="33"/>
        <v>1168</v>
      </c>
      <c r="H240" s="982">
        <f t="shared" si="33"/>
        <v>3238</v>
      </c>
      <c r="I240" s="982">
        <f t="shared" si="33"/>
        <v>825</v>
      </c>
      <c r="J240" s="982">
        <f t="shared" si="33"/>
        <v>0</v>
      </c>
      <c r="K240" s="982">
        <f t="shared" si="33"/>
        <v>620</v>
      </c>
      <c r="L240" s="982">
        <f t="shared" si="33"/>
        <v>219</v>
      </c>
      <c r="M240" s="982">
        <f t="shared" si="33"/>
        <v>5012</v>
      </c>
      <c r="N240" s="982">
        <f t="shared" si="33"/>
        <v>-235.84</v>
      </c>
      <c r="O240" s="982">
        <f t="shared" si="33"/>
        <v>5013.8200000000006</v>
      </c>
      <c r="P240" s="982">
        <f t="shared" si="33"/>
        <v>1339.75</v>
      </c>
      <c r="Q240" s="982">
        <f t="shared" si="33"/>
        <v>105</v>
      </c>
      <c r="R240" s="982">
        <f t="shared" si="33"/>
        <v>0</v>
      </c>
      <c r="S240" s="982">
        <f t="shared" si="33"/>
        <v>0</v>
      </c>
      <c r="T240" s="982">
        <f t="shared" si="33"/>
        <v>359</v>
      </c>
      <c r="U240" s="982">
        <f t="shared" si="33"/>
        <v>0</v>
      </c>
      <c r="V240" s="982">
        <f t="shared" si="33"/>
        <v>600.55999999999995</v>
      </c>
      <c r="W240" s="982"/>
      <c r="X240" s="1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2"/>
      <c r="AP240" s="12"/>
      <c r="AQ240" s="12"/>
      <c r="AR240" s="12"/>
      <c r="AW240" s="12"/>
    </row>
    <row r="241" spans="1:49" s="6" customFormat="1" ht="13.8">
      <c r="A241" s="1768"/>
      <c r="B241" s="1769">
        <v>45107</v>
      </c>
      <c r="C241" s="1769" t="s">
        <v>17</v>
      </c>
      <c r="D241" s="1770" t="s">
        <v>35</v>
      </c>
      <c r="E241" s="1775">
        <f>$AE$12</f>
        <v>-11843</v>
      </c>
      <c r="F241" s="1771"/>
      <c r="G241" s="1771"/>
      <c r="H241" s="1771"/>
      <c r="I241" s="1771"/>
      <c r="J241" s="1771"/>
      <c r="K241" s="1771"/>
      <c r="L241" s="1771"/>
      <c r="M241" s="1771"/>
      <c r="N241" s="1771"/>
      <c r="O241" s="1771"/>
      <c r="P241" s="1771"/>
      <c r="Q241" s="1771"/>
      <c r="R241" s="1771"/>
      <c r="S241" s="1771"/>
      <c r="T241" s="1771"/>
      <c r="U241" s="1771"/>
      <c r="V241" s="1771"/>
      <c r="W241" s="1771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N241" s="30"/>
      <c r="AO241" s="30"/>
      <c r="AP241" s="30"/>
      <c r="AQ241" s="30"/>
      <c r="AR241" s="30"/>
      <c r="AS241" s="30"/>
      <c r="AT241" s="30"/>
      <c r="AW241" s="30"/>
    </row>
    <row r="242" spans="1:49" s="6" customFormat="1" ht="13.8">
      <c r="A242" s="1768"/>
      <c r="B242" s="1769">
        <v>45107</v>
      </c>
      <c r="C242" s="1769" t="s">
        <v>17</v>
      </c>
      <c r="D242" s="1770" t="s">
        <v>34</v>
      </c>
      <c r="E242" s="1775">
        <f>$AF$12</f>
        <v>-8159</v>
      </c>
      <c r="F242" s="1771"/>
      <c r="G242" s="1771"/>
      <c r="H242" s="1771"/>
      <c r="I242" s="1771"/>
      <c r="J242" s="1771"/>
      <c r="K242" s="1771"/>
      <c r="L242" s="1771"/>
      <c r="M242" s="1771"/>
      <c r="N242" s="1771"/>
      <c r="O242" s="1771"/>
      <c r="P242" s="1771"/>
      <c r="Q242" s="1771"/>
      <c r="R242" s="1771"/>
      <c r="S242" s="1771"/>
      <c r="T242" s="1771"/>
      <c r="U242" s="1771"/>
      <c r="V242" s="1771"/>
      <c r="W242" s="1771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N242" s="30"/>
      <c r="AO242" s="30"/>
      <c r="AP242" s="30"/>
      <c r="AQ242" s="30"/>
      <c r="AR242" s="30"/>
      <c r="AS242" s="30"/>
      <c r="AT242" s="30"/>
      <c r="AW242" s="30"/>
    </row>
    <row r="243" spans="1:49" s="6" customFormat="1" ht="13.8">
      <c r="A243" s="1768"/>
      <c r="B243" s="1769">
        <v>45107</v>
      </c>
      <c r="C243" s="1769" t="s">
        <v>17</v>
      </c>
      <c r="D243" s="1770" t="s">
        <v>33</v>
      </c>
      <c r="E243" s="1775">
        <f>$AG$12</f>
        <v>-213</v>
      </c>
      <c r="F243" s="1771"/>
      <c r="G243" s="1771"/>
      <c r="H243" s="1771"/>
      <c r="I243" s="1771"/>
      <c r="J243" s="1771"/>
      <c r="K243" s="1771"/>
      <c r="L243" s="1771"/>
      <c r="M243" s="1771"/>
      <c r="N243" s="1771"/>
      <c r="O243" s="1771"/>
      <c r="P243" s="1771"/>
      <c r="Q243" s="1771"/>
      <c r="R243" s="1771"/>
      <c r="S243" s="1771"/>
      <c r="T243" s="1771"/>
      <c r="U243" s="1771"/>
      <c r="V243" s="1771"/>
      <c r="W243" s="1771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N243" s="30"/>
      <c r="AO243" s="30"/>
      <c r="AP243" s="30"/>
      <c r="AQ243" s="30"/>
      <c r="AR243" s="30"/>
      <c r="AS243" s="30"/>
      <c r="AT243" s="30"/>
      <c r="AW243" s="30"/>
    </row>
    <row r="244" spans="1:49" s="6" customFormat="1" ht="13.8">
      <c r="A244" s="1768"/>
      <c r="B244" s="1769">
        <v>45107</v>
      </c>
      <c r="C244" s="1769" t="s">
        <v>17</v>
      </c>
      <c r="D244" s="1770" t="s">
        <v>1466</v>
      </c>
      <c r="E244" s="1775">
        <f>SUM(F244:W244)</f>
        <v>788</v>
      </c>
      <c r="F244" s="1771"/>
      <c r="G244" s="1771">
        <v>429</v>
      </c>
      <c r="H244" s="1771"/>
      <c r="I244" s="1771"/>
      <c r="J244" s="1771"/>
      <c r="K244" s="1771"/>
      <c r="L244" s="1771"/>
      <c r="M244" s="1771"/>
      <c r="N244" s="1771"/>
      <c r="O244" s="1771"/>
      <c r="P244" s="1771"/>
      <c r="Q244" s="1771"/>
      <c r="R244" s="1771"/>
      <c r="S244" s="1771"/>
      <c r="T244" s="1771">
        <v>359</v>
      </c>
      <c r="U244" s="1771"/>
      <c r="V244" s="1771"/>
      <c r="W244" s="1771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N244" s="30"/>
      <c r="AO244" s="30"/>
      <c r="AP244" s="30"/>
      <c r="AQ244" s="30"/>
      <c r="AR244" s="30"/>
      <c r="AS244" s="30"/>
      <c r="AT244" s="30"/>
      <c r="AW244" s="30"/>
    </row>
    <row r="245" spans="1:49" s="6" customFormat="1" ht="13.8">
      <c r="A245" s="1768"/>
      <c r="B245" s="1769">
        <v>45199</v>
      </c>
      <c r="C245" s="1769" t="s">
        <v>17</v>
      </c>
      <c r="D245" s="1770" t="s">
        <v>167</v>
      </c>
      <c r="E245" s="1775">
        <f>SUM(F245:W245)</f>
        <v>310</v>
      </c>
      <c r="F245" s="1771"/>
      <c r="G245" s="1771">
        <v>310</v>
      </c>
      <c r="H245" s="1771"/>
      <c r="I245" s="1771"/>
      <c r="J245" s="1771"/>
      <c r="K245" s="1771"/>
      <c r="L245" s="1771"/>
      <c r="M245" s="1771"/>
      <c r="N245" s="1771"/>
      <c r="O245" s="1771"/>
      <c r="P245" s="1771"/>
      <c r="Q245" s="1771"/>
      <c r="R245" s="1771"/>
      <c r="S245" s="1771"/>
      <c r="T245" s="1771"/>
      <c r="U245" s="1771"/>
      <c r="V245" s="1771"/>
      <c r="W245" s="1771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N245" s="30"/>
      <c r="AO245" s="30"/>
      <c r="AP245" s="30"/>
      <c r="AQ245" s="30"/>
      <c r="AR245" s="30"/>
      <c r="AS245" s="30"/>
      <c r="AT245" s="30"/>
      <c r="AW245" s="30"/>
    </row>
    <row r="246" spans="1:49" s="6" customFormat="1" ht="13.8">
      <c r="A246" s="1768"/>
      <c r="B246" s="1769">
        <v>45108</v>
      </c>
      <c r="C246" s="1769" t="s">
        <v>17</v>
      </c>
      <c r="D246" s="1770" t="s">
        <v>22</v>
      </c>
      <c r="E246" s="1775">
        <f>SUM(F246:W246)</f>
        <v>227</v>
      </c>
      <c r="F246" s="1771"/>
      <c r="G246" s="1771"/>
      <c r="H246" s="1771"/>
      <c r="I246" s="1771"/>
      <c r="J246" s="1771"/>
      <c r="K246" s="1771"/>
      <c r="L246" s="1771"/>
      <c r="M246" s="1771"/>
      <c r="N246" s="1771"/>
      <c r="O246" s="1771"/>
      <c r="P246" s="1771">
        <v>227</v>
      </c>
      <c r="Q246" s="1771"/>
      <c r="R246" s="1771"/>
      <c r="S246" s="1771"/>
      <c r="T246" s="1771"/>
      <c r="U246" s="1771"/>
      <c r="V246" s="1771"/>
      <c r="W246" s="1771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N246" s="30"/>
      <c r="AO246" s="30"/>
      <c r="AP246" s="30"/>
      <c r="AQ246" s="30"/>
      <c r="AR246" s="30"/>
      <c r="AS246" s="30"/>
      <c r="AT246" s="30"/>
      <c r="AW246" s="30"/>
    </row>
    <row r="247" spans="1:49" s="6" customFormat="1" ht="13.8">
      <c r="A247" s="1768"/>
      <c r="B247" s="1769">
        <v>45109</v>
      </c>
      <c r="C247" s="1769" t="s">
        <v>17</v>
      </c>
      <c r="D247" s="1770" t="s">
        <v>21</v>
      </c>
      <c r="E247" s="1775">
        <f>SUM(F247:W247)</f>
        <v>396</v>
      </c>
      <c r="F247" s="1771"/>
      <c r="G247" s="1771"/>
      <c r="H247" s="1771"/>
      <c r="I247" s="1771"/>
      <c r="J247" s="1771"/>
      <c r="K247" s="1771"/>
      <c r="L247" s="1771"/>
      <c r="M247" s="1771"/>
      <c r="N247" s="1771"/>
      <c r="O247" s="1771"/>
      <c r="P247" s="1771">
        <v>396</v>
      </c>
      <c r="Q247" s="1771"/>
      <c r="R247" s="1771"/>
      <c r="S247" s="1771"/>
      <c r="T247" s="1771"/>
      <c r="U247" s="1771"/>
      <c r="V247" s="1771"/>
      <c r="W247" s="1771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N247" s="30"/>
      <c r="AO247" s="30"/>
      <c r="AP247" s="30"/>
      <c r="AQ247" s="30"/>
      <c r="AR247" s="30"/>
      <c r="AS247" s="30"/>
      <c r="AT247" s="30"/>
      <c r="AW247" s="30"/>
    </row>
    <row r="248" spans="1:49" s="6" customFormat="1" ht="13.8">
      <c r="A248" s="1768"/>
      <c r="B248" s="1769">
        <v>45109</v>
      </c>
      <c r="C248" s="1769"/>
      <c r="D248" s="1770" t="s">
        <v>1482</v>
      </c>
      <c r="E248" s="1775">
        <v>258</v>
      </c>
      <c r="F248" s="1771"/>
      <c r="G248" s="1771"/>
      <c r="H248" s="1771"/>
      <c r="I248" s="1771"/>
      <c r="J248" s="1771"/>
      <c r="K248" s="1771"/>
      <c r="L248" s="1771"/>
      <c r="M248" s="1771"/>
      <c r="N248" s="1771"/>
      <c r="O248" s="1771"/>
      <c r="P248" s="1771"/>
      <c r="Q248" s="1771"/>
      <c r="R248" s="1771"/>
      <c r="S248" s="1771"/>
      <c r="T248" s="1771"/>
      <c r="U248" s="1771"/>
      <c r="V248" s="1771"/>
      <c r="W248" s="1771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N248" s="30"/>
      <c r="AO248" s="30"/>
      <c r="AP248" s="30"/>
      <c r="AQ248" s="30"/>
      <c r="AR248" s="30"/>
      <c r="AS248" s="30"/>
      <c r="AT248" s="30"/>
      <c r="AW248" s="30"/>
    </row>
    <row r="249" spans="1:49" s="6" customFormat="1" ht="13.8">
      <c r="A249" s="1768"/>
      <c r="B249" s="1769">
        <v>45110</v>
      </c>
      <c r="C249" s="1769" t="s">
        <v>572</v>
      </c>
      <c r="D249" s="1770" t="s">
        <v>26</v>
      </c>
      <c r="E249" s="1775">
        <f>SUM(F249:W249)</f>
        <v>600.55999999999995</v>
      </c>
      <c r="F249" s="1771"/>
      <c r="G249" s="1771"/>
      <c r="H249" s="1771"/>
      <c r="I249" s="1771"/>
      <c r="J249" s="1771"/>
      <c r="K249" s="1771"/>
      <c r="L249" s="1771"/>
      <c r="M249" s="1771"/>
      <c r="N249" s="1771"/>
      <c r="O249" s="1771"/>
      <c r="P249" s="1771"/>
      <c r="Q249" s="1771"/>
      <c r="R249" s="1771"/>
      <c r="S249" s="1771"/>
      <c r="T249" s="1771"/>
      <c r="U249" s="1771"/>
      <c r="V249" s="1771">
        <v>600.55999999999995</v>
      </c>
      <c r="W249" s="1771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N249" s="30"/>
      <c r="AO249" s="30"/>
      <c r="AP249" s="30"/>
      <c r="AQ249" s="30"/>
      <c r="AR249" s="30"/>
      <c r="AS249" s="30"/>
      <c r="AT249" s="30"/>
      <c r="AW249" s="30"/>
    </row>
    <row r="250" spans="1:49" s="6" customFormat="1" ht="13.8">
      <c r="A250" s="1768"/>
      <c r="B250" s="1769">
        <v>45110</v>
      </c>
      <c r="C250" s="1769" t="s">
        <v>572</v>
      </c>
      <c r="D250" s="1770" t="s">
        <v>125</v>
      </c>
      <c r="E250" s="1775">
        <f>SUM(F250:W250)</f>
        <v>45</v>
      </c>
      <c r="F250" s="1771"/>
      <c r="G250" s="1771"/>
      <c r="H250" s="1771"/>
      <c r="I250" s="1771"/>
      <c r="J250" s="1771"/>
      <c r="K250" s="1771"/>
      <c r="L250" s="1771"/>
      <c r="M250" s="1771"/>
      <c r="N250" s="1771"/>
      <c r="O250" s="1771"/>
      <c r="P250" s="1771"/>
      <c r="Q250" s="1771">
        <v>45</v>
      </c>
      <c r="R250" s="1771"/>
      <c r="S250" s="1771"/>
      <c r="T250" s="1771"/>
      <c r="U250" s="1771"/>
      <c r="V250" s="1771"/>
      <c r="W250" s="1771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N250" s="30"/>
      <c r="AO250" s="30"/>
      <c r="AP250" s="30"/>
      <c r="AQ250" s="30"/>
      <c r="AR250" s="30"/>
      <c r="AS250" s="30"/>
      <c r="AT250" s="30"/>
      <c r="AW250" s="30"/>
    </row>
    <row r="251" spans="1:49" s="6" customFormat="1" ht="13.8">
      <c r="A251" s="1768"/>
      <c r="B251" s="1769">
        <v>45110</v>
      </c>
      <c r="C251" s="1769" t="s">
        <v>572</v>
      </c>
      <c r="D251" s="1770" t="s">
        <v>30</v>
      </c>
      <c r="E251" s="1775">
        <v>4068</v>
      </c>
      <c r="F251" s="1771"/>
      <c r="G251" s="1771"/>
      <c r="H251" s="1771"/>
      <c r="I251" s="1771"/>
      <c r="J251" s="1771"/>
      <c r="K251" s="1771"/>
      <c r="L251" s="1771"/>
      <c r="M251" s="1771">
        <v>4068</v>
      </c>
      <c r="N251" s="1771"/>
      <c r="O251" s="1771"/>
      <c r="P251" s="1771"/>
      <c r="Q251" s="1771"/>
      <c r="R251" s="1771"/>
      <c r="S251" s="1771"/>
      <c r="T251" s="1771"/>
      <c r="U251" s="1771"/>
      <c r="V251" s="1771"/>
      <c r="W251" s="1771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N251" s="30"/>
      <c r="AO251" s="30"/>
      <c r="AP251" s="30"/>
      <c r="AQ251" s="30"/>
      <c r="AR251" s="30"/>
      <c r="AS251" s="30"/>
      <c r="AT251" s="30"/>
      <c r="AW251" s="30"/>
    </row>
    <row r="252" spans="1:49" s="6" customFormat="1" ht="13.8">
      <c r="A252" s="1768"/>
      <c r="B252" s="1769">
        <v>45110</v>
      </c>
      <c r="C252" s="1769" t="s">
        <v>572</v>
      </c>
      <c r="D252" s="1770" t="s">
        <v>27</v>
      </c>
      <c r="E252" s="1775">
        <f>SUM(F252:W252)</f>
        <v>647.75</v>
      </c>
      <c r="F252" s="1771"/>
      <c r="G252" s="1771"/>
      <c r="H252" s="1771"/>
      <c r="I252" s="1771"/>
      <c r="J252" s="1771"/>
      <c r="K252" s="1771"/>
      <c r="L252" s="1771"/>
      <c r="M252" s="1771"/>
      <c r="N252" s="1771"/>
      <c r="O252" s="1771"/>
      <c r="P252" s="1771">
        <v>647.75</v>
      </c>
      <c r="Q252" s="1771"/>
      <c r="R252" s="1771"/>
      <c r="S252" s="1771"/>
      <c r="T252" s="1771"/>
      <c r="U252" s="1771"/>
      <c r="V252" s="1771"/>
      <c r="W252" s="1771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N252" s="30"/>
      <c r="AO252" s="30"/>
      <c r="AP252" s="30"/>
      <c r="AQ252" s="30"/>
      <c r="AR252" s="30"/>
      <c r="AS252" s="30"/>
      <c r="AT252" s="30"/>
      <c r="AW252" s="30"/>
    </row>
    <row r="253" spans="1:49" s="6" customFormat="1" ht="13.8">
      <c r="A253" s="1768"/>
      <c r="B253" s="1769">
        <v>45110</v>
      </c>
      <c r="C253" s="1769" t="s">
        <v>572</v>
      </c>
      <c r="D253" s="1770" t="s">
        <v>1352</v>
      </c>
      <c r="E253" s="1775">
        <v>944</v>
      </c>
      <c r="F253" s="1771"/>
      <c r="G253" s="1771"/>
      <c r="H253" s="1771"/>
      <c r="I253" s="1771"/>
      <c r="J253" s="1771"/>
      <c r="K253" s="1771"/>
      <c r="L253" s="1771"/>
      <c r="M253" s="1771">
        <v>944</v>
      </c>
      <c r="N253" s="1771"/>
      <c r="O253" s="1771"/>
      <c r="P253" s="1771"/>
      <c r="Q253" s="1771"/>
      <c r="R253" s="1771"/>
      <c r="S253" s="1771"/>
      <c r="T253" s="1771"/>
      <c r="U253" s="1771"/>
      <c r="V253" s="1771"/>
      <c r="W253" s="1771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N253" s="30"/>
      <c r="AO253" s="30"/>
      <c r="AP253" s="30"/>
      <c r="AQ253" s="30"/>
      <c r="AR253" s="30"/>
      <c r="AS253" s="30"/>
      <c r="AT253" s="30"/>
      <c r="AW253" s="30"/>
    </row>
    <row r="254" spans="1:49" s="6" customFormat="1" ht="13.8">
      <c r="A254" s="1768"/>
      <c r="B254" s="1769"/>
      <c r="C254" s="1769"/>
      <c r="D254" s="1770" t="s">
        <v>1352</v>
      </c>
      <c r="E254" s="1775">
        <v>-235.84</v>
      </c>
      <c r="F254" s="1771"/>
      <c r="G254" s="1771"/>
      <c r="H254" s="1771"/>
      <c r="I254" s="1771"/>
      <c r="J254" s="1771"/>
      <c r="K254" s="1771"/>
      <c r="L254" s="1771"/>
      <c r="M254" s="1771"/>
      <c r="N254" s="1775">
        <v>-235.84</v>
      </c>
      <c r="O254" s="1771"/>
      <c r="P254" s="1771"/>
      <c r="Q254" s="1771"/>
      <c r="R254" s="1771"/>
      <c r="S254" s="1771"/>
      <c r="T254" s="1771"/>
      <c r="U254" s="1771"/>
      <c r="V254" s="1771"/>
      <c r="W254" s="1771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N254" s="30"/>
      <c r="AO254" s="30"/>
      <c r="AP254" s="30"/>
      <c r="AQ254" s="30"/>
      <c r="AR254" s="30"/>
      <c r="AS254" s="30"/>
      <c r="AT254" s="30"/>
      <c r="AW254" s="30"/>
    </row>
    <row r="255" spans="1:49" s="6" customFormat="1" ht="13.8">
      <c r="A255" s="1768"/>
      <c r="B255" s="1769">
        <v>45110</v>
      </c>
      <c r="C255" s="1769" t="s">
        <v>17</v>
      </c>
      <c r="D255" s="1770" t="s">
        <v>25</v>
      </c>
      <c r="E255" s="1775">
        <f>SUM(F255:W255)</f>
        <v>580.69000000000005</v>
      </c>
      <c r="F255" s="1771"/>
      <c r="G255" s="1771"/>
      <c r="H255" s="1771"/>
      <c r="I255" s="1771"/>
      <c r="J255" s="1771"/>
      <c r="K255" s="1771"/>
      <c r="L255" s="1771"/>
      <c r="M255" s="1771"/>
      <c r="N255" s="1771"/>
      <c r="O255" s="1771">
        <v>580.69000000000005</v>
      </c>
      <c r="P255" s="1771"/>
      <c r="Q255" s="1771"/>
      <c r="R255" s="1771"/>
      <c r="S255" s="1771"/>
      <c r="T255" s="1771"/>
      <c r="U255" s="1771"/>
      <c r="V255" s="1771"/>
      <c r="W255" s="1771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N255" s="30"/>
      <c r="AO255" s="30"/>
      <c r="AP255" s="30"/>
      <c r="AQ255" s="30"/>
      <c r="AR255" s="30"/>
      <c r="AS255" s="30"/>
      <c r="AT255" s="30"/>
      <c r="AW255" s="30"/>
    </row>
    <row r="256" spans="1:49" s="6" customFormat="1" ht="13.8">
      <c r="A256" s="1768"/>
      <c r="B256" s="1769">
        <v>45110</v>
      </c>
      <c r="C256" s="1769" t="s">
        <v>17</v>
      </c>
      <c r="D256" s="1770" t="s">
        <v>29</v>
      </c>
      <c r="E256" s="1775">
        <f>SUM(F256:W256)</f>
        <v>69</v>
      </c>
      <c r="F256" s="1771">
        <v>69</v>
      </c>
      <c r="G256" s="1771"/>
      <c r="H256" s="1771"/>
      <c r="I256" s="1771"/>
      <c r="J256" s="1771"/>
      <c r="K256" s="1771"/>
      <c r="L256" s="1771"/>
      <c r="M256" s="1771"/>
      <c r="N256" s="1771"/>
      <c r="O256" s="1771"/>
      <c r="P256" s="1771"/>
      <c r="Q256" s="1771"/>
      <c r="R256" s="1771"/>
      <c r="S256" s="1771"/>
      <c r="T256" s="1771"/>
      <c r="U256" s="1771"/>
      <c r="V256" s="1771"/>
      <c r="W256" s="1771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N256" s="30"/>
      <c r="AO256" s="30"/>
      <c r="AP256" s="30"/>
      <c r="AQ256" s="30"/>
      <c r="AR256" s="30"/>
      <c r="AS256" s="30"/>
      <c r="AT256" s="30"/>
      <c r="AW256" s="30"/>
    </row>
    <row r="257" spans="1:51" s="6" customFormat="1" ht="13.8">
      <c r="A257" s="1768"/>
      <c r="B257" s="1769">
        <v>45117</v>
      </c>
      <c r="C257" s="1769" t="s">
        <v>17</v>
      </c>
      <c r="D257" s="1770" t="s">
        <v>43</v>
      </c>
      <c r="E257" s="1775">
        <f>SUM(F257:W257)</f>
        <v>4190</v>
      </c>
      <c r="F257" s="1771"/>
      <c r="G257" s="1771"/>
      <c r="H257" s="1771"/>
      <c r="I257" s="1771"/>
      <c r="J257" s="1771"/>
      <c r="K257" s="1771"/>
      <c r="L257" s="1771"/>
      <c r="M257" s="1771"/>
      <c r="N257" s="1771"/>
      <c r="O257" s="1771">
        <v>4190</v>
      </c>
      <c r="P257" s="1771"/>
      <c r="Q257" s="1771"/>
      <c r="R257" s="1771"/>
      <c r="S257" s="1771"/>
      <c r="T257" s="1771"/>
      <c r="U257" s="1771"/>
      <c r="V257" s="1771"/>
      <c r="W257" s="1771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N257" s="30"/>
      <c r="AO257" s="30"/>
      <c r="AP257" s="30"/>
      <c r="AQ257" s="30"/>
      <c r="AR257" s="30"/>
      <c r="AS257" s="30"/>
      <c r="AT257" s="30"/>
      <c r="AW257" s="30"/>
    </row>
    <row r="258" spans="1:51" s="6" customFormat="1" ht="13.8">
      <c r="A258" s="1768"/>
      <c r="B258" s="1769">
        <v>45110</v>
      </c>
      <c r="C258" s="1769" t="s">
        <v>17</v>
      </c>
      <c r="D258" s="1770" t="s">
        <v>28</v>
      </c>
      <c r="E258" s="1775">
        <f>SUM(F258:W258)</f>
        <v>200</v>
      </c>
      <c r="F258" s="1771">
        <v>200</v>
      </c>
      <c r="G258" s="1771"/>
      <c r="H258" s="1771"/>
      <c r="I258" s="1771"/>
      <c r="J258" s="1771"/>
      <c r="K258" s="1771"/>
      <c r="L258" s="1771"/>
      <c r="M258" s="1771"/>
      <c r="N258" s="1771"/>
      <c r="O258" s="1771"/>
      <c r="P258" s="1771"/>
      <c r="Q258" s="1771"/>
      <c r="R258" s="1771"/>
      <c r="S258" s="1771"/>
      <c r="T258" s="1771"/>
      <c r="U258" s="1771"/>
      <c r="V258" s="1771"/>
      <c r="W258" s="1771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N258" s="30"/>
      <c r="AO258" s="30"/>
      <c r="AP258" s="30"/>
      <c r="AQ258" s="30"/>
      <c r="AR258" s="30"/>
      <c r="AS258" s="30"/>
      <c r="AT258" s="30"/>
      <c r="AW258" s="30"/>
    </row>
    <row r="259" spans="1:51" s="6" customFormat="1" ht="13.8">
      <c r="A259" s="1768"/>
      <c r="B259" s="1769">
        <v>45110</v>
      </c>
      <c r="C259" s="1769"/>
      <c r="D259" s="1770" t="s">
        <v>124</v>
      </c>
      <c r="E259" s="1775">
        <f>SUM(F259:W259)</f>
        <v>825</v>
      </c>
      <c r="F259" s="1771"/>
      <c r="G259" s="1771"/>
      <c r="H259" s="1771"/>
      <c r="I259" s="1771">
        <v>825</v>
      </c>
      <c r="J259" s="1771"/>
      <c r="K259" s="1771"/>
      <c r="L259" s="1771"/>
      <c r="M259" s="1771"/>
      <c r="N259" s="1771"/>
      <c r="O259" s="1771"/>
      <c r="P259" s="1771"/>
      <c r="Q259" s="1771"/>
      <c r="R259" s="1771"/>
      <c r="S259" s="1771"/>
      <c r="T259" s="1771"/>
      <c r="U259" s="1771"/>
      <c r="V259" s="1771"/>
      <c r="W259" s="1771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N259" s="30"/>
      <c r="AO259" s="30"/>
      <c r="AP259" s="30"/>
      <c r="AQ259" s="30"/>
      <c r="AR259" s="30"/>
      <c r="AS259" s="30"/>
      <c r="AT259" s="30"/>
      <c r="AW259" s="30"/>
    </row>
    <row r="260" spans="1:51" s="6" customFormat="1" ht="13.8">
      <c r="A260" s="1768"/>
      <c r="B260" s="1769">
        <v>45110</v>
      </c>
      <c r="C260" s="1769"/>
      <c r="D260" s="1770" t="s">
        <v>140</v>
      </c>
      <c r="E260" s="1775">
        <v>304.67</v>
      </c>
      <c r="F260" s="1771"/>
      <c r="G260" s="1771"/>
      <c r="H260" s="1771"/>
      <c r="I260" s="1771"/>
      <c r="J260" s="1771"/>
      <c r="K260" s="1771"/>
      <c r="L260" s="1771"/>
      <c r="M260" s="1771"/>
      <c r="N260" s="1771"/>
      <c r="O260" s="1771"/>
      <c r="P260" s="1771"/>
      <c r="Q260" s="1771"/>
      <c r="R260" s="1771"/>
      <c r="S260" s="1771"/>
      <c r="T260" s="1771"/>
      <c r="U260" s="1771"/>
      <c r="V260" s="1771"/>
      <c r="W260" s="1771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N260" s="30"/>
      <c r="AO260" s="30"/>
      <c r="AP260" s="30"/>
      <c r="AQ260" s="30"/>
      <c r="AR260" s="30"/>
      <c r="AS260" s="30"/>
      <c r="AT260" s="30"/>
      <c r="AW260" s="30"/>
    </row>
    <row r="261" spans="1:51" s="6" customFormat="1" ht="13.8">
      <c r="A261" s="1768"/>
      <c r="B261" s="1769">
        <v>45112</v>
      </c>
      <c r="C261" s="1769" t="s">
        <v>17</v>
      </c>
      <c r="D261" s="1770" t="s">
        <v>620</v>
      </c>
      <c r="E261" s="1775">
        <f t="shared" ref="E261:E269" si="34">SUM(F261:W261)</f>
        <v>303.13</v>
      </c>
      <c r="F261" s="1771">
        <v>60</v>
      </c>
      <c r="G261" s="1771"/>
      <c r="H261" s="1771"/>
      <c r="I261" s="1771"/>
      <c r="J261" s="1771"/>
      <c r="K261" s="1771"/>
      <c r="L261" s="1771"/>
      <c r="M261" s="1771"/>
      <c r="N261" s="1771"/>
      <c r="O261" s="1771">
        <v>243.13</v>
      </c>
      <c r="P261" s="1771"/>
      <c r="Q261" s="1771"/>
      <c r="R261" s="1771"/>
      <c r="S261" s="1771"/>
      <c r="T261" s="1771"/>
      <c r="U261" s="1771"/>
      <c r="V261" s="1771"/>
      <c r="W261" s="1771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N261" s="30"/>
      <c r="AO261" s="30"/>
      <c r="AP261" s="30"/>
      <c r="AQ261" s="30"/>
      <c r="AR261" s="30"/>
      <c r="AS261" s="30"/>
      <c r="AT261" s="30"/>
      <c r="AW261" s="30"/>
    </row>
    <row r="262" spans="1:51" s="6" customFormat="1" ht="13.8">
      <c r="A262" s="1768"/>
      <c r="B262" s="1769">
        <v>45116</v>
      </c>
      <c r="C262" s="1769"/>
      <c r="D262" s="1770" t="s">
        <v>1484</v>
      </c>
      <c r="E262" s="1775">
        <f t="shared" si="34"/>
        <v>69</v>
      </c>
      <c r="F262" s="1771"/>
      <c r="G262" s="1771"/>
      <c r="H262" s="1771"/>
      <c r="I262" s="1771"/>
      <c r="J262" s="1771"/>
      <c r="K262" s="1771"/>
      <c r="L262" s="1771"/>
      <c r="M262" s="1771"/>
      <c r="N262" s="1771"/>
      <c r="O262" s="1771"/>
      <c r="P262" s="1771">
        <v>69</v>
      </c>
      <c r="Q262" s="1771"/>
      <c r="R262" s="1771"/>
      <c r="S262" s="1771"/>
      <c r="T262" s="1771"/>
      <c r="U262" s="1771"/>
      <c r="V262" s="1771"/>
      <c r="W262" s="1771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N262" s="30"/>
      <c r="AO262" s="30"/>
      <c r="AP262" s="30"/>
      <c r="AQ262" s="30"/>
      <c r="AR262" s="30"/>
      <c r="AS262" s="30"/>
      <c r="AT262" s="30"/>
      <c r="AW262" s="30"/>
    </row>
    <row r="263" spans="1:51" s="6" customFormat="1" ht="13.8">
      <c r="A263" s="1768"/>
      <c r="B263" s="1769">
        <v>45129</v>
      </c>
      <c r="C263" s="1769"/>
      <c r="D263" s="1770" t="s">
        <v>23</v>
      </c>
      <c r="E263" s="1775">
        <f t="shared" si="34"/>
        <v>60</v>
      </c>
      <c r="F263" s="1771"/>
      <c r="G263" s="1771"/>
      <c r="H263" s="1771"/>
      <c r="I263" s="1771"/>
      <c r="J263" s="1771"/>
      <c r="K263" s="1771"/>
      <c r="L263" s="1771"/>
      <c r="M263" s="1771"/>
      <c r="N263" s="1771"/>
      <c r="O263" s="1771"/>
      <c r="P263" s="1771"/>
      <c r="Q263" s="1771">
        <v>60</v>
      </c>
      <c r="R263" s="1771"/>
      <c r="S263" s="1771"/>
      <c r="T263" s="1771"/>
      <c r="U263" s="1771"/>
      <c r="V263" s="1771"/>
      <c r="W263" s="1771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N263" s="30"/>
      <c r="AO263" s="30"/>
      <c r="AP263" s="30"/>
      <c r="AQ263" s="30"/>
      <c r="AR263" s="30"/>
      <c r="AS263" s="30"/>
      <c r="AT263" s="30"/>
      <c r="AW263" s="30"/>
    </row>
    <row r="264" spans="1:51" s="6" customFormat="1" ht="13.8">
      <c r="A264" s="1768"/>
      <c r="B264" s="1769"/>
      <c r="C264" s="1769"/>
      <c r="D264" s="1770" t="s">
        <v>42</v>
      </c>
      <c r="E264" s="1775">
        <f t="shared" si="34"/>
        <v>1372</v>
      </c>
      <c r="F264" s="1771"/>
      <c r="G264" s="1771"/>
      <c r="H264" s="1771">
        <v>1372</v>
      </c>
      <c r="I264" s="1771"/>
      <c r="J264" s="1771"/>
      <c r="K264" s="1771"/>
      <c r="L264" s="1771"/>
      <c r="M264" s="1771"/>
      <c r="N264" s="1771"/>
      <c r="O264" s="1771"/>
      <c r="P264" s="1771"/>
      <c r="Q264" s="1771"/>
      <c r="R264" s="1771"/>
      <c r="S264" s="1771"/>
      <c r="T264" s="1771"/>
      <c r="U264" s="1771"/>
      <c r="V264" s="1771"/>
      <c r="W264" s="1771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N264" s="30"/>
      <c r="AO264" s="30"/>
      <c r="AP264" s="30"/>
      <c r="AQ264" s="30"/>
      <c r="AR264" s="30"/>
      <c r="AS264" s="30"/>
      <c r="AT264" s="30"/>
      <c r="AW264" s="30"/>
    </row>
    <row r="265" spans="1:51" s="6" customFormat="1" ht="13.8">
      <c r="A265" s="1768"/>
      <c r="B265" s="1769"/>
      <c r="C265" s="1769"/>
      <c r="D265" s="1770" t="s">
        <v>41</v>
      </c>
      <c r="E265" s="1775">
        <f t="shared" si="34"/>
        <v>0</v>
      </c>
      <c r="F265" s="1771"/>
      <c r="G265" s="1771"/>
      <c r="H265" s="1771" t="s">
        <v>389</v>
      </c>
      <c r="I265" s="1771"/>
      <c r="J265" s="1771"/>
      <c r="K265" s="1771"/>
      <c r="L265" s="1771"/>
      <c r="M265" s="1771"/>
      <c r="N265" s="1771"/>
      <c r="O265" s="1771"/>
      <c r="P265" s="1771"/>
      <c r="Q265" s="1771"/>
      <c r="R265" s="1771"/>
      <c r="S265" s="1771"/>
      <c r="T265" s="1771"/>
      <c r="U265" s="1771"/>
      <c r="V265" s="1771"/>
      <c r="W265" s="1771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N265" s="30"/>
      <c r="AO265" s="30"/>
      <c r="AP265" s="30"/>
      <c r="AQ265" s="30"/>
      <c r="AR265" s="30"/>
      <c r="AS265" s="30"/>
      <c r="AT265" s="30"/>
      <c r="AW265" s="30"/>
    </row>
    <row r="266" spans="1:51" s="6" customFormat="1" ht="13.8">
      <c r="A266" s="1768"/>
      <c r="B266" s="1769"/>
      <c r="C266" s="1769"/>
      <c r="D266" s="1770" t="s">
        <v>1348</v>
      </c>
      <c r="E266" s="1775">
        <f t="shared" si="34"/>
        <v>542</v>
      </c>
      <c r="F266" s="1771"/>
      <c r="G266" s="1771"/>
      <c r="H266" s="1771">
        <v>396</v>
      </c>
      <c r="I266" s="1771"/>
      <c r="J266" s="1771"/>
      <c r="K266" s="1771"/>
      <c r="L266" s="1771">
        <v>146</v>
      </c>
      <c r="M266" s="1771"/>
      <c r="N266" s="1771"/>
      <c r="O266" s="1771"/>
      <c r="P266" s="1771"/>
      <c r="Q266" s="1771"/>
      <c r="R266" s="1771"/>
      <c r="S266" s="1771"/>
      <c r="T266" s="1771"/>
      <c r="U266" s="1771"/>
      <c r="V266" s="1771"/>
      <c r="W266" s="1771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N266" s="30"/>
      <c r="AO266" s="30"/>
      <c r="AP266" s="30"/>
      <c r="AQ266" s="30"/>
      <c r="AR266" s="30"/>
      <c r="AS266" s="30"/>
      <c r="AT266" s="30"/>
      <c r="AW266" s="30"/>
    </row>
    <row r="267" spans="1:51" s="6" customFormat="1" ht="13.8">
      <c r="A267" s="1768"/>
      <c r="B267" s="1769"/>
      <c r="C267" s="1769"/>
      <c r="D267" s="1770" t="s">
        <v>39</v>
      </c>
      <c r="E267" s="1775">
        <f t="shared" si="34"/>
        <v>75</v>
      </c>
      <c r="F267" s="1771"/>
      <c r="G267" s="1771"/>
      <c r="H267" s="1771">
        <v>75</v>
      </c>
      <c r="I267" s="1771"/>
      <c r="J267" s="1771"/>
      <c r="K267" s="1771"/>
      <c r="L267" s="1771"/>
      <c r="M267" s="1771"/>
      <c r="N267" s="1771"/>
      <c r="O267" s="1771"/>
      <c r="P267" s="1771"/>
      <c r="Q267" s="1771"/>
      <c r="R267" s="1771"/>
      <c r="S267" s="1771"/>
      <c r="T267" s="1771"/>
      <c r="U267" s="1771"/>
      <c r="V267" s="1771"/>
      <c r="W267" s="1771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N267" s="30"/>
      <c r="AO267" s="30"/>
      <c r="AP267" s="30"/>
      <c r="AQ267" s="30"/>
      <c r="AR267" s="30"/>
      <c r="AS267" s="30"/>
      <c r="AT267" s="30"/>
      <c r="AW267" s="30"/>
    </row>
    <row r="268" spans="1:51" s="6" customFormat="1" ht="13.8">
      <c r="A268" s="1768"/>
      <c r="B268" s="1769"/>
      <c r="C268" s="1769"/>
      <c r="D268" s="1770" t="s">
        <v>1485</v>
      </c>
      <c r="E268" s="1775">
        <f t="shared" si="34"/>
        <v>2168</v>
      </c>
      <c r="F268" s="1771"/>
      <c r="G268" s="1771">
        <v>80</v>
      </c>
      <c r="H268" s="1771">
        <v>1395</v>
      </c>
      <c r="I268" s="1771"/>
      <c r="J268" s="1771"/>
      <c r="K268" s="1771">
        <v>620</v>
      </c>
      <c r="L268" s="1771">
        <v>73</v>
      </c>
      <c r="M268" s="1771"/>
      <c r="N268" s="1771"/>
      <c r="O268" s="1771"/>
      <c r="P268" s="1771"/>
      <c r="Q268" s="1771"/>
      <c r="R268" s="1771"/>
      <c r="S268" s="1771"/>
      <c r="T268" s="1771"/>
      <c r="U268" s="1771"/>
      <c r="V268" s="1771"/>
      <c r="W268" s="1771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N268" s="30"/>
      <c r="AO268" s="30"/>
      <c r="AP268" s="30"/>
      <c r="AQ268" s="30"/>
      <c r="AR268" s="30"/>
      <c r="AS268" s="30"/>
      <c r="AT268" s="30"/>
      <c r="AW268" s="30"/>
    </row>
    <row r="269" spans="1:51" s="6" customFormat="1" ht="13.8">
      <c r="A269" s="1768"/>
      <c r="B269" s="1769"/>
      <c r="C269" s="1769"/>
      <c r="D269" s="1770" t="s">
        <v>37</v>
      </c>
      <c r="E269" s="1775">
        <f t="shared" si="34"/>
        <v>349</v>
      </c>
      <c r="F269" s="1771"/>
      <c r="G269" s="1771">
        <v>349</v>
      </c>
      <c r="H269" s="1771"/>
      <c r="I269" s="1771"/>
      <c r="J269" s="1771"/>
      <c r="K269" s="1771"/>
      <c r="L269" s="1771"/>
      <c r="M269" s="1771"/>
      <c r="N269" s="1771"/>
      <c r="O269" s="1771"/>
      <c r="P269" s="1771"/>
      <c r="Q269" s="1771"/>
      <c r="R269" s="1771"/>
      <c r="S269" s="1771"/>
      <c r="T269" s="1771"/>
      <c r="U269" s="1771"/>
      <c r="V269" s="1771"/>
      <c r="W269" s="1771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N269" s="30"/>
      <c r="AO269" s="30"/>
      <c r="AP269" s="30"/>
      <c r="AQ269" s="30"/>
      <c r="AR269" s="30"/>
      <c r="AS269" s="30"/>
      <c r="AT269" s="30"/>
      <c r="AW269" s="30"/>
    </row>
    <row r="270" spans="1:51" s="26" customFormat="1" ht="12" customHeight="1">
      <c r="A270" s="29"/>
      <c r="B270" s="2889" t="str">
        <f>J7</f>
        <v>Juli</v>
      </c>
      <c r="C270" s="1013">
        <v>45107</v>
      </c>
      <c r="D270" s="2895" t="s">
        <v>36</v>
      </c>
      <c r="E270" s="2899">
        <f t="shared" ref="E270:W270" si="35">SUM(E271:E272)</f>
        <v>0</v>
      </c>
      <c r="F270" s="2891">
        <f t="shared" si="35"/>
        <v>0</v>
      </c>
      <c r="G270" s="2891">
        <f t="shared" si="35"/>
        <v>0</v>
      </c>
      <c r="H270" s="2891">
        <f t="shared" si="35"/>
        <v>0</v>
      </c>
      <c r="I270" s="2891">
        <f t="shared" si="35"/>
        <v>0</v>
      </c>
      <c r="J270" s="2891">
        <f t="shared" si="35"/>
        <v>0</v>
      </c>
      <c r="K270" s="2891">
        <f t="shared" si="35"/>
        <v>0</v>
      </c>
      <c r="L270" s="2891">
        <f t="shared" si="35"/>
        <v>0</v>
      </c>
      <c r="M270" s="2891">
        <f t="shared" si="35"/>
        <v>0</v>
      </c>
      <c r="N270" s="2891">
        <f t="shared" si="35"/>
        <v>0</v>
      </c>
      <c r="O270" s="2891">
        <f t="shared" si="35"/>
        <v>0</v>
      </c>
      <c r="P270" s="2891">
        <f t="shared" si="35"/>
        <v>0</v>
      </c>
      <c r="Q270" s="2891">
        <f t="shared" si="35"/>
        <v>0</v>
      </c>
      <c r="R270" s="2891">
        <f t="shared" si="35"/>
        <v>0</v>
      </c>
      <c r="S270" s="2891">
        <f t="shared" si="35"/>
        <v>0</v>
      </c>
      <c r="T270" s="2891">
        <f t="shared" si="35"/>
        <v>0</v>
      </c>
      <c r="U270" s="2891">
        <f t="shared" si="35"/>
        <v>0</v>
      </c>
      <c r="V270" s="2891">
        <f t="shared" si="35"/>
        <v>0</v>
      </c>
      <c r="W270" s="2891">
        <f t="shared" si="35"/>
        <v>0</v>
      </c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9"/>
      <c r="AV270" s="9"/>
      <c r="AW270" s="10"/>
      <c r="AX270" s="9"/>
      <c r="AY270" s="9"/>
    </row>
    <row r="271" spans="1:51" s="26" customFormat="1" ht="12" customHeight="1">
      <c r="A271" s="29"/>
      <c r="B271" s="2890"/>
      <c r="C271" s="1014"/>
      <c r="D271" s="2896"/>
      <c r="E271" s="2900"/>
      <c r="F271" s="2892"/>
      <c r="G271" s="2892"/>
      <c r="H271" s="2892"/>
      <c r="I271" s="2892"/>
      <c r="J271" s="2892"/>
      <c r="K271" s="2892"/>
      <c r="L271" s="2892"/>
      <c r="M271" s="2892"/>
      <c r="N271" s="2892"/>
      <c r="O271" s="2892"/>
      <c r="P271" s="2892"/>
      <c r="Q271" s="2892"/>
      <c r="R271" s="2892"/>
      <c r="S271" s="2892"/>
      <c r="T271" s="2892"/>
      <c r="U271" s="2892"/>
      <c r="V271" s="2892"/>
      <c r="W271" s="2892"/>
      <c r="X271" s="995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9"/>
      <c r="AV271" s="9"/>
      <c r="AW271" s="10"/>
      <c r="AX271" s="9"/>
      <c r="AY271" s="9"/>
    </row>
    <row r="272" spans="1:51" s="995" customFormat="1" ht="13.8">
      <c r="A272" s="991"/>
      <c r="B272" s="1780">
        <v>45110</v>
      </c>
      <c r="C272" s="1780" t="s">
        <v>17</v>
      </c>
      <c r="D272" s="1781" t="s">
        <v>23</v>
      </c>
      <c r="E272" s="1779">
        <f>SUM(F272:W272)</f>
        <v>0</v>
      </c>
      <c r="F272" s="1782"/>
      <c r="G272" s="1782"/>
      <c r="H272" s="1782"/>
      <c r="I272" s="1782"/>
      <c r="J272" s="1782"/>
      <c r="K272" s="1782"/>
      <c r="L272" s="1782"/>
      <c r="M272" s="1782"/>
      <c r="N272" s="1782"/>
      <c r="O272" s="1782"/>
      <c r="P272" s="1782"/>
      <c r="Q272" s="1782"/>
      <c r="R272" s="1782"/>
      <c r="S272" s="1782"/>
      <c r="T272" s="1782"/>
      <c r="U272" s="1782"/>
      <c r="V272" s="1782"/>
      <c r="W272" s="1782"/>
      <c r="X272" s="996"/>
      <c r="Y272" s="996"/>
      <c r="Z272" s="996"/>
      <c r="AA272" s="996"/>
      <c r="AB272" s="996"/>
      <c r="AC272" s="996"/>
      <c r="AD272" s="996"/>
      <c r="AE272" s="996"/>
      <c r="AF272" s="996"/>
      <c r="AG272" s="996"/>
      <c r="AH272" s="996"/>
      <c r="AI272" s="996"/>
      <c r="AJ272" s="996"/>
      <c r="AK272" s="996"/>
      <c r="AL272" s="996"/>
      <c r="AM272" s="996"/>
      <c r="AN272" s="996"/>
    </row>
    <row r="273" spans="1:49" s="1005" customFormat="1" ht="12" customHeight="1">
      <c r="A273" s="1002"/>
      <c r="B273" s="1009"/>
      <c r="C273" s="2893" t="s">
        <v>1120</v>
      </c>
      <c r="D273" s="2894"/>
      <c r="E273" s="1723">
        <f t="shared" ref="E273:W273" si="36">SUM(E274:E274)</f>
        <v>0</v>
      </c>
      <c r="F273" s="1012">
        <f t="shared" si="36"/>
        <v>0</v>
      </c>
      <c r="G273" s="1012">
        <f t="shared" si="36"/>
        <v>0</v>
      </c>
      <c r="H273" s="1012">
        <f t="shared" si="36"/>
        <v>0</v>
      </c>
      <c r="I273" s="1012">
        <f t="shared" si="36"/>
        <v>0</v>
      </c>
      <c r="J273" s="1012">
        <f t="shared" si="36"/>
        <v>0</v>
      </c>
      <c r="K273" s="1012">
        <f t="shared" si="36"/>
        <v>0</v>
      </c>
      <c r="L273" s="1012">
        <f t="shared" si="36"/>
        <v>0</v>
      </c>
      <c r="M273" s="1012">
        <f t="shared" si="36"/>
        <v>0</v>
      </c>
      <c r="N273" s="1012">
        <f t="shared" si="36"/>
        <v>0</v>
      </c>
      <c r="O273" s="1012">
        <f t="shared" si="36"/>
        <v>0</v>
      </c>
      <c r="P273" s="1012">
        <f t="shared" si="36"/>
        <v>0</v>
      </c>
      <c r="Q273" s="1012">
        <f t="shared" si="36"/>
        <v>0</v>
      </c>
      <c r="R273" s="1012">
        <f t="shared" si="36"/>
        <v>0</v>
      </c>
      <c r="S273" s="1012">
        <f t="shared" si="36"/>
        <v>0</v>
      </c>
      <c r="T273" s="1012">
        <f t="shared" si="36"/>
        <v>0</v>
      </c>
      <c r="U273" s="1012">
        <f t="shared" si="36"/>
        <v>0</v>
      </c>
      <c r="V273" s="1012">
        <f t="shared" si="36"/>
        <v>0</v>
      </c>
      <c r="W273" s="1012">
        <f t="shared" si="36"/>
        <v>0</v>
      </c>
      <c r="X273" s="90"/>
      <c r="Y273" s="1003"/>
      <c r="Z273" s="1003"/>
      <c r="AA273" s="1003"/>
      <c r="AB273" s="1003"/>
      <c r="AC273" s="1003"/>
      <c r="AD273" s="1003"/>
      <c r="AE273" s="1003"/>
      <c r="AF273" s="1003"/>
      <c r="AG273" s="1003"/>
      <c r="AH273" s="1003"/>
      <c r="AI273" s="1004"/>
      <c r="AJ273" s="1004"/>
      <c r="AK273" s="1004"/>
      <c r="AL273" s="1004"/>
      <c r="AM273" s="1003"/>
      <c r="AN273" s="1003"/>
      <c r="AO273" s="1003"/>
      <c r="AP273" s="1003"/>
      <c r="AQ273" s="1003"/>
      <c r="AR273" s="1003"/>
      <c r="AS273" s="1003"/>
      <c r="AT273" s="1003"/>
      <c r="AU273" s="1003"/>
      <c r="AV273" s="1003"/>
      <c r="AW273" s="1003"/>
    </row>
    <row r="274" spans="1:49" s="90" customFormat="1" ht="13.8">
      <c r="A274" s="973"/>
      <c r="B274" s="974"/>
      <c r="C274" s="977"/>
      <c r="D274" s="978" t="s">
        <v>15</v>
      </c>
      <c r="E274" s="1774"/>
      <c r="F274" s="976"/>
      <c r="G274" s="976"/>
      <c r="H274" s="976"/>
      <c r="I274" s="976"/>
      <c r="J274" s="976"/>
      <c r="K274" s="976"/>
      <c r="L274" s="976"/>
      <c r="M274" s="976"/>
      <c r="N274" s="976"/>
      <c r="O274" s="976"/>
      <c r="P274" s="976"/>
      <c r="Q274" s="976"/>
      <c r="R274" s="976"/>
      <c r="S274" s="976"/>
      <c r="T274" s="976"/>
      <c r="U274" s="976"/>
      <c r="V274" s="976"/>
      <c r="W274" s="976"/>
    </row>
    <row r="275" spans="1:49" s="35" customFormat="1" ht="13.5" customHeight="1">
      <c r="A275" s="39"/>
      <c r="B275" s="979" t="str">
        <f>K7</f>
        <v>August</v>
      </c>
      <c r="C275" s="980">
        <v>44774</v>
      </c>
      <c r="D275" s="981"/>
      <c r="E275" s="1724">
        <f t="shared" ref="E275:W275" si="37">SUM(E276:E301)</f>
        <v>-1664.8899999999994</v>
      </c>
      <c r="F275" s="982">
        <f t="shared" si="37"/>
        <v>331</v>
      </c>
      <c r="G275" s="982">
        <f t="shared" si="37"/>
        <v>1664</v>
      </c>
      <c r="H275" s="982">
        <f t="shared" si="37"/>
        <v>3977</v>
      </c>
      <c r="I275" s="982">
        <f t="shared" si="37"/>
        <v>526.75</v>
      </c>
      <c r="J275" s="982">
        <f t="shared" si="37"/>
        <v>135.65</v>
      </c>
      <c r="K275" s="982">
        <f t="shared" si="37"/>
        <v>682</v>
      </c>
      <c r="L275" s="982">
        <f t="shared" si="37"/>
        <v>208</v>
      </c>
      <c r="M275" s="982">
        <f t="shared" si="37"/>
        <v>4068</v>
      </c>
      <c r="N275" s="982">
        <f t="shared" si="37"/>
        <v>944</v>
      </c>
      <c r="O275" s="982">
        <f t="shared" si="37"/>
        <v>586.11</v>
      </c>
      <c r="P275" s="982">
        <f t="shared" si="37"/>
        <v>2820.73</v>
      </c>
      <c r="Q275" s="982">
        <f t="shared" si="37"/>
        <v>440</v>
      </c>
      <c r="R275" s="982">
        <f t="shared" si="37"/>
        <v>800</v>
      </c>
      <c r="S275" s="982">
        <f t="shared" si="37"/>
        <v>0</v>
      </c>
      <c r="T275" s="982">
        <f t="shared" si="37"/>
        <v>359</v>
      </c>
      <c r="U275" s="982">
        <f t="shared" si="37"/>
        <v>1000</v>
      </c>
      <c r="V275" s="982">
        <f t="shared" si="37"/>
        <v>0</v>
      </c>
      <c r="W275" s="982">
        <f t="shared" si="37"/>
        <v>0</v>
      </c>
      <c r="X275" s="10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2"/>
      <c r="AP275" s="12"/>
      <c r="AQ275" s="12"/>
      <c r="AR275" s="12"/>
      <c r="AW275" s="12"/>
    </row>
    <row r="276" spans="1:49" s="6" customFormat="1" ht="13.8">
      <c r="A276" s="1768"/>
      <c r="B276" s="1769">
        <v>45138</v>
      </c>
      <c r="C276" s="1769" t="s">
        <v>17</v>
      </c>
      <c r="D276" s="1770" t="s">
        <v>35</v>
      </c>
      <c r="E276" s="1775">
        <f>$AE$12</f>
        <v>-11843</v>
      </c>
      <c r="F276" s="1771"/>
      <c r="G276" s="1771"/>
      <c r="H276" s="1771"/>
      <c r="I276" s="1771"/>
      <c r="J276" s="1771"/>
      <c r="K276" s="1771"/>
      <c r="L276" s="1771"/>
      <c r="M276" s="1771"/>
      <c r="N276" s="1771"/>
      <c r="O276" s="1771"/>
      <c r="P276" s="1771"/>
      <c r="Q276" s="1771"/>
      <c r="R276" s="1771"/>
      <c r="S276" s="1771"/>
      <c r="T276" s="1771"/>
      <c r="U276" s="1771"/>
      <c r="V276" s="1771"/>
      <c r="W276" s="1771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N276" s="30"/>
      <c r="AO276" s="30"/>
      <c r="AP276" s="30"/>
      <c r="AQ276" s="30"/>
      <c r="AR276" s="30"/>
      <c r="AS276" s="30"/>
      <c r="AT276" s="30"/>
      <c r="AW276" s="30"/>
    </row>
    <row r="277" spans="1:49" s="6" customFormat="1" ht="13.8">
      <c r="A277" s="1768"/>
      <c r="B277" s="1769">
        <v>45138</v>
      </c>
      <c r="C277" s="1769" t="s">
        <v>17</v>
      </c>
      <c r="D277" s="1770" t="s">
        <v>34</v>
      </c>
      <c r="E277" s="1775">
        <f>$AF$12</f>
        <v>-8159</v>
      </c>
      <c r="F277" s="1771"/>
      <c r="G277" s="1771"/>
      <c r="H277" s="1771"/>
      <c r="I277" s="1771"/>
      <c r="J277" s="1771"/>
      <c r="K277" s="1771"/>
      <c r="L277" s="1771"/>
      <c r="M277" s="1771"/>
      <c r="N277" s="1771"/>
      <c r="O277" s="1771"/>
      <c r="P277" s="1771"/>
      <c r="Q277" s="1771"/>
      <c r="R277" s="1771"/>
      <c r="S277" s="1771"/>
      <c r="T277" s="1771"/>
      <c r="U277" s="1771"/>
      <c r="V277" s="1771"/>
      <c r="W277" s="1771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N277" s="30"/>
      <c r="AO277" s="30"/>
      <c r="AP277" s="30"/>
      <c r="AQ277" s="30"/>
      <c r="AR277" s="30"/>
      <c r="AS277" s="30"/>
      <c r="AT277" s="30"/>
      <c r="AW277" s="30"/>
    </row>
    <row r="278" spans="1:49" s="6" customFormat="1" ht="13.8">
      <c r="A278" s="1768"/>
      <c r="B278" s="1769">
        <v>45138</v>
      </c>
      <c r="C278" s="1769" t="s">
        <v>17</v>
      </c>
      <c r="D278" s="1770" t="s">
        <v>33</v>
      </c>
      <c r="E278" s="1775">
        <f>$AG$12</f>
        <v>-213</v>
      </c>
      <c r="F278" s="1771"/>
      <c r="G278" s="1771"/>
      <c r="H278" s="1771"/>
      <c r="I278" s="1771"/>
      <c r="J278" s="1771"/>
      <c r="K278" s="1771"/>
      <c r="L278" s="1771"/>
      <c r="M278" s="1771"/>
      <c r="N278" s="1771"/>
      <c r="O278" s="1771"/>
      <c r="P278" s="1771"/>
      <c r="Q278" s="1771"/>
      <c r="R278" s="1771"/>
      <c r="S278" s="1771"/>
      <c r="T278" s="1771"/>
      <c r="U278" s="1771"/>
      <c r="V278" s="1771"/>
      <c r="W278" s="1771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N278" s="30"/>
      <c r="AO278" s="30"/>
      <c r="AP278" s="30"/>
      <c r="AQ278" s="30"/>
      <c r="AR278" s="30"/>
      <c r="AS278" s="30"/>
      <c r="AT278" s="30"/>
      <c r="AW278" s="30"/>
    </row>
    <row r="279" spans="1:49" s="6" customFormat="1" ht="13.8">
      <c r="A279" s="1768"/>
      <c r="B279" s="1769">
        <v>45138</v>
      </c>
      <c r="C279" s="1769" t="s">
        <v>19</v>
      </c>
      <c r="D279" s="1770" t="s">
        <v>1466</v>
      </c>
      <c r="E279" s="1775">
        <v>778</v>
      </c>
      <c r="F279" s="1771"/>
      <c r="G279" s="1771">
        <v>419</v>
      </c>
      <c r="H279" s="1771"/>
      <c r="I279" s="1771"/>
      <c r="J279" s="1771"/>
      <c r="K279" s="1771"/>
      <c r="L279" s="1771"/>
      <c r="M279" s="1771"/>
      <c r="N279" s="1771"/>
      <c r="O279" s="1771"/>
      <c r="P279" s="1771"/>
      <c r="Q279" s="1771"/>
      <c r="R279" s="1771"/>
      <c r="S279" s="1771"/>
      <c r="T279" s="1771">
        <v>359</v>
      </c>
      <c r="U279" s="1771"/>
      <c r="V279" s="1771"/>
      <c r="W279" s="1771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N279" s="30"/>
      <c r="AO279" s="30"/>
      <c r="AP279" s="30"/>
      <c r="AQ279" s="30"/>
      <c r="AR279" s="30"/>
      <c r="AS279" s="30"/>
      <c r="AT279" s="30"/>
      <c r="AW279" s="30"/>
    </row>
    <row r="280" spans="1:49" s="6" customFormat="1" ht="13.8">
      <c r="A280" s="1768"/>
      <c r="B280" s="1769">
        <v>45138</v>
      </c>
      <c r="C280" s="1769" t="s">
        <v>17</v>
      </c>
      <c r="D280" s="1770" t="s">
        <v>29</v>
      </c>
      <c r="E280" s="1775">
        <v>69</v>
      </c>
      <c r="F280" s="1771">
        <f>$AS$12</f>
        <v>69</v>
      </c>
      <c r="G280" s="1771"/>
      <c r="H280" s="1771"/>
      <c r="I280" s="1771"/>
      <c r="J280" s="1771"/>
      <c r="K280" s="1771"/>
      <c r="L280" s="1771"/>
      <c r="M280" s="1771"/>
      <c r="N280" s="1771"/>
      <c r="O280" s="1771"/>
      <c r="P280" s="1771"/>
      <c r="Q280" s="1771"/>
      <c r="R280" s="1771"/>
      <c r="S280" s="1771"/>
      <c r="T280" s="1771"/>
      <c r="U280" s="1771"/>
      <c r="V280" s="1771"/>
      <c r="W280" s="1771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N280" s="30"/>
      <c r="AO280" s="30"/>
      <c r="AP280" s="30"/>
      <c r="AQ280" s="30"/>
      <c r="AR280" s="30"/>
      <c r="AS280" s="30"/>
      <c r="AT280" s="30"/>
      <c r="AW280" s="30"/>
    </row>
    <row r="281" spans="1:49" s="6" customFormat="1" ht="13.8">
      <c r="A281" s="1768"/>
      <c r="B281" s="1769">
        <v>45138</v>
      </c>
      <c r="C281" s="1769"/>
      <c r="D281" s="1770" t="s">
        <v>124</v>
      </c>
      <c r="E281" s="1775">
        <v>662</v>
      </c>
      <c r="F281" s="1771"/>
      <c r="G281" s="1771"/>
      <c r="H281" s="1771"/>
      <c r="I281" s="1771">
        <f>241.2+102.65+132.9+50</f>
        <v>526.75</v>
      </c>
      <c r="J281" s="1771">
        <f>23.55+112.1</f>
        <v>135.65</v>
      </c>
      <c r="K281" s="1771"/>
      <c r="L281" s="1771"/>
      <c r="M281" s="1771"/>
      <c r="N281" s="1771"/>
      <c r="O281" s="1771"/>
      <c r="P281" s="1771"/>
      <c r="Q281" s="1771"/>
      <c r="R281" s="1771"/>
      <c r="S281" s="1771"/>
      <c r="T281" s="1771"/>
      <c r="U281" s="1771"/>
      <c r="V281" s="1771"/>
      <c r="W281" s="1771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N281" s="30"/>
      <c r="AO281" s="30"/>
      <c r="AP281" s="30"/>
      <c r="AQ281" s="30"/>
      <c r="AR281" s="30"/>
      <c r="AS281" s="30"/>
      <c r="AT281" s="30"/>
      <c r="AW281" s="30"/>
    </row>
    <row r="282" spans="1:49" s="6" customFormat="1" ht="13.8">
      <c r="A282" s="1768"/>
      <c r="B282" s="1769">
        <v>45138</v>
      </c>
      <c r="C282" s="1769"/>
      <c r="D282" s="1770" t="s">
        <v>57</v>
      </c>
      <c r="E282" s="1775">
        <v>1000</v>
      </c>
      <c r="F282" s="1771"/>
      <c r="G282" s="1771"/>
      <c r="H282" s="1771"/>
      <c r="I282" s="1771"/>
      <c r="J282" s="1771"/>
      <c r="K282" s="1771"/>
      <c r="L282" s="1771"/>
      <c r="M282" s="1771"/>
      <c r="N282" s="1771"/>
      <c r="O282" s="1771"/>
      <c r="P282" s="1771"/>
      <c r="Q282" s="1771"/>
      <c r="R282" s="1771"/>
      <c r="S282" s="1771"/>
      <c r="T282" s="1771"/>
      <c r="U282" s="1771">
        <v>1000</v>
      </c>
      <c r="V282" s="1771"/>
      <c r="W282" s="1771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N282" s="30"/>
      <c r="AO282" s="30"/>
      <c r="AP282" s="30"/>
      <c r="AQ282" s="30"/>
      <c r="AR282" s="30"/>
      <c r="AS282" s="30"/>
      <c r="AT282" s="30"/>
      <c r="AW282" s="30"/>
    </row>
    <row r="283" spans="1:49" s="6" customFormat="1" ht="13.8">
      <c r="A283" s="1768"/>
      <c r="B283" s="1769">
        <v>45139</v>
      </c>
      <c r="C283" s="1769" t="s">
        <v>572</v>
      </c>
      <c r="D283" s="1770" t="s">
        <v>125</v>
      </c>
      <c r="E283" s="1775">
        <v>45</v>
      </c>
      <c r="F283" s="1771"/>
      <c r="G283" s="1771"/>
      <c r="H283" s="1771"/>
      <c r="I283" s="1771"/>
      <c r="J283" s="1771"/>
      <c r="K283" s="1771"/>
      <c r="L283" s="1771"/>
      <c r="M283" s="1771"/>
      <c r="N283" s="1771"/>
      <c r="O283" s="1771"/>
      <c r="P283" s="1771"/>
      <c r="Q283" s="1771">
        <v>45</v>
      </c>
      <c r="R283" s="1771"/>
      <c r="S283" s="1771"/>
      <c r="T283" s="1771"/>
      <c r="U283" s="1771"/>
      <c r="V283" s="1771"/>
      <c r="W283" s="1771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N283" s="30"/>
      <c r="AO283" s="30"/>
      <c r="AP283" s="30"/>
      <c r="AQ283" s="30"/>
      <c r="AR283" s="30"/>
      <c r="AS283" s="30"/>
      <c r="AT283" s="30"/>
      <c r="AW283" s="30"/>
    </row>
    <row r="284" spans="1:49" s="6" customFormat="1" ht="13.8">
      <c r="A284" s="1768"/>
      <c r="B284" s="1769">
        <v>45139</v>
      </c>
      <c r="C284" s="1769" t="s">
        <v>572</v>
      </c>
      <c r="D284" s="1770" t="s">
        <v>1352</v>
      </c>
      <c r="E284" s="1775">
        <v>944</v>
      </c>
      <c r="F284" s="1771"/>
      <c r="G284" s="1771"/>
      <c r="H284" s="1771"/>
      <c r="I284" s="1771"/>
      <c r="J284" s="1771"/>
      <c r="K284" s="1771"/>
      <c r="L284" s="1771"/>
      <c r="M284" s="1771"/>
      <c r="N284" s="1771">
        <v>944</v>
      </c>
      <c r="O284" s="1771"/>
      <c r="P284" s="1771"/>
      <c r="Q284" s="1771"/>
      <c r="R284" s="1771"/>
      <c r="S284" s="1771"/>
      <c r="T284" s="1771"/>
      <c r="U284" s="1771"/>
      <c r="V284" s="1771"/>
      <c r="W284" s="1771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N284" s="30"/>
      <c r="AO284" s="30"/>
      <c r="AP284" s="30"/>
      <c r="AQ284" s="30"/>
      <c r="AR284" s="30"/>
      <c r="AS284" s="30"/>
      <c r="AT284" s="30"/>
      <c r="AW284" s="30"/>
    </row>
    <row r="285" spans="1:49" s="6" customFormat="1" ht="13.8">
      <c r="A285" s="1768"/>
      <c r="B285" s="1769">
        <v>45139</v>
      </c>
      <c r="C285" s="1769" t="s">
        <v>572</v>
      </c>
      <c r="D285" s="1770" t="s">
        <v>27</v>
      </c>
      <c r="E285" s="1775">
        <v>2089</v>
      </c>
      <c r="F285" s="1771"/>
      <c r="G285" s="1771"/>
      <c r="H285" s="1771"/>
      <c r="I285" s="1771"/>
      <c r="J285" s="1771"/>
      <c r="K285" s="1771"/>
      <c r="L285" s="1771"/>
      <c r="M285" s="1771"/>
      <c r="N285" s="1771"/>
      <c r="O285" s="1771"/>
      <c r="P285" s="1771">
        <v>2088.75</v>
      </c>
      <c r="Q285" s="1771"/>
      <c r="R285" s="1771"/>
      <c r="S285" s="1771"/>
      <c r="T285" s="1771"/>
      <c r="U285" s="1771"/>
      <c r="V285" s="1771"/>
      <c r="W285" s="1771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N285" s="30"/>
      <c r="AO285" s="30"/>
      <c r="AP285" s="30"/>
      <c r="AQ285" s="30"/>
      <c r="AR285" s="30"/>
      <c r="AS285" s="30"/>
      <c r="AT285" s="30"/>
      <c r="AW285" s="30"/>
    </row>
    <row r="286" spans="1:49" s="6" customFormat="1" ht="13.8">
      <c r="A286" s="1768"/>
      <c r="B286" s="1769">
        <v>45139</v>
      </c>
      <c r="C286" s="1769" t="s">
        <v>17</v>
      </c>
      <c r="D286" s="1770" t="s">
        <v>30</v>
      </c>
      <c r="E286" s="1775">
        <v>4068</v>
      </c>
      <c r="F286" s="1771"/>
      <c r="G286" s="1771"/>
      <c r="H286" s="1771"/>
      <c r="I286" s="1771"/>
      <c r="J286" s="1771"/>
      <c r="K286" s="1771"/>
      <c r="L286" s="1771"/>
      <c r="M286" s="1771">
        <v>4068</v>
      </c>
      <c r="N286" s="1771"/>
      <c r="O286" s="1771"/>
      <c r="P286" s="1771"/>
      <c r="Q286" s="1771"/>
      <c r="R286" s="1771"/>
      <c r="S286" s="1771"/>
      <c r="T286" s="1771"/>
      <c r="U286" s="1771"/>
      <c r="V286" s="1771"/>
      <c r="W286" s="1771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N286" s="30"/>
      <c r="AO286" s="30"/>
      <c r="AP286" s="30"/>
      <c r="AQ286" s="30"/>
      <c r="AR286" s="30"/>
      <c r="AS286" s="30"/>
      <c r="AT286" s="30"/>
      <c r="AW286" s="30"/>
    </row>
    <row r="287" spans="1:49" s="6" customFormat="1" ht="13.8">
      <c r="A287" s="1768"/>
      <c r="B287" s="1769">
        <v>45139</v>
      </c>
      <c r="C287" s="1769" t="s">
        <v>17</v>
      </c>
      <c r="D287" s="1770" t="s">
        <v>22</v>
      </c>
      <c r="E287" s="1775">
        <v>227</v>
      </c>
      <c r="F287" s="1771"/>
      <c r="G287" s="1771"/>
      <c r="H287" s="1771"/>
      <c r="I287" s="1771"/>
      <c r="J287" s="1771"/>
      <c r="K287" s="1771"/>
      <c r="L287" s="1771"/>
      <c r="M287" s="1771"/>
      <c r="N287" s="1771"/>
      <c r="O287" s="1771"/>
      <c r="P287" s="1771">
        <v>227</v>
      </c>
      <c r="Q287" s="1771"/>
      <c r="R287" s="1771"/>
      <c r="S287" s="1771"/>
      <c r="T287" s="1771"/>
      <c r="U287" s="1771"/>
      <c r="V287" s="1771"/>
      <c r="W287" s="1771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N287" s="30"/>
      <c r="AO287" s="30"/>
      <c r="AP287" s="30"/>
      <c r="AQ287" s="30"/>
      <c r="AR287" s="30"/>
      <c r="AS287" s="30"/>
      <c r="AT287" s="30"/>
      <c r="AW287" s="30"/>
    </row>
    <row r="288" spans="1:49" s="6" customFormat="1" ht="13.8">
      <c r="A288" s="1768"/>
      <c r="B288" s="1769">
        <v>45139</v>
      </c>
      <c r="C288" s="1769" t="s">
        <v>17</v>
      </c>
      <c r="D288" s="1770" t="s">
        <v>28</v>
      </c>
      <c r="E288" s="1775">
        <v>200</v>
      </c>
      <c r="F288" s="1771">
        <f>$AR$12</f>
        <v>200</v>
      </c>
      <c r="G288" s="1771"/>
      <c r="H288" s="1771"/>
      <c r="I288" s="1771"/>
      <c r="J288" s="1771"/>
      <c r="K288" s="1771"/>
      <c r="L288" s="1771"/>
      <c r="M288" s="1771"/>
      <c r="N288" s="1771"/>
      <c r="O288" s="1771"/>
      <c r="P288" s="1771"/>
      <c r="Q288" s="1771"/>
      <c r="R288" s="1771"/>
      <c r="S288" s="1771"/>
      <c r="T288" s="1771"/>
      <c r="U288" s="1771"/>
      <c r="V288" s="1771"/>
      <c r="W288" s="1771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N288" s="30"/>
      <c r="AO288" s="30"/>
      <c r="AP288" s="30"/>
      <c r="AQ288" s="30"/>
      <c r="AR288" s="30"/>
      <c r="AS288" s="30"/>
      <c r="AT288" s="30"/>
      <c r="AW288" s="30"/>
    </row>
    <row r="289" spans="1:51" s="6" customFormat="1" ht="13.8">
      <c r="A289" s="1768"/>
      <c r="B289" s="1769">
        <v>45140</v>
      </c>
      <c r="C289" s="1769" t="s">
        <v>17</v>
      </c>
      <c r="D289" s="1770" t="s">
        <v>21</v>
      </c>
      <c r="E289" s="1775">
        <v>436</v>
      </c>
      <c r="F289" s="1771"/>
      <c r="G289" s="1771"/>
      <c r="H289" s="1771"/>
      <c r="I289" s="1771"/>
      <c r="J289" s="1771"/>
      <c r="K289" s="1771"/>
      <c r="L289" s="1771"/>
      <c r="M289" s="1771"/>
      <c r="N289" s="1771"/>
      <c r="O289" s="1771"/>
      <c r="P289" s="1771">
        <v>435.98</v>
      </c>
      <c r="Q289" s="1771"/>
      <c r="R289" s="1771"/>
      <c r="S289" s="1771"/>
      <c r="T289" s="1771"/>
      <c r="U289" s="1771"/>
      <c r="V289" s="1771"/>
      <c r="W289" s="1771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N289" s="30"/>
      <c r="AO289" s="30"/>
      <c r="AP289" s="30"/>
      <c r="AQ289" s="30"/>
      <c r="AR289" s="30"/>
      <c r="AS289" s="30"/>
      <c r="AT289" s="30"/>
      <c r="AW289" s="30"/>
    </row>
    <row r="290" spans="1:51" s="6" customFormat="1" ht="13.8">
      <c r="A290" s="1768"/>
      <c r="B290" s="1769">
        <v>45140</v>
      </c>
      <c r="C290" s="1769"/>
      <c r="D290" s="1770" t="s">
        <v>379</v>
      </c>
      <c r="E290" s="1775">
        <v>500</v>
      </c>
      <c r="F290" s="1771"/>
      <c r="G290" s="1771"/>
      <c r="H290" s="1771"/>
      <c r="I290" s="1771"/>
      <c r="J290" s="1771"/>
      <c r="K290" s="1771"/>
      <c r="L290" s="1771"/>
      <c r="M290" s="1771"/>
      <c r="N290" s="1771"/>
      <c r="O290" s="1771"/>
      <c r="P290" s="1771"/>
      <c r="Q290" s="1771"/>
      <c r="R290" s="1771">
        <v>500</v>
      </c>
      <c r="S290" s="1771"/>
      <c r="T290" s="1771"/>
      <c r="U290" s="1771"/>
      <c r="V290" s="1771"/>
      <c r="W290" s="1771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N290" s="30"/>
      <c r="AO290" s="30"/>
      <c r="AP290" s="30"/>
      <c r="AQ290" s="30"/>
      <c r="AR290" s="30"/>
      <c r="AS290" s="30"/>
      <c r="AT290" s="30"/>
      <c r="AW290" s="30"/>
    </row>
    <row r="291" spans="1:51" s="6" customFormat="1" ht="13.8">
      <c r="A291" s="1768"/>
      <c r="B291" s="1769">
        <v>45143</v>
      </c>
      <c r="C291" s="1769" t="s">
        <v>19</v>
      </c>
      <c r="D291" s="1770" t="s">
        <v>23</v>
      </c>
      <c r="E291" s="1775">
        <v>395</v>
      </c>
      <c r="F291" s="1771"/>
      <c r="G291" s="1771"/>
      <c r="H291" s="1771"/>
      <c r="I291" s="1771"/>
      <c r="J291" s="1771"/>
      <c r="K291" s="1771"/>
      <c r="L291" s="1771"/>
      <c r="M291" s="1771"/>
      <c r="N291" s="1771"/>
      <c r="O291" s="1771"/>
      <c r="P291" s="1771"/>
      <c r="Q291" s="1771">
        <f>60+90+125+120</f>
        <v>395</v>
      </c>
      <c r="R291" s="1771"/>
      <c r="S291" s="1771"/>
      <c r="T291" s="1771"/>
      <c r="U291" s="1771"/>
      <c r="V291" s="1771"/>
      <c r="W291" s="1771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N291" s="30"/>
      <c r="AO291" s="30"/>
      <c r="AP291" s="30"/>
      <c r="AQ291" s="30"/>
      <c r="AR291" s="30"/>
      <c r="AS291" s="30"/>
      <c r="AT291" s="30"/>
      <c r="AW291" s="30"/>
    </row>
    <row r="292" spans="1:51" s="6" customFormat="1" ht="13.8">
      <c r="A292" s="1768"/>
      <c r="B292" s="1769">
        <v>45143</v>
      </c>
      <c r="C292" s="1769" t="s">
        <v>17</v>
      </c>
      <c r="D292" s="1770" t="s">
        <v>620</v>
      </c>
      <c r="E292" s="1775">
        <v>347.11</v>
      </c>
      <c r="F292" s="1771">
        <f>$AK$12</f>
        <v>62</v>
      </c>
      <c r="G292" s="1771"/>
      <c r="H292" s="1771"/>
      <c r="I292" s="1771"/>
      <c r="J292" s="1771"/>
      <c r="K292" s="1771"/>
      <c r="L292" s="1771"/>
      <c r="M292" s="1771"/>
      <c r="N292" s="1771"/>
      <c r="O292" s="1771">
        <v>287.11</v>
      </c>
      <c r="P292" s="1771"/>
      <c r="Q292" s="1771"/>
      <c r="R292" s="1771"/>
      <c r="S292" s="1771"/>
      <c r="T292" s="1771"/>
      <c r="U292" s="1771"/>
      <c r="V292" s="1771"/>
      <c r="W292" s="1771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N292" s="30"/>
      <c r="AO292" s="30"/>
      <c r="AP292" s="30"/>
      <c r="AQ292" s="30"/>
      <c r="AR292" s="30"/>
      <c r="AS292" s="30"/>
      <c r="AT292" s="30"/>
      <c r="AW292" s="30"/>
    </row>
    <row r="293" spans="1:51" s="6" customFormat="1" ht="13.8">
      <c r="A293" s="1768"/>
      <c r="B293" s="1769">
        <v>45146</v>
      </c>
      <c r="C293" s="1769"/>
      <c r="D293" s="1770" t="s">
        <v>1354</v>
      </c>
      <c r="E293" s="1775">
        <v>69</v>
      </c>
      <c r="F293" s="1771"/>
      <c r="G293" s="1771"/>
      <c r="H293" s="1771"/>
      <c r="I293" s="1771"/>
      <c r="J293" s="1771"/>
      <c r="K293" s="1771"/>
      <c r="L293" s="1771"/>
      <c r="M293" s="1771"/>
      <c r="N293" s="1771"/>
      <c r="O293" s="1771"/>
      <c r="P293" s="1771">
        <v>69</v>
      </c>
      <c r="Q293" s="1771"/>
      <c r="R293" s="1771"/>
      <c r="S293" s="1771"/>
      <c r="T293" s="1771"/>
      <c r="U293" s="1771"/>
      <c r="V293" s="1771"/>
      <c r="W293" s="1771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N293" s="30"/>
      <c r="AO293" s="30"/>
      <c r="AP293" s="30"/>
      <c r="AQ293" s="30"/>
      <c r="AR293" s="30"/>
      <c r="AS293" s="30"/>
      <c r="AT293" s="30"/>
      <c r="AW293" s="30"/>
    </row>
    <row r="294" spans="1:51" s="6" customFormat="1" ht="13.8">
      <c r="A294" s="1768"/>
      <c r="B294" s="1769">
        <v>45162</v>
      </c>
      <c r="C294" s="1769"/>
      <c r="D294" s="1770" t="s">
        <v>167</v>
      </c>
      <c r="E294" s="1775">
        <v>310</v>
      </c>
      <c r="F294" s="1771"/>
      <c r="G294" s="1771"/>
      <c r="H294" s="1771"/>
      <c r="I294" s="1771"/>
      <c r="J294" s="1771"/>
      <c r="K294" s="1771"/>
      <c r="L294" s="1771"/>
      <c r="M294" s="1771"/>
      <c r="N294" s="1771"/>
      <c r="O294" s="1771"/>
      <c r="P294" s="1771"/>
      <c r="Q294" s="1771"/>
      <c r="R294" s="1771"/>
      <c r="S294" s="1771"/>
      <c r="T294" s="1771"/>
      <c r="U294" s="1771"/>
      <c r="V294" s="1771"/>
      <c r="W294" s="1771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N294" s="30"/>
      <c r="AO294" s="30"/>
      <c r="AP294" s="30"/>
      <c r="AQ294" s="30"/>
      <c r="AR294" s="30"/>
      <c r="AS294" s="30"/>
      <c r="AT294" s="30"/>
      <c r="AW294" s="30"/>
    </row>
    <row r="295" spans="1:51" s="6" customFormat="1" ht="13.8">
      <c r="A295" s="1768"/>
      <c r="B295" s="1769"/>
      <c r="C295" s="1769"/>
      <c r="D295" s="1770"/>
      <c r="E295" s="1775"/>
      <c r="F295" s="1771"/>
      <c r="G295" s="1771"/>
      <c r="H295" s="1771"/>
      <c r="I295" s="1771"/>
      <c r="J295" s="1771"/>
      <c r="K295" s="1771"/>
      <c r="L295" s="1771"/>
      <c r="M295" s="1771"/>
      <c r="N295" s="1771"/>
      <c r="O295" s="1771"/>
      <c r="P295" s="1771"/>
      <c r="Q295" s="1771"/>
      <c r="R295" s="1771"/>
      <c r="S295" s="1771"/>
      <c r="T295" s="1771"/>
      <c r="U295" s="1771"/>
      <c r="V295" s="1771"/>
      <c r="W295" s="1771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N295" s="30"/>
      <c r="AO295" s="30"/>
      <c r="AP295" s="30"/>
      <c r="AQ295" s="30"/>
      <c r="AR295" s="30"/>
      <c r="AS295" s="30"/>
      <c r="AT295" s="30"/>
      <c r="AW295" s="30"/>
    </row>
    <row r="296" spans="1:51" s="6" customFormat="1" ht="13.8">
      <c r="A296" s="1768"/>
      <c r="B296" s="1769"/>
      <c r="C296" s="1769"/>
      <c r="D296" s="1770" t="s">
        <v>42</v>
      </c>
      <c r="E296" s="1775">
        <v>2125</v>
      </c>
      <c r="F296" s="1771"/>
      <c r="G296" s="1771">
        <v>130</v>
      </c>
      <c r="H296" s="1771">
        <v>1955</v>
      </c>
      <c r="I296" s="1771"/>
      <c r="J296" s="1771"/>
      <c r="K296" s="1771"/>
      <c r="L296" s="1771">
        <v>40</v>
      </c>
      <c r="M296" s="1771"/>
      <c r="N296" s="1771"/>
      <c r="O296" s="1771"/>
      <c r="P296" s="1771"/>
      <c r="Q296" s="1771"/>
      <c r="R296" s="1771"/>
      <c r="S296" s="1771"/>
      <c r="T296" s="1771"/>
      <c r="U296" s="1771"/>
      <c r="V296" s="1771"/>
      <c r="W296" s="1771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N296" s="30"/>
      <c r="AO296" s="30"/>
      <c r="AP296" s="30"/>
      <c r="AQ296" s="30"/>
      <c r="AR296" s="30"/>
      <c r="AS296" s="30"/>
      <c r="AT296" s="30"/>
      <c r="AW296" s="30"/>
    </row>
    <row r="297" spans="1:51" s="6" customFormat="1" ht="13.8">
      <c r="A297" s="1768"/>
      <c r="B297" s="1769"/>
      <c r="C297" s="1769"/>
      <c r="D297" s="1770" t="s">
        <v>41</v>
      </c>
      <c r="E297" s="1775">
        <v>146</v>
      </c>
      <c r="F297" s="1771"/>
      <c r="G297" s="1771"/>
      <c r="H297" s="1771">
        <v>146</v>
      </c>
      <c r="I297" s="1771"/>
      <c r="J297" s="1771"/>
      <c r="K297" s="1771"/>
      <c r="L297" s="1771"/>
      <c r="M297" s="1771"/>
      <c r="N297" s="1771"/>
      <c r="O297" s="1771"/>
      <c r="P297" s="1771"/>
      <c r="Q297" s="1771"/>
      <c r="R297" s="1771"/>
      <c r="S297" s="1771"/>
      <c r="T297" s="1771"/>
      <c r="U297" s="1771"/>
      <c r="V297" s="1771"/>
      <c r="W297" s="1771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N297" s="30"/>
      <c r="AO297" s="30"/>
      <c r="AP297" s="30"/>
      <c r="AQ297" s="30"/>
      <c r="AR297" s="30"/>
      <c r="AS297" s="30"/>
      <c r="AT297" s="30"/>
      <c r="AW297" s="30"/>
    </row>
    <row r="298" spans="1:51" s="6" customFormat="1" ht="13.8">
      <c r="A298" s="1768"/>
      <c r="B298" s="1769"/>
      <c r="C298" s="1769"/>
      <c r="D298" s="1770" t="s">
        <v>1348</v>
      </c>
      <c r="E298" s="1775">
        <v>1484</v>
      </c>
      <c r="F298" s="1771"/>
      <c r="G298" s="1771">
        <v>40</v>
      </c>
      <c r="H298" s="1771">
        <v>690</v>
      </c>
      <c r="I298" s="1771"/>
      <c r="J298" s="1771"/>
      <c r="K298" s="1771">
        <v>682</v>
      </c>
      <c r="L298" s="1771">
        <v>72</v>
      </c>
      <c r="M298" s="1771"/>
      <c r="N298" s="1771"/>
      <c r="O298" s="1771"/>
      <c r="P298" s="1771"/>
      <c r="Q298" s="1771"/>
      <c r="R298" s="1771"/>
      <c r="S298" s="1771"/>
      <c r="T298" s="1771"/>
      <c r="U298" s="1771"/>
      <c r="V298" s="1771"/>
      <c r="W298" s="1771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N298" s="30"/>
      <c r="AO298" s="30"/>
      <c r="AP298" s="30"/>
      <c r="AQ298" s="30"/>
      <c r="AR298" s="30"/>
      <c r="AS298" s="30"/>
      <c r="AT298" s="30"/>
      <c r="AW298" s="30"/>
    </row>
    <row r="299" spans="1:51" s="6" customFormat="1" ht="13.8">
      <c r="A299" s="1768"/>
      <c r="B299" s="1769"/>
      <c r="C299" s="1769"/>
      <c r="D299" s="1770" t="s">
        <v>39</v>
      </c>
      <c r="E299" s="1775">
        <v>0</v>
      </c>
      <c r="F299" s="1771"/>
      <c r="G299" s="1771"/>
      <c r="H299" s="1771"/>
      <c r="I299" s="1771"/>
      <c r="J299" s="1771"/>
      <c r="K299" s="1771"/>
      <c r="L299" s="1771"/>
      <c r="M299" s="1771"/>
      <c r="N299" s="1771"/>
      <c r="O299" s="1771"/>
      <c r="P299" s="1771"/>
      <c r="Q299" s="1771"/>
      <c r="R299" s="1771"/>
      <c r="S299" s="1771"/>
      <c r="T299" s="1771"/>
      <c r="U299" s="1771"/>
      <c r="V299" s="1771"/>
      <c r="W299" s="1771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N299" s="30"/>
      <c r="AO299" s="30"/>
      <c r="AP299" s="30"/>
      <c r="AQ299" s="30"/>
      <c r="AR299" s="30"/>
      <c r="AS299" s="30"/>
      <c r="AT299" s="30"/>
      <c r="AW299" s="30"/>
    </row>
    <row r="300" spans="1:51" s="6" customFormat="1" ht="13.8">
      <c r="A300" s="1768"/>
      <c r="B300" s="1769"/>
      <c r="C300" s="1769"/>
      <c r="D300" s="1770" t="s">
        <v>123</v>
      </c>
      <c r="E300" s="1775">
        <v>1282</v>
      </c>
      <c r="F300" s="1771"/>
      <c r="G300" s="1771"/>
      <c r="H300" s="1771">
        <v>1186</v>
      </c>
      <c r="I300" s="1771"/>
      <c r="J300" s="1771"/>
      <c r="K300" s="1771"/>
      <c r="L300" s="1771">
        <v>96</v>
      </c>
      <c r="M300" s="1771"/>
      <c r="N300" s="1771"/>
      <c r="O300" s="1771"/>
      <c r="P300" s="1771"/>
      <c r="Q300" s="1771"/>
      <c r="R300" s="1771"/>
      <c r="S300" s="1771"/>
      <c r="T300" s="1771"/>
      <c r="U300" s="1771"/>
      <c r="V300" s="1771"/>
      <c r="W300" s="1771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N300" s="30"/>
      <c r="AO300" s="30"/>
      <c r="AP300" s="30"/>
      <c r="AQ300" s="30"/>
      <c r="AR300" s="30"/>
      <c r="AS300" s="30"/>
      <c r="AT300" s="30"/>
      <c r="AW300" s="30"/>
    </row>
    <row r="301" spans="1:51" s="6" customFormat="1" ht="13.8">
      <c r="A301" s="1768"/>
      <c r="B301" s="1769"/>
      <c r="C301" s="1769"/>
      <c r="D301" s="1770" t="s">
        <v>37</v>
      </c>
      <c r="E301" s="1775">
        <v>1374</v>
      </c>
      <c r="F301" s="1771"/>
      <c r="G301" s="1771">
        <v>1075</v>
      </c>
      <c r="H301" s="1771"/>
      <c r="I301" s="1771"/>
      <c r="J301" s="1771"/>
      <c r="K301" s="1771"/>
      <c r="L301" s="1771"/>
      <c r="M301" s="1771"/>
      <c r="N301" s="1771"/>
      <c r="O301" s="1771">
        <v>299</v>
      </c>
      <c r="P301" s="1771"/>
      <c r="Q301" s="1771"/>
      <c r="R301" s="1771">
        <v>300</v>
      </c>
      <c r="S301" s="1771"/>
      <c r="T301" s="1771"/>
      <c r="U301" s="1771"/>
      <c r="V301" s="1771"/>
      <c r="W301" s="1771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N301" s="30"/>
      <c r="AO301" s="30"/>
      <c r="AP301" s="30"/>
      <c r="AQ301" s="30"/>
      <c r="AR301" s="30"/>
      <c r="AS301" s="30"/>
      <c r="AT301" s="30"/>
      <c r="AW301" s="30"/>
    </row>
    <row r="302" spans="1:51" s="26" customFormat="1" ht="12" customHeight="1">
      <c r="A302" s="29"/>
      <c r="B302" s="2889" t="str">
        <f>K7</f>
        <v>August</v>
      </c>
      <c r="C302" s="1013">
        <v>45138</v>
      </c>
      <c r="D302" s="2895" t="s">
        <v>36</v>
      </c>
      <c r="E302" s="2924">
        <f>SUM(E303:E304)</f>
        <v>0</v>
      </c>
      <c r="F302" s="2924">
        <f t="shared" ref="F302:W302" si="38">SUM(F303:F304)</f>
        <v>0</v>
      </c>
      <c r="G302" s="2924">
        <f t="shared" si="38"/>
        <v>0</v>
      </c>
      <c r="H302" s="2924">
        <f t="shared" si="38"/>
        <v>0</v>
      </c>
      <c r="I302" s="2924">
        <f t="shared" si="38"/>
        <v>0</v>
      </c>
      <c r="J302" s="2924">
        <f t="shared" si="38"/>
        <v>0</v>
      </c>
      <c r="K302" s="2924">
        <f t="shared" si="38"/>
        <v>0</v>
      </c>
      <c r="L302" s="2924">
        <f t="shared" si="38"/>
        <v>0</v>
      </c>
      <c r="M302" s="2924">
        <f t="shared" si="38"/>
        <v>0</v>
      </c>
      <c r="N302" s="2924">
        <f t="shared" si="38"/>
        <v>0</v>
      </c>
      <c r="O302" s="2924">
        <f t="shared" si="38"/>
        <v>0</v>
      </c>
      <c r="P302" s="2924">
        <f t="shared" si="38"/>
        <v>0</v>
      </c>
      <c r="Q302" s="2924">
        <f t="shared" si="38"/>
        <v>0</v>
      </c>
      <c r="R302" s="2924">
        <f t="shared" si="38"/>
        <v>0</v>
      </c>
      <c r="S302" s="2924">
        <f t="shared" si="38"/>
        <v>0</v>
      </c>
      <c r="T302" s="2924">
        <f t="shared" si="38"/>
        <v>0</v>
      </c>
      <c r="U302" s="2924">
        <f t="shared" si="38"/>
        <v>0</v>
      </c>
      <c r="V302" s="2924">
        <f t="shared" si="38"/>
        <v>0</v>
      </c>
      <c r="W302" s="2924">
        <f t="shared" si="38"/>
        <v>0</v>
      </c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9"/>
      <c r="AV302" s="9"/>
      <c r="AW302" s="10"/>
      <c r="AX302" s="9"/>
      <c r="AY302" s="9"/>
    </row>
    <row r="303" spans="1:51" s="26" customFormat="1" ht="12" customHeight="1">
      <c r="A303" s="29"/>
      <c r="B303" s="2890"/>
      <c r="C303" s="1014"/>
      <c r="D303" s="2896"/>
      <c r="E303" s="2925"/>
      <c r="F303" s="2925"/>
      <c r="G303" s="2925"/>
      <c r="H303" s="2925"/>
      <c r="I303" s="2925"/>
      <c r="J303" s="2925"/>
      <c r="K303" s="2925"/>
      <c r="L303" s="2925"/>
      <c r="M303" s="2925"/>
      <c r="N303" s="2925"/>
      <c r="O303" s="2925"/>
      <c r="P303" s="2925"/>
      <c r="Q303" s="2925"/>
      <c r="R303" s="2925"/>
      <c r="S303" s="2925"/>
      <c r="T303" s="2925"/>
      <c r="U303" s="2925"/>
      <c r="V303" s="2925"/>
      <c r="W303" s="2925"/>
      <c r="X303" s="995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9"/>
      <c r="AV303" s="9"/>
      <c r="AW303" s="10"/>
      <c r="AX303" s="9"/>
      <c r="AY303" s="9"/>
    </row>
    <row r="305" spans="1:49" s="1005" customFormat="1" ht="12" customHeight="1">
      <c r="A305" s="1002"/>
      <c r="B305" s="1009"/>
      <c r="C305" s="2893" t="s">
        <v>1120</v>
      </c>
      <c r="D305" s="2894"/>
      <c r="E305" s="1723">
        <f t="shared" ref="E305:W305" si="39">SUM(E306:E306)</f>
        <v>0</v>
      </c>
      <c r="F305" s="1012">
        <f t="shared" si="39"/>
        <v>0</v>
      </c>
      <c r="G305" s="1012">
        <f t="shared" si="39"/>
        <v>0</v>
      </c>
      <c r="H305" s="1012">
        <f t="shared" si="39"/>
        <v>0</v>
      </c>
      <c r="I305" s="1012">
        <f t="shared" si="39"/>
        <v>0</v>
      </c>
      <c r="J305" s="1012">
        <f t="shared" si="39"/>
        <v>0</v>
      </c>
      <c r="K305" s="1012">
        <f t="shared" si="39"/>
        <v>0</v>
      </c>
      <c r="L305" s="1012">
        <f t="shared" si="39"/>
        <v>0</v>
      </c>
      <c r="M305" s="1012">
        <f t="shared" si="39"/>
        <v>0</v>
      </c>
      <c r="N305" s="1012">
        <f t="shared" si="39"/>
        <v>0</v>
      </c>
      <c r="O305" s="1012">
        <f t="shared" si="39"/>
        <v>0</v>
      </c>
      <c r="P305" s="1012">
        <f t="shared" si="39"/>
        <v>0</v>
      </c>
      <c r="Q305" s="1012">
        <f t="shared" si="39"/>
        <v>0</v>
      </c>
      <c r="R305" s="1012">
        <f t="shared" si="39"/>
        <v>0</v>
      </c>
      <c r="S305" s="1012">
        <f t="shared" si="39"/>
        <v>0</v>
      </c>
      <c r="T305" s="1012">
        <f t="shared" si="39"/>
        <v>0</v>
      </c>
      <c r="U305" s="1012">
        <f t="shared" si="39"/>
        <v>0</v>
      </c>
      <c r="V305" s="1012">
        <f t="shared" si="39"/>
        <v>0</v>
      </c>
      <c r="W305" s="1012">
        <f t="shared" si="39"/>
        <v>0</v>
      </c>
      <c r="X305" s="90"/>
      <c r="Y305" s="1003"/>
      <c r="Z305" s="1003"/>
      <c r="AA305" s="1003"/>
      <c r="AB305" s="1003"/>
      <c r="AC305" s="1003"/>
      <c r="AD305" s="1003"/>
      <c r="AE305" s="1003"/>
      <c r="AF305" s="1003"/>
      <c r="AG305" s="1003"/>
      <c r="AH305" s="1003"/>
      <c r="AI305" s="1004"/>
      <c r="AJ305" s="1004"/>
      <c r="AK305" s="1004"/>
      <c r="AL305" s="1004"/>
      <c r="AM305" s="1003"/>
      <c r="AN305" s="1003"/>
      <c r="AO305" s="1003"/>
      <c r="AP305" s="1003"/>
      <c r="AQ305" s="1003"/>
      <c r="AR305" s="1003"/>
      <c r="AS305" s="1003"/>
      <c r="AT305" s="1003"/>
      <c r="AU305" s="1003"/>
      <c r="AV305" s="1003"/>
      <c r="AW305" s="1003"/>
    </row>
    <row r="306" spans="1:49" s="90" customFormat="1" ht="13.8">
      <c r="A306" s="973"/>
      <c r="B306" s="974"/>
      <c r="C306" s="977"/>
      <c r="D306" s="978"/>
      <c r="E306" s="1774"/>
      <c r="F306" s="976"/>
      <c r="G306" s="976"/>
      <c r="H306" s="976"/>
      <c r="I306" s="976"/>
      <c r="J306" s="976"/>
      <c r="K306" s="976"/>
      <c r="L306" s="976"/>
      <c r="M306" s="976"/>
      <c r="N306" s="976"/>
      <c r="O306" s="976"/>
      <c r="P306" s="976"/>
      <c r="Q306" s="976"/>
      <c r="R306" s="976"/>
      <c r="S306" s="976"/>
      <c r="T306" s="976"/>
      <c r="U306" s="976"/>
      <c r="V306" s="976"/>
      <c r="W306" s="976"/>
    </row>
    <row r="307" spans="1:49" s="35" customFormat="1" ht="13.5" customHeight="1">
      <c r="A307" s="39"/>
      <c r="B307" s="979" t="str">
        <f>L7</f>
        <v>September</v>
      </c>
      <c r="C307" s="980">
        <v>44805</v>
      </c>
      <c r="D307" s="981"/>
      <c r="E307" s="1724">
        <f t="shared" ref="E307:U307" si="40">SUM(E308:E335)</f>
        <v>-2514.5500000000002</v>
      </c>
      <c r="F307" s="982">
        <f t="shared" si="40"/>
        <v>131</v>
      </c>
      <c r="G307" s="982">
        <f t="shared" si="40"/>
        <v>2996.5</v>
      </c>
      <c r="H307" s="982">
        <f t="shared" si="40"/>
        <v>2483.9499999999998</v>
      </c>
      <c r="I307" s="982">
        <f t="shared" si="40"/>
        <v>474.25</v>
      </c>
      <c r="J307" s="982">
        <f t="shared" si="40"/>
        <v>0</v>
      </c>
      <c r="K307" s="982">
        <f t="shared" si="40"/>
        <v>599</v>
      </c>
      <c r="L307" s="982">
        <f t="shared" si="40"/>
        <v>287.55</v>
      </c>
      <c r="M307" s="982">
        <f t="shared" si="40"/>
        <v>4068</v>
      </c>
      <c r="N307" s="982">
        <f t="shared" si="40"/>
        <v>944</v>
      </c>
      <c r="O307" s="982">
        <f t="shared" si="40"/>
        <v>1710.87</v>
      </c>
      <c r="P307" s="982">
        <f t="shared" si="40"/>
        <v>1489.75</v>
      </c>
      <c r="Q307" s="982">
        <f t="shared" si="40"/>
        <v>305</v>
      </c>
      <c r="R307" s="982">
        <f t="shared" si="40"/>
        <v>0</v>
      </c>
      <c r="S307" s="982">
        <f t="shared" si="40"/>
        <v>588</v>
      </c>
      <c r="T307" s="982">
        <f t="shared" si="40"/>
        <v>2359</v>
      </c>
      <c r="U307" s="982">
        <f t="shared" si="40"/>
        <v>0</v>
      </c>
      <c r="V307" s="982"/>
      <c r="W307" s="982"/>
      <c r="X307" s="10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2"/>
      <c r="AP307" s="12"/>
      <c r="AQ307" s="12"/>
      <c r="AR307" s="12"/>
      <c r="AW307" s="12"/>
    </row>
    <row r="308" spans="1:49" s="6" customFormat="1" ht="13.8">
      <c r="A308" s="1768"/>
      <c r="B308" s="1769">
        <v>45169</v>
      </c>
      <c r="C308" s="1769" t="s">
        <v>17</v>
      </c>
      <c r="D308" s="1770" t="s">
        <v>33</v>
      </c>
      <c r="E308" s="1775">
        <f>$AG$12</f>
        <v>-213</v>
      </c>
      <c r="F308" s="1771"/>
      <c r="G308" s="1771"/>
      <c r="H308" s="1771"/>
      <c r="I308" s="1771"/>
      <c r="J308" s="1771"/>
      <c r="K308" s="1771"/>
      <c r="L308" s="1771"/>
      <c r="M308" s="1771"/>
      <c r="N308" s="1771"/>
      <c r="O308" s="1771"/>
      <c r="P308" s="1771"/>
      <c r="Q308" s="1771"/>
      <c r="R308" s="1771"/>
      <c r="S308" s="1771"/>
      <c r="T308" s="1771"/>
      <c r="U308" s="1771"/>
      <c r="V308" s="1771"/>
      <c r="W308" s="1771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N308" s="30"/>
      <c r="AO308" s="30"/>
      <c r="AP308" s="30"/>
      <c r="AQ308" s="30"/>
      <c r="AR308" s="30"/>
      <c r="AS308" s="30"/>
      <c r="AT308" s="30"/>
      <c r="AW308" s="30"/>
    </row>
    <row r="309" spans="1:49" s="6" customFormat="1" ht="13.8">
      <c r="A309" s="1768"/>
      <c r="B309" s="1769">
        <v>45169</v>
      </c>
      <c r="C309" s="1769" t="s">
        <v>17</v>
      </c>
      <c r="D309" s="1770" t="s">
        <v>35</v>
      </c>
      <c r="E309" s="1775">
        <f>$AE$12</f>
        <v>-11843</v>
      </c>
      <c r="F309" s="1771"/>
      <c r="G309" s="1771"/>
      <c r="H309" s="1771"/>
      <c r="I309" s="1771"/>
      <c r="J309" s="1771"/>
      <c r="K309" s="1771"/>
      <c r="L309" s="1771"/>
      <c r="M309" s="1771"/>
      <c r="N309" s="1771"/>
      <c r="O309" s="1771"/>
      <c r="P309" s="1771"/>
      <c r="Q309" s="1771"/>
      <c r="R309" s="1771"/>
      <c r="S309" s="1771"/>
      <c r="T309" s="1771"/>
      <c r="U309" s="1771"/>
      <c r="V309" s="1771"/>
      <c r="W309" s="1771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N309" s="30"/>
      <c r="AO309" s="30"/>
      <c r="AP309" s="30"/>
      <c r="AQ309" s="30"/>
      <c r="AR309" s="30"/>
      <c r="AS309" s="30"/>
      <c r="AT309" s="30"/>
      <c r="AW309" s="30"/>
    </row>
    <row r="310" spans="1:49" s="6" customFormat="1" ht="13.8">
      <c r="A310" s="1768"/>
      <c r="B310" s="1769">
        <v>45169</v>
      </c>
      <c r="C310" s="1769" t="s">
        <v>17</v>
      </c>
      <c r="D310" s="1770" t="s">
        <v>34</v>
      </c>
      <c r="E310" s="1775">
        <f>$AF$12</f>
        <v>-8159</v>
      </c>
      <c r="F310" s="1771"/>
      <c r="G310" s="1771"/>
      <c r="H310" s="1771"/>
      <c r="I310" s="1771"/>
      <c r="J310" s="1771"/>
      <c r="K310" s="1771"/>
      <c r="L310" s="1771"/>
      <c r="M310" s="1771"/>
      <c r="N310" s="1771"/>
      <c r="O310" s="1771"/>
      <c r="P310" s="1771"/>
      <c r="Q310" s="1771"/>
      <c r="R310" s="1771"/>
      <c r="S310" s="1771"/>
      <c r="T310" s="1771"/>
      <c r="U310" s="1771"/>
      <c r="V310" s="1771"/>
      <c r="W310" s="1771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N310" s="30"/>
      <c r="AO310" s="30"/>
      <c r="AP310" s="30"/>
      <c r="AQ310" s="30"/>
      <c r="AR310" s="30"/>
      <c r="AS310" s="30"/>
      <c r="AT310" s="30"/>
      <c r="AW310" s="30"/>
    </row>
    <row r="311" spans="1:49" s="6" customFormat="1" ht="13.8">
      <c r="A311" s="1768"/>
      <c r="B311" s="1769">
        <v>45169</v>
      </c>
      <c r="C311" s="1769" t="s">
        <v>19</v>
      </c>
      <c r="D311" s="1770" t="s">
        <v>1466</v>
      </c>
      <c r="E311" s="1775">
        <v>788</v>
      </c>
      <c r="F311" s="1771"/>
      <c r="G311" s="1771">
        <v>429</v>
      </c>
      <c r="H311" s="1771"/>
      <c r="I311" s="1771"/>
      <c r="J311" s="1771"/>
      <c r="K311" s="1771"/>
      <c r="L311" s="1771"/>
      <c r="M311" s="1771"/>
      <c r="N311" s="1771"/>
      <c r="O311" s="1771"/>
      <c r="P311" s="1771"/>
      <c r="Q311" s="1771"/>
      <c r="R311" s="1771"/>
      <c r="S311" s="1771"/>
      <c r="T311" s="1771">
        <f>$AQ$12</f>
        <v>359</v>
      </c>
      <c r="U311" s="1771"/>
      <c r="V311" s="1771"/>
      <c r="W311" s="1771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N311" s="30"/>
      <c r="AO311" s="30"/>
      <c r="AP311" s="30"/>
      <c r="AQ311" s="30"/>
      <c r="AR311" s="30"/>
      <c r="AS311" s="30"/>
      <c r="AT311" s="30"/>
      <c r="AW311" s="30"/>
    </row>
    <row r="312" spans="1:49" s="6" customFormat="1" ht="13.8">
      <c r="A312" s="1768"/>
      <c r="B312" s="1769">
        <v>45169</v>
      </c>
      <c r="C312" s="1769" t="s">
        <v>17</v>
      </c>
      <c r="D312" s="1770" t="s">
        <v>29</v>
      </c>
      <c r="E312" s="1775">
        <f t="shared" ref="E312:E313" si="41">SUM(F312:W312)</f>
        <v>69</v>
      </c>
      <c r="F312" s="1771">
        <f>$AS$12</f>
        <v>69</v>
      </c>
      <c r="G312" s="1771"/>
      <c r="H312" s="1771"/>
      <c r="I312" s="1771"/>
      <c r="J312" s="1771"/>
      <c r="K312" s="1771"/>
      <c r="L312" s="1771"/>
      <c r="M312" s="1771"/>
      <c r="N312" s="1771"/>
      <c r="O312" s="1771"/>
      <c r="P312" s="1771"/>
      <c r="Q312" s="1771"/>
      <c r="R312" s="1771"/>
      <c r="S312" s="1771"/>
      <c r="T312" s="1771"/>
      <c r="U312" s="1771"/>
      <c r="V312" s="1771"/>
      <c r="W312" s="1771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N312" s="30"/>
      <c r="AO312" s="30"/>
      <c r="AP312" s="30"/>
      <c r="AQ312" s="30"/>
      <c r="AR312" s="30"/>
      <c r="AS312" s="30"/>
      <c r="AT312" s="30"/>
      <c r="AW312" s="30"/>
    </row>
    <row r="313" spans="1:49" s="6" customFormat="1" ht="13.8">
      <c r="A313" s="1768"/>
      <c r="B313" s="1769">
        <v>45169</v>
      </c>
      <c r="C313" s="1769"/>
      <c r="D313" s="1770" t="s">
        <v>148</v>
      </c>
      <c r="E313" s="1775">
        <f t="shared" si="41"/>
        <v>474.25</v>
      </c>
      <c r="F313" s="1771"/>
      <c r="G313" s="1771"/>
      <c r="H313" s="1771"/>
      <c r="I313" s="1771">
        <f>415.4+35.55+23.3</f>
        <v>474.25</v>
      </c>
      <c r="J313" s="1771"/>
      <c r="K313" s="1771"/>
      <c r="L313" s="1771"/>
      <c r="M313" s="1771"/>
      <c r="N313" s="1771"/>
      <c r="O313" s="1771"/>
      <c r="P313" s="1771"/>
      <c r="Q313" s="1771"/>
      <c r="R313" s="1771"/>
      <c r="S313" s="1771"/>
      <c r="T313" s="1771"/>
      <c r="U313" s="1771"/>
      <c r="V313" s="1771"/>
      <c r="W313" s="1771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N313" s="30"/>
      <c r="AO313" s="30"/>
      <c r="AP313" s="30"/>
      <c r="AQ313" s="30"/>
      <c r="AR313" s="30"/>
      <c r="AS313" s="30"/>
      <c r="AT313" s="30"/>
      <c r="AW313" s="30"/>
    </row>
    <row r="314" spans="1:49" s="6" customFormat="1" ht="13.8">
      <c r="A314" s="1768"/>
      <c r="B314" s="1769">
        <v>45170</v>
      </c>
      <c r="C314" s="1769" t="s">
        <v>572</v>
      </c>
      <c r="D314" s="1770" t="s">
        <v>25</v>
      </c>
      <c r="E314" s="1775">
        <f>SUM(F314:W314)</f>
        <v>1004.63</v>
      </c>
      <c r="F314" s="1771"/>
      <c r="G314" s="1771"/>
      <c r="H314" s="1771"/>
      <c r="I314" s="1771"/>
      <c r="J314" s="1771"/>
      <c r="K314" s="1771"/>
      <c r="L314" s="1771"/>
      <c r="M314" s="1771"/>
      <c r="N314" s="1771"/>
      <c r="O314" s="1771">
        <f>bil!I40+bil!I39</f>
        <v>1004.63</v>
      </c>
      <c r="P314" s="1771"/>
      <c r="Q314" s="1771"/>
      <c r="R314" s="1771"/>
      <c r="S314" s="1771"/>
      <c r="T314" s="1771"/>
      <c r="U314" s="1771"/>
      <c r="V314" s="1771"/>
      <c r="W314" s="1771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N314" s="30"/>
      <c r="AO314" s="30"/>
      <c r="AP314" s="30"/>
      <c r="AQ314" s="30"/>
      <c r="AR314" s="30"/>
      <c r="AS314" s="30"/>
      <c r="AT314" s="30"/>
      <c r="AW314" s="30"/>
    </row>
    <row r="315" spans="1:49" s="6" customFormat="1" ht="13.8">
      <c r="A315" s="1768"/>
      <c r="B315" s="1769">
        <v>45170</v>
      </c>
      <c r="C315" s="1769" t="s">
        <v>572</v>
      </c>
      <c r="D315" s="1770" t="s">
        <v>26</v>
      </c>
      <c r="E315" s="1775">
        <v>1346.69</v>
      </c>
      <c r="F315" s="1771"/>
      <c r="G315" s="1771"/>
      <c r="H315" s="1771"/>
      <c r="I315" s="1771"/>
      <c r="J315" s="1771"/>
      <c r="K315" s="1771"/>
      <c r="L315" s="1771"/>
      <c r="M315" s="1771"/>
      <c r="N315" s="1771"/>
      <c r="O315" s="1771"/>
      <c r="P315" s="1771"/>
      <c r="Q315" s="1771"/>
      <c r="R315" s="1771"/>
      <c r="S315" s="1771"/>
      <c r="T315" s="1771"/>
      <c r="U315" s="1771"/>
      <c r="V315" s="1771">
        <v>1346.69</v>
      </c>
      <c r="W315" s="1771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N315" s="30"/>
      <c r="AO315" s="30"/>
      <c r="AP315" s="30"/>
      <c r="AQ315" s="30"/>
      <c r="AR315" s="30"/>
      <c r="AS315" s="30"/>
      <c r="AT315" s="30"/>
      <c r="AW315" s="30"/>
    </row>
    <row r="316" spans="1:49" s="6" customFormat="1" ht="13.8">
      <c r="A316" s="1768"/>
      <c r="B316" s="1769">
        <v>45170</v>
      </c>
      <c r="C316" s="1769" t="s">
        <v>17</v>
      </c>
      <c r="D316" s="1770" t="s">
        <v>22</v>
      </c>
      <c r="E316" s="1775">
        <f>SUM(F316:W316)</f>
        <v>227</v>
      </c>
      <c r="F316" s="1771"/>
      <c r="G316" s="1771"/>
      <c r="H316" s="1771"/>
      <c r="I316" s="1771"/>
      <c r="J316" s="1771"/>
      <c r="K316" s="1771"/>
      <c r="L316" s="1771"/>
      <c r="M316" s="1771"/>
      <c r="N316" s="1771"/>
      <c r="O316" s="1771"/>
      <c r="P316" s="1771">
        <f>$AI$12</f>
        <v>227</v>
      </c>
      <c r="Q316" s="1771"/>
      <c r="R316" s="1771"/>
      <c r="S316" s="1771"/>
      <c r="T316" s="1771"/>
      <c r="U316" s="1771"/>
      <c r="V316" s="1771"/>
      <c r="W316" s="1771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N316" s="30"/>
      <c r="AO316" s="30"/>
      <c r="AP316" s="30"/>
      <c r="AQ316" s="30"/>
      <c r="AR316" s="30"/>
      <c r="AS316" s="30"/>
      <c r="AT316" s="30"/>
      <c r="AW316" s="30"/>
    </row>
    <row r="317" spans="1:49" s="6" customFormat="1" ht="13.8">
      <c r="A317" s="1768"/>
      <c r="B317" s="1769">
        <v>45170</v>
      </c>
      <c r="C317" s="1769" t="s">
        <v>572</v>
      </c>
      <c r="D317" s="1770" t="s">
        <v>125</v>
      </c>
      <c r="E317" s="1775">
        <v>45</v>
      </c>
      <c r="F317" s="1771"/>
      <c r="G317" s="1771"/>
      <c r="H317" s="1771"/>
      <c r="I317" s="1771"/>
      <c r="J317" s="1771"/>
      <c r="K317" s="1771"/>
      <c r="L317" s="1771"/>
      <c r="M317" s="1771"/>
      <c r="N317" s="1771"/>
      <c r="O317" s="1771"/>
      <c r="P317" s="1771"/>
      <c r="Q317" s="1771">
        <v>45</v>
      </c>
      <c r="R317" s="1771"/>
      <c r="S317" s="1771"/>
      <c r="T317" s="1771"/>
      <c r="U317" s="1771"/>
      <c r="V317" s="1771"/>
      <c r="W317" s="1771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N317" s="30"/>
      <c r="AO317" s="30"/>
      <c r="AP317" s="30"/>
      <c r="AQ317" s="30"/>
      <c r="AR317" s="30"/>
      <c r="AS317" s="30"/>
      <c r="AT317" s="30"/>
      <c r="AW317" s="30"/>
    </row>
    <row r="318" spans="1:49" s="6" customFormat="1" ht="13.8">
      <c r="A318" s="1768"/>
      <c r="B318" s="1769">
        <v>45170</v>
      </c>
      <c r="C318" s="1769" t="s">
        <v>572</v>
      </c>
      <c r="D318" s="1770" t="s">
        <v>1352</v>
      </c>
      <c r="E318" s="1775">
        <v>944</v>
      </c>
      <c r="F318" s="1771"/>
      <c r="G318" s="1771"/>
      <c r="H318" s="1771"/>
      <c r="I318" s="1771"/>
      <c r="J318" s="1771"/>
      <c r="K318" s="1771"/>
      <c r="L318" s="1771"/>
      <c r="M318" s="1771"/>
      <c r="N318" s="1771">
        <v>944</v>
      </c>
      <c r="O318" s="1771"/>
      <c r="P318" s="1771"/>
      <c r="Q318" s="1771"/>
      <c r="R318" s="1771"/>
      <c r="S318" s="1771"/>
      <c r="T318" s="1771"/>
      <c r="U318" s="1771"/>
      <c r="V318" s="1771"/>
      <c r="W318" s="1771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N318" s="30"/>
      <c r="AO318" s="30"/>
      <c r="AP318" s="30"/>
      <c r="AQ318" s="30"/>
      <c r="AR318" s="30"/>
      <c r="AS318" s="30"/>
      <c r="AT318" s="30"/>
      <c r="AW318" s="30"/>
    </row>
    <row r="319" spans="1:49" s="6" customFormat="1" ht="13.8">
      <c r="A319" s="1768"/>
      <c r="B319" s="1769">
        <v>45170</v>
      </c>
      <c r="C319" s="1769" t="s">
        <v>17</v>
      </c>
      <c r="D319" s="1770" t="s">
        <v>30</v>
      </c>
      <c r="E319" s="1775">
        <v>4068</v>
      </c>
      <c r="F319" s="1771"/>
      <c r="G319" s="1771"/>
      <c r="H319" s="1771"/>
      <c r="I319" s="1771"/>
      <c r="J319" s="1771"/>
      <c r="K319" s="1771"/>
      <c r="L319" s="1771"/>
      <c r="M319" s="1771">
        <v>4068</v>
      </c>
      <c r="N319" s="1771"/>
      <c r="O319" s="1771"/>
      <c r="P319" s="1771"/>
      <c r="Q319" s="1771"/>
      <c r="R319" s="1771"/>
      <c r="S319" s="1771"/>
      <c r="T319" s="1771"/>
      <c r="U319" s="1771"/>
      <c r="V319" s="1771"/>
      <c r="W319" s="1771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N319" s="30"/>
      <c r="AO319" s="30"/>
      <c r="AP319" s="30"/>
      <c r="AQ319" s="30"/>
      <c r="AR319" s="30"/>
      <c r="AS319" s="30"/>
      <c r="AT319" s="30"/>
      <c r="AW319" s="30"/>
    </row>
    <row r="320" spans="1:49" s="6" customFormat="1" ht="13.8">
      <c r="A320" s="1768"/>
      <c r="B320" s="1769">
        <v>45170</v>
      </c>
      <c r="C320" s="1769" t="s">
        <v>572</v>
      </c>
      <c r="D320" s="1770" t="s">
        <v>27</v>
      </c>
      <c r="E320" s="1775">
        <v>647.75</v>
      </c>
      <c r="F320" s="1771"/>
      <c r="G320" s="1771"/>
      <c r="H320" s="1771"/>
      <c r="I320" s="1771"/>
      <c r="J320" s="1771"/>
      <c r="K320" s="1771"/>
      <c r="L320" s="1771"/>
      <c r="M320" s="1771"/>
      <c r="N320" s="1771"/>
      <c r="O320" s="1771"/>
      <c r="P320" s="1771">
        <v>647.75</v>
      </c>
      <c r="Q320" s="1771"/>
      <c r="R320" s="1771"/>
      <c r="S320" s="1771"/>
      <c r="T320" s="1771"/>
      <c r="U320" s="1771"/>
      <c r="V320" s="1771"/>
      <c r="W320" s="1771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N320" s="30"/>
      <c r="AO320" s="30"/>
      <c r="AP320" s="30"/>
      <c r="AQ320" s="30"/>
      <c r="AR320" s="30"/>
      <c r="AS320" s="30"/>
      <c r="AT320" s="30"/>
      <c r="AW320" s="30"/>
    </row>
    <row r="321" spans="1:51" s="6" customFormat="1" ht="13.8">
      <c r="A321" s="1768"/>
      <c r="B321" s="1769">
        <v>45170</v>
      </c>
      <c r="C321" s="1769"/>
      <c r="D321" s="1770" t="s">
        <v>1486</v>
      </c>
      <c r="E321" s="1775">
        <f t="shared" ref="E321" si="42">SUM(F321:W321)</f>
        <v>467.24</v>
      </c>
      <c r="F321" s="1771"/>
      <c r="G321" s="1771"/>
      <c r="H321" s="1771"/>
      <c r="I321" s="1771"/>
      <c r="J321" s="1771"/>
      <c r="K321" s="1771"/>
      <c r="L321" s="1771"/>
      <c r="M321" s="1771"/>
      <c r="N321" s="1771"/>
      <c r="O321" s="1771">
        <v>467.24</v>
      </c>
      <c r="P321" s="1771"/>
      <c r="Q321" s="1771"/>
      <c r="R321" s="1771"/>
      <c r="S321" s="1771"/>
      <c r="T321" s="1771"/>
      <c r="U321" s="1771"/>
      <c r="V321" s="1771"/>
      <c r="W321" s="1771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N321" s="30"/>
      <c r="AO321" s="30"/>
      <c r="AP321" s="30"/>
      <c r="AQ321" s="30"/>
      <c r="AR321" s="30"/>
      <c r="AS321" s="30"/>
      <c r="AT321" s="30"/>
      <c r="AW321" s="30"/>
    </row>
    <row r="322" spans="1:51" s="6" customFormat="1" ht="13.8">
      <c r="A322" s="1768"/>
      <c r="B322" s="1769">
        <v>45170</v>
      </c>
      <c r="C322" s="1769" t="s">
        <v>17</v>
      </c>
      <c r="D322" s="1770" t="s">
        <v>21</v>
      </c>
      <c r="E322" s="1775">
        <v>456</v>
      </c>
      <c r="F322" s="1771"/>
      <c r="G322" s="1771"/>
      <c r="H322" s="1771"/>
      <c r="I322" s="1771"/>
      <c r="J322" s="1771"/>
      <c r="K322" s="1771"/>
      <c r="L322" s="1771"/>
      <c r="M322" s="1771"/>
      <c r="N322" s="1771"/>
      <c r="O322" s="1771"/>
      <c r="P322" s="1771">
        <v>456</v>
      </c>
      <c r="Q322" s="1771"/>
      <c r="R322" s="1771"/>
      <c r="S322" s="1771"/>
      <c r="T322" s="1771"/>
      <c r="U322" s="1771"/>
      <c r="V322" s="1771"/>
      <c r="W322" s="1771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N322" s="30"/>
      <c r="AO322" s="30"/>
      <c r="AP322" s="30"/>
      <c r="AQ322" s="30"/>
      <c r="AR322" s="30"/>
      <c r="AS322" s="30"/>
      <c r="AT322" s="30"/>
      <c r="AW322" s="30"/>
    </row>
    <row r="323" spans="1:51" s="6" customFormat="1" ht="13.8">
      <c r="A323" s="1768"/>
      <c r="B323" s="1769">
        <v>45170</v>
      </c>
      <c r="C323" s="1769"/>
      <c r="D323" s="1770" t="s">
        <v>1487</v>
      </c>
      <c r="E323" s="1775">
        <v>998</v>
      </c>
      <c r="F323" s="1771"/>
      <c r="G323" s="1771">
        <v>998</v>
      </c>
      <c r="H323" s="1771"/>
      <c r="I323" s="1771"/>
      <c r="J323" s="1771"/>
      <c r="K323" s="1771"/>
      <c r="L323" s="1771"/>
      <c r="M323" s="1771"/>
      <c r="N323" s="1771"/>
      <c r="O323" s="1771"/>
      <c r="P323" s="1771"/>
      <c r="Q323" s="1771"/>
      <c r="R323" s="1771"/>
      <c r="S323" s="1771"/>
      <c r="T323" s="1771"/>
      <c r="U323" s="1771"/>
      <c r="V323" s="1771"/>
      <c r="W323" s="1771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N323" s="30"/>
      <c r="AO323" s="30"/>
      <c r="AP323" s="30"/>
      <c r="AQ323" s="30"/>
      <c r="AR323" s="30"/>
      <c r="AS323" s="30"/>
      <c r="AT323" s="30"/>
      <c r="AW323" s="30"/>
    </row>
    <row r="324" spans="1:51" s="6" customFormat="1" ht="13.8">
      <c r="A324" s="1768"/>
      <c r="B324" s="1769">
        <v>45173</v>
      </c>
      <c r="C324" s="1769"/>
      <c r="D324" s="1770" t="s">
        <v>1489</v>
      </c>
      <c r="E324" s="1775">
        <v>332</v>
      </c>
      <c r="F324" s="1771"/>
      <c r="G324" s="1771">
        <f>332+419+499+155</f>
        <v>1405</v>
      </c>
      <c r="H324" s="1771"/>
      <c r="I324" s="1771"/>
      <c r="J324" s="1771"/>
      <c r="K324" s="1771"/>
      <c r="L324" s="1771"/>
      <c r="M324" s="1771"/>
      <c r="N324" s="1771"/>
      <c r="O324" s="1771"/>
      <c r="P324" s="1771"/>
      <c r="Q324" s="1771"/>
      <c r="R324" s="1771"/>
      <c r="S324" s="1771"/>
      <c r="T324" s="1771"/>
      <c r="U324" s="1771"/>
      <c r="V324" s="1771"/>
      <c r="W324" s="1771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N324" s="30"/>
      <c r="AO324" s="30"/>
      <c r="AP324" s="30"/>
      <c r="AQ324" s="30"/>
      <c r="AR324" s="30"/>
      <c r="AS324" s="30"/>
      <c r="AT324" s="30"/>
      <c r="AW324" s="30"/>
    </row>
    <row r="325" spans="1:51" s="6" customFormat="1" ht="13.8">
      <c r="A325" s="1768"/>
      <c r="B325" s="1769">
        <v>45173</v>
      </c>
      <c r="C325" s="1769"/>
      <c r="D325" s="1770" t="s">
        <v>1354</v>
      </c>
      <c r="E325" s="1775">
        <v>159</v>
      </c>
      <c r="F325" s="1771"/>
      <c r="G325" s="1771"/>
      <c r="H325" s="1771"/>
      <c r="I325" s="1771"/>
      <c r="J325" s="1771"/>
      <c r="K325" s="1771"/>
      <c r="L325" s="1771"/>
      <c r="M325" s="1771"/>
      <c r="N325" s="1771"/>
      <c r="O325" s="1771"/>
      <c r="P325" s="1771">
        <v>159</v>
      </c>
      <c r="Q325" s="1771"/>
      <c r="R325" s="1771"/>
      <c r="S325" s="1771"/>
      <c r="T325" s="1771"/>
      <c r="U325" s="1771"/>
      <c r="V325" s="1771"/>
      <c r="W325" s="1771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N325" s="30"/>
      <c r="AO325" s="30"/>
      <c r="AP325" s="30"/>
      <c r="AQ325" s="30"/>
      <c r="AR325" s="30"/>
      <c r="AS325" s="30"/>
      <c r="AT325" s="30"/>
      <c r="AW325" s="30"/>
    </row>
    <row r="326" spans="1:51" s="6" customFormat="1" ht="13.8">
      <c r="A326" s="1768"/>
      <c r="B326" s="1769">
        <v>45174</v>
      </c>
      <c r="C326" s="1769"/>
      <c r="D326" s="1770" t="s">
        <v>23</v>
      </c>
      <c r="E326" s="1775">
        <f t="shared" ref="E326" si="43">SUM(F326:W326)</f>
        <v>260</v>
      </c>
      <c r="F326" s="1771"/>
      <c r="G326" s="1771"/>
      <c r="H326" s="1771"/>
      <c r="I326" s="1771"/>
      <c r="J326" s="1771"/>
      <c r="K326" s="1771"/>
      <c r="L326" s="1771"/>
      <c r="M326" s="1771"/>
      <c r="N326" s="1771"/>
      <c r="O326" s="1771"/>
      <c r="P326" s="1771"/>
      <c r="Q326" s="1771">
        <v>260</v>
      </c>
      <c r="R326" s="1771"/>
      <c r="S326" s="1771"/>
      <c r="T326" s="1771"/>
      <c r="U326" s="1771"/>
      <c r="V326" s="1771"/>
      <c r="W326" s="1771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N326" s="30"/>
      <c r="AO326" s="30"/>
      <c r="AP326" s="30"/>
      <c r="AQ326" s="30"/>
      <c r="AR326" s="30"/>
      <c r="AS326" s="30"/>
      <c r="AT326" s="30"/>
      <c r="AW326" s="30"/>
    </row>
    <row r="327" spans="1:51" s="6" customFormat="1" ht="13.8">
      <c r="A327" s="1768"/>
      <c r="B327" s="1769">
        <v>45175</v>
      </c>
      <c r="C327" s="1769"/>
      <c r="D327" s="1770" t="s">
        <v>58</v>
      </c>
      <c r="E327" s="1775">
        <v>1000</v>
      </c>
      <c r="F327" s="1771"/>
      <c r="G327" s="1771"/>
      <c r="H327" s="1771"/>
      <c r="I327" s="1771"/>
      <c r="J327" s="1771"/>
      <c r="K327" s="1771"/>
      <c r="L327" s="1771"/>
      <c r="M327" s="1771"/>
      <c r="N327" s="1771"/>
      <c r="O327" s="1771"/>
      <c r="P327" s="1771"/>
      <c r="Q327" s="1771"/>
      <c r="R327" s="1771"/>
      <c r="S327" s="1771"/>
      <c r="T327" s="1771">
        <v>2000</v>
      </c>
      <c r="U327" s="1771"/>
      <c r="V327" s="1771"/>
      <c r="W327" s="1771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N327" s="30"/>
      <c r="AO327" s="30"/>
      <c r="AP327" s="30"/>
      <c r="AQ327" s="30"/>
      <c r="AR327" s="30"/>
      <c r="AS327" s="30"/>
      <c r="AT327" s="30"/>
      <c r="AW327" s="30"/>
    </row>
    <row r="328" spans="1:51" s="6" customFormat="1" ht="13.8">
      <c r="A328" s="1768"/>
      <c r="B328" s="1769">
        <v>45174</v>
      </c>
      <c r="C328" s="1769" t="s">
        <v>17</v>
      </c>
      <c r="D328" s="1770" t="s">
        <v>620</v>
      </c>
      <c r="E328" s="1775">
        <v>290.89</v>
      </c>
      <c r="F328" s="1771">
        <f>$AK$12</f>
        <v>62</v>
      </c>
      <c r="G328" s="1771"/>
      <c r="H328" s="1771"/>
      <c r="I328" s="1771"/>
      <c r="J328" s="1771"/>
      <c r="K328" s="1771"/>
      <c r="L328" s="1771"/>
      <c r="M328" s="1771"/>
      <c r="N328" s="1771"/>
      <c r="O328" s="1771">
        <v>239</v>
      </c>
      <c r="P328" s="1771"/>
      <c r="Q328" s="1771"/>
      <c r="R328" s="1771"/>
      <c r="S328" s="1771"/>
      <c r="T328" s="1771"/>
      <c r="U328" s="1771"/>
      <c r="V328" s="1771"/>
      <c r="W328" s="1771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N328" s="30"/>
      <c r="AO328" s="30"/>
      <c r="AP328" s="30"/>
      <c r="AQ328" s="30"/>
      <c r="AR328" s="30"/>
      <c r="AS328" s="30"/>
      <c r="AT328" s="30"/>
      <c r="AW328" s="30"/>
    </row>
    <row r="329" spans="1:51" s="6" customFormat="1" ht="13.8">
      <c r="A329" s="1768"/>
      <c r="B329" s="1769">
        <v>45184</v>
      </c>
      <c r="C329" s="1769"/>
      <c r="D329" s="1770" t="s">
        <v>529</v>
      </c>
      <c r="E329" s="1775">
        <v>588</v>
      </c>
      <c r="F329" s="1771"/>
      <c r="G329" s="1771"/>
      <c r="H329" s="1771"/>
      <c r="I329" s="1771"/>
      <c r="J329" s="1771"/>
      <c r="K329" s="1771"/>
      <c r="L329" s="1771"/>
      <c r="M329" s="1771"/>
      <c r="N329" s="1771"/>
      <c r="O329" s="1771"/>
      <c r="P329" s="1771"/>
      <c r="Q329" s="1771"/>
      <c r="R329" s="1771"/>
      <c r="S329" s="1771">
        <v>588</v>
      </c>
      <c r="T329" s="1771"/>
      <c r="U329" s="1771"/>
      <c r="V329" s="1771"/>
      <c r="W329" s="1771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N329" s="30"/>
      <c r="AO329" s="30"/>
      <c r="AP329" s="30"/>
      <c r="AQ329" s="30"/>
      <c r="AR329" s="30"/>
      <c r="AS329" s="30"/>
      <c r="AT329" s="30"/>
      <c r="AW329" s="30"/>
    </row>
    <row r="330" spans="1:51" s="6" customFormat="1" ht="13.8">
      <c r="A330" s="1768"/>
      <c r="B330" s="1769"/>
      <c r="C330" s="1769"/>
      <c r="D330" s="1770" t="s">
        <v>42</v>
      </c>
      <c r="E330" s="1775">
        <f t="shared" ref="E330:E335" si="44">SUM(F330:W330)</f>
        <v>1794.95</v>
      </c>
      <c r="F330" s="1771"/>
      <c r="G330" s="1771"/>
      <c r="H330" s="1771">
        <f>98.95+172.75+100.25+92+30+132+82+51+62+62+62+69+121+206+47+64+72+62+34+86+31</f>
        <v>1736.95</v>
      </c>
      <c r="I330" s="1771"/>
      <c r="J330" s="1771"/>
      <c r="K330" s="1771"/>
      <c r="L330" s="1771">
        <f>40+18</f>
        <v>58</v>
      </c>
      <c r="M330" s="1771"/>
      <c r="N330" s="1771"/>
      <c r="O330" s="1771"/>
      <c r="P330" s="1771"/>
      <c r="Q330" s="1771"/>
      <c r="R330" s="1771"/>
      <c r="S330" s="1771"/>
      <c r="T330" s="1771"/>
      <c r="U330" s="1771"/>
      <c r="V330" s="1771"/>
      <c r="W330" s="1771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N330" s="30"/>
      <c r="AO330" s="30"/>
      <c r="AP330" s="30"/>
      <c r="AQ330" s="30"/>
      <c r="AR330" s="30"/>
      <c r="AS330" s="30"/>
      <c r="AT330" s="30"/>
      <c r="AW330" s="30"/>
    </row>
    <row r="331" spans="1:51" s="6" customFormat="1" ht="13.8">
      <c r="A331" s="1768"/>
      <c r="B331" s="1769"/>
      <c r="C331" s="1769"/>
      <c r="D331" s="1770" t="s">
        <v>41</v>
      </c>
      <c r="E331" s="1775">
        <f t="shared" si="44"/>
        <v>0</v>
      </c>
      <c r="F331" s="1771"/>
      <c r="G331" s="1771"/>
      <c r="H331" s="1771"/>
      <c r="I331" s="1771"/>
      <c r="J331" s="1771"/>
      <c r="K331" s="1771"/>
      <c r="L331" s="1771"/>
      <c r="M331" s="1771"/>
      <c r="N331" s="1771"/>
      <c r="O331" s="1771"/>
      <c r="P331" s="1771"/>
      <c r="Q331" s="1771"/>
      <c r="R331" s="1771"/>
      <c r="S331" s="1771"/>
      <c r="T331" s="1771"/>
      <c r="U331" s="1771"/>
      <c r="V331" s="1771"/>
      <c r="W331" s="1771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N331" s="30"/>
      <c r="AO331" s="30"/>
      <c r="AP331" s="30"/>
      <c r="AQ331" s="30"/>
      <c r="AR331" s="30"/>
      <c r="AS331" s="30"/>
      <c r="AT331" s="30"/>
      <c r="AW331" s="30"/>
    </row>
    <row r="332" spans="1:51" s="6" customFormat="1" ht="13.8">
      <c r="A332" s="1768"/>
      <c r="B332" s="1769"/>
      <c r="C332" s="1769"/>
      <c r="D332" s="1770" t="s">
        <v>1348</v>
      </c>
      <c r="E332" s="1775">
        <f t="shared" si="44"/>
        <v>1116.55</v>
      </c>
      <c r="F332" s="1771"/>
      <c r="G332" s="1771"/>
      <c r="H332" s="1771">
        <f>96+74+68+50</f>
        <v>288</v>
      </c>
      <c r="I332" s="1771"/>
      <c r="J332" s="1771"/>
      <c r="K332" s="1771">
        <v>599</v>
      </c>
      <c r="L332" s="1771">
        <f>43.58+56.42+129.55</f>
        <v>229.55</v>
      </c>
      <c r="M332" s="1771"/>
      <c r="N332" s="1771"/>
      <c r="O332" s="1771"/>
      <c r="P332" s="1771"/>
      <c r="Q332" s="1771"/>
      <c r="R332" s="1771"/>
      <c r="S332" s="1771"/>
      <c r="T332" s="1771"/>
      <c r="U332" s="1771"/>
      <c r="V332" s="1771"/>
      <c r="W332" s="1771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N332" s="30"/>
      <c r="AO332" s="30"/>
      <c r="AP332" s="30"/>
      <c r="AQ332" s="30"/>
      <c r="AR332" s="30"/>
      <c r="AS332" s="30"/>
      <c r="AT332" s="30"/>
      <c r="AW332" s="30"/>
    </row>
    <row r="333" spans="1:51" s="6" customFormat="1" ht="13.8">
      <c r="A333" s="1768"/>
      <c r="B333" s="1769"/>
      <c r="C333" s="1769"/>
      <c r="D333" s="1770" t="s">
        <v>39</v>
      </c>
      <c r="E333" s="1775">
        <f t="shared" si="44"/>
        <v>36</v>
      </c>
      <c r="F333" s="1771"/>
      <c r="G333" s="1771"/>
      <c r="H333" s="1771">
        <f>36</f>
        <v>36</v>
      </c>
      <c r="I333" s="1771"/>
      <c r="J333" s="1771"/>
      <c r="K333" s="1771"/>
      <c r="L333" s="1771"/>
      <c r="M333" s="1771"/>
      <c r="N333" s="1771"/>
      <c r="O333" s="1771"/>
      <c r="P333" s="1771"/>
      <c r="Q333" s="1771"/>
      <c r="R333" s="1771"/>
      <c r="S333" s="1771"/>
      <c r="T333" s="1771"/>
      <c r="U333" s="1771"/>
      <c r="V333" s="1771"/>
      <c r="W333" s="1771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N333" s="30"/>
      <c r="AO333" s="30"/>
      <c r="AP333" s="30"/>
      <c r="AQ333" s="30"/>
      <c r="AR333" s="30"/>
      <c r="AS333" s="30"/>
      <c r="AT333" s="30"/>
      <c r="AW333" s="30"/>
    </row>
    <row r="334" spans="1:51" s="6" customFormat="1" ht="13.8">
      <c r="A334" s="1768"/>
      <c r="B334" s="1769"/>
      <c r="C334" s="1769"/>
      <c r="D334" s="1770" t="s">
        <v>123</v>
      </c>
      <c r="E334" s="1775">
        <f t="shared" si="44"/>
        <v>421</v>
      </c>
      <c r="F334" s="1771"/>
      <c r="G334" s="1771">
        <v>30</v>
      </c>
      <c r="H334" s="1771">
        <f>120+199+72</f>
        <v>391</v>
      </c>
      <c r="I334" s="1771"/>
      <c r="J334" s="1771"/>
      <c r="K334" s="1771"/>
      <c r="L334" s="1771"/>
      <c r="M334" s="1771"/>
      <c r="N334" s="1771"/>
      <c r="O334" s="1771"/>
      <c r="P334" s="1771"/>
      <c r="Q334" s="1771"/>
      <c r="R334" s="1771"/>
      <c r="S334" s="1771"/>
      <c r="T334" s="1771"/>
      <c r="U334" s="1771"/>
      <c r="V334" s="1771"/>
      <c r="W334" s="1771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N334" s="30"/>
      <c r="AO334" s="30"/>
      <c r="AP334" s="30"/>
      <c r="AQ334" s="30"/>
      <c r="AR334" s="30"/>
      <c r="AS334" s="30"/>
      <c r="AT334" s="30"/>
      <c r="AW334" s="30"/>
    </row>
    <row r="335" spans="1:51" s="6" customFormat="1" ht="13.8">
      <c r="A335" s="1768"/>
      <c r="B335" s="1769"/>
      <c r="C335" s="1769"/>
      <c r="D335" s="1770" t="s">
        <v>37</v>
      </c>
      <c r="E335" s="1775">
        <f t="shared" si="44"/>
        <v>166.5</v>
      </c>
      <c r="F335" s="1771"/>
      <c r="G335" s="1771">
        <f>74.5+60</f>
        <v>134.5</v>
      </c>
      <c r="H335" s="1771">
        <v>32</v>
      </c>
      <c r="I335" s="1771"/>
      <c r="J335" s="1771"/>
      <c r="K335" s="1771"/>
      <c r="L335" s="1771"/>
      <c r="M335" s="1771"/>
      <c r="N335" s="1771"/>
      <c r="O335" s="1771"/>
      <c r="P335" s="1771"/>
      <c r="Q335" s="1771"/>
      <c r="R335" s="1771"/>
      <c r="S335" s="1771"/>
      <c r="T335" s="1771"/>
      <c r="U335" s="1771"/>
      <c r="V335" s="1771"/>
      <c r="W335" s="1771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N335" s="30"/>
      <c r="AO335" s="30"/>
      <c r="AP335" s="30"/>
      <c r="AQ335" s="30"/>
      <c r="AR335" s="30"/>
      <c r="AS335" s="30"/>
      <c r="AT335" s="30"/>
      <c r="AW335" s="30"/>
    </row>
    <row r="336" spans="1:51" s="26" customFormat="1" ht="12" customHeight="1">
      <c r="A336" s="29"/>
      <c r="B336" s="2889" t="str">
        <f>L7</f>
        <v>September</v>
      </c>
      <c r="C336" s="1013">
        <v>45169</v>
      </c>
      <c r="D336" s="2895" t="s">
        <v>36</v>
      </c>
      <c r="E336" s="2891">
        <f t="shared" ref="E336:W336" si="45">SUM(E337:E338)</f>
        <v>200</v>
      </c>
      <c r="F336" s="2891">
        <f t="shared" si="45"/>
        <v>200</v>
      </c>
      <c r="G336" s="2891">
        <f t="shared" si="45"/>
        <v>0</v>
      </c>
      <c r="H336" s="2891">
        <f t="shared" si="45"/>
        <v>0</v>
      </c>
      <c r="I336" s="2891">
        <f t="shared" si="45"/>
        <v>0</v>
      </c>
      <c r="J336" s="2891">
        <f t="shared" si="45"/>
        <v>0</v>
      </c>
      <c r="K336" s="2891">
        <f t="shared" si="45"/>
        <v>0</v>
      </c>
      <c r="L336" s="2891">
        <f t="shared" si="45"/>
        <v>0</v>
      </c>
      <c r="M336" s="2891">
        <f t="shared" si="45"/>
        <v>0</v>
      </c>
      <c r="N336" s="2891">
        <f t="shared" si="45"/>
        <v>0</v>
      </c>
      <c r="O336" s="2891">
        <f t="shared" si="45"/>
        <v>0</v>
      </c>
      <c r="P336" s="2891">
        <f t="shared" si="45"/>
        <v>0</v>
      </c>
      <c r="Q336" s="2891">
        <f t="shared" si="45"/>
        <v>0</v>
      </c>
      <c r="R336" s="2891">
        <f t="shared" si="45"/>
        <v>0</v>
      </c>
      <c r="S336" s="2891">
        <f t="shared" si="45"/>
        <v>0</v>
      </c>
      <c r="T336" s="2891">
        <f t="shared" si="45"/>
        <v>0</v>
      </c>
      <c r="U336" s="2891">
        <f t="shared" si="45"/>
        <v>0</v>
      </c>
      <c r="V336" s="2891">
        <f t="shared" si="45"/>
        <v>0</v>
      </c>
      <c r="W336" s="2891">
        <f t="shared" si="45"/>
        <v>0</v>
      </c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9"/>
      <c r="AV336" s="9"/>
      <c r="AW336" s="10"/>
      <c r="AX336" s="9"/>
      <c r="AY336" s="9"/>
    </row>
    <row r="337" spans="1:51" s="26" customFormat="1" ht="12" customHeight="1">
      <c r="A337" s="29"/>
      <c r="B337" s="2890"/>
      <c r="C337" s="1014"/>
      <c r="D337" s="2896"/>
      <c r="E337" s="2892"/>
      <c r="F337" s="2892"/>
      <c r="G337" s="2892"/>
      <c r="H337" s="2892"/>
      <c r="I337" s="2892"/>
      <c r="J337" s="2892"/>
      <c r="K337" s="2892"/>
      <c r="L337" s="2892"/>
      <c r="M337" s="2892"/>
      <c r="N337" s="2892"/>
      <c r="O337" s="2892"/>
      <c r="P337" s="2892"/>
      <c r="Q337" s="2892"/>
      <c r="R337" s="2892"/>
      <c r="S337" s="2892"/>
      <c r="T337" s="2892"/>
      <c r="U337" s="2892"/>
      <c r="V337" s="2892"/>
      <c r="W337" s="2892"/>
      <c r="X337" s="995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9"/>
      <c r="AV337" s="9"/>
      <c r="AW337" s="10"/>
      <c r="AX337" s="9"/>
      <c r="AY337" s="9"/>
    </row>
    <row r="338" spans="1:51" s="995" customFormat="1" ht="13.8">
      <c r="A338" s="991"/>
      <c r="B338" s="1780">
        <v>45170</v>
      </c>
      <c r="C338" s="1780" t="s">
        <v>17</v>
      </c>
      <c r="D338" s="1781" t="s">
        <v>28</v>
      </c>
      <c r="E338" s="1779">
        <f t="shared" ref="E338" si="46">SUM(F338:W338)</f>
        <v>200</v>
      </c>
      <c r="F338" s="1782">
        <v>200</v>
      </c>
      <c r="G338" s="1782"/>
      <c r="H338" s="1782"/>
      <c r="I338" s="1782"/>
      <c r="J338" s="1782"/>
      <c r="K338" s="1782"/>
      <c r="L338" s="1782"/>
      <c r="M338" s="1782"/>
      <c r="N338" s="1782"/>
      <c r="O338" s="1782"/>
      <c r="P338" s="1782"/>
      <c r="Q338" s="1782"/>
      <c r="R338" s="1782"/>
      <c r="S338" s="1782"/>
      <c r="T338" s="1782"/>
      <c r="U338" s="1782"/>
      <c r="V338" s="1782"/>
      <c r="W338" s="1782"/>
      <c r="X338" s="996"/>
      <c r="Y338" s="996"/>
      <c r="Z338" s="996"/>
      <c r="AA338" s="996"/>
      <c r="AB338" s="996"/>
      <c r="AC338" s="996"/>
      <c r="AD338" s="996"/>
      <c r="AE338" s="996"/>
      <c r="AF338" s="996"/>
      <c r="AG338" s="996"/>
      <c r="AH338" s="996"/>
      <c r="AI338" s="996"/>
      <c r="AJ338" s="996"/>
      <c r="AK338" s="996"/>
      <c r="AL338" s="996"/>
      <c r="AM338" s="996"/>
      <c r="AN338" s="996"/>
    </row>
    <row r="339" spans="1:51" s="1005" customFormat="1" ht="12" customHeight="1">
      <c r="A339" s="1002"/>
      <c r="B339" s="1009"/>
      <c r="C339" s="2893" t="s">
        <v>1120</v>
      </c>
      <c r="D339" s="2894"/>
      <c r="E339" s="1723">
        <f t="shared" ref="E339:W339" si="47">SUM(E340:E341)</f>
        <v>150.19712328767173</v>
      </c>
      <c r="F339" s="1012">
        <f t="shared" si="47"/>
        <v>0</v>
      </c>
      <c r="G339" s="1012">
        <f t="shared" si="47"/>
        <v>0</v>
      </c>
      <c r="H339" s="1012">
        <f t="shared" si="47"/>
        <v>150.19712328767173</v>
      </c>
      <c r="I339" s="1012">
        <f t="shared" si="47"/>
        <v>0</v>
      </c>
      <c r="J339" s="1012">
        <f t="shared" si="47"/>
        <v>0</v>
      </c>
      <c r="K339" s="1012">
        <f t="shared" si="47"/>
        <v>0</v>
      </c>
      <c r="L339" s="1012">
        <f t="shared" si="47"/>
        <v>0</v>
      </c>
      <c r="M339" s="1012">
        <f t="shared" si="47"/>
        <v>0</v>
      </c>
      <c r="N339" s="1012">
        <f t="shared" si="47"/>
        <v>0</v>
      </c>
      <c r="O339" s="1012">
        <f t="shared" si="47"/>
        <v>0</v>
      </c>
      <c r="P339" s="1012">
        <f t="shared" si="47"/>
        <v>0</v>
      </c>
      <c r="Q339" s="1012">
        <f t="shared" si="47"/>
        <v>0</v>
      </c>
      <c r="R339" s="1012">
        <f t="shared" si="47"/>
        <v>0</v>
      </c>
      <c r="S339" s="1012">
        <f t="shared" si="47"/>
        <v>0</v>
      </c>
      <c r="T339" s="1012">
        <f t="shared" si="47"/>
        <v>0</v>
      </c>
      <c r="U339" s="1012">
        <f t="shared" si="47"/>
        <v>0</v>
      </c>
      <c r="V339" s="1012">
        <f t="shared" si="47"/>
        <v>0</v>
      </c>
      <c r="W339" s="1012">
        <f t="shared" si="47"/>
        <v>0</v>
      </c>
      <c r="X339" s="90"/>
      <c r="Y339" s="1003"/>
      <c r="Z339" s="1003"/>
      <c r="AA339" s="1003"/>
      <c r="AB339" s="1003"/>
      <c r="AC339" s="1003"/>
      <c r="AD339" s="1003"/>
      <c r="AE339" s="1003"/>
      <c r="AF339" s="1003"/>
      <c r="AG339" s="1003"/>
      <c r="AH339" s="1003"/>
      <c r="AI339" s="1004"/>
      <c r="AJ339" s="1004"/>
      <c r="AK339" s="1004"/>
      <c r="AL339" s="1004"/>
      <c r="AM339" s="1003"/>
      <c r="AN339" s="1003"/>
      <c r="AO339" s="1003"/>
      <c r="AP339" s="1003"/>
      <c r="AQ339" s="1003"/>
      <c r="AR339" s="1003"/>
      <c r="AS339" s="1003"/>
      <c r="AT339" s="1003"/>
      <c r="AU339" s="1003"/>
      <c r="AV339" s="1003"/>
      <c r="AW339" s="1003"/>
    </row>
    <row r="340" spans="1:51" s="90" customFormat="1" ht="13.8">
      <c r="A340" s="973"/>
      <c r="B340" s="974"/>
      <c r="C340" s="977"/>
      <c r="D340" s="978" t="s">
        <v>15</v>
      </c>
      <c r="E340" s="1774">
        <f>SUM(F340:W340)</f>
        <v>150.19712328767173</v>
      </c>
      <c r="F340" s="976"/>
      <c r="G340" s="976"/>
      <c r="H340" s="976">
        <f>$AV$8*30-H307</f>
        <v>150.19712328767173</v>
      </c>
      <c r="I340" s="976"/>
      <c r="J340" s="976"/>
      <c r="K340" s="976"/>
      <c r="L340" s="976"/>
      <c r="M340" s="976"/>
      <c r="N340" s="976"/>
      <c r="O340" s="976"/>
      <c r="P340" s="976"/>
      <c r="Q340" s="976"/>
      <c r="R340" s="976"/>
      <c r="S340" s="976"/>
      <c r="T340" s="976"/>
      <c r="U340" s="976"/>
      <c r="V340" s="976"/>
      <c r="W340" s="976"/>
    </row>
    <row r="341" spans="1:51" s="90" customFormat="1" ht="13.8">
      <c r="A341" s="973"/>
      <c r="B341" s="974"/>
      <c r="C341" s="974"/>
      <c r="D341" s="975"/>
      <c r="E341" s="1774"/>
      <c r="F341" s="976"/>
      <c r="G341" s="976"/>
      <c r="H341" s="976"/>
      <c r="I341" s="976"/>
      <c r="J341" s="976"/>
      <c r="K341" s="976"/>
      <c r="L341" s="976"/>
      <c r="M341" s="976"/>
      <c r="N341" s="976"/>
      <c r="O341" s="976"/>
      <c r="P341" s="976"/>
      <c r="Q341" s="976"/>
      <c r="R341" s="976"/>
      <c r="S341" s="976"/>
      <c r="T341" s="976"/>
      <c r="U341" s="976"/>
      <c r="V341" s="976"/>
      <c r="W341" s="976"/>
      <c r="X341" s="1"/>
    </row>
    <row r="342" spans="1:51" s="35" customFormat="1" ht="13.5" customHeight="1">
      <c r="A342" s="39"/>
      <c r="B342" s="979" t="str">
        <f>M7</f>
        <v>Oktober</v>
      </c>
      <c r="C342" s="980">
        <v>44835</v>
      </c>
      <c r="D342" s="981"/>
      <c r="E342" s="1724">
        <f>SUM(E343:E370)</f>
        <v>-685.20999999999867</v>
      </c>
      <c r="F342" s="1724">
        <f t="shared" ref="F342:W342" si="48">SUM(F343:F370)</f>
        <v>331</v>
      </c>
      <c r="G342" s="1724">
        <f t="shared" si="48"/>
        <v>1555.35</v>
      </c>
      <c r="H342" s="1724">
        <f t="shared" si="48"/>
        <v>2616.6999999999998</v>
      </c>
      <c r="I342" s="1724">
        <f t="shared" si="48"/>
        <v>0</v>
      </c>
      <c r="J342" s="1724">
        <f t="shared" si="48"/>
        <v>67.400000000000006</v>
      </c>
      <c r="K342" s="1724">
        <f t="shared" si="48"/>
        <v>620</v>
      </c>
      <c r="L342" s="1724">
        <f t="shared" si="48"/>
        <v>184.26</v>
      </c>
      <c r="M342" s="1724">
        <f t="shared" si="48"/>
        <v>4169</v>
      </c>
      <c r="N342" s="1724">
        <f t="shared" si="48"/>
        <v>472</v>
      </c>
      <c r="O342" s="1724">
        <f t="shared" si="48"/>
        <v>4235.22</v>
      </c>
      <c r="P342" s="1724">
        <f t="shared" si="48"/>
        <v>1489.45</v>
      </c>
      <c r="Q342" s="1724">
        <f t="shared" si="48"/>
        <v>305</v>
      </c>
      <c r="R342" s="1724">
        <f t="shared" si="48"/>
        <v>0</v>
      </c>
      <c r="S342" s="1724">
        <f t="shared" si="48"/>
        <v>70</v>
      </c>
      <c r="T342" s="1724">
        <f t="shared" si="48"/>
        <v>2838.91</v>
      </c>
      <c r="U342" s="1724">
        <f t="shared" si="48"/>
        <v>1000</v>
      </c>
      <c r="V342" s="1724">
        <f t="shared" si="48"/>
        <v>0</v>
      </c>
      <c r="W342" s="1724">
        <f t="shared" si="48"/>
        <v>0</v>
      </c>
      <c r="X342" s="10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2"/>
      <c r="AP342" s="12"/>
      <c r="AQ342" s="12"/>
      <c r="AR342" s="12"/>
      <c r="AW342" s="12"/>
    </row>
    <row r="343" spans="1:51" s="6" customFormat="1" ht="13.8">
      <c r="A343" s="1768"/>
      <c r="B343" s="1769">
        <v>45198</v>
      </c>
      <c r="C343" s="1769" t="s">
        <v>17</v>
      </c>
      <c r="D343" s="1770" t="s">
        <v>35</v>
      </c>
      <c r="E343" s="1775">
        <v>-11843</v>
      </c>
      <c r="F343" s="1771"/>
      <c r="G343" s="1771"/>
      <c r="H343" s="1771"/>
      <c r="I343" s="1771"/>
      <c r="J343" s="1771"/>
      <c r="K343" s="1771"/>
      <c r="L343" s="1771"/>
      <c r="M343" s="1771"/>
      <c r="N343" s="1771"/>
      <c r="O343" s="1771"/>
      <c r="P343" s="1771"/>
      <c r="Q343" s="1771"/>
      <c r="R343" s="1771"/>
      <c r="S343" s="1771"/>
      <c r="T343" s="1771"/>
      <c r="U343" s="1771"/>
      <c r="V343" s="1771"/>
      <c r="W343" s="1771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N343" s="30"/>
      <c r="AO343" s="30"/>
      <c r="AP343" s="30"/>
      <c r="AQ343" s="30"/>
      <c r="AR343" s="30"/>
      <c r="AS343" s="30"/>
      <c r="AT343" s="30"/>
      <c r="AW343" s="30"/>
    </row>
    <row r="344" spans="1:51" s="6" customFormat="1" ht="13.8">
      <c r="A344" s="1768"/>
      <c r="B344" s="1769">
        <v>45198</v>
      </c>
      <c r="C344" s="1769" t="s">
        <v>17</v>
      </c>
      <c r="D344" s="1770" t="s">
        <v>34</v>
      </c>
      <c r="E344" s="1775">
        <v>-8159</v>
      </c>
      <c r="F344" s="1771"/>
      <c r="G344" s="1771"/>
      <c r="H344" s="1771"/>
      <c r="I344" s="1771"/>
      <c r="J344" s="1771"/>
      <c r="K344" s="1771"/>
      <c r="L344" s="1771"/>
      <c r="M344" s="1771"/>
      <c r="N344" s="1771"/>
      <c r="O344" s="1771"/>
      <c r="P344" s="1771"/>
      <c r="Q344" s="1771"/>
      <c r="R344" s="1771"/>
      <c r="S344" s="1771"/>
      <c r="T344" s="1771"/>
      <c r="U344" s="1771"/>
      <c r="V344" s="1771"/>
      <c r="W344" s="1771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N344" s="30"/>
      <c r="AO344" s="30"/>
      <c r="AP344" s="30"/>
      <c r="AQ344" s="30"/>
      <c r="AR344" s="30"/>
      <c r="AS344" s="30"/>
      <c r="AT344" s="30"/>
      <c r="AW344" s="30"/>
    </row>
    <row r="345" spans="1:51" s="6" customFormat="1" ht="13.8">
      <c r="A345" s="1768"/>
      <c r="B345" s="1769">
        <v>45198</v>
      </c>
      <c r="C345" s="1769" t="s">
        <v>17</v>
      </c>
      <c r="D345" s="1770" t="s">
        <v>33</v>
      </c>
      <c r="E345" s="1775">
        <v>-213</v>
      </c>
      <c r="F345" s="1771"/>
      <c r="G345" s="1771"/>
      <c r="H345" s="1771"/>
      <c r="I345" s="1771"/>
      <c r="J345" s="1771"/>
      <c r="K345" s="1771"/>
      <c r="L345" s="1771"/>
      <c r="M345" s="1771"/>
      <c r="N345" s="1771"/>
      <c r="O345" s="1771"/>
      <c r="P345" s="1771"/>
      <c r="Q345" s="1771"/>
      <c r="R345" s="1771"/>
      <c r="S345" s="1771"/>
      <c r="T345" s="1771"/>
      <c r="U345" s="1771"/>
      <c r="V345" s="1771"/>
      <c r="W345" s="1771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N345" s="30"/>
      <c r="AO345" s="30"/>
      <c r="AP345" s="30"/>
      <c r="AQ345" s="30"/>
      <c r="AR345" s="30"/>
      <c r="AS345" s="30"/>
      <c r="AT345" s="30"/>
      <c r="AW345" s="30"/>
    </row>
    <row r="346" spans="1:51" s="6" customFormat="1" ht="13.8">
      <c r="A346" s="1768"/>
      <c r="B346" s="1769">
        <v>45198</v>
      </c>
      <c r="C346" s="1769" t="s">
        <v>17</v>
      </c>
      <c r="D346" s="1770" t="s">
        <v>1466</v>
      </c>
      <c r="E346" s="1775">
        <v>778</v>
      </c>
      <c r="F346" s="1771"/>
      <c r="G346" s="1771">
        <v>419</v>
      </c>
      <c r="H346" s="1771"/>
      <c r="I346" s="1771"/>
      <c r="J346" s="1771"/>
      <c r="K346" s="1771"/>
      <c r="L346" s="1771"/>
      <c r="M346" s="1771"/>
      <c r="N346" s="1771"/>
      <c r="O346" s="1771"/>
      <c r="P346" s="1771"/>
      <c r="Q346" s="1771"/>
      <c r="R346" s="1771"/>
      <c r="S346" s="1771"/>
      <c r="T346" s="1771">
        <v>359</v>
      </c>
      <c r="U346" s="1771"/>
      <c r="V346" s="1771"/>
      <c r="W346" s="1771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N346" s="30"/>
      <c r="AO346" s="30"/>
      <c r="AP346" s="30"/>
      <c r="AQ346" s="30"/>
      <c r="AR346" s="30"/>
      <c r="AS346" s="30"/>
      <c r="AT346" s="30"/>
      <c r="AW346" s="30"/>
    </row>
    <row r="347" spans="1:51" s="6" customFormat="1" ht="13.8">
      <c r="A347" s="1768"/>
      <c r="B347" s="1769">
        <v>45198</v>
      </c>
      <c r="C347" s="1769"/>
      <c r="D347" s="1770" t="s">
        <v>871</v>
      </c>
      <c r="E347" s="1775">
        <v>225</v>
      </c>
      <c r="F347" s="1771"/>
      <c r="G347" s="1771">
        <v>225</v>
      </c>
      <c r="H347" s="1771"/>
      <c r="I347" s="1771"/>
      <c r="J347" s="1771"/>
      <c r="K347" s="1771"/>
      <c r="L347" s="1771"/>
      <c r="M347" s="1771"/>
      <c r="N347" s="1771"/>
      <c r="O347" s="1771"/>
      <c r="P347" s="1771"/>
      <c r="Q347" s="1771"/>
      <c r="R347" s="1771"/>
      <c r="S347" s="1771"/>
      <c r="T347" s="1771"/>
      <c r="U347" s="1771"/>
      <c r="V347" s="1771"/>
      <c r="W347" s="1771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N347" s="30"/>
      <c r="AO347" s="30"/>
      <c r="AP347" s="30"/>
      <c r="AQ347" s="30"/>
      <c r="AR347" s="30"/>
      <c r="AS347" s="30"/>
      <c r="AT347" s="30"/>
      <c r="AW347" s="30"/>
    </row>
    <row r="348" spans="1:51" s="6" customFormat="1" ht="13.8">
      <c r="A348" s="1768"/>
      <c r="B348" s="1769">
        <v>45201</v>
      </c>
      <c r="C348" s="1769" t="s">
        <v>17</v>
      </c>
      <c r="D348" s="1770" t="s">
        <v>29</v>
      </c>
      <c r="E348" s="1775">
        <v>69</v>
      </c>
      <c r="F348" s="1771">
        <v>69</v>
      </c>
      <c r="G348" s="1771"/>
      <c r="H348" s="1771"/>
      <c r="I348" s="1771"/>
      <c r="J348" s="1771"/>
      <c r="K348" s="1771"/>
      <c r="L348" s="1771"/>
      <c r="M348" s="1771"/>
      <c r="N348" s="1771"/>
      <c r="O348" s="1771"/>
      <c r="P348" s="1771"/>
      <c r="Q348" s="1771"/>
      <c r="R348" s="1771"/>
      <c r="S348" s="1771"/>
      <c r="T348" s="1771"/>
      <c r="U348" s="1771"/>
      <c r="V348" s="1771"/>
      <c r="W348" s="1771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N348" s="30"/>
      <c r="AO348" s="30"/>
      <c r="AP348" s="30"/>
      <c r="AQ348" s="30"/>
      <c r="AR348" s="30"/>
      <c r="AS348" s="30"/>
      <c r="AT348" s="30"/>
      <c r="AW348" s="30"/>
    </row>
    <row r="349" spans="1:51" s="6" customFormat="1" ht="13.8">
      <c r="A349" s="1768"/>
      <c r="B349" s="1769">
        <v>45201</v>
      </c>
      <c r="C349" s="1769" t="s">
        <v>17</v>
      </c>
      <c r="D349" s="1770" t="s">
        <v>22</v>
      </c>
      <c r="E349" s="1775">
        <v>227</v>
      </c>
      <c r="F349" s="1771"/>
      <c r="G349" s="1771"/>
      <c r="H349" s="1771"/>
      <c r="I349" s="1771"/>
      <c r="J349" s="1771"/>
      <c r="K349" s="1771"/>
      <c r="L349" s="1771"/>
      <c r="M349" s="1771"/>
      <c r="N349" s="1771"/>
      <c r="O349" s="1771"/>
      <c r="P349" s="1771">
        <f>$AI$12</f>
        <v>227</v>
      </c>
      <c r="Q349" s="1771"/>
      <c r="R349" s="1771"/>
      <c r="S349" s="1771"/>
      <c r="T349" s="1771"/>
      <c r="U349" s="1771"/>
      <c r="V349" s="1771"/>
      <c r="W349" s="1771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N349" s="30"/>
      <c r="AO349" s="30"/>
      <c r="AP349" s="30"/>
      <c r="AQ349" s="30"/>
      <c r="AR349" s="30"/>
      <c r="AS349" s="30"/>
      <c r="AT349" s="30"/>
      <c r="AW349" s="30"/>
    </row>
    <row r="350" spans="1:51" s="6" customFormat="1" ht="13.8">
      <c r="A350" s="1768"/>
      <c r="B350" s="1769">
        <v>45201</v>
      </c>
      <c r="C350" s="1769"/>
      <c r="D350" s="1770" t="s">
        <v>25</v>
      </c>
      <c r="E350" s="1775">
        <v>1388.22</v>
      </c>
      <c r="F350" s="1771"/>
      <c r="G350" s="1771"/>
      <c r="H350" s="1771"/>
      <c r="I350" s="1771"/>
      <c r="J350" s="1771"/>
      <c r="K350" s="1771"/>
      <c r="L350" s="1771"/>
      <c r="M350" s="1771"/>
      <c r="N350" s="1771"/>
      <c r="O350" s="1771">
        <v>1388.22</v>
      </c>
      <c r="P350" s="1771"/>
      <c r="Q350" s="1771"/>
      <c r="R350" s="1771"/>
      <c r="S350" s="1771"/>
      <c r="T350" s="1771">
        <v>479.91</v>
      </c>
      <c r="U350" s="1771"/>
      <c r="V350" s="1771"/>
      <c r="W350" s="1771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N350" s="30"/>
      <c r="AO350" s="30"/>
      <c r="AP350" s="30"/>
      <c r="AQ350" s="30"/>
      <c r="AR350" s="30"/>
      <c r="AS350" s="30"/>
      <c r="AT350" s="30"/>
      <c r="AW350" s="30"/>
    </row>
    <row r="351" spans="1:51" s="6" customFormat="1" ht="13.8">
      <c r="A351" s="1768"/>
      <c r="B351" s="1769">
        <v>45201</v>
      </c>
      <c r="C351" s="1769" t="s">
        <v>17</v>
      </c>
      <c r="D351" s="1770" t="s">
        <v>28</v>
      </c>
      <c r="E351" s="1775">
        <v>200</v>
      </c>
      <c r="F351" s="1771">
        <v>200</v>
      </c>
      <c r="G351" s="1771"/>
      <c r="H351" s="1771"/>
      <c r="I351" s="1771"/>
      <c r="J351" s="1771"/>
      <c r="K351" s="1771"/>
      <c r="L351" s="1771"/>
      <c r="M351" s="1771"/>
      <c r="N351" s="1771"/>
      <c r="O351" s="1771"/>
      <c r="P351" s="1771"/>
      <c r="Q351" s="1771"/>
      <c r="R351" s="1771"/>
      <c r="S351" s="1771"/>
      <c r="T351" s="1771"/>
      <c r="U351" s="1771"/>
      <c r="V351" s="1771"/>
      <c r="W351" s="1771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N351" s="30"/>
      <c r="AO351" s="30"/>
      <c r="AP351" s="30"/>
      <c r="AQ351" s="30"/>
      <c r="AR351" s="30"/>
      <c r="AS351" s="30"/>
      <c r="AT351" s="30"/>
      <c r="AW351" s="30"/>
    </row>
    <row r="352" spans="1:51" s="6" customFormat="1" ht="13.8">
      <c r="A352" s="1768"/>
      <c r="B352" s="1769">
        <v>45202</v>
      </c>
      <c r="C352" s="1769" t="s">
        <v>17</v>
      </c>
      <c r="D352" s="1770" t="s">
        <v>21</v>
      </c>
      <c r="E352" s="1775">
        <v>456</v>
      </c>
      <c r="F352" s="1771"/>
      <c r="G352" s="1771"/>
      <c r="H352" s="1771"/>
      <c r="I352" s="1771"/>
      <c r="J352" s="1771"/>
      <c r="K352" s="1771"/>
      <c r="L352" s="1771"/>
      <c r="M352" s="1771"/>
      <c r="N352" s="1771"/>
      <c r="O352" s="1771"/>
      <c r="P352" s="1771">
        <f>$AH$12</f>
        <v>456</v>
      </c>
      <c r="Q352" s="1771"/>
      <c r="R352" s="1771"/>
      <c r="S352" s="1771"/>
      <c r="T352" s="1771"/>
      <c r="U352" s="1771"/>
      <c r="V352" s="1771"/>
      <c r="W352" s="1771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N352" s="30"/>
      <c r="AO352" s="30"/>
      <c r="AP352" s="30"/>
      <c r="AQ352" s="30"/>
      <c r="AR352" s="30"/>
      <c r="AS352" s="30"/>
      <c r="AT352" s="30"/>
      <c r="AW352" s="30"/>
    </row>
    <row r="353" spans="1:49" s="6" customFormat="1" ht="13.8">
      <c r="A353" s="1768"/>
      <c r="B353" s="1769">
        <v>45201</v>
      </c>
      <c r="C353" s="1769" t="s">
        <v>572</v>
      </c>
      <c r="D353" s="1770" t="s">
        <v>125</v>
      </c>
      <c r="E353" s="1775">
        <v>45</v>
      </c>
      <c r="F353" s="1771"/>
      <c r="G353" s="1771"/>
      <c r="H353" s="1771"/>
      <c r="I353" s="1771"/>
      <c r="J353" s="1771"/>
      <c r="K353" s="1771"/>
      <c r="L353" s="1771"/>
      <c r="M353" s="1771"/>
      <c r="N353" s="1771"/>
      <c r="O353" s="1771"/>
      <c r="P353" s="1771"/>
      <c r="Q353" s="1771">
        <v>45</v>
      </c>
      <c r="R353" s="1771"/>
      <c r="S353" s="1771"/>
      <c r="T353" s="1771"/>
      <c r="U353" s="1771"/>
      <c r="V353" s="1771"/>
      <c r="W353" s="1771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N353" s="30"/>
      <c r="AO353" s="30"/>
      <c r="AP353" s="30"/>
      <c r="AQ353" s="30"/>
      <c r="AR353" s="30"/>
      <c r="AS353" s="30"/>
      <c r="AT353" s="30"/>
      <c r="AW353" s="30"/>
    </row>
    <row r="354" spans="1:49" s="6" customFormat="1" ht="13.8">
      <c r="A354" s="1768"/>
      <c r="B354" s="1769">
        <v>45201</v>
      </c>
      <c r="C354" s="1769" t="s">
        <v>572</v>
      </c>
      <c r="D354" s="1770" t="s">
        <v>1352</v>
      </c>
      <c r="E354" s="1775">
        <f>SUM(F354:W354)</f>
        <v>472</v>
      </c>
      <c r="F354" s="1771"/>
      <c r="G354" s="1771"/>
      <c r="H354" s="1771"/>
      <c r="I354" s="1771"/>
      <c r="J354" s="1771"/>
      <c r="K354" s="1771"/>
      <c r="L354" s="1771"/>
      <c r="M354" s="1771"/>
      <c r="N354" s="1771">
        <v>472</v>
      </c>
      <c r="O354" s="1771"/>
      <c r="P354" s="1771"/>
      <c r="Q354" s="1771"/>
      <c r="R354" s="1771"/>
      <c r="S354" s="1771"/>
      <c r="T354" s="1771"/>
      <c r="U354" s="1771"/>
      <c r="V354" s="1771"/>
      <c r="W354" s="1771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N354" s="30"/>
      <c r="AO354" s="30"/>
      <c r="AP354" s="30"/>
      <c r="AQ354" s="30"/>
      <c r="AR354" s="30"/>
      <c r="AS354" s="30"/>
      <c r="AT354" s="30"/>
      <c r="AW354" s="30"/>
    </row>
    <row r="355" spans="1:49" s="6" customFormat="1" ht="13.8">
      <c r="A355" s="1768"/>
      <c r="B355" s="1769">
        <v>45201</v>
      </c>
      <c r="C355" s="1769" t="s">
        <v>572</v>
      </c>
      <c r="D355" s="1770" t="s">
        <v>27</v>
      </c>
      <c r="E355" s="1775">
        <v>647.75</v>
      </c>
      <c r="F355" s="1771"/>
      <c r="G355" s="1771"/>
      <c r="H355" s="1771"/>
      <c r="I355" s="1771"/>
      <c r="J355" s="1771"/>
      <c r="K355" s="1771"/>
      <c r="L355" s="1771"/>
      <c r="M355" s="1771"/>
      <c r="N355" s="1771"/>
      <c r="O355" s="1771"/>
      <c r="P355" s="1771">
        <v>647.45000000000005</v>
      </c>
      <c r="Q355" s="1771"/>
      <c r="R355" s="1771"/>
      <c r="S355" s="1771"/>
      <c r="T355" s="1771"/>
      <c r="U355" s="1771"/>
      <c r="V355" s="1771"/>
      <c r="W355" s="1771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N355" s="30"/>
      <c r="AO355" s="30"/>
      <c r="AP355" s="30"/>
      <c r="AQ355" s="30"/>
      <c r="AR355" s="30"/>
      <c r="AS355" s="30"/>
      <c r="AT355" s="30"/>
      <c r="AW355" s="30"/>
    </row>
    <row r="356" spans="1:49" s="6" customFormat="1" ht="13.8">
      <c r="A356" s="1768"/>
      <c r="B356" s="1769">
        <v>45201</v>
      </c>
      <c r="C356" s="1769" t="s">
        <v>17</v>
      </c>
      <c r="D356" s="1770" t="s">
        <v>30</v>
      </c>
      <c r="E356" s="1775">
        <v>4169</v>
      </c>
      <c r="F356" s="1771"/>
      <c r="G356" s="1771"/>
      <c r="H356" s="1771"/>
      <c r="I356" s="1771"/>
      <c r="J356" s="1771"/>
      <c r="K356" s="1771"/>
      <c r="L356" s="1771"/>
      <c r="M356" s="1771">
        <v>4169</v>
      </c>
      <c r="N356" s="1771"/>
      <c r="O356" s="1771"/>
      <c r="P356" s="1771"/>
      <c r="Q356" s="1771"/>
      <c r="R356" s="1771"/>
      <c r="S356" s="1771"/>
      <c r="T356" s="1771"/>
      <c r="U356" s="1771"/>
      <c r="V356" s="1771"/>
      <c r="W356" s="1771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N356" s="30"/>
      <c r="AO356" s="30"/>
      <c r="AP356" s="30"/>
      <c r="AQ356" s="30"/>
      <c r="AR356" s="30"/>
      <c r="AS356" s="30"/>
      <c r="AT356" s="30"/>
      <c r="AW356" s="30"/>
    </row>
    <row r="357" spans="1:49" s="6" customFormat="1" ht="13.8">
      <c r="A357" s="1768"/>
      <c r="B357" s="1769">
        <v>45201</v>
      </c>
      <c r="C357" s="1769" t="s">
        <v>572</v>
      </c>
      <c r="D357" s="1770" t="s">
        <v>1491</v>
      </c>
      <c r="E357" s="1775">
        <v>70</v>
      </c>
      <c r="F357" s="1771"/>
      <c r="G357" s="1771"/>
      <c r="H357" s="1771"/>
      <c r="I357" s="1771"/>
      <c r="J357" s="1771"/>
      <c r="K357" s="1771"/>
      <c r="L357" s="1771"/>
      <c r="M357" s="1771"/>
      <c r="N357" s="1771"/>
      <c r="O357" s="1771"/>
      <c r="P357" s="1771"/>
      <c r="Q357" s="1771"/>
      <c r="R357" s="1771"/>
      <c r="S357" s="1771">
        <v>70</v>
      </c>
      <c r="T357" s="1771"/>
      <c r="U357" s="1771"/>
      <c r="V357" s="1771"/>
      <c r="W357" s="1771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N357" s="30"/>
      <c r="AO357" s="30"/>
      <c r="AP357" s="30"/>
      <c r="AQ357" s="30"/>
      <c r="AR357" s="30"/>
      <c r="AS357" s="30"/>
      <c r="AT357" s="30"/>
      <c r="AW357" s="30"/>
    </row>
    <row r="358" spans="1:49" s="6" customFormat="1" ht="13.8">
      <c r="A358" s="1768"/>
      <c r="B358" s="1769">
        <v>45201</v>
      </c>
      <c r="C358" s="1769"/>
      <c r="D358" s="1770" t="s">
        <v>124</v>
      </c>
      <c r="E358" s="1775">
        <f t="shared" ref="E358:E359" si="49">SUM(F358:W358)</f>
        <v>67.400000000000006</v>
      </c>
      <c r="F358" s="1771"/>
      <c r="G358" s="1771"/>
      <c r="H358" s="1771"/>
      <c r="I358" s="1771"/>
      <c r="J358" s="1771">
        <v>67.400000000000006</v>
      </c>
      <c r="K358" s="1771"/>
      <c r="L358" s="1771"/>
      <c r="M358" s="1771"/>
      <c r="N358" s="1771"/>
      <c r="O358" s="1771"/>
      <c r="P358" s="1771"/>
      <c r="Q358" s="1771"/>
      <c r="R358" s="1771"/>
      <c r="S358" s="1771"/>
      <c r="T358" s="1771"/>
      <c r="U358" s="1771"/>
      <c r="V358" s="1771"/>
      <c r="W358" s="1771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N358" s="30"/>
      <c r="AO358" s="30"/>
      <c r="AP358" s="30"/>
      <c r="AQ358" s="30"/>
      <c r="AR358" s="30"/>
      <c r="AS358" s="30"/>
      <c r="AT358" s="30"/>
      <c r="AW358" s="30"/>
    </row>
    <row r="359" spans="1:49" s="6" customFormat="1" ht="13.8">
      <c r="A359" s="1768"/>
      <c r="B359" s="1769">
        <v>45201</v>
      </c>
      <c r="C359" s="1769" t="s">
        <v>17</v>
      </c>
      <c r="D359" s="1770" t="s">
        <v>23</v>
      </c>
      <c r="E359" s="1775">
        <f t="shared" si="49"/>
        <v>260</v>
      </c>
      <c r="F359" s="1771"/>
      <c r="G359" s="1771"/>
      <c r="H359" s="1771"/>
      <c r="I359" s="1771"/>
      <c r="J359" s="1771"/>
      <c r="K359" s="1771"/>
      <c r="L359" s="1771"/>
      <c r="M359" s="1771"/>
      <c r="N359" s="1771"/>
      <c r="O359" s="1771"/>
      <c r="P359" s="1771"/>
      <c r="Q359" s="1771">
        <f>140+120</f>
        <v>260</v>
      </c>
      <c r="R359" s="1771"/>
      <c r="S359" s="1771"/>
      <c r="T359" s="1771"/>
      <c r="U359" s="1771"/>
      <c r="V359" s="1771"/>
      <c r="W359" s="1771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N359" s="30"/>
      <c r="AO359" s="30"/>
      <c r="AP359" s="30"/>
      <c r="AQ359" s="30"/>
      <c r="AR359" s="30"/>
      <c r="AS359" s="30"/>
      <c r="AT359" s="30"/>
      <c r="AW359" s="30"/>
    </row>
    <row r="360" spans="1:49" s="6" customFormat="1" ht="13.8">
      <c r="A360" s="1768"/>
      <c r="B360" s="1769">
        <v>45201</v>
      </c>
      <c r="C360" s="1769"/>
      <c r="D360" s="1770" t="s">
        <v>1354</v>
      </c>
      <c r="E360" s="1775">
        <v>159</v>
      </c>
      <c r="F360" s="1771"/>
      <c r="G360" s="1771"/>
      <c r="H360" s="1771"/>
      <c r="I360" s="1771"/>
      <c r="J360" s="1771"/>
      <c r="K360" s="1771"/>
      <c r="L360" s="1771"/>
      <c r="M360" s="1771"/>
      <c r="N360" s="1771"/>
      <c r="O360" s="1771"/>
      <c r="P360" s="1771">
        <v>159</v>
      </c>
      <c r="Q360" s="1771"/>
      <c r="R360" s="1771"/>
      <c r="S360" s="1771"/>
      <c r="T360" s="1771"/>
      <c r="U360" s="1771"/>
      <c r="V360" s="1771"/>
      <c r="W360" s="1771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N360" s="30"/>
      <c r="AO360" s="30"/>
      <c r="AP360" s="30"/>
      <c r="AQ360" s="30"/>
      <c r="AR360" s="30"/>
      <c r="AS360" s="30"/>
      <c r="AT360" s="30"/>
      <c r="AW360" s="30"/>
    </row>
    <row r="361" spans="1:49" s="6" customFormat="1" ht="13.8">
      <c r="A361" s="1768"/>
      <c r="B361" s="1769">
        <v>45204</v>
      </c>
      <c r="C361" s="1769" t="s">
        <v>17</v>
      </c>
      <c r="D361" s="1770" t="s">
        <v>620</v>
      </c>
      <c r="E361" s="1775">
        <v>423.11</v>
      </c>
      <c r="F361" s="1771">
        <f>$AK$12</f>
        <v>62</v>
      </c>
      <c r="G361" s="1771"/>
      <c r="H361" s="1771"/>
      <c r="I361" s="1771"/>
      <c r="J361" s="1771"/>
      <c r="K361" s="1771"/>
      <c r="L361" s="1771"/>
      <c r="M361" s="1771"/>
      <c r="N361" s="1771"/>
      <c r="O361" s="1771">
        <v>306</v>
      </c>
      <c r="P361" s="1771"/>
      <c r="Q361" s="1771"/>
      <c r="R361" s="1771"/>
      <c r="S361" s="1771"/>
      <c r="T361" s="1771"/>
      <c r="U361" s="1771"/>
      <c r="V361" s="1771"/>
      <c r="W361" s="1771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N361" s="30"/>
      <c r="AO361" s="30"/>
      <c r="AP361" s="30"/>
      <c r="AQ361" s="30"/>
      <c r="AR361" s="30"/>
      <c r="AS361" s="30"/>
      <c r="AT361" s="30"/>
      <c r="AW361" s="30"/>
    </row>
    <row r="362" spans="1:49" s="6" customFormat="1" ht="13.8">
      <c r="A362" s="1768"/>
      <c r="B362" s="1769">
        <v>45209</v>
      </c>
      <c r="C362" s="1769"/>
      <c r="D362" s="1770" t="s">
        <v>58</v>
      </c>
      <c r="E362" s="1775">
        <v>2000</v>
      </c>
      <c r="F362" s="1771"/>
      <c r="G362" s="1771"/>
      <c r="H362" s="1771"/>
      <c r="I362" s="1771"/>
      <c r="J362" s="1771"/>
      <c r="K362" s="1771"/>
      <c r="L362" s="1771"/>
      <c r="M362" s="1771"/>
      <c r="N362" s="1771"/>
      <c r="O362" s="1771"/>
      <c r="P362" s="1771"/>
      <c r="Q362" s="1771"/>
      <c r="R362" s="1771"/>
      <c r="S362" s="1771"/>
      <c r="T362" s="1771">
        <f>1000+500+500</f>
        <v>2000</v>
      </c>
      <c r="U362" s="1771"/>
      <c r="V362" s="1771"/>
      <c r="W362" s="1771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N362" s="30"/>
      <c r="AO362" s="30"/>
      <c r="AP362" s="30"/>
      <c r="AQ362" s="30"/>
      <c r="AR362" s="30"/>
      <c r="AS362" s="30"/>
      <c r="AT362" s="30"/>
      <c r="AW362" s="30"/>
    </row>
    <row r="363" spans="1:49" s="6" customFormat="1" ht="13.8">
      <c r="A363" s="1768"/>
      <c r="B363" s="1769">
        <v>45209</v>
      </c>
      <c r="C363" s="1769"/>
      <c r="D363" s="1770" t="s">
        <v>154</v>
      </c>
      <c r="E363" s="1775">
        <v>1650</v>
      </c>
      <c r="F363" s="1771"/>
      <c r="G363" s="1771"/>
      <c r="H363" s="1771"/>
      <c r="I363" s="1771"/>
      <c r="J363" s="1771"/>
      <c r="K363" s="1771"/>
      <c r="L363" s="1771"/>
      <c r="M363" s="1771"/>
      <c r="N363" s="1771"/>
      <c r="O363" s="1771">
        <v>1650</v>
      </c>
      <c r="P363" s="1771"/>
      <c r="Q363" s="1771"/>
      <c r="R363" s="1771"/>
      <c r="S363" s="1771"/>
      <c r="T363" s="1771"/>
      <c r="U363" s="1771"/>
      <c r="V363" s="1771"/>
      <c r="W363" s="1771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N363" s="30"/>
      <c r="AO363" s="30"/>
      <c r="AP363" s="30"/>
      <c r="AQ363" s="30"/>
      <c r="AR363" s="30"/>
      <c r="AS363" s="30"/>
      <c r="AT363" s="30"/>
      <c r="AW363" s="30"/>
    </row>
    <row r="364" spans="1:49" s="6" customFormat="1" ht="13.8">
      <c r="A364" s="1768"/>
      <c r="B364" s="1769">
        <v>45215</v>
      </c>
      <c r="C364" s="1769"/>
      <c r="D364" s="1770" t="s">
        <v>57</v>
      </c>
      <c r="E364" s="1775">
        <v>1000</v>
      </c>
      <c r="F364" s="1771"/>
      <c r="G364" s="1771"/>
      <c r="H364" s="1771"/>
      <c r="I364" s="1771"/>
      <c r="J364" s="1771"/>
      <c r="K364" s="1771"/>
      <c r="L364" s="1771"/>
      <c r="M364" s="1771"/>
      <c r="N364" s="1771"/>
      <c r="O364" s="1771"/>
      <c r="P364" s="1771"/>
      <c r="Q364" s="1771"/>
      <c r="R364" s="1771"/>
      <c r="S364" s="1771"/>
      <c r="T364" s="1771"/>
      <c r="U364" s="1771">
        <v>1000</v>
      </c>
      <c r="V364" s="1771"/>
      <c r="W364" s="1771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N364" s="30"/>
      <c r="AO364" s="30"/>
      <c r="AP364" s="30"/>
      <c r="AQ364" s="30"/>
      <c r="AR364" s="30"/>
      <c r="AS364" s="30"/>
      <c r="AT364" s="30"/>
      <c r="AW364" s="30"/>
    </row>
    <row r="365" spans="1:49" s="6" customFormat="1" ht="13.8">
      <c r="A365" s="1768"/>
      <c r="B365" s="1769"/>
      <c r="C365" s="1769"/>
      <c r="D365" s="1770" t="s">
        <v>42</v>
      </c>
      <c r="E365" s="1775">
        <f t="shared" ref="E365:E370" si="50">SUM(F365:W365)</f>
        <v>1554.5</v>
      </c>
      <c r="F365" s="1771"/>
      <c r="G365" s="1771"/>
      <c r="H365" s="1771">
        <f>228+137+128+134+215+114+25+23+46.85+327.9+44.75+107+24</f>
        <v>1554.5</v>
      </c>
      <c r="I365" s="1771"/>
      <c r="J365" s="1771"/>
      <c r="K365" s="1771"/>
      <c r="L365" s="1771"/>
      <c r="M365" s="1771"/>
      <c r="N365" s="1771"/>
      <c r="O365" s="1771"/>
      <c r="P365" s="1771"/>
      <c r="Q365" s="1771"/>
      <c r="R365" s="1771"/>
      <c r="S365" s="1771"/>
      <c r="T365" s="1771"/>
      <c r="U365" s="1771"/>
      <c r="V365" s="1771"/>
      <c r="W365" s="1771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N365" s="30"/>
      <c r="AO365" s="30"/>
      <c r="AP365" s="30"/>
      <c r="AQ365" s="30"/>
      <c r="AR365" s="30"/>
      <c r="AS365" s="30"/>
      <c r="AT365" s="30"/>
      <c r="AW365" s="30"/>
    </row>
    <row r="366" spans="1:49" s="6" customFormat="1" ht="13.8">
      <c r="A366" s="1768"/>
      <c r="B366" s="1769"/>
      <c r="C366" s="1769"/>
      <c r="D366" s="1770" t="s">
        <v>41</v>
      </c>
      <c r="E366" s="1775">
        <f t="shared" si="50"/>
        <v>0</v>
      </c>
      <c r="F366" s="1771"/>
      <c r="G366" s="1771"/>
      <c r="H366" s="1771"/>
      <c r="I366" s="1771"/>
      <c r="J366" s="1771"/>
      <c r="K366" s="1771"/>
      <c r="L366" s="1771"/>
      <c r="M366" s="1771"/>
      <c r="N366" s="1771"/>
      <c r="O366" s="1771"/>
      <c r="P366" s="1771"/>
      <c r="Q366" s="1771"/>
      <c r="R366" s="1771"/>
      <c r="S366" s="1771"/>
      <c r="T366" s="1771"/>
      <c r="U366" s="1771"/>
      <c r="V366" s="1771"/>
      <c r="W366" s="1771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N366" s="30"/>
      <c r="AO366" s="30"/>
      <c r="AP366" s="30"/>
      <c r="AQ366" s="30"/>
      <c r="AR366" s="30"/>
      <c r="AS366" s="30"/>
      <c r="AT366" s="30"/>
      <c r="AW366" s="30"/>
    </row>
    <row r="367" spans="1:49" s="6" customFormat="1" ht="13.8">
      <c r="A367" s="1768"/>
      <c r="B367" s="1769"/>
      <c r="C367" s="1769"/>
      <c r="D367" s="1770" t="s">
        <v>1348</v>
      </c>
      <c r="E367" s="1775">
        <f t="shared" si="50"/>
        <v>1653.46</v>
      </c>
      <c r="F367" s="1771"/>
      <c r="G367" s="1771"/>
      <c r="H367" s="1771">
        <f>168+60+84+24+42+45+26.25+435.95</f>
        <v>885.2</v>
      </c>
      <c r="I367" s="1771"/>
      <c r="J367" s="1771"/>
      <c r="K367" s="1771">
        <v>620</v>
      </c>
      <c r="L367" s="1771">
        <f>103.58+44.68</f>
        <v>148.26</v>
      </c>
      <c r="M367" s="1771"/>
      <c r="N367" s="1771"/>
      <c r="O367" s="1771"/>
      <c r="P367" s="1771"/>
      <c r="Q367" s="1771"/>
      <c r="R367" s="1771"/>
      <c r="S367" s="1771"/>
      <c r="T367" s="1771"/>
      <c r="U367" s="1771"/>
      <c r="V367" s="1771"/>
      <c r="W367" s="1771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N367" s="30"/>
      <c r="AO367" s="30"/>
      <c r="AP367" s="30"/>
      <c r="AQ367" s="30"/>
      <c r="AR367" s="30"/>
      <c r="AS367" s="30"/>
      <c r="AT367" s="30"/>
      <c r="AW367" s="30"/>
    </row>
    <row r="368" spans="1:49" s="6" customFormat="1" ht="13.8">
      <c r="A368" s="1768"/>
      <c r="B368" s="1769"/>
      <c r="C368" s="1769"/>
      <c r="D368" s="1770" t="s">
        <v>39</v>
      </c>
      <c r="E368" s="1775">
        <f t="shared" si="50"/>
        <v>22</v>
      </c>
      <c r="F368" s="1771"/>
      <c r="G368" s="1771"/>
      <c r="H368" s="1771">
        <v>22</v>
      </c>
      <c r="I368" s="1771"/>
      <c r="J368" s="1771"/>
      <c r="K368" s="1771"/>
      <c r="L368" s="1771"/>
      <c r="M368" s="1771"/>
      <c r="N368" s="1771"/>
      <c r="O368" s="1771"/>
      <c r="P368" s="1771"/>
      <c r="Q368" s="1771"/>
      <c r="R368" s="1771"/>
      <c r="S368" s="1771"/>
      <c r="T368" s="1771"/>
      <c r="U368" s="1771"/>
      <c r="V368" s="1771"/>
      <c r="W368" s="1771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N368" s="30"/>
      <c r="AO368" s="30"/>
      <c r="AP368" s="30"/>
      <c r="AQ368" s="30"/>
      <c r="AR368" s="30"/>
      <c r="AS368" s="30"/>
      <c r="AT368" s="30"/>
      <c r="AW368" s="30"/>
    </row>
    <row r="369" spans="1:51" s="6" customFormat="1" ht="13.8">
      <c r="A369" s="1768"/>
      <c r="B369" s="1769"/>
      <c r="C369" s="1769"/>
      <c r="D369" s="1770" t="s">
        <v>123</v>
      </c>
      <c r="E369" s="1775">
        <f t="shared" si="50"/>
        <v>211</v>
      </c>
      <c r="F369" s="1771"/>
      <c r="G369" s="1771">
        <v>20</v>
      </c>
      <c r="H369" s="1771">
        <f>134+21</f>
        <v>155</v>
      </c>
      <c r="I369" s="1771"/>
      <c r="J369" s="1771"/>
      <c r="K369" s="1771"/>
      <c r="L369" s="1771">
        <f>36</f>
        <v>36</v>
      </c>
      <c r="M369" s="1771"/>
      <c r="N369" s="1771"/>
      <c r="O369" s="1771"/>
      <c r="P369" s="1771"/>
      <c r="Q369" s="1771"/>
      <c r="R369" s="1771"/>
      <c r="S369" s="1771"/>
      <c r="T369" s="1771"/>
      <c r="U369" s="1771"/>
      <c r="V369" s="1771"/>
      <c r="W369" s="1771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N369" s="30"/>
      <c r="AO369" s="30"/>
      <c r="AP369" s="30"/>
      <c r="AQ369" s="30"/>
      <c r="AR369" s="30"/>
      <c r="AS369" s="30"/>
      <c r="AT369" s="30"/>
      <c r="AW369" s="30"/>
    </row>
    <row r="370" spans="1:51" s="6" customFormat="1" ht="13.8">
      <c r="A370" s="1768"/>
      <c r="B370" s="1769"/>
      <c r="C370" s="1769"/>
      <c r="D370" s="1770" t="s">
        <v>37</v>
      </c>
      <c r="E370" s="1775">
        <f t="shared" si="50"/>
        <v>1782.35</v>
      </c>
      <c r="F370" s="1771"/>
      <c r="G370" s="1771">
        <f>363.85+75+115+225+24+88.5</f>
        <v>891.35</v>
      </c>
      <c r="H370" s="1771"/>
      <c r="I370" s="1771"/>
      <c r="J370" s="1771"/>
      <c r="K370" s="1771"/>
      <c r="L370" s="1771"/>
      <c r="M370" s="1771"/>
      <c r="N370" s="1771"/>
      <c r="O370" s="1771">
        <f>50+60+499+198+84</f>
        <v>891</v>
      </c>
      <c r="P370" s="1771"/>
      <c r="Q370" s="1771"/>
      <c r="R370" s="1771"/>
      <c r="S370" s="1771"/>
      <c r="T370" s="1771"/>
      <c r="U370" s="1771"/>
      <c r="V370" s="1771"/>
      <c r="W370" s="1771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N370" s="30"/>
      <c r="AO370" s="30"/>
      <c r="AP370" s="30"/>
      <c r="AQ370" s="30"/>
      <c r="AR370" s="30"/>
      <c r="AS370" s="30"/>
      <c r="AT370" s="30"/>
      <c r="AW370" s="30"/>
    </row>
    <row r="371" spans="1:51" s="26" customFormat="1" ht="12" customHeight="1">
      <c r="A371" s="29"/>
      <c r="B371" s="2889" t="str">
        <f>M7</f>
        <v>Oktober</v>
      </c>
      <c r="C371" s="1013">
        <v>45199</v>
      </c>
      <c r="D371" s="2895" t="s">
        <v>36</v>
      </c>
      <c r="E371" s="2891">
        <f t="shared" ref="E371:W371" si="51">SUM(E372:E373)</f>
        <v>0</v>
      </c>
      <c r="F371" s="2891">
        <f t="shared" si="51"/>
        <v>0</v>
      </c>
      <c r="G371" s="2891">
        <f t="shared" si="51"/>
        <v>0</v>
      </c>
      <c r="H371" s="2891">
        <f t="shared" si="51"/>
        <v>0</v>
      </c>
      <c r="I371" s="2891">
        <f t="shared" si="51"/>
        <v>0</v>
      </c>
      <c r="J371" s="2891">
        <f t="shared" si="51"/>
        <v>0</v>
      </c>
      <c r="K371" s="2891">
        <f t="shared" si="51"/>
        <v>0</v>
      </c>
      <c r="L371" s="2891">
        <f t="shared" si="51"/>
        <v>0</v>
      </c>
      <c r="M371" s="2891">
        <f t="shared" si="51"/>
        <v>0</v>
      </c>
      <c r="N371" s="2891">
        <f t="shared" si="51"/>
        <v>0</v>
      </c>
      <c r="O371" s="2891">
        <f t="shared" si="51"/>
        <v>0</v>
      </c>
      <c r="P371" s="2891">
        <f t="shared" si="51"/>
        <v>0</v>
      </c>
      <c r="Q371" s="2891">
        <f t="shared" si="51"/>
        <v>0</v>
      </c>
      <c r="R371" s="2891">
        <f t="shared" si="51"/>
        <v>0</v>
      </c>
      <c r="S371" s="2891">
        <f t="shared" si="51"/>
        <v>0</v>
      </c>
      <c r="T371" s="2891">
        <f t="shared" si="51"/>
        <v>0</v>
      </c>
      <c r="U371" s="2891">
        <f t="shared" si="51"/>
        <v>0</v>
      </c>
      <c r="V371" s="2891">
        <f t="shared" si="51"/>
        <v>0</v>
      </c>
      <c r="W371" s="2891">
        <f t="shared" si="51"/>
        <v>0</v>
      </c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9"/>
      <c r="AV371" s="9"/>
      <c r="AW371" s="10"/>
      <c r="AX371" s="9"/>
      <c r="AY371" s="9"/>
    </row>
    <row r="372" spans="1:51" s="26" customFormat="1" ht="12" customHeight="1">
      <c r="A372" s="29"/>
      <c r="B372" s="2890"/>
      <c r="C372" s="1014"/>
      <c r="D372" s="2896"/>
      <c r="E372" s="2892"/>
      <c r="F372" s="2892"/>
      <c r="G372" s="2892"/>
      <c r="H372" s="2892"/>
      <c r="I372" s="2892"/>
      <c r="J372" s="2892"/>
      <c r="K372" s="2892"/>
      <c r="L372" s="2892"/>
      <c r="M372" s="2892"/>
      <c r="N372" s="2892"/>
      <c r="O372" s="2892"/>
      <c r="P372" s="2892"/>
      <c r="Q372" s="2892"/>
      <c r="R372" s="2892"/>
      <c r="S372" s="2892"/>
      <c r="T372" s="2892"/>
      <c r="U372" s="2892"/>
      <c r="V372" s="2892"/>
      <c r="W372" s="2892"/>
      <c r="X372" s="995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9"/>
      <c r="AV372" s="9"/>
      <c r="AW372" s="10"/>
      <c r="AX372" s="9"/>
      <c r="AY372" s="9"/>
    </row>
    <row r="373" spans="1:51" s="6" customFormat="1" ht="13.8">
      <c r="A373" s="1768"/>
      <c r="B373" s="1769"/>
      <c r="C373" s="1769"/>
      <c r="D373" s="1770"/>
      <c r="E373" s="1775"/>
      <c r="F373" s="1771"/>
      <c r="G373" s="1771"/>
      <c r="H373" s="1771"/>
      <c r="I373" s="1771"/>
      <c r="J373" s="1771"/>
      <c r="K373" s="1771"/>
      <c r="L373" s="1771"/>
      <c r="M373" s="1771"/>
      <c r="N373" s="1771"/>
      <c r="O373" s="1771"/>
      <c r="P373" s="1771"/>
      <c r="Q373" s="1771"/>
      <c r="R373" s="1771"/>
      <c r="S373" s="1771"/>
      <c r="T373" s="1771"/>
      <c r="U373" s="1771"/>
      <c r="V373" s="1771"/>
      <c r="W373" s="1771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N373" s="30"/>
      <c r="AO373" s="30"/>
      <c r="AP373" s="30"/>
      <c r="AQ373" s="30"/>
      <c r="AR373" s="30"/>
      <c r="AS373" s="30"/>
      <c r="AT373" s="30"/>
      <c r="AW373" s="30"/>
    </row>
    <row r="374" spans="1:51" s="1005" customFormat="1" ht="12" customHeight="1">
      <c r="A374" s="1002"/>
      <c r="B374" s="1009"/>
      <c r="C374" s="2893" t="s">
        <v>1120</v>
      </c>
      <c r="D374" s="2894"/>
      <c r="E374" s="1723">
        <f t="shared" ref="E374:W374" si="52">SUM(E375:E375)</f>
        <v>0</v>
      </c>
      <c r="F374" s="1012">
        <f t="shared" si="52"/>
        <v>0</v>
      </c>
      <c r="G374" s="1012">
        <f t="shared" si="52"/>
        <v>0</v>
      </c>
      <c r="H374" s="1012">
        <f t="shared" si="52"/>
        <v>0</v>
      </c>
      <c r="I374" s="1012">
        <f t="shared" si="52"/>
        <v>0</v>
      </c>
      <c r="J374" s="1012">
        <f t="shared" si="52"/>
        <v>0</v>
      </c>
      <c r="K374" s="1012">
        <f t="shared" si="52"/>
        <v>0</v>
      </c>
      <c r="L374" s="1012">
        <f t="shared" si="52"/>
        <v>0</v>
      </c>
      <c r="M374" s="1012">
        <f t="shared" si="52"/>
        <v>0</v>
      </c>
      <c r="N374" s="1012">
        <f t="shared" si="52"/>
        <v>0</v>
      </c>
      <c r="O374" s="1012">
        <f t="shared" si="52"/>
        <v>0</v>
      </c>
      <c r="P374" s="1012">
        <f t="shared" si="52"/>
        <v>0</v>
      </c>
      <c r="Q374" s="1012">
        <f t="shared" si="52"/>
        <v>0</v>
      </c>
      <c r="R374" s="1012">
        <f t="shared" si="52"/>
        <v>0</v>
      </c>
      <c r="S374" s="1012">
        <f t="shared" si="52"/>
        <v>0</v>
      </c>
      <c r="T374" s="1012">
        <f t="shared" si="52"/>
        <v>0</v>
      </c>
      <c r="U374" s="1012">
        <f t="shared" si="52"/>
        <v>0</v>
      </c>
      <c r="V374" s="1012">
        <f t="shared" si="52"/>
        <v>0</v>
      </c>
      <c r="W374" s="1012">
        <f t="shared" si="52"/>
        <v>0</v>
      </c>
      <c r="X374" s="90"/>
      <c r="Y374" s="1003"/>
      <c r="Z374" s="1003"/>
      <c r="AA374" s="1003"/>
      <c r="AB374" s="1003"/>
      <c r="AC374" s="1003"/>
      <c r="AD374" s="1003"/>
      <c r="AE374" s="1003"/>
      <c r="AF374" s="1003"/>
      <c r="AG374" s="1003"/>
      <c r="AH374" s="1003"/>
      <c r="AI374" s="1004"/>
      <c r="AJ374" s="1004"/>
      <c r="AK374" s="1004"/>
      <c r="AL374" s="1004"/>
      <c r="AM374" s="1003"/>
      <c r="AN374" s="1003"/>
      <c r="AO374" s="1003"/>
      <c r="AP374" s="1003"/>
      <c r="AQ374" s="1003"/>
      <c r="AR374" s="1003"/>
      <c r="AS374" s="1003"/>
      <c r="AT374" s="1003"/>
      <c r="AU374" s="1003"/>
      <c r="AV374" s="1003"/>
      <c r="AW374" s="1003"/>
    </row>
    <row r="375" spans="1:51" s="90" customFormat="1" ht="13.8">
      <c r="A375" s="973"/>
      <c r="B375" s="974"/>
      <c r="C375" s="974"/>
      <c r="D375" s="975"/>
      <c r="E375" s="1774"/>
      <c r="F375" s="976"/>
      <c r="G375" s="976"/>
      <c r="H375" s="976"/>
      <c r="I375" s="976"/>
      <c r="J375" s="976"/>
      <c r="K375" s="976"/>
      <c r="L375" s="976"/>
      <c r="M375" s="976"/>
      <c r="N375" s="976"/>
      <c r="O375" s="976"/>
      <c r="P375" s="976"/>
      <c r="Q375" s="976"/>
      <c r="R375" s="976"/>
      <c r="S375" s="976"/>
      <c r="T375" s="976"/>
      <c r="U375" s="976"/>
      <c r="V375" s="976"/>
      <c r="W375" s="976"/>
      <c r="X375" s="1"/>
    </row>
    <row r="376" spans="1:51" s="35" customFormat="1" ht="13.5" customHeight="1">
      <c r="A376" s="39"/>
      <c r="B376" s="979" t="str">
        <f>N7</f>
        <v>November</v>
      </c>
      <c r="C376" s="980">
        <v>44866</v>
      </c>
      <c r="D376" s="981"/>
      <c r="E376" s="1724">
        <f>SUM(E377:E408)</f>
        <v>-1317.099999999999</v>
      </c>
      <c r="F376" s="982">
        <f>SUM(F377:F408)</f>
        <v>331</v>
      </c>
      <c r="G376" s="982">
        <f>SUM(G377:G408)</f>
        <v>1593</v>
      </c>
      <c r="H376" s="982">
        <f t="shared" ref="H376:U376" si="53">SUM(H377:H377)</f>
        <v>0</v>
      </c>
      <c r="I376" s="982">
        <f t="shared" si="53"/>
        <v>0</v>
      </c>
      <c r="J376" s="982">
        <f t="shared" si="53"/>
        <v>0</v>
      </c>
      <c r="K376" s="982">
        <f t="shared" si="53"/>
        <v>0</v>
      </c>
      <c r="L376" s="982">
        <f t="shared" si="53"/>
        <v>0</v>
      </c>
      <c r="M376" s="982">
        <f t="shared" si="53"/>
        <v>0</v>
      </c>
      <c r="N376" s="982">
        <f t="shared" si="53"/>
        <v>0</v>
      </c>
      <c r="O376" s="982">
        <f t="shared" si="53"/>
        <v>0</v>
      </c>
      <c r="P376" s="982">
        <f t="shared" si="53"/>
        <v>0</v>
      </c>
      <c r="Q376" s="982">
        <f t="shared" si="53"/>
        <v>0</v>
      </c>
      <c r="R376" s="982">
        <f t="shared" si="53"/>
        <v>0</v>
      </c>
      <c r="S376" s="982">
        <f t="shared" si="53"/>
        <v>0</v>
      </c>
      <c r="T376" s="982">
        <f t="shared" si="53"/>
        <v>0</v>
      </c>
      <c r="U376" s="982">
        <f t="shared" si="53"/>
        <v>0</v>
      </c>
      <c r="V376" s="982"/>
      <c r="W376" s="982"/>
      <c r="X376" s="10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2"/>
      <c r="AP376" s="12"/>
      <c r="AQ376" s="12"/>
      <c r="AR376" s="12"/>
      <c r="AW376" s="12"/>
    </row>
    <row r="377" spans="1:51" s="6" customFormat="1" ht="13.8">
      <c r="A377" s="1768"/>
      <c r="B377" s="1769">
        <v>45230</v>
      </c>
      <c r="C377" s="1769" t="s">
        <v>17</v>
      </c>
      <c r="D377" s="1770" t="s">
        <v>35</v>
      </c>
      <c r="E377" s="1775">
        <v>-11843</v>
      </c>
      <c r="F377" s="1771"/>
      <c r="G377" s="1771"/>
      <c r="H377" s="1771"/>
      <c r="I377" s="1771"/>
      <c r="J377" s="1771"/>
      <c r="K377" s="1771"/>
      <c r="L377" s="1771"/>
      <c r="M377" s="1771"/>
      <c r="N377" s="1771"/>
      <c r="O377" s="1771"/>
      <c r="P377" s="1771"/>
      <c r="Q377" s="1771"/>
      <c r="R377" s="1771"/>
      <c r="S377" s="1771"/>
      <c r="T377" s="1771"/>
      <c r="U377" s="1771"/>
      <c r="V377" s="1771"/>
      <c r="W377" s="1771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N377" s="30"/>
      <c r="AO377" s="30"/>
      <c r="AP377" s="30"/>
      <c r="AQ377" s="30"/>
      <c r="AR377" s="30"/>
      <c r="AS377" s="30"/>
      <c r="AT377" s="30"/>
      <c r="AW377" s="30"/>
    </row>
    <row r="378" spans="1:51" s="6" customFormat="1" ht="13.8">
      <c r="A378" s="1768"/>
      <c r="B378" s="1769">
        <v>45230</v>
      </c>
      <c r="C378" s="1769" t="s">
        <v>17</v>
      </c>
      <c r="D378" s="1770" t="s">
        <v>34</v>
      </c>
      <c r="E378" s="1775">
        <v>-8159</v>
      </c>
      <c r="F378" s="1771"/>
      <c r="G378" s="1771"/>
      <c r="H378" s="1771"/>
      <c r="I378" s="1771"/>
      <c r="J378" s="1771"/>
      <c r="K378" s="1771"/>
      <c r="L378" s="1771"/>
      <c r="M378" s="1771"/>
      <c r="N378" s="1771"/>
      <c r="O378" s="1771"/>
      <c r="P378" s="1771"/>
      <c r="Q378" s="1771"/>
      <c r="R378" s="1771"/>
      <c r="S378" s="1771"/>
      <c r="T378" s="1771"/>
      <c r="U378" s="1771"/>
      <c r="V378" s="1771"/>
      <c r="W378" s="1771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N378" s="30"/>
      <c r="AO378" s="30"/>
      <c r="AP378" s="30"/>
      <c r="AQ378" s="30"/>
      <c r="AR378" s="30"/>
      <c r="AS378" s="30"/>
      <c r="AT378" s="30"/>
      <c r="AW378" s="30"/>
    </row>
    <row r="379" spans="1:51" s="6" customFormat="1" ht="13.8">
      <c r="A379" s="1768"/>
      <c r="B379" s="1769">
        <v>45230</v>
      </c>
      <c r="C379" s="1769" t="s">
        <v>17</v>
      </c>
      <c r="D379" s="1770" t="s">
        <v>33</v>
      </c>
      <c r="E379" s="1775">
        <v>-213</v>
      </c>
      <c r="F379" s="1771"/>
      <c r="G379" s="1771"/>
      <c r="H379" s="1771"/>
      <c r="I379" s="1771"/>
      <c r="J379" s="1771"/>
      <c r="K379" s="1771"/>
      <c r="L379" s="1771"/>
      <c r="M379" s="1771"/>
      <c r="N379" s="1771"/>
      <c r="O379" s="1771"/>
      <c r="P379" s="1771"/>
      <c r="Q379" s="1771"/>
      <c r="R379" s="1771"/>
      <c r="S379" s="1771"/>
      <c r="T379" s="1771"/>
      <c r="U379" s="1771"/>
      <c r="V379" s="1771"/>
      <c r="W379" s="1771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N379" s="30"/>
      <c r="AO379" s="30"/>
      <c r="AP379" s="30"/>
      <c r="AQ379" s="30"/>
      <c r="AR379" s="30"/>
      <c r="AS379" s="30"/>
      <c r="AT379" s="30"/>
      <c r="AW379" s="30"/>
    </row>
    <row r="380" spans="1:51" s="6" customFormat="1" ht="13.8">
      <c r="A380" s="1768"/>
      <c r="B380" s="1769">
        <v>45230</v>
      </c>
      <c r="C380" s="1769"/>
      <c r="D380" s="1770" t="s">
        <v>432</v>
      </c>
      <c r="E380" s="1775">
        <v>450</v>
      </c>
      <c r="F380" s="1771"/>
      <c r="G380" s="1771">
        <v>450</v>
      </c>
      <c r="H380" s="1771"/>
      <c r="I380" s="1771"/>
      <c r="J380" s="1771"/>
      <c r="K380" s="1771"/>
      <c r="L380" s="1771"/>
      <c r="M380" s="1771"/>
      <c r="N380" s="1771"/>
      <c r="O380" s="1771"/>
      <c r="P380" s="1771"/>
      <c r="Q380" s="1771"/>
      <c r="R380" s="1771"/>
      <c r="S380" s="1771"/>
      <c r="T380" s="1771"/>
      <c r="U380" s="1771">
        <v>450</v>
      </c>
      <c r="V380" s="1771"/>
      <c r="W380" s="1771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N380" s="30"/>
      <c r="AO380" s="30"/>
      <c r="AP380" s="30"/>
      <c r="AQ380" s="30"/>
      <c r="AR380" s="30"/>
      <c r="AS380" s="30"/>
      <c r="AT380" s="30"/>
      <c r="AW380" s="30"/>
    </row>
    <row r="381" spans="1:51" s="6" customFormat="1" ht="13.8">
      <c r="A381" s="1768"/>
      <c r="B381" s="1769">
        <v>45230</v>
      </c>
      <c r="C381" s="1769"/>
      <c r="D381" s="1770" t="s">
        <v>58</v>
      </c>
      <c r="E381" s="1775">
        <v>1800</v>
      </c>
      <c r="F381" s="1771"/>
      <c r="G381" s="1771"/>
      <c r="H381" s="1771"/>
      <c r="I381" s="1771"/>
      <c r="J381" s="1771"/>
      <c r="K381" s="1771"/>
      <c r="L381" s="1771"/>
      <c r="M381" s="1771"/>
      <c r="N381" s="1771"/>
      <c r="O381" s="1771">
        <v>500</v>
      </c>
      <c r="P381" s="1771"/>
      <c r="Q381" s="1771"/>
      <c r="R381" s="1771"/>
      <c r="S381" s="1771"/>
      <c r="T381" s="1771">
        <f>500+1000+100+200</f>
        <v>1800</v>
      </c>
      <c r="U381" s="1771"/>
      <c r="V381" s="1771"/>
      <c r="W381" s="1771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N381" s="30"/>
      <c r="AO381" s="30"/>
      <c r="AP381" s="30"/>
      <c r="AQ381" s="30"/>
      <c r="AR381" s="30"/>
      <c r="AS381" s="30"/>
      <c r="AT381" s="30"/>
      <c r="AW381" s="30"/>
    </row>
    <row r="382" spans="1:51" s="6" customFormat="1" ht="13.8">
      <c r="A382" s="1768"/>
      <c r="B382" s="1769">
        <v>45230</v>
      </c>
      <c r="C382" s="1769" t="s">
        <v>17</v>
      </c>
      <c r="D382" s="1770" t="s">
        <v>23</v>
      </c>
      <c r="E382" s="1775">
        <f t="shared" ref="E382:E383" si="54">SUM(F382:W382)</f>
        <v>42</v>
      </c>
      <c r="F382" s="1771"/>
      <c r="G382" s="1771"/>
      <c r="H382" s="1771"/>
      <c r="I382" s="1771"/>
      <c r="J382" s="1771"/>
      <c r="K382" s="1771"/>
      <c r="L382" s="1771"/>
      <c r="M382" s="1771"/>
      <c r="N382" s="1771"/>
      <c r="O382" s="1771"/>
      <c r="P382" s="1771"/>
      <c r="Q382" s="1771">
        <f>140-78-140+120</f>
        <v>42</v>
      </c>
      <c r="R382" s="1771"/>
      <c r="S382" s="1771"/>
      <c r="T382" s="1771"/>
      <c r="U382" s="1771"/>
      <c r="V382" s="1771"/>
      <c r="W382" s="1771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N382" s="30"/>
      <c r="AO382" s="30"/>
      <c r="AP382" s="30"/>
      <c r="AQ382" s="30"/>
      <c r="AR382" s="30"/>
      <c r="AS382" s="30"/>
      <c r="AT382" s="30"/>
      <c r="AW382" s="30"/>
    </row>
    <row r="383" spans="1:51" s="6" customFormat="1" ht="13.8">
      <c r="A383" s="1768"/>
      <c r="B383" s="1769">
        <v>45230</v>
      </c>
      <c r="C383" s="1769" t="s">
        <v>19</v>
      </c>
      <c r="D383" s="1770" t="s">
        <v>1466</v>
      </c>
      <c r="E383" s="1775">
        <f t="shared" si="54"/>
        <v>788</v>
      </c>
      <c r="F383" s="1771"/>
      <c r="G383" s="1771">
        <v>429</v>
      </c>
      <c r="H383" s="1771"/>
      <c r="I383" s="1771"/>
      <c r="J383" s="1771"/>
      <c r="K383" s="1771"/>
      <c r="L383" s="1771"/>
      <c r="M383" s="1771"/>
      <c r="N383" s="1771"/>
      <c r="O383" s="1771"/>
      <c r="P383" s="1771"/>
      <c r="Q383" s="1771"/>
      <c r="R383" s="1771"/>
      <c r="S383" s="1771"/>
      <c r="T383" s="1771">
        <v>359</v>
      </c>
      <c r="U383" s="1771"/>
      <c r="V383" s="1771"/>
      <c r="W383" s="1771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N383" s="30"/>
      <c r="AO383" s="30"/>
      <c r="AP383" s="30"/>
      <c r="AQ383" s="30"/>
      <c r="AR383" s="30"/>
      <c r="AS383" s="30"/>
      <c r="AT383" s="30"/>
      <c r="AW383" s="30"/>
    </row>
    <row r="384" spans="1:51" s="6" customFormat="1" ht="13.8">
      <c r="A384" s="1768"/>
      <c r="B384" s="1769">
        <v>45230</v>
      </c>
      <c r="C384" s="1769" t="s">
        <v>17</v>
      </c>
      <c r="D384" s="1770" t="s">
        <v>29</v>
      </c>
      <c r="E384" s="1775">
        <f>SUM(F384:W384)</f>
        <v>69</v>
      </c>
      <c r="F384" s="1771">
        <f>$AS$12</f>
        <v>69</v>
      </c>
      <c r="G384" s="1771"/>
      <c r="H384" s="1771"/>
      <c r="I384" s="1771"/>
      <c r="J384" s="1771"/>
      <c r="K384" s="1771"/>
      <c r="L384" s="1771"/>
      <c r="M384" s="1771"/>
      <c r="N384" s="1771"/>
      <c r="O384" s="1771"/>
      <c r="P384" s="1771"/>
      <c r="Q384" s="1771"/>
      <c r="R384" s="1771"/>
      <c r="S384" s="1771"/>
      <c r="T384" s="1771"/>
      <c r="U384" s="1771"/>
      <c r="V384" s="1771"/>
      <c r="W384" s="1771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N384" s="30"/>
      <c r="AO384" s="30"/>
      <c r="AP384" s="30"/>
      <c r="AQ384" s="30"/>
      <c r="AR384" s="30"/>
      <c r="AS384" s="30"/>
      <c r="AT384" s="30"/>
      <c r="AW384" s="30"/>
    </row>
    <row r="385" spans="1:49" s="6" customFormat="1" ht="13.8">
      <c r="A385" s="1768"/>
      <c r="B385" s="1769">
        <v>45230</v>
      </c>
      <c r="C385" s="1769"/>
      <c r="D385" s="1770" t="s">
        <v>124</v>
      </c>
      <c r="E385" s="1775">
        <f>SUM(F385:W385)</f>
        <v>365.9</v>
      </c>
      <c r="F385" s="1771"/>
      <c r="G385" s="1771"/>
      <c r="H385" s="1771"/>
      <c r="I385" s="1771">
        <f>515.8-285+35.1+100</f>
        <v>365.9</v>
      </c>
      <c r="J385" s="1771"/>
      <c r="K385" s="1771"/>
      <c r="L385" s="1771"/>
      <c r="M385" s="1771"/>
      <c r="N385" s="1771"/>
      <c r="O385" s="1771"/>
      <c r="P385" s="1771"/>
      <c r="Q385" s="1771"/>
      <c r="R385" s="1771"/>
      <c r="S385" s="1771"/>
      <c r="T385" s="1771"/>
      <c r="U385" s="1771"/>
      <c r="V385" s="1771"/>
      <c r="W385" s="1771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N385" s="30"/>
      <c r="AO385" s="30"/>
      <c r="AP385" s="30"/>
      <c r="AQ385" s="30"/>
      <c r="AR385" s="30"/>
      <c r="AS385" s="30"/>
      <c r="AT385" s="30"/>
      <c r="AW385" s="30"/>
    </row>
    <row r="386" spans="1:49" s="6" customFormat="1" ht="13.8">
      <c r="A386" s="1768"/>
      <c r="B386" s="1769">
        <v>45231</v>
      </c>
      <c r="C386" s="1769" t="s">
        <v>17</v>
      </c>
      <c r="D386" s="1770" t="s">
        <v>30</v>
      </c>
      <c r="E386" s="1775">
        <v>4270</v>
      </c>
      <c r="F386" s="1771"/>
      <c r="G386" s="1771"/>
      <c r="H386" s="1771"/>
      <c r="I386" s="1771"/>
      <c r="J386" s="1771"/>
      <c r="K386" s="1771"/>
      <c r="L386" s="1771"/>
      <c r="M386" s="1771">
        <v>4270</v>
      </c>
      <c r="N386" s="1771"/>
      <c r="O386" s="1771"/>
      <c r="P386" s="1771"/>
      <c r="Q386" s="1771"/>
      <c r="R386" s="1771"/>
      <c r="S386" s="1771"/>
      <c r="T386" s="1771"/>
      <c r="U386" s="1771"/>
      <c r="V386" s="1771"/>
      <c r="W386" s="1771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N386" s="30"/>
      <c r="AO386" s="30"/>
      <c r="AP386" s="30"/>
      <c r="AQ386" s="30"/>
      <c r="AR386" s="30"/>
      <c r="AS386" s="30"/>
      <c r="AT386" s="30"/>
      <c r="AW386" s="30"/>
    </row>
    <row r="387" spans="1:49" s="6" customFormat="1" ht="13.8">
      <c r="A387" s="1768"/>
      <c r="B387" s="1769">
        <v>45231</v>
      </c>
      <c r="C387" s="1769" t="s">
        <v>572</v>
      </c>
      <c r="D387" s="1770" t="s">
        <v>27</v>
      </c>
      <c r="E387" s="1775">
        <v>870.62</v>
      </c>
      <c r="F387" s="1771"/>
      <c r="G387" s="1771"/>
      <c r="H387" s="1771"/>
      <c r="I387" s="1771"/>
      <c r="J387" s="1771"/>
      <c r="K387" s="1771"/>
      <c r="L387" s="1771"/>
      <c r="M387" s="1771"/>
      <c r="N387" s="1771"/>
      <c r="O387" s="1771"/>
      <c r="P387" s="1771">
        <v>870.62</v>
      </c>
      <c r="Q387" s="1771"/>
      <c r="R387" s="1771"/>
      <c r="S387" s="1771"/>
      <c r="T387" s="1771"/>
      <c r="U387" s="1771"/>
      <c r="V387" s="1771"/>
      <c r="W387" s="1771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N387" s="30"/>
      <c r="AO387" s="30"/>
      <c r="AP387" s="30"/>
      <c r="AQ387" s="30"/>
      <c r="AR387" s="30"/>
      <c r="AS387" s="30"/>
      <c r="AT387" s="30"/>
      <c r="AW387" s="30"/>
    </row>
    <row r="388" spans="1:49" s="6" customFormat="1" ht="13.8">
      <c r="A388" s="1768"/>
      <c r="B388" s="1769">
        <v>45231</v>
      </c>
      <c r="C388" s="1769"/>
      <c r="D388" s="1770" t="s">
        <v>125</v>
      </c>
      <c r="E388" s="1775">
        <f>SUM(F388:W388)</f>
        <v>-240</v>
      </c>
      <c r="F388" s="1771"/>
      <c r="G388" s="1771"/>
      <c r="H388" s="1771"/>
      <c r="I388" s="1771"/>
      <c r="J388" s="1771"/>
      <c r="K388" s="1771"/>
      <c r="L388" s="1771"/>
      <c r="M388" s="1771"/>
      <c r="N388" s="1771"/>
      <c r="O388" s="1771"/>
      <c r="P388" s="1771"/>
      <c r="Q388" s="1771">
        <f>45-285</f>
        <v>-240</v>
      </c>
      <c r="R388" s="1771"/>
      <c r="S388" s="1771"/>
      <c r="T388" s="1771"/>
      <c r="U388" s="1771"/>
      <c r="V388" s="1771"/>
      <c r="W388" s="1771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N388" s="30"/>
      <c r="AO388" s="30"/>
      <c r="AP388" s="30"/>
      <c r="AQ388" s="30"/>
      <c r="AR388" s="30"/>
      <c r="AS388" s="30"/>
      <c r="AT388" s="30"/>
      <c r="AW388" s="30"/>
    </row>
    <row r="389" spans="1:49" s="6" customFormat="1" ht="13.8">
      <c r="A389" s="1768"/>
      <c r="B389" s="1769">
        <v>45231</v>
      </c>
      <c r="C389" s="1769" t="s">
        <v>17</v>
      </c>
      <c r="D389" s="1770" t="s">
        <v>22</v>
      </c>
      <c r="E389" s="1775">
        <f>SUM(F389:W389)</f>
        <v>208</v>
      </c>
      <c r="F389" s="1771"/>
      <c r="G389" s="1771"/>
      <c r="H389" s="1771"/>
      <c r="I389" s="1771"/>
      <c r="J389" s="1771"/>
      <c r="K389" s="1771"/>
      <c r="L389" s="1771"/>
      <c r="M389" s="1771"/>
      <c r="N389" s="1771"/>
      <c r="O389" s="1771"/>
      <c r="P389" s="1771">
        <v>208</v>
      </c>
      <c r="Q389" s="1771"/>
      <c r="R389" s="1771"/>
      <c r="S389" s="1771"/>
      <c r="T389" s="1771"/>
      <c r="U389" s="1771"/>
      <c r="V389" s="1771"/>
      <c r="W389" s="1771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N389" s="30"/>
      <c r="AO389" s="30"/>
      <c r="AP389" s="30"/>
      <c r="AQ389" s="30"/>
      <c r="AR389" s="30"/>
      <c r="AS389" s="30"/>
      <c r="AT389" s="30"/>
      <c r="AW389" s="30"/>
    </row>
    <row r="390" spans="1:49" s="6" customFormat="1" ht="13.8">
      <c r="A390" s="1768"/>
      <c r="B390" s="1769">
        <v>45231</v>
      </c>
      <c r="C390" s="1769" t="s">
        <v>17</v>
      </c>
      <c r="D390" s="1770" t="s">
        <v>28</v>
      </c>
      <c r="E390" s="1775">
        <f>SUM(F390:W390)</f>
        <v>200</v>
      </c>
      <c r="F390" s="1771">
        <f>$AR$12</f>
        <v>200</v>
      </c>
      <c r="G390" s="1771"/>
      <c r="H390" s="1771"/>
      <c r="I390" s="1771"/>
      <c r="J390" s="1771"/>
      <c r="K390" s="1771"/>
      <c r="L390" s="1771"/>
      <c r="M390" s="1771"/>
      <c r="N390" s="1771"/>
      <c r="O390" s="1771"/>
      <c r="P390" s="1771"/>
      <c r="Q390" s="1771"/>
      <c r="R390" s="1771"/>
      <c r="S390" s="1771"/>
      <c r="T390" s="1771"/>
      <c r="U390" s="1771"/>
      <c r="V390" s="1771"/>
      <c r="W390" s="1771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N390" s="30"/>
      <c r="AO390" s="30"/>
      <c r="AP390" s="30"/>
      <c r="AQ390" s="30"/>
      <c r="AR390" s="30"/>
      <c r="AS390" s="30"/>
      <c r="AT390" s="30"/>
      <c r="AW390" s="30"/>
    </row>
    <row r="391" spans="1:49" s="6" customFormat="1" ht="13.8">
      <c r="A391" s="1768"/>
      <c r="B391" s="1769">
        <v>45231</v>
      </c>
      <c r="C391" s="1769"/>
      <c r="D391" s="1770" t="s">
        <v>99</v>
      </c>
      <c r="E391" s="1775">
        <v>357.88</v>
      </c>
      <c r="F391" s="1771"/>
      <c r="G391" s="1771"/>
      <c r="H391" s="1771"/>
      <c r="I391" s="1771"/>
      <c r="J391" s="1771"/>
      <c r="K391" s="1771"/>
      <c r="L391" s="1771"/>
      <c r="M391" s="1771">
        <v>357.88</v>
      </c>
      <c r="N391" s="1771"/>
      <c r="O391" s="1771"/>
      <c r="P391" s="1771"/>
      <c r="Q391" s="1771"/>
      <c r="R391" s="1771"/>
      <c r="S391" s="1771"/>
      <c r="T391" s="1771"/>
      <c r="U391" s="1771"/>
      <c r="V391" s="1771"/>
      <c r="W391" s="1771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N391" s="30"/>
      <c r="AO391" s="30"/>
      <c r="AP391" s="30"/>
      <c r="AQ391" s="30"/>
      <c r="AR391" s="30"/>
      <c r="AS391" s="30"/>
      <c r="AT391" s="30"/>
      <c r="AW391" s="30"/>
    </row>
    <row r="392" spans="1:49" s="6" customFormat="1" ht="13.8">
      <c r="A392" s="1768"/>
      <c r="B392" s="1769">
        <v>45231</v>
      </c>
      <c r="C392" s="1769" t="s">
        <v>572</v>
      </c>
      <c r="D392" s="1770" t="s">
        <v>25</v>
      </c>
      <c r="E392" s="1775">
        <v>3297.06</v>
      </c>
      <c r="F392" s="1771"/>
      <c r="G392" s="1771"/>
      <c r="H392" s="1771"/>
      <c r="I392" s="1771"/>
      <c r="J392" s="1771"/>
      <c r="K392" s="1771"/>
      <c r="L392" s="1771"/>
      <c r="M392" s="1771"/>
      <c r="N392" s="1771"/>
      <c r="O392" s="1771">
        <v>2471.2399999999998</v>
      </c>
      <c r="P392" s="1771"/>
      <c r="Q392" s="1771"/>
      <c r="R392" s="1771"/>
      <c r="S392" s="1771"/>
      <c r="T392" s="1771">
        <f>201.84+100.33+50.09+463.56</f>
        <v>815.81999999999994</v>
      </c>
      <c r="U392" s="1771"/>
      <c r="V392" s="1771"/>
      <c r="W392" s="1771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N392" s="30"/>
      <c r="AO392" s="30"/>
      <c r="AP392" s="30"/>
      <c r="AQ392" s="30"/>
      <c r="AR392" s="30"/>
      <c r="AS392" s="30"/>
      <c r="AT392" s="30"/>
      <c r="AW392" s="30"/>
    </row>
    <row r="393" spans="1:49" s="6" customFormat="1" ht="13.8">
      <c r="A393" s="1768"/>
      <c r="B393" s="1769">
        <v>45232</v>
      </c>
      <c r="C393" s="1769" t="s">
        <v>17</v>
      </c>
      <c r="D393" s="1770" t="s">
        <v>21</v>
      </c>
      <c r="E393" s="1775">
        <v>465</v>
      </c>
      <c r="F393" s="1771"/>
      <c r="G393" s="1771"/>
      <c r="H393" s="1771"/>
      <c r="I393" s="1771"/>
      <c r="J393" s="1771"/>
      <c r="K393" s="1771"/>
      <c r="L393" s="1771"/>
      <c r="M393" s="1771"/>
      <c r="N393" s="1771"/>
      <c r="O393" s="1771"/>
      <c r="P393" s="1771">
        <v>465</v>
      </c>
      <c r="Q393" s="1771"/>
      <c r="R393" s="1771"/>
      <c r="S393" s="1771"/>
      <c r="T393" s="1771"/>
      <c r="U393" s="1771"/>
      <c r="V393" s="1771"/>
      <c r="W393" s="1771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N393" s="30"/>
      <c r="AO393" s="30"/>
      <c r="AP393" s="30"/>
      <c r="AQ393" s="30"/>
      <c r="AR393" s="30"/>
      <c r="AS393" s="30"/>
      <c r="AT393" s="30"/>
      <c r="AW393" s="30"/>
    </row>
    <row r="394" spans="1:49" s="6" customFormat="1" ht="13.8">
      <c r="A394" s="1768"/>
      <c r="B394" s="1769">
        <v>45233</v>
      </c>
      <c r="C394" s="1769"/>
      <c r="D394" s="1770" t="s">
        <v>1354</v>
      </c>
      <c r="E394" s="1775">
        <f>SUM(F394:W394)</f>
        <v>159</v>
      </c>
      <c r="F394" s="1771"/>
      <c r="G394" s="1771"/>
      <c r="H394" s="1771"/>
      <c r="I394" s="1771"/>
      <c r="J394" s="1771"/>
      <c r="K394" s="1771"/>
      <c r="L394" s="1771"/>
      <c r="M394" s="1771"/>
      <c r="N394" s="1771"/>
      <c r="O394" s="1771"/>
      <c r="P394" s="1771">
        <v>159</v>
      </c>
      <c r="Q394" s="1771"/>
      <c r="R394" s="1771"/>
      <c r="S394" s="1771"/>
      <c r="T394" s="1771"/>
      <c r="U394" s="1771"/>
      <c r="V394" s="1771"/>
      <c r="W394" s="1771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N394" s="30"/>
      <c r="AO394" s="30"/>
      <c r="AP394" s="30"/>
      <c r="AQ394" s="30"/>
      <c r="AR394" s="30"/>
      <c r="AS394" s="30"/>
      <c r="AT394" s="30"/>
      <c r="AW394" s="30"/>
    </row>
    <row r="395" spans="1:49" s="6" customFormat="1" ht="13.8">
      <c r="A395" s="1768"/>
      <c r="B395" s="1769">
        <v>45235</v>
      </c>
      <c r="C395" s="1769" t="s">
        <v>17</v>
      </c>
      <c r="D395" s="1770" t="s">
        <v>620</v>
      </c>
      <c r="E395" s="1775">
        <v>357.89</v>
      </c>
      <c r="F395" s="1771">
        <f>$AK$12</f>
        <v>62</v>
      </c>
      <c r="G395" s="1771"/>
      <c r="H395" s="1771"/>
      <c r="I395" s="1771"/>
      <c r="J395" s="1771"/>
      <c r="K395" s="1771"/>
      <c r="L395" s="1771"/>
      <c r="M395" s="1771"/>
      <c r="N395" s="1771"/>
      <c r="O395" s="1771">
        <f>$AJ$12</f>
        <v>236</v>
      </c>
      <c r="P395" s="1771"/>
      <c r="Q395" s="1771"/>
      <c r="R395" s="1771"/>
      <c r="S395" s="1771"/>
      <c r="T395" s="1771"/>
      <c r="U395" s="1771"/>
      <c r="V395" s="1771"/>
      <c r="W395" s="1771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N395" s="30"/>
      <c r="AO395" s="30"/>
      <c r="AP395" s="30"/>
      <c r="AQ395" s="30"/>
      <c r="AR395" s="30"/>
      <c r="AS395" s="30"/>
      <c r="AT395" s="30"/>
      <c r="AW395" s="30"/>
    </row>
    <row r="396" spans="1:49" s="6" customFormat="1" ht="13.8">
      <c r="A396" s="1768"/>
      <c r="B396" s="1769">
        <v>45243</v>
      </c>
      <c r="C396" s="1769"/>
      <c r="D396" s="1770" t="s">
        <v>1494</v>
      </c>
      <c r="E396" s="1775">
        <v>1377.36</v>
      </c>
      <c r="F396" s="1771"/>
      <c r="G396" s="1771"/>
      <c r="H396" s="1771"/>
      <c r="I396" s="1771"/>
      <c r="J396" s="1771"/>
      <c r="K396" s="1771"/>
      <c r="L396" s="1771"/>
      <c r="M396" s="1771"/>
      <c r="N396" s="1771"/>
      <c r="O396" s="1771">
        <v>1377.36</v>
      </c>
      <c r="P396" s="1771"/>
      <c r="Q396" s="1771"/>
      <c r="R396" s="1771"/>
      <c r="S396" s="1771"/>
      <c r="T396" s="1771"/>
      <c r="U396" s="1771"/>
      <c r="V396" s="1771"/>
      <c r="W396" s="1771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N396" s="30"/>
      <c r="AO396" s="30"/>
      <c r="AP396" s="30"/>
      <c r="AQ396" s="30"/>
      <c r="AR396" s="30"/>
      <c r="AS396" s="30"/>
      <c r="AT396" s="30"/>
      <c r="AW396" s="30"/>
    </row>
    <row r="397" spans="1:49" s="6" customFormat="1" ht="13.8">
      <c r="A397" s="1768"/>
      <c r="B397" s="1769"/>
      <c r="C397" s="1769"/>
      <c r="D397" s="1770" t="s">
        <v>167</v>
      </c>
      <c r="E397" s="1775">
        <v>310</v>
      </c>
      <c r="F397" s="1771"/>
      <c r="G397" s="1771">
        <v>310</v>
      </c>
      <c r="H397" s="1771"/>
      <c r="I397" s="1771"/>
      <c r="J397" s="1771"/>
      <c r="K397" s="1771"/>
      <c r="L397" s="1771"/>
      <c r="M397" s="1771"/>
      <c r="N397" s="1771"/>
      <c r="O397" s="1771"/>
      <c r="P397" s="1771"/>
      <c r="Q397" s="1771"/>
      <c r="R397" s="1771"/>
      <c r="S397" s="1771"/>
      <c r="T397" s="1771"/>
      <c r="U397" s="1771"/>
      <c r="V397" s="1771"/>
      <c r="W397" s="1771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N397" s="30"/>
      <c r="AO397" s="30"/>
      <c r="AP397" s="30"/>
      <c r="AQ397" s="30"/>
      <c r="AR397" s="30"/>
      <c r="AS397" s="30"/>
      <c r="AT397" s="30"/>
      <c r="AW397" s="30"/>
    </row>
    <row r="398" spans="1:49" s="6" customFormat="1" ht="13.8">
      <c r="A398" s="1768"/>
      <c r="B398" s="1769"/>
      <c r="C398" s="1769"/>
      <c r="D398" s="1770" t="s">
        <v>194</v>
      </c>
      <c r="E398" s="1775">
        <v>450</v>
      </c>
      <c r="F398" s="1771"/>
      <c r="G398" s="1771"/>
      <c r="H398" s="1771"/>
      <c r="I398" s="1771"/>
      <c r="J398" s="1771"/>
      <c r="K398" s="1771"/>
      <c r="L398" s="1771"/>
      <c r="M398" s="1771"/>
      <c r="N398" s="1771"/>
      <c r="O398" s="1771">
        <v>450</v>
      </c>
      <c r="P398" s="1771"/>
      <c r="Q398" s="1771"/>
      <c r="R398" s="1771"/>
      <c r="S398" s="1771"/>
      <c r="T398" s="1771"/>
      <c r="U398" s="1771"/>
      <c r="V398" s="1771"/>
      <c r="W398" s="1771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N398" s="30"/>
      <c r="AO398" s="30"/>
      <c r="AP398" s="30"/>
      <c r="AQ398" s="30"/>
      <c r="AR398" s="30"/>
      <c r="AS398" s="30"/>
      <c r="AT398" s="30"/>
      <c r="AW398" s="30"/>
    </row>
    <row r="399" spans="1:49" s="6" customFormat="1" ht="13.8">
      <c r="A399" s="1768"/>
      <c r="B399" s="1769"/>
      <c r="C399" s="1769"/>
      <c r="D399" s="1770" t="s">
        <v>1493</v>
      </c>
      <c r="E399" s="1775">
        <v>498</v>
      </c>
      <c r="F399" s="1771"/>
      <c r="G399" s="1771"/>
      <c r="H399" s="1771"/>
      <c r="I399" s="1771"/>
      <c r="J399" s="1771"/>
      <c r="K399" s="1771"/>
      <c r="L399" s="1771"/>
      <c r="M399" s="1771"/>
      <c r="N399" s="1771"/>
      <c r="O399" s="1771">
        <v>498</v>
      </c>
      <c r="P399" s="1771"/>
      <c r="Q399" s="1771"/>
      <c r="R399" s="1771"/>
      <c r="S399" s="1771"/>
      <c r="T399" s="1771"/>
      <c r="U399" s="1771"/>
      <c r="V399" s="1771"/>
      <c r="W399" s="1771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N399" s="30"/>
      <c r="AO399" s="30"/>
      <c r="AP399" s="30"/>
      <c r="AQ399" s="30"/>
      <c r="AR399" s="30"/>
      <c r="AS399" s="30"/>
      <c r="AT399" s="30"/>
      <c r="AW399" s="30"/>
    </row>
    <row r="400" spans="1:49" s="6" customFormat="1" ht="13.8">
      <c r="A400" s="1768"/>
      <c r="B400" s="1769"/>
      <c r="C400" s="1769"/>
      <c r="D400" s="1770" t="s">
        <v>9</v>
      </c>
      <c r="E400" s="1775">
        <v>100</v>
      </c>
      <c r="F400" s="1771"/>
      <c r="G400" s="1771"/>
      <c r="H400" s="1771"/>
      <c r="I400" s="1771"/>
      <c r="J400" s="1771"/>
      <c r="K400" s="1771"/>
      <c r="L400" s="1771"/>
      <c r="M400" s="1771"/>
      <c r="N400" s="1771"/>
      <c r="O400" s="1771"/>
      <c r="P400" s="1771"/>
      <c r="Q400" s="1771"/>
      <c r="R400" s="1771">
        <v>100</v>
      </c>
      <c r="S400" s="1771"/>
      <c r="T400" s="1771"/>
      <c r="U400" s="1771"/>
      <c r="V400" s="1771"/>
      <c r="W400" s="1771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N400" s="30"/>
      <c r="AO400" s="30"/>
      <c r="AP400" s="30"/>
      <c r="AQ400" s="30"/>
      <c r="AR400" s="30"/>
      <c r="AS400" s="30"/>
      <c r="AT400" s="30"/>
      <c r="AW400" s="30"/>
    </row>
    <row r="401" spans="1:51" s="6" customFormat="1" ht="13.8">
      <c r="A401" s="1768"/>
      <c r="B401" s="1769"/>
      <c r="C401" s="1769"/>
      <c r="D401" s="1770" t="s">
        <v>8</v>
      </c>
      <c r="E401" s="1775">
        <v>150</v>
      </c>
      <c r="F401" s="1771"/>
      <c r="G401" s="1771"/>
      <c r="H401" s="1771"/>
      <c r="I401" s="1771"/>
      <c r="J401" s="1771"/>
      <c r="K401" s="1771"/>
      <c r="L401" s="1771"/>
      <c r="M401" s="1771"/>
      <c r="N401" s="1771"/>
      <c r="O401" s="1771"/>
      <c r="P401" s="1771"/>
      <c r="Q401" s="1771"/>
      <c r="R401" s="1771">
        <v>150</v>
      </c>
      <c r="S401" s="1771"/>
      <c r="T401" s="1771"/>
      <c r="U401" s="1771"/>
      <c r="V401" s="1771"/>
      <c r="W401" s="1771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N401" s="30"/>
      <c r="AO401" s="30"/>
      <c r="AP401" s="30"/>
      <c r="AQ401" s="30"/>
      <c r="AR401" s="30"/>
      <c r="AS401" s="30"/>
      <c r="AT401" s="30"/>
      <c r="AW401" s="30"/>
    </row>
    <row r="402" spans="1:51" s="6" customFormat="1" ht="13.8">
      <c r="A402" s="1768"/>
      <c r="B402" s="1769"/>
      <c r="C402" s="1769"/>
      <c r="D402" s="1770" t="s">
        <v>42</v>
      </c>
      <c r="E402" s="1775">
        <f t="shared" ref="E402:E408" si="55">SUM(F402:W402)</f>
        <v>285.64999999999998</v>
      </c>
      <c r="F402" s="1771"/>
      <c r="G402" s="1771"/>
      <c r="H402" s="1771">
        <f>212.65+73</f>
        <v>285.64999999999998</v>
      </c>
      <c r="I402" s="1771"/>
      <c r="J402" s="1771"/>
      <c r="K402" s="1771"/>
      <c r="L402" s="1771"/>
      <c r="M402" s="1771"/>
      <c r="N402" s="1771"/>
      <c r="O402" s="1771"/>
      <c r="P402" s="1771"/>
      <c r="Q402" s="1771"/>
      <c r="R402" s="1771"/>
      <c r="S402" s="1771"/>
      <c r="T402" s="1771"/>
      <c r="U402" s="1771"/>
      <c r="V402" s="1771"/>
      <c r="W402" s="1771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N402" s="30"/>
      <c r="AO402" s="30"/>
      <c r="AP402" s="30"/>
      <c r="AQ402" s="30"/>
      <c r="AR402" s="30"/>
      <c r="AS402" s="30"/>
      <c r="AT402" s="30"/>
      <c r="AW402" s="30"/>
    </row>
    <row r="403" spans="1:51" s="6" customFormat="1" ht="13.8">
      <c r="A403" s="1768"/>
      <c r="B403" s="1769"/>
      <c r="C403" s="1769"/>
      <c r="D403" s="1770" t="s">
        <v>41</v>
      </c>
      <c r="E403" s="1775">
        <f t="shared" si="55"/>
        <v>0</v>
      </c>
      <c r="F403" s="1771"/>
      <c r="G403" s="1771"/>
      <c r="H403" s="1771"/>
      <c r="I403" s="1771"/>
      <c r="J403" s="1771"/>
      <c r="K403" s="1771"/>
      <c r="L403" s="1771"/>
      <c r="M403" s="1771"/>
      <c r="N403" s="1771"/>
      <c r="O403" s="1771"/>
      <c r="P403" s="1771"/>
      <c r="Q403" s="1771"/>
      <c r="R403" s="1771"/>
      <c r="S403" s="1771"/>
      <c r="T403" s="1771"/>
      <c r="U403" s="1771"/>
      <c r="V403" s="1771"/>
      <c r="W403" s="1771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N403" s="30"/>
      <c r="AO403" s="30"/>
      <c r="AP403" s="30"/>
      <c r="AQ403" s="30"/>
      <c r="AR403" s="30"/>
      <c r="AS403" s="30"/>
      <c r="AT403" s="30"/>
      <c r="AW403" s="30"/>
    </row>
    <row r="404" spans="1:51" s="6" customFormat="1" ht="13.8">
      <c r="A404" s="1768"/>
      <c r="B404" s="1769"/>
      <c r="C404" s="1769"/>
      <c r="D404" s="1770" t="s">
        <v>1348</v>
      </c>
      <c r="E404" s="1775">
        <f t="shared" si="55"/>
        <v>400.04</v>
      </c>
      <c r="F404" s="1771"/>
      <c r="G404" s="1771">
        <v>85</v>
      </c>
      <c r="H404" s="1771">
        <f>10.5+72+120.84+30+28.2+10.5+43</f>
        <v>315.04000000000002</v>
      </c>
      <c r="I404" s="1771"/>
      <c r="J404" s="1771"/>
      <c r="K404" s="1771"/>
      <c r="L404" s="1771"/>
      <c r="M404" s="1771"/>
      <c r="N404" s="1771"/>
      <c r="O404" s="1771"/>
      <c r="P404" s="1771"/>
      <c r="Q404" s="1771"/>
      <c r="R404" s="1771"/>
      <c r="S404" s="1771"/>
      <c r="T404" s="1771"/>
      <c r="U404" s="1771"/>
      <c r="V404" s="1771"/>
      <c r="W404" s="1771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N404" s="30"/>
      <c r="AO404" s="30"/>
      <c r="AP404" s="30"/>
      <c r="AQ404" s="30"/>
      <c r="AR404" s="30"/>
      <c r="AS404" s="30"/>
      <c r="AT404" s="30"/>
      <c r="AW404" s="30"/>
    </row>
    <row r="405" spans="1:51" s="6" customFormat="1" ht="13.8">
      <c r="A405" s="1768"/>
      <c r="B405" s="1769"/>
      <c r="C405" s="1769"/>
      <c r="D405" s="1770" t="s">
        <v>39</v>
      </c>
      <c r="E405" s="1775">
        <f t="shared" si="55"/>
        <v>0</v>
      </c>
      <c r="F405" s="1771"/>
      <c r="G405" s="1771"/>
      <c r="H405" s="1771"/>
      <c r="I405" s="1771"/>
      <c r="J405" s="1771"/>
      <c r="K405" s="1771"/>
      <c r="L405" s="1771"/>
      <c r="M405" s="1771"/>
      <c r="N405" s="1771"/>
      <c r="O405" s="1771"/>
      <c r="P405" s="1771"/>
      <c r="Q405" s="1771"/>
      <c r="R405" s="1771"/>
      <c r="S405" s="1771"/>
      <c r="T405" s="1771"/>
      <c r="U405" s="1771"/>
      <c r="V405" s="1771"/>
      <c r="W405" s="1771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N405" s="30"/>
      <c r="AO405" s="30"/>
      <c r="AP405" s="30"/>
      <c r="AQ405" s="30"/>
      <c r="AR405" s="30"/>
      <c r="AS405" s="30"/>
      <c r="AT405" s="30"/>
      <c r="AW405" s="30"/>
    </row>
    <row r="406" spans="1:51" s="6" customFormat="1" ht="13.8">
      <c r="A406" s="1768"/>
      <c r="B406" s="1769"/>
      <c r="C406" s="1769"/>
      <c r="D406" s="1770" t="s">
        <v>38</v>
      </c>
      <c r="E406" s="1775">
        <f t="shared" si="55"/>
        <v>860</v>
      </c>
      <c r="F406" s="1771"/>
      <c r="G406" s="1771"/>
      <c r="H406" s="1771">
        <f>120+120</f>
        <v>240</v>
      </c>
      <c r="I406" s="1771"/>
      <c r="J406" s="1771"/>
      <c r="K406" s="1771">
        <f>620</f>
        <v>620</v>
      </c>
      <c r="L406" s="1771"/>
      <c r="M406" s="1771"/>
      <c r="N406" s="1771"/>
      <c r="O406" s="1771"/>
      <c r="P406" s="1771"/>
      <c r="Q406" s="1771"/>
      <c r="R406" s="1771"/>
      <c r="S406" s="1771"/>
      <c r="T406" s="1771"/>
      <c r="U406" s="1771"/>
      <c r="V406" s="1771"/>
      <c r="W406" s="1771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N406" s="30"/>
      <c r="AO406" s="30"/>
      <c r="AP406" s="30"/>
      <c r="AQ406" s="30"/>
      <c r="AR406" s="30"/>
      <c r="AS406" s="30"/>
      <c r="AT406" s="30"/>
      <c r="AW406" s="30"/>
    </row>
    <row r="407" spans="1:51" s="6" customFormat="1" ht="13.8">
      <c r="A407" s="1768"/>
      <c r="B407" s="1769"/>
      <c r="C407" s="1769"/>
      <c r="D407" s="1770" t="s">
        <v>123</v>
      </c>
      <c r="E407" s="1775">
        <f>H407</f>
        <v>687.5</v>
      </c>
      <c r="F407" s="1771"/>
      <c r="G407" s="1771"/>
      <c r="H407" s="1771">
        <f>508+179.5</f>
        <v>687.5</v>
      </c>
      <c r="I407" s="1771"/>
      <c r="J407" s="1771"/>
      <c r="K407" s="1771"/>
      <c r="L407" s="1771">
        <f>435.75-72-90</f>
        <v>273.75</v>
      </c>
      <c r="M407" s="1771"/>
      <c r="N407" s="1771"/>
      <c r="O407" s="1771"/>
      <c r="P407" s="1771"/>
      <c r="Q407" s="1771"/>
      <c r="R407" s="1771"/>
      <c r="S407" s="1771"/>
      <c r="T407" s="1771"/>
      <c r="U407" s="1771"/>
      <c r="V407" s="1771"/>
      <c r="W407" s="1771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N407" s="30"/>
      <c r="AO407" s="30"/>
      <c r="AP407" s="30"/>
      <c r="AQ407" s="30"/>
      <c r="AR407" s="30"/>
      <c r="AS407" s="30"/>
      <c r="AT407" s="30"/>
      <c r="AW407" s="30"/>
    </row>
    <row r="408" spans="1:51" s="6" customFormat="1" ht="13.8">
      <c r="A408" s="1768"/>
      <c r="B408" s="1769"/>
      <c r="C408" s="1769"/>
      <c r="D408" s="1770" t="s">
        <v>37</v>
      </c>
      <c r="E408" s="1775">
        <f t="shared" si="55"/>
        <v>319</v>
      </c>
      <c r="F408" s="1771"/>
      <c r="G408" s="1771">
        <f>200+119</f>
        <v>319</v>
      </c>
      <c r="H408" s="1771"/>
      <c r="I408" s="1771"/>
      <c r="J408" s="1771"/>
      <c r="K408" s="1771"/>
      <c r="L408" s="1771"/>
      <c r="M408" s="1771"/>
      <c r="N408" s="1771"/>
      <c r="O408" s="1771"/>
      <c r="P408" s="1771"/>
      <c r="Q408" s="1771"/>
      <c r="R408" s="1771"/>
      <c r="S408" s="1771"/>
      <c r="T408" s="1771"/>
      <c r="U408" s="1771"/>
      <c r="V408" s="1771"/>
      <c r="W408" s="1771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N408" s="30"/>
      <c r="AO408" s="30"/>
      <c r="AP408" s="30"/>
      <c r="AQ408" s="30"/>
      <c r="AR408" s="30"/>
      <c r="AS408" s="30"/>
      <c r="AT408" s="30"/>
      <c r="AW408" s="30"/>
    </row>
    <row r="409" spans="1:51" s="26" customFormat="1" ht="12" customHeight="1">
      <c r="A409" s="29"/>
      <c r="B409" s="2889" t="str">
        <f>N7</f>
        <v>November</v>
      </c>
      <c r="C409" s="1013">
        <v>45230</v>
      </c>
      <c r="D409" s="2895" t="s">
        <v>36</v>
      </c>
      <c r="E409" s="2891">
        <f t="shared" ref="E409:W409" si="56">SUM(E410:E410)</f>
        <v>0</v>
      </c>
      <c r="F409" s="2891">
        <f t="shared" si="56"/>
        <v>0</v>
      </c>
      <c r="G409" s="2891">
        <f t="shared" si="56"/>
        <v>0</v>
      </c>
      <c r="H409" s="2891">
        <f t="shared" si="56"/>
        <v>0</v>
      </c>
      <c r="I409" s="2891">
        <f t="shared" si="56"/>
        <v>0</v>
      </c>
      <c r="J409" s="2891">
        <f t="shared" si="56"/>
        <v>0</v>
      </c>
      <c r="K409" s="2891">
        <f t="shared" si="56"/>
        <v>0</v>
      </c>
      <c r="L409" s="2891">
        <f t="shared" si="56"/>
        <v>0</v>
      </c>
      <c r="M409" s="2891">
        <f t="shared" si="56"/>
        <v>0</v>
      </c>
      <c r="N409" s="2891">
        <f t="shared" si="56"/>
        <v>0</v>
      </c>
      <c r="O409" s="2891">
        <f t="shared" si="56"/>
        <v>0</v>
      </c>
      <c r="P409" s="2891">
        <f t="shared" si="56"/>
        <v>0</v>
      </c>
      <c r="Q409" s="2891">
        <f t="shared" si="56"/>
        <v>0</v>
      </c>
      <c r="R409" s="2891">
        <f t="shared" si="56"/>
        <v>0</v>
      </c>
      <c r="S409" s="2891">
        <f t="shared" si="56"/>
        <v>0</v>
      </c>
      <c r="T409" s="2891">
        <f t="shared" si="56"/>
        <v>0</v>
      </c>
      <c r="U409" s="2891">
        <f t="shared" si="56"/>
        <v>0</v>
      </c>
      <c r="V409" s="2891">
        <f t="shared" si="56"/>
        <v>0</v>
      </c>
      <c r="W409" s="2891">
        <f t="shared" si="56"/>
        <v>0</v>
      </c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9"/>
      <c r="AV409" s="9"/>
      <c r="AW409" s="10"/>
      <c r="AX409" s="9"/>
      <c r="AY409" s="9"/>
    </row>
    <row r="410" spans="1:51" s="26" customFormat="1" ht="12" customHeight="1">
      <c r="A410" s="29"/>
      <c r="B410" s="2890"/>
      <c r="C410" s="1014"/>
      <c r="D410" s="2896"/>
      <c r="E410" s="2892"/>
      <c r="F410" s="2892"/>
      <c r="G410" s="2892"/>
      <c r="H410" s="2892"/>
      <c r="I410" s="2892"/>
      <c r="J410" s="2892"/>
      <c r="K410" s="2892"/>
      <c r="L410" s="2892"/>
      <c r="M410" s="2892"/>
      <c r="N410" s="2892"/>
      <c r="O410" s="2892"/>
      <c r="P410" s="2892"/>
      <c r="Q410" s="2892"/>
      <c r="R410" s="2892"/>
      <c r="S410" s="2892"/>
      <c r="T410" s="2892"/>
      <c r="U410" s="2892"/>
      <c r="V410" s="2892"/>
      <c r="W410" s="2892"/>
      <c r="X410" s="995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9"/>
      <c r="AV410" s="9"/>
      <c r="AW410" s="10"/>
      <c r="AX410" s="9"/>
      <c r="AY410" s="9"/>
    </row>
    <row r="411" spans="1:51" s="1005" customFormat="1" ht="12" customHeight="1">
      <c r="A411" s="1002"/>
      <c r="B411" s="1009"/>
      <c r="C411" s="2893" t="s">
        <v>1120</v>
      </c>
      <c r="D411" s="2894"/>
      <c r="E411" s="1723">
        <v>0</v>
      </c>
      <c r="F411" s="1012">
        <f ca="1">SUM(F397:F411)</f>
        <v>0</v>
      </c>
      <c r="G411" s="1012"/>
      <c r="H411" s="1012">
        <f t="shared" ref="H411:N411" ca="1" si="57">SUM(H397:H411)</f>
        <v>0</v>
      </c>
      <c r="I411" s="1012">
        <f t="shared" ca="1" si="57"/>
        <v>0</v>
      </c>
      <c r="J411" s="1012">
        <f t="shared" ca="1" si="57"/>
        <v>0</v>
      </c>
      <c r="K411" s="1012">
        <f t="shared" ca="1" si="57"/>
        <v>0</v>
      </c>
      <c r="L411" s="1012">
        <f t="shared" ca="1" si="57"/>
        <v>0</v>
      </c>
      <c r="M411" s="1012">
        <f t="shared" ca="1" si="57"/>
        <v>0</v>
      </c>
      <c r="N411" s="1012">
        <f t="shared" ca="1" si="57"/>
        <v>0</v>
      </c>
      <c r="O411" s="1012"/>
      <c r="P411" s="1012">
        <f t="shared" ref="P411:W411" ca="1" si="58">SUM(P397:P411)</f>
        <v>0</v>
      </c>
      <c r="Q411" s="1012">
        <f t="shared" ca="1" si="58"/>
        <v>0</v>
      </c>
      <c r="R411" s="1012">
        <f t="shared" ca="1" si="58"/>
        <v>0</v>
      </c>
      <c r="S411" s="1012">
        <f t="shared" ca="1" si="58"/>
        <v>0</v>
      </c>
      <c r="T411" s="1012">
        <f t="shared" ca="1" si="58"/>
        <v>0</v>
      </c>
      <c r="U411" s="1012">
        <f t="shared" ca="1" si="58"/>
        <v>0</v>
      </c>
      <c r="V411" s="1012">
        <f t="shared" ca="1" si="58"/>
        <v>0</v>
      </c>
      <c r="W411" s="1012">
        <f t="shared" ca="1" si="58"/>
        <v>0</v>
      </c>
      <c r="X411" s="90"/>
      <c r="Y411" s="1003"/>
      <c r="Z411" s="1003"/>
      <c r="AA411" s="1003"/>
      <c r="AB411" s="1003"/>
      <c r="AC411" s="1003"/>
      <c r="AD411" s="1003"/>
      <c r="AE411" s="1003"/>
      <c r="AF411" s="1003"/>
      <c r="AG411" s="1003"/>
      <c r="AH411" s="1003"/>
      <c r="AI411" s="1004"/>
      <c r="AJ411" s="1004"/>
      <c r="AK411" s="1004"/>
      <c r="AL411" s="1004"/>
      <c r="AM411" s="1003"/>
      <c r="AN411" s="1003"/>
      <c r="AO411" s="1003"/>
      <c r="AP411" s="1003"/>
      <c r="AQ411" s="1003"/>
      <c r="AR411" s="1003"/>
      <c r="AS411" s="1003"/>
      <c r="AT411" s="1003"/>
      <c r="AU411" s="1003"/>
      <c r="AV411" s="1003"/>
      <c r="AW411" s="1003"/>
    </row>
    <row r="412" spans="1:51" s="35" customFormat="1" ht="13.5" customHeight="1">
      <c r="A412" s="39"/>
      <c r="B412" s="979" t="str">
        <f>O7</f>
        <v>December</v>
      </c>
      <c r="C412" s="980">
        <v>45261</v>
      </c>
      <c r="D412" s="981"/>
      <c r="E412" s="982">
        <f>SUM(E413:E435)</f>
        <v>-1232.860000000001</v>
      </c>
      <c r="F412" s="982">
        <f>SUM(F413:F435)</f>
        <v>129</v>
      </c>
      <c r="G412" s="982">
        <f>SUM(G413:G435)</f>
        <v>419</v>
      </c>
      <c r="H412" s="982">
        <f t="shared" ref="H412:U412" si="59">SUM(H413:H413)</f>
        <v>0</v>
      </c>
      <c r="I412" s="982">
        <f t="shared" si="59"/>
        <v>0</v>
      </c>
      <c r="J412" s="982">
        <f t="shared" si="59"/>
        <v>0</v>
      </c>
      <c r="K412" s="982">
        <f t="shared" si="59"/>
        <v>0</v>
      </c>
      <c r="L412" s="982">
        <f t="shared" si="59"/>
        <v>0</v>
      </c>
      <c r="M412" s="982">
        <f t="shared" si="59"/>
        <v>0</v>
      </c>
      <c r="N412" s="982">
        <f t="shared" si="59"/>
        <v>0</v>
      </c>
      <c r="O412" s="982">
        <f t="shared" si="59"/>
        <v>0</v>
      </c>
      <c r="P412" s="982">
        <f t="shared" si="59"/>
        <v>0</v>
      </c>
      <c r="Q412" s="982">
        <f t="shared" si="59"/>
        <v>0</v>
      </c>
      <c r="R412" s="982">
        <f t="shared" si="59"/>
        <v>0</v>
      </c>
      <c r="S412" s="982">
        <f t="shared" si="59"/>
        <v>0</v>
      </c>
      <c r="T412" s="982">
        <f t="shared" si="59"/>
        <v>0</v>
      </c>
      <c r="U412" s="982">
        <f t="shared" si="59"/>
        <v>0</v>
      </c>
      <c r="V412" s="982"/>
      <c r="W412" s="982"/>
      <c r="X412" s="6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2"/>
      <c r="AP412" s="12"/>
      <c r="AQ412" s="12"/>
      <c r="AR412" s="12"/>
      <c r="AW412" s="12"/>
    </row>
    <row r="413" spans="1:51" s="6" customFormat="1" ht="13.8">
      <c r="A413" s="1768"/>
      <c r="B413" s="1769">
        <v>45260</v>
      </c>
      <c r="C413" s="1769"/>
      <c r="D413" s="1770" t="s">
        <v>35</v>
      </c>
      <c r="E413" s="1775">
        <v>-11843</v>
      </c>
      <c r="F413" s="1771"/>
      <c r="G413" s="1771"/>
      <c r="H413" s="1771"/>
      <c r="I413" s="1771"/>
      <c r="J413" s="1771"/>
      <c r="K413" s="1771"/>
      <c r="L413" s="1771"/>
      <c r="M413" s="1771"/>
      <c r="N413" s="1771"/>
      <c r="O413" s="1771"/>
      <c r="P413" s="1771"/>
      <c r="Q413" s="1771"/>
      <c r="R413" s="1771"/>
      <c r="S413" s="1771"/>
      <c r="T413" s="1771"/>
      <c r="U413" s="1771"/>
      <c r="V413" s="1771"/>
      <c r="W413" s="1771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N413" s="30"/>
      <c r="AO413" s="30"/>
      <c r="AP413" s="30"/>
      <c r="AQ413" s="30"/>
      <c r="AR413" s="30"/>
      <c r="AS413" s="30"/>
      <c r="AT413" s="30"/>
      <c r="AW413" s="30"/>
    </row>
    <row r="414" spans="1:51" s="6" customFormat="1" ht="13.8">
      <c r="A414" s="1768"/>
      <c r="B414" s="1769">
        <v>45260</v>
      </c>
      <c r="C414" s="1769"/>
      <c r="D414" s="1770" t="s">
        <v>34</v>
      </c>
      <c r="E414" s="1775">
        <v>-8159</v>
      </c>
      <c r="F414" s="1771"/>
      <c r="G414" s="1771"/>
      <c r="H414" s="1771"/>
      <c r="I414" s="1771"/>
      <c r="J414" s="1771"/>
      <c r="K414" s="1771"/>
      <c r="L414" s="1771"/>
      <c r="M414" s="1771"/>
      <c r="N414" s="1771"/>
      <c r="O414" s="1771"/>
      <c r="P414" s="1771"/>
      <c r="Q414" s="1771"/>
      <c r="R414" s="1771"/>
      <c r="S414" s="1771"/>
      <c r="T414" s="1771"/>
      <c r="U414" s="1771"/>
      <c r="V414" s="1771"/>
      <c r="W414" s="1771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N414" s="30"/>
      <c r="AO414" s="30"/>
      <c r="AP414" s="30"/>
      <c r="AQ414" s="30"/>
      <c r="AR414" s="30"/>
      <c r="AS414" s="30"/>
      <c r="AT414" s="30"/>
      <c r="AW414" s="30"/>
    </row>
    <row r="415" spans="1:51" s="6" customFormat="1" ht="13.8">
      <c r="A415" s="1768"/>
      <c r="B415" s="1769">
        <v>45260</v>
      </c>
      <c r="C415" s="1769"/>
      <c r="D415" s="1770" t="s">
        <v>33</v>
      </c>
      <c r="E415" s="1775">
        <v>-213</v>
      </c>
      <c r="F415" s="1771"/>
      <c r="G415" s="1771"/>
      <c r="H415" s="1771"/>
      <c r="I415" s="1771"/>
      <c r="J415" s="1771"/>
      <c r="K415" s="1771"/>
      <c r="L415" s="1771"/>
      <c r="M415" s="1771"/>
      <c r="N415" s="1771"/>
      <c r="O415" s="1771"/>
      <c r="P415" s="1771"/>
      <c r="Q415" s="1771"/>
      <c r="R415" s="1771"/>
      <c r="S415" s="1771"/>
      <c r="T415" s="1771"/>
      <c r="U415" s="1771"/>
      <c r="V415" s="1771"/>
      <c r="W415" s="1771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N415" s="30"/>
      <c r="AO415" s="30"/>
      <c r="AP415" s="30"/>
      <c r="AQ415" s="30"/>
      <c r="AR415" s="30"/>
      <c r="AS415" s="30"/>
      <c r="AT415" s="30"/>
      <c r="AW415" s="30"/>
    </row>
    <row r="416" spans="1:51" s="6" customFormat="1" ht="13.8">
      <c r="A416" s="1768"/>
      <c r="B416" s="1769">
        <v>45260</v>
      </c>
      <c r="C416" s="1769"/>
      <c r="D416" s="1770" t="s">
        <v>1540</v>
      </c>
      <c r="E416" s="1775">
        <v>630</v>
      </c>
      <c r="F416" s="1771"/>
      <c r="G416" s="1771"/>
      <c r="H416" s="1771"/>
      <c r="I416" s="1771"/>
      <c r="J416" s="1771"/>
      <c r="K416" s="1771"/>
      <c r="L416" s="1771"/>
      <c r="M416" s="1771"/>
      <c r="N416" s="1771">
        <v>630</v>
      </c>
      <c r="O416" s="1771"/>
      <c r="P416" s="1771"/>
      <c r="Q416" s="1771"/>
      <c r="R416" s="1771"/>
      <c r="S416" s="1771"/>
      <c r="T416" s="1771"/>
      <c r="U416" s="1771"/>
      <c r="V416" s="1771"/>
      <c r="W416" s="1771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N416" s="30"/>
      <c r="AO416" s="30"/>
      <c r="AP416" s="30"/>
      <c r="AQ416" s="30"/>
      <c r="AR416" s="30"/>
      <c r="AS416" s="30"/>
      <c r="AT416" s="30"/>
      <c r="AW416" s="30"/>
    </row>
    <row r="417" spans="1:49" s="6" customFormat="1" ht="13.8">
      <c r="A417" s="1768"/>
      <c r="B417" s="1769">
        <v>45260</v>
      </c>
      <c r="C417" s="1769" t="s">
        <v>19</v>
      </c>
      <c r="D417" s="1770" t="s">
        <v>1466</v>
      </c>
      <c r="E417" s="1775">
        <v>778</v>
      </c>
      <c r="F417" s="1771"/>
      <c r="G417" s="1771">
        <v>419</v>
      </c>
      <c r="H417" s="1771"/>
      <c r="I417" s="1771"/>
      <c r="J417" s="1771"/>
      <c r="K417" s="1771"/>
      <c r="L417" s="1771"/>
      <c r="M417" s="1771"/>
      <c r="N417" s="1771"/>
      <c r="O417" s="1771"/>
      <c r="P417" s="1771"/>
      <c r="Q417" s="1771"/>
      <c r="R417" s="1771"/>
      <c r="S417" s="1771"/>
      <c r="T417" s="1771">
        <v>359</v>
      </c>
      <c r="U417" s="1771"/>
      <c r="V417" s="1771"/>
      <c r="W417" s="1771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N417" s="30"/>
      <c r="AO417" s="30"/>
      <c r="AP417" s="30"/>
      <c r="AQ417" s="30"/>
      <c r="AR417" s="30"/>
      <c r="AS417" s="30"/>
      <c r="AT417" s="30"/>
      <c r="AW417" s="30"/>
    </row>
    <row r="418" spans="1:49" s="6" customFormat="1" ht="13.8">
      <c r="A418" s="1768"/>
      <c r="B418" s="1769">
        <v>45261</v>
      </c>
      <c r="C418" s="1769" t="s">
        <v>572</v>
      </c>
      <c r="D418" s="1770" t="s">
        <v>26</v>
      </c>
      <c r="E418" s="1775">
        <f>285.21+856.21</f>
        <v>1141.42</v>
      </c>
      <c r="F418" s="1771"/>
      <c r="G418" s="1771"/>
      <c r="H418" s="1771"/>
      <c r="I418" s="1771"/>
      <c r="J418" s="1771"/>
      <c r="K418" s="1771"/>
      <c r="L418" s="1771"/>
      <c r="M418" s="1771"/>
      <c r="N418" s="1771"/>
      <c r="O418" s="1771"/>
      <c r="P418" s="1771"/>
      <c r="Q418" s="1771"/>
      <c r="R418" s="1771"/>
      <c r="S418" s="1771"/>
      <c r="T418" s="1771"/>
      <c r="U418" s="1771"/>
      <c r="V418" s="1771">
        <f>285.21+856.21</f>
        <v>1141.42</v>
      </c>
      <c r="W418" s="1771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N418" s="30"/>
      <c r="AO418" s="30"/>
      <c r="AP418" s="30"/>
      <c r="AQ418" s="30"/>
      <c r="AR418" s="30"/>
      <c r="AS418" s="30"/>
      <c r="AT418" s="30"/>
      <c r="AW418" s="30"/>
    </row>
    <row r="419" spans="1:49" s="6" customFormat="1" ht="13.8">
      <c r="A419" s="1768"/>
      <c r="B419" s="1769">
        <v>45261</v>
      </c>
      <c r="C419" s="1769"/>
      <c r="D419" s="1770" t="s">
        <v>125</v>
      </c>
      <c r="E419" s="1775">
        <v>45</v>
      </c>
      <c r="F419" s="1771"/>
      <c r="G419" s="1771"/>
      <c r="H419" s="1771"/>
      <c r="I419" s="1771"/>
      <c r="J419" s="1771"/>
      <c r="K419" s="1771"/>
      <c r="L419" s="1771"/>
      <c r="M419" s="1771"/>
      <c r="N419" s="1771"/>
      <c r="O419" s="1771"/>
      <c r="P419" s="1771"/>
      <c r="Q419" s="1771">
        <v>45</v>
      </c>
      <c r="R419" s="1771"/>
      <c r="S419" s="1771"/>
      <c r="T419" s="1771"/>
      <c r="U419" s="1771"/>
      <c r="V419" s="1771"/>
      <c r="W419" s="1771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N419" s="30"/>
      <c r="AO419" s="30"/>
      <c r="AP419" s="30"/>
      <c r="AQ419" s="30"/>
      <c r="AR419" s="30"/>
      <c r="AS419" s="30"/>
      <c r="AT419" s="30"/>
      <c r="AW419" s="30"/>
    </row>
    <row r="420" spans="1:49" s="6" customFormat="1" ht="13.8">
      <c r="A420" s="1768"/>
      <c r="B420" s="1769">
        <v>45261</v>
      </c>
      <c r="C420" s="1769" t="s">
        <v>17</v>
      </c>
      <c r="D420" s="1770" t="s">
        <v>30</v>
      </c>
      <c r="E420" s="1775">
        <v>4270</v>
      </c>
      <c r="F420" s="1771"/>
      <c r="G420" s="1771"/>
      <c r="H420" s="1771"/>
      <c r="I420" s="1771"/>
      <c r="J420" s="1771"/>
      <c r="K420" s="1771"/>
      <c r="L420" s="1771"/>
      <c r="M420" s="1771">
        <f>$Y$12</f>
        <v>4270</v>
      </c>
      <c r="N420" s="1771"/>
      <c r="O420" s="1771"/>
      <c r="P420" s="1771"/>
      <c r="Q420" s="1771"/>
      <c r="R420" s="1771"/>
      <c r="S420" s="1771"/>
      <c r="T420" s="1771"/>
      <c r="U420" s="1771"/>
      <c r="V420" s="1771"/>
      <c r="W420" s="1771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N420" s="30"/>
      <c r="AO420" s="30"/>
      <c r="AP420" s="30"/>
      <c r="AQ420" s="30"/>
      <c r="AR420" s="30"/>
      <c r="AS420" s="30"/>
      <c r="AT420" s="30"/>
      <c r="AW420" s="30"/>
    </row>
    <row r="421" spans="1:49" s="6" customFormat="1" ht="13.8">
      <c r="A421" s="1768"/>
      <c r="B421" s="1769">
        <v>45261</v>
      </c>
      <c r="C421" s="1769" t="s">
        <v>572</v>
      </c>
      <c r="D421" s="1770" t="s">
        <v>27</v>
      </c>
      <c r="E421" s="1775">
        <v>870.62</v>
      </c>
      <c r="F421" s="1771"/>
      <c r="G421" s="1771"/>
      <c r="H421" s="1771"/>
      <c r="I421" s="1771"/>
      <c r="J421" s="1771"/>
      <c r="K421" s="1771"/>
      <c r="L421" s="1771"/>
      <c r="M421" s="1771"/>
      <c r="N421" s="1771"/>
      <c r="O421" s="1771"/>
      <c r="P421" s="1771">
        <v>870.62</v>
      </c>
      <c r="Q421" s="1771"/>
      <c r="R421" s="1771"/>
      <c r="S421" s="1771"/>
      <c r="T421" s="1771"/>
      <c r="U421" s="1771"/>
      <c r="V421" s="1771"/>
      <c r="W421" s="1771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N421" s="30"/>
      <c r="AO421" s="30"/>
      <c r="AP421" s="30"/>
      <c r="AQ421" s="30"/>
      <c r="AR421" s="30"/>
      <c r="AS421" s="30"/>
      <c r="AT421" s="30"/>
      <c r="AW421" s="30"/>
    </row>
    <row r="422" spans="1:49" s="6" customFormat="1" ht="13.8">
      <c r="A422" s="1768"/>
      <c r="B422" s="1769">
        <v>45261</v>
      </c>
      <c r="C422" s="1769" t="s">
        <v>572</v>
      </c>
      <c r="D422" s="1770" t="s">
        <v>1539</v>
      </c>
      <c r="E422" s="1775">
        <v>730</v>
      </c>
      <c r="F422" s="1771"/>
      <c r="G422" s="1771"/>
      <c r="H422" s="1771"/>
      <c r="I422" s="1771"/>
      <c r="J422" s="1771"/>
      <c r="K422" s="1771"/>
      <c r="L422" s="1771"/>
      <c r="M422" s="1771"/>
      <c r="N422" s="1771">
        <v>730</v>
      </c>
      <c r="O422" s="1771"/>
      <c r="P422" s="1771"/>
      <c r="Q422" s="1771"/>
      <c r="R422" s="1771"/>
      <c r="S422" s="1771"/>
      <c r="T422" s="1771"/>
      <c r="U422" s="1771"/>
      <c r="V422" s="1771"/>
      <c r="W422" s="1771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N422" s="30"/>
      <c r="AO422" s="30"/>
      <c r="AP422" s="30"/>
      <c r="AQ422" s="30"/>
      <c r="AR422" s="30"/>
      <c r="AS422" s="30"/>
      <c r="AT422" s="30"/>
      <c r="AW422" s="30"/>
    </row>
    <row r="423" spans="1:49" s="6" customFormat="1" ht="13.8">
      <c r="A423" s="1768"/>
      <c r="B423" s="1769">
        <v>45261</v>
      </c>
      <c r="C423" s="1769" t="s">
        <v>17</v>
      </c>
      <c r="D423" s="1770" t="s">
        <v>22</v>
      </c>
      <c r="E423" s="1775">
        <v>208</v>
      </c>
      <c r="F423" s="1771"/>
      <c r="G423" s="1771"/>
      <c r="H423" s="1771"/>
      <c r="I423" s="1771"/>
      <c r="J423" s="1771"/>
      <c r="K423" s="1771"/>
      <c r="L423" s="1771"/>
      <c r="M423" s="1771"/>
      <c r="N423" s="1771"/>
      <c r="O423" s="1771"/>
      <c r="P423" s="1771">
        <v>208</v>
      </c>
      <c r="Q423" s="1771"/>
      <c r="R423" s="1771"/>
      <c r="S423" s="1771"/>
      <c r="T423" s="1771"/>
      <c r="U423" s="1771"/>
      <c r="V423" s="1771"/>
      <c r="W423" s="1771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N423" s="30"/>
      <c r="AO423" s="30"/>
      <c r="AP423" s="30"/>
      <c r="AQ423" s="30"/>
      <c r="AR423" s="30"/>
      <c r="AS423" s="30"/>
      <c r="AT423" s="30"/>
      <c r="AW423" s="30"/>
    </row>
    <row r="424" spans="1:49" s="6" customFormat="1" ht="13.8">
      <c r="A424" s="1768"/>
      <c r="B424" s="1769">
        <v>45261</v>
      </c>
      <c r="C424" s="1769"/>
      <c r="D424" s="1770" t="s">
        <v>1492</v>
      </c>
      <c r="E424" s="1775">
        <v>718.75</v>
      </c>
      <c r="F424" s="1771"/>
      <c r="G424" s="1771"/>
      <c r="H424" s="1771"/>
      <c r="I424" s="1771"/>
      <c r="J424" s="1771"/>
      <c r="K424" s="1771"/>
      <c r="L424" s="1771"/>
      <c r="M424" s="1771"/>
      <c r="N424" s="1771"/>
      <c r="O424" s="1771"/>
      <c r="P424" s="1771"/>
      <c r="Q424" s="1771"/>
      <c r="R424" s="1771"/>
      <c r="S424" s="1771"/>
      <c r="T424" s="1771"/>
      <c r="U424" s="1771"/>
      <c r="V424" s="1771"/>
      <c r="W424" s="1771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N424" s="30"/>
      <c r="AO424" s="30"/>
      <c r="AP424" s="30"/>
      <c r="AQ424" s="30"/>
      <c r="AR424" s="30"/>
      <c r="AS424" s="30"/>
      <c r="AT424" s="30"/>
      <c r="AW424" s="30"/>
    </row>
    <row r="425" spans="1:49" s="6" customFormat="1" ht="13.8">
      <c r="A425" s="1768"/>
      <c r="B425" s="1769">
        <v>45261</v>
      </c>
      <c r="C425" s="1769" t="s">
        <v>572</v>
      </c>
      <c r="D425" s="1770" t="s">
        <v>25</v>
      </c>
      <c r="E425" s="1775">
        <v>2060.91</v>
      </c>
      <c r="F425" s="1771"/>
      <c r="G425" s="1771"/>
      <c r="H425" s="1771"/>
      <c r="I425" s="1771"/>
      <c r="J425" s="1771"/>
      <c r="K425" s="1771"/>
      <c r="L425" s="1771"/>
      <c r="M425" s="1771"/>
      <c r="N425" s="1771"/>
      <c r="O425" s="1771">
        <v>2050.91</v>
      </c>
      <c r="P425" s="1771"/>
      <c r="Q425" s="1771"/>
      <c r="R425" s="1771"/>
      <c r="S425" s="1771"/>
      <c r="T425" s="1771"/>
      <c r="U425" s="1771"/>
      <c r="V425" s="1771"/>
      <c r="W425" s="1771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N425" s="30"/>
      <c r="AO425" s="30"/>
      <c r="AP425" s="30"/>
      <c r="AQ425" s="30"/>
      <c r="AR425" s="30"/>
      <c r="AS425" s="30"/>
      <c r="AT425" s="30"/>
      <c r="AW425" s="30"/>
    </row>
    <row r="426" spans="1:49" s="6" customFormat="1" ht="13.8">
      <c r="A426" s="1768"/>
      <c r="B426" s="1769">
        <v>45261</v>
      </c>
      <c r="C426" s="1769" t="s">
        <v>17</v>
      </c>
      <c r="D426" s="1770" t="s">
        <v>29</v>
      </c>
      <c r="E426" s="1775">
        <f>SUM(F426:W426)</f>
        <v>69</v>
      </c>
      <c r="F426" s="1771">
        <f>$AS$12</f>
        <v>69</v>
      </c>
      <c r="G426" s="1771"/>
      <c r="H426" s="1771"/>
      <c r="I426" s="1771"/>
      <c r="J426" s="1771"/>
      <c r="K426" s="1771"/>
      <c r="L426" s="1771"/>
      <c r="M426" s="1771"/>
      <c r="N426" s="1771"/>
      <c r="O426" s="1771"/>
      <c r="P426" s="1771"/>
      <c r="Q426" s="1771"/>
      <c r="R426" s="1771"/>
      <c r="S426" s="1771"/>
      <c r="T426" s="1771"/>
      <c r="U426" s="1771"/>
      <c r="V426" s="1771"/>
      <c r="W426" s="1771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N426" s="30"/>
      <c r="AO426" s="30"/>
      <c r="AP426" s="30"/>
      <c r="AQ426" s="30"/>
      <c r="AR426" s="30"/>
      <c r="AS426" s="30"/>
      <c r="AT426" s="30"/>
      <c r="AW426" s="30"/>
    </row>
    <row r="427" spans="1:49" s="6" customFormat="1" ht="13.8">
      <c r="A427" s="1768"/>
      <c r="B427" s="1769">
        <v>45263</v>
      </c>
      <c r="C427" s="1769" t="s">
        <v>17</v>
      </c>
      <c r="D427" s="1770" t="s">
        <v>21</v>
      </c>
      <c r="E427" s="1775">
        <v>465</v>
      </c>
      <c r="F427" s="1771"/>
      <c r="G427" s="1771"/>
      <c r="H427" s="1771"/>
      <c r="I427" s="1771"/>
      <c r="J427" s="1771"/>
      <c r="K427" s="1771"/>
      <c r="L427" s="1771"/>
      <c r="M427" s="1771"/>
      <c r="N427" s="1771"/>
      <c r="O427" s="1771"/>
      <c r="P427" s="1771">
        <v>465</v>
      </c>
      <c r="Q427" s="1771"/>
      <c r="R427" s="1771"/>
      <c r="S427" s="1771"/>
      <c r="T427" s="1771"/>
      <c r="U427" s="1771"/>
      <c r="V427" s="1771"/>
      <c r="W427" s="1771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N427" s="30"/>
      <c r="AO427" s="30"/>
      <c r="AP427" s="30"/>
      <c r="AQ427" s="30"/>
      <c r="AR427" s="30"/>
      <c r="AS427" s="30"/>
      <c r="AT427" s="30"/>
      <c r="AW427" s="30"/>
    </row>
    <row r="428" spans="1:49" s="6" customFormat="1" ht="13.8">
      <c r="A428" s="1768"/>
      <c r="B428" s="1769">
        <v>45265</v>
      </c>
      <c r="C428" s="1769"/>
      <c r="D428" s="1770" t="s">
        <v>1494</v>
      </c>
      <c r="E428" s="1775">
        <v>4624.26</v>
      </c>
      <c r="F428" s="1771"/>
      <c r="G428" s="1771"/>
      <c r="H428" s="1771"/>
      <c r="I428" s="1771"/>
      <c r="J428" s="1771"/>
      <c r="K428" s="1771"/>
      <c r="L428" s="1771"/>
      <c r="M428" s="1771"/>
      <c r="N428" s="1771"/>
      <c r="O428" s="1771">
        <v>4624.26</v>
      </c>
      <c r="P428" s="1771"/>
      <c r="Q428" s="1771"/>
      <c r="R428" s="1771"/>
      <c r="S428" s="1771"/>
      <c r="T428" s="1771"/>
      <c r="U428" s="1771"/>
      <c r="V428" s="1771"/>
      <c r="W428" s="1771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N428" s="30"/>
      <c r="AO428" s="30"/>
      <c r="AP428" s="30"/>
      <c r="AQ428" s="30"/>
      <c r="AR428" s="30"/>
      <c r="AS428" s="30"/>
      <c r="AT428" s="30"/>
      <c r="AW428" s="30"/>
    </row>
    <row r="429" spans="1:49" s="6" customFormat="1" ht="13.8">
      <c r="A429" s="1768"/>
      <c r="B429" s="1769">
        <v>45265</v>
      </c>
      <c r="C429" s="1769" t="s">
        <v>17</v>
      </c>
      <c r="D429" s="1770" t="s">
        <v>620</v>
      </c>
      <c r="E429" s="1775">
        <v>456.11</v>
      </c>
      <c r="F429" s="1771">
        <v>60</v>
      </c>
      <c r="G429" s="1771"/>
      <c r="H429" s="1771"/>
      <c r="I429" s="1771"/>
      <c r="J429" s="1771"/>
      <c r="K429" s="1771"/>
      <c r="L429" s="1771"/>
      <c r="M429" s="1771"/>
      <c r="N429" s="1771"/>
      <c r="O429" s="1771">
        <v>396.11</v>
      </c>
      <c r="P429" s="1771"/>
      <c r="Q429" s="1771"/>
      <c r="R429" s="1771"/>
      <c r="S429" s="1771"/>
      <c r="T429" s="1771"/>
      <c r="U429" s="1771"/>
      <c r="V429" s="1771"/>
      <c r="W429" s="1771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N429" s="30"/>
      <c r="AO429" s="30"/>
      <c r="AP429" s="30"/>
      <c r="AQ429" s="30"/>
      <c r="AR429" s="30"/>
      <c r="AS429" s="30"/>
      <c r="AT429" s="30"/>
      <c r="AW429" s="30"/>
    </row>
    <row r="430" spans="1:49" s="6" customFormat="1" ht="13.8">
      <c r="A430" s="1768"/>
      <c r="B430" s="1769"/>
      <c r="C430" s="1769"/>
      <c r="D430" s="1770" t="s">
        <v>42</v>
      </c>
      <c r="E430" s="1775">
        <f t="shared" ref="E430:E435" si="60">SUM(F430:W430)</f>
        <v>620.04999999999995</v>
      </c>
      <c r="F430" s="1771"/>
      <c r="G430" s="1771"/>
      <c r="H430" s="1771">
        <f>132.6+108.8+159.6+43.5-25+200.55</f>
        <v>620.04999999999995</v>
      </c>
      <c r="I430" s="1771"/>
      <c r="J430" s="1771"/>
      <c r="K430" s="1771"/>
      <c r="L430" s="1771"/>
      <c r="M430" s="1771"/>
      <c r="N430" s="1771"/>
      <c r="O430" s="1771"/>
      <c r="P430" s="1771"/>
      <c r="Q430" s="1771"/>
      <c r="R430" s="1771"/>
      <c r="S430" s="1771"/>
      <c r="T430" s="1771"/>
      <c r="U430" s="1771"/>
      <c r="V430" s="1771"/>
      <c r="W430" s="1771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N430" s="30"/>
      <c r="AO430" s="30"/>
      <c r="AP430" s="30"/>
      <c r="AQ430" s="30"/>
      <c r="AR430" s="30"/>
      <c r="AS430" s="30"/>
      <c r="AT430" s="30"/>
      <c r="AW430" s="30"/>
    </row>
    <row r="431" spans="1:49" s="6" customFormat="1" ht="13.8">
      <c r="A431" s="1768"/>
      <c r="B431" s="1769"/>
      <c r="C431" s="1769"/>
      <c r="D431" s="1770" t="s">
        <v>41</v>
      </c>
      <c r="E431" s="1775">
        <f t="shared" si="60"/>
        <v>20.85</v>
      </c>
      <c r="F431" s="1771"/>
      <c r="G431" s="1771"/>
      <c r="H431" s="1771">
        <f>20.85</f>
        <v>20.85</v>
      </c>
      <c r="I431" s="1771"/>
      <c r="J431" s="1771"/>
      <c r="K431" s="1771"/>
      <c r="L431" s="1771"/>
      <c r="M431" s="1771"/>
      <c r="N431" s="1771"/>
      <c r="O431" s="1771"/>
      <c r="P431" s="1771"/>
      <c r="Q431" s="1771"/>
      <c r="R431" s="1771"/>
      <c r="S431" s="1771"/>
      <c r="T431" s="1771"/>
      <c r="U431" s="1771"/>
      <c r="V431" s="1771"/>
      <c r="W431" s="1771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N431" s="30"/>
      <c r="AO431" s="30"/>
      <c r="AP431" s="30"/>
      <c r="AQ431" s="30"/>
      <c r="AR431" s="30"/>
      <c r="AS431" s="30"/>
      <c r="AT431" s="30"/>
      <c r="AW431" s="30"/>
    </row>
    <row r="432" spans="1:49" s="6" customFormat="1" ht="13.8">
      <c r="A432" s="1768"/>
      <c r="B432" s="1769"/>
      <c r="C432" s="1769"/>
      <c r="D432" s="1770" t="s">
        <v>1348</v>
      </c>
      <c r="E432" s="1775">
        <f t="shared" si="60"/>
        <v>873.67000000000007</v>
      </c>
      <c r="F432" s="1771"/>
      <c r="G432" s="1771"/>
      <c r="H432" s="1771">
        <f>34+72+23.5+124.17</f>
        <v>253.67000000000002</v>
      </c>
      <c r="I432" s="1771"/>
      <c r="J432" s="1771"/>
      <c r="K432" s="1771">
        <v>620</v>
      </c>
      <c r="L432" s="1771"/>
      <c r="M432" s="1771"/>
      <c r="N432" s="1771"/>
      <c r="O432" s="1771"/>
      <c r="P432" s="1771"/>
      <c r="Q432" s="1771"/>
      <c r="R432" s="1771"/>
      <c r="S432" s="1771"/>
      <c r="T432" s="1771"/>
      <c r="U432" s="1771"/>
      <c r="V432" s="1771"/>
      <c r="W432" s="1771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N432" s="30"/>
      <c r="AO432" s="30"/>
      <c r="AP432" s="30"/>
      <c r="AQ432" s="30"/>
      <c r="AR432" s="30"/>
      <c r="AS432" s="30"/>
      <c r="AT432" s="30"/>
      <c r="AW432" s="30"/>
    </row>
    <row r="433" spans="1:51" s="6" customFormat="1" ht="13.8">
      <c r="A433" s="1768"/>
      <c r="B433" s="1769"/>
      <c r="C433" s="1769"/>
      <c r="D433" s="1770" t="s">
        <v>39</v>
      </c>
      <c r="E433" s="1775">
        <f t="shared" si="60"/>
        <v>0</v>
      </c>
      <c r="F433" s="1771"/>
      <c r="G433" s="1771"/>
      <c r="H433" s="1771"/>
      <c r="I433" s="1771"/>
      <c r="J433" s="1771"/>
      <c r="K433" s="1771"/>
      <c r="L433" s="1771"/>
      <c r="M433" s="1771"/>
      <c r="N433" s="1771"/>
      <c r="O433" s="1771"/>
      <c r="P433" s="1771"/>
      <c r="Q433" s="1771"/>
      <c r="R433" s="1771"/>
      <c r="S433" s="1771"/>
      <c r="T433" s="1771"/>
      <c r="U433" s="1771"/>
      <c r="V433" s="1771"/>
      <c r="W433" s="1771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N433" s="30"/>
      <c r="AO433" s="30"/>
      <c r="AP433" s="30"/>
      <c r="AQ433" s="30"/>
      <c r="AR433" s="30"/>
      <c r="AS433" s="30"/>
      <c r="AT433" s="30"/>
      <c r="AW433" s="30"/>
    </row>
    <row r="434" spans="1:51" s="6" customFormat="1" ht="13.8">
      <c r="A434" s="1768"/>
      <c r="B434" s="1769"/>
      <c r="C434" s="1769"/>
      <c r="D434" s="1770" t="s">
        <v>123</v>
      </c>
      <c r="E434" s="1775">
        <f t="shared" si="60"/>
        <v>0</v>
      </c>
      <c r="F434" s="1771"/>
      <c r="G434" s="1771"/>
      <c r="H434" s="1771"/>
      <c r="I434" s="1771"/>
      <c r="J434" s="1771"/>
      <c r="K434" s="1771"/>
      <c r="L434" s="1771"/>
      <c r="M434" s="1771"/>
      <c r="N434" s="1771"/>
      <c r="O434" s="1771"/>
      <c r="P434" s="1771"/>
      <c r="Q434" s="1771"/>
      <c r="R434" s="1771"/>
      <c r="S434" s="1771"/>
      <c r="T434" s="1771"/>
      <c r="U434" s="1771"/>
      <c r="V434" s="1771"/>
      <c r="W434" s="1771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N434" s="30"/>
      <c r="AO434" s="30"/>
      <c r="AP434" s="30"/>
      <c r="AQ434" s="30"/>
      <c r="AR434" s="30"/>
      <c r="AS434" s="30"/>
      <c r="AT434" s="30"/>
      <c r="AW434" s="30"/>
    </row>
    <row r="435" spans="1:51" s="6" customFormat="1" ht="13.8">
      <c r="A435" s="1768"/>
      <c r="B435" s="1769"/>
      <c r="C435" s="1769"/>
      <c r="D435" s="1770" t="s">
        <v>37</v>
      </c>
      <c r="E435" s="1775">
        <f t="shared" si="60"/>
        <v>400.5</v>
      </c>
      <c r="F435" s="1771"/>
      <c r="G435" s="1771"/>
      <c r="H435" s="1771">
        <f>30</f>
        <v>30</v>
      </c>
      <c r="I435" s="1771"/>
      <c r="J435" s="1771"/>
      <c r="K435" s="1771"/>
      <c r="L435" s="1771"/>
      <c r="M435" s="1771"/>
      <c r="N435" s="1771"/>
      <c r="O435" s="1771">
        <f>78+187.5+75+30</f>
        <v>370.5</v>
      </c>
      <c r="P435" s="1771"/>
      <c r="Q435" s="1771"/>
      <c r="R435" s="1771"/>
      <c r="S435" s="1771"/>
      <c r="T435" s="1771"/>
      <c r="U435" s="1771"/>
      <c r="V435" s="1771"/>
      <c r="W435" s="1771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N435" s="30"/>
      <c r="AO435" s="30"/>
      <c r="AP435" s="30"/>
      <c r="AQ435" s="30"/>
      <c r="AR435" s="30"/>
      <c r="AS435" s="30"/>
      <c r="AT435" s="30"/>
      <c r="AW435" s="30"/>
    </row>
    <row r="436" spans="1:51" s="26" customFormat="1" ht="12" customHeight="1">
      <c r="A436" s="29"/>
      <c r="B436" s="2889" t="str">
        <f>O7</f>
        <v>December</v>
      </c>
      <c r="C436" s="1013">
        <v>45260</v>
      </c>
      <c r="D436" s="2895" t="s">
        <v>36</v>
      </c>
      <c r="E436" s="2899">
        <f t="shared" ref="E436:W436" si="61">SUM(E437:E441)</f>
        <v>0</v>
      </c>
      <c r="F436" s="2891">
        <f t="shared" si="61"/>
        <v>200</v>
      </c>
      <c r="G436" s="2891">
        <f t="shared" si="61"/>
        <v>0</v>
      </c>
      <c r="H436" s="2891">
        <f t="shared" si="61"/>
        <v>0</v>
      </c>
      <c r="I436" s="2891">
        <f t="shared" si="61"/>
        <v>0</v>
      </c>
      <c r="J436" s="2891">
        <f t="shared" si="61"/>
        <v>0</v>
      </c>
      <c r="K436" s="2891">
        <f t="shared" si="61"/>
        <v>0</v>
      </c>
      <c r="L436" s="2891">
        <f t="shared" si="61"/>
        <v>0</v>
      </c>
      <c r="M436" s="2891">
        <f t="shared" si="61"/>
        <v>0</v>
      </c>
      <c r="N436" s="2891">
        <f t="shared" si="61"/>
        <v>0</v>
      </c>
      <c r="O436" s="2891">
        <f t="shared" si="61"/>
        <v>0</v>
      </c>
      <c r="P436" s="2891">
        <f t="shared" si="61"/>
        <v>159</v>
      </c>
      <c r="Q436" s="2891">
        <f t="shared" si="61"/>
        <v>170</v>
      </c>
      <c r="R436" s="2891">
        <f t="shared" si="61"/>
        <v>0</v>
      </c>
      <c r="S436" s="2891">
        <f t="shared" si="61"/>
        <v>0</v>
      </c>
      <c r="T436" s="2891">
        <f t="shared" si="61"/>
        <v>0</v>
      </c>
      <c r="U436" s="2891">
        <f t="shared" si="61"/>
        <v>0</v>
      </c>
      <c r="V436" s="2891">
        <f t="shared" si="61"/>
        <v>0</v>
      </c>
      <c r="W436" s="2891">
        <f t="shared" si="61"/>
        <v>0</v>
      </c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9"/>
      <c r="AV436" s="9"/>
      <c r="AW436" s="10"/>
      <c r="AX436" s="9"/>
      <c r="AY436" s="9"/>
    </row>
    <row r="437" spans="1:51" s="26" customFormat="1" ht="12" customHeight="1">
      <c r="A437" s="29"/>
      <c r="B437" s="2890"/>
      <c r="C437" s="1014"/>
      <c r="D437" s="2896"/>
      <c r="E437" s="2900"/>
      <c r="F437" s="2892"/>
      <c r="G437" s="2892"/>
      <c r="H437" s="2892"/>
      <c r="I437" s="2892"/>
      <c r="J437" s="2892"/>
      <c r="K437" s="2892"/>
      <c r="L437" s="2892"/>
      <c r="M437" s="2892"/>
      <c r="N437" s="2892"/>
      <c r="O437" s="2892"/>
      <c r="P437" s="2892"/>
      <c r="Q437" s="2892"/>
      <c r="R437" s="2892"/>
      <c r="S437" s="2892"/>
      <c r="T437" s="2892"/>
      <c r="U437" s="2892"/>
      <c r="V437" s="2892"/>
      <c r="W437" s="2892"/>
      <c r="X437" s="995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9"/>
      <c r="AV437" s="9"/>
      <c r="AW437" s="10"/>
      <c r="AX437" s="9"/>
      <c r="AY437" s="9"/>
    </row>
    <row r="438" spans="1:51" s="995" customFormat="1" ht="13.8">
      <c r="A438" s="991"/>
      <c r="B438" s="1780">
        <v>45261</v>
      </c>
      <c r="C438" s="1780" t="s">
        <v>17</v>
      </c>
      <c r="D438" s="1781" t="s">
        <v>28</v>
      </c>
      <c r="E438" s="1779"/>
      <c r="F438" s="1782">
        <f>$AR$12</f>
        <v>200</v>
      </c>
      <c r="G438" s="1782"/>
      <c r="H438" s="1782"/>
      <c r="I438" s="1782"/>
      <c r="J438" s="1782"/>
      <c r="K438" s="1782"/>
      <c r="L438" s="1782"/>
      <c r="M438" s="1782"/>
      <c r="N438" s="1782"/>
      <c r="O438" s="1782"/>
      <c r="P438" s="1782"/>
      <c r="Q438" s="1782"/>
      <c r="R438" s="1782"/>
      <c r="S438" s="1782"/>
      <c r="T438" s="1782"/>
      <c r="U438" s="1782"/>
      <c r="V438" s="1782"/>
      <c r="W438" s="1782"/>
      <c r="X438" s="996"/>
      <c r="Y438" s="996"/>
      <c r="Z438" s="996"/>
      <c r="AA438" s="996"/>
      <c r="AB438" s="996"/>
      <c r="AC438" s="996"/>
      <c r="AD438" s="996"/>
      <c r="AE438" s="996"/>
      <c r="AF438" s="996"/>
      <c r="AG438" s="996"/>
      <c r="AH438" s="996"/>
      <c r="AI438" s="996"/>
      <c r="AJ438" s="996"/>
      <c r="AK438" s="996"/>
      <c r="AL438" s="996"/>
      <c r="AM438" s="996"/>
      <c r="AN438" s="996"/>
    </row>
    <row r="439" spans="1:51" s="995" customFormat="1" ht="13.8">
      <c r="A439" s="991"/>
      <c r="B439" s="1780">
        <v>45263</v>
      </c>
      <c r="C439" s="1780"/>
      <c r="D439" s="1781" t="s">
        <v>1354</v>
      </c>
      <c r="E439" s="1779"/>
      <c r="F439" s="1782"/>
      <c r="G439" s="1782"/>
      <c r="H439" s="1782"/>
      <c r="I439" s="1782"/>
      <c r="J439" s="1782"/>
      <c r="K439" s="1782"/>
      <c r="L439" s="1782"/>
      <c r="M439" s="1782"/>
      <c r="N439" s="1782"/>
      <c r="O439" s="1782"/>
      <c r="P439" s="1782">
        <v>159</v>
      </c>
      <c r="Q439" s="1782"/>
      <c r="R439" s="1782"/>
      <c r="S439" s="1782"/>
      <c r="T439" s="1782"/>
      <c r="U439" s="1782"/>
      <c r="V439" s="1782"/>
      <c r="W439" s="1782"/>
      <c r="X439" s="996"/>
      <c r="Y439" s="996"/>
      <c r="Z439" s="996"/>
      <c r="AA439" s="996"/>
      <c r="AB439" s="996"/>
      <c r="AC439" s="996"/>
      <c r="AD439" s="996"/>
      <c r="AE439" s="996"/>
      <c r="AF439" s="996"/>
      <c r="AG439" s="996"/>
      <c r="AH439" s="996"/>
      <c r="AI439" s="996"/>
      <c r="AJ439" s="996"/>
      <c r="AK439" s="996"/>
      <c r="AL439" s="996"/>
      <c r="AM439" s="996"/>
      <c r="AN439" s="996"/>
    </row>
    <row r="440" spans="1:51" s="995" customFormat="1" ht="13.8">
      <c r="A440" s="991"/>
      <c r="B440" s="1780">
        <v>45261</v>
      </c>
      <c r="C440" s="1780" t="s">
        <v>17</v>
      </c>
      <c r="D440" s="1781" t="s">
        <v>23</v>
      </c>
      <c r="E440" s="1779"/>
      <c r="F440" s="1782"/>
      <c r="G440" s="1782"/>
      <c r="H440" s="1782"/>
      <c r="I440" s="1782"/>
      <c r="J440" s="1782"/>
      <c r="K440" s="1782"/>
      <c r="L440" s="1782"/>
      <c r="M440" s="1782"/>
      <c r="N440" s="1782"/>
      <c r="O440" s="1782"/>
      <c r="P440" s="1782"/>
      <c r="Q440" s="1782">
        <v>170</v>
      </c>
      <c r="R440" s="1782"/>
      <c r="S440" s="1782"/>
      <c r="T440" s="1782"/>
      <c r="U440" s="1782"/>
      <c r="V440" s="1782"/>
      <c r="W440" s="1782"/>
      <c r="X440" s="996"/>
      <c r="Y440" s="996"/>
      <c r="Z440" s="996"/>
      <c r="AA440" s="996"/>
      <c r="AB440" s="996"/>
      <c r="AC440" s="996"/>
      <c r="AD440" s="996"/>
      <c r="AE440" s="996"/>
      <c r="AF440" s="996"/>
      <c r="AG440" s="996"/>
      <c r="AH440" s="996"/>
      <c r="AI440" s="996"/>
      <c r="AJ440" s="996"/>
      <c r="AK440" s="996"/>
      <c r="AL440" s="996"/>
      <c r="AM440" s="996"/>
      <c r="AN440" s="996"/>
    </row>
    <row r="441" spans="1:51" s="995" customFormat="1" ht="13.8">
      <c r="A441" s="991"/>
      <c r="B441" s="1780">
        <v>45238</v>
      </c>
      <c r="C441" s="1780" t="s">
        <v>572</v>
      </c>
      <c r="D441" s="1781" t="s">
        <v>43</v>
      </c>
      <c r="E441" s="1779">
        <f t="shared" ref="E441" si="62">SUM(F441:W441)</f>
        <v>0</v>
      </c>
      <c r="F441" s="1782"/>
      <c r="G441" s="1782"/>
      <c r="H441" s="1782"/>
      <c r="I441" s="1782"/>
      <c r="J441" s="1782"/>
      <c r="K441" s="1782"/>
      <c r="L441" s="1782"/>
      <c r="M441" s="1782"/>
      <c r="N441" s="1782"/>
      <c r="O441" s="1782"/>
      <c r="P441" s="1782"/>
      <c r="Q441" s="1782"/>
      <c r="R441" s="1782"/>
      <c r="S441" s="1782"/>
      <c r="T441" s="1782"/>
      <c r="U441" s="1782"/>
      <c r="V441" s="1782"/>
      <c r="W441" s="1782"/>
      <c r="X441" s="996"/>
      <c r="Y441" s="996"/>
      <c r="Z441" s="996"/>
      <c r="AA441" s="996"/>
      <c r="AB441" s="996"/>
      <c r="AC441" s="996"/>
      <c r="AD441" s="996"/>
      <c r="AE441" s="996"/>
      <c r="AF441" s="996"/>
      <c r="AG441" s="996"/>
      <c r="AH441" s="996"/>
      <c r="AI441" s="996"/>
      <c r="AJ441" s="996"/>
      <c r="AK441" s="996"/>
      <c r="AL441" s="996"/>
      <c r="AM441" s="996"/>
      <c r="AN441" s="996"/>
    </row>
    <row r="442" spans="1:51" s="1005" customFormat="1" ht="12" customHeight="1">
      <c r="A442" s="1002"/>
      <c r="B442" s="1009"/>
      <c r="C442" s="2893" t="s">
        <v>1120</v>
      </c>
      <c r="D442" s="2894"/>
      <c r="E442" s="1723">
        <f t="shared" ref="E442:W442" si="63">SUM(E443:E451)</f>
        <v>3013.28125</v>
      </c>
      <c r="F442" s="1012">
        <f t="shared" si="63"/>
        <v>0</v>
      </c>
      <c r="G442" s="1012">
        <f t="shared" si="63"/>
        <v>0</v>
      </c>
      <c r="H442" s="1012">
        <f t="shared" si="63"/>
        <v>0</v>
      </c>
      <c r="I442" s="1012">
        <f t="shared" si="63"/>
        <v>0</v>
      </c>
      <c r="J442" s="1012">
        <f t="shared" si="63"/>
        <v>13.28125</v>
      </c>
      <c r="K442" s="1012">
        <f t="shared" si="63"/>
        <v>0</v>
      </c>
      <c r="L442" s="1012">
        <f t="shared" si="63"/>
        <v>0</v>
      </c>
      <c r="M442" s="1012">
        <f t="shared" si="63"/>
        <v>0</v>
      </c>
      <c r="N442" s="1012">
        <f t="shared" si="63"/>
        <v>0</v>
      </c>
      <c r="O442" s="1012">
        <f t="shared" si="63"/>
        <v>0</v>
      </c>
      <c r="P442" s="1012">
        <f t="shared" si="63"/>
        <v>0</v>
      </c>
      <c r="Q442" s="1012">
        <f t="shared" si="63"/>
        <v>0</v>
      </c>
      <c r="R442" s="1012">
        <f t="shared" si="63"/>
        <v>2500</v>
      </c>
      <c r="S442" s="1012">
        <f t="shared" si="63"/>
        <v>0</v>
      </c>
      <c r="T442" s="1012">
        <f t="shared" si="63"/>
        <v>0</v>
      </c>
      <c r="U442" s="1012">
        <f t="shared" si="63"/>
        <v>0</v>
      </c>
      <c r="V442" s="1012">
        <f t="shared" si="63"/>
        <v>0</v>
      </c>
      <c r="W442" s="1012">
        <f t="shared" si="63"/>
        <v>0</v>
      </c>
      <c r="X442" s="90"/>
      <c r="Y442" s="1003"/>
      <c r="Z442" s="1003"/>
      <c r="AA442" s="1003"/>
      <c r="AB442" s="1003"/>
      <c r="AC442" s="1003"/>
      <c r="AD442" s="1003"/>
      <c r="AE442" s="1003"/>
      <c r="AF442" s="1003"/>
      <c r="AG442" s="1003"/>
      <c r="AH442" s="1003"/>
      <c r="AI442" s="1004"/>
      <c r="AJ442" s="1004"/>
      <c r="AK442" s="1004"/>
      <c r="AL442" s="1004"/>
      <c r="AM442" s="1003"/>
      <c r="AN442" s="1003"/>
      <c r="AO442" s="1003"/>
      <c r="AP442" s="1003"/>
      <c r="AQ442" s="1003"/>
      <c r="AR442" s="1003"/>
      <c r="AS442" s="1003"/>
      <c r="AT442" s="1003"/>
      <c r="AU442" s="1003"/>
      <c r="AV442" s="1003"/>
      <c r="AW442" s="1003"/>
    </row>
    <row r="443" spans="1:51" s="90" customFormat="1" ht="13.8">
      <c r="A443" s="973"/>
      <c r="B443" s="974"/>
      <c r="C443" s="977"/>
      <c r="D443" s="978" t="s">
        <v>15</v>
      </c>
      <c r="E443" s="1774">
        <f>SUM(F443:W443)</f>
        <v>0</v>
      </c>
      <c r="F443" s="976"/>
      <c r="G443" s="976"/>
      <c r="H443" s="976"/>
      <c r="I443" s="976"/>
      <c r="J443" s="976"/>
      <c r="K443" s="976"/>
      <c r="L443" s="976"/>
      <c r="M443" s="976"/>
      <c r="N443" s="976"/>
      <c r="O443" s="976"/>
      <c r="P443" s="976"/>
      <c r="Q443" s="976"/>
      <c r="R443" s="976"/>
      <c r="S443" s="976"/>
      <c r="T443" s="976"/>
      <c r="U443" s="976"/>
      <c r="V443" s="976"/>
      <c r="W443" s="976"/>
    </row>
    <row r="444" spans="1:51" s="90" customFormat="1" ht="13.8">
      <c r="A444" s="973"/>
      <c r="B444" s="974"/>
      <c r="C444" s="974"/>
      <c r="D444" s="975" t="s">
        <v>384</v>
      </c>
      <c r="E444" s="1774">
        <f>SUM(F444:W444)</f>
        <v>13.28125</v>
      </c>
      <c r="F444" s="976"/>
      <c r="G444" s="976"/>
      <c r="H444" s="976"/>
      <c r="I444" s="976">
        <f>medicin!R4*15%</f>
        <v>0</v>
      </c>
      <c r="J444" s="976">
        <f>medicin!R39*50%</f>
        <v>13.28125</v>
      </c>
      <c r="K444" s="976"/>
      <c r="L444" s="976"/>
      <c r="M444" s="976"/>
      <c r="N444" s="976"/>
      <c r="O444" s="976"/>
      <c r="P444" s="976"/>
      <c r="Q444" s="976"/>
      <c r="R444" s="976"/>
      <c r="S444" s="976"/>
      <c r="T444" s="976"/>
      <c r="U444" s="976"/>
      <c r="V444" s="976"/>
      <c r="W444" s="976"/>
    </row>
    <row r="445" spans="1:51" s="90" customFormat="1" ht="13.8">
      <c r="A445" s="973"/>
      <c r="B445" s="974"/>
      <c r="C445" s="974"/>
      <c r="D445" s="975" t="s">
        <v>13</v>
      </c>
      <c r="E445" s="1774">
        <v>500</v>
      </c>
      <c r="F445" s="976"/>
      <c r="G445" s="976"/>
      <c r="H445" s="976"/>
      <c r="I445" s="976"/>
      <c r="J445" s="976"/>
      <c r="K445" s="976"/>
      <c r="L445" s="976"/>
      <c r="M445" s="976"/>
      <c r="N445" s="976"/>
      <c r="O445" s="976"/>
      <c r="P445" s="976"/>
      <c r="Q445" s="976"/>
      <c r="R445" s="976">
        <f>E445</f>
        <v>500</v>
      </c>
      <c r="S445" s="976"/>
      <c r="T445" s="976"/>
      <c r="U445" s="976"/>
      <c r="V445" s="976"/>
      <c r="W445" s="976"/>
      <c r="X445" s="1"/>
    </row>
    <row r="446" spans="1:51" s="90" customFormat="1" ht="13.8">
      <c r="A446" s="973"/>
      <c r="B446" s="974"/>
      <c r="C446" s="977"/>
      <c r="D446" s="978" t="s">
        <v>12</v>
      </c>
      <c r="E446" s="1774">
        <v>500</v>
      </c>
      <c r="F446" s="976"/>
      <c r="G446" s="976"/>
      <c r="H446" s="976"/>
      <c r="I446" s="976"/>
      <c r="J446" s="976"/>
      <c r="K446" s="976"/>
      <c r="L446" s="976"/>
      <c r="M446" s="976"/>
      <c r="N446" s="976"/>
      <c r="O446" s="976"/>
      <c r="P446" s="976"/>
      <c r="Q446" s="976"/>
      <c r="R446" s="976">
        <f>E446</f>
        <v>500</v>
      </c>
      <c r="S446" s="976"/>
      <c r="T446" s="976"/>
      <c r="U446" s="976"/>
      <c r="V446" s="976"/>
      <c r="W446" s="976"/>
    </row>
    <row r="447" spans="1:51" s="90" customFormat="1" ht="13.8">
      <c r="A447" s="973"/>
      <c r="B447" s="974"/>
      <c r="C447" s="974"/>
      <c r="D447" s="975" t="s">
        <v>11</v>
      </c>
      <c r="E447" s="1774">
        <v>500</v>
      </c>
      <c r="F447" s="976"/>
      <c r="G447" s="976"/>
      <c r="H447" s="976"/>
      <c r="I447" s="976"/>
      <c r="J447" s="976"/>
      <c r="K447" s="976"/>
      <c r="L447" s="976"/>
      <c r="M447" s="976"/>
      <c r="N447" s="976"/>
      <c r="O447" s="976"/>
      <c r="P447" s="976"/>
      <c r="Q447" s="976"/>
      <c r="R447" s="976"/>
      <c r="S447" s="976"/>
      <c r="T447" s="976"/>
      <c r="U447" s="976"/>
      <c r="V447" s="976"/>
      <c r="W447" s="976"/>
    </row>
    <row r="448" spans="1:51" s="90" customFormat="1" ht="13.8">
      <c r="A448" s="973"/>
      <c r="B448" s="974"/>
      <c r="C448" s="974"/>
      <c r="D448" s="975" t="s">
        <v>10</v>
      </c>
      <c r="E448" s="1774"/>
      <c r="F448" s="976"/>
      <c r="G448" s="976"/>
      <c r="H448" s="976"/>
      <c r="I448" s="976"/>
      <c r="J448" s="976"/>
      <c r="K448" s="976"/>
      <c r="L448" s="976"/>
      <c r="M448" s="976"/>
      <c r="N448" s="976"/>
      <c r="O448" s="976"/>
      <c r="P448" s="976"/>
      <c r="Q448" s="976"/>
      <c r="R448" s="976"/>
      <c r="S448" s="976"/>
      <c r="T448" s="976"/>
      <c r="U448" s="976"/>
      <c r="V448" s="976"/>
      <c r="W448" s="976"/>
      <c r="X448" s="1"/>
    </row>
    <row r="449" spans="1:49" s="90" customFormat="1" ht="13.8">
      <c r="A449" s="973"/>
      <c r="B449" s="974"/>
      <c r="C449" s="977"/>
      <c r="D449" s="978" t="s">
        <v>9</v>
      </c>
      <c r="E449" s="1774">
        <v>500</v>
      </c>
      <c r="F449" s="976"/>
      <c r="G449" s="976"/>
      <c r="H449" s="976"/>
      <c r="I449" s="976"/>
      <c r="J449" s="976"/>
      <c r="K449" s="976"/>
      <c r="L449" s="976"/>
      <c r="M449" s="976"/>
      <c r="N449" s="976"/>
      <c r="O449" s="976"/>
      <c r="P449" s="976"/>
      <c r="Q449" s="976"/>
      <c r="R449" s="976">
        <f>E449</f>
        <v>500</v>
      </c>
      <c r="S449" s="976"/>
      <c r="T449" s="976"/>
      <c r="U449" s="976"/>
      <c r="V449" s="976"/>
      <c r="W449" s="976"/>
    </row>
    <row r="450" spans="1:49" s="90" customFormat="1" ht="13.8">
      <c r="A450" s="973"/>
      <c r="B450" s="974"/>
      <c r="C450" s="974"/>
      <c r="D450" s="975" t="s">
        <v>8</v>
      </c>
      <c r="E450" s="1774">
        <v>500</v>
      </c>
      <c r="F450" s="976"/>
      <c r="G450" s="976"/>
      <c r="H450" s="976"/>
      <c r="I450" s="976"/>
      <c r="J450" s="976"/>
      <c r="K450" s="976"/>
      <c r="L450" s="976"/>
      <c r="M450" s="976"/>
      <c r="N450" s="976"/>
      <c r="O450" s="976"/>
      <c r="P450" s="976"/>
      <c r="Q450" s="976"/>
      <c r="R450" s="976">
        <f>E450</f>
        <v>500</v>
      </c>
      <c r="S450" s="976"/>
      <c r="T450" s="976"/>
      <c r="U450" s="976"/>
      <c r="V450" s="976"/>
      <c r="W450" s="976"/>
    </row>
    <row r="451" spans="1:49" s="90" customFormat="1" ht="13.8">
      <c r="A451" s="973"/>
      <c r="B451" s="974"/>
      <c r="C451" s="974"/>
      <c r="D451" s="975" t="s">
        <v>7</v>
      </c>
      <c r="E451" s="1774">
        <v>500</v>
      </c>
      <c r="F451" s="976"/>
      <c r="G451" s="976"/>
      <c r="H451" s="976"/>
      <c r="I451" s="976"/>
      <c r="J451" s="976"/>
      <c r="K451" s="976"/>
      <c r="L451" s="976"/>
      <c r="M451" s="976"/>
      <c r="N451" s="976"/>
      <c r="O451" s="976"/>
      <c r="P451" s="976"/>
      <c r="Q451" s="976"/>
      <c r="R451" s="976">
        <f>E451</f>
        <v>500</v>
      </c>
      <c r="S451" s="976"/>
      <c r="T451" s="976"/>
      <c r="U451" s="976"/>
      <c r="V451" s="976"/>
      <c r="W451" s="976"/>
      <c r="X451" s="1"/>
    </row>
    <row r="452" spans="1:49" ht="13.8">
      <c r="B452" s="23" t="s">
        <v>6</v>
      </c>
      <c r="C452" s="23"/>
      <c r="D452" s="22">
        <v>9780</v>
      </c>
      <c r="E452" s="987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10"/>
      <c r="Q452" s="10"/>
      <c r="R452" s="10"/>
      <c r="S452" s="24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10"/>
      <c r="AK452" s="10"/>
      <c r="AL452" s="10"/>
      <c r="AM452" s="10"/>
      <c r="AN452" s="6"/>
      <c r="AO452" s="6"/>
      <c r="AP452" s="6"/>
      <c r="AQ452" s="6"/>
      <c r="AR452" s="6"/>
      <c r="AS452" s="6"/>
      <c r="AT452" s="6"/>
      <c r="AW452" s="6"/>
    </row>
    <row r="453" spans="1:49" ht="13.8">
      <c r="B453" s="23" t="s">
        <v>2</v>
      </c>
      <c r="C453" s="23"/>
      <c r="D453" s="22">
        <v>3458</v>
      </c>
      <c r="E453" s="987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X453" s="10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10"/>
      <c r="AK453" s="10"/>
      <c r="AL453" s="10"/>
      <c r="AM453" s="10"/>
      <c r="AN453" s="6"/>
      <c r="AO453" s="6"/>
      <c r="AP453" s="6"/>
      <c r="AQ453" s="6"/>
      <c r="AR453" s="6"/>
      <c r="AS453" s="6"/>
      <c r="AT453" s="6"/>
      <c r="AW453" s="6"/>
    </row>
    <row r="454" spans="1:49" ht="13.8">
      <c r="B454" s="23" t="s">
        <v>1</v>
      </c>
      <c r="C454" s="23"/>
      <c r="D454" s="22">
        <f>(D452-D453)*0.39</f>
        <v>2465.58</v>
      </c>
      <c r="E454" s="987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13"/>
      <c r="X454" s="6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W454" s="10"/>
    </row>
    <row r="455" spans="1:49" ht="14.4" thickBot="1">
      <c r="B455" s="20" t="s">
        <v>5</v>
      </c>
      <c r="C455" s="20"/>
      <c r="D455" s="19">
        <v>7315</v>
      </c>
      <c r="E455" s="98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3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10"/>
      <c r="AK455" s="10"/>
      <c r="AL455" s="10"/>
      <c r="AM455" s="10"/>
      <c r="AN455" s="6"/>
      <c r="AO455" s="6"/>
      <c r="AP455" s="6"/>
      <c r="AQ455" s="6"/>
      <c r="AR455" s="6"/>
      <c r="AS455" s="6"/>
      <c r="AT455" s="6"/>
      <c r="AW455" s="6"/>
    </row>
    <row r="456" spans="1:49" ht="13.8">
      <c r="B456" s="23" t="s">
        <v>4</v>
      </c>
      <c r="C456" s="23"/>
      <c r="D456" s="22">
        <f>D461</f>
        <v>11306</v>
      </c>
      <c r="E456" s="987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13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10"/>
      <c r="AK456" s="10"/>
      <c r="AL456" s="10"/>
      <c r="AM456" s="10"/>
      <c r="AN456" s="6"/>
      <c r="AO456" s="6"/>
      <c r="AP456" s="6"/>
      <c r="AQ456" s="6"/>
      <c r="AR456" s="6"/>
      <c r="AS456" s="6"/>
      <c r="AT456" s="6"/>
      <c r="AW456" s="6"/>
    </row>
    <row r="457" spans="1:49" ht="13.8">
      <c r="B457" s="23" t="s">
        <v>3</v>
      </c>
      <c r="C457" s="23"/>
      <c r="D457" s="22">
        <v>16044</v>
      </c>
      <c r="E457" s="987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13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10"/>
      <c r="AK457" s="10"/>
      <c r="AL457" s="10"/>
      <c r="AM457" s="10"/>
      <c r="AN457" s="6"/>
      <c r="AO457" s="6"/>
      <c r="AP457" s="6"/>
      <c r="AQ457" s="6"/>
      <c r="AR457" s="6"/>
      <c r="AS457" s="6"/>
      <c r="AT457" s="6"/>
      <c r="AW457" s="6"/>
    </row>
    <row r="458" spans="1:49" ht="13.8">
      <c r="B458" s="23" t="s">
        <v>2</v>
      </c>
      <c r="C458" s="23"/>
      <c r="D458" s="22">
        <v>4042</v>
      </c>
      <c r="E458" s="987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13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10"/>
      <c r="AK458" s="10"/>
      <c r="AL458" s="10"/>
      <c r="AM458" s="10"/>
      <c r="AN458" s="6"/>
      <c r="AO458" s="6"/>
      <c r="AP458" s="6"/>
      <c r="AQ458" s="6"/>
      <c r="AR458" s="6"/>
      <c r="AS458" s="6"/>
      <c r="AT458" s="6"/>
      <c r="AW458" s="6"/>
    </row>
    <row r="459" spans="1:49" ht="13.8">
      <c r="B459" s="23" t="s">
        <v>1</v>
      </c>
      <c r="C459" s="23"/>
      <c r="D459" s="22">
        <v>4644</v>
      </c>
      <c r="E459" s="987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13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10"/>
      <c r="AK459" s="10"/>
      <c r="AL459" s="10"/>
      <c r="AM459" s="10"/>
      <c r="AN459" s="6"/>
      <c r="AO459" s="6"/>
      <c r="AP459" s="6"/>
      <c r="AQ459" s="6"/>
      <c r="AR459" s="6"/>
      <c r="AS459" s="6"/>
      <c r="AT459" s="6"/>
      <c r="AW459" s="6"/>
    </row>
    <row r="460" spans="1:49" ht="13.8">
      <c r="B460" s="23" t="s">
        <v>1</v>
      </c>
      <c r="C460" s="23"/>
      <c r="D460" s="22">
        <v>94</v>
      </c>
      <c r="E460" s="987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13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10"/>
      <c r="AK460" s="10"/>
      <c r="AL460" s="10"/>
      <c r="AM460" s="10"/>
      <c r="AN460" s="6"/>
      <c r="AO460" s="6"/>
      <c r="AP460" s="6"/>
      <c r="AQ460" s="6"/>
      <c r="AR460" s="6"/>
      <c r="AS460" s="6"/>
      <c r="AT460" s="6"/>
      <c r="AW460" s="6"/>
    </row>
    <row r="461" spans="1:49" ht="14.4" thickBot="1">
      <c r="B461" s="20" t="s">
        <v>0</v>
      </c>
      <c r="C461" s="20"/>
      <c r="D461" s="19">
        <f>D457-D459-D460</f>
        <v>11306</v>
      </c>
      <c r="E461" s="98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3"/>
      <c r="X461" s="1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10"/>
      <c r="AK461" s="10"/>
      <c r="AL461" s="10"/>
      <c r="AM461" s="10"/>
      <c r="AN461" s="6"/>
      <c r="AO461" s="6"/>
      <c r="AP461" s="6"/>
      <c r="AQ461" s="6"/>
      <c r="AR461" s="6"/>
      <c r="AS461" s="6"/>
      <c r="AT461" s="6"/>
      <c r="AW461" s="6"/>
    </row>
    <row r="462" spans="1:49" ht="13.8">
      <c r="A462" s="1"/>
      <c r="B462" s="17"/>
      <c r="C462" s="17"/>
      <c r="D462" s="16"/>
      <c r="E462" s="989"/>
      <c r="F462" s="15"/>
      <c r="G462" s="15"/>
      <c r="H462" s="15"/>
      <c r="I462" s="15"/>
      <c r="J462" s="15"/>
      <c r="K462" s="15"/>
      <c r="L462" s="15"/>
      <c r="M462" s="15"/>
      <c r="N462" s="15"/>
      <c r="O462" s="14"/>
      <c r="P462" s="13"/>
      <c r="Q462" s="1"/>
      <c r="R462" s="1"/>
      <c r="S462" s="1"/>
      <c r="T462" s="1"/>
      <c r="U462" s="1"/>
      <c r="V462" s="1"/>
      <c r="W462" s="1"/>
      <c r="X462" s="1"/>
      <c r="AJ462" s="10"/>
      <c r="AK462" s="10"/>
      <c r="AL462" s="10"/>
      <c r="AM462" s="10"/>
    </row>
    <row r="463" spans="1:49" ht="13.8">
      <c r="A463" s="1"/>
      <c r="B463" s="17"/>
      <c r="C463" s="17"/>
      <c r="D463" s="16"/>
      <c r="E463" s="989"/>
      <c r="F463" s="15"/>
      <c r="G463" s="15"/>
      <c r="H463" s="15"/>
      <c r="I463" s="15"/>
      <c r="J463" s="15"/>
      <c r="K463" s="15"/>
      <c r="L463" s="15"/>
      <c r="M463" s="15"/>
      <c r="N463" s="15"/>
      <c r="O463" s="14"/>
      <c r="P463" s="13"/>
      <c r="Q463" s="1"/>
      <c r="R463" s="1"/>
      <c r="S463" s="1"/>
      <c r="T463" s="1"/>
      <c r="U463" s="1"/>
      <c r="V463" s="1"/>
      <c r="W463" s="1"/>
      <c r="X463" s="1"/>
      <c r="AJ463" s="10"/>
      <c r="AK463" s="10"/>
      <c r="AL463" s="10"/>
      <c r="AM463" s="10"/>
    </row>
    <row r="464" spans="1:49">
      <c r="X464" s="1"/>
      <c r="AJ464" s="10"/>
      <c r="AK464" s="10"/>
      <c r="AL464" s="10"/>
      <c r="AM464" s="10"/>
    </row>
    <row r="465" spans="1:40">
      <c r="X465" s="1"/>
      <c r="AJ465" s="10"/>
      <c r="AK465" s="10"/>
      <c r="AL465" s="10"/>
      <c r="AM465" s="10"/>
    </row>
    <row r="466" spans="1:40">
      <c r="X466" s="1"/>
      <c r="AJ466" s="10"/>
      <c r="AK466" s="10"/>
      <c r="AL466" s="10"/>
      <c r="AM466" s="10"/>
    </row>
    <row r="467" spans="1:40">
      <c r="X467" s="1"/>
      <c r="AJ467" s="10"/>
      <c r="AK467" s="10"/>
      <c r="AL467" s="10"/>
      <c r="AM467" s="10"/>
    </row>
    <row r="468" spans="1:40">
      <c r="X468" s="1"/>
      <c r="AJ468" s="10"/>
      <c r="AK468" s="10"/>
      <c r="AL468" s="10"/>
      <c r="AM468" s="10"/>
    </row>
    <row r="469" spans="1:40">
      <c r="A469" s="1"/>
      <c r="B469" s="1"/>
      <c r="C469" s="1"/>
      <c r="D469" s="1"/>
      <c r="E469" s="99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AJ469" s="10"/>
      <c r="AK469" s="10"/>
      <c r="AL469" s="10"/>
      <c r="AM469" s="10"/>
    </row>
    <row r="470" spans="1:40">
      <c r="A470" s="1"/>
      <c r="B470" s="1"/>
      <c r="C470" s="1"/>
      <c r="D470" s="1"/>
      <c r="E470" s="99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AJ470" s="10"/>
      <c r="AK470" s="10"/>
      <c r="AL470" s="10"/>
      <c r="AM470" s="10"/>
    </row>
    <row r="471" spans="1:40">
      <c r="A471" s="1"/>
      <c r="B471" s="1"/>
      <c r="C471" s="1"/>
      <c r="D471" s="1"/>
      <c r="E471" s="99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AJ471" s="10"/>
      <c r="AK471" s="10"/>
      <c r="AL471" s="10"/>
      <c r="AM471" s="10"/>
    </row>
    <row r="472" spans="1:40">
      <c r="A472" s="1"/>
      <c r="B472" s="1"/>
      <c r="C472" s="1"/>
      <c r="D472" s="1"/>
      <c r="E472" s="99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AJ472" s="10"/>
      <c r="AK472" s="10"/>
      <c r="AL472" s="10"/>
      <c r="AM472" s="10"/>
    </row>
    <row r="473" spans="1:40">
      <c r="A473" s="1"/>
      <c r="B473" s="1"/>
      <c r="C473" s="1"/>
      <c r="D473" s="1"/>
      <c r="E473" s="99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AJ473" s="10"/>
      <c r="AK473" s="10"/>
      <c r="AL473" s="10"/>
      <c r="AM473" s="10"/>
    </row>
    <row r="474" spans="1:40">
      <c r="A474" s="1"/>
      <c r="B474" s="1"/>
      <c r="C474" s="1"/>
      <c r="D474" s="1"/>
      <c r="E474" s="99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AJ474" s="10"/>
      <c r="AK474" s="10"/>
      <c r="AL474" s="10"/>
      <c r="AM474" s="10"/>
    </row>
    <row r="475" spans="1:40">
      <c r="A475" s="1"/>
      <c r="B475" s="1"/>
      <c r="C475" s="1"/>
      <c r="D475" s="1"/>
      <c r="E475" s="99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AJ475" s="10"/>
      <c r="AK475" s="10"/>
      <c r="AL475" s="10"/>
      <c r="AM475" s="10"/>
    </row>
    <row r="476" spans="1:40">
      <c r="A476" s="1"/>
      <c r="B476" s="1"/>
      <c r="C476" s="1"/>
      <c r="D476" s="1"/>
      <c r="E476" s="99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AJ476" s="10"/>
      <c r="AK476" s="10"/>
      <c r="AL476" s="10"/>
      <c r="AM476" s="10"/>
    </row>
    <row r="477" spans="1:40">
      <c r="A477" s="1"/>
      <c r="B477" s="1"/>
      <c r="C477" s="1"/>
      <c r="D477" s="1"/>
      <c r="E477" s="99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AJ477" s="10"/>
      <c r="AK477" s="10"/>
      <c r="AL477" s="10"/>
      <c r="AM477" s="10"/>
    </row>
    <row r="478" spans="1:40" ht="13.8">
      <c r="A478" s="1"/>
      <c r="B478" s="1"/>
      <c r="C478" s="1"/>
      <c r="D478" s="1"/>
      <c r="E478" s="99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AK478" s="9"/>
      <c r="AL478" s="9"/>
      <c r="AM478" s="9"/>
      <c r="AN478" s="9"/>
    </row>
    <row r="479" spans="1:40" ht="13.8">
      <c r="A479" s="1"/>
      <c r="B479" s="1"/>
      <c r="C479" s="1"/>
      <c r="D479" s="1"/>
      <c r="E479" s="99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AK479" s="9"/>
      <c r="AL479" s="9"/>
      <c r="AM479" s="9"/>
      <c r="AN479" s="9"/>
    </row>
    <row r="480" spans="1:40" ht="13.8">
      <c r="A480" s="1"/>
      <c r="B480" s="1"/>
      <c r="C480" s="1"/>
      <c r="D480" s="1"/>
      <c r="E480" s="99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AK480" s="12"/>
      <c r="AL480" s="12"/>
      <c r="AM480" s="12"/>
      <c r="AN480" s="12"/>
    </row>
    <row r="481" spans="1:40">
      <c r="A481" s="1"/>
      <c r="B481" s="1"/>
      <c r="C481" s="1"/>
      <c r="D481" s="1"/>
      <c r="E481" s="99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AK481" s="10"/>
      <c r="AL481" s="10"/>
      <c r="AM481" s="10"/>
      <c r="AN481" s="10"/>
    </row>
    <row r="482" spans="1:40">
      <c r="A482" s="1"/>
      <c r="B482" s="1"/>
      <c r="C482" s="1"/>
      <c r="D482" s="1"/>
      <c r="E482" s="99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AK482" s="10"/>
      <c r="AL482" s="10"/>
      <c r="AM482" s="10"/>
      <c r="AN482" s="10"/>
    </row>
    <row r="483" spans="1:40">
      <c r="A483" s="1"/>
      <c r="B483" s="1"/>
      <c r="C483" s="1"/>
      <c r="D483" s="1"/>
      <c r="E483" s="99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AK483" s="10"/>
      <c r="AL483" s="10"/>
      <c r="AM483" s="10"/>
      <c r="AN483" s="10"/>
    </row>
    <row r="484" spans="1:40">
      <c r="A484" s="1"/>
      <c r="B484" s="1"/>
      <c r="C484" s="1"/>
      <c r="D484" s="1"/>
      <c r="E484" s="99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AK484" s="10"/>
      <c r="AL484" s="10"/>
      <c r="AM484" s="10"/>
      <c r="AN484" s="10"/>
    </row>
    <row r="485" spans="1:40">
      <c r="A485" s="1"/>
      <c r="B485" s="1"/>
      <c r="C485" s="1"/>
      <c r="D485" s="1"/>
      <c r="E485" s="99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AK485" s="10"/>
      <c r="AL485" s="10"/>
      <c r="AM485" s="10"/>
      <c r="AN485" s="10"/>
    </row>
    <row r="486" spans="1:40">
      <c r="A486" s="1"/>
      <c r="B486" s="1"/>
      <c r="C486" s="1"/>
      <c r="D486" s="1"/>
      <c r="E486" s="99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AK486" s="10"/>
      <c r="AL486" s="10"/>
      <c r="AM486" s="10"/>
      <c r="AN486" s="10"/>
    </row>
    <row r="487" spans="1:40">
      <c r="A487" s="1"/>
      <c r="B487" s="1"/>
      <c r="C487" s="1"/>
      <c r="D487" s="1"/>
      <c r="E487" s="99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AK487" s="10"/>
      <c r="AL487" s="10"/>
      <c r="AM487" s="10"/>
      <c r="AN487" s="10"/>
    </row>
    <row r="488" spans="1:40">
      <c r="A488" s="1"/>
      <c r="B488" s="1"/>
      <c r="C488" s="1"/>
      <c r="D488" s="1"/>
      <c r="E488" s="99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AK488" s="10"/>
      <c r="AL488" s="10"/>
      <c r="AM488" s="10"/>
      <c r="AN488" s="10"/>
    </row>
    <row r="489" spans="1:40">
      <c r="A489" s="1"/>
      <c r="B489" s="1"/>
      <c r="C489" s="1"/>
      <c r="D489" s="1"/>
      <c r="E489" s="99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AK489" s="10"/>
      <c r="AL489" s="10"/>
      <c r="AM489" s="10"/>
      <c r="AN489" s="10"/>
    </row>
    <row r="490" spans="1:40">
      <c r="A490" s="1"/>
      <c r="B490" s="1"/>
      <c r="C490" s="1"/>
      <c r="D490" s="1"/>
      <c r="E490" s="99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AK490" s="10"/>
      <c r="AL490" s="10"/>
      <c r="AM490" s="10"/>
      <c r="AN490" s="10"/>
    </row>
    <row r="491" spans="1:40">
      <c r="A491" s="1"/>
      <c r="B491" s="1"/>
      <c r="C491" s="1"/>
      <c r="D491" s="1"/>
      <c r="E491" s="99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AK491" s="10"/>
      <c r="AL491" s="10"/>
      <c r="AM491" s="10"/>
      <c r="AN491" s="10"/>
    </row>
    <row r="492" spans="1:40">
      <c r="A492" s="1"/>
      <c r="B492" s="1"/>
      <c r="C492" s="1"/>
      <c r="D492" s="1"/>
      <c r="E492" s="99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AK492" s="10"/>
      <c r="AL492" s="10"/>
      <c r="AM492" s="10"/>
      <c r="AN492" s="10"/>
    </row>
    <row r="493" spans="1:40">
      <c r="A493" s="1"/>
      <c r="B493" s="1"/>
      <c r="C493" s="1"/>
      <c r="D493" s="1"/>
      <c r="E493" s="99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AK493" s="10"/>
      <c r="AL493" s="10"/>
      <c r="AM493" s="10"/>
      <c r="AN493" s="10"/>
    </row>
    <row r="494" spans="1:40">
      <c r="A494" s="1"/>
      <c r="B494" s="1"/>
      <c r="C494" s="1"/>
      <c r="D494" s="1"/>
      <c r="E494" s="99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AK494" s="10"/>
      <c r="AL494" s="10"/>
      <c r="AM494" s="10"/>
      <c r="AN494" s="10"/>
    </row>
    <row r="495" spans="1:40">
      <c r="A495" s="1"/>
      <c r="B495" s="1"/>
      <c r="C495" s="1"/>
      <c r="D495" s="1"/>
      <c r="E495" s="99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AK495" s="10"/>
      <c r="AL495" s="10"/>
      <c r="AM495" s="10"/>
      <c r="AN495" s="10"/>
    </row>
    <row r="496" spans="1:40">
      <c r="A496" s="1"/>
      <c r="B496" s="1"/>
      <c r="C496" s="1"/>
      <c r="D496" s="1"/>
      <c r="E496" s="99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AK496" s="10"/>
      <c r="AL496" s="10"/>
      <c r="AM496" s="10"/>
      <c r="AN496" s="10"/>
    </row>
    <row r="497" spans="1:40">
      <c r="A497" s="1"/>
      <c r="B497" s="1"/>
      <c r="C497" s="1"/>
      <c r="D497" s="1"/>
      <c r="E497" s="99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AK497" s="10"/>
      <c r="AL497" s="10"/>
      <c r="AM497" s="10"/>
      <c r="AN497" s="10"/>
    </row>
    <row r="498" spans="1:40">
      <c r="A498" s="1"/>
      <c r="B498" s="1"/>
      <c r="C498" s="1"/>
      <c r="D498" s="1"/>
      <c r="E498" s="99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AK498" s="10"/>
      <c r="AL498" s="10"/>
      <c r="AM498" s="10"/>
      <c r="AN498" s="10"/>
    </row>
    <row r="499" spans="1:40">
      <c r="A499" s="1"/>
      <c r="B499" s="1"/>
      <c r="C499" s="1"/>
      <c r="D499" s="1"/>
      <c r="E499" s="99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AK499" s="10"/>
      <c r="AL499" s="10"/>
      <c r="AM499" s="10"/>
      <c r="AN499" s="10"/>
    </row>
    <row r="500" spans="1:40">
      <c r="A500" s="1"/>
      <c r="B500" s="1"/>
      <c r="C500" s="1"/>
      <c r="D500" s="1"/>
      <c r="E500" s="99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AK500" s="10"/>
      <c r="AL500" s="10"/>
      <c r="AM500" s="10"/>
      <c r="AN500" s="10"/>
    </row>
    <row r="501" spans="1:40">
      <c r="A501" s="1"/>
      <c r="B501" s="1"/>
      <c r="C501" s="1"/>
      <c r="D501" s="1"/>
      <c r="E501" s="99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AK501" s="10"/>
      <c r="AL501" s="10"/>
      <c r="AM501" s="10"/>
      <c r="AN501" s="10"/>
    </row>
    <row r="502" spans="1:40">
      <c r="A502" s="1"/>
      <c r="B502" s="1"/>
      <c r="C502" s="1"/>
      <c r="D502" s="1"/>
      <c r="E502" s="99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AK502" s="10"/>
      <c r="AL502" s="10"/>
      <c r="AM502" s="10"/>
      <c r="AN502" s="10"/>
    </row>
    <row r="503" spans="1:40">
      <c r="A503" s="1"/>
      <c r="B503" s="1"/>
      <c r="C503" s="1"/>
      <c r="D503" s="1"/>
      <c r="E503" s="99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AK503" s="10"/>
      <c r="AL503" s="10"/>
      <c r="AM503" s="10"/>
      <c r="AN503" s="10"/>
    </row>
    <row r="504" spans="1:40">
      <c r="A504" s="1"/>
      <c r="B504" s="1"/>
      <c r="C504" s="1"/>
      <c r="D504" s="1"/>
      <c r="E504" s="99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AK504" s="10"/>
      <c r="AL504" s="10"/>
      <c r="AM504" s="10"/>
      <c r="AN504" s="10"/>
    </row>
    <row r="505" spans="1:40">
      <c r="A505" s="1"/>
      <c r="B505" s="1"/>
      <c r="C505" s="1"/>
      <c r="D505" s="1"/>
      <c r="E505" s="99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AK505" s="10"/>
      <c r="AL505" s="10"/>
      <c r="AM505" s="10"/>
      <c r="AN505" s="10"/>
    </row>
    <row r="506" spans="1:40">
      <c r="A506" s="1"/>
      <c r="B506" s="1"/>
      <c r="C506" s="1"/>
      <c r="D506" s="1"/>
      <c r="E506" s="99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AK506" s="10"/>
      <c r="AL506" s="10"/>
      <c r="AM506" s="10"/>
      <c r="AN506" s="10"/>
    </row>
    <row r="507" spans="1:40">
      <c r="A507" s="1"/>
      <c r="B507" s="1"/>
      <c r="C507" s="1"/>
      <c r="D507" s="1"/>
      <c r="E507" s="99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AK507" s="10"/>
      <c r="AL507" s="10"/>
      <c r="AM507" s="10"/>
      <c r="AN507" s="10"/>
    </row>
    <row r="508" spans="1:40">
      <c r="A508" s="1"/>
      <c r="B508" s="1"/>
      <c r="C508" s="1"/>
      <c r="D508" s="1"/>
      <c r="E508" s="99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AK508" s="10"/>
      <c r="AL508" s="10"/>
      <c r="AM508" s="10"/>
      <c r="AN508" s="10"/>
    </row>
    <row r="509" spans="1:40">
      <c r="A509" s="1"/>
      <c r="B509" s="1"/>
      <c r="C509" s="1"/>
      <c r="D509" s="1"/>
      <c r="E509" s="99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AK509" s="10"/>
      <c r="AL509" s="10"/>
      <c r="AM509" s="10"/>
      <c r="AN509" s="10"/>
    </row>
    <row r="510" spans="1:40">
      <c r="A510" s="1"/>
      <c r="B510" s="1"/>
      <c r="C510" s="1"/>
      <c r="D510" s="1"/>
      <c r="E510" s="99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AK510" s="10"/>
      <c r="AL510" s="10"/>
      <c r="AM510" s="10"/>
      <c r="AN510" s="10"/>
    </row>
    <row r="511" spans="1:40">
      <c r="A511" s="1"/>
      <c r="B511" s="1"/>
      <c r="C511" s="1"/>
      <c r="D511" s="1"/>
      <c r="E511" s="99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AK511" s="10"/>
      <c r="AL511" s="10"/>
      <c r="AM511" s="10"/>
      <c r="AN511" s="10"/>
    </row>
    <row r="512" spans="1:40">
      <c r="A512" s="1"/>
      <c r="B512" s="1"/>
      <c r="C512" s="1"/>
      <c r="D512" s="1"/>
      <c r="E512" s="99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AK512" s="10"/>
      <c r="AL512" s="10"/>
      <c r="AM512" s="10"/>
      <c r="AN512" s="10"/>
    </row>
    <row r="513" spans="1:40">
      <c r="A513" s="1"/>
      <c r="B513" s="1"/>
      <c r="C513" s="1"/>
      <c r="D513" s="1"/>
      <c r="E513" s="99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AK513" s="10"/>
      <c r="AL513" s="10"/>
      <c r="AM513" s="10"/>
      <c r="AN513" s="10"/>
    </row>
    <row r="514" spans="1:40">
      <c r="A514" s="1"/>
      <c r="B514" s="1"/>
      <c r="C514" s="1"/>
      <c r="D514" s="1"/>
      <c r="E514" s="99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AK514" s="10"/>
      <c r="AL514" s="10"/>
      <c r="AM514" s="10"/>
      <c r="AN514" s="10"/>
    </row>
    <row r="515" spans="1:40">
      <c r="A515" s="1"/>
      <c r="B515" s="1"/>
      <c r="C515" s="1"/>
      <c r="D515" s="1"/>
      <c r="E515" s="99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AK515" s="10"/>
      <c r="AL515" s="10"/>
      <c r="AM515" s="10"/>
      <c r="AN515" s="10"/>
    </row>
    <row r="516" spans="1:40">
      <c r="A516" s="1"/>
      <c r="B516" s="1"/>
      <c r="C516" s="1"/>
      <c r="D516" s="1"/>
      <c r="E516" s="99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AK516" s="10"/>
      <c r="AL516" s="10"/>
      <c r="AM516" s="10"/>
      <c r="AN516" s="10"/>
    </row>
    <row r="517" spans="1:40">
      <c r="A517" s="1"/>
      <c r="B517" s="1"/>
      <c r="C517" s="1"/>
      <c r="D517" s="1"/>
      <c r="E517" s="99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AK517" s="10"/>
      <c r="AL517" s="10"/>
      <c r="AM517" s="10"/>
      <c r="AN517" s="10"/>
    </row>
    <row r="518" spans="1:40">
      <c r="A518" s="1"/>
      <c r="B518" s="1"/>
      <c r="C518" s="1"/>
      <c r="D518" s="1"/>
      <c r="E518" s="99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AK518" s="10"/>
      <c r="AL518" s="10"/>
      <c r="AM518" s="10"/>
      <c r="AN518" s="10"/>
    </row>
    <row r="519" spans="1:40">
      <c r="A519" s="1"/>
      <c r="B519" s="1"/>
      <c r="C519" s="1"/>
      <c r="D519" s="1"/>
      <c r="E519" s="99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AK519" s="10"/>
      <c r="AL519" s="10"/>
      <c r="AM519" s="10"/>
      <c r="AN519" s="10"/>
    </row>
    <row r="520" spans="1:40">
      <c r="A520" s="1"/>
      <c r="B520" s="1"/>
      <c r="C520" s="1"/>
      <c r="D520" s="1"/>
      <c r="E520" s="99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AK520" s="10"/>
      <c r="AL520" s="10"/>
      <c r="AM520" s="10"/>
      <c r="AN520" s="10"/>
    </row>
    <row r="521" spans="1:40">
      <c r="A521" s="1"/>
      <c r="B521" s="1"/>
      <c r="C521" s="1"/>
      <c r="D521" s="1"/>
      <c r="E521" s="99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AK521" s="10"/>
      <c r="AL521" s="10"/>
      <c r="AM521" s="10"/>
      <c r="AN521" s="10"/>
    </row>
    <row r="522" spans="1:40">
      <c r="A522" s="1"/>
      <c r="B522" s="1"/>
      <c r="C522" s="1"/>
      <c r="D522" s="1"/>
      <c r="E522" s="99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AK522" s="10"/>
      <c r="AL522" s="10"/>
      <c r="AM522" s="10"/>
      <c r="AN522" s="10"/>
    </row>
    <row r="523" spans="1:40">
      <c r="A523" s="1"/>
      <c r="B523" s="1"/>
      <c r="C523" s="1"/>
      <c r="D523" s="1"/>
      <c r="E523" s="99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AK523" s="10"/>
      <c r="AL523" s="10"/>
      <c r="AM523" s="10"/>
      <c r="AN523" s="10"/>
    </row>
    <row r="524" spans="1:40">
      <c r="A524" s="1"/>
      <c r="B524" s="1"/>
      <c r="C524" s="1"/>
      <c r="D524" s="1"/>
      <c r="E524" s="99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AK524" s="10"/>
      <c r="AL524" s="10"/>
      <c r="AM524" s="10"/>
      <c r="AN524" s="10"/>
    </row>
    <row r="525" spans="1:40">
      <c r="A525" s="1"/>
      <c r="B525" s="1"/>
      <c r="C525" s="1"/>
      <c r="D525" s="1"/>
      <c r="E525" s="99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AK525" s="10"/>
      <c r="AL525" s="10"/>
      <c r="AM525" s="10"/>
      <c r="AN525" s="10"/>
    </row>
    <row r="526" spans="1:40" ht="13.8">
      <c r="A526" s="1"/>
      <c r="B526" s="1"/>
      <c r="C526" s="1"/>
      <c r="D526" s="1"/>
      <c r="E526" s="99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AK526" s="12"/>
      <c r="AL526" s="12"/>
      <c r="AM526" s="12"/>
      <c r="AN526" s="12"/>
    </row>
    <row r="527" spans="1:40">
      <c r="A527" s="1"/>
      <c r="B527" s="1"/>
      <c r="C527" s="1"/>
      <c r="D527" s="1"/>
      <c r="E527" s="99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AK527" s="10"/>
      <c r="AL527" s="10"/>
      <c r="AM527" s="10"/>
      <c r="AN527" s="10"/>
    </row>
    <row r="528" spans="1:40">
      <c r="A528" s="1"/>
      <c r="B528" s="1"/>
      <c r="C528" s="1"/>
      <c r="D528" s="1"/>
      <c r="E528" s="99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AK528" s="10"/>
      <c r="AL528" s="10"/>
      <c r="AM528" s="10"/>
      <c r="AN528" s="10"/>
    </row>
    <row r="529" spans="1:40">
      <c r="A529" s="1"/>
      <c r="B529" s="1"/>
      <c r="C529" s="1"/>
      <c r="D529" s="1"/>
      <c r="E529" s="99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AK529" s="10"/>
      <c r="AL529" s="10"/>
      <c r="AM529" s="10"/>
      <c r="AN529" s="10"/>
    </row>
    <row r="530" spans="1:40">
      <c r="A530" s="1"/>
      <c r="B530" s="1"/>
      <c r="C530" s="1"/>
      <c r="D530" s="1"/>
      <c r="E530" s="99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AK530" s="10"/>
      <c r="AL530" s="10"/>
      <c r="AM530" s="10"/>
      <c r="AN530" s="10"/>
    </row>
    <row r="531" spans="1:40">
      <c r="A531" s="1"/>
      <c r="B531" s="1"/>
      <c r="C531" s="1"/>
      <c r="D531" s="1"/>
      <c r="E531" s="99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AK531" s="10"/>
      <c r="AL531" s="10"/>
      <c r="AM531" s="10"/>
      <c r="AN531" s="10"/>
    </row>
    <row r="532" spans="1:40">
      <c r="A532" s="1"/>
      <c r="B532" s="1"/>
      <c r="C532" s="1"/>
      <c r="D532" s="1"/>
      <c r="E532" s="99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AK532" s="10"/>
      <c r="AL532" s="10"/>
      <c r="AM532" s="10"/>
      <c r="AN532" s="10"/>
    </row>
    <row r="533" spans="1:40">
      <c r="A533" s="1"/>
      <c r="B533" s="1"/>
      <c r="C533" s="1"/>
      <c r="D533" s="1"/>
      <c r="E533" s="99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AK533" s="10"/>
      <c r="AL533" s="10"/>
      <c r="AM533" s="10"/>
      <c r="AN533" s="10"/>
    </row>
    <row r="534" spans="1:40">
      <c r="A534" s="1"/>
      <c r="B534" s="1"/>
      <c r="C534" s="1"/>
      <c r="D534" s="1"/>
      <c r="E534" s="99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AK534" s="10"/>
      <c r="AL534" s="10"/>
      <c r="AM534" s="10"/>
      <c r="AN534" s="10"/>
    </row>
    <row r="535" spans="1:40">
      <c r="A535" s="1"/>
      <c r="B535" s="1"/>
      <c r="C535" s="1"/>
      <c r="D535" s="1"/>
      <c r="E535" s="99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AK535" s="10"/>
      <c r="AL535" s="10"/>
      <c r="AM535" s="10"/>
      <c r="AN535" s="10"/>
    </row>
    <row r="536" spans="1:40">
      <c r="A536" s="1"/>
      <c r="B536" s="1"/>
      <c r="C536" s="1"/>
      <c r="D536" s="1"/>
      <c r="E536" s="99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AK536" s="10"/>
      <c r="AL536" s="10"/>
      <c r="AM536" s="10"/>
      <c r="AN536" s="10"/>
    </row>
    <row r="537" spans="1:40">
      <c r="A537" s="1"/>
      <c r="B537" s="1"/>
      <c r="C537" s="1"/>
      <c r="D537" s="1"/>
      <c r="E537" s="99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AK537" s="10"/>
      <c r="AL537" s="10"/>
      <c r="AM537" s="10"/>
      <c r="AN537" s="10"/>
    </row>
    <row r="538" spans="1:40">
      <c r="A538" s="1"/>
      <c r="B538" s="1"/>
      <c r="C538" s="1"/>
      <c r="D538" s="1"/>
      <c r="E538" s="99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AK538" s="10"/>
      <c r="AL538" s="10"/>
      <c r="AM538" s="10"/>
      <c r="AN538" s="10"/>
    </row>
    <row r="539" spans="1:40">
      <c r="A539" s="1"/>
      <c r="B539" s="1"/>
      <c r="C539" s="1"/>
      <c r="D539" s="1"/>
      <c r="E539" s="99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AK539" s="10"/>
      <c r="AL539" s="10"/>
      <c r="AM539" s="10"/>
      <c r="AN539" s="10"/>
    </row>
    <row r="540" spans="1:40">
      <c r="A540" s="1"/>
      <c r="B540" s="1"/>
      <c r="C540" s="1"/>
      <c r="D540" s="1"/>
      <c r="E540" s="99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AK540" s="10"/>
      <c r="AL540" s="10"/>
      <c r="AM540" s="10"/>
      <c r="AN540" s="10"/>
    </row>
    <row r="541" spans="1:40">
      <c r="A541" s="1"/>
      <c r="B541" s="1"/>
      <c r="C541" s="1"/>
      <c r="D541" s="1"/>
      <c r="E541" s="99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AK541" s="10"/>
      <c r="AL541" s="10"/>
      <c r="AM541" s="10"/>
      <c r="AN541" s="10"/>
    </row>
    <row r="542" spans="1:40">
      <c r="A542" s="1"/>
      <c r="B542" s="1"/>
      <c r="C542" s="1"/>
      <c r="D542" s="1"/>
      <c r="E542" s="99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AK542" s="10"/>
      <c r="AL542" s="10"/>
      <c r="AM542" s="10"/>
      <c r="AN542" s="10"/>
    </row>
    <row r="543" spans="1:40">
      <c r="A543" s="1"/>
      <c r="B543" s="1"/>
      <c r="C543" s="1"/>
      <c r="D543" s="1"/>
      <c r="E543" s="99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AK543" s="10"/>
      <c r="AL543" s="10"/>
      <c r="AM543" s="10"/>
      <c r="AN543" s="10"/>
    </row>
    <row r="544" spans="1:40">
      <c r="A544" s="1"/>
      <c r="B544" s="1"/>
      <c r="C544" s="1"/>
      <c r="D544" s="1"/>
      <c r="E544" s="99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AK544" s="10"/>
      <c r="AL544" s="10"/>
      <c r="AM544" s="10"/>
      <c r="AN544" s="10"/>
    </row>
    <row r="545" spans="1:40">
      <c r="A545" s="1"/>
      <c r="B545" s="1"/>
      <c r="C545" s="1"/>
      <c r="D545" s="1"/>
      <c r="E545" s="99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AK545" s="10"/>
      <c r="AL545" s="10"/>
      <c r="AM545" s="10"/>
      <c r="AN545" s="10"/>
    </row>
    <row r="546" spans="1:40">
      <c r="A546" s="1"/>
      <c r="B546" s="1"/>
      <c r="C546" s="1"/>
      <c r="D546" s="1"/>
      <c r="E546" s="99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AK546" s="10"/>
      <c r="AL546" s="10"/>
      <c r="AM546" s="10"/>
      <c r="AN546" s="10"/>
    </row>
    <row r="547" spans="1:40">
      <c r="A547" s="1"/>
      <c r="B547" s="1"/>
      <c r="C547" s="1"/>
      <c r="D547" s="1"/>
      <c r="E547" s="99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AK547" s="10"/>
      <c r="AL547" s="10"/>
      <c r="AM547" s="10"/>
      <c r="AN547" s="10"/>
    </row>
    <row r="548" spans="1:40">
      <c r="A548" s="1"/>
      <c r="B548" s="1"/>
      <c r="C548" s="1"/>
      <c r="D548" s="1"/>
      <c r="E548" s="99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AK548" s="10"/>
      <c r="AL548" s="10"/>
      <c r="AM548" s="10"/>
      <c r="AN548" s="10"/>
    </row>
    <row r="549" spans="1:40">
      <c r="A549" s="1"/>
      <c r="B549" s="1"/>
      <c r="C549" s="1"/>
      <c r="D549" s="1"/>
      <c r="E549" s="99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AK549" s="10"/>
      <c r="AL549" s="10"/>
      <c r="AM549" s="10"/>
      <c r="AN549" s="10"/>
    </row>
    <row r="550" spans="1:40">
      <c r="A550" s="1"/>
      <c r="B550" s="1"/>
      <c r="C550" s="1"/>
      <c r="D550" s="1"/>
      <c r="E550" s="99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AK550" s="10"/>
      <c r="AL550" s="10"/>
      <c r="AM550" s="10"/>
      <c r="AN550" s="10"/>
    </row>
    <row r="551" spans="1:40">
      <c r="A551" s="1"/>
      <c r="B551" s="1"/>
      <c r="C551" s="1"/>
      <c r="D551" s="1"/>
      <c r="E551" s="99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AK551" s="10"/>
      <c r="AL551" s="10"/>
      <c r="AM551" s="10"/>
      <c r="AN551" s="10"/>
    </row>
    <row r="552" spans="1:40">
      <c r="A552" s="1"/>
      <c r="B552" s="1"/>
      <c r="C552" s="1"/>
      <c r="D552" s="1"/>
      <c r="E552" s="99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AK552" s="10"/>
      <c r="AL552" s="10"/>
      <c r="AM552" s="10"/>
      <c r="AN552" s="10"/>
    </row>
    <row r="553" spans="1:40">
      <c r="A553" s="1"/>
      <c r="B553" s="1"/>
      <c r="C553" s="1"/>
      <c r="D553" s="1"/>
      <c r="E553" s="99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AK553" s="10"/>
      <c r="AL553" s="10"/>
      <c r="AM553" s="10"/>
      <c r="AN553" s="10"/>
    </row>
    <row r="554" spans="1:40">
      <c r="A554" s="1"/>
      <c r="B554" s="1"/>
      <c r="C554" s="1"/>
      <c r="D554" s="1"/>
      <c r="E554" s="99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AK554" s="10"/>
      <c r="AL554" s="10"/>
      <c r="AM554" s="10"/>
      <c r="AN554" s="10"/>
    </row>
    <row r="555" spans="1:40">
      <c r="A555" s="1"/>
      <c r="B555" s="1"/>
      <c r="C555" s="1"/>
      <c r="D555" s="1"/>
      <c r="E555" s="99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AK555" s="10"/>
      <c r="AL555" s="10"/>
      <c r="AM555" s="10"/>
      <c r="AN555" s="10"/>
    </row>
    <row r="556" spans="1:40">
      <c r="A556" s="1"/>
      <c r="B556" s="1"/>
      <c r="C556" s="1"/>
      <c r="D556" s="1"/>
      <c r="E556" s="99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AK556" s="10"/>
      <c r="AL556" s="10"/>
      <c r="AM556" s="10"/>
      <c r="AN556" s="10"/>
    </row>
    <row r="557" spans="1:40">
      <c r="A557" s="1"/>
      <c r="B557" s="1"/>
      <c r="C557" s="1"/>
      <c r="D557" s="1"/>
      <c r="E557" s="99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AK557" s="10"/>
      <c r="AL557" s="10"/>
      <c r="AM557" s="10"/>
      <c r="AN557" s="10"/>
    </row>
    <row r="558" spans="1:40" ht="13.8">
      <c r="A558" s="1"/>
      <c r="B558" s="1"/>
      <c r="C558" s="1"/>
      <c r="D558" s="1"/>
      <c r="E558" s="99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AK558" s="9"/>
      <c r="AL558" s="9"/>
      <c r="AM558" s="9"/>
      <c r="AN558" s="9"/>
    </row>
    <row r="559" spans="1:40" ht="13.8">
      <c r="A559" s="1"/>
      <c r="B559" s="1"/>
      <c r="C559" s="1"/>
      <c r="D559" s="1"/>
      <c r="E559" s="99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AK559" s="9"/>
      <c r="AL559" s="9"/>
      <c r="AM559" s="9"/>
      <c r="AN559" s="9"/>
    </row>
    <row r="560" spans="1:40" ht="13.8">
      <c r="A560" s="1"/>
      <c r="B560" s="1"/>
      <c r="C560" s="1"/>
      <c r="D560" s="1"/>
      <c r="E560" s="99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AK560" s="12"/>
      <c r="AL560" s="12"/>
      <c r="AM560" s="12"/>
      <c r="AN560" s="12"/>
    </row>
    <row r="561" spans="1:40">
      <c r="A561" s="1"/>
      <c r="B561" s="1"/>
      <c r="C561" s="1"/>
      <c r="D561" s="1"/>
      <c r="E561" s="99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AK561" s="10"/>
      <c r="AL561" s="10"/>
      <c r="AM561" s="10"/>
      <c r="AN561" s="10"/>
    </row>
    <row r="562" spans="1:40">
      <c r="A562" s="1"/>
      <c r="B562" s="1"/>
      <c r="C562" s="1"/>
      <c r="D562" s="1"/>
      <c r="E562" s="99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AK562" s="10"/>
      <c r="AL562" s="10"/>
      <c r="AM562" s="10"/>
      <c r="AN562" s="10"/>
    </row>
    <row r="563" spans="1:40">
      <c r="A563" s="1"/>
      <c r="B563" s="1"/>
      <c r="C563" s="1"/>
      <c r="D563" s="1"/>
      <c r="E563" s="99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AK563" s="10"/>
      <c r="AL563" s="10"/>
      <c r="AM563" s="10"/>
      <c r="AN563" s="10"/>
    </row>
    <row r="564" spans="1:40">
      <c r="A564" s="1"/>
      <c r="B564" s="1"/>
      <c r="C564" s="1"/>
      <c r="D564" s="1"/>
      <c r="E564" s="99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AK564" s="10"/>
      <c r="AL564" s="10"/>
      <c r="AM564" s="10"/>
      <c r="AN564" s="10"/>
    </row>
    <row r="565" spans="1:40">
      <c r="A565" s="1"/>
      <c r="B565" s="1"/>
      <c r="C565" s="1"/>
      <c r="D565" s="1"/>
      <c r="E565" s="99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AK565" s="10"/>
      <c r="AL565" s="10"/>
      <c r="AM565" s="10"/>
      <c r="AN565" s="10"/>
    </row>
    <row r="566" spans="1:40">
      <c r="A566" s="1"/>
      <c r="B566" s="1"/>
      <c r="C566" s="1"/>
      <c r="D566" s="1"/>
      <c r="E566" s="99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AK566" s="10"/>
      <c r="AL566" s="10"/>
      <c r="AM566" s="10"/>
      <c r="AN566" s="10"/>
    </row>
    <row r="567" spans="1:40">
      <c r="A567" s="1"/>
      <c r="B567" s="1"/>
      <c r="C567" s="1"/>
      <c r="D567" s="1"/>
      <c r="E567" s="99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AK567" s="10"/>
      <c r="AL567" s="10"/>
      <c r="AM567" s="10"/>
      <c r="AN567" s="10"/>
    </row>
    <row r="568" spans="1:40">
      <c r="A568" s="1"/>
      <c r="B568" s="1"/>
      <c r="C568" s="1"/>
      <c r="D568" s="1"/>
      <c r="E568" s="99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AK568" s="10"/>
      <c r="AL568" s="10"/>
      <c r="AM568" s="10"/>
      <c r="AN568" s="10"/>
    </row>
    <row r="569" spans="1:40">
      <c r="A569" s="1"/>
      <c r="B569" s="1"/>
      <c r="C569" s="1"/>
      <c r="D569" s="1"/>
      <c r="E569" s="99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AK569" s="10"/>
      <c r="AL569" s="10"/>
      <c r="AM569" s="10"/>
      <c r="AN569" s="10"/>
    </row>
    <row r="570" spans="1:40">
      <c r="A570" s="1"/>
      <c r="B570" s="1"/>
      <c r="C570" s="1"/>
      <c r="D570" s="1"/>
      <c r="E570" s="99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AK570" s="10"/>
      <c r="AL570" s="10"/>
      <c r="AM570" s="10"/>
      <c r="AN570" s="10"/>
    </row>
    <row r="571" spans="1:40">
      <c r="A571" s="1"/>
      <c r="B571" s="1"/>
      <c r="C571" s="1"/>
      <c r="D571" s="1"/>
      <c r="E571" s="99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AK571" s="10"/>
      <c r="AL571" s="10"/>
      <c r="AM571" s="10"/>
      <c r="AN571" s="10"/>
    </row>
    <row r="572" spans="1:40">
      <c r="A572" s="1"/>
      <c r="B572" s="1"/>
      <c r="C572" s="1"/>
      <c r="D572" s="1"/>
      <c r="E572" s="99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AK572" s="10"/>
      <c r="AL572" s="10"/>
      <c r="AM572" s="10"/>
      <c r="AN572" s="10"/>
    </row>
    <row r="573" spans="1:40">
      <c r="A573" s="1"/>
      <c r="B573" s="1"/>
      <c r="C573" s="1"/>
      <c r="D573" s="1"/>
      <c r="E573" s="99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AK573" s="10"/>
      <c r="AL573" s="10"/>
      <c r="AM573" s="10"/>
      <c r="AN573" s="10"/>
    </row>
    <row r="574" spans="1:40">
      <c r="A574" s="1"/>
      <c r="B574" s="1"/>
      <c r="C574" s="1"/>
      <c r="D574" s="1"/>
      <c r="E574" s="99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AK574" s="10"/>
      <c r="AL574" s="10"/>
      <c r="AM574" s="10"/>
      <c r="AN574" s="10"/>
    </row>
    <row r="575" spans="1:40">
      <c r="A575" s="1"/>
      <c r="B575" s="1"/>
      <c r="C575" s="1"/>
      <c r="D575" s="1"/>
      <c r="E575" s="99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AK575" s="10"/>
      <c r="AL575" s="10"/>
      <c r="AM575" s="10"/>
      <c r="AN575" s="10"/>
    </row>
    <row r="576" spans="1:40">
      <c r="A576" s="1"/>
      <c r="B576" s="1"/>
      <c r="C576" s="1"/>
      <c r="D576" s="1"/>
      <c r="E576" s="99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AK576" s="10"/>
      <c r="AL576" s="10"/>
      <c r="AM576" s="10"/>
      <c r="AN576" s="10"/>
    </row>
    <row r="577" spans="1:40">
      <c r="A577" s="1"/>
      <c r="B577" s="1"/>
      <c r="C577" s="1"/>
      <c r="D577" s="1"/>
      <c r="E577" s="99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AK577" s="10"/>
      <c r="AL577" s="10"/>
      <c r="AM577" s="10"/>
      <c r="AN577" s="10"/>
    </row>
    <row r="578" spans="1:40">
      <c r="A578" s="1"/>
      <c r="B578" s="1"/>
      <c r="C578" s="1"/>
      <c r="D578" s="1"/>
      <c r="E578" s="99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AK578" s="10"/>
      <c r="AL578" s="10"/>
      <c r="AM578" s="10"/>
      <c r="AN578" s="10"/>
    </row>
    <row r="579" spans="1:40">
      <c r="A579" s="1"/>
      <c r="B579" s="1"/>
      <c r="C579" s="1"/>
      <c r="D579" s="1"/>
      <c r="E579" s="99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AK579" s="10"/>
      <c r="AL579" s="10"/>
      <c r="AM579" s="10"/>
      <c r="AN579" s="10"/>
    </row>
    <row r="580" spans="1:40">
      <c r="A580" s="1"/>
      <c r="B580" s="1"/>
      <c r="C580" s="1"/>
      <c r="D580" s="1"/>
      <c r="E580" s="99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AK580" s="10"/>
      <c r="AL580" s="10"/>
      <c r="AM580" s="10"/>
      <c r="AN580" s="10"/>
    </row>
    <row r="581" spans="1:40">
      <c r="A581" s="1"/>
      <c r="B581" s="1"/>
      <c r="C581" s="1"/>
      <c r="D581" s="1"/>
      <c r="E581" s="99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AK581" s="10"/>
      <c r="AL581" s="10"/>
      <c r="AM581" s="10"/>
      <c r="AN581" s="10"/>
    </row>
    <row r="582" spans="1:40">
      <c r="A582" s="1"/>
      <c r="B582" s="1"/>
      <c r="C582" s="1"/>
      <c r="D582" s="1"/>
      <c r="E582" s="99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AK582" s="10"/>
      <c r="AL582" s="10"/>
      <c r="AM582" s="10"/>
      <c r="AN582" s="10"/>
    </row>
    <row r="583" spans="1:40">
      <c r="A583" s="1"/>
      <c r="B583" s="1"/>
      <c r="C583" s="1"/>
      <c r="D583" s="1"/>
      <c r="E583" s="99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AK583" s="10"/>
      <c r="AL583" s="10"/>
      <c r="AM583" s="10"/>
      <c r="AN583" s="10"/>
    </row>
    <row r="584" spans="1:40">
      <c r="A584" s="1"/>
      <c r="B584" s="1"/>
      <c r="C584" s="1"/>
      <c r="D584" s="1"/>
      <c r="E584" s="99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AK584" s="10"/>
      <c r="AL584" s="10"/>
      <c r="AM584" s="10"/>
      <c r="AN584" s="10"/>
    </row>
    <row r="585" spans="1:40">
      <c r="A585" s="1"/>
      <c r="B585" s="1"/>
      <c r="C585" s="1"/>
      <c r="D585" s="1"/>
      <c r="E585" s="99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AK585" s="10"/>
      <c r="AL585" s="10"/>
      <c r="AM585" s="10"/>
      <c r="AN585" s="10"/>
    </row>
    <row r="586" spans="1:40">
      <c r="A586" s="1"/>
      <c r="B586" s="1"/>
      <c r="C586" s="1"/>
      <c r="D586" s="1"/>
      <c r="E586" s="99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AK586" s="10"/>
      <c r="AL586" s="10"/>
      <c r="AM586" s="10"/>
      <c r="AN586" s="10"/>
    </row>
    <row r="587" spans="1:40">
      <c r="A587" s="1"/>
      <c r="B587" s="1"/>
      <c r="C587" s="1"/>
      <c r="D587" s="1"/>
      <c r="E587" s="99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AK587" s="10"/>
      <c r="AL587" s="10"/>
      <c r="AM587" s="10"/>
      <c r="AN587" s="10"/>
    </row>
    <row r="588" spans="1:40">
      <c r="A588" s="1"/>
      <c r="B588" s="1"/>
      <c r="C588" s="1"/>
      <c r="D588" s="1"/>
      <c r="E588" s="99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AK588" s="10"/>
      <c r="AL588" s="10"/>
      <c r="AM588" s="10"/>
      <c r="AN588" s="10"/>
    </row>
    <row r="589" spans="1:40">
      <c r="A589" s="1"/>
      <c r="B589" s="1"/>
      <c r="C589" s="1"/>
      <c r="D589" s="1"/>
      <c r="E589" s="99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AK589" s="10"/>
      <c r="AL589" s="10"/>
      <c r="AM589" s="10"/>
      <c r="AN589" s="10"/>
    </row>
    <row r="590" spans="1:40">
      <c r="A590" s="1"/>
      <c r="B590" s="1"/>
      <c r="C590" s="1"/>
      <c r="D590" s="1"/>
      <c r="E590" s="99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AK590" s="10"/>
      <c r="AL590" s="10"/>
      <c r="AM590" s="10"/>
      <c r="AN590" s="10"/>
    </row>
    <row r="591" spans="1:40">
      <c r="A591" s="1"/>
      <c r="B591" s="1"/>
      <c r="C591" s="1"/>
      <c r="D591" s="1"/>
      <c r="E591" s="99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AK591" s="10"/>
      <c r="AL591" s="10"/>
      <c r="AM591" s="10"/>
      <c r="AN591" s="10"/>
    </row>
    <row r="592" spans="1:40">
      <c r="A592" s="1"/>
      <c r="B592" s="1"/>
      <c r="C592" s="1"/>
      <c r="D592" s="1"/>
      <c r="E592" s="99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AK592" s="10"/>
      <c r="AL592" s="10"/>
      <c r="AM592" s="10"/>
      <c r="AN592" s="10"/>
    </row>
    <row r="593" spans="1:40">
      <c r="A593" s="1"/>
      <c r="B593" s="1"/>
      <c r="C593" s="1"/>
      <c r="D593" s="1"/>
      <c r="E593" s="99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AK593" s="10"/>
      <c r="AL593" s="10"/>
      <c r="AM593" s="10"/>
      <c r="AN593" s="10"/>
    </row>
    <row r="594" spans="1:40" ht="13.8">
      <c r="A594" s="1"/>
      <c r="B594" s="1"/>
      <c r="C594" s="1"/>
      <c r="D594" s="1"/>
      <c r="E594" s="99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AK594" s="9"/>
      <c r="AL594" s="9"/>
      <c r="AM594" s="9"/>
      <c r="AN594" s="9"/>
    </row>
    <row r="595" spans="1:40" ht="13.8">
      <c r="A595" s="1"/>
      <c r="B595" s="1"/>
      <c r="C595" s="1"/>
      <c r="D595" s="1"/>
      <c r="E595" s="99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AK595" s="9"/>
      <c r="AL595" s="9"/>
      <c r="AM595" s="9"/>
      <c r="AN595" s="9"/>
    </row>
    <row r="596" spans="1:40" ht="13.8">
      <c r="A596" s="1"/>
      <c r="B596" s="1"/>
      <c r="C596" s="1"/>
      <c r="D596" s="1"/>
      <c r="E596" s="99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AK596" s="12"/>
      <c r="AL596" s="12"/>
      <c r="AM596" s="12"/>
      <c r="AN596" s="12"/>
    </row>
    <row r="597" spans="1:40">
      <c r="A597" s="1"/>
      <c r="B597" s="1"/>
      <c r="C597" s="1"/>
      <c r="D597" s="1"/>
      <c r="E597" s="99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AK597" s="10"/>
      <c r="AL597" s="10"/>
      <c r="AM597" s="10"/>
      <c r="AN597" s="10"/>
    </row>
    <row r="598" spans="1:40">
      <c r="A598" s="1"/>
      <c r="B598" s="1"/>
      <c r="C598" s="1"/>
      <c r="D598" s="1"/>
      <c r="E598" s="99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AK598" s="10"/>
      <c r="AL598" s="10"/>
      <c r="AM598" s="10"/>
      <c r="AN598" s="10"/>
    </row>
    <row r="599" spans="1:40">
      <c r="A599" s="1"/>
      <c r="B599" s="1"/>
      <c r="C599" s="1"/>
      <c r="D599" s="1"/>
      <c r="E599" s="99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AK599" s="10"/>
      <c r="AL599" s="10"/>
      <c r="AM599" s="10"/>
      <c r="AN599" s="10"/>
    </row>
    <row r="600" spans="1:40">
      <c r="A600" s="1"/>
      <c r="B600" s="1"/>
      <c r="C600" s="1"/>
      <c r="D600" s="1"/>
      <c r="E600" s="99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AK600" s="10"/>
      <c r="AL600" s="10"/>
      <c r="AM600" s="10"/>
      <c r="AN600" s="10"/>
    </row>
    <row r="601" spans="1:40">
      <c r="A601" s="1"/>
      <c r="B601" s="1"/>
      <c r="C601" s="1"/>
      <c r="D601" s="1"/>
      <c r="E601" s="99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AK601" s="10"/>
      <c r="AL601" s="10"/>
      <c r="AM601" s="10"/>
      <c r="AN601" s="10"/>
    </row>
    <row r="602" spans="1:40">
      <c r="A602" s="1"/>
      <c r="B602" s="1"/>
      <c r="C602" s="1"/>
      <c r="D602" s="1"/>
      <c r="E602" s="99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AK602" s="10"/>
      <c r="AL602" s="10"/>
      <c r="AM602" s="10"/>
      <c r="AN602" s="10"/>
    </row>
    <row r="603" spans="1:40">
      <c r="A603" s="1"/>
      <c r="B603" s="1"/>
      <c r="C603" s="1"/>
      <c r="D603" s="1"/>
      <c r="E603" s="99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AK603" s="10"/>
      <c r="AL603" s="10"/>
      <c r="AM603" s="10"/>
      <c r="AN603" s="10"/>
    </row>
    <row r="604" spans="1:40">
      <c r="A604" s="1"/>
      <c r="B604" s="1"/>
      <c r="C604" s="1"/>
      <c r="D604" s="1"/>
      <c r="E604" s="99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AK604" s="10"/>
      <c r="AL604" s="10"/>
      <c r="AM604" s="10"/>
      <c r="AN604" s="10"/>
    </row>
    <row r="605" spans="1:40">
      <c r="A605" s="1"/>
      <c r="B605" s="1"/>
      <c r="C605" s="1"/>
      <c r="D605" s="1"/>
      <c r="E605" s="99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AK605" s="10"/>
      <c r="AL605" s="10"/>
      <c r="AM605" s="10"/>
      <c r="AN605" s="10"/>
    </row>
    <row r="606" spans="1:40">
      <c r="A606" s="1"/>
      <c r="B606" s="1"/>
      <c r="C606" s="1"/>
      <c r="D606" s="1"/>
      <c r="E606" s="99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AK606" s="10"/>
      <c r="AL606" s="10"/>
      <c r="AM606" s="10"/>
      <c r="AN606" s="10"/>
    </row>
    <row r="607" spans="1:40">
      <c r="A607" s="1"/>
      <c r="B607" s="1"/>
      <c r="C607" s="1"/>
      <c r="D607" s="1"/>
      <c r="E607" s="99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AK607" s="10"/>
      <c r="AL607" s="10"/>
      <c r="AM607" s="10"/>
      <c r="AN607" s="10"/>
    </row>
    <row r="608" spans="1:40">
      <c r="A608" s="1"/>
      <c r="B608" s="1"/>
      <c r="C608" s="1"/>
      <c r="D608" s="1"/>
      <c r="E608" s="99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AK608" s="10"/>
      <c r="AL608" s="10"/>
      <c r="AM608" s="10"/>
      <c r="AN608" s="10"/>
    </row>
    <row r="609" spans="1:40">
      <c r="A609" s="1"/>
      <c r="B609" s="1"/>
      <c r="C609" s="1"/>
      <c r="D609" s="1"/>
      <c r="E609" s="99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AK609" s="10"/>
      <c r="AL609" s="10"/>
      <c r="AM609" s="10"/>
      <c r="AN609" s="10"/>
    </row>
    <row r="610" spans="1:40">
      <c r="A610" s="1"/>
      <c r="B610" s="1"/>
      <c r="C610" s="1"/>
      <c r="D610" s="1"/>
      <c r="E610" s="99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AK610" s="10"/>
      <c r="AL610" s="10"/>
      <c r="AM610" s="10"/>
      <c r="AN610" s="10"/>
    </row>
    <row r="611" spans="1:40">
      <c r="A611" s="1"/>
      <c r="B611" s="1"/>
      <c r="C611" s="1"/>
      <c r="D611" s="1"/>
      <c r="E611" s="99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AK611" s="10"/>
      <c r="AL611" s="10"/>
      <c r="AM611" s="10"/>
      <c r="AN611" s="10"/>
    </row>
    <row r="612" spans="1:40">
      <c r="A612" s="1"/>
      <c r="B612" s="1"/>
      <c r="C612" s="1"/>
      <c r="D612" s="1"/>
      <c r="E612" s="99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AK612" s="10"/>
      <c r="AL612" s="10"/>
      <c r="AM612" s="10"/>
      <c r="AN612" s="10"/>
    </row>
    <row r="613" spans="1:40">
      <c r="A613" s="1"/>
      <c r="B613" s="1"/>
      <c r="C613" s="1"/>
      <c r="D613" s="1"/>
      <c r="E613" s="99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AK613" s="10"/>
      <c r="AL613" s="10"/>
      <c r="AM613" s="10"/>
      <c r="AN613" s="10"/>
    </row>
    <row r="614" spans="1:40">
      <c r="A614" s="1"/>
      <c r="B614" s="1"/>
      <c r="C614" s="1"/>
      <c r="D614" s="1"/>
      <c r="E614" s="99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AK614" s="10"/>
      <c r="AL614" s="10"/>
      <c r="AM614" s="10"/>
      <c r="AN614" s="10"/>
    </row>
    <row r="615" spans="1:40">
      <c r="A615" s="1"/>
      <c r="B615" s="1"/>
      <c r="C615" s="1"/>
      <c r="D615" s="1"/>
      <c r="E615" s="99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AK615" s="10"/>
      <c r="AL615" s="10"/>
      <c r="AM615" s="10"/>
      <c r="AN615" s="10"/>
    </row>
    <row r="616" spans="1:40">
      <c r="A616" s="1"/>
      <c r="B616" s="1"/>
      <c r="C616" s="1"/>
      <c r="D616" s="1"/>
      <c r="E616" s="99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AK616" s="10"/>
      <c r="AL616" s="10"/>
      <c r="AM616" s="10"/>
      <c r="AN616" s="10"/>
    </row>
    <row r="617" spans="1:40">
      <c r="A617" s="1"/>
      <c r="B617" s="1"/>
      <c r="C617" s="1"/>
      <c r="D617" s="1"/>
      <c r="E617" s="99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AK617" s="10"/>
      <c r="AL617" s="10"/>
      <c r="AM617" s="10"/>
      <c r="AN617" s="10"/>
    </row>
    <row r="618" spans="1:40">
      <c r="A618" s="1"/>
      <c r="B618" s="1"/>
      <c r="C618" s="1"/>
      <c r="D618" s="1"/>
      <c r="E618" s="99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AK618" s="10"/>
      <c r="AL618" s="10"/>
      <c r="AM618" s="10"/>
      <c r="AN618" s="10"/>
    </row>
    <row r="619" spans="1:40">
      <c r="A619" s="1"/>
      <c r="B619" s="1"/>
      <c r="C619" s="1"/>
      <c r="D619" s="1"/>
      <c r="E619" s="99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AK619" s="10"/>
      <c r="AL619" s="10"/>
      <c r="AM619" s="10"/>
      <c r="AN619" s="10"/>
    </row>
    <row r="620" spans="1:40">
      <c r="A620" s="1"/>
      <c r="B620" s="1"/>
      <c r="C620" s="1"/>
      <c r="D620" s="1"/>
      <c r="E620" s="99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AK620" s="10"/>
      <c r="AL620" s="10"/>
      <c r="AM620" s="10"/>
      <c r="AN620" s="10"/>
    </row>
    <row r="621" spans="1:40">
      <c r="A621" s="1"/>
      <c r="B621" s="1"/>
      <c r="C621" s="1"/>
      <c r="D621" s="1"/>
      <c r="E621" s="99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AK621" s="10"/>
      <c r="AL621" s="10"/>
      <c r="AM621" s="10"/>
      <c r="AN621" s="10"/>
    </row>
    <row r="622" spans="1:40">
      <c r="A622" s="1"/>
      <c r="B622" s="1"/>
      <c r="C622" s="1"/>
      <c r="D622" s="1"/>
      <c r="E622" s="99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AK622" s="10"/>
      <c r="AL622" s="10"/>
      <c r="AM622" s="10"/>
      <c r="AN622" s="10"/>
    </row>
    <row r="623" spans="1:40">
      <c r="A623" s="1"/>
      <c r="B623" s="1"/>
      <c r="C623" s="1"/>
      <c r="D623" s="1"/>
      <c r="E623" s="99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AK623" s="10"/>
      <c r="AL623" s="10"/>
      <c r="AM623" s="10"/>
      <c r="AN623" s="10"/>
    </row>
    <row r="624" spans="1:40">
      <c r="A624" s="1"/>
      <c r="B624" s="1"/>
      <c r="C624" s="1"/>
      <c r="D624" s="1"/>
      <c r="E624" s="99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AK624" s="10"/>
      <c r="AL624" s="10"/>
      <c r="AM624" s="10"/>
      <c r="AN624" s="10"/>
    </row>
    <row r="625" spans="1:40">
      <c r="A625" s="1"/>
      <c r="B625" s="1"/>
      <c r="C625" s="1"/>
      <c r="D625" s="1"/>
      <c r="E625" s="99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AK625" s="10"/>
      <c r="AL625" s="10"/>
      <c r="AM625" s="10"/>
      <c r="AN625" s="10"/>
    </row>
    <row r="626" spans="1:40">
      <c r="A626" s="1"/>
      <c r="B626" s="1"/>
      <c r="C626" s="1"/>
      <c r="D626" s="1"/>
      <c r="E626" s="99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AK626" s="10"/>
      <c r="AL626" s="10"/>
      <c r="AM626" s="10"/>
      <c r="AN626" s="10"/>
    </row>
    <row r="627" spans="1:40">
      <c r="A627" s="1"/>
      <c r="B627" s="1"/>
      <c r="C627" s="1"/>
      <c r="D627" s="1"/>
      <c r="E627" s="99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AK627" s="10"/>
      <c r="AL627" s="10"/>
      <c r="AM627" s="10"/>
      <c r="AN627" s="10"/>
    </row>
    <row r="628" spans="1:40">
      <c r="A628" s="1"/>
      <c r="B628" s="1"/>
      <c r="C628" s="1"/>
      <c r="D628" s="1"/>
      <c r="E628" s="99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AK628" s="10"/>
      <c r="AL628" s="10"/>
      <c r="AM628" s="10"/>
      <c r="AN628" s="10"/>
    </row>
    <row r="629" spans="1:40">
      <c r="A629" s="1"/>
      <c r="B629" s="1"/>
      <c r="C629" s="1"/>
      <c r="D629" s="1"/>
      <c r="E629" s="99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AK629" s="10"/>
      <c r="AL629" s="10"/>
      <c r="AM629" s="10"/>
      <c r="AN629" s="10"/>
    </row>
    <row r="630" spans="1:40">
      <c r="A630" s="1"/>
      <c r="B630" s="1"/>
      <c r="C630" s="1"/>
      <c r="D630" s="1"/>
      <c r="E630" s="99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AK630" s="10"/>
      <c r="AL630" s="10"/>
      <c r="AM630" s="10"/>
      <c r="AN630" s="10"/>
    </row>
    <row r="631" spans="1:40">
      <c r="A631" s="1"/>
      <c r="B631" s="1"/>
      <c r="C631" s="1"/>
      <c r="D631" s="1"/>
      <c r="E631" s="99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AK631" s="10"/>
      <c r="AL631" s="10"/>
      <c r="AM631" s="10"/>
      <c r="AN631" s="10"/>
    </row>
    <row r="632" spans="1:40">
      <c r="A632" s="1"/>
      <c r="B632" s="1"/>
      <c r="C632" s="1"/>
      <c r="D632" s="1"/>
      <c r="E632" s="99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AK632" s="10"/>
      <c r="AL632" s="10"/>
      <c r="AM632" s="10"/>
      <c r="AN632" s="10"/>
    </row>
    <row r="633" spans="1:40" ht="13.8">
      <c r="A633" s="1"/>
      <c r="B633" s="1"/>
      <c r="C633" s="1"/>
      <c r="D633" s="1"/>
      <c r="E633" s="99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AK633" s="9"/>
      <c r="AL633" s="9"/>
      <c r="AM633" s="9"/>
      <c r="AN633" s="9"/>
    </row>
    <row r="634" spans="1:40">
      <c r="A634" s="1"/>
      <c r="B634" s="1"/>
      <c r="C634" s="1"/>
      <c r="D634" s="1"/>
      <c r="E634" s="99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AK634" s="6"/>
      <c r="AL634" s="6"/>
      <c r="AM634" s="6"/>
      <c r="AN634" s="6"/>
    </row>
    <row r="635" spans="1:40" ht="13.8">
      <c r="A635" s="1"/>
      <c r="B635" s="1"/>
      <c r="C635" s="1"/>
      <c r="D635" s="1"/>
      <c r="E635" s="99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AK635" s="12"/>
      <c r="AL635" s="12"/>
      <c r="AM635" s="12"/>
      <c r="AN635" s="12"/>
    </row>
    <row r="636" spans="1:40">
      <c r="A636" s="1"/>
      <c r="B636" s="1"/>
      <c r="C636" s="1"/>
      <c r="D636" s="1"/>
      <c r="E636" s="99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AK636" s="10"/>
      <c r="AL636" s="10"/>
      <c r="AM636" s="10"/>
      <c r="AN636" s="10"/>
    </row>
    <row r="637" spans="1:40">
      <c r="A637" s="1"/>
      <c r="B637" s="1"/>
      <c r="C637" s="1"/>
      <c r="D637" s="1"/>
      <c r="E637" s="99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AK637" s="10"/>
      <c r="AL637" s="10"/>
      <c r="AM637" s="10"/>
      <c r="AN637" s="10"/>
    </row>
    <row r="638" spans="1:40">
      <c r="A638" s="1"/>
      <c r="B638" s="1"/>
      <c r="C638" s="1"/>
      <c r="D638" s="1"/>
      <c r="E638" s="99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AK638" s="10"/>
      <c r="AL638" s="10"/>
      <c r="AM638" s="10"/>
      <c r="AN638" s="10"/>
    </row>
    <row r="639" spans="1:40">
      <c r="A639" s="1"/>
      <c r="B639" s="1"/>
      <c r="C639" s="1"/>
      <c r="D639" s="1"/>
      <c r="E639" s="99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AK639" s="10"/>
      <c r="AL639" s="10"/>
      <c r="AM639" s="10"/>
      <c r="AN639" s="10"/>
    </row>
    <row r="640" spans="1:40">
      <c r="A640" s="1"/>
      <c r="B640" s="1"/>
      <c r="C640" s="1"/>
      <c r="D640" s="1"/>
      <c r="E640" s="99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AK640" s="10"/>
      <c r="AL640" s="10"/>
      <c r="AM640" s="10"/>
      <c r="AN640" s="10"/>
    </row>
    <row r="641" spans="1:40">
      <c r="A641" s="1"/>
      <c r="B641" s="1"/>
      <c r="C641" s="1"/>
      <c r="D641" s="1"/>
      <c r="E641" s="99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AK641" s="10"/>
      <c r="AL641" s="10"/>
      <c r="AM641" s="10"/>
      <c r="AN641" s="10"/>
    </row>
    <row r="642" spans="1:40">
      <c r="A642" s="1"/>
      <c r="B642" s="1"/>
      <c r="C642" s="1"/>
      <c r="D642" s="1"/>
      <c r="E642" s="99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AK642" s="10"/>
      <c r="AL642" s="10"/>
      <c r="AM642" s="10"/>
      <c r="AN642" s="10"/>
    </row>
    <row r="643" spans="1:40">
      <c r="A643" s="1"/>
      <c r="B643" s="1"/>
      <c r="C643" s="1"/>
      <c r="D643" s="1"/>
      <c r="E643" s="99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AK643" s="10"/>
      <c r="AL643" s="10"/>
      <c r="AM643" s="10"/>
      <c r="AN643" s="10"/>
    </row>
    <row r="644" spans="1:40">
      <c r="A644" s="1"/>
      <c r="B644" s="1"/>
      <c r="C644" s="1"/>
      <c r="D644" s="1"/>
      <c r="E644" s="99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AK644" s="10"/>
      <c r="AL644" s="10"/>
      <c r="AM644" s="10"/>
      <c r="AN644" s="10"/>
    </row>
    <row r="645" spans="1:40">
      <c r="A645" s="1"/>
      <c r="B645" s="1"/>
      <c r="C645" s="1"/>
      <c r="D645" s="1"/>
      <c r="E645" s="99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AK645" s="10"/>
      <c r="AL645" s="10"/>
      <c r="AM645" s="10"/>
      <c r="AN645" s="10"/>
    </row>
    <row r="646" spans="1:40">
      <c r="A646" s="1"/>
      <c r="B646" s="1"/>
      <c r="C646" s="1"/>
      <c r="D646" s="1"/>
      <c r="E646" s="99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AK646" s="10"/>
      <c r="AL646" s="10"/>
      <c r="AM646" s="10"/>
      <c r="AN646" s="10"/>
    </row>
    <row r="647" spans="1:40">
      <c r="A647" s="1"/>
      <c r="B647" s="1"/>
      <c r="C647" s="1"/>
      <c r="D647" s="1"/>
      <c r="E647" s="99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AK647" s="10"/>
      <c r="AL647" s="10"/>
      <c r="AM647" s="10"/>
      <c r="AN647" s="10"/>
    </row>
    <row r="648" spans="1:40">
      <c r="A648" s="1"/>
      <c r="B648" s="1"/>
      <c r="C648" s="1"/>
      <c r="D648" s="1"/>
      <c r="E648" s="99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AK648" s="10"/>
      <c r="AL648" s="10"/>
      <c r="AM648" s="10"/>
      <c r="AN648" s="10"/>
    </row>
    <row r="649" spans="1:40">
      <c r="A649" s="1"/>
      <c r="B649" s="1"/>
      <c r="C649" s="1"/>
      <c r="D649" s="1"/>
      <c r="E649" s="99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AK649" s="10"/>
      <c r="AL649" s="10"/>
      <c r="AM649" s="10"/>
      <c r="AN649" s="10"/>
    </row>
    <row r="650" spans="1:40">
      <c r="A650" s="1"/>
      <c r="B650" s="1"/>
      <c r="C650" s="1"/>
      <c r="D650" s="1"/>
      <c r="E650" s="99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AK650" s="10"/>
      <c r="AL650" s="10"/>
      <c r="AM650" s="10"/>
      <c r="AN650" s="10"/>
    </row>
    <row r="651" spans="1:40">
      <c r="A651" s="1"/>
      <c r="B651" s="1"/>
      <c r="C651" s="1"/>
      <c r="D651" s="1"/>
      <c r="E651" s="99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AK651" s="10"/>
      <c r="AL651" s="10"/>
      <c r="AM651" s="10"/>
      <c r="AN651" s="10"/>
    </row>
    <row r="652" spans="1:40">
      <c r="A652" s="1"/>
      <c r="B652" s="1"/>
      <c r="C652" s="1"/>
      <c r="D652" s="1"/>
      <c r="E652" s="99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AK652" s="10"/>
      <c r="AL652" s="10"/>
      <c r="AM652" s="10"/>
      <c r="AN652" s="10"/>
    </row>
    <row r="653" spans="1:40">
      <c r="A653" s="1"/>
      <c r="B653" s="1"/>
      <c r="C653" s="1"/>
      <c r="D653" s="1"/>
      <c r="E653" s="99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AK653" s="10"/>
      <c r="AL653" s="10"/>
      <c r="AM653" s="10"/>
      <c r="AN653" s="10"/>
    </row>
    <row r="654" spans="1:40">
      <c r="A654" s="1"/>
      <c r="B654" s="1"/>
      <c r="C654" s="1"/>
      <c r="D654" s="1"/>
      <c r="E654" s="99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AK654" s="10"/>
      <c r="AL654" s="10"/>
      <c r="AM654" s="10"/>
      <c r="AN654" s="10"/>
    </row>
    <row r="655" spans="1:40">
      <c r="A655" s="1"/>
      <c r="B655" s="1"/>
      <c r="C655" s="1"/>
      <c r="D655" s="1"/>
      <c r="E655" s="99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AK655" s="10"/>
      <c r="AL655" s="10"/>
      <c r="AM655" s="10"/>
      <c r="AN655" s="10"/>
    </row>
    <row r="656" spans="1:40">
      <c r="A656" s="1"/>
      <c r="B656" s="1"/>
      <c r="C656" s="1"/>
      <c r="D656" s="1"/>
      <c r="E656" s="99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AK656" s="10"/>
      <c r="AL656" s="10"/>
      <c r="AM656" s="10"/>
      <c r="AN656" s="10"/>
    </row>
    <row r="657" spans="1:40">
      <c r="A657" s="1"/>
      <c r="B657" s="1"/>
      <c r="C657" s="1"/>
      <c r="D657" s="1"/>
      <c r="E657" s="99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AK657" s="10"/>
      <c r="AL657" s="10"/>
      <c r="AM657" s="10"/>
      <c r="AN657" s="10"/>
    </row>
    <row r="658" spans="1:40">
      <c r="A658" s="1"/>
      <c r="B658" s="1"/>
      <c r="C658" s="1"/>
      <c r="D658" s="1"/>
      <c r="E658" s="99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AK658" s="10"/>
      <c r="AL658" s="10"/>
      <c r="AM658" s="10"/>
      <c r="AN658" s="10"/>
    </row>
    <row r="659" spans="1:40">
      <c r="A659" s="1"/>
      <c r="B659" s="1"/>
      <c r="C659" s="1"/>
      <c r="D659" s="1"/>
      <c r="E659" s="99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AK659" s="10"/>
      <c r="AL659" s="10"/>
      <c r="AM659" s="10"/>
      <c r="AN659" s="10"/>
    </row>
    <row r="660" spans="1:40">
      <c r="A660" s="1"/>
      <c r="B660" s="1"/>
      <c r="C660" s="1"/>
      <c r="D660" s="1"/>
      <c r="E660" s="99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AK660" s="10"/>
      <c r="AL660" s="10"/>
      <c r="AM660" s="10"/>
      <c r="AN660" s="10"/>
    </row>
    <row r="661" spans="1:40">
      <c r="A661" s="1"/>
      <c r="B661" s="1"/>
      <c r="C661" s="1"/>
      <c r="D661" s="1"/>
      <c r="E661" s="99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AK661" s="10"/>
      <c r="AL661" s="10"/>
      <c r="AM661" s="10"/>
      <c r="AN661" s="10"/>
    </row>
    <row r="662" spans="1:40">
      <c r="A662" s="1"/>
      <c r="B662" s="1"/>
      <c r="C662" s="1"/>
      <c r="D662" s="1"/>
      <c r="E662" s="99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AK662" s="10"/>
      <c r="AL662" s="10"/>
      <c r="AM662" s="10"/>
      <c r="AN662" s="10"/>
    </row>
    <row r="663" spans="1:40">
      <c r="A663" s="1"/>
      <c r="B663" s="1"/>
      <c r="C663" s="1"/>
      <c r="D663" s="1"/>
      <c r="E663" s="99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AK663" s="10"/>
      <c r="AL663" s="10"/>
      <c r="AM663" s="10"/>
      <c r="AN663" s="10"/>
    </row>
    <row r="664" spans="1:40">
      <c r="A664" s="1"/>
      <c r="B664" s="1"/>
      <c r="C664" s="1"/>
      <c r="D664" s="1"/>
      <c r="E664" s="99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AK664" s="10"/>
      <c r="AL664" s="10"/>
      <c r="AM664" s="10"/>
      <c r="AN664" s="10"/>
    </row>
    <row r="665" spans="1:40">
      <c r="A665" s="1"/>
      <c r="B665" s="1"/>
      <c r="C665" s="1"/>
      <c r="D665" s="1"/>
      <c r="E665" s="99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AK665" s="10"/>
      <c r="AL665" s="10"/>
      <c r="AM665" s="10"/>
      <c r="AN665" s="10"/>
    </row>
    <row r="666" spans="1:40">
      <c r="A666" s="1"/>
      <c r="B666" s="1"/>
      <c r="C666" s="1"/>
      <c r="D666" s="1"/>
      <c r="E666" s="99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AK666" s="10"/>
      <c r="AL666" s="10"/>
      <c r="AM666" s="10"/>
      <c r="AN666" s="10"/>
    </row>
    <row r="667" spans="1:40">
      <c r="A667" s="1"/>
      <c r="B667" s="1"/>
      <c r="C667" s="1"/>
      <c r="D667" s="1"/>
      <c r="E667" s="99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AK667" s="10"/>
      <c r="AL667" s="10"/>
      <c r="AM667" s="10"/>
      <c r="AN667" s="10"/>
    </row>
    <row r="668" spans="1:40">
      <c r="A668" s="1"/>
      <c r="B668" s="1"/>
      <c r="C668" s="1"/>
      <c r="D668" s="1"/>
      <c r="E668" s="99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AK668" s="10"/>
      <c r="AL668" s="10"/>
      <c r="AM668" s="10"/>
      <c r="AN668" s="10"/>
    </row>
    <row r="669" spans="1:40">
      <c r="A669" s="1"/>
      <c r="B669" s="1"/>
      <c r="C669" s="1"/>
      <c r="D669" s="1"/>
      <c r="E669" s="99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AK669" s="10"/>
      <c r="AL669" s="10"/>
      <c r="AM669" s="10"/>
      <c r="AN669" s="10"/>
    </row>
    <row r="670" spans="1:40">
      <c r="A670" s="1"/>
      <c r="B670" s="1"/>
      <c r="C670" s="1"/>
      <c r="D670" s="1"/>
      <c r="E670" s="99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AK670" s="10"/>
      <c r="AL670" s="10"/>
      <c r="AM670" s="10"/>
      <c r="AN670" s="10"/>
    </row>
    <row r="671" spans="1:40" ht="13.8">
      <c r="A671" s="1"/>
      <c r="B671" s="1"/>
      <c r="C671" s="1"/>
      <c r="D671" s="1"/>
      <c r="E671" s="99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AK671" s="9"/>
      <c r="AL671" s="9"/>
      <c r="AM671" s="9"/>
      <c r="AN671" s="9"/>
    </row>
    <row r="672" spans="1:40">
      <c r="A672" s="1"/>
      <c r="B672" s="1"/>
      <c r="C672" s="1"/>
      <c r="D672" s="1"/>
      <c r="E672" s="99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AK672" s="6"/>
      <c r="AL672" s="6"/>
      <c r="AM672" s="6"/>
      <c r="AN672" s="6"/>
    </row>
    <row r="673" spans="1:40">
      <c r="A673" s="1"/>
      <c r="B673" s="1"/>
      <c r="C673" s="1"/>
      <c r="D673" s="1"/>
      <c r="E673" s="99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AK673" s="10"/>
      <c r="AL673" s="10"/>
      <c r="AM673" s="10"/>
      <c r="AN673" s="10"/>
    </row>
    <row r="674" spans="1:40">
      <c r="A674" s="1"/>
      <c r="B674" s="1"/>
      <c r="C674" s="1"/>
      <c r="D674" s="1"/>
      <c r="E674" s="99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AK674" s="10"/>
      <c r="AL674" s="10"/>
      <c r="AM674" s="10"/>
      <c r="AN674" s="10"/>
    </row>
    <row r="675" spans="1:40">
      <c r="A675" s="1"/>
      <c r="B675" s="1"/>
      <c r="C675" s="1"/>
      <c r="D675" s="1"/>
      <c r="E675" s="99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AK675" s="10"/>
      <c r="AL675" s="10"/>
      <c r="AM675" s="10"/>
      <c r="AN675" s="10"/>
    </row>
    <row r="676" spans="1:40">
      <c r="A676" s="1"/>
      <c r="B676" s="1"/>
      <c r="C676" s="1"/>
      <c r="D676" s="1"/>
      <c r="E676" s="99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AK676" s="10"/>
      <c r="AL676" s="10"/>
      <c r="AM676" s="10"/>
      <c r="AN676" s="10"/>
    </row>
    <row r="677" spans="1:40">
      <c r="A677" s="1"/>
      <c r="B677" s="1"/>
      <c r="C677" s="1"/>
      <c r="D677" s="1"/>
      <c r="E677" s="99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AK677" s="10"/>
      <c r="AL677" s="10"/>
      <c r="AM677" s="10"/>
      <c r="AN677" s="10"/>
    </row>
    <row r="678" spans="1:40">
      <c r="A678" s="1"/>
      <c r="B678" s="1"/>
      <c r="C678" s="1"/>
      <c r="D678" s="1"/>
      <c r="E678" s="99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AK678" s="10"/>
      <c r="AL678" s="10"/>
      <c r="AM678" s="10"/>
      <c r="AN678" s="10"/>
    </row>
    <row r="679" spans="1:40">
      <c r="A679" s="1"/>
      <c r="B679" s="1"/>
      <c r="C679" s="1"/>
      <c r="D679" s="1"/>
      <c r="E679" s="99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AK679" s="10"/>
      <c r="AL679" s="10"/>
      <c r="AM679" s="10"/>
      <c r="AN679" s="10"/>
    </row>
    <row r="680" spans="1:40">
      <c r="A680" s="1"/>
      <c r="B680" s="1"/>
      <c r="C680" s="1"/>
      <c r="D680" s="1"/>
      <c r="E680" s="99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AK680" s="10"/>
      <c r="AL680" s="10"/>
      <c r="AM680" s="10"/>
      <c r="AN680" s="10"/>
    </row>
    <row r="681" spans="1:40">
      <c r="A681" s="1"/>
      <c r="B681" s="1"/>
      <c r="C681" s="1"/>
      <c r="D681" s="1"/>
      <c r="E681" s="99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AK681" s="10"/>
      <c r="AL681" s="10"/>
      <c r="AM681" s="10"/>
      <c r="AN681" s="10"/>
    </row>
    <row r="682" spans="1:40">
      <c r="A682" s="1"/>
      <c r="B682" s="1"/>
      <c r="C682" s="1"/>
      <c r="D682" s="1"/>
      <c r="E682" s="99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AK682" s="10"/>
      <c r="AL682" s="10"/>
      <c r="AM682" s="10"/>
      <c r="AN682" s="10"/>
    </row>
    <row r="683" spans="1:40">
      <c r="A683" s="1"/>
      <c r="B683" s="1"/>
      <c r="C683" s="1"/>
      <c r="D683" s="1"/>
      <c r="E683" s="99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AK683" s="10"/>
      <c r="AL683" s="10"/>
      <c r="AM683" s="10"/>
      <c r="AN683" s="10"/>
    </row>
    <row r="684" spans="1:40">
      <c r="A684" s="1"/>
      <c r="B684" s="1"/>
      <c r="C684" s="1"/>
      <c r="D684" s="1"/>
      <c r="E684" s="99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AK684" s="10"/>
      <c r="AL684" s="10"/>
      <c r="AM684" s="10"/>
      <c r="AN684" s="10"/>
    </row>
    <row r="685" spans="1:40">
      <c r="A685" s="1"/>
      <c r="B685" s="1"/>
      <c r="C685" s="1"/>
      <c r="D685" s="1"/>
      <c r="E685" s="99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AK685" s="10"/>
      <c r="AL685" s="10"/>
      <c r="AM685" s="10"/>
      <c r="AN685" s="10"/>
    </row>
    <row r="686" spans="1:40">
      <c r="A686" s="1"/>
      <c r="B686" s="1"/>
      <c r="C686" s="1"/>
      <c r="D686" s="1"/>
      <c r="E686" s="99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AK686" s="10"/>
      <c r="AL686" s="10"/>
      <c r="AM686" s="10"/>
      <c r="AN686" s="10"/>
    </row>
    <row r="687" spans="1:40">
      <c r="A687" s="1"/>
      <c r="B687" s="1"/>
      <c r="C687" s="1"/>
      <c r="D687" s="1"/>
      <c r="E687" s="99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AK687" s="10"/>
      <c r="AL687" s="10"/>
      <c r="AM687" s="10"/>
      <c r="AN687" s="10"/>
    </row>
    <row r="688" spans="1:40">
      <c r="A688" s="1"/>
      <c r="B688" s="1"/>
      <c r="C688" s="1"/>
      <c r="D688" s="1"/>
      <c r="E688" s="99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AK688" s="10"/>
      <c r="AL688" s="10"/>
      <c r="AM688" s="10"/>
      <c r="AN688" s="10"/>
    </row>
    <row r="689" spans="1:40">
      <c r="A689" s="1"/>
      <c r="B689" s="1"/>
      <c r="C689" s="1"/>
      <c r="D689" s="1"/>
      <c r="E689" s="99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AK689" s="10"/>
      <c r="AL689" s="10"/>
      <c r="AM689" s="10"/>
      <c r="AN689" s="10"/>
    </row>
    <row r="690" spans="1:40">
      <c r="A690" s="1"/>
      <c r="B690" s="1"/>
      <c r="C690" s="1"/>
      <c r="D690" s="1"/>
      <c r="E690" s="99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AK690" s="10"/>
      <c r="AL690" s="10"/>
      <c r="AM690" s="10"/>
      <c r="AN690" s="10"/>
    </row>
    <row r="691" spans="1:40">
      <c r="A691" s="1"/>
      <c r="B691" s="1"/>
      <c r="C691" s="1"/>
      <c r="D691" s="1"/>
      <c r="E691" s="99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AK691" s="10"/>
      <c r="AL691" s="10"/>
      <c r="AM691" s="10"/>
      <c r="AN691" s="10"/>
    </row>
    <row r="692" spans="1:40">
      <c r="A692" s="1"/>
      <c r="B692" s="1"/>
      <c r="C692" s="1"/>
      <c r="D692" s="1"/>
      <c r="E692" s="99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AK692" s="10"/>
      <c r="AL692" s="10"/>
      <c r="AM692" s="10"/>
      <c r="AN692" s="10"/>
    </row>
    <row r="693" spans="1:40">
      <c r="A693" s="1"/>
      <c r="B693" s="1"/>
      <c r="C693" s="1"/>
      <c r="D693" s="1"/>
      <c r="E693" s="99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AK693" s="10"/>
      <c r="AL693" s="10"/>
      <c r="AM693" s="10"/>
      <c r="AN693" s="10"/>
    </row>
    <row r="694" spans="1:40">
      <c r="A694" s="1"/>
      <c r="B694" s="1"/>
      <c r="C694" s="1"/>
      <c r="D694" s="1"/>
      <c r="E694" s="99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AK694" s="10"/>
      <c r="AL694" s="10"/>
      <c r="AM694" s="10"/>
      <c r="AN694" s="10"/>
    </row>
    <row r="695" spans="1:40">
      <c r="A695" s="1"/>
      <c r="B695" s="1"/>
      <c r="C695" s="1"/>
      <c r="D695" s="1"/>
      <c r="E695" s="99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AK695" s="10"/>
      <c r="AL695" s="10"/>
      <c r="AM695" s="10"/>
      <c r="AN695" s="10"/>
    </row>
    <row r="696" spans="1:40">
      <c r="A696" s="1"/>
      <c r="B696" s="1"/>
      <c r="C696" s="1"/>
      <c r="D696" s="1"/>
      <c r="E696" s="99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AK696" s="10"/>
      <c r="AL696" s="10"/>
      <c r="AM696" s="10"/>
      <c r="AN696" s="10"/>
    </row>
    <row r="697" spans="1:40">
      <c r="A697" s="1"/>
      <c r="B697" s="1"/>
      <c r="C697" s="1"/>
      <c r="D697" s="1"/>
      <c r="E697" s="99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AK697" s="10"/>
      <c r="AL697" s="10"/>
      <c r="AM697" s="10"/>
      <c r="AN697" s="10"/>
    </row>
    <row r="698" spans="1:40">
      <c r="A698" s="1"/>
      <c r="B698" s="1"/>
      <c r="C698" s="1"/>
      <c r="D698" s="1"/>
      <c r="E698" s="99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AK698" s="10"/>
      <c r="AL698" s="10"/>
      <c r="AM698" s="10"/>
      <c r="AN698" s="10"/>
    </row>
    <row r="699" spans="1:40">
      <c r="A699" s="1"/>
      <c r="B699" s="1"/>
      <c r="C699" s="1"/>
      <c r="D699" s="1"/>
      <c r="E699" s="99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AK699" s="10"/>
      <c r="AL699" s="10"/>
      <c r="AM699" s="10"/>
      <c r="AN699" s="10"/>
    </row>
    <row r="700" spans="1:40">
      <c r="A700" s="1"/>
      <c r="B700" s="1"/>
      <c r="C700" s="1"/>
      <c r="D700" s="1"/>
      <c r="E700" s="99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AK700" s="11"/>
      <c r="AL700" s="11"/>
      <c r="AM700" s="11"/>
      <c r="AN700" s="11"/>
    </row>
    <row r="701" spans="1:40">
      <c r="A701" s="1"/>
      <c r="B701" s="1"/>
      <c r="C701" s="1"/>
      <c r="D701" s="1"/>
      <c r="E701" s="99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AK701" s="11"/>
      <c r="AL701" s="11"/>
      <c r="AM701" s="11"/>
      <c r="AN701" s="11"/>
    </row>
    <row r="702" spans="1:40">
      <c r="A702" s="1"/>
      <c r="B702" s="1"/>
      <c r="C702" s="1"/>
      <c r="D702" s="1"/>
      <c r="E702" s="99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AK702" s="11"/>
      <c r="AL702" s="11"/>
      <c r="AM702" s="11"/>
      <c r="AN702" s="11"/>
    </row>
    <row r="703" spans="1:40">
      <c r="A703" s="1"/>
      <c r="B703" s="1"/>
      <c r="C703" s="1"/>
      <c r="D703" s="1"/>
      <c r="E703" s="99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AK703" s="11"/>
      <c r="AL703" s="11"/>
      <c r="AM703" s="11"/>
      <c r="AN703" s="11"/>
    </row>
    <row r="704" spans="1:40">
      <c r="A704" s="1"/>
      <c r="B704" s="1"/>
      <c r="C704" s="1"/>
      <c r="D704" s="1"/>
      <c r="E704" s="99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AK704" s="11"/>
      <c r="AL704" s="11"/>
      <c r="AM704" s="11"/>
      <c r="AN704" s="11"/>
    </row>
    <row r="705" spans="1:40">
      <c r="A705" s="1"/>
      <c r="B705" s="1"/>
      <c r="C705" s="1"/>
      <c r="D705" s="1"/>
      <c r="E705" s="99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AK705" s="11"/>
      <c r="AL705" s="11"/>
      <c r="AM705" s="11"/>
      <c r="AN705" s="11"/>
    </row>
    <row r="706" spans="1:40">
      <c r="A706" s="1"/>
      <c r="B706" s="1"/>
      <c r="C706" s="1"/>
      <c r="D706" s="1"/>
      <c r="E706" s="99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AK706" s="11"/>
      <c r="AL706" s="11"/>
      <c r="AM706" s="11"/>
      <c r="AN706" s="11"/>
    </row>
    <row r="707" spans="1:40">
      <c r="A707" s="1"/>
      <c r="B707" s="1"/>
      <c r="C707" s="1"/>
      <c r="D707" s="1"/>
      <c r="E707" s="99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AK707" s="10"/>
      <c r="AL707" s="10"/>
      <c r="AM707" s="10"/>
      <c r="AN707" s="10"/>
    </row>
    <row r="708" spans="1:40" ht="13.8">
      <c r="A708" s="1"/>
      <c r="B708" s="1"/>
      <c r="C708" s="1"/>
      <c r="D708" s="1"/>
      <c r="E708" s="99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AK708" s="9"/>
      <c r="AL708" s="9"/>
      <c r="AM708" s="9"/>
      <c r="AN708" s="9"/>
    </row>
    <row r="709" spans="1:40">
      <c r="A709" s="1"/>
      <c r="B709" s="1"/>
      <c r="C709" s="1"/>
      <c r="D709" s="1"/>
      <c r="E709" s="99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AK709" s="7"/>
      <c r="AL709" s="7"/>
      <c r="AM709" s="7"/>
      <c r="AN709" s="7"/>
    </row>
    <row r="710" spans="1:40">
      <c r="A710" s="1"/>
      <c r="B710" s="1"/>
      <c r="C710" s="1"/>
      <c r="D710" s="1"/>
      <c r="E710" s="99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AK710" s="7"/>
      <c r="AL710" s="7"/>
      <c r="AM710" s="7"/>
      <c r="AN710" s="7"/>
    </row>
    <row r="711" spans="1:40">
      <c r="A711" s="1"/>
      <c r="B711" s="1"/>
      <c r="C711" s="1"/>
      <c r="D711" s="1"/>
      <c r="E711" s="99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AK711" s="6"/>
      <c r="AL711" s="6"/>
      <c r="AM711" s="6"/>
      <c r="AN711" s="6"/>
    </row>
    <row r="712" spans="1:40" ht="13.8">
      <c r="A712" s="1"/>
      <c r="B712" s="1"/>
      <c r="C712" s="1"/>
      <c r="D712" s="1"/>
      <c r="E712" s="99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AK712" s="12"/>
      <c r="AL712" s="12"/>
      <c r="AM712" s="12"/>
      <c r="AN712" s="12"/>
    </row>
    <row r="713" spans="1:40">
      <c r="A713" s="1"/>
      <c r="B713" s="1"/>
      <c r="C713" s="1"/>
      <c r="D713" s="1"/>
      <c r="E713" s="99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AK713" s="11"/>
      <c r="AL713" s="11"/>
      <c r="AM713" s="11"/>
      <c r="AN713" s="11"/>
    </row>
    <row r="714" spans="1:40">
      <c r="A714" s="1"/>
      <c r="B714" s="1"/>
      <c r="C714" s="1"/>
      <c r="D714" s="1"/>
      <c r="E714" s="99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AK714" s="11"/>
      <c r="AL714" s="11"/>
      <c r="AM714" s="11"/>
      <c r="AN714" s="11"/>
    </row>
    <row r="715" spans="1:40">
      <c r="A715" s="1"/>
      <c r="B715" s="1"/>
      <c r="C715" s="1"/>
      <c r="D715" s="1"/>
      <c r="E715" s="99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AK715" s="11"/>
      <c r="AL715" s="11"/>
      <c r="AM715" s="11"/>
      <c r="AN715" s="11"/>
    </row>
    <row r="716" spans="1:40">
      <c r="A716" s="1"/>
      <c r="B716" s="1"/>
      <c r="C716" s="1"/>
      <c r="D716" s="1"/>
      <c r="E716" s="99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AK716" s="11"/>
      <c r="AL716" s="11"/>
      <c r="AM716" s="11"/>
      <c r="AN716" s="11"/>
    </row>
    <row r="717" spans="1:40">
      <c r="A717" s="1"/>
      <c r="B717" s="1"/>
      <c r="C717" s="1"/>
      <c r="D717" s="1"/>
      <c r="E717" s="99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AK717" s="11"/>
      <c r="AL717" s="11"/>
      <c r="AM717" s="11"/>
      <c r="AN717" s="11"/>
    </row>
    <row r="718" spans="1:40">
      <c r="A718" s="1"/>
      <c r="B718" s="1"/>
      <c r="C718" s="1"/>
      <c r="D718" s="1"/>
      <c r="E718" s="99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AK718" s="11"/>
      <c r="AL718" s="11"/>
      <c r="AM718" s="11"/>
      <c r="AN718" s="11"/>
    </row>
    <row r="719" spans="1:40">
      <c r="A719" s="1"/>
      <c r="B719" s="1"/>
      <c r="C719" s="1"/>
      <c r="D719" s="1"/>
      <c r="E719" s="99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AK719" s="11"/>
      <c r="AL719" s="11"/>
      <c r="AM719" s="11"/>
      <c r="AN719" s="11"/>
    </row>
    <row r="720" spans="1:40">
      <c r="A720" s="1"/>
      <c r="B720" s="1"/>
      <c r="C720" s="1"/>
      <c r="D720" s="1"/>
      <c r="E720" s="99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AK720" s="10"/>
      <c r="AL720" s="10"/>
      <c r="AM720" s="10"/>
      <c r="AN720" s="10"/>
    </row>
    <row r="721" spans="1:40" ht="13.8">
      <c r="A721" s="1"/>
      <c r="B721" s="1"/>
      <c r="C721" s="1"/>
      <c r="D721" s="1"/>
      <c r="E721" s="99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AK721" s="9"/>
      <c r="AL721" s="9"/>
      <c r="AM721" s="9"/>
      <c r="AN721" s="9"/>
    </row>
    <row r="722" spans="1:40">
      <c r="A722" s="1"/>
      <c r="B722" s="1"/>
      <c r="C722" s="1"/>
      <c r="D722" s="1"/>
      <c r="E722" s="99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AK722" s="8"/>
      <c r="AL722" s="8"/>
      <c r="AM722" s="8"/>
      <c r="AN722" s="8"/>
    </row>
    <row r="723" spans="1:40">
      <c r="A723" s="1"/>
      <c r="B723" s="1"/>
      <c r="C723" s="1"/>
      <c r="D723" s="1"/>
      <c r="E723" s="99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AK723" s="8"/>
      <c r="AL723" s="8"/>
      <c r="AM723" s="8"/>
      <c r="AN723" s="8"/>
    </row>
    <row r="724" spans="1:40">
      <c r="A724" s="1"/>
      <c r="B724" s="1"/>
      <c r="C724" s="1"/>
      <c r="D724" s="1"/>
      <c r="E724" s="99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AK724" s="8"/>
      <c r="AL724" s="8"/>
      <c r="AM724" s="8"/>
      <c r="AN724" s="8"/>
    </row>
    <row r="725" spans="1:40">
      <c r="A725" s="1"/>
      <c r="B725" s="1"/>
      <c r="C725" s="1"/>
      <c r="D725" s="1"/>
      <c r="E725" s="99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AK725" s="7"/>
      <c r="AL725" s="7"/>
      <c r="AM725" s="7"/>
      <c r="AN725" s="7"/>
    </row>
    <row r="726" spans="1:40">
      <c r="A726" s="1"/>
      <c r="B726" s="1"/>
      <c r="C726" s="1"/>
      <c r="D726" s="1"/>
      <c r="E726" s="99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AK726" s="8"/>
      <c r="AL726" s="8"/>
      <c r="AM726" s="8"/>
      <c r="AN726" s="8"/>
    </row>
    <row r="727" spans="1:40">
      <c r="A727" s="1"/>
      <c r="B727" s="1"/>
      <c r="C727" s="1"/>
      <c r="D727" s="1"/>
      <c r="E727" s="99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AK727" s="8"/>
      <c r="AL727" s="8"/>
      <c r="AM727" s="8"/>
      <c r="AN727" s="8"/>
    </row>
    <row r="728" spans="1:40">
      <c r="A728" s="1"/>
      <c r="B728" s="1"/>
      <c r="C728" s="1"/>
      <c r="D728" s="1"/>
      <c r="E728" s="99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AK728" s="8"/>
      <c r="AL728" s="8"/>
      <c r="AM728" s="8"/>
      <c r="AN728" s="8"/>
    </row>
    <row r="729" spans="1:40">
      <c r="A729" s="1"/>
      <c r="B729" s="1"/>
      <c r="C729" s="1"/>
      <c r="D729" s="1"/>
      <c r="E729" s="99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AK729" s="8"/>
      <c r="AL729" s="8"/>
      <c r="AM729" s="8"/>
      <c r="AN729" s="8"/>
    </row>
    <row r="730" spans="1:40">
      <c r="A730" s="1"/>
      <c r="B730" s="1"/>
      <c r="C730" s="1"/>
      <c r="D730" s="1"/>
      <c r="E730" s="99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AK730" s="8"/>
      <c r="AL730" s="8"/>
      <c r="AM730" s="8"/>
      <c r="AN730" s="8"/>
    </row>
    <row r="731" spans="1:40">
      <c r="A731" s="1"/>
      <c r="B731" s="1"/>
      <c r="C731" s="1"/>
      <c r="D731" s="1"/>
      <c r="E731" s="99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AK731" s="8"/>
      <c r="AL731" s="8"/>
      <c r="AM731" s="8"/>
      <c r="AN731" s="8"/>
    </row>
    <row r="732" spans="1:40">
      <c r="A732" s="1"/>
      <c r="B732" s="1"/>
      <c r="C732" s="1"/>
      <c r="D732" s="1"/>
      <c r="E732" s="99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AK732" s="8"/>
      <c r="AL732" s="8"/>
      <c r="AM732" s="8"/>
      <c r="AN732" s="8"/>
    </row>
    <row r="733" spans="1:40">
      <c r="A733" s="1"/>
      <c r="B733" s="1"/>
      <c r="C733" s="1"/>
      <c r="D733" s="1"/>
      <c r="E733" s="99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AK733" s="8"/>
      <c r="AL733" s="8"/>
      <c r="AM733" s="8"/>
      <c r="AN733" s="8"/>
    </row>
    <row r="734" spans="1:40">
      <c r="A734" s="1"/>
      <c r="B734" s="1"/>
      <c r="C734" s="1"/>
      <c r="D734" s="1"/>
      <c r="E734" s="99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AK734" s="8"/>
      <c r="AL734" s="8"/>
      <c r="AM734" s="8"/>
      <c r="AN734" s="8"/>
    </row>
    <row r="735" spans="1:40">
      <c r="A735" s="1"/>
      <c r="B735" s="1"/>
      <c r="C735" s="1"/>
      <c r="D735" s="1"/>
      <c r="E735" s="99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AK735" s="8"/>
      <c r="AL735" s="8"/>
      <c r="AM735" s="8"/>
      <c r="AN735" s="8"/>
    </row>
    <row r="736" spans="1:40">
      <c r="A736" s="1"/>
      <c r="B736" s="1"/>
      <c r="C736" s="1"/>
      <c r="D736" s="1"/>
      <c r="E736" s="99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AK736" s="8"/>
      <c r="AL736" s="8"/>
      <c r="AM736" s="8"/>
      <c r="AN736" s="8"/>
    </row>
    <row r="737" spans="1:40">
      <c r="A737" s="1"/>
      <c r="B737" s="1"/>
      <c r="C737" s="1"/>
      <c r="D737" s="1"/>
      <c r="E737" s="99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AK737" s="8"/>
      <c r="AL737" s="8"/>
      <c r="AM737" s="8"/>
      <c r="AN737" s="8"/>
    </row>
    <row r="738" spans="1:40">
      <c r="A738" s="1"/>
      <c r="B738" s="1"/>
      <c r="C738" s="1"/>
      <c r="D738" s="1"/>
      <c r="E738" s="99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AK738" s="8"/>
      <c r="AL738" s="8"/>
      <c r="AM738" s="8"/>
      <c r="AN738" s="8"/>
    </row>
    <row r="739" spans="1:40">
      <c r="A739" s="1"/>
      <c r="B739" s="1"/>
      <c r="C739" s="1"/>
      <c r="D739" s="1"/>
      <c r="E739" s="99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AK739" s="7"/>
      <c r="AL739" s="7"/>
      <c r="AM739" s="7"/>
      <c r="AN739" s="7"/>
    </row>
    <row r="740" spans="1:40">
      <c r="A740" s="1"/>
      <c r="B740" s="1"/>
      <c r="C740" s="1"/>
      <c r="D740" s="1"/>
      <c r="E740" s="99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AK740" s="7"/>
      <c r="AL740" s="7"/>
      <c r="AM740" s="7"/>
      <c r="AN740" s="7"/>
    </row>
    <row r="741" spans="1:40">
      <c r="A741" s="1"/>
      <c r="B741" s="1"/>
      <c r="C741" s="1"/>
      <c r="D741" s="1"/>
      <c r="E741" s="99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AK741" s="7"/>
      <c r="AL741" s="7"/>
      <c r="AM741" s="7"/>
      <c r="AN741" s="7"/>
    </row>
    <row r="742" spans="1:40">
      <c r="A742" s="1"/>
      <c r="B742" s="1"/>
      <c r="C742" s="1"/>
      <c r="D742" s="1"/>
      <c r="E742" s="99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AK742" s="7"/>
      <c r="AL742" s="7"/>
      <c r="AM742" s="7"/>
      <c r="AN742" s="7"/>
    </row>
    <row r="743" spans="1:40">
      <c r="A743" s="1"/>
      <c r="B743" s="1"/>
      <c r="C743" s="1"/>
      <c r="D743" s="1"/>
      <c r="E743" s="99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AK743" s="7"/>
      <c r="AL743" s="7"/>
      <c r="AM743" s="7"/>
      <c r="AN743" s="7"/>
    </row>
    <row r="744" spans="1:40">
      <c r="A744" s="1"/>
      <c r="B744" s="1"/>
      <c r="C744" s="1"/>
      <c r="D744" s="1"/>
      <c r="E744" s="99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AK744" s="7"/>
      <c r="AL744" s="7"/>
      <c r="AM744" s="7"/>
      <c r="AN744" s="7"/>
    </row>
    <row r="745" spans="1:40">
      <c r="A745" s="1"/>
      <c r="B745" s="1"/>
      <c r="C745" s="1"/>
      <c r="D745" s="1"/>
      <c r="E745" s="99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AK745" s="7"/>
      <c r="AL745" s="7"/>
      <c r="AM745" s="7"/>
      <c r="AN745" s="7"/>
    </row>
    <row r="746" spans="1:40">
      <c r="A746" s="1"/>
      <c r="B746" s="1"/>
      <c r="C746" s="1"/>
      <c r="D746" s="1"/>
      <c r="E746" s="99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AK746" s="7"/>
      <c r="AL746" s="7"/>
      <c r="AM746" s="7"/>
      <c r="AN746" s="7"/>
    </row>
    <row r="747" spans="1:40">
      <c r="A747" s="1"/>
      <c r="B747" s="1"/>
      <c r="C747" s="1"/>
      <c r="D747" s="1"/>
      <c r="E747" s="99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AK747" s="7"/>
      <c r="AL747" s="7"/>
      <c r="AM747" s="7"/>
      <c r="AN747" s="7"/>
    </row>
    <row r="748" spans="1:40">
      <c r="A748" s="1"/>
      <c r="B748" s="1"/>
      <c r="C748" s="1"/>
      <c r="D748" s="1"/>
      <c r="E748" s="99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AK748" s="6"/>
      <c r="AL748" s="6"/>
      <c r="AM748" s="6"/>
      <c r="AN748" s="6"/>
    </row>
  </sheetData>
  <sheetProtection formatCells="0" formatColumns="0" formatRows="0" insertColumns="0" insertRows="0" insertHyperlinks="0" deleteColumns="0" deleteRows="0" sort="0" autoFilter="0" pivotTables="0"/>
  <mergeCells count="307">
    <mergeCell ref="B8:C8"/>
    <mergeCell ref="B9:C9"/>
    <mergeCell ref="B10:C10"/>
    <mergeCell ref="L436:L437"/>
    <mergeCell ref="M436:M437"/>
    <mergeCell ref="N436:N437"/>
    <mergeCell ref="O436:O437"/>
    <mergeCell ref="P436:P437"/>
    <mergeCell ref="I436:I437"/>
    <mergeCell ref="J436:J437"/>
    <mergeCell ref="K436:K437"/>
    <mergeCell ref="K371:K372"/>
    <mergeCell ref="L371:L372"/>
    <mergeCell ref="M371:M372"/>
    <mergeCell ref="D371:D372"/>
    <mergeCell ref="E371:E372"/>
    <mergeCell ref="F371:F372"/>
    <mergeCell ref="G371:G372"/>
    <mergeCell ref="D270:D271"/>
    <mergeCell ref="E270:E271"/>
    <mergeCell ref="F270:F271"/>
    <mergeCell ref="G270:G271"/>
    <mergeCell ref="H270:H271"/>
    <mergeCell ref="J371:J372"/>
    <mergeCell ref="W436:W437"/>
    <mergeCell ref="Q436:Q437"/>
    <mergeCell ref="R436:R437"/>
    <mergeCell ref="S436:S437"/>
    <mergeCell ref="T436:T437"/>
    <mergeCell ref="U436:U437"/>
    <mergeCell ref="V436:V437"/>
    <mergeCell ref="I409:I410"/>
    <mergeCell ref="J409:J410"/>
    <mergeCell ref="K409:K410"/>
    <mergeCell ref="L409:L410"/>
    <mergeCell ref="M409:M410"/>
    <mergeCell ref="W409:W410"/>
    <mergeCell ref="N409:N410"/>
    <mergeCell ref="O409:O410"/>
    <mergeCell ref="P409:P410"/>
    <mergeCell ref="Q409:Q410"/>
    <mergeCell ref="R409:R410"/>
    <mergeCell ref="S409:S410"/>
    <mergeCell ref="T409:T410"/>
    <mergeCell ref="U409:U410"/>
    <mergeCell ref="V409:V410"/>
    <mergeCell ref="I371:I372"/>
    <mergeCell ref="U371:U372"/>
    <mergeCell ref="V371:V372"/>
    <mergeCell ref="W371:W372"/>
    <mergeCell ref="N371:N372"/>
    <mergeCell ref="O371:O372"/>
    <mergeCell ref="P371:P372"/>
    <mergeCell ref="Q371:Q372"/>
    <mergeCell ref="R371:R372"/>
    <mergeCell ref="S371:S372"/>
    <mergeCell ref="N336:N337"/>
    <mergeCell ref="O336:O337"/>
    <mergeCell ref="P336:P337"/>
    <mergeCell ref="R336:R337"/>
    <mergeCell ref="K336:K337"/>
    <mergeCell ref="L336:L337"/>
    <mergeCell ref="K302:K303"/>
    <mergeCell ref="L302:L303"/>
    <mergeCell ref="T371:T372"/>
    <mergeCell ref="O302:O303"/>
    <mergeCell ref="P302:P303"/>
    <mergeCell ref="F302:F303"/>
    <mergeCell ref="G302:G303"/>
    <mergeCell ref="H302:H303"/>
    <mergeCell ref="Q302:Q303"/>
    <mergeCell ref="R302:R303"/>
    <mergeCell ref="I302:I303"/>
    <mergeCell ref="J302:J303"/>
    <mergeCell ref="N302:N303"/>
    <mergeCell ref="D234:D235"/>
    <mergeCell ref="E234:E235"/>
    <mergeCell ref="D302:D303"/>
    <mergeCell ref="E302:E303"/>
    <mergeCell ref="H336:H337"/>
    <mergeCell ref="I336:I337"/>
    <mergeCell ref="J336:J337"/>
    <mergeCell ref="M234:M235"/>
    <mergeCell ref="I270:I271"/>
    <mergeCell ref="J270:J271"/>
    <mergeCell ref="K270:K271"/>
    <mergeCell ref="M270:M271"/>
    <mergeCell ref="M302:M303"/>
    <mergeCell ref="M336:M337"/>
    <mergeCell ref="J234:J235"/>
    <mergeCell ref="K234:K235"/>
    <mergeCell ref="L234:L235"/>
    <mergeCell ref="V302:V303"/>
    <mergeCell ref="T270:T271"/>
    <mergeCell ref="U270:U271"/>
    <mergeCell ref="V270:V271"/>
    <mergeCell ref="W302:W303"/>
    <mergeCell ref="T302:T303"/>
    <mergeCell ref="U302:U303"/>
    <mergeCell ref="S302:S303"/>
    <mergeCell ref="S336:S337"/>
    <mergeCell ref="T336:T337"/>
    <mergeCell ref="U336:U337"/>
    <mergeCell ref="V336:V337"/>
    <mergeCell ref="W336:W337"/>
    <mergeCell ref="N202:N203"/>
    <mergeCell ref="O202:O203"/>
    <mergeCell ref="P202:P203"/>
    <mergeCell ref="S132:S133"/>
    <mergeCell ref="W270:W271"/>
    <mergeCell ref="N270:N271"/>
    <mergeCell ref="O270:O271"/>
    <mergeCell ref="P270:P271"/>
    <mergeCell ref="Q270:Q271"/>
    <mergeCell ref="R270:R271"/>
    <mergeCell ref="S270:S271"/>
    <mergeCell ref="W202:W203"/>
    <mergeCell ref="T202:T203"/>
    <mergeCell ref="U165:U166"/>
    <mergeCell ref="V202:V203"/>
    <mergeCell ref="U202:U203"/>
    <mergeCell ref="V234:V235"/>
    <mergeCell ref="Q165:Q166"/>
    <mergeCell ref="T234:T235"/>
    <mergeCell ref="Q234:Q235"/>
    <mergeCell ref="R234:R235"/>
    <mergeCell ref="S234:S235"/>
    <mergeCell ref="W165:W166"/>
    <mergeCell ref="W234:W235"/>
    <mergeCell ref="R165:R166"/>
    <mergeCell ref="S165:S166"/>
    <mergeCell ref="T165:T166"/>
    <mergeCell ref="Q202:Q203"/>
    <mergeCell ref="R202:R203"/>
    <mergeCell ref="U234:U235"/>
    <mergeCell ref="C53:D53"/>
    <mergeCell ref="V132:V133"/>
    <mergeCell ref="W132:W133"/>
    <mergeCell ref="M132:M133"/>
    <mergeCell ref="N132:N133"/>
    <mergeCell ref="O132:O133"/>
    <mergeCell ref="P132:P133"/>
    <mergeCell ref="C93:D93"/>
    <mergeCell ref="G132:G133"/>
    <mergeCell ref="I91:I92"/>
    <mergeCell ref="J91:J92"/>
    <mergeCell ref="K91:K92"/>
    <mergeCell ref="D91:D92"/>
    <mergeCell ref="E91:E92"/>
    <mergeCell ref="F91:F92"/>
    <mergeCell ref="G91:G92"/>
    <mergeCell ref="Q91:Q92"/>
    <mergeCell ref="R91:R92"/>
    <mergeCell ref="S91:S92"/>
    <mergeCell ref="D132:D133"/>
    <mergeCell ref="E132:E133"/>
    <mergeCell ref="F132:F133"/>
    <mergeCell ref="T132:T133"/>
    <mergeCell ref="U132:U133"/>
    <mergeCell ref="B132:B133"/>
    <mergeCell ref="B91:B92"/>
    <mergeCell ref="Q132:Q133"/>
    <mergeCell ref="R132:R133"/>
    <mergeCell ref="H132:H133"/>
    <mergeCell ref="I132:I133"/>
    <mergeCell ref="J132:J133"/>
    <mergeCell ref="K132:K133"/>
    <mergeCell ref="L132:L133"/>
    <mergeCell ref="M91:M92"/>
    <mergeCell ref="H91:H92"/>
    <mergeCell ref="L91:L92"/>
    <mergeCell ref="B11:E13"/>
    <mergeCell ref="B14:E14"/>
    <mergeCell ref="B15:E15"/>
    <mergeCell ref="B16:E16"/>
    <mergeCell ref="N91:N92"/>
    <mergeCell ref="O91:O92"/>
    <mergeCell ref="P91:P92"/>
    <mergeCell ref="X8:X10"/>
    <mergeCell ref="V91:V92"/>
    <mergeCell ref="U91:U92"/>
    <mergeCell ref="L50:L51"/>
    <mergeCell ref="B50:B51"/>
    <mergeCell ref="T91:T92"/>
    <mergeCell ref="D50:D51"/>
    <mergeCell ref="E50:E51"/>
    <mergeCell ref="F50:F51"/>
    <mergeCell ref="G50:G51"/>
    <mergeCell ref="H50:H51"/>
    <mergeCell ref="I50:I51"/>
    <mergeCell ref="J50:J51"/>
    <mergeCell ref="K50:K51"/>
    <mergeCell ref="M50:M51"/>
    <mergeCell ref="N50:N51"/>
    <mergeCell ref="W91:W92"/>
    <mergeCell ref="O50:O51"/>
    <mergeCell ref="P50:P51"/>
    <mergeCell ref="Q50:Q51"/>
    <mergeCell ref="R50:R51"/>
    <mergeCell ref="S50:S51"/>
    <mergeCell ref="W8:W10"/>
    <mergeCell ref="T50:T51"/>
    <mergeCell ref="U50:U51"/>
    <mergeCell ref="V50:V51"/>
    <mergeCell ref="W50:W51"/>
    <mergeCell ref="P8:Q10"/>
    <mergeCell ref="R8:R10"/>
    <mergeCell ref="S8:S10"/>
    <mergeCell ref="T8:T10"/>
    <mergeCell ref="U8:U10"/>
    <mergeCell ref="V8:V10"/>
    <mergeCell ref="AN6:AO6"/>
    <mergeCell ref="AF6:AF7"/>
    <mergeCell ref="AG6:AG7"/>
    <mergeCell ref="AI6:AI7"/>
    <mergeCell ref="AJ6:AJ7"/>
    <mergeCell ref="AK6:AK7"/>
    <mergeCell ref="AH6:AH7"/>
    <mergeCell ref="P1:Q1"/>
    <mergeCell ref="U1:V1"/>
    <mergeCell ref="R6:R7"/>
    <mergeCell ref="S6:T6"/>
    <mergeCell ref="U6:V6"/>
    <mergeCell ref="AL6:AM6"/>
    <mergeCell ref="P7:Q7"/>
    <mergeCell ref="P6:Q6"/>
    <mergeCell ref="AC6:AC7"/>
    <mergeCell ref="AD6:AD7"/>
    <mergeCell ref="AE6:AE7"/>
    <mergeCell ref="W6:W7"/>
    <mergeCell ref="X6:X7"/>
    <mergeCell ref="Y6:Y7"/>
    <mergeCell ref="Z6:Z7"/>
    <mergeCell ref="AA6:AA7"/>
    <mergeCell ref="AB6:AB7"/>
    <mergeCell ref="F202:F203"/>
    <mergeCell ref="G202:G203"/>
    <mergeCell ref="S202:S203"/>
    <mergeCell ref="H234:H235"/>
    <mergeCell ref="V165:V166"/>
    <mergeCell ref="G165:G166"/>
    <mergeCell ref="H165:H166"/>
    <mergeCell ref="I165:I166"/>
    <mergeCell ref="J165:J166"/>
    <mergeCell ref="M165:M166"/>
    <mergeCell ref="N165:N166"/>
    <mergeCell ref="P165:P166"/>
    <mergeCell ref="H202:H203"/>
    <mergeCell ref="I202:I203"/>
    <mergeCell ref="J202:J203"/>
    <mergeCell ref="K202:K203"/>
    <mergeCell ref="L202:L203"/>
    <mergeCell ref="O165:O166"/>
    <mergeCell ref="K165:K166"/>
    <mergeCell ref="L165:L166"/>
    <mergeCell ref="N234:N235"/>
    <mergeCell ref="I234:I235"/>
    <mergeCell ref="O234:O235"/>
    <mergeCell ref="P234:P235"/>
    <mergeCell ref="H371:H372"/>
    <mergeCell ref="E165:E166"/>
    <mergeCell ref="F165:F166"/>
    <mergeCell ref="M202:M203"/>
    <mergeCell ref="C442:D442"/>
    <mergeCell ref="D336:D337"/>
    <mergeCell ref="E336:E337"/>
    <mergeCell ref="F336:F337"/>
    <mergeCell ref="G336:G337"/>
    <mergeCell ref="E409:E410"/>
    <mergeCell ref="F409:F410"/>
    <mergeCell ref="G409:G410"/>
    <mergeCell ref="H409:H410"/>
    <mergeCell ref="D436:D437"/>
    <mergeCell ref="E436:E437"/>
    <mergeCell ref="F436:F437"/>
    <mergeCell ref="G436:G437"/>
    <mergeCell ref="H436:H437"/>
    <mergeCell ref="D409:D410"/>
    <mergeCell ref="F234:F235"/>
    <mergeCell ref="G234:G235"/>
    <mergeCell ref="L270:L271"/>
    <mergeCell ref="D202:D203"/>
    <mergeCell ref="E202:E203"/>
    <mergeCell ref="K6:O6"/>
    <mergeCell ref="D6:F6"/>
    <mergeCell ref="G6:H6"/>
    <mergeCell ref="I6:J6"/>
    <mergeCell ref="B436:B437"/>
    <mergeCell ref="Q336:Q337"/>
    <mergeCell ref="C135:D135"/>
    <mergeCell ref="C167:D167"/>
    <mergeCell ref="C204:D204"/>
    <mergeCell ref="C237:D237"/>
    <mergeCell ref="B336:B337"/>
    <mergeCell ref="B371:B372"/>
    <mergeCell ref="B409:B410"/>
    <mergeCell ref="B165:B166"/>
    <mergeCell ref="B202:B203"/>
    <mergeCell ref="B234:B235"/>
    <mergeCell ref="B270:B271"/>
    <mergeCell ref="B302:B303"/>
    <mergeCell ref="C273:D273"/>
    <mergeCell ref="C305:D305"/>
    <mergeCell ref="D165:D166"/>
    <mergeCell ref="C339:D339"/>
    <mergeCell ref="C374:D374"/>
    <mergeCell ref="C411:D411"/>
  </mergeCells>
  <hyperlinks>
    <hyperlink ref="D127" r:id="rId1"/>
    <hyperlink ref="D126" r:id="rId2"/>
    <hyperlink ref="G181" r:id="rId3" display="..\..\DOKUMENTER\T\tandlæge\230329.pdf"/>
    <hyperlink ref="G192" r:id="rId4" display="..\..\DOKUMENTER\V\Vandværk\230410 Faktura75098.pdf"/>
    <hyperlink ref="D192" r:id="rId5"/>
    <hyperlink ref="D181" r:id="rId6" display="..\..\DOKUMENTER\T\tandlæge\230329.pdf"/>
    <hyperlink ref="G215" r:id="rId7" display="..\..\DOKUMENTER\T\tandlæge\230329.pdf"/>
    <hyperlink ref="D215" r:id="rId8" display="..\..\DOKUMENTER\T\tandlæge\230329.pdf"/>
    <hyperlink ref="G124" r:id="rId9" display="..\..\DOKUMENTER\T\tandlæge\230329.pdf"/>
    <hyperlink ref="D124" r:id="rId10" display="..\..\DOKUMENTER\T\tandlæge\230329.pdf"/>
    <hyperlink ref="D257" r:id="rId11"/>
  </hyperlinks>
  <pageMargins left="0.7" right="0.7" top="0.75" bottom="0.75" header="0.3" footer="0.3"/>
  <pageSetup paperSize="9" orientation="portrait" r:id="rId12"/>
  <drawing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Z679"/>
  <sheetViews>
    <sheetView topLeftCell="A6" workbookViewId="0">
      <pane ySplit="13" topLeftCell="A386" activePane="bottomLeft" state="frozen"/>
      <selection activeCell="EZ40" sqref="EZ40"/>
      <selection pane="bottomLeft" activeCell="S14" sqref="S14"/>
    </sheetView>
  </sheetViews>
  <sheetFormatPr defaultColWidth="9.109375" defaultRowHeight="13.2"/>
  <cols>
    <col min="1" max="1" width="0.6640625" style="101" customWidth="1"/>
    <col min="2" max="2" width="15.44140625" style="100" customWidth="1"/>
    <col min="3" max="3" width="1.6640625" style="100" customWidth="1"/>
    <col min="4" max="4" width="16.33203125" style="99" customWidth="1"/>
    <col min="5" max="5" width="12.5546875" style="2" customWidth="1"/>
    <col min="6" max="15" width="11.33203125" style="2" customWidth="1"/>
    <col min="16" max="16" width="10.6640625" style="2" customWidth="1"/>
    <col min="17" max="21" width="10.33203125" style="2" customWidth="1"/>
    <col min="22" max="22" width="10.6640625" style="2" customWidth="1"/>
    <col min="23" max="24" width="10.33203125" style="2" customWidth="1"/>
    <col min="25" max="25" width="9.109375" style="98"/>
    <col min="26" max="27" width="9.44140625" style="97" bestFit="1" customWidth="1"/>
    <col min="28" max="30" width="9.109375" style="97"/>
    <col min="31" max="31" width="10.44140625" style="97" bestFit="1" customWidth="1"/>
    <col min="32" max="32" width="9.44140625" style="97" bestFit="1" customWidth="1"/>
    <col min="33" max="16384" width="9.109375" style="97"/>
  </cols>
  <sheetData>
    <row r="1" spans="1:52" s="120" customFormat="1" ht="19.5" customHeight="1">
      <c r="A1" s="60"/>
      <c r="B1" s="96" t="s">
        <v>111</v>
      </c>
      <c r="C1" s="96"/>
      <c r="D1" s="96" t="s">
        <v>122</v>
      </c>
      <c r="E1" s="94" t="s">
        <v>121</v>
      </c>
      <c r="F1" s="94" t="s">
        <v>120</v>
      </c>
      <c r="G1" s="94" t="s">
        <v>119</v>
      </c>
      <c r="H1" s="94" t="s">
        <v>118</v>
      </c>
      <c r="I1" s="94" t="s">
        <v>44</v>
      </c>
      <c r="J1" s="94" t="s">
        <v>117</v>
      </c>
      <c r="K1" s="94" t="s">
        <v>116</v>
      </c>
      <c r="L1" s="94" t="s">
        <v>115</v>
      </c>
      <c r="M1" s="94" t="s">
        <v>114</v>
      </c>
      <c r="N1" s="94" t="s">
        <v>113</v>
      </c>
      <c r="O1" s="94" t="s">
        <v>112</v>
      </c>
      <c r="P1" s="2905" t="s">
        <v>111</v>
      </c>
      <c r="Q1" s="2906"/>
      <c r="R1" s="93" t="s">
        <v>110</v>
      </c>
      <c r="S1" s="92"/>
      <c r="T1" s="92"/>
      <c r="U1" s="2907" t="s">
        <v>109</v>
      </c>
      <c r="V1" s="2908"/>
      <c r="W1" s="91"/>
      <c r="X1" s="91"/>
      <c r="Y1" s="72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97"/>
      <c r="AK1" s="97"/>
      <c r="AL1" s="97"/>
      <c r="AM1" s="97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</row>
    <row r="2" spans="1:52" ht="13.8">
      <c r="A2" s="165"/>
      <c r="B2" s="164" t="s">
        <v>35</v>
      </c>
      <c r="C2" s="164"/>
      <c r="D2" s="81">
        <f t="shared" ref="D2:O2" si="0">-$AF$14</f>
        <v>11078</v>
      </c>
      <c r="E2" s="81">
        <f t="shared" si="0"/>
        <v>11078</v>
      </c>
      <c r="F2" s="81">
        <f t="shared" si="0"/>
        <v>11078</v>
      </c>
      <c r="G2" s="81">
        <f t="shared" si="0"/>
        <v>11078</v>
      </c>
      <c r="H2" s="81">
        <f t="shared" si="0"/>
        <v>11078</v>
      </c>
      <c r="I2" s="81">
        <f t="shared" si="0"/>
        <v>11078</v>
      </c>
      <c r="J2" s="81">
        <f t="shared" si="0"/>
        <v>11078</v>
      </c>
      <c r="K2" s="81">
        <f t="shared" si="0"/>
        <v>11078</v>
      </c>
      <c r="L2" s="81">
        <f t="shared" si="0"/>
        <v>11078</v>
      </c>
      <c r="M2" s="81">
        <f t="shared" si="0"/>
        <v>11078</v>
      </c>
      <c r="N2" s="81">
        <f t="shared" si="0"/>
        <v>11078</v>
      </c>
      <c r="O2" s="81">
        <f t="shared" si="0"/>
        <v>11078</v>
      </c>
      <c r="P2" s="85"/>
      <c r="Q2" s="89">
        <f>SUM(D2:O2)</f>
        <v>132936</v>
      </c>
      <c r="R2" s="83">
        <f>Q2/12</f>
        <v>11078</v>
      </c>
      <c r="S2" s="82" t="s">
        <v>35</v>
      </c>
      <c r="T2" s="81"/>
      <c r="U2" s="82" t="s">
        <v>108</v>
      </c>
      <c r="V2" s="81">
        <v>16432</v>
      </c>
      <c r="W2" s="81"/>
      <c r="X2" s="81"/>
      <c r="Y2" s="163"/>
      <c r="Z2" s="162"/>
      <c r="AA2" s="161">
        <v>18478</v>
      </c>
      <c r="AJ2" s="105"/>
      <c r="AK2" s="105"/>
      <c r="AL2" s="105"/>
      <c r="AM2" s="105"/>
    </row>
    <row r="3" spans="1:52" ht="13.8">
      <c r="A3" s="165"/>
      <c r="B3" s="164" t="s">
        <v>34</v>
      </c>
      <c r="C3" s="164"/>
      <c r="D3" s="81">
        <f>-$AH$13</f>
        <v>-426</v>
      </c>
      <c r="E3" s="81">
        <f>-($AH$13+$AA$5)</f>
        <v>-11698</v>
      </c>
      <c r="F3" s="81">
        <f t="shared" ref="F3:O3" si="1">-$AH$13</f>
        <v>-426</v>
      </c>
      <c r="G3" s="81">
        <f t="shared" si="1"/>
        <v>-426</v>
      </c>
      <c r="H3" s="81">
        <f t="shared" si="1"/>
        <v>-426</v>
      </c>
      <c r="I3" s="81">
        <f t="shared" si="1"/>
        <v>-426</v>
      </c>
      <c r="J3" s="81">
        <f t="shared" si="1"/>
        <v>-426</v>
      </c>
      <c r="K3" s="81">
        <f t="shared" si="1"/>
        <v>-426</v>
      </c>
      <c r="L3" s="81">
        <f t="shared" si="1"/>
        <v>-426</v>
      </c>
      <c r="M3" s="81">
        <f t="shared" si="1"/>
        <v>-426</v>
      </c>
      <c r="N3" s="81">
        <f t="shared" si="1"/>
        <v>-426</v>
      </c>
      <c r="O3" s="81">
        <f t="shared" si="1"/>
        <v>-426</v>
      </c>
      <c r="P3" s="85"/>
      <c r="Q3" s="89">
        <f>SUM(D3:O3)</f>
        <v>-16384</v>
      </c>
      <c r="R3" s="83">
        <f>Q3/12</f>
        <v>-1365.3333333333333</v>
      </c>
      <c r="S3" s="82" t="s">
        <v>34</v>
      </c>
      <c r="T3" s="81"/>
      <c r="U3" s="82" t="s">
        <v>107</v>
      </c>
      <c r="V3" s="81">
        <v>4243</v>
      </c>
      <c r="W3" s="81"/>
      <c r="X3" s="81"/>
      <c r="Y3" s="163"/>
      <c r="Z3" s="162"/>
      <c r="AA3" s="161"/>
      <c r="AJ3" s="166"/>
      <c r="AK3" s="166"/>
      <c r="AL3" s="166"/>
      <c r="AM3" s="166"/>
    </row>
    <row r="4" spans="1:52" ht="13.8">
      <c r="A4" s="165"/>
      <c r="B4" s="164" t="s">
        <v>33</v>
      </c>
      <c r="C4" s="164"/>
      <c r="D4" s="81" t="e">
        <f t="shared" ref="D4:O4" si="2">-$T$4</f>
        <v>#REF!</v>
      </c>
      <c r="E4" s="81" t="e">
        <f t="shared" si="2"/>
        <v>#REF!</v>
      </c>
      <c r="F4" s="81" t="e">
        <f t="shared" si="2"/>
        <v>#REF!</v>
      </c>
      <c r="G4" s="81" t="e">
        <f t="shared" si="2"/>
        <v>#REF!</v>
      </c>
      <c r="H4" s="81" t="e">
        <f t="shared" si="2"/>
        <v>#REF!</v>
      </c>
      <c r="I4" s="81" t="e">
        <f t="shared" si="2"/>
        <v>#REF!</v>
      </c>
      <c r="J4" s="81" t="e">
        <f t="shared" si="2"/>
        <v>#REF!</v>
      </c>
      <c r="K4" s="81" t="e">
        <f t="shared" si="2"/>
        <v>#REF!</v>
      </c>
      <c r="L4" s="81" t="e">
        <f t="shared" si="2"/>
        <v>#REF!</v>
      </c>
      <c r="M4" s="81" t="e">
        <f t="shared" si="2"/>
        <v>#REF!</v>
      </c>
      <c r="N4" s="81" t="e">
        <f t="shared" si="2"/>
        <v>#REF!</v>
      </c>
      <c r="O4" s="81" t="e">
        <f t="shared" si="2"/>
        <v>#REF!</v>
      </c>
      <c r="P4" s="85"/>
      <c r="Q4" s="89" t="e">
        <f>SUM(D4:O4)</f>
        <v>#REF!</v>
      </c>
      <c r="R4" s="83" t="e">
        <f>Q4/12</f>
        <v>#REF!</v>
      </c>
      <c r="S4" s="82" t="s">
        <v>33</v>
      </c>
      <c r="T4" s="81" t="e">
        <f>ROUNDUP(#REF!*0.61,0)</f>
        <v>#REF!</v>
      </c>
      <c r="U4" s="82" t="s">
        <v>106</v>
      </c>
      <c r="V4" s="81">
        <v>0.39</v>
      </c>
      <c r="W4" s="81"/>
      <c r="X4" s="81"/>
      <c r="Y4" s="163"/>
      <c r="Z4" s="162"/>
      <c r="AA4" s="161">
        <v>0.39</v>
      </c>
    </row>
    <row r="5" spans="1:52" ht="14.4" thickBot="1">
      <c r="A5" s="165"/>
      <c r="B5" s="164" t="s">
        <v>31</v>
      </c>
      <c r="C5" s="164"/>
      <c r="D5" s="81" t="e">
        <f>-#REF!</f>
        <v>#REF!</v>
      </c>
      <c r="E5" s="81" t="e">
        <f>-#REF!</f>
        <v>#REF!</v>
      </c>
      <c r="F5" s="81" t="e">
        <f>-#REF!</f>
        <v>#REF!</v>
      </c>
      <c r="G5" s="81" t="e">
        <f>-#REF!</f>
        <v>#REF!</v>
      </c>
      <c r="H5" s="81" t="e">
        <f>-#REF!</f>
        <v>#REF!</v>
      </c>
      <c r="I5" s="81" t="e">
        <f>-#REF!</f>
        <v>#REF!</v>
      </c>
      <c r="J5" s="81" t="e">
        <f>-#REF!</f>
        <v>#REF!</v>
      </c>
      <c r="K5" s="81" t="e">
        <f>-#REF!</f>
        <v>#REF!</v>
      </c>
      <c r="L5" s="81" t="e">
        <f>-#REF!</f>
        <v>#REF!</v>
      </c>
      <c r="M5" s="81" t="e">
        <f>-#REF!</f>
        <v>#REF!</v>
      </c>
      <c r="N5" s="81" t="e">
        <f>-#REF!</f>
        <v>#REF!</v>
      </c>
      <c r="O5" s="81" t="e">
        <f>-#REF!</f>
        <v>#REF!</v>
      </c>
      <c r="P5" s="85"/>
      <c r="Q5" s="84" t="e">
        <f>SUM(D5:O5)</f>
        <v>#REF!</v>
      </c>
      <c r="R5" s="83" t="e">
        <f>Q5/12</f>
        <v>#REF!</v>
      </c>
      <c r="S5" s="82"/>
      <c r="T5" s="81"/>
      <c r="U5" s="82" t="s">
        <v>41</v>
      </c>
      <c r="V5" s="81">
        <f>ROUNDUP($V$2-(($V$2-$V$3)*$V$4),0)</f>
        <v>11679</v>
      </c>
      <c r="W5" s="81"/>
      <c r="X5" s="81"/>
      <c r="Y5" s="163"/>
      <c r="Z5" s="162"/>
      <c r="AA5" s="161">
        <f>ROUNDUP($AA$2*0.61,0)</f>
        <v>11272</v>
      </c>
    </row>
    <row r="6" spans="1:52" s="50" customFormat="1" ht="18">
      <c r="A6" s="60"/>
      <c r="B6" s="80">
        <f ca="1">TODAY()</f>
        <v>45428</v>
      </c>
      <c r="C6" s="160">
        <v>44562</v>
      </c>
      <c r="D6" s="2950">
        <f>MIN(J11:U11)</f>
        <v>0</v>
      </c>
      <c r="E6" s="2951"/>
      <c r="F6" s="2951"/>
      <c r="G6" s="2951"/>
      <c r="H6" s="2951"/>
      <c r="I6" s="2951"/>
      <c r="J6" s="2951"/>
      <c r="K6" s="2951"/>
      <c r="L6" s="2951"/>
      <c r="M6" s="2951"/>
      <c r="N6" s="2951"/>
      <c r="O6" s="2952"/>
      <c r="P6" s="2915" t="s">
        <v>105</v>
      </c>
      <c r="Q6" s="2916"/>
      <c r="R6" s="2909" t="s">
        <v>29</v>
      </c>
      <c r="S6" s="2911" t="s">
        <v>104</v>
      </c>
      <c r="T6" s="2912"/>
      <c r="U6" s="2911" t="s">
        <v>103</v>
      </c>
      <c r="V6" s="2912"/>
      <c r="W6" s="2909" t="s">
        <v>102</v>
      </c>
      <c r="X6" s="2909" t="s">
        <v>101</v>
      </c>
      <c r="Y6" s="2903"/>
      <c r="Z6" s="2903" t="s">
        <v>30</v>
      </c>
      <c r="AA6" s="2903" t="s">
        <v>31</v>
      </c>
      <c r="AB6" s="2903" t="s">
        <v>27</v>
      </c>
      <c r="AC6" s="2903" t="s">
        <v>100</v>
      </c>
      <c r="AD6" s="2903" t="s">
        <v>99</v>
      </c>
      <c r="AE6" s="2903" t="s">
        <v>98</v>
      </c>
      <c r="AF6" s="2903" t="s">
        <v>35</v>
      </c>
      <c r="AG6" s="2903" t="s">
        <v>34</v>
      </c>
      <c r="AH6" s="2903" t="s">
        <v>21</v>
      </c>
      <c r="AI6" s="2903" t="s">
        <v>22</v>
      </c>
      <c r="AJ6" s="2903" t="s">
        <v>20</v>
      </c>
      <c r="AK6" s="2901" t="s">
        <v>97</v>
      </c>
      <c r="AL6" s="2902"/>
      <c r="AM6" s="2901" t="s">
        <v>49</v>
      </c>
      <c r="AN6" s="2902"/>
      <c r="AO6" s="78" t="s">
        <v>15</v>
      </c>
      <c r="AP6" s="78" t="s">
        <v>96</v>
      </c>
      <c r="AQ6" s="78" t="s">
        <v>95</v>
      </c>
      <c r="AR6" s="78" t="s">
        <v>28</v>
      </c>
      <c r="AS6" s="78" t="s">
        <v>29</v>
      </c>
      <c r="AT6" s="72"/>
      <c r="AU6" s="72"/>
      <c r="AV6" s="72"/>
      <c r="AW6" s="72"/>
      <c r="AX6" s="72"/>
    </row>
    <row r="7" spans="1:52" s="50" customFormat="1" ht="15.6">
      <c r="A7" s="60">
        <f ca="1">MONTH($B$6)-1</f>
        <v>4</v>
      </c>
      <c r="B7" s="77">
        <f ca="1">$B$6-$C$6</f>
        <v>866</v>
      </c>
      <c r="C7" s="76"/>
      <c r="D7" s="75" t="s">
        <v>94</v>
      </c>
      <c r="E7" s="75" t="s">
        <v>93</v>
      </c>
      <c r="F7" s="75" t="s">
        <v>92</v>
      </c>
      <c r="G7" s="75" t="s">
        <v>91</v>
      </c>
      <c r="H7" s="75" t="s">
        <v>90</v>
      </c>
      <c r="I7" s="75" t="s">
        <v>89</v>
      </c>
      <c r="J7" s="75" t="s">
        <v>88</v>
      </c>
      <c r="K7" s="75" t="s">
        <v>87</v>
      </c>
      <c r="L7" s="75" t="s">
        <v>86</v>
      </c>
      <c r="M7" s="75" t="s">
        <v>85</v>
      </c>
      <c r="N7" s="75" t="s">
        <v>84</v>
      </c>
      <c r="O7" s="74" t="s">
        <v>83</v>
      </c>
      <c r="P7" s="2913">
        <f ca="1">TODAY()</f>
        <v>45428</v>
      </c>
      <c r="Q7" s="2914"/>
      <c r="R7" s="2910"/>
      <c r="S7" s="73" t="s">
        <v>82</v>
      </c>
      <c r="T7" s="73" t="s">
        <v>29</v>
      </c>
      <c r="U7" s="73" t="s">
        <v>81</v>
      </c>
      <c r="V7" s="73" t="s">
        <v>29</v>
      </c>
      <c r="W7" s="2910"/>
      <c r="X7" s="2910"/>
      <c r="Y7" s="2904"/>
      <c r="Z7" s="2904"/>
      <c r="AA7" s="2904"/>
      <c r="AB7" s="2904"/>
      <c r="AC7" s="2904"/>
      <c r="AD7" s="2904"/>
      <c r="AE7" s="2904"/>
      <c r="AF7" s="2904"/>
      <c r="AG7" s="2904"/>
      <c r="AH7" s="2904"/>
      <c r="AI7" s="2904"/>
      <c r="AJ7" s="2904"/>
      <c r="AK7" s="147" t="s">
        <v>80</v>
      </c>
      <c r="AL7" s="147" t="s">
        <v>79</v>
      </c>
      <c r="AM7" s="147" t="s">
        <v>80</v>
      </c>
      <c r="AN7" s="147" t="s">
        <v>79</v>
      </c>
      <c r="AO7" s="147"/>
      <c r="AP7" s="147"/>
      <c r="AQ7" s="148"/>
      <c r="AR7" s="148"/>
      <c r="AS7" s="148"/>
      <c r="AT7" s="72"/>
      <c r="AU7" s="72"/>
      <c r="AV7" s="72"/>
      <c r="AW7" s="72"/>
      <c r="AX7" s="72"/>
    </row>
    <row r="8" spans="1:52" s="156" customFormat="1" ht="15.6">
      <c r="A8" s="158">
        <f>E55439</f>
        <v>0</v>
      </c>
      <c r="B8" s="2959" t="s">
        <v>78</v>
      </c>
      <c r="C8" s="2960"/>
      <c r="D8" s="68">
        <f>-E19</f>
        <v>-468.26999999999947</v>
      </c>
      <c r="E8" s="159">
        <f>-E54</f>
        <v>3788.2699999999991</v>
      </c>
      <c r="F8" s="68">
        <f>-E89</f>
        <v>-1774.8199999999979</v>
      </c>
      <c r="G8" s="68">
        <f>-E123</f>
        <v>1161.3000000000002</v>
      </c>
      <c r="H8" s="68">
        <f>-E153</f>
        <v>-1881.3599999999997</v>
      </c>
      <c r="I8" s="159">
        <f>-E186</f>
        <v>-237.14000000000033</v>
      </c>
      <c r="J8" s="68">
        <f>-E216</f>
        <v>-72.390000000000327</v>
      </c>
      <c r="K8" s="68">
        <v>605</v>
      </c>
      <c r="L8" s="68">
        <v>1400</v>
      </c>
      <c r="M8" s="68">
        <v>11</v>
      </c>
      <c r="N8" s="68">
        <v>23</v>
      </c>
      <c r="O8" s="159">
        <v>302.8</v>
      </c>
      <c r="P8" s="2917">
        <f>SUM(R8:X10)</f>
        <v>302.79999999999995</v>
      </c>
      <c r="Q8" s="2917"/>
      <c r="R8" s="2917">
        <v>132.82</v>
      </c>
      <c r="S8" s="2917">
        <v>0.25</v>
      </c>
      <c r="T8" s="2917">
        <v>0.63</v>
      </c>
      <c r="U8" s="2917">
        <f>0</f>
        <v>0</v>
      </c>
      <c r="V8" s="2917">
        <v>0.1</v>
      </c>
      <c r="W8" s="2917">
        <v>100</v>
      </c>
      <c r="X8" s="2917">
        <v>69</v>
      </c>
      <c r="Y8" s="67" t="s">
        <v>77</v>
      </c>
      <c r="Z8" s="52"/>
      <c r="AA8" s="148">
        <v>-20664</v>
      </c>
      <c r="AB8" s="148">
        <f>AB13*12</f>
        <v>7305</v>
      </c>
      <c r="AC8" s="148"/>
      <c r="AD8" s="148"/>
      <c r="AE8" s="148"/>
      <c r="AF8" s="147">
        <f>AF14*12</f>
        <v>-132936</v>
      </c>
      <c r="AG8" s="147">
        <f>AG14*12</f>
        <v>-95316</v>
      </c>
      <c r="AH8" s="147">
        <f>AH13*12</f>
        <v>5112</v>
      </c>
      <c r="AI8" s="147">
        <f>AI13*12</f>
        <v>2604</v>
      </c>
      <c r="AJ8" s="148">
        <v>2246</v>
      </c>
      <c r="AK8" s="147">
        <v>2518</v>
      </c>
      <c r="AL8" s="147">
        <v>2536</v>
      </c>
      <c r="AM8" s="147">
        <v>8060</v>
      </c>
      <c r="AN8" s="147">
        <v>3160</v>
      </c>
      <c r="AO8" s="147">
        <f>H14*31</f>
        <v>2721.9520273972603</v>
      </c>
      <c r="AP8" s="147"/>
      <c r="AQ8" s="148"/>
      <c r="AR8" s="148"/>
      <c r="AS8" s="148"/>
      <c r="AT8" s="157"/>
      <c r="AU8" s="157"/>
      <c r="AV8" s="157"/>
    </row>
    <row r="9" spans="1:52" s="156" customFormat="1" ht="15.6">
      <c r="A9" s="158"/>
      <c r="B9" s="2961"/>
      <c r="C9" s="2962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>
        <f>O8</f>
        <v>302.8</v>
      </c>
      <c r="P9" s="2918"/>
      <c r="Q9" s="2918"/>
      <c r="R9" s="2918"/>
      <c r="S9" s="2918"/>
      <c r="T9" s="2918"/>
      <c r="U9" s="2918"/>
      <c r="V9" s="2918"/>
      <c r="W9" s="2918"/>
      <c r="X9" s="2918"/>
      <c r="Y9" s="67"/>
      <c r="Z9" s="52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7"/>
      <c r="AP9" s="147"/>
      <c r="AQ9" s="148"/>
      <c r="AR9" s="148"/>
      <c r="AS9" s="148"/>
      <c r="AT9" s="157"/>
      <c r="AU9" s="157"/>
      <c r="AV9" s="157"/>
    </row>
    <row r="10" spans="1:52" s="152" customFormat="1" ht="13.5" customHeight="1">
      <c r="A10" s="155"/>
      <c r="B10" s="2955" t="s">
        <v>76</v>
      </c>
      <c r="C10" s="2956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2918"/>
      <c r="Q10" s="2918"/>
      <c r="R10" s="2918"/>
      <c r="S10" s="2918"/>
      <c r="T10" s="2918"/>
      <c r="U10" s="2918"/>
      <c r="V10" s="2918"/>
      <c r="W10" s="2918"/>
      <c r="X10" s="2918"/>
      <c r="Y10" s="67" t="s">
        <v>75</v>
      </c>
      <c r="Z10" s="52"/>
      <c r="AA10" s="148">
        <f>AA13*6</f>
        <v>-7776</v>
      </c>
      <c r="AB10" s="148">
        <f>AB13*6</f>
        <v>3652.5</v>
      </c>
      <c r="AC10" s="148">
        <v>2200</v>
      </c>
      <c r="AD10" s="148">
        <v>1183.44</v>
      </c>
      <c r="AE10" s="148">
        <v>2300</v>
      </c>
      <c r="AF10" s="148">
        <f>AF14*6</f>
        <v>-66468</v>
      </c>
      <c r="AG10" s="148">
        <f>AG14*6</f>
        <v>-47658</v>
      </c>
      <c r="AH10" s="148">
        <f>AH13*6</f>
        <v>2556</v>
      </c>
      <c r="AI10" s="148">
        <f>AI13*6</f>
        <v>1302</v>
      </c>
      <c r="AJ10" s="148">
        <f>AJ8/2</f>
        <v>1123</v>
      </c>
      <c r="AK10" s="148">
        <f>AK8/2</f>
        <v>1259</v>
      </c>
      <c r="AL10" s="148">
        <f>AL8/2</f>
        <v>1268</v>
      </c>
      <c r="AM10" s="148">
        <f>AM8/2</f>
        <v>4030</v>
      </c>
      <c r="AN10" s="148">
        <f>AN8/2</f>
        <v>1580</v>
      </c>
      <c r="AO10" s="147"/>
      <c r="AP10" s="147"/>
      <c r="AQ10" s="148"/>
      <c r="AR10" s="148"/>
      <c r="AS10" s="148"/>
    </row>
    <row r="11" spans="1:52" s="152" customFormat="1" ht="13.5" customHeight="1">
      <c r="A11" s="153"/>
      <c r="B11" s="2957"/>
      <c r="C11" s="2958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2919"/>
      <c r="Q11" s="2919"/>
      <c r="R11" s="2919"/>
      <c r="S11" s="2919"/>
      <c r="T11" s="2919"/>
      <c r="U11" s="2919"/>
      <c r="V11" s="2919"/>
      <c r="W11" s="2919"/>
      <c r="X11" s="2919"/>
      <c r="Y11" s="51"/>
      <c r="Z11" s="51"/>
      <c r="AA11" s="154"/>
      <c r="AB11" s="154"/>
      <c r="AC11" s="148"/>
      <c r="AD11" s="154"/>
      <c r="AE11" s="154"/>
      <c r="AF11" s="154"/>
      <c r="AG11" s="154"/>
      <c r="AH11" s="148"/>
      <c r="AI11" s="148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</row>
    <row r="12" spans="1:52" s="152" customFormat="1" ht="21" customHeight="1">
      <c r="A12" s="153"/>
      <c r="B12" s="2920" t="s">
        <v>175</v>
      </c>
      <c r="C12" s="2920"/>
      <c r="D12" s="2920"/>
      <c r="E12" s="2920"/>
      <c r="F12" s="63" t="s">
        <v>73</v>
      </c>
      <c r="G12" s="63" t="s">
        <v>72</v>
      </c>
      <c r="H12" s="63" t="s">
        <v>71</v>
      </c>
      <c r="I12" s="63" t="s">
        <v>70</v>
      </c>
      <c r="J12" s="63" t="s">
        <v>69</v>
      </c>
      <c r="K12" s="63" t="s">
        <v>68</v>
      </c>
      <c r="L12" s="63" t="s">
        <v>67</v>
      </c>
      <c r="M12" s="63" t="s">
        <v>66</v>
      </c>
      <c r="N12" s="63" t="s">
        <v>65</v>
      </c>
      <c r="O12" s="63" t="s">
        <v>64</v>
      </c>
      <c r="P12" s="63" t="s">
        <v>63</v>
      </c>
      <c r="Q12" s="63" t="s">
        <v>62</v>
      </c>
      <c r="R12" s="63" t="s">
        <v>61</v>
      </c>
      <c r="S12" s="63" t="s">
        <v>60</v>
      </c>
      <c r="T12" s="63" t="s">
        <v>59</v>
      </c>
      <c r="U12" s="63" t="s">
        <v>58</v>
      </c>
      <c r="V12" s="63" t="s">
        <v>57</v>
      </c>
      <c r="W12" s="63" t="s">
        <v>56</v>
      </c>
      <c r="X12" s="63" t="s">
        <v>174</v>
      </c>
      <c r="Y12" s="62" t="s">
        <v>55</v>
      </c>
      <c r="AA12" s="152">
        <f>AA13*3</f>
        <v>-3888</v>
      </c>
      <c r="AB12" s="152">
        <f>AB13*3</f>
        <v>1826.25</v>
      </c>
      <c r="AC12" s="148"/>
      <c r="AF12" s="152">
        <f>AF14*3</f>
        <v>-33234</v>
      </c>
      <c r="AG12" s="152">
        <f>AG14*3</f>
        <v>-23829</v>
      </c>
      <c r="AH12" s="148">
        <f>AH13*3</f>
        <v>1278</v>
      </c>
      <c r="AI12" s="148">
        <f>AI13*3</f>
        <v>651</v>
      </c>
      <c r="AJ12" s="152">
        <f>AJ8/4</f>
        <v>561.5</v>
      </c>
      <c r="AK12" s="152">
        <f>AK8/4</f>
        <v>629.5</v>
      </c>
      <c r="AL12" s="152">
        <f>AL8/4</f>
        <v>634</v>
      </c>
      <c r="AM12" s="152">
        <f>AM8/4</f>
        <v>2015</v>
      </c>
      <c r="AN12" s="152">
        <f>AN8/4</f>
        <v>790</v>
      </c>
    </row>
    <row r="13" spans="1:52" s="120" customFormat="1" ht="15" customHeight="1">
      <c r="A13" s="60"/>
      <c r="B13" s="2920" t="s">
        <v>54</v>
      </c>
      <c r="C13" s="2920"/>
      <c r="D13" s="2920"/>
      <c r="E13" s="2920"/>
      <c r="F13" s="59">
        <f t="shared" ref="F13:W13" si="3">F15</f>
        <v>21720.009999999995</v>
      </c>
      <c r="G13" s="59">
        <f t="shared" si="3"/>
        <v>16023.75</v>
      </c>
      <c r="H13" s="59">
        <f t="shared" si="3"/>
        <v>32048.79</v>
      </c>
      <c r="I13" s="59">
        <f t="shared" si="3"/>
        <v>6316</v>
      </c>
      <c r="J13" s="59">
        <f t="shared" si="3"/>
        <v>384</v>
      </c>
      <c r="K13" s="59">
        <f t="shared" si="3"/>
        <v>7925</v>
      </c>
      <c r="L13" s="59">
        <f t="shared" si="3"/>
        <v>795</v>
      </c>
      <c r="M13" s="59">
        <f t="shared" si="3"/>
        <v>3292</v>
      </c>
      <c r="N13" s="59">
        <f t="shared" si="3"/>
        <v>97162</v>
      </c>
      <c r="O13" s="59">
        <f t="shared" si="3"/>
        <v>15073</v>
      </c>
      <c r="P13" s="59">
        <f t="shared" si="3"/>
        <v>18857</v>
      </c>
      <c r="Q13" s="59">
        <f t="shared" si="3"/>
        <v>12477</v>
      </c>
      <c r="R13" s="59">
        <f t="shared" si="3"/>
        <v>2834</v>
      </c>
      <c r="S13" s="59">
        <f t="shared" si="3"/>
        <v>7914</v>
      </c>
      <c r="T13" s="59">
        <f t="shared" si="3"/>
        <v>1481</v>
      </c>
      <c r="U13" s="59">
        <f t="shared" si="3"/>
        <v>4068</v>
      </c>
      <c r="V13" s="59">
        <f t="shared" si="3"/>
        <v>9504</v>
      </c>
      <c r="W13" s="59">
        <f t="shared" si="3"/>
        <v>12370</v>
      </c>
      <c r="X13" s="59" t="e">
        <f>#REF!+#REF!+#REF!+#REF!+#REF!+#REF!+#REF!+#REF!+#REF!+#REF!+#REF!+#REF!</f>
        <v>#REF!</v>
      </c>
      <c r="Y13" s="58" t="s">
        <v>53</v>
      </c>
      <c r="Z13" s="105">
        <v>7474</v>
      </c>
      <c r="AA13" s="105">
        <v>-1296</v>
      </c>
      <c r="AB13" s="105">
        <v>608.75</v>
      </c>
      <c r="AC13" s="105"/>
      <c r="AD13" s="105"/>
      <c r="AE13" s="105"/>
      <c r="AH13" s="105">
        <v>426</v>
      </c>
      <c r="AI13" s="105">
        <f>19+89+109</f>
        <v>217</v>
      </c>
      <c r="AJ13" s="105">
        <v>75</v>
      </c>
      <c r="AK13" s="105">
        <v>236</v>
      </c>
      <c r="AL13" s="105">
        <f>AL8/12</f>
        <v>211.33333333333334</v>
      </c>
      <c r="AM13" s="105">
        <f>AM8/12</f>
        <v>671.66666666666663</v>
      </c>
      <c r="AN13" s="105">
        <f>AN8/12</f>
        <v>263.33333333333331</v>
      </c>
      <c r="AO13" s="105"/>
      <c r="AP13" s="105">
        <v>79</v>
      </c>
      <c r="AQ13" s="105">
        <v>339</v>
      </c>
      <c r="AR13" s="105">
        <v>200</v>
      </c>
      <c r="AS13" s="105">
        <v>69</v>
      </c>
    </row>
    <row r="14" spans="1:52" s="120" customFormat="1" ht="15" customHeight="1">
      <c r="A14" s="57"/>
      <c r="B14" s="2920"/>
      <c r="C14" s="2920"/>
      <c r="D14" s="2920"/>
      <c r="E14" s="2920"/>
      <c r="F14" s="150">
        <f>INT(F13/12)</f>
        <v>1810</v>
      </c>
      <c r="G14" s="150">
        <f>INT(G13/12)</f>
        <v>1335</v>
      </c>
      <c r="H14" s="966">
        <f>H16/365</f>
        <v>87.804904109589046</v>
      </c>
      <c r="I14" s="150">
        <f>INT(I13/12)</f>
        <v>526</v>
      </c>
      <c r="J14" s="150">
        <f>INT(J13/12)</f>
        <v>32</v>
      </c>
      <c r="K14" s="151">
        <f>INT(K16/365)</f>
        <v>21</v>
      </c>
      <c r="L14" s="150">
        <f t="shared" ref="L14:X14" si="4">INT(L13/12)</f>
        <v>66</v>
      </c>
      <c r="M14" s="150">
        <f t="shared" si="4"/>
        <v>274</v>
      </c>
      <c r="N14" s="150">
        <f t="shared" si="4"/>
        <v>8096</v>
      </c>
      <c r="O14" s="150">
        <f t="shared" si="4"/>
        <v>1256</v>
      </c>
      <c r="P14" s="150">
        <f t="shared" si="4"/>
        <v>1571</v>
      </c>
      <c r="Q14" s="150">
        <f t="shared" si="4"/>
        <v>1039</v>
      </c>
      <c r="R14" s="150">
        <f t="shared" si="4"/>
        <v>236</v>
      </c>
      <c r="S14" s="150">
        <f t="shared" si="4"/>
        <v>659</v>
      </c>
      <c r="T14" s="150">
        <f t="shared" si="4"/>
        <v>123</v>
      </c>
      <c r="U14" s="150">
        <f t="shared" si="4"/>
        <v>339</v>
      </c>
      <c r="V14" s="150">
        <f t="shared" si="4"/>
        <v>792</v>
      </c>
      <c r="W14" s="150">
        <f t="shared" si="4"/>
        <v>1030</v>
      </c>
      <c r="X14" s="150" t="e">
        <f t="shared" si="4"/>
        <v>#REF!</v>
      </c>
      <c r="Y14" s="53"/>
      <c r="Z14" s="105"/>
      <c r="AA14" s="105"/>
      <c r="AB14" s="105"/>
      <c r="AC14" s="105"/>
      <c r="AD14" s="105"/>
      <c r="AE14" s="105"/>
      <c r="AF14" s="105">
        <f>-11078</f>
        <v>-11078</v>
      </c>
      <c r="AG14" s="105">
        <f>-7943</f>
        <v>-7943</v>
      </c>
      <c r="AH14" s="148">
        <v>11533</v>
      </c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</row>
    <row r="15" spans="1:52" s="102" customFormat="1" ht="15" customHeight="1">
      <c r="A15" s="121"/>
      <c r="B15" s="2921" t="s">
        <v>173</v>
      </c>
      <c r="C15" s="2921"/>
      <c r="D15" s="2921"/>
      <c r="E15" s="2921"/>
      <c r="F15" s="49">
        <f>SUM(F16:F17)</f>
        <v>21720.009999999995</v>
      </c>
      <c r="G15" s="49">
        <f>SUM(G16:G17)</f>
        <v>16023.75</v>
      </c>
      <c r="H15" s="49">
        <f>SUM(H16:H17)</f>
        <v>32048.79</v>
      </c>
      <c r="I15" s="49">
        <v>6316</v>
      </c>
      <c r="J15" s="49">
        <v>384</v>
      </c>
      <c r="K15" s="49">
        <v>7925</v>
      </c>
      <c r="L15" s="49">
        <v>795</v>
      </c>
      <c r="M15" s="49">
        <v>3292</v>
      </c>
      <c r="N15" s="49">
        <v>97162</v>
      </c>
      <c r="O15" s="49">
        <v>15073</v>
      </c>
      <c r="P15" s="49">
        <v>18857</v>
      </c>
      <c r="Q15" s="49">
        <v>12477</v>
      </c>
      <c r="R15" s="49">
        <v>2834</v>
      </c>
      <c r="S15" s="49">
        <f>SUM(S16:S17)</f>
        <v>7914</v>
      </c>
      <c r="T15" s="49">
        <v>1481</v>
      </c>
      <c r="U15" s="49">
        <v>4068</v>
      </c>
      <c r="V15" s="49">
        <v>9504</v>
      </c>
      <c r="W15" s="49">
        <v>12370</v>
      </c>
      <c r="X15" s="49">
        <v>4752</v>
      </c>
    </row>
    <row r="16" spans="1:52" s="102" customFormat="1" ht="15" customHeight="1">
      <c r="A16" s="121"/>
      <c r="B16" s="2922" t="s">
        <v>172</v>
      </c>
      <c r="C16" s="2922"/>
      <c r="D16" s="2922"/>
      <c r="E16" s="2922">
        <f>MIN(E10:P10)</f>
        <v>0</v>
      </c>
      <c r="F16" s="47">
        <f t="shared" ref="F16:X16" si="5">F19+F54+F89+F123+F153+F186+F216+F248+F280+F316+F343+F374</f>
        <v>21720.009999999995</v>
      </c>
      <c r="G16" s="47">
        <f t="shared" si="5"/>
        <v>16023.75</v>
      </c>
      <c r="H16" s="47">
        <f t="shared" si="5"/>
        <v>32048.79</v>
      </c>
      <c r="I16" s="47">
        <f t="shared" si="5"/>
        <v>6368.85</v>
      </c>
      <c r="J16" s="47">
        <f t="shared" si="5"/>
        <v>384.05</v>
      </c>
      <c r="K16" s="47">
        <f t="shared" si="5"/>
        <v>7708</v>
      </c>
      <c r="L16" s="47">
        <f t="shared" si="5"/>
        <v>794.9</v>
      </c>
      <c r="M16" s="47">
        <f t="shared" si="5"/>
        <v>3291.55</v>
      </c>
      <c r="N16" s="47">
        <f t="shared" si="5"/>
        <v>97162</v>
      </c>
      <c r="O16" s="47">
        <f t="shared" si="5"/>
        <v>16095</v>
      </c>
      <c r="P16" s="47">
        <f t="shared" si="5"/>
        <v>18856.73</v>
      </c>
      <c r="Q16" s="47">
        <f t="shared" si="5"/>
        <v>12565.41</v>
      </c>
      <c r="R16" s="47">
        <f t="shared" si="5"/>
        <v>2934</v>
      </c>
      <c r="S16" s="47">
        <f t="shared" si="5"/>
        <v>7914</v>
      </c>
      <c r="T16" s="47">
        <f t="shared" si="5"/>
        <v>1480.8899999999999</v>
      </c>
      <c r="U16" s="47">
        <f t="shared" si="5"/>
        <v>4068</v>
      </c>
      <c r="V16" s="47">
        <f t="shared" si="5"/>
        <v>9504</v>
      </c>
      <c r="W16" s="47">
        <f t="shared" si="5"/>
        <v>12370.45</v>
      </c>
      <c r="X16" s="47" t="e">
        <f t="shared" si="5"/>
        <v>#REF!</v>
      </c>
    </row>
    <row r="17" spans="1:44" s="103" customFormat="1" ht="15" customHeight="1">
      <c r="A17" s="149"/>
      <c r="B17" s="2923" t="s">
        <v>171</v>
      </c>
      <c r="C17" s="2923"/>
      <c r="D17" s="2923"/>
      <c r="E17" s="2923"/>
      <c r="F17" s="44">
        <f>F52+F87+F121+F151+F184+F214+F246+F278+F311+F341+F370+F407</f>
        <v>0</v>
      </c>
      <c r="G17" s="44">
        <f>G52+G87+G121+G151+G184+G214+G246+G278+G311+G341+G370+G407</f>
        <v>0</v>
      </c>
      <c r="H17" s="44">
        <f>H52+H87+H121+H151+H184+H214+H246+H278+H311+H341+H370+H407</f>
        <v>0</v>
      </c>
      <c r="I17" s="44">
        <f>I52+I87+I121+I151+I184+I214+I246+I278+I311+I341+I370+I407</f>
        <v>0</v>
      </c>
      <c r="J17" s="44">
        <f>J52+J87+J121+J151+J184+J214+J246+J278+J311+J341+J370+J407</f>
        <v>0</v>
      </c>
      <c r="K17" s="47">
        <f ca="1">K16/B7*(365-B7)</f>
        <v>-4459.2471131639732</v>
      </c>
      <c r="L17" s="44">
        <f t="shared" ref="L17:V17" si="6">L52+L87+L121+L151+L184+L214+L246+L278+L311+L341+L370+L407</f>
        <v>0</v>
      </c>
      <c r="M17" s="44">
        <f t="shared" si="6"/>
        <v>0</v>
      </c>
      <c r="N17" s="44">
        <f t="shared" si="6"/>
        <v>0</v>
      </c>
      <c r="O17" s="44">
        <f t="shared" si="6"/>
        <v>0</v>
      </c>
      <c r="P17" s="44">
        <f t="shared" si="6"/>
        <v>0</v>
      </c>
      <c r="Q17" s="44">
        <f t="shared" si="6"/>
        <v>0</v>
      </c>
      <c r="R17" s="44">
        <f t="shared" si="6"/>
        <v>0</v>
      </c>
      <c r="S17" s="44">
        <f t="shared" si="6"/>
        <v>0</v>
      </c>
      <c r="T17" s="44">
        <f t="shared" si="6"/>
        <v>0</v>
      </c>
      <c r="U17" s="44">
        <f t="shared" si="6"/>
        <v>0</v>
      </c>
      <c r="V17" s="44">
        <f t="shared" si="6"/>
        <v>0</v>
      </c>
      <c r="W17" s="44">
        <f>W341+W370+W407</f>
        <v>0</v>
      </c>
      <c r="X17" s="44">
        <f>X341+X370+X407</f>
        <v>0</v>
      </c>
    </row>
    <row r="18" spans="1:44" ht="2.25" customHeight="1">
      <c r="Y18" s="52"/>
      <c r="Z18" s="148"/>
      <c r="AA18" s="148"/>
      <c r="AB18" s="148"/>
      <c r="AC18" s="148"/>
      <c r="AD18" s="148"/>
      <c r="AE18" s="147"/>
      <c r="AF18" s="147"/>
      <c r="AG18" s="147"/>
      <c r="AH18" s="147"/>
      <c r="AI18" s="148"/>
      <c r="AJ18" s="147"/>
      <c r="AK18" s="147"/>
      <c r="AL18" s="147"/>
      <c r="AM18" s="147"/>
      <c r="AN18" s="147"/>
    </row>
    <row r="19" spans="1:44" s="126" customFormat="1" ht="13.5" customHeight="1">
      <c r="A19" s="39"/>
      <c r="B19" s="2948" t="str">
        <f>D7</f>
        <v>Januar</v>
      </c>
      <c r="C19" s="2949"/>
      <c r="D19" s="128"/>
      <c r="E19" s="36">
        <f t="shared" ref="E19:W19" si="7">SUM(E20:E51)</f>
        <v>468.26999999999947</v>
      </c>
      <c r="F19" s="36">
        <f t="shared" si="7"/>
        <v>9580.4399999999987</v>
      </c>
      <c r="G19" s="36">
        <f t="shared" si="7"/>
        <v>1214.05</v>
      </c>
      <c r="H19" s="36">
        <f t="shared" si="7"/>
        <v>1651.7</v>
      </c>
      <c r="I19" s="36">
        <f t="shared" si="7"/>
        <v>1194.3499999999999</v>
      </c>
      <c r="J19" s="36">
        <f t="shared" si="7"/>
        <v>0</v>
      </c>
      <c r="K19" s="36">
        <f t="shared" si="7"/>
        <v>660</v>
      </c>
      <c r="L19" s="36">
        <f t="shared" si="7"/>
        <v>38.950000000000003</v>
      </c>
      <c r="M19" s="36">
        <f t="shared" si="7"/>
        <v>196</v>
      </c>
      <c r="N19" s="36">
        <f t="shared" si="7"/>
        <v>7474</v>
      </c>
      <c r="O19" s="36">
        <f t="shared" si="7"/>
        <v>3480</v>
      </c>
      <c r="P19" s="36">
        <f t="shared" si="7"/>
        <v>1063.22</v>
      </c>
      <c r="Q19" s="36">
        <f t="shared" si="7"/>
        <v>1357.71</v>
      </c>
      <c r="R19" s="36">
        <f t="shared" si="7"/>
        <v>170</v>
      </c>
      <c r="S19" s="36">
        <f t="shared" si="7"/>
        <v>0</v>
      </c>
      <c r="T19" s="36">
        <f t="shared" si="7"/>
        <v>68.75</v>
      </c>
      <c r="U19" s="36">
        <f t="shared" si="7"/>
        <v>339</v>
      </c>
      <c r="V19" s="36">
        <f t="shared" si="7"/>
        <v>1000</v>
      </c>
      <c r="W19" s="36">
        <f t="shared" si="7"/>
        <v>531.11</v>
      </c>
      <c r="X19" s="36"/>
      <c r="Y19" s="98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108"/>
      <c r="AP19" s="108"/>
      <c r="AQ19" s="108"/>
      <c r="AR19" s="108"/>
    </row>
    <row r="20" spans="1:44" s="106" customFormat="1" ht="13.8">
      <c r="A20" s="125"/>
      <c r="B20" s="34">
        <v>44560</v>
      </c>
      <c r="C20" s="34"/>
      <c r="D20" s="124" t="s">
        <v>35</v>
      </c>
      <c r="E20" s="32">
        <v>-11138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135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</row>
    <row r="21" spans="1:44" s="106" customFormat="1" ht="13.8">
      <c r="A21" s="125"/>
      <c r="B21" s="34">
        <v>44560</v>
      </c>
      <c r="C21" s="34"/>
      <c r="D21" s="124" t="s">
        <v>34</v>
      </c>
      <c r="E21" s="32">
        <f>-7859-213</f>
        <v>-8072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135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</row>
    <row r="22" spans="1:44" s="106" customFormat="1" ht="13.8">
      <c r="A22" s="125"/>
      <c r="B22" s="34">
        <v>44560</v>
      </c>
      <c r="C22" s="34"/>
      <c r="D22" s="124" t="s">
        <v>170</v>
      </c>
      <c r="E22" s="32">
        <f>-13.94-108.96</f>
        <v>-122.89999999999999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>
        <v>-122.9</v>
      </c>
      <c r="Q22" s="31"/>
      <c r="R22" s="31"/>
      <c r="S22" s="31"/>
      <c r="T22" s="31"/>
      <c r="U22" s="31"/>
      <c r="V22" s="31"/>
      <c r="W22" s="31"/>
      <c r="X22" s="31"/>
      <c r="Y22" s="122"/>
    </row>
    <row r="23" spans="1:44" s="106" customFormat="1" ht="13.8">
      <c r="A23" s="125"/>
      <c r="B23" s="34">
        <v>44560</v>
      </c>
      <c r="C23" s="34"/>
      <c r="D23" s="124" t="s">
        <v>32</v>
      </c>
      <c r="E23" s="32">
        <v>339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>
        <v>339</v>
      </c>
      <c r="V23" s="31"/>
      <c r="W23" s="31"/>
      <c r="X23" s="31"/>
    </row>
    <row r="24" spans="1:44" s="106" customFormat="1" ht="13.8">
      <c r="A24" s="125">
        <v>5</v>
      </c>
      <c r="B24" s="34">
        <v>44560</v>
      </c>
      <c r="C24" s="34"/>
      <c r="D24" s="124" t="s">
        <v>57</v>
      </c>
      <c r="E24" s="32">
        <v>1000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>
        <v>1000</v>
      </c>
      <c r="W24" s="31"/>
      <c r="X24" s="31"/>
    </row>
    <row r="25" spans="1:44" s="106" customFormat="1" ht="13.8">
      <c r="A25" s="125"/>
      <c r="B25" s="34">
        <v>44561</v>
      </c>
      <c r="C25" s="34"/>
      <c r="D25" s="124" t="s">
        <v>169</v>
      </c>
      <c r="E25" s="32">
        <v>305</v>
      </c>
      <c r="F25" s="31"/>
      <c r="G25" s="31"/>
      <c r="H25" s="31">
        <v>305</v>
      </c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</row>
    <row r="26" spans="1:44" s="106" customFormat="1" ht="13.8">
      <c r="A26" s="125"/>
      <c r="B26" s="34">
        <v>44562</v>
      </c>
      <c r="C26" s="34" t="s">
        <v>17</v>
      </c>
      <c r="D26" s="124" t="s">
        <v>22</v>
      </c>
      <c r="E26" s="32">
        <v>311</v>
      </c>
      <c r="F26" s="31">
        <v>311</v>
      </c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>
        <v>311</v>
      </c>
      <c r="R26" s="31"/>
      <c r="S26" s="31"/>
      <c r="T26" s="31"/>
      <c r="U26" s="31"/>
      <c r="V26" s="31"/>
      <c r="W26" s="31"/>
      <c r="X26" s="31"/>
      <c r="Y26" s="122"/>
    </row>
    <row r="27" spans="1:44" s="106" customFormat="1" ht="13.8">
      <c r="A27" s="125"/>
      <c r="B27" s="34">
        <v>44562</v>
      </c>
      <c r="C27" s="34" t="s">
        <v>17</v>
      </c>
      <c r="D27" s="124" t="s">
        <v>30</v>
      </c>
      <c r="E27" s="32">
        <v>7474</v>
      </c>
      <c r="F27" s="31">
        <v>7474</v>
      </c>
      <c r="G27" s="31"/>
      <c r="H27" s="31"/>
      <c r="I27" s="31"/>
      <c r="J27" s="31"/>
      <c r="K27" s="31"/>
      <c r="L27" s="31"/>
      <c r="M27" s="31"/>
      <c r="N27" s="31">
        <v>7474</v>
      </c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122"/>
    </row>
    <row r="28" spans="1:44" s="106" customFormat="1" ht="13.8">
      <c r="A28" s="125"/>
      <c r="B28" s="34">
        <v>44562</v>
      </c>
      <c r="C28" s="34" t="s">
        <v>17</v>
      </c>
      <c r="D28" s="124" t="s">
        <v>29</v>
      </c>
      <c r="E28" s="32">
        <v>69</v>
      </c>
      <c r="F28" s="31">
        <v>69</v>
      </c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122"/>
    </row>
    <row r="29" spans="1:44" s="106" customFormat="1" ht="13.8">
      <c r="A29" s="125"/>
      <c r="B29" s="34">
        <v>44564</v>
      </c>
      <c r="C29" s="34" t="s">
        <v>17</v>
      </c>
      <c r="D29" s="124" t="s">
        <v>31</v>
      </c>
      <c r="E29" s="32">
        <v>-1296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122"/>
    </row>
    <row r="30" spans="1:44" s="106" customFormat="1" ht="13.8">
      <c r="A30" s="125"/>
      <c r="B30" s="34">
        <v>44564</v>
      </c>
      <c r="C30" s="34" t="s">
        <v>17</v>
      </c>
      <c r="D30" s="124" t="s">
        <v>28</v>
      </c>
      <c r="E30" s="32">
        <v>200</v>
      </c>
      <c r="F30" s="31">
        <v>200</v>
      </c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122"/>
    </row>
    <row r="31" spans="1:44" s="106" customFormat="1" ht="13.8">
      <c r="A31" s="125"/>
      <c r="B31" s="34">
        <v>44564</v>
      </c>
      <c r="C31" s="34" t="s">
        <v>19</v>
      </c>
      <c r="D31" s="124" t="s">
        <v>26</v>
      </c>
      <c r="E31" s="32">
        <v>531.11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2">
        <v>531.11</v>
      </c>
      <c r="X31" s="31"/>
      <c r="Y31" s="122"/>
    </row>
    <row r="32" spans="1:44" s="106" customFormat="1" ht="13.8">
      <c r="A32" s="125"/>
      <c r="B32" s="34">
        <v>44564</v>
      </c>
      <c r="C32" s="34" t="s">
        <v>19</v>
      </c>
      <c r="D32" s="124" t="s">
        <v>24</v>
      </c>
      <c r="E32" s="32">
        <v>68.75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>
        <v>68.75</v>
      </c>
      <c r="U32" s="31"/>
      <c r="V32" s="31"/>
      <c r="W32" s="31"/>
      <c r="X32" s="31"/>
      <c r="Y32" s="122"/>
    </row>
    <row r="33" spans="1:40" s="106" customFormat="1" ht="13.8">
      <c r="A33" s="125"/>
      <c r="B33" s="34">
        <v>44564</v>
      </c>
      <c r="C33" s="34" t="s">
        <v>19</v>
      </c>
      <c r="D33" s="124" t="s">
        <v>23</v>
      </c>
      <c r="E33" s="32">
        <v>170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>
        <v>170</v>
      </c>
      <c r="S33" s="31"/>
      <c r="T33" s="31"/>
      <c r="U33" s="31"/>
      <c r="V33" s="31"/>
      <c r="W33" s="31"/>
      <c r="X33" s="31"/>
      <c r="Y33" s="122"/>
    </row>
    <row r="34" spans="1:40" s="106" customFormat="1" ht="13.8">
      <c r="A34" s="125"/>
      <c r="B34" s="34">
        <v>44564</v>
      </c>
      <c r="C34" s="34" t="s">
        <v>19</v>
      </c>
      <c r="D34" s="124" t="s">
        <v>25</v>
      </c>
      <c r="E34" s="32">
        <v>923.82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>
        <v>923.82</v>
      </c>
      <c r="Q34" s="31"/>
      <c r="R34" s="31"/>
      <c r="S34" s="31"/>
      <c r="T34" s="31"/>
      <c r="U34" s="31"/>
      <c r="V34" s="31"/>
      <c r="W34" s="31"/>
      <c r="X34" s="31"/>
      <c r="Y34" s="122"/>
    </row>
    <row r="35" spans="1:40" s="106" customFormat="1" ht="13.8">
      <c r="A35" s="125"/>
      <c r="B35" s="34">
        <v>44564</v>
      </c>
      <c r="C35" s="34" t="s">
        <v>19</v>
      </c>
      <c r="D35" s="124" t="s">
        <v>27</v>
      </c>
      <c r="E35" s="32">
        <v>548.75</v>
      </c>
      <c r="F35" s="31">
        <v>548.75</v>
      </c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>
        <v>548.75</v>
      </c>
      <c r="R35" s="31"/>
      <c r="S35" s="31"/>
      <c r="T35" s="31"/>
      <c r="U35" s="31"/>
      <c r="V35" s="31"/>
      <c r="W35" s="31"/>
      <c r="X35" s="31"/>
      <c r="Y35" s="122"/>
    </row>
    <row r="36" spans="1:40" s="106" customFormat="1" ht="13.8">
      <c r="A36" s="125"/>
      <c r="B36" s="34">
        <v>44563</v>
      </c>
      <c r="C36" s="34" t="s">
        <v>17</v>
      </c>
      <c r="D36" s="124" t="s">
        <v>21</v>
      </c>
      <c r="E36" s="32">
        <v>112</v>
      </c>
      <c r="F36" s="31">
        <v>112</v>
      </c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>
        <v>112</v>
      </c>
      <c r="R36" s="31"/>
      <c r="S36" s="31"/>
      <c r="T36" s="31"/>
      <c r="U36" s="31"/>
      <c r="V36" s="31"/>
      <c r="W36" s="31"/>
      <c r="X36" s="31"/>
      <c r="Y36" s="122"/>
    </row>
    <row r="37" spans="1:40" s="106" customFormat="1" ht="13.8">
      <c r="A37" s="125"/>
      <c r="B37" s="34">
        <v>44564</v>
      </c>
      <c r="C37" s="34"/>
      <c r="D37" s="124" t="s">
        <v>168</v>
      </c>
      <c r="E37" s="32">
        <v>65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>
        <v>65</v>
      </c>
      <c r="R37" s="31"/>
      <c r="S37" s="31"/>
      <c r="T37" s="31"/>
      <c r="U37" s="31"/>
      <c r="V37" s="31"/>
      <c r="W37" s="31"/>
      <c r="X37" s="31"/>
      <c r="Y37" s="122"/>
    </row>
    <row r="38" spans="1:40" s="106" customFormat="1" ht="13.8">
      <c r="A38" s="125"/>
      <c r="B38" s="34">
        <v>44574</v>
      </c>
      <c r="C38" s="34" t="s">
        <v>17</v>
      </c>
      <c r="D38" s="124" t="s">
        <v>149</v>
      </c>
      <c r="E38" s="32">
        <v>320.95999999999998</v>
      </c>
      <c r="F38" s="31">
        <v>320.95999999999998</v>
      </c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>
        <v>320.95999999999998</v>
      </c>
      <c r="R38" s="31"/>
      <c r="S38" s="31"/>
      <c r="T38" s="31"/>
      <c r="U38" s="31"/>
      <c r="V38" s="31"/>
      <c r="W38" s="31"/>
      <c r="X38" s="31"/>
    </row>
    <row r="39" spans="1:40" s="106" customFormat="1" ht="13.8">
      <c r="A39" s="125"/>
      <c r="B39" s="34">
        <v>44566</v>
      </c>
      <c r="C39" s="34" t="s">
        <v>19</v>
      </c>
      <c r="D39" s="124" t="s">
        <v>20</v>
      </c>
      <c r="E39" s="32">
        <v>282.43</v>
      </c>
      <c r="F39" s="31">
        <v>282.43</v>
      </c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122"/>
    </row>
    <row r="40" spans="1:40" s="106" customFormat="1" ht="13.8">
      <c r="A40" s="125"/>
      <c r="B40" s="34">
        <v>44566</v>
      </c>
      <c r="C40" s="34" t="s">
        <v>19</v>
      </c>
      <c r="D40" s="124" t="s">
        <v>18</v>
      </c>
      <c r="E40" s="32">
        <v>262.3</v>
      </c>
      <c r="F40" s="31">
        <v>262.3</v>
      </c>
      <c r="G40" s="31"/>
      <c r="H40" s="31"/>
      <c r="I40" s="31"/>
      <c r="J40" s="31"/>
      <c r="K40" s="31"/>
      <c r="L40" s="31"/>
      <c r="M40" s="31"/>
      <c r="N40" s="31"/>
      <c r="O40" s="31"/>
      <c r="P40" s="31">
        <v>262.3</v>
      </c>
      <c r="Q40" s="31"/>
      <c r="R40" s="31"/>
      <c r="S40" s="31"/>
      <c r="T40" s="31"/>
      <c r="U40" s="31"/>
      <c r="V40" s="31"/>
      <c r="W40" s="31"/>
      <c r="X40" s="31"/>
      <c r="Y40" s="122"/>
    </row>
    <row r="41" spans="1:40" s="106" customFormat="1" ht="13.8">
      <c r="A41" s="125"/>
      <c r="B41" s="34">
        <v>44568</v>
      </c>
      <c r="C41" s="34"/>
      <c r="D41" s="124" t="s">
        <v>48</v>
      </c>
      <c r="E41" s="32">
        <v>500</v>
      </c>
      <c r="F41" s="31"/>
      <c r="G41" s="31"/>
      <c r="H41" s="31"/>
      <c r="I41" s="31"/>
      <c r="J41" s="31"/>
      <c r="K41" s="31"/>
      <c r="L41" s="31"/>
      <c r="M41" s="31"/>
      <c r="N41" s="31"/>
      <c r="O41" s="31">
        <v>500</v>
      </c>
      <c r="P41" s="31"/>
      <c r="Q41" s="31"/>
      <c r="R41" s="31"/>
      <c r="S41" s="31"/>
      <c r="T41" s="31"/>
      <c r="U41" s="31"/>
      <c r="V41" s="31"/>
      <c r="W41" s="31"/>
      <c r="X41" s="31"/>
      <c r="Y41" s="135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</row>
    <row r="42" spans="1:40" s="106" customFormat="1" ht="13.8">
      <c r="A42" s="125"/>
      <c r="B42" s="34">
        <v>44569</v>
      </c>
      <c r="C42" s="34"/>
      <c r="D42" s="124" t="s">
        <v>162</v>
      </c>
      <c r="E42" s="32">
        <v>3424.3</v>
      </c>
      <c r="F42" s="31"/>
      <c r="G42" s="31">
        <v>444.3</v>
      </c>
      <c r="H42" s="31"/>
      <c r="I42" s="31"/>
      <c r="J42" s="31"/>
      <c r="K42" s="31"/>
      <c r="L42" s="31"/>
      <c r="M42" s="31"/>
      <c r="N42" s="31"/>
      <c r="O42" s="31">
        <v>2980</v>
      </c>
      <c r="P42" s="31"/>
      <c r="Q42" s="31"/>
      <c r="R42" s="31"/>
      <c r="S42" s="31"/>
      <c r="T42" s="31"/>
      <c r="U42" s="31"/>
      <c r="V42" s="31"/>
      <c r="W42" s="31"/>
      <c r="X42" s="31"/>
      <c r="Y42" s="135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</row>
    <row r="43" spans="1:40" s="106" customFormat="1" ht="13.8">
      <c r="A43" s="125"/>
      <c r="B43" s="34">
        <v>44570</v>
      </c>
      <c r="C43" s="34"/>
      <c r="D43" s="124" t="s">
        <v>124</v>
      </c>
      <c r="E43" s="32">
        <v>1194.3499999999999</v>
      </c>
      <c r="F43" s="31"/>
      <c r="G43" s="31"/>
      <c r="H43" s="31"/>
      <c r="I43" s="31">
        <v>1194.3499999999999</v>
      </c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135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</row>
    <row r="44" spans="1:40" s="106" customFormat="1" ht="13.8">
      <c r="A44" s="125"/>
      <c r="B44" s="34">
        <v>44576</v>
      </c>
      <c r="C44" s="34"/>
      <c r="D44" s="124" t="s">
        <v>167</v>
      </c>
      <c r="E44" s="32">
        <v>200</v>
      </c>
      <c r="F44" s="31"/>
      <c r="G44" s="31">
        <v>200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135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</row>
    <row r="45" spans="1:40" s="106" customFormat="1" ht="13.8">
      <c r="A45" s="125"/>
      <c r="B45" s="34"/>
      <c r="C45" s="34"/>
      <c r="D45" s="124"/>
      <c r="E45" s="32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135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</row>
    <row r="46" spans="1:40" s="106" customFormat="1" ht="13.8">
      <c r="A46" s="125"/>
      <c r="B46" s="34"/>
      <c r="C46" s="34"/>
      <c r="D46" s="124" t="s">
        <v>42</v>
      </c>
      <c r="E46" s="32">
        <v>1786.45</v>
      </c>
      <c r="F46" s="31"/>
      <c r="G46" s="31"/>
      <c r="H46" s="31">
        <v>1056.45</v>
      </c>
      <c r="I46" s="31"/>
      <c r="J46" s="31"/>
      <c r="K46" s="31">
        <v>660</v>
      </c>
      <c r="L46" s="31"/>
      <c r="M46" s="31">
        <v>70</v>
      </c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122"/>
    </row>
    <row r="47" spans="1:40" s="106" customFormat="1" ht="13.8">
      <c r="A47" s="125"/>
      <c r="B47" s="34"/>
      <c r="C47" s="34"/>
      <c r="D47" s="124" t="s">
        <v>41</v>
      </c>
      <c r="E47" s="32">
        <v>473.7</v>
      </c>
      <c r="F47" s="31"/>
      <c r="G47" s="31">
        <v>225</v>
      </c>
      <c r="H47" s="31">
        <v>99.75</v>
      </c>
      <c r="I47" s="31"/>
      <c r="J47" s="31"/>
      <c r="K47" s="31"/>
      <c r="L47" s="31">
        <v>38.950000000000003</v>
      </c>
      <c r="M47" s="31">
        <v>126</v>
      </c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122"/>
    </row>
    <row r="48" spans="1:40" s="106" customFormat="1" ht="13.8">
      <c r="A48" s="125"/>
      <c r="B48" s="34"/>
      <c r="C48" s="34"/>
      <c r="D48" s="124" t="s">
        <v>40</v>
      </c>
      <c r="E48" s="32">
        <v>82</v>
      </c>
      <c r="F48" s="31"/>
      <c r="G48" s="31"/>
      <c r="H48" s="31">
        <v>82</v>
      </c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122"/>
    </row>
    <row r="49" spans="1:50" s="106" customFormat="1" ht="13.8">
      <c r="A49" s="125"/>
      <c r="B49" s="34"/>
      <c r="C49" s="34"/>
      <c r="D49" s="124" t="s">
        <v>39</v>
      </c>
      <c r="E49" s="32">
        <v>289.5</v>
      </c>
      <c r="F49" s="31"/>
      <c r="G49" s="31">
        <v>237</v>
      </c>
      <c r="H49" s="31">
        <v>52.5</v>
      </c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122"/>
    </row>
    <row r="50" spans="1:50" s="106" customFormat="1" ht="13.8">
      <c r="A50" s="125"/>
      <c r="B50" s="34"/>
      <c r="C50" s="34"/>
      <c r="D50" s="124" t="s">
        <v>38</v>
      </c>
      <c r="E50" s="32">
        <v>56</v>
      </c>
      <c r="F50" s="31"/>
      <c r="G50" s="31"/>
      <c r="H50" s="31">
        <v>56</v>
      </c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122"/>
    </row>
    <row r="51" spans="1:50" s="106" customFormat="1" ht="13.8">
      <c r="A51" s="125"/>
      <c r="B51" s="34"/>
      <c r="C51" s="34"/>
      <c r="D51" s="124" t="s">
        <v>37</v>
      </c>
      <c r="E51" s="32">
        <v>107.75</v>
      </c>
      <c r="F51" s="31"/>
      <c r="G51" s="31">
        <v>107.75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122"/>
    </row>
    <row r="52" spans="1:50" s="120" customFormat="1" ht="12" customHeight="1">
      <c r="A52" s="60"/>
      <c r="B52" s="2930" t="str">
        <f>D7</f>
        <v>Januar</v>
      </c>
      <c r="C52" s="2931"/>
      <c r="D52" s="2934" t="s">
        <v>36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36"/>
      <c r="Y52" s="122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</row>
    <row r="53" spans="1:50" s="120" customFormat="1" ht="12" customHeight="1">
      <c r="A53" s="60"/>
      <c r="B53" s="2932"/>
      <c r="C53" s="2933"/>
      <c r="D53" s="2935"/>
      <c r="E53" s="2937"/>
      <c r="F53" s="2937"/>
      <c r="G53" s="2937"/>
      <c r="H53" s="2937"/>
      <c r="I53" s="2937"/>
      <c r="J53" s="2937"/>
      <c r="K53" s="2937"/>
      <c r="L53" s="2937"/>
      <c r="M53" s="2937"/>
      <c r="N53" s="2937"/>
      <c r="O53" s="2937"/>
      <c r="P53" s="2937"/>
      <c r="Q53" s="2937"/>
      <c r="R53" s="2937"/>
      <c r="S53" s="2937"/>
      <c r="T53" s="2937"/>
      <c r="U53" s="2937"/>
      <c r="V53" s="2937"/>
      <c r="W53" s="2937"/>
      <c r="X53" s="2937"/>
      <c r="Y53" s="72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6"/>
      <c r="AK53" s="106"/>
      <c r="AL53" s="106"/>
      <c r="AM53" s="106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</row>
    <row r="54" spans="1:50" s="126" customFormat="1" ht="13.5" customHeight="1">
      <c r="A54" s="39"/>
      <c r="B54" s="2948" t="str">
        <f>E7</f>
        <v>Februar</v>
      </c>
      <c r="C54" s="2949"/>
      <c r="D54" s="128"/>
      <c r="E54" s="36">
        <f t="shared" ref="E54:V54" si="8">SUM(E55:E86)</f>
        <v>-3788.2699999999991</v>
      </c>
      <c r="F54" s="36">
        <f t="shared" si="8"/>
        <v>16942.740000000002</v>
      </c>
      <c r="G54" s="36">
        <f t="shared" si="8"/>
        <v>3253</v>
      </c>
      <c r="H54" s="36">
        <f t="shared" si="8"/>
        <v>2748.7000000000003</v>
      </c>
      <c r="I54" s="36">
        <f t="shared" si="8"/>
        <v>214.75</v>
      </c>
      <c r="J54" s="36">
        <f t="shared" si="8"/>
        <v>2.2999999999999998</v>
      </c>
      <c r="K54" s="36">
        <f t="shared" si="8"/>
        <v>550</v>
      </c>
      <c r="L54" s="36">
        <f t="shared" si="8"/>
        <v>188.95</v>
      </c>
      <c r="M54" s="36">
        <f t="shared" si="8"/>
        <v>718</v>
      </c>
      <c r="N54" s="36">
        <f t="shared" si="8"/>
        <v>14948</v>
      </c>
      <c r="O54" s="36">
        <f t="shared" si="8"/>
        <v>1404</v>
      </c>
      <c r="P54" s="36">
        <f t="shared" si="8"/>
        <v>516.75</v>
      </c>
      <c r="Q54" s="36">
        <f t="shared" si="8"/>
        <v>1340.75</v>
      </c>
      <c r="R54" s="36">
        <f t="shared" si="8"/>
        <v>265</v>
      </c>
      <c r="S54" s="36">
        <f t="shared" si="8"/>
        <v>500</v>
      </c>
      <c r="T54" s="36">
        <f t="shared" si="8"/>
        <v>180</v>
      </c>
      <c r="U54" s="36">
        <f t="shared" si="8"/>
        <v>339</v>
      </c>
      <c r="V54" s="36">
        <f t="shared" si="8"/>
        <v>1300</v>
      </c>
      <c r="W54" s="36"/>
      <c r="X54" s="36"/>
      <c r="Y54" s="46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6"/>
      <c r="AK54" s="106"/>
      <c r="AL54" s="106"/>
      <c r="AM54" s="106"/>
      <c r="AN54" s="102"/>
      <c r="AO54" s="108"/>
      <c r="AP54" s="108"/>
      <c r="AQ54" s="108"/>
      <c r="AR54" s="108"/>
      <c r="AS54" s="108"/>
      <c r="AT54" s="108"/>
      <c r="AU54" s="108"/>
      <c r="AV54" s="108"/>
    </row>
    <row r="55" spans="1:50" s="106" customFormat="1" ht="13.8">
      <c r="A55" s="125"/>
      <c r="B55" s="34">
        <v>44592</v>
      </c>
      <c r="C55" s="34" t="s">
        <v>17</v>
      </c>
      <c r="D55" s="124" t="s">
        <v>35</v>
      </c>
      <c r="E55" s="32">
        <v>-11078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</row>
    <row r="56" spans="1:50" s="106" customFormat="1" ht="13.8">
      <c r="A56" s="125"/>
      <c r="B56" s="34">
        <v>44592</v>
      </c>
      <c r="C56" s="34" t="s">
        <v>17</v>
      </c>
      <c r="D56" s="124" t="s">
        <v>34</v>
      </c>
      <c r="E56" s="32">
        <v>-19892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</row>
    <row r="57" spans="1:50" s="106" customFormat="1" ht="13.8">
      <c r="A57" s="125"/>
      <c r="B57" s="34">
        <v>44592</v>
      </c>
      <c r="C57" s="34" t="s">
        <v>17</v>
      </c>
      <c r="D57" s="124" t="s">
        <v>34</v>
      </c>
      <c r="E57" s="32">
        <v>-213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</row>
    <row r="58" spans="1:50" s="106" customFormat="1" ht="13.8">
      <c r="A58" s="125">
        <v>5</v>
      </c>
      <c r="B58" s="34">
        <v>44592</v>
      </c>
      <c r="C58" s="34"/>
      <c r="D58" s="124" t="s">
        <v>57</v>
      </c>
      <c r="E58" s="32">
        <v>1300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>
        <v>1300</v>
      </c>
      <c r="W58" s="31"/>
      <c r="X58" s="31"/>
    </row>
    <row r="59" spans="1:50" s="106" customFormat="1" ht="13.8">
      <c r="A59" s="125"/>
      <c r="B59" s="34">
        <v>44592</v>
      </c>
      <c r="C59" s="34" t="s">
        <v>19</v>
      </c>
      <c r="D59" s="124" t="s">
        <v>32</v>
      </c>
      <c r="E59" s="32">
        <v>339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>
        <v>339</v>
      </c>
      <c r="V59" s="31"/>
      <c r="W59" s="31"/>
      <c r="X59" s="31"/>
    </row>
    <row r="60" spans="1:50" s="106" customFormat="1" ht="13.8">
      <c r="A60" s="125"/>
      <c r="B60" s="34">
        <v>44592</v>
      </c>
      <c r="C60" s="34"/>
      <c r="D60" s="124" t="s">
        <v>166</v>
      </c>
      <c r="E60" s="32">
        <v>1999</v>
      </c>
      <c r="F60" s="31"/>
      <c r="G60" s="31">
        <v>1999</v>
      </c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</row>
    <row r="61" spans="1:50" s="106" customFormat="1" ht="13.8">
      <c r="A61" s="125"/>
      <c r="B61" s="34"/>
      <c r="C61" s="34"/>
      <c r="D61" s="124" t="s">
        <v>23</v>
      </c>
      <c r="E61" s="32">
        <v>265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>
        <v>265</v>
      </c>
      <c r="S61" s="31"/>
      <c r="T61" s="31"/>
      <c r="U61" s="31"/>
      <c r="V61" s="31"/>
      <c r="W61" s="31"/>
      <c r="X61" s="31"/>
    </row>
    <row r="62" spans="1:50" s="106" customFormat="1" ht="13.8">
      <c r="A62" s="125"/>
      <c r="B62" s="34">
        <v>44593</v>
      </c>
      <c r="C62" s="34"/>
      <c r="D62" s="124" t="s">
        <v>149</v>
      </c>
      <c r="E62" s="32">
        <v>199</v>
      </c>
      <c r="F62" s="31">
        <v>199</v>
      </c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>
        <v>199</v>
      </c>
      <c r="R62" s="31"/>
      <c r="S62" s="31"/>
      <c r="T62" s="31"/>
      <c r="U62" s="31"/>
      <c r="V62" s="31"/>
      <c r="W62" s="31"/>
      <c r="X62" s="31"/>
    </row>
    <row r="63" spans="1:50" s="106" customFormat="1" ht="13.8">
      <c r="A63" s="125"/>
      <c r="B63" s="34">
        <v>44593</v>
      </c>
      <c r="C63" s="34" t="s">
        <v>17</v>
      </c>
      <c r="D63" s="124" t="s">
        <v>30</v>
      </c>
      <c r="E63" s="32">
        <v>14948</v>
      </c>
      <c r="F63" s="31">
        <v>14948</v>
      </c>
      <c r="G63" s="31"/>
      <c r="H63" s="31"/>
      <c r="I63" s="31"/>
      <c r="J63" s="31"/>
      <c r="K63" s="31"/>
      <c r="L63" s="31"/>
      <c r="M63" s="31"/>
      <c r="N63" s="31">
        <v>14948</v>
      </c>
      <c r="O63" s="31"/>
      <c r="P63" s="31"/>
      <c r="Q63" s="31"/>
      <c r="R63" s="31"/>
      <c r="S63" s="31"/>
      <c r="T63" s="31"/>
      <c r="U63" s="31"/>
      <c r="V63" s="31"/>
      <c r="W63" s="31"/>
      <c r="X63" s="31"/>
    </row>
    <row r="64" spans="1:50" s="106" customFormat="1" ht="13.8">
      <c r="A64" s="125"/>
      <c r="B64" s="34">
        <v>44593</v>
      </c>
      <c r="C64" s="34" t="s">
        <v>17</v>
      </c>
      <c r="D64" s="124" t="s">
        <v>31</v>
      </c>
      <c r="E64" s="32">
        <f>$AA$13</f>
        <v>-1296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</row>
    <row r="65" spans="1:40" s="106" customFormat="1" ht="13.8">
      <c r="A65" s="125"/>
      <c r="B65" s="34">
        <v>44593</v>
      </c>
      <c r="C65" s="34" t="s">
        <v>19</v>
      </c>
      <c r="D65" s="124" t="s">
        <v>25</v>
      </c>
      <c r="E65" s="32">
        <v>266.29000000000002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>
        <v>266.29000000000002</v>
      </c>
      <c r="Q65" s="31"/>
      <c r="R65" s="31"/>
      <c r="S65" s="31"/>
      <c r="T65" s="31"/>
      <c r="U65" s="31"/>
      <c r="V65" s="31"/>
      <c r="W65" s="31"/>
      <c r="X65" s="31"/>
    </row>
    <row r="66" spans="1:40" s="106" customFormat="1" ht="13.8">
      <c r="A66" s="125"/>
      <c r="B66" s="34">
        <v>44593</v>
      </c>
      <c r="C66" s="34" t="s">
        <v>19</v>
      </c>
      <c r="D66" s="124" t="s">
        <v>27</v>
      </c>
      <c r="E66" s="32">
        <v>548.75</v>
      </c>
      <c r="F66" s="31">
        <v>548.75</v>
      </c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>
        <v>548.75</v>
      </c>
      <c r="R66" s="31"/>
      <c r="S66" s="31"/>
      <c r="T66" s="31"/>
      <c r="U66" s="31"/>
      <c r="V66" s="31"/>
      <c r="W66" s="31"/>
      <c r="X66" s="31"/>
    </row>
    <row r="67" spans="1:40" s="106" customFormat="1" ht="13.8">
      <c r="A67" s="125"/>
      <c r="B67" s="34">
        <v>44593</v>
      </c>
      <c r="C67" s="34" t="s">
        <v>17</v>
      </c>
      <c r="D67" s="124" t="s">
        <v>29</v>
      </c>
      <c r="E67" s="32">
        <v>69</v>
      </c>
      <c r="F67" s="31">
        <v>69</v>
      </c>
      <c r="G67" s="31">
        <v>69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</row>
    <row r="68" spans="1:40" s="106" customFormat="1" ht="13.8">
      <c r="A68" s="125"/>
      <c r="B68" s="34">
        <v>44593</v>
      </c>
      <c r="C68" s="34"/>
      <c r="D68" s="124" t="s">
        <v>28</v>
      </c>
      <c r="E68" s="32">
        <v>200</v>
      </c>
      <c r="F68" s="31">
        <v>200</v>
      </c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1:40" s="106" customFormat="1" ht="13.8">
      <c r="A69" s="125"/>
      <c r="B69" s="34">
        <v>44593</v>
      </c>
      <c r="C69" s="34"/>
      <c r="D69" s="124" t="s">
        <v>165</v>
      </c>
      <c r="E69" s="32">
        <v>178</v>
      </c>
      <c r="F69" s="31"/>
      <c r="G69" s="31">
        <v>178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</row>
    <row r="70" spans="1:40" s="106" customFormat="1" ht="13.8">
      <c r="A70" s="125"/>
      <c r="B70" s="34">
        <v>44593</v>
      </c>
      <c r="C70" s="34" t="s">
        <v>17</v>
      </c>
      <c r="D70" s="124" t="s">
        <v>22</v>
      </c>
      <c r="E70" s="32">
        <v>167</v>
      </c>
      <c r="F70" s="31">
        <v>167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>
        <v>167</v>
      </c>
      <c r="R70" s="31"/>
      <c r="S70" s="31"/>
      <c r="T70" s="31"/>
      <c r="U70" s="31"/>
      <c r="V70" s="31"/>
      <c r="W70" s="31"/>
      <c r="X70" s="31"/>
    </row>
    <row r="71" spans="1:40" s="106" customFormat="1" ht="13.8">
      <c r="A71" s="125"/>
      <c r="B71" s="34">
        <v>44594</v>
      </c>
      <c r="C71" s="34"/>
      <c r="D71" s="124" t="s">
        <v>124</v>
      </c>
      <c r="E71" s="32">
        <v>2.2999999999999998</v>
      </c>
      <c r="F71" s="31"/>
      <c r="G71" s="31"/>
      <c r="H71" s="31"/>
      <c r="I71" s="31"/>
      <c r="J71" s="31">
        <v>2.2999999999999998</v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</row>
    <row r="72" spans="1:40" s="106" customFormat="1" ht="13.8">
      <c r="A72" s="125"/>
      <c r="B72" s="34">
        <v>44595</v>
      </c>
      <c r="C72" s="34"/>
      <c r="D72" s="124" t="s">
        <v>164</v>
      </c>
      <c r="E72" s="32">
        <v>350</v>
      </c>
      <c r="F72" s="31"/>
      <c r="G72" s="31">
        <v>350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</row>
    <row r="73" spans="1:40" s="106" customFormat="1" ht="13.8">
      <c r="A73" s="125"/>
      <c r="B73" s="34">
        <v>44595</v>
      </c>
      <c r="C73" s="34" t="s">
        <v>17</v>
      </c>
      <c r="D73" s="124" t="s">
        <v>21</v>
      </c>
      <c r="E73" s="32">
        <f>$AH$13</f>
        <v>426</v>
      </c>
      <c r="F73" s="31">
        <f>$AH$13</f>
        <v>426</v>
      </c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>
        <f>E73</f>
        <v>426</v>
      </c>
      <c r="R73" s="31"/>
      <c r="S73" s="31"/>
      <c r="T73" s="31"/>
      <c r="U73" s="31"/>
      <c r="V73" s="31"/>
      <c r="W73" s="31"/>
      <c r="X73" s="31"/>
    </row>
    <row r="74" spans="1:40" s="106" customFormat="1" ht="13.8">
      <c r="A74" s="125"/>
      <c r="B74" s="34">
        <v>44595</v>
      </c>
      <c r="C74" s="34"/>
      <c r="D74" s="124" t="s">
        <v>163</v>
      </c>
      <c r="E74" s="32">
        <v>230</v>
      </c>
      <c r="F74" s="31"/>
      <c r="G74" s="31">
        <v>230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</row>
    <row r="75" spans="1:40" s="106" customFormat="1" ht="13.8">
      <c r="A75" s="125"/>
      <c r="B75" s="34">
        <v>44599</v>
      </c>
      <c r="C75" s="34" t="s">
        <v>19</v>
      </c>
      <c r="D75" s="124" t="s">
        <v>20</v>
      </c>
      <c r="E75" s="32">
        <v>183.54</v>
      </c>
      <c r="F75" s="31">
        <v>183.54</v>
      </c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</row>
    <row r="76" spans="1:40" s="106" customFormat="1" ht="13.8">
      <c r="A76" s="125"/>
      <c r="B76" s="34">
        <v>44599</v>
      </c>
      <c r="C76" s="34" t="s">
        <v>19</v>
      </c>
      <c r="D76" s="124" t="s">
        <v>18</v>
      </c>
      <c r="E76" s="32">
        <v>201.45</v>
      </c>
      <c r="F76" s="31">
        <v>201.45</v>
      </c>
      <c r="G76" s="31"/>
      <c r="H76" s="31"/>
      <c r="I76" s="31"/>
      <c r="J76" s="31"/>
      <c r="K76" s="31"/>
      <c r="L76" s="31"/>
      <c r="M76" s="31"/>
      <c r="N76" s="31"/>
      <c r="O76" s="31"/>
      <c r="P76" s="31">
        <v>201.46</v>
      </c>
      <c r="Q76" s="31"/>
      <c r="R76" s="31"/>
      <c r="S76" s="31"/>
      <c r="T76" s="31"/>
      <c r="U76" s="31"/>
      <c r="V76" s="31"/>
      <c r="W76" s="31"/>
      <c r="X76" s="31"/>
    </row>
    <row r="77" spans="1:40" s="106" customFormat="1" ht="13.8">
      <c r="A77" s="125"/>
      <c r="B77" s="34">
        <v>44600</v>
      </c>
      <c r="C77" s="34"/>
      <c r="D77" s="124" t="s">
        <v>162</v>
      </c>
      <c r="E77" s="32">
        <f>1404</f>
        <v>1404</v>
      </c>
      <c r="F77" s="31"/>
      <c r="G77" s="31"/>
      <c r="H77" s="31"/>
      <c r="I77" s="31"/>
      <c r="J77" s="31"/>
      <c r="K77" s="31"/>
      <c r="L77" s="31"/>
      <c r="M77" s="31"/>
      <c r="N77" s="31"/>
      <c r="O77" s="31">
        <f>1404</f>
        <v>1404</v>
      </c>
      <c r="P77" s="31"/>
      <c r="Q77" s="31"/>
      <c r="R77" s="31"/>
      <c r="S77" s="31"/>
      <c r="T77" s="31"/>
      <c r="U77" s="31"/>
      <c r="V77" s="31"/>
      <c r="W77" s="31"/>
      <c r="X77" s="31"/>
      <c r="Y77" s="135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</row>
    <row r="78" spans="1:40" s="106" customFormat="1" ht="13.8">
      <c r="A78" s="125"/>
      <c r="B78" s="34">
        <v>44606</v>
      </c>
      <c r="C78" s="34"/>
      <c r="D78" s="124" t="s">
        <v>124</v>
      </c>
      <c r="E78" s="32">
        <v>154.75</v>
      </c>
      <c r="F78" s="31"/>
      <c r="G78" s="31"/>
      <c r="H78" s="31"/>
      <c r="I78" s="31">
        <v>154.75</v>
      </c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135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</row>
    <row r="79" spans="1:40" s="106" customFormat="1" ht="13.8">
      <c r="A79" s="125"/>
      <c r="B79" s="34">
        <v>44614</v>
      </c>
      <c r="C79" s="34"/>
      <c r="D79" s="124" t="s">
        <v>137</v>
      </c>
      <c r="E79" s="32">
        <v>180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>
        <v>180</v>
      </c>
      <c r="U79" s="31"/>
      <c r="V79" s="31"/>
      <c r="W79" s="31"/>
      <c r="X79" s="31"/>
    </row>
    <row r="80" spans="1:40" s="106" customFormat="1" ht="13.8">
      <c r="A80" s="125"/>
      <c r="B80" s="34">
        <v>44615</v>
      </c>
      <c r="C80" s="34"/>
      <c r="D80" s="124" t="s">
        <v>161</v>
      </c>
      <c r="E80" s="32">
        <v>500</v>
      </c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>
        <v>500</v>
      </c>
      <c r="T80" s="31"/>
      <c r="U80" s="31"/>
      <c r="V80" s="31"/>
      <c r="W80" s="31"/>
      <c r="X80" s="31"/>
    </row>
    <row r="81" spans="1:50" s="106" customFormat="1" ht="13.8">
      <c r="A81" s="125"/>
      <c r="B81" s="34"/>
      <c r="C81" s="34"/>
      <c r="D81" s="124" t="s">
        <v>42</v>
      </c>
      <c r="E81" s="32">
        <v>2469.4</v>
      </c>
      <c r="F81" s="31"/>
      <c r="G81" s="31"/>
      <c r="H81" s="31">
        <v>1664.4</v>
      </c>
      <c r="I81" s="31">
        <v>60</v>
      </c>
      <c r="J81" s="31"/>
      <c r="K81" s="31">
        <v>550</v>
      </c>
      <c r="L81" s="31">
        <v>120</v>
      </c>
      <c r="M81" s="31">
        <v>237</v>
      </c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122"/>
    </row>
    <row r="82" spans="1:50" s="106" customFormat="1" ht="13.8">
      <c r="A82" s="125"/>
      <c r="B82" s="34"/>
      <c r="C82" s="34"/>
      <c r="D82" s="124" t="s">
        <v>41</v>
      </c>
      <c r="E82" s="32">
        <v>538.85</v>
      </c>
      <c r="F82" s="31"/>
      <c r="G82" s="31"/>
      <c r="H82" s="31">
        <v>330.9</v>
      </c>
      <c r="I82" s="31"/>
      <c r="J82" s="31"/>
      <c r="K82" s="31"/>
      <c r="L82" s="31">
        <v>68.95</v>
      </c>
      <c r="M82" s="31">
        <v>60</v>
      </c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122"/>
    </row>
    <row r="83" spans="1:50" s="106" customFormat="1" ht="13.8">
      <c r="A83" s="125"/>
      <c r="B83" s="34"/>
      <c r="C83" s="34"/>
      <c r="D83" s="124" t="s">
        <v>40</v>
      </c>
      <c r="E83" s="32">
        <v>617.4</v>
      </c>
      <c r="F83" s="31"/>
      <c r="G83" s="31">
        <v>69</v>
      </c>
      <c r="H83" s="31">
        <v>312.39999999999998</v>
      </c>
      <c r="I83" s="31"/>
      <c r="J83" s="31"/>
      <c r="K83" s="31"/>
      <c r="L83" s="31"/>
      <c r="M83" s="31">
        <v>236</v>
      </c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122"/>
    </row>
    <row r="84" spans="1:50" s="106" customFormat="1" ht="13.8">
      <c r="A84" s="125"/>
      <c r="B84" s="34"/>
      <c r="C84" s="34"/>
      <c r="D84" s="124" t="s">
        <v>39</v>
      </c>
      <c r="E84" s="32">
        <v>588.15</v>
      </c>
      <c r="F84" s="31"/>
      <c r="G84" s="31">
        <v>261</v>
      </c>
      <c r="H84" s="31">
        <v>291.14999999999998</v>
      </c>
      <c r="I84" s="31"/>
      <c r="J84" s="31"/>
      <c r="K84" s="31"/>
      <c r="L84" s="31"/>
      <c r="M84" s="31">
        <v>85</v>
      </c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122"/>
    </row>
    <row r="85" spans="1:50" s="106" customFormat="1" ht="13.8">
      <c r="A85" s="125"/>
      <c r="B85" s="34"/>
      <c r="C85" s="34"/>
      <c r="D85" s="124" t="s">
        <v>38</v>
      </c>
      <c r="E85" s="32">
        <v>249.85</v>
      </c>
      <c r="F85" s="31"/>
      <c r="G85" s="31"/>
      <c r="H85" s="31">
        <v>149.85</v>
      </c>
      <c r="I85" s="31"/>
      <c r="J85" s="31"/>
      <c r="K85" s="31"/>
      <c r="L85" s="31"/>
      <c r="M85" s="31">
        <v>100</v>
      </c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122"/>
    </row>
    <row r="86" spans="1:50" s="106" customFormat="1" ht="13.8">
      <c r="A86" s="125"/>
      <c r="B86" s="34"/>
      <c r="C86" s="34"/>
      <c r="D86" s="124" t="s">
        <v>37</v>
      </c>
      <c r="E86" s="32">
        <v>116</v>
      </c>
      <c r="F86" s="31"/>
      <c r="G86" s="31">
        <v>97</v>
      </c>
      <c r="H86" s="31"/>
      <c r="I86" s="31"/>
      <c r="J86" s="31"/>
      <c r="K86" s="31"/>
      <c r="L86" s="31"/>
      <c r="M86" s="31"/>
      <c r="N86" s="31"/>
      <c r="O86" s="31"/>
      <c r="P86" s="31">
        <v>49</v>
      </c>
      <c r="Q86" s="31"/>
      <c r="R86" s="31"/>
      <c r="S86" s="31"/>
      <c r="T86" s="31"/>
      <c r="U86" s="31"/>
      <c r="V86" s="31"/>
      <c r="W86" s="31"/>
      <c r="X86" s="31"/>
      <c r="Y86" s="122"/>
    </row>
    <row r="87" spans="1:50" s="120" customFormat="1" ht="12" customHeight="1">
      <c r="A87" s="60"/>
      <c r="B87" s="2930" t="str">
        <f>E7</f>
        <v>Februar</v>
      </c>
      <c r="C87" s="2931"/>
      <c r="D87" s="2934" t="s">
        <v>36</v>
      </c>
      <c r="E87" s="2936"/>
      <c r="F87" s="2936"/>
      <c r="G87" s="2936"/>
      <c r="H87" s="2936"/>
      <c r="I87" s="2936"/>
      <c r="J87" s="2936"/>
      <c r="K87" s="2936"/>
      <c r="L87" s="2936"/>
      <c r="M87" s="2936"/>
      <c r="N87" s="2936"/>
      <c r="O87" s="2936"/>
      <c r="P87" s="2936"/>
      <c r="Q87" s="2936"/>
      <c r="R87" s="2936"/>
      <c r="S87" s="2936"/>
      <c r="T87" s="2936"/>
      <c r="U87" s="2936"/>
      <c r="V87" s="2936"/>
      <c r="W87" s="2936"/>
      <c r="X87" s="2936"/>
      <c r="Y87" s="122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</row>
    <row r="88" spans="1:50" s="120" customFormat="1" ht="12" customHeight="1">
      <c r="A88" s="60"/>
      <c r="B88" s="2932"/>
      <c r="C88" s="2933"/>
      <c r="D88" s="2935"/>
      <c r="E88" s="2937"/>
      <c r="F88" s="2937"/>
      <c r="G88" s="2937"/>
      <c r="H88" s="2937"/>
      <c r="I88" s="2937"/>
      <c r="J88" s="2937"/>
      <c r="K88" s="2937"/>
      <c r="L88" s="2937"/>
      <c r="M88" s="2937"/>
      <c r="N88" s="2937"/>
      <c r="O88" s="2937"/>
      <c r="P88" s="2937"/>
      <c r="Q88" s="2937"/>
      <c r="R88" s="2937"/>
      <c r="S88" s="2937"/>
      <c r="T88" s="2937"/>
      <c r="U88" s="2937"/>
      <c r="V88" s="2937"/>
      <c r="W88" s="2937"/>
      <c r="X88" s="2937"/>
      <c r="Y88" s="72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6"/>
      <c r="AK88" s="106"/>
      <c r="AL88" s="106"/>
      <c r="AM88" s="106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</row>
    <row r="89" spans="1:50" s="126" customFormat="1" ht="13.5" customHeight="1">
      <c r="A89" s="39"/>
      <c r="B89" s="2948" t="str">
        <f>F7</f>
        <v>Marts</v>
      </c>
      <c r="C89" s="2949"/>
      <c r="D89" s="128"/>
      <c r="E89" s="36">
        <f t="shared" ref="E89:X89" si="9">SUM(E90:E120)</f>
        <v>1774.8199999999979</v>
      </c>
      <c r="F89" s="36">
        <f t="shared" si="9"/>
        <v>10287.719999999999</v>
      </c>
      <c r="G89" s="36">
        <f t="shared" si="9"/>
        <v>893</v>
      </c>
      <c r="H89" s="36">
        <f t="shared" si="9"/>
        <v>2993</v>
      </c>
      <c r="I89" s="36">
        <f t="shared" si="9"/>
        <v>142</v>
      </c>
      <c r="J89" s="36">
        <f t="shared" si="9"/>
        <v>129</v>
      </c>
      <c r="K89" s="36">
        <f t="shared" si="9"/>
        <v>600</v>
      </c>
      <c r="L89" s="36">
        <f t="shared" si="9"/>
        <v>95</v>
      </c>
      <c r="M89" s="36">
        <f t="shared" si="9"/>
        <v>291</v>
      </c>
      <c r="N89" s="36">
        <f t="shared" si="9"/>
        <v>7474</v>
      </c>
      <c r="O89" s="36">
        <f t="shared" si="9"/>
        <v>536</v>
      </c>
      <c r="P89" s="36">
        <f t="shared" si="9"/>
        <v>2824.9</v>
      </c>
      <c r="Q89" s="36">
        <f t="shared" si="9"/>
        <v>1012.75</v>
      </c>
      <c r="R89" s="36">
        <f t="shared" si="9"/>
        <v>360</v>
      </c>
      <c r="S89" s="36">
        <f t="shared" si="9"/>
        <v>1089</v>
      </c>
      <c r="T89" s="36">
        <f t="shared" si="9"/>
        <v>227.75</v>
      </c>
      <c r="U89" s="36">
        <f t="shared" si="9"/>
        <v>339</v>
      </c>
      <c r="V89" s="36">
        <f t="shared" si="9"/>
        <v>1000</v>
      </c>
      <c r="W89" s="36">
        <f t="shared" si="9"/>
        <v>0</v>
      </c>
      <c r="X89" s="36">
        <f t="shared" si="9"/>
        <v>0</v>
      </c>
      <c r="Y89" s="46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6"/>
      <c r="AK89" s="106"/>
      <c r="AL89" s="106"/>
      <c r="AM89" s="106"/>
      <c r="AN89" s="102"/>
      <c r="AO89" s="108"/>
      <c r="AP89" s="108"/>
      <c r="AQ89" s="108"/>
      <c r="AR89" s="108"/>
      <c r="AS89" s="108"/>
      <c r="AT89" s="108"/>
      <c r="AU89" s="108"/>
      <c r="AV89" s="108"/>
    </row>
    <row r="90" spans="1:50" s="106" customFormat="1" ht="13.8">
      <c r="A90" s="125"/>
      <c r="B90" s="34">
        <v>44620</v>
      </c>
      <c r="C90" s="34" t="s">
        <v>17</v>
      </c>
      <c r="D90" s="124" t="s">
        <v>35</v>
      </c>
      <c r="E90" s="32">
        <f>$AF$14</f>
        <v>-11078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122"/>
    </row>
    <row r="91" spans="1:50" s="106" customFormat="1" ht="13.8">
      <c r="A91" s="125"/>
      <c r="B91" s="34">
        <v>44620</v>
      </c>
      <c r="C91" s="34" t="s">
        <v>17</v>
      </c>
      <c r="D91" s="124" t="s">
        <v>34</v>
      </c>
      <c r="E91" s="32">
        <f>$AG$14</f>
        <v>-7943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122"/>
    </row>
    <row r="92" spans="1:50" s="106" customFormat="1" ht="13.8">
      <c r="A92" s="125"/>
      <c r="B92" s="34">
        <v>44620</v>
      </c>
      <c r="C92" s="34" t="s">
        <v>17</v>
      </c>
      <c r="D92" s="124" t="s">
        <v>33</v>
      </c>
      <c r="E92" s="32">
        <v>-213</v>
      </c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122"/>
    </row>
    <row r="93" spans="1:50" s="106" customFormat="1" ht="13.8">
      <c r="A93" s="125"/>
      <c r="B93" s="34">
        <v>44620</v>
      </c>
      <c r="C93" s="34"/>
      <c r="D93" s="124" t="s">
        <v>57</v>
      </c>
      <c r="E93" s="32">
        <v>1000</v>
      </c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>
        <v>1000</v>
      </c>
      <c r="W93" s="31"/>
      <c r="X93" s="31"/>
      <c r="Y93" s="122"/>
    </row>
    <row r="94" spans="1:50" s="106" customFormat="1" ht="13.8">
      <c r="A94" s="125"/>
      <c r="B94" s="34">
        <v>44620</v>
      </c>
      <c r="C94" s="34" t="s">
        <v>19</v>
      </c>
      <c r="D94" s="124" t="s">
        <v>32</v>
      </c>
      <c r="E94" s="32">
        <v>339</v>
      </c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>
        <v>339</v>
      </c>
      <c r="V94" s="31"/>
      <c r="W94" s="31"/>
      <c r="X94" s="31"/>
      <c r="Y94" s="122"/>
    </row>
    <row r="95" spans="1:50" s="106" customFormat="1" ht="13.8">
      <c r="A95" s="125">
        <v>5</v>
      </c>
      <c r="B95" s="34">
        <v>44621</v>
      </c>
      <c r="C95" s="34" t="s">
        <v>17</v>
      </c>
      <c r="D95" s="124" t="s">
        <v>31</v>
      </c>
      <c r="E95" s="32">
        <f>$AA$13</f>
        <v>-1296</v>
      </c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122"/>
    </row>
    <row r="96" spans="1:50" s="106" customFormat="1" ht="13.8">
      <c r="A96" s="125"/>
      <c r="B96" s="34">
        <v>44621</v>
      </c>
      <c r="C96" s="34" t="s">
        <v>17</v>
      </c>
      <c r="D96" s="124" t="s">
        <v>149</v>
      </c>
      <c r="E96" s="32">
        <v>199</v>
      </c>
      <c r="F96" s="31">
        <v>199</v>
      </c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>
        <v>199</v>
      </c>
      <c r="R96" s="31"/>
      <c r="S96" s="31"/>
      <c r="T96" s="31"/>
      <c r="U96" s="31"/>
      <c r="V96" s="31"/>
      <c r="W96" s="31"/>
      <c r="X96" s="31"/>
      <c r="Y96" s="122"/>
    </row>
    <row r="97" spans="1:25" s="106" customFormat="1" ht="13.8">
      <c r="A97" s="125"/>
      <c r="B97" s="34">
        <v>44621</v>
      </c>
      <c r="C97" s="34" t="s">
        <v>17</v>
      </c>
      <c r="D97" s="124" t="s">
        <v>28</v>
      </c>
      <c r="E97" s="32">
        <v>200</v>
      </c>
      <c r="F97" s="31">
        <v>200</v>
      </c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122"/>
    </row>
    <row r="98" spans="1:25" s="106" customFormat="1" ht="13.8">
      <c r="A98" s="125"/>
      <c r="B98" s="34">
        <v>44621</v>
      </c>
      <c r="C98" s="34" t="s">
        <v>19</v>
      </c>
      <c r="D98" s="124" t="s">
        <v>131</v>
      </c>
      <c r="E98" s="32">
        <v>68.75</v>
      </c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>
        <v>68.75</v>
      </c>
      <c r="U98" s="31"/>
      <c r="V98" s="31"/>
      <c r="W98" s="31"/>
      <c r="X98" s="31"/>
      <c r="Y98" s="122"/>
    </row>
    <row r="99" spans="1:25" s="106" customFormat="1" ht="13.8">
      <c r="A99" s="125"/>
      <c r="B99" s="34">
        <v>44621</v>
      </c>
      <c r="C99" s="34" t="s">
        <v>19</v>
      </c>
      <c r="D99" s="124" t="s">
        <v>27</v>
      </c>
      <c r="E99" s="32">
        <v>548.75</v>
      </c>
      <c r="F99" s="31">
        <v>548.75</v>
      </c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>
        <v>548.75</v>
      </c>
      <c r="R99" s="31"/>
      <c r="S99" s="31"/>
      <c r="T99" s="31"/>
      <c r="U99" s="31"/>
      <c r="V99" s="31"/>
      <c r="W99" s="31"/>
      <c r="X99" s="31"/>
      <c r="Y99" s="122"/>
    </row>
    <row r="100" spans="1:25" s="106" customFormat="1" ht="13.8">
      <c r="A100" s="125"/>
      <c r="B100" s="34">
        <v>44621</v>
      </c>
      <c r="C100" s="34" t="s">
        <v>19</v>
      </c>
      <c r="D100" s="124" t="s">
        <v>128</v>
      </c>
      <c r="E100" s="32">
        <v>360</v>
      </c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>
        <v>360</v>
      </c>
      <c r="S100" s="31"/>
      <c r="T100" s="31"/>
      <c r="U100" s="31"/>
      <c r="V100" s="31"/>
      <c r="W100" s="31"/>
      <c r="X100" s="31"/>
      <c r="Y100" s="122"/>
    </row>
    <row r="101" spans="1:25" s="106" customFormat="1" ht="13.8">
      <c r="A101" s="125"/>
      <c r="B101" s="34">
        <v>44621</v>
      </c>
      <c r="C101" s="34" t="s">
        <v>19</v>
      </c>
      <c r="D101" s="124" t="s">
        <v>25</v>
      </c>
      <c r="E101" s="32">
        <v>505.6</v>
      </c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>
        <v>505.6</v>
      </c>
      <c r="Q101" s="31"/>
      <c r="R101" s="31"/>
      <c r="S101" s="31"/>
      <c r="T101" s="31"/>
      <c r="U101" s="31"/>
      <c r="V101" s="31"/>
      <c r="W101" s="31"/>
      <c r="X101" s="31"/>
      <c r="Y101" s="122"/>
    </row>
    <row r="102" spans="1:25" s="106" customFormat="1" ht="13.8">
      <c r="A102" s="125"/>
      <c r="B102" s="34">
        <v>44621</v>
      </c>
      <c r="C102" s="34" t="s">
        <v>17</v>
      </c>
      <c r="D102" s="124" t="s">
        <v>30</v>
      </c>
      <c r="E102" s="32">
        <v>7474</v>
      </c>
      <c r="F102" s="31">
        <v>7474</v>
      </c>
      <c r="G102" s="31"/>
      <c r="H102" s="31"/>
      <c r="I102" s="31"/>
      <c r="J102" s="31"/>
      <c r="K102" s="31"/>
      <c r="L102" s="31"/>
      <c r="M102" s="31"/>
      <c r="N102" s="31">
        <v>7474</v>
      </c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122"/>
    </row>
    <row r="103" spans="1:25" s="106" customFormat="1" ht="13.8">
      <c r="A103" s="125"/>
      <c r="B103" s="34">
        <v>44621</v>
      </c>
      <c r="C103" s="34" t="s">
        <v>17</v>
      </c>
      <c r="D103" s="124" t="s">
        <v>29</v>
      </c>
      <c r="E103" s="32">
        <v>69</v>
      </c>
      <c r="F103" s="31">
        <v>69</v>
      </c>
      <c r="G103" s="31">
        <v>69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122"/>
    </row>
    <row r="104" spans="1:25" s="106" customFormat="1" ht="13.8">
      <c r="A104" s="125"/>
      <c r="B104" s="34">
        <v>44621</v>
      </c>
      <c r="C104" s="34" t="s">
        <v>17</v>
      </c>
      <c r="D104" s="124" t="s">
        <v>22</v>
      </c>
      <c r="E104" s="32">
        <v>167</v>
      </c>
      <c r="F104" s="31">
        <v>167</v>
      </c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>
        <v>167</v>
      </c>
      <c r="R104" s="31"/>
      <c r="S104" s="31"/>
      <c r="T104" s="31"/>
      <c r="U104" s="31"/>
      <c r="V104" s="31"/>
      <c r="W104" s="31"/>
      <c r="X104" s="31"/>
      <c r="Y104" s="122"/>
    </row>
    <row r="105" spans="1:25" s="106" customFormat="1" ht="13.8">
      <c r="A105" s="125"/>
      <c r="B105" s="34">
        <v>44623</v>
      </c>
      <c r="C105" s="34" t="s">
        <v>17</v>
      </c>
      <c r="D105" s="124" t="s">
        <v>21</v>
      </c>
      <c r="E105" s="32">
        <v>98</v>
      </c>
      <c r="F105" s="31">
        <v>98</v>
      </c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>
        <v>98</v>
      </c>
      <c r="R105" s="31"/>
      <c r="S105" s="31"/>
      <c r="T105" s="31"/>
      <c r="U105" s="31"/>
      <c r="V105" s="31"/>
      <c r="W105" s="31"/>
      <c r="X105" s="31"/>
      <c r="Y105" s="122"/>
    </row>
    <row r="106" spans="1:25" s="106" customFormat="1" ht="13.8">
      <c r="A106" s="125"/>
      <c r="B106" s="34">
        <v>44627</v>
      </c>
      <c r="C106" s="34" t="s">
        <v>19</v>
      </c>
      <c r="D106" s="124" t="s">
        <v>20</v>
      </c>
      <c r="E106" s="32">
        <v>202.43</v>
      </c>
      <c r="F106" s="31">
        <v>202.43</v>
      </c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122"/>
    </row>
    <row r="107" spans="1:25" s="106" customFormat="1" ht="13.8">
      <c r="A107" s="125"/>
      <c r="B107" s="34">
        <v>44627</v>
      </c>
      <c r="C107" s="34" t="s">
        <v>19</v>
      </c>
      <c r="D107" s="124" t="s">
        <v>18</v>
      </c>
      <c r="E107" s="32">
        <v>222.3</v>
      </c>
      <c r="F107" s="31">
        <v>222.3</v>
      </c>
      <c r="G107" s="31"/>
      <c r="H107" s="31"/>
      <c r="I107" s="31"/>
      <c r="J107" s="31"/>
      <c r="K107" s="31"/>
      <c r="L107" s="31"/>
      <c r="M107" s="31"/>
      <c r="N107" s="31"/>
      <c r="O107" s="31"/>
      <c r="P107" s="31">
        <v>222.3</v>
      </c>
      <c r="Q107" s="31"/>
      <c r="R107" s="31"/>
      <c r="S107" s="31"/>
      <c r="T107" s="31"/>
      <c r="U107" s="31"/>
      <c r="V107" s="31"/>
      <c r="W107" s="31"/>
      <c r="X107" s="31"/>
      <c r="Y107" s="122"/>
    </row>
    <row r="108" spans="1:25" s="106" customFormat="1" ht="13.8">
      <c r="A108" s="125"/>
      <c r="B108" s="34">
        <v>44630</v>
      </c>
      <c r="C108" s="34" t="s">
        <v>19</v>
      </c>
      <c r="D108" s="124" t="s">
        <v>144</v>
      </c>
      <c r="E108" s="32">
        <v>1107.24</v>
      </c>
      <c r="F108" s="31">
        <v>1107.24</v>
      </c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122"/>
    </row>
    <row r="109" spans="1:25" s="106" customFormat="1" ht="13.8">
      <c r="A109" s="125"/>
      <c r="B109" s="34">
        <v>44634</v>
      </c>
      <c r="C109" s="34"/>
      <c r="D109" s="124" t="s">
        <v>160</v>
      </c>
      <c r="E109" s="32">
        <v>795</v>
      </c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122"/>
    </row>
    <row r="110" spans="1:25" s="106" customFormat="1" ht="13.8">
      <c r="A110" s="125"/>
      <c r="B110" s="34">
        <v>44638</v>
      </c>
      <c r="C110" s="34"/>
      <c r="D110" s="124" t="s">
        <v>159</v>
      </c>
      <c r="E110" s="32">
        <v>500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>
        <v>500</v>
      </c>
      <c r="T110" s="31"/>
      <c r="U110" s="31"/>
      <c r="V110" s="31"/>
      <c r="W110" s="31"/>
      <c r="X110" s="31"/>
      <c r="Y110" s="122"/>
    </row>
    <row r="111" spans="1:25" s="106" customFormat="1" ht="13.8">
      <c r="A111" s="125"/>
      <c r="B111" s="34">
        <v>44641</v>
      </c>
      <c r="C111" s="34"/>
      <c r="D111" s="124" t="s">
        <v>158</v>
      </c>
      <c r="E111" s="32">
        <v>500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>
        <v>500</v>
      </c>
      <c r="T111" s="31"/>
      <c r="U111" s="31"/>
      <c r="V111" s="31"/>
      <c r="W111" s="31"/>
      <c r="X111" s="31"/>
      <c r="Y111" s="122"/>
    </row>
    <row r="112" spans="1:25" s="106" customFormat="1" ht="13.8">
      <c r="A112" s="125"/>
      <c r="B112" s="34">
        <v>44798</v>
      </c>
      <c r="C112" s="34"/>
      <c r="D112" s="124" t="s">
        <v>154</v>
      </c>
      <c r="E112" s="32">
        <v>2058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>
        <v>2058</v>
      </c>
      <c r="Q112" s="31"/>
      <c r="R112" s="31"/>
      <c r="S112" s="31"/>
      <c r="T112" s="31"/>
      <c r="U112" s="31"/>
      <c r="V112" s="31"/>
      <c r="W112" s="31"/>
      <c r="X112" s="31"/>
      <c r="Y112" s="122"/>
    </row>
    <row r="113" spans="1:50" s="106" customFormat="1" ht="13.8">
      <c r="A113" s="125"/>
      <c r="B113" s="34">
        <v>44649</v>
      </c>
      <c r="C113" s="34"/>
      <c r="D113" s="124" t="s">
        <v>157</v>
      </c>
      <c r="E113" s="32">
        <v>200</v>
      </c>
      <c r="F113" s="31"/>
      <c r="G113" s="31">
        <v>200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122"/>
    </row>
    <row r="114" spans="1:50" s="106" customFormat="1" ht="13.8">
      <c r="A114" s="125"/>
      <c r="B114" s="34"/>
      <c r="C114" s="34"/>
      <c r="D114" s="124" t="s">
        <v>124</v>
      </c>
      <c r="E114" s="32">
        <v>270.75</v>
      </c>
      <c r="F114" s="31"/>
      <c r="G114" s="31"/>
      <c r="H114" s="31"/>
      <c r="I114" s="31">
        <v>142</v>
      </c>
      <c r="J114" s="31">
        <v>129</v>
      </c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146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N114" s="108"/>
    </row>
    <row r="115" spans="1:50" s="106" customFormat="1" ht="13.8">
      <c r="A115" s="125"/>
      <c r="B115" s="34"/>
      <c r="C115" s="34"/>
      <c r="D115" s="124" t="s">
        <v>42</v>
      </c>
      <c r="E115" s="32">
        <v>1196</v>
      </c>
      <c r="F115" s="31"/>
      <c r="G115" s="31"/>
      <c r="H115" s="31">
        <v>1034</v>
      </c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122"/>
    </row>
    <row r="116" spans="1:50" s="106" customFormat="1" ht="13.8">
      <c r="A116" s="125"/>
      <c r="B116" s="34"/>
      <c r="C116" s="34"/>
      <c r="D116" s="124" t="s">
        <v>41</v>
      </c>
      <c r="E116" s="32">
        <v>659</v>
      </c>
      <c r="F116" s="31"/>
      <c r="G116" s="31">
        <v>179</v>
      </c>
      <c r="H116" s="31">
        <v>505</v>
      </c>
      <c r="I116" s="31"/>
      <c r="J116" s="31"/>
      <c r="K116" s="31"/>
      <c r="L116" s="31">
        <v>95</v>
      </c>
      <c r="M116" s="31">
        <v>46</v>
      </c>
      <c r="N116" s="31"/>
      <c r="O116" s="31"/>
      <c r="P116" s="31"/>
      <c r="Q116" s="31"/>
      <c r="R116" s="31"/>
      <c r="S116" s="31"/>
      <c r="T116" s="31">
        <v>159</v>
      </c>
      <c r="U116" s="31"/>
      <c r="V116" s="31"/>
      <c r="W116" s="31"/>
      <c r="X116" s="31"/>
      <c r="Y116" s="122"/>
    </row>
    <row r="117" spans="1:50" s="106" customFormat="1" ht="13.8">
      <c r="A117" s="125"/>
      <c r="B117" s="34"/>
      <c r="C117" s="34"/>
      <c r="D117" s="124" t="s">
        <v>40</v>
      </c>
      <c r="E117" s="32">
        <v>1864</v>
      </c>
      <c r="F117" s="31"/>
      <c r="G117" s="31"/>
      <c r="H117" s="31">
        <v>1019</v>
      </c>
      <c r="I117" s="31"/>
      <c r="J117" s="31"/>
      <c r="K117" s="31">
        <v>600</v>
      </c>
      <c r="L117" s="31"/>
      <c r="M117" s="31">
        <v>165</v>
      </c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122"/>
    </row>
    <row r="118" spans="1:50" s="106" customFormat="1" ht="13.8">
      <c r="A118" s="125"/>
      <c r="B118" s="34"/>
      <c r="C118" s="34"/>
      <c r="D118" s="124" t="s">
        <v>39</v>
      </c>
      <c r="E118" s="32">
        <v>555</v>
      </c>
      <c r="F118" s="31"/>
      <c r="G118" s="31">
        <v>200</v>
      </c>
      <c r="H118" s="31">
        <v>355</v>
      </c>
      <c r="I118" s="31"/>
      <c r="J118" s="31"/>
      <c r="K118" s="31"/>
      <c r="L118" s="31"/>
      <c r="M118" s="31">
        <v>80</v>
      </c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122"/>
    </row>
    <row r="119" spans="1:50" s="106" customFormat="1" ht="13.8">
      <c r="A119" s="125"/>
      <c r="B119" s="34"/>
      <c r="C119" s="34"/>
      <c r="D119" s="124" t="s">
        <v>38</v>
      </c>
      <c r="E119" s="32">
        <v>80</v>
      </c>
      <c r="F119" s="31"/>
      <c r="G119" s="31"/>
      <c r="H119" s="31">
        <v>80</v>
      </c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122"/>
    </row>
    <row r="120" spans="1:50" s="106" customFormat="1" ht="13.8">
      <c r="A120" s="125"/>
      <c r="B120" s="145"/>
      <c r="C120" s="34"/>
      <c r="D120" s="124" t="s">
        <v>37</v>
      </c>
      <c r="E120" s="32">
        <v>1066</v>
      </c>
      <c r="F120" s="31"/>
      <c r="G120" s="31">
        <v>245</v>
      </c>
      <c r="H120" s="31"/>
      <c r="I120" s="31"/>
      <c r="J120" s="31"/>
      <c r="K120" s="31"/>
      <c r="L120" s="31"/>
      <c r="M120" s="31"/>
      <c r="N120" s="31"/>
      <c r="O120" s="31">
        <v>536</v>
      </c>
      <c r="P120" s="31">
        <v>39</v>
      </c>
      <c r="Q120" s="31"/>
      <c r="R120" s="31"/>
      <c r="S120" s="31">
        <v>89</v>
      </c>
      <c r="T120" s="31"/>
      <c r="U120" s="31"/>
      <c r="V120" s="31"/>
      <c r="W120" s="31"/>
      <c r="X120" s="31"/>
      <c r="Y120" s="122"/>
    </row>
    <row r="121" spans="1:50" s="120" customFormat="1" ht="12" customHeight="1">
      <c r="A121" s="60"/>
      <c r="B121" s="2930" t="str">
        <f>F7</f>
        <v>Marts</v>
      </c>
      <c r="C121" s="2931"/>
      <c r="D121" s="2934" t="s">
        <v>36</v>
      </c>
      <c r="E121" s="2936"/>
      <c r="F121" s="2936"/>
      <c r="G121" s="2936"/>
      <c r="H121" s="2936"/>
      <c r="I121" s="2936"/>
      <c r="J121" s="2936"/>
      <c r="K121" s="2936"/>
      <c r="L121" s="2936"/>
      <c r="M121" s="2936"/>
      <c r="N121" s="2936"/>
      <c r="O121" s="2936"/>
      <c r="P121" s="2936"/>
      <c r="Q121" s="2936"/>
      <c r="R121" s="2936"/>
      <c r="S121" s="2936"/>
      <c r="T121" s="2936"/>
      <c r="U121" s="2936"/>
      <c r="V121" s="2936"/>
      <c r="W121" s="2936"/>
      <c r="X121" s="2936"/>
      <c r="Y121" s="122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</row>
    <row r="122" spans="1:50" s="120" customFormat="1" ht="12" customHeight="1">
      <c r="A122" s="60"/>
      <c r="B122" s="2932"/>
      <c r="C122" s="2933"/>
      <c r="D122" s="2935"/>
      <c r="E122" s="2937"/>
      <c r="F122" s="2937"/>
      <c r="G122" s="2937"/>
      <c r="H122" s="2937"/>
      <c r="I122" s="2937"/>
      <c r="J122" s="2937"/>
      <c r="K122" s="2937"/>
      <c r="L122" s="2937"/>
      <c r="M122" s="2937"/>
      <c r="N122" s="2937"/>
      <c r="O122" s="2937"/>
      <c r="P122" s="2937"/>
      <c r="Q122" s="2937"/>
      <c r="R122" s="2937"/>
      <c r="S122" s="2937"/>
      <c r="T122" s="2937"/>
      <c r="U122" s="2937"/>
      <c r="V122" s="2937"/>
      <c r="W122" s="2937"/>
      <c r="X122" s="2937"/>
      <c r="Y122" s="72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6"/>
      <c r="AK122" s="106"/>
      <c r="AL122" s="106"/>
      <c r="AM122" s="106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</row>
    <row r="123" spans="1:50" s="126" customFormat="1" ht="13.5" customHeight="1">
      <c r="A123" s="39"/>
      <c r="B123" s="38" t="str">
        <f>G7</f>
        <v>April</v>
      </c>
      <c r="C123" s="37">
        <v>44652</v>
      </c>
      <c r="D123" s="128"/>
      <c r="E123" s="36">
        <f t="shared" ref="E123:W123" si="10">SUM(E124:E150)</f>
        <v>-1161.3000000000002</v>
      </c>
      <c r="F123" s="40">
        <f t="shared" si="10"/>
        <v>10769.349999999999</v>
      </c>
      <c r="G123" s="40">
        <f t="shared" si="10"/>
        <v>350</v>
      </c>
      <c r="H123" s="40">
        <f t="shared" si="10"/>
        <v>2556</v>
      </c>
      <c r="I123" s="40">
        <f t="shared" si="10"/>
        <v>821</v>
      </c>
      <c r="J123" s="40">
        <f t="shared" si="10"/>
        <v>12</v>
      </c>
      <c r="K123" s="40">
        <f t="shared" si="10"/>
        <v>600</v>
      </c>
      <c r="L123" s="40">
        <f t="shared" si="10"/>
        <v>51</v>
      </c>
      <c r="M123" s="40">
        <f t="shared" si="10"/>
        <v>220</v>
      </c>
      <c r="N123" s="40">
        <f t="shared" si="10"/>
        <v>7474</v>
      </c>
      <c r="O123" s="40">
        <f t="shared" si="10"/>
        <v>700</v>
      </c>
      <c r="P123" s="40">
        <f t="shared" si="10"/>
        <v>1786.7</v>
      </c>
      <c r="Q123" s="40">
        <f t="shared" si="10"/>
        <v>1052.75</v>
      </c>
      <c r="R123" s="40">
        <f t="shared" si="10"/>
        <v>255</v>
      </c>
      <c r="S123" s="40">
        <f t="shared" si="10"/>
        <v>0</v>
      </c>
      <c r="T123" s="40">
        <f t="shared" si="10"/>
        <v>0</v>
      </c>
      <c r="U123" s="40">
        <f t="shared" si="10"/>
        <v>339</v>
      </c>
      <c r="V123" s="40">
        <f t="shared" si="10"/>
        <v>1000</v>
      </c>
      <c r="W123" s="40">
        <f t="shared" si="10"/>
        <v>1562.12</v>
      </c>
      <c r="X123" s="40"/>
      <c r="Y123" s="46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6"/>
      <c r="AK123" s="106"/>
      <c r="AL123" s="106"/>
      <c r="AM123" s="106"/>
      <c r="AN123" s="102"/>
      <c r="AO123" s="108"/>
      <c r="AP123" s="108"/>
      <c r="AQ123" s="108"/>
      <c r="AR123" s="108"/>
      <c r="AS123" s="108"/>
      <c r="AT123" s="108"/>
      <c r="AU123" s="108"/>
      <c r="AV123" s="108"/>
    </row>
    <row r="124" spans="1:50" s="106" customFormat="1" ht="13.8">
      <c r="A124" s="125"/>
      <c r="B124" s="34">
        <v>44651</v>
      </c>
      <c r="C124" s="34" t="s">
        <v>17</v>
      </c>
      <c r="D124" s="124" t="s">
        <v>35</v>
      </c>
      <c r="E124" s="32">
        <v>-11078</v>
      </c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122"/>
    </row>
    <row r="125" spans="1:50" s="106" customFormat="1" ht="13.8">
      <c r="A125" s="125"/>
      <c r="B125" s="34">
        <v>44651</v>
      </c>
      <c r="C125" s="34" t="s">
        <v>17</v>
      </c>
      <c r="D125" s="124" t="s">
        <v>34</v>
      </c>
      <c r="E125" s="32">
        <v>-7943</v>
      </c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122"/>
    </row>
    <row r="126" spans="1:50" s="106" customFormat="1" ht="13.8">
      <c r="A126" s="125"/>
      <c r="B126" s="34">
        <v>44651</v>
      </c>
      <c r="C126" s="34" t="s">
        <v>17</v>
      </c>
      <c r="D126" s="124" t="s">
        <v>33</v>
      </c>
      <c r="E126" s="32">
        <v>-213</v>
      </c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122"/>
    </row>
    <row r="127" spans="1:50" s="106" customFormat="1" ht="13.8">
      <c r="A127" s="125"/>
      <c r="B127" s="34">
        <v>44651</v>
      </c>
      <c r="C127" s="34" t="s">
        <v>19</v>
      </c>
      <c r="D127" s="124" t="s">
        <v>32</v>
      </c>
      <c r="E127" s="32">
        <v>339</v>
      </c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>
        <v>339</v>
      </c>
      <c r="V127" s="31"/>
      <c r="W127" s="31"/>
      <c r="X127" s="31"/>
      <c r="Y127" s="122"/>
    </row>
    <row r="128" spans="1:50" s="106" customFormat="1" ht="13.8">
      <c r="A128" s="125"/>
      <c r="B128" s="34">
        <v>44651</v>
      </c>
      <c r="C128" s="34" t="s">
        <v>17</v>
      </c>
      <c r="D128" s="124" t="s">
        <v>29</v>
      </c>
      <c r="E128" s="32">
        <v>69</v>
      </c>
      <c r="F128" s="31">
        <v>69</v>
      </c>
      <c r="G128" s="31">
        <v>69</v>
      </c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122"/>
    </row>
    <row r="129" spans="1:25" s="106" customFormat="1" ht="13.8">
      <c r="A129" s="125"/>
      <c r="B129" s="34">
        <v>44651</v>
      </c>
      <c r="C129" s="2946" t="s">
        <v>57</v>
      </c>
      <c r="D129" s="2947"/>
      <c r="E129" s="32">
        <v>1000</v>
      </c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>
        <v>1000</v>
      </c>
      <c r="W129" s="31"/>
      <c r="X129" s="31"/>
      <c r="Y129" s="122"/>
    </row>
    <row r="130" spans="1:25" s="106" customFormat="1" ht="13.8">
      <c r="A130" s="125">
        <v>5</v>
      </c>
      <c r="B130" s="34">
        <v>44652</v>
      </c>
      <c r="C130" s="34" t="s">
        <v>17</v>
      </c>
      <c r="D130" s="124" t="s">
        <v>31</v>
      </c>
      <c r="E130" s="32">
        <v>-1296</v>
      </c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122"/>
    </row>
    <row r="131" spans="1:25" s="106" customFormat="1" ht="13.8">
      <c r="A131" s="125"/>
      <c r="B131" s="34">
        <v>44652</v>
      </c>
      <c r="C131" s="34" t="s">
        <v>17</v>
      </c>
      <c r="D131" s="124" t="s">
        <v>149</v>
      </c>
      <c r="E131" s="32">
        <v>199</v>
      </c>
      <c r="F131" s="31">
        <v>199</v>
      </c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>
        <v>199</v>
      </c>
      <c r="R131" s="31"/>
      <c r="S131" s="31"/>
      <c r="T131" s="31"/>
      <c r="U131" s="31"/>
      <c r="V131" s="31"/>
      <c r="W131" s="31"/>
      <c r="X131" s="31"/>
      <c r="Y131" s="122"/>
    </row>
    <row r="132" spans="1:25" s="106" customFormat="1" ht="13.8">
      <c r="A132" s="125"/>
      <c r="B132" s="34">
        <v>44652</v>
      </c>
      <c r="C132" s="34" t="s">
        <v>19</v>
      </c>
      <c r="D132" s="124" t="s">
        <v>30</v>
      </c>
      <c r="E132" s="32">
        <v>7474</v>
      </c>
      <c r="F132" s="31">
        <v>7474</v>
      </c>
      <c r="G132" s="31"/>
      <c r="H132" s="31"/>
      <c r="I132" s="31"/>
      <c r="J132" s="31"/>
      <c r="K132" s="31"/>
      <c r="L132" s="31"/>
      <c r="M132" s="31"/>
      <c r="N132" s="31">
        <v>7474</v>
      </c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122"/>
    </row>
    <row r="133" spans="1:25" s="106" customFormat="1" ht="13.8">
      <c r="A133" s="125"/>
      <c r="B133" s="34">
        <v>44652</v>
      </c>
      <c r="C133" s="34" t="s">
        <v>19</v>
      </c>
      <c r="D133" s="124" t="s">
        <v>26</v>
      </c>
      <c r="E133" s="32">
        <v>1562.12</v>
      </c>
      <c r="F133" s="31">
        <v>1562.12</v>
      </c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2">
        <v>1562.12</v>
      </c>
      <c r="X133" s="31"/>
      <c r="Y133" s="122"/>
    </row>
    <row r="134" spans="1:25" s="106" customFormat="1" ht="13.8">
      <c r="A134" s="125"/>
      <c r="B134" s="34">
        <v>44652</v>
      </c>
      <c r="C134" s="34" t="s">
        <v>19</v>
      </c>
      <c r="D134" s="124" t="s">
        <v>27</v>
      </c>
      <c r="E134" s="32">
        <v>588.75</v>
      </c>
      <c r="F134" s="31">
        <v>588.75</v>
      </c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>
        <v>588.75</v>
      </c>
      <c r="R134" s="31"/>
      <c r="S134" s="31"/>
      <c r="T134" s="31"/>
      <c r="U134" s="31"/>
      <c r="V134" s="31"/>
      <c r="W134" s="31"/>
      <c r="X134" s="31"/>
      <c r="Y134" s="122"/>
    </row>
    <row r="135" spans="1:25" s="106" customFormat="1" ht="13.8">
      <c r="A135" s="125"/>
      <c r="B135" s="34">
        <v>44652</v>
      </c>
      <c r="C135" s="34" t="s">
        <v>19</v>
      </c>
      <c r="D135" s="124" t="s">
        <v>156</v>
      </c>
      <c r="E135" s="32">
        <v>390</v>
      </c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>
        <v>255</v>
      </c>
      <c r="S135" s="31"/>
      <c r="T135" s="31"/>
      <c r="U135" s="31"/>
      <c r="V135" s="31"/>
      <c r="W135" s="31"/>
      <c r="X135" s="31"/>
      <c r="Y135" s="122"/>
    </row>
    <row r="136" spans="1:25" s="106" customFormat="1" ht="13.8">
      <c r="A136" s="125"/>
      <c r="B136" s="34">
        <v>44652</v>
      </c>
      <c r="C136" s="34" t="s">
        <v>19</v>
      </c>
      <c r="D136" s="124" t="s">
        <v>25</v>
      </c>
      <c r="E136" s="32">
        <v>532.35</v>
      </c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>
        <v>532.35</v>
      </c>
      <c r="Q136" s="31"/>
      <c r="R136" s="31"/>
      <c r="S136" s="31"/>
      <c r="T136" s="31"/>
      <c r="U136" s="31"/>
      <c r="V136" s="31"/>
      <c r="W136" s="31"/>
      <c r="X136" s="31"/>
      <c r="Y136" s="122"/>
    </row>
    <row r="137" spans="1:25" s="106" customFormat="1" ht="13.8">
      <c r="A137" s="125"/>
      <c r="B137" s="34">
        <v>44652</v>
      </c>
      <c r="C137" s="34" t="s">
        <v>17</v>
      </c>
      <c r="D137" s="124" t="s">
        <v>22</v>
      </c>
      <c r="E137" s="32">
        <v>167</v>
      </c>
      <c r="F137" s="31">
        <v>167</v>
      </c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>
        <f>E137</f>
        <v>167</v>
      </c>
      <c r="R137" s="31"/>
      <c r="S137" s="31"/>
      <c r="T137" s="31"/>
      <c r="U137" s="31"/>
      <c r="V137" s="31"/>
      <c r="W137" s="31"/>
      <c r="X137" s="31"/>
      <c r="Y137" s="122"/>
    </row>
    <row r="138" spans="1:25" s="106" customFormat="1" ht="13.8">
      <c r="A138" s="125"/>
      <c r="B138" s="34">
        <v>44654</v>
      </c>
      <c r="C138" s="34" t="s">
        <v>17</v>
      </c>
      <c r="D138" s="124" t="s">
        <v>21</v>
      </c>
      <c r="E138" s="32">
        <v>98</v>
      </c>
      <c r="F138" s="31">
        <v>98</v>
      </c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>
        <f>E138</f>
        <v>98</v>
      </c>
      <c r="R138" s="31"/>
      <c r="S138" s="31"/>
      <c r="T138" s="31"/>
      <c r="U138" s="31"/>
      <c r="V138" s="31"/>
      <c r="W138" s="31"/>
      <c r="X138" s="31"/>
      <c r="Y138" s="122"/>
    </row>
    <row r="139" spans="1:25" s="106" customFormat="1" ht="13.8">
      <c r="A139" s="125"/>
      <c r="B139" s="34">
        <v>44655</v>
      </c>
      <c r="C139" s="34" t="s">
        <v>19</v>
      </c>
      <c r="D139" s="124" t="s">
        <v>28</v>
      </c>
      <c r="E139" s="32">
        <v>200</v>
      </c>
      <c r="F139" s="31">
        <v>200</v>
      </c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122"/>
    </row>
    <row r="140" spans="1:25" s="106" customFormat="1" ht="13.8">
      <c r="A140" s="125"/>
      <c r="B140" s="34">
        <v>44656</v>
      </c>
      <c r="C140" s="34" t="s">
        <v>19</v>
      </c>
      <c r="D140" s="124" t="s">
        <v>20</v>
      </c>
      <c r="E140" s="32">
        <v>196.13</v>
      </c>
      <c r="F140" s="31">
        <v>196.13</v>
      </c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122"/>
    </row>
    <row r="141" spans="1:25" s="106" customFormat="1" ht="13.8">
      <c r="A141" s="125"/>
      <c r="B141" s="34">
        <v>44656</v>
      </c>
      <c r="C141" s="34" t="s">
        <v>19</v>
      </c>
      <c r="D141" s="124" t="s">
        <v>18</v>
      </c>
      <c r="E141" s="32">
        <v>215.35</v>
      </c>
      <c r="F141" s="31">
        <v>215.35</v>
      </c>
      <c r="G141" s="31"/>
      <c r="H141" s="31"/>
      <c r="I141" s="31"/>
      <c r="J141" s="31"/>
      <c r="K141" s="31"/>
      <c r="L141" s="31"/>
      <c r="M141" s="31"/>
      <c r="N141" s="31"/>
      <c r="O141" s="31"/>
      <c r="P141" s="31">
        <v>215.35</v>
      </c>
      <c r="Q141" s="31"/>
      <c r="R141" s="31"/>
      <c r="S141" s="31"/>
      <c r="T141" s="31"/>
      <c r="U141" s="31"/>
      <c r="V141" s="31"/>
      <c r="W141" s="31"/>
      <c r="X141" s="31"/>
      <c r="Y141" s="122"/>
    </row>
    <row r="142" spans="1:25" s="106" customFormat="1" ht="13.8">
      <c r="A142" s="125"/>
      <c r="B142" s="34">
        <v>44657</v>
      </c>
      <c r="C142" s="2946" t="s">
        <v>155</v>
      </c>
      <c r="D142" s="2947"/>
      <c r="E142" s="32">
        <v>700</v>
      </c>
      <c r="F142" s="31"/>
      <c r="G142" s="31"/>
      <c r="H142" s="31"/>
      <c r="I142" s="31"/>
      <c r="J142" s="31"/>
      <c r="K142" s="31"/>
      <c r="L142" s="31"/>
      <c r="M142" s="31"/>
      <c r="N142" s="31"/>
      <c r="O142" s="31">
        <v>700</v>
      </c>
      <c r="P142" s="31"/>
      <c r="Q142" s="31"/>
      <c r="R142" s="31"/>
      <c r="S142" s="31"/>
      <c r="T142" s="31"/>
      <c r="U142" s="31"/>
      <c r="V142" s="31"/>
      <c r="W142" s="31"/>
      <c r="X142" s="31"/>
      <c r="Y142" s="122"/>
    </row>
    <row r="143" spans="1:25" s="106" customFormat="1" ht="13.8">
      <c r="A143" s="125"/>
      <c r="B143" s="34">
        <v>44676</v>
      </c>
      <c r="C143" s="2946" t="s">
        <v>154</v>
      </c>
      <c r="D143" s="2947"/>
      <c r="E143" s="32">
        <v>1000</v>
      </c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>
        <v>1000</v>
      </c>
      <c r="Q143" s="31"/>
      <c r="R143" s="31"/>
      <c r="S143" s="31"/>
      <c r="T143" s="31"/>
      <c r="U143" s="31"/>
      <c r="V143" s="31"/>
      <c r="W143" s="31"/>
      <c r="X143" s="31"/>
      <c r="Y143" s="122"/>
    </row>
    <row r="144" spans="1:25" s="106" customFormat="1" ht="13.8">
      <c r="A144" s="125"/>
      <c r="B144" s="34"/>
      <c r="C144" s="2946" t="s">
        <v>148</v>
      </c>
      <c r="D144" s="2947"/>
      <c r="E144" s="32">
        <v>773</v>
      </c>
      <c r="F144" s="31"/>
      <c r="G144" s="31"/>
      <c r="H144" s="31"/>
      <c r="I144" s="31">
        <v>761</v>
      </c>
      <c r="J144" s="31">
        <v>12</v>
      </c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122"/>
    </row>
    <row r="145" spans="1:50" s="106" customFormat="1" ht="13.8">
      <c r="A145" s="125"/>
      <c r="B145" s="34"/>
      <c r="C145" s="2946" t="s">
        <v>42</v>
      </c>
      <c r="D145" s="2947"/>
      <c r="E145" s="32">
        <v>2343</v>
      </c>
      <c r="F145" s="31"/>
      <c r="G145" s="31">
        <v>178</v>
      </c>
      <c r="H145" s="31">
        <v>1351</v>
      </c>
      <c r="I145" s="31">
        <v>60</v>
      </c>
      <c r="J145" s="31"/>
      <c r="K145" s="31">
        <v>600</v>
      </c>
      <c r="L145" s="31">
        <v>51</v>
      </c>
      <c r="M145" s="31">
        <v>45</v>
      </c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122"/>
    </row>
    <row r="146" spans="1:50" s="106" customFormat="1" ht="13.8">
      <c r="A146" s="125"/>
      <c r="B146" s="34"/>
      <c r="C146" s="2946" t="s">
        <v>41</v>
      </c>
      <c r="D146" s="2947"/>
      <c r="E146" s="32">
        <v>362</v>
      </c>
      <c r="F146" s="31"/>
      <c r="G146" s="31"/>
      <c r="H146" s="31">
        <v>267</v>
      </c>
      <c r="I146" s="31"/>
      <c r="J146" s="31"/>
      <c r="K146" s="31"/>
      <c r="L146" s="31"/>
      <c r="M146" s="31">
        <v>95</v>
      </c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122"/>
    </row>
    <row r="147" spans="1:50" s="106" customFormat="1" ht="13.8">
      <c r="A147" s="125"/>
      <c r="B147" s="34"/>
      <c r="C147" s="2946" t="s">
        <v>40</v>
      </c>
      <c r="D147" s="2947"/>
      <c r="E147" s="32">
        <v>440</v>
      </c>
      <c r="F147" s="31"/>
      <c r="G147" s="31">
        <v>78</v>
      </c>
      <c r="H147" s="31">
        <v>282</v>
      </c>
      <c r="I147" s="31"/>
      <c r="J147" s="31"/>
      <c r="K147" s="31"/>
      <c r="L147" s="31"/>
      <c r="M147" s="31">
        <v>80</v>
      </c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122"/>
    </row>
    <row r="148" spans="1:50" s="106" customFormat="1" ht="13.8">
      <c r="A148" s="125"/>
      <c r="B148" s="34"/>
      <c r="C148" s="2946" t="s">
        <v>39</v>
      </c>
      <c r="D148" s="2947"/>
      <c r="E148" s="32">
        <v>157</v>
      </c>
      <c r="F148" s="31"/>
      <c r="G148" s="31">
        <v>25</v>
      </c>
      <c r="H148" s="31">
        <v>132</v>
      </c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122"/>
    </row>
    <row r="149" spans="1:50" s="106" customFormat="1" ht="13.8">
      <c r="A149" s="125"/>
      <c r="B149" s="34"/>
      <c r="C149" s="2946" t="s">
        <v>38</v>
      </c>
      <c r="D149" s="2947"/>
      <c r="E149" s="32">
        <v>154</v>
      </c>
      <c r="F149" s="31"/>
      <c r="G149" s="31"/>
      <c r="H149" s="31">
        <v>154</v>
      </c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122"/>
    </row>
    <row r="150" spans="1:50" s="106" customFormat="1" ht="13.8">
      <c r="A150" s="125"/>
      <c r="B150" s="34"/>
      <c r="C150" s="2946" t="s">
        <v>37</v>
      </c>
      <c r="D150" s="2947"/>
      <c r="E150" s="32">
        <v>409</v>
      </c>
      <c r="F150" s="31"/>
      <c r="G150" s="31"/>
      <c r="H150" s="31">
        <v>370</v>
      </c>
      <c r="I150" s="31"/>
      <c r="J150" s="31"/>
      <c r="K150" s="31"/>
      <c r="L150" s="31"/>
      <c r="M150" s="31"/>
      <c r="N150" s="31"/>
      <c r="O150" s="31"/>
      <c r="P150" s="31">
        <v>39</v>
      </c>
      <c r="Q150" s="31"/>
      <c r="R150" s="31"/>
      <c r="S150" s="31"/>
      <c r="T150" s="31"/>
      <c r="U150" s="31"/>
      <c r="V150" s="31"/>
      <c r="W150" s="31"/>
      <c r="X150" s="31"/>
      <c r="Y150" s="122"/>
    </row>
    <row r="151" spans="1:50" s="120" customFormat="1" ht="12" customHeight="1">
      <c r="A151" s="60"/>
      <c r="B151" s="2930" t="str">
        <f>G7</f>
        <v>April</v>
      </c>
      <c r="C151" s="2931"/>
      <c r="D151" s="2934" t="s">
        <v>36</v>
      </c>
      <c r="E151" s="2936"/>
      <c r="F151" s="2936"/>
      <c r="G151" s="2936"/>
      <c r="H151" s="2936"/>
      <c r="I151" s="2936"/>
      <c r="J151" s="2936"/>
      <c r="K151" s="2936"/>
      <c r="L151" s="2936"/>
      <c r="M151" s="2936"/>
      <c r="N151" s="2936"/>
      <c r="O151" s="2936"/>
      <c r="P151" s="2936"/>
      <c r="Q151" s="2936"/>
      <c r="R151" s="2936"/>
      <c r="S151" s="2936"/>
      <c r="T151" s="2936"/>
      <c r="U151" s="2936"/>
      <c r="V151" s="2936"/>
      <c r="W151" s="2936"/>
      <c r="X151" s="2936"/>
      <c r="Y151" s="122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</row>
    <row r="152" spans="1:50" s="120" customFormat="1" ht="12" customHeight="1">
      <c r="A152" s="60"/>
      <c r="B152" s="2932"/>
      <c r="C152" s="2933"/>
      <c r="D152" s="2935"/>
      <c r="E152" s="2937"/>
      <c r="F152" s="2937"/>
      <c r="G152" s="2937"/>
      <c r="H152" s="2937"/>
      <c r="I152" s="2937"/>
      <c r="J152" s="2937"/>
      <c r="K152" s="2937"/>
      <c r="L152" s="2937"/>
      <c r="M152" s="2937"/>
      <c r="N152" s="2937"/>
      <c r="O152" s="2937"/>
      <c r="P152" s="2937"/>
      <c r="Q152" s="2937"/>
      <c r="R152" s="2937"/>
      <c r="S152" s="2937"/>
      <c r="T152" s="2937"/>
      <c r="U152" s="2937"/>
      <c r="V152" s="2937"/>
      <c r="W152" s="2937"/>
      <c r="X152" s="2937"/>
      <c r="Y152" s="72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6"/>
      <c r="AK152" s="106"/>
      <c r="AL152" s="106"/>
      <c r="AM152" s="106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</row>
    <row r="153" spans="1:50" s="126" customFormat="1" ht="13.5" customHeight="1">
      <c r="A153" s="39"/>
      <c r="B153" s="38" t="str">
        <f>H7</f>
        <v>Maj</v>
      </c>
      <c r="C153" s="37">
        <v>44682</v>
      </c>
      <c r="D153" s="128"/>
      <c r="E153" s="36">
        <f t="shared" ref="E153:V153" si="11">SUM(E154:E183)</f>
        <v>1881.3599999999997</v>
      </c>
      <c r="F153" s="36">
        <f t="shared" si="11"/>
        <v>402.43</v>
      </c>
      <c r="G153" s="36">
        <f t="shared" si="11"/>
        <v>1328.75</v>
      </c>
      <c r="H153" s="36">
        <f t="shared" si="11"/>
        <v>5661.35</v>
      </c>
      <c r="I153" s="36">
        <f t="shared" si="11"/>
        <v>874.9</v>
      </c>
      <c r="J153" s="36">
        <f t="shared" si="11"/>
        <v>3.5</v>
      </c>
      <c r="K153" s="36">
        <f t="shared" si="11"/>
        <v>600</v>
      </c>
      <c r="L153" s="36">
        <f t="shared" si="11"/>
        <v>421</v>
      </c>
      <c r="M153" s="36">
        <f t="shared" si="11"/>
        <v>257.55</v>
      </c>
      <c r="N153" s="36">
        <f t="shared" si="11"/>
        <v>7474</v>
      </c>
      <c r="O153" s="36">
        <f t="shared" si="11"/>
        <v>700</v>
      </c>
      <c r="P153" s="36">
        <f t="shared" si="11"/>
        <v>1108.3800000000001</v>
      </c>
      <c r="Q153" s="36">
        <f t="shared" si="11"/>
        <v>1052.75</v>
      </c>
      <c r="R153" s="36">
        <f t="shared" si="11"/>
        <v>56</v>
      </c>
      <c r="S153" s="36">
        <f t="shared" si="11"/>
        <v>2027</v>
      </c>
      <c r="T153" s="36">
        <f t="shared" si="11"/>
        <v>0</v>
      </c>
      <c r="U153" s="36">
        <f t="shared" si="11"/>
        <v>339</v>
      </c>
      <c r="V153" s="36">
        <f t="shared" si="11"/>
        <v>1500</v>
      </c>
      <c r="W153" s="36"/>
      <c r="X153" s="36"/>
      <c r="Y153" s="46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6"/>
      <c r="AK153" s="106"/>
      <c r="AL153" s="106"/>
      <c r="AM153" s="106"/>
      <c r="AN153" s="102"/>
      <c r="AO153" s="108"/>
      <c r="AP153" s="108"/>
      <c r="AQ153" s="108"/>
      <c r="AR153" s="108"/>
      <c r="AS153" s="108"/>
      <c r="AT153" s="108"/>
      <c r="AU153" s="108"/>
      <c r="AV153" s="108"/>
    </row>
    <row r="154" spans="1:50" s="106" customFormat="1" ht="13.8">
      <c r="A154" s="125"/>
      <c r="B154" s="34">
        <v>44680</v>
      </c>
      <c r="C154" s="34" t="s">
        <v>17</v>
      </c>
      <c r="D154" s="124" t="s">
        <v>33</v>
      </c>
      <c r="E154" s="32">
        <v>-213</v>
      </c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135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N154" s="134"/>
    </row>
    <row r="155" spans="1:50" s="106" customFormat="1" ht="13.8">
      <c r="A155" s="125"/>
      <c r="B155" s="34">
        <v>44680</v>
      </c>
      <c r="C155" s="34" t="s">
        <v>17</v>
      </c>
      <c r="D155" s="124" t="s">
        <v>35</v>
      </c>
      <c r="E155" s="32">
        <v>-11078</v>
      </c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135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N155" s="134"/>
    </row>
    <row r="156" spans="1:50" s="106" customFormat="1" ht="14.4">
      <c r="A156" s="125"/>
      <c r="B156" s="34">
        <v>44680</v>
      </c>
      <c r="C156" s="34" t="s">
        <v>17</v>
      </c>
      <c r="D156" s="124" t="s">
        <v>34</v>
      </c>
      <c r="E156" s="32">
        <v>-7943</v>
      </c>
      <c r="F156" s="32"/>
      <c r="G156" s="32"/>
      <c r="H156" s="32"/>
      <c r="I156" s="32"/>
      <c r="J156" s="32"/>
      <c r="K156" s="32"/>
      <c r="L156" s="32"/>
      <c r="M156" s="32"/>
      <c r="N156" s="14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135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N156" s="134"/>
    </row>
    <row r="157" spans="1:50" s="106" customFormat="1" ht="13.8">
      <c r="A157" s="125"/>
      <c r="B157" s="34">
        <v>44680</v>
      </c>
      <c r="C157" s="34" t="s">
        <v>19</v>
      </c>
      <c r="D157" s="124" t="s">
        <v>32</v>
      </c>
      <c r="E157" s="32">
        <v>339</v>
      </c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>
        <v>339</v>
      </c>
      <c r="V157" s="32"/>
      <c r="W157" s="32"/>
      <c r="X157" s="32"/>
      <c r="Y157" s="135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N157" s="134"/>
    </row>
    <row r="158" spans="1:50" s="106" customFormat="1" ht="14.4">
      <c r="A158" s="125"/>
      <c r="B158" s="34">
        <v>44680</v>
      </c>
      <c r="C158" s="34" t="s">
        <v>17</v>
      </c>
      <c r="D158" s="124" t="s">
        <v>57</v>
      </c>
      <c r="E158" s="32">
        <v>1500</v>
      </c>
      <c r="F158" s="32"/>
      <c r="G158" s="32"/>
      <c r="H158" s="32"/>
      <c r="I158" s="32"/>
      <c r="J158" s="32"/>
      <c r="K158" s="32"/>
      <c r="L158" s="32"/>
      <c r="M158" s="32"/>
      <c r="N158" s="32"/>
      <c r="O158" s="143"/>
      <c r="P158" s="32"/>
      <c r="Q158" s="32"/>
      <c r="R158" s="32"/>
      <c r="S158" s="32"/>
      <c r="T158" s="32"/>
      <c r="U158" s="32"/>
      <c r="V158" s="32">
        <v>1500</v>
      </c>
      <c r="W158" s="32"/>
      <c r="X158" s="32"/>
      <c r="Y158" s="122"/>
    </row>
    <row r="159" spans="1:50" s="106" customFormat="1" ht="14.4">
      <c r="A159" s="125"/>
      <c r="B159" s="34">
        <v>44680</v>
      </c>
      <c r="C159" s="34" t="s">
        <v>17</v>
      </c>
      <c r="D159" s="124" t="s">
        <v>153</v>
      </c>
      <c r="E159" s="32">
        <v>351.75</v>
      </c>
      <c r="F159" s="32"/>
      <c r="G159" s="32">
        <v>351.75</v>
      </c>
      <c r="H159" s="32"/>
      <c r="I159" s="32"/>
      <c r="J159" s="32"/>
      <c r="K159" s="32"/>
      <c r="L159" s="32"/>
      <c r="M159" s="32"/>
      <c r="N159" s="32"/>
      <c r="O159" s="143"/>
      <c r="P159" s="32"/>
      <c r="Q159" s="32"/>
      <c r="R159" s="32"/>
      <c r="S159" s="32"/>
      <c r="T159" s="32"/>
      <c r="U159" s="32"/>
      <c r="V159" s="32"/>
      <c r="W159" s="32"/>
      <c r="X159" s="32"/>
      <c r="Y159" s="122"/>
    </row>
    <row r="160" spans="1:50" s="106" customFormat="1" ht="13.8">
      <c r="A160" s="125"/>
      <c r="B160" s="34">
        <v>44681</v>
      </c>
      <c r="C160" s="34" t="s">
        <v>17</v>
      </c>
      <c r="D160" s="124" t="s">
        <v>29</v>
      </c>
      <c r="E160" s="32">
        <v>69</v>
      </c>
      <c r="F160" s="32"/>
      <c r="G160" s="32">
        <v>69</v>
      </c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135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N160" s="134"/>
    </row>
    <row r="161" spans="1:40" s="106" customFormat="1" ht="13.8">
      <c r="A161" s="125"/>
      <c r="B161" s="34">
        <v>44682</v>
      </c>
      <c r="C161" s="34" t="s">
        <v>17</v>
      </c>
      <c r="D161" s="124" t="s">
        <v>149</v>
      </c>
      <c r="E161" s="32">
        <v>199</v>
      </c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>
        <v>199</v>
      </c>
      <c r="R161" s="32"/>
      <c r="S161" s="32"/>
      <c r="T161" s="32"/>
      <c r="U161" s="32"/>
      <c r="V161" s="32"/>
      <c r="W161" s="32"/>
      <c r="X161" s="32"/>
      <c r="Y161" s="135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N161" s="134"/>
    </row>
    <row r="162" spans="1:40" s="106" customFormat="1" ht="13.8">
      <c r="A162" s="125"/>
      <c r="B162" s="34">
        <v>44682</v>
      </c>
      <c r="C162" s="34" t="s">
        <v>17</v>
      </c>
      <c r="D162" s="124" t="s">
        <v>22</v>
      </c>
      <c r="E162" s="32">
        <v>167</v>
      </c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>
        <v>167</v>
      </c>
      <c r="R162" s="32"/>
      <c r="S162" s="32"/>
      <c r="T162" s="32"/>
      <c r="U162" s="32"/>
      <c r="V162" s="32"/>
      <c r="W162" s="32"/>
      <c r="X162" s="32"/>
      <c r="Y162" s="135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N162" s="134"/>
    </row>
    <row r="163" spans="1:40" s="106" customFormat="1" ht="13.8">
      <c r="A163" s="125">
        <v>5</v>
      </c>
      <c r="B163" s="34">
        <v>44683</v>
      </c>
      <c r="C163" s="34" t="s">
        <v>17</v>
      </c>
      <c r="D163" s="124" t="s">
        <v>31</v>
      </c>
      <c r="E163" s="32">
        <v>-1296</v>
      </c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135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N163" s="134"/>
    </row>
    <row r="164" spans="1:40" s="106" customFormat="1" ht="13.8">
      <c r="A164" s="125"/>
      <c r="B164" s="34">
        <v>44683</v>
      </c>
      <c r="C164" s="34" t="s">
        <v>19</v>
      </c>
      <c r="D164" s="124" t="s">
        <v>30</v>
      </c>
      <c r="E164" s="32">
        <v>7474</v>
      </c>
      <c r="F164" s="32"/>
      <c r="G164" s="32"/>
      <c r="H164" s="32"/>
      <c r="I164" s="32"/>
      <c r="J164" s="32"/>
      <c r="K164" s="32"/>
      <c r="L164" s="32"/>
      <c r="M164" s="32"/>
      <c r="N164" s="32">
        <v>7474</v>
      </c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135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N164" s="134"/>
    </row>
    <row r="165" spans="1:40" s="106" customFormat="1" ht="13.8">
      <c r="A165" s="125"/>
      <c r="B165" s="34">
        <v>44683</v>
      </c>
      <c r="C165" s="34" t="s">
        <v>19</v>
      </c>
      <c r="D165" s="124" t="s">
        <v>28</v>
      </c>
      <c r="E165" s="32">
        <v>200</v>
      </c>
      <c r="F165" s="32">
        <v>200</v>
      </c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135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N165" s="134"/>
    </row>
    <row r="166" spans="1:40" s="106" customFormat="1" ht="13.8">
      <c r="A166" s="125"/>
      <c r="B166" s="34">
        <v>44683</v>
      </c>
      <c r="C166" s="34" t="s">
        <v>19</v>
      </c>
      <c r="D166" s="124" t="s">
        <v>27</v>
      </c>
      <c r="E166" s="32">
        <v>588.75</v>
      </c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>
        <v>588.75</v>
      </c>
      <c r="R166" s="32"/>
      <c r="S166" s="32"/>
      <c r="T166" s="32"/>
      <c r="U166" s="32"/>
      <c r="V166" s="32"/>
      <c r="W166" s="32"/>
      <c r="X166" s="32"/>
      <c r="Y166" s="135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N166" s="134"/>
    </row>
    <row r="167" spans="1:40" s="106" customFormat="1" ht="13.8">
      <c r="A167" s="125"/>
      <c r="B167" s="34">
        <v>44683</v>
      </c>
      <c r="C167" s="34" t="s">
        <v>19</v>
      </c>
      <c r="D167" s="124" t="s">
        <v>25</v>
      </c>
      <c r="E167" s="32">
        <v>832.08</v>
      </c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>
        <v>832.08</v>
      </c>
      <c r="Q167" s="32"/>
      <c r="R167" s="32"/>
      <c r="S167" s="32"/>
      <c r="T167" s="32"/>
      <c r="U167" s="32"/>
      <c r="V167" s="32"/>
      <c r="W167" s="32"/>
      <c r="X167" s="32"/>
      <c r="Y167" s="135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N167" s="134"/>
    </row>
    <row r="168" spans="1:40" s="106" customFormat="1" ht="13.8">
      <c r="A168" s="125">
        <f>-R168</f>
        <v>-56</v>
      </c>
      <c r="B168" s="34">
        <v>44683</v>
      </c>
      <c r="C168" s="34" t="s">
        <v>19</v>
      </c>
      <c r="D168" s="124" t="s">
        <v>128</v>
      </c>
      <c r="E168" s="32">
        <v>56</v>
      </c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>
        <f>270-214</f>
        <v>56</v>
      </c>
      <c r="S168" s="32"/>
      <c r="T168" s="32"/>
      <c r="U168" s="32"/>
      <c r="V168" s="32"/>
      <c r="W168" s="32"/>
      <c r="X168" s="32"/>
      <c r="Y168" s="135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N168" s="134"/>
    </row>
    <row r="169" spans="1:40" s="106" customFormat="1" ht="13.8">
      <c r="A169" s="125"/>
      <c r="B169" s="34">
        <v>44684</v>
      </c>
      <c r="C169" s="34" t="s">
        <v>17</v>
      </c>
      <c r="D169" s="124" t="s">
        <v>21</v>
      </c>
      <c r="E169" s="32">
        <v>98</v>
      </c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>
        <v>98</v>
      </c>
      <c r="R169" s="32"/>
      <c r="S169" s="32"/>
      <c r="T169" s="32"/>
      <c r="U169" s="32"/>
      <c r="V169" s="32"/>
      <c r="W169" s="32"/>
      <c r="X169" s="32"/>
      <c r="Y169" s="135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N169" s="134"/>
    </row>
    <row r="170" spans="1:40" s="106" customFormat="1" ht="13.8">
      <c r="A170" s="125"/>
      <c r="B170" s="34">
        <v>44686</v>
      </c>
      <c r="C170" s="34" t="s">
        <v>19</v>
      </c>
      <c r="D170" s="124" t="s">
        <v>20</v>
      </c>
      <c r="E170" s="32">
        <v>202.43</v>
      </c>
      <c r="F170" s="32">
        <v>202.43</v>
      </c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135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N170" s="134"/>
    </row>
    <row r="171" spans="1:40" s="106" customFormat="1" ht="13.8">
      <c r="A171" s="125"/>
      <c r="B171" s="34">
        <v>44686</v>
      </c>
      <c r="C171" s="34" t="s">
        <v>19</v>
      </c>
      <c r="D171" s="124" t="s">
        <v>18</v>
      </c>
      <c r="E171" s="32">
        <v>222.3</v>
      </c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>
        <v>222.3</v>
      </c>
      <c r="Q171" s="32"/>
      <c r="R171" s="32"/>
      <c r="S171" s="32"/>
      <c r="T171" s="32"/>
      <c r="U171" s="32"/>
      <c r="V171" s="32"/>
      <c r="W171" s="32"/>
      <c r="X171" s="32"/>
      <c r="Y171" s="135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N171" s="134"/>
    </row>
    <row r="172" spans="1:40" s="106" customFormat="1" ht="13.8">
      <c r="A172" s="125"/>
      <c r="B172" s="34">
        <v>44685</v>
      </c>
      <c r="C172" s="34" t="s">
        <v>152</v>
      </c>
      <c r="D172" s="124"/>
      <c r="E172" s="32">
        <v>500</v>
      </c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>
        <v>500</v>
      </c>
      <c r="T172" s="32"/>
      <c r="U172" s="32"/>
      <c r="V172" s="32"/>
      <c r="W172" s="32"/>
      <c r="X172" s="32"/>
      <c r="Y172" s="135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N172" s="134"/>
    </row>
    <row r="173" spans="1:40" s="106" customFormat="1" ht="13.8">
      <c r="A173" s="125"/>
      <c r="B173" s="34">
        <v>44692</v>
      </c>
      <c r="C173" s="2946" t="s">
        <v>127</v>
      </c>
      <c r="D173" s="2947"/>
      <c r="E173" s="32">
        <v>200</v>
      </c>
      <c r="F173" s="32"/>
      <c r="G173" s="32">
        <v>200</v>
      </c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135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N173" s="134"/>
    </row>
    <row r="174" spans="1:40" s="106" customFormat="1" ht="13.8">
      <c r="A174" s="125"/>
      <c r="B174" s="34">
        <v>44694</v>
      </c>
      <c r="C174" s="2946" t="s">
        <v>151</v>
      </c>
      <c r="D174" s="2947"/>
      <c r="E174" s="32">
        <v>500</v>
      </c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>
        <v>500</v>
      </c>
      <c r="T174" s="32"/>
      <c r="U174" s="32"/>
      <c r="V174" s="32"/>
      <c r="W174" s="32"/>
      <c r="X174" s="32"/>
      <c r="Y174" s="135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N174" s="134"/>
    </row>
    <row r="175" spans="1:40" s="106" customFormat="1" ht="13.8">
      <c r="A175" s="125"/>
      <c r="B175" s="34">
        <v>44695</v>
      </c>
      <c r="C175" s="144" t="s">
        <v>150</v>
      </c>
      <c r="D175" s="124"/>
      <c r="E175" s="32">
        <v>1000</v>
      </c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>
        <v>1000</v>
      </c>
      <c r="T175" s="32"/>
      <c r="U175" s="32"/>
      <c r="V175" s="32"/>
      <c r="W175" s="32"/>
      <c r="X175" s="32"/>
      <c r="Y175" s="135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N175" s="134"/>
    </row>
    <row r="176" spans="1:40" s="106" customFormat="1" ht="13.8">
      <c r="A176" s="125"/>
      <c r="B176" s="34">
        <v>44709</v>
      </c>
      <c r="C176" s="144"/>
      <c r="D176" s="124" t="s">
        <v>48</v>
      </c>
      <c r="E176" s="32">
        <v>700</v>
      </c>
      <c r="F176" s="32"/>
      <c r="G176" s="32"/>
      <c r="H176" s="32"/>
      <c r="I176" s="32"/>
      <c r="J176" s="32"/>
      <c r="K176" s="32"/>
      <c r="L176" s="32"/>
      <c r="M176" s="32"/>
      <c r="N176" s="32"/>
      <c r="O176" s="32">
        <v>700</v>
      </c>
      <c r="P176" s="32"/>
      <c r="Q176" s="32"/>
      <c r="R176" s="32"/>
      <c r="S176" s="32"/>
      <c r="T176" s="32"/>
      <c r="U176" s="32"/>
      <c r="V176" s="32"/>
      <c r="W176" s="32"/>
      <c r="X176" s="32"/>
      <c r="Y176" s="135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N176" s="134"/>
    </row>
    <row r="177" spans="1:50" s="106" customFormat="1" ht="13.8">
      <c r="A177" s="125"/>
      <c r="B177" s="34"/>
      <c r="C177" s="34"/>
      <c r="D177" s="124" t="s">
        <v>148</v>
      </c>
      <c r="E177" s="32">
        <v>878.55</v>
      </c>
      <c r="F177" s="32"/>
      <c r="G177" s="32"/>
      <c r="H177" s="32"/>
      <c r="I177" s="32">
        <v>874.9</v>
      </c>
      <c r="J177" s="32">
        <v>3.5</v>
      </c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135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N177" s="134"/>
    </row>
    <row r="178" spans="1:50" s="106" customFormat="1" ht="14.4">
      <c r="A178" s="125"/>
      <c r="B178" s="34"/>
      <c r="C178" s="34"/>
      <c r="D178" s="124" t="s">
        <v>42</v>
      </c>
      <c r="E178" s="32">
        <v>3413</v>
      </c>
      <c r="F178" s="32"/>
      <c r="G178" s="32">
        <v>25</v>
      </c>
      <c r="H178" s="32">
        <v>4235</v>
      </c>
      <c r="I178" s="32"/>
      <c r="J178" s="32"/>
      <c r="K178" s="32"/>
      <c r="L178" s="32">
        <v>421</v>
      </c>
      <c r="M178" s="32">
        <v>100</v>
      </c>
      <c r="N178" s="32"/>
      <c r="O178" s="143"/>
      <c r="P178" s="32"/>
      <c r="Q178" s="32"/>
      <c r="R178" s="32"/>
      <c r="S178" s="32"/>
      <c r="T178" s="32"/>
      <c r="U178" s="32"/>
      <c r="V178" s="32"/>
      <c r="W178" s="32"/>
      <c r="X178" s="32"/>
      <c r="Y178" s="122"/>
    </row>
    <row r="179" spans="1:50" s="106" customFormat="1" ht="14.4">
      <c r="A179" s="125"/>
      <c r="B179" s="34"/>
      <c r="C179" s="34"/>
      <c r="D179" s="124" t="s">
        <v>41</v>
      </c>
      <c r="E179" s="32">
        <v>346.8</v>
      </c>
      <c r="F179" s="32"/>
      <c r="G179" s="32"/>
      <c r="H179" s="32">
        <v>215.25</v>
      </c>
      <c r="I179" s="32"/>
      <c r="J179" s="32"/>
      <c r="K179" s="32"/>
      <c r="L179" s="32"/>
      <c r="M179" s="32">
        <v>131.55000000000001</v>
      </c>
      <c r="N179" s="32"/>
      <c r="O179" s="143"/>
      <c r="P179" s="32"/>
      <c r="Q179" s="32"/>
      <c r="R179" s="32"/>
      <c r="S179" s="32"/>
      <c r="T179" s="32"/>
      <c r="U179" s="32"/>
      <c r="V179" s="32"/>
      <c r="W179" s="32"/>
      <c r="X179" s="32"/>
      <c r="Y179" s="122"/>
    </row>
    <row r="180" spans="1:50" s="106" customFormat="1" ht="13.8">
      <c r="A180" s="125"/>
      <c r="B180" s="34"/>
      <c r="C180" s="34"/>
      <c r="D180" s="124" t="s">
        <v>40</v>
      </c>
      <c r="E180" s="32">
        <v>1052.4000000000001</v>
      </c>
      <c r="F180" s="32"/>
      <c r="G180" s="32"/>
      <c r="H180" s="32">
        <v>426.7</v>
      </c>
      <c r="I180" s="32"/>
      <c r="J180" s="32"/>
      <c r="K180" s="32">
        <v>600</v>
      </c>
      <c r="L180" s="32"/>
      <c r="M180" s="32">
        <v>26</v>
      </c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122"/>
    </row>
    <row r="181" spans="1:50" s="106" customFormat="1" ht="13.8">
      <c r="A181" s="125"/>
      <c r="B181" s="34"/>
      <c r="C181" s="34"/>
      <c r="D181" s="124" t="s">
        <v>39</v>
      </c>
      <c r="E181" s="32">
        <v>621.5</v>
      </c>
      <c r="F181" s="32"/>
      <c r="G181" s="32">
        <v>196</v>
      </c>
      <c r="H181" s="32">
        <v>425.6</v>
      </c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122"/>
    </row>
    <row r="182" spans="1:50" s="106" customFormat="1" ht="13.8">
      <c r="A182" s="125"/>
      <c r="B182" s="34"/>
      <c r="C182" s="34"/>
      <c r="D182" s="124" t="s">
        <v>38</v>
      </c>
      <c r="E182" s="32">
        <v>358.8</v>
      </c>
      <c r="F182" s="32"/>
      <c r="G182" s="32"/>
      <c r="H182" s="32">
        <v>358.8</v>
      </c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>
        <v>27</v>
      </c>
      <c r="T182" s="32"/>
      <c r="U182" s="32"/>
      <c r="V182" s="32"/>
      <c r="W182" s="32"/>
      <c r="X182" s="32"/>
      <c r="Y182" s="122"/>
    </row>
    <row r="183" spans="1:50" s="106" customFormat="1" ht="13.8">
      <c r="A183" s="125"/>
      <c r="B183" s="34"/>
      <c r="C183" s="34"/>
      <c r="D183" s="124" t="s">
        <v>37</v>
      </c>
      <c r="E183" s="32">
        <v>541</v>
      </c>
      <c r="F183" s="32"/>
      <c r="G183" s="32">
        <v>487</v>
      </c>
      <c r="H183" s="32"/>
      <c r="I183" s="32"/>
      <c r="J183" s="32"/>
      <c r="K183" s="32"/>
      <c r="L183" s="32"/>
      <c r="M183" s="32"/>
      <c r="N183" s="32"/>
      <c r="O183" s="32"/>
      <c r="P183" s="32">
        <v>54</v>
      </c>
      <c r="Q183" s="32"/>
      <c r="R183" s="32"/>
      <c r="S183" s="32"/>
      <c r="T183" s="32"/>
      <c r="U183" s="32"/>
      <c r="V183" s="32"/>
      <c r="W183" s="32"/>
      <c r="X183" s="32"/>
      <c r="Y183" s="122"/>
    </row>
    <row r="184" spans="1:50" s="120" customFormat="1" ht="12" customHeight="1">
      <c r="A184" s="60"/>
      <c r="B184" s="2930" t="str">
        <f>H7</f>
        <v>Maj</v>
      </c>
      <c r="C184" s="2931"/>
      <c r="D184" s="2934" t="s">
        <v>36</v>
      </c>
      <c r="E184" s="2936"/>
      <c r="F184" s="2936"/>
      <c r="G184" s="2936"/>
      <c r="H184" s="2936"/>
      <c r="I184" s="2936"/>
      <c r="J184" s="2936"/>
      <c r="K184" s="2936"/>
      <c r="L184" s="2936"/>
      <c r="M184" s="2936"/>
      <c r="N184" s="2936"/>
      <c r="O184" s="2936"/>
      <c r="P184" s="2936"/>
      <c r="Q184" s="2936"/>
      <c r="R184" s="2936"/>
      <c r="S184" s="2936"/>
      <c r="T184" s="2936"/>
      <c r="U184" s="2936"/>
      <c r="V184" s="2936"/>
      <c r="W184" s="2936"/>
      <c r="X184" s="2936"/>
      <c r="Y184" s="122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</row>
    <row r="185" spans="1:50" s="120" customFormat="1" ht="12" customHeight="1">
      <c r="A185" s="60"/>
      <c r="B185" s="2932"/>
      <c r="C185" s="2933"/>
      <c r="D185" s="2935"/>
      <c r="E185" s="2937"/>
      <c r="F185" s="2937"/>
      <c r="G185" s="2937"/>
      <c r="H185" s="2937"/>
      <c r="I185" s="2937"/>
      <c r="J185" s="2937"/>
      <c r="K185" s="2937"/>
      <c r="L185" s="2937"/>
      <c r="M185" s="2937"/>
      <c r="N185" s="2937"/>
      <c r="O185" s="2937"/>
      <c r="P185" s="2937"/>
      <c r="Q185" s="2937"/>
      <c r="R185" s="2937"/>
      <c r="S185" s="2937"/>
      <c r="T185" s="2937"/>
      <c r="U185" s="2937"/>
      <c r="V185" s="2937"/>
      <c r="W185" s="2937"/>
      <c r="X185" s="2937"/>
      <c r="Y185" s="72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6"/>
      <c r="AK185" s="106"/>
      <c r="AL185" s="106"/>
      <c r="AM185" s="106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</row>
    <row r="186" spans="1:50" s="126" customFormat="1" ht="13.5" customHeight="1">
      <c r="A186" s="39"/>
      <c r="B186" s="38" t="str">
        <f>I7</f>
        <v>Juni</v>
      </c>
      <c r="C186" s="37">
        <v>44713</v>
      </c>
      <c r="D186" s="128"/>
      <c r="E186" s="36">
        <f t="shared" ref="E186:V186" si="12">SUM(E187:E213)</f>
        <v>237.14000000000033</v>
      </c>
      <c r="F186" s="36">
        <f t="shared" si="12"/>
        <v>984.88</v>
      </c>
      <c r="G186" s="36">
        <f t="shared" si="12"/>
        <v>1368.7</v>
      </c>
      <c r="H186" s="36">
        <f t="shared" si="12"/>
        <v>1097.52</v>
      </c>
      <c r="I186" s="36">
        <f t="shared" si="12"/>
        <v>1263.0999999999999</v>
      </c>
      <c r="J186" s="36">
        <f t="shared" si="12"/>
        <v>32.6</v>
      </c>
      <c r="K186" s="36">
        <f t="shared" si="12"/>
        <v>720</v>
      </c>
      <c r="L186" s="36">
        <f t="shared" si="12"/>
        <v>0</v>
      </c>
      <c r="M186" s="36">
        <f t="shared" si="12"/>
        <v>131</v>
      </c>
      <c r="N186" s="36">
        <f t="shared" si="12"/>
        <v>7474</v>
      </c>
      <c r="O186" s="36">
        <f t="shared" si="12"/>
        <v>0</v>
      </c>
      <c r="P186" s="36">
        <f t="shared" si="12"/>
        <v>5332.1</v>
      </c>
      <c r="Q186" s="36">
        <f t="shared" si="12"/>
        <v>372.04</v>
      </c>
      <c r="R186" s="36">
        <f t="shared" si="12"/>
        <v>480</v>
      </c>
      <c r="S186" s="36">
        <f t="shared" si="12"/>
        <v>0</v>
      </c>
      <c r="T186" s="36">
        <f t="shared" si="12"/>
        <v>0</v>
      </c>
      <c r="U186" s="36">
        <f t="shared" si="12"/>
        <v>339</v>
      </c>
      <c r="V186" s="36">
        <f t="shared" si="12"/>
        <v>1000</v>
      </c>
      <c r="W186" s="36"/>
      <c r="X186" s="36"/>
      <c r="Y186" s="46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6"/>
      <c r="AK186" s="106"/>
      <c r="AL186" s="106"/>
      <c r="AM186" s="106"/>
      <c r="AN186" s="102"/>
      <c r="AO186" s="108"/>
      <c r="AP186" s="108"/>
      <c r="AQ186" s="108"/>
      <c r="AR186" s="108"/>
      <c r="AS186" s="108"/>
      <c r="AT186" s="108"/>
      <c r="AU186" s="108"/>
      <c r="AV186" s="108"/>
    </row>
    <row r="187" spans="1:50" s="107" customFormat="1" ht="13.8">
      <c r="A187" s="142"/>
      <c r="B187" s="141">
        <v>44712</v>
      </c>
      <c r="C187" s="141" t="s">
        <v>17</v>
      </c>
      <c r="D187" s="140" t="s">
        <v>35</v>
      </c>
      <c r="E187" s="139">
        <v>-11078</v>
      </c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</row>
    <row r="188" spans="1:50" s="107" customFormat="1" ht="13.8">
      <c r="A188" s="142"/>
      <c r="B188" s="141">
        <v>44712</v>
      </c>
      <c r="C188" s="141" t="s">
        <v>17</v>
      </c>
      <c r="D188" s="140" t="s">
        <v>34</v>
      </c>
      <c r="E188" s="139">
        <v>-7943</v>
      </c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</row>
    <row r="189" spans="1:50" s="107" customFormat="1" ht="13.8">
      <c r="A189" s="142"/>
      <c r="B189" s="141">
        <v>44712</v>
      </c>
      <c r="C189" s="141" t="s">
        <v>17</v>
      </c>
      <c r="D189" s="140" t="s">
        <v>33</v>
      </c>
      <c r="E189" s="139">
        <v>-213</v>
      </c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</row>
    <row r="190" spans="1:50" s="107" customFormat="1" ht="13.8">
      <c r="A190" s="142"/>
      <c r="B190" s="141">
        <v>44712</v>
      </c>
      <c r="C190" s="141" t="s">
        <v>19</v>
      </c>
      <c r="D190" s="140" t="s">
        <v>32</v>
      </c>
      <c r="E190" s="139">
        <v>339</v>
      </c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>
        <v>339</v>
      </c>
      <c r="V190" s="139"/>
      <c r="W190" s="139"/>
      <c r="X190" s="139"/>
      <c r="Y190" s="118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N190" s="117"/>
    </row>
    <row r="191" spans="1:50" s="107" customFormat="1" ht="13.8">
      <c r="A191" s="142"/>
      <c r="B191" s="141">
        <v>44712</v>
      </c>
      <c r="C191" s="141" t="s">
        <v>17</v>
      </c>
      <c r="D191" s="140" t="s">
        <v>57</v>
      </c>
      <c r="E191" s="139">
        <v>1000</v>
      </c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>
        <v>1000</v>
      </c>
      <c r="W191" s="139"/>
      <c r="X191" s="139"/>
      <c r="Y191" s="118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N191" s="117"/>
    </row>
    <row r="192" spans="1:50" s="107" customFormat="1" ht="13.8">
      <c r="A192" s="142">
        <v>5</v>
      </c>
      <c r="B192" s="141">
        <v>44713</v>
      </c>
      <c r="C192" s="141" t="s">
        <v>17</v>
      </c>
      <c r="D192" s="140" t="s">
        <v>31</v>
      </c>
      <c r="E192" s="139">
        <v>-1296</v>
      </c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18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N192" s="117"/>
    </row>
    <row r="193" spans="1:40" s="107" customFormat="1" ht="13.8">
      <c r="A193" s="142"/>
      <c r="B193" s="141">
        <v>44713</v>
      </c>
      <c r="C193" s="141" t="s">
        <v>17</v>
      </c>
      <c r="D193" s="140" t="s">
        <v>149</v>
      </c>
      <c r="E193" s="139">
        <v>77.040000000000006</v>
      </c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>
        <v>77.040000000000006</v>
      </c>
      <c r="R193" s="139"/>
      <c r="S193" s="139"/>
      <c r="T193" s="139"/>
      <c r="U193" s="139"/>
      <c r="V193" s="139"/>
      <c r="W193" s="139"/>
      <c r="X193" s="139"/>
      <c r="Y193" s="118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N193" s="117"/>
    </row>
    <row r="194" spans="1:40" s="107" customFormat="1" ht="13.8">
      <c r="A194" s="142"/>
      <c r="B194" s="141">
        <v>44713</v>
      </c>
      <c r="C194" s="141" t="s">
        <v>19</v>
      </c>
      <c r="D194" s="140" t="s">
        <v>30</v>
      </c>
      <c r="E194" s="139">
        <v>7474</v>
      </c>
      <c r="F194" s="139"/>
      <c r="G194" s="139"/>
      <c r="H194" s="139"/>
      <c r="I194" s="139"/>
      <c r="J194" s="139"/>
      <c r="K194" s="139"/>
      <c r="L194" s="139"/>
      <c r="M194" s="139"/>
      <c r="N194" s="139">
        <v>7474</v>
      </c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18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N194" s="117"/>
    </row>
    <row r="195" spans="1:40" s="107" customFormat="1" ht="13.8">
      <c r="A195" s="142"/>
      <c r="B195" s="141">
        <v>44713</v>
      </c>
      <c r="C195" s="141" t="s">
        <v>19</v>
      </c>
      <c r="D195" s="140" t="s">
        <v>27</v>
      </c>
      <c r="E195" s="139">
        <v>588.75</v>
      </c>
      <c r="F195" s="139">
        <v>588.75</v>
      </c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18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N195" s="117"/>
    </row>
    <row r="196" spans="1:40" s="107" customFormat="1" ht="13.8">
      <c r="A196" s="142"/>
      <c r="B196" s="141">
        <v>44713</v>
      </c>
      <c r="C196" s="141" t="s">
        <v>19</v>
      </c>
      <c r="D196" s="140" t="s">
        <v>25</v>
      </c>
      <c r="E196" s="139">
        <v>775.12</v>
      </c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>
        <v>775.12</v>
      </c>
      <c r="Q196" s="139"/>
      <c r="R196" s="139"/>
      <c r="S196" s="139"/>
      <c r="T196" s="139"/>
      <c r="U196" s="139"/>
      <c r="V196" s="139"/>
      <c r="W196" s="139"/>
      <c r="X196" s="139"/>
      <c r="Y196" s="118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N196" s="117"/>
    </row>
    <row r="197" spans="1:40" s="107" customFormat="1" ht="13.8">
      <c r="A197" s="142"/>
      <c r="B197" s="141">
        <v>44713</v>
      </c>
      <c r="C197" s="141" t="s">
        <v>19</v>
      </c>
      <c r="D197" s="140" t="s">
        <v>23</v>
      </c>
      <c r="E197" s="139">
        <v>210</v>
      </c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>
        <v>210</v>
      </c>
      <c r="S197" s="139"/>
      <c r="T197" s="139"/>
      <c r="U197" s="139"/>
      <c r="V197" s="139"/>
      <c r="W197" s="139"/>
      <c r="X197" s="139"/>
      <c r="Y197" s="118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N197" s="117"/>
    </row>
    <row r="198" spans="1:40" s="107" customFormat="1" ht="13.8">
      <c r="A198" s="142"/>
      <c r="B198" s="141">
        <v>44713</v>
      </c>
      <c r="C198" s="141" t="s">
        <v>19</v>
      </c>
      <c r="D198" s="140" t="s">
        <v>28</v>
      </c>
      <c r="E198" s="139">
        <v>200</v>
      </c>
      <c r="F198" s="139">
        <v>200</v>
      </c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18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N198" s="117"/>
    </row>
    <row r="199" spans="1:40" s="107" customFormat="1" ht="13.8">
      <c r="A199" s="142"/>
      <c r="B199" s="141">
        <v>44713</v>
      </c>
      <c r="C199" s="141" t="s">
        <v>17</v>
      </c>
      <c r="D199" s="140" t="s">
        <v>22</v>
      </c>
      <c r="E199" s="139">
        <v>177</v>
      </c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>
        <v>177</v>
      </c>
      <c r="R199" s="139"/>
      <c r="S199" s="139"/>
      <c r="T199" s="139"/>
      <c r="U199" s="139"/>
      <c r="V199" s="139"/>
      <c r="W199" s="139"/>
      <c r="X199" s="139"/>
      <c r="Y199" s="118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N199" s="117"/>
    </row>
    <row r="200" spans="1:40" s="107" customFormat="1" ht="13.8">
      <c r="A200" s="142"/>
      <c r="B200" s="141">
        <v>44713</v>
      </c>
      <c r="C200" s="141" t="s">
        <v>17</v>
      </c>
      <c r="D200" s="140" t="s">
        <v>29</v>
      </c>
      <c r="E200" s="139">
        <v>69</v>
      </c>
      <c r="F200" s="139"/>
      <c r="G200" s="139">
        <v>69</v>
      </c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18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N200" s="117"/>
    </row>
    <row r="201" spans="1:40" s="107" customFormat="1" ht="13.8">
      <c r="A201" s="142"/>
      <c r="B201" s="141">
        <v>44713</v>
      </c>
      <c r="C201" s="141" t="s">
        <v>17</v>
      </c>
      <c r="D201" s="140" t="s">
        <v>21</v>
      </c>
      <c r="E201" s="139">
        <v>118</v>
      </c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>
        <v>118</v>
      </c>
      <c r="R201" s="139"/>
      <c r="S201" s="139"/>
      <c r="T201" s="139"/>
      <c r="U201" s="139"/>
      <c r="V201" s="139"/>
      <c r="W201" s="139"/>
      <c r="X201" s="139"/>
      <c r="Y201" s="118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N201" s="117"/>
    </row>
    <row r="202" spans="1:40" s="107" customFormat="1" ht="13.8">
      <c r="A202" s="142"/>
      <c r="B202" s="141">
        <v>44719</v>
      </c>
      <c r="C202" s="141" t="s">
        <v>19</v>
      </c>
      <c r="D202" s="140" t="s">
        <v>20</v>
      </c>
      <c r="E202" s="139">
        <v>196.13</v>
      </c>
      <c r="F202" s="139">
        <v>196.13</v>
      </c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18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N202" s="117"/>
    </row>
    <row r="203" spans="1:40" s="107" customFormat="1" ht="13.8">
      <c r="A203" s="142"/>
      <c r="B203" s="141">
        <v>44719</v>
      </c>
      <c r="C203" s="141" t="s">
        <v>19</v>
      </c>
      <c r="D203" s="140" t="s">
        <v>18</v>
      </c>
      <c r="E203" s="139">
        <v>372.98</v>
      </c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>
        <f>E203</f>
        <v>372.98</v>
      </c>
      <c r="Q203" s="139"/>
      <c r="R203" s="139"/>
      <c r="S203" s="139"/>
      <c r="T203" s="139"/>
      <c r="U203" s="139"/>
      <c r="V203" s="139"/>
      <c r="W203" s="139"/>
      <c r="X203" s="139"/>
      <c r="Y203" s="118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N203" s="117"/>
    </row>
    <row r="204" spans="1:40" s="107" customFormat="1" ht="13.8">
      <c r="A204" s="142"/>
      <c r="B204" s="141">
        <v>44722</v>
      </c>
      <c r="C204" s="141" t="s">
        <v>17</v>
      </c>
      <c r="D204" s="140" t="s">
        <v>43</v>
      </c>
      <c r="E204" s="139">
        <v>4145</v>
      </c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>
        <v>4145</v>
      </c>
      <c r="Q204" s="139"/>
      <c r="R204" s="139"/>
      <c r="S204" s="139"/>
      <c r="T204" s="139"/>
      <c r="U204" s="139"/>
      <c r="V204" s="139"/>
      <c r="W204" s="139"/>
      <c r="X204" s="139"/>
      <c r="Y204" s="118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N204" s="117"/>
    </row>
    <row r="205" spans="1:40" s="107" customFormat="1" ht="13.8">
      <c r="A205" s="142"/>
      <c r="B205" s="141">
        <v>44725</v>
      </c>
      <c r="C205" s="141" t="s">
        <v>19</v>
      </c>
      <c r="D205" s="140" t="s">
        <v>23</v>
      </c>
      <c r="E205" s="139">
        <v>270</v>
      </c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>
        <v>270</v>
      </c>
      <c r="S205" s="139"/>
      <c r="T205" s="139"/>
      <c r="U205" s="139"/>
      <c r="V205" s="139"/>
      <c r="W205" s="139"/>
      <c r="X205" s="139"/>
      <c r="Y205" s="118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N205" s="117"/>
    </row>
    <row r="206" spans="1:40" s="107" customFormat="1" ht="13.8">
      <c r="A206" s="142"/>
      <c r="B206" s="141"/>
      <c r="C206" s="141"/>
      <c r="D206" s="140" t="s">
        <v>148</v>
      </c>
      <c r="E206" s="139">
        <v>1295.7</v>
      </c>
      <c r="F206" s="139"/>
      <c r="G206" s="139"/>
      <c r="H206" s="139"/>
      <c r="I206" s="139">
        <v>1263.0999999999999</v>
      </c>
      <c r="J206" s="139">
        <v>32.6</v>
      </c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18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N206" s="117"/>
    </row>
    <row r="207" spans="1:40" s="106" customFormat="1" ht="13.8">
      <c r="A207" s="125"/>
      <c r="B207" s="34">
        <v>44739</v>
      </c>
      <c r="C207" s="34"/>
      <c r="D207" s="124" t="s">
        <v>147</v>
      </c>
      <c r="E207" s="32">
        <v>-1847</v>
      </c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135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N207" s="134"/>
    </row>
    <row r="208" spans="1:40" s="106" customFormat="1" ht="13.8">
      <c r="A208" s="125"/>
      <c r="B208" s="34"/>
      <c r="C208" s="34"/>
      <c r="D208" s="124" t="s">
        <v>42</v>
      </c>
      <c r="E208" s="32">
        <v>1734.35</v>
      </c>
      <c r="F208" s="32"/>
      <c r="G208" s="32"/>
      <c r="H208" s="32">
        <v>49.7</v>
      </c>
      <c r="I208" s="32"/>
      <c r="J208" s="32"/>
      <c r="K208" s="32">
        <v>120</v>
      </c>
      <c r="L208" s="32"/>
      <c r="M208" s="32">
        <v>35</v>
      </c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122"/>
    </row>
    <row r="209" spans="1:50" s="106" customFormat="1" ht="13.8">
      <c r="A209" s="125"/>
      <c r="B209" s="34"/>
      <c r="C209" s="34"/>
      <c r="D209" s="124" t="s">
        <v>41</v>
      </c>
      <c r="E209" s="32">
        <v>272.39999999999998</v>
      </c>
      <c r="F209" s="32"/>
      <c r="G209" s="32"/>
      <c r="H209" s="32">
        <v>202</v>
      </c>
      <c r="I209" s="32"/>
      <c r="J209" s="32"/>
      <c r="K209" s="32"/>
      <c r="L209" s="32"/>
      <c r="M209" s="32">
        <v>70</v>
      </c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122"/>
    </row>
    <row r="210" spans="1:50" s="106" customFormat="1" ht="13.8">
      <c r="A210" s="125"/>
      <c r="B210" s="34"/>
      <c r="C210" s="34"/>
      <c r="D210" s="124" t="s">
        <v>40</v>
      </c>
      <c r="E210" s="32">
        <v>1436.1</v>
      </c>
      <c r="F210" s="32"/>
      <c r="G210" s="32"/>
      <c r="H210" s="32">
        <v>320.95</v>
      </c>
      <c r="I210" s="32"/>
      <c r="J210" s="32"/>
      <c r="K210" s="32">
        <v>600</v>
      </c>
      <c r="L210" s="32"/>
      <c r="M210" s="32">
        <v>26</v>
      </c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122"/>
    </row>
    <row r="211" spans="1:50" s="106" customFormat="1" ht="13.8">
      <c r="A211" s="125"/>
      <c r="B211" s="34"/>
      <c r="C211" s="34"/>
      <c r="D211" s="124" t="s">
        <v>39</v>
      </c>
      <c r="E211" s="32">
        <v>203.95</v>
      </c>
      <c r="F211" s="32"/>
      <c r="G211" s="32"/>
      <c r="H211" s="32">
        <v>203.95</v>
      </c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122"/>
    </row>
    <row r="212" spans="1:50" s="106" customFormat="1" ht="13.8">
      <c r="A212" s="125"/>
      <c r="B212" s="34"/>
      <c r="C212" s="34"/>
      <c r="D212" s="124" t="s">
        <v>38</v>
      </c>
      <c r="E212" s="32">
        <v>320.92</v>
      </c>
      <c r="F212" s="32"/>
      <c r="G212" s="32"/>
      <c r="H212" s="32">
        <v>320.92</v>
      </c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122"/>
    </row>
    <row r="213" spans="1:50" s="106" customFormat="1" ht="13.8">
      <c r="A213" s="125"/>
      <c r="B213" s="34"/>
      <c r="C213" s="34"/>
      <c r="D213" s="124" t="s">
        <v>37</v>
      </c>
      <c r="E213" s="32">
        <v>1338.7</v>
      </c>
      <c r="F213" s="32"/>
      <c r="G213" s="32">
        <v>1299.7</v>
      </c>
      <c r="H213" s="32"/>
      <c r="I213" s="32" t="s">
        <v>146</v>
      </c>
      <c r="J213" s="32"/>
      <c r="K213" s="32"/>
      <c r="L213" s="32"/>
      <c r="M213" s="32"/>
      <c r="N213" s="32"/>
      <c r="O213" s="32"/>
      <c r="P213" s="32">
        <v>39</v>
      </c>
      <c r="Q213" s="32"/>
      <c r="R213" s="32"/>
      <c r="S213" s="32"/>
      <c r="T213" s="32"/>
      <c r="U213" s="32"/>
      <c r="V213" s="32"/>
      <c r="W213" s="32"/>
      <c r="X213" s="32"/>
      <c r="Y213" s="122"/>
    </row>
    <row r="214" spans="1:50" s="120" customFormat="1" ht="12" customHeight="1">
      <c r="A214" s="60"/>
      <c r="B214" s="2930" t="str">
        <f>I7</f>
        <v>Juni</v>
      </c>
      <c r="C214" s="2931"/>
      <c r="D214" s="2934" t="s">
        <v>36</v>
      </c>
      <c r="E214" s="2936"/>
      <c r="F214" s="2936"/>
      <c r="G214" s="2936"/>
      <c r="H214" s="2936"/>
      <c r="I214" s="2936"/>
      <c r="J214" s="2936"/>
      <c r="K214" s="2936"/>
      <c r="L214" s="2936"/>
      <c r="M214" s="2936"/>
      <c r="N214" s="2936"/>
      <c r="O214" s="2936"/>
      <c r="P214" s="2936"/>
      <c r="Q214" s="2936"/>
      <c r="R214" s="2936"/>
      <c r="S214" s="2936"/>
      <c r="T214" s="2936"/>
      <c r="U214" s="2936"/>
      <c r="V214" s="2936"/>
      <c r="W214" s="2936"/>
      <c r="X214" s="2936"/>
      <c r="Y214" s="122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</row>
    <row r="215" spans="1:50" s="120" customFormat="1" ht="12" customHeight="1">
      <c r="A215" s="60"/>
      <c r="B215" s="2932"/>
      <c r="C215" s="2933"/>
      <c r="D215" s="2935"/>
      <c r="E215" s="2937"/>
      <c r="F215" s="2937"/>
      <c r="G215" s="2937"/>
      <c r="H215" s="2937"/>
      <c r="I215" s="2937"/>
      <c r="J215" s="2937"/>
      <c r="K215" s="2937"/>
      <c r="L215" s="2937"/>
      <c r="M215" s="2937"/>
      <c r="N215" s="2937"/>
      <c r="O215" s="2937"/>
      <c r="P215" s="2937"/>
      <c r="Q215" s="2937"/>
      <c r="R215" s="2937"/>
      <c r="S215" s="2937"/>
      <c r="T215" s="2937"/>
      <c r="U215" s="2937"/>
      <c r="V215" s="2937"/>
      <c r="W215" s="2937"/>
      <c r="X215" s="2937"/>
      <c r="Y215" s="72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6"/>
      <c r="AK215" s="106"/>
      <c r="AL215" s="106"/>
      <c r="AM215" s="106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</row>
    <row r="216" spans="1:50" s="126" customFormat="1" ht="13.5" customHeight="1">
      <c r="A216" s="39"/>
      <c r="B216" s="38" t="str">
        <f>J7</f>
        <v>Juli</v>
      </c>
      <c r="C216" s="37">
        <v>44773</v>
      </c>
      <c r="D216" s="128"/>
      <c r="E216" s="36">
        <f t="shared" ref="E216:W216" si="13">SUM(E217:E245)</f>
        <v>72.390000000000327</v>
      </c>
      <c r="F216" s="36">
        <f t="shared" si="13"/>
        <v>5265.87</v>
      </c>
      <c r="G216" s="36">
        <f t="shared" si="13"/>
        <v>1493.5</v>
      </c>
      <c r="H216" s="36">
        <f t="shared" si="13"/>
        <v>2357</v>
      </c>
      <c r="I216" s="36">
        <f t="shared" si="13"/>
        <v>0</v>
      </c>
      <c r="J216" s="36">
        <f t="shared" si="13"/>
        <v>0</v>
      </c>
      <c r="K216" s="36">
        <f t="shared" si="13"/>
        <v>720</v>
      </c>
      <c r="L216" s="36">
        <f t="shared" si="13"/>
        <v>0</v>
      </c>
      <c r="M216" s="36">
        <f t="shared" si="13"/>
        <v>423</v>
      </c>
      <c r="N216" s="36">
        <f t="shared" si="13"/>
        <v>7474</v>
      </c>
      <c r="O216" s="36">
        <f t="shared" si="13"/>
        <v>900</v>
      </c>
      <c r="P216" s="36">
        <f t="shared" si="13"/>
        <v>907.98</v>
      </c>
      <c r="Q216" s="36">
        <f t="shared" si="13"/>
        <v>1053.75</v>
      </c>
      <c r="R216" s="36">
        <f t="shared" si="13"/>
        <v>330</v>
      </c>
      <c r="S216" s="36">
        <f t="shared" si="13"/>
        <v>0</v>
      </c>
      <c r="T216" s="36">
        <f t="shared" si="13"/>
        <v>0</v>
      </c>
      <c r="U216" s="36">
        <f t="shared" si="13"/>
        <v>339</v>
      </c>
      <c r="V216" s="36">
        <f t="shared" si="13"/>
        <v>1000</v>
      </c>
      <c r="W216" s="36">
        <f t="shared" si="13"/>
        <v>2196.91</v>
      </c>
      <c r="X216" s="36"/>
      <c r="Y216" s="46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6"/>
      <c r="AK216" s="106"/>
      <c r="AL216" s="106"/>
      <c r="AM216" s="106"/>
      <c r="AN216" s="102"/>
      <c r="AO216" s="108"/>
      <c r="AP216" s="108"/>
      <c r="AQ216" s="108"/>
      <c r="AR216" s="108"/>
      <c r="AS216" s="108"/>
      <c r="AT216" s="108"/>
      <c r="AU216" s="108"/>
      <c r="AV216" s="108"/>
    </row>
    <row r="217" spans="1:50" s="106" customFormat="1" ht="13.8">
      <c r="A217" s="125"/>
      <c r="B217" s="34">
        <v>44742</v>
      </c>
      <c r="C217" s="34" t="s">
        <v>17</v>
      </c>
      <c r="D217" s="124" t="s">
        <v>35</v>
      </c>
      <c r="E217" s="32">
        <v>-11078</v>
      </c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50" s="106" customFormat="1" ht="13.8">
      <c r="A218" s="125"/>
      <c r="B218" s="34">
        <v>44742</v>
      </c>
      <c r="C218" s="34" t="s">
        <v>17</v>
      </c>
      <c r="D218" s="124" t="s">
        <v>34</v>
      </c>
      <c r="E218" s="32">
        <v>-7943</v>
      </c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50" s="106" customFormat="1" ht="13.8">
      <c r="A219" s="125"/>
      <c r="B219" s="34">
        <v>44742</v>
      </c>
      <c r="C219" s="34" t="s">
        <v>17</v>
      </c>
      <c r="D219" s="124" t="s">
        <v>33</v>
      </c>
      <c r="E219" s="32">
        <v>-213</v>
      </c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50" s="106" customFormat="1" ht="13.8">
      <c r="A220" s="125"/>
      <c r="B220" s="34">
        <v>44742</v>
      </c>
      <c r="C220" s="34" t="s">
        <v>17</v>
      </c>
      <c r="D220" s="124" t="s">
        <v>23</v>
      </c>
      <c r="E220" s="32">
        <v>-71</v>
      </c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50" s="106" customFormat="1" ht="13.8">
      <c r="A221" s="125"/>
      <c r="B221" s="34">
        <v>44742</v>
      </c>
      <c r="C221" s="34" t="s">
        <v>145</v>
      </c>
      <c r="D221" s="124" t="s">
        <v>32</v>
      </c>
      <c r="E221" s="32">
        <v>339</v>
      </c>
      <c r="F221" s="32">
        <f>(E221*10)+290</f>
        <v>3680</v>
      </c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>
        <v>339</v>
      </c>
      <c r="V221" s="32"/>
      <c r="W221" s="32"/>
      <c r="X221" s="32"/>
    </row>
    <row r="222" spans="1:50" s="106" customFormat="1" ht="13.8">
      <c r="A222" s="125"/>
      <c r="B222" s="34">
        <v>44742</v>
      </c>
      <c r="C222" s="34" t="s">
        <v>17</v>
      </c>
      <c r="D222" s="124" t="s">
        <v>57</v>
      </c>
      <c r="E222" s="32">
        <v>1000</v>
      </c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>
        <v>1000</v>
      </c>
      <c r="W222" s="32"/>
      <c r="X222" s="32"/>
    </row>
    <row r="223" spans="1:50" s="106" customFormat="1" ht="13.8">
      <c r="A223" s="125">
        <v>5</v>
      </c>
      <c r="B223" s="34">
        <v>44743</v>
      </c>
      <c r="C223" s="34" t="s">
        <v>17</v>
      </c>
      <c r="D223" s="124" t="s">
        <v>31</v>
      </c>
      <c r="E223" s="32">
        <v>-1296</v>
      </c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50" s="106" customFormat="1" ht="13.8">
      <c r="A224" s="125"/>
      <c r="B224" s="34">
        <v>44743</v>
      </c>
      <c r="C224" s="34" t="s">
        <v>17</v>
      </c>
      <c r="D224" s="124" t="s">
        <v>28</v>
      </c>
      <c r="E224" s="32">
        <v>200</v>
      </c>
      <c r="F224" s="32">
        <v>200</v>
      </c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5" s="106" customFormat="1" ht="13.8">
      <c r="A225" s="125"/>
      <c r="B225" s="34">
        <v>44743</v>
      </c>
      <c r="C225" s="34" t="s">
        <v>145</v>
      </c>
      <c r="D225" s="124" t="s">
        <v>26</v>
      </c>
      <c r="E225" s="32">
        <v>2196.91</v>
      </c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>
        <v>2196.91</v>
      </c>
      <c r="X225" s="32"/>
    </row>
    <row r="226" spans="1:25" s="106" customFormat="1" ht="13.8">
      <c r="A226" s="125"/>
      <c r="B226" s="34">
        <v>44743</v>
      </c>
      <c r="C226" s="34" t="s">
        <v>145</v>
      </c>
      <c r="D226" s="124" t="s">
        <v>23</v>
      </c>
      <c r="E226" s="32">
        <v>390</v>
      </c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>
        <v>390</v>
      </c>
      <c r="S226" s="32"/>
      <c r="T226" s="32"/>
      <c r="U226" s="32"/>
      <c r="V226" s="32"/>
      <c r="W226" s="32"/>
      <c r="X226" s="32"/>
    </row>
    <row r="227" spans="1:25" s="106" customFormat="1" ht="13.8">
      <c r="A227" s="125"/>
      <c r="B227" s="34">
        <v>44743</v>
      </c>
      <c r="C227" s="34" t="s">
        <v>145</v>
      </c>
      <c r="D227" s="124" t="s">
        <v>25</v>
      </c>
      <c r="E227" s="32">
        <v>578.49</v>
      </c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>
        <v>578.49</v>
      </c>
      <c r="Q227" s="32"/>
      <c r="R227" s="32"/>
      <c r="S227" s="32"/>
      <c r="T227" s="32"/>
      <c r="U227" s="32"/>
      <c r="V227" s="32"/>
      <c r="W227" s="32"/>
      <c r="X227" s="32"/>
    </row>
    <row r="228" spans="1:25" s="106" customFormat="1" ht="13.8">
      <c r="A228" s="125"/>
      <c r="B228" s="34">
        <v>44743</v>
      </c>
      <c r="C228" s="34" t="s">
        <v>145</v>
      </c>
      <c r="D228" s="124" t="s">
        <v>27</v>
      </c>
      <c r="E228" s="32">
        <v>588.75</v>
      </c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>
        <v>588.75</v>
      </c>
      <c r="R228" s="32"/>
      <c r="S228" s="32"/>
      <c r="T228" s="32"/>
      <c r="U228" s="32"/>
      <c r="V228" s="32"/>
      <c r="W228" s="32"/>
      <c r="X228" s="32"/>
    </row>
    <row r="229" spans="1:25" s="106" customFormat="1" ht="13.8">
      <c r="A229" s="125"/>
      <c r="B229" s="34">
        <v>44743</v>
      </c>
      <c r="C229" s="34" t="s">
        <v>145</v>
      </c>
      <c r="D229" s="124" t="s">
        <v>30</v>
      </c>
      <c r="E229" s="32">
        <v>7474</v>
      </c>
      <c r="F229" s="32"/>
      <c r="G229" s="32"/>
      <c r="H229" s="32"/>
      <c r="I229" s="32"/>
      <c r="J229" s="32"/>
      <c r="K229" s="32"/>
      <c r="L229" s="32"/>
      <c r="M229" s="32"/>
      <c r="N229" s="32">
        <v>7474</v>
      </c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5" s="106" customFormat="1" ht="13.8">
      <c r="A230" s="125"/>
      <c r="B230" s="34">
        <v>44743</v>
      </c>
      <c r="C230" s="34" t="s">
        <v>17</v>
      </c>
      <c r="D230" s="124" t="s">
        <v>22</v>
      </c>
      <c r="E230" s="32">
        <v>148</v>
      </c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>
        <v>148</v>
      </c>
      <c r="R230" s="32"/>
      <c r="S230" s="32"/>
      <c r="T230" s="32"/>
      <c r="U230" s="32"/>
      <c r="V230" s="32"/>
      <c r="W230" s="32"/>
      <c r="X230" s="32"/>
    </row>
    <row r="231" spans="1:25" s="106" customFormat="1" ht="13.8">
      <c r="A231" s="125"/>
      <c r="B231" s="34">
        <v>44743</v>
      </c>
      <c r="C231" s="34" t="s">
        <v>17</v>
      </c>
      <c r="D231" s="124" t="s">
        <v>29</v>
      </c>
      <c r="E231" s="32">
        <v>69</v>
      </c>
      <c r="F231" s="32"/>
      <c r="G231" s="32">
        <v>69</v>
      </c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5" s="106" customFormat="1" ht="13.8">
      <c r="A232" s="125"/>
      <c r="B232" s="34">
        <v>44745</v>
      </c>
      <c r="C232" s="34" t="s">
        <v>17</v>
      </c>
      <c r="D232" s="124" t="s">
        <v>21</v>
      </c>
      <c r="E232" s="32">
        <v>317</v>
      </c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>
        <v>317</v>
      </c>
      <c r="R232" s="32"/>
      <c r="S232" s="32"/>
      <c r="T232" s="32"/>
      <c r="U232" s="32"/>
      <c r="V232" s="32"/>
      <c r="W232" s="32"/>
      <c r="X232" s="32"/>
    </row>
    <row r="233" spans="1:25" s="106" customFormat="1" ht="13.8">
      <c r="A233" s="125"/>
      <c r="B233" s="34">
        <v>44747</v>
      </c>
      <c r="C233" s="34" t="s">
        <v>145</v>
      </c>
      <c r="D233" s="124" t="s">
        <v>20</v>
      </c>
      <c r="E233" s="32">
        <v>202.43</v>
      </c>
      <c r="F233" s="32">
        <v>202.43</v>
      </c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5" s="106" customFormat="1" ht="13.8">
      <c r="A234" s="125"/>
      <c r="B234" s="34">
        <v>44747</v>
      </c>
      <c r="C234" s="34" t="s">
        <v>145</v>
      </c>
      <c r="D234" s="124" t="s">
        <v>18</v>
      </c>
      <c r="E234" s="32">
        <v>290.49</v>
      </c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>
        <v>290.49</v>
      </c>
      <c r="Q234" s="32"/>
      <c r="R234" s="32"/>
      <c r="S234" s="32"/>
      <c r="T234" s="32"/>
      <c r="U234" s="32"/>
      <c r="V234" s="32"/>
      <c r="W234" s="32"/>
      <c r="X234" s="32"/>
    </row>
    <row r="235" spans="1:25" s="106" customFormat="1" ht="13.8">
      <c r="A235" s="125"/>
      <c r="B235" s="34">
        <v>44753</v>
      </c>
      <c r="C235" s="34" t="s">
        <v>145</v>
      </c>
      <c r="D235" s="124" t="s">
        <v>144</v>
      </c>
      <c r="E235" s="32">
        <v>1183.44</v>
      </c>
      <c r="F235" s="32">
        <v>1183.44</v>
      </c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5" s="106" customFormat="1" ht="13.8">
      <c r="A236" s="125"/>
      <c r="B236" s="34">
        <v>44754</v>
      </c>
      <c r="C236" s="138"/>
      <c r="D236" s="137" t="s">
        <v>23</v>
      </c>
      <c r="E236" s="32">
        <v>-60</v>
      </c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>
        <v>-60</v>
      </c>
      <c r="S236" s="32"/>
      <c r="T236" s="32"/>
      <c r="U236" s="32"/>
      <c r="V236" s="32"/>
      <c r="W236" s="32"/>
      <c r="X236" s="32"/>
    </row>
    <row r="237" spans="1:25" s="106" customFormat="1" ht="13.8">
      <c r="A237" s="125"/>
      <c r="B237" s="34">
        <v>44755</v>
      </c>
      <c r="C237" s="138"/>
      <c r="D237" s="137" t="s">
        <v>143</v>
      </c>
      <c r="E237" s="32">
        <v>-107.62</v>
      </c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5" s="106" customFormat="1" ht="13.8">
      <c r="A238" s="125"/>
      <c r="B238" s="34">
        <v>44761</v>
      </c>
      <c r="C238" s="138"/>
      <c r="D238" s="137" t="s">
        <v>48</v>
      </c>
      <c r="E238" s="32">
        <v>900</v>
      </c>
      <c r="F238" s="32"/>
      <c r="G238" s="32"/>
      <c r="H238" s="32"/>
      <c r="I238" s="32"/>
      <c r="J238" s="32"/>
      <c r="K238" s="32"/>
      <c r="L238" s="32"/>
      <c r="M238" s="32"/>
      <c r="N238" s="32"/>
      <c r="O238" s="32">
        <v>900</v>
      </c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5" s="106" customFormat="1" ht="13.8">
      <c r="A239" s="125"/>
      <c r="B239" s="34">
        <v>44763</v>
      </c>
      <c r="C239" s="138" t="s">
        <v>17</v>
      </c>
      <c r="D239" s="137" t="s">
        <v>142</v>
      </c>
      <c r="E239" s="32">
        <v>612.5</v>
      </c>
      <c r="F239" s="32"/>
      <c r="G239" s="32">
        <v>612.5</v>
      </c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5" s="106" customFormat="1" ht="13.8">
      <c r="A240" s="125"/>
      <c r="B240" s="34"/>
      <c r="C240" s="34"/>
      <c r="D240" s="124" t="s">
        <v>42</v>
      </c>
      <c r="E240" s="32">
        <v>1207</v>
      </c>
      <c r="F240" s="32"/>
      <c r="G240" s="32"/>
      <c r="H240" s="32">
        <v>955</v>
      </c>
      <c r="I240" s="32"/>
      <c r="J240" s="32"/>
      <c r="K240" s="32">
        <v>120</v>
      </c>
      <c r="L240" s="32"/>
      <c r="M240" s="32">
        <v>132</v>
      </c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122"/>
    </row>
    <row r="241" spans="1:50" s="106" customFormat="1" ht="13.8">
      <c r="A241" s="125"/>
      <c r="B241" s="34"/>
      <c r="C241" s="34"/>
      <c r="D241" s="124" t="s">
        <v>41</v>
      </c>
      <c r="E241" s="32">
        <v>134</v>
      </c>
      <c r="F241" s="32"/>
      <c r="G241" s="32"/>
      <c r="H241" s="32">
        <v>52</v>
      </c>
      <c r="I241" s="32"/>
      <c r="J241" s="32"/>
      <c r="K241" s="32"/>
      <c r="L241" s="32"/>
      <c r="M241" s="32">
        <v>82</v>
      </c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122"/>
    </row>
    <row r="242" spans="1:50" s="106" customFormat="1" ht="13.8">
      <c r="A242" s="125"/>
      <c r="B242" s="34"/>
      <c r="C242" s="34"/>
      <c r="D242" s="124" t="s">
        <v>40</v>
      </c>
      <c r="E242" s="32">
        <v>1403</v>
      </c>
      <c r="F242" s="32"/>
      <c r="G242" s="32"/>
      <c r="H242" s="32">
        <v>734</v>
      </c>
      <c r="I242" s="32"/>
      <c r="J242" s="32"/>
      <c r="K242" s="32">
        <v>480</v>
      </c>
      <c r="L242" s="32"/>
      <c r="M242" s="32">
        <v>189</v>
      </c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122"/>
    </row>
    <row r="243" spans="1:50" s="106" customFormat="1" ht="13.8">
      <c r="A243" s="125"/>
      <c r="B243" s="34"/>
      <c r="C243" s="34"/>
      <c r="D243" s="124" t="s">
        <v>39</v>
      </c>
      <c r="E243" s="32">
        <v>488</v>
      </c>
      <c r="F243" s="32"/>
      <c r="G243" s="32">
        <v>302</v>
      </c>
      <c r="H243" s="32">
        <v>186</v>
      </c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122"/>
    </row>
    <row r="244" spans="1:50" s="106" customFormat="1" ht="13.8">
      <c r="A244" s="125"/>
      <c r="B244" s="34"/>
      <c r="C244" s="34"/>
      <c r="D244" s="124" t="s">
        <v>38</v>
      </c>
      <c r="E244" s="32">
        <v>570</v>
      </c>
      <c r="F244" s="32"/>
      <c r="G244" s="32"/>
      <c r="H244" s="32">
        <v>430</v>
      </c>
      <c r="I244" s="32"/>
      <c r="J244" s="32"/>
      <c r="K244" s="32">
        <v>120</v>
      </c>
      <c r="L244" s="32"/>
      <c r="M244" s="32">
        <v>20</v>
      </c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122"/>
    </row>
    <row r="245" spans="1:50" s="106" customFormat="1" ht="13.8">
      <c r="A245" s="125"/>
      <c r="B245" s="34"/>
      <c r="C245" s="34"/>
      <c r="D245" s="124" t="s">
        <v>37</v>
      </c>
      <c r="E245" s="32">
        <v>549</v>
      </c>
      <c r="F245" s="32"/>
      <c r="G245" s="32">
        <v>510</v>
      </c>
      <c r="H245" s="32"/>
      <c r="I245" s="32"/>
      <c r="J245" s="32"/>
      <c r="K245" s="32"/>
      <c r="L245" s="32"/>
      <c r="M245" s="32"/>
      <c r="N245" s="32"/>
      <c r="O245" s="32"/>
      <c r="P245" s="32">
        <v>39</v>
      </c>
      <c r="Q245" s="32" t="s">
        <v>141</v>
      </c>
      <c r="R245" s="32"/>
      <c r="S245" s="32"/>
      <c r="T245" s="32"/>
      <c r="U245" s="32"/>
      <c r="V245" s="32"/>
      <c r="W245" s="32"/>
      <c r="X245" s="32"/>
      <c r="Y245" s="122"/>
    </row>
    <row r="246" spans="1:50" s="120" customFormat="1" ht="12" customHeight="1">
      <c r="A246" s="60"/>
      <c r="B246" s="2930" t="str">
        <f>J7</f>
        <v>Juli</v>
      </c>
      <c r="C246" s="2931"/>
      <c r="D246" s="2934" t="s">
        <v>36</v>
      </c>
      <c r="E246" s="2936"/>
      <c r="F246" s="2936"/>
      <c r="G246" s="2936"/>
      <c r="H246" s="2936"/>
      <c r="I246" s="2936"/>
      <c r="J246" s="2936"/>
      <c r="K246" s="2936"/>
      <c r="L246" s="2936"/>
      <c r="M246" s="2936"/>
      <c r="N246" s="2936"/>
      <c r="O246" s="2936"/>
      <c r="P246" s="2936"/>
      <c r="Q246" s="2936"/>
      <c r="R246" s="2936"/>
      <c r="S246" s="2936"/>
      <c r="T246" s="2936"/>
      <c r="U246" s="2936"/>
      <c r="V246" s="2936"/>
      <c r="W246" s="2936"/>
      <c r="X246" s="2936"/>
      <c r="Y246" s="122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</row>
    <row r="247" spans="1:50" s="120" customFormat="1" ht="12" customHeight="1">
      <c r="A247" s="60"/>
      <c r="B247" s="2932"/>
      <c r="C247" s="2933"/>
      <c r="D247" s="2935"/>
      <c r="E247" s="2937"/>
      <c r="F247" s="2937"/>
      <c r="G247" s="2937"/>
      <c r="H247" s="2937"/>
      <c r="I247" s="2937"/>
      <c r="J247" s="2937"/>
      <c r="K247" s="2937"/>
      <c r="L247" s="2937"/>
      <c r="M247" s="2937"/>
      <c r="N247" s="2937"/>
      <c r="O247" s="2937"/>
      <c r="P247" s="2937"/>
      <c r="Q247" s="2937"/>
      <c r="R247" s="2937"/>
      <c r="S247" s="2937"/>
      <c r="T247" s="2937"/>
      <c r="U247" s="2937"/>
      <c r="V247" s="2937"/>
      <c r="W247" s="2937"/>
      <c r="X247" s="2937"/>
      <c r="Y247" s="72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6"/>
      <c r="AK247" s="106"/>
      <c r="AL247" s="106"/>
      <c r="AM247" s="106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</row>
    <row r="248" spans="1:50" s="126" customFormat="1" ht="13.5" customHeight="1">
      <c r="A248" s="39"/>
      <c r="B248" s="38" t="str">
        <f>K7</f>
        <v>August</v>
      </c>
      <c r="C248" s="37">
        <v>44774</v>
      </c>
      <c r="D248" s="128"/>
      <c r="E248" s="36">
        <f t="shared" ref="E248:X248" si="14">SUM(E249:E277)</f>
        <v>-315.60000000000036</v>
      </c>
      <c r="F248" s="36">
        <f t="shared" si="14"/>
        <v>5010.18</v>
      </c>
      <c r="G248" s="36">
        <f t="shared" si="14"/>
        <v>1162</v>
      </c>
      <c r="H248" s="36">
        <f t="shared" si="14"/>
        <v>3404</v>
      </c>
      <c r="I248" s="36">
        <f t="shared" si="14"/>
        <v>1001.2</v>
      </c>
      <c r="J248" s="36">
        <f t="shared" si="14"/>
        <v>161.80000000000001</v>
      </c>
      <c r="K248" s="36">
        <f t="shared" si="14"/>
        <v>780</v>
      </c>
      <c r="L248" s="36">
        <f t="shared" si="14"/>
        <v>0</v>
      </c>
      <c r="M248" s="36">
        <f t="shared" si="14"/>
        <v>144</v>
      </c>
      <c r="N248" s="36">
        <f t="shared" si="14"/>
        <v>7474</v>
      </c>
      <c r="O248" s="36">
        <f t="shared" si="14"/>
        <v>0</v>
      </c>
      <c r="P248" s="36">
        <f t="shared" si="14"/>
        <v>465.13</v>
      </c>
      <c r="Q248" s="36">
        <f t="shared" si="14"/>
        <v>574</v>
      </c>
      <c r="R248" s="36">
        <f t="shared" si="14"/>
        <v>330</v>
      </c>
      <c r="S248" s="36">
        <f t="shared" si="14"/>
        <v>500</v>
      </c>
      <c r="T248" s="36">
        <f t="shared" si="14"/>
        <v>935.64</v>
      </c>
      <c r="U248" s="36">
        <f t="shared" si="14"/>
        <v>339</v>
      </c>
      <c r="V248" s="36">
        <f t="shared" si="14"/>
        <v>1000</v>
      </c>
      <c r="W248" s="36">
        <f t="shared" si="14"/>
        <v>0</v>
      </c>
      <c r="X248" s="36">
        <f t="shared" si="14"/>
        <v>0</v>
      </c>
      <c r="Y248" s="46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6"/>
      <c r="AK248" s="106"/>
      <c r="AL248" s="106"/>
      <c r="AM248" s="106"/>
      <c r="AN248" s="102"/>
      <c r="AO248" s="108"/>
      <c r="AP248" s="108"/>
      <c r="AQ248" s="108"/>
      <c r="AR248" s="108"/>
      <c r="AS248" s="108"/>
      <c r="AT248" s="108"/>
      <c r="AU248" s="108"/>
      <c r="AV248" s="108"/>
    </row>
    <row r="249" spans="1:50" s="106" customFormat="1" ht="13.8">
      <c r="A249" s="125"/>
      <c r="B249" s="34">
        <v>44773</v>
      </c>
      <c r="C249" s="34" t="s">
        <v>17</v>
      </c>
      <c r="D249" s="124" t="s">
        <v>35</v>
      </c>
      <c r="E249" s="32">
        <v>-11078</v>
      </c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50" s="106" customFormat="1" ht="13.8">
      <c r="A250" s="125"/>
      <c r="B250" s="34">
        <v>44773</v>
      </c>
      <c r="C250" s="34" t="s">
        <v>17</v>
      </c>
      <c r="D250" s="124" t="s">
        <v>34</v>
      </c>
      <c r="E250" s="32">
        <v>-7943</v>
      </c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50" s="106" customFormat="1" ht="13.8">
      <c r="A251" s="125"/>
      <c r="B251" s="34">
        <v>44773</v>
      </c>
      <c r="C251" s="34" t="s">
        <v>17</v>
      </c>
      <c r="D251" s="124" t="s">
        <v>33</v>
      </c>
      <c r="E251" s="32">
        <v>-213</v>
      </c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50" s="106" customFormat="1" ht="13.8">
      <c r="A252" s="125"/>
      <c r="B252" s="34">
        <v>44773</v>
      </c>
      <c r="C252" s="34" t="s">
        <v>17</v>
      </c>
      <c r="D252" s="124" t="s">
        <v>32</v>
      </c>
      <c r="E252" s="32">
        <v>339</v>
      </c>
      <c r="F252" s="32">
        <f>(E252*11)+290</f>
        <v>4019</v>
      </c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>
        <v>339</v>
      </c>
      <c r="V252" s="32"/>
      <c r="W252" s="32"/>
      <c r="X252" s="32"/>
    </row>
    <row r="253" spans="1:50" s="106" customFormat="1" ht="13.8">
      <c r="A253" s="125"/>
      <c r="B253" s="34">
        <v>44773</v>
      </c>
      <c r="C253" s="34" t="s">
        <v>129</v>
      </c>
      <c r="D253" s="124" t="s">
        <v>57</v>
      </c>
      <c r="E253" s="32">
        <v>1000</v>
      </c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>
        <v>1000</v>
      </c>
      <c r="W253" s="32"/>
      <c r="X253" s="32"/>
    </row>
    <row r="254" spans="1:50" s="106" customFormat="1" ht="13.8">
      <c r="A254" s="125">
        <v>5</v>
      </c>
      <c r="B254" s="34">
        <v>44774</v>
      </c>
      <c r="C254" s="34" t="s">
        <v>17</v>
      </c>
      <c r="D254" s="124" t="s">
        <v>31</v>
      </c>
      <c r="E254" s="32">
        <v>-1296</v>
      </c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50" s="106" customFormat="1" ht="13.8">
      <c r="A255" s="125"/>
      <c r="B255" s="34">
        <v>44774</v>
      </c>
      <c r="C255" s="138" t="s">
        <v>19</v>
      </c>
      <c r="D255" s="137" t="s">
        <v>28</v>
      </c>
      <c r="E255" s="32">
        <v>200</v>
      </c>
      <c r="F255" s="32">
        <v>200</v>
      </c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50" s="106" customFormat="1" ht="13.8">
      <c r="A256" s="125"/>
      <c r="B256" s="34">
        <v>44774</v>
      </c>
      <c r="C256" s="34" t="s">
        <v>19</v>
      </c>
      <c r="D256" s="124" t="s">
        <v>30</v>
      </c>
      <c r="E256" s="32">
        <v>7474</v>
      </c>
      <c r="F256" s="32"/>
      <c r="G256" s="32"/>
      <c r="H256" s="32"/>
      <c r="I256" s="32"/>
      <c r="J256" s="32"/>
      <c r="K256" s="32"/>
      <c r="L256" s="32"/>
      <c r="M256" s="32"/>
      <c r="N256" s="32">
        <v>7474</v>
      </c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5" s="106" customFormat="1" ht="13.8">
      <c r="A257" s="125"/>
      <c r="B257" s="34">
        <v>44774</v>
      </c>
      <c r="C257" s="138" t="s">
        <v>19</v>
      </c>
      <c r="D257" s="137" t="s">
        <v>27</v>
      </c>
      <c r="E257" s="32">
        <v>588.75</v>
      </c>
      <c r="F257" s="32">
        <v>588.75</v>
      </c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5" s="106" customFormat="1" ht="13.8">
      <c r="A258" s="125"/>
      <c r="B258" s="34">
        <v>44774</v>
      </c>
      <c r="C258" s="138" t="s">
        <v>19</v>
      </c>
      <c r="D258" s="137" t="s">
        <v>23</v>
      </c>
      <c r="E258" s="32">
        <v>390</v>
      </c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>
        <v>390</v>
      </c>
      <c r="S258" s="32"/>
      <c r="T258" s="32"/>
      <c r="U258" s="32"/>
      <c r="V258" s="32"/>
      <c r="W258" s="32"/>
      <c r="X258" s="32"/>
    </row>
    <row r="259" spans="1:25" s="106" customFormat="1" ht="13.8">
      <c r="A259" s="125"/>
      <c r="B259" s="34">
        <v>44774</v>
      </c>
      <c r="C259" s="138" t="s">
        <v>17</v>
      </c>
      <c r="D259" s="137" t="s">
        <v>140</v>
      </c>
      <c r="E259" s="32">
        <v>502.6</v>
      </c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5" s="106" customFormat="1" ht="13.8">
      <c r="A260" s="125"/>
      <c r="B260" s="34">
        <v>44774</v>
      </c>
      <c r="C260" s="34" t="s">
        <v>17</v>
      </c>
      <c r="D260" s="124" t="s">
        <v>22</v>
      </c>
      <c r="E260" s="32">
        <v>148</v>
      </c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>
        <v>148</v>
      </c>
      <c r="R260" s="32"/>
      <c r="S260" s="32"/>
      <c r="T260" s="32"/>
      <c r="U260" s="32"/>
      <c r="V260" s="32"/>
      <c r="W260" s="32"/>
      <c r="X260" s="32"/>
    </row>
    <row r="261" spans="1:25" s="106" customFormat="1" ht="13.8">
      <c r="A261" s="125"/>
      <c r="B261" s="34">
        <v>44774</v>
      </c>
      <c r="C261" s="34" t="s">
        <v>17</v>
      </c>
      <c r="D261" s="124" t="s">
        <v>29</v>
      </c>
      <c r="E261" s="32">
        <v>69</v>
      </c>
      <c r="F261" s="32"/>
      <c r="G261" s="32">
        <v>69</v>
      </c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5" s="106" customFormat="1" ht="13.8">
      <c r="A262" s="125"/>
      <c r="B262" s="34">
        <v>44774</v>
      </c>
      <c r="C262" s="34" t="s">
        <v>19</v>
      </c>
      <c r="D262" s="124" t="s">
        <v>139</v>
      </c>
      <c r="E262" s="32">
        <v>-132.36000000000001</v>
      </c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>
        <v>-132.36000000000001</v>
      </c>
      <c r="U262" s="32"/>
      <c r="V262" s="32"/>
      <c r="W262" s="32"/>
      <c r="X262" s="32"/>
    </row>
    <row r="263" spans="1:25" s="106" customFormat="1" ht="13.8">
      <c r="A263" s="125"/>
      <c r="B263" s="34">
        <v>44776</v>
      </c>
      <c r="C263" s="34" t="s">
        <v>17</v>
      </c>
      <c r="D263" s="124" t="s">
        <v>21</v>
      </c>
      <c r="E263" s="32">
        <v>426</v>
      </c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>
        <v>426</v>
      </c>
      <c r="R263" s="32"/>
      <c r="S263" s="32"/>
      <c r="T263" s="32"/>
      <c r="U263" s="32"/>
      <c r="V263" s="32"/>
      <c r="W263" s="32"/>
      <c r="X263" s="32"/>
    </row>
    <row r="264" spans="1:25" s="106" customFormat="1" ht="13.8">
      <c r="A264" s="125"/>
      <c r="B264" s="34">
        <v>44778</v>
      </c>
      <c r="C264" s="34" t="s">
        <v>19</v>
      </c>
      <c r="D264" s="124" t="s">
        <v>20</v>
      </c>
      <c r="E264" s="32">
        <v>202.43</v>
      </c>
      <c r="F264" s="32">
        <v>202.43</v>
      </c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5" s="106" customFormat="1" ht="13.8">
      <c r="A265" s="125"/>
      <c r="B265" s="34">
        <v>44781</v>
      </c>
      <c r="C265" s="34" t="s">
        <v>17</v>
      </c>
      <c r="D265" s="124" t="s">
        <v>18</v>
      </c>
      <c r="E265" s="32">
        <v>336.13</v>
      </c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>
        <v>336.13</v>
      </c>
      <c r="Q265" s="32"/>
      <c r="R265" s="32"/>
      <c r="S265" s="32"/>
      <c r="T265" s="32"/>
      <c r="U265" s="32"/>
      <c r="V265" s="32"/>
      <c r="W265" s="32"/>
      <c r="X265" s="32"/>
    </row>
    <row r="266" spans="1:25" s="106" customFormat="1" ht="13.8">
      <c r="A266" s="125"/>
      <c r="B266" s="34">
        <v>44782</v>
      </c>
      <c r="C266" s="34"/>
      <c r="D266" s="124" t="s">
        <v>9</v>
      </c>
      <c r="E266" s="32">
        <v>500</v>
      </c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>
        <v>500</v>
      </c>
      <c r="T266" s="32"/>
      <c r="U266" s="32"/>
      <c r="V266" s="32"/>
      <c r="W266" s="32"/>
      <c r="X266" s="32"/>
    </row>
    <row r="267" spans="1:25" s="106" customFormat="1" ht="13.8">
      <c r="A267" s="125"/>
      <c r="B267" s="34">
        <v>44791</v>
      </c>
      <c r="C267" s="34"/>
      <c r="D267" s="124" t="s">
        <v>138</v>
      </c>
      <c r="E267" s="32">
        <v>450</v>
      </c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5" s="106" customFormat="1" ht="13.8">
      <c r="A268" s="125"/>
      <c r="B268" s="34">
        <v>44796</v>
      </c>
      <c r="C268" s="138" t="s">
        <v>17</v>
      </c>
      <c r="D268" s="137" t="s">
        <v>23</v>
      </c>
      <c r="E268" s="32">
        <v>-60</v>
      </c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>
        <v>-60</v>
      </c>
      <c r="S268" s="32"/>
      <c r="T268" s="32"/>
      <c r="U268" s="32"/>
      <c r="V268" s="32"/>
      <c r="W268" s="32"/>
      <c r="X268" s="32"/>
    </row>
    <row r="269" spans="1:25" s="106" customFormat="1" ht="13.8">
      <c r="A269" s="125"/>
      <c r="B269" s="34">
        <v>44800</v>
      </c>
      <c r="C269" s="138" t="s">
        <v>17</v>
      </c>
      <c r="D269" s="137" t="s">
        <v>137</v>
      </c>
      <c r="E269" s="32">
        <v>1068</v>
      </c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>
        <v>1068</v>
      </c>
      <c r="U269" s="32"/>
      <c r="V269" s="32"/>
      <c r="W269" s="32"/>
      <c r="X269" s="32"/>
    </row>
    <row r="270" spans="1:25" s="106" customFormat="1" ht="13.8">
      <c r="A270" s="125"/>
      <c r="B270" s="34"/>
      <c r="C270" s="34"/>
      <c r="D270" s="124" t="s">
        <v>123</v>
      </c>
      <c r="E270" s="32">
        <v>314.85000000000002</v>
      </c>
      <c r="F270" s="32"/>
      <c r="G270" s="32">
        <v>30</v>
      </c>
      <c r="H270" s="32">
        <v>285</v>
      </c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5" s="106" customFormat="1" ht="13.8">
      <c r="A271" s="125"/>
      <c r="B271" s="34"/>
      <c r="C271" s="34"/>
      <c r="D271" s="124" t="s">
        <v>124</v>
      </c>
      <c r="E271" s="32">
        <v>1163</v>
      </c>
      <c r="F271" s="32"/>
      <c r="G271" s="32"/>
      <c r="H271" s="32"/>
      <c r="I271" s="32">
        <v>1001.2</v>
      </c>
      <c r="J271" s="32">
        <v>161.80000000000001</v>
      </c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5" s="106" customFormat="1" ht="13.8">
      <c r="A272" s="125"/>
      <c r="B272" s="34"/>
      <c r="C272" s="34"/>
      <c r="D272" s="124" t="s">
        <v>42</v>
      </c>
      <c r="E272" s="32">
        <v>2563</v>
      </c>
      <c r="F272" s="32"/>
      <c r="G272" s="32"/>
      <c r="H272" s="32">
        <v>1835</v>
      </c>
      <c r="I272" s="32"/>
      <c r="J272" s="32"/>
      <c r="K272" s="32">
        <v>660</v>
      </c>
      <c r="L272" s="32"/>
      <c r="M272" s="32">
        <v>68</v>
      </c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122"/>
    </row>
    <row r="273" spans="1:50" s="106" customFormat="1" ht="13.8">
      <c r="A273" s="125"/>
      <c r="B273" s="34"/>
      <c r="C273" s="34"/>
      <c r="D273" s="124" t="s">
        <v>41</v>
      </c>
      <c r="E273" s="32">
        <v>194</v>
      </c>
      <c r="F273" s="32"/>
      <c r="G273" s="32"/>
      <c r="H273" s="32">
        <v>194</v>
      </c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122"/>
    </row>
    <row r="274" spans="1:50" s="106" customFormat="1" ht="13.8">
      <c r="A274" s="125"/>
      <c r="B274" s="34"/>
      <c r="C274" s="34"/>
      <c r="D274" s="124" t="s">
        <v>40</v>
      </c>
      <c r="E274" s="32">
        <v>653</v>
      </c>
      <c r="F274" s="32"/>
      <c r="G274" s="32"/>
      <c r="H274" s="32">
        <v>577</v>
      </c>
      <c r="I274" s="32"/>
      <c r="J274" s="32"/>
      <c r="K274" s="32"/>
      <c r="L274" s="32"/>
      <c r="M274" s="32">
        <v>76</v>
      </c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122"/>
    </row>
    <row r="275" spans="1:50" s="106" customFormat="1" ht="13.8">
      <c r="A275" s="125">
        <f>35</f>
        <v>35</v>
      </c>
      <c r="B275" s="34"/>
      <c r="C275" s="34"/>
      <c r="D275" s="124" t="s">
        <v>39</v>
      </c>
      <c r="E275" s="32">
        <v>748</v>
      </c>
      <c r="F275" s="32"/>
      <c r="G275" s="32">
        <v>339</v>
      </c>
      <c r="H275" s="32">
        <v>409</v>
      </c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122"/>
    </row>
    <row r="276" spans="1:50" s="106" customFormat="1" ht="13.8">
      <c r="A276" s="125"/>
      <c r="B276" s="34"/>
      <c r="C276" s="34"/>
      <c r="D276" s="124" t="s">
        <v>38</v>
      </c>
      <c r="E276" s="32">
        <v>224</v>
      </c>
      <c r="F276" s="32"/>
      <c r="G276" s="32"/>
      <c r="H276" s="32">
        <v>104</v>
      </c>
      <c r="I276" s="32"/>
      <c r="J276" s="32"/>
      <c r="K276" s="32">
        <v>120</v>
      </c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122"/>
    </row>
    <row r="277" spans="1:50" s="106" customFormat="1" ht="13.8">
      <c r="A277" s="125"/>
      <c r="B277" s="34"/>
      <c r="C277" s="34"/>
      <c r="D277" s="124" t="s">
        <v>37</v>
      </c>
      <c r="E277" s="32">
        <v>853</v>
      </c>
      <c r="F277" s="32"/>
      <c r="G277" s="32">
        <v>724</v>
      </c>
      <c r="H277" s="32"/>
      <c r="I277" s="32"/>
      <c r="J277" s="32"/>
      <c r="K277" s="32"/>
      <c r="L277" s="32"/>
      <c r="M277" s="32"/>
      <c r="N277" s="32"/>
      <c r="O277" s="32"/>
      <c r="P277" s="32">
        <v>129</v>
      </c>
      <c r="Q277" s="32"/>
      <c r="R277" s="32"/>
      <c r="S277" s="32"/>
      <c r="T277" s="32"/>
      <c r="U277" s="32"/>
      <c r="V277" s="32"/>
      <c r="W277" s="32"/>
      <c r="X277" s="32"/>
      <c r="Y277" s="122"/>
    </row>
    <row r="278" spans="1:50" s="120" customFormat="1" ht="12" customHeight="1">
      <c r="A278" s="60"/>
      <c r="B278" s="2930" t="str">
        <f>K7</f>
        <v>August</v>
      </c>
      <c r="C278" s="2931"/>
      <c r="D278" s="2934" t="s">
        <v>36</v>
      </c>
      <c r="E278" s="2936"/>
      <c r="F278" s="2936"/>
      <c r="G278" s="2936"/>
      <c r="H278" s="2936"/>
      <c r="I278" s="2936"/>
      <c r="J278" s="2936"/>
      <c r="K278" s="2936"/>
      <c r="L278" s="2936"/>
      <c r="M278" s="2936"/>
      <c r="N278" s="2936"/>
      <c r="O278" s="2936"/>
      <c r="P278" s="2936"/>
      <c r="Q278" s="2936"/>
      <c r="R278" s="2936"/>
      <c r="S278" s="2936"/>
      <c r="T278" s="2936"/>
      <c r="U278" s="2936"/>
      <c r="V278" s="2936"/>
      <c r="W278" s="2936"/>
      <c r="X278" s="2936"/>
      <c r="Y278" s="122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</row>
    <row r="279" spans="1:50" s="120" customFormat="1" ht="12" customHeight="1">
      <c r="A279" s="60"/>
      <c r="B279" s="2932"/>
      <c r="C279" s="2933"/>
      <c r="D279" s="2935"/>
      <c r="E279" s="2937"/>
      <c r="F279" s="2937"/>
      <c r="G279" s="2937"/>
      <c r="H279" s="2937"/>
      <c r="I279" s="2937"/>
      <c r="J279" s="2937"/>
      <c r="K279" s="2937"/>
      <c r="L279" s="2937"/>
      <c r="M279" s="2937"/>
      <c r="N279" s="2937"/>
      <c r="O279" s="2937"/>
      <c r="P279" s="2937"/>
      <c r="Q279" s="2937"/>
      <c r="R279" s="2937"/>
      <c r="S279" s="2937"/>
      <c r="T279" s="2937"/>
      <c r="U279" s="2937"/>
      <c r="V279" s="2937"/>
      <c r="W279" s="2937"/>
      <c r="X279" s="2937"/>
      <c r="Y279" s="72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6"/>
      <c r="AK279" s="106"/>
      <c r="AL279" s="106"/>
      <c r="AM279" s="106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</row>
    <row r="280" spans="1:50" s="126" customFormat="1" ht="13.5" customHeight="1">
      <c r="A280" s="39"/>
      <c r="B280" s="38" t="str">
        <f>L7</f>
        <v>September</v>
      </c>
      <c r="C280" s="136">
        <v>44835</v>
      </c>
      <c r="D280" s="128"/>
      <c r="E280" s="127">
        <f t="shared" ref="E280:V280" si="15">SUM(E281:E310)</f>
        <v>-714.69000000000051</v>
      </c>
      <c r="F280" s="127">
        <f t="shared" si="15"/>
        <v>1085.8399999999999</v>
      </c>
      <c r="G280" s="127">
        <f t="shared" si="15"/>
        <v>3519</v>
      </c>
      <c r="H280" s="127">
        <f t="shared" si="15"/>
        <v>2578</v>
      </c>
      <c r="I280" s="127">
        <f t="shared" si="15"/>
        <v>177</v>
      </c>
      <c r="J280" s="127">
        <f t="shared" si="15"/>
        <v>0</v>
      </c>
      <c r="K280" s="127">
        <f t="shared" si="15"/>
        <v>720</v>
      </c>
      <c r="L280" s="127">
        <f t="shared" si="15"/>
        <v>0</v>
      </c>
      <c r="M280" s="127">
        <f t="shared" si="15"/>
        <v>366</v>
      </c>
      <c r="N280" s="127">
        <f t="shared" si="15"/>
        <v>7474</v>
      </c>
      <c r="O280" s="127">
        <f t="shared" si="15"/>
        <v>2458</v>
      </c>
      <c r="P280" s="127">
        <f t="shared" si="15"/>
        <v>1194.5</v>
      </c>
      <c r="Q280" s="127">
        <f t="shared" si="15"/>
        <v>905</v>
      </c>
      <c r="R280" s="127">
        <f t="shared" si="15"/>
        <v>420</v>
      </c>
      <c r="S280" s="127">
        <f t="shared" si="15"/>
        <v>0</v>
      </c>
      <c r="T280" s="127">
        <f t="shared" si="15"/>
        <v>0</v>
      </c>
      <c r="U280" s="127">
        <f t="shared" si="15"/>
        <v>339</v>
      </c>
      <c r="V280" s="127">
        <f t="shared" si="15"/>
        <v>1000</v>
      </c>
      <c r="W280" s="127"/>
      <c r="X280" s="127"/>
      <c r="Y280" s="46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6"/>
      <c r="AK280" s="106"/>
      <c r="AL280" s="106"/>
      <c r="AM280" s="106"/>
      <c r="AN280" s="102"/>
      <c r="AO280" s="108"/>
      <c r="AP280" s="108"/>
      <c r="AQ280" s="108"/>
      <c r="AR280" s="108"/>
      <c r="AS280" s="108"/>
      <c r="AT280" s="108"/>
      <c r="AU280" s="108"/>
      <c r="AV280" s="108"/>
    </row>
    <row r="281" spans="1:50" s="106" customFormat="1" ht="13.8">
      <c r="A281" s="125"/>
      <c r="B281" s="34">
        <v>44804</v>
      </c>
      <c r="C281" s="34" t="s">
        <v>17</v>
      </c>
      <c r="D281" s="124" t="s">
        <v>35</v>
      </c>
      <c r="E281" s="123">
        <v>-11078</v>
      </c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</row>
    <row r="282" spans="1:50" s="106" customFormat="1" ht="13.8">
      <c r="A282" s="125"/>
      <c r="B282" s="34">
        <v>44804</v>
      </c>
      <c r="C282" s="34" t="s">
        <v>17</v>
      </c>
      <c r="D282" s="124" t="s">
        <v>34</v>
      </c>
      <c r="E282" s="123">
        <v>-7943</v>
      </c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</row>
    <row r="283" spans="1:50" s="106" customFormat="1" ht="13.8">
      <c r="A283" s="125"/>
      <c r="B283" s="34">
        <v>44804</v>
      </c>
      <c r="C283" s="34" t="s">
        <v>17</v>
      </c>
      <c r="D283" s="124" t="s">
        <v>33</v>
      </c>
      <c r="E283" s="123">
        <v>-213</v>
      </c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</row>
    <row r="284" spans="1:50" s="106" customFormat="1" ht="13.8">
      <c r="A284" s="125"/>
      <c r="B284" s="34">
        <v>44804</v>
      </c>
      <c r="C284" s="34" t="s">
        <v>17</v>
      </c>
      <c r="D284" s="124" t="s">
        <v>32</v>
      </c>
      <c r="E284" s="123">
        <v>339</v>
      </c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>
        <v>339</v>
      </c>
      <c r="V284" s="123"/>
      <c r="W284" s="123"/>
      <c r="X284" s="123"/>
    </row>
    <row r="285" spans="1:50" s="106" customFormat="1" ht="13.8">
      <c r="A285" s="125"/>
      <c r="B285" s="34">
        <v>44804</v>
      </c>
      <c r="C285" s="34" t="s">
        <v>129</v>
      </c>
      <c r="D285" s="124" t="s">
        <v>136</v>
      </c>
      <c r="E285" s="123">
        <v>2333</v>
      </c>
      <c r="F285" s="123"/>
      <c r="G285" s="123">
        <v>2333</v>
      </c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35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N285" s="134"/>
    </row>
    <row r="286" spans="1:50" s="106" customFormat="1" ht="13.8">
      <c r="A286" s="125">
        <v>5</v>
      </c>
      <c r="B286" s="34">
        <v>44805</v>
      </c>
      <c r="C286" s="34" t="s">
        <v>17</v>
      </c>
      <c r="D286" s="124" t="s">
        <v>31</v>
      </c>
      <c r="E286" s="123">
        <f>$AA$13</f>
        <v>-1296</v>
      </c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</row>
    <row r="287" spans="1:50" s="106" customFormat="1" ht="13.8">
      <c r="A287" s="125"/>
      <c r="B287" s="34">
        <v>44805</v>
      </c>
      <c r="C287" s="34" t="s">
        <v>17</v>
      </c>
      <c r="D287" s="124" t="s">
        <v>29</v>
      </c>
      <c r="E287" s="123">
        <v>69</v>
      </c>
      <c r="F287" s="123"/>
      <c r="G287" s="123">
        <v>69</v>
      </c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</row>
    <row r="288" spans="1:50" s="106" customFormat="1" ht="13.8">
      <c r="A288" s="125"/>
      <c r="B288" s="34">
        <v>44805</v>
      </c>
      <c r="C288" s="34" t="s">
        <v>19</v>
      </c>
      <c r="D288" s="124" t="s">
        <v>27</v>
      </c>
      <c r="E288" s="123">
        <v>608.75</v>
      </c>
      <c r="F288" s="123">
        <v>608.75</v>
      </c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</row>
    <row r="289" spans="1:24" s="106" customFormat="1" ht="13.8">
      <c r="A289" s="125"/>
      <c r="B289" s="34">
        <v>44805</v>
      </c>
      <c r="C289" s="34" t="s">
        <v>19</v>
      </c>
      <c r="D289" s="124" t="s">
        <v>128</v>
      </c>
      <c r="E289" s="123">
        <v>420</v>
      </c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>
        <v>420</v>
      </c>
      <c r="S289" s="123"/>
      <c r="T289" s="123"/>
      <c r="U289" s="123"/>
      <c r="V289" s="123"/>
      <c r="W289" s="123"/>
      <c r="X289" s="123"/>
    </row>
    <row r="290" spans="1:24" s="106" customFormat="1" ht="13.8">
      <c r="A290" s="125"/>
      <c r="B290" s="34">
        <v>44805</v>
      </c>
      <c r="C290" s="34" t="s">
        <v>19</v>
      </c>
      <c r="D290" s="124" t="s">
        <v>25</v>
      </c>
      <c r="E290" s="123">
        <v>869.56</v>
      </c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>
        <v>869.59</v>
      </c>
      <c r="Q290" s="123"/>
      <c r="R290" s="123"/>
      <c r="S290" s="123"/>
      <c r="T290" s="123"/>
      <c r="U290" s="123"/>
      <c r="V290" s="123"/>
      <c r="W290" s="123"/>
      <c r="X290" s="123"/>
    </row>
    <row r="291" spans="1:24" s="106" customFormat="1" ht="13.8">
      <c r="A291" s="125"/>
      <c r="B291" s="34">
        <v>44805</v>
      </c>
      <c r="C291" s="34" t="s">
        <v>19</v>
      </c>
      <c r="D291" s="124" t="s">
        <v>28</v>
      </c>
      <c r="E291" s="123">
        <v>200</v>
      </c>
      <c r="F291" s="123">
        <v>200</v>
      </c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</row>
    <row r="292" spans="1:24" s="106" customFormat="1" ht="13.8">
      <c r="A292" s="125"/>
      <c r="B292" s="34">
        <v>44805</v>
      </c>
      <c r="C292" s="34" t="s">
        <v>17</v>
      </c>
      <c r="D292" s="124" t="s">
        <v>30</v>
      </c>
      <c r="E292" s="123">
        <v>7474</v>
      </c>
      <c r="F292" s="123"/>
      <c r="G292" s="123"/>
      <c r="H292" s="123"/>
      <c r="I292" s="123"/>
      <c r="J292" s="123"/>
      <c r="K292" s="123"/>
      <c r="L292" s="123"/>
      <c r="M292" s="123"/>
      <c r="N292" s="123">
        <v>7474</v>
      </c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</row>
    <row r="293" spans="1:24" s="106" customFormat="1" ht="13.8">
      <c r="A293" s="125"/>
      <c r="B293" s="34">
        <v>44805</v>
      </c>
      <c r="C293" s="34" t="s">
        <v>127</v>
      </c>
      <c r="D293" s="124"/>
      <c r="E293" s="123">
        <v>200</v>
      </c>
      <c r="F293" s="123"/>
      <c r="G293" s="123">
        <v>200</v>
      </c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</row>
    <row r="294" spans="1:24" s="106" customFormat="1" ht="13.8">
      <c r="A294" s="125"/>
      <c r="B294" s="34">
        <v>44805</v>
      </c>
      <c r="C294" s="34" t="s">
        <v>129</v>
      </c>
      <c r="D294" s="124" t="s">
        <v>57</v>
      </c>
      <c r="E294" s="123">
        <v>1000</v>
      </c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>
        <v>1000</v>
      </c>
      <c r="W294" s="123"/>
      <c r="X294" s="123"/>
    </row>
    <row r="295" spans="1:24" s="106" customFormat="1" ht="13.8">
      <c r="A295" s="125"/>
      <c r="B295" s="34">
        <v>44805</v>
      </c>
      <c r="C295" s="34" t="s">
        <v>17</v>
      </c>
      <c r="D295" s="124" t="s">
        <v>22</v>
      </c>
      <c r="E295" s="123">
        <v>148</v>
      </c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>
        <v>148</v>
      </c>
      <c r="R295" s="123"/>
      <c r="S295" s="123"/>
      <c r="T295" s="123"/>
      <c r="U295" s="123"/>
      <c r="V295" s="123"/>
      <c r="W295" s="123"/>
      <c r="X295" s="123"/>
    </row>
    <row r="296" spans="1:24" s="106" customFormat="1" ht="13.8">
      <c r="A296" s="125"/>
      <c r="B296" s="34">
        <v>44807</v>
      </c>
      <c r="C296" s="34" t="s">
        <v>17</v>
      </c>
      <c r="D296" s="124" t="s">
        <v>21</v>
      </c>
      <c r="E296" s="123">
        <f>$AH$13</f>
        <v>426</v>
      </c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>
        <v>426</v>
      </c>
      <c r="R296" s="123"/>
      <c r="S296" s="123"/>
      <c r="T296" s="123"/>
      <c r="U296" s="123"/>
      <c r="V296" s="123"/>
      <c r="W296" s="123"/>
      <c r="X296" s="123"/>
    </row>
    <row r="297" spans="1:24" s="106" customFormat="1" ht="13.8">
      <c r="A297" s="125"/>
      <c r="B297" s="34">
        <v>44807</v>
      </c>
      <c r="C297" s="34" t="s">
        <v>129</v>
      </c>
      <c r="D297" s="124" t="s">
        <v>135</v>
      </c>
      <c r="E297" s="123">
        <v>638</v>
      </c>
      <c r="F297" s="123"/>
      <c r="G297" s="123">
        <v>638</v>
      </c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</row>
    <row r="298" spans="1:24" s="106" customFormat="1" ht="13.8">
      <c r="A298" s="125">
        <v>0.55555555555555558</v>
      </c>
      <c r="B298" s="34">
        <v>44809</v>
      </c>
      <c r="C298" s="34" t="s">
        <v>19</v>
      </c>
      <c r="D298" s="124" t="s">
        <v>20</v>
      </c>
      <c r="E298" s="123">
        <v>196.13</v>
      </c>
      <c r="F298" s="123">
        <v>196.13</v>
      </c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</row>
    <row r="299" spans="1:24" s="106" customFormat="1" ht="13.8">
      <c r="A299" s="125"/>
      <c r="B299" s="34">
        <v>44809</v>
      </c>
      <c r="C299" s="34" t="s">
        <v>19</v>
      </c>
      <c r="D299" s="124" t="s">
        <v>134</v>
      </c>
      <c r="E299" s="123">
        <v>80.959999999999994</v>
      </c>
      <c r="F299" s="123">
        <v>80.959999999999994</v>
      </c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</row>
    <row r="300" spans="1:24" s="106" customFormat="1" ht="13.8">
      <c r="A300" s="125"/>
      <c r="B300" s="34">
        <v>44809</v>
      </c>
      <c r="C300" s="34" t="s">
        <v>17</v>
      </c>
      <c r="D300" s="124" t="s">
        <v>133</v>
      </c>
      <c r="E300" s="123">
        <v>114</v>
      </c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>
        <v>114</v>
      </c>
      <c r="R300" s="123"/>
      <c r="S300" s="123"/>
      <c r="T300" s="123"/>
      <c r="U300" s="123"/>
      <c r="V300" s="123"/>
      <c r="W300" s="123"/>
      <c r="X300" s="123"/>
    </row>
    <row r="301" spans="1:24" s="106" customFormat="1" ht="13.8">
      <c r="A301" s="125"/>
      <c r="B301" s="34">
        <v>44810</v>
      </c>
      <c r="C301" s="34" t="s">
        <v>19</v>
      </c>
      <c r="D301" s="124" t="s">
        <v>18</v>
      </c>
      <c r="E301" s="123">
        <v>285.91000000000003</v>
      </c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>
        <v>285.91000000000003</v>
      </c>
      <c r="Q301" s="123"/>
      <c r="R301" s="123"/>
      <c r="S301" s="123"/>
      <c r="T301" s="123"/>
      <c r="U301" s="123"/>
      <c r="V301" s="123"/>
      <c r="W301" s="123"/>
      <c r="X301" s="123"/>
    </row>
    <row r="302" spans="1:24" s="106" customFormat="1" ht="13.8">
      <c r="A302" s="125"/>
      <c r="B302" s="34">
        <v>44826</v>
      </c>
      <c r="C302" s="34" t="s">
        <v>17</v>
      </c>
      <c r="D302" s="124" t="s">
        <v>132</v>
      </c>
      <c r="E302" s="123">
        <v>79</v>
      </c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>
        <v>79</v>
      </c>
      <c r="R302" s="123"/>
      <c r="S302" s="123"/>
      <c r="T302" s="123"/>
      <c r="U302" s="123"/>
      <c r="V302" s="123"/>
      <c r="W302" s="123"/>
      <c r="X302" s="123"/>
    </row>
    <row r="303" spans="1:24" s="106" customFormat="1" ht="13.8">
      <c r="A303" s="125"/>
      <c r="B303" s="34">
        <v>44827</v>
      </c>
      <c r="C303" s="34" t="s">
        <v>17</v>
      </c>
      <c r="D303" s="124" t="s">
        <v>47</v>
      </c>
      <c r="E303" s="123">
        <v>-2500</v>
      </c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</row>
    <row r="304" spans="1:24" s="106" customFormat="1" ht="13.8">
      <c r="A304" s="125"/>
      <c r="B304" s="34">
        <v>44831</v>
      </c>
      <c r="C304" s="34" t="s">
        <v>17</v>
      </c>
      <c r="D304" s="124" t="s">
        <v>124</v>
      </c>
      <c r="E304" s="123">
        <v>177</v>
      </c>
      <c r="F304" s="123"/>
      <c r="G304" s="123"/>
      <c r="H304" s="123"/>
      <c r="I304" s="123">
        <v>177</v>
      </c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</row>
    <row r="305" spans="1:50" s="106" customFormat="1" ht="13.8">
      <c r="A305" s="125"/>
      <c r="B305" s="34"/>
      <c r="C305" s="34" t="s">
        <v>17</v>
      </c>
      <c r="D305" s="124" t="s">
        <v>42</v>
      </c>
      <c r="E305" s="123">
        <v>2165</v>
      </c>
      <c r="F305" s="123"/>
      <c r="G305" s="123">
        <v>12</v>
      </c>
      <c r="H305" s="123">
        <v>1518</v>
      </c>
      <c r="I305" s="123"/>
      <c r="J305" s="123"/>
      <c r="K305" s="123">
        <v>240</v>
      </c>
      <c r="L305" s="123"/>
      <c r="M305" s="123">
        <v>316</v>
      </c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2"/>
    </row>
    <row r="306" spans="1:50" s="106" customFormat="1" ht="13.8">
      <c r="A306" s="125"/>
      <c r="B306" s="34"/>
      <c r="C306" s="34" t="s">
        <v>17</v>
      </c>
      <c r="D306" s="124" t="s">
        <v>41</v>
      </c>
      <c r="E306" s="123">
        <v>72</v>
      </c>
      <c r="F306" s="123"/>
      <c r="G306" s="123"/>
      <c r="H306" s="123">
        <v>22</v>
      </c>
      <c r="I306" s="123"/>
      <c r="J306" s="123"/>
      <c r="K306" s="123"/>
      <c r="L306" s="123"/>
      <c r="M306" s="123">
        <v>50</v>
      </c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2"/>
    </row>
    <row r="307" spans="1:50" s="106" customFormat="1" ht="13.8">
      <c r="A307" s="125"/>
      <c r="B307" s="34"/>
      <c r="C307" s="34" t="s">
        <v>19</v>
      </c>
      <c r="D307" s="124" t="s">
        <v>40</v>
      </c>
      <c r="E307" s="123">
        <v>594</v>
      </c>
      <c r="F307" s="123"/>
      <c r="G307" s="123"/>
      <c r="H307" s="123">
        <v>354</v>
      </c>
      <c r="I307" s="123"/>
      <c r="J307" s="123"/>
      <c r="K307" s="123">
        <v>240</v>
      </c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2"/>
    </row>
    <row r="308" spans="1:50" s="106" customFormat="1" ht="13.8">
      <c r="A308" s="125"/>
      <c r="B308" s="34"/>
      <c r="C308" s="34" t="s">
        <v>17</v>
      </c>
      <c r="D308" s="124" t="s">
        <v>39</v>
      </c>
      <c r="E308" s="123">
        <v>687</v>
      </c>
      <c r="F308" s="123"/>
      <c r="G308" s="123">
        <v>158</v>
      </c>
      <c r="H308" s="123">
        <v>409</v>
      </c>
      <c r="I308" s="123"/>
      <c r="J308" s="123"/>
      <c r="K308" s="123">
        <v>120</v>
      </c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2"/>
    </row>
    <row r="309" spans="1:50" s="106" customFormat="1" ht="13.8">
      <c r="A309" s="125"/>
      <c r="B309" s="34"/>
      <c r="C309" s="34" t="s">
        <v>17</v>
      </c>
      <c r="D309" s="124" t="s">
        <v>38</v>
      </c>
      <c r="E309" s="123">
        <v>825</v>
      </c>
      <c r="F309" s="123"/>
      <c r="G309" s="123"/>
      <c r="H309" s="123">
        <v>275</v>
      </c>
      <c r="I309" s="123"/>
      <c r="J309" s="123"/>
      <c r="K309" s="123">
        <v>120</v>
      </c>
      <c r="L309" s="123"/>
      <c r="M309" s="123"/>
      <c r="N309" s="123"/>
      <c r="O309" s="123">
        <v>430</v>
      </c>
      <c r="P309" s="123"/>
      <c r="Q309" s="123"/>
      <c r="R309" s="123"/>
      <c r="S309" s="123"/>
      <c r="T309" s="123"/>
      <c r="U309" s="123"/>
      <c r="V309" s="123"/>
      <c r="W309" s="123"/>
      <c r="X309" s="123"/>
      <c r="Y309" s="122"/>
    </row>
    <row r="310" spans="1:50" s="106" customFormat="1" ht="13.8">
      <c r="A310" s="125"/>
      <c r="B310" s="34"/>
      <c r="C310" s="34"/>
      <c r="D310" s="124" t="s">
        <v>37</v>
      </c>
      <c r="E310" s="123">
        <v>2314</v>
      </c>
      <c r="F310" s="123"/>
      <c r="G310" s="123">
        <v>109</v>
      </c>
      <c r="H310" s="123"/>
      <c r="I310" s="123"/>
      <c r="J310" s="123"/>
      <c r="K310" s="123"/>
      <c r="L310" s="123"/>
      <c r="M310" s="123"/>
      <c r="N310" s="123"/>
      <c r="O310" s="123">
        <v>2028</v>
      </c>
      <c r="P310" s="123">
        <v>39</v>
      </c>
      <c r="Q310" s="123">
        <v>138</v>
      </c>
      <c r="R310" s="123"/>
      <c r="S310" s="123"/>
      <c r="T310" s="123"/>
      <c r="U310" s="123"/>
      <c r="V310" s="123"/>
      <c r="W310" s="123"/>
      <c r="X310" s="123"/>
      <c r="Y310" s="122"/>
    </row>
    <row r="311" spans="1:50" s="120" customFormat="1" ht="12" customHeight="1">
      <c r="A311" s="60"/>
      <c r="B311" s="2930" t="str">
        <f>L7</f>
        <v>September</v>
      </c>
      <c r="C311" s="2931"/>
      <c r="D311" s="2934" t="s">
        <v>36</v>
      </c>
      <c r="E311" s="2936"/>
      <c r="F311" s="2936"/>
      <c r="G311" s="2936"/>
      <c r="H311" s="2936"/>
      <c r="I311" s="2936"/>
      <c r="J311" s="2936"/>
      <c r="K311" s="2936"/>
      <c r="L311" s="2936"/>
      <c r="M311" s="2936"/>
      <c r="N311" s="2936"/>
      <c r="O311" s="2936"/>
      <c r="P311" s="2936"/>
      <c r="Q311" s="2936"/>
      <c r="R311" s="2936"/>
      <c r="S311" s="2936"/>
      <c r="T311" s="2936"/>
      <c r="U311" s="2936"/>
      <c r="V311" s="2936"/>
      <c r="W311" s="2936"/>
      <c r="X311" s="2936"/>
      <c r="Y311" s="122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</row>
    <row r="312" spans="1:50" s="120" customFormat="1" ht="12" customHeight="1">
      <c r="A312" s="60"/>
      <c r="B312" s="2932"/>
      <c r="C312" s="2933"/>
      <c r="D312" s="2935"/>
      <c r="E312" s="2937"/>
      <c r="F312" s="2937"/>
      <c r="G312" s="2937"/>
      <c r="H312" s="2937"/>
      <c r="I312" s="2937"/>
      <c r="J312" s="2937"/>
      <c r="K312" s="2937"/>
      <c r="L312" s="2937"/>
      <c r="M312" s="2937"/>
      <c r="N312" s="2937"/>
      <c r="O312" s="2937"/>
      <c r="P312" s="2937"/>
      <c r="Q312" s="2937"/>
      <c r="R312" s="2937"/>
      <c r="S312" s="2937"/>
      <c r="T312" s="2937"/>
      <c r="U312" s="2937"/>
      <c r="V312" s="2937"/>
      <c r="W312" s="2937"/>
      <c r="X312" s="2937"/>
      <c r="Y312" s="72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6"/>
      <c r="AK312" s="106"/>
      <c r="AL312" s="106"/>
      <c r="AM312" s="106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</row>
    <row r="313" spans="1:50" s="111" customFormat="1" ht="13.8">
      <c r="A313" s="115"/>
      <c r="B313" s="133"/>
      <c r="C313" s="2944" t="s">
        <v>48</v>
      </c>
      <c r="D313" s="2945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>
        <f>1000-O284</f>
        <v>1000</v>
      </c>
      <c r="P313" s="132"/>
      <c r="Q313" s="132"/>
      <c r="R313" s="132"/>
      <c r="S313" s="132"/>
      <c r="T313" s="132"/>
      <c r="U313" s="132"/>
      <c r="V313" s="132"/>
      <c r="W313" s="132"/>
      <c r="X313" s="132"/>
      <c r="Y313" s="118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N313" s="117"/>
    </row>
    <row r="314" spans="1:50" s="111" customFormat="1" ht="13.8">
      <c r="A314" s="115"/>
      <c r="B314" s="2942">
        <f ca="1">C316-$B$6-1</f>
        <v>-595</v>
      </c>
      <c r="C314" s="2940" t="s">
        <v>15</v>
      </c>
      <c r="D314" s="2941"/>
      <c r="E314" s="119"/>
      <c r="F314" s="116"/>
      <c r="G314" s="116"/>
      <c r="H314" s="116">
        <f>3100-H284</f>
        <v>3100</v>
      </c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3"/>
      <c r="AJ314" s="107"/>
      <c r="AK314" s="107"/>
      <c r="AL314" s="107"/>
      <c r="AM314" s="107"/>
    </row>
    <row r="315" spans="1:50" s="111" customFormat="1" ht="13.8">
      <c r="A315" s="115"/>
      <c r="B315" s="2943"/>
      <c r="C315" s="2938" t="s">
        <v>14</v>
      </c>
      <c r="D315" s="2939"/>
      <c r="E315" s="131"/>
      <c r="F315" s="114"/>
      <c r="G315" s="114"/>
      <c r="H315" s="114"/>
      <c r="I315" s="114"/>
      <c r="J315" s="114"/>
      <c r="K315" s="114">
        <f>900-K284</f>
        <v>900</v>
      </c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3"/>
      <c r="AJ315" s="112"/>
      <c r="AK315" s="112"/>
      <c r="AL315" s="112"/>
      <c r="AM315" s="112"/>
    </row>
    <row r="316" spans="1:50" s="126" customFormat="1" ht="13.5" customHeight="1">
      <c r="A316" s="39"/>
      <c r="B316" s="38" t="str">
        <f>M7</f>
        <v>Oktober</v>
      </c>
      <c r="C316" s="37">
        <v>44834</v>
      </c>
      <c r="D316" s="128"/>
      <c r="E316" s="127">
        <f t="shared" ref="E316:X316" si="16">SUM(E317:E340)</f>
        <v>1198.6000000000004</v>
      </c>
      <c r="F316" s="127">
        <f t="shared" si="16"/>
        <v>402.43</v>
      </c>
      <c r="G316" s="127">
        <f t="shared" si="16"/>
        <v>1408.25</v>
      </c>
      <c r="H316" s="127">
        <f t="shared" si="16"/>
        <v>1354</v>
      </c>
      <c r="I316" s="127">
        <f t="shared" si="16"/>
        <v>0</v>
      </c>
      <c r="J316" s="127">
        <f t="shared" si="16"/>
        <v>0</v>
      </c>
      <c r="K316" s="127">
        <f t="shared" si="16"/>
        <v>540</v>
      </c>
      <c r="L316" s="127">
        <f t="shared" si="16"/>
        <v>0</v>
      </c>
      <c r="M316" s="127">
        <f t="shared" si="16"/>
        <v>105</v>
      </c>
      <c r="N316" s="127">
        <f t="shared" si="16"/>
        <v>7474</v>
      </c>
      <c r="O316" s="127">
        <f t="shared" si="16"/>
        <v>0</v>
      </c>
      <c r="P316" s="127">
        <f t="shared" si="16"/>
        <v>672.11</v>
      </c>
      <c r="Q316" s="127">
        <f t="shared" si="16"/>
        <v>1251.75</v>
      </c>
      <c r="R316" s="127">
        <f t="shared" si="16"/>
        <v>-67</v>
      </c>
      <c r="S316" s="127">
        <f t="shared" si="16"/>
        <v>0</v>
      </c>
      <c r="T316" s="127">
        <f t="shared" si="16"/>
        <v>68.75</v>
      </c>
      <c r="U316" s="127">
        <f t="shared" si="16"/>
        <v>339</v>
      </c>
      <c r="V316" s="127">
        <f t="shared" si="16"/>
        <v>1000</v>
      </c>
      <c r="W316" s="127">
        <f t="shared" si="16"/>
        <v>8180.31</v>
      </c>
      <c r="X316" s="127">
        <f t="shared" si="16"/>
        <v>0</v>
      </c>
      <c r="Y316" s="46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6"/>
      <c r="AK316" s="106"/>
      <c r="AL316" s="106"/>
      <c r="AM316" s="106"/>
      <c r="AN316" s="102"/>
      <c r="AO316" s="108"/>
      <c r="AP316" s="108"/>
      <c r="AQ316" s="108"/>
      <c r="AR316" s="108"/>
      <c r="AS316" s="108"/>
      <c r="AT316" s="108"/>
      <c r="AU316" s="108"/>
      <c r="AV316" s="108"/>
    </row>
    <row r="317" spans="1:50" s="106" customFormat="1" ht="13.8">
      <c r="A317" s="125"/>
      <c r="B317" s="34">
        <v>44834</v>
      </c>
      <c r="C317" s="34" t="s">
        <v>17</v>
      </c>
      <c r="D317" s="124" t="s">
        <v>35</v>
      </c>
      <c r="E317" s="123">
        <v>-11078</v>
      </c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</row>
    <row r="318" spans="1:50" s="106" customFormat="1" ht="13.8">
      <c r="A318" s="125"/>
      <c r="B318" s="34">
        <v>44834</v>
      </c>
      <c r="C318" s="34" t="s">
        <v>17</v>
      </c>
      <c r="D318" s="124" t="s">
        <v>34</v>
      </c>
      <c r="E318" s="123">
        <v>-7943</v>
      </c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</row>
    <row r="319" spans="1:50" s="106" customFormat="1" ht="13.8">
      <c r="A319" s="125"/>
      <c r="B319" s="34">
        <v>44834</v>
      </c>
      <c r="C319" s="34" t="s">
        <v>17</v>
      </c>
      <c r="D319" s="124" t="s">
        <v>33</v>
      </c>
      <c r="E319" s="123">
        <v>-213</v>
      </c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</row>
    <row r="320" spans="1:50" s="106" customFormat="1" ht="13.8">
      <c r="A320" s="125"/>
      <c r="B320" s="34">
        <v>44834</v>
      </c>
      <c r="C320" s="34" t="s">
        <v>17</v>
      </c>
      <c r="D320" s="124" t="s">
        <v>32</v>
      </c>
      <c r="E320" s="123">
        <v>339</v>
      </c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>
        <v>339</v>
      </c>
      <c r="V320" s="123"/>
      <c r="W320" s="123"/>
      <c r="X320" s="123"/>
    </row>
    <row r="321" spans="1:25" s="106" customFormat="1" ht="13.8">
      <c r="A321" s="125"/>
      <c r="B321" s="34">
        <v>44835</v>
      </c>
      <c r="C321" s="34" t="s">
        <v>17</v>
      </c>
      <c r="D321" s="124" t="s">
        <v>29</v>
      </c>
      <c r="E321" s="123">
        <v>69</v>
      </c>
      <c r="F321" s="123"/>
      <c r="G321" s="123">
        <v>69</v>
      </c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</row>
    <row r="322" spans="1:25" s="106" customFormat="1" ht="13.8">
      <c r="A322" s="125"/>
      <c r="B322" s="34">
        <v>44835</v>
      </c>
      <c r="C322" s="34" t="s">
        <v>17</v>
      </c>
      <c r="D322" s="124" t="s">
        <v>22</v>
      </c>
      <c r="E322" s="123">
        <v>217</v>
      </c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>
        <f>AI13</f>
        <v>217</v>
      </c>
      <c r="R322" s="123"/>
      <c r="S322" s="123"/>
      <c r="T322" s="123"/>
      <c r="U322" s="123"/>
      <c r="V322" s="123"/>
      <c r="W322" s="123"/>
      <c r="X322" s="123"/>
    </row>
    <row r="323" spans="1:25" s="106" customFormat="1" ht="13.8">
      <c r="A323" s="125">
        <v>5</v>
      </c>
      <c r="B323" s="34">
        <v>44837</v>
      </c>
      <c r="C323" s="34" t="s">
        <v>17</v>
      </c>
      <c r="D323" s="124" t="s">
        <v>31</v>
      </c>
      <c r="E323" s="123">
        <v>-1296</v>
      </c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>
        <v>1000</v>
      </c>
      <c r="W323" s="123"/>
      <c r="X323" s="123"/>
    </row>
    <row r="324" spans="1:25" s="106" customFormat="1" ht="13.8">
      <c r="A324" s="125"/>
      <c r="B324" s="34">
        <v>44837</v>
      </c>
      <c r="C324" s="34" t="s">
        <v>17</v>
      </c>
      <c r="D324" s="124" t="s">
        <v>30</v>
      </c>
      <c r="E324" s="123">
        <v>7474</v>
      </c>
      <c r="F324" s="123"/>
      <c r="G324" s="123"/>
      <c r="H324" s="123"/>
      <c r="I324" s="123"/>
      <c r="J324" s="123"/>
      <c r="K324" s="123"/>
      <c r="L324" s="123"/>
      <c r="M324" s="123"/>
      <c r="N324" s="123">
        <v>7474</v>
      </c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</row>
    <row r="325" spans="1:25" s="106" customFormat="1" ht="13.8">
      <c r="A325" s="125"/>
      <c r="B325" s="34">
        <v>44837</v>
      </c>
      <c r="C325" s="34" t="s">
        <v>19</v>
      </c>
      <c r="D325" s="124" t="s">
        <v>131</v>
      </c>
      <c r="E325" s="123">
        <v>68.75</v>
      </c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>
        <v>68.75</v>
      </c>
      <c r="U325" s="123"/>
      <c r="V325" s="123"/>
      <c r="W325" s="123"/>
      <c r="X325" s="123"/>
    </row>
    <row r="326" spans="1:25" s="106" customFormat="1" ht="13.8">
      <c r="A326" s="125"/>
      <c r="B326" s="34">
        <v>44837</v>
      </c>
      <c r="C326" s="34" t="s">
        <v>19</v>
      </c>
      <c r="D326" s="124" t="s">
        <v>27</v>
      </c>
      <c r="E326" s="123">
        <v>608.75</v>
      </c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>
        <v>608.75</v>
      </c>
      <c r="R326" s="123"/>
      <c r="S326" s="123"/>
      <c r="T326" s="123"/>
      <c r="U326" s="123"/>
      <c r="V326" s="123"/>
      <c r="W326" s="123"/>
      <c r="X326" s="123"/>
    </row>
    <row r="327" spans="1:25" s="106" customFormat="1" ht="13.8">
      <c r="A327" s="125"/>
      <c r="B327" s="34">
        <v>44837</v>
      </c>
      <c r="C327" s="34" t="s">
        <v>19</v>
      </c>
      <c r="D327" s="124" t="s">
        <v>25</v>
      </c>
      <c r="E327" s="123">
        <v>375.98</v>
      </c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>
        <v>375.98</v>
      </c>
      <c r="Q327" s="123"/>
      <c r="R327" s="123"/>
      <c r="S327" s="123"/>
      <c r="T327" s="123"/>
      <c r="U327" s="123"/>
      <c r="V327" s="123"/>
      <c r="W327" s="123"/>
      <c r="X327" s="123"/>
    </row>
    <row r="328" spans="1:25" s="106" customFormat="1" ht="13.8">
      <c r="A328" s="125"/>
      <c r="B328" s="34">
        <v>44837</v>
      </c>
      <c r="C328" s="34" t="s">
        <v>17</v>
      </c>
      <c r="D328" s="124" t="s">
        <v>28</v>
      </c>
      <c r="E328" s="123">
        <v>200</v>
      </c>
      <c r="F328" s="123">
        <v>200</v>
      </c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</row>
    <row r="329" spans="1:25" s="106" customFormat="1" ht="13.8">
      <c r="A329" s="125"/>
      <c r="B329" s="34">
        <v>44837</v>
      </c>
      <c r="C329" s="34" t="s">
        <v>17</v>
      </c>
      <c r="D329" s="124" t="s">
        <v>21</v>
      </c>
      <c r="E329" s="123">
        <v>426</v>
      </c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>
        <f>AH13</f>
        <v>426</v>
      </c>
      <c r="R329" s="123"/>
      <c r="S329" s="123"/>
      <c r="T329" s="123"/>
      <c r="U329" s="123"/>
      <c r="V329" s="123"/>
      <c r="W329" s="123"/>
      <c r="X329" s="123"/>
    </row>
    <row r="330" spans="1:25" s="106" customFormat="1" ht="13.8">
      <c r="A330" s="125"/>
      <c r="B330" s="34"/>
      <c r="C330" s="34"/>
      <c r="D330" s="124" t="s">
        <v>23</v>
      </c>
      <c r="E330" s="123">
        <v>-67</v>
      </c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>
        <v>-67</v>
      </c>
      <c r="S330" s="123"/>
      <c r="T330" s="123"/>
      <c r="U330" s="123"/>
      <c r="V330" s="123"/>
      <c r="W330" s="123"/>
      <c r="X330" s="123"/>
    </row>
    <row r="331" spans="1:25" s="106" customFormat="1" ht="13.8">
      <c r="A331" s="125"/>
      <c r="B331" s="34">
        <v>44838</v>
      </c>
      <c r="C331" s="34"/>
      <c r="D331" s="124" t="s">
        <v>130</v>
      </c>
      <c r="E331" s="123">
        <v>981.25</v>
      </c>
      <c r="F331" s="123"/>
      <c r="G331" s="123">
        <v>981.25</v>
      </c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</row>
    <row r="332" spans="1:25" s="106" customFormat="1" ht="13.8">
      <c r="A332" s="125"/>
      <c r="B332" s="34">
        <v>44839</v>
      </c>
      <c r="C332" s="34" t="s">
        <v>19</v>
      </c>
      <c r="D332" s="124" t="s">
        <v>20</v>
      </c>
      <c r="E332" s="123">
        <v>202.43</v>
      </c>
      <c r="F332" s="123">
        <v>202.43</v>
      </c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</row>
    <row r="333" spans="1:25" s="106" customFormat="1" ht="13.8">
      <c r="A333" s="125"/>
      <c r="B333" s="34">
        <v>44839</v>
      </c>
      <c r="C333" s="34" t="s">
        <v>19</v>
      </c>
      <c r="D333" s="124" t="s">
        <v>26</v>
      </c>
      <c r="E333" s="123">
        <v>8180.31</v>
      </c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>
        <v>8180.31</v>
      </c>
      <c r="X333" s="123"/>
    </row>
    <row r="334" spans="1:25" s="106" customFormat="1" ht="13.8">
      <c r="A334" s="125"/>
      <c r="B334" s="34">
        <v>44840</v>
      </c>
      <c r="C334" s="34" t="s">
        <v>19</v>
      </c>
      <c r="D334" s="124" t="s">
        <v>18</v>
      </c>
      <c r="E334" s="123">
        <v>296.13</v>
      </c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>
        <v>296.13</v>
      </c>
      <c r="Q334" s="123"/>
      <c r="R334" s="123"/>
      <c r="S334" s="123"/>
      <c r="T334" s="123"/>
      <c r="U334" s="123"/>
      <c r="V334" s="123"/>
      <c r="W334" s="123"/>
      <c r="X334" s="123"/>
    </row>
    <row r="335" spans="1:25" s="106" customFormat="1" ht="13.8">
      <c r="A335" s="125"/>
      <c r="B335" s="34"/>
      <c r="C335" s="34"/>
      <c r="D335" s="124" t="s">
        <v>42</v>
      </c>
      <c r="E335" s="123">
        <f t="shared" ref="E335:E340" si="17">SUM(F335:X335)</f>
        <v>885</v>
      </c>
      <c r="F335" s="123"/>
      <c r="G335" s="123"/>
      <c r="H335" s="123">
        <v>600</v>
      </c>
      <c r="I335" s="123"/>
      <c r="J335" s="123"/>
      <c r="K335" s="123">
        <v>180</v>
      </c>
      <c r="L335" s="123"/>
      <c r="M335" s="123">
        <v>105</v>
      </c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2"/>
    </row>
    <row r="336" spans="1:25" s="106" customFormat="1" ht="13.8">
      <c r="A336" s="125"/>
      <c r="B336" s="34"/>
      <c r="C336" s="34"/>
      <c r="D336" s="124" t="s">
        <v>41</v>
      </c>
      <c r="E336" s="123">
        <f t="shared" si="17"/>
        <v>127</v>
      </c>
      <c r="F336" s="123"/>
      <c r="G336" s="123">
        <v>59</v>
      </c>
      <c r="H336" s="123">
        <v>68</v>
      </c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2"/>
    </row>
    <row r="337" spans="1:50" s="106" customFormat="1" ht="13.8">
      <c r="A337" s="125"/>
      <c r="B337" s="34"/>
      <c r="C337" s="34"/>
      <c r="D337" s="124" t="s">
        <v>40</v>
      </c>
      <c r="E337" s="123">
        <f t="shared" si="17"/>
        <v>262</v>
      </c>
      <c r="F337" s="123"/>
      <c r="G337" s="123"/>
      <c r="H337" s="123">
        <v>142</v>
      </c>
      <c r="I337" s="123"/>
      <c r="J337" s="123"/>
      <c r="K337" s="123">
        <v>120</v>
      </c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2"/>
    </row>
    <row r="338" spans="1:50" s="106" customFormat="1" ht="13.8">
      <c r="A338" s="125"/>
      <c r="B338" s="34"/>
      <c r="C338" s="34"/>
      <c r="D338" s="124" t="s">
        <v>39</v>
      </c>
      <c r="E338" s="123">
        <f t="shared" si="17"/>
        <v>340</v>
      </c>
      <c r="F338" s="123"/>
      <c r="G338" s="123"/>
      <c r="H338" s="123">
        <v>340</v>
      </c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2"/>
    </row>
    <row r="339" spans="1:50" s="106" customFormat="1" ht="13.8">
      <c r="A339" s="125"/>
      <c r="B339" s="34"/>
      <c r="C339" s="34"/>
      <c r="D339" s="124" t="s">
        <v>38</v>
      </c>
      <c r="E339" s="123">
        <f t="shared" si="17"/>
        <v>444</v>
      </c>
      <c r="F339" s="123"/>
      <c r="G339" s="123"/>
      <c r="H339" s="123">
        <v>204</v>
      </c>
      <c r="I339" s="123"/>
      <c r="J339" s="123"/>
      <c r="K339" s="123">
        <v>240</v>
      </c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2"/>
    </row>
    <row r="340" spans="1:50" s="106" customFormat="1" ht="13.8">
      <c r="A340" s="125"/>
      <c r="B340" s="34"/>
      <c r="C340" s="34"/>
      <c r="D340" s="124" t="s">
        <v>37</v>
      </c>
      <c r="E340" s="123">
        <f t="shared" si="17"/>
        <v>299</v>
      </c>
      <c r="F340" s="123"/>
      <c r="G340" s="123">
        <v>299</v>
      </c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2"/>
    </row>
    <row r="341" spans="1:50" s="120" customFormat="1" ht="12" customHeight="1">
      <c r="A341" s="60"/>
      <c r="B341" s="2930" t="str">
        <f>M7</f>
        <v>Oktober</v>
      </c>
      <c r="C341" s="2931"/>
      <c r="D341" s="2934" t="s">
        <v>36</v>
      </c>
      <c r="E341" s="2936"/>
      <c r="F341" s="2936"/>
      <c r="G341" s="2936"/>
      <c r="H341" s="2936"/>
      <c r="I341" s="2936"/>
      <c r="J341" s="2936"/>
      <c r="K341" s="2936"/>
      <c r="L341" s="2936"/>
      <c r="M341" s="2936"/>
      <c r="N341" s="2936"/>
      <c r="O341" s="2936"/>
      <c r="P341" s="2936"/>
      <c r="Q341" s="2936"/>
      <c r="R341" s="2936"/>
      <c r="S341" s="2936"/>
      <c r="T341" s="2936"/>
      <c r="U341" s="2936"/>
      <c r="V341" s="2936"/>
      <c r="W341" s="2936"/>
      <c r="X341" s="2936"/>
      <c r="Y341" s="122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</row>
    <row r="342" spans="1:50" s="120" customFormat="1" ht="12" customHeight="1">
      <c r="A342" s="60"/>
      <c r="B342" s="2932"/>
      <c r="C342" s="2933"/>
      <c r="D342" s="2935"/>
      <c r="E342" s="2937"/>
      <c r="F342" s="2937"/>
      <c r="G342" s="2937"/>
      <c r="H342" s="2937"/>
      <c r="I342" s="2937"/>
      <c r="J342" s="2937"/>
      <c r="K342" s="2937"/>
      <c r="L342" s="2937"/>
      <c r="M342" s="2937"/>
      <c r="N342" s="2937"/>
      <c r="O342" s="2937"/>
      <c r="P342" s="2937"/>
      <c r="Q342" s="2937"/>
      <c r="R342" s="2937"/>
      <c r="S342" s="2937"/>
      <c r="T342" s="2937"/>
      <c r="U342" s="2937"/>
      <c r="V342" s="2937"/>
      <c r="W342" s="2937"/>
      <c r="X342" s="2937"/>
      <c r="Y342" s="72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6"/>
      <c r="AK342" s="106"/>
      <c r="AL342" s="106"/>
      <c r="AM342" s="106"/>
      <c r="AN342" s="105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</row>
    <row r="343" spans="1:50" s="126" customFormat="1" ht="13.5" customHeight="1">
      <c r="A343" s="39"/>
      <c r="B343" s="38" t="str">
        <f>N7</f>
        <v>November</v>
      </c>
      <c r="C343" s="37">
        <v>44866</v>
      </c>
      <c r="D343" s="128"/>
      <c r="E343" s="127">
        <f t="shared" ref="E343:W343" si="18">SUM(E344:E369)</f>
        <v>-459.46000000000095</v>
      </c>
      <c r="F343" s="127">
        <f t="shared" si="18"/>
        <v>-20133.87</v>
      </c>
      <c r="G343" s="127">
        <f t="shared" si="18"/>
        <v>1178</v>
      </c>
      <c r="H343" s="127">
        <f t="shared" si="18"/>
        <v>3269</v>
      </c>
      <c r="I343" s="127">
        <f t="shared" si="18"/>
        <v>627.54999999999995</v>
      </c>
      <c r="J343" s="127">
        <f t="shared" si="18"/>
        <v>9.1999999999999993</v>
      </c>
      <c r="K343" s="127">
        <f t="shared" si="18"/>
        <v>608</v>
      </c>
      <c r="L343" s="127">
        <f t="shared" si="18"/>
        <v>0</v>
      </c>
      <c r="M343" s="127">
        <f t="shared" si="18"/>
        <v>328</v>
      </c>
      <c r="N343" s="127">
        <f t="shared" si="18"/>
        <v>7474</v>
      </c>
      <c r="O343" s="127">
        <f t="shared" si="18"/>
        <v>2910</v>
      </c>
      <c r="P343" s="127">
        <f t="shared" si="18"/>
        <v>791.66000000000008</v>
      </c>
      <c r="Q343" s="127">
        <f t="shared" si="18"/>
        <v>1251.75</v>
      </c>
      <c r="R343" s="127">
        <f t="shared" si="18"/>
        <v>190</v>
      </c>
      <c r="S343" s="127">
        <f t="shared" si="18"/>
        <v>798</v>
      </c>
      <c r="T343" s="127">
        <f t="shared" si="18"/>
        <v>0</v>
      </c>
      <c r="U343" s="127">
        <f t="shared" si="18"/>
        <v>339</v>
      </c>
      <c r="V343" s="127">
        <f t="shared" si="18"/>
        <v>0</v>
      </c>
      <c r="W343" s="127">
        <f t="shared" si="18"/>
        <v>-100</v>
      </c>
      <c r="X343" s="127" t="e">
        <f>#REF!</f>
        <v>#REF!</v>
      </c>
      <c r="Y343" s="46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6"/>
      <c r="AK343" s="106"/>
      <c r="AL343" s="106"/>
      <c r="AM343" s="106"/>
      <c r="AN343" s="102"/>
      <c r="AO343" s="108"/>
      <c r="AP343" s="108"/>
      <c r="AQ343" s="108"/>
      <c r="AR343" s="108"/>
      <c r="AS343" s="108"/>
      <c r="AT343" s="108"/>
      <c r="AU343" s="108"/>
      <c r="AV343" s="108"/>
    </row>
    <row r="344" spans="1:50" s="106" customFormat="1" ht="13.8">
      <c r="A344" s="125"/>
      <c r="B344" s="34">
        <v>44865</v>
      </c>
      <c r="C344" s="34" t="s">
        <v>17</v>
      </c>
      <c r="D344" s="124" t="s">
        <v>35</v>
      </c>
      <c r="E344" s="123">
        <v>-11078</v>
      </c>
      <c r="F344" s="123">
        <v>-11078</v>
      </c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</row>
    <row r="345" spans="1:50" s="106" customFormat="1" ht="13.8">
      <c r="A345" s="125"/>
      <c r="B345" s="34">
        <v>44865</v>
      </c>
      <c r="C345" s="34" t="s">
        <v>17</v>
      </c>
      <c r="D345" s="124" t="s">
        <v>34</v>
      </c>
      <c r="E345" s="123">
        <v>-7943</v>
      </c>
      <c r="F345" s="123">
        <v>-7943</v>
      </c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</row>
    <row r="346" spans="1:50" s="106" customFormat="1" ht="13.8">
      <c r="A346" s="125"/>
      <c r="B346" s="34">
        <v>44865</v>
      </c>
      <c r="C346" s="34" t="s">
        <v>17</v>
      </c>
      <c r="D346" s="124" t="s">
        <v>33</v>
      </c>
      <c r="E346" s="123">
        <v>-213</v>
      </c>
      <c r="F346" s="123">
        <v>-213</v>
      </c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</row>
    <row r="347" spans="1:50" s="106" customFormat="1" ht="13.8">
      <c r="A347" s="125"/>
      <c r="B347" s="34">
        <v>44865</v>
      </c>
      <c r="C347" s="34" t="s">
        <v>17</v>
      </c>
      <c r="D347" s="124" t="s">
        <v>32</v>
      </c>
      <c r="E347" s="123">
        <v>339</v>
      </c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>
        <v>339</v>
      </c>
      <c r="V347" s="123"/>
      <c r="W347" s="123"/>
      <c r="X347" s="123"/>
    </row>
    <row r="348" spans="1:50" s="106" customFormat="1" ht="13.8">
      <c r="A348" s="125">
        <v>5</v>
      </c>
      <c r="B348" s="34">
        <v>44866</v>
      </c>
      <c r="C348" s="34" t="s">
        <v>17</v>
      </c>
      <c r="D348" s="124" t="s">
        <v>31</v>
      </c>
      <c r="E348" s="123">
        <v>-1296</v>
      </c>
      <c r="F348" s="123">
        <v>-1296</v>
      </c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</row>
    <row r="349" spans="1:50" s="106" customFormat="1" ht="13.8">
      <c r="A349" s="125"/>
      <c r="B349" s="34">
        <v>44866</v>
      </c>
      <c r="C349" s="34" t="s">
        <v>17</v>
      </c>
      <c r="D349" s="124" t="s">
        <v>27</v>
      </c>
      <c r="E349" s="123">
        <v>608.75</v>
      </c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>
        <v>608.75</v>
      </c>
      <c r="R349" s="123"/>
      <c r="S349" s="123"/>
      <c r="T349" s="123"/>
      <c r="U349" s="123"/>
      <c r="V349" s="123"/>
      <c r="W349" s="123"/>
      <c r="X349" s="123"/>
    </row>
    <row r="350" spans="1:50" s="106" customFormat="1" ht="13.8">
      <c r="A350" s="125"/>
      <c r="B350" s="34">
        <v>44866</v>
      </c>
      <c r="C350" s="34" t="s">
        <v>17</v>
      </c>
      <c r="D350" s="124" t="s">
        <v>26</v>
      </c>
      <c r="E350" s="123">
        <v>-100</v>
      </c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>
        <v>-100</v>
      </c>
      <c r="X350" s="123"/>
    </row>
    <row r="351" spans="1:50" s="106" customFormat="1" ht="13.8">
      <c r="A351" s="125"/>
      <c r="B351" s="34">
        <v>44866</v>
      </c>
      <c r="C351" s="34" t="s">
        <v>19</v>
      </c>
      <c r="D351" s="124" t="s">
        <v>25</v>
      </c>
      <c r="E351" s="123">
        <v>506.75</v>
      </c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>
        <v>506.75</v>
      </c>
      <c r="Q351" s="123"/>
      <c r="R351" s="123"/>
      <c r="S351" s="123"/>
      <c r="T351" s="123"/>
      <c r="U351" s="123"/>
      <c r="V351" s="123"/>
      <c r="W351" s="123"/>
      <c r="X351" s="123"/>
    </row>
    <row r="352" spans="1:50" s="106" customFormat="1" ht="13.8">
      <c r="A352" s="125"/>
      <c r="B352" s="34">
        <v>44866</v>
      </c>
      <c r="C352" s="34" t="s">
        <v>19</v>
      </c>
      <c r="D352" s="124" t="s">
        <v>30</v>
      </c>
      <c r="E352" s="123">
        <v>7474</v>
      </c>
      <c r="F352" s="123"/>
      <c r="G352" s="123"/>
      <c r="H352" s="123"/>
      <c r="I352" s="123"/>
      <c r="J352" s="123"/>
      <c r="K352" s="123"/>
      <c r="L352" s="123"/>
      <c r="M352" s="123"/>
      <c r="N352" s="123">
        <v>7474</v>
      </c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</row>
    <row r="353" spans="1:24" s="106" customFormat="1" ht="13.8">
      <c r="A353" s="125"/>
      <c r="B353" s="34">
        <v>44866</v>
      </c>
      <c r="C353" s="34" t="s">
        <v>17</v>
      </c>
      <c r="D353" s="124" t="s">
        <v>28</v>
      </c>
      <c r="E353" s="123">
        <v>200</v>
      </c>
      <c r="F353" s="123">
        <v>200</v>
      </c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</row>
    <row r="354" spans="1:24" s="106" customFormat="1" ht="13.8">
      <c r="A354" s="125"/>
      <c r="B354" s="34">
        <v>44866</v>
      </c>
      <c r="C354" s="34"/>
      <c r="D354" s="124" t="s">
        <v>124</v>
      </c>
      <c r="E354" s="123">
        <v>637</v>
      </c>
      <c r="F354" s="123"/>
      <c r="G354" s="123"/>
      <c r="H354" s="123"/>
      <c r="I354" s="123">
        <f>349+218.55+60</f>
        <v>627.54999999999995</v>
      </c>
      <c r="J354" s="123">
        <f>4.4+4.8</f>
        <v>9.1999999999999993</v>
      </c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</row>
    <row r="355" spans="1:24" s="106" customFormat="1" ht="13.8">
      <c r="A355" s="125"/>
      <c r="B355" s="34">
        <v>44866</v>
      </c>
      <c r="C355" s="34" t="s">
        <v>17</v>
      </c>
      <c r="D355" s="124" t="s">
        <v>22</v>
      </c>
      <c r="E355" s="123">
        <v>217</v>
      </c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>
        <v>217</v>
      </c>
      <c r="R355" s="123"/>
      <c r="S355" s="123"/>
      <c r="T355" s="123"/>
      <c r="U355" s="123"/>
      <c r="V355" s="123"/>
      <c r="W355" s="123"/>
      <c r="X355" s="123"/>
    </row>
    <row r="356" spans="1:24" s="106" customFormat="1" ht="13.8">
      <c r="A356" s="125"/>
      <c r="B356" s="34">
        <v>44866</v>
      </c>
      <c r="C356" s="34" t="s">
        <v>17</v>
      </c>
      <c r="D356" s="124" t="s">
        <v>29</v>
      </c>
      <c r="E356" s="123">
        <v>69</v>
      </c>
      <c r="F356" s="123"/>
      <c r="G356" s="123">
        <v>69</v>
      </c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</row>
    <row r="357" spans="1:24" s="106" customFormat="1" ht="13.8">
      <c r="A357" s="125"/>
      <c r="B357" s="34">
        <v>44868</v>
      </c>
      <c r="C357" s="34" t="s">
        <v>17</v>
      </c>
      <c r="D357" s="124" t="s">
        <v>21</v>
      </c>
      <c r="E357" s="123">
        <v>426</v>
      </c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>
        <v>426</v>
      </c>
      <c r="R357" s="123"/>
      <c r="S357" s="123"/>
      <c r="T357" s="123"/>
      <c r="U357" s="123"/>
      <c r="V357" s="123"/>
      <c r="W357" s="123"/>
      <c r="X357" s="123"/>
    </row>
    <row r="358" spans="1:24" s="106" customFormat="1" ht="13.8">
      <c r="A358" s="125"/>
      <c r="B358" s="34">
        <v>44868</v>
      </c>
      <c r="C358" s="34" t="s">
        <v>129</v>
      </c>
      <c r="D358" s="124" t="s">
        <v>128</v>
      </c>
      <c r="E358" s="123">
        <v>150</v>
      </c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>
        <f>150</f>
        <v>150</v>
      </c>
      <c r="S358" s="123"/>
      <c r="T358" s="123"/>
      <c r="U358" s="123"/>
      <c r="V358" s="123"/>
      <c r="W358" s="123"/>
      <c r="X358" s="123"/>
    </row>
    <row r="359" spans="1:24" s="106" customFormat="1" ht="13.8">
      <c r="A359" s="125"/>
      <c r="B359" s="34">
        <v>44870</v>
      </c>
      <c r="C359" s="34"/>
      <c r="D359" s="124" t="s">
        <v>127</v>
      </c>
      <c r="E359" s="123">
        <v>200</v>
      </c>
      <c r="F359" s="123"/>
      <c r="G359" s="123">
        <v>200</v>
      </c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</row>
    <row r="360" spans="1:24" s="123" customFormat="1" ht="13.8">
      <c r="B360" s="34">
        <v>44872</v>
      </c>
      <c r="C360" s="123" t="s">
        <v>19</v>
      </c>
      <c r="D360" s="130" t="s">
        <v>18</v>
      </c>
      <c r="E360" s="123">
        <v>284.91000000000003</v>
      </c>
      <c r="P360" s="123">
        <v>284.91000000000003</v>
      </c>
    </row>
    <row r="361" spans="1:24" s="123" customFormat="1" ht="13.8">
      <c r="B361" s="34">
        <v>44872</v>
      </c>
      <c r="C361" s="123" t="s">
        <v>19</v>
      </c>
      <c r="D361" s="130" t="s">
        <v>20</v>
      </c>
      <c r="E361" s="123">
        <v>196.13</v>
      </c>
      <c r="F361" s="123">
        <v>196.13</v>
      </c>
    </row>
    <row r="362" spans="1:24" s="129" customFormat="1" ht="13.8">
      <c r="B362" s="34">
        <v>44878</v>
      </c>
      <c r="C362" s="123"/>
      <c r="D362" s="130" t="s">
        <v>126</v>
      </c>
      <c r="E362" s="123">
        <v>40</v>
      </c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>
        <v>40</v>
      </c>
      <c r="S362" s="123"/>
      <c r="T362" s="123"/>
      <c r="U362" s="123"/>
      <c r="V362" s="123"/>
      <c r="W362" s="123"/>
      <c r="X362" s="123"/>
    </row>
    <row r="363" spans="1:24" s="106" customFormat="1" ht="13.8">
      <c r="A363" s="125"/>
      <c r="B363" s="34"/>
      <c r="C363" s="34"/>
      <c r="D363" s="124" t="s">
        <v>42</v>
      </c>
      <c r="E363" s="123">
        <v>1173</v>
      </c>
      <c r="F363" s="123"/>
      <c r="G363" s="123"/>
      <c r="H363" s="123">
        <v>978</v>
      </c>
      <c r="I363" s="123"/>
      <c r="J363" s="123"/>
      <c r="K363" s="123"/>
      <c r="L363" s="123"/>
      <c r="M363" s="123">
        <v>195</v>
      </c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</row>
    <row r="364" spans="1:24" s="106" customFormat="1" ht="13.8">
      <c r="A364" s="125"/>
      <c r="B364" s="34"/>
      <c r="C364" s="34"/>
      <c r="D364" s="124" t="s">
        <v>41</v>
      </c>
      <c r="E364" s="123">
        <v>271</v>
      </c>
      <c r="F364" s="123"/>
      <c r="G364" s="123"/>
      <c r="H364" s="123">
        <v>149</v>
      </c>
      <c r="I364" s="123"/>
      <c r="J364" s="123"/>
      <c r="K364" s="123">
        <v>122</v>
      </c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</row>
    <row r="365" spans="1:24" s="106" customFormat="1" ht="13.8">
      <c r="A365" s="125"/>
      <c r="B365" s="34"/>
      <c r="C365" s="34"/>
      <c r="D365" s="124" t="s">
        <v>40</v>
      </c>
      <c r="E365" s="123">
        <v>1331</v>
      </c>
      <c r="F365" s="123"/>
      <c r="G365" s="123"/>
      <c r="H365" s="123">
        <v>821</v>
      </c>
      <c r="I365" s="123"/>
      <c r="J365" s="123"/>
      <c r="K365" s="123">
        <v>486</v>
      </c>
      <c r="L365" s="123"/>
      <c r="M365" s="123">
        <v>24</v>
      </c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</row>
    <row r="366" spans="1:24" s="106" customFormat="1" ht="13.8">
      <c r="A366" s="125"/>
      <c r="B366" s="34"/>
      <c r="C366" s="34"/>
      <c r="D366" s="124" t="s">
        <v>39</v>
      </c>
      <c r="E366" s="123">
        <v>304</v>
      </c>
      <c r="F366" s="123"/>
      <c r="G366" s="123">
        <v>55</v>
      </c>
      <c r="H366" s="123">
        <v>249</v>
      </c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</row>
    <row r="367" spans="1:24" s="106" customFormat="1" ht="13.8">
      <c r="A367" s="125">
        <f>216+63</f>
        <v>279</v>
      </c>
      <c r="B367" s="34"/>
      <c r="C367" s="34"/>
      <c r="D367" s="124" t="s">
        <v>38</v>
      </c>
      <c r="E367" s="123">
        <v>801</v>
      </c>
      <c r="F367" s="123"/>
      <c r="G367" s="123">
        <v>140</v>
      </c>
      <c r="H367" s="123">
        <v>612</v>
      </c>
      <c r="I367" s="123"/>
      <c r="J367" s="123"/>
      <c r="K367" s="123"/>
      <c r="L367" s="123"/>
      <c r="M367" s="123">
        <v>49</v>
      </c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</row>
    <row r="368" spans="1:24" s="106" customFormat="1" ht="13.8">
      <c r="A368" s="125"/>
      <c r="B368" s="34"/>
      <c r="C368" s="34"/>
      <c r="D368" s="124" t="s">
        <v>123</v>
      </c>
      <c r="E368" s="123">
        <v>420</v>
      </c>
      <c r="F368" s="123"/>
      <c r="G368" s="123"/>
      <c r="H368" s="123">
        <v>360</v>
      </c>
      <c r="I368" s="123"/>
      <c r="J368" s="123"/>
      <c r="K368" s="123"/>
      <c r="L368" s="123"/>
      <c r="M368" s="123">
        <v>60</v>
      </c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</row>
    <row r="369" spans="1:50" s="106" customFormat="1" ht="13.8">
      <c r="A369" s="125"/>
      <c r="B369" s="34"/>
      <c r="C369" s="34"/>
      <c r="D369" s="124" t="s">
        <v>37</v>
      </c>
      <c r="E369" s="123">
        <v>4522</v>
      </c>
      <c r="F369" s="123"/>
      <c r="G369" s="123">
        <v>714</v>
      </c>
      <c r="H369" s="123">
        <v>100</v>
      </c>
      <c r="I369" s="123"/>
      <c r="J369" s="123"/>
      <c r="K369" s="123"/>
      <c r="L369" s="123"/>
      <c r="M369" s="123"/>
      <c r="N369" s="123"/>
      <c r="O369" s="123">
        <v>2910</v>
      </c>
      <c r="P369" s="123"/>
      <c r="Q369" s="123"/>
      <c r="R369" s="123"/>
      <c r="S369" s="123">
        <v>798</v>
      </c>
      <c r="T369" s="123"/>
      <c r="U369" s="123"/>
      <c r="V369" s="123"/>
      <c r="W369" s="123"/>
      <c r="X369" s="123"/>
    </row>
    <row r="370" spans="1:50" s="120" customFormat="1" ht="12" customHeight="1">
      <c r="A370" s="60"/>
      <c r="B370" s="2930" t="str">
        <f>N7</f>
        <v>November</v>
      </c>
      <c r="C370" s="2931"/>
      <c r="D370" s="2934" t="s">
        <v>36</v>
      </c>
      <c r="E370" s="2936">
        <f>E372</f>
        <v>0</v>
      </c>
      <c r="F370" s="2936">
        <f t="shared" ref="F370:O370" si="19">SUM(F371:F371)</f>
        <v>0</v>
      </c>
      <c r="G370" s="2936">
        <f t="shared" si="19"/>
        <v>0</v>
      </c>
      <c r="H370" s="2936">
        <f t="shared" si="19"/>
        <v>0</v>
      </c>
      <c r="I370" s="2936">
        <f t="shared" si="19"/>
        <v>0</v>
      </c>
      <c r="J370" s="2936">
        <f t="shared" si="19"/>
        <v>0</v>
      </c>
      <c r="K370" s="2936">
        <f t="shared" si="19"/>
        <v>0</v>
      </c>
      <c r="L370" s="2936">
        <f t="shared" si="19"/>
        <v>0</v>
      </c>
      <c r="M370" s="2936">
        <f t="shared" si="19"/>
        <v>0</v>
      </c>
      <c r="N370" s="2936">
        <f t="shared" si="19"/>
        <v>0</v>
      </c>
      <c r="O370" s="2936">
        <f t="shared" si="19"/>
        <v>0</v>
      </c>
      <c r="P370" s="2936">
        <f>P372</f>
        <v>0</v>
      </c>
      <c r="Q370" s="2936">
        <f t="shared" ref="Q370:X370" si="20">SUM(Q371:Q371)</f>
        <v>0</v>
      </c>
      <c r="R370" s="2936">
        <f t="shared" si="20"/>
        <v>0</v>
      </c>
      <c r="S370" s="2936">
        <f t="shared" si="20"/>
        <v>0</v>
      </c>
      <c r="T370" s="2936">
        <f t="shared" si="20"/>
        <v>0</v>
      </c>
      <c r="U370" s="2936">
        <f t="shared" si="20"/>
        <v>0</v>
      </c>
      <c r="V370" s="2936">
        <f t="shared" si="20"/>
        <v>0</v>
      </c>
      <c r="W370" s="2936">
        <f t="shared" si="20"/>
        <v>0</v>
      </c>
      <c r="X370" s="2936">
        <f t="shared" si="20"/>
        <v>0</v>
      </c>
      <c r="Y370" s="122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</row>
    <row r="371" spans="1:50" s="120" customFormat="1" ht="12" customHeight="1">
      <c r="A371" s="60"/>
      <c r="B371" s="2932"/>
      <c r="C371" s="2933"/>
      <c r="D371" s="2935"/>
      <c r="E371" s="2937"/>
      <c r="F371" s="2937"/>
      <c r="G371" s="2937"/>
      <c r="H371" s="2937"/>
      <c r="I371" s="2937"/>
      <c r="J371" s="2937"/>
      <c r="K371" s="2937"/>
      <c r="L371" s="2937"/>
      <c r="M371" s="2937"/>
      <c r="N371" s="2937"/>
      <c r="O371" s="2937"/>
      <c r="P371" s="2937"/>
      <c r="Q371" s="2937"/>
      <c r="R371" s="2937"/>
      <c r="S371" s="2937"/>
      <c r="T371" s="2937"/>
      <c r="U371" s="2937"/>
      <c r="V371" s="2937"/>
      <c r="W371" s="2937"/>
      <c r="X371" s="2937"/>
      <c r="Y371" s="72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6"/>
      <c r="AK371" s="106"/>
      <c r="AL371" s="106"/>
      <c r="AM371" s="106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</row>
    <row r="372" spans="1:50" s="106" customFormat="1" ht="13.8">
      <c r="A372" s="125"/>
      <c r="B372" s="34"/>
      <c r="C372" s="34"/>
      <c r="D372" s="124"/>
      <c r="E372" s="123">
        <f>SUM(F372:X372)</f>
        <v>0</v>
      </c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</row>
    <row r="373" spans="1:50" s="120" customFormat="1" ht="12" customHeight="1">
      <c r="A373" s="60"/>
      <c r="B373" s="28"/>
      <c r="C373" s="2953"/>
      <c r="D373" s="2954"/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72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6"/>
      <c r="AK373" s="106"/>
      <c r="AL373" s="106"/>
      <c r="AM373" s="106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</row>
    <row r="374" spans="1:50" s="126" customFormat="1" ht="13.5" customHeight="1">
      <c r="A374" s="39"/>
      <c r="B374" s="38" t="str">
        <f>O7</f>
        <v>December</v>
      </c>
      <c r="C374" s="37">
        <v>44896</v>
      </c>
      <c r="D374" s="128"/>
      <c r="E374" s="127">
        <f t="shared" ref="E374:X374" si="21">SUM(E375:E406)</f>
        <v>-632.61999999999966</v>
      </c>
      <c r="F374" s="127">
        <f t="shared" si="21"/>
        <v>-18878</v>
      </c>
      <c r="G374" s="127">
        <f t="shared" si="21"/>
        <v>-1144.5</v>
      </c>
      <c r="H374" s="127">
        <f t="shared" si="21"/>
        <v>2378.52</v>
      </c>
      <c r="I374" s="127">
        <f t="shared" si="21"/>
        <v>53</v>
      </c>
      <c r="J374" s="127">
        <f t="shared" si="21"/>
        <v>33.65</v>
      </c>
      <c r="K374" s="127">
        <f t="shared" si="21"/>
        <v>610</v>
      </c>
      <c r="L374" s="127">
        <f t="shared" si="21"/>
        <v>0</v>
      </c>
      <c r="M374" s="127">
        <f t="shared" si="21"/>
        <v>112</v>
      </c>
      <c r="N374" s="127">
        <f t="shared" si="21"/>
        <v>7474</v>
      </c>
      <c r="O374" s="127">
        <f t="shared" si="21"/>
        <v>3007</v>
      </c>
      <c r="P374" s="127">
        <f t="shared" si="21"/>
        <v>2193.3000000000002</v>
      </c>
      <c r="Q374" s="127">
        <f t="shared" si="21"/>
        <v>1340.41</v>
      </c>
      <c r="R374" s="127">
        <f t="shared" si="21"/>
        <v>145</v>
      </c>
      <c r="S374" s="127">
        <f t="shared" si="21"/>
        <v>3000</v>
      </c>
      <c r="T374" s="127">
        <f t="shared" si="21"/>
        <v>0</v>
      </c>
      <c r="U374" s="127">
        <f t="shared" si="21"/>
        <v>339</v>
      </c>
      <c r="V374" s="127">
        <f t="shared" si="21"/>
        <v>-1296</v>
      </c>
      <c r="W374" s="127">
        <f t="shared" si="21"/>
        <v>0</v>
      </c>
      <c r="X374" s="127">
        <f t="shared" si="21"/>
        <v>0</v>
      </c>
      <c r="Y374" s="46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6"/>
      <c r="AK374" s="106"/>
      <c r="AL374" s="106"/>
      <c r="AM374" s="106"/>
      <c r="AN374" s="102"/>
      <c r="AO374" s="108"/>
      <c r="AP374" s="108"/>
      <c r="AQ374" s="108"/>
      <c r="AR374" s="108"/>
      <c r="AS374" s="108"/>
      <c r="AT374" s="108"/>
      <c r="AU374" s="108"/>
      <c r="AV374" s="108"/>
    </row>
    <row r="375" spans="1:50" s="106" customFormat="1" ht="13.8">
      <c r="A375" s="125"/>
      <c r="B375" s="34">
        <v>44895</v>
      </c>
      <c r="C375" s="34" t="s">
        <v>17</v>
      </c>
      <c r="D375" s="124" t="s">
        <v>35</v>
      </c>
      <c r="E375" s="123">
        <f t="shared" ref="E375:E391" si="22">SUM(F375:X375)</f>
        <v>-11078</v>
      </c>
      <c r="F375" s="123">
        <f>$AF$14</f>
        <v>-11078</v>
      </c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</row>
    <row r="376" spans="1:50" s="106" customFormat="1" ht="13.8">
      <c r="A376" s="125"/>
      <c r="B376" s="34">
        <v>44895</v>
      </c>
      <c r="C376" s="34" t="s">
        <v>17</v>
      </c>
      <c r="D376" s="124" t="s">
        <v>34</v>
      </c>
      <c r="E376" s="123">
        <f t="shared" si="22"/>
        <v>-7943</v>
      </c>
      <c r="F376" s="123">
        <f>$AG$14</f>
        <v>-7943</v>
      </c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</row>
    <row r="377" spans="1:50" s="106" customFormat="1" ht="13.8">
      <c r="A377" s="125"/>
      <c r="B377" s="34">
        <v>44895</v>
      </c>
      <c r="C377" s="34" t="s">
        <v>17</v>
      </c>
      <c r="D377" s="124" t="s">
        <v>33</v>
      </c>
      <c r="E377" s="123">
        <f t="shared" si="22"/>
        <v>-213</v>
      </c>
      <c r="F377" s="123">
        <v>-213</v>
      </c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</row>
    <row r="378" spans="1:50" s="106" customFormat="1" ht="13.8">
      <c r="A378" s="125"/>
      <c r="B378" s="34">
        <v>44895</v>
      </c>
      <c r="C378" s="34" t="s">
        <v>17</v>
      </c>
      <c r="D378" s="124" t="s">
        <v>32</v>
      </c>
      <c r="E378" s="123">
        <f t="shared" si="22"/>
        <v>339</v>
      </c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>
        <f>$AQ$13</f>
        <v>339</v>
      </c>
      <c r="V378" s="123"/>
      <c r="W378" s="123"/>
      <c r="X378" s="123"/>
    </row>
    <row r="379" spans="1:50" s="106" customFormat="1" ht="13.8">
      <c r="A379" s="125"/>
      <c r="B379" s="34">
        <v>44895</v>
      </c>
      <c r="C379" s="34" t="s">
        <v>17</v>
      </c>
      <c r="D379" s="124" t="s">
        <v>29</v>
      </c>
      <c r="E379" s="123">
        <f t="shared" si="22"/>
        <v>69</v>
      </c>
      <c r="F379" s="123"/>
      <c r="G379" s="123">
        <f>$AS$13</f>
        <v>69</v>
      </c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</row>
    <row r="380" spans="1:50" s="106" customFormat="1" ht="13.8">
      <c r="A380" s="125"/>
      <c r="B380" s="34">
        <v>44895</v>
      </c>
      <c r="C380" s="34"/>
      <c r="D380" s="124" t="s">
        <v>9</v>
      </c>
      <c r="E380" s="123">
        <f t="shared" si="22"/>
        <v>500</v>
      </c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>
        <v>500</v>
      </c>
      <c r="T380" s="123"/>
      <c r="U380" s="123"/>
      <c r="V380" s="123"/>
      <c r="W380" s="123"/>
      <c r="X380" s="123"/>
    </row>
    <row r="381" spans="1:50" s="106" customFormat="1" ht="13.8">
      <c r="A381" s="125"/>
      <c r="B381" s="34">
        <v>44895</v>
      </c>
      <c r="C381" s="34"/>
      <c r="D381" s="124" t="s">
        <v>8</v>
      </c>
      <c r="E381" s="123">
        <f t="shared" si="22"/>
        <v>500</v>
      </c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>
        <v>500</v>
      </c>
      <c r="T381" s="123"/>
      <c r="U381" s="123"/>
      <c r="V381" s="123"/>
      <c r="W381" s="123"/>
      <c r="X381" s="123"/>
    </row>
    <row r="382" spans="1:50" s="106" customFormat="1" ht="13.8">
      <c r="A382" s="125"/>
      <c r="B382" s="34">
        <v>44895</v>
      </c>
      <c r="C382" s="34"/>
      <c r="D382" s="124" t="s">
        <v>12</v>
      </c>
      <c r="E382" s="123">
        <f t="shared" si="22"/>
        <v>500</v>
      </c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>
        <v>500</v>
      </c>
      <c r="T382" s="123"/>
      <c r="U382" s="123"/>
      <c r="V382" s="123"/>
      <c r="W382" s="123"/>
      <c r="X382" s="123"/>
    </row>
    <row r="383" spans="1:50" s="106" customFormat="1" ht="13.8">
      <c r="A383" s="125">
        <v>5</v>
      </c>
      <c r="B383" s="34">
        <v>44896</v>
      </c>
      <c r="C383" s="34" t="s">
        <v>17</v>
      </c>
      <c r="D383" s="124" t="s">
        <v>31</v>
      </c>
      <c r="E383" s="123">
        <f t="shared" si="22"/>
        <v>-1296</v>
      </c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>
        <f>$AA$13</f>
        <v>-1296</v>
      </c>
      <c r="W383" s="123"/>
      <c r="X383" s="123"/>
    </row>
    <row r="384" spans="1:50" s="106" customFormat="1" ht="13.8">
      <c r="A384" s="125"/>
      <c r="B384" s="34">
        <v>44896</v>
      </c>
      <c r="C384" s="34"/>
      <c r="D384" s="124" t="s">
        <v>28</v>
      </c>
      <c r="E384" s="123">
        <f t="shared" si="22"/>
        <v>200</v>
      </c>
      <c r="F384" s="123">
        <f>$AR$13</f>
        <v>200</v>
      </c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</row>
    <row r="385" spans="1:24" s="106" customFormat="1" ht="13.8">
      <c r="A385" s="125"/>
      <c r="B385" s="34">
        <v>44896</v>
      </c>
      <c r="C385" s="34" t="s">
        <v>17</v>
      </c>
      <c r="D385" s="124" t="s">
        <v>125</v>
      </c>
      <c r="E385" s="123">
        <f t="shared" si="22"/>
        <v>45</v>
      </c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>
        <v>45</v>
      </c>
      <c r="S385" s="123"/>
      <c r="T385" s="123"/>
      <c r="U385" s="123"/>
      <c r="V385" s="123"/>
      <c r="W385" s="123"/>
      <c r="X385" s="123"/>
    </row>
    <row r="386" spans="1:24" s="106" customFormat="1" ht="13.8">
      <c r="A386" s="125"/>
      <c r="B386" s="34">
        <v>44896</v>
      </c>
      <c r="C386" s="34"/>
      <c r="D386" s="124" t="s">
        <v>124</v>
      </c>
      <c r="E386" s="123">
        <f t="shared" si="22"/>
        <v>86.65</v>
      </c>
      <c r="F386" s="123"/>
      <c r="G386" s="123"/>
      <c r="H386" s="123"/>
      <c r="I386" s="123">
        <v>53</v>
      </c>
      <c r="J386" s="123">
        <v>33.65</v>
      </c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</row>
    <row r="387" spans="1:24" s="106" customFormat="1" ht="13.8">
      <c r="A387" s="125"/>
      <c r="B387" s="34">
        <v>44896</v>
      </c>
      <c r="C387" s="34" t="s">
        <v>19</v>
      </c>
      <c r="D387" s="124" t="s">
        <v>30</v>
      </c>
      <c r="E387" s="123">
        <f t="shared" si="22"/>
        <v>7474</v>
      </c>
      <c r="F387" s="123"/>
      <c r="G387" s="123"/>
      <c r="H387" s="123"/>
      <c r="I387" s="123"/>
      <c r="J387" s="123"/>
      <c r="K387" s="123"/>
      <c r="L387" s="123"/>
      <c r="M387" s="123"/>
      <c r="N387" s="123">
        <f>$Z$13</f>
        <v>7474</v>
      </c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</row>
    <row r="388" spans="1:24" s="106" customFormat="1" ht="13.8">
      <c r="A388" s="125"/>
      <c r="B388" s="34">
        <v>44896</v>
      </c>
      <c r="C388" s="34" t="s">
        <v>19</v>
      </c>
      <c r="D388" s="124" t="s">
        <v>27</v>
      </c>
      <c r="E388" s="123">
        <f t="shared" si="22"/>
        <v>608.75</v>
      </c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>
        <v>608.75</v>
      </c>
      <c r="R388" s="123"/>
      <c r="S388" s="123"/>
      <c r="T388" s="123"/>
      <c r="U388" s="123"/>
      <c r="V388" s="123"/>
      <c r="W388" s="123"/>
      <c r="X388" s="123"/>
    </row>
    <row r="389" spans="1:24" s="106" customFormat="1" ht="13.8">
      <c r="A389" s="125"/>
      <c r="B389" s="34">
        <v>44896</v>
      </c>
      <c r="C389" s="34" t="s">
        <v>19</v>
      </c>
      <c r="D389" s="124" t="s">
        <v>25</v>
      </c>
      <c r="E389" s="123">
        <f t="shared" si="22"/>
        <v>808.17</v>
      </c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>
        <v>808.17</v>
      </c>
      <c r="Q389" s="123"/>
      <c r="R389" s="123"/>
      <c r="S389" s="123"/>
      <c r="T389" s="123"/>
      <c r="U389" s="123"/>
      <c r="V389" s="123"/>
      <c r="W389" s="123"/>
      <c r="X389" s="123"/>
    </row>
    <row r="390" spans="1:24" s="106" customFormat="1" ht="13.8">
      <c r="A390" s="125"/>
      <c r="B390" s="34">
        <v>44896</v>
      </c>
      <c r="C390" s="34" t="s">
        <v>17</v>
      </c>
      <c r="D390" s="124" t="s">
        <v>22</v>
      </c>
      <c r="E390" s="123">
        <f t="shared" si="22"/>
        <v>217</v>
      </c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>
        <f>$AI$13</f>
        <v>217</v>
      </c>
      <c r="R390" s="123"/>
      <c r="S390" s="123"/>
      <c r="T390" s="123"/>
      <c r="U390" s="123"/>
      <c r="V390" s="123"/>
      <c r="W390" s="123"/>
      <c r="X390" s="123"/>
    </row>
    <row r="391" spans="1:24" s="106" customFormat="1" ht="13.8">
      <c r="A391" s="125"/>
      <c r="B391" s="34">
        <v>44898</v>
      </c>
      <c r="C391" s="34" t="s">
        <v>17</v>
      </c>
      <c r="D391" s="124" t="s">
        <v>21</v>
      </c>
      <c r="E391" s="123">
        <f t="shared" si="22"/>
        <v>426</v>
      </c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>
        <f>$AH$13</f>
        <v>426</v>
      </c>
      <c r="R391" s="123"/>
      <c r="S391" s="123"/>
      <c r="T391" s="123"/>
      <c r="U391" s="123"/>
      <c r="V391" s="123"/>
      <c r="W391" s="123"/>
      <c r="X391" s="123"/>
    </row>
    <row r="392" spans="1:24" s="106" customFormat="1" ht="13.8">
      <c r="A392" s="125"/>
      <c r="B392" s="34">
        <v>44901</v>
      </c>
      <c r="C392" s="34"/>
      <c r="D392" s="124" t="s">
        <v>20</v>
      </c>
      <c r="E392" s="123">
        <v>156</v>
      </c>
      <c r="F392" s="123">
        <v>156</v>
      </c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</row>
    <row r="393" spans="1:24" s="106" customFormat="1" ht="13.8">
      <c r="A393" s="125"/>
      <c r="B393" s="34">
        <v>44901</v>
      </c>
      <c r="C393" s="34"/>
      <c r="D393" s="124" t="s">
        <v>18</v>
      </c>
      <c r="E393" s="123">
        <v>240.13</v>
      </c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>
        <v>240.13</v>
      </c>
      <c r="Q393" s="123"/>
      <c r="R393" s="123"/>
      <c r="S393" s="123"/>
      <c r="T393" s="123"/>
      <c r="U393" s="123"/>
      <c r="V393" s="123"/>
      <c r="W393" s="123"/>
      <c r="X393" s="123"/>
    </row>
    <row r="394" spans="1:24" s="106" customFormat="1" ht="13.8">
      <c r="A394" s="125"/>
      <c r="B394" s="34">
        <v>44901</v>
      </c>
      <c r="C394" s="34"/>
      <c r="D394" s="124" t="s">
        <v>43</v>
      </c>
      <c r="E394" s="123">
        <v>1145</v>
      </c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>
        <v>1145</v>
      </c>
      <c r="Q394" s="123"/>
      <c r="R394" s="123"/>
      <c r="S394" s="123"/>
      <c r="T394" s="123"/>
      <c r="U394" s="123"/>
      <c r="V394" s="123"/>
      <c r="W394" s="123"/>
      <c r="X394" s="123"/>
    </row>
    <row r="395" spans="1:24" s="106" customFormat="1" ht="13.8">
      <c r="A395" s="125"/>
      <c r="B395" s="34">
        <v>44917</v>
      </c>
      <c r="C395" s="34"/>
      <c r="D395" s="124" t="s">
        <v>11</v>
      </c>
      <c r="E395" s="123">
        <f t="shared" ref="E395:E406" si="23">SUM(F395:X395)</f>
        <v>500</v>
      </c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>
        <v>500</v>
      </c>
      <c r="T395" s="123"/>
      <c r="U395" s="123"/>
      <c r="V395" s="123"/>
      <c r="W395" s="123"/>
      <c r="X395" s="123"/>
    </row>
    <row r="396" spans="1:24" s="106" customFormat="1" ht="13.8">
      <c r="A396" s="125"/>
      <c r="B396" s="34">
        <v>44918</v>
      </c>
      <c r="C396" s="34"/>
      <c r="D396" s="124" t="s">
        <v>13</v>
      </c>
      <c r="E396" s="123">
        <f>SUM(F396:X396)</f>
        <v>500</v>
      </c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>
        <v>500</v>
      </c>
      <c r="T396" s="123"/>
      <c r="U396" s="123"/>
      <c r="V396" s="123"/>
      <c r="W396" s="123"/>
      <c r="X396" s="123"/>
    </row>
    <row r="397" spans="1:24" s="106" customFormat="1" ht="13.8">
      <c r="A397" s="125"/>
      <c r="B397" s="34">
        <v>44918</v>
      </c>
      <c r="C397" s="34"/>
      <c r="D397" s="124" t="s">
        <v>7</v>
      </c>
      <c r="E397" s="123">
        <f>SUM(F397:X397)</f>
        <v>500</v>
      </c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>
        <v>500</v>
      </c>
      <c r="T397" s="123"/>
      <c r="U397" s="123"/>
      <c r="V397" s="123"/>
      <c r="W397" s="123"/>
      <c r="X397" s="123"/>
    </row>
    <row r="398" spans="1:24" s="106" customFormat="1" ht="13.8">
      <c r="A398" s="125"/>
      <c r="B398" s="34">
        <v>44918</v>
      </c>
      <c r="C398" s="34"/>
      <c r="D398" s="124" t="s">
        <v>23</v>
      </c>
      <c r="E398" s="123">
        <f t="shared" si="23"/>
        <v>100</v>
      </c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>
        <v>100</v>
      </c>
      <c r="S398" s="123"/>
      <c r="T398" s="123"/>
      <c r="U398" s="123"/>
      <c r="V398" s="123"/>
      <c r="W398" s="123"/>
      <c r="X398" s="123"/>
    </row>
    <row r="399" spans="1:24" s="106" customFormat="1" ht="13.8">
      <c r="A399" s="125"/>
      <c r="B399" s="34">
        <v>44920</v>
      </c>
      <c r="C399" s="34"/>
      <c r="D399" s="124" t="s">
        <v>1104</v>
      </c>
      <c r="E399" s="123">
        <f t="shared" si="23"/>
        <v>49</v>
      </c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>
        <v>49</v>
      </c>
      <c r="R399" s="123"/>
      <c r="S399" s="123"/>
      <c r="T399" s="123"/>
      <c r="U399" s="123"/>
      <c r="V399" s="123"/>
      <c r="W399" s="123"/>
      <c r="X399" s="123"/>
    </row>
    <row r="400" spans="1:24" s="106" customFormat="1" ht="13.8">
      <c r="A400" s="125"/>
      <c r="B400" s="34"/>
      <c r="C400" s="34"/>
      <c r="D400" s="124" t="s">
        <v>42</v>
      </c>
      <c r="E400" s="123">
        <f t="shared" si="23"/>
        <v>1468.07</v>
      </c>
      <c r="F400" s="123"/>
      <c r="G400" s="123"/>
      <c r="H400" s="123">
        <f>140.77+100+28+100+44+187+59.3+117+109+50+96+132</f>
        <v>1163.07</v>
      </c>
      <c r="I400" s="123"/>
      <c r="J400" s="123"/>
      <c r="K400" s="123">
        <f>122+122+61</f>
        <v>305</v>
      </c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</row>
    <row r="401" spans="1:50" s="106" customFormat="1" ht="13.8">
      <c r="A401" s="125"/>
      <c r="B401" s="34"/>
      <c r="C401" s="34"/>
      <c r="D401" s="124" t="s">
        <v>41</v>
      </c>
      <c r="E401" s="123">
        <f t="shared" si="23"/>
        <v>262.89999999999998</v>
      </c>
      <c r="F401" s="123"/>
      <c r="G401" s="123"/>
      <c r="H401" s="123">
        <f>118.6+63.3+81</f>
        <v>262.89999999999998</v>
      </c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</row>
    <row r="402" spans="1:50" s="106" customFormat="1" ht="13.8">
      <c r="A402" s="125"/>
      <c r="B402" s="34"/>
      <c r="C402" s="34"/>
      <c r="D402" s="124" t="s">
        <v>40</v>
      </c>
      <c r="E402" s="123">
        <f t="shared" si="23"/>
        <v>488.2</v>
      </c>
      <c r="F402" s="123"/>
      <c r="G402" s="123"/>
      <c r="H402" s="123">
        <f>24+12+131.7+198.5</f>
        <v>366.2</v>
      </c>
      <c r="I402" s="123"/>
      <c r="J402" s="123"/>
      <c r="K402" s="123">
        <f>122</f>
        <v>122</v>
      </c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</row>
    <row r="403" spans="1:50" s="106" customFormat="1" ht="13.8">
      <c r="A403" s="125"/>
      <c r="B403" s="34"/>
      <c r="C403" s="34"/>
      <c r="D403" s="124" t="s">
        <v>39</v>
      </c>
      <c r="E403" s="123">
        <f t="shared" si="23"/>
        <v>330</v>
      </c>
      <c r="F403" s="123"/>
      <c r="G403" s="123"/>
      <c r="H403" s="123">
        <f>21+21+21+21+21+21+21</f>
        <v>147</v>
      </c>
      <c r="I403" s="123"/>
      <c r="J403" s="123"/>
      <c r="K403" s="123">
        <f>183</f>
        <v>183</v>
      </c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</row>
    <row r="404" spans="1:50" s="106" customFormat="1" ht="13.8">
      <c r="A404" s="125"/>
      <c r="B404" s="34"/>
      <c r="C404" s="34"/>
      <c r="D404" s="124" t="s">
        <v>38</v>
      </c>
      <c r="E404" s="123">
        <f t="shared" si="23"/>
        <v>280</v>
      </c>
      <c r="F404" s="123"/>
      <c r="G404" s="123"/>
      <c r="H404" s="123">
        <f>100+28+40</f>
        <v>168</v>
      </c>
      <c r="I404" s="123"/>
      <c r="J404" s="123"/>
      <c r="K404" s="123"/>
      <c r="L404" s="123"/>
      <c r="M404" s="123">
        <f>36+76</f>
        <v>112</v>
      </c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</row>
    <row r="405" spans="1:50" s="106" customFormat="1" ht="13.8">
      <c r="A405" s="125"/>
      <c r="B405" s="34"/>
      <c r="C405" s="34"/>
      <c r="D405" s="124" t="s">
        <v>123</v>
      </c>
      <c r="E405" s="123">
        <f t="shared" si="23"/>
        <v>271.35000000000002</v>
      </c>
      <c r="F405" s="123"/>
      <c r="G405" s="123"/>
      <c r="H405" s="123">
        <v>271.35000000000002</v>
      </c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</row>
    <row r="406" spans="1:50" s="106" customFormat="1" ht="13.8">
      <c r="A406" s="125"/>
      <c r="B406" s="34"/>
      <c r="C406" s="34"/>
      <c r="D406" s="124" t="s">
        <v>37</v>
      </c>
      <c r="E406" s="123">
        <f t="shared" si="23"/>
        <v>1833.16</v>
      </c>
      <c r="F406" s="123"/>
      <c r="G406" s="123">
        <f>8+30+69+200-2000+42.5+199+238</f>
        <v>-1213.5</v>
      </c>
      <c r="H406" s="123"/>
      <c r="I406" s="123"/>
      <c r="J406" s="123"/>
      <c r="K406" s="123"/>
      <c r="L406" s="123"/>
      <c r="M406" s="123"/>
      <c r="N406" s="123"/>
      <c r="O406" s="123">
        <f>398+398+400+398+192+199+384+199+199+240</f>
        <v>3007</v>
      </c>
      <c r="P406" s="123"/>
      <c r="Q406" s="123">
        <f>39.66</f>
        <v>39.659999999999997</v>
      </c>
      <c r="R406" s="123"/>
      <c r="S406" s="123"/>
      <c r="T406" s="123"/>
      <c r="U406" s="123"/>
      <c r="V406" s="123"/>
      <c r="W406" s="123"/>
      <c r="X406" s="123"/>
    </row>
    <row r="407" spans="1:50" s="120" customFormat="1" ht="12" customHeight="1">
      <c r="A407" s="60"/>
      <c r="B407" s="2930" t="str">
        <f>O7</f>
        <v>December</v>
      </c>
      <c r="C407" s="2931"/>
      <c r="D407" s="2934" t="s">
        <v>36</v>
      </c>
      <c r="E407" s="2936">
        <f t="shared" ref="E407:X407" si="24">SUM(E408:E408)</f>
        <v>0</v>
      </c>
      <c r="F407" s="2936">
        <f t="shared" si="24"/>
        <v>0</v>
      </c>
      <c r="G407" s="2936">
        <f t="shared" si="24"/>
        <v>0</v>
      </c>
      <c r="H407" s="2936">
        <f t="shared" si="24"/>
        <v>0</v>
      </c>
      <c r="I407" s="2936">
        <f t="shared" si="24"/>
        <v>0</v>
      </c>
      <c r="J407" s="2936">
        <f t="shared" si="24"/>
        <v>0</v>
      </c>
      <c r="K407" s="2936">
        <f t="shared" si="24"/>
        <v>0</v>
      </c>
      <c r="L407" s="2936">
        <f t="shared" si="24"/>
        <v>0</v>
      </c>
      <c r="M407" s="2936">
        <f t="shared" si="24"/>
        <v>0</v>
      </c>
      <c r="N407" s="2936">
        <f t="shared" si="24"/>
        <v>0</v>
      </c>
      <c r="O407" s="2936">
        <f t="shared" si="24"/>
        <v>0</v>
      </c>
      <c r="P407" s="2936">
        <f t="shared" si="24"/>
        <v>0</v>
      </c>
      <c r="Q407" s="2936">
        <f t="shared" si="24"/>
        <v>0</v>
      </c>
      <c r="R407" s="2936">
        <f t="shared" si="24"/>
        <v>0</v>
      </c>
      <c r="S407" s="2936">
        <f t="shared" si="24"/>
        <v>0</v>
      </c>
      <c r="T407" s="2936">
        <f t="shared" si="24"/>
        <v>0</v>
      </c>
      <c r="U407" s="2936">
        <f t="shared" si="24"/>
        <v>0</v>
      </c>
      <c r="V407" s="2936">
        <f t="shared" si="24"/>
        <v>0</v>
      </c>
      <c r="W407" s="2936">
        <f t="shared" si="24"/>
        <v>0</v>
      </c>
      <c r="X407" s="2936">
        <f t="shared" si="24"/>
        <v>0</v>
      </c>
      <c r="Y407" s="122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</row>
    <row r="408" spans="1:50" s="120" customFormat="1" ht="12" customHeight="1">
      <c r="A408" s="60"/>
      <c r="B408" s="2932"/>
      <c r="C408" s="2933"/>
      <c r="D408" s="2935"/>
      <c r="E408" s="2937"/>
      <c r="F408" s="2937"/>
      <c r="G408" s="2937"/>
      <c r="H408" s="2937"/>
      <c r="I408" s="2937"/>
      <c r="J408" s="2937"/>
      <c r="K408" s="2937"/>
      <c r="L408" s="2937"/>
      <c r="M408" s="2937"/>
      <c r="N408" s="2937"/>
      <c r="O408" s="2937"/>
      <c r="P408" s="2937"/>
      <c r="Q408" s="2937"/>
      <c r="R408" s="2937"/>
      <c r="S408" s="2937"/>
      <c r="T408" s="2937"/>
      <c r="U408" s="2937"/>
      <c r="V408" s="2937"/>
      <c r="W408" s="2937"/>
      <c r="X408" s="2937"/>
      <c r="Y408" s="72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6"/>
      <c r="AK408" s="106"/>
      <c r="AL408" s="106"/>
      <c r="AM408" s="106"/>
      <c r="AN408" s="105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</row>
    <row r="409" spans="1:50" ht="13.8">
      <c r="A409" s="97"/>
      <c r="B409" s="110"/>
      <c r="C409" s="110"/>
      <c r="D409" s="109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4"/>
      <c r="Q409" s="13"/>
      <c r="R409" s="1"/>
      <c r="S409" s="1"/>
      <c r="T409" s="1"/>
      <c r="U409" s="1"/>
      <c r="V409" s="1"/>
      <c r="W409" s="1"/>
      <c r="X409" s="1"/>
      <c r="AJ409" s="105"/>
      <c r="AK409" s="105"/>
      <c r="AL409" s="105"/>
      <c r="AM409" s="105"/>
    </row>
    <row r="410" spans="1:50" ht="13.8">
      <c r="A410" s="97"/>
      <c r="B410" s="110"/>
      <c r="C410" s="110"/>
      <c r="D410" s="109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4"/>
      <c r="Q410" s="13"/>
      <c r="R410" s="1"/>
      <c r="S410" s="1"/>
      <c r="T410" s="1"/>
      <c r="U410" s="1"/>
      <c r="V410" s="1"/>
      <c r="W410" s="1"/>
      <c r="X410" s="1"/>
      <c r="AJ410" s="105"/>
      <c r="AK410" s="105"/>
      <c r="AL410" s="105"/>
      <c r="AM410" s="105"/>
    </row>
    <row r="411" spans="1:50" ht="13.8">
      <c r="AJ411" s="108"/>
      <c r="AK411" s="108"/>
      <c r="AL411" s="108"/>
      <c r="AM411" s="108"/>
    </row>
    <row r="412" spans="1:50">
      <c r="AJ412" s="106"/>
      <c r="AK412" s="106"/>
      <c r="AL412" s="106"/>
      <c r="AM412" s="106"/>
    </row>
    <row r="413" spans="1:50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AJ413" s="106"/>
      <c r="AK413" s="106"/>
      <c r="AL413" s="106"/>
      <c r="AM413" s="106"/>
    </row>
    <row r="414" spans="1:50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AJ414" s="106"/>
      <c r="AK414" s="106"/>
      <c r="AL414" s="106"/>
      <c r="AM414" s="106"/>
    </row>
    <row r="415" spans="1:50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AJ415" s="106"/>
      <c r="AK415" s="106"/>
      <c r="AL415" s="106"/>
      <c r="AM415" s="106"/>
    </row>
    <row r="416" spans="1:50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AJ416" s="106"/>
      <c r="AK416" s="106"/>
      <c r="AL416" s="106"/>
      <c r="AM416" s="106"/>
    </row>
    <row r="417" spans="1:39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AJ417" s="106"/>
      <c r="AK417" s="106"/>
      <c r="AL417" s="106"/>
      <c r="AM417" s="106"/>
    </row>
    <row r="418" spans="1:39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AJ418" s="106"/>
      <c r="AK418" s="106"/>
      <c r="AL418" s="106"/>
      <c r="AM418" s="106"/>
    </row>
    <row r="419" spans="1:3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AJ419" s="106"/>
      <c r="AK419" s="106"/>
      <c r="AL419" s="106"/>
      <c r="AM419" s="106"/>
    </row>
    <row r="420" spans="1:39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AJ420" s="106"/>
      <c r="AK420" s="106"/>
      <c r="AL420" s="106"/>
      <c r="AM420" s="106"/>
    </row>
    <row r="421" spans="1:39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AJ421" s="106"/>
      <c r="AK421" s="106"/>
      <c r="AL421" s="106"/>
      <c r="AM421" s="106"/>
    </row>
    <row r="422" spans="1:39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AJ422" s="106"/>
      <c r="AK422" s="106"/>
      <c r="AL422" s="106"/>
      <c r="AM422" s="106"/>
    </row>
    <row r="423" spans="1:39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AJ423" s="106"/>
      <c r="AK423" s="106"/>
      <c r="AL423" s="106"/>
      <c r="AM423" s="106"/>
    </row>
    <row r="424" spans="1:39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AJ424" s="106"/>
      <c r="AK424" s="106"/>
      <c r="AL424" s="106"/>
      <c r="AM424" s="106"/>
    </row>
    <row r="425" spans="1:39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AJ425" s="106"/>
      <c r="AK425" s="106"/>
      <c r="AL425" s="106"/>
      <c r="AM425" s="106"/>
    </row>
    <row r="426" spans="1:39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AJ426" s="106"/>
      <c r="AK426" s="106"/>
      <c r="AL426" s="106"/>
      <c r="AM426" s="106"/>
    </row>
    <row r="427" spans="1:39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AJ427" s="106"/>
      <c r="AK427" s="106"/>
      <c r="AL427" s="106"/>
      <c r="AM427" s="106"/>
    </row>
    <row r="428" spans="1:39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AJ428" s="106"/>
      <c r="AK428" s="106"/>
      <c r="AL428" s="106"/>
      <c r="AM428" s="106"/>
    </row>
    <row r="429" spans="1:3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AJ429" s="106"/>
      <c r="AK429" s="106"/>
      <c r="AL429" s="106"/>
      <c r="AM429" s="106"/>
    </row>
    <row r="430" spans="1:39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AJ430" s="106"/>
      <c r="AK430" s="106"/>
      <c r="AL430" s="106"/>
      <c r="AM430" s="106"/>
    </row>
    <row r="431" spans="1:39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AJ431" s="106"/>
      <c r="AK431" s="106"/>
      <c r="AL431" s="106"/>
      <c r="AM431" s="106"/>
    </row>
    <row r="432" spans="1:39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AJ432" s="106"/>
      <c r="AK432" s="106"/>
      <c r="AL432" s="106"/>
      <c r="AM432" s="106"/>
    </row>
    <row r="433" spans="1:39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AJ433" s="106"/>
      <c r="AK433" s="106"/>
      <c r="AL433" s="106"/>
      <c r="AM433" s="106"/>
    </row>
    <row r="434" spans="1:39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AJ434" s="106"/>
      <c r="AK434" s="106"/>
      <c r="AL434" s="106"/>
      <c r="AM434" s="106"/>
    </row>
    <row r="435" spans="1:39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AJ435" s="106"/>
      <c r="AK435" s="106"/>
      <c r="AL435" s="106"/>
      <c r="AM435" s="106"/>
    </row>
    <row r="436" spans="1:39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AJ436" s="106"/>
      <c r="AK436" s="106"/>
      <c r="AL436" s="106"/>
      <c r="AM436" s="106"/>
    </row>
    <row r="437" spans="1:39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AJ437" s="106"/>
      <c r="AK437" s="106"/>
      <c r="AL437" s="106"/>
      <c r="AM437" s="106"/>
    </row>
    <row r="438" spans="1:39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AJ438" s="106"/>
      <c r="AK438" s="106"/>
      <c r="AL438" s="106"/>
      <c r="AM438" s="106"/>
    </row>
    <row r="439" spans="1: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AJ439" s="106"/>
      <c r="AK439" s="106"/>
      <c r="AL439" s="106"/>
      <c r="AM439" s="106"/>
    </row>
    <row r="440" spans="1:39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AJ440" s="106"/>
      <c r="AK440" s="106"/>
      <c r="AL440" s="106"/>
      <c r="AM440" s="106"/>
    </row>
    <row r="441" spans="1:39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AJ441" s="106"/>
      <c r="AK441" s="106"/>
      <c r="AL441" s="106"/>
      <c r="AM441" s="106"/>
    </row>
    <row r="442" spans="1:39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AJ442" s="106"/>
      <c r="AK442" s="106"/>
      <c r="AL442" s="106"/>
      <c r="AM442" s="106"/>
    </row>
    <row r="443" spans="1:39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AJ443" s="106"/>
      <c r="AK443" s="106"/>
      <c r="AL443" s="106"/>
      <c r="AM443" s="106"/>
    </row>
    <row r="444" spans="1:39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AJ444" s="106"/>
      <c r="AK444" s="106"/>
      <c r="AL444" s="106"/>
      <c r="AM444" s="106"/>
    </row>
    <row r="445" spans="1:39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AJ445" s="106"/>
      <c r="AK445" s="106"/>
      <c r="AL445" s="106"/>
      <c r="AM445" s="106"/>
    </row>
    <row r="446" spans="1:39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AJ446" s="106"/>
      <c r="AK446" s="106"/>
      <c r="AL446" s="106"/>
      <c r="AM446" s="106"/>
    </row>
    <row r="447" spans="1:39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AJ447" s="106"/>
      <c r="AK447" s="106"/>
      <c r="AL447" s="106"/>
      <c r="AM447" s="106"/>
    </row>
    <row r="448" spans="1:39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AJ448" s="106"/>
      <c r="AK448" s="106"/>
      <c r="AL448" s="106"/>
      <c r="AM448" s="106"/>
    </row>
    <row r="449" spans="1:3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AJ449" s="106"/>
      <c r="AK449" s="106"/>
      <c r="AL449" s="106"/>
      <c r="AM449" s="106"/>
    </row>
    <row r="450" spans="1:39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AJ450" s="106"/>
      <c r="AK450" s="106"/>
      <c r="AL450" s="106"/>
      <c r="AM450" s="106"/>
    </row>
    <row r="451" spans="1:39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AJ451" s="106"/>
      <c r="AK451" s="106"/>
      <c r="AL451" s="106"/>
      <c r="AM451" s="106"/>
    </row>
    <row r="452" spans="1:39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AJ452" s="106"/>
      <c r="AK452" s="106"/>
      <c r="AL452" s="106"/>
      <c r="AM452" s="106"/>
    </row>
    <row r="453" spans="1:39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AJ453" s="106"/>
      <c r="AK453" s="106"/>
      <c r="AL453" s="106"/>
      <c r="AM453" s="106"/>
    </row>
    <row r="454" spans="1:39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AJ454" s="106"/>
      <c r="AK454" s="106"/>
      <c r="AL454" s="106"/>
      <c r="AM454" s="106"/>
    </row>
    <row r="455" spans="1:39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AJ455" s="106"/>
      <c r="AK455" s="106"/>
      <c r="AL455" s="106"/>
      <c r="AM455" s="106"/>
    </row>
    <row r="456" spans="1:39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AJ456" s="106"/>
      <c r="AK456" s="106"/>
      <c r="AL456" s="106"/>
      <c r="AM456" s="106"/>
    </row>
    <row r="457" spans="1:39" ht="13.8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AJ457" s="108"/>
      <c r="AK457" s="108"/>
      <c r="AL457" s="108"/>
      <c r="AM457" s="108"/>
    </row>
    <row r="458" spans="1:39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AJ458" s="106"/>
      <c r="AK458" s="106"/>
      <c r="AL458" s="106"/>
      <c r="AM458" s="106"/>
    </row>
    <row r="459" spans="1:3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AJ459" s="106"/>
      <c r="AK459" s="106"/>
      <c r="AL459" s="106"/>
      <c r="AM459" s="106"/>
    </row>
    <row r="460" spans="1:39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AJ460" s="106"/>
      <c r="AK460" s="106"/>
      <c r="AL460" s="106"/>
      <c r="AM460" s="106"/>
    </row>
    <row r="461" spans="1:39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AJ461" s="106"/>
      <c r="AK461" s="106"/>
      <c r="AL461" s="106"/>
      <c r="AM461" s="106"/>
    </row>
    <row r="462" spans="1:39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AJ462" s="106"/>
      <c r="AK462" s="106"/>
      <c r="AL462" s="106"/>
      <c r="AM462" s="106"/>
    </row>
    <row r="463" spans="1:39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AJ463" s="106"/>
      <c r="AK463" s="106"/>
      <c r="AL463" s="106"/>
      <c r="AM463" s="106"/>
    </row>
    <row r="464" spans="1:39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AJ464" s="106"/>
      <c r="AK464" s="106"/>
      <c r="AL464" s="106"/>
      <c r="AM464" s="106"/>
    </row>
    <row r="465" spans="1:39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AJ465" s="106"/>
      <c r="AK465" s="106"/>
      <c r="AL465" s="106"/>
      <c r="AM465" s="106"/>
    </row>
    <row r="466" spans="1:39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AJ466" s="106"/>
      <c r="AK466" s="106"/>
      <c r="AL466" s="106"/>
      <c r="AM466" s="106"/>
    </row>
    <row r="467" spans="1:39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AJ467" s="106"/>
      <c r="AK467" s="106"/>
      <c r="AL467" s="106"/>
      <c r="AM467" s="106"/>
    </row>
    <row r="468" spans="1:39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AJ468" s="106"/>
      <c r="AK468" s="106"/>
      <c r="AL468" s="106"/>
      <c r="AM468" s="106"/>
    </row>
    <row r="469" spans="1:3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AJ469" s="106"/>
      <c r="AK469" s="106"/>
      <c r="AL469" s="106"/>
      <c r="AM469" s="106"/>
    </row>
    <row r="470" spans="1:39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AJ470" s="106"/>
      <c r="AK470" s="106"/>
      <c r="AL470" s="106"/>
      <c r="AM470" s="106"/>
    </row>
    <row r="471" spans="1:39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AJ471" s="106"/>
      <c r="AK471" s="106"/>
      <c r="AL471" s="106"/>
      <c r="AM471" s="106"/>
    </row>
    <row r="472" spans="1:39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AJ472" s="106"/>
      <c r="AK472" s="106"/>
      <c r="AL472" s="106"/>
      <c r="AM472" s="106"/>
    </row>
    <row r="473" spans="1:39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AJ473" s="106"/>
      <c r="AK473" s="106"/>
      <c r="AL473" s="106"/>
      <c r="AM473" s="106"/>
    </row>
    <row r="474" spans="1:39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AJ474" s="106"/>
      <c r="AK474" s="106"/>
      <c r="AL474" s="106"/>
      <c r="AM474" s="106"/>
    </row>
    <row r="475" spans="1:39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AJ475" s="106"/>
      <c r="AK475" s="106"/>
      <c r="AL475" s="106"/>
      <c r="AM475" s="106"/>
    </row>
    <row r="476" spans="1:39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AJ476" s="106"/>
      <c r="AK476" s="106"/>
      <c r="AL476" s="106"/>
      <c r="AM476" s="106"/>
    </row>
    <row r="477" spans="1:39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AJ477" s="106"/>
      <c r="AK477" s="106"/>
      <c r="AL477" s="106"/>
      <c r="AM477" s="106"/>
    </row>
    <row r="478" spans="1:39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AJ478" s="106"/>
      <c r="AK478" s="106"/>
      <c r="AL478" s="106"/>
      <c r="AM478" s="106"/>
    </row>
    <row r="479" spans="1:3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AJ479" s="106"/>
      <c r="AK479" s="106"/>
      <c r="AL479" s="106"/>
      <c r="AM479" s="106"/>
    </row>
    <row r="480" spans="1:39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AJ480" s="106"/>
      <c r="AK480" s="106"/>
      <c r="AL480" s="106"/>
      <c r="AM480" s="106"/>
    </row>
    <row r="481" spans="1:39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AJ481" s="106"/>
      <c r="AK481" s="106"/>
      <c r="AL481" s="106"/>
      <c r="AM481" s="106"/>
    </row>
    <row r="482" spans="1:39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AJ482" s="106"/>
      <c r="AK482" s="106"/>
      <c r="AL482" s="106"/>
      <c r="AM482" s="106"/>
    </row>
    <row r="483" spans="1:39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AJ483" s="106"/>
      <c r="AK483" s="106"/>
      <c r="AL483" s="106"/>
      <c r="AM483" s="106"/>
    </row>
    <row r="484" spans="1:39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AJ484" s="106"/>
      <c r="AK484" s="106"/>
      <c r="AL484" s="106"/>
      <c r="AM484" s="106"/>
    </row>
    <row r="485" spans="1:39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AJ485" s="106"/>
      <c r="AK485" s="106"/>
      <c r="AL485" s="106"/>
      <c r="AM485" s="106"/>
    </row>
    <row r="486" spans="1:39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AJ486" s="106"/>
      <c r="AK486" s="106"/>
      <c r="AL486" s="106"/>
      <c r="AM486" s="106"/>
    </row>
    <row r="487" spans="1:39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AJ487" s="106"/>
      <c r="AK487" s="106"/>
      <c r="AL487" s="106"/>
      <c r="AM487" s="106"/>
    </row>
    <row r="488" spans="1:39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AJ488" s="106"/>
      <c r="AK488" s="106"/>
      <c r="AL488" s="106"/>
      <c r="AM488" s="106"/>
    </row>
    <row r="489" spans="1:39" ht="13.8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AJ489" s="105"/>
      <c r="AK489" s="105"/>
      <c r="AL489" s="105"/>
      <c r="AM489" s="105"/>
    </row>
    <row r="490" spans="1:39" ht="13.8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AJ490" s="105"/>
      <c r="AK490" s="105"/>
      <c r="AL490" s="105"/>
      <c r="AM490" s="105"/>
    </row>
    <row r="491" spans="1:39" ht="13.8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AJ491" s="108"/>
      <c r="AK491" s="108"/>
      <c r="AL491" s="108"/>
      <c r="AM491" s="108"/>
    </row>
    <row r="492" spans="1:39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AJ492" s="106"/>
      <c r="AK492" s="106"/>
      <c r="AL492" s="106"/>
      <c r="AM492" s="106"/>
    </row>
    <row r="493" spans="1:39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AJ493" s="106"/>
      <c r="AK493" s="106"/>
      <c r="AL493" s="106"/>
      <c r="AM493" s="106"/>
    </row>
    <row r="494" spans="1:39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AJ494" s="106"/>
      <c r="AK494" s="106"/>
      <c r="AL494" s="106"/>
      <c r="AM494" s="106"/>
    </row>
    <row r="495" spans="1:39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AJ495" s="106"/>
      <c r="AK495" s="106"/>
      <c r="AL495" s="106"/>
      <c r="AM495" s="106"/>
    </row>
    <row r="496" spans="1:39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AJ496" s="106"/>
      <c r="AK496" s="106"/>
      <c r="AL496" s="106"/>
      <c r="AM496" s="106"/>
    </row>
    <row r="497" spans="1:39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AJ497" s="106"/>
      <c r="AK497" s="106"/>
      <c r="AL497" s="106"/>
      <c r="AM497" s="106"/>
    </row>
    <row r="498" spans="1:39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AJ498" s="106"/>
      <c r="AK498" s="106"/>
      <c r="AL498" s="106"/>
      <c r="AM498" s="106"/>
    </row>
    <row r="499" spans="1:3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AJ499" s="106"/>
      <c r="AK499" s="106"/>
      <c r="AL499" s="106"/>
      <c r="AM499" s="106"/>
    </row>
    <row r="500" spans="1:39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AJ500" s="106"/>
      <c r="AK500" s="106"/>
      <c r="AL500" s="106"/>
      <c r="AM500" s="106"/>
    </row>
    <row r="501" spans="1:39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AJ501" s="106"/>
      <c r="AK501" s="106"/>
      <c r="AL501" s="106"/>
      <c r="AM501" s="106"/>
    </row>
    <row r="502" spans="1:39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AJ502" s="106"/>
      <c r="AK502" s="106"/>
      <c r="AL502" s="106"/>
      <c r="AM502" s="106"/>
    </row>
    <row r="503" spans="1:39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AJ503" s="106"/>
      <c r="AK503" s="106"/>
      <c r="AL503" s="106"/>
      <c r="AM503" s="106"/>
    </row>
    <row r="504" spans="1:39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AJ504" s="106"/>
      <c r="AK504" s="106"/>
      <c r="AL504" s="106"/>
      <c r="AM504" s="106"/>
    </row>
    <row r="505" spans="1:39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AJ505" s="106"/>
      <c r="AK505" s="106"/>
      <c r="AL505" s="106"/>
      <c r="AM505" s="106"/>
    </row>
    <row r="506" spans="1:39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AJ506" s="106"/>
      <c r="AK506" s="106"/>
      <c r="AL506" s="106"/>
      <c r="AM506" s="106"/>
    </row>
    <row r="507" spans="1:39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AJ507" s="106"/>
      <c r="AK507" s="106"/>
      <c r="AL507" s="106"/>
      <c r="AM507" s="106"/>
    </row>
    <row r="508" spans="1:39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AJ508" s="106"/>
      <c r="AK508" s="106"/>
      <c r="AL508" s="106"/>
      <c r="AM508" s="106"/>
    </row>
    <row r="509" spans="1:3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AJ509" s="106"/>
      <c r="AK509" s="106"/>
      <c r="AL509" s="106"/>
      <c r="AM509" s="106"/>
    </row>
    <row r="510" spans="1:39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AJ510" s="106"/>
      <c r="AK510" s="106"/>
      <c r="AL510" s="106"/>
      <c r="AM510" s="106"/>
    </row>
    <row r="511" spans="1:39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AJ511" s="106"/>
      <c r="AK511" s="106"/>
      <c r="AL511" s="106"/>
      <c r="AM511" s="106"/>
    </row>
    <row r="512" spans="1:39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AJ512" s="106"/>
      <c r="AK512" s="106"/>
      <c r="AL512" s="106"/>
      <c r="AM512" s="106"/>
    </row>
    <row r="513" spans="1:39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AJ513" s="106"/>
      <c r="AK513" s="106"/>
      <c r="AL513" s="106"/>
      <c r="AM513" s="106"/>
    </row>
    <row r="514" spans="1:39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AJ514" s="106"/>
      <c r="AK514" s="106"/>
      <c r="AL514" s="106"/>
      <c r="AM514" s="106"/>
    </row>
    <row r="515" spans="1:39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AJ515" s="106"/>
      <c r="AK515" s="106"/>
      <c r="AL515" s="106"/>
      <c r="AM515" s="106"/>
    </row>
    <row r="516" spans="1:39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AJ516" s="106"/>
      <c r="AK516" s="106"/>
      <c r="AL516" s="106"/>
      <c r="AM516" s="106"/>
    </row>
    <row r="517" spans="1:39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AJ517" s="106"/>
      <c r="AK517" s="106"/>
      <c r="AL517" s="106"/>
      <c r="AM517" s="106"/>
    </row>
    <row r="518" spans="1:39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AJ518" s="106"/>
      <c r="AK518" s="106"/>
      <c r="AL518" s="106"/>
      <c r="AM518" s="106"/>
    </row>
    <row r="519" spans="1:3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AJ519" s="106"/>
      <c r="AK519" s="106"/>
      <c r="AL519" s="106"/>
      <c r="AM519" s="106"/>
    </row>
    <row r="520" spans="1:39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AJ520" s="106"/>
      <c r="AK520" s="106"/>
      <c r="AL520" s="106"/>
      <c r="AM520" s="106"/>
    </row>
    <row r="521" spans="1:39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AJ521" s="106"/>
      <c r="AK521" s="106"/>
      <c r="AL521" s="106"/>
      <c r="AM521" s="106"/>
    </row>
    <row r="522" spans="1:39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AJ522" s="106"/>
      <c r="AK522" s="106"/>
      <c r="AL522" s="106"/>
      <c r="AM522" s="106"/>
    </row>
    <row r="523" spans="1:39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AJ523" s="106"/>
      <c r="AK523" s="106"/>
      <c r="AL523" s="106"/>
      <c r="AM523" s="106"/>
    </row>
    <row r="524" spans="1:39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AJ524" s="106"/>
      <c r="AK524" s="106"/>
      <c r="AL524" s="106"/>
      <c r="AM524" s="106"/>
    </row>
    <row r="525" spans="1:39" ht="13.8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AJ525" s="105"/>
      <c r="AK525" s="105"/>
      <c r="AL525" s="105"/>
      <c r="AM525" s="105"/>
    </row>
    <row r="526" spans="1:39" ht="13.8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AJ526" s="105"/>
      <c r="AK526" s="105"/>
      <c r="AL526" s="105"/>
      <c r="AM526" s="105"/>
    </row>
    <row r="527" spans="1:39" ht="13.8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AJ527" s="108"/>
      <c r="AK527" s="108"/>
      <c r="AL527" s="108"/>
      <c r="AM527" s="108"/>
    </row>
    <row r="528" spans="1:39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AJ528" s="106"/>
      <c r="AK528" s="106"/>
      <c r="AL528" s="106"/>
      <c r="AM528" s="106"/>
    </row>
    <row r="529" spans="1:3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AJ529" s="106"/>
      <c r="AK529" s="106"/>
      <c r="AL529" s="106"/>
      <c r="AM529" s="106"/>
    </row>
    <row r="530" spans="1:39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AJ530" s="106"/>
      <c r="AK530" s="106"/>
      <c r="AL530" s="106"/>
      <c r="AM530" s="106"/>
    </row>
    <row r="531" spans="1:39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AJ531" s="106"/>
      <c r="AK531" s="106"/>
      <c r="AL531" s="106"/>
      <c r="AM531" s="106"/>
    </row>
    <row r="532" spans="1:39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AJ532" s="106"/>
      <c r="AK532" s="106"/>
      <c r="AL532" s="106"/>
      <c r="AM532" s="106"/>
    </row>
    <row r="533" spans="1:39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AJ533" s="106"/>
      <c r="AK533" s="106"/>
      <c r="AL533" s="106"/>
      <c r="AM533" s="106"/>
    </row>
    <row r="534" spans="1:39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AJ534" s="106"/>
      <c r="AK534" s="106"/>
      <c r="AL534" s="106"/>
      <c r="AM534" s="106"/>
    </row>
    <row r="535" spans="1:39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AJ535" s="106"/>
      <c r="AK535" s="106"/>
      <c r="AL535" s="106"/>
      <c r="AM535" s="106"/>
    </row>
    <row r="536" spans="1:39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AJ536" s="106"/>
      <c r="AK536" s="106"/>
      <c r="AL536" s="106"/>
      <c r="AM536" s="106"/>
    </row>
    <row r="537" spans="1:39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AJ537" s="106"/>
      <c r="AK537" s="106"/>
      <c r="AL537" s="106"/>
      <c r="AM537" s="106"/>
    </row>
    <row r="538" spans="1:39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AJ538" s="106"/>
      <c r="AK538" s="106"/>
      <c r="AL538" s="106"/>
      <c r="AM538" s="106"/>
    </row>
    <row r="539" spans="1: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AJ539" s="106"/>
      <c r="AK539" s="106"/>
      <c r="AL539" s="106"/>
      <c r="AM539" s="106"/>
    </row>
    <row r="540" spans="1:39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AJ540" s="106"/>
      <c r="AK540" s="106"/>
      <c r="AL540" s="106"/>
      <c r="AM540" s="106"/>
    </row>
    <row r="541" spans="1:39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AJ541" s="106"/>
      <c r="AK541" s="106"/>
      <c r="AL541" s="106"/>
      <c r="AM541" s="106"/>
    </row>
    <row r="542" spans="1:39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AJ542" s="106"/>
      <c r="AK542" s="106"/>
      <c r="AL542" s="106"/>
      <c r="AM542" s="106"/>
    </row>
    <row r="543" spans="1:39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AJ543" s="106"/>
      <c r="AK543" s="106"/>
      <c r="AL543" s="106"/>
      <c r="AM543" s="106"/>
    </row>
    <row r="544" spans="1:39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AJ544" s="106"/>
      <c r="AK544" s="106"/>
      <c r="AL544" s="106"/>
      <c r="AM544" s="106"/>
    </row>
    <row r="545" spans="1:39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AJ545" s="106"/>
      <c r="AK545" s="106"/>
      <c r="AL545" s="106"/>
      <c r="AM545" s="106"/>
    </row>
    <row r="546" spans="1:39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AJ546" s="106"/>
      <c r="AK546" s="106"/>
      <c r="AL546" s="106"/>
      <c r="AM546" s="106"/>
    </row>
    <row r="547" spans="1:39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AJ547" s="106"/>
      <c r="AK547" s="106"/>
      <c r="AL547" s="106"/>
      <c r="AM547" s="106"/>
    </row>
    <row r="548" spans="1:39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AJ548" s="106"/>
      <c r="AK548" s="106"/>
      <c r="AL548" s="106"/>
      <c r="AM548" s="106"/>
    </row>
    <row r="549" spans="1:3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AJ549" s="106"/>
      <c r="AK549" s="106"/>
      <c r="AL549" s="106"/>
      <c r="AM549" s="106"/>
    </row>
    <row r="550" spans="1:39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AJ550" s="106"/>
      <c r="AK550" s="106"/>
      <c r="AL550" s="106"/>
      <c r="AM550" s="106"/>
    </row>
    <row r="551" spans="1:39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AJ551" s="106"/>
      <c r="AK551" s="106"/>
      <c r="AL551" s="106"/>
      <c r="AM551" s="106"/>
    </row>
    <row r="552" spans="1:39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AJ552" s="106"/>
      <c r="AK552" s="106"/>
      <c r="AL552" s="106"/>
      <c r="AM552" s="106"/>
    </row>
    <row r="553" spans="1:39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AJ553" s="106"/>
      <c r="AK553" s="106"/>
      <c r="AL553" s="106"/>
      <c r="AM553" s="106"/>
    </row>
    <row r="554" spans="1:39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AJ554" s="106"/>
      <c r="AK554" s="106"/>
      <c r="AL554" s="106"/>
      <c r="AM554" s="106"/>
    </row>
    <row r="555" spans="1:39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AJ555" s="106"/>
      <c r="AK555" s="106"/>
      <c r="AL555" s="106"/>
      <c r="AM555" s="106"/>
    </row>
    <row r="556" spans="1:39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AJ556" s="106"/>
      <c r="AK556" s="106"/>
      <c r="AL556" s="106"/>
      <c r="AM556" s="106"/>
    </row>
    <row r="557" spans="1:39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AJ557" s="106"/>
      <c r="AK557" s="106"/>
      <c r="AL557" s="106"/>
      <c r="AM557" s="106"/>
    </row>
    <row r="558" spans="1:39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AJ558" s="106"/>
      <c r="AK558" s="106"/>
      <c r="AL558" s="106"/>
      <c r="AM558" s="106"/>
    </row>
    <row r="559" spans="1:3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AJ559" s="106"/>
      <c r="AK559" s="106"/>
      <c r="AL559" s="106"/>
      <c r="AM559" s="106"/>
    </row>
    <row r="560" spans="1:39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AJ560" s="106"/>
      <c r="AK560" s="106"/>
      <c r="AL560" s="106"/>
      <c r="AM560" s="106"/>
    </row>
    <row r="561" spans="1:39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AJ561" s="106"/>
      <c r="AK561" s="106"/>
      <c r="AL561" s="106"/>
      <c r="AM561" s="106"/>
    </row>
    <row r="562" spans="1:39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AJ562" s="106"/>
      <c r="AK562" s="106"/>
      <c r="AL562" s="106"/>
      <c r="AM562" s="106"/>
    </row>
    <row r="563" spans="1:39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AJ563" s="106"/>
      <c r="AK563" s="106"/>
      <c r="AL563" s="106"/>
      <c r="AM563" s="106"/>
    </row>
    <row r="564" spans="1:39" ht="13.8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AJ564" s="105"/>
      <c r="AK564" s="105"/>
      <c r="AL564" s="105"/>
      <c r="AM564" s="105"/>
    </row>
    <row r="565" spans="1:39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AJ565" s="102"/>
      <c r="AK565" s="102"/>
      <c r="AL565" s="102"/>
      <c r="AM565" s="102"/>
    </row>
    <row r="566" spans="1:39" ht="13.8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AJ566" s="108"/>
      <c r="AK566" s="108"/>
      <c r="AL566" s="108"/>
      <c r="AM566" s="108"/>
    </row>
    <row r="567" spans="1:39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AJ567" s="106"/>
      <c r="AK567" s="106"/>
      <c r="AL567" s="106"/>
      <c r="AM567" s="106"/>
    </row>
    <row r="568" spans="1:39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AJ568" s="106"/>
      <c r="AK568" s="106"/>
      <c r="AL568" s="106"/>
      <c r="AM568" s="106"/>
    </row>
    <row r="569" spans="1:3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AJ569" s="106"/>
      <c r="AK569" s="106"/>
      <c r="AL569" s="106"/>
      <c r="AM569" s="106"/>
    </row>
    <row r="570" spans="1:39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AJ570" s="106"/>
      <c r="AK570" s="106"/>
      <c r="AL570" s="106"/>
      <c r="AM570" s="106"/>
    </row>
    <row r="571" spans="1:39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AJ571" s="106"/>
      <c r="AK571" s="106"/>
      <c r="AL571" s="106"/>
      <c r="AM571" s="106"/>
    </row>
    <row r="572" spans="1:39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AJ572" s="106"/>
      <c r="AK572" s="106"/>
      <c r="AL572" s="106"/>
      <c r="AM572" s="106"/>
    </row>
    <row r="573" spans="1:39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AJ573" s="106"/>
      <c r="AK573" s="106"/>
      <c r="AL573" s="106"/>
      <c r="AM573" s="106"/>
    </row>
    <row r="574" spans="1:39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AJ574" s="106"/>
      <c r="AK574" s="106"/>
      <c r="AL574" s="106"/>
      <c r="AM574" s="106"/>
    </row>
    <row r="575" spans="1:39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AJ575" s="106"/>
      <c r="AK575" s="106"/>
      <c r="AL575" s="106"/>
      <c r="AM575" s="106"/>
    </row>
    <row r="576" spans="1:39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AJ576" s="106"/>
      <c r="AK576" s="106"/>
      <c r="AL576" s="106"/>
      <c r="AM576" s="106"/>
    </row>
    <row r="577" spans="1:39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AJ577" s="106"/>
      <c r="AK577" s="106"/>
      <c r="AL577" s="106"/>
      <c r="AM577" s="106"/>
    </row>
    <row r="578" spans="1:39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AJ578" s="106"/>
      <c r="AK578" s="106"/>
      <c r="AL578" s="106"/>
      <c r="AM578" s="106"/>
    </row>
    <row r="579" spans="1:3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AJ579" s="106"/>
      <c r="AK579" s="106"/>
      <c r="AL579" s="106"/>
      <c r="AM579" s="106"/>
    </row>
    <row r="580" spans="1:39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AJ580" s="106"/>
      <c r="AK580" s="106"/>
      <c r="AL580" s="106"/>
      <c r="AM580" s="106"/>
    </row>
    <row r="581" spans="1:39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AJ581" s="106"/>
      <c r="AK581" s="106"/>
      <c r="AL581" s="106"/>
      <c r="AM581" s="106"/>
    </row>
    <row r="582" spans="1:39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AJ582" s="106"/>
      <c r="AK582" s="106"/>
      <c r="AL582" s="106"/>
      <c r="AM582" s="106"/>
    </row>
    <row r="583" spans="1:39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AJ583" s="106"/>
      <c r="AK583" s="106"/>
      <c r="AL583" s="106"/>
      <c r="AM583" s="106"/>
    </row>
    <row r="584" spans="1:39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AJ584" s="106"/>
      <c r="AK584" s="106"/>
      <c r="AL584" s="106"/>
      <c r="AM584" s="106"/>
    </row>
    <row r="585" spans="1:39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AJ585" s="106"/>
      <c r="AK585" s="106"/>
      <c r="AL585" s="106"/>
      <c r="AM585" s="106"/>
    </row>
    <row r="586" spans="1:39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AJ586" s="106"/>
      <c r="AK586" s="106"/>
      <c r="AL586" s="106"/>
      <c r="AM586" s="106"/>
    </row>
    <row r="587" spans="1:39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AJ587" s="106"/>
      <c r="AK587" s="106"/>
      <c r="AL587" s="106"/>
      <c r="AM587" s="106"/>
    </row>
    <row r="588" spans="1:39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AJ588" s="106"/>
      <c r="AK588" s="106"/>
      <c r="AL588" s="106"/>
      <c r="AM588" s="106"/>
    </row>
    <row r="589" spans="1:3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AJ589" s="106"/>
      <c r="AK589" s="106"/>
      <c r="AL589" s="106"/>
      <c r="AM589" s="106"/>
    </row>
    <row r="590" spans="1:39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AJ590" s="106"/>
      <c r="AK590" s="106"/>
      <c r="AL590" s="106"/>
      <c r="AM590" s="106"/>
    </row>
    <row r="591" spans="1:39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AJ591" s="106"/>
      <c r="AK591" s="106"/>
      <c r="AL591" s="106"/>
      <c r="AM591" s="106"/>
    </row>
    <row r="592" spans="1:39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AJ592" s="106"/>
      <c r="AK592" s="106"/>
      <c r="AL592" s="106"/>
      <c r="AM592" s="106"/>
    </row>
    <row r="593" spans="1:39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AJ593" s="106"/>
      <c r="AK593" s="106"/>
      <c r="AL593" s="106"/>
      <c r="AM593" s="106"/>
    </row>
    <row r="594" spans="1:39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AJ594" s="106"/>
      <c r="AK594" s="106"/>
      <c r="AL594" s="106"/>
      <c r="AM594" s="106"/>
    </row>
    <row r="595" spans="1:39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AJ595" s="106"/>
      <c r="AK595" s="106"/>
      <c r="AL595" s="106"/>
      <c r="AM595" s="106"/>
    </row>
    <row r="596" spans="1:39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AJ596" s="106"/>
      <c r="AK596" s="106"/>
      <c r="AL596" s="106"/>
      <c r="AM596" s="106"/>
    </row>
    <row r="597" spans="1:39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AJ597" s="106"/>
      <c r="AK597" s="106"/>
      <c r="AL597" s="106"/>
      <c r="AM597" s="106"/>
    </row>
    <row r="598" spans="1:39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AJ598" s="106"/>
      <c r="AK598" s="106"/>
      <c r="AL598" s="106"/>
      <c r="AM598" s="106"/>
    </row>
    <row r="599" spans="1:3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AJ599" s="106"/>
      <c r="AK599" s="106"/>
      <c r="AL599" s="106"/>
      <c r="AM599" s="106"/>
    </row>
    <row r="600" spans="1:39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AJ600" s="106"/>
      <c r="AK600" s="106"/>
      <c r="AL600" s="106"/>
      <c r="AM600" s="106"/>
    </row>
    <row r="601" spans="1:39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AJ601" s="106"/>
      <c r="AK601" s="106"/>
      <c r="AL601" s="106"/>
      <c r="AM601" s="106"/>
    </row>
    <row r="602" spans="1:39" ht="13.8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AJ602" s="105"/>
      <c r="AK602" s="105"/>
      <c r="AL602" s="105"/>
      <c r="AM602" s="105"/>
    </row>
    <row r="603" spans="1:39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AJ603" s="102"/>
      <c r="AK603" s="102"/>
      <c r="AL603" s="102"/>
      <c r="AM603" s="102"/>
    </row>
    <row r="604" spans="1:39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AJ604" s="106"/>
      <c r="AK604" s="106"/>
      <c r="AL604" s="106"/>
      <c r="AM604" s="106"/>
    </row>
    <row r="605" spans="1:39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AJ605" s="106"/>
      <c r="AK605" s="106"/>
      <c r="AL605" s="106"/>
      <c r="AM605" s="106"/>
    </row>
    <row r="606" spans="1:39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AJ606" s="106"/>
      <c r="AK606" s="106"/>
      <c r="AL606" s="106"/>
      <c r="AM606" s="106"/>
    </row>
    <row r="607" spans="1:39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AJ607" s="106"/>
      <c r="AK607" s="106"/>
      <c r="AL607" s="106"/>
      <c r="AM607" s="106"/>
    </row>
    <row r="608" spans="1:39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AJ608" s="106"/>
      <c r="AK608" s="106"/>
      <c r="AL608" s="106"/>
      <c r="AM608" s="106"/>
    </row>
    <row r="609" spans="1:3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AJ609" s="106"/>
      <c r="AK609" s="106"/>
      <c r="AL609" s="106"/>
      <c r="AM609" s="106"/>
    </row>
    <row r="610" spans="1:39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AJ610" s="106"/>
      <c r="AK610" s="106"/>
      <c r="AL610" s="106"/>
      <c r="AM610" s="106"/>
    </row>
    <row r="611" spans="1:39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AJ611" s="106"/>
      <c r="AK611" s="106"/>
      <c r="AL611" s="106"/>
      <c r="AM611" s="106"/>
    </row>
    <row r="612" spans="1:39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AJ612" s="106"/>
      <c r="AK612" s="106"/>
      <c r="AL612" s="106"/>
      <c r="AM612" s="106"/>
    </row>
    <row r="613" spans="1:39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AJ613" s="106"/>
      <c r="AK613" s="106"/>
      <c r="AL613" s="106"/>
      <c r="AM613" s="106"/>
    </row>
    <row r="614" spans="1:39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AJ614" s="106"/>
      <c r="AK614" s="106"/>
      <c r="AL614" s="106"/>
      <c r="AM614" s="106"/>
    </row>
    <row r="615" spans="1:39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AJ615" s="106"/>
      <c r="AK615" s="106"/>
      <c r="AL615" s="106"/>
      <c r="AM615" s="106"/>
    </row>
    <row r="616" spans="1:39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AJ616" s="106"/>
      <c r="AK616" s="106"/>
      <c r="AL616" s="106"/>
      <c r="AM616" s="106"/>
    </row>
    <row r="617" spans="1:39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AJ617" s="106"/>
      <c r="AK617" s="106"/>
      <c r="AL617" s="106"/>
      <c r="AM617" s="106"/>
    </row>
    <row r="618" spans="1:39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AJ618" s="106"/>
      <c r="AK618" s="106"/>
      <c r="AL618" s="106"/>
      <c r="AM618" s="106"/>
    </row>
    <row r="619" spans="1:3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AJ619" s="106"/>
      <c r="AK619" s="106"/>
      <c r="AL619" s="106"/>
      <c r="AM619" s="106"/>
    </row>
    <row r="620" spans="1:39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AJ620" s="106"/>
      <c r="AK620" s="106"/>
      <c r="AL620" s="106"/>
      <c r="AM620" s="106"/>
    </row>
    <row r="621" spans="1:39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AJ621" s="106"/>
      <c r="AK621" s="106"/>
      <c r="AL621" s="106"/>
      <c r="AM621" s="106"/>
    </row>
    <row r="622" spans="1:39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AJ622" s="106"/>
      <c r="AK622" s="106"/>
      <c r="AL622" s="106"/>
      <c r="AM622" s="106"/>
    </row>
    <row r="623" spans="1:39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AJ623" s="106"/>
      <c r="AK623" s="106"/>
      <c r="AL623" s="106"/>
      <c r="AM623" s="106"/>
    </row>
    <row r="624" spans="1:39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AJ624" s="106"/>
      <c r="AK624" s="106"/>
      <c r="AL624" s="106"/>
      <c r="AM624" s="106"/>
    </row>
    <row r="625" spans="1:39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AJ625" s="106"/>
      <c r="AK625" s="106"/>
      <c r="AL625" s="106"/>
      <c r="AM625" s="106"/>
    </row>
    <row r="626" spans="1:39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AJ626" s="106"/>
      <c r="AK626" s="106"/>
      <c r="AL626" s="106"/>
      <c r="AM626" s="106"/>
    </row>
    <row r="627" spans="1:39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AJ627" s="106"/>
      <c r="AK627" s="106"/>
      <c r="AL627" s="106"/>
      <c r="AM627" s="106"/>
    </row>
    <row r="628" spans="1:39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AJ628" s="106"/>
      <c r="AK628" s="106"/>
      <c r="AL628" s="106"/>
      <c r="AM628" s="106"/>
    </row>
    <row r="629" spans="1:3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AJ629" s="106"/>
      <c r="AK629" s="106"/>
      <c r="AL629" s="106"/>
      <c r="AM629" s="106"/>
    </row>
    <row r="630" spans="1:39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AJ630" s="106"/>
      <c r="AK630" s="106"/>
      <c r="AL630" s="106"/>
      <c r="AM630" s="106"/>
    </row>
    <row r="631" spans="1:39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AJ631" s="107"/>
      <c r="AK631" s="107"/>
      <c r="AL631" s="107"/>
      <c r="AM631" s="107"/>
    </row>
    <row r="632" spans="1:39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AJ632" s="107"/>
      <c r="AK632" s="107"/>
      <c r="AL632" s="107"/>
      <c r="AM632" s="107"/>
    </row>
    <row r="633" spans="1:39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AJ633" s="107"/>
      <c r="AK633" s="107"/>
      <c r="AL633" s="107"/>
      <c r="AM633" s="107"/>
    </row>
    <row r="634" spans="1:39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AJ634" s="107"/>
      <c r="AK634" s="107"/>
      <c r="AL634" s="107"/>
      <c r="AM634" s="107"/>
    </row>
    <row r="635" spans="1:39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AJ635" s="107"/>
      <c r="AK635" s="107"/>
      <c r="AL635" s="107"/>
      <c r="AM635" s="107"/>
    </row>
    <row r="636" spans="1:39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AJ636" s="107"/>
      <c r="AK636" s="107"/>
      <c r="AL636" s="107"/>
      <c r="AM636" s="107"/>
    </row>
    <row r="637" spans="1:39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AJ637" s="107"/>
      <c r="AK637" s="107"/>
      <c r="AL637" s="107"/>
      <c r="AM637" s="107"/>
    </row>
    <row r="638" spans="1:39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AJ638" s="106"/>
      <c r="AK638" s="106"/>
      <c r="AL638" s="106"/>
      <c r="AM638" s="106"/>
    </row>
    <row r="639" spans="1:39" ht="13.8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AJ639" s="105"/>
      <c r="AK639" s="105"/>
      <c r="AL639" s="105"/>
      <c r="AM639" s="105"/>
    </row>
    <row r="640" spans="1:39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AJ640" s="103"/>
      <c r="AK640" s="103"/>
      <c r="AL640" s="103"/>
      <c r="AM640" s="103"/>
    </row>
    <row r="641" spans="1:39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AJ641" s="103"/>
      <c r="AK641" s="103"/>
      <c r="AL641" s="103"/>
      <c r="AM641" s="103"/>
    </row>
    <row r="642" spans="1:39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AJ642" s="102"/>
      <c r="AK642" s="102"/>
      <c r="AL642" s="102"/>
      <c r="AM642" s="102"/>
    </row>
    <row r="643" spans="1:39" ht="13.8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AJ643" s="108"/>
      <c r="AK643" s="108"/>
      <c r="AL643" s="108"/>
      <c r="AM643" s="108"/>
    </row>
    <row r="644" spans="1:39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AJ644" s="107"/>
      <c r="AK644" s="107"/>
      <c r="AL644" s="107"/>
      <c r="AM644" s="107"/>
    </row>
    <row r="645" spans="1:39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AJ645" s="107"/>
      <c r="AK645" s="107"/>
      <c r="AL645" s="107"/>
      <c r="AM645" s="107"/>
    </row>
    <row r="646" spans="1:39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AJ646" s="107"/>
      <c r="AK646" s="107"/>
      <c r="AL646" s="107"/>
      <c r="AM646" s="107"/>
    </row>
    <row r="647" spans="1:39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AJ647" s="107"/>
      <c r="AK647" s="107"/>
      <c r="AL647" s="107"/>
      <c r="AM647" s="107"/>
    </row>
    <row r="648" spans="1:39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AJ648" s="107"/>
      <c r="AK648" s="107"/>
      <c r="AL648" s="107"/>
      <c r="AM648" s="107"/>
    </row>
    <row r="649" spans="1:3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AJ649" s="107"/>
      <c r="AK649" s="107"/>
      <c r="AL649" s="107"/>
      <c r="AM649" s="107"/>
    </row>
    <row r="650" spans="1:39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AJ650" s="107"/>
      <c r="AK650" s="107"/>
      <c r="AL650" s="107"/>
      <c r="AM650" s="107"/>
    </row>
    <row r="651" spans="1:39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AJ651" s="106"/>
      <c r="AK651" s="106"/>
      <c r="AL651" s="106"/>
      <c r="AM651" s="106"/>
    </row>
    <row r="652" spans="1:39" ht="13.8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AJ652" s="105"/>
      <c r="AK652" s="105"/>
      <c r="AL652" s="105"/>
      <c r="AM652" s="105"/>
    </row>
    <row r="653" spans="1:39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AJ653" s="104"/>
      <c r="AK653" s="104"/>
      <c r="AL653" s="104"/>
      <c r="AM653" s="104"/>
    </row>
    <row r="654" spans="1:39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AJ654" s="104"/>
      <c r="AK654" s="104"/>
      <c r="AL654" s="104"/>
      <c r="AM654" s="104"/>
    </row>
    <row r="655" spans="1:39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AJ655" s="104"/>
      <c r="AK655" s="104"/>
      <c r="AL655" s="104"/>
      <c r="AM655" s="104"/>
    </row>
    <row r="656" spans="1:39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AJ656" s="103"/>
      <c r="AK656" s="103"/>
      <c r="AL656" s="103"/>
      <c r="AM656" s="103"/>
    </row>
    <row r="657" spans="1:39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AJ657" s="104"/>
      <c r="AK657" s="104"/>
      <c r="AL657" s="104"/>
      <c r="AM657" s="104"/>
    </row>
    <row r="658" spans="1:39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AJ658" s="104"/>
      <c r="AK658" s="104"/>
      <c r="AL658" s="104"/>
      <c r="AM658" s="104"/>
    </row>
    <row r="659" spans="1:3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AJ659" s="104"/>
      <c r="AK659" s="104"/>
      <c r="AL659" s="104"/>
      <c r="AM659" s="104"/>
    </row>
    <row r="660" spans="1:39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AJ660" s="104"/>
      <c r="AK660" s="104"/>
      <c r="AL660" s="104"/>
      <c r="AM660" s="104"/>
    </row>
    <row r="661" spans="1:39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AJ661" s="104"/>
      <c r="AK661" s="104"/>
      <c r="AL661" s="104"/>
      <c r="AM661" s="104"/>
    </row>
    <row r="662" spans="1:39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AJ662" s="104"/>
      <c r="AK662" s="104"/>
      <c r="AL662" s="104"/>
      <c r="AM662" s="104"/>
    </row>
    <row r="663" spans="1:39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AJ663" s="104"/>
      <c r="AK663" s="104"/>
      <c r="AL663" s="104"/>
      <c r="AM663" s="104"/>
    </row>
    <row r="664" spans="1:39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AJ664" s="104"/>
      <c r="AK664" s="104"/>
      <c r="AL664" s="104"/>
      <c r="AM664" s="104"/>
    </row>
    <row r="665" spans="1:39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AJ665" s="104"/>
      <c r="AK665" s="104"/>
      <c r="AL665" s="104"/>
      <c r="AM665" s="104"/>
    </row>
    <row r="666" spans="1:39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AJ666" s="104"/>
      <c r="AK666" s="104"/>
      <c r="AL666" s="104"/>
      <c r="AM666" s="104"/>
    </row>
    <row r="667" spans="1:39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AJ667" s="104"/>
      <c r="AK667" s="104"/>
      <c r="AL667" s="104"/>
      <c r="AM667" s="104"/>
    </row>
    <row r="668" spans="1:39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AJ668" s="104"/>
      <c r="AK668" s="104"/>
      <c r="AL668" s="104"/>
      <c r="AM668" s="104"/>
    </row>
    <row r="669" spans="1:3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AJ669" s="104"/>
      <c r="AK669" s="104"/>
      <c r="AL669" s="104"/>
      <c r="AM669" s="104"/>
    </row>
    <row r="670" spans="1:39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AJ670" s="103"/>
      <c r="AK670" s="103"/>
      <c r="AL670" s="103"/>
      <c r="AM670" s="103"/>
    </row>
    <row r="671" spans="1:39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AJ671" s="103"/>
      <c r="AK671" s="103"/>
      <c r="AL671" s="103"/>
      <c r="AM671" s="103"/>
    </row>
    <row r="672" spans="1:39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AJ672" s="103"/>
      <c r="AK672" s="103"/>
      <c r="AL672" s="103"/>
      <c r="AM672" s="103"/>
    </row>
    <row r="673" spans="1:39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AJ673" s="103"/>
      <c r="AK673" s="103"/>
      <c r="AL673" s="103"/>
      <c r="AM673" s="103"/>
    </row>
    <row r="674" spans="1:39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AJ674" s="103"/>
      <c r="AK674" s="103"/>
      <c r="AL674" s="103"/>
      <c r="AM674" s="103"/>
    </row>
    <row r="675" spans="1:39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AJ675" s="103"/>
      <c r="AK675" s="103"/>
      <c r="AL675" s="103"/>
      <c r="AM675" s="103"/>
    </row>
    <row r="676" spans="1:39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AJ676" s="103"/>
      <c r="AK676" s="103"/>
      <c r="AL676" s="103"/>
      <c r="AM676" s="103"/>
    </row>
    <row r="677" spans="1:39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AJ677" s="103"/>
      <c r="AK677" s="103"/>
      <c r="AL677" s="103"/>
      <c r="AM677" s="103"/>
    </row>
    <row r="678" spans="1:39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AJ678" s="103"/>
      <c r="AK678" s="103"/>
      <c r="AL678" s="103"/>
      <c r="AM678" s="103"/>
    </row>
    <row r="679" spans="1:3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AJ679" s="102"/>
      <c r="AK679" s="102"/>
      <c r="AL679" s="102"/>
      <c r="AM679" s="102"/>
    </row>
  </sheetData>
  <sheetProtection formatCells="0" formatColumns="0" formatRows="0" insertColumns="0" insertRows="0" insertHyperlinks="0" deleteColumns="0" deleteRows="0" sort="0" autoFilter="0" pivotTables="0"/>
  <mergeCells count="322">
    <mergeCell ref="B8:C9"/>
    <mergeCell ref="H87:H88"/>
    <mergeCell ref="B54:C54"/>
    <mergeCell ref="I87:I88"/>
    <mergeCell ref="P8:Q11"/>
    <mergeCell ref="B16:E16"/>
    <mergeCell ref="B17:E17"/>
    <mergeCell ref="E87:E88"/>
    <mergeCell ref="F87:F88"/>
    <mergeCell ref="G87:G88"/>
    <mergeCell ref="K52:K53"/>
    <mergeCell ref="B12:E14"/>
    <mergeCell ref="B19:C19"/>
    <mergeCell ref="B52:C53"/>
    <mergeCell ref="H52:H53"/>
    <mergeCell ref="T278:T279"/>
    <mergeCell ref="S121:S122"/>
    <mergeCell ref="Q87:Q88"/>
    <mergeCell ref="Q341:Q342"/>
    <mergeCell ref="D6:O6"/>
    <mergeCell ref="P7:Q7"/>
    <mergeCell ref="C373:D373"/>
    <mergeCell ref="B10:C11"/>
    <mergeCell ref="B15:E15"/>
    <mergeCell ref="D184:D185"/>
    <mergeCell ref="O214:O215"/>
    <mergeCell ref="C129:D129"/>
    <mergeCell ref="D151:D152"/>
    <mergeCell ref="J52:J53"/>
    <mergeCell ref="E52:E53"/>
    <mergeCell ref="F52:F53"/>
    <mergeCell ref="G52:G53"/>
    <mergeCell ref="D52:D53"/>
    <mergeCell ref="M184:M185"/>
    <mergeCell ref="C173:D173"/>
    <mergeCell ref="C174:D174"/>
    <mergeCell ref="C145:D145"/>
    <mergeCell ref="D87:D88"/>
    <mergeCell ref="D121:D122"/>
    <mergeCell ref="R370:R371"/>
    <mergeCell ref="R407:R408"/>
    <mergeCell ref="S407:S408"/>
    <mergeCell ref="S370:S371"/>
    <mergeCell ref="T407:T408"/>
    <mergeCell ref="U407:U408"/>
    <mergeCell ref="V407:V408"/>
    <mergeCell ref="T370:T371"/>
    <mergeCell ref="R8:R11"/>
    <mergeCell ref="U278:U279"/>
    <mergeCell ref="V278:V279"/>
    <mergeCell ref="T246:T247"/>
    <mergeCell ref="T214:T215"/>
    <mergeCell ref="T184:T185"/>
    <mergeCell ref="T121:T122"/>
    <mergeCell ref="U184:U185"/>
    <mergeCell ref="V184:V185"/>
    <mergeCell ref="U214:U215"/>
    <mergeCell ref="V214:V215"/>
    <mergeCell ref="T341:T342"/>
    <mergeCell ref="T87:T88"/>
    <mergeCell ref="T52:T53"/>
    <mergeCell ref="R341:R342"/>
    <mergeCell ref="S341:S342"/>
    <mergeCell ref="X52:X53"/>
    <mergeCell ref="X87:X88"/>
    <mergeCell ref="X121:X122"/>
    <mergeCell ref="X151:X152"/>
    <mergeCell ref="X184:X185"/>
    <mergeCell ref="X214:X215"/>
    <mergeCell ref="X246:X247"/>
    <mergeCell ref="X278:X279"/>
    <mergeCell ref="X341:X342"/>
    <mergeCell ref="X407:X408"/>
    <mergeCell ref="X370:X371"/>
    <mergeCell ref="W370:W371"/>
    <mergeCell ref="U370:U371"/>
    <mergeCell ref="V370:V371"/>
    <mergeCell ref="W407:W408"/>
    <mergeCell ref="W341:W342"/>
    <mergeCell ref="U246:U247"/>
    <mergeCell ref="V246:V247"/>
    <mergeCell ref="U341:U342"/>
    <mergeCell ref="W214:W215"/>
    <mergeCell ref="W246:W247"/>
    <mergeCell ref="U52:U53"/>
    <mergeCell ref="V52:V53"/>
    <mergeCell ref="W8:W11"/>
    <mergeCell ref="W278:W279"/>
    <mergeCell ref="V341:V342"/>
    <mergeCell ref="W52:W53"/>
    <mergeCell ref="W87:W88"/>
    <mergeCell ref="W121:W122"/>
    <mergeCell ref="W151:W152"/>
    <mergeCell ref="W184:W185"/>
    <mergeCell ref="V151:V152"/>
    <mergeCell ref="U121:U122"/>
    <mergeCell ref="U151:U152"/>
    <mergeCell ref="V121:V122"/>
    <mergeCell ref="AK6:AL6"/>
    <mergeCell ref="AM6:AN6"/>
    <mergeCell ref="AA6:AA7"/>
    <mergeCell ref="AD6:AD7"/>
    <mergeCell ref="Y6:Y7"/>
    <mergeCell ref="AB6:AB7"/>
    <mergeCell ref="AC6:AC7"/>
    <mergeCell ref="AE6:AE7"/>
    <mergeCell ref="AF6:AF7"/>
    <mergeCell ref="AG6:AG7"/>
    <mergeCell ref="AH6:AH7"/>
    <mergeCell ref="AI6:AI7"/>
    <mergeCell ref="AJ6:AJ7"/>
    <mergeCell ref="Z6:Z7"/>
    <mergeCell ref="C142:D142"/>
    <mergeCell ref="C143:D143"/>
    <mergeCell ref="B121:C122"/>
    <mergeCell ref="C147:D147"/>
    <mergeCell ref="C148:D148"/>
    <mergeCell ref="R151:R152"/>
    <mergeCell ref="S151:S152"/>
    <mergeCell ref="J87:J88"/>
    <mergeCell ref="F184:F185"/>
    <mergeCell ref="G184:G185"/>
    <mergeCell ref="H184:H185"/>
    <mergeCell ref="I184:I185"/>
    <mergeCell ref="C146:D146"/>
    <mergeCell ref="C144:D144"/>
    <mergeCell ref="B89:C89"/>
    <mergeCell ref="E121:E122"/>
    <mergeCell ref="F121:F122"/>
    <mergeCell ref="G121:G122"/>
    <mergeCell ref="N121:N122"/>
    <mergeCell ref="O121:O122"/>
    <mergeCell ref="B87:C88"/>
    <mergeCell ref="R87:R88"/>
    <mergeCell ref="S87:S88"/>
    <mergeCell ref="R121:R122"/>
    <mergeCell ref="U1:V1"/>
    <mergeCell ref="P1:Q1"/>
    <mergeCell ref="P6:Q6"/>
    <mergeCell ref="K87:K88"/>
    <mergeCell ref="L87:L88"/>
    <mergeCell ref="M87:M88"/>
    <mergeCell ref="N87:N88"/>
    <mergeCell ref="P87:P88"/>
    <mergeCell ref="U8:U11"/>
    <mergeCell ref="V8:V11"/>
    <mergeCell ref="U87:U88"/>
    <mergeCell ref="V87:V88"/>
    <mergeCell ref="M52:M53"/>
    <mergeCell ref="N52:N53"/>
    <mergeCell ref="O52:O53"/>
    <mergeCell ref="P52:P53"/>
    <mergeCell ref="O87:O88"/>
    <mergeCell ref="S6:T6"/>
    <mergeCell ref="U6:V6"/>
    <mergeCell ref="R52:R53"/>
    <mergeCell ref="O311:O312"/>
    <mergeCell ref="O184:O185"/>
    <mergeCell ref="P184:P185"/>
    <mergeCell ref="P246:P247"/>
    <mergeCell ref="Q246:Q247"/>
    <mergeCell ref="P311:P312"/>
    <mergeCell ref="S278:S279"/>
    <mergeCell ref="Q278:Q279"/>
    <mergeCell ref="O246:O247"/>
    <mergeCell ref="P278:P279"/>
    <mergeCell ref="R278:R279"/>
    <mergeCell ref="S214:S215"/>
    <mergeCell ref="P214:P215"/>
    <mergeCell ref="Q214:Q215"/>
    <mergeCell ref="O278:O279"/>
    <mergeCell ref="Q407:Q408"/>
    <mergeCell ref="P407:P408"/>
    <mergeCell ref="M407:M408"/>
    <mergeCell ref="N407:N408"/>
    <mergeCell ref="O407:O408"/>
    <mergeCell ref="J407:J408"/>
    <mergeCell ref="P370:P371"/>
    <mergeCell ref="Q370:Q371"/>
    <mergeCell ref="K341:K342"/>
    <mergeCell ref="L341:L342"/>
    <mergeCell ref="P341:P342"/>
    <mergeCell ref="O370:O371"/>
    <mergeCell ref="M341:M342"/>
    <mergeCell ref="N341:N342"/>
    <mergeCell ref="O341:O342"/>
    <mergeCell ref="N370:N371"/>
    <mergeCell ref="K370:K371"/>
    <mergeCell ref="N214:N215"/>
    <mergeCell ref="G370:G371"/>
    <mergeCell ref="H370:H371"/>
    <mergeCell ref="L278:L279"/>
    <mergeCell ref="M278:M279"/>
    <mergeCell ref="L214:L215"/>
    <mergeCell ref="K278:K279"/>
    <mergeCell ref="N278:N279"/>
    <mergeCell ref="L311:L312"/>
    <mergeCell ref="M311:M312"/>
    <mergeCell ref="N311:N312"/>
    <mergeCell ref="N246:N247"/>
    <mergeCell ref="M246:M247"/>
    <mergeCell ref="M214:M215"/>
    <mergeCell ref="B246:C247"/>
    <mergeCell ref="B214:C215"/>
    <mergeCell ref="B184:C185"/>
    <mergeCell ref="B151:C152"/>
    <mergeCell ref="K214:K215"/>
    <mergeCell ref="K246:K247"/>
    <mergeCell ref="L246:L247"/>
    <mergeCell ref="D278:D279"/>
    <mergeCell ref="J151:J152"/>
    <mergeCell ref="K184:K185"/>
    <mergeCell ref="L184:L185"/>
    <mergeCell ref="K151:K152"/>
    <mergeCell ref="L151:L152"/>
    <mergeCell ref="G246:G247"/>
    <mergeCell ref="H246:H247"/>
    <mergeCell ref="F151:F152"/>
    <mergeCell ref="E184:E185"/>
    <mergeCell ref="J184:J185"/>
    <mergeCell ref="E151:E152"/>
    <mergeCell ref="G278:G279"/>
    <mergeCell ref="H278:H279"/>
    <mergeCell ref="I278:I279"/>
    <mergeCell ref="J278:J279"/>
    <mergeCell ref="X6:X7"/>
    <mergeCell ref="L52:L53"/>
    <mergeCell ref="R6:R7"/>
    <mergeCell ref="Q52:Q53"/>
    <mergeCell ref="X8:X11"/>
    <mergeCell ref="S8:S11"/>
    <mergeCell ref="T8:T11"/>
    <mergeCell ref="D246:D247"/>
    <mergeCell ref="I121:I122"/>
    <mergeCell ref="J121:J122"/>
    <mergeCell ref="G151:G152"/>
    <mergeCell ref="H151:H152"/>
    <mergeCell ref="I151:I152"/>
    <mergeCell ref="C149:D149"/>
    <mergeCell ref="C150:D150"/>
    <mergeCell ref="H121:H122"/>
    <mergeCell ref="E246:E247"/>
    <mergeCell ref="I246:I247"/>
    <mergeCell ref="J246:J247"/>
    <mergeCell ref="D214:D215"/>
    <mergeCell ref="E214:E215"/>
    <mergeCell ref="F214:F215"/>
    <mergeCell ref="G214:G215"/>
    <mergeCell ref="H214:H215"/>
    <mergeCell ref="W6:W7"/>
    <mergeCell ref="I214:I215"/>
    <mergeCell ref="J214:J215"/>
    <mergeCell ref="F246:F247"/>
    <mergeCell ref="Q121:Q122"/>
    <mergeCell ref="M151:M152"/>
    <mergeCell ref="Q151:Q152"/>
    <mergeCell ref="O151:O152"/>
    <mergeCell ref="P151:P152"/>
    <mergeCell ref="N151:N152"/>
    <mergeCell ref="K121:K122"/>
    <mergeCell ref="P121:P122"/>
    <mergeCell ref="L121:L122"/>
    <mergeCell ref="M121:M122"/>
    <mergeCell ref="Q184:Q185"/>
    <mergeCell ref="R184:R185"/>
    <mergeCell ref="S184:S185"/>
    <mergeCell ref="N184:N185"/>
    <mergeCell ref="R246:R247"/>
    <mergeCell ref="S246:S247"/>
    <mergeCell ref="R214:R215"/>
    <mergeCell ref="I52:I53"/>
    <mergeCell ref="T151:T152"/>
    <mergeCell ref="S52:S53"/>
    <mergeCell ref="D341:D342"/>
    <mergeCell ref="C315:D315"/>
    <mergeCell ref="C314:D314"/>
    <mergeCell ref="B314:B315"/>
    <mergeCell ref="C313:D313"/>
    <mergeCell ref="K311:K312"/>
    <mergeCell ref="E278:E279"/>
    <mergeCell ref="F278:F279"/>
    <mergeCell ref="E341:E342"/>
    <mergeCell ref="F341:F342"/>
    <mergeCell ref="B278:C279"/>
    <mergeCell ref="G341:G342"/>
    <mergeCell ref="H341:H342"/>
    <mergeCell ref="I341:I342"/>
    <mergeCell ref="J341:J342"/>
    <mergeCell ref="E370:E371"/>
    <mergeCell ref="F370:F371"/>
    <mergeCell ref="K407:K408"/>
    <mergeCell ref="E407:E408"/>
    <mergeCell ref="F407:F408"/>
    <mergeCell ref="G407:G408"/>
    <mergeCell ref="H407:H408"/>
    <mergeCell ref="I407:I408"/>
    <mergeCell ref="I370:I371"/>
    <mergeCell ref="J370:J371"/>
    <mergeCell ref="B407:C408"/>
    <mergeCell ref="B370:C371"/>
    <mergeCell ref="B341:C342"/>
    <mergeCell ref="D370:D371"/>
    <mergeCell ref="D407:D408"/>
    <mergeCell ref="W311:W312"/>
    <mergeCell ref="X311:X312"/>
    <mergeCell ref="B311:C312"/>
    <mergeCell ref="D311:D312"/>
    <mergeCell ref="E311:E312"/>
    <mergeCell ref="F311:F312"/>
    <mergeCell ref="G311:G312"/>
    <mergeCell ref="H311:H312"/>
    <mergeCell ref="I311:I312"/>
    <mergeCell ref="J311:J312"/>
    <mergeCell ref="Q311:Q312"/>
    <mergeCell ref="R311:R312"/>
    <mergeCell ref="S311:S312"/>
    <mergeCell ref="T311:T312"/>
    <mergeCell ref="U311:U312"/>
    <mergeCell ref="V311:V312"/>
    <mergeCell ref="L407:L408"/>
    <mergeCell ref="L370:L371"/>
    <mergeCell ref="M370:M37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Q706"/>
  <sheetViews>
    <sheetView topLeftCell="A34" zoomScale="90" zoomScaleNormal="90" workbookViewId="0">
      <pane ySplit="8" topLeftCell="A510" activePane="bottomLeft" state="frozen"/>
      <selection activeCell="EZ40" sqref="EZ40"/>
      <selection pane="bottomLeft" activeCell="K507" sqref="K507"/>
    </sheetView>
  </sheetViews>
  <sheetFormatPr defaultColWidth="9.109375" defaultRowHeight="13.2"/>
  <cols>
    <col min="1" max="1" width="0.6640625" style="101" customWidth="1"/>
    <col min="2" max="2" width="14.88671875" style="100" customWidth="1"/>
    <col min="3" max="3" width="2" style="100" customWidth="1"/>
    <col min="4" max="4" width="19.6640625" style="99" customWidth="1"/>
    <col min="5" max="5" width="12.6640625" style="99" customWidth="1"/>
    <col min="6" max="7" width="10.6640625" style="99" customWidth="1"/>
    <col min="8" max="15" width="11.6640625" style="99" customWidth="1"/>
    <col min="16" max="16" width="10.33203125" style="99" customWidth="1"/>
    <col min="17" max="17" width="10.6640625" style="99" customWidth="1"/>
    <col min="18" max="23" width="10.33203125" style="99" customWidth="1"/>
    <col min="24" max="24" width="9.109375" style="97"/>
    <col min="25" max="25" width="10.109375" style="97" bestFit="1" customWidth="1"/>
    <col min="26" max="26" width="9.109375" style="97"/>
    <col min="27" max="27" width="9.44140625" style="97" bestFit="1" customWidth="1"/>
    <col min="28" max="35" width="9.109375" style="97"/>
    <col min="36" max="36" width="9.44140625" style="97" bestFit="1" customWidth="1"/>
    <col min="37" max="16384" width="9.109375" style="97"/>
  </cols>
  <sheetData>
    <row r="1" spans="1:42" ht="12" customHeight="1">
      <c r="A1" s="165"/>
      <c r="B1" s="233"/>
      <c r="C1" s="233"/>
      <c r="D1" s="232">
        <v>39</v>
      </c>
      <c r="E1" s="232">
        <v>69</v>
      </c>
      <c r="F1" s="232">
        <v>100</v>
      </c>
      <c r="G1" s="232">
        <v>131</v>
      </c>
      <c r="H1" s="232">
        <v>160</v>
      </c>
      <c r="I1" s="232">
        <v>190</v>
      </c>
      <c r="J1" s="232">
        <v>219</v>
      </c>
      <c r="K1" s="232">
        <v>249</v>
      </c>
      <c r="L1" s="232">
        <v>279</v>
      </c>
      <c r="M1" s="232">
        <v>307</v>
      </c>
      <c r="N1" s="232">
        <v>335</v>
      </c>
      <c r="O1" s="232">
        <v>364</v>
      </c>
      <c r="P1" s="231"/>
      <c r="Q1" s="230"/>
      <c r="R1" s="229"/>
      <c r="S1" s="229"/>
      <c r="T1" s="229"/>
      <c r="U1" s="229"/>
      <c r="V1" s="229"/>
      <c r="W1" s="229"/>
    </row>
    <row r="2" spans="1:42" s="120" customFormat="1" ht="19.5" customHeight="1">
      <c r="A2" s="60"/>
      <c r="B2" s="96" t="s">
        <v>111</v>
      </c>
      <c r="C2" s="96"/>
      <c r="D2" s="96" t="s">
        <v>122</v>
      </c>
      <c r="E2" s="96" t="s">
        <v>121</v>
      </c>
      <c r="F2" s="96" t="s">
        <v>120</v>
      </c>
      <c r="G2" s="96" t="s">
        <v>119</v>
      </c>
      <c r="H2" s="96" t="s">
        <v>118</v>
      </c>
      <c r="I2" s="96" t="s">
        <v>44</v>
      </c>
      <c r="J2" s="96" t="s">
        <v>117</v>
      </c>
      <c r="K2" s="96" t="s">
        <v>116</v>
      </c>
      <c r="L2" s="96" t="s">
        <v>115</v>
      </c>
      <c r="M2" s="96" t="s">
        <v>114</v>
      </c>
      <c r="N2" s="96" t="s">
        <v>113</v>
      </c>
      <c r="O2" s="96" t="s">
        <v>112</v>
      </c>
      <c r="P2" s="2967" t="s">
        <v>111</v>
      </c>
      <c r="Q2" s="2968"/>
      <c r="R2" s="221" t="s">
        <v>110</v>
      </c>
      <c r="S2" s="228"/>
      <c r="T2" s="228"/>
      <c r="U2" s="2969" t="s">
        <v>109</v>
      </c>
      <c r="V2" s="2970"/>
      <c r="W2" s="227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</row>
    <row r="3" spans="1:42" s="166" customFormat="1" ht="16.5" customHeight="1">
      <c r="A3" s="224"/>
      <c r="B3" s="223" t="s">
        <v>290</v>
      </c>
      <c r="C3" s="223"/>
      <c r="D3" s="222">
        <f t="shared" ref="D3:O3" si="0">SUM(D4:D7)</f>
        <v>20069</v>
      </c>
      <c r="E3" s="222">
        <f t="shared" si="0"/>
        <v>8797</v>
      </c>
      <c r="F3" s="222">
        <f t="shared" si="0"/>
        <v>20069</v>
      </c>
      <c r="G3" s="222">
        <f t="shared" si="0"/>
        <v>20069</v>
      </c>
      <c r="H3" s="222">
        <f t="shared" si="0"/>
        <v>20069</v>
      </c>
      <c r="I3" s="222">
        <f t="shared" si="0"/>
        <v>20069</v>
      </c>
      <c r="J3" s="222">
        <f t="shared" si="0"/>
        <v>20069</v>
      </c>
      <c r="K3" s="222">
        <f t="shared" si="0"/>
        <v>20069</v>
      </c>
      <c r="L3" s="222">
        <f t="shared" si="0"/>
        <v>20069</v>
      </c>
      <c r="M3" s="222">
        <f t="shared" si="0"/>
        <v>20069</v>
      </c>
      <c r="N3" s="222">
        <f t="shared" si="0"/>
        <v>20069</v>
      </c>
      <c r="O3" s="222">
        <f t="shared" si="0"/>
        <v>20069</v>
      </c>
      <c r="P3" s="2971">
        <f>SUM(D3:O3)</f>
        <v>229556</v>
      </c>
      <c r="Q3" s="2972"/>
      <c r="R3" s="221">
        <f>P3/12</f>
        <v>19129.666666666668</v>
      </c>
      <c r="S3" s="226" t="s">
        <v>41</v>
      </c>
      <c r="T3" s="219"/>
      <c r="U3" s="2973" t="s">
        <v>254</v>
      </c>
      <c r="V3" s="2972"/>
      <c r="W3" s="218"/>
      <c r="X3" s="2973"/>
      <c r="Y3" s="2973"/>
      <c r="Z3" s="2973"/>
      <c r="AA3" s="2972"/>
    </row>
    <row r="4" spans="1:42" ht="13.8">
      <c r="A4" s="165"/>
      <c r="B4" s="164" t="s">
        <v>35</v>
      </c>
      <c r="C4" s="164"/>
      <c r="D4" s="81">
        <f t="shared" ref="D4:O4" si="1">-$AK$37</f>
        <v>11138</v>
      </c>
      <c r="E4" s="81">
        <f t="shared" si="1"/>
        <v>11138</v>
      </c>
      <c r="F4" s="81">
        <f t="shared" si="1"/>
        <v>11138</v>
      </c>
      <c r="G4" s="81">
        <f t="shared" si="1"/>
        <v>11138</v>
      </c>
      <c r="H4" s="81">
        <f t="shared" si="1"/>
        <v>11138</v>
      </c>
      <c r="I4" s="81">
        <f t="shared" si="1"/>
        <v>11138</v>
      </c>
      <c r="J4" s="81">
        <f t="shared" si="1"/>
        <v>11138</v>
      </c>
      <c r="K4" s="81">
        <f t="shared" si="1"/>
        <v>11138</v>
      </c>
      <c r="L4" s="81">
        <f t="shared" si="1"/>
        <v>11138</v>
      </c>
      <c r="M4" s="81">
        <f t="shared" si="1"/>
        <v>11138</v>
      </c>
      <c r="N4" s="81">
        <f t="shared" si="1"/>
        <v>11138</v>
      </c>
      <c r="O4" s="81">
        <f t="shared" si="1"/>
        <v>11138</v>
      </c>
      <c r="P4" s="216"/>
      <c r="Q4" s="204">
        <f>SUM(D4:O4)</f>
        <v>133656</v>
      </c>
      <c r="R4" s="203">
        <f>Q4/12</f>
        <v>11138</v>
      </c>
      <c r="S4" s="162" t="s">
        <v>35</v>
      </c>
      <c r="T4" s="161"/>
      <c r="U4" s="162" t="s">
        <v>108</v>
      </c>
      <c r="V4" s="161">
        <v>16432</v>
      </c>
      <c r="W4" s="161">
        <v>16432</v>
      </c>
      <c r="X4" s="162" t="s">
        <v>33</v>
      </c>
      <c r="Y4" s="161">
        <f>4032/12</f>
        <v>336</v>
      </c>
      <c r="Z4" s="162" t="s">
        <v>47</v>
      </c>
      <c r="AA4" s="161">
        <v>18478</v>
      </c>
    </row>
    <row r="5" spans="1:42" ht="13.8">
      <c r="A5" s="165"/>
      <c r="B5" s="164" t="s">
        <v>34</v>
      </c>
      <c r="C5" s="164"/>
      <c r="D5" s="81">
        <f>-$AL$37</f>
        <v>7859</v>
      </c>
      <c r="E5" s="81">
        <f>-($AL$37+$AA$7)</f>
        <v>-3413</v>
      </c>
      <c r="F5" s="81">
        <f t="shared" ref="F5:O5" si="2">-$AL$37</f>
        <v>7859</v>
      </c>
      <c r="G5" s="81">
        <f t="shared" si="2"/>
        <v>7859</v>
      </c>
      <c r="H5" s="81">
        <f t="shared" si="2"/>
        <v>7859</v>
      </c>
      <c r="I5" s="81">
        <f t="shared" si="2"/>
        <v>7859</v>
      </c>
      <c r="J5" s="81">
        <f t="shared" si="2"/>
        <v>7859</v>
      </c>
      <c r="K5" s="81">
        <f t="shared" si="2"/>
        <v>7859</v>
      </c>
      <c r="L5" s="81">
        <f t="shared" si="2"/>
        <v>7859</v>
      </c>
      <c r="M5" s="81">
        <f t="shared" si="2"/>
        <v>7859</v>
      </c>
      <c r="N5" s="81">
        <f t="shared" si="2"/>
        <v>7859</v>
      </c>
      <c r="O5" s="81">
        <f t="shared" si="2"/>
        <v>7859</v>
      </c>
      <c r="P5" s="216"/>
      <c r="Q5" s="204">
        <f>SUM(D5:O5)</f>
        <v>83036</v>
      </c>
      <c r="R5" s="203">
        <f>Q5/12</f>
        <v>6919.666666666667</v>
      </c>
      <c r="S5" s="162" t="s">
        <v>34</v>
      </c>
      <c r="T5" s="161"/>
      <c r="U5" s="162" t="s">
        <v>107</v>
      </c>
      <c r="V5" s="161">
        <v>4243</v>
      </c>
      <c r="W5" s="161">
        <v>4243</v>
      </c>
      <c r="X5" s="162" t="s">
        <v>107</v>
      </c>
      <c r="Y5" s="161"/>
      <c r="Z5" s="162" t="s">
        <v>107</v>
      </c>
      <c r="AA5" s="161"/>
    </row>
    <row r="6" spans="1:42" ht="13.8">
      <c r="A6" s="165"/>
      <c r="B6" s="164" t="s">
        <v>33</v>
      </c>
      <c r="C6" s="164"/>
      <c r="D6" s="81">
        <f t="shared" ref="D6:O6" si="3">-$T$6</f>
        <v>-205</v>
      </c>
      <c r="E6" s="81">
        <f t="shared" si="3"/>
        <v>-205</v>
      </c>
      <c r="F6" s="81">
        <f t="shared" si="3"/>
        <v>-205</v>
      </c>
      <c r="G6" s="81">
        <f t="shared" si="3"/>
        <v>-205</v>
      </c>
      <c r="H6" s="81">
        <f t="shared" si="3"/>
        <v>-205</v>
      </c>
      <c r="I6" s="81">
        <f t="shared" si="3"/>
        <v>-205</v>
      </c>
      <c r="J6" s="81">
        <f t="shared" si="3"/>
        <v>-205</v>
      </c>
      <c r="K6" s="81">
        <f t="shared" si="3"/>
        <v>-205</v>
      </c>
      <c r="L6" s="81">
        <f t="shared" si="3"/>
        <v>-205</v>
      </c>
      <c r="M6" s="81">
        <f t="shared" si="3"/>
        <v>-205</v>
      </c>
      <c r="N6" s="81">
        <f t="shared" si="3"/>
        <v>-205</v>
      </c>
      <c r="O6" s="81">
        <f t="shared" si="3"/>
        <v>-205</v>
      </c>
      <c r="P6" s="216"/>
      <c r="Q6" s="204">
        <f>SUM(D6:O6)</f>
        <v>-2460</v>
      </c>
      <c r="R6" s="203">
        <f>Q6/12</f>
        <v>-205</v>
      </c>
      <c r="S6" s="162" t="s">
        <v>33</v>
      </c>
      <c r="T6" s="161">
        <f>ROUNDUP($Y$4*0.61,0)</f>
        <v>205</v>
      </c>
      <c r="U6" s="162" t="s">
        <v>106</v>
      </c>
      <c r="V6" s="161">
        <v>0.39</v>
      </c>
      <c r="W6" s="161">
        <v>0.39</v>
      </c>
      <c r="X6" s="162" t="s">
        <v>106</v>
      </c>
      <c r="Y6" s="161">
        <v>0.39</v>
      </c>
      <c r="Z6" s="162" t="s">
        <v>106</v>
      </c>
      <c r="AA6" s="161">
        <v>0.39</v>
      </c>
    </row>
    <row r="7" spans="1:42" ht="13.8">
      <c r="A7" s="165"/>
      <c r="B7" s="164" t="s">
        <v>31</v>
      </c>
      <c r="C7" s="164"/>
      <c r="D7" s="81">
        <f t="shared" ref="D7:O7" si="4">-$Y$37</f>
        <v>1277</v>
      </c>
      <c r="E7" s="81">
        <f t="shared" si="4"/>
        <v>1277</v>
      </c>
      <c r="F7" s="81">
        <f t="shared" si="4"/>
        <v>1277</v>
      </c>
      <c r="G7" s="81">
        <f t="shared" si="4"/>
        <v>1277</v>
      </c>
      <c r="H7" s="81">
        <f t="shared" si="4"/>
        <v>1277</v>
      </c>
      <c r="I7" s="81">
        <f t="shared" si="4"/>
        <v>1277</v>
      </c>
      <c r="J7" s="81">
        <f t="shared" si="4"/>
        <v>1277</v>
      </c>
      <c r="K7" s="81">
        <f t="shared" si="4"/>
        <v>1277</v>
      </c>
      <c r="L7" s="81">
        <f t="shared" si="4"/>
        <v>1277</v>
      </c>
      <c r="M7" s="81">
        <f t="shared" si="4"/>
        <v>1277</v>
      </c>
      <c r="N7" s="81">
        <f t="shared" si="4"/>
        <v>1277</v>
      </c>
      <c r="O7" s="81">
        <f t="shared" si="4"/>
        <v>1277</v>
      </c>
      <c r="P7" s="216"/>
      <c r="Q7" s="225">
        <f>SUM(D7:O7)</f>
        <v>15324</v>
      </c>
      <c r="R7" s="203">
        <f>Q7/12</f>
        <v>1277</v>
      </c>
      <c r="S7" s="162"/>
      <c r="T7" s="161"/>
      <c r="U7" s="162" t="s">
        <v>41</v>
      </c>
      <c r="V7" s="161">
        <f>ROUNDUP($V$4-(($V$4-$V$5)*$V$6),0)</f>
        <v>11679</v>
      </c>
      <c r="W7" s="161">
        <f>ROUNDUP($V$4-(($V$4-$V$5)*$V$6),0)</f>
        <v>11679</v>
      </c>
      <c r="X7" s="162" t="s">
        <v>41</v>
      </c>
      <c r="Y7" s="161">
        <f>ROUNDUP($Y$4*0.61,0)</f>
        <v>205</v>
      </c>
      <c r="Z7" s="162" t="s">
        <v>41</v>
      </c>
      <c r="AA7" s="161">
        <f>ROUNDUP($AA$4*0.61,0)</f>
        <v>11272</v>
      </c>
    </row>
    <row r="8" spans="1:42" s="166" customFormat="1" ht="16.5" customHeight="1">
      <c r="A8" s="224"/>
      <c r="B8" s="223" t="s">
        <v>289</v>
      </c>
      <c r="C8" s="223"/>
      <c r="D8" s="222" t="e">
        <f t="shared" ref="D8:O8" si="5">SUM(D9:D31)</f>
        <v>#REF!</v>
      </c>
      <c r="E8" s="222" t="e">
        <f t="shared" si="5"/>
        <v>#REF!</v>
      </c>
      <c r="F8" s="222" t="e">
        <f t="shared" si="5"/>
        <v>#REF!</v>
      </c>
      <c r="G8" s="222" t="e">
        <f t="shared" si="5"/>
        <v>#REF!</v>
      </c>
      <c r="H8" s="222" t="e">
        <f t="shared" si="5"/>
        <v>#REF!</v>
      </c>
      <c r="I8" s="222" t="e">
        <f t="shared" si="5"/>
        <v>#REF!</v>
      </c>
      <c r="J8" s="222" t="e">
        <f t="shared" si="5"/>
        <v>#REF!</v>
      </c>
      <c r="K8" s="222" t="e">
        <f t="shared" si="5"/>
        <v>#REF!</v>
      </c>
      <c r="L8" s="222" t="e">
        <f t="shared" si="5"/>
        <v>#REF!</v>
      </c>
      <c r="M8" s="222" t="e">
        <f t="shared" si="5"/>
        <v>#REF!</v>
      </c>
      <c r="N8" s="222" t="e">
        <f t="shared" si="5"/>
        <v>#REF!</v>
      </c>
      <c r="O8" s="222" t="e">
        <f t="shared" si="5"/>
        <v>#REF!</v>
      </c>
      <c r="P8" s="2971" t="s">
        <v>111</v>
      </c>
      <c r="Q8" s="2972"/>
      <c r="R8" s="221" t="s">
        <v>110</v>
      </c>
      <c r="S8" s="220"/>
      <c r="T8" s="219"/>
      <c r="U8" s="218"/>
      <c r="V8" s="217"/>
      <c r="W8" s="217"/>
    </row>
    <row r="9" spans="1:42" ht="12" customHeight="1">
      <c r="A9" s="165"/>
      <c r="B9" s="214" t="s">
        <v>30</v>
      </c>
      <c r="C9" s="214"/>
      <c r="D9" s="213">
        <f>$V$9</f>
        <v>7474</v>
      </c>
      <c r="E9" s="213">
        <f>$V$9+9717</f>
        <v>17191</v>
      </c>
      <c r="F9" s="213">
        <f>$V$9</f>
        <v>7474</v>
      </c>
      <c r="G9" s="213">
        <f>$V$9</f>
        <v>7474</v>
      </c>
      <c r="H9" s="213">
        <f>$V$9</f>
        <v>7474</v>
      </c>
      <c r="I9" s="213">
        <f>$V$9</f>
        <v>7474</v>
      </c>
      <c r="J9" s="213">
        <f>$V$9/2</f>
        <v>3737</v>
      </c>
      <c r="K9" s="213">
        <f>$V$9</f>
        <v>7474</v>
      </c>
      <c r="L9" s="213">
        <f>$V$9</f>
        <v>7474</v>
      </c>
      <c r="M9" s="213">
        <f>$V$9</f>
        <v>7474</v>
      </c>
      <c r="N9" s="213">
        <f>$V$9/2</f>
        <v>3737</v>
      </c>
      <c r="O9" s="213">
        <f>$V$9</f>
        <v>7474</v>
      </c>
      <c r="P9" s="216"/>
      <c r="Q9" s="204">
        <f t="shared" ref="Q9:Q32" si="6">SUM(D9:O9)</f>
        <v>91931</v>
      </c>
      <c r="R9" s="203">
        <f t="shared" ref="R9:R32" si="7">Q9/12</f>
        <v>7660.916666666667</v>
      </c>
      <c r="S9" s="85"/>
      <c r="T9" s="208"/>
      <c r="U9" s="208" t="s">
        <v>30</v>
      </c>
      <c r="V9" s="199">
        <v>7474</v>
      </c>
      <c r="W9" s="199">
        <v>7474</v>
      </c>
    </row>
    <row r="10" spans="1:42" ht="12" customHeight="1">
      <c r="A10" s="165"/>
      <c r="B10" s="214" t="s">
        <v>265</v>
      </c>
      <c r="C10" s="214"/>
      <c r="D10" s="213">
        <f>$Z$37</f>
        <v>602.4</v>
      </c>
      <c r="E10" s="213">
        <f>$Z$37</f>
        <v>602.4</v>
      </c>
      <c r="F10" s="213">
        <f>$Z$37</f>
        <v>602.4</v>
      </c>
      <c r="G10" s="213" t="e">
        <f>#REF!</f>
        <v>#REF!</v>
      </c>
      <c r="H10" s="213"/>
      <c r="I10" s="213"/>
      <c r="J10" s="213"/>
      <c r="K10" s="213"/>
      <c r="L10" s="213"/>
      <c r="M10" s="213"/>
      <c r="N10" s="213"/>
      <c r="O10" s="213"/>
      <c r="P10" s="209"/>
      <c r="Q10" s="215" t="e">
        <f t="shared" si="6"/>
        <v>#REF!</v>
      </c>
      <c r="R10" s="203" t="e">
        <f t="shared" si="7"/>
        <v>#REF!</v>
      </c>
      <c r="S10" s="202"/>
      <c r="T10" s="208"/>
      <c r="U10" s="208" t="s">
        <v>37</v>
      </c>
      <c r="V10" s="199"/>
      <c r="W10" s="199"/>
    </row>
    <row r="11" spans="1:42" ht="12" customHeight="1">
      <c r="A11" s="165"/>
      <c r="B11" s="214" t="s">
        <v>264</v>
      </c>
      <c r="C11" s="214"/>
      <c r="D11" s="213">
        <f t="shared" ref="D11:L11" si="8">$AA$37</f>
        <v>490</v>
      </c>
      <c r="E11" s="213">
        <f t="shared" si="8"/>
        <v>490</v>
      </c>
      <c r="F11" s="213">
        <f t="shared" si="8"/>
        <v>490</v>
      </c>
      <c r="G11" s="213">
        <f t="shared" si="8"/>
        <v>490</v>
      </c>
      <c r="H11" s="213">
        <f t="shared" si="8"/>
        <v>490</v>
      </c>
      <c r="I11" s="213">
        <f t="shared" si="8"/>
        <v>490</v>
      </c>
      <c r="J11" s="213">
        <f t="shared" si="8"/>
        <v>490</v>
      </c>
      <c r="K11" s="213">
        <f t="shared" si="8"/>
        <v>490</v>
      </c>
      <c r="L11" s="213">
        <f t="shared" si="8"/>
        <v>490</v>
      </c>
      <c r="M11" s="213" t="e">
        <f>#REF!</f>
        <v>#REF!</v>
      </c>
      <c r="N11" s="213"/>
      <c r="O11" s="213"/>
      <c r="P11" s="209"/>
      <c r="Q11" s="204" t="e">
        <f t="shared" si="6"/>
        <v>#REF!</v>
      </c>
      <c r="R11" s="203" t="e">
        <f t="shared" si="7"/>
        <v>#REF!</v>
      </c>
      <c r="S11" s="202"/>
      <c r="T11" s="208"/>
      <c r="U11" s="208" t="s">
        <v>15</v>
      </c>
      <c r="V11" s="199"/>
      <c r="W11" s="199"/>
    </row>
    <row r="12" spans="1:42" ht="12" customHeight="1">
      <c r="A12" s="165"/>
      <c r="B12" s="214" t="s">
        <v>182</v>
      </c>
      <c r="C12" s="214"/>
      <c r="D12" s="213" t="e">
        <f>#REF!</f>
        <v>#REF!</v>
      </c>
      <c r="E12" s="213" t="e">
        <f>#REF!</f>
        <v>#REF!</v>
      </c>
      <c r="F12" s="213" t="e">
        <f>#REF!</f>
        <v>#REF!</v>
      </c>
      <c r="G12" s="213" t="e">
        <f>#REF!</f>
        <v>#REF!</v>
      </c>
      <c r="H12" s="213" t="e">
        <f>#REF!</f>
        <v>#REF!</v>
      </c>
      <c r="I12" s="213" t="e">
        <f>#REF!</f>
        <v>#REF!</v>
      </c>
      <c r="J12" s="213" t="e">
        <f>#REF!</f>
        <v>#REF!</v>
      </c>
      <c r="K12" s="213" t="e">
        <f>#REF!</f>
        <v>#REF!</v>
      </c>
      <c r="L12" s="213" t="e">
        <f>#REF!</f>
        <v>#REF!</v>
      </c>
      <c r="M12" s="213" t="e">
        <f>#REF!</f>
        <v>#REF!</v>
      </c>
      <c r="N12" s="213" t="e">
        <f>#REF!</f>
        <v>#REF!</v>
      </c>
      <c r="O12" s="213" t="e">
        <f>#REF!</f>
        <v>#REF!</v>
      </c>
      <c r="P12" s="209"/>
      <c r="Q12" s="204" t="e">
        <f t="shared" si="6"/>
        <v>#REF!</v>
      </c>
      <c r="R12" s="203" t="e">
        <f t="shared" si="7"/>
        <v>#REF!</v>
      </c>
      <c r="S12" s="202"/>
      <c r="T12" s="208"/>
      <c r="U12" s="208" t="s">
        <v>288</v>
      </c>
      <c r="V12" s="199">
        <v>258</v>
      </c>
      <c r="W12" s="199">
        <v>258</v>
      </c>
    </row>
    <row r="13" spans="1:42" ht="12" customHeight="1">
      <c r="A13" s="165"/>
      <c r="B13" s="214" t="s">
        <v>183</v>
      </c>
      <c r="C13" s="214"/>
      <c r="D13" s="213">
        <f t="shared" ref="D13:O13" si="9">$AB$37</f>
        <v>548.75</v>
      </c>
      <c r="E13" s="213">
        <f t="shared" si="9"/>
        <v>548.75</v>
      </c>
      <c r="F13" s="213">
        <f t="shared" si="9"/>
        <v>548.75</v>
      </c>
      <c r="G13" s="213">
        <f t="shared" si="9"/>
        <v>548.75</v>
      </c>
      <c r="H13" s="213">
        <f t="shared" si="9"/>
        <v>548.75</v>
      </c>
      <c r="I13" s="213">
        <f t="shared" si="9"/>
        <v>548.75</v>
      </c>
      <c r="J13" s="213">
        <f t="shared" si="9"/>
        <v>548.75</v>
      </c>
      <c r="K13" s="213">
        <f t="shared" si="9"/>
        <v>548.75</v>
      </c>
      <c r="L13" s="213">
        <f t="shared" si="9"/>
        <v>548.75</v>
      </c>
      <c r="M13" s="213">
        <f t="shared" si="9"/>
        <v>548.75</v>
      </c>
      <c r="N13" s="213">
        <f t="shared" si="9"/>
        <v>548.75</v>
      </c>
      <c r="O13" s="213">
        <f t="shared" si="9"/>
        <v>548.75</v>
      </c>
      <c r="P13" s="209"/>
      <c r="Q13" s="204">
        <f t="shared" si="6"/>
        <v>6585</v>
      </c>
      <c r="R13" s="203">
        <f t="shared" si="7"/>
        <v>548.75</v>
      </c>
      <c r="S13" s="202"/>
      <c r="T13" s="208"/>
      <c r="U13" s="208" t="s">
        <v>287</v>
      </c>
      <c r="V13" s="199"/>
      <c r="W13" s="199"/>
    </row>
    <row r="14" spans="1:42" ht="12" customHeight="1">
      <c r="A14" s="165"/>
      <c r="B14" s="214" t="s">
        <v>20</v>
      </c>
      <c r="C14" s="214"/>
      <c r="D14" s="213">
        <f t="shared" ref="D14:O14" si="10">$AC$37</f>
        <v>183.59</v>
      </c>
      <c r="E14" s="213">
        <f t="shared" si="10"/>
        <v>183.59</v>
      </c>
      <c r="F14" s="213">
        <f t="shared" si="10"/>
        <v>183.59</v>
      </c>
      <c r="G14" s="213">
        <f t="shared" si="10"/>
        <v>183.59</v>
      </c>
      <c r="H14" s="213">
        <f t="shared" si="10"/>
        <v>183.59</v>
      </c>
      <c r="I14" s="213">
        <f t="shared" si="10"/>
        <v>183.59</v>
      </c>
      <c r="J14" s="213">
        <f t="shared" si="10"/>
        <v>183.59</v>
      </c>
      <c r="K14" s="213">
        <f t="shared" si="10"/>
        <v>183.59</v>
      </c>
      <c r="L14" s="213">
        <f t="shared" si="10"/>
        <v>183.59</v>
      </c>
      <c r="M14" s="213">
        <f t="shared" si="10"/>
        <v>183.59</v>
      </c>
      <c r="N14" s="213">
        <f t="shared" si="10"/>
        <v>183.59</v>
      </c>
      <c r="O14" s="213">
        <f t="shared" si="10"/>
        <v>183.59</v>
      </c>
      <c r="P14" s="209"/>
      <c r="Q14" s="204">
        <f t="shared" si="6"/>
        <v>2203.0799999999995</v>
      </c>
      <c r="R14" s="203">
        <f t="shared" si="7"/>
        <v>183.58999999999995</v>
      </c>
      <c r="S14" s="202"/>
      <c r="T14" s="208"/>
      <c r="U14" s="208" t="s">
        <v>14</v>
      </c>
      <c r="V14" s="199">
        <v>420</v>
      </c>
      <c r="W14" s="199">
        <v>420</v>
      </c>
    </row>
    <row r="15" spans="1:42" ht="12" customHeight="1">
      <c r="A15" s="165"/>
      <c r="B15" s="214" t="s">
        <v>100</v>
      </c>
      <c r="C15" s="214"/>
      <c r="D15" s="213" t="e">
        <f>'[4]El-'!#REF!</f>
        <v>#REF!</v>
      </c>
      <c r="E15" s="213"/>
      <c r="F15" s="213"/>
      <c r="G15" s="213">
        <f>$AD$37</f>
        <v>815</v>
      </c>
      <c r="H15" s="213"/>
      <c r="I15" s="213"/>
      <c r="J15" s="213">
        <f>$AD$37</f>
        <v>815</v>
      </c>
      <c r="K15" s="213"/>
      <c r="L15" s="213"/>
      <c r="M15" s="213">
        <f>$AD$37</f>
        <v>815</v>
      </c>
      <c r="N15" s="213"/>
      <c r="O15" s="213"/>
      <c r="P15" s="209"/>
      <c r="Q15" s="204" t="e">
        <f t="shared" si="6"/>
        <v>#REF!</v>
      </c>
      <c r="R15" s="203" t="e">
        <f t="shared" si="7"/>
        <v>#REF!</v>
      </c>
      <c r="S15" s="202"/>
      <c r="T15" s="208"/>
      <c r="U15" s="212" t="s">
        <v>286</v>
      </c>
      <c r="V15" s="199">
        <f>30*4.25</f>
        <v>127.5</v>
      </c>
      <c r="W15" s="199">
        <f>30*4.25</f>
        <v>127.5</v>
      </c>
    </row>
    <row r="16" spans="1:42" ht="12" customHeight="1">
      <c r="A16" s="165"/>
      <c r="B16" s="214" t="s">
        <v>285</v>
      </c>
      <c r="C16" s="214"/>
      <c r="D16" s="213">
        <v>1699</v>
      </c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09"/>
      <c r="Q16" s="204">
        <f t="shared" si="6"/>
        <v>1699</v>
      </c>
      <c r="R16" s="203">
        <f t="shared" si="7"/>
        <v>141.58333333333334</v>
      </c>
      <c r="S16" s="202"/>
      <c r="T16" s="208"/>
      <c r="U16" s="212" t="s">
        <v>284</v>
      </c>
      <c r="V16" s="199">
        <v>300</v>
      </c>
      <c r="W16" s="199">
        <v>300</v>
      </c>
    </row>
    <row r="17" spans="1:42" ht="12" customHeight="1">
      <c r="A17" s="165"/>
      <c r="B17" s="214" t="s">
        <v>283</v>
      </c>
      <c r="C17" s="214"/>
      <c r="D17" s="213"/>
      <c r="E17" s="213">
        <f>$AG$36</f>
        <v>8060</v>
      </c>
      <c r="F17" s="213"/>
      <c r="G17" s="213"/>
      <c r="H17" s="213"/>
      <c r="I17" s="213"/>
      <c r="J17" s="213"/>
      <c r="K17" s="213">
        <f>$AG$36</f>
        <v>8060</v>
      </c>
      <c r="L17" s="213"/>
      <c r="M17" s="213"/>
      <c r="N17" s="213"/>
      <c r="O17" s="213"/>
      <c r="P17" s="209"/>
      <c r="Q17" s="204">
        <f t="shared" si="6"/>
        <v>16120</v>
      </c>
      <c r="R17" s="203">
        <f t="shared" si="7"/>
        <v>1343.3333333333333</v>
      </c>
      <c r="S17" s="202"/>
      <c r="T17" s="208"/>
      <c r="U17" s="212" t="s">
        <v>48</v>
      </c>
      <c r="V17" s="199">
        <v>800</v>
      </c>
      <c r="W17" s="199">
        <v>800</v>
      </c>
    </row>
    <row r="18" spans="1:42" ht="12" customHeight="1">
      <c r="A18" s="165"/>
      <c r="B18" s="214" t="s">
        <v>99</v>
      </c>
      <c r="C18" s="214"/>
      <c r="D18" s="213"/>
      <c r="E18" s="213">
        <f>$AI$37</f>
        <v>2300</v>
      </c>
      <c r="F18" s="213"/>
      <c r="G18" s="213"/>
      <c r="H18" s="213"/>
      <c r="I18" s="213"/>
      <c r="J18" s="213">
        <f>$AI$37</f>
        <v>2300</v>
      </c>
      <c r="K18" s="213"/>
      <c r="L18" s="213"/>
      <c r="M18" s="213"/>
      <c r="N18" s="213"/>
      <c r="O18" s="213"/>
      <c r="P18" s="209"/>
      <c r="Q18" s="204">
        <f t="shared" si="6"/>
        <v>4600</v>
      </c>
      <c r="R18" s="203">
        <f t="shared" si="7"/>
        <v>383.33333333333331</v>
      </c>
      <c r="S18" s="202"/>
      <c r="T18" s="208"/>
      <c r="U18" s="212" t="s">
        <v>282</v>
      </c>
      <c r="V18" s="199" t="e">
        <f>AVERAGE(#REF!)</f>
        <v>#REF!</v>
      </c>
      <c r="W18" s="199" t="e">
        <f>AVERAGE(#REF!)</f>
        <v>#REF!</v>
      </c>
    </row>
    <row r="19" spans="1:42" ht="12" customHeight="1">
      <c r="A19" s="165"/>
      <c r="B19" s="211" t="s">
        <v>281</v>
      </c>
      <c r="C19" s="211"/>
      <c r="D19" s="206" t="e">
        <f>IF(#REF!=0,$V10,#REF!)</f>
        <v>#REF!</v>
      </c>
      <c r="E19" s="206" t="e">
        <f>IF(#REF!=0,$V10,#REF!)</f>
        <v>#REF!</v>
      </c>
      <c r="F19" s="206" t="e">
        <f>IF(#REF!=0,$V10,#REF!)</f>
        <v>#REF!</v>
      </c>
      <c r="G19" s="206" t="e">
        <f>IF(#REF!=0,$V10,#REF!)</f>
        <v>#REF!</v>
      </c>
      <c r="H19" s="206" t="e">
        <f>IF(#REF!=0,$V10,#REF!)</f>
        <v>#REF!</v>
      </c>
      <c r="I19" s="206" t="e">
        <f>IF(#REF!=0,$V10,#REF!)</f>
        <v>#REF!</v>
      </c>
      <c r="J19" s="206" t="e">
        <f>IF(#REF!=0,$V10,#REF!)</f>
        <v>#REF!</v>
      </c>
      <c r="K19" s="206" t="e">
        <f>IF(#REF!=0,$V10,#REF!)</f>
        <v>#REF!</v>
      </c>
      <c r="L19" s="206" t="e">
        <f>IF(#REF!=0,$V10,#REF!)</f>
        <v>#REF!</v>
      </c>
      <c r="M19" s="206" t="e">
        <f>IF(#REF!=0,$V10,#REF!)</f>
        <v>#REF!</v>
      </c>
      <c r="N19" s="206" t="e">
        <f>IF(#REF!=0,$V10,#REF!)</f>
        <v>#REF!</v>
      </c>
      <c r="O19" s="206" t="e">
        <f>IF(#REF!=0,$V10,#REF!)</f>
        <v>#REF!</v>
      </c>
      <c r="P19" s="209"/>
      <c r="Q19" s="204" t="e">
        <f t="shared" si="6"/>
        <v>#REF!</v>
      </c>
      <c r="R19" s="203" t="e">
        <f t="shared" si="7"/>
        <v>#REF!</v>
      </c>
      <c r="S19" s="202"/>
      <c r="T19" s="208"/>
      <c r="U19" s="212" t="s">
        <v>280</v>
      </c>
      <c r="V19" s="199">
        <f>176+89+64</f>
        <v>329</v>
      </c>
      <c r="W19" s="199">
        <f>176+89+64</f>
        <v>329</v>
      </c>
    </row>
    <row r="20" spans="1:42" ht="12" customHeight="1">
      <c r="A20" s="165"/>
      <c r="B20" s="211" t="s">
        <v>279</v>
      </c>
      <c r="C20" s="211"/>
      <c r="D20" s="206" t="e">
        <f>IF(#REF!&lt;$V$11,$V$11,#REF!)</f>
        <v>#REF!</v>
      </c>
      <c r="E20" s="206" t="e">
        <f>IF(#REF!&lt;$V$11,$V$11,#REF!)</f>
        <v>#REF!</v>
      </c>
      <c r="F20" s="206" t="e">
        <f>IF(#REF!=0,$V11,#REF!)</f>
        <v>#REF!</v>
      </c>
      <c r="G20" s="206" t="e">
        <f>IF(#REF!=0,$V11,#REF!)</f>
        <v>#REF!</v>
      </c>
      <c r="H20" s="206" t="e">
        <f>IF(#REF!=0,$V11,#REF!)</f>
        <v>#REF!</v>
      </c>
      <c r="I20" s="206" t="e">
        <f>IF(#REF!=0,$V11,#REF!)</f>
        <v>#REF!</v>
      </c>
      <c r="J20" s="206" t="e">
        <f>IF(#REF!=0,$V11,#REF!)</f>
        <v>#REF!</v>
      </c>
      <c r="K20" s="206" t="e">
        <f>IF(#REF!=0,$V11,#REF!)</f>
        <v>#REF!</v>
      </c>
      <c r="L20" s="206" t="e">
        <f>IF(#REF!=0,$V11,#REF!)</f>
        <v>#REF!</v>
      </c>
      <c r="M20" s="206" t="e">
        <f>IF(#REF!=0,$V11,#REF!)</f>
        <v>#REF!</v>
      </c>
      <c r="N20" s="206" t="e">
        <f>IF(#REF!=0,$V11,#REF!)</f>
        <v>#REF!</v>
      </c>
      <c r="O20" s="206" t="e">
        <f>IF(#REF!=0,$V11,#REF!)</f>
        <v>#REF!</v>
      </c>
      <c r="P20" s="209"/>
      <c r="Q20" s="204" t="e">
        <f t="shared" si="6"/>
        <v>#REF!</v>
      </c>
      <c r="R20" s="203" t="e">
        <f t="shared" si="7"/>
        <v>#REF!</v>
      </c>
      <c r="S20" s="202"/>
      <c r="T20" s="208"/>
      <c r="U20" s="212" t="s">
        <v>278</v>
      </c>
      <c r="V20" s="199">
        <v>504</v>
      </c>
      <c r="W20" s="199">
        <v>504</v>
      </c>
    </row>
    <row r="21" spans="1:42" ht="12" customHeight="1">
      <c r="A21" s="165"/>
      <c r="B21" s="211" t="s">
        <v>277</v>
      </c>
      <c r="C21" s="211"/>
      <c r="D21" s="206">
        <v>62.52</v>
      </c>
      <c r="E21" s="206" t="e">
        <f>IF(#REF!&lt;#REF!,#REF!,#REF!)</f>
        <v>#REF!</v>
      </c>
      <c r="F21" s="206" t="e">
        <f>IF(#REF!&lt;#REF!,#REF!,#REF!)</f>
        <v>#REF!</v>
      </c>
      <c r="G21" s="206" t="e">
        <f>IF(#REF!=0,#REF!,#REF!)</f>
        <v>#REF!</v>
      </c>
      <c r="H21" s="206" t="e">
        <f>IF(#REF!=0,0,#REF!)</f>
        <v>#REF!</v>
      </c>
      <c r="I21" s="206" t="e">
        <f>IF(#REF!=0,#REF!,#REF!)</f>
        <v>#REF!</v>
      </c>
      <c r="J21" s="206" t="e">
        <f>IF(#REF!=0,#REF!,#REF!)</f>
        <v>#REF!</v>
      </c>
      <c r="K21" s="206" t="e">
        <f>IF(#REF!=0,#REF!,#REF!)</f>
        <v>#REF!</v>
      </c>
      <c r="L21" s="206" t="e">
        <f>IF(#REF!=0,#REF!+#REF!/2,#REF!)</f>
        <v>#REF!</v>
      </c>
      <c r="M21" s="206" t="e">
        <f>IF(#REF!=0,#REF!/2,#REF!)</f>
        <v>#REF!</v>
      </c>
      <c r="N21" s="206" t="e">
        <f>IF(#REF!=0,#REF!*0.25,#REF!)</f>
        <v>#REF!</v>
      </c>
      <c r="O21" s="206" t="e">
        <f>IF(#REF!=0,(#REF!*0.25)+(#REF!*0.25),#REF!)</f>
        <v>#REF!</v>
      </c>
      <c r="P21" s="209"/>
      <c r="Q21" s="204" t="e">
        <f t="shared" si="6"/>
        <v>#REF!</v>
      </c>
      <c r="R21" s="203" t="e">
        <f t="shared" si="7"/>
        <v>#REF!</v>
      </c>
      <c r="S21" s="202"/>
      <c r="T21" s="208"/>
      <c r="U21" s="200" t="s">
        <v>126</v>
      </c>
      <c r="V21" s="199">
        <v>124</v>
      </c>
      <c r="W21" s="199">
        <v>124</v>
      </c>
    </row>
    <row r="22" spans="1:42" ht="12" customHeight="1">
      <c r="A22" s="165"/>
      <c r="B22" s="211" t="s">
        <v>276</v>
      </c>
      <c r="C22" s="211"/>
      <c r="D22" s="206" t="e">
        <f>IF(#REF!=0,$V13,#REF!)</f>
        <v>#REF!</v>
      </c>
      <c r="E22" s="206" t="e">
        <f>IF(#REF!=0,$V13,#REF!)</f>
        <v>#REF!</v>
      </c>
      <c r="F22" s="206" t="e">
        <f>IF(#REF!=0,$V13,#REF!)</f>
        <v>#REF!</v>
      </c>
      <c r="G22" s="206" t="e">
        <f>IF(#REF!=0,$V13,#REF!)</f>
        <v>#REF!</v>
      </c>
      <c r="H22" s="206" t="e">
        <f>IF(#REF!=0,$V13,#REF!)</f>
        <v>#REF!</v>
      </c>
      <c r="I22" s="206" t="e">
        <f>IF(#REF!=0,$V13,#REF!)</f>
        <v>#REF!</v>
      </c>
      <c r="J22" s="206" t="e">
        <f>IF(#REF!=0,$V13,#REF!)</f>
        <v>#REF!</v>
      </c>
      <c r="K22" s="206" t="e">
        <f>IF(#REF!=0,$V13,#REF!)</f>
        <v>#REF!</v>
      </c>
      <c r="L22" s="206" t="e">
        <f>IF(#REF!=0,$V13,#REF!)</f>
        <v>#REF!</v>
      </c>
      <c r="M22" s="206" t="e">
        <f>IF(#REF!=0,$V13,#REF!)</f>
        <v>#REF!</v>
      </c>
      <c r="N22" s="206" t="e">
        <f>IF(#REF!=0,$V13,#REF!)</f>
        <v>#REF!</v>
      </c>
      <c r="O22" s="206" t="e">
        <f>IF(#REF!=0,$V13,#REF!)</f>
        <v>#REF!</v>
      </c>
      <c r="P22" s="209"/>
      <c r="Q22" s="204" t="e">
        <f t="shared" si="6"/>
        <v>#REF!</v>
      </c>
      <c r="R22" s="203" t="e">
        <f t="shared" si="7"/>
        <v>#REF!</v>
      </c>
      <c r="S22" s="202"/>
      <c r="T22" s="208"/>
      <c r="U22" s="200"/>
      <c r="V22" s="199"/>
      <c r="W22" s="199"/>
    </row>
    <row r="23" spans="1:42" ht="12" customHeight="1">
      <c r="A23" s="165"/>
      <c r="B23" s="211" t="s">
        <v>275</v>
      </c>
      <c r="C23" s="211"/>
      <c r="D23" s="206">
        <v>0</v>
      </c>
      <c r="E23" s="206" t="e">
        <f>#REF!</f>
        <v>#REF!</v>
      </c>
      <c r="F23" s="206" t="e">
        <f>IF(#REF!&lt;$V$14,$V$14,#REF!)</f>
        <v>#REF!</v>
      </c>
      <c r="G23" s="206" t="e">
        <f>IF(#REF!=0,$V$14,#REF!)</f>
        <v>#REF!</v>
      </c>
      <c r="H23" s="206" t="e">
        <f>IF(#REF!=0,$V14,#REF!)</f>
        <v>#REF!</v>
      </c>
      <c r="I23" s="206" t="e">
        <f>IF(#REF!=0,$V14,#REF!)</f>
        <v>#REF!</v>
      </c>
      <c r="J23" s="206" t="e">
        <f>IF(#REF!=0,$V14,#REF!)</f>
        <v>#REF!</v>
      </c>
      <c r="K23" s="206" t="e">
        <f>IF(#REF!=0,$V14,#REF!)</f>
        <v>#REF!</v>
      </c>
      <c r="L23" s="206" t="e">
        <f>IF(#REF!=0,$V14,#REF!)</f>
        <v>#REF!</v>
      </c>
      <c r="M23" s="206" t="e">
        <f>IF(#REF!=0,$V14,#REF!)</f>
        <v>#REF!</v>
      </c>
      <c r="N23" s="206" t="e">
        <f>IF(#REF!=0,$V14,#REF!)</f>
        <v>#REF!</v>
      </c>
      <c r="O23" s="206" t="e">
        <f>IF(#REF!=0,$V14,#REF!)</f>
        <v>#REF!</v>
      </c>
      <c r="P23" s="209"/>
      <c r="Q23" s="204" t="e">
        <f t="shared" si="6"/>
        <v>#REF!</v>
      </c>
      <c r="R23" s="203" t="e">
        <f t="shared" si="7"/>
        <v>#REF!</v>
      </c>
      <c r="S23" s="202"/>
      <c r="T23" s="208"/>
      <c r="U23" s="200"/>
      <c r="V23" s="199"/>
      <c r="W23" s="199"/>
    </row>
    <row r="24" spans="1:42" ht="12" customHeight="1">
      <c r="A24" s="165"/>
      <c r="B24" s="211" t="s">
        <v>274</v>
      </c>
      <c r="C24" s="211"/>
      <c r="D24" s="206" t="e">
        <f>IF(#REF!&lt;$V$15,$V$15,#REF!)</f>
        <v>#REF!</v>
      </c>
      <c r="E24" s="206" t="e">
        <f>IF(#REF!&lt;$V$15,$V$15,#REF!)</f>
        <v>#REF!</v>
      </c>
      <c r="F24" s="206" t="e">
        <f>IF(#REF!&lt;$V$15,$V$15,#REF!)</f>
        <v>#REF!</v>
      </c>
      <c r="G24" s="206" t="e">
        <f>IF(#REF!=0,$V15,#REF!)</f>
        <v>#REF!</v>
      </c>
      <c r="H24" s="206" t="e">
        <f>IF(#REF!=0,$V15,#REF!)</f>
        <v>#REF!</v>
      </c>
      <c r="I24" s="206" t="e">
        <f>IF(#REF!=0,$V15,#REF!)</f>
        <v>#REF!</v>
      </c>
      <c r="J24" s="206" t="e">
        <f>IF(#REF!=0,$V15,#REF!)</f>
        <v>#REF!</v>
      </c>
      <c r="K24" s="206" t="e">
        <f>IF(#REF!=0,$V15,#REF!)</f>
        <v>#REF!</v>
      </c>
      <c r="L24" s="206" t="e">
        <f>IF(#REF!=0,$V15,#REF!)</f>
        <v>#REF!</v>
      </c>
      <c r="M24" s="206" t="e">
        <f>IF(#REF!=0,$V15,#REF!)</f>
        <v>#REF!</v>
      </c>
      <c r="N24" s="206" t="e">
        <f>IF(#REF!=0,$V15,#REF!)</f>
        <v>#REF!</v>
      </c>
      <c r="O24" s="206" t="e">
        <f>IF(#REF!=0,$V15,#REF!)</f>
        <v>#REF!</v>
      </c>
      <c r="P24" s="209"/>
      <c r="Q24" s="204" t="e">
        <f t="shared" si="6"/>
        <v>#REF!</v>
      </c>
      <c r="R24" s="203" t="e">
        <f t="shared" si="7"/>
        <v>#REF!</v>
      </c>
      <c r="S24" s="202"/>
      <c r="T24" s="208"/>
      <c r="U24" s="200"/>
      <c r="V24" s="199"/>
      <c r="W24" s="199"/>
    </row>
    <row r="25" spans="1:42" ht="12" customHeight="1">
      <c r="A25" s="165"/>
      <c r="B25" s="211" t="s">
        <v>273</v>
      </c>
      <c r="C25" s="211"/>
      <c r="D25" s="206" t="e">
        <f>IF(#REF!&lt;$V$16,$V$16,#REF!)</f>
        <v>#REF!</v>
      </c>
      <c r="E25" s="206" t="e">
        <f>IF(#REF!&lt;$V$16,$V$16,#REF!)</f>
        <v>#REF!</v>
      </c>
      <c r="F25" s="206" t="e">
        <f>IF(#REF!&lt;$V$16,$V$16,#REF!)</f>
        <v>#REF!</v>
      </c>
      <c r="G25" s="206" t="e">
        <f>IF(#REF!=0,$V16,#REF!)</f>
        <v>#REF!</v>
      </c>
      <c r="H25" s="206" t="e">
        <f>IF(#REF!=0,$V16,#REF!)</f>
        <v>#REF!</v>
      </c>
      <c r="I25" s="206" t="e">
        <f>IF(#REF!=0,$V16,#REF!)</f>
        <v>#REF!</v>
      </c>
      <c r="J25" s="206" t="e">
        <f>IF(#REF!=0,$V16,#REF!)</f>
        <v>#REF!</v>
      </c>
      <c r="K25" s="206" t="e">
        <f>IF(#REF!=0,$V16,#REF!)</f>
        <v>#REF!</v>
      </c>
      <c r="L25" s="206" t="e">
        <f>IF(#REF!=0,$V16,#REF!)</f>
        <v>#REF!</v>
      </c>
      <c r="M25" s="206" t="e">
        <f>IF(#REF!=0,$V16,#REF!)</f>
        <v>#REF!</v>
      </c>
      <c r="N25" s="206" t="e">
        <f>IF(#REF!=0,$V16,#REF!)</f>
        <v>#REF!</v>
      </c>
      <c r="O25" s="206" t="e">
        <f>IF(#REF!=0,$V16,#REF!)</f>
        <v>#REF!</v>
      </c>
      <c r="P25" s="209"/>
      <c r="Q25" s="204" t="e">
        <f t="shared" si="6"/>
        <v>#REF!</v>
      </c>
      <c r="R25" s="203" t="e">
        <f t="shared" si="7"/>
        <v>#REF!</v>
      </c>
      <c r="S25" s="202"/>
      <c r="T25" s="208"/>
      <c r="U25" s="200"/>
      <c r="V25" s="199"/>
      <c r="W25" s="199"/>
    </row>
    <row r="26" spans="1:42" ht="12" customHeight="1">
      <c r="A26" s="165"/>
      <c r="B26" s="211" t="s">
        <v>272</v>
      </c>
      <c r="C26" s="211"/>
      <c r="D26" s="206" t="e">
        <f>IF(#REF!&lt;0,0,#REF!)</f>
        <v>#REF!</v>
      </c>
      <c r="E26" s="206" t="e">
        <f>IF(#REF!&lt;$V$17,$V$17,#REF!)</f>
        <v>#REF!</v>
      </c>
      <c r="F26" s="206" t="e">
        <f>IF(#REF!&lt;$V$17,$V$17,#REF!)</f>
        <v>#REF!</v>
      </c>
      <c r="G26" s="206" t="e">
        <f>IF(#REF!=0,$V$17,#REF!)</f>
        <v>#REF!</v>
      </c>
      <c r="H26" s="206" t="e">
        <f>IF(#REF!=0,$V$17/2,#REF!)</f>
        <v>#REF!</v>
      </c>
      <c r="I26" s="206" t="e">
        <f>IF(#REF!=0,0,#REF!)</f>
        <v>#REF!</v>
      </c>
      <c r="J26" s="206" t="e">
        <f>IF(#REF!=0,#REF!)</f>
        <v>#REF!</v>
      </c>
      <c r="K26" s="206" t="e">
        <f>IF(#REF!=0,0,#REF!)</f>
        <v>#REF!</v>
      </c>
      <c r="L26" s="206" t="e">
        <f>IF(#REF!=0,$V$17/2,#REF!)</f>
        <v>#REF!</v>
      </c>
      <c r="M26" s="206" t="e">
        <f>IF(#REF!=0,$V$17,#REF!)</f>
        <v>#REF!</v>
      </c>
      <c r="N26" s="206" t="e">
        <f>IF(#REF!=0,$V$17,#REF!)</f>
        <v>#REF!</v>
      </c>
      <c r="O26" s="206" t="e">
        <f>IF(#REF!=0,$V$17,#REF!)</f>
        <v>#REF!</v>
      </c>
      <c r="P26" s="209"/>
      <c r="Q26" s="204" t="e">
        <f t="shared" si="6"/>
        <v>#REF!</v>
      </c>
      <c r="R26" s="203" t="e">
        <f t="shared" si="7"/>
        <v>#REF!</v>
      </c>
      <c r="S26" s="202"/>
      <c r="T26" s="208"/>
      <c r="U26" s="200"/>
      <c r="V26" s="199"/>
      <c r="W26" s="199"/>
    </row>
    <row r="27" spans="1:42" ht="12" customHeight="1">
      <c r="A27" s="165"/>
      <c r="B27" s="211" t="s">
        <v>271</v>
      </c>
      <c r="C27" s="211"/>
      <c r="D27" s="206" t="e">
        <f>IF(#REF!&lt;$V$18,$V$18,#REF!)</f>
        <v>#REF!</v>
      </c>
      <c r="E27" s="206" t="e">
        <f>IF(#REF!&lt;$V$18,$V$18,#REF!)</f>
        <v>#REF!</v>
      </c>
      <c r="F27" s="206" t="e">
        <f>IF(#REF!=0,$V18,#REF!)</f>
        <v>#REF!</v>
      </c>
      <c r="G27" s="206" t="e">
        <f>IF(#REF!=0,$V18,#REF!)</f>
        <v>#REF!</v>
      </c>
      <c r="H27" s="206" t="e">
        <f>IF(#REF!=0,$V18,#REF!)</f>
        <v>#REF!</v>
      </c>
      <c r="I27" s="206" t="e">
        <f>IF(#REF!=0,$V18,#REF!)</f>
        <v>#REF!</v>
      </c>
      <c r="J27" s="206" t="e">
        <f>IF(#REF!=0,$V18,#REF!)</f>
        <v>#REF!</v>
      </c>
      <c r="K27" s="206" t="e">
        <f>IF(#REF!=0,$V18,#REF!)</f>
        <v>#REF!</v>
      </c>
      <c r="L27" s="206" t="e">
        <f>IF(#REF!=0,$V18,#REF!)</f>
        <v>#REF!</v>
      </c>
      <c r="M27" s="206" t="e">
        <f>IF(#REF!=0,$V18,#REF!)</f>
        <v>#REF!</v>
      </c>
      <c r="N27" s="206" t="e">
        <f>IF(#REF!=0,$V18,#REF!)</f>
        <v>#REF!</v>
      </c>
      <c r="O27" s="206" t="e">
        <f>IF(#REF!=0,$V18,#REF!)</f>
        <v>#REF!</v>
      </c>
      <c r="P27" s="209"/>
      <c r="Q27" s="204" t="e">
        <f t="shared" si="6"/>
        <v>#REF!</v>
      </c>
      <c r="R27" s="203" t="e">
        <f t="shared" si="7"/>
        <v>#REF!</v>
      </c>
      <c r="S27" s="202"/>
      <c r="T27" s="208"/>
      <c r="U27" s="200"/>
      <c r="V27" s="199"/>
      <c r="W27" s="199"/>
    </row>
    <row r="28" spans="1:42" ht="12" customHeight="1">
      <c r="A28" s="165"/>
      <c r="B28" s="211" t="s">
        <v>270</v>
      </c>
      <c r="C28" s="211"/>
      <c r="D28" s="206" t="e">
        <f>IF(#REF!&lt;$V$19,$V$19,#REF!)</f>
        <v>#REF!</v>
      </c>
      <c r="E28" s="206" t="e">
        <f>IF(#REF!=0,$V$19,#REF!)</f>
        <v>#REF!</v>
      </c>
      <c r="F28" s="206" t="e">
        <f>IF(#REF!&lt;$V$19,$V$19,#REF!)</f>
        <v>#REF!</v>
      </c>
      <c r="G28" s="206" t="e">
        <f>IF(#REF!=0,$V$19,#REF!)</f>
        <v>#REF!</v>
      </c>
      <c r="H28" s="206" t="e">
        <f>IF(#REF!=0,$V$19,#REF!)</f>
        <v>#REF!</v>
      </c>
      <c r="I28" s="206" t="e">
        <f>IF(#REF!=0,$V$19,#REF!)</f>
        <v>#REF!</v>
      </c>
      <c r="J28" s="206" t="e">
        <f>IF(#REF!=0,$V$19,#REF!)</f>
        <v>#REF!</v>
      </c>
      <c r="K28" s="206" t="e">
        <f>IF(#REF!=0,$V$19,#REF!)</f>
        <v>#REF!</v>
      </c>
      <c r="L28" s="206" t="e">
        <f>IF(#REF!=0,$V$19,#REF!)</f>
        <v>#REF!</v>
      </c>
      <c r="M28" s="206" t="e">
        <f>IF(#REF!=0,$V$19,#REF!)</f>
        <v>#REF!</v>
      </c>
      <c r="N28" s="206" t="e">
        <f>IF(#REF!=0,$V$19,#REF!)</f>
        <v>#REF!</v>
      </c>
      <c r="O28" s="206" t="e">
        <f>IF(#REF!=0,$V$19,#REF!)</f>
        <v>#REF!</v>
      </c>
      <c r="P28" s="209"/>
      <c r="Q28" s="204" t="e">
        <f t="shared" si="6"/>
        <v>#REF!</v>
      </c>
      <c r="R28" s="203" t="e">
        <f t="shared" si="7"/>
        <v>#REF!</v>
      </c>
      <c r="S28" s="202"/>
      <c r="T28" s="208"/>
      <c r="U28" s="200"/>
      <c r="V28" s="199"/>
      <c r="W28" s="199"/>
    </row>
    <row r="29" spans="1:42" s="120" customFormat="1" ht="12" customHeight="1">
      <c r="A29" s="165"/>
      <c r="B29" s="211" t="s">
        <v>269</v>
      </c>
      <c r="C29" s="211"/>
      <c r="D29" s="206" t="e">
        <f>IF(#REF!&lt;$V$20,$V$20,#REF!)</f>
        <v>#REF!</v>
      </c>
      <c r="E29" s="206" t="e">
        <f>IF(#REF!&lt;$V$20,$V$20,#REF!)</f>
        <v>#REF!</v>
      </c>
      <c r="F29" s="206" t="e">
        <f>IF(#REF!&lt;$V$20,$V$20,#REF!)</f>
        <v>#REF!</v>
      </c>
      <c r="G29" s="206" t="e">
        <f>IF(#REF!&lt;$V$20,$V$20,#REF!)</f>
        <v>#REF!</v>
      </c>
      <c r="H29" s="206" t="e">
        <f>IF(#REF!&lt;$V$20,$V$20,#REF!)</f>
        <v>#REF!</v>
      </c>
      <c r="I29" s="206" t="e">
        <f>IF(#REF!=0,$V20,#REF!)</f>
        <v>#REF!</v>
      </c>
      <c r="J29" s="206" t="e">
        <f>IF(#REF!=0,$V20,#REF!)</f>
        <v>#REF!</v>
      </c>
      <c r="K29" s="206" t="e">
        <f>IF(#REF!=0,$V20,#REF!)</f>
        <v>#REF!</v>
      </c>
      <c r="L29" s="206" t="e">
        <f>IF(#REF!=0,$V20,#REF!)</f>
        <v>#REF!</v>
      </c>
      <c r="M29" s="206" t="e">
        <f>IF(#REF!=0,$V20,#REF!)</f>
        <v>#REF!</v>
      </c>
      <c r="N29" s="206" t="e">
        <f>IF(#REF!=0,$V20,#REF!)</f>
        <v>#REF!</v>
      </c>
      <c r="O29" s="206" t="e">
        <f>IF(#REF!=0,$V20,#REF!)</f>
        <v>#REF!</v>
      </c>
      <c r="P29" s="209"/>
      <c r="Q29" s="204" t="e">
        <f t="shared" si="6"/>
        <v>#REF!</v>
      </c>
      <c r="R29" s="203" t="e">
        <f t="shared" si="7"/>
        <v>#REF!</v>
      </c>
      <c r="S29" s="202"/>
      <c r="T29" s="208"/>
      <c r="U29" s="200"/>
      <c r="V29" s="199"/>
      <c r="W29" s="199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</row>
    <row r="30" spans="1:42" s="120" customFormat="1" ht="12" customHeight="1">
      <c r="A30" s="165"/>
      <c r="B30" s="210" t="s">
        <v>268</v>
      </c>
      <c r="C30" s="210"/>
      <c r="D30" s="206" t="e">
        <f>$AJ$37*#REF!</f>
        <v>#REF!</v>
      </c>
      <c r="E30" s="206" t="e">
        <f>$AJ$37*#REF!</f>
        <v>#REF!</v>
      </c>
      <c r="F30" s="206" t="e">
        <f>$AJ$37*#REF!</f>
        <v>#REF!</v>
      </c>
      <c r="G30" s="206" t="e">
        <f>$AJ$37*#REF!</f>
        <v>#REF!</v>
      </c>
      <c r="H30" s="206" t="e">
        <f>$AJ$37*#REF!</f>
        <v>#REF!</v>
      </c>
      <c r="I30" s="206" t="e">
        <f>$AJ$37*#REF!</f>
        <v>#REF!</v>
      </c>
      <c r="J30" s="206" t="e">
        <f>$AJ$37*#REF!</f>
        <v>#REF!</v>
      </c>
      <c r="K30" s="206" t="e">
        <f>$AJ$37*#REF!</f>
        <v>#REF!</v>
      </c>
      <c r="L30" s="206" t="e">
        <f>$AJ$37*#REF!</f>
        <v>#REF!</v>
      </c>
      <c r="M30" s="206" t="e">
        <f>$AJ$37*#REF!</f>
        <v>#REF!</v>
      </c>
      <c r="N30" s="206" t="e">
        <f>$AJ$37*#REF!</f>
        <v>#REF!</v>
      </c>
      <c r="O30" s="206" t="e">
        <f>$AJ$37*#REF!</f>
        <v>#REF!</v>
      </c>
      <c r="P30" s="209"/>
      <c r="Q30" s="204" t="e">
        <f t="shared" si="6"/>
        <v>#REF!</v>
      </c>
      <c r="R30" s="203" t="e">
        <f t="shared" si="7"/>
        <v>#REF!</v>
      </c>
      <c r="S30" s="202"/>
      <c r="T30" s="208"/>
      <c r="U30" s="200"/>
      <c r="V30" s="199"/>
      <c r="W30" s="199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</row>
    <row r="31" spans="1:42" s="120" customFormat="1" ht="12" customHeight="1">
      <c r="A31" s="165"/>
      <c r="B31" s="207" t="s">
        <v>267</v>
      </c>
      <c r="C31" s="207"/>
      <c r="D31" s="206" t="e">
        <f>IF(#REF!&lt;0,0,#REF!)</f>
        <v>#REF!</v>
      </c>
      <c r="E31" s="206" t="e">
        <f>IF(#REF!&lt;0,0,#REF!)</f>
        <v>#REF!</v>
      </c>
      <c r="F31" s="206" t="e">
        <f>IF(#REF!&lt;0,0,#REF!)</f>
        <v>#REF!</v>
      </c>
      <c r="G31" s="206" t="e">
        <f>IF(#REF!&lt;0,0,#REF!)</f>
        <v>#REF!</v>
      </c>
      <c r="H31" s="206" t="e">
        <f>IF(#REF!&lt;0,0,#REF!)</f>
        <v>#REF!</v>
      </c>
      <c r="I31" s="206" t="e">
        <f>IF(#REF!&lt;0,0,#REF!)</f>
        <v>#REF!</v>
      </c>
      <c r="J31" s="206" t="e">
        <f>IF(#REF!&lt;0,0,#REF!)</f>
        <v>#REF!</v>
      </c>
      <c r="K31" s="206" t="e">
        <f>IF(#REF!&lt;0,0,#REF!)</f>
        <v>#REF!</v>
      </c>
      <c r="L31" s="206" t="e">
        <f>IF(#REF!&lt;0,0,#REF!)</f>
        <v>#REF!</v>
      </c>
      <c r="M31" s="206" t="e">
        <f>IF(#REF!&lt;0,0,#REF!)</f>
        <v>#REF!</v>
      </c>
      <c r="N31" s="206" t="e">
        <f>IF(#REF!&lt;0,0,#REF!)</f>
        <v>#REF!</v>
      </c>
      <c r="O31" s="206" t="e">
        <f>IF(#REF!&lt;0,0,#REF!)</f>
        <v>#REF!</v>
      </c>
      <c r="P31" s="209"/>
      <c r="Q31" s="204" t="e">
        <f t="shared" si="6"/>
        <v>#REF!</v>
      </c>
      <c r="R31" s="203" t="e">
        <f t="shared" si="7"/>
        <v>#REF!</v>
      </c>
      <c r="S31" s="202"/>
      <c r="T31" s="208"/>
      <c r="U31" s="200"/>
      <c r="V31" s="199"/>
      <c r="W31" s="199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</row>
    <row r="32" spans="1:42" s="120" customFormat="1" ht="12" customHeight="1" thickBot="1">
      <c r="A32" s="165"/>
      <c r="B32" s="207" t="s">
        <v>266</v>
      </c>
      <c r="C32" s="207"/>
      <c r="D32" s="206" t="e">
        <f>IF(#REF!&lt;0,0,#REF!)</f>
        <v>#REF!</v>
      </c>
      <c r="E32" s="206" t="e">
        <f>IF(#REF!&lt;0,0,#REF!)</f>
        <v>#REF!</v>
      </c>
      <c r="F32" s="206" t="e">
        <f>IF(#REF!&lt;0,0,#REF!)</f>
        <v>#REF!</v>
      </c>
      <c r="G32" s="206" t="e">
        <f>IF(#REF!&lt;0,0,#REF!)</f>
        <v>#REF!</v>
      </c>
      <c r="H32" s="206" t="e">
        <f>IF(#REF!&lt;0,0,#REF!)</f>
        <v>#REF!</v>
      </c>
      <c r="I32" s="206" t="e">
        <f>IF(#REF!&lt;0,0,#REF!)</f>
        <v>#REF!</v>
      </c>
      <c r="J32" s="206" t="e">
        <f>IF(#REF!&lt;0,0,#REF!)</f>
        <v>#REF!</v>
      </c>
      <c r="K32" s="206" t="e">
        <f>IF(#REF!&lt;0,0,#REF!)</f>
        <v>#REF!</v>
      </c>
      <c r="L32" s="206" t="e">
        <f>IF(#REF!&lt;0,0,#REF!)</f>
        <v>#REF!</v>
      </c>
      <c r="M32" s="206" t="e">
        <f>IF(#REF!&lt;0,0,#REF!)</f>
        <v>#REF!</v>
      </c>
      <c r="N32" s="206" t="e">
        <f>IF(#REF!&lt;0,0,#REF!)</f>
        <v>#REF!</v>
      </c>
      <c r="O32" s="206" t="e">
        <f>IF(#REF!&lt;0,0,#REF!)</f>
        <v>#REF!</v>
      </c>
      <c r="P32" s="205"/>
      <c r="Q32" s="204" t="e">
        <f t="shared" si="6"/>
        <v>#REF!</v>
      </c>
      <c r="R32" s="203" t="e">
        <f t="shared" si="7"/>
        <v>#REF!</v>
      </c>
      <c r="S32" s="202"/>
      <c r="T32" s="201"/>
      <c r="U32" s="200"/>
      <c r="V32" s="199"/>
      <c r="W32" s="199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</row>
    <row r="33" spans="1:43" s="166" customFormat="1" ht="16.5" customHeight="1" thickBot="1">
      <c r="A33" s="165"/>
      <c r="B33" s="198" t="s">
        <v>78</v>
      </c>
      <c r="C33" s="198"/>
      <c r="D33" s="197" t="e">
        <f>-D3-D8+'2019'!N41</f>
        <v>#REF!</v>
      </c>
      <c r="E33" s="197" t="e">
        <f t="shared" ref="E33:O33" si="11">-E3-E8</f>
        <v>#REF!</v>
      </c>
      <c r="F33" s="197" t="e">
        <f t="shared" si="11"/>
        <v>#REF!</v>
      </c>
      <c r="G33" s="197" t="e">
        <f t="shared" si="11"/>
        <v>#REF!</v>
      </c>
      <c r="H33" s="197" t="e">
        <f t="shared" si="11"/>
        <v>#REF!</v>
      </c>
      <c r="I33" s="197" t="e">
        <f t="shared" si="11"/>
        <v>#REF!</v>
      </c>
      <c r="J33" s="197" t="e">
        <f t="shared" si="11"/>
        <v>#REF!</v>
      </c>
      <c r="K33" s="197" t="e">
        <f t="shared" si="11"/>
        <v>#REF!</v>
      </c>
      <c r="L33" s="197" t="e">
        <f t="shared" si="11"/>
        <v>#REF!</v>
      </c>
      <c r="M33" s="197" t="e">
        <f t="shared" si="11"/>
        <v>#REF!</v>
      </c>
      <c r="N33" s="197" t="e">
        <f t="shared" si="11"/>
        <v>#REF!</v>
      </c>
      <c r="O33" s="197" t="e">
        <f t="shared" si="11"/>
        <v>#REF!</v>
      </c>
      <c r="P33" s="2976" t="e">
        <f>SUM(D33:O33)</f>
        <v>#REF!</v>
      </c>
      <c r="Q33" s="2977"/>
      <c r="R33" s="196" t="e">
        <f>P33/12</f>
        <v>#REF!</v>
      </c>
      <c r="S33" s="195"/>
      <c r="T33" s="194"/>
      <c r="U33" s="194"/>
      <c r="V33" s="193"/>
      <c r="W33" s="193"/>
    </row>
    <row r="34" spans="1:43" s="50" customFormat="1" ht="18">
      <c r="A34" s="60"/>
      <c r="B34" s="2991">
        <f ca="1">TODAY()</f>
        <v>45428</v>
      </c>
      <c r="C34" s="2992"/>
      <c r="D34" s="192"/>
      <c r="E34" s="192"/>
      <c r="F34" s="192"/>
      <c r="G34" s="192"/>
      <c r="H34" s="192"/>
      <c r="I34" s="192"/>
      <c r="J34" s="2984">
        <f>MIN($D$37:$O$37)</f>
        <v>534.56999999999994</v>
      </c>
      <c r="K34" s="2984"/>
      <c r="L34" s="2984"/>
      <c r="M34" s="2982">
        <f>O37</f>
        <v>534.56999999999994</v>
      </c>
      <c r="N34" s="2982"/>
      <c r="O34" s="2983"/>
      <c r="P34" s="2985" t="s">
        <v>105</v>
      </c>
      <c r="Q34" s="2916"/>
      <c r="R34" s="2909" t="s">
        <v>29</v>
      </c>
      <c r="S34" s="2911" t="s">
        <v>104</v>
      </c>
      <c r="T34" s="2912"/>
      <c r="U34" s="2911" t="s">
        <v>103</v>
      </c>
      <c r="V34" s="2912"/>
      <c r="W34" s="2909" t="s">
        <v>102</v>
      </c>
      <c r="X34" s="2909" t="s">
        <v>101</v>
      </c>
      <c r="Y34" s="163" t="s">
        <v>31</v>
      </c>
      <c r="Z34" s="163" t="s">
        <v>265</v>
      </c>
      <c r="AA34" s="163" t="s">
        <v>264</v>
      </c>
      <c r="AB34" s="163" t="s">
        <v>183</v>
      </c>
      <c r="AC34" s="163" t="s">
        <v>20</v>
      </c>
      <c r="AD34" s="163" t="s">
        <v>100</v>
      </c>
      <c r="AE34" s="2990" t="s">
        <v>97</v>
      </c>
      <c r="AF34" s="2990"/>
      <c r="AG34" s="2990" t="s">
        <v>49</v>
      </c>
      <c r="AH34" s="2990"/>
      <c r="AI34" s="163" t="s">
        <v>99</v>
      </c>
      <c r="AJ34" s="163" t="s">
        <v>98</v>
      </c>
      <c r="AK34" s="163" t="s">
        <v>35</v>
      </c>
      <c r="AL34" s="163" t="s">
        <v>34</v>
      </c>
      <c r="AM34" s="163" t="s">
        <v>21</v>
      </c>
      <c r="AN34" s="163" t="s">
        <v>22</v>
      </c>
      <c r="AO34" s="163" t="s">
        <v>230</v>
      </c>
      <c r="AP34" s="163" t="s">
        <v>97</v>
      </c>
      <c r="AQ34" s="163" t="s">
        <v>97</v>
      </c>
    </row>
    <row r="35" spans="1:43" s="50" customFormat="1" ht="15.6">
      <c r="A35" s="60">
        <f ca="1">MONTH($B$34)-1</f>
        <v>4</v>
      </c>
      <c r="B35" s="2993"/>
      <c r="C35" s="2994"/>
      <c r="D35" s="75" t="s">
        <v>94</v>
      </c>
      <c r="E35" s="75" t="s">
        <v>93</v>
      </c>
      <c r="F35" s="75" t="s">
        <v>92</v>
      </c>
      <c r="G35" s="75" t="s">
        <v>91</v>
      </c>
      <c r="H35" s="75" t="s">
        <v>90</v>
      </c>
      <c r="I35" s="75" t="s">
        <v>89</v>
      </c>
      <c r="J35" s="75" t="s">
        <v>88</v>
      </c>
      <c r="K35" s="75" t="s">
        <v>87</v>
      </c>
      <c r="L35" s="75" t="s">
        <v>86</v>
      </c>
      <c r="M35" s="75" t="s">
        <v>85</v>
      </c>
      <c r="N35" s="75" t="s">
        <v>84</v>
      </c>
      <c r="O35" s="74" t="s">
        <v>83</v>
      </c>
      <c r="P35" s="2986"/>
      <c r="Q35" s="2987"/>
      <c r="R35" s="2910"/>
      <c r="S35" s="73" t="s">
        <v>82</v>
      </c>
      <c r="T35" s="73" t="s">
        <v>29</v>
      </c>
      <c r="U35" s="73" t="s">
        <v>81</v>
      </c>
      <c r="V35" s="73" t="s">
        <v>29</v>
      </c>
      <c r="W35" s="2910"/>
      <c r="X35" s="2910"/>
      <c r="Y35" s="148"/>
      <c r="Z35" s="148"/>
      <c r="AA35" s="148"/>
      <c r="AB35" s="148"/>
      <c r="AC35" s="148"/>
      <c r="AD35" s="148"/>
      <c r="AE35" s="52" t="s">
        <v>80</v>
      </c>
      <c r="AF35" s="52" t="s">
        <v>79</v>
      </c>
      <c r="AG35" s="52" t="s">
        <v>80</v>
      </c>
      <c r="AH35" s="52" t="s">
        <v>79</v>
      </c>
      <c r="AI35" s="148"/>
      <c r="AJ35" s="148"/>
      <c r="AK35" s="147"/>
      <c r="AL35" s="147"/>
      <c r="AM35" s="147"/>
      <c r="AN35" s="147"/>
      <c r="AO35" s="147"/>
      <c r="AP35" s="148"/>
      <c r="AQ35" s="148"/>
    </row>
    <row r="36" spans="1:43" s="156" customFormat="1" ht="15.6">
      <c r="A36" s="158"/>
      <c r="B36" s="191" t="s">
        <v>78</v>
      </c>
      <c r="C36" s="190"/>
      <c r="D36" s="185"/>
      <c r="E36" s="188"/>
      <c r="F36" s="188"/>
      <c r="G36" s="188"/>
      <c r="H36" s="188"/>
      <c r="I36" s="188"/>
      <c r="J36" s="188"/>
      <c r="K36" s="188"/>
      <c r="L36" s="188"/>
      <c r="M36" s="189"/>
      <c r="N36" s="188"/>
      <c r="O36" s="188">
        <f>$P$36-$E701</f>
        <v>534.56999999999994</v>
      </c>
      <c r="P36" s="2974">
        <f>SUM(R36:X37)</f>
        <v>534.56999999999994</v>
      </c>
      <c r="Q36" s="2978"/>
      <c r="R36" s="2980">
        <f>471.4</f>
        <v>471.4</v>
      </c>
      <c r="S36" s="2974">
        <f>50.28</f>
        <v>50.28</v>
      </c>
      <c r="T36" s="2974">
        <v>0.83</v>
      </c>
      <c r="U36" s="2974">
        <f>0</f>
        <v>0</v>
      </c>
      <c r="V36" s="2974">
        <f>0.06</f>
        <v>0.06</v>
      </c>
      <c r="W36" s="2974">
        <v>0</v>
      </c>
      <c r="X36" s="2974">
        <v>12</v>
      </c>
      <c r="Y36" s="148"/>
      <c r="Z36" s="148"/>
      <c r="AA36" s="148"/>
      <c r="AB36" s="148"/>
      <c r="AC36" s="148"/>
      <c r="AD36" s="148"/>
      <c r="AE36" s="148">
        <v>2518</v>
      </c>
      <c r="AF36" s="148">
        <v>2536</v>
      </c>
      <c r="AG36" s="148">
        <v>8060</v>
      </c>
      <c r="AH36" s="148"/>
      <c r="AI36" s="148"/>
      <c r="AJ36" s="148"/>
      <c r="AK36" s="147"/>
      <c r="AL36" s="147"/>
      <c r="AM36" s="147"/>
      <c r="AN36" s="147"/>
      <c r="AO36" s="147"/>
      <c r="AP36" s="148"/>
      <c r="AQ36" s="148"/>
    </row>
    <row r="37" spans="1:43" s="156" customFormat="1" ht="15.6">
      <c r="A37" s="158">
        <f>E55734</f>
        <v>0</v>
      </c>
      <c r="B37" s="187" t="s">
        <v>76</v>
      </c>
      <c r="C37" s="186"/>
      <c r="D37" s="185"/>
      <c r="E37" s="185"/>
      <c r="F37" s="185"/>
      <c r="G37" s="185"/>
      <c r="H37" s="183"/>
      <c r="I37" s="184"/>
      <c r="J37" s="183"/>
      <c r="K37" s="184"/>
      <c r="L37" s="184"/>
      <c r="M37" s="184"/>
      <c r="N37" s="183"/>
      <c r="O37" s="183">
        <f>$N$37+$O$36</f>
        <v>534.56999999999994</v>
      </c>
      <c r="P37" s="2975"/>
      <c r="Q37" s="2979"/>
      <c r="R37" s="2981"/>
      <c r="S37" s="2975"/>
      <c r="T37" s="2975"/>
      <c r="U37" s="2975"/>
      <c r="V37" s="2975"/>
      <c r="W37" s="2975"/>
      <c r="X37" s="2975"/>
      <c r="Y37" s="148">
        <v>-1277</v>
      </c>
      <c r="Z37" s="148">
        <v>602.4</v>
      </c>
      <c r="AA37" s="148">
        <v>490</v>
      </c>
      <c r="AB37" s="148">
        <v>548.75</v>
      </c>
      <c r="AC37" s="148">
        <v>183.59</v>
      </c>
      <c r="AD37" s="148">
        <v>815</v>
      </c>
      <c r="AE37" s="148">
        <f>AE36/12</f>
        <v>209.83333333333334</v>
      </c>
      <c r="AF37" s="148">
        <f>AF36/12</f>
        <v>211.33333333333334</v>
      </c>
      <c r="AG37" s="148">
        <f>AG36/12</f>
        <v>671.66666666666663</v>
      </c>
      <c r="AH37" s="148">
        <f>AH36/12</f>
        <v>0</v>
      </c>
      <c r="AI37" s="148">
        <v>2300</v>
      </c>
      <c r="AJ37" s="148">
        <v>450</v>
      </c>
      <c r="AK37" s="147">
        <f>-11138</f>
        <v>-11138</v>
      </c>
      <c r="AL37" s="147">
        <v>-7859</v>
      </c>
      <c r="AM37" s="147">
        <v>177</v>
      </c>
      <c r="AN37" s="147">
        <f>138</f>
        <v>138</v>
      </c>
      <c r="AO37" s="147">
        <v>99</v>
      </c>
      <c r="AP37" s="148">
        <v>227</v>
      </c>
      <c r="AQ37" s="148">
        <v>175.93</v>
      </c>
    </row>
    <row r="38" spans="1:43" s="152" customFormat="1" ht="21" customHeight="1">
      <c r="A38" s="155"/>
      <c r="B38" s="2995">
        <v>2021</v>
      </c>
      <c r="C38" s="2995"/>
      <c r="D38" s="2995"/>
      <c r="E38" s="2996"/>
      <c r="F38" s="182" t="s">
        <v>73</v>
      </c>
      <c r="G38" s="182" t="s">
        <v>72</v>
      </c>
      <c r="H38" s="182" t="s">
        <v>71</v>
      </c>
      <c r="I38" s="182" t="s">
        <v>70</v>
      </c>
      <c r="J38" s="182" t="s">
        <v>69</v>
      </c>
      <c r="K38" s="182" t="s">
        <v>68</v>
      </c>
      <c r="L38" s="182" t="s">
        <v>67</v>
      </c>
      <c r="M38" s="182" t="s">
        <v>66</v>
      </c>
      <c r="N38" s="182" t="s">
        <v>65</v>
      </c>
      <c r="O38" s="182" t="s">
        <v>64</v>
      </c>
      <c r="P38" s="182" t="s">
        <v>63</v>
      </c>
      <c r="Q38" s="182" t="s">
        <v>62</v>
      </c>
      <c r="R38" s="182" t="s">
        <v>61</v>
      </c>
      <c r="S38" s="182" t="s">
        <v>60</v>
      </c>
      <c r="T38" s="182" t="s">
        <v>59</v>
      </c>
      <c r="U38" s="182" t="s">
        <v>58</v>
      </c>
      <c r="V38" s="182" t="s">
        <v>57</v>
      </c>
      <c r="W38" s="182"/>
      <c r="X38" s="182"/>
      <c r="AF38" s="148">
        <v>4030</v>
      </c>
      <c r="AG38" s="148"/>
    </row>
    <row r="39" spans="1:43" s="120" customFormat="1" ht="15" customHeight="1">
      <c r="A39" s="60"/>
      <c r="B39" s="2995"/>
      <c r="C39" s="2995"/>
      <c r="D39" s="2995"/>
      <c r="E39" s="2996"/>
      <c r="F39" s="181">
        <f t="shared" ref="F39:W39" si="12">SUM(F41:F41)</f>
        <v>18477.48</v>
      </c>
      <c r="G39" s="181">
        <f t="shared" si="12"/>
        <v>9791.2100000000009</v>
      </c>
      <c r="H39" s="181">
        <f t="shared" si="12"/>
        <v>31386.21</v>
      </c>
      <c r="I39" s="181">
        <f t="shared" si="12"/>
        <v>4781.13</v>
      </c>
      <c r="J39" s="181">
        <f t="shared" ca="1" si="12"/>
        <v>451.3</v>
      </c>
      <c r="K39" s="181">
        <f t="shared" si="12"/>
        <v>7760</v>
      </c>
      <c r="L39" s="181">
        <f t="shared" si="12"/>
        <v>1991.3500000000001</v>
      </c>
      <c r="M39" s="181">
        <f t="shared" si="12"/>
        <v>3563.3899999999994</v>
      </c>
      <c r="N39" s="181">
        <f t="shared" si="12"/>
        <v>67266</v>
      </c>
      <c r="O39" s="181">
        <f t="shared" si="12"/>
        <v>8882.35</v>
      </c>
      <c r="P39" s="181" t="e">
        <f t="shared" si="12"/>
        <v>#REF!</v>
      </c>
      <c r="Q39" s="181">
        <f t="shared" si="12"/>
        <v>13406.2</v>
      </c>
      <c r="R39" s="181">
        <f t="shared" si="12"/>
        <v>2338</v>
      </c>
      <c r="S39" s="181">
        <f t="shared" si="12"/>
        <v>9148.9500000000007</v>
      </c>
      <c r="T39" s="181">
        <f t="shared" si="12"/>
        <v>2091.75</v>
      </c>
      <c r="U39" s="181" t="e">
        <f t="shared" si="12"/>
        <v>#REF!</v>
      </c>
      <c r="V39" s="181">
        <f t="shared" si="12"/>
        <v>25416</v>
      </c>
      <c r="W39" s="181">
        <f t="shared" si="12"/>
        <v>11500</v>
      </c>
      <c r="X39" s="181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</row>
    <row r="40" spans="1:43" s="120" customFormat="1" ht="15" customHeight="1">
      <c r="A40" s="57"/>
      <c r="B40" s="2997"/>
      <c r="C40" s="2997"/>
      <c r="D40" s="2997"/>
      <c r="E40" s="2998"/>
      <c r="F40" s="180">
        <f ca="1">F$39/$A$35</f>
        <v>4619.37</v>
      </c>
      <c r="G40" s="180">
        <f ca="1">G$39/$A$35</f>
        <v>2447.8025000000002</v>
      </c>
      <c r="H40" s="180">
        <f>H$39/12</f>
        <v>2615.5174999999999</v>
      </c>
      <c r="I40" s="180">
        <f t="shared" ref="I40:W40" ca="1" si="13">I$39/$A$35</f>
        <v>1195.2825</v>
      </c>
      <c r="J40" s="180">
        <f t="shared" ca="1" si="13"/>
        <v>112.825</v>
      </c>
      <c r="K40" s="180">
        <f t="shared" ca="1" si="13"/>
        <v>1940</v>
      </c>
      <c r="L40" s="180">
        <f t="shared" ca="1" si="13"/>
        <v>497.83750000000003</v>
      </c>
      <c r="M40" s="180">
        <f t="shared" ca="1" si="13"/>
        <v>890.84749999999985</v>
      </c>
      <c r="N40" s="180">
        <f t="shared" ca="1" si="13"/>
        <v>16816.5</v>
      </c>
      <c r="O40" s="180">
        <f t="shared" ca="1" si="13"/>
        <v>2220.5875000000001</v>
      </c>
      <c r="P40" s="180" t="e">
        <f t="shared" ca="1" si="13"/>
        <v>#REF!</v>
      </c>
      <c r="Q40" s="180">
        <f t="shared" ca="1" si="13"/>
        <v>3351.55</v>
      </c>
      <c r="R40" s="180">
        <f t="shared" ca="1" si="13"/>
        <v>584.5</v>
      </c>
      <c r="S40" s="180">
        <f t="shared" ca="1" si="13"/>
        <v>2287.2375000000002</v>
      </c>
      <c r="T40" s="180">
        <f t="shared" ca="1" si="13"/>
        <v>522.9375</v>
      </c>
      <c r="U40" s="180" t="e">
        <f t="shared" ca="1" si="13"/>
        <v>#REF!</v>
      </c>
      <c r="V40" s="180">
        <f t="shared" ca="1" si="13"/>
        <v>6354</v>
      </c>
      <c r="W40" s="180">
        <f t="shared" ca="1" si="13"/>
        <v>2875</v>
      </c>
      <c r="X40" s="180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</row>
    <row r="41" spans="1:43" s="102" customFormat="1" ht="15" customHeight="1">
      <c r="A41" s="121"/>
      <c r="B41" s="2963" t="s">
        <v>263</v>
      </c>
      <c r="C41" s="2964"/>
      <c r="D41" s="2964"/>
      <c r="E41" s="2964"/>
      <c r="F41" s="179">
        <f t="shared" ref="F41:O41" si="14">F44+F109+F176+F269+F351+F433+F479+F513+F547+F585+F623+F663</f>
        <v>18477.48</v>
      </c>
      <c r="G41" s="179">
        <f t="shared" si="14"/>
        <v>9791.2100000000009</v>
      </c>
      <c r="H41" s="179">
        <f t="shared" si="14"/>
        <v>31386.21</v>
      </c>
      <c r="I41" s="179">
        <f t="shared" si="14"/>
        <v>4781.13</v>
      </c>
      <c r="J41" s="179">
        <f t="shared" ca="1" si="14"/>
        <v>451.3</v>
      </c>
      <c r="K41" s="179">
        <f t="shared" si="14"/>
        <v>7760</v>
      </c>
      <c r="L41" s="179">
        <f t="shared" si="14"/>
        <v>1991.3500000000001</v>
      </c>
      <c r="M41" s="179">
        <f t="shared" si="14"/>
        <v>3563.3899999999994</v>
      </c>
      <c r="N41" s="179">
        <f t="shared" si="14"/>
        <v>67266</v>
      </c>
      <c r="O41" s="179">
        <f t="shared" si="14"/>
        <v>8882.35</v>
      </c>
      <c r="P41" s="179" t="e">
        <f>P$44+P$109+P$176+P$269+P$351+P$433+P$479+P$513+P$547+P$585+P$623+P$663</f>
        <v>#REF!</v>
      </c>
      <c r="Q41" s="179">
        <f t="shared" ref="Q41:W41" si="15">Q44+Q109+Q176+Q269+Q351+Q433+Q479+Q513+Q547+Q585+Q623+Q663</f>
        <v>13406.2</v>
      </c>
      <c r="R41" s="179">
        <f t="shared" si="15"/>
        <v>2338</v>
      </c>
      <c r="S41" s="179">
        <f t="shared" si="15"/>
        <v>9148.9500000000007</v>
      </c>
      <c r="T41" s="179">
        <f t="shared" si="15"/>
        <v>2091.75</v>
      </c>
      <c r="U41" s="179" t="e">
        <f t="shared" si="15"/>
        <v>#REF!</v>
      </c>
      <c r="V41" s="179">
        <f t="shared" si="15"/>
        <v>25416</v>
      </c>
      <c r="W41" s="178">
        <f t="shared" si="15"/>
        <v>11500</v>
      </c>
      <c r="X41" s="178"/>
    </row>
    <row r="42" spans="1:43" s="177" customFormat="1" ht="11.25" customHeight="1">
      <c r="B42" s="2930" t="str">
        <f>D35</f>
        <v>Januar</v>
      </c>
      <c r="C42" s="2931"/>
      <c r="D42" s="2934" t="s">
        <v>36</v>
      </c>
      <c r="E42" s="2934">
        <f t="shared" ref="E42:T42" si="16">SUM(E43:E43)</f>
        <v>0</v>
      </c>
      <c r="F42" s="2934">
        <f t="shared" si="16"/>
        <v>0</v>
      </c>
      <c r="G42" s="2934">
        <f t="shared" si="16"/>
        <v>0</v>
      </c>
      <c r="H42" s="2934">
        <f t="shared" si="16"/>
        <v>0</v>
      </c>
      <c r="I42" s="2934">
        <f t="shared" si="16"/>
        <v>0</v>
      </c>
      <c r="J42" s="2934">
        <f t="shared" si="16"/>
        <v>0</v>
      </c>
      <c r="K42" s="2934">
        <f t="shared" si="16"/>
        <v>0</v>
      </c>
      <c r="L42" s="2934">
        <f t="shared" si="16"/>
        <v>0</v>
      </c>
      <c r="M42" s="2934">
        <f t="shared" si="16"/>
        <v>0</v>
      </c>
      <c r="N42" s="2934">
        <f t="shared" si="16"/>
        <v>0</v>
      </c>
      <c r="O42" s="2934">
        <f t="shared" si="16"/>
        <v>0</v>
      </c>
      <c r="P42" s="2934">
        <f t="shared" si="16"/>
        <v>0</v>
      </c>
      <c r="Q42" s="2934">
        <f t="shared" si="16"/>
        <v>0</v>
      </c>
      <c r="R42" s="2934">
        <f t="shared" si="16"/>
        <v>0</v>
      </c>
      <c r="S42" s="2934">
        <f t="shared" si="16"/>
        <v>0</v>
      </c>
      <c r="T42" s="2934">
        <f t="shared" si="16"/>
        <v>0</v>
      </c>
      <c r="U42" s="2934">
        <v>23</v>
      </c>
      <c r="V42" s="2934">
        <f>SUM(V43:V43)</f>
        <v>0</v>
      </c>
      <c r="W42" s="2934">
        <f>SUM(W43:W43)</f>
        <v>0</v>
      </c>
      <c r="X42" s="2934"/>
    </row>
    <row r="43" spans="1:43" s="120" customFormat="1" ht="12" customHeight="1">
      <c r="A43" s="60"/>
      <c r="B43" s="3001"/>
      <c r="C43" s="3002"/>
      <c r="D43" s="2965"/>
      <c r="E43" s="2965"/>
      <c r="F43" s="2965"/>
      <c r="G43" s="2965"/>
      <c r="H43" s="2965"/>
      <c r="I43" s="2965"/>
      <c r="J43" s="2965"/>
      <c r="K43" s="2965"/>
      <c r="L43" s="2965"/>
      <c r="M43" s="2965"/>
      <c r="N43" s="2965"/>
      <c r="O43" s="2965"/>
      <c r="P43" s="2965"/>
      <c r="Q43" s="2965"/>
      <c r="R43" s="2965"/>
      <c r="S43" s="2965"/>
      <c r="T43" s="2965"/>
      <c r="U43" s="2965"/>
      <c r="V43" s="2965"/>
      <c r="W43" s="2965"/>
      <c r="X43" s="296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</row>
    <row r="44" spans="1:43" s="120" customFormat="1" ht="12" customHeight="1">
      <c r="A44" s="60"/>
      <c r="B44" s="176" t="str">
        <f>B42</f>
        <v>Januar</v>
      </c>
      <c r="C44" s="175"/>
      <c r="D44" s="174"/>
      <c r="E44" s="173">
        <f t="shared" ref="E44:T44" si="17">SUM(E45:E108)</f>
        <v>559.77</v>
      </c>
      <c r="F44" s="173">
        <f t="shared" si="17"/>
        <v>3634.06</v>
      </c>
      <c r="G44" s="173">
        <f t="shared" si="17"/>
        <v>650</v>
      </c>
      <c r="H44" s="173">
        <f t="shared" si="17"/>
        <v>2656.1099999999997</v>
      </c>
      <c r="I44" s="173">
        <f t="shared" si="17"/>
        <v>524.65</v>
      </c>
      <c r="J44" s="173">
        <f t="shared" si="17"/>
        <v>92.05</v>
      </c>
      <c r="K44" s="173">
        <f t="shared" si="17"/>
        <v>1100</v>
      </c>
      <c r="L44" s="173">
        <f t="shared" si="17"/>
        <v>60</v>
      </c>
      <c r="M44" s="173">
        <f t="shared" si="17"/>
        <v>128</v>
      </c>
      <c r="N44" s="173">
        <f t="shared" si="17"/>
        <v>0</v>
      </c>
      <c r="O44" s="173">
        <f t="shared" si="17"/>
        <v>2501.1999999999998</v>
      </c>
      <c r="P44" s="173">
        <f t="shared" si="17"/>
        <v>681.67</v>
      </c>
      <c r="Q44" s="173">
        <f t="shared" si="17"/>
        <v>504</v>
      </c>
      <c r="R44" s="173">
        <f t="shared" si="17"/>
        <v>296</v>
      </c>
      <c r="S44" s="173">
        <f t="shared" si="17"/>
        <v>0</v>
      </c>
      <c r="T44" s="173">
        <f t="shared" si="17"/>
        <v>0</v>
      </c>
      <c r="U44" s="173">
        <v>0</v>
      </c>
      <c r="V44" s="173">
        <f>SUM(V45:V108)</f>
        <v>6393.05</v>
      </c>
      <c r="W44" s="173">
        <f>SUM(W45:W108)</f>
        <v>5000</v>
      </c>
      <c r="X44" s="173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</row>
    <row r="45" spans="1:43" s="126" customFormat="1" ht="13.5" customHeight="1">
      <c r="A45" s="39"/>
      <c r="B45" s="34">
        <v>44195</v>
      </c>
      <c r="C45" s="34"/>
      <c r="D45" s="124" t="s">
        <v>34</v>
      </c>
      <c r="E45" s="124">
        <v>-7733</v>
      </c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</row>
    <row r="46" spans="1:43" s="106" customFormat="1" ht="13.8">
      <c r="A46" s="125"/>
      <c r="B46" s="34">
        <v>44195</v>
      </c>
      <c r="C46" s="34"/>
      <c r="D46" s="124" t="s">
        <v>33</v>
      </c>
      <c r="E46" s="124">
        <v>-205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</row>
    <row r="47" spans="1:43" s="106" customFormat="1" ht="13.8">
      <c r="A47" s="125"/>
      <c r="B47" s="34">
        <v>44195</v>
      </c>
      <c r="C47" s="34"/>
      <c r="D47" s="124" t="s">
        <v>35</v>
      </c>
      <c r="E47" s="124">
        <v>-11004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</row>
    <row r="48" spans="1:43" s="106" customFormat="1" ht="13.8">
      <c r="A48" s="125"/>
      <c r="B48" s="34">
        <v>44195</v>
      </c>
      <c r="C48" s="34"/>
      <c r="D48" s="124" t="s">
        <v>57</v>
      </c>
      <c r="E48" s="124">
        <v>1000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>
        <f>E48</f>
        <v>1000</v>
      </c>
      <c r="W48" s="124"/>
      <c r="X48" s="124"/>
    </row>
    <row r="49" spans="1:24" s="106" customFormat="1" ht="13.8">
      <c r="A49" s="125">
        <v>5</v>
      </c>
      <c r="B49" s="34">
        <v>44195</v>
      </c>
      <c r="C49" s="34"/>
      <c r="D49" s="124" t="s">
        <v>40</v>
      </c>
      <c r="E49" s="124">
        <v>550</v>
      </c>
      <c r="F49" s="124"/>
      <c r="G49" s="124"/>
      <c r="H49" s="124"/>
      <c r="I49" s="124"/>
      <c r="J49" s="124"/>
      <c r="K49" s="124">
        <v>550</v>
      </c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</row>
    <row r="50" spans="1:24" s="106" customFormat="1" ht="13.8">
      <c r="A50" s="125"/>
      <c r="B50" s="34">
        <v>44195</v>
      </c>
      <c r="C50" s="34"/>
      <c r="D50" s="124" t="s">
        <v>41</v>
      </c>
      <c r="E50" s="124">
        <v>153.9</v>
      </c>
      <c r="F50" s="124"/>
      <c r="G50" s="124"/>
      <c r="H50" s="124">
        <v>153.9</v>
      </c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</row>
    <row r="51" spans="1:24" s="106" customFormat="1" ht="13.8">
      <c r="A51" s="125"/>
      <c r="B51" s="34">
        <v>44195</v>
      </c>
      <c r="C51" s="34"/>
      <c r="D51" s="124" t="s">
        <v>39</v>
      </c>
      <c r="E51" s="124">
        <v>86.45</v>
      </c>
      <c r="F51" s="124"/>
      <c r="G51" s="124"/>
      <c r="H51" s="124">
        <v>86.45</v>
      </c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</row>
    <row r="52" spans="1:24" s="106" customFormat="1" ht="13.8">
      <c r="A52" s="125"/>
      <c r="B52" s="34">
        <v>44195</v>
      </c>
      <c r="C52" s="34"/>
      <c r="D52" s="124" t="s">
        <v>42</v>
      </c>
      <c r="E52" s="124">
        <v>19.95</v>
      </c>
      <c r="F52" s="124"/>
      <c r="G52" s="124"/>
      <c r="H52" s="124">
        <v>19.95</v>
      </c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</row>
    <row r="53" spans="1:24" s="106" customFormat="1" ht="13.8">
      <c r="A53" s="125"/>
      <c r="B53" s="34">
        <v>44197</v>
      </c>
      <c r="C53" s="34"/>
      <c r="D53" s="124" t="s">
        <v>230</v>
      </c>
      <c r="E53" s="124">
        <v>229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>
        <v>229</v>
      </c>
      <c r="R53" s="124"/>
      <c r="S53" s="124"/>
      <c r="T53" s="124"/>
      <c r="U53" s="124"/>
      <c r="V53" s="124"/>
      <c r="W53" s="124"/>
      <c r="X53" s="124"/>
    </row>
    <row r="54" spans="1:24" s="106" customFormat="1" ht="13.8">
      <c r="A54" s="125"/>
      <c r="B54" s="34">
        <v>44198</v>
      </c>
      <c r="C54" s="34"/>
      <c r="D54" s="124" t="s">
        <v>22</v>
      </c>
      <c r="E54" s="124">
        <v>138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>
        <v>138</v>
      </c>
      <c r="R54" s="124"/>
      <c r="S54" s="124"/>
      <c r="T54" s="124"/>
      <c r="U54" s="124"/>
      <c r="V54" s="124"/>
      <c r="W54" s="124"/>
      <c r="X54" s="124"/>
    </row>
    <row r="55" spans="1:24" s="106" customFormat="1" ht="13.8">
      <c r="A55" s="125"/>
      <c r="B55" s="34">
        <v>44198</v>
      </c>
      <c r="C55" s="34"/>
      <c r="D55" s="124" t="s">
        <v>261</v>
      </c>
      <c r="E55" s="124">
        <v>69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>
        <v>69</v>
      </c>
      <c r="W55" s="124"/>
      <c r="X55" s="124"/>
    </row>
    <row r="56" spans="1:24" s="106" customFormat="1" ht="13.8">
      <c r="A56" s="125"/>
      <c r="B56" s="34">
        <v>44198</v>
      </c>
      <c r="C56" s="34"/>
      <c r="D56" s="124" t="s">
        <v>42</v>
      </c>
      <c r="E56" s="124">
        <v>90.7</v>
      </c>
      <c r="F56" s="124"/>
      <c r="G56" s="124"/>
      <c r="H56" s="124">
        <v>90.7</v>
      </c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</row>
    <row r="57" spans="1:24" s="106" customFormat="1" ht="13.8">
      <c r="A57" s="125"/>
      <c r="B57" s="34">
        <v>44198</v>
      </c>
      <c r="C57" s="34"/>
      <c r="D57" s="124" t="s">
        <v>192</v>
      </c>
      <c r="E57" s="124">
        <v>69</v>
      </c>
      <c r="F57" s="124"/>
      <c r="G57" s="124"/>
      <c r="H57" s="124">
        <v>69</v>
      </c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</row>
    <row r="58" spans="1:24" s="106" customFormat="1" ht="13.8">
      <c r="A58" s="125"/>
      <c r="B58" s="34">
        <v>44199</v>
      </c>
      <c r="C58" s="34"/>
      <c r="D58" s="124" t="s">
        <v>21</v>
      </c>
      <c r="E58" s="124">
        <v>137</v>
      </c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>
        <v>137</v>
      </c>
      <c r="R58" s="124"/>
      <c r="S58" s="124"/>
      <c r="T58" s="124"/>
      <c r="U58" s="124"/>
      <c r="V58" s="124"/>
      <c r="W58" s="124"/>
      <c r="X58" s="124"/>
    </row>
    <row r="59" spans="1:24" s="106" customFormat="1" ht="13.8">
      <c r="A59" s="125"/>
      <c r="B59" s="34">
        <v>44199</v>
      </c>
      <c r="C59" s="34"/>
      <c r="D59" s="124" t="s">
        <v>186</v>
      </c>
      <c r="E59" s="124">
        <v>125</v>
      </c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>
        <v>125</v>
      </c>
      <c r="S59" s="124"/>
      <c r="T59" s="124"/>
      <c r="U59" s="124"/>
      <c r="V59" s="124"/>
      <c r="W59" s="124"/>
      <c r="X59" s="124"/>
    </row>
    <row r="60" spans="1:24" s="106" customFormat="1" ht="13.8">
      <c r="A60" s="125"/>
      <c r="B60" s="34">
        <v>44199</v>
      </c>
      <c r="C60" s="34"/>
      <c r="D60" s="124" t="s">
        <v>42</v>
      </c>
      <c r="E60" s="124">
        <v>127.95</v>
      </c>
      <c r="F60" s="124"/>
      <c r="G60" s="124"/>
      <c r="H60" s="124">
        <v>127.95</v>
      </c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</row>
    <row r="61" spans="1:24" s="106" customFormat="1" ht="13.8">
      <c r="A61" s="125"/>
      <c r="B61" s="34">
        <v>44200</v>
      </c>
      <c r="C61" s="34"/>
      <c r="D61" s="124" t="s">
        <v>215</v>
      </c>
      <c r="E61" s="124">
        <v>350</v>
      </c>
      <c r="F61" s="124"/>
      <c r="G61" s="124">
        <v>350</v>
      </c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</row>
    <row r="62" spans="1:24" s="106" customFormat="1" ht="13.8">
      <c r="A62" s="125"/>
      <c r="B62" s="34">
        <v>44200</v>
      </c>
      <c r="C62" s="34"/>
      <c r="D62" s="124" t="s">
        <v>262</v>
      </c>
      <c r="E62" s="124">
        <v>510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</row>
    <row r="63" spans="1:24" s="106" customFormat="1" ht="13.8">
      <c r="A63" s="125"/>
      <c r="B63" s="34">
        <v>44200</v>
      </c>
      <c r="C63" s="34"/>
      <c r="D63" s="124" t="s">
        <v>31</v>
      </c>
      <c r="E63" s="124">
        <v>-1182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</row>
    <row r="64" spans="1:24" s="106" customFormat="1" ht="13.8">
      <c r="A64" s="125"/>
      <c r="B64" s="34">
        <v>44200</v>
      </c>
      <c r="C64" s="34"/>
      <c r="D64" s="124" t="s">
        <v>125</v>
      </c>
      <c r="E64" s="124">
        <v>119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>
        <v>119</v>
      </c>
      <c r="S64" s="124"/>
      <c r="T64" s="124"/>
      <c r="U64" s="124"/>
      <c r="V64" s="124"/>
      <c r="W64" s="124"/>
      <c r="X64" s="124"/>
    </row>
    <row r="65" spans="1:24" s="106" customFormat="1" ht="13.8">
      <c r="A65" s="125"/>
      <c r="B65" s="34">
        <v>44200</v>
      </c>
      <c r="C65" s="34"/>
      <c r="D65" s="124" t="s">
        <v>182</v>
      </c>
      <c r="E65" s="124">
        <v>284</v>
      </c>
      <c r="F65" s="124">
        <v>284</v>
      </c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</row>
    <row r="66" spans="1:24" s="106" customFormat="1" ht="13.8">
      <c r="A66" s="125"/>
      <c r="B66" s="34">
        <v>44200</v>
      </c>
      <c r="C66" s="34"/>
      <c r="D66" s="124" t="s">
        <v>25</v>
      </c>
      <c r="E66" s="124">
        <f>425.08</f>
        <v>425.08</v>
      </c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>
        <v>425.08</v>
      </c>
      <c r="Q66" s="124"/>
      <c r="R66" s="124"/>
      <c r="S66" s="124"/>
      <c r="T66" s="124"/>
      <c r="U66" s="124"/>
      <c r="V66" s="124"/>
      <c r="W66" s="124"/>
      <c r="X66" s="124"/>
    </row>
    <row r="67" spans="1:24" s="106" customFormat="1" ht="13.8">
      <c r="A67" s="125"/>
      <c r="B67" s="34">
        <v>44200</v>
      </c>
      <c r="C67" s="34"/>
      <c r="D67" s="124" t="s">
        <v>206</v>
      </c>
      <c r="E67" s="124">
        <v>120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>
        <v>120</v>
      </c>
      <c r="S67" s="124"/>
      <c r="T67" s="124"/>
      <c r="U67" s="124"/>
      <c r="V67" s="124"/>
      <c r="W67" s="124"/>
      <c r="X67" s="124"/>
    </row>
    <row r="68" spans="1:24" s="106" customFormat="1" ht="13.8">
      <c r="A68" s="125"/>
      <c r="B68" s="34">
        <v>44200</v>
      </c>
      <c r="C68" s="34"/>
      <c r="D68" s="124" t="s">
        <v>183</v>
      </c>
      <c r="E68" s="124">
        <v>537.75</v>
      </c>
      <c r="F68" s="124">
        <v>537.75</v>
      </c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1:24" s="106" customFormat="1" ht="13.8">
      <c r="A69" s="125"/>
      <c r="B69" s="34">
        <v>44200</v>
      </c>
      <c r="C69" s="34"/>
      <c r="D69" s="124" t="s">
        <v>100</v>
      </c>
      <c r="E69" s="124">
        <v>2513.66</v>
      </c>
      <c r="F69" s="124">
        <v>2513.66</v>
      </c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</row>
    <row r="70" spans="1:24" s="106" customFormat="1" ht="13.8">
      <c r="A70" s="125"/>
      <c r="B70" s="34">
        <v>44200</v>
      </c>
      <c r="C70" s="34"/>
      <c r="D70" s="124" t="s">
        <v>124</v>
      </c>
      <c r="E70" s="124">
        <v>449</v>
      </c>
      <c r="F70" s="124"/>
      <c r="G70" s="124"/>
      <c r="H70" s="124"/>
      <c r="I70" s="124">
        <v>449</v>
      </c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</row>
    <row r="71" spans="1:24" s="106" customFormat="1" ht="13.8">
      <c r="A71" s="125"/>
      <c r="B71" s="34">
        <v>44200</v>
      </c>
      <c r="C71" s="34"/>
      <c r="D71" s="124" t="s">
        <v>42</v>
      </c>
      <c r="E71" s="124">
        <v>249</v>
      </c>
      <c r="F71" s="124"/>
      <c r="G71" s="124"/>
      <c r="H71" s="124">
        <v>249</v>
      </c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</row>
    <row r="72" spans="1:24" s="106" customFormat="1" ht="13.8">
      <c r="A72" s="125"/>
      <c r="B72" s="34">
        <v>43835</v>
      </c>
      <c r="C72" s="34"/>
      <c r="D72" s="124" t="s">
        <v>20</v>
      </c>
      <c r="E72" s="124">
        <v>298.64999999999998</v>
      </c>
      <c r="F72" s="124">
        <v>298.64999999999998</v>
      </c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</row>
    <row r="73" spans="1:24" s="106" customFormat="1" ht="13.8">
      <c r="A73" s="125"/>
      <c r="B73" s="34">
        <v>43835</v>
      </c>
      <c r="C73" s="34"/>
      <c r="D73" s="124" t="s">
        <v>18</v>
      </c>
      <c r="E73" s="124">
        <v>256.58999999999997</v>
      </c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>
        <v>256.58999999999997</v>
      </c>
      <c r="Q73" s="124"/>
      <c r="R73" s="124"/>
      <c r="S73" s="124"/>
      <c r="T73" s="124"/>
      <c r="U73" s="124"/>
      <c r="V73" s="124"/>
      <c r="W73" s="124"/>
      <c r="X73" s="124"/>
    </row>
    <row r="74" spans="1:24" s="106" customFormat="1" ht="13.8">
      <c r="A74" s="125"/>
      <c r="B74" s="34">
        <v>43835</v>
      </c>
      <c r="C74" s="34"/>
      <c r="D74" s="124" t="s">
        <v>180</v>
      </c>
      <c r="E74" s="124">
        <v>219.33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>
        <v>219.33</v>
      </c>
      <c r="V74" s="124"/>
      <c r="W74" s="124"/>
      <c r="X74" s="124"/>
    </row>
    <row r="75" spans="1:24" s="106" customFormat="1" ht="13.8">
      <c r="A75" s="125"/>
      <c r="B75" s="34">
        <v>44201</v>
      </c>
      <c r="C75" s="34"/>
      <c r="D75" s="124" t="s">
        <v>42</v>
      </c>
      <c r="E75" s="124">
        <v>247.9</v>
      </c>
      <c r="F75" s="124"/>
      <c r="G75" s="124"/>
      <c r="H75" s="124">
        <v>247.9</v>
      </c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</row>
    <row r="76" spans="1:24" s="106" customFormat="1" ht="13.8">
      <c r="A76" s="125"/>
      <c r="B76" s="34">
        <v>44202</v>
      </c>
      <c r="C76" s="34"/>
      <c r="D76" s="124" t="s">
        <v>261</v>
      </c>
      <c r="E76" s="124">
        <v>324.05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>
        <v>324.05</v>
      </c>
      <c r="W76" s="124"/>
      <c r="X76" s="124"/>
    </row>
    <row r="77" spans="1:24" s="106" customFormat="1" ht="13.8">
      <c r="A77" s="125"/>
      <c r="B77" s="34">
        <v>44203</v>
      </c>
      <c r="C77" s="34"/>
      <c r="D77" s="124" t="s">
        <v>260</v>
      </c>
      <c r="E77" s="124">
        <v>196</v>
      </c>
      <c r="F77" s="124"/>
      <c r="G77" s="124"/>
      <c r="H77" s="124">
        <v>196</v>
      </c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</row>
    <row r="78" spans="1:24" s="106" customFormat="1" ht="13.8">
      <c r="A78" s="125"/>
      <c r="B78" s="34">
        <v>44203</v>
      </c>
      <c r="C78" s="34"/>
      <c r="D78" s="124" t="s">
        <v>39</v>
      </c>
      <c r="E78" s="124">
        <v>40.799999999999997</v>
      </c>
      <c r="F78" s="124"/>
      <c r="G78" s="124"/>
      <c r="H78" s="124">
        <v>40.799999999999997</v>
      </c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pans="1:24" s="106" customFormat="1" ht="13.8">
      <c r="A79" s="125"/>
      <c r="B79" s="34">
        <v>44203</v>
      </c>
      <c r="C79" s="34"/>
      <c r="D79" s="124" t="s">
        <v>41</v>
      </c>
      <c r="E79" s="124">
        <v>29.9</v>
      </c>
      <c r="F79" s="124"/>
      <c r="G79" s="124"/>
      <c r="H79" s="124">
        <v>29.9</v>
      </c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</row>
    <row r="80" spans="1:24" s="106" customFormat="1" ht="13.8">
      <c r="A80" s="125"/>
      <c r="B80" s="34">
        <v>44205</v>
      </c>
      <c r="C80" s="34"/>
      <c r="D80" s="124" t="s">
        <v>124</v>
      </c>
      <c r="E80" s="124">
        <v>6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</row>
    <row r="81" spans="1:24" s="106" customFormat="1" ht="13.8">
      <c r="A81" s="125"/>
      <c r="B81" s="34">
        <v>44205</v>
      </c>
      <c r="C81" s="34"/>
      <c r="D81" s="124" t="s">
        <v>42</v>
      </c>
      <c r="E81" s="124">
        <v>224.9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1:24" s="106" customFormat="1" ht="13.8">
      <c r="A82" s="125"/>
      <c r="B82" s="34">
        <v>44205</v>
      </c>
      <c r="C82" s="34"/>
      <c r="D82" s="124" t="s">
        <v>259</v>
      </c>
      <c r="E82" s="124">
        <v>140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</row>
    <row r="83" spans="1:24" s="106" customFormat="1" ht="13.8">
      <c r="A83" s="125"/>
      <c r="B83" s="34">
        <v>44206</v>
      </c>
      <c r="C83" s="34"/>
      <c r="D83" s="124" t="s">
        <v>258</v>
      </c>
      <c r="E83" s="124">
        <v>300</v>
      </c>
      <c r="F83" s="124"/>
      <c r="G83" s="124">
        <v>300</v>
      </c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</row>
    <row r="84" spans="1:24" s="106" customFormat="1" ht="13.8">
      <c r="A84" s="125"/>
      <c r="B84" s="34">
        <v>44207</v>
      </c>
      <c r="C84" s="34"/>
      <c r="D84" s="124" t="s">
        <v>257</v>
      </c>
      <c r="E84" s="124">
        <v>500</v>
      </c>
      <c r="F84" s="124"/>
      <c r="G84" s="124"/>
      <c r="H84" s="124"/>
      <c r="I84" s="124"/>
      <c r="J84" s="124"/>
      <c r="K84" s="124"/>
      <c r="L84" s="124"/>
      <c r="M84" s="124"/>
      <c r="N84" s="124"/>
      <c r="O84" s="124">
        <v>500</v>
      </c>
      <c r="P84" s="124"/>
      <c r="Q84" s="124"/>
      <c r="R84" s="124"/>
      <c r="S84" s="124"/>
      <c r="T84" s="124"/>
      <c r="U84" s="124"/>
      <c r="V84" s="124"/>
      <c r="W84" s="124"/>
      <c r="X84" s="124"/>
    </row>
    <row r="85" spans="1:24" s="106" customFormat="1" ht="13.8">
      <c r="A85" s="125"/>
      <c r="B85" s="34">
        <v>44209</v>
      </c>
      <c r="C85" s="34"/>
      <c r="D85" s="124" t="s">
        <v>42</v>
      </c>
      <c r="E85" s="124">
        <v>132.80000000000001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</row>
    <row r="86" spans="1:24" s="106" customFormat="1" ht="13.8">
      <c r="A86" s="125"/>
      <c r="B86" s="34">
        <v>44211</v>
      </c>
      <c r="C86" s="34"/>
      <c r="D86" s="124" t="s">
        <v>38</v>
      </c>
      <c r="E86" s="124">
        <v>153.85</v>
      </c>
      <c r="F86" s="124"/>
      <c r="G86" s="124"/>
      <c r="H86" s="124">
        <v>93.85</v>
      </c>
      <c r="I86" s="124"/>
      <c r="J86" s="124"/>
      <c r="K86" s="124"/>
      <c r="L86" s="124">
        <v>60</v>
      </c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</row>
    <row r="87" spans="1:24" s="106" customFormat="1" ht="13.8">
      <c r="A87" s="125"/>
      <c r="B87" s="34">
        <v>44212</v>
      </c>
      <c r="C87" s="34"/>
      <c r="D87" s="124" t="s">
        <v>42</v>
      </c>
      <c r="E87" s="124">
        <v>117.75</v>
      </c>
      <c r="F87" s="124"/>
      <c r="G87" s="124"/>
      <c r="H87" s="124">
        <v>117.75</v>
      </c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1:24" s="106" customFormat="1" ht="13.8">
      <c r="A88" s="125"/>
      <c r="B88" s="34">
        <v>44215</v>
      </c>
      <c r="C88" s="34"/>
      <c r="D88" s="124" t="s">
        <v>186</v>
      </c>
      <c r="E88" s="124">
        <v>68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>
        <v>-68</v>
      </c>
      <c r="S88" s="124"/>
      <c r="T88" s="124"/>
      <c r="U88" s="124"/>
      <c r="V88" s="124"/>
      <c r="W88" s="124"/>
      <c r="X88" s="124"/>
    </row>
    <row r="89" spans="1:24" s="106" customFormat="1" ht="13.8">
      <c r="A89" s="125"/>
      <c r="B89" s="34">
        <v>44216</v>
      </c>
      <c r="C89" s="34"/>
      <c r="D89" s="124" t="s">
        <v>124</v>
      </c>
      <c r="E89" s="124">
        <v>77.75</v>
      </c>
      <c r="F89" s="124"/>
      <c r="G89" s="124"/>
      <c r="H89" s="124"/>
      <c r="I89" s="124">
        <v>75.650000000000006</v>
      </c>
      <c r="J89" s="124">
        <v>2.1</v>
      </c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1:24" s="106" customFormat="1" ht="13.8">
      <c r="A90" s="125"/>
      <c r="B90" s="34">
        <v>44216</v>
      </c>
      <c r="C90" s="34"/>
      <c r="D90" s="124" t="s">
        <v>42</v>
      </c>
      <c r="E90" s="124">
        <v>48.46</v>
      </c>
      <c r="F90" s="124"/>
      <c r="G90" s="124"/>
      <c r="H90" s="124">
        <v>48.46</v>
      </c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1:24" s="106" customFormat="1" ht="13.8">
      <c r="A91" s="125"/>
      <c r="B91" s="34">
        <v>44217</v>
      </c>
      <c r="C91" s="34"/>
      <c r="D91" s="124" t="s">
        <v>57</v>
      </c>
      <c r="E91" s="124">
        <v>5000</v>
      </c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>
        <v>5000</v>
      </c>
      <c r="W91" s="124">
        <v>5000</v>
      </c>
      <c r="X91" s="124"/>
    </row>
    <row r="92" spans="1:24" s="106" customFormat="1" ht="13.8">
      <c r="A92" s="125"/>
      <c r="B92" s="34">
        <v>44217</v>
      </c>
      <c r="C92" s="34"/>
      <c r="D92" s="124" t="s">
        <v>40</v>
      </c>
      <c r="E92" s="124">
        <v>77.95</v>
      </c>
      <c r="F92" s="124"/>
      <c r="G92" s="124"/>
      <c r="H92" s="124">
        <v>77.95</v>
      </c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1:24" s="106" customFormat="1" ht="13.8">
      <c r="A93" s="125"/>
      <c r="B93" s="34">
        <v>44217</v>
      </c>
      <c r="C93" s="34"/>
      <c r="D93" s="124" t="s">
        <v>42</v>
      </c>
      <c r="E93" s="124">
        <v>25.25</v>
      </c>
      <c r="F93" s="124"/>
      <c r="G93" s="124"/>
      <c r="H93" s="124">
        <v>25.25</v>
      </c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1:24" s="106" customFormat="1" ht="13.8">
      <c r="A94" s="125"/>
      <c r="B94" s="34">
        <v>44218</v>
      </c>
      <c r="C94" s="34"/>
      <c r="D94" s="124" t="s">
        <v>162</v>
      </c>
      <c r="E94" s="124">
        <v>950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>
        <v>950</v>
      </c>
      <c r="P94" s="124"/>
      <c r="Q94" s="124"/>
      <c r="R94" s="124"/>
      <c r="S94" s="124"/>
      <c r="T94" s="124"/>
      <c r="U94" s="124"/>
      <c r="V94" s="124"/>
      <c r="W94" s="124"/>
      <c r="X94" s="124"/>
    </row>
    <row r="95" spans="1:24" s="106" customFormat="1" ht="13.8">
      <c r="A95" s="125"/>
      <c r="B95" s="34">
        <v>44218</v>
      </c>
      <c r="C95" s="34"/>
      <c r="D95" s="124" t="s">
        <v>40</v>
      </c>
      <c r="E95" s="124">
        <v>132.94999999999999</v>
      </c>
      <c r="F95" s="124"/>
      <c r="G95" s="124"/>
      <c r="H95" s="124">
        <v>132.94999999999999</v>
      </c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1:24" s="106" customFormat="1" ht="13.8">
      <c r="A96" s="125"/>
      <c r="B96" s="34">
        <v>44218</v>
      </c>
      <c r="C96" s="34"/>
      <c r="D96" s="124" t="s">
        <v>41</v>
      </c>
      <c r="E96" s="124">
        <v>93.8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1:42" s="106" customFormat="1" ht="13.8">
      <c r="A97" s="125"/>
      <c r="B97" s="34">
        <v>44218</v>
      </c>
      <c r="C97" s="34"/>
      <c r="D97" s="124" t="s">
        <v>40</v>
      </c>
      <c r="E97" s="124">
        <v>630</v>
      </c>
      <c r="F97" s="124"/>
      <c r="G97" s="124"/>
      <c r="H97" s="124">
        <v>50</v>
      </c>
      <c r="I97" s="124"/>
      <c r="J97" s="124"/>
      <c r="K97" s="124">
        <v>550</v>
      </c>
      <c r="L97" s="124"/>
      <c r="M97" s="124">
        <v>30</v>
      </c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1:42" s="106" customFormat="1" ht="13.8">
      <c r="A98" s="125"/>
      <c r="B98" s="34">
        <v>44220</v>
      </c>
      <c r="C98" s="34"/>
      <c r="D98" s="124" t="s">
        <v>162</v>
      </c>
      <c r="E98" s="124">
        <v>657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>
        <v>657</v>
      </c>
      <c r="P98" s="124"/>
      <c r="Q98" s="124"/>
      <c r="R98" s="124"/>
      <c r="S98" s="124"/>
      <c r="T98" s="124"/>
      <c r="U98" s="124"/>
      <c r="V98" s="124"/>
      <c r="W98" s="124"/>
      <c r="X98" s="124"/>
    </row>
    <row r="99" spans="1:42" s="106" customFormat="1" ht="13.8">
      <c r="A99" s="125"/>
      <c r="B99" s="34">
        <v>44220</v>
      </c>
      <c r="C99" s="34"/>
      <c r="D99" s="124" t="s">
        <v>40</v>
      </c>
      <c r="E99" s="124">
        <v>24</v>
      </c>
      <c r="F99" s="124"/>
      <c r="G99" s="124"/>
      <c r="H99" s="124"/>
      <c r="I99" s="124"/>
      <c r="J99" s="124"/>
      <c r="K99" s="124"/>
      <c r="L99" s="124"/>
      <c r="M99" s="124">
        <v>24</v>
      </c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1:42" s="106" customFormat="1" ht="13.8">
      <c r="A100" s="125"/>
      <c r="B100" s="34">
        <v>44220</v>
      </c>
      <c r="C100" s="34"/>
      <c r="D100" s="124" t="s">
        <v>41</v>
      </c>
      <c r="E100" s="124">
        <v>100</v>
      </c>
      <c r="F100" s="124"/>
      <c r="G100" s="124"/>
      <c r="H100" s="124">
        <v>100</v>
      </c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1:42" s="106" customFormat="1" ht="13.8">
      <c r="A101" s="125"/>
      <c r="B101" s="34">
        <v>44220</v>
      </c>
      <c r="C101" s="34"/>
      <c r="D101" s="124" t="s">
        <v>42</v>
      </c>
      <c r="E101" s="124">
        <v>157.44999999999999</v>
      </c>
      <c r="F101" s="124"/>
      <c r="G101" s="124"/>
      <c r="H101" s="124">
        <v>137.44999999999999</v>
      </c>
      <c r="I101" s="124"/>
      <c r="J101" s="124"/>
      <c r="K101" s="124"/>
      <c r="L101" s="124"/>
      <c r="M101" s="124">
        <v>20</v>
      </c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1:42" s="106" customFormat="1" ht="13.8">
      <c r="A102" s="125"/>
      <c r="B102" s="34">
        <v>44220</v>
      </c>
      <c r="C102" s="34"/>
      <c r="D102" s="124" t="s">
        <v>42</v>
      </c>
      <c r="E102" s="124">
        <v>37.450000000000003</v>
      </c>
      <c r="F102" s="124"/>
      <c r="G102" s="124"/>
      <c r="H102" s="124">
        <v>37.450000000000003</v>
      </c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1:42" s="106" customFormat="1" ht="13.8">
      <c r="A103" s="125"/>
      <c r="B103" s="34">
        <v>44221</v>
      </c>
      <c r="C103" s="34"/>
      <c r="D103" s="124" t="s">
        <v>162</v>
      </c>
      <c r="E103" s="124">
        <v>394.2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>
        <v>394.2</v>
      </c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1:42" s="106" customFormat="1" ht="13.8">
      <c r="A104" s="125"/>
      <c r="B104" s="34">
        <v>44221</v>
      </c>
      <c r="C104" s="34"/>
      <c r="D104" s="124" t="s">
        <v>40</v>
      </c>
      <c r="E104" s="124">
        <v>46.5</v>
      </c>
      <c r="F104" s="124"/>
      <c r="G104" s="124"/>
      <c r="H104" s="124">
        <v>22.5</v>
      </c>
      <c r="I104" s="124"/>
      <c r="J104" s="124"/>
      <c r="K104" s="124"/>
      <c r="L104" s="124"/>
      <c r="M104" s="124">
        <v>24</v>
      </c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1:42" s="106" customFormat="1" ht="13.8">
      <c r="A105" s="125"/>
      <c r="B105" s="34">
        <v>44221</v>
      </c>
      <c r="C105" s="34"/>
      <c r="D105" s="124" t="s">
        <v>124</v>
      </c>
      <c r="E105" s="124">
        <v>174.5</v>
      </c>
      <c r="F105" s="124"/>
      <c r="G105" s="124"/>
      <c r="H105" s="124">
        <v>84.4</v>
      </c>
      <c r="I105" s="124"/>
      <c r="J105" s="124">
        <v>89.95</v>
      </c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1:42" s="106" customFormat="1" ht="13.8">
      <c r="A106" s="125"/>
      <c r="B106" s="34">
        <v>44222</v>
      </c>
      <c r="C106" s="34"/>
      <c r="D106" s="124" t="s">
        <v>38</v>
      </c>
      <c r="E106" s="124">
        <v>90</v>
      </c>
      <c r="F106" s="124"/>
      <c r="G106" s="124"/>
      <c r="H106" s="124">
        <v>90</v>
      </c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1:42" s="106" customFormat="1" ht="13.8">
      <c r="A107" s="125"/>
      <c r="B107" s="34">
        <v>44223</v>
      </c>
      <c r="C107" s="34"/>
      <c r="D107" s="124" t="s">
        <v>42</v>
      </c>
      <c r="E107" s="124">
        <v>156.6</v>
      </c>
      <c r="F107" s="124"/>
      <c r="G107" s="124"/>
      <c r="H107" s="124">
        <v>126.6</v>
      </c>
      <c r="I107" s="124"/>
      <c r="J107" s="124"/>
      <c r="K107" s="124"/>
      <c r="L107" s="124"/>
      <c r="M107" s="124">
        <v>30</v>
      </c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1:42" s="106" customFormat="1" ht="13.8">
      <c r="A108" s="125"/>
      <c r="B108" s="34">
        <v>44224</v>
      </c>
      <c r="C108" s="34"/>
      <c r="D108" s="124" t="s">
        <v>237</v>
      </c>
      <c r="E108" s="124">
        <v>199.95</v>
      </c>
      <c r="F108" s="124"/>
      <c r="G108" s="124"/>
      <c r="H108" s="124">
        <v>199.95</v>
      </c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1:42" s="106" customFormat="1" ht="13.8">
      <c r="A109" s="125"/>
      <c r="B109" s="38" t="str">
        <f>B174</f>
        <v>Februar</v>
      </c>
      <c r="C109" s="37"/>
      <c r="D109" s="128"/>
      <c r="E109" s="36">
        <f t="shared" ref="E109:W109" si="18">SUM(E110:E173)</f>
        <v>-2995.9499999999966</v>
      </c>
      <c r="F109" s="36">
        <f t="shared" si="18"/>
        <v>1869.4299999999998</v>
      </c>
      <c r="G109" s="36">
        <f t="shared" si="18"/>
        <v>-2241.9</v>
      </c>
      <c r="H109" s="36">
        <f t="shared" si="18"/>
        <v>1951.5600000000002</v>
      </c>
      <c r="I109" s="36">
        <f t="shared" si="18"/>
        <v>208.45</v>
      </c>
      <c r="J109" s="36">
        <f t="shared" si="18"/>
        <v>0</v>
      </c>
      <c r="K109" s="36">
        <f t="shared" si="18"/>
        <v>110</v>
      </c>
      <c r="L109" s="36">
        <f t="shared" si="18"/>
        <v>330</v>
      </c>
      <c r="M109" s="36">
        <f t="shared" si="18"/>
        <v>88</v>
      </c>
      <c r="N109" s="36">
        <f t="shared" si="18"/>
        <v>14948</v>
      </c>
      <c r="O109" s="36">
        <f t="shared" si="18"/>
        <v>300</v>
      </c>
      <c r="P109" s="36">
        <f t="shared" si="18"/>
        <v>595.11</v>
      </c>
      <c r="Q109" s="36">
        <f t="shared" si="18"/>
        <v>911.75</v>
      </c>
      <c r="R109" s="36">
        <f t="shared" si="18"/>
        <v>79</v>
      </c>
      <c r="S109" s="36">
        <f t="shared" si="18"/>
        <v>1300</v>
      </c>
      <c r="T109" s="36">
        <f t="shared" si="18"/>
        <v>353</v>
      </c>
      <c r="U109" s="36">
        <f t="shared" si="18"/>
        <v>2957.65</v>
      </c>
      <c r="V109" s="36">
        <f t="shared" si="18"/>
        <v>5500</v>
      </c>
      <c r="W109" s="36">
        <f t="shared" si="18"/>
        <v>5500</v>
      </c>
      <c r="X109" s="36"/>
    </row>
    <row r="110" spans="1:42" s="126" customFormat="1" ht="13.5" customHeight="1">
      <c r="A110" s="39"/>
      <c r="B110" s="34">
        <v>44225</v>
      </c>
      <c r="C110" s="34"/>
      <c r="D110" s="124" t="s">
        <v>34</v>
      </c>
      <c r="E110" s="124">
        <f>-19476</f>
        <v>-19476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</row>
    <row r="111" spans="1:42" s="106" customFormat="1" ht="13.8">
      <c r="A111" s="125"/>
      <c r="B111" s="34">
        <v>44225</v>
      </c>
      <c r="C111" s="34"/>
      <c r="D111" s="124" t="s">
        <v>33</v>
      </c>
      <c r="E111" s="124">
        <v>-205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1:42" s="106" customFormat="1" ht="13.8">
      <c r="A112" s="125"/>
      <c r="B112" s="34">
        <v>44225</v>
      </c>
      <c r="C112" s="34"/>
      <c r="D112" s="124" t="s">
        <v>35</v>
      </c>
      <c r="E112" s="124">
        <v>-11138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1:24" s="106" customFormat="1" ht="13.8">
      <c r="A113" s="125"/>
      <c r="B113" s="34">
        <v>44225</v>
      </c>
      <c r="C113" s="34"/>
      <c r="D113" s="124" t="s">
        <v>57</v>
      </c>
      <c r="E113" s="124">
        <v>5500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>
        <v>5500</v>
      </c>
      <c r="W113" s="124">
        <v>5500</v>
      </c>
      <c r="X113" s="124"/>
    </row>
    <row r="114" spans="1:24" s="106" customFormat="1" ht="13.8">
      <c r="A114" s="125">
        <v>5</v>
      </c>
      <c r="B114" s="34">
        <v>44225</v>
      </c>
      <c r="C114" s="34"/>
      <c r="D114" s="124" t="s">
        <v>42</v>
      </c>
      <c r="E114" s="124">
        <v>178.4</v>
      </c>
      <c r="F114" s="124"/>
      <c r="G114" s="124"/>
      <c r="H114" s="124">
        <v>158.4</v>
      </c>
      <c r="I114" s="124"/>
      <c r="J114" s="124"/>
      <c r="K114" s="124"/>
      <c r="L114" s="124"/>
      <c r="M114" s="124">
        <v>20</v>
      </c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1:24" s="106" customFormat="1" ht="13.8">
      <c r="A115" s="125"/>
      <c r="B115" s="34">
        <v>44225</v>
      </c>
      <c r="C115" s="34"/>
      <c r="D115" s="124" t="s">
        <v>39</v>
      </c>
      <c r="E115" s="124">
        <v>31.45</v>
      </c>
      <c r="F115" s="124"/>
      <c r="G115" s="124"/>
      <c r="H115" s="124">
        <v>31.45</v>
      </c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1:24" s="106" customFormat="1" ht="13.8">
      <c r="A116" s="125"/>
      <c r="B116" s="34">
        <v>44225</v>
      </c>
      <c r="C116" s="34"/>
      <c r="D116" s="124" t="s">
        <v>40</v>
      </c>
      <c r="E116" s="124">
        <v>106</v>
      </c>
      <c r="F116" s="124"/>
      <c r="G116" s="124"/>
      <c r="H116" s="124">
        <v>106</v>
      </c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1:24" s="106" customFormat="1" ht="13.8">
      <c r="A117" s="125"/>
      <c r="B117" s="34">
        <v>44226</v>
      </c>
      <c r="C117" s="34"/>
      <c r="D117" s="124" t="s">
        <v>38</v>
      </c>
      <c r="E117" s="124">
        <v>60</v>
      </c>
      <c r="F117" s="124"/>
      <c r="G117" s="124"/>
      <c r="H117" s="124">
        <v>60</v>
      </c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1:24" s="106" customFormat="1" ht="13.8">
      <c r="A118" s="125"/>
      <c r="B118" s="34">
        <v>44227</v>
      </c>
      <c r="C118" s="34"/>
      <c r="D118" s="124" t="s">
        <v>256</v>
      </c>
      <c r="E118" s="124">
        <v>180</v>
      </c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>
        <v>180</v>
      </c>
      <c r="U118" s="124"/>
      <c r="V118" s="124"/>
      <c r="W118" s="124"/>
      <c r="X118" s="124"/>
    </row>
    <row r="119" spans="1:24" s="106" customFormat="1" ht="13.8">
      <c r="A119" s="125"/>
      <c r="B119" s="34">
        <v>44227</v>
      </c>
      <c r="C119" s="34"/>
      <c r="D119" s="124" t="s">
        <v>41</v>
      </c>
      <c r="E119" s="124">
        <v>123</v>
      </c>
      <c r="F119" s="124"/>
      <c r="G119" s="124"/>
      <c r="H119" s="124">
        <v>123</v>
      </c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1:24" s="106" customFormat="1" ht="13.8">
      <c r="A120" s="125"/>
      <c r="B120" s="34">
        <v>44228</v>
      </c>
      <c r="C120" s="34"/>
      <c r="D120" s="124" t="s">
        <v>30</v>
      </c>
      <c r="E120" s="124">
        <v>14948</v>
      </c>
      <c r="F120" s="124"/>
      <c r="G120" s="124"/>
      <c r="H120" s="124"/>
      <c r="I120" s="124"/>
      <c r="J120" s="124"/>
      <c r="K120" s="124"/>
      <c r="L120" s="124"/>
      <c r="M120" s="124"/>
      <c r="N120" s="124">
        <v>14948</v>
      </c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1:24" s="106" customFormat="1" ht="13.8">
      <c r="A121" s="125"/>
      <c r="B121" s="34">
        <v>44228</v>
      </c>
      <c r="C121" s="34"/>
      <c r="D121" s="124" t="s">
        <v>31</v>
      </c>
      <c r="E121" s="124">
        <v>-1277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</row>
    <row r="122" spans="1:24" s="106" customFormat="1" ht="13.8">
      <c r="A122" s="125"/>
      <c r="B122" s="34">
        <v>44228</v>
      </c>
      <c r="C122" s="34"/>
      <c r="D122" s="124" t="s">
        <v>206</v>
      </c>
      <c r="E122" s="124">
        <v>120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>
        <v>120</v>
      </c>
      <c r="S122" s="124"/>
      <c r="T122" s="124"/>
      <c r="U122" s="124"/>
      <c r="V122" s="124"/>
      <c r="W122" s="124"/>
      <c r="X122" s="124"/>
    </row>
    <row r="123" spans="1:24" s="106" customFormat="1" ht="13.8">
      <c r="A123" s="125"/>
      <c r="B123" s="34">
        <v>44228</v>
      </c>
      <c r="C123" s="34"/>
      <c r="D123" s="124" t="s">
        <v>25</v>
      </c>
      <c r="E123" s="124">
        <v>398.03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398.03</v>
      </c>
      <c r="Q123" s="124"/>
      <c r="R123" s="124"/>
      <c r="S123" s="124"/>
      <c r="T123" s="124"/>
      <c r="U123" s="124"/>
      <c r="V123" s="124"/>
      <c r="W123" s="124"/>
      <c r="X123" s="124"/>
    </row>
    <row r="124" spans="1:24" s="106" customFormat="1" ht="13.8">
      <c r="A124" s="125"/>
      <c r="B124" s="34">
        <v>44228</v>
      </c>
      <c r="C124" s="34"/>
      <c r="D124" s="124" t="s">
        <v>183</v>
      </c>
      <c r="E124" s="124">
        <v>537.75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>
        <v>537.75</v>
      </c>
      <c r="R124" s="124"/>
      <c r="S124" s="124"/>
      <c r="T124" s="124"/>
      <c r="U124" s="124"/>
      <c r="V124" s="124"/>
      <c r="W124" s="124"/>
      <c r="X124" s="124"/>
    </row>
    <row r="125" spans="1:24" s="106" customFormat="1" ht="13.8">
      <c r="A125" s="125"/>
      <c r="B125" s="34">
        <v>44228</v>
      </c>
      <c r="C125" s="34"/>
      <c r="D125" s="124" t="s">
        <v>182</v>
      </c>
      <c r="E125" s="124">
        <v>284</v>
      </c>
      <c r="F125" s="124">
        <v>284</v>
      </c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</row>
    <row r="126" spans="1:24" s="106" customFormat="1" ht="13.8">
      <c r="A126" s="125"/>
      <c r="B126" s="34">
        <v>44228</v>
      </c>
      <c r="C126" s="34"/>
      <c r="D126" s="124" t="s">
        <v>125</v>
      </c>
      <c r="E126" s="124">
        <v>119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>
        <v>119</v>
      </c>
      <c r="S126" s="124"/>
      <c r="T126" s="124"/>
      <c r="U126" s="124"/>
      <c r="V126" s="124"/>
      <c r="W126" s="124"/>
      <c r="X126" s="124"/>
    </row>
    <row r="127" spans="1:24" s="106" customFormat="1" ht="13.8">
      <c r="A127" s="125"/>
      <c r="B127" s="34">
        <v>44228</v>
      </c>
      <c r="C127" s="34"/>
      <c r="D127" s="124" t="s">
        <v>251</v>
      </c>
      <c r="E127" s="124">
        <v>795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>
        <v>795</v>
      </c>
      <c r="V127" s="124"/>
      <c r="W127" s="124"/>
      <c r="X127" s="124"/>
    </row>
    <row r="128" spans="1:24" s="106" customFormat="1" ht="13.8">
      <c r="A128" s="125"/>
      <c r="B128" s="34">
        <v>44228</v>
      </c>
      <c r="C128" s="34"/>
      <c r="D128" s="124" t="s">
        <v>230</v>
      </c>
      <c r="E128" s="124">
        <f>$AO$37</f>
        <v>99</v>
      </c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>
        <v>99</v>
      </c>
      <c r="R128" s="124"/>
      <c r="S128" s="124"/>
      <c r="T128" s="124"/>
      <c r="U128" s="124"/>
      <c r="V128" s="124"/>
      <c r="W128" s="124"/>
      <c r="X128" s="124"/>
    </row>
    <row r="129" spans="1:24" s="106" customFormat="1" ht="13.8">
      <c r="A129" s="125"/>
      <c r="B129" s="34">
        <v>43862</v>
      </c>
      <c r="C129" s="34"/>
      <c r="D129" s="124" t="s">
        <v>213</v>
      </c>
      <c r="E129" s="124">
        <v>300</v>
      </c>
      <c r="F129" s="124">
        <v>300</v>
      </c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</row>
    <row r="130" spans="1:24" s="106" customFormat="1" ht="13.8">
      <c r="A130" s="125"/>
      <c r="B130" s="34">
        <v>44228</v>
      </c>
      <c r="C130" s="34"/>
      <c r="D130" s="124" t="s">
        <v>22</v>
      </c>
      <c r="E130" s="124">
        <v>138</v>
      </c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>
        <v>138</v>
      </c>
      <c r="R130" s="124"/>
      <c r="S130" s="124"/>
      <c r="T130" s="124"/>
      <c r="U130" s="124"/>
      <c r="V130" s="124"/>
      <c r="W130" s="124"/>
      <c r="X130" s="124"/>
    </row>
    <row r="131" spans="1:24" s="106" customFormat="1" ht="13.8">
      <c r="A131" s="125"/>
      <c r="B131" s="34">
        <v>44229</v>
      </c>
      <c r="C131" s="34"/>
      <c r="D131" s="124" t="s">
        <v>125</v>
      </c>
      <c r="E131" s="124">
        <v>-285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>
        <v>-285</v>
      </c>
      <c r="S131" s="124"/>
      <c r="T131" s="124"/>
      <c r="U131" s="124"/>
      <c r="V131" s="124"/>
      <c r="W131" s="124"/>
      <c r="X131" s="124"/>
    </row>
    <row r="132" spans="1:24" s="106" customFormat="1" ht="13.8">
      <c r="A132" s="125"/>
      <c r="B132" s="34">
        <v>44229</v>
      </c>
      <c r="C132" s="34"/>
      <c r="D132" s="124" t="s">
        <v>124</v>
      </c>
      <c r="E132" s="124">
        <v>208.45</v>
      </c>
      <c r="F132" s="124"/>
      <c r="G132" s="124"/>
      <c r="H132" s="124"/>
      <c r="I132" s="124">
        <v>208.45</v>
      </c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</row>
    <row r="133" spans="1:24" s="106" customFormat="1" ht="13.8">
      <c r="A133" s="125"/>
      <c r="B133" s="34">
        <v>44229</v>
      </c>
      <c r="C133" s="34"/>
      <c r="D133" s="124" t="s">
        <v>40</v>
      </c>
      <c r="E133" s="124">
        <v>30</v>
      </c>
      <c r="F133" s="124"/>
      <c r="G133" s="124"/>
      <c r="H133" s="124">
        <v>30</v>
      </c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</row>
    <row r="134" spans="1:24" s="106" customFormat="1" ht="13.8">
      <c r="A134" s="125"/>
      <c r="B134" s="34">
        <v>44230</v>
      </c>
      <c r="C134" s="34"/>
      <c r="D134" s="124" t="s">
        <v>21</v>
      </c>
      <c r="E134" s="124">
        <f>$AM$37</f>
        <v>177</v>
      </c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>
        <v>137</v>
      </c>
      <c r="R134" s="124"/>
      <c r="S134" s="124"/>
      <c r="T134" s="124"/>
      <c r="U134" s="124"/>
      <c r="V134" s="124"/>
      <c r="W134" s="124"/>
      <c r="X134" s="124"/>
    </row>
    <row r="135" spans="1:24" s="106" customFormat="1" ht="13.8">
      <c r="A135" s="125"/>
      <c r="B135" s="34">
        <v>44230</v>
      </c>
      <c r="C135" s="34"/>
      <c r="D135" s="124" t="s">
        <v>249</v>
      </c>
      <c r="E135" s="124">
        <v>173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>
        <v>173</v>
      </c>
      <c r="U135" s="124"/>
      <c r="V135" s="124"/>
      <c r="W135" s="124"/>
      <c r="X135" s="124"/>
    </row>
    <row r="136" spans="1:24" s="106" customFormat="1" ht="13.8">
      <c r="A136" s="125"/>
      <c r="B136" s="34">
        <v>44232</v>
      </c>
      <c r="C136" s="34"/>
      <c r="D136" s="124" t="s">
        <v>20</v>
      </c>
      <c r="E136" s="124">
        <v>179.34</v>
      </c>
      <c r="F136" s="124">
        <v>179.34</v>
      </c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</row>
    <row r="137" spans="1:24" s="106" customFormat="1" ht="13.8">
      <c r="A137" s="125"/>
      <c r="B137" s="34">
        <v>44232</v>
      </c>
      <c r="C137" s="34"/>
      <c r="D137" s="124" t="s">
        <v>18</v>
      </c>
      <c r="E137" s="124">
        <v>197.08</v>
      </c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>
        <v>197.08</v>
      </c>
      <c r="Q137" s="124"/>
      <c r="R137" s="124"/>
      <c r="S137" s="124"/>
      <c r="T137" s="124"/>
      <c r="U137" s="124"/>
      <c r="V137" s="124"/>
      <c r="W137" s="124"/>
      <c r="X137" s="124"/>
    </row>
    <row r="138" spans="1:24" s="106" customFormat="1" ht="13.8">
      <c r="A138" s="125"/>
      <c r="B138" s="34">
        <v>44232</v>
      </c>
      <c r="C138" s="34"/>
      <c r="D138" s="124" t="s">
        <v>180</v>
      </c>
      <c r="E138" s="124">
        <v>162.65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>
        <v>162.65</v>
      </c>
      <c r="V138" s="124"/>
      <c r="W138" s="124"/>
      <c r="X138" s="124"/>
    </row>
    <row r="139" spans="1:24" s="106" customFormat="1" ht="13.8">
      <c r="A139" s="125"/>
      <c r="B139" s="34">
        <v>44233</v>
      </c>
      <c r="C139" s="34"/>
      <c r="D139" s="124" t="s">
        <v>42</v>
      </c>
      <c r="E139" s="124">
        <v>131.1</v>
      </c>
      <c r="F139" s="124"/>
      <c r="G139" s="124">
        <v>131.1</v>
      </c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</row>
    <row r="140" spans="1:24" s="106" customFormat="1" ht="13.8">
      <c r="A140" s="125"/>
      <c r="B140" s="34">
        <v>44233</v>
      </c>
      <c r="C140" s="34"/>
      <c r="D140" s="124" t="s">
        <v>38</v>
      </c>
      <c r="E140" s="124">
        <v>35</v>
      </c>
      <c r="F140" s="124"/>
      <c r="G140" s="124">
        <v>35</v>
      </c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</row>
    <row r="141" spans="1:24" s="106" customFormat="1" ht="13.8">
      <c r="A141" s="125"/>
      <c r="B141" s="34">
        <v>44234</v>
      </c>
      <c r="C141" s="34"/>
      <c r="D141" s="124" t="s">
        <v>186</v>
      </c>
      <c r="E141" s="124">
        <v>125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>
        <v>125</v>
      </c>
      <c r="S141" s="124"/>
      <c r="T141" s="124"/>
      <c r="U141" s="124"/>
      <c r="V141" s="124"/>
      <c r="W141" s="124"/>
      <c r="X141" s="124"/>
    </row>
    <row r="142" spans="1:24" s="106" customFormat="1" ht="13.8">
      <c r="A142" s="125"/>
      <c r="B142" s="34">
        <v>44234</v>
      </c>
      <c r="C142" s="34"/>
      <c r="D142" s="124" t="s">
        <v>42</v>
      </c>
      <c r="E142" s="124">
        <v>90</v>
      </c>
      <c r="F142" s="124"/>
      <c r="G142" s="124">
        <v>90</v>
      </c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</row>
    <row r="143" spans="1:24" s="106" customFormat="1" ht="13.8">
      <c r="A143" s="125"/>
      <c r="B143" s="34">
        <v>44235</v>
      </c>
      <c r="C143" s="34"/>
      <c r="D143" s="124" t="s">
        <v>40</v>
      </c>
      <c r="E143" s="124">
        <v>50</v>
      </c>
      <c r="F143" s="124"/>
      <c r="G143" s="124">
        <v>50</v>
      </c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</row>
    <row r="144" spans="1:24" s="106" customFormat="1" ht="13.8">
      <c r="A144" s="125"/>
      <c r="B144" s="34">
        <v>44235</v>
      </c>
      <c r="C144" s="34"/>
      <c r="D144" s="124" t="s">
        <v>42</v>
      </c>
      <c r="E144" s="124">
        <v>88</v>
      </c>
      <c r="F144" s="124"/>
      <c r="G144" s="124">
        <v>88</v>
      </c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</row>
    <row r="145" spans="1:24" s="106" customFormat="1" ht="13.8">
      <c r="A145" s="125"/>
      <c r="B145" s="34">
        <v>44235</v>
      </c>
      <c r="C145" s="34"/>
      <c r="D145" s="124" t="s">
        <v>58</v>
      </c>
      <c r="E145" s="124">
        <v>500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>
        <v>500</v>
      </c>
      <c r="V145" s="124"/>
      <c r="W145" s="124"/>
      <c r="X145" s="124"/>
    </row>
    <row r="146" spans="1:24" s="106" customFormat="1" ht="13.8">
      <c r="A146" s="125"/>
      <c r="B146" s="34">
        <v>44237</v>
      </c>
      <c r="C146" s="34"/>
      <c r="D146" s="124" t="s">
        <v>255</v>
      </c>
      <c r="E146" s="124">
        <v>-300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</row>
    <row r="147" spans="1:24" s="106" customFormat="1" ht="13.8">
      <c r="A147" s="125"/>
      <c r="B147" s="34">
        <v>44237</v>
      </c>
      <c r="C147" s="34"/>
      <c r="D147" s="124" t="s">
        <v>144</v>
      </c>
      <c r="E147" s="124">
        <v>1106.0899999999999</v>
      </c>
      <c r="F147" s="124">
        <v>1106.0899999999999</v>
      </c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</row>
    <row r="148" spans="1:24" s="106" customFormat="1" ht="13.8">
      <c r="A148" s="125"/>
      <c r="B148" s="34">
        <v>44237</v>
      </c>
      <c r="C148" s="34"/>
      <c r="D148" s="124" t="s">
        <v>42</v>
      </c>
      <c r="E148" s="124">
        <v>110.45</v>
      </c>
      <c r="F148" s="124"/>
      <c r="G148" s="124"/>
      <c r="H148" s="124">
        <v>110.45</v>
      </c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</row>
    <row r="149" spans="1:24" s="106" customFormat="1" ht="13.8">
      <c r="A149" s="125"/>
      <c r="B149" s="34">
        <v>44237</v>
      </c>
      <c r="C149" s="34"/>
      <c r="D149" s="124" t="s">
        <v>41</v>
      </c>
      <c r="E149" s="124">
        <v>65</v>
      </c>
      <c r="F149" s="124"/>
      <c r="G149" s="124"/>
      <c r="H149" s="124">
        <v>40</v>
      </c>
      <c r="I149" s="124"/>
      <c r="J149" s="124"/>
      <c r="K149" s="124"/>
      <c r="L149" s="124"/>
      <c r="M149" s="124">
        <v>25</v>
      </c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</row>
    <row r="150" spans="1:24" s="106" customFormat="1" ht="13.8">
      <c r="A150" s="125"/>
      <c r="B150" s="34">
        <v>44238</v>
      </c>
      <c r="C150" s="34"/>
      <c r="D150" s="124" t="s">
        <v>42</v>
      </c>
      <c r="E150" s="124">
        <v>140.9</v>
      </c>
      <c r="F150" s="124"/>
      <c r="G150" s="124"/>
      <c r="H150" s="124">
        <v>140.9</v>
      </c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</row>
    <row r="151" spans="1:24" s="106" customFormat="1" ht="13.8">
      <c r="A151" s="125"/>
      <c r="B151" s="34">
        <v>44238</v>
      </c>
      <c r="C151" s="34"/>
      <c r="D151" s="124" t="s">
        <v>41</v>
      </c>
      <c r="E151" s="124">
        <v>65</v>
      </c>
      <c r="F151" s="124"/>
      <c r="G151" s="124"/>
      <c r="H151" s="124">
        <v>40</v>
      </c>
      <c r="I151" s="124"/>
      <c r="J151" s="124"/>
      <c r="K151" s="124"/>
      <c r="L151" s="124"/>
      <c r="M151" s="124">
        <v>25</v>
      </c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</row>
    <row r="152" spans="1:24" s="106" customFormat="1" ht="13.8">
      <c r="A152" s="125"/>
      <c r="B152" s="34">
        <v>44238</v>
      </c>
      <c r="C152" s="34"/>
      <c r="D152" s="124" t="s">
        <v>42</v>
      </c>
      <c r="E152" s="124">
        <v>125</v>
      </c>
      <c r="F152" s="124"/>
      <c r="G152" s="124"/>
      <c r="H152" s="124">
        <v>125</v>
      </c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</row>
    <row r="153" spans="1:24" s="106" customFormat="1" ht="13.8">
      <c r="A153" s="125"/>
      <c r="B153" s="34">
        <v>44238</v>
      </c>
      <c r="C153" s="34"/>
      <c r="D153" s="124" t="s">
        <v>40</v>
      </c>
      <c r="E153" s="124">
        <v>40</v>
      </c>
      <c r="F153" s="124"/>
      <c r="G153" s="124"/>
      <c r="H153" s="124">
        <v>40</v>
      </c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</row>
    <row r="154" spans="1:24" s="106" customFormat="1" ht="13.8">
      <c r="A154" s="125"/>
      <c r="B154" s="34">
        <v>44238</v>
      </c>
      <c r="C154" s="34"/>
      <c r="D154" s="124" t="s">
        <v>42</v>
      </c>
      <c r="E154" s="124">
        <v>150</v>
      </c>
      <c r="F154" s="124"/>
      <c r="G154" s="124"/>
      <c r="H154" s="124">
        <v>150</v>
      </c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</row>
    <row r="155" spans="1:24" s="106" customFormat="1" ht="13.8">
      <c r="A155" s="125"/>
      <c r="B155" s="34">
        <v>44239</v>
      </c>
      <c r="C155" s="34"/>
      <c r="D155" s="124" t="s">
        <v>48</v>
      </c>
      <c r="E155" s="124">
        <v>300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>
        <v>300</v>
      </c>
      <c r="P155" s="124"/>
      <c r="Q155" s="124"/>
      <c r="R155" s="124"/>
      <c r="S155" s="124"/>
      <c r="T155" s="124"/>
      <c r="U155" s="124"/>
      <c r="V155" s="124"/>
      <c r="W155" s="124"/>
      <c r="X155" s="124"/>
    </row>
    <row r="156" spans="1:24" s="106" customFormat="1" ht="13.8">
      <c r="A156" s="125"/>
      <c r="B156" s="34">
        <v>44239</v>
      </c>
      <c r="C156" s="34"/>
      <c r="D156" s="124" t="s">
        <v>58</v>
      </c>
      <c r="E156" s="124">
        <v>1000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>
        <v>1000</v>
      </c>
      <c r="V156" s="124"/>
      <c r="W156" s="124"/>
      <c r="X156" s="124"/>
    </row>
    <row r="157" spans="1:24" s="106" customFormat="1" ht="13.8">
      <c r="A157" s="125"/>
      <c r="B157" s="34">
        <v>44242</v>
      </c>
      <c r="C157" s="34"/>
      <c r="D157" s="124" t="s">
        <v>42</v>
      </c>
      <c r="E157" s="124">
        <v>115.65</v>
      </c>
      <c r="F157" s="124"/>
      <c r="G157" s="124"/>
      <c r="H157" s="124">
        <v>115.65</v>
      </c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</row>
    <row r="158" spans="1:24" s="106" customFormat="1" ht="13.8">
      <c r="A158" s="125"/>
      <c r="B158" s="34">
        <v>44244</v>
      </c>
      <c r="C158" s="34"/>
      <c r="D158" s="124" t="s">
        <v>42</v>
      </c>
      <c r="E158" s="124">
        <v>220.5</v>
      </c>
      <c r="F158" s="124"/>
      <c r="G158" s="124"/>
      <c r="H158" s="124">
        <v>110.5</v>
      </c>
      <c r="I158" s="124"/>
      <c r="J158" s="124"/>
      <c r="K158" s="124">
        <v>110</v>
      </c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</row>
    <row r="159" spans="1:24" s="106" customFormat="1" ht="13.8">
      <c r="A159" s="125"/>
      <c r="B159" s="34">
        <v>44244</v>
      </c>
      <c r="C159" s="34"/>
      <c r="D159" s="124" t="s">
        <v>254</v>
      </c>
      <c r="E159" s="124">
        <v>300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>
        <v>300</v>
      </c>
      <c r="T159" s="124"/>
      <c r="U159" s="124"/>
      <c r="V159" s="124"/>
      <c r="W159" s="124"/>
      <c r="X159" s="124"/>
    </row>
    <row r="160" spans="1:24" s="106" customFormat="1" ht="13.8">
      <c r="A160" s="125"/>
      <c r="B160" s="34">
        <v>44245</v>
      </c>
      <c r="C160" s="34"/>
      <c r="D160" s="124" t="s">
        <v>40</v>
      </c>
      <c r="E160" s="124">
        <v>497.35</v>
      </c>
      <c r="F160" s="124"/>
      <c r="G160" s="124"/>
      <c r="H160" s="124">
        <v>167.35</v>
      </c>
      <c r="I160" s="124"/>
      <c r="J160" s="124"/>
      <c r="K160" s="124"/>
      <c r="L160" s="124">
        <v>330</v>
      </c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</row>
    <row r="161" spans="1:42" s="106" customFormat="1" ht="13.8">
      <c r="A161" s="125"/>
      <c r="B161" s="34">
        <v>44245</v>
      </c>
      <c r="C161" s="34"/>
      <c r="D161" s="124" t="s">
        <v>38</v>
      </c>
      <c r="E161" s="124">
        <v>25</v>
      </c>
      <c r="F161" s="124"/>
      <c r="G161" s="124"/>
      <c r="H161" s="124">
        <v>25</v>
      </c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</row>
    <row r="162" spans="1:42" s="106" customFormat="1" ht="13.8">
      <c r="A162" s="125"/>
      <c r="B162" s="34">
        <v>44246</v>
      </c>
      <c r="C162" s="34"/>
      <c r="D162" s="124" t="s">
        <v>58</v>
      </c>
      <c r="E162" s="124">
        <v>500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>
        <v>500</v>
      </c>
      <c r="V162" s="124"/>
      <c r="W162" s="124"/>
      <c r="X162" s="124"/>
    </row>
    <row r="163" spans="1:42" s="106" customFormat="1" ht="13.8">
      <c r="A163" s="125"/>
      <c r="B163" s="34">
        <v>44248</v>
      </c>
      <c r="C163" s="34"/>
      <c r="D163" s="124" t="s">
        <v>42</v>
      </c>
      <c r="E163" s="124">
        <v>196.95</v>
      </c>
      <c r="F163" s="124"/>
      <c r="G163" s="124">
        <v>59</v>
      </c>
      <c r="H163" s="124">
        <v>137.94999999999999</v>
      </c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</row>
    <row r="164" spans="1:42" s="106" customFormat="1" ht="13.8">
      <c r="A164" s="125"/>
      <c r="B164" s="34">
        <v>44277</v>
      </c>
      <c r="C164" s="34"/>
      <c r="D164" s="124" t="s">
        <v>42</v>
      </c>
      <c r="E164" s="124">
        <v>106.96</v>
      </c>
      <c r="F164" s="124"/>
      <c r="G164" s="124"/>
      <c r="H164" s="124">
        <v>88.96</v>
      </c>
      <c r="I164" s="124"/>
      <c r="J164" s="124"/>
      <c r="K164" s="124"/>
      <c r="L164" s="124"/>
      <c r="M164" s="124">
        <v>18</v>
      </c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</row>
    <row r="165" spans="1:42" s="106" customFormat="1" ht="13.8">
      <c r="A165" s="125"/>
      <c r="B165" s="34">
        <v>44277</v>
      </c>
      <c r="C165" s="34"/>
      <c r="D165" s="124" t="s">
        <v>40</v>
      </c>
      <c r="E165" s="124">
        <v>30</v>
      </c>
      <c r="F165" s="124"/>
      <c r="G165" s="124"/>
      <c r="H165" s="124">
        <v>30</v>
      </c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</row>
    <row r="166" spans="1:42" s="106" customFormat="1" ht="13.8">
      <c r="A166" s="125"/>
      <c r="B166" s="34">
        <v>44250</v>
      </c>
      <c r="C166" s="34"/>
      <c r="D166" s="124" t="s">
        <v>12</v>
      </c>
      <c r="E166" s="124">
        <v>1000</v>
      </c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>
        <f>E166</f>
        <v>1000</v>
      </c>
      <c r="T166" s="124"/>
      <c r="U166" s="124"/>
      <c r="V166" s="124"/>
      <c r="W166" s="124"/>
      <c r="X166" s="124"/>
    </row>
    <row r="167" spans="1:42" s="106" customFormat="1" ht="13.8">
      <c r="A167" s="125"/>
      <c r="B167" s="34">
        <v>44250</v>
      </c>
      <c r="C167" s="34"/>
      <c r="D167" s="124" t="s">
        <v>38</v>
      </c>
      <c r="E167" s="124">
        <v>40</v>
      </c>
      <c r="F167" s="124"/>
      <c r="G167" s="124">
        <v>40</v>
      </c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</row>
    <row r="168" spans="1:42" s="106" customFormat="1" ht="13.8">
      <c r="A168" s="125"/>
      <c r="B168" s="34">
        <v>44250</v>
      </c>
      <c r="C168" s="34"/>
      <c r="D168" s="124" t="s">
        <v>42</v>
      </c>
      <c r="E168" s="124">
        <v>86</v>
      </c>
      <c r="F168" s="124"/>
      <c r="G168" s="124">
        <v>20</v>
      </c>
      <c r="H168" s="124">
        <v>66</v>
      </c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</row>
    <row r="169" spans="1:42" s="106" customFormat="1" ht="13.8">
      <c r="A169" s="125"/>
      <c r="B169" s="34">
        <v>44251</v>
      </c>
      <c r="C169" s="34"/>
      <c r="D169" s="124" t="s">
        <v>40</v>
      </c>
      <c r="E169" s="124">
        <v>115</v>
      </c>
      <c r="F169" s="124"/>
      <c r="G169" s="124"/>
      <c r="H169" s="124">
        <v>15</v>
      </c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</row>
    <row r="170" spans="1:42" s="106" customFormat="1" ht="13.8">
      <c r="A170" s="125"/>
      <c r="B170" s="34">
        <v>44251</v>
      </c>
      <c r="C170" s="34"/>
      <c r="D170" s="124" t="s">
        <v>38</v>
      </c>
      <c r="E170" s="124">
        <v>39.950000000000003</v>
      </c>
      <c r="F170" s="124"/>
      <c r="G170" s="124"/>
      <c r="H170" s="124">
        <v>39.950000000000003</v>
      </c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</row>
    <row r="171" spans="1:42" s="106" customFormat="1" ht="13.8">
      <c r="A171" s="125"/>
      <c r="B171" s="34">
        <v>44252</v>
      </c>
      <c r="C171" s="34"/>
      <c r="D171" s="124" t="s">
        <v>167</v>
      </c>
      <c r="E171" s="124">
        <v>200</v>
      </c>
      <c r="F171" s="124"/>
      <c r="G171" s="124">
        <v>200</v>
      </c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</row>
    <row r="172" spans="1:42" s="106" customFormat="1" ht="13.8">
      <c r="A172" s="125"/>
      <c r="B172" s="34">
        <v>44252</v>
      </c>
      <c r="C172" s="34"/>
      <c r="D172" s="124" t="s">
        <v>253</v>
      </c>
      <c r="E172" s="124">
        <v>45</v>
      </c>
      <c r="F172" s="124"/>
      <c r="G172" s="124">
        <v>45</v>
      </c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</row>
    <row r="173" spans="1:42" s="106" customFormat="1" ht="13.8">
      <c r="A173" s="125"/>
      <c r="B173" s="34">
        <v>44252</v>
      </c>
      <c r="C173" s="34"/>
      <c r="D173" s="124" t="s">
        <v>185</v>
      </c>
      <c r="E173" s="124">
        <v>-3000</v>
      </c>
      <c r="F173" s="124"/>
      <c r="G173" s="124">
        <v>-3000</v>
      </c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</row>
    <row r="174" spans="1:42" s="106" customFormat="1" ht="13.8">
      <c r="A174" s="125"/>
      <c r="B174" s="2930" t="str">
        <f>E35</f>
        <v>Februar</v>
      </c>
      <c r="C174" s="2931"/>
      <c r="D174" s="2934" t="s">
        <v>36</v>
      </c>
      <c r="E174" s="2934">
        <f t="shared" ref="E174:W174" si="19">SUM(E175:E175)</f>
        <v>0</v>
      </c>
      <c r="F174" s="2934">
        <f t="shared" si="19"/>
        <v>0</v>
      </c>
      <c r="G174" s="2934">
        <f t="shared" si="19"/>
        <v>0</v>
      </c>
      <c r="H174" s="2934">
        <f t="shared" si="19"/>
        <v>0</v>
      </c>
      <c r="I174" s="2934">
        <f t="shared" si="19"/>
        <v>0</v>
      </c>
      <c r="J174" s="2934">
        <f t="shared" si="19"/>
        <v>0</v>
      </c>
      <c r="K174" s="2934">
        <f t="shared" si="19"/>
        <v>0</v>
      </c>
      <c r="L174" s="2934">
        <f t="shared" si="19"/>
        <v>0</v>
      </c>
      <c r="M174" s="2934">
        <f t="shared" si="19"/>
        <v>0</v>
      </c>
      <c r="N174" s="2934">
        <f t="shared" si="19"/>
        <v>0</v>
      </c>
      <c r="O174" s="2934">
        <f t="shared" si="19"/>
        <v>0</v>
      </c>
      <c r="P174" s="2934">
        <f t="shared" si="19"/>
        <v>0</v>
      </c>
      <c r="Q174" s="2934">
        <f t="shared" si="19"/>
        <v>0</v>
      </c>
      <c r="R174" s="2934">
        <f t="shared" si="19"/>
        <v>0</v>
      </c>
      <c r="S174" s="2934">
        <f t="shared" si="19"/>
        <v>0</v>
      </c>
      <c r="T174" s="2934">
        <f t="shared" si="19"/>
        <v>0</v>
      </c>
      <c r="U174" s="2934">
        <f t="shared" si="19"/>
        <v>0</v>
      </c>
      <c r="V174" s="2934">
        <f t="shared" si="19"/>
        <v>0</v>
      </c>
      <c r="W174" s="2934">
        <f t="shared" si="19"/>
        <v>0</v>
      </c>
      <c r="X174" s="2934"/>
    </row>
    <row r="175" spans="1:42" s="120" customFormat="1" ht="12" customHeight="1">
      <c r="A175" s="60"/>
      <c r="B175" s="2999"/>
      <c r="C175" s="3000"/>
      <c r="D175" s="2935"/>
      <c r="E175" s="2935"/>
      <c r="F175" s="2935"/>
      <c r="G175" s="2935"/>
      <c r="H175" s="2935"/>
      <c r="I175" s="2935"/>
      <c r="J175" s="2935"/>
      <c r="K175" s="2935"/>
      <c r="L175" s="2935"/>
      <c r="M175" s="2935"/>
      <c r="N175" s="2935"/>
      <c r="O175" s="2935"/>
      <c r="P175" s="2935"/>
      <c r="Q175" s="2935"/>
      <c r="R175" s="2935"/>
      <c r="S175" s="2935"/>
      <c r="T175" s="2935"/>
      <c r="U175" s="2935"/>
      <c r="V175" s="2935"/>
      <c r="W175" s="2935"/>
      <c r="X175" s="293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</row>
    <row r="176" spans="1:42" s="120" customFormat="1" ht="12" customHeight="1">
      <c r="A176" s="60"/>
      <c r="B176" s="38" t="str">
        <f>B267</f>
        <v>Marts</v>
      </c>
      <c r="C176" s="37"/>
      <c r="D176" s="128"/>
      <c r="E176" s="36">
        <f t="shared" ref="E176:W176" si="20">SUM(E178:E266)</f>
        <v>13083.440000000004</v>
      </c>
      <c r="F176" s="36">
        <f t="shared" si="20"/>
        <v>781.79</v>
      </c>
      <c r="G176" s="36">
        <f t="shared" si="20"/>
        <v>1388.3</v>
      </c>
      <c r="H176" s="36">
        <f t="shared" si="20"/>
        <v>2369.3700000000008</v>
      </c>
      <c r="I176" s="36">
        <f t="shared" si="20"/>
        <v>571.4</v>
      </c>
      <c r="J176" s="36">
        <f t="shared" ca="1" si="20"/>
        <v>19.55</v>
      </c>
      <c r="K176" s="36">
        <f t="shared" si="20"/>
        <v>1100</v>
      </c>
      <c r="L176" s="36">
        <f t="shared" si="20"/>
        <v>272.5</v>
      </c>
      <c r="M176" s="36">
        <f t="shared" si="20"/>
        <v>861.54</v>
      </c>
      <c r="N176" s="36">
        <f t="shared" si="20"/>
        <v>0</v>
      </c>
      <c r="O176" s="36">
        <f t="shared" si="20"/>
        <v>792.8</v>
      </c>
      <c r="P176" s="36">
        <f t="shared" si="20"/>
        <v>655.65</v>
      </c>
      <c r="Q176" s="36">
        <f t="shared" si="20"/>
        <v>2271.7799999999997</v>
      </c>
      <c r="R176" s="36">
        <f t="shared" si="20"/>
        <v>424</v>
      </c>
      <c r="S176" s="36">
        <f t="shared" si="20"/>
        <v>1000</v>
      </c>
      <c r="T176" s="36">
        <f t="shared" si="20"/>
        <v>812</v>
      </c>
      <c r="U176" s="36">
        <f t="shared" si="20"/>
        <v>7389.76</v>
      </c>
      <c r="V176" s="36">
        <f t="shared" si="20"/>
        <v>1000</v>
      </c>
      <c r="W176" s="36">
        <f t="shared" si="20"/>
        <v>1000</v>
      </c>
      <c r="X176" s="36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</row>
    <row r="177" spans="1:42" s="126" customFormat="1" ht="13.5" customHeight="1">
      <c r="A177" s="39"/>
      <c r="B177" s="34">
        <v>44253</v>
      </c>
      <c r="C177" s="34"/>
      <c r="D177" s="124" t="s">
        <v>35</v>
      </c>
      <c r="E177" s="140">
        <v>-11138</v>
      </c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</row>
    <row r="178" spans="1:42" s="106" customFormat="1" ht="13.8">
      <c r="A178" s="125"/>
      <c r="B178" s="34">
        <v>44253</v>
      </c>
      <c r="C178" s="34"/>
      <c r="D178" s="124" t="s">
        <v>34</v>
      </c>
      <c r="E178" s="140">
        <v>-7805</v>
      </c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</row>
    <row r="179" spans="1:42" s="106" customFormat="1" ht="13.8">
      <c r="A179" s="125"/>
      <c r="B179" s="34">
        <v>44253</v>
      </c>
      <c r="C179" s="34"/>
      <c r="D179" s="124" t="s">
        <v>33</v>
      </c>
      <c r="E179" s="140">
        <v>-205</v>
      </c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</row>
    <row r="180" spans="1:42" s="106" customFormat="1" ht="13.8">
      <c r="A180" s="125"/>
      <c r="B180" s="34">
        <v>44253</v>
      </c>
      <c r="C180" s="34"/>
      <c r="D180" s="124" t="s">
        <v>57</v>
      </c>
      <c r="E180" s="124">
        <v>1000</v>
      </c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>
        <v>1000</v>
      </c>
      <c r="W180" s="124">
        <v>1000</v>
      </c>
      <c r="X180" s="124"/>
    </row>
    <row r="181" spans="1:42" s="106" customFormat="1" ht="13.8">
      <c r="A181" s="125">
        <v>5</v>
      </c>
      <c r="B181" s="34">
        <v>44253</v>
      </c>
      <c r="C181" s="34"/>
      <c r="D181" s="124" t="s">
        <v>237</v>
      </c>
      <c r="E181" s="124">
        <v>80</v>
      </c>
      <c r="F181" s="124"/>
      <c r="G181" s="124"/>
      <c r="H181" s="124">
        <v>50</v>
      </c>
      <c r="I181" s="124"/>
      <c r="J181" s="124"/>
      <c r="K181" s="124"/>
      <c r="L181" s="124"/>
      <c r="M181" s="124">
        <v>30</v>
      </c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</row>
    <row r="182" spans="1:42" s="106" customFormat="1" ht="13.8">
      <c r="A182" s="125"/>
      <c r="B182" s="34">
        <v>44253</v>
      </c>
      <c r="C182" s="34"/>
      <c r="D182" s="124" t="s">
        <v>238</v>
      </c>
      <c r="E182" s="124">
        <v>49</v>
      </c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>
        <v>49</v>
      </c>
      <c r="Q182" s="124"/>
      <c r="R182" s="124"/>
      <c r="S182" s="124"/>
      <c r="T182" s="124"/>
      <c r="U182" s="124"/>
      <c r="V182" s="124"/>
      <c r="W182" s="124"/>
      <c r="X182" s="124"/>
    </row>
    <row r="183" spans="1:42" s="106" customFormat="1" ht="13.8">
      <c r="A183" s="125"/>
      <c r="B183" s="34">
        <v>44253</v>
      </c>
      <c r="C183" s="34"/>
      <c r="D183" s="124" t="s">
        <v>42</v>
      </c>
      <c r="E183" s="124">
        <v>151.5</v>
      </c>
      <c r="F183" s="124"/>
      <c r="G183" s="124"/>
      <c r="H183" s="124">
        <v>151.5</v>
      </c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</row>
    <row r="184" spans="1:42" s="106" customFormat="1" ht="13.8">
      <c r="A184" s="125"/>
      <c r="B184" s="34">
        <v>44253</v>
      </c>
      <c r="C184" s="34"/>
      <c r="D184" s="124" t="s">
        <v>38</v>
      </c>
      <c r="E184" s="124">
        <v>97.6</v>
      </c>
      <c r="F184" s="124"/>
      <c r="G184" s="124"/>
      <c r="H184" s="124">
        <v>97.6</v>
      </c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</row>
    <row r="185" spans="1:42" s="106" customFormat="1" ht="13.8">
      <c r="A185" s="125"/>
      <c r="B185" s="34">
        <v>44254</v>
      </c>
      <c r="C185" s="34"/>
      <c r="D185" s="124" t="s">
        <v>252</v>
      </c>
      <c r="E185" s="124">
        <v>75</v>
      </c>
      <c r="F185" s="124"/>
      <c r="G185" s="124">
        <v>75</v>
      </c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</row>
    <row r="186" spans="1:42" s="106" customFormat="1" ht="13.8">
      <c r="A186" s="125"/>
      <c r="B186" s="34">
        <v>44254</v>
      </c>
      <c r="C186" s="34"/>
      <c r="D186" s="124" t="s">
        <v>42</v>
      </c>
      <c r="E186" s="124">
        <v>132</v>
      </c>
      <c r="F186" s="124"/>
      <c r="G186" s="124"/>
      <c r="H186" s="124">
        <v>32</v>
      </c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</row>
    <row r="187" spans="1:42" s="106" customFormat="1" ht="13.8">
      <c r="A187" s="125"/>
      <c r="B187" s="34">
        <v>44253</v>
      </c>
      <c r="C187" s="34"/>
      <c r="D187" s="124" t="s">
        <v>58</v>
      </c>
      <c r="E187" s="124">
        <v>1000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>
        <v>1000</v>
      </c>
      <c r="V187" s="124"/>
      <c r="W187" s="124"/>
      <c r="X187" s="124"/>
    </row>
    <row r="188" spans="1:42" s="106" customFormat="1" ht="13.8">
      <c r="A188" s="125"/>
      <c r="B188" s="34">
        <v>44255</v>
      </c>
      <c r="C188" s="34"/>
      <c r="D188" s="124" t="s">
        <v>42</v>
      </c>
      <c r="E188" s="124">
        <v>99.9</v>
      </c>
      <c r="F188" s="124"/>
      <c r="G188" s="124"/>
      <c r="H188" s="124"/>
      <c r="I188" s="124"/>
      <c r="J188" s="124">
        <f ca="1">MONTH($B$34)-1</f>
        <v>4</v>
      </c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</row>
    <row r="189" spans="1:42" s="106" customFormat="1" ht="13.8">
      <c r="A189" s="125"/>
      <c r="B189" s="34">
        <v>44255</v>
      </c>
      <c r="C189" s="34"/>
      <c r="D189" s="124" t="s">
        <v>38</v>
      </c>
      <c r="E189" s="124">
        <v>140</v>
      </c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</row>
    <row r="190" spans="1:42" s="106" customFormat="1" ht="13.8">
      <c r="A190" s="125"/>
      <c r="B190" s="34">
        <v>44256</v>
      </c>
      <c r="C190" s="34"/>
      <c r="D190" s="124" t="s">
        <v>230</v>
      </c>
      <c r="E190" s="124">
        <f>$AO$37</f>
        <v>99</v>
      </c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>
        <f>E190</f>
        <v>99</v>
      </c>
      <c r="R190" s="124"/>
      <c r="S190" s="124"/>
      <c r="T190" s="124"/>
      <c r="U190" s="124"/>
      <c r="V190" s="124"/>
      <c r="W190" s="124"/>
      <c r="X190" s="124"/>
    </row>
    <row r="191" spans="1:42" s="106" customFormat="1" ht="13.8">
      <c r="A191" s="125"/>
      <c r="B191" s="34">
        <v>44256</v>
      </c>
      <c r="C191" s="34"/>
      <c r="D191" s="124" t="s">
        <v>233</v>
      </c>
      <c r="E191" s="124">
        <v>150</v>
      </c>
      <c r="F191" s="124"/>
      <c r="G191" s="124">
        <v>150</v>
      </c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</row>
    <row r="192" spans="1:42" s="106" customFormat="1" ht="13.8">
      <c r="A192" s="125"/>
      <c r="B192" s="34">
        <v>44256</v>
      </c>
      <c r="C192" s="34"/>
      <c r="D192" s="124" t="s">
        <v>31</v>
      </c>
      <c r="E192" s="124">
        <f>$Y$37</f>
        <v>-1277</v>
      </c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</row>
    <row r="193" spans="1:24" s="106" customFormat="1" ht="13.8">
      <c r="A193" s="125"/>
      <c r="B193" s="34">
        <v>44256</v>
      </c>
      <c r="C193" s="34"/>
      <c r="D193" s="124" t="s">
        <v>213</v>
      </c>
      <c r="E193" s="124">
        <v>300</v>
      </c>
      <c r="F193" s="124">
        <f>E193</f>
        <v>300</v>
      </c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</row>
    <row r="194" spans="1:24" s="106" customFormat="1" ht="13.8">
      <c r="A194" s="125"/>
      <c r="B194" s="34">
        <v>44256</v>
      </c>
      <c r="C194" s="34"/>
      <c r="D194" s="124" t="s">
        <v>197</v>
      </c>
      <c r="E194" s="124">
        <v>1360.03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>
        <v>1360.03</v>
      </c>
      <c r="R194" s="124"/>
      <c r="S194" s="124"/>
      <c r="T194" s="124"/>
      <c r="U194" s="124"/>
      <c r="V194" s="124"/>
      <c r="W194" s="124"/>
      <c r="X194" s="124"/>
    </row>
    <row r="195" spans="1:24" s="106" customFormat="1" ht="13.8">
      <c r="A195" s="125"/>
      <c r="B195" s="34">
        <v>44256</v>
      </c>
      <c r="C195" s="34"/>
      <c r="D195" s="124" t="s">
        <v>182</v>
      </c>
      <c r="E195" s="124">
        <v>284</v>
      </c>
      <c r="F195" s="124">
        <v>284</v>
      </c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</row>
    <row r="196" spans="1:24" s="106" customFormat="1" ht="13.8">
      <c r="A196" s="125"/>
      <c r="B196" s="34">
        <v>44256</v>
      </c>
      <c r="C196" s="34"/>
      <c r="D196" s="124" t="s">
        <v>183</v>
      </c>
      <c r="E196" s="124">
        <v>537.75</v>
      </c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>
        <v>537.75</v>
      </c>
      <c r="R196" s="124"/>
      <c r="S196" s="124"/>
      <c r="T196" s="124"/>
      <c r="U196" s="124"/>
      <c r="V196" s="124"/>
      <c r="W196" s="124"/>
      <c r="X196" s="124"/>
    </row>
    <row r="197" spans="1:24" s="106" customFormat="1" ht="13.8">
      <c r="A197" s="125"/>
      <c r="B197" s="34">
        <v>44256</v>
      </c>
      <c r="C197" s="34"/>
      <c r="D197" s="124" t="s">
        <v>25</v>
      </c>
      <c r="E197" s="124">
        <v>840.65</v>
      </c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>
        <v>340.2</v>
      </c>
      <c r="Q197" s="124"/>
      <c r="R197" s="124"/>
      <c r="S197" s="124"/>
      <c r="T197" s="124"/>
      <c r="U197" s="124">
        <v>500.45</v>
      </c>
      <c r="V197" s="124"/>
      <c r="W197" s="124"/>
      <c r="X197" s="124"/>
    </row>
    <row r="198" spans="1:24" s="106" customFormat="1" ht="13.8">
      <c r="A198" s="125"/>
      <c r="B198" s="34">
        <v>44256</v>
      </c>
      <c r="C198" s="34"/>
      <c r="D198" s="124" t="s">
        <v>206</v>
      </c>
      <c r="E198" s="124">
        <v>120</v>
      </c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>
        <v>120</v>
      </c>
      <c r="S198" s="124"/>
      <c r="T198" s="124"/>
      <c r="U198" s="124"/>
      <c r="V198" s="124"/>
      <c r="W198" s="124"/>
      <c r="X198" s="124"/>
    </row>
    <row r="199" spans="1:24" s="106" customFormat="1" ht="13.8">
      <c r="A199" s="125"/>
      <c r="B199" s="34">
        <v>44256</v>
      </c>
      <c r="C199" s="34"/>
      <c r="D199" s="124" t="s">
        <v>125</v>
      </c>
      <c r="E199" s="124">
        <v>119</v>
      </c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>
        <v>119</v>
      </c>
      <c r="S199" s="124"/>
      <c r="T199" s="124"/>
      <c r="U199" s="124"/>
      <c r="V199" s="124"/>
      <c r="W199" s="124"/>
      <c r="X199" s="124"/>
    </row>
    <row r="200" spans="1:24" s="106" customFormat="1" ht="13.8">
      <c r="A200" s="125"/>
      <c r="B200" s="34">
        <v>44256</v>
      </c>
      <c r="C200" s="34"/>
      <c r="D200" s="124" t="s">
        <v>251</v>
      </c>
      <c r="E200" s="124">
        <v>510</v>
      </c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>
        <v>510</v>
      </c>
      <c r="V200" s="124"/>
      <c r="W200" s="124"/>
      <c r="X200" s="124"/>
    </row>
    <row r="201" spans="1:24" s="106" customFormat="1" ht="13.8">
      <c r="A201" s="125"/>
      <c r="B201" s="34">
        <v>44256</v>
      </c>
      <c r="C201" s="34"/>
      <c r="D201" s="124" t="s">
        <v>21</v>
      </c>
      <c r="E201" s="124">
        <v>137</v>
      </c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>
        <v>137</v>
      </c>
      <c r="R201" s="124"/>
      <c r="S201" s="124"/>
      <c r="T201" s="124"/>
      <c r="U201" s="124"/>
      <c r="V201" s="124"/>
      <c r="W201" s="124"/>
      <c r="X201" s="124"/>
    </row>
    <row r="202" spans="1:24" s="106" customFormat="1" ht="13.8">
      <c r="A202" s="125"/>
      <c r="B202" s="34">
        <v>44256</v>
      </c>
      <c r="C202" s="34"/>
      <c r="D202" s="124" t="s">
        <v>22</v>
      </c>
      <c r="E202" s="124">
        <v>138</v>
      </c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>
        <v>138</v>
      </c>
      <c r="R202" s="124"/>
      <c r="S202" s="124"/>
      <c r="T202" s="124"/>
      <c r="U202" s="124"/>
      <c r="V202" s="124"/>
      <c r="W202" s="124"/>
      <c r="X202" s="124"/>
    </row>
    <row r="203" spans="1:24" s="106" customFormat="1" ht="13.8">
      <c r="A203" s="125"/>
      <c r="B203" s="34">
        <v>44257</v>
      </c>
      <c r="C203" s="34"/>
      <c r="D203" s="124" t="s">
        <v>42</v>
      </c>
      <c r="E203" s="124">
        <v>602.79999999999995</v>
      </c>
      <c r="F203" s="124"/>
      <c r="G203" s="124"/>
      <c r="H203" s="124">
        <v>52.8</v>
      </c>
      <c r="I203" s="124"/>
      <c r="J203" s="124"/>
      <c r="K203" s="124">
        <v>550</v>
      </c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</row>
    <row r="204" spans="1:24" s="106" customFormat="1" ht="13.8">
      <c r="A204" s="125"/>
      <c r="B204" s="34">
        <v>44258</v>
      </c>
      <c r="C204" s="34"/>
      <c r="D204" s="124" t="s">
        <v>41</v>
      </c>
      <c r="E204" s="124">
        <v>83</v>
      </c>
      <c r="F204" s="124"/>
      <c r="G204" s="124"/>
      <c r="H204" s="124">
        <v>36</v>
      </c>
      <c r="I204" s="124"/>
      <c r="J204" s="124"/>
      <c r="K204" s="124"/>
      <c r="L204" s="124"/>
      <c r="M204" s="124">
        <v>47</v>
      </c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</row>
    <row r="205" spans="1:24" s="106" customFormat="1" ht="13.8">
      <c r="A205" s="125"/>
      <c r="B205" s="34">
        <v>44258</v>
      </c>
      <c r="C205" s="34"/>
      <c r="D205" s="124" t="s">
        <v>192</v>
      </c>
      <c r="E205" s="124">
        <v>499</v>
      </c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>
        <v>499</v>
      </c>
      <c r="U205" s="124"/>
      <c r="V205" s="124"/>
      <c r="W205" s="124"/>
      <c r="X205" s="124"/>
    </row>
    <row r="206" spans="1:24" s="106" customFormat="1" ht="13.8">
      <c r="A206" s="125"/>
      <c r="B206" s="34">
        <v>44258</v>
      </c>
      <c r="C206" s="34"/>
      <c r="D206" s="124" t="s">
        <v>248</v>
      </c>
      <c r="E206" s="124">
        <v>1189.19</v>
      </c>
      <c r="F206" s="124"/>
      <c r="G206" s="124"/>
      <c r="H206" s="124"/>
      <c r="I206" s="124"/>
      <c r="J206" s="124"/>
      <c r="K206" s="124"/>
      <c r="L206" s="124"/>
      <c r="M206" s="124">
        <v>404.64</v>
      </c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</row>
    <row r="207" spans="1:24" s="106" customFormat="1" ht="13.8">
      <c r="A207" s="125"/>
      <c r="B207" s="34">
        <v>44258</v>
      </c>
      <c r="C207" s="34"/>
      <c r="D207" s="124" t="s">
        <v>250</v>
      </c>
      <c r="E207" s="124">
        <v>-784.55</v>
      </c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</row>
    <row r="208" spans="1:24" s="106" customFormat="1" ht="13.8">
      <c r="A208" s="125"/>
      <c r="B208" s="34">
        <v>44258</v>
      </c>
      <c r="C208" s="34"/>
      <c r="D208" s="124" t="s">
        <v>225</v>
      </c>
      <c r="E208" s="124">
        <v>348</v>
      </c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</row>
    <row r="209" spans="1:24" s="106" customFormat="1" ht="13.8">
      <c r="A209" s="125"/>
      <c r="B209" s="34">
        <v>44259</v>
      </c>
      <c r="C209" s="34"/>
      <c r="D209" s="124" t="s">
        <v>249</v>
      </c>
      <c r="E209" s="124">
        <v>513</v>
      </c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>
        <v>513</v>
      </c>
      <c r="U209" s="124"/>
      <c r="V209" s="124"/>
      <c r="W209" s="124"/>
      <c r="X209" s="124"/>
    </row>
    <row r="210" spans="1:24" s="106" customFormat="1" ht="13.8">
      <c r="A210" s="125"/>
      <c r="B210" s="34">
        <v>44259</v>
      </c>
      <c r="C210" s="34"/>
      <c r="D210" s="124" t="s">
        <v>124</v>
      </c>
      <c r="E210" s="124">
        <v>205.25</v>
      </c>
      <c r="F210" s="124"/>
      <c r="G210" s="124"/>
      <c r="H210" s="124"/>
      <c r="I210" s="124">
        <v>196.95</v>
      </c>
      <c r="J210" s="124">
        <v>8.3000000000000007</v>
      </c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</row>
    <row r="211" spans="1:24" s="106" customFormat="1" ht="13.8">
      <c r="A211" s="125"/>
      <c r="B211" s="34">
        <v>44259</v>
      </c>
      <c r="C211" s="34"/>
      <c r="D211" s="124" t="s">
        <v>58</v>
      </c>
      <c r="E211" s="124">
        <v>1000</v>
      </c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>
        <v>1000</v>
      </c>
      <c r="V211" s="124"/>
      <c r="W211" s="124"/>
      <c r="X211" s="124"/>
    </row>
    <row r="212" spans="1:24" s="106" customFormat="1" ht="13.8">
      <c r="A212" s="125"/>
      <c r="B212" s="34">
        <v>44260</v>
      </c>
      <c r="C212" s="34"/>
      <c r="D212" s="124" t="s">
        <v>20</v>
      </c>
      <c r="E212" s="124">
        <v>197.79</v>
      </c>
      <c r="F212" s="124">
        <v>197.79</v>
      </c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</row>
    <row r="213" spans="1:24" s="106" customFormat="1" ht="13.8">
      <c r="A213" s="125"/>
      <c r="B213" s="34">
        <v>44260</v>
      </c>
      <c r="C213" s="34"/>
      <c r="D213" s="124" t="s">
        <v>18</v>
      </c>
      <c r="E213" s="124">
        <v>217.45</v>
      </c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>
        <v>217.45</v>
      </c>
      <c r="Q213" s="124"/>
      <c r="R213" s="124"/>
      <c r="S213" s="124"/>
      <c r="T213" s="124"/>
      <c r="U213" s="124"/>
      <c r="V213" s="124"/>
      <c r="W213" s="124"/>
      <c r="X213" s="124"/>
    </row>
    <row r="214" spans="1:24" s="106" customFormat="1" ht="13.8">
      <c r="A214" s="125"/>
      <c r="B214" s="34">
        <v>44260</v>
      </c>
      <c r="C214" s="34"/>
      <c r="D214" s="124" t="s">
        <v>180</v>
      </c>
      <c r="E214" s="124">
        <v>179.31</v>
      </c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>
        <v>179.31</v>
      </c>
      <c r="V214" s="124"/>
      <c r="W214" s="124"/>
      <c r="X214" s="124"/>
    </row>
    <row r="215" spans="1:24" s="106" customFormat="1" ht="13.8">
      <c r="A215" s="125"/>
      <c r="B215" s="34">
        <v>44233</v>
      </c>
      <c r="C215" s="34"/>
      <c r="D215" s="124" t="s">
        <v>248</v>
      </c>
      <c r="E215" s="124">
        <v>199.95</v>
      </c>
      <c r="F215" s="124"/>
      <c r="G215" s="124"/>
      <c r="H215" s="124"/>
      <c r="I215" s="124"/>
      <c r="J215" s="124"/>
      <c r="K215" s="124"/>
      <c r="L215" s="124"/>
      <c r="M215" s="124">
        <v>199.95</v>
      </c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</row>
    <row r="216" spans="1:24" s="106" customFormat="1" ht="13.8">
      <c r="A216" s="125"/>
      <c r="B216" s="34">
        <v>44261</v>
      </c>
      <c r="C216" s="34"/>
      <c r="D216" s="124" t="s">
        <v>225</v>
      </c>
      <c r="E216" s="124">
        <v>60</v>
      </c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</row>
    <row r="217" spans="1:24" s="106" customFormat="1" ht="13.8">
      <c r="A217" s="125"/>
      <c r="B217" s="34">
        <v>44262</v>
      </c>
      <c r="C217" s="34"/>
      <c r="D217" s="124" t="s">
        <v>41</v>
      </c>
      <c r="E217" s="124">
        <v>105</v>
      </c>
      <c r="F217" s="124"/>
      <c r="G217" s="124"/>
      <c r="H217" s="124">
        <v>10</v>
      </c>
      <c r="I217" s="124"/>
      <c r="J217" s="124"/>
      <c r="K217" s="124"/>
      <c r="L217" s="124">
        <v>95</v>
      </c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</row>
    <row r="218" spans="1:24" s="106" customFormat="1" ht="13.8">
      <c r="A218" s="125"/>
      <c r="B218" s="34">
        <v>44262</v>
      </c>
      <c r="C218" s="34"/>
      <c r="D218" s="124" t="s">
        <v>38</v>
      </c>
      <c r="E218" s="124">
        <v>83.45</v>
      </c>
      <c r="F218" s="124"/>
      <c r="G218" s="124">
        <v>83.45</v>
      </c>
      <c r="H218" s="124">
        <v>83.45</v>
      </c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</row>
    <row r="219" spans="1:24" s="106" customFormat="1" ht="13.8">
      <c r="A219" s="125"/>
      <c r="B219" s="34">
        <v>44264</v>
      </c>
      <c r="C219" s="34"/>
      <c r="D219" s="124" t="s">
        <v>243</v>
      </c>
      <c r="E219" s="124">
        <v>151.94999999999999</v>
      </c>
      <c r="F219" s="124"/>
      <c r="G219" s="124">
        <v>151.94999999999999</v>
      </c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</row>
    <row r="220" spans="1:24" s="106" customFormat="1" ht="13.8">
      <c r="A220" s="125"/>
      <c r="B220" s="34">
        <v>44264</v>
      </c>
      <c r="C220" s="34"/>
      <c r="D220" s="124" t="s">
        <v>247</v>
      </c>
      <c r="E220" s="124">
        <v>72</v>
      </c>
      <c r="F220" s="124"/>
      <c r="G220" s="124">
        <v>72</v>
      </c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</row>
    <row r="221" spans="1:24" s="106" customFormat="1" ht="13.8">
      <c r="A221" s="125"/>
      <c r="B221" s="34">
        <v>44264</v>
      </c>
      <c r="C221" s="34"/>
      <c r="D221" s="124" t="s">
        <v>246</v>
      </c>
      <c r="E221" s="124">
        <v>100</v>
      </c>
      <c r="F221" s="124"/>
      <c r="G221" s="124">
        <v>100</v>
      </c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</row>
    <row r="222" spans="1:24" s="106" customFormat="1" ht="13.8">
      <c r="A222" s="125"/>
      <c r="B222" s="34">
        <v>44264</v>
      </c>
      <c r="C222" s="34"/>
      <c r="D222" s="124" t="s">
        <v>245</v>
      </c>
      <c r="E222" s="124">
        <v>79</v>
      </c>
      <c r="F222" s="124"/>
      <c r="G222" s="124">
        <v>79</v>
      </c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</row>
    <row r="223" spans="1:24" s="106" customFormat="1" ht="13.8">
      <c r="A223" s="125"/>
      <c r="B223" s="34">
        <v>44264</v>
      </c>
      <c r="C223" s="34"/>
      <c r="D223" s="124" t="s">
        <v>244</v>
      </c>
      <c r="E223" s="124">
        <v>28</v>
      </c>
      <c r="F223" s="124"/>
      <c r="G223" s="124">
        <v>28</v>
      </c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</row>
    <row r="224" spans="1:24" s="106" customFormat="1" ht="13.8">
      <c r="A224" s="125"/>
      <c r="B224" s="34">
        <v>44264</v>
      </c>
      <c r="C224" s="34"/>
      <c r="D224" s="124" t="s">
        <v>58</v>
      </c>
      <c r="E224" s="124">
        <v>4200</v>
      </c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>
        <v>4200</v>
      </c>
      <c r="V224" s="124"/>
      <c r="W224" s="124"/>
      <c r="X224" s="124"/>
    </row>
    <row r="225" spans="1:24" s="106" customFormat="1" ht="13.8">
      <c r="A225" s="125"/>
      <c r="B225" s="34">
        <v>44265</v>
      </c>
      <c r="C225" s="34"/>
      <c r="D225" s="124" t="s">
        <v>124</v>
      </c>
      <c r="E225" s="124">
        <v>148.69999999999999</v>
      </c>
      <c r="F225" s="124"/>
      <c r="G225" s="124"/>
      <c r="H225" s="124"/>
      <c r="I225" s="124">
        <v>148.69999999999999</v>
      </c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</row>
    <row r="226" spans="1:24" s="106" customFormat="1" ht="13.8">
      <c r="A226" s="125"/>
      <c r="B226" s="34">
        <v>44265</v>
      </c>
      <c r="C226" s="34"/>
      <c r="D226" s="124" t="s">
        <v>42</v>
      </c>
      <c r="E226" s="124">
        <v>146.57</v>
      </c>
      <c r="F226" s="124"/>
      <c r="G226" s="124"/>
      <c r="H226" s="124">
        <v>146.57</v>
      </c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</row>
    <row r="227" spans="1:24" s="106" customFormat="1" ht="13.8">
      <c r="A227" s="125"/>
      <c r="B227" s="34">
        <v>44265</v>
      </c>
      <c r="C227" s="34"/>
      <c r="D227" s="124" t="s">
        <v>42</v>
      </c>
      <c r="E227" s="124">
        <v>105</v>
      </c>
      <c r="F227" s="124"/>
      <c r="G227" s="124"/>
      <c r="H227" s="124">
        <v>105</v>
      </c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</row>
    <row r="228" spans="1:24" s="106" customFormat="1" ht="13.8">
      <c r="A228" s="125"/>
      <c r="B228" s="34">
        <v>44265</v>
      </c>
      <c r="C228" s="34"/>
      <c r="D228" s="124" t="s">
        <v>162</v>
      </c>
      <c r="E228" s="124">
        <v>382.4</v>
      </c>
      <c r="F228" s="124"/>
      <c r="G228" s="124"/>
      <c r="H228" s="124"/>
      <c r="I228" s="124"/>
      <c r="J228" s="124"/>
      <c r="K228" s="124"/>
      <c r="L228" s="124"/>
      <c r="M228" s="124"/>
      <c r="N228" s="124"/>
      <c r="O228" s="124">
        <v>382.4</v>
      </c>
      <c r="P228" s="124"/>
      <c r="Q228" s="124"/>
      <c r="R228" s="124"/>
      <c r="S228" s="124"/>
      <c r="T228" s="124"/>
      <c r="U228" s="124"/>
      <c r="V228" s="124"/>
      <c r="W228" s="124"/>
      <c r="X228" s="124"/>
    </row>
    <row r="229" spans="1:24" s="106" customFormat="1" ht="13.8">
      <c r="A229" s="125"/>
      <c r="B229" s="34">
        <v>44266</v>
      </c>
      <c r="C229" s="34"/>
      <c r="D229" s="124" t="s">
        <v>238</v>
      </c>
      <c r="E229" s="124">
        <v>49</v>
      </c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>
        <v>49</v>
      </c>
      <c r="Q229" s="124"/>
      <c r="R229" s="124"/>
      <c r="S229" s="124"/>
      <c r="T229" s="124"/>
      <c r="U229" s="124"/>
      <c r="V229" s="124"/>
      <c r="W229" s="124"/>
      <c r="X229" s="124"/>
    </row>
    <row r="230" spans="1:24" s="106" customFormat="1" ht="13.8">
      <c r="A230" s="125"/>
      <c r="B230" s="34">
        <v>44266</v>
      </c>
      <c r="C230" s="34"/>
      <c r="D230" s="124" t="s">
        <v>40</v>
      </c>
      <c r="E230" s="124">
        <v>134</v>
      </c>
      <c r="F230" s="124"/>
      <c r="G230" s="124"/>
      <c r="H230" s="124">
        <v>134</v>
      </c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</row>
    <row r="231" spans="1:24" s="106" customFormat="1" ht="13.8">
      <c r="A231" s="125"/>
      <c r="B231" s="34">
        <v>44266</v>
      </c>
      <c r="C231" s="34"/>
      <c r="D231" s="124" t="s">
        <v>38</v>
      </c>
      <c r="E231" s="124">
        <v>39.950000000000003</v>
      </c>
      <c r="F231" s="124"/>
      <c r="G231" s="124"/>
      <c r="H231" s="124">
        <v>39.950000000000003</v>
      </c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</row>
    <row r="232" spans="1:24" s="106" customFormat="1" ht="13.8">
      <c r="A232" s="125"/>
      <c r="B232" s="34">
        <v>44267</v>
      </c>
      <c r="C232" s="34"/>
      <c r="D232" s="124" t="s">
        <v>243</v>
      </c>
      <c r="E232" s="124">
        <v>209.9</v>
      </c>
      <c r="F232" s="124"/>
      <c r="G232" s="124">
        <v>209.9</v>
      </c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</row>
    <row r="233" spans="1:24" s="106" customFormat="1" ht="13.8">
      <c r="A233" s="125"/>
      <c r="B233" s="34">
        <v>44267</v>
      </c>
      <c r="C233" s="34"/>
      <c r="D233" s="124" t="s">
        <v>42</v>
      </c>
      <c r="E233" s="124">
        <v>67.849999999999994</v>
      </c>
      <c r="F233" s="124"/>
      <c r="G233" s="124"/>
      <c r="H233" s="124">
        <v>67.849999999999994</v>
      </c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</row>
    <row r="234" spans="1:24" s="106" customFormat="1" ht="13.8">
      <c r="A234" s="125"/>
      <c r="B234" s="34">
        <v>44269</v>
      </c>
      <c r="C234" s="34"/>
      <c r="D234" s="124" t="s">
        <v>186</v>
      </c>
      <c r="E234" s="124">
        <v>125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>
        <v>125</v>
      </c>
      <c r="S234" s="124"/>
      <c r="T234" s="124"/>
      <c r="U234" s="124"/>
      <c r="V234" s="124"/>
      <c r="W234" s="124"/>
      <c r="X234" s="124"/>
    </row>
    <row r="235" spans="1:24" s="106" customFormat="1" ht="13.8">
      <c r="A235" s="125"/>
      <c r="B235" s="34">
        <v>44269</v>
      </c>
      <c r="C235" s="34"/>
      <c r="D235" s="124" t="s">
        <v>39</v>
      </c>
      <c r="E235" s="124">
        <v>90</v>
      </c>
      <c r="F235" s="124"/>
      <c r="G235" s="124">
        <v>90</v>
      </c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</row>
    <row r="236" spans="1:24" s="106" customFormat="1" ht="13.8">
      <c r="A236" s="125"/>
      <c r="B236" s="34">
        <v>44269</v>
      </c>
      <c r="C236" s="34"/>
      <c r="D236" s="124" t="s">
        <v>42</v>
      </c>
      <c r="E236" s="124">
        <v>43.95</v>
      </c>
      <c r="F236" s="124"/>
      <c r="G236" s="124"/>
      <c r="H236" s="124">
        <v>43.95</v>
      </c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</row>
    <row r="237" spans="1:24" s="106" customFormat="1" ht="13.8">
      <c r="A237" s="125"/>
      <c r="B237" s="34">
        <v>44270</v>
      </c>
      <c r="C237" s="34"/>
      <c r="D237" s="124" t="s">
        <v>242</v>
      </c>
      <c r="E237" s="124">
        <v>-200</v>
      </c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>
        <v>-200</v>
      </c>
      <c r="U237" s="124"/>
      <c r="V237" s="124"/>
      <c r="W237" s="124"/>
      <c r="X237" s="124"/>
    </row>
    <row r="238" spans="1:24" s="106" customFormat="1" ht="13.8">
      <c r="A238" s="125"/>
      <c r="B238" s="34">
        <v>44270</v>
      </c>
      <c r="C238" s="34"/>
      <c r="D238" s="124" t="s">
        <v>41</v>
      </c>
      <c r="E238" s="124">
        <v>233.5</v>
      </c>
      <c r="F238" s="124"/>
      <c r="G238" s="124"/>
      <c r="H238" s="124">
        <v>113.5</v>
      </c>
      <c r="I238" s="124"/>
      <c r="J238" s="124"/>
      <c r="K238" s="124"/>
      <c r="L238" s="124">
        <v>95</v>
      </c>
      <c r="M238" s="124">
        <v>25</v>
      </c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</row>
    <row r="239" spans="1:24" s="106" customFormat="1" ht="13.8">
      <c r="A239" s="125"/>
      <c r="B239" s="34">
        <v>44270</v>
      </c>
      <c r="C239" s="34"/>
      <c r="D239" s="124" t="s">
        <v>38</v>
      </c>
      <c r="E239" s="124">
        <v>23.5</v>
      </c>
      <c r="F239" s="124"/>
      <c r="G239" s="124"/>
      <c r="H239" s="124">
        <v>23.5</v>
      </c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</row>
    <row r="240" spans="1:24" s="106" customFormat="1" ht="13.8">
      <c r="A240" s="125"/>
      <c r="B240" s="34">
        <v>44271</v>
      </c>
      <c r="C240" s="34"/>
      <c r="D240" s="124" t="s">
        <v>1</v>
      </c>
      <c r="E240" s="124">
        <v>69</v>
      </c>
      <c r="F240" s="124"/>
      <c r="G240" s="124">
        <v>69</v>
      </c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</row>
    <row r="241" spans="1:24" s="106" customFormat="1" ht="13.8">
      <c r="A241" s="125"/>
      <c r="B241" s="34">
        <v>44271</v>
      </c>
      <c r="C241" s="34"/>
      <c r="D241" s="124" t="s">
        <v>40</v>
      </c>
      <c r="E241" s="124">
        <v>27.95</v>
      </c>
      <c r="F241" s="124"/>
      <c r="G241" s="124"/>
      <c r="H241" s="124">
        <v>27.95</v>
      </c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</row>
    <row r="242" spans="1:24" s="106" customFormat="1" ht="13.8">
      <c r="A242" s="125"/>
      <c r="B242" s="34">
        <v>44273</v>
      </c>
      <c r="C242" s="34"/>
      <c r="D242" s="124" t="s">
        <v>13</v>
      </c>
      <c r="E242" s="124">
        <v>500</v>
      </c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>
        <f>E242</f>
        <v>500</v>
      </c>
      <c r="T242" s="124"/>
      <c r="U242" s="124"/>
      <c r="V242" s="124"/>
      <c r="W242" s="124"/>
      <c r="X242" s="124"/>
    </row>
    <row r="243" spans="1:24" s="106" customFormat="1" ht="13.8">
      <c r="A243" s="125"/>
      <c r="B243" s="34">
        <v>44276</v>
      </c>
      <c r="C243" s="34"/>
      <c r="D243" s="124" t="s">
        <v>8</v>
      </c>
      <c r="E243" s="124">
        <v>500</v>
      </c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>
        <f>E243</f>
        <v>500</v>
      </c>
      <c r="T243" s="124"/>
      <c r="U243" s="124"/>
      <c r="V243" s="124"/>
      <c r="W243" s="124"/>
      <c r="X243" s="124"/>
    </row>
    <row r="244" spans="1:24" s="106" customFormat="1" ht="13.8">
      <c r="A244" s="125"/>
      <c r="B244" s="34">
        <v>44272</v>
      </c>
      <c r="C244" s="34"/>
      <c r="D244" s="124" t="s">
        <v>186</v>
      </c>
      <c r="E244" s="124">
        <v>60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>
        <v>60</v>
      </c>
      <c r="S244" s="124"/>
      <c r="T244" s="124"/>
      <c r="U244" s="124"/>
      <c r="V244" s="124"/>
      <c r="W244" s="124"/>
      <c r="X244" s="124"/>
    </row>
    <row r="245" spans="1:24" s="106" customFormat="1" ht="13.8">
      <c r="A245" s="125"/>
      <c r="B245" s="34">
        <v>44272</v>
      </c>
      <c r="C245" s="34"/>
      <c r="D245" s="124" t="s">
        <v>216</v>
      </c>
      <c r="E245" s="124">
        <v>149</v>
      </c>
      <c r="F245" s="124"/>
      <c r="G245" s="124">
        <v>149</v>
      </c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</row>
    <row r="246" spans="1:24" s="106" customFormat="1" ht="13.8">
      <c r="A246" s="125"/>
      <c r="B246" s="34">
        <v>44272</v>
      </c>
      <c r="C246" s="34"/>
      <c r="D246" s="124" t="s">
        <v>39</v>
      </c>
      <c r="E246" s="124">
        <v>36.950000000000003</v>
      </c>
      <c r="F246" s="124"/>
      <c r="G246" s="124"/>
      <c r="H246" s="124">
        <v>36.950000000000003</v>
      </c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</row>
    <row r="247" spans="1:24" s="106" customFormat="1" ht="13.8">
      <c r="A247" s="125"/>
      <c r="B247" s="34">
        <v>44273</v>
      </c>
      <c r="C247" s="34"/>
      <c r="D247" s="124" t="s">
        <v>39</v>
      </c>
      <c r="E247" s="124">
        <v>56.95</v>
      </c>
      <c r="F247" s="124"/>
      <c r="G247" s="124">
        <v>20</v>
      </c>
      <c r="H247" s="124">
        <v>36.950000000000003</v>
      </c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</row>
    <row r="248" spans="1:24" s="106" customFormat="1" ht="13.8">
      <c r="A248" s="125"/>
      <c r="B248" s="34">
        <v>44273</v>
      </c>
      <c r="C248" s="34"/>
      <c r="D248" s="124" t="s">
        <v>38</v>
      </c>
      <c r="E248" s="124">
        <v>23.5</v>
      </c>
      <c r="F248" s="124"/>
      <c r="G248" s="124"/>
      <c r="H248" s="124">
        <v>23.5</v>
      </c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</row>
    <row r="249" spans="1:24" s="106" customFormat="1" ht="13.8">
      <c r="A249" s="125"/>
      <c r="B249" s="34">
        <v>44273</v>
      </c>
      <c r="C249" s="34"/>
      <c r="D249" s="124" t="s">
        <v>42</v>
      </c>
      <c r="E249" s="124">
        <v>17.5</v>
      </c>
      <c r="F249" s="124"/>
      <c r="G249" s="124"/>
      <c r="H249" s="124">
        <v>17.5</v>
      </c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</row>
    <row r="250" spans="1:24" s="106" customFormat="1" ht="13.8">
      <c r="A250" s="125"/>
      <c r="B250" s="34">
        <v>44273</v>
      </c>
      <c r="C250" s="34"/>
      <c r="D250" s="124" t="s">
        <v>241</v>
      </c>
      <c r="E250" s="124">
        <v>167</v>
      </c>
      <c r="F250" s="124"/>
      <c r="G250" s="124"/>
      <c r="H250" s="124">
        <v>167</v>
      </c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</row>
    <row r="251" spans="1:24" s="106" customFormat="1" ht="13.8">
      <c r="A251" s="125"/>
      <c r="B251" s="34">
        <v>44274</v>
      </c>
      <c r="C251" s="34"/>
      <c r="D251" s="124" t="s">
        <v>124</v>
      </c>
      <c r="E251" s="124">
        <v>233</v>
      </c>
      <c r="F251" s="124"/>
      <c r="G251" s="124"/>
      <c r="H251" s="124"/>
      <c r="I251" s="124">
        <v>225.75</v>
      </c>
      <c r="J251" s="124">
        <v>7.25</v>
      </c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</row>
    <row r="252" spans="1:24" s="106" customFormat="1" ht="13.8">
      <c r="A252" s="125"/>
      <c r="B252" s="34">
        <v>44274</v>
      </c>
      <c r="C252" s="34"/>
      <c r="D252" s="124" t="s">
        <v>42</v>
      </c>
      <c r="E252" s="124">
        <v>110.15</v>
      </c>
      <c r="F252" s="124"/>
      <c r="G252" s="124"/>
      <c r="H252" s="124">
        <v>27.65</v>
      </c>
      <c r="I252" s="124"/>
      <c r="J252" s="124"/>
      <c r="K252" s="124"/>
      <c r="L252" s="124">
        <v>82.5</v>
      </c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</row>
    <row r="253" spans="1:24" s="106" customFormat="1" ht="13.8">
      <c r="A253" s="125"/>
      <c r="B253" s="34">
        <v>44274</v>
      </c>
      <c r="C253" s="34"/>
      <c r="D253" s="124" t="s">
        <v>217</v>
      </c>
      <c r="E253" s="124">
        <v>83</v>
      </c>
      <c r="F253" s="124"/>
      <c r="G253" s="124"/>
      <c r="H253" s="124">
        <v>83</v>
      </c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</row>
    <row r="254" spans="1:24" s="106" customFormat="1" ht="13.8">
      <c r="A254" s="125"/>
      <c r="B254" s="34">
        <v>44275</v>
      </c>
      <c r="C254" s="34"/>
      <c r="D254" s="124" t="s">
        <v>42</v>
      </c>
      <c r="E254" s="124">
        <v>100.65</v>
      </c>
      <c r="F254" s="124"/>
      <c r="G254" s="124"/>
      <c r="H254" s="124">
        <v>100.65</v>
      </c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</row>
    <row r="255" spans="1:24" s="106" customFormat="1" ht="13.8">
      <c r="A255" s="125"/>
      <c r="B255" s="34">
        <v>44275</v>
      </c>
      <c r="C255" s="34"/>
      <c r="D255" s="124" t="s">
        <v>123</v>
      </c>
      <c r="E255" s="124">
        <v>89.95</v>
      </c>
      <c r="F255" s="124"/>
      <c r="G255" s="124"/>
      <c r="H255" s="124"/>
      <c r="I255" s="124"/>
      <c r="J255" s="124"/>
      <c r="K255" s="124"/>
      <c r="L255" s="124"/>
      <c r="M255" s="124">
        <v>89.95</v>
      </c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</row>
    <row r="256" spans="1:24" s="106" customFormat="1" ht="13.8">
      <c r="A256" s="125"/>
      <c r="B256" s="34">
        <v>44277</v>
      </c>
      <c r="C256" s="34"/>
      <c r="D256" s="124" t="s">
        <v>216</v>
      </c>
      <c r="E256" s="124">
        <v>410.4</v>
      </c>
      <c r="F256" s="124"/>
      <c r="G256" s="124"/>
      <c r="H256" s="124"/>
      <c r="I256" s="124"/>
      <c r="J256" s="124"/>
      <c r="K256" s="124"/>
      <c r="L256" s="124"/>
      <c r="M256" s="124"/>
      <c r="N256" s="124"/>
      <c r="O256" s="124">
        <v>410.4</v>
      </c>
      <c r="P256" s="124"/>
      <c r="Q256" s="124"/>
      <c r="R256" s="124"/>
      <c r="S256" s="124"/>
      <c r="T256" s="124"/>
      <c r="U256" s="124"/>
      <c r="V256" s="124"/>
      <c r="W256" s="124"/>
      <c r="X256" s="124"/>
    </row>
    <row r="257" spans="1:42" s="106" customFormat="1" ht="13.8">
      <c r="A257" s="125"/>
      <c r="B257" s="34">
        <v>44277</v>
      </c>
      <c r="C257" s="34"/>
      <c r="D257" s="124" t="s">
        <v>41</v>
      </c>
      <c r="E257" s="124">
        <v>60.7</v>
      </c>
      <c r="F257" s="124"/>
      <c r="G257" s="124"/>
      <c r="H257" s="124">
        <v>35.700000000000003</v>
      </c>
      <c r="I257" s="124"/>
      <c r="J257" s="124"/>
      <c r="K257" s="124"/>
      <c r="L257" s="124"/>
      <c r="M257" s="124">
        <v>25</v>
      </c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</row>
    <row r="258" spans="1:42" s="106" customFormat="1" ht="13.8">
      <c r="A258" s="125"/>
      <c r="B258" s="34">
        <v>44277</v>
      </c>
      <c r="C258" s="34"/>
      <c r="D258" s="124" t="s">
        <v>39</v>
      </c>
      <c r="E258" s="124">
        <v>32.700000000000003</v>
      </c>
      <c r="F258" s="124"/>
      <c r="G258" s="124"/>
      <c r="H258" s="124">
        <v>32.700000000000003</v>
      </c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</row>
    <row r="259" spans="1:42" s="106" customFormat="1" ht="13.8">
      <c r="A259" s="125"/>
      <c r="B259" s="34">
        <v>44278</v>
      </c>
      <c r="C259" s="34"/>
      <c r="D259" s="124" t="s">
        <v>42</v>
      </c>
      <c r="E259" s="124">
        <v>132</v>
      </c>
      <c r="F259" s="124"/>
      <c r="G259" s="124"/>
      <c r="H259" s="124">
        <v>132</v>
      </c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</row>
    <row r="260" spans="1:42" s="106" customFormat="1" ht="13.8">
      <c r="A260" s="125"/>
      <c r="B260" s="34">
        <v>44280</v>
      </c>
      <c r="C260" s="34"/>
      <c r="D260" s="124" t="s">
        <v>42</v>
      </c>
      <c r="E260" s="124">
        <v>97.5</v>
      </c>
      <c r="F260" s="124"/>
      <c r="G260" s="124"/>
      <c r="H260" s="124">
        <v>77.95</v>
      </c>
      <c r="I260" s="124"/>
      <c r="J260" s="124"/>
      <c r="K260" s="124"/>
      <c r="L260" s="124"/>
      <c r="M260" s="124">
        <v>20</v>
      </c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</row>
    <row r="261" spans="1:42" s="106" customFormat="1" ht="13.8">
      <c r="A261" s="125"/>
      <c r="B261" s="34">
        <v>44281</v>
      </c>
      <c r="C261" s="34"/>
      <c r="D261" s="124" t="s">
        <v>38</v>
      </c>
      <c r="E261" s="124">
        <v>589.45000000000005</v>
      </c>
      <c r="F261" s="124"/>
      <c r="G261" s="124"/>
      <c r="H261" s="124">
        <v>39.450000000000003</v>
      </c>
      <c r="I261" s="124"/>
      <c r="J261" s="124"/>
      <c r="K261" s="124">
        <v>550</v>
      </c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</row>
    <row r="262" spans="1:42" s="106" customFormat="1" ht="13.8">
      <c r="A262" s="125"/>
      <c r="B262" s="34">
        <v>44282</v>
      </c>
      <c r="C262" s="34"/>
      <c r="D262" s="124" t="s">
        <v>216</v>
      </c>
      <c r="E262" s="124">
        <v>186</v>
      </c>
      <c r="F262" s="124"/>
      <c r="G262" s="124">
        <v>96</v>
      </c>
      <c r="H262" s="124">
        <v>90</v>
      </c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</row>
    <row r="263" spans="1:42" s="106" customFormat="1" ht="13.8">
      <c r="A263" s="125"/>
      <c r="B263" s="34">
        <v>44282</v>
      </c>
      <c r="C263" s="34"/>
      <c r="D263" s="124" t="s">
        <v>42</v>
      </c>
      <c r="E263" s="124">
        <v>19.5</v>
      </c>
      <c r="F263" s="124"/>
      <c r="G263" s="124"/>
      <c r="H263" s="124">
        <v>19.5</v>
      </c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</row>
    <row r="264" spans="1:42" s="106" customFormat="1" ht="13.8">
      <c r="A264" s="125"/>
      <c r="B264" s="34">
        <v>44284</v>
      </c>
      <c r="C264" s="34"/>
      <c r="D264" s="124" t="s">
        <v>42</v>
      </c>
      <c r="E264" s="124">
        <v>24</v>
      </c>
      <c r="F264" s="124"/>
      <c r="G264" s="124">
        <v>15</v>
      </c>
      <c r="H264" s="124">
        <v>9</v>
      </c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</row>
    <row r="265" spans="1:42" s="106" customFormat="1" ht="13.8">
      <c r="A265" s="125"/>
      <c r="B265" s="34">
        <v>44284</v>
      </c>
      <c r="C265" s="34"/>
      <c r="D265" s="124" t="s">
        <v>40</v>
      </c>
      <c r="E265" s="124">
        <v>120.85</v>
      </c>
      <c r="F265" s="124"/>
      <c r="G265" s="124"/>
      <c r="H265" s="124">
        <v>120.85</v>
      </c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</row>
    <row r="266" spans="1:42" s="106" customFormat="1" ht="13.8">
      <c r="A266" s="125"/>
      <c r="B266" s="34">
        <v>44285</v>
      </c>
      <c r="C266" s="34"/>
      <c r="D266" s="124" t="s">
        <v>39</v>
      </c>
      <c r="E266" s="124">
        <v>123.4</v>
      </c>
      <c r="F266" s="124"/>
      <c r="G266" s="124"/>
      <c r="H266" s="124">
        <v>103.4</v>
      </c>
      <c r="I266" s="124"/>
      <c r="J266" s="124"/>
      <c r="K266" s="124"/>
      <c r="L266" s="124"/>
      <c r="M266" s="124">
        <v>20</v>
      </c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</row>
    <row r="267" spans="1:42" s="106" customFormat="1" ht="13.8">
      <c r="A267" s="125"/>
      <c r="B267" s="2930" t="str">
        <f>F35</f>
        <v>Marts</v>
      </c>
      <c r="C267" s="2931"/>
      <c r="D267" s="2934" t="s">
        <v>36</v>
      </c>
      <c r="E267" s="2934">
        <f t="shared" ref="E267:W267" si="21">SUM(E268:E268)</f>
        <v>0</v>
      </c>
      <c r="F267" s="2934">
        <f t="shared" si="21"/>
        <v>0</v>
      </c>
      <c r="G267" s="2934">
        <f t="shared" si="21"/>
        <v>0</v>
      </c>
      <c r="H267" s="2934">
        <f t="shared" si="21"/>
        <v>0</v>
      </c>
      <c r="I267" s="2934">
        <f t="shared" si="21"/>
        <v>0</v>
      </c>
      <c r="J267" s="2934">
        <f t="shared" si="21"/>
        <v>0</v>
      </c>
      <c r="K267" s="2934">
        <f t="shared" si="21"/>
        <v>0</v>
      </c>
      <c r="L267" s="2934">
        <f t="shared" si="21"/>
        <v>0</v>
      </c>
      <c r="M267" s="2934">
        <f t="shared" si="21"/>
        <v>0</v>
      </c>
      <c r="N267" s="2934">
        <f t="shared" si="21"/>
        <v>0</v>
      </c>
      <c r="O267" s="2934">
        <f t="shared" si="21"/>
        <v>0</v>
      </c>
      <c r="P267" s="2934">
        <f t="shared" si="21"/>
        <v>0</v>
      </c>
      <c r="Q267" s="2934">
        <f t="shared" si="21"/>
        <v>0</v>
      </c>
      <c r="R267" s="2934">
        <f t="shared" si="21"/>
        <v>0</v>
      </c>
      <c r="S267" s="2934">
        <f t="shared" si="21"/>
        <v>0</v>
      </c>
      <c r="T267" s="2934">
        <f t="shared" si="21"/>
        <v>0</v>
      </c>
      <c r="U267" s="2934">
        <f t="shared" si="21"/>
        <v>0</v>
      </c>
      <c r="V267" s="2934">
        <f t="shared" si="21"/>
        <v>0</v>
      </c>
      <c r="W267" s="2934">
        <f t="shared" si="21"/>
        <v>0</v>
      </c>
      <c r="X267" s="2934"/>
    </row>
    <row r="268" spans="1:42" s="120" customFormat="1" ht="12" customHeight="1">
      <c r="A268" s="60"/>
      <c r="B268" s="2999"/>
      <c r="C268" s="3000"/>
      <c r="D268" s="2935"/>
      <c r="E268" s="2935"/>
      <c r="F268" s="2935"/>
      <c r="G268" s="2935"/>
      <c r="H268" s="2935"/>
      <c r="I268" s="2935"/>
      <c r="J268" s="2935"/>
      <c r="K268" s="2935"/>
      <c r="L268" s="2935"/>
      <c r="M268" s="2935"/>
      <c r="N268" s="2935"/>
      <c r="O268" s="2935"/>
      <c r="P268" s="2935"/>
      <c r="Q268" s="2935"/>
      <c r="R268" s="2935"/>
      <c r="S268" s="2935"/>
      <c r="T268" s="2935"/>
      <c r="U268" s="2935"/>
      <c r="V268" s="2935"/>
      <c r="W268" s="2935"/>
      <c r="X268" s="293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</row>
    <row r="269" spans="1:42" s="120" customFormat="1" ht="12" customHeight="1">
      <c r="A269" s="60"/>
      <c r="B269" s="38" t="str">
        <f>B349</f>
        <v>April</v>
      </c>
      <c r="C269" s="37"/>
      <c r="D269" s="128"/>
      <c r="E269" s="36">
        <f t="shared" ref="E269:W269" si="22">SUM(E270:E348)</f>
        <v>748.20000000000084</v>
      </c>
      <c r="F269" s="36">
        <f t="shared" si="22"/>
        <v>2009.71</v>
      </c>
      <c r="G269" s="36">
        <f t="shared" si="22"/>
        <v>1547.77</v>
      </c>
      <c r="H269" s="36">
        <f t="shared" si="22"/>
        <v>1242.1500000000001</v>
      </c>
      <c r="I269" s="36">
        <f t="shared" si="22"/>
        <v>139.30000000000001</v>
      </c>
      <c r="J269" s="36">
        <f t="shared" si="22"/>
        <v>10.200000000000001</v>
      </c>
      <c r="K269" s="36">
        <f t="shared" si="22"/>
        <v>0</v>
      </c>
      <c r="L269" s="36">
        <f t="shared" si="22"/>
        <v>51</v>
      </c>
      <c r="M269" s="36">
        <f t="shared" si="22"/>
        <v>124</v>
      </c>
      <c r="N269" s="36">
        <f t="shared" si="22"/>
        <v>7474</v>
      </c>
      <c r="O269" s="36">
        <f t="shared" si="22"/>
        <v>209.2</v>
      </c>
      <c r="P269" s="36">
        <f t="shared" si="22"/>
        <v>1312.16</v>
      </c>
      <c r="Q269" s="36">
        <f t="shared" si="22"/>
        <v>1136.26</v>
      </c>
      <c r="R269" s="36">
        <f t="shared" si="22"/>
        <v>463</v>
      </c>
      <c r="S269" s="36">
        <f t="shared" si="22"/>
        <v>1000</v>
      </c>
      <c r="T269" s="36">
        <f t="shared" si="22"/>
        <v>58.75</v>
      </c>
      <c r="U269" s="36">
        <f t="shared" si="22"/>
        <v>1473.66</v>
      </c>
      <c r="V269" s="36">
        <f t="shared" si="22"/>
        <v>758.95</v>
      </c>
      <c r="W269" s="36">
        <f t="shared" si="22"/>
        <v>0</v>
      </c>
      <c r="X269" s="36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</row>
    <row r="270" spans="1:42" s="126" customFormat="1" ht="13.5" customHeight="1">
      <c r="A270" s="39"/>
      <c r="B270" s="34">
        <v>44286</v>
      </c>
      <c r="C270" s="34"/>
      <c r="D270" s="124" t="s">
        <v>34</v>
      </c>
      <c r="E270" s="124">
        <v>-7805</v>
      </c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</row>
    <row r="271" spans="1:42" s="106" customFormat="1" ht="13.8">
      <c r="A271" s="125"/>
      <c r="B271" s="34">
        <v>44286</v>
      </c>
      <c r="C271" s="34"/>
      <c r="D271" s="124" t="s">
        <v>33</v>
      </c>
      <c r="E271" s="124">
        <v>-205</v>
      </c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</row>
    <row r="272" spans="1:42" s="106" customFormat="1" ht="13.8">
      <c r="A272" s="125"/>
      <c r="B272" s="34">
        <v>44286</v>
      </c>
      <c r="C272" s="34"/>
      <c r="D272" s="124" t="s">
        <v>35</v>
      </c>
      <c r="E272" s="124">
        <v>-11138</v>
      </c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</row>
    <row r="273" spans="1:24" s="106" customFormat="1" ht="13.8">
      <c r="A273" s="125"/>
      <c r="B273" s="34">
        <v>44286</v>
      </c>
      <c r="C273" s="34"/>
      <c r="D273" s="124" t="s">
        <v>57</v>
      </c>
      <c r="E273" s="124">
        <v>712</v>
      </c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>
        <v>712</v>
      </c>
      <c r="W273" s="124"/>
      <c r="X273" s="124"/>
    </row>
    <row r="274" spans="1:24" s="106" customFormat="1" ht="13.8">
      <c r="A274" s="125">
        <v>5</v>
      </c>
      <c r="B274" s="34">
        <v>44286</v>
      </c>
      <c r="C274" s="34"/>
      <c r="D274" s="124" t="s">
        <v>42</v>
      </c>
      <c r="E274" s="124">
        <v>64.95</v>
      </c>
      <c r="F274" s="124"/>
      <c r="G274" s="124"/>
      <c r="H274" s="124">
        <v>64.95</v>
      </c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</row>
    <row r="275" spans="1:24" s="106" customFormat="1" ht="13.8">
      <c r="A275" s="125"/>
      <c r="B275" s="34">
        <v>44287</v>
      </c>
      <c r="C275" s="34"/>
      <c r="D275" s="124" t="s">
        <v>230</v>
      </c>
      <c r="E275" s="124">
        <v>99</v>
      </c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>
        <v>99</v>
      </c>
      <c r="R275" s="124"/>
      <c r="S275" s="124"/>
      <c r="T275" s="124"/>
      <c r="U275" s="124"/>
      <c r="V275" s="124"/>
      <c r="W275" s="124"/>
      <c r="X275" s="124"/>
    </row>
    <row r="276" spans="1:24" s="106" customFormat="1" ht="13.8">
      <c r="A276" s="125"/>
      <c r="B276" s="34">
        <v>44287</v>
      </c>
      <c r="C276" s="34"/>
      <c r="D276" s="124" t="s">
        <v>22</v>
      </c>
      <c r="E276" s="124">
        <v>138</v>
      </c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>
        <v>138</v>
      </c>
      <c r="R276" s="124"/>
      <c r="S276" s="124"/>
      <c r="T276" s="124"/>
      <c r="U276" s="124"/>
      <c r="V276" s="124"/>
      <c r="W276" s="124"/>
      <c r="X276" s="124"/>
    </row>
    <row r="277" spans="1:24" s="106" customFormat="1" ht="13.8">
      <c r="A277" s="125"/>
      <c r="B277" s="34">
        <v>44287</v>
      </c>
      <c r="C277" s="34"/>
      <c r="D277" s="124" t="s">
        <v>213</v>
      </c>
      <c r="E277" s="124">
        <v>300</v>
      </c>
      <c r="F277" s="124">
        <v>300</v>
      </c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</row>
    <row r="278" spans="1:24" s="106" customFormat="1" ht="13.8">
      <c r="A278" s="125"/>
      <c r="B278" s="34">
        <v>44287</v>
      </c>
      <c r="C278" s="34"/>
      <c r="D278" s="124" t="s">
        <v>21</v>
      </c>
      <c r="E278" s="124">
        <v>137</v>
      </c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>
        <v>137</v>
      </c>
      <c r="R278" s="124"/>
      <c r="S278" s="124"/>
      <c r="T278" s="124"/>
      <c r="U278" s="124"/>
      <c r="V278" s="124"/>
      <c r="W278" s="124"/>
      <c r="X278" s="124"/>
    </row>
    <row r="279" spans="1:24" s="106" customFormat="1" ht="13.8">
      <c r="A279" s="125"/>
      <c r="B279" s="34">
        <v>44289</v>
      </c>
      <c r="C279" s="34"/>
      <c r="D279" s="124" t="s">
        <v>42</v>
      </c>
      <c r="E279" s="124">
        <v>146.30000000000001</v>
      </c>
      <c r="F279" s="124"/>
      <c r="G279" s="124"/>
      <c r="H279" s="124">
        <v>126.3</v>
      </c>
      <c r="I279" s="124"/>
      <c r="J279" s="124"/>
      <c r="K279" s="124"/>
      <c r="L279" s="124"/>
      <c r="M279" s="124">
        <v>20</v>
      </c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</row>
    <row r="280" spans="1:24" s="106" customFormat="1" ht="13.8">
      <c r="A280" s="125"/>
      <c r="B280" s="34">
        <v>44289</v>
      </c>
      <c r="C280" s="34"/>
      <c r="D280" s="124" t="s">
        <v>39</v>
      </c>
      <c r="E280" s="124">
        <v>12</v>
      </c>
      <c r="F280" s="124"/>
      <c r="G280" s="124"/>
      <c r="H280" s="124">
        <v>12</v>
      </c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</row>
    <row r="281" spans="1:24" s="106" customFormat="1" ht="13.8">
      <c r="A281" s="125"/>
      <c r="B281" s="34">
        <v>44290</v>
      </c>
      <c r="C281" s="34"/>
      <c r="D281" s="124" t="s">
        <v>123</v>
      </c>
      <c r="E281" s="124">
        <v>119.95</v>
      </c>
      <c r="F281" s="124"/>
      <c r="G281" s="124"/>
      <c r="H281" s="124">
        <v>119.95</v>
      </c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</row>
    <row r="282" spans="1:24" s="106" customFormat="1" ht="13.8">
      <c r="A282" s="125"/>
      <c r="B282" s="34">
        <v>44292</v>
      </c>
      <c r="C282" s="34"/>
      <c r="D282" s="124" t="s">
        <v>30</v>
      </c>
      <c r="E282" s="124">
        <v>7474</v>
      </c>
      <c r="F282" s="124"/>
      <c r="G282" s="124"/>
      <c r="H282" s="124"/>
      <c r="I282" s="124"/>
      <c r="J282" s="124"/>
      <c r="K282" s="124"/>
      <c r="L282" s="124"/>
      <c r="M282" s="124"/>
      <c r="N282" s="124">
        <v>7474</v>
      </c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</row>
    <row r="283" spans="1:24" s="106" customFormat="1" ht="13.8">
      <c r="A283" s="125"/>
      <c r="B283" s="34">
        <v>44292</v>
      </c>
      <c r="C283" s="34"/>
      <c r="D283" s="124" t="s">
        <v>240</v>
      </c>
      <c r="E283" s="124">
        <v>1155</v>
      </c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</row>
    <row r="284" spans="1:24" s="106" customFormat="1" ht="13.8">
      <c r="A284" s="125"/>
      <c r="B284" s="34">
        <v>44292</v>
      </c>
      <c r="C284" s="34"/>
      <c r="D284" s="124" t="s">
        <v>31</v>
      </c>
      <c r="E284" s="124">
        <v>-1277</v>
      </c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</row>
    <row r="285" spans="1:24" s="106" customFormat="1" ht="13.8">
      <c r="A285" s="125"/>
      <c r="B285" s="34">
        <v>44292</v>
      </c>
      <c r="C285" s="34"/>
      <c r="D285" s="124" t="s">
        <v>100</v>
      </c>
      <c r="E285" s="124">
        <v>1234.07</v>
      </c>
      <c r="F285" s="124">
        <v>1234.07</v>
      </c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</row>
    <row r="286" spans="1:24" s="106" customFormat="1" ht="13.8">
      <c r="A286" s="125"/>
      <c r="B286" s="34">
        <v>44292</v>
      </c>
      <c r="C286" s="34"/>
      <c r="D286" s="124" t="s">
        <v>239</v>
      </c>
      <c r="E286" s="124">
        <v>150</v>
      </c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>
        <v>150</v>
      </c>
      <c r="S286" s="124"/>
      <c r="T286" s="124"/>
      <c r="U286" s="124"/>
      <c r="V286" s="124"/>
      <c r="W286" s="124"/>
      <c r="X286" s="124"/>
    </row>
    <row r="287" spans="1:24" s="106" customFormat="1" ht="13.8">
      <c r="A287" s="125"/>
      <c r="B287" s="34">
        <v>44292</v>
      </c>
      <c r="C287" s="34"/>
      <c r="D287" s="124" t="s">
        <v>206</v>
      </c>
      <c r="E287" s="124">
        <v>150</v>
      </c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>
        <v>150</v>
      </c>
      <c r="S287" s="124"/>
      <c r="T287" s="124"/>
      <c r="U287" s="124"/>
      <c r="V287" s="124"/>
      <c r="W287" s="124"/>
      <c r="X287" s="124"/>
    </row>
    <row r="288" spans="1:24" s="106" customFormat="1" ht="13.8">
      <c r="A288" s="125"/>
      <c r="B288" s="34">
        <v>44292</v>
      </c>
      <c r="C288" s="34"/>
      <c r="D288" s="124" t="s">
        <v>180</v>
      </c>
      <c r="E288" s="124">
        <v>173.77</v>
      </c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>
        <v>173.77</v>
      </c>
      <c r="V288" s="124"/>
      <c r="W288" s="124"/>
      <c r="X288" s="124"/>
    </row>
    <row r="289" spans="1:24" s="106" customFormat="1" ht="13.8">
      <c r="A289" s="125"/>
      <c r="B289" s="34">
        <v>44292</v>
      </c>
      <c r="C289" s="34"/>
      <c r="D289" s="124" t="s">
        <v>25</v>
      </c>
      <c r="E289" s="124">
        <v>2223.94</v>
      </c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>
        <v>918.55</v>
      </c>
      <c r="Q289" s="124"/>
      <c r="R289" s="124"/>
      <c r="S289" s="124"/>
      <c r="T289" s="124"/>
      <c r="U289" s="124">
        <v>1299.8900000000001</v>
      </c>
      <c r="V289" s="124"/>
      <c r="W289" s="124"/>
      <c r="X289" s="124"/>
    </row>
    <row r="290" spans="1:24" s="106" customFormat="1" ht="13.8">
      <c r="A290" s="125"/>
      <c r="B290" s="34">
        <v>44292</v>
      </c>
      <c r="C290" s="34"/>
      <c r="D290" s="124" t="s">
        <v>18</v>
      </c>
      <c r="E290" s="124">
        <v>210.66</v>
      </c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>
        <v>210.66</v>
      </c>
      <c r="Q290" s="124"/>
      <c r="R290" s="124"/>
      <c r="S290" s="124"/>
      <c r="T290" s="124"/>
      <c r="U290" s="124"/>
      <c r="V290" s="124"/>
      <c r="W290" s="124"/>
      <c r="X290" s="124"/>
    </row>
    <row r="291" spans="1:24" s="106" customFormat="1" ht="13.8">
      <c r="A291" s="125"/>
      <c r="B291" s="34">
        <v>44292</v>
      </c>
      <c r="C291" s="34"/>
      <c r="D291" s="124" t="s">
        <v>20</v>
      </c>
      <c r="E291" s="124">
        <v>191.64</v>
      </c>
      <c r="F291" s="124">
        <v>191.64</v>
      </c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</row>
    <row r="292" spans="1:24" s="106" customFormat="1" ht="13.8">
      <c r="A292" s="125"/>
      <c r="B292" s="34">
        <v>44292</v>
      </c>
      <c r="C292" s="34"/>
      <c r="D292" s="124" t="s">
        <v>183</v>
      </c>
      <c r="E292" s="124">
        <v>548.75</v>
      </c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>
        <v>548.75</v>
      </c>
      <c r="R292" s="124"/>
      <c r="S292" s="124"/>
      <c r="T292" s="124"/>
      <c r="U292" s="124"/>
      <c r="V292" s="124"/>
      <c r="W292" s="124"/>
      <c r="X292" s="124"/>
    </row>
    <row r="293" spans="1:24" s="106" customFormat="1" ht="13.8">
      <c r="A293" s="125"/>
      <c r="B293" s="34">
        <v>44292</v>
      </c>
      <c r="C293" s="34"/>
      <c r="D293" s="124" t="s">
        <v>182</v>
      </c>
      <c r="E293" s="124">
        <v>284</v>
      </c>
      <c r="F293" s="124">
        <v>284</v>
      </c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</row>
    <row r="294" spans="1:24" s="106" customFormat="1" ht="13.8">
      <c r="A294" s="125"/>
      <c r="B294" s="34">
        <v>44292</v>
      </c>
      <c r="C294" s="34"/>
      <c r="D294" s="124" t="s">
        <v>125</v>
      </c>
      <c r="E294" s="124">
        <v>119</v>
      </c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>
        <v>119</v>
      </c>
      <c r="S294" s="124"/>
      <c r="T294" s="124"/>
      <c r="U294" s="124"/>
      <c r="V294" s="124"/>
      <c r="W294" s="124"/>
      <c r="X294" s="124"/>
    </row>
    <row r="295" spans="1:24" s="106" customFormat="1" ht="13.8">
      <c r="A295" s="125"/>
      <c r="B295" s="34">
        <v>44292</v>
      </c>
      <c r="C295" s="34"/>
      <c r="D295" s="124" t="s">
        <v>216</v>
      </c>
      <c r="E295" s="124">
        <v>199.2</v>
      </c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</row>
    <row r="296" spans="1:24" s="106" customFormat="1" ht="13.8">
      <c r="A296" s="125"/>
      <c r="B296" s="34">
        <v>44292</v>
      </c>
      <c r="C296" s="34"/>
      <c r="D296" s="124" t="s">
        <v>39</v>
      </c>
      <c r="E296" s="124">
        <v>32.950000000000003</v>
      </c>
      <c r="F296" s="124"/>
      <c r="G296" s="124"/>
      <c r="H296" s="124">
        <v>32.950000000000003</v>
      </c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</row>
    <row r="297" spans="1:24" s="106" customFormat="1" ht="13.8">
      <c r="A297" s="125"/>
      <c r="B297" s="34">
        <v>44292</v>
      </c>
      <c r="C297" s="34"/>
      <c r="D297" s="124" t="s">
        <v>238</v>
      </c>
      <c r="E297" s="124">
        <v>29</v>
      </c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>
        <v>29</v>
      </c>
      <c r="Q297" s="124"/>
      <c r="R297" s="124"/>
      <c r="S297" s="124"/>
      <c r="T297" s="124"/>
      <c r="U297" s="124"/>
      <c r="V297" s="124"/>
      <c r="W297" s="124"/>
      <c r="X297" s="124"/>
    </row>
    <row r="298" spans="1:24" s="106" customFormat="1" ht="13.8">
      <c r="A298" s="125"/>
      <c r="B298" s="34">
        <v>44292</v>
      </c>
      <c r="C298" s="34"/>
      <c r="D298" s="124" t="s">
        <v>140</v>
      </c>
      <c r="E298" s="124">
        <v>495.88</v>
      </c>
      <c r="F298" s="124"/>
      <c r="G298" s="124">
        <v>495.88</v>
      </c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</row>
    <row r="299" spans="1:24" s="106" customFormat="1" ht="13.8">
      <c r="A299" s="125"/>
      <c r="B299" s="34">
        <v>44292</v>
      </c>
      <c r="C299" s="34"/>
      <c r="D299" s="124" t="s">
        <v>124</v>
      </c>
      <c r="E299" s="124">
        <v>70.7</v>
      </c>
      <c r="F299" s="124"/>
      <c r="G299" s="124"/>
      <c r="H299" s="124"/>
      <c r="I299" s="124">
        <v>68.900000000000006</v>
      </c>
      <c r="J299" s="124">
        <v>1.8</v>
      </c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</row>
    <row r="300" spans="1:24" s="106" customFormat="1" ht="13.8">
      <c r="A300" s="125"/>
      <c r="B300" s="34">
        <v>44292</v>
      </c>
      <c r="C300" s="34"/>
      <c r="D300" s="124" t="s">
        <v>42</v>
      </c>
      <c r="E300" s="124">
        <v>30</v>
      </c>
      <c r="F300" s="124"/>
      <c r="G300" s="124"/>
      <c r="H300" s="124">
        <v>30</v>
      </c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</row>
    <row r="301" spans="1:24" s="106" customFormat="1" ht="13.8">
      <c r="A301" s="125"/>
      <c r="B301" s="34">
        <v>44292</v>
      </c>
      <c r="C301" s="34"/>
      <c r="D301" s="124" t="s">
        <v>217</v>
      </c>
      <c r="E301" s="124">
        <v>23</v>
      </c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</row>
    <row r="302" spans="1:24" s="106" customFormat="1" ht="13.8">
      <c r="A302" s="125"/>
      <c r="B302" s="34">
        <v>44293</v>
      </c>
      <c r="C302" s="34"/>
      <c r="D302" s="124" t="s">
        <v>206</v>
      </c>
      <c r="E302" s="124">
        <v>-56</v>
      </c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>
        <v>-56</v>
      </c>
      <c r="S302" s="124"/>
      <c r="T302" s="124"/>
      <c r="U302" s="124"/>
      <c r="V302" s="124"/>
      <c r="W302" s="124"/>
      <c r="X302" s="124"/>
    </row>
    <row r="303" spans="1:24" s="106" customFormat="1" ht="13.8">
      <c r="A303" s="125"/>
      <c r="B303" s="34">
        <v>44293</v>
      </c>
      <c r="C303" s="34"/>
      <c r="D303" s="124" t="s">
        <v>226</v>
      </c>
      <c r="E303" s="124">
        <v>399.79</v>
      </c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</row>
    <row r="304" spans="1:24" s="106" customFormat="1" ht="13.8">
      <c r="A304" s="125"/>
      <c r="B304" s="34">
        <v>44294</v>
      </c>
      <c r="C304" s="34"/>
      <c r="D304" s="124" t="s">
        <v>40</v>
      </c>
      <c r="E304" s="124">
        <v>85.95</v>
      </c>
      <c r="F304" s="124"/>
      <c r="G304" s="124"/>
      <c r="H304" s="124">
        <v>37.950000000000003</v>
      </c>
      <c r="I304" s="124"/>
      <c r="J304" s="124"/>
      <c r="K304" s="124"/>
      <c r="L304" s="124"/>
      <c r="M304" s="124"/>
      <c r="N304" s="124"/>
      <c r="O304" s="124"/>
      <c r="P304" s="124">
        <v>28</v>
      </c>
      <c r="Q304" s="124"/>
      <c r="R304" s="124"/>
      <c r="S304" s="124"/>
      <c r="T304" s="124"/>
      <c r="U304" s="124"/>
      <c r="V304" s="124"/>
      <c r="W304" s="124"/>
      <c r="X304" s="124"/>
    </row>
    <row r="305" spans="1:24" s="106" customFormat="1" ht="13.8">
      <c r="A305" s="125"/>
      <c r="B305" s="34">
        <v>44294</v>
      </c>
      <c r="C305" s="34"/>
      <c r="D305" s="124" t="s">
        <v>131</v>
      </c>
      <c r="E305" s="124">
        <v>58.75</v>
      </c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>
        <v>58.75</v>
      </c>
      <c r="U305" s="124"/>
      <c r="V305" s="124"/>
      <c r="W305" s="124"/>
      <c r="X305" s="124"/>
    </row>
    <row r="306" spans="1:24" s="106" customFormat="1" ht="13.8">
      <c r="A306" s="125"/>
      <c r="B306" s="34">
        <v>44294</v>
      </c>
      <c r="C306" s="34"/>
      <c r="D306" s="124" t="s">
        <v>21</v>
      </c>
      <c r="E306" s="124">
        <v>113.51</v>
      </c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>
        <v>113.51</v>
      </c>
      <c r="R306" s="124"/>
      <c r="S306" s="124"/>
      <c r="T306" s="124"/>
      <c r="U306" s="124"/>
      <c r="V306" s="124"/>
      <c r="W306" s="124"/>
      <c r="X306" s="124"/>
    </row>
    <row r="307" spans="1:24" s="106" customFormat="1" ht="13.8">
      <c r="A307" s="125"/>
      <c r="B307" s="34">
        <v>44295</v>
      </c>
      <c r="C307" s="34"/>
      <c r="D307" s="124" t="s">
        <v>42</v>
      </c>
      <c r="E307" s="124">
        <v>71</v>
      </c>
      <c r="F307" s="124"/>
      <c r="G307" s="124"/>
      <c r="H307" s="124"/>
      <c r="I307" s="124"/>
      <c r="J307" s="124"/>
      <c r="K307" s="124"/>
      <c r="L307" s="124">
        <v>51</v>
      </c>
      <c r="M307" s="124">
        <v>20</v>
      </c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</row>
    <row r="308" spans="1:24" s="106" customFormat="1" ht="13.8">
      <c r="A308" s="125"/>
      <c r="B308" s="34">
        <v>44295</v>
      </c>
      <c r="C308" s="34"/>
      <c r="D308" s="124" t="s">
        <v>40</v>
      </c>
      <c r="E308" s="124">
        <v>50</v>
      </c>
      <c r="F308" s="124"/>
      <c r="G308" s="124"/>
      <c r="H308" s="124">
        <v>20</v>
      </c>
      <c r="I308" s="124"/>
      <c r="J308" s="124"/>
      <c r="K308" s="124"/>
      <c r="L308" s="124"/>
      <c r="M308" s="124">
        <v>32</v>
      </c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</row>
    <row r="309" spans="1:24" s="106" customFormat="1" ht="13.8">
      <c r="A309" s="125"/>
      <c r="B309" s="34">
        <v>44297</v>
      </c>
      <c r="C309" s="34"/>
      <c r="D309" s="124" t="s">
        <v>39</v>
      </c>
      <c r="E309" s="124">
        <v>59.3</v>
      </c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</row>
    <row r="310" spans="1:24" s="106" customFormat="1" ht="13.8">
      <c r="A310" s="125"/>
      <c r="B310" s="34">
        <v>44297</v>
      </c>
      <c r="C310" s="34"/>
      <c r="D310" s="124" t="s">
        <v>42</v>
      </c>
      <c r="E310" s="124">
        <v>82.3</v>
      </c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</row>
    <row r="311" spans="1:24" s="106" customFormat="1" ht="13.8">
      <c r="A311" s="125"/>
      <c r="B311" s="34">
        <v>44298</v>
      </c>
      <c r="C311" s="34"/>
      <c r="D311" s="124" t="s">
        <v>38</v>
      </c>
      <c r="E311" s="124">
        <v>111.95</v>
      </c>
      <c r="F311" s="124"/>
      <c r="G311" s="124">
        <v>100</v>
      </c>
      <c r="H311" s="124">
        <v>11.95</v>
      </c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</row>
    <row r="312" spans="1:24" s="106" customFormat="1" ht="13.8">
      <c r="A312" s="125"/>
      <c r="B312" s="34">
        <v>44298</v>
      </c>
      <c r="C312" s="34"/>
      <c r="D312" s="124" t="s">
        <v>162</v>
      </c>
      <c r="E312" s="124">
        <v>34</v>
      </c>
      <c r="F312" s="124"/>
      <c r="G312" s="124">
        <v>34</v>
      </c>
      <c r="H312" s="124"/>
      <c r="I312" s="124"/>
      <c r="J312" s="124"/>
      <c r="K312" s="124"/>
      <c r="L312" s="124"/>
      <c r="M312" s="124"/>
      <c r="N312" s="124"/>
      <c r="O312" s="124">
        <v>34</v>
      </c>
      <c r="P312" s="124"/>
      <c r="Q312" s="124"/>
      <c r="R312" s="124"/>
      <c r="S312" s="124"/>
      <c r="T312" s="124"/>
      <c r="U312" s="124"/>
      <c r="V312" s="124"/>
      <c r="W312" s="124"/>
      <c r="X312" s="124"/>
    </row>
    <row r="313" spans="1:24" s="106" customFormat="1" ht="13.8">
      <c r="A313" s="125"/>
      <c r="B313" s="34">
        <v>44299</v>
      </c>
      <c r="C313" s="34"/>
      <c r="D313" s="124" t="s">
        <v>216</v>
      </c>
      <c r="E313" s="124">
        <v>244.2</v>
      </c>
      <c r="F313" s="124"/>
      <c r="G313" s="124">
        <v>49</v>
      </c>
      <c r="H313" s="124"/>
      <c r="I313" s="124"/>
      <c r="J313" s="124"/>
      <c r="K313" s="124"/>
      <c r="L313" s="124"/>
      <c r="M313" s="124">
        <v>20</v>
      </c>
      <c r="N313" s="124"/>
      <c r="O313" s="124">
        <v>175.2</v>
      </c>
      <c r="P313" s="124"/>
      <c r="Q313" s="124"/>
      <c r="R313" s="124"/>
      <c r="S313" s="124"/>
      <c r="T313" s="124"/>
      <c r="U313" s="124"/>
      <c r="V313" s="124"/>
      <c r="W313" s="124"/>
      <c r="X313" s="124"/>
    </row>
    <row r="314" spans="1:24" s="106" customFormat="1" ht="13.8">
      <c r="A314" s="125"/>
      <c r="B314" s="34">
        <v>44299</v>
      </c>
      <c r="C314" s="34"/>
      <c r="D314" s="124" t="s">
        <v>217</v>
      </c>
      <c r="E314" s="124">
        <v>43</v>
      </c>
      <c r="F314" s="124"/>
      <c r="G314" s="124">
        <v>43</v>
      </c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</row>
    <row r="315" spans="1:24" s="106" customFormat="1" ht="13.8">
      <c r="A315" s="125"/>
      <c r="B315" s="34">
        <v>44299</v>
      </c>
      <c r="C315" s="34"/>
      <c r="D315" s="124" t="s">
        <v>41</v>
      </c>
      <c r="E315" s="124">
        <v>11</v>
      </c>
      <c r="F315" s="124"/>
      <c r="G315" s="124"/>
      <c r="H315" s="124"/>
      <c r="I315" s="124"/>
      <c r="J315" s="124"/>
      <c r="K315" s="124"/>
      <c r="L315" s="124"/>
      <c r="M315" s="124">
        <v>11</v>
      </c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</row>
    <row r="316" spans="1:24" s="106" customFormat="1" ht="13.8">
      <c r="A316" s="125"/>
      <c r="B316" s="34">
        <v>44299</v>
      </c>
      <c r="C316" s="34"/>
      <c r="D316" s="124" t="s">
        <v>40</v>
      </c>
      <c r="E316" s="124">
        <v>109.95</v>
      </c>
      <c r="F316" s="124"/>
      <c r="G316" s="124"/>
      <c r="H316" s="124">
        <v>109.95</v>
      </c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</row>
    <row r="317" spans="1:24" s="106" customFormat="1" ht="13.8">
      <c r="A317" s="125"/>
      <c r="B317" s="34">
        <v>44300</v>
      </c>
      <c r="C317" s="34"/>
      <c r="D317" s="124" t="s">
        <v>39</v>
      </c>
      <c r="E317" s="124">
        <v>15</v>
      </c>
      <c r="F317" s="124"/>
      <c r="G317" s="124"/>
      <c r="H317" s="124">
        <v>15</v>
      </c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</row>
    <row r="318" spans="1:24" s="106" customFormat="1" ht="13.8">
      <c r="A318" s="125"/>
      <c r="B318" s="34">
        <v>44300</v>
      </c>
      <c r="C318" s="34"/>
      <c r="D318" s="124" t="s">
        <v>237</v>
      </c>
      <c r="E318" s="124">
        <v>59.95</v>
      </c>
      <c r="F318" s="124"/>
      <c r="G318" s="124">
        <v>59.95</v>
      </c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</row>
    <row r="319" spans="1:24" s="106" customFormat="1" ht="13.8">
      <c r="A319" s="125"/>
      <c r="B319" s="34">
        <v>44302</v>
      </c>
      <c r="C319" s="34"/>
      <c r="D319" s="124" t="s">
        <v>39</v>
      </c>
      <c r="E319" s="124">
        <v>65.94</v>
      </c>
      <c r="F319" s="124"/>
      <c r="G319" s="124">
        <v>65.94</v>
      </c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</row>
    <row r="320" spans="1:24" s="106" customFormat="1" ht="13.8">
      <c r="A320" s="125"/>
      <c r="B320" s="34">
        <v>44302</v>
      </c>
      <c r="C320" s="34"/>
      <c r="D320" s="124" t="s">
        <v>42</v>
      </c>
      <c r="E320" s="124">
        <v>23</v>
      </c>
      <c r="F320" s="124"/>
      <c r="G320" s="124">
        <v>23</v>
      </c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</row>
    <row r="321" spans="1:24" s="106" customFormat="1" ht="13.8">
      <c r="A321" s="125"/>
      <c r="B321" s="34">
        <v>44310</v>
      </c>
      <c r="C321" s="34"/>
      <c r="D321" s="124" t="s">
        <v>236</v>
      </c>
      <c r="E321" s="124">
        <v>1000</v>
      </c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>
        <f>E321</f>
        <v>1000</v>
      </c>
      <c r="T321" s="124"/>
      <c r="U321" s="124"/>
      <c r="V321" s="124"/>
      <c r="W321" s="124"/>
      <c r="X321" s="124"/>
    </row>
    <row r="322" spans="1:24" s="106" customFormat="1" ht="13.8">
      <c r="A322" s="125"/>
      <c r="B322" s="34">
        <v>44304</v>
      </c>
      <c r="C322" s="34"/>
      <c r="D322" s="124" t="s">
        <v>39</v>
      </c>
      <c r="E322" s="124">
        <v>15</v>
      </c>
      <c r="F322" s="124"/>
      <c r="G322" s="124"/>
      <c r="H322" s="124">
        <v>15</v>
      </c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</row>
    <row r="323" spans="1:24" s="106" customFormat="1" ht="13.8">
      <c r="A323" s="125"/>
      <c r="B323" s="34">
        <v>44304</v>
      </c>
      <c r="C323" s="34"/>
      <c r="D323" s="124" t="s">
        <v>42</v>
      </c>
      <c r="E323" s="124">
        <v>80</v>
      </c>
      <c r="F323" s="124"/>
      <c r="G323" s="124"/>
      <c r="H323" s="124">
        <v>80</v>
      </c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</row>
    <row r="324" spans="1:24" s="106" customFormat="1" ht="13.8">
      <c r="A324" s="125"/>
      <c r="B324" s="34">
        <v>44304</v>
      </c>
      <c r="C324" s="34"/>
      <c r="D324" s="124" t="s">
        <v>186</v>
      </c>
      <c r="E324" s="124">
        <v>100</v>
      </c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>
        <v>100</v>
      </c>
      <c r="S324" s="124"/>
      <c r="T324" s="124"/>
      <c r="U324" s="124"/>
      <c r="V324" s="124"/>
      <c r="W324" s="124"/>
      <c r="X324" s="124"/>
    </row>
    <row r="325" spans="1:24" s="106" customFormat="1" ht="13.8">
      <c r="A325" s="125"/>
      <c r="B325" s="34">
        <v>44305</v>
      </c>
      <c r="C325" s="34"/>
      <c r="D325" s="124" t="s">
        <v>21</v>
      </c>
      <c r="E325" s="124">
        <v>100</v>
      </c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>
        <v>100</v>
      </c>
      <c r="R325" s="124"/>
      <c r="S325" s="124"/>
      <c r="T325" s="124"/>
      <c r="U325" s="124"/>
      <c r="V325" s="124"/>
      <c r="W325" s="124"/>
      <c r="X325" s="124"/>
    </row>
    <row r="326" spans="1:24" s="106" customFormat="1" ht="13.8">
      <c r="A326" s="125"/>
      <c r="B326" s="34">
        <v>44305</v>
      </c>
      <c r="C326" s="34"/>
      <c r="D326" s="124" t="s">
        <v>42</v>
      </c>
      <c r="E326" s="124">
        <v>90.5</v>
      </c>
      <c r="F326" s="124"/>
      <c r="G326" s="124"/>
      <c r="H326" s="124">
        <v>90.5</v>
      </c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</row>
    <row r="327" spans="1:24" s="106" customFormat="1" ht="13.8">
      <c r="A327" s="125"/>
      <c r="B327" s="34">
        <v>44306</v>
      </c>
      <c r="C327" s="34"/>
      <c r="D327" s="124" t="s">
        <v>39</v>
      </c>
      <c r="E327" s="124">
        <v>15</v>
      </c>
      <c r="F327" s="124"/>
      <c r="G327" s="124"/>
      <c r="H327" s="124">
        <v>15</v>
      </c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</row>
    <row r="328" spans="1:24" s="106" customFormat="1" ht="13.8">
      <c r="A328" s="125"/>
      <c r="B328" s="34">
        <v>44306</v>
      </c>
      <c r="C328" s="34"/>
      <c r="D328" s="124" t="s">
        <v>42</v>
      </c>
      <c r="E328" s="124">
        <v>46.95</v>
      </c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>
        <v>46.95</v>
      </c>
      <c r="W328" s="124"/>
      <c r="X328" s="124"/>
    </row>
    <row r="329" spans="1:24" s="106" customFormat="1" ht="13.8">
      <c r="A329" s="125"/>
      <c r="B329" s="34">
        <v>44307</v>
      </c>
      <c r="C329" s="34"/>
      <c r="D329" s="124" t="s">
        <v>216</v>
      </c>
      <c r="E329" s="124">
        <v>137</v>
      </c>
      <c r="F329" s="124"/>
      <c r="G329" s="124">
        <v>137</v>
      </c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</row>
    <row r="330" spans="1:24" s="106" customFormat="1" ht="13.8">
      <c r="A330" s="125"/>
      <c r="B330" s="34">
        <v>44307</v>
      </c>
      <c r="C330" s="34"/>
      <c r="D330" s="124" t="s">
        <v>217</v>
      </c>
      <c r="E330" s="124">
        <v>46</v>
      </c>
      <c r="F330" s="124"/>
      <c r="G330" s="124">
        <v>46</v>
      </c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</row>
    <row r="331" spans="1:24" s="106" customFormat="1" ht="13.8">
      <c r="A331" s="125"/>
      <c r="B331" s="34">
        <v>44307</v>
      </c>
      <c r="C331" s="34"/>
      <c r="D331" s="124" t="s">
        <v>222</v>
      </c>
      <c r="E331" s="124">
        <v>39</v>
      </c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>
        <v>39</v>
      </c>
      <c r="Q331" s="124"/>
      <c r="R331" s="124"/>
      <c r="S331" s="124"/>
      <c r="T331" s="124"/>
      <c r="U331" s="124"/>
      <c r="V331" s="124"/>
      <c r="W331" s="124"/>
      <c r="X331" s="124"/>
    </row>
    <row r="332" spans="1:24" s="106" customFormat="1" ht="13.8">
      <c r="A332" s="125"/>
      <c r="B332" s="34">
        <v>44308</v>
      </c>
      <c r="C332" s="34"/>
      <c r="D332" s="124" t="s">
        <v>124</v>
      </c>
      <c r="E332" s="124">
        <v>235.55</v>
      </c>
      <c r="F332" s="124"/>
      <c r="G332" s="124"/>
      <c r="H332" s="124"/>
      <c r="I332" s="124">
        <v>27.15</v>
      </c>
      <c r="J332" s="124">
        <v>8.4</v>
      </c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</row>
    <row r="333" spans="1:24" s="106" customFormat="1" ht="13.8">
      <c r="A333" s="125"/>
      <c r="B333" s="34">
        <v>44308</v>
      </c>
      <c r="C333" s="34"/>
      <c r="D333" s="124" t="s">
        <v>42</v>
      </c>
      <c r="E333" s="124">
        <v>82.55</v>
      </c>
      <c r="F333" s="124"/>
      <c r="G333" s="124"/>
      <c r="H333" s="124">
        <v>82.55</v>
      </c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</row>
    <row r="334" spans="1:24" s="106" customFormat="1" ht="13.8">
      <c r="A334" s="125"/>
      <c r="B334" s="34">
        <v>44308</v>
      </c>
      <c r="C334" s="34"/>
      <c r="D334" s="124" t="s">
        <v>39</v>
      </c>
      <c r="E334" s="124">
        <v>41.5</v>
      </c>
      <c r="F334" s="124"/>
      <c r="G334" s="124"/>
      <c r="H334" s="124">
        <v>41.5</v>
      </c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</row>
    <row r="335" spans="1:24" s="106" customFormat="1" ht="13.8">
      <c r="A335" s="125"/>
      <c r="B335" s="34">
        <v>44309</v>
      </c>
      <c r="C335" s="34"/>
      <c r="D335" s="124" t="s">
        <v>124</v>
      </c>
      <c r="E335" s="124">
        <v>43.25</v>
      </c>
      <c r="F335" s="124"/>
      <c r="G335" s="124"/>
      <c r="H335" s="124"/>
      <c r="I335" s="124">
        <v>43.25</v>
      </c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</row>
    <row r="336" spans="1:24" s="106" customFormat="1" ht="13.8">
      <c r="A336" s="125"/>
      <c r="B336" s="34">
        <v>44309</v>
      </c>
      <c r="C336" s="34"/>
      <c r="D336" s="124" t="s">
        <v>42</v>
      </c>
      <c r="E336" s="124">
        <v>20</v>
      </c>
      <c r="F336" s="124"/>
      <c r="G336" s="124"/>
      <c r="H336" s="124">
        <v>20</v>
      </c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</row>
    <row r="337" spans="1:42" s="106" customFormat="1" ht="13.8">
      <c r="A337" s="125"/>
      <c r="B337" s="34">
        <v>44310</v>
      </c>
      <c r="C337" s="34"/>
      <c r="D337" s="124" t="s">
        <v>222</v>
      </c>
      <c r="E337" s="124">
        <v>39</v>
      </c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>
        <v>39</v>
      </c>
      <c r="Q337" s="124"/>
      <c r="R337" s="124"/>
      <c r="S337" s="124"/>
      <c r="T337" s="124"/>
      <c r="U337" s="124"/>
      <c r="V337" s="124"/>
      <c r="W337" s="124"/>
      <c r="X337" s="124"/>
    </row>
    <row r="338" spans="1:42" s="106" customFormat="1" ht="13.8">
      <c r="A338" s="125"/>
      <c r="B338" s="34">
        <v>44311</v>
      </c>
      <c r="C338" s="34"/>
      <c r="D338" s="124" t="s">
        <v>39</v>
      </c>
      <c r="E338" s="124">
        <v>84</v>
      </c>
      <c r="F338" s="124"/>
      <c r="G338" s="124">
        <v>60</v>
      </c>
      <c r="H338" s="124">
        <v>15</v>
      </c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</row>
    <row r="339" spans="1:42" s="106" customFormat="1" ht="13.8">
      <c r="A339" s="125"/>
      <c r="B339" s="34">
        <v>44311</v>
      </c>
      <c r="C339" s="34"/>
      <c r="D339" s="124" t="s">
        <v>40</v>
      </c>
      <c r="E339" s="124">
        <v>81.95</v>
      </c>
      <c r="F339" s="124"/>
      <c r="G339" s="124"/>
      <c r="H339" s="124">
        <v>81.95</v>
      </c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</row>
    <row r="340" spans="1:42" s="106" customFormat="1" ht="13.8">
      <c r="A340" s="125"/>
      <c r="B340" s="34">
        <v>44313</v>
      </c>
      <c r="C340" s="34"/>
      <c r="D340" s="124" t="s">
        <v>39</v>
      </c>
      <c r="E340" s="124">
        <v>15</v>
      </c>
      <c r="F340" s="124"/>
      <c r="G340" s="124"/>
      <c r="H340" s="124">
        <v>15</v>
      </c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</row>
    <row r="341" spans="1:42" s="106" customFormat="1" ht="13.8">
      <c r="A341" s="125"/>
      <c r="B341" s="34">
        <v>44313</v>
      </c>
      <c r="C341" s="34"/>
      <c r="D341" s="124" t="s">
        <v>42</v>
      </c>
      <c r="E341" s="124">
        <v>164.7</v>
      </c>
      <c r="F341" s="124"/>
      <c r="G341" s="124"/>
      <c r="H341" s="124">
        <v>164.7</v>
      </c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</row>
    <row r="342" spans="1:42" s="106" customFormat="1" ht="13.8">
      <c r="A342" s="125"/>
      <c r="B342" s="34">
        <v>44313</v>
      </c>
      <c r="C342" s="34"/>
      <c r="D342" s="124" t="s">
        <v>40</v>
      </c>
      <c r="E342" s="124">
        <v>19.95</v>
      </c>
      <c r="F342" s="124"/>
      <c r="G342" s="124"/>
      <c r="H342" s="124">
        <v>19.95</v>
      </c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</row>
    <row r="343" spans="1:42" s="106" customFormat="1" ht="13.8">
      <c r="A343" s="125"/>
      <c r="B343" s="34">
        <v>44314</v>
      </c>
      <c r="C343" s="34"/>
      <c r="D343" s="124" t="s">
        <v>167</v>
      </c>
      <c r="E343" s="124">
        <v>200</v>
      </c>
      <c r="F343" s="124"/>
      <c r="G343" s="124">
        <v>200</v>
      </c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</row>
    <row r="344" spans="1:42" s="106" customFormat="1" ht="13.8">
      <c r="A344" s="125"/>
      <c r="B344" s="34">
        <v>44314</v>
      </c>
      <c r="C344" s="34"/>
      <c r="D344" s="124" t="s">
        <v>235</v>
      </c>
      <c r="E344" s="124">
        <v>95</v>
      </c>
      <c r="F344" s="124"/>
      <c r="G344" s="124">
        <v>95</v>
      </c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</row>
    <row r="345" spans="1:42" s="106" customFormat="1" ht="13.8">
      <c r="A345" s="125"/>
      <c r="B345" s="34">
        <v>44314</v>
      </c>
      <c r="C345" s="34"/>
      <c r="D345" s="124" t="s">
        <v>216</v>
      </c>
      <c r="E345" s="124">
        <v>116.95</v>
      </c>
      <c r="F345" s="124"/>
      <c r="G345" s="124">
        <v>88</v>
      </c>
      <c r="H345" s="124"/>
      <c r="I345" s="124"/>
      <c r="J345" s="124"/>
      <c r="K345" s="124"/>
      <c r="L345" s="124"/>
      <c r="M345" s="124"/>
      <c r="N345" s="124"/>
      <c r="O345" s="124"/>
      <c r="P345" s="124">
        <v>28.95</v>
      </c>
      <c r="Q345" s="124"/>
      <c r="R345" s="124"/>
      <c r="S345" s="124"/>
      <c r="T345" s="124"/>
      <c r="U345" s="124"/>
      <c r="V345" s="124"/>
      <c r="W345" s="124"/>
      <c r="X345" s="124"/>
    </row>
    <row r="346" spans="1:42" s="106" customFormat="1" ht="13.8">
      <c r="A346" s="125"/>
      <c r="B346" s="34">
        <v>44314</v>
      </c>
      <c r="C346" s="34"/>
      <c r="D346" s="124" t="s">
        <v>217</v>
      </c>
      <c r="E346" s="124">
        <v>46</v>
      </c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</row>
    <row r="347" spans="1:42" s="106" customFormat="1" ht="13.8">
      <c r="A347" s="125"/>
      <c r="B347" s="34">
        <v>44314</v>
      </c>
      <c r="C347" s="34"/>
      <c r="D347" s="124" t="s">
        <v>42</v>
      </c>
      <c r="E347" s="124">
        <v>92</v>
      </c>
      <c r="F347" s="124"/>
      <c r="G347" s="124">
        <v>51</v>
      </c>
      <c r="H347" s="124">
        <v>20</v>
      </c>
      <c r="I347" s="124"/>
      <c r="J347" s="124"/>
      <c r="K347" s="124"/>
      <c r="L347" s="124"/>
      <c r="M347" s="124">
        <v>21</v>
      </c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</row>
    <row r="348" spans="1:42" s="106" customFormat="1" ht="13.8">
      <c r="A348" s="125"/>
      <c r="B348" s="34">
        <v>44314</v>
      </c>
      <c r="C348" s="34"/>
      <c r="D348" s="124" t="s">
        <v>222</v>
      </c>
      <c r="E348" s="124">
        <v>19</v>
      </c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>
        <v>19</v>
      </c>
      <c r="Q348" s="124"/>
      <c r="R348" s="124"/>
      <c r="S348" s="124"/>
      <c r="T348" s="124"/>
      <c r="U348" s="124"/>
      <c r="V348" s="124"/>
      <c r="W348" s="124"/>
      <c r="X348" s="124"/>
    </row>
    <row r="349" spans="1:42" s="106" customFormat="1" ht="13.8">
      <c r="A349" s="125"/>
      <c r="B349" s="2930" t="str">
        <f>G35</f>
        <v>April</v>
      </c>
      <c r="C349" s="2931"/>
      <c r="D349" s="2934" t="s">
        <v>36</v>
      </c>
      <c r="E349" s="2934">
        <f t="shared" ref="E349:W349" si="23">SUM(E350:E350)</f>
        <v>0</v>
      </c>
      <c r="F349" s="2934">
        <f t="shared" si="23"/>
        <v>0</v>
      </c>
      <c r="G349" s="2934">
        <f t="shared" si="23"/>
        <v>0</v>
      </c>
      <c r="H349" s="2934">
        <f t="shared" si="23"/>
        <v>0</v>
      </c>
      <c r="I349" s="2934">
        <f t="shared" si="23"/>
        <v>0</v>
      </c>
      <c r="J349" s="2934">
        <f t="shared" si="23"/>
        <v>0</v>
      </c>
      <c r="K349" s="2934">
        <f t="shared" si="23"/>
        <v>0</v>
      </c>
      <c r="L349" s="2934">
        <f t="shared" si="23"/>
        <v>0</v>
      </c>
      <c r="M349" s="2934">
        <f t="shared" si="23"/>
        <v>0</v>
      </c>
      <c r="N349" s="2934">
        <f t="shared" si="23"/>
        <v>0</v>
      </c>
      <c r="O349" s="2934">
        <f t="shared" si="23"/>
        <v>0</v>
      </c>
      <c r="P349" s="2934">
        <f t="shared" si="23"/>
        <v>0</v>
      </c>
      <c r="Q349" s="2934">
        <f t="shared" si="23"/>
        <v>0</v>
      </c>
      <c r="R349" s="2934">
        <f t="shared" si="23"/>
        <v>0</v>
      </c>
      <c r="S349" s="2934">
        <f t="shared" si="23"/>
        <v>0</v>
      </c>
      <c r="T349" s="2934">
        <f t="shared" si="23"/>
        <v>0</v>
      </c>
      <c r="U349" s="2934">
        <f t="shared" si="23"/>
        <v>0</v>
      </c>
      <c r="V349" s="2934">
        <f t="shared" si="23"/>
        <v>0</v>
      </c>
      <c r="W349" s="2934">
        <f t="shared" si="23"/>
        <v>0</v>
      </c>
      <c r="X349" s="2934"/>
    </row>
    <row r="350" spans="1:42" s="120" customFormat="1" ht="12" customHeight="1">
      <c r="A350" s="60"/>
      <c r="B350" s="2999"/>
      <c r="C350" s="3000"/>
      <c r="D350" s="2935"/>
      <c r="E350" s="2935"/>
      <c r="F350" s="2935"/>
      <c r="G350" s="2935"/>
      <c r="H350" s="2935"/>
      <c r="I350" s="2935"/>
      <c r="J350" s="2935"/>
      <c r="K350" s="2935"/>
      <c r="L350" s="2935"/>
      <c r="M350" s="2935"/>
      <c r="N350" s="2935"/>
      <c r="O350" s="2935"/>
      <c r="P350" s="2935"/>
      <c r="Q350" s="2935"/>
      <c r="R350" s="2935"/>
      <c r="S350" s="2935"/>
      <c r="T350" s="2935"/>
      <c r="U350" s="2935"/>
      <c r="V350" s="2935"/>
      <c r="W350" s="2935"/>
      <c r="X350" s="293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</row>
    <row r="351" spans="1:42" s="120" customFormat="1" ht="12" customHeight="1">
      <c r="A351" s="60"/>
      <c r="B351" s="38" t="str">
        <f>B431</f>
        <v>Maj</v>
      </c>
      <c r="C351" s="37"/>
      <c r="D351" s="128"/>
      <c r="E351" s="36">
        <f t="shared" ref="E351:W351" si="24">SUM(E352:E430)</f>
        <v>11.870000000000658</v>
      </c>
      <c r="F351" s="36">
        <f t="shared" si="24"/>
        <v>763.33</v>
      </c>
      <c r="G351" s="36">
        <f t="shared" si="24"/>
        <v>1013.7</v>
      </c>
      <c r="H351" s="36">
        <f t="shared" si="24"/>
        <v>2001.46</v>
      </c>
      <c r="I351" s="36">
        <f t="shared" si="24"/>
        <v>30</v>
      </c>
      <c r="J351" s="36">
        <f t="shared" si="24"/>
        <v>30</v>
      </c>
      <c r="K351" s="36">
        <f t="shared" si="24"/>
        <v>1100</v>
      </c>
      <c r="L351" s="36">
        <f t="shared" si="24"/>
        <v>348</v>
      </c>
      <c r="M351" s="36">
        <f t="shared" si="24"/>
        <v>78</v>
      </c>
      <c r="N351" s="36">
        <f t="shared" si="24"/>
        <v>7474</v>
      </c>
      <c r="O351" s="36">
        <f t="shared" si="24"/>
        <v>0</v>
      </c>
      <c r="P351" s="36">
        <f t="shared" si="24"/>
        <v>2318.9899999999998</v>
      </c>
      <c r="Q351" s="36">
        <f t="shared" si="24"/>
        <v>1041.1000000000001</v>
      </c>
      <c r="R351" s="36">
        <f t="shared" si="24"/>
        <v>339</v>
      </c>
      <c r="S351" s="36">
        <f t="shared" si="24"/>
        <v>1000</v>
      </c>
      <c r="T351" s="36">
        <f t="shared" si="24"/>
        <v>0</v>
      </c>
      <c r="U351" s="36">
        <f t="shared" si="24"/>
        <v>1603.79</v>
      </c>
      <c r="V351" s="36">
        <f t="shared" si="24"/>
        <v>1000</v>
      </c>
      <c r="W351" s="36">
        <f t="shared" si="24"/>
        <v>0</v>
      </c>
      <c r="X351" s="36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</row>
    <row r="352" spans="1:42" s="126" customFormat="1" ht="13.5" customHeight="1">
      <c r="A352" s="39"/>
      <c r="B352" s="34">
        <v>44315</v>
      </c>
      <c r="C352" s="34"/>
      <c r="D352" s="124" t="s">
        <v>34</v>
      </c>
      <c r="E352" s="124">
        <f>$AL$37</f>
        <v>-7859</v>
      </c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</row>
    <row r="353" spans="1:24" s="106" customFormat="1" ht="13.8">
      <c r="A353" s="125"/>
      <c r="B353" s="34">
        <v>44315</v>
      </c>
      <c r="C353" s="34"/>
      <c r="D353" s="124" t="s">
        <v>33</v>
      </c>
      <c r="E353" s="124">
        <f>-$T$6</f>
        <v>-205</v>
      </c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</row>
    <row r="354" spans="1:24" s="106" customFormat="1" ht="13.8">
      <c r="A354" s="125"/>
      <c r="B354" s="34">
        <v>44315</v>
      </c>
      <c r="C354" s="34"/>
      <c r="D354" s="124" t="s">
        <v>35</v>
      </c>
      <c r="E354" s="124">
        <f>$AK$37</f>
        <v>-11138</v>
      </c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</row>
    <row r="355" spans="1:24" s="106" customFormat="1" ht="13.8">
      <c r="A355" s="125"/>
      <c r="B355" s="34">
        <v>44315</v>
      </c>
      <c r="C355" s="34"/>
      <c r="D355" s="124" t="s">
        <v>57</v>
      </c>
      <c r="E355" s="124">
        <v>1000</v>
      </c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>
        <f>E355</f>
        <v>1000</v>
      </c>
      <c r="W355" s="124"/>
      <c r="X355" s="124"/>
    </row>
    <row r="356" spans="1:24" s="106" customFormat="1" ht="13.8">
      <c r="A356" s="125">
        <v>5</v>
      </c>
      <c r="B356" s="34">
        <v>44315</v>
      </c>
      <c r="C356" s="34"/>
      <c r="D356" s="124" t="s">
        <v>42</v>
      </c>
      <c r="E356" s="124">
        <v>135.72</v>
      </c>
      <c r="F356" s="124"/>
      <c r="G356" s="124"/>
      <c r="H356" s="124">
        <v>135.72</v>
      </c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</row>
    <row r="357" spans="1:24" s="106" customFormat="1" ht="13.8">
      <c r="A357" s="125"/>
      <c r="B357" s="34">
        <v>44315</v>
      </c>
      <c r="C357" s="34"/>
      <c r="D357" s="124" t="s">
        <v>39</v>
      </c>
      <c r="E357" s="124">
        <v>15</v>
      </c>
      <c r="F357" s="124"/>
      <c r="G357" s="124"/>
      <c r="H357" s="124">
        <v>15</v>
      </c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</row>
    <row r="358" spans="1:24" s="106" customFormat="1" ht="13.8">
      <c r="A358" s="125"/>
      <c r="B358" s="34">
        <v>44316</v>
      </c>
      <c r="C358" s="34"/>
      <c r="D358" s="124" t="s">
        <v>7</v>
      </c>
      <c r="E358" s="124">
        <v>500</v>
      </c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>
        <f>E358</f>
        <v>500</v>
      </c>
      <c r="T358" s="124"/>
      <c r="U358" s="124"/>
      <c r="V358" s="124"/>
      <c r="W358" s="124"/>
      <c r="X358" s="124"/>
    </row>
    <row r="359" spans="1:24" s="106" customFormat="1" ht="13.8">
      <c r="A359" s="125"/>
      <c r="B359" s="34">
        <v>44317</v>
      </c>
      <c r="C359" s="34"/>
      <c r="D359" s="124" t="s">
        <v>39</v>
      </c>
      <c r="E359" s="124">
        <v>15</v>
      </c>
      <c r="F359" s="124"/>
      <c r="G359" s="124"/>
      <c r="H359" s="124">
        <v>15</v>
      </c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</row>
    <row r="360" spans="1:24" s="106" customFormat="1" ht="13.8">
      <c r="A360" s="125"/>
      <c r="B360" s="34">
        <v>44317</v>
      </c>
      <c r="C360" s="34"/>
      <c r="D360" s="124" t="s">
        <v>42</v>
      </c>
      <c r="E360" s="124">
        <v>12</v>
      </c>
      <c r="F360" s="124"/>
      <c r="G360" s="124"/>
      <c r="H360" s="124">
        <v>12</v>
      </c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</row>
    <row r="361" spans="1:24" s="106" customFormat="1" ht="13.8">
      <c r="A361" s="125"/>
      <c r="B361" s="34">
        <v>44256</v>
      </c>
      <c r="C361" s="34"/>
      <c r="D361" s="124" t="s">
        <v>22</v>
      </c>
      <c r="E361" s="124">
        <v>138</v>
      </c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>
        <v>138</v>
      </c>
      <c r="R361" s="124"/>
      <c r="S361" s="124"/>
      <c r="T361" s="124"/>
      <c r="U361" s="124"/>
      <c r="V361" s="124"/>
      <c r="W361" s="124"/>
      <c r="X361" s="124"/>
    </row>
    <row r="362" spans="1:24" s="106" customFormat="1" ht="13.8">
      <c r="A362" s="125"/>
      <c r="B362" s="34">
        <v>44317</v>
      </c>
      <c r="C362" s="34"/>
      <c r="D362" s="124" t="s">
        <v>213</v>
      </c>
      <c r="E362" s="124">
        <v>300</v>
      </c>
      <c r="F362" s="124">
        <v>300</v>
      </c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</row>
    <row r="363" spans="1:24" s="106" customFormat="1" ht="13.8">
      <c r="A363" s="125"/>
      <c r="B363" s="34">
        <v>44318</v>
      </c>
      <c r="C363" s="34"/>
      <c r="D363" s="124" t="s">
        <v>42</v>
      </c>
      <c r="E363" s="124">
        <v>612.20000000000005</v>
      </c>
      <c r="F363" s="124"/>
      <c r="G363" s="124"/>
      <c r="H363" s="124">
        <v>23.7</v>
      </c>
      <c r="I363" s="124"/>
      <c r="J363" s="124"/>
      <c r="K363" s="124">
        <v>550</v>
      </c>
      <c r="L363" s="124">
        <v>120</v>
      </c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</row>
    <row r="364" spans="1:24" s="106" customFormat="1" ht="13.8">
      <c r="A364" s="125"/>
      <c r="B364" s="34">
        <v>44318</v>
      </c>
      <c r="C364" s="34"/>
      <c r="D364" s="124" t="s">
        <v>40</v>
      </c>
      <c r="E364" s="124">
        <v>58</v>
      </c>
      <c r="F364" s="124"/>
      <c r="G364" s="124"/>
      <c r="H364" s="124"/>
      <c r="I364" s="124"/>
      <c r="J364" s="124"/>
      <c r="K364" s="124"/>
      <c r="L364" s="124"/>
      <c r="M364" s="124">
        <v>58</v>
      </c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</row>
    <row r="365" spans="1:24" s="106" customFormat="1" ht="13.8">
      <c r="A365" s="125"/>
      <c r="B365" s="34">
        <v>44318</v>
      </c>
      <c r="C365" s="34"/>
      <c r="D365" s="124" t="s">
        <v>38</v>
      </c>
      <c r="E365" s="124">
        <v>130</v>
      </c>
      <c r="F365" s="124"/>
      <c r="G365" s="124"/>
      <c r="H365" s="124">
        <v>130</v>
      </c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</row>
    <row r="366" spans="1:24" s="106" customFormat="1" ht="13.8">
      <c r="A366" s="125"/>
      <c r="B366" s="34">
        <v>44319</v>
      </c>
      <c r="C366" s="34"/>
      <c r="D366" s="124" t="s">
        <v>30</v>
      </c>
      <c r="E366" s="124">
        <v>7474</v>
      </c>
      <c r="F366" s="124"/>
      <c r="G366" s="124"/>
      <c r="H366" s="124"/>
      <c r="I366" s="124"/>
      <c r="J366" s="124"/>
      <c r="K366" s="124"/>
      <c r="L366" s="124"/>
      <c r="M366" s="124"/>
      <c r="N366" s="124">
        <f>E366</f>
        <v>7474</v>
      </c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</row>
    <row r="367" spans="1:24" s="106" customFormat="1" ht="13.8">
      <c r="A367" s="125"/>
      <c r="B367" s="34">
        <v>44319</v>
      </c>
      <c r="C367" s="34"/>
      <c r="D367" s="124" t="s">
        <v>31</v>
      </c>
      <c r="E367" s="124">
        <v>-1277</v>
      </c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</row>
    <row r="368" spans="1:24" s="106" customFormat="1" ht="13.8">
      <c r="A368" s="125"/>
      <c r="B368" s="34">
        <v>44319</v>
      </c>
      <c r="C368" s="34"/>
      <c r="D368" s="124" t="s">
        <v>125</v>
      </c>
      <c r="E368" s="124">
        <v>119</v>
      </c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>
        <v>119</v>
      </c>
      <c r="S368" s="124"/>
      <c r="T368" s="124"/>
      <c r="U368" s="124"/>
      <c r="V368" s="124"/>
      <c r="W368" s="124"/>
      <c r="X368" s="124"/>
    </row>
    <row r="369" spans="1:24" s="106" customFormat="1" ht="13.8">
      <c r="A369" s="125"/>
      <c r="B369" s="34">
        <v>44319</v>
      </c>
      <c r="C369" s="34"/>
      <c r="D369" s="124" t="s">
        <v>182</v>
      </c>
      <c r="E369" s="124">
        <v>284</v>
      </c>
      <c r="F369" s="124">
        <v>284</v>
      </c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</row>
    <row r="370" spans="1:24" s="106" customFormat="1" ht="13.8">
      <c r="A370" s="125"/>
      <c r="B370" s="34">
        <v>44319</v>
      </c>
      <c r="C370" s="34"/>
      <c r="D370" s="124" t="s">
        <v>25</v>
      </c>
      <c r="E370" s="124">
        <v>2032.54</v>
      </c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>
        <v>2032.54</v>
      </c>
      <c r="Q370" s="124"/>
      <c r="R370" s="124"/>
      <c r="S370" s="124"/>
      <c r="T370" s="124"/>
      <c r="U370" s="124"/>
      <c r="V370" s="124"/>
      <c r="W370" s="124"/>
      <c r="X370" s="124"/>
    </row>
    <row r="371" spans="1:24" s="106" customFormat="1" ht="13.8">
      <c r="A371" s="125"/>
      <c r="B371" s="34">
        <v>44319</v>
      </c>
      <c r="C371" s="34"/>
      <c r="D371" s="124" t="s">
        <v>206</v>
      </c>
      <c r="E371" s="124">
        <v>120</v>
      </c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>
        <v>120</v>
      </c>
      <c r="S371" s="124"/>
      <c r="T371" s="124"/>
      <c r="U371" s="124"/>
      <c r="V371" s="124"/>
      <c r="W371" s="124"/>
      <c r="X371" s="124"/>
    </row>
    <row r="372" spans="1:24" s="106" customFormat="1" ht="13.8">
      <c r="A372" s="125"/>
      <c r="B372" s="34">
        <v>44319</v>
      </c>
      <c r="C372" s="34"/>
      <c r="D372" s="124" t="s">
        <v>183</v>
      </c>
      <c r="E372" s="124">
        <v>548.75</v>
      </c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>
        <v>548.75</v>
      </c>
      <c r="R372" s="124"/>
      <c r="S372" s="124"/>
      <c r="T372" s="124"/>
      <c r="U372" s="124"/>
      <c r="V372" s="124"/>
      <c r="W372" s="124"/>
      <c r="X372" s="124"/>
    </row>
    <row r="373" spans="1:24" s="106" customFormat="1" ht="13.8">
      <c r="A373" s="125"/>
      <c r="B373" s="34">
        <v>44319</v>
      </c>
      <c r="C373" s="34"/>
      <c r="D373" s="124" t="s">
        <v>21</v>
      </c>
      <c r="E373" s="124">
        <v>177</v>
      </c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>
        <v>177</v>
      </c>
      <c r="R373" s="124"/>
      <c r="S373" s="124"/>
      <c r="T373" s="124"/>
      <c r="U373" s="124"/>
      <c r="V373" s="124"/>
      <c r="W373" s="124"/>
      <c r="X373" s="124"/>
    </row>
    <row r="374" spans="1:24" s="106" customFormat="1" ht="13.8">
      <c r="A374" s="125"/>
      <c r="B374" s="34">
        <v>44319</v>
      </c>
      <c r="C374" s="34"/>
      <c r="D374" s="124" t="s">
        <v>42</v>
      </c>
      <c r="E374" s="124">
        <v>133.9</v>
      </c>
      <c r="F374" s="124"/>
      <c r="G374" s="124"/>
      <c r="H374" s="124">
        <v>49.9</v>
      </c>
      <c r="I374" s="124"/>
      <c r="J374" s="124"/>
      <c r="K374" s="124"/>
      <c r="L374" s="124">
        <v>84</v>
      </c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</row>
    <row r="375" spans="1:24" s="106" customFormat="1" ht="13.8">
      <c r="A375" s="125"/>
      <c r="B375" s="34">
        <v>44319</v>
      </c>
      <c r="C375" s="34"/>
      <c r="D375" s="124" t="s">
        <v>39</v>
      </c>
      <c r="E375" s="124">
        <v>15</v>
      </c>
      <c r="F375" s="124"/>
      <c r="G375" s="124"/>
      <c r="H375" s="124">
        <v>15</v>
      </c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</row>
    <row r="376" spans="1:24" s="106" customFormat="1" ht="13.8">
      <c r="A376" s="125"/>
      <c r="B376" s="34">
        <v>44320</v>
      </c>
      <c r="C376" s="34"/>
      <c r="D376" s="124" t="s">
        <v>42</v>
      </c>
      <c r="E376" s="124">
        <v>164</v>
      </c>
      <c r="F376" s="124"/>
      <c r="G376" s="124"/>
      <c r="H376" s="124">
        <v>20</v>
      </c>
      <c r="I376" s="124"/>
      <c r="J376" s="124"/>
      <c r="K376" s="124"/>
      <c r="L376" s="124">
        <v>144</v>
      </c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</row>
    <row r="377" spans="1:24" s="106" customFormat="1" ht="13.8">
      <c r="A377" s="125"/>
      <c r="B377" s="34">
        <v>44321</v>
      </c>
      <c r="C377" s="34"/>
      <c r="D377" s="124" t="s">
        <v>20</v>
      </c>
      <c r="E377" s="124">
        <v>179.33</v>
      </c>
      <c r="F377" s="124">
        <v>179.33</v>
      </c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</row>
    <row r="378" spans="1:24" s="106" customFormat="1" ht="13.8">
      <c r="A378" s="125"/>
      <c r="B378" s="34">
        <v>44321</v>
      </c>
      <c r="C378" s="34"/>
      <c r="D378" s="124" t="s">
        <v>18</v>
      </c>
      <c r="E378" s="124">
        <v>217.45</v>
      </c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>
        <v>217.45</v>
      </c>
      <c r="Q378" s="124"/>
      <c r="R378" s="124"/>
      <c r="S378" s="124"/>
      <c r="T378" s="124"/>
      <c r="U378" s="124"/>
      <c r="V378" s="124"/>
      <c r="W378" s="124"/>
      <c r="X378" s="124"/>
    </row>
    <row r="379" spans="1:24" s="106" customFormat="1" ht="13.8">
      <c r="A379" s="125"/>
      <c r="B379" s="34">
        <v>44321</v>
      </c>
      <c r="C379" s="34"/>
      <c r="D379" s="124" t="s">
        <v>180</v>
      </c>
      <c r="E379" s="124">
        <v>179.33</v>
      </c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>
        <v>179.33</v>
      </c>
      <c r="V379" s="124"/>
      <c r="W379" s="124"/>
      <c r="X379" s="124"/>
    </row>
    <row r="380" spans="1:24" s="106" customFormat="1" ht="13.8">
      <c r="A380" s="125"/>
      <c r="B380" s="34">
        <v>44321</v>
      </c>
      <c r="C380" s="34"/>
      <c r="D380" s="124" t="s">
        <v>234</v>
      </c>
      <c r="E380" s="124">
        <v>32</v>
      </c>
      <c r="F380" s="124"/>
      <c r="G380" s="124">
        <v>32</v>
      </c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</row>
    <row r="381" spans="1:24" s="106" customFormat="1" ht="13.8">
      <c r="A381" s="125"/>
      <c r="B381" s="34">
        <v>44321</v>
      </c>
      <c r="C381" s="34"/>
      <c r="D381" s="124" t="s">
        <v>217</v>
      </c>
      <c r="E381" s="124">
        <v>23</v>
      </c>
      <c r="F381" s="124"/>
      <c r="G381" s="124">
        <v>23</v>
      </c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</row>
    <row r="382" spans="1:24" s="106" customFormat="1" ht="13.8">
      <c r="A382" s="125"/>
      <c r="B382" s="34">
        <v>44321</v>
      </c>
      <c r="C382" s="34"/>
      <c r="D382" s="124" t="s">
        <v>38</v>
      </c>
      <c r="E382" s="124">
        <v>130</v>
      </c>
      <c r="F382" s="124"/>
      <c r="G382" s="124"/>
      <c r="H382" s="124">
        <v>130</v>
      </c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</row>
    <row r="383" spans="1:24" s="106" customFormat="1" ht="13.8">
      <c r="A383" s="125"/>
      <c r="B383" s="34">
        <v>44323</v>
      </c>
      <c r="C383" s="34"/>
      <c r="D383" s="124" t="s">
        <v>39</v>
      </c>
      <c r="E383" s="124">
        <v>15</v>
      </c>
      <c r="F383" s="124"/>
      <c r="G383" s="124"/>
      <c r="H383" s="124">
        <v>15</v>
      </c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</row>
    <row r="384" spans="1:24" s="106" customFormat="1" ht="13.8">
      <c r="A384" s="125"/>
      <c r="B384" s="34">
        <v>44323</v>
      </c>
      <c r="C384" s="34"/>
      <c r="D384" s="124" t="s">
        <v>42</v>
      </c>
      <c r="E384" s="124">
        <v>104</v>
      </c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</row>
    <row r="385" spans="1:24" s="106" customFormat="1" ht="13.8">
      <c r="A385" s="125"/>
      <c r="B385" s="34">
        <v>44324</v>
      </c>
      <c r="C385" s="34"/>
      <c r="D385" s="124" t="s">
        <v>42</v>
      </c>
      <c r="E385" s="124">
        <v>105.7</v>
      </c>
      <c r="F385" s="124"/>
      <c r="G385" s="124"/>
      <c r="H385" s="124">
        <v>105.7</v>
      </c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</row>
    <row r="386" spans="1:24" s="106" customFormat="1" ht="13.8">
      <c r="A386" s="125"/>
      <c r="B386" s="34">
        <v>44325</v>
      </c>
      <c r="C386" s="34"/>
      <c r="D386" s="124" t="s">
        <v>233</v>
      </c>
      <c r="E386" s="124">
        <v>155</v>
      </c>
      <c r="F386" s="124"/>
      <c r="G386" s="124">
        <v>155</v>
      </c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</row>
    <row r="387" spans="1:24" s="106" customFormat="1" ht="13.8">
      <c r="A387" s="125"/>
      <c r="B387" s="34">
        <v>44326</v>
      </c>
      <c r="C387" s="34"/>
      <c r="D387" s="124" t="s">
        <v>39</v>
      </c>
      <c r="E387" s="124">
        <v>84</v>
      </c>
      <c r="F387" s="124"/>
      <c r="G387" s="124"/>
      <c r="H387" s="124">
        <v>84</v>
      </c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</row>
    <row r="388" spans="1:24" s="106" customFormat="1" ht="13.8">
      <c r="A388" s="125"/>
      <c r="B388" s="34">
        <v>44326</v>
      </c>
      <c r="C388" s="34"/>
      <c r="D388" s="124" t="s">
        <v>42</v>
      </c>
      <c r="E388" s="124">
        <v>113.7</v>
      </c>
      <c r="F388" s="124"/>
      <c r="G388" s="124"/>
      <c r="H388" s="124">
        <v>113.7</v>
      </c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</row>
    <row r="389" spans="1:24" s="106" customFormat="1" ht="13.8">
      <c r="A389" s="125"/>
      <c r="B389" s="34">
        <v>44326</v>
      </c>
      <c r="C389" s="34"/>
      <c r="D389" s="124" t="s">
        <v>40</v>
      </c>
      <c r="E389" s="124">
        <v>69.8</v>
      </c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</row>
    <row r="390" spans="1:24" s="106" customFormat="1" ht="13.8">
      <c r="A390" s="125"/>
      <c r="B390" s="34">
        <v>44326</v>
      </c>
      <c r="C390" s="34"/>
      <c r="D390" s="124" t="s">
        <v>38</v>
      </c>
      <c r="E390" s="124">
        <v>25</v>
      </c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</row>
    <row r="391" spans="1:24" s="106" customFormat="1" ht="13.8">
      <c r="A391" s="125"/>
      <c r="B391" s="34">
        <v>44328</v>
      </c>
      <c r="C391" s="34"/>
      <c r="D391" s="124" t="s">
        <v>197</v>
      </c>
      <c r="E391" s="124">
        <v>568.88</v>
      </c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>
        <v>568.88</v>
      </c>
      <c r="R391" s="124"/>
      <c r="S391" s="124"/>
      <c r="T391" s="124"/>
      <c r="U391" s="124"/>
      <c r="V391" s="124"/>
      <c r="W391" s="124"/>
      <c r="X391" s="124"/>
    </row>
    <row r="392" spans="1:24" s="106" customFormat="1" ht="13.8">
      <c r="A392" s="125"/>
      <c r="B392" s="34">
        <v>44328</v>
      </c>
      <c r="C392" s="34"/>
      <c r="D392" s="124" t="s">
        <v>39</v>
      </c>
      <c r="E392" s="124">
        <v>22.5</v>
      </c>
      <c r="F392" s="124"/>
      <c r="G392" s="124"/>
      <c r="H392" s="124">
        <v>22.5</v>
      </c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</row>
    <row r="393" spans="1:24" s="106" customFormat="1" ht="13.8">
      <c r="A393" s="125"/>
      <c r="B393" s="34">
        <v>44328</v>
      </c>
      <c r="C393" s="34"/>
      <c r="D393" s="124" t="s">
        <v>232</v>
      </c>
      <c r="E393" s="124">
        <v>12</v>
      </c>
      <c r="F393" s="124"/>
      <c r="G393" s="124"/>
      <c r="H393" s="124">
        <v>12</v>
      </c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</row>
    <row r="394" spans="1:24" s="106" customFormat="1" ht="13.8">
      <c r="A394" s="125"/>
      <c r="B394" s="34">
        <v>44328</v>
      </c>
      <c r="C394" s="34"/>
      <c r="D394" s="124" t="s">
        <v>162</v>
      </c>
      <c r="E394" s="124">
        <v>118</v>
      </c>
      <c r="F394" s="124"/>
      <c r="G394" s="124">
        <v>118</v>
      </c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</row>
    <row r="395" spans="1:24" s="106" customFormat="1" ht="13.8">
      <c r="A395" s="125"/>
      <c r="B395" s="34">
        <v>44329</v>
      </c>
      <c r="C395" s="34"/>
      <c r="D395" s="124" t="s">
        <v>11</v>
      </c>
      <c r="E395" s="124">
        <v>500</v>
      </c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>
        <v>500</v>
      </c>
      <c r="T395" s="124"/>
      <c r="U395" s="124"/>
      <c r="V395" s="124"/>
      <c r="W395" s="124"/>
      <c r="X395" s="124"/>
    </row>
    <row r="396" spans="1:24" s="106" customFormat="1" ht="13.8">
      <c r="A396" s="125"/>
      <c r="B396" s="34">
        <v>44329</v>
      </c>
      <c r="C396" s="34"/>
      <c r="D396" s="124" t="s">
        <v>162</v>
      </c>
      <c r="E396" s="124">
        <v>34.950000000000003</v>
      </c>
      <c r="F396" s="124"/>
      <c r="G396" s="124">
        <v>34.950000000000003</v>
      </c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</row>
    <row r="397" spans="1:24" s="106" customFormat="1" ht="13.8">
      <c r="A397" s="125"/>
      <c r="B397" s="34">
        <v>44330</v>
      </c>
      <c r="C397" s="34"/>
      <c r="D397" s="124" t="s">
        <v>39</v>
      </c>
      <c r="E397" s="124">
        <v>34</v>
      </c>
      <c r="F397" s="124"/>
      <c r="G397" s="124"/>
      <c r="H397" s="124">
        <v>34</v>
      </c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</row>
    <row r="398" spans="1:24" s="106" customFormat="1" ht="13.8">
      <c r="A398" s="125"/>
      <c r="B398" s="34">
        <v>44330</v>
      </c>
      <c r="C398" s="34"/>
      <c r="D398" s="124" t="s">
        <v>42</v>
      </c>
      <c r="E398" s="124">
        <v>86.65</v>
      </c>
      <c r="F398" s="124"/>
      <c r="G398" s="124"/>
      <c r="H398" s="124">
        <v>86.65</v>
      </c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</row>
    <row r="399" spans="1:24" s="106" customFormat="1" ht="13.8">
      <c r="A399" s="125"/>
      <c r="B399" s="34">
        <v>44332</v>
      </c>
      <c r="C399" s="34"/>
      <c r="D399" s="124" t="s">
        <v>186</v>
      </c>
      <c r="E399" s="124">
        <v>100</v>
      </c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>
        <v>100</v>
      </c>
      <c r="S399" s="124"/>
      <c r="T399" s="124"/>
      <c r="U399" s="124"/>
      <c r="V399" s="124"/>
      <c r="W399" s="124"/>
      <c r="X399" s="124"/>
    </row>
    <row r="400" spans="1:24" s="106" customFormat="1" ht="13.8">
      <c r="A400" s="125"/>
      <c r="B400" s="34">
        <v>44332</v>
      </c>
      <c r="C400" s="34"/>
      <c r="D400" s="124" t="s">
        <v>39</v>
      </c>
      <c r="E400" s="124">
        <v>35.25</v>
      </c>
      <c r="F400" s="124"/>
      <c r="G400" s="124"/>
      <c r="H400" s="124">
        <v>35.25</v>
      </c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</row>
    <row r="401" spans="1:24" s="106" customFormat="1" ht="13.8">
      <c r="A401" s="125"/>
      <c r="B401" s="34">
        <v>44332</v>
      </c>
      <c r="C401" s="34"/>
      <c r="D401" s="124" t="s">
        <v>42</v>
      </c>
      <c r="E401" s="124">
        <v>48</v>
      </c>
      <c r="F401" s="124"/>
      <c r="G401" s="124"/>
      <c r="H401" s="124">
        <v>48</v>
      </c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</row>
    <row r="402" spans="1:24" s="106" customFormat="1" ht="13.8">
      <c r="A402" s="125"/>
      <c r="B402" s="34">
        <v>44333</v>
      </c>
      <c r="C402" s="34"/>
      <c r="D402" s="124" t="s">
        <v>58</v>
      </c>
      <c r="E402" s="124">
        <v>200</v>
      </c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>
        <v>200</v>
      </c>
      <c r="V402" s="124"/>
      <c r="W402" s="124"/>
      <c r="X402" s="124"/>
    </row>
    <row r="403" spans="1:24" s="106" customFormat="1" ht="13.8">
      <c r="A403" s="125"/>
      <c r="B403" s="34">
        <v>44333</v>
      </c>
      <c r="C403" s="34"/>
      <c r="D403" s="124" t="s">
        <v>197</v>
      </c>
      <c r="E403" s="124">
        <v>-342.03</v>
      </c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>
        <v>-342.03</v>
      </c>
      <c r="R403" s="124"/>
      <c r="S403" s="124"/>
      <c r="T403" s="124"/>
      <c r="U403" s="124"/>
      <c r="V403" s="124"/>
      <c r="W403" s="124"/>
      <c r="X403" s="124"/>
    </row>
    <row r="404" spans="1:24" s="106" customFormat="1" ht="13.8">
      <c r="A404" s="125"/>
      <c r="B404" s="34">
        <v>44333</v>
      </c>
      <c r="C404" s="34"/>
      <c r="D404" s="124" t="s">
        <v>217</v>
      </c>
      <c r="E404" s="124">
        <v>23</v>
      </c>
      <c r="F404" s="124"/>
      <c r="G404" s="124">
        <v>23</v>
      </c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</row>
    <row r="405" spans="1:24" s="106" customFormat="1" ht="13.8">
      <c r="A405" s="125"/>
      <c r="B405" s="34">
        <v>44334</v>
      </c>
      <c r="C405" s="34"/>
      <c r="D405" s="124" t="s">
        <v>42</v>
      </c>
      <c r="E405" s="124">
        <v>92.95</v>
      </c>
      <c r="F405" s="124"/>
      <c r="G405" s="124">
        <v>29</v>
      </c>
      <c r="H405" s="124">
        <v>63.95</v>
      </c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</row>
    <row r="406" spans="1:24" s="106" customFormat="1" ht="13.8">
      <c r="A406" s="125"/>
      <c r="B406" s="34">
        <v>44335</v>
      </c>
      <c r="C406" s="34"/>
      <c r="D406" s="124" t="s">
        <v>39</v>
      </c>
      <c r="E406" s="124">
        <v>15</v>
      </c>
      <c r="F406" s="124"/>
      <c r="G406" s="124"/>
      <c r="H406" s="124">
        <v>15</v>
      </c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</row>
    <row r="407" spans="1:24" s="106" customFormat="1" ht="13.8">
      <c r="A407" s="125"/>
      <c r="B407" s="34">
        <v>44335</v>
      </c>
      <c r="C407" s="34"/>
      <c r="D407" s="124" t="s">
        <v>40</v>
      </c>
      <c r="E407" s="124">
        <v>77.900000000000006</v>
      </c>
      <c r="F407" s="124"/>
      <c r="G407" s="124"/>
      <c r="H407" s="124">
        <v>77.900000000000006</v>
      </c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</row>
    <row r="408" spans="1:24" s="106" customFormat="1" ht="13.8">
      <c r="A408" s="125"/>
      <c r="B408" s="34">
        <v>44336</v>
      </c>
      <c r="C408" s="34"/>
      <c r="D408" s="124" t="s">
        <v>40</v>
      </c>
      <c r="E408" s="124">
        <v>184.94</v>
      </c>
      <c r="F408" s="124"/>
      <c r="G408" s="124"/>
      <c r="H408" s="124">
        <v>184.94</v>
      </c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</row>
    <row r="409" spans="1:24" s="106" customFormat="1" ht="13.8">
      <c r="A409" s="125"/>
      <c r="B409" s="34">
        <v>44336</v>
      </c>
      <c r="C409" s="34"/>
      <c r="D409" s="124" t="s">
        <v>42</v>
      </c>
      <c r="E409" s="124">
        <v>32.6</v>
      </c>
      <c r="F409" s="124"/>
      <c r="G409" s="124"/>
      <c r="H409" s="124">
        <v>32.6</v>
      </c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</row>
    <row r="410" spans="1:24" s="106" customFormat="1" ht="13.8">
      <c r="A410" s="125"/>
      <c r="B410" s="34">
        <v>44337</v>
      </c>
      <c r="C410" s="34"/>
      <c r="D410" s="124" t="s">
        <v>39</v>
      </c>
      <c r="E410" s="124">
        <v>15</v>
      </c>
      <c r="F410" s="124"/>
      <c r="G410" s="124"/>
      <c r="H410" s="124">
        <v>15</v>
      </c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</row>
    <row r="411" spans="1:24" s="106" customFormat="1" ht="13.8">
      <c r="A411" s="125"/>
      <c r="B411" s="34">
        <v>44337</v>
      </c>
      <c r="C411" s="34"/>
      <c r="D411" s="124" t="s">
        <v>40</v>
      </c>
      <c r="E411" s="124">
        <v>60</v>
      </c>
      <c r="F411" s="124"/>
      <c r="G411" s="124"/>
      <c r="H411" s="124">
        <v>60</v>
      </c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</row>
    <row r="412" spans="1:24" s="106" customFormat="1" ht="13.8">
      <c r="A412" s="125"/>
      <c r="B412" s="34">
        <v>44337</v>
      </c>
      <c r="C412" s="34"/>
      <c r="D412" s="124" t="s">
        <v>123</v>
      </c>
      <c r="E412" s="124">
        <v>100</v>
      </c>
      <c r="F412" s="124"/>
      <c r="G412" s="124"/>
      <c r="H412" s="124">
        <v>100</v>
      </c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</row>
    <row r="413" spans="1:24" s="106" customFormat="1" ht="13.8">
      <c r="A413" s="125"/>
      <c r="B413" s="34">
        <v>44338</v>
      </c>
      <c r="C413" s="34"/>
      <c r="D413" s="124" t="s">
        <v>39</v>
      </c>
      <c r="E413" s="124">
        <v>15</v>
      </c>
      <c r="F413" s="124"/>
      <c r="G413" s="124"/>
      <c r="H413" s="124">
        <v>15</v>
      </c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</row>
    <row r="414" spans="1:24" s="106" customFormat="1" ht="13.8">
      <c r="A414" s="125"/>
      <c r="B414" s="34">
        <v>44338</v>
      </c>
      <c r="C414" s="34"/>
      <c r="D414" s="124" t="s">
        <v>42</v>
      </c>
      <c r="E414" s="124">
        <v>78.95</v>
      </c>
      <c r="F414" s="124"/>
      <c r="G414" s="124"/>
      <c r="H414" s="124">
        <v>78.95</v>
      </c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</row>
    <row r="415" spans="1:24" s="106" customFormat="1" ht="13.8">
      <c r="A415" s="125"/>
      <c r="B415" s="34">
        <v>44341</v>
      </c>
      <c r="C415" s="34"/>
      <c r="D415" s="124" t="s">
        <v>162</v>
      </c>
      <c r="E415" s="124">
        <v>149</v>
      </c>
      <c r="F415" s="124"/>
      <c r="G415" s="124">
        <v>149</v>
      </c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</row>
    <row r="416" spans="1:24" s="106" customFormat="1" ht="13.8">
      <c r="A416" s="125"/>
      <c r="B416" s="34">
        <v>44341</v>
      </c>
      <c r="C416" s="34"/>
      <c r="D416" s="124" t="s">
        <v>39</v>
      </c>
      <c r="E416" s="124">
        <v>15</v>
      </c>
      <c r="F416" s="124"/>
      <c r="G416" s="124"/>
      <c r="H416" s="124">
        <v>15</v>
      </c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</row>
    <row r="417" spans="1:42" s="106" customFormat="1" ht="13.8">
      <c r="A417" s="125"/>
      <c r="B417" s="34">
        <v>44341</v>
      </c>
      <c r="C417" s="34"/>
      <c r="D417" s="124" t="s">
        <v>42</v>
      </c>
      <c r="E417" s="124">
        <v>176.65</v>
      </c>
      <c r="F417" s="124"/>
      <c r="G417" s="124"/>
      <c r="H417" s="124">
        <v>116.65</v>
      </c>
      <c r="I417" s="124">
        <v>30</v>
      </c>
      <c r="J417" s="124">
        <v>30</v>
      </c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</row>
    <row r="418" spans="1:42" s="106" customFormat="1" ht="13.8">
      <c r="A418" s="125"/>
      <c r="B418" s="34">
        <v>44342</v>
      </c>
      <c r="C418" s="34"/>
      <c r="D418" s="124" t="s">
        <v>58</v>
      </c>
      <c r="E418" s="124">
        <v>824.46</v>
      </c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>
        <v>824.46</v>
      </c>
      <c r="V418" s="124"/>
      <c r="W418" s="124"/>
      <c r="X418" s="124"/>
    </row>
    <row r="419" spans="1:42" s="106" customFormat="1" ht="13.8">
      <c r="A419" s="125"/>
      <c r="B419" s="34">
        <v>44343</v>
      </c>
      <c r="C419" s="34"/>
      <c r="D419" s="124" t="s">
        <v>39</v>
      </c>
      <c r="E419" s="124">
        <v>47.2</v>
      </c>
      <c r="F419" s="124"/>
      <c r="G419" s="124"/>
      <c r="H419" s="124">
        <v>23.5</v>
      </c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</row>
    <row r="420" spans="1:42" s="106" customFormat="1" ht="13.8">
      <c r="A420" s="125"/>
      <c r="B420" s="34">
        <v>44343</v>
      </c>
      <c r="C420" s="34"/>
      <c r="D420" s="124" t="s">
        <v>41</v>
      </c>
      <c r="E420" s="124">
        <v>29</v>
      </c>
      <c r="F420" s="124"/>
      <c r="G420" s="124">
        <v>29</v>
      </c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</row>
    <row r="421" spans="1:42" s="106" customFormat="1" ht="13.8">
      <c r="A421" s="125"/>
      <c r="B421" s="34">
        <v>44343</v>
      </c>
      <c r="C421" s="34"/>
      <c r="D421" s="124" t="s">
        <v>231</v>
      </c>
      <c r="E421" s="124">
        <v>200</v>
      </c>
      <c r="F421" s="124"/>
      <c r="G421" s="124">
        <v>200</v>
      </c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</row>
    <row r="422" spans="1:42" s="106" customFormat="1" ht="13.8">
      <c r="A422" s="125"/>
      <c r="B422" s="34">
        <v>44343</v>
      </c>
      <c r="C422" s="34"/>
      <c r="D422" s="124" t="s">
        <v>58</v>
      </c>
      <c r="E422" s="124">
        <v>200</v>
      </c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>
        <v>200</v>
      </c>
      <c r="V422" s="124"/>
      <c r="W422" s="124"/>
      <c r="X422" s="124"/>
    </row>
    <row r="423" spans="1:42" s="106" customFormat="1" ht="13.8">
      <c r="A423" s="125"/>
      <c r="B423" s="34">
        <v>44344</v>
      </c>
      <c r="C423" s="34"/>
      <c r="D423" s="124" t="s">
        <v>230</v>
      </c>
      <c r="E423" s="124">
        <v>79.5</v>
      </c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>
        <v>-49.5</v>
      </c>
      <c r="R423" s="124"/>
      <c r="S423" s="124"/>
      <c r="T423" s="124"/>
      <c r="U423" s="124"/>
      <c r="V423" s="124"/>
      <c r="W423" s="124"/>
      <c r="X423" s="124"/>
    </row>
    <row r="424" spans="1:42" s="106" customFormat="1" ht="13.8">
      <c r="A424" s="125"/>
      <c r="B424" s="34">
        <v>44344</v>
      </c>
      <c r="C424" s="34"/>
      <c r="D424" s="124" t="s">
        <v>42</v>
      </c>
      <c r="E424" s="124">
        <v>629.5</v>
      </c>
      <c r="F424" s="124"/>
      <c r="G424" s="124"/>
      <c r="H424" s="124"/>
      <c r="I424" s="124"/>
      <c r="J424" s="124"/>
      <c r="K424" s="124">
        <v>550</v>
      </c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</row>
    <row r="425" spans="1:42" s="106" customFormat="1" ht="13.8">
      <c r="A425" s="125"/>
      <c r="B425" s="34">
        <v>44345</v>
      </c>
      <c r="C425" s="34"/>
      <c r="D425" s="124" t="s">
        <v>58</v>
      </c>
      <c r="E425" s="124">
        <v>200</v>
      </c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>
        <v>200</v>
      </c>
      <c r="V425" s="124"/>
      <c r="W425" s="124"/>
      <c r="X425" s="124"/>
    </row>
    <row r="426" spans="1:42" s="106" customFormat="1" ht="13.8">
      <c r="A426" s="125"/>
      <c r="B426" s="34">
        <v>44345</v>
      </c>
      <c r="C426" s="34"/>
      <c r="D426" s="124" t="s">
        <v>41</v>
      </c>
      <c r="E426" s="124">
        <v>25</v>
      </c>
      <c r="F426" s="124"/>
      <c r="G426" s="124">
        <v>25</v>
      </c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</row>
    <row r="427" spans="1:42" s="106" customFormat="1" ht="13.8">
      <c r="A427" s="125"/>
      <c r="B427" s="34">
        <v>44345</v>
      </c>
      <c r="C427" s="34"/>
      <c r="D427" s="124" t="s">
        <v>208</v>
      </c>
      <c r="E427" s="124">
        <v>69</v>
      </c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>
        <v>69</v>
      </c>
      <c r="Q427" s="124"/>
      <c r="R427" s="124"/>
      <c r="S427" s="124"/>
      <c r="T427" s="124"/>
      <c r="U427" s="124"/>
      <c r="V427" s="124"/>
      <c r="W427" s="124"/>
      <c r="X427" s="124"/>
    </row>
    <row r="428" spans="1:42" s="106" customFormat="1" ht="13.8">
      <c r="A428" s="125"/>
      <c r="B428" s="34">
        <v>44346</v>
      </c>
      <c r="C428" s="34"/>
      <c r="D428" s="124" t="s">
        <v>216</v>
      </c>
      <c r="E428" s="124">
        <v>149</v>
      </c>
      <c r="F428" s="124"/>
      <c r="G428" s="124">
        <v>129</v>
      </c>
      <c r="H428" s="124"/>
      <c r="I428" s="124"/>
      <c r="J428" s="124"/>
      <c r="K428" s="124"/>
      <c r="L428" s="124"/>
      <c r="M428" s="124">
        <v>20</v>
      </c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</row>
    <row r="429" spans="1:42" s="106" customFormat="1" ht="13.8">
      <c r="A429" s="125"/>
      <c r="B429" s="34">
        <v>44346</v>
      </c>
      <c r="C429" s="34"/>
      <c r="D429" s="124" t="s">
        <v>39</v>
      </c>
      <c r="E429" s="124">
        <v>30.75</v>
      </c>
      <c r="F429" s="124"/>
      <c r="G429" s="124">
        <v>30.75</v>
      </c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</row>
    <row r="430" spans="1:42" s="106" customFormat="1" ht="13.8">
      <c r="A430" s="125"/>
      <c r="B430" s="34">
        <v>44346</v>
      </c>
      <c r="C430" s="34"/>
      <c r="D430" s="124" t="s">
        <v>42</v>
      </c>
      <c r="E430" s="124">
        <v>135.85</v>
      </c>
      <c r="F430" s="124"/>
      <c r="G430" s="124">
        <v>36</v>
      </c>
      <c r="H430" s="124">
        <v>99.85</v>
      </c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</row>
    <row r="431" spans="1:42" s="106" customFormat="1" ht="13.8">
      <c r="A431" s="125"/>
      <c r="B431" s="2930" t="str">
        <f>H35</f>
        <v>Maj</v>
      </c>
      <c r="C431" s="2931"/>
      <c r="D431" s="2934" t="s">
        <v>36</v>
      </c>
      <c r="E431" s="2934">
        <f t="shared" ref="E431:W431" si="25">SUM(E432:E432)</f>
        <v>0</v>
      </c>
      <c r="F431" s="2934">
        <f t="shared" si="25"/>
        <v>0</v>
      </c>
      <c r="G431" s="2934">
        <f t="shared" si="25"/>
        <v>0</v>
      </c>
      <c r="H431" s="2934">
        <f t="shared" si="25"/>
        <v>0</v>
      </c>
      <c r="I431" s="2934">
        <f t="shared" si="25"/>
        <v>0</v>
      </c>
      <c r="J431" s="2934">
        <f t="shared" si="25"/>
        <v>0</v>
      </c>
      <c r="K431" s="2934">
        <f t="shared" si="25"/>
        <v>0</v>
      </c>
      <c r="L431" s="2934">
        <f t="shared" si="25"/>
        <v>0</v>
      </c>
      <c r="M431" s="2934">
        <f t="shared" si="25"/>
        <v>0</v>
      </c>
      <c r="N431" s="2934">
        <f t="shared" si="25"/>
        <v>0</v>
      </c>
      <c r="O431" s="2934">
        <f t="shared" si="25"/>
        <v>0</v>
      </c>
      <c r="P431" s="2934">
        <f t="shared" si="25"/>
        <v>0</v>
      </c>
      <c r="Q431" s="2934">
        <f t="shared" si="25"/>
        <v>0</v>
      </c>
      <c r="R431" s="2934">
        <f t="shared" si="25"/>
        <v>0</v>
      </c>
      <c r="S431" s="2934">
        <f t="shared" si="25"/>
        <v>0</v>
      </c>
      <c r="T431" s="2934">
        <f t="shared" si="25"/>
        <v>0</v>
      </c>
      <c r="U431" s="2934">
        <f t="shared" si="25"/>
        <v>0</v>
      </c>
      <c r="V431" s="2934">
        <f t="shared" si="25"/>
        <v>0</v>
      </c>
      <c r="W431" s="2934">
        <f t="shared" si="25"/>
        <v>0</v>
      </c>
      <c r="X431" s="2934"/>
    </row>
    <row r="432" spans="1:42" s="120" customFormat="1" ht="12" customHeight="1">
      <c r="A432" s="60"/>
      <c r="B432" s="2999"/>
      <c r="C432" s="3000"/>
      <c r="D432" s="2935"/>
      <c r="E432" s="2935"/>
      <c r="F432" s="2935"/>
      <c r="G432" s="2935"/>
      <c r="H432" s="2935"/>
      <c r="I432" s="2935"/>
      <c r="J432" s="2935"/>
      <c r="K432" s="2935"/>
      <c r="L432" s="2935"/>
      <c r="M432" s="2935"/>
      <c r="N432" s="2935"/>
      <c r="O432" s="2935"/>
      <c r="P432" s="2935"/>
      <c r="Q432" s="2935"/>
      <c r="R432" s="2935"/>
      <c r="S432" s="2935"/>
      <c r="T432" s="2935"/>
      <c r="U432" s="2935"/>
      <c r="V432" s="2935"/>
      <c r="W432" s="2935"/>
      <c r="X432" s="293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</row>
    <row r="433" spans="1:42" s="120" customFormat="1" ht="12" customHeight="1">
      <c r="A433" s="60"/>
      <c r="B433" s="38" t="s">
        <v>44</v>
      </c>
      <c r="C433" s="37"/>
      <c r="D433" s="128"/>
      <c r="E433" s="36">
        <f>SUM(E434:E479)</f>
        <v>310.35999999999763</v>
      </c>
      <c r="F433" s="36">
        <f>SUM(F434:F479)</f>
        <v>2810.22</v>
      </c>
      <c r="G433" s="36">
        <f>SUM(G434:G479)</f>
        <v>1674.9</v>
      </c>
      <c r="H433" s="36">
        <f t="shared" ref="H433:W433" si="26">SUM(H434:H478)</f>
        <v>1975.15</v>
      </c>
      <c r="I433" s="36">
        <f t="shared" si="26"/>
        <v>601.67999999999995</v>
      </c>
      <c r="J433" s="36">
        <f t="shared" si="26"/>
        <v>33.75</v>
      </c>
      <c r="K433" s="36">
        <f t="shared" si="26"/>
        <v>165</v>
      </c>
      <c r="L433" s="36">
        <f t="shared" si="26"/>
        <v>0</v>
      </c>
      <c r="M433" s="36">
        <f t="shared" si="26"/>
        <v>592.91</v>
      </c>
      <c r="N433" s="36">
        <f t="shared" si="26"/>
        <v>7474</v>
      </c>
      <c r="O433" s="36">
        <f t="shared" si="26"/>
        <v>0</v>
      </c>
      <c r="P433" s="36">
        <f t="shared" si="26"/>
        <v>-64.820000000000022</v>
      </c>
      <c r="Q433" s="36">
        <f t="shared" si="26"/>
        <v>863.75</v>
      </c>
      <c r="R433" s="36">
        <f t="shared" si="26"/>
        <v>130</v>
      </c>
      <c r="S433" s="36">
        <f t="shared" si="26"/>
        <v>0</v>
      </c>
      <c r="T433" s="36">
        <f t="shared" si="26"/>
        <v>0</v>
      </c>
      <c r="U433" s="36">
        <f t="shared" si="26"/>
        <v>7066.75</v>
      </c>
      <c r="V433" s="36">
        <f t="shared" si="26"/>
        <v>1000</v>
      </c>
      <c r="W433" s="36">
        <f t="shared" si="26"/>
        <v>0</v>
      </c>
      <c r="X433" s="36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</row>
    <row r="434" spans="1:42" s="126" customFormat="1" ht="13.5" customHeight="1">
      <c r="A434" s="39"/>
      <c r="B434" s="34">
        <v>44347</v>
      </c>
      <c r="C434" s="34"/>
      <c r="D434" s="124" t="s">
        <v>34</v>
      </c>
      <c r="E434" s="124">
        <v>-7859</v>
      </c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</row>
    <row r="435" spans="1:42" s="106" customFormat="1" ht="13.8">
      <c r="A435" s="125"/>
      <c r="B435" s="34">
        <v>44347</v>
      </c>
      <c r="C435" s="34"/>
      <c r="D435" s="124" t="s">
        <v>33</v>
      </c>
      <c r="E435" s="124">
        <v>-205</v>
      </c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</row>
    <row r="436" spans="1:42" s="106" customFormat="1" ht="13.8">
      <c r="A436" s="125"/>
      <c r="B436" s="34">
        <v>44347</v>
      </c>
      <c r="C436" s="34"/>
      <c r="D436" s="124" t="s">
        <v>35</v>
      </c>
      <c r="E436" s="124">
        <v>-11138</v>
      </c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</row>
    <row r="437" spans="1:42" s="106" customFormat="1" ht="13.8">
      <c r="A437" s="125"/>
      <c r="B437" s="34">
        <v>44347</v>
      </c>
      <c r="C437" s="34"/>
      <c r="D437" s="124" t="s">
        <v>57</v>
      </c>
      <c r="E437" s="124">
        <v>1000</v>
      </c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>
        <f>E437</f>
        <v>1000</v>
      </c>
      <c r="W437" s="124"/>
      <c r="X437" s="124"/>
    </row>
    <row r="438" spans="1:42" s="106" customFormat="1" ht="13.8">
      <c r="A438" s="125">
        <v>5</v>
      </c>
      <c r="B438" s="34">
        <v>44347</v>
      </c>
      <c r="C438" s="34"/>
      <c r="D438" s="124" t="s">
        <v>229</v>
      </c>
      <c r="E438" s="124">
        <v>199.9</v>
      </c>
      <c r="F438" s="124"/>
      <c r="G438" s="124">
        <v>199.9</v>
      </c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</row>
    <row r="439" spans="1:42" s="106" customFormat="1" ht="13.8">
      <c r="A439" s="125"/>
      <c r="B439" s="34">
        <v>44348</v>
      </c>
      <c r="C439" s="34"/>
      <c r="D439" s="124" t="s">
        <v>25</v>
      </c>
      <c r="E439" s="124">
        <v>1705.06</v>
      </c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>
        <v>399.08</v>
      </c>
      <c r="Q439" s="124"/>
      <c r="R439" s="124"/>
      <c r="S439" s="124"/>
      <c r="T439" s="124"/>
      <c r="U439" s="124">
        <v>1300.48</v>
      </c>
      <c r="V439" s="124"/>
      <c r="W439" s="124"/>
      <c r="X439" s="124"/>
    </row>
    <row r="440" spans="1:42" s="106" customFormat="1" ht="13.8">
      <c r="A440" s="125"/>
      <c r="B440" s="34">
        <v>44348</v>
      </c>
      <c r="C440" s="34"/>
      <c r="D440" s="124" t="s">
        <v>183</v>
      </c>
      <c r="E440" s="124">
        <v>548.75</v>
      </c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>
        <v>548.75</v>
      </c>
      <c r="R440" s="124"/>
      <c r="S440" s="124"/>
      <c r="T440" s="124"/>
      <c r="U440" s="124"/>
      <c r="V440" s="124"/>
      <c r="W440" s="124"/>
      <c r="X440" s="124"/>
    </row>
    <row r="441" spans="1:42" s="106" customFormat="1" ht="13.8">
      <c r="A441" s="125"/>
      <c r="B441" s="34">
        <v>44348</v>
      </c>
      <c r="C441" s="34"/>
      <c r="D441" s="124" t="s">
        <v>182</v>
      </c>
      <c r="E441" s="124">
        <v>284</v>
      </c>
      <c r="F441" s="124">
        <v>284</v>
      </c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</row>
    <row r="442" spans="1:42" s="106" customFormat="1" ht="13.8">
      <c r="A442" s="125"/>
      <c r="B442" s="34">
        <v>44348</v>
      </c>
      <c r="C442" s="34"/>
      <c r="D442" s="124" t="s">
        <v>31</v>
      </c>
      <c r="E442" s="124">
        <v>-1277</v>
      </c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</row>
    <row r="443" spans="1:42" s="106" customFormat="1" ht="13.8">
      <c r="A443" s="125"/>
      <c r="B443" s="34">
        <v>44348</v>
      </c>
      <c r="C443" s="34"/>
      <c r="D443" s="124" t="s">
        <v>30</v>
      </c>
      <c r="E443" s="124">
        <v>7474</v>
      </c>
      <c r="F443" s="124"/>
      <c r="G443" s="124"/>
      <c r="H443" s="124"/>
      <c r="I443" s="124"/>
      <c r="J443" s="124"/>
      <c r="K443" s="124"/>
      <c r="L443" s="124"/>
      <c r="M443" s="124"/>
      <c r="N443" s="124">
        <v>7474</v>
      </c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</row>
    <row r="444" spans="1:42" s="106" customFormat="1" ht="13.8">
      <c r="A444" s="125"/>
      <c r="B444" s="34">
        <v>44348</v>
      </c>
      <c r="C444" s="34"/>
      <c r="D444" s="124" t="s">
        <v>22</v>
      </c>
      <c r="E444" s="124">
        <f>$AN$37</f>
        <v>138</v>
      </c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>
        <f>E444</f>
        <v>138</v>
      </c>
      <c r="R444" s="124"/>
      <c r="S444" s="124"/>
      <c r="T444" s="124"/>
      <c r="U444" s="124"/>
      <c r="V444" s="124"/>
      <c r="W444" s="124"/>
      <c r="X444" s="124"/>
    </row>
    <row r="445" spans="1:42" s="106" customFormat="1" ht="13.8">
      <c r="A445" s="125"/>
      <c r="B445" s="34">
        <v>44350</v>
      </c>
      <c r="C445" s="34"/>
      <c r="D445" s="124" t="s">
        <v>21</v>
      </c>
      <c r="E445" s="124">
        <f>$AM$37</f>
        <v>177</v>
      </c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>E445</f>
        <v>177</v>
      </c>
      <c r="R445" s="124"/>
      <c r="S445" s="124"/>
      <c r="T445" s="124"/>
      <c r="U445" s="124"/>
      <c r="V445" s="124"/>
      <c r="W445" s="124"/>
      <c r="X445" s="124"/>
    </row>
    <row r="446" spans="1:42" s="106" customFormat="1" ht="13.8">
      <c r="A446" s="125"/>
      <c r="B446" s="34">
        <v>44350</v>
      </c>
      <c r="C446" s="34"/>
      <c r="D446" s="124" t="s">
        <v>124</v>
      </c>
      <c r="E446" s="124">
        <v>73.900000000000006</v>
      </c>
      <c r="F446" s="124"/>
      <c r="G446" s="124"/>
      <c r="H446" s="124"/>
      <c r="I446" s="124">
        <v>67.95</v>
      </c>
      <c r="J446" s="124">
        <v>6.05</v>
      </c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</row>
    <row r="447" spans="1:42" s="106" customFormat="1" ht="13.8">
      <c r="A447" s="125"/>
      <c r="B447" s="34">
        <v>44351</v>
      </c>
      <c r="C447" s="34"/>
      <c r="D447" s="124" t="s">
        <v>177</v>
      </c>
      <c r="E447" s="124">
        <v>-2200</v>
      </c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>
        <v>-2200</v>
      </c>
      <c r="Q447" s="124"/>
      <c r="R447" s="124"/>
      <c r="S447" s="124"/>
      <c r="T447" s="124"/>
      <c r="U447" s="124"/>
      <c r="V447" s="124"/>
      <c r="W447" s="124"/>
      <c r="X447" s="124"/>
    </row>
    <row r="448" spans="1:42" s="106" customFormat="1" ht="13.8">
      <c r="A448" s="125"/>
      <c r="B448" s="34">
        <v>44351</v>
      </c>
      <c r="C448" s="34"/>
      <c r="D448" s="124" t="s">
        <v>228</v>
      </c>
      <c r="E448" s="124">
        <v>-1143.56</v>
      </c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>
        <v>-1143.56</v>
      </c>
      <c r="Q448" s="124"/>
      <c r="R448" s="124"/>
      <c r="S448" s="124"/>
      <c r="T448" s="124"/>
      <c r="U448" s="124"/>
      <c r="V448" s="124"/>
      <c r="W448" s="124"/>
      <c r="X448" s="124"/>
    </row>
    <row r="449" spans="1:24" s="106" customFormat="1" ht="13.8">
      <c r="A449" s="125"/>
      <c r="B449" s="34">
        <v>44351</v>
      </c>
      <c r="C449" s="34"/>
      <c r="D449" s="124" t="s">
        <v>43</v>
      </c>
      <c r="E449" s="124">
        <v>4096</v>
      </c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>
        <v>4030</v>
      </c>
      <c r="Q449" s="124"/>
      <c r="R449" s="124"/>
      <c r="S449" s="124"/>
      <c r="T449" s="124"/>
      <c r="U449" s="124"/>
      <c r="V449" s="124"/>
      <c r="W449" s="124"/>
      <c r="X449" s="124"/>
    </row>
    <row r="450" spans="1:24" s="106" customFormat="1" ht="13.8">
      <c r="A450" s="125"/>
      <c r="B450" s="34">
        <v>44351</v>
      </c>
      <c r="C450" s="34"/>
      <c r="D450" s="124" t="s">
        <v>227</v>
      </c>
      <c r="E450" s="124">
        <v>5092.5</v>
      </c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>
        <v>5092.5</v>
      </c>
      <c r="V450" s="124"/>
      <c r="W450" s="124"/>
      <c r="X450" s="124"/>
    </row>
    <row r="451" spans="1:24" s="106" customFormat="1" ht="13.8">
      <c r="A451" s="125"/>
      <c r="B451" s="34">
        <v>44351</v>
      </c>
      <c r="C451" s="34"/>
      <c r="D451" s="124" t="s">
        <v>177</v>
      </c>
      <c r="E451" s="124">
        <v>-1400</v>
      </c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>
        <v>-1400</v>
      </c>
      <c r="Q451" s="124"/>
      <c r="R451" s="124"/>
      <c r="S451" s="124"/>
      <c r="T451" s="124"/>
      <c r="U451" s="124"/>
      <c r="V451" s="124"/>
      <c r="W451" s="124"/>
      <c r="X451" s="124"/>
    </row>
    <row r="452" spans="1:24" s="106" customFormat="1" ht="13.8">
      <c r="A452" s="125"/>
      <c r="B452" s="34">
        <v>44351</v>
      </c>
      <c r="C452" s="34"/>
      <c r="D452" s="124" t="s">
        <v>224</v>
      </c>
      <c r="E452" s="124">
        <v>249.5</v>
      </c>
      <c r="F452" s="124"/>
      <c r="G452" s="124"/>
      <c r="H452" s="124">
        <v>249.5</v>
      </c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</row>
    <row r="453" spans="1:24" s="106" customFormat="1" ht="13.8">
      <c r="A453" s="125"/>
      <c r="B453" s="34">
        <v>44351</v>
      </c>
      <c r="C453" s="34"/>
      <c r="D453" s="124" t="s">
        <v>226</v>
      </c>
      <c r="E453" s="124">
        <v>359.69</v>
      </c>
      <c r="F453" s="124"/>
      <c r="G453" s="124"/>
      <c r="H453" s="124"/>
      <c r="I453" s="124"/>
      <c r="J453" s="124"/>
      <c r="K453" s="124"/>
      <c r="L453" s="124"/>
      <c r="M453" s="124">
        <v>359.69</v>
      </c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</row>
    <row r="454" spans="1:24" s="106" customFormat="1" ht="13.8">
      <c r="A454" s="125"/>
      <c r="B454" s="34">
        <v>44351</v>
      </c>
      <c r="C454" s="34"/>
      <c r="D454" s="124" t="s">
        <v>225</v>
      </c>
      <c r="E454" s="124">
        <v>64</v>
      </c>
      <c r="F454" s="124"/>
      <c r="G454" s="124"/>
      <c r="H454" s="124"/>
      <c r="I454" s="124"/>
      <c r="J454" s="124"/>
      <c r="K454" s="124"/>
      <c r="L454" s="124"/>
      <c r="M454" s="124">
        <v>64</v>
      </c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</row>
    <row r="455" spans="1:24" s="106" customFormat="1" ht="13.8">
      <c r="A455" s="125"/>
      <c r="B455" s="34">
        <v>44351</v>
      </c>
      <c r="C455" s="34"/>
      <c r="D455" s="124" t="s">
        <v>192</v>
      </c>
      <c r="E455" s="124">
        <v>124</v>
      </c>
      <c r="F455" s="124"/>
      <c r="G455" s="124">
        <v>99</v>
      </c>
      <c r="H455" s="124">
        <v>25</v>
      </c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</row>
    <row r="456" spans="1:24" s="106" customFormat="1" ht="13.8">
      <c r="A456" s="125"/>
      <c r="B456" s="34">
        <v>44351</v>
      </c>
      <c r="C456" s="34"/>
      <c r="D456" s="124" t="s">
        <v>162</v>
      </c>
      <c r="E456" s="124">
        <v>42</v>
      </c>
      <c r="F456" s="124"/>
      <c r="G456" s="124">
        <v>42</v>
      </c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</row>
    <row r="457" spans="1:24" s="106" customFormat="1" ht="13.8">
      <c r="A457" s="125"/>
      <c r="B457" s="34">
        <v>44351</v>
      </c>
      <c r="C457" s="34"/>
      <c r="D457" s="124" t="s">
        <v>186</v>
      </c>
      <c r="E457" s="124">
        <v>70</v>
      </c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>
        <v>70</v>
      </c>
      <c r="S457" s="124"/>
      <c r="T457" s="124"/>
      <c r="U457" s="124"/>
      <c r="V457" s="124"/>
      <c r="W457" s="124"/>
      <c r="X457" s="124"/>
    </row>
    <row r="458" spans="1:24" s="106" customFormat="1" ht="13.8">
      <c r="A458" s="125"/>
      <c r="B458" s="34">
        <v>44352</v>
      </c>
      <c r="C458" s="34"/>
      <c r="D458" s="124" t="s">
        <v>58</v>
      </c>
      <c r="E458" s="124">
        <v>500</v>
      </c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>
        <v>500</v>
      </c>
      <c r="V458" s="124"/>
      <c r="W458" s="124"/>
      <c r="X458" s="124"/>
    </row>
    <row r="459" spans="1:24" s="106" customFormat="1" ht="13.8">
      <c r="A459" s="125"/>
      <c r="B459" s="34">
        <v>44354</v>
      </c>
      <c r="C459" s="34"/>
      <c r="D459" s="124" t="s">
        <v>224</v>
      </c>
      <c r="E459" s="124">
        <v>-110</v>
      </c>
      <c r="F459" s="124"/>
      <c r="G459" s="124"/>
      <c r="H459" s="124">
        <v>-110</v>
      </c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</row>
    <row r="460" spans="1:24" s="106" customFormat="1" ht="13.8">
      <c r="A460" s="125"/>
      <c r="B460" s="34">
        <v>44354</v>
      </c>
      <c r="C460" s="34"/>
      <c r="D460" s="124" t="s">
        <v>20</v>
      </c>
      <c r="E460" s="124">
        <v>191.64</v>
      </c>
      <c r="F460" s="124">
        <v>191.64</v>
      </c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</row>
    <row r="461" spans="1:24" s="106" customFormat="1" ht="13.8">
      <c r="A461" s="125"/>
      <c r="B461" s="34">
        <v>44354</v>
      </c>
      <c r="C461" s="34"/>
      <c r="D461" s="124" t="s">
        <v>18</v>
      </c>
      <c r="E461" s="124">
        <v>210.66</v>
      </c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>
        <v>210.66</v>
      </c>
      <c r="Q461" s="124"/>
      <c r="R461" s="124"/>
      <c r="S461" s="124"/>
      <c r="T461" s="124"/>
      <c r="U461" s="124"/>
      <c r="V461" s="124"/>
      <c r="W461" s="124"/>
      <c r="X461" s="124"/>
    </row>
    <row r="462" spans="1:24" s="106" customFormat="1" ht="13.8">
      <c r="A462" s="125"/>
      <c r="B462" s="34">
        <v>44354</v>
      </c>
      <c r="C462" s="34"/>
      <c r="D462" s="124" t="s">
        <v>180</v>
      </c>
      <c r="E462" s="124">
        <v>173.77</v>
      </c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>
        <v>173.77</v>
      </c>
      <c r="V462" s="124"/>
      <c r="W462" s="124"/>
      <c r="X462" s="124"/>
    </row>
    <row r="463" spans="1:24" s="106" customFormat="1" ht="13.8">
      <c r="A463" s="125"/>
      <c r="B463" s="34">
        <v>44354</v>
      </c>
      <c r="C463" s="34"/>
      <c r="D463" s="124" t="s">
        <v>140</v>
      </c>
      <c r="E463" s="124">
        <v>432.13</v>
      </c>
      <c r="F463" s="124"/>
      <c r="G463" s="124"/>
      <c r="H463" s="124"/>
      <c r="I463" s="124">
        <v>432.13</v>
      </c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</row>
    <row r="464" spans="1:24" s="106" customFormat="1" ht="13.8">
      <c r="A464" s="125"/>
      <c r="B464" s="34">
        <v>44356</v>
      </c>
      <c r="C464" s="34"/>
      <c r="D464" s="124" t="s">
        <v>216</v>
      </c>
      <c r="E464" s="124">
        <v>232</v>
      </c>
      <c r="F464" s="124"/>
      <c r="G464" s="124">
        <v>212</v>
      </c>
      <c r="H464" s="124"/>
      <c r="I464" s="124"/>
      <c r="J464" s="124"/>
      <c r="K464" s="124"/>
      <c r="L464" s="124"/>
      <c r="M464" s="124">
        <v>20</v>
      </c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</row>
    <row r="465" spans="1:42" s="106" customFormat="1" ht="13.8">
      <c r="A465" s="125"/>
      <c r="B465" s="34">
        <v>44357</v>
      </c>
      <c r="C465" s="34"/>
      <c r="D465" s="124" t="s">
        <v>223</v>
      </c>
      <c r="E465" s="124">
        <v>150</v>
      </c>
      <c r="F465" s="124"/>
      <c r="G465" s="124"/>
      <c r="H465" s="124">
        <v>150</v>
      </c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</row>
    <row r="466" spans="1:42" s="106" customFormat="1" ht="13.8">
      <c r="A466" s="125"/>
      <c r="B466" s="34">
        <v>44358</v>
      </c>
      <c r="C466" s="34"/>
      <c r="D466" s="124" t="s">
        <v>216</v>
      </c>
      <c r="E466" s="124">
        <v>69</v>
      </c>
      <c r="F466" s="124"/>
      <c r="G466" s="124">
        <v>69</v>
      </c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</row>
    <row r="467" spans="1:42" s="106" customFormat="1" ht="13.8">
      <c r="A467" s="125"/>
      <c r="B467" s="34">
        <v>44359</v>
      </c>
      <c r="C467" s="34"/>
      <c r="D467" s="124" t="s">
        <v>186</v>
      </c>
      <c r="E467" s="124">
        <v>60</v>
      </c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>
        <v>60</v>
      </c>
      <c r="S467" s="124"/>
      <c r="T467" s="124"/>
      <c r="U467" s="124"/>
      <c r="V467" s="124"/>
      <c r="W467" s="124"/>
      <c r="X467" s="124"/>
    </row>
    <row r="468" spans="1:42" s="106" customFormat="1" ht="13.8">
      <c r="A468" s="125"/>
      <c r="B468" s="34">
        <v>44361</v>
      </c>
      <c r="C468" s="34"/>
      <c r="D468" s="124" t="s">
        <v>222</v>
      </c>
      <c r="E468" s="124">
        <v>39</v>
      </c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>
        <v>39</v>
      </c>
      <c r="Q468" s="124"/>
      <c r="R468" s="124"/>
      <c r="S468" s="124"/>
      <c r="T468" s="124"/>
      <c r="U468" s="124"/>
      <c r="V468" s="124"/>
      <c r="W468" s="124"/>
      <c r="X468" s="124"/>
    </row>
    <row r="469" spans="1:42" s="106" customFormat="1" ht="13.8">
      <c r="A469" s="125"/>
      <c r="B469" s="34">
        <v>44361</v>
      </c>
      <c r="C469" s="34"/>
      <c r="D469" s="124" t="s">
        <v>124</v>
      </c>
      <c r="E469" s="124">
        <v>101.6</v>
      </c>
      <c r="F469" s="124"/>
      <c r="G469" s="124"/>
      <c r="H469" s="124"/>
      <c r="I469" s="124">
        <v>101.6</v>
      </c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</row>
    <row r="470" spans="1:42" s="106" customFormat="1" ht="13.8">
      <c r="A470" s="125"/>
      <c r="B470" s="34">
        <v>44363</v>
      </c>
      <c r="C470" s="34"/>
      <c r="D470" s="124" t="s">
        <v>221</v>
      </c>
      <c r="E470" s="124">
        <v>60</v>
      </c>
      <c r="F470" s="124"/>
      <c r="G470" s="124"/>
      <c r="H470" s="124"/>
      <c r="I470" s="124"/>
      <c r="J470" s="124"/>
      <c r="K470" s="124"/>
      <c r="L470" s="124"/>
      <c r="M470" s="124">
        <v>60</v>
      </c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</row>
    <row r="471" spans="1:42" s="106" customFormat="1" ht="13.8">
      <c r="A471" s="125"/>
      <c r="B471" s="34">
        <v>44363</v>
      </c>
      <c r="C471" s="34"/>
      <c r="D471" s="124" t="s">
        <v>213</v>
      </c>
      <c r="E471" s="124">
        <v>300</v>
      </c>
      <c r="F471" s="124">
        <v>300</v>
      </c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</row>
    <row r="472" spans="1:42" s="106" customFormat="1" ht="11.25" customHeight="1">
      <c r="A472" s="125"/>
      <c r="B472" s="34">
        <v>44364</v>
      </c>
      <c r="C472" s="34"/>
      <c r="D472" s="124" t="s">
        <v>220</v>
      </c>
      <c r="E472" s="124">
        <v>100</v>
      </c>
      <c r="F472" s="124"/>
      <c r="G472" s="124">
        <v>100</v>
      </c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</row>
    <row r="473" spans="1:42" s="106" customFormat="1" ht="11.25" customHeight="1">
      <c r="A473" s="125"/>
      <c r="B473" s="34">
        <v>44365</v>
      </c>
      <c r="C473" s="34"/>
      <c r="D473" s="124" t="s">
        <v>124</v>
      </c>
      <c r="E473" s="124">
        <v>27.7</v>
      </c>
      <c r="F473" s="124"/>
      <c r="G473" s="124"/>
      <c r="H473" s="124"/>
      <c r="I473" s="124"/>
      <c r="J473" s="124">
        <v>27.7</v>
      </c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</row>
    <row r="474" spans="1:42" s="106" customFormat="1" ht="11.25" customHeight="1">
      <c r="A474" s="125"/>
      <c r="B474" s="34">
        <v>44368</v>
      </c>
      <c r="C474" s="34"/>
      <c r="D474" s="124" t="s">
        <v>41</v>
      </c>
      <c r="E474" s="124">
        <v>40</v>
      </c>
      <c r="F474" s="124"/>
      <c r="G474" s="124"/>
      <c r="H474" s="124">
        <v>40</v>
      </c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</row>
    <row r="475" spans="1:42" s="106" customFormat="1" ht="13.8">
      <c r="A475" s="125"/>
      <c r="B475" s="34">
        <v>44373</v>
      </c>
      <c r="C475" s="34"/>
      <c r="D475" s="124" t="s">
        <v>40</v>
      </c>
      <c r="E475" s="124">
        <f>87.9+50.95+169.45</f>
        <v>308.3</v>
      </c>
      <c r="F475" s="124"/>
      <c r="G475" s="124"/>
      <c r="H475" s="124">
        <f>32.9+50.95+169.45</f>
        <v>253.29999999999998</v>
      </c>
      <c r="I475" s="124"/>
      <c r="J475" s="124"/>
      <c r="K475" s="124">
        <v>55</v>
      </c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</row>
    <row r="476" spans="1:42" s="106" customFormat="1" ht="13.8">
      <c r="A476" s="125"/>
      <c r="B476" s="34">
        <v>44375</v>
      </c>
      <c r="C476" s="34"/>
      <c r="D476" s="124" t="s">
        <v>42</v>
      </c>
      <c r="E476" s="124">
        <f>53.7+49.95+44+55.8+107.4+178.1+36+132</f>
        <v>656.95</v>
      </c>
      <c r="F476" s="124"/>
      <c r="G476" s="124">
        <v>36</v>
      </c>
      <c r="H476" s="124">
        <f>310.85+178.1+132</f>
        <v>620.95000000000005</v>
      </c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</row>
    <row r="477" spans="1:42" s="106" customFormat="1" ht="13.8">
      <c r="A477" s="125"/>
      <c r="B477" s="34">
        <v>44375</v>
      </c>
      <c r="C477" s="34"/>
      <c r="D477" s="124" t="s">
        <v>38</v>
      </c>
      <c r="E477" s="124">
        <f>60+219.95</f>
        <v>279.95</v>
      </c>
      <c r="F477" s="124"/>
      <c r="G477" s="124"/>
      <c r="H477" s="124">
        <f>60+148</f>
        <v>208</v>
      </c>
      <c r="I477" s="124"/>
      <c r="J477" s="124"/>
      <c r="K477" s="124">
        <v>55</v>
      </c>
      <c r="L477" s="124"/>
      <c r="M477" s="124">
        <v>16.95</v>
      </c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</row>
    <row r="478" spans="1:42" s="106" customFormat="1" ht="13.8">
      <c r="A478" s="125"/>
      <c r="B478" s="34">
        <v>44376</v>
      </c>
      <c r="C478" s="34"/>
      <c r="D478" s="124" t="s">
        <v>39</v>
      </c>
      <c r="E478" s="124">
        <f>560.72+34.95+15+15+20+20</f>
        <v>665.67000000000007</v>
      </c>
      <c r="F478" s="124"/>
      <c r="G478" s="124"/>
      <c r="H478" s="124">
        <f>433.45+34.95+15+15+20+20</f>
        <v>538.4</v>
      </c>
      <c r="I478" s="124"/>
      <c r="J478" s="124"/>
      <c r="K478" s="124">
        <f>55</f>
        <v>55</v>
      </c>
      <c r="L478" s="124"/>
      <c r="M478" s="124">
        <f>72.27</f>
        <v>72.27</v>
      </c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</row>
    <row r="479" spans="1:42" s="106" customFormat="1" ht="13.8">
      <c r="A479" s="125"/>
      <c r="B479" s="38" t="str">
        <f>B511</f>
        <v>Juli</v>
      </c>
      <c r="C479" s="37"/>
      <c r="D479" s="128"/>
      <c r="E479" s="36">
        <f t="shared" ref="E479:W479" si="27">SUM(E480:E510)</f>
        <v>-653.75000000000159</v>
      </c>
      <c r="F479" s="36">
        <f t="shared" si="27"/>
        <v>2034.58</v>
      </c>
      <c r="G479" s="36">
        <f t="shared" si="27"/>
        <v>917</v>
      </c>
      <c r="H479" s="36">
        <f t="shared" si="27"/>
        <v>2170.13</v>
      </c>
      <c r="I479" s="36">
        <f t="shared" si="27"/>
        <v>383.7</v>
      </c>
      <c r="J479" s="36">
        <f t="shared" si="27"/>
        <v>134.05000000000001</v>
      </c>
      <c r="K479" s="36">
        <f t="shared" si="27"/>
        <v>755</v>
      </c>
      <c r="L479" s="36">
        <f t="shared" si="27"/>
        <v>0</v>
      </c>
      <c r="M479" s="36">
        <f t="shared" si="27"/>
        <v>157</v>
      </c>
      <c r="N479" s="36">
        <f t="shared" si="27"/>
        <v>7474</v>
      </c>
      <c r="O479" s="36">
        <f t="shared" si="27"/>
        <v>0</v>
      </c>
      <c r="P479" s="36">
        <f t="shared" si="27"/>
        <v>635.02</v>
      </c>
      <c r="Q479" s="36">
        <f t="shared" si="27"/>
        <v>1910.75</v>
      </c>
      <c r="R479" s="36">
        <f t="shared" si="27"/>
        <v>32</v>
      </c>
      <c r="S479" s="36">
        <f t="shared" si="27"/>
        <v>449.95</v>
      </c>
      <c r="T479" s="36">
        <f t="shared" si="27"/>
        <v>0</v>
      </c>
      <c r="U479" s="36">
        <f t="shared" si="27"/>
        <v>2208.02</v>
      </c>
      <c r="V479" s="36">
        <f t="shared" si="27"/>
        <v>1000</v>
      </c>
      <c r="W479" s="36">
        <f t="shared" si="27"/>
        <v>0</v>
      </c>
      <c r="X479" s="36"/>
    </row>
    <row r="480" spans="1:42" s="126" customFormat="1" ht="13.5" customHeight="1">
      <c r="A480" s="39"/>
      <c r="B480" s="34">
        <v>44377</v>
      </c>
      <c r="C480" s="34"/>
      <c r="D480" s="124" t="s">
        <v>35</v>
      </c>
      <c r="E480" s="124">
        <v>-11138</v>
      </c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</row>
    <row r="481" spans="1:24" s="106" customFormat="1" ht="13.8">
      <c r="A481" s="125"/>
      <c r="B481" s="34">
        <v>44377</v>
      </c>
      <c r="C481" s="34"/>
      <c r="D481" s="124" t="s">
        <v>34</v>
      </c>
      <c r="E481" s="124">
        <v>-7859</v>
      </c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</row>
    <row r="482" spans="1:24" s="106" customFormat="1" ht="13.8">
      <c r="A482" s="125"/>
      <c r="B482" s="34">
        <v>44377</v>
      </c>
      <c r="C482" s="34"/>
      <c r="D482" s="124" t="s">
        <v>33</v>
      </c>
      <c r="E482" s="124">
        <v>-205</v>
      </c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</row>
    <row r="483" spans="1:24" s="106" customFormat="1" ht="13.8">
      <c r="A483" s="125"/>
      <c r="B483" s="34">
        <v>44378</v>
      </c>
      <c r="C483" s="34"/>
      <c r="D483" s="124" t="s">
        <v>31</v>
      </c>
      <c r="E483" s="124">
        <f>$Y$37</f>
        <v>-1277</v>
      </c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</row>
    <row r="484" spans="1:24" s="106" customFormat="1" ht="13.8">
      <c r="A484" s="125"/>
      <c r="B484" s="34">
        <v>44378</v>
      </c>
      <c r="C484" s="34"/>
      <c r="D484" s="124" t="s">
        <v>30</v>
      </c>
      <c r="E484" s="124">
        <v>7474</v>
      </c>
      <c r="F484" s="124"/>
      <c r="G484" s="124"/>
      <c r="H484" s="124"/>
      <c r="I484" s="124"/>
      <c r="J484" s="124"/>
      <c r="K484" s="124"/>
      <c r="L484" s="124"/>
      <c r="M484" s="124"/>
      <c r="N484" s="124">
        <v>7474</v>
      </c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</row>
    <row r="485" spans="1:24" s="106" customFormat="1" ht="13.8">
      <c r="A485" s="125"/>
      <c r="B485" s="34">
        <v>44377</v>
      </c>
      <c r="C485" s="34"/>
      <c r="D485" s="124" t="s">
        <v>57</v>
      </c>
      <c r="E485" s="124">
        <v>1824.46</v>
      </c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>
        <v>824.16</v>
      </c>
      <c r="V485" s="124">
        <v>1000</v>
      </c>
      <c r="W485" s="124"/>
      <c r="X485" s="124"/>
    </row>
    <row r="486" spans="1:24" s="106" customFormat="1" ht="13.8">
      <c r="A486" s="125">
        <v>5</v>
      </c>
      <c r="B486" s="34">
        <v>44378</v>
      </c>
      <c r="C486" s="34"/>
      <c r="D486" s="124" t="s">
        <v>213</v>
      </c>
      <c r="E486" s="124">
        <v>300</v>
      </c>
      <c r="F486" s="124">
        <v>300</v>
      </c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</row>
    <row r="487" spans="1:24" s="106" customFormat="1" ht="13.8">
      <c r="A487" s="125"/>
      <c r="B487" s="34">
        <v>44378</v>
      </c>
      <c r="C487" s="34"/>
      <c r="D487" s="124" t="s">
        <v>183</v>
      </c>
      <c r="E487" s="124">
        <v>548.75</v>
      </c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>
        <v>548.75</v>
      </c>
      <c r="R487" s="124"/>
      <c r="S487" s="124"/>
      <c r="T487" s="124"/>
      <c r="U487" s="124"/>
      <c r="V487" s="124"/>
      <c r="W487" s="124"/>
      <c r="X487" s="124"/>
    </row>
    <row r="488" spans="1:24" s="106" customFormat="1" ht="13.8">
      <c r="A488" s="125"/>
      <c r="B488" s="34">
        <v>44378</v>
      </c>
      <c r="C488" s="34"/>
      <c r="D488" s="124" t="s">
        <v>182</v>
      </c>
      <c r="E488" s="124">
        <v>284</v>
      </c>
      <c r="F488" s="124">
        <v>284</v>
      </c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</row>
    <row r="489" spans="1:24" s="106" customFormat="1" ht="13.8">
      <c r="A489" s="125"/>
      <c r="B489" s="34">
        <v>44378</v>
      </c>
      <c r="C489" s="34"/>
      <c r="D489" s="124" t="s">
        <v>22</v>
      </c>
      <c r="E489" s="124">
        <f>$AN$37</f>
        <v>138</v>
      </c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>
        <v>138</v>
      </c>
      <c r="R489" s="124"/>
      <c r="S489" s="124"/>
      <c r="T489" s="124"/>
      <c r="U489" s="124"/>
      <c r="V489" s="124"/>
      <c r="W489" s="124"/>
      <c r="X489" s="124"/>
    </row>
    <row r="490" spans="1:24" s="106" customFormat="1" ht="13.8">
      <c r="A490" s="125"/>
      <c r="B490" s="34">
        <v>44379</v>
      </c>
      <c r="C490" s="34"/>
      <c r="D490" s="124" t="s">
        <v>21</v>
      </c>
      <c r="E490" s="124">
        <f>$AM$37</f>
        <v>177</v>
      </c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>
        <v>177</v>
      </c>
      <c r="R490" s="124"/>
      <c r="S490" s="124"/>
      <c r="T490" s="124"/>
      <c r="U490" s="124"/>
      <c r="V490" s="124"/>
      <c r="W490" s="124"/>
      <c r="X490" s="124"/>
    </row>
    <row r="491" spans="1:24" s="106" customFormat="1" ht="13.8">
      <c r="A491" s="125"/>
      <c r="B491" s="34">
        <v>44378</v>
      </c>
      <c r="C491" s="34"/>
      <c r="D491" s="124" t="s">
        <v>197</v>
      </c>
      <c r="E491" s="124">
        <v>1047</v>
      </c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>
        <v>1047</v>
      </c>
      <c r="R491" s="124"/>
      <c r="S491" s="124"/>
      <c r="T491" s="124"/>
      <c r="U491" s="124"/>
      <c r="V491" s="124"/>
      <c r="W491" s="124"/>
      <c r="X491" s="124"/>
    </row>
    <row r="492" spans="1:24" s="106" customFormat="1" ht="13.8">
      <c r="A492" s="125"/>
      <c r="B492" s="34">
        <v>44378</v>
      </c>
      <c r="C492" s="34"/>
      <c r="D492" s="124" t="s">
        <v>25</v>
      </c>
      <c r="E492" s="124">
        <v>1627.57</v>
      </c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>
        <v>417.57</v>
      </c>
      <c r="Q492" s="124"/>
      <c r="R492" s="124"/>
      <c r="S492" s="124"/>
      <c r="T492" s="124"/>
      <c r="U492" s="124">
        <v>1204.53</v>
      </c>
      <c r="V492" s="124"/>
      <c r="W492" s="124"/>
      <c r="X492" s="124"/>
    </row>
    <row r="493" spans="1:24" s="106" customFormat="1" ht="13.8">
      <c r="A493" s="125"/>
      <c r="B493" s="34">
        <v>44382</v>
      </c>
      <c r="C493" s="34"/>
      <c r="D493" s="124" t="s">
        <v>20</v>
      </c>
      <c r="E493" s="124">
        <v>197.79</v>
      </c>
      <c r="F493" s="124">
        <v>197.79</v>
      </c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</row>
    <row r="494" spans="1:24" s="106" customFormat="1" ht="13.8">
      <c r="A494" s="125"/>
      <c r="B494" s="34">
        <v>44382</v>
      </c>
      <c r="C494" s="34"/>
      <c r="D494" s="124" t="s">
        <v>18</v>
      </c>
      <c r="E494" s="124">
        <v>217.45</v>
      </c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>
        <v>217.45</v>
      </c>
      <c r="Q494" s="124"/>
      <c r="R494" s="124"/>
      <c r="S494" s="124"/>
      <c r="T494" s="124"/>
      <c r="U494" s="124"/>
      <c r="V494" s="124"/>
      <c r="W494" s="124"/>
      <c r="X494" s="124"/>
    </row>
    <row r="495" spans="1:24" s="106" customFormat="1" ht="13.8">
      <c r="A495" s="125"/>
      <c r="B495" s="34">
        <v>44382</v>
      </c>
      <c r="C495" s="34"/>
      <c r="D495" s="124" t="s">
        <v>180</v>
      </c>
      <c r="E495" s="124">
        <v>179.33</v>
      </c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>
        <v>179.33</v>
      </c>
      <c r="V495" s="124"/>
      <c r="W495" s="124"/>
      <c r="X495" s="124"/>
    </row>
    <row r="496" spans="1:24" s="106" customFormat="1" ht="13.8">
      <c r="A496" s="125"/>
      <c r="B496" s="34">
        <v>44378</v>
      </c>
      <c r="C496" s="34"/>
      <c r="D496" s="124" t="s">
        <v>206</v>
      </c>
      <c r="E496" s="124">
        <f>150-118</f>
        <v>32</v>
      </c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>
        <f>150-118</f>
        <v>32</v>
      </c>
      <c r="S496" s="124"/>
      <c r="T496" s="124"/>
      <c r="U496" s="124"/>
      <c r="V496" s="124"/>
      <c r="W496" s="124"/>
      <c r="X496" s="124"/>
    </row>
    <row r="497" spans="1:42" s="106" customFormat="1" ht="13.8">
      <c r="A497" s="125"/>
      <c r="B497" s="34">
        <v>44378</v>
      </c>
      <c r="C497" s="34"/>
      <c r="D497" s="124" t="s">
        <v>219</v>
      </c>
      <c r="E497" s="124">
        <v>450</v>
      </c>
      <c r="F497" s="124"/>
      <c r="G497" s="124">
        <v>450</v>
      </c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</row>
    <row r="498" spans="1:42" s="106" customFormat="1" ht="13.8">
      <c r="A498" s="125"/>
      <c r="B498" s="34">
        <v>44378</v>
      </c>
      <c r="C498" s="34"/>
      <c r="D498" s="124" t="s">
        <v>218</v>
      </c>
      <c r="E498" s="124">
        <v>42</v>
      </c>
      <c r="F498" s="124"/>
      <c r="G498" s="124">
        <v>42</v>
      </c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</row>
    <row r="499" spans="1:42" s="106" customFormat="1" ht="13.8">
      <c r="A499" s="125"/>
      <c r="B499" s="34">
        <v>44378</v>
      </c>
      <c r="C499" s="34"/>
      <c r="D499" s="124" t="s">
        <v>217</v>
      </c>
      <c r="E499" s="124">
        <v>46</v>
      </c>
      <c r="F499" s="124"/>
      <c r="G499" s="124">
        <v>46</v>
      </c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</row>
    <row r="500" spans="1:42" s="106" customFormat="1" ht="13.8">
      <c r="A500" s="125"/>
      <c r="B500" s="34">
        <v>44382</v>
      </c>
      <c r="C500" s="34"/>
      <c r="D500" s="124" t="s">
        <v>167</v>
      </c>
      <c r="E500" s="124">
        <v>200</v>
      </c>
      <c r="F500" s="124"/>
      <c r="G500" s="124">
        <v>200</v>
      </c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</row>
    <row r="501" spans="1:42" s="106" customFormat="1" ht="13.8">
      <c r="A501" s="125"/>
      <c r="B501" s="34">
        <v>44380</v>
      </c>
      <c r="C501" s="34"/>
      <c r="D501" s="124" t="s">
        <v>124</v>
      </c>
      <c r="E501" s="124">
        <f>180.35+74.05+131.8+11.55</f>
        <v>397.75</v>
      </c>
      <c r="F501" s="124"/>
      <c r="G501" s="124"/>
      <c r="H501" s="124"/>
      <c r="I501" s="124">
        <f>180.35+131.8+11.55</f>
        <v>323.7</v>
      </c>
      <c r="J501" s="124">
        <v>74.05</v>
      </c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</row>
    <row r="502" spans="1:42" s="106" customFormat="1" ht="13.8">
      <c r="A502" s="125"/>
      <c r="B502" s="34">
        <v>44383</v>
      </c>
      <c r="C502" s="34"/>
      <c r="D502" s="124" t="s">
        <v>10</v>
      </c>
      <c r="E502" s="124">
        <v>449.95</v>
      </c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>
        <v>449.95</v>
      </c>
      <c r="T502" s="124"/>
      <c r="U502" s="124"/>
      <c r="V502" s="124"/>
      <c r="W502" s="124"/>
      <c r="X502" s="124"/>
    </row>
    <row r="503" spans="1:42" s="106" customFormat="1" ht="13.8">
      <c r="A503" s="125"/>
      <c r="B503" s="34">
        <v>44383</v>
      </c>
      <c r="C503" s="34"/>
      <c r="D503" s="124" t="s">
        <v>216</v>
      </c>
      <c r="E503" s="124">
        <v>179</v>
      </c>
      <c r="F503" s="124"/>
      <c r="G503" s="124">
        <v>179</v>
      </c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</row>
    <row r="504" spans="1:42" s="106" customFormat="1" ht="13.8">
      <c r="A504" s="125"/>
      <c r="B504" s="34">
        <v>44389</v>
      </c>
      <c r="C504" s="34"/>
      <c r="D504" s="124" t="s">
        <v>144</v>
      </c>
      <c r="E504" s="124">
        <v>1252.79</v>
      </c>
      <c r="F504" s="124">
        <v>1252.79</v>
      </c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</row>
    <row r="505" spans="1:42" s="106" customFormat="1" ht="13.8">
      <c r="A505" s="125"/>
      <c r="B505" s="34">
        <v>44393</v>
      </c>
      <c r="C505" s="34"/>
      <c r="D505" s="124" t="s">
        <v>215</v>
      </c>
      <c r="E505" s="124">
        <v>180</v>
      </c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</row>
    <row r="506" spans="1:42" s="106" customFormat="1" ht="13.8">
      <c r="A506" s="125"/>
      <c r="B506" s="34"/>
      <c r="C506" s="34"/>
      <c r="D506" s="124" t="s">
        <v>42</v>
      </c>
      <c r="E506" s="124">
        <v>893.46</v>
      </c>
      <c r="F506" s="124"/>
      <c r="G506" s="124"/>
      <c r="H506" s="124">
        <v>763.18</v>
      </c>
      <c r="I506" s="124">
        <v>30</v>
      </c>
      <c r="J506" s="124">
        <v>30</v>
      </c>
      <c r="K506" s="124">
        <v>705</v>
      </c>
      <c r="L506" s="124"/>
      <c r="M506" s="124">
        <v>67</v>
      </c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</row>
    <row r="507" spans="1:42" s="106" customFormat="1" ht="13.8">
      <c r="A507" s="125"/>
      <c r="B507" s="34"/>
      <c r="C507" s="34"/>
      <c r="D507" s="124" t="s">
        <v>41</v>
      </c>
      <c r="E507" s="124">
        <v>542.9</v>
      </c>
      <c r="F507" s="124"/>
      <c r="G507" s="124"/>
      <c r="H507" s="124">
        <v>432.9</v>
      </c>
      <c r="I507" s="124">
        <v>30</v>
      </c>
      <c r="J507" s="124">
        <v>30</v>
      </c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</row>
    <row r="508" spans="1:42" s="106" customFormat="1" ht="13.8">
      <c r="A508" s="125"/>
      <c r="B508" s="34"/>
      <c r="C508" s="34"/>
      <c r="D508" s="124" t="s">
        <v>40</v>
      </c>
      <c r="E508" s="124">
        <v>429.5</v>
      </c>
      <c r="F508" s="124"/>
      <c r="G508" s="124"/>
      <c r="H508" s="124">
        <v>379.5</v>
      </c>
      <c r="I508" s="124"/>
      <c r="J508" s="124"/>
      <c r="K508" s="124">
        <v>50</v>
      </c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</row>
    <row r="509" spans="1:42" s="106" customFormat="1" ht="13.8">
      <c r="A509" s="125"/>
      <c r="B509" s="34"/>
      <c r="C509" s="34"/>
      <c r="D509" s="124" t="s">
        <v>39</v>
      </c>
      <c r="E509" s="124">
        <v>574.54999999999995</v>
      </c>
      <c r="F509" s="124"/>
      <c r="G509" s="124"/>
      <c r="H509" s="124">
        <v>454.55</v>
      </c>
      <c r="I509" s="124"/>
      <c r="J509" s="124"/>
      <c r="K509" s="124"/>
      <c r="L509" s="124"/>
      <c r="M509" s="124">
        <v>90</v>
      </c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</row>
    <row r="510" spans="1:42" s="106" customFormat="1" ht="13.8">
      <c r="A510" s="125"/>
      <c r="B510" s="34"/>
      <c r="C510" s="34"/>
      <c r="D510" s="124" t="s">
        <v>38</v>
      </c>
      <c r="E510" s="124">
        <v>140</v>
      </c>
      <c r="F510" s="124"/>
      <c r="G510" s="124"/>
      <c r="H510" s="124">
        <v>140</v>
      </c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</row>
    <row r="511" spans="1:42" s="106" customFormat="1" ht="13.8">
      <c r="A511" s="125"/>
      <c r="B511" s="2930" t="str">
        <f>J35</f>
        <v>Juli</v>
      </c>
      <c r="C511" s="2931"/>
      <c r="D511" s="2934" t="s">
        <v>36</v>
      </c>
      <c r="E511" s="2934">
        <f t="shared" ref="E511:W511" si="28">SUM(E512:E512)</f>
        <v>0</v>
      </c>
      <c r="F511" s="2934">
        <f t="shared" si="28"/>
        <v>0</v>
      </c>
      <c r="G511" s="2934">
        <f t="shared" si="28"/>
        <v>0</v>
      </c>
      <c r="H511" s="2934">
        <f t="shared" si="28"/>
        <v>0</v>
      </c>
      <c r="I511" s="2934">
        <f t="shared" si="28"/>
        <v>0</v>
      </c>
      <c r="J511" s="2934">
        <f t="shared" si="28"/>
        <v>0</v>
      </c>
      <c r="K511" s="2934">
        <f t="shared" si="28"/>
        <v>0</v>
      </c>
      <c r="L511" s="2934">
        <f t="shared" si="28"/>
        <v>0</v>
      </c>
      <c r="M511" s="2934">
        <f t="shared" si="28"/>
        <v>0</v>
      </c>
      <c r="N511" s="2934">
        <f t="shared" si="28"/>
        <v>0</v>
      </c>
      <c r="O511" s="2934">
        <f t="shared" si="28"/>
        <v>0</v>
      </c>
      <c r="P511" s="2934">
        <f t="shared" si="28"/>
        <v>0</v>
      </c>
      <c r="Q511" s="2934">
        <f t="shared" si="28"/>
        <v>0</v>
      </c>
      <c r="R511" s="2934">
        <f t="shared" si="28"/>
        <v>0</v>
      </c>
      <c r="S511" s="2934">
        <f t="shared" si="28"/>
        <v>0</v>
      </c>
      <c r="T511" s="2934">
        <f t="shared" si="28"/>
        <v>0</v>
      </c>
      <c r="U511" s="2934">
        <f t="shared" si="28"/>
        <v>0</v>
      </c>
      <c r="V511" s="2934">
        <f t="shared" si="28"/>
        <v>0</v>
      </c>
      <c r="W511" s="2934">
        <f t="shared" si="28"/>
        <v>0</v>
      </c>
      <c r="X511" s="2934"/>
    </row>
    <row r="512" spans="1:42" s="120" customFormat="1" ht="12" customHeight="1">
      <c r="A512" s="60"/>
      <c r="B512" s="2999"/>
      <c r="C512" s="3000"/>
      <c r="D512" s="2935"/>
      <c r="E512" s="2935"/>
      <c r="F512" s="2935"/>
      <c r="G512" s="2935"/>
      <c r="H512" s="2935"/>
      <c r="I512" s="2935"/>
      <c r="J512" s="2935"/>
      <c r="K512" s="2935"/>
      <c r="L512" s="2935"/>
      <c r="M512" s="2935"/>
      <c r="N512" s="2935"/>
      <c r="O512" s="2935"/>
      <c r="P512" s="2935"/>
      <c r="Q512" s="2935"/>
      <c r="R512" s="2935"/>
      <c r="S512" s="2935"/>
      <c r="T512" s="2935"/>
      <c r="U512" s="2935"/>
      <c r="V512" s="2935"/>
      <c r="W512" s="2935"/>
      <c r="X512" s="293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</row>
    <row r="513" spans="1:42" s="120" customFormat="1" ht="12" customHeight="1">
      <c r="A513" s="60"/>
      <c r="B513" s="38" t="str">
        <f>B545</f>
        <v>August</v>
      </c>
      <c r="C513" s="37"/>
      <c r="D513" s="128"/>
      <c r="E513" s="36">
        <f>SUM(E514:E544)</f>
        <v>-136.99000000000075</v>
      </c>
      <c r="F513" s="36">
        <f>SUM(F514:F544)</f>
        <v>2076.35</v>
      </c>
      <c r="G513" s="36">
        <f>SUM(G514:G544)</f>
        <v>1037.5999999999999</v>
      </c>
      <c r="H513" s="36">
        <f t="shared" ref="H513:V513" si="29">SUM(H514:H543)</f>
        <v>1265.5900000000001</v>
      </c>
      <c r="I513" s="36">
        <f t="shared" si="29"/>
        <v>155.35</v>
      </c>
      <c r="J513" s="36">
        <f t="shared" si="29"/>
        <v>30</v>
      </c>
      <c r="K513" s="36">
        <f t="shared" si="29"/>
        <v>1000</v>
      </c>
      <c r="L513" s="36">
        <f t="shared" si="29"/>
        <v>58</v>
      </c>
      <c r="M513" s="36">
        <f t="shared" si="29"/>
        <v>121</v>
      </c>
      <c r="N513" s="36">
        <f t="shared" si="29"/>
        <v>7474</v>
      </c>
      <c r="O513" s="36">
        <f t="shared" si="29"/>
        <v>0</v>
      </c>
      <c r="P513" s="36">
        <f t="shared" si="29"/>
        <v>739.34999999999991</v>
      </c>
      <c r="Q513" s="36">
        <f t="shared" si="29"/>
        <v>863.75</v>
      </c>
      <c r="R513" s="36">
        <f t="shared" si="29"/>
        <v>52</v>
      </c>
      <c r="S513" s="36">
        <f t="shared" si="29"/>
        <v>500</v>
      </c>
      <c r="T513" s="36">
        <f t="shared" si="29"/>
        <v>0</v>
      </c>
      <c r="U513" s="36">
        <f t="shared" si="29"/>
        <v>1938.52</v>
      </c>
      <c r="V513" s="36">
        <f t="shared" si="29"/>
        <v>3000</v>
      </c>
      <c r="W513" s="36"/>
      <c r="X513" s="36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</row>
    <row r="514" spans="1:42" s="126" customFormat="1" ht="13.5" customHeight="1">
      <c r="A514" s="39"/>
      <c r="B514" s="34">
        <v>44407</v>
      </c>
      <c r="C514" s="34"/>
      <c r="D514" s="124" t="s">
        <v>34</v>
      </c>
      <c r="E514" s="124">
        <f>$AL$37</f>
        <v>-7859</v>
      </c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</row>
    <row r="515" spans="1:42" s="106" customFormat="1" ht="13.8">
      <c r="A515" s="125"/>
      <c r="B515" s="34">
        <v>44407</v>
      </c>
      <c r="C515" s="34"/>
      <c r="D515" s="124" t="s">
        <v>33</v>
      </c>
      <c r="E515" s="124">
        <f>-$T$6</f>
        <v>-205</v>
      </c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</row>
    <row r="516" spans="1:42" s="106" customFormat="1" ht="13.8">
      <c r="A516" s="125"/>
      <c r="B516" s="34">
        <v>44407</v>
      </c>
      <c r="C516" s="34"/>
      <c r="D516" s="124" t="s">
        <v>35</v>
      </c>
      <c r="E516" s="124">
        <f>$AK$37</f>
        <v>-11138</v>
      </c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</row>
    <row r="517" spans="1:42" s="106" customFormat="1" ht="13.8">
      <c r="A517" s="125"/>
      <c r="B517" s="34">
        <v>44407</v>
      </c>
      <c r="C517" s="34"/>
      <c r="D517" s="124" t="s">
        <v>57</v>
      </c>
      <c r="E517" s="124">
        <v>3000</v>
      </c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>
        <v>3000</v>
      </c>
      <c r="W517" s="124"/>
      <c r="X517" s="124"/>
    </row>
    <row r="518" spans="1:42" s="106" customFormat="1" ht="13.8">
      <c r="A518" s="125">
        <v>5</v>
      </c>
      <c r="B518" s="34">
        <v>44410</v>
      </c>
      <c r="C518" s="34"/>
      <c r="D518" s="124" t="s">
        <v>22</v>
      </c>
      <c r="E518" s="124">
        <v>138</v>
      </c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>
        <v>138</v>
      </c>
      <c r="R518" s="124"/>
      <c r="S518" s="124"/>
      <c r="T518" s="124"/>
      <c r="U518" s="124"/>
      <c r="V518" s="124"/>
      <c r="W518" s="124"/>
      <c r="X518" s="124"/>
    </row>
    <row r="519" spans="1:42" s="106" customFormat="1" ht="13.8">
      <c r="A519" s="125"/>
      <c r="B519" s="34">
        <v>44410</v>
      </c>
      <c r="C519" s="34"/>
      <c r="D519" s="124" t="s">
        <v>31</v>
      </c>
      <c r="E519" s="124">
        <f>$Y$37</f>
        <v>-1277</v>
      </c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</row>
    <row r="520" spans="1:42" s="106" customFormat="1" ht="13.8">
      <c r="A520" s="125"/>
      <c r="B520" s="34">
        <v>44410</v>
      </c>
      <c r="C520" s="34"/>
      <c r="D520" s="124" t="s">
        <v>30</v>
      </c>
      <c r="E520" s="124">
        <v>7474</v>
      </c>
      <c r="F520" s="124"/>
      <c r="G520" s="124"/>
      <c r="H520" s="124"/>
      <c r="I520" s="124"/>
      <c r="J520" s="124"/>
      <c r="K520" s="124"/>
      <c r="L520" s="124"/>
      <c r="M520" s="124"/>
      <c r="N520" s="124">
        <v>7474</v>
      </c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</row>
    <row r="521" spans="1:42" s="106" customFormat="1" ht="13.8">
      <c r="A521" s="125"/>
      <c r="B521" s="34">
        <v>44410</v>
      </c>
      <c r="C521" s="34"/>
      <c r="D521" s="124" t="s">
        <v>26</v>
      </c>
      <c r="E521" s="124">
        <v>1094.56</v>
      </c>
      <c r="F521" s="124">
        <v>1094.56</v>
      </c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</row>
    <row r="522" spans="1:42" s="106" customFormat="1" ht="13.8">
      <c r="A522" s="125"/>
      <c r="B522" s="34">
        <v>44410</v>
      </c>
      <c r="C522" s="34"/>
      <c r="D522" s="124" t="s">
        <v>182</v>
      </c>
      <c r="E522" s="124">
        <v>284</v>
      </c>
      <c r="F522" s="124">
        <v>284</v>
      </c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</row>
    <row r="523" spans="1:42" s="106" customFormat="1" ht="13.8">
      <c r="A523" s="125"/>
      <c r="B523" s="34">
        <v>44410</v>
      </c>
      <c r="C523" s="34"/>
      <c r="D523" s="124" t="s">
        <v>25</v>
      </c>
      <c r="E523" s="124">
        <v>1628.59</v>
      </c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>
        <v>521.9</v>
      </c>
      <c r="Q523" s="124"/>
      <c r="R523" s="124"/>
      <c r="S523" s="124"/>
      <c r="T523" s="124"/>
      <c r="U523" s="124">
        <v>1101.19</v>
      </c>
      <c r="V523" s="124"/>
      <c r="W523" s="124"/>
      <c r="X523" s="124"/>
    </row>
    <row r="524" spans="1:42" s="106" customFormat="1" ht="13.8">
      <c r="A524" s="125"/>
      <c r="B524" s="34">
        <v>44410</v>
      </c>
      <c r="C524" s="34"/>
      <c r="D524" s="124" t="s">
        <v>214</v>
      </c>
      <c r="E524" s="124">
        <v>52</v>
      </c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>
        <v>52</v>
      </c>
      <c r="S524" s="124"/>
      <c r="T524" s="124"/>
      <c r="U524" s="124"/>
      <c r="V524" s="124"/>
      <c r="W524" s="124"/>
      <c r="X524" s="124"/>
    </row>
    <row r="525" spans="1:42" s="106" customFormat="1" ht="13.8">
      <c r="A525" s="125"/>
      <c r="B525" s="34">
        <v>44410</v>
      </c>
      <c r="C525" s="34"/>
      <c r="D525" s="124" t="s">
        <v>183</v>
      </c>
      <c r="E525" s="124">
        <v>548.75</v>
      </c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>
        <v>548.75</v>
      </c>
      <c r="R525" s="124"/>
      <c r="S525" s="124"/>
      <c r="T525" s="124"/>
      <c r="U525" s="124"/>
      <c r="V525" s="124"/>
      <c r="W525" s="124"/>
      <c r="X525" s="124"/>
    </row>
    <row r="526" spans="1:42" s="106" customFormat="1" ht="13.8">
      <c r="A526" s="125"/>
      <c r="B526" s="34">
        <v>44410</v>
      </c>
      <c r="C526" s="34"/>
      <c r="D526" s="124" t="s">
        <v>213</v>
      </c>
      <c r="E526" s="124">
        <v>300</v>
      </c>
      <c r="F526" s="124">
        <v>300</v>
      </c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</row>
    <row r="527" spans="1:42" s="106" customFormat="1" ht="13.8">
      <c r="A527" s="125"/>
      <c r="B527" s="34">
        <v>44410</v>
      </c>
      <c r="C527" s="34"/>
      <c r="D527" s="124" t="s">
        <v>28</v>
      </c>
      <c r="E527" s="124">
        <v>200</v>
      </c>
      <c r="F527" s="124">
        <v>200</v>
      </c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</row>
    <row r="528" spans="1:42" s="106" customFormat="1" ht="13.8">
      <c r="A528" s="125"/>
      <c r="B528" s="34">
        <v>44410</v>
      </c>
      <c r="C528" s="34"/>
      <c r="D528" s="124" t="s">
        <v>21</v>
      </c>
      <c r="E528" s="124">
        <v>177</v>
      </c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>
        <v>177</v>
      </c>
      <c r="R528" s="124"/>
      <c r="S528" s="124"/>
      <c r="T528" s="124"/>
      <c r="U528" s="124"/>
      <c r="V528" s="124"/>
      <c r="W528" s="124"/>
      <c r="X528" s="124"/>
    </row>
    <row r="529" spans="1:24" s="106" customFormat="1" ht="13.8">
      <c r="A529" s="125"/>
      <c r="B529" s="34">
        <v>44413</v>
      </c>
      <c r="C529" s="34"/>
      <c r="D529" s="124" t="s">
        <v>20</v>
      </c>
      <c r="E529" s="124">
        <v>197.79</v>
      </c>
      <c r="F529" s="124">
        <v>197.79</v>
      </c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</row>
    <row r="530" spans="1:24" s="106" customFormat="1" ht="13.8">
      <c r="A530" s="125"/>
      <c r="B530" s="34">
        <v>44413</v>
      </c>
      <c r="C530" s="34"/>
      <c r="D530" s="124" t="s">
        <v>18</v>
      </c>
      <c r="E530" s="124">
        <v>217.45</v>
      </c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>
        <v>217.45</v>
      </c>
      <c r="Q530" s="124"/>
      <c r="R530" s="124"/>
      <c r="S530" s="124"/>
      <c r="T530" s="124"/>
      <c r="U530" s="124"/>
      <c r="V530" s="124"/>
      <c r="W530" s="124"/>
      <c r="X530" s="124"/>
    </row>
    <row r="531" spans="1:24" s="106" customFormat="1" ht="13.8">
      <c r="A531" s="125"/>
      <c r="B531" s="34">
        <v>44413</v>
      </c>
      <c r="C531" s="34"/>
      <c r="D531" s="124" t="s">
        <v>180</v>
      </c>
      <c r="E531" s="124">
        <v>179.33</v>
      </c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>
        <v>179.33</v>
      </c>
      <c r="V531" s="124"/>
      <c r="W531" s="124"/>
      <c r="X531" s="124"/>
    </row>
    <row r="532" spans="1:24" s="106" customFormat="1" ht="13.8">
      <c r="A532" s="125"/>
      <c r="B532" s="34">
        <v>44413</v>
      </c>
      <c r="C532" s="34"/>
      <c r="D532" s="124" t="s">
        <v>9</v>
      </c>
      <c r="E532" s="124">
        <v>500</v>
      </c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>
        <v>500</v>
      </c>
      <c r="T532" s="124"/>
      <c r="U532" s="124"/>
      <c r="V532" s="124"/>
      <c r="W532" s="124"/>
      <c r="X532" s="124"/>
    </row>
    <row r="533" spans="1:24" s="106" customFormat="1" ht="13.8">
      <c r="A533" s="125"/>
      <c r="B533" s="34">
        <v>44417</v>
      </c>
      <c r="C533" s="34"/>
      <c r="D533" s="124" t="s">
        <v>212</v>
      </c>
      <c r="E533" s="124">
        <v>268</v>
      </c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>
        <v>268</v>
      </c>
      <c r="V533" s="124"/>
      <c r="W533" s="124"/>
      <c r="X533" s="124"/>
    </row>
    <row r="534" spans="1:24" s="106" customFormat="1" ht="13.8">
      <c r="A534" s="125"/>
      <c r="B534" s="34">
        <v>44418</v>
      </c>
      <c r="C534" s="34"/>
      <c r="D534" s="124" t="s">
        <v>32</v>
      </c>
      <c r="E534" s="124">
        <v>290</v>
      </c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>
        <v>290</v>
      </c>
      <c r="V534" s="124"/>
      <c r="W534" s="124"/>
      <c r="X534" s="124"/>
    </row>
    <row r="535" spans="1:24" s="106" customFormat="1" ht="13.8">
      <c r="A535" s="125"/>
      <c r="B535" s="34">
        <v>44430</v>
      </c>
      <c r="C535" s="34"/>
      <c r="D535" s="124" t="s">
        <v>58</v>
      </c>
      <c r="E535" s="124">
        <v>100</v>
      </c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>
        <v>100</v>
      </c>
      <c r="V535" s="124"/>
      <c r="W535" s="124"/>
      <c r="X535" s="124"/>
    </row>
    <row r="536" spans="1:24" s="106" customFormat="1" ht="13.8">
      <c r="A536" s="125"/>
      <c r="B536" s="34"/>
      <c r="C536" s="34"/>
      <c r="D536" s="124" t="s">
        <v>162</v>
      </c>
      <c r="E536" s="124">
        <v>218</v>
      </c>
      <c r="F536" s="124"/>
      <c r="G536" s="124">
        <v>218</v>
      </c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</row>
    <row r="537" spans="1:24" s="106" customFormat="1" ht="13.8">
      <c r="A537" s="125"/>
      <c r="B537" s="34"/>
      <c r="C537" s="34"/>
      <c r="D537" s="124" t="s">
        <v>124</v>
      </c>
      <c r="E537" s="124">
        <v>125.35</v>
      </c>
      <c r="F537" s="124"/>
      <c r="G537" s="124"/>
      <c r="H537" s="124"/>
      <c r="I537" s="124">
        <v>125.35</v>
      </c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</row>
    <row r="538" spans="1:24" s="106" customFormat="1" ht="13.8">
      <c r="A538" s="125"/>
      <c r="B538" s="34"/>
      <c r="C538" s="34"/>
      <c r="D538" s="124" t="s">
        <v>211</v>
      </c>
      <c r="E538" s="124">
        <v>387</v>
      </c>
      <c r="F538" s="124"/>
      <c r="G538" s="124">
        <v>387</v>
      </c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</row>
    <row r="539" spans="1:24" s="106" customFormat="1" ht="13.8">
      <c r="A539" s="125"/>
      <c r="B539" s="34"/>
      <c r="C539" s="34"/>
      <c r="D539" s="124" t="s">
        <v>210</v>
      </c>
      <c r="E539" s="124">
        <v>200</v>
      </c>
      <c r="F539" s="124"/>
      <c r="G539" s="124">
        <v>200</v>
      </c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</row>
    <row r="540" spans="1:24" s="106" customFormat="1" ht="13.8">
      <c r="A540" s="125"/>
      <c r="B540" s="34"/>
      <c r="C540" s="34"/>
      <c r="D540" s="124" t="s">
        <v>42</v>
      </c>
      <c r="E540" s="124">
        <v>868.44</v>
      </c>
      <c r="F540" s="124"/>
      <c r="G540" s="124">
        <v>72.599999999999994</v>
      </c>
      <c r="H540" s="124">
        <v>200.84</v>
      </c>
      <c r="I540" s="124">
        <v>30</v>
      </c>
      <c r="J540" s="124">
        <v>30</v>
      </c>
      <c r="K540" s="124">
        <v>500</v>
      </c>
      <c r="L540" s="124">
        <v>17</v>
      </c>
      <c r="M540" s="124">
        <v>18</v>
      </c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1:24" s="106" customFormat="1" ht="13.8">
      <c r="A541" s="125"/>
      <c r="B541" s="34"/>
      <c r="C541" s="34"/>
      <c r="D541" s="124" t="s">
        <v>41</v>
      </c>
      <c r="E541" s="124">
        <v>321</v>
      </c>
      <c r="F541" s="124"/>
      <c r="G541" s="124"/>
      <c r="H541" s="124">
        <v>280</v>
      </c>
      <c r="I541" s="124"/>
      <c r="J541" s="124"/>
      <c r="K541" s="124"/>
      <c r="L541" s="124">
        <v>41</v>
      </c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</row>
    <row r="542" spans="1:24" s="106" customFormat="1" ht="13.8">
      <c r="A542" s="125"/>
      <c r="B542" s="34"/>
      <c r="C542" s="34"/>
      <c r="D542" s="124" t="s">
        <v>40</v>
      </c>
      <c r="E542" s="124">
        <v>1167.8</v>
      </c>
      <c r="F542" s="124"/>
      <c r="G542" s="124">
        <v>160</v>
      </c>
      <c r="H542" s="124">
        <v>384.8</v>
      </c>
      <c r="I542" s="124"/>
      <c r="J542" s="124"/>
      <c r="K542" s="124">
        <v>500</v>
      </c>
      <c r="L542" s="124"/>
      <c r="M542" s="124">
        <v>103</v>
      </c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1:24" s="106" customFormat="1" ht="13.8">
      <c r="A543" s="125"/>
      <c r="B543" s="34"/>
      <c r="C543" s="34"/>
      <c r="D543" s="124" t="s">
        <v>39</v>
      </c>
      <c r="E543" s="124">
        <v>399.95</v>
      </c>
      <c r="F543" s="124"/>
      <c r="G543" s="124"/>
      <c r="H543" s="124">
        <v>399.95</v>
      </c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</row>
    <row r="544" spans="1:24" s="106" customFormat="1" ht="13.8">
      <c r="A544" s="125"/>
      <c r="B544" s="34"/>
      <c r="C544" s="34"/>
      <c r="D544" s="124" t="s">
        <v>38</v>
      </c>
      <c r="E544" s="124">
        <f>5</f>
        <v>5</v>
      </c>
      <c r="F544" s="124"/>
      <c r="G544" s="124"/>
      <c r="H544" s="124">
        <f>5</f>
        <v>5</v>
      </c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</row>
    <row r="545" spans="1:42" s="106" customFormat="1" ht="13.8">
      <c r="A545" s="125"/>
      <c r="B545" s="2930" t="str">
        <f>K35</f>
        <v>August</v>
      </c>
      <c r="C545" s="2931"/>
      <c r="D545" s="2934" t="s">
        <v>36</v>
      </c>
      <c r="E545" s="2934">
        <f t="shared" ref="E545:W545" si="30">SUM(E546:E546)</f>
        <v>0</v>
      </c>
      <c r="F545" s="2934">
        <f t="shared" si="30"/>
        <v>0</v>
      </c>
      <c r="G545" s="2934">
        <f t="shared" si="30"/>
        <v>0</v>
      </c>
      <c r="H545" s="2934">
        <f t="shared" si="30"/>
        <v>0</v>
      </c>
      <c r="I545" s="2934">
        <f t="shared" si="30"/>
        <v>0</v>
      </c>
      <c r="J545" s="2934">
        <f t="shared" si="30"/>
        <v>0</v>
      </c>
      <c r="K545" s="2934">
        <f t="shared" si="30"/>
        <v>0</v>
      </c>
      <c r="L545" s="2934">
        <f t="shared" si="30"/>
        <v>0</v>
      </c>
      <c r="M545" s="2934">
        <f t="shared" si="30"/>
        <v>0</v>
      </c>
      <c r="N545" s="2934">
        <f t="shared" si="30"/>
        <v>0</v>
      </c>
      <c r="O545" s="2934">
        <f t="shared" si="30"/>
        <v>0</v>
      </c>
      <c r="P545" s="2934">
        <f t="shared" si="30"/>
        <v>0</v>
      </c>
      <c r="Q545" s="2934">
        <f t="shared" si="30"/>
        <v>0</v>
      </c>
      <c r="R545" s="2934">
        <f t="shared" si="30"/>
        <v>0</v>
      </c>
      <c r="S545" s="2934">
        <f t="shared" si="30"/>
        <v>0</v>
      </c>
      <c r="T545" s="2934">
        <f t="shared" si="30"/>
        <v>0</v>
      </c>
      <c r="U545" s="2934">
        <f t="shared" si="30"/>
        <v>0</v>
      </c>
      <c r="V545" s="2934">
        <f t="shared" si="30"/>
        <v>0</v>
      </c>
      <c r="W545" s="2934">
        <f t="shared" si="30"/>
        <v>0</v>
      </c>
      <c r="X545" s="2934"/>
    </row>
    <row r="546" spans="1:42" s="120" customFormat="1" ht="12" customHeight="1">
      <c r="A546" s="60"/>
      <c r="B546" s="2999"/>
      <c r="C546" s="3000"/>
      <c r="D546" s="2935"/>
      <c r="E546" s="2935"/>
      <c r="F546" s="2935"/>
      <c r="G546" s="2935"/>
      <c r="H546" s="2935"/>
      <c r="I546" s="2935"/>
      <c r="J546" s="2935"/>
      <c r="K546" s="2935"/>
      <c r="L546" s="2935"/>
      <c r="M546" s="2935"/>
      <c r="N546" s="2935"/>
      <c r="O546" s="2935"/>
      <c r="P546" s="2935"/>
      <c r="Q546" s="2935"/>
      <c r="R546" s="2935"/>
      <c r="S546" s="2935"/>
      <c r="T546" s="2935"/>
      <c r="U546" s="2935"/>
      <c r="V546" s="2935"/>
      <c r="W546" s="2935"/>
      <c r="X546" s="293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</row>
    <row r="547" spans="1:42" s="120" customFormat="1" ht="12" customHeight="1">
      <c r="A547" s="60"/>
      <c r="B547" s="38" t="str">
        <f>B583</f>
        <v>September</v>
      </c>
      <c r="C547" s="37"/>
      <c r="D547" s="128"/>
      <c r="E547" s="36">
        <f>SUM(E548:E582)</f>
        <v>371.77000000000027</v>
      </c>
      <c r="F547" s="36">
        <f>SUM(F548:F582)</f>
        <v>675.64</v>
      </c>
      <c r="G547" s="36">
        <f>SUM(G548:G582)</f>
        <v>731.2</v>
      </c>
      <c r="H547" s="36">
        <f t="shared" ref="H547:W547" si="31">SUM(H548:H581)</f>
        <v>2302.21</v>
      </c>
      <c r="I547" s="36">
        <f t="shared" si="31"/>
        <v>416.59999999999997</v>
      </c>
      <c r="J547" s="36">
        <f t="shared" si="31"/>
        <v>0</v>
      </c>
      <c r="K547" s="36">
        <f t="shared" si="31"/>
        <v>450</v>
      </c>
      <c r="L547" s="36">
        <f t="shared" si="31"/>
        <v>177.9</v>
      </c>
      <c r="M547" s="36">
        <f t="shared" si="31"/>
        <v>465.24</v>
      </c>
      <c r="N547" s="36">
        <f t="shared" si="31"/>
        <v>7474</v>
      </c>
      <c r="O547" s="36">
        <f t="shared" si="31"/>
        <v>0</v>
      </c>
      <c r="P547" s="36">
        <f t="shared" si="31"/>
        <v>802.76</v>
      </c>
      <c r="Q547" s="36">
        <f t="shared" si="31"/>
        <v>863.75</v>
      </c>
      <c r="R547" s="36">
        <f t="shared" si="31"/>
        <v>262</v>
      </c>
      <c r="S547" s="36">
        <f t="shared" si="31"/>
        <v>0</v>
      </c>
      <c r="T547" s="36">
        <f t="shared" si="31"/>
        <v>1068</v>
      </c>
      <c r="U547" s="36">
        <f t="shared" si="31"/>
        <v>3219.27</v>
      </c>
      <c r="V547" s="36">
        <f t="shared" si="31"/>
        <v>1000</v>
      </c>
      <c r="W547" s="36">
        <f t="shared" si="31"/>
        <v>0</v>
      </c>
      <c r="X547" s="36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</row>
    <row r="548" spans="1:42" s="126" customFormat="1" ht="13.5" customHeight="1">
      <c r="A548" s="39"/>
      <c r="B548" s="34">
        <v>44439</v>
      </c>
      <c r="C548" s="34" t="s">
        <v>189</v>
      </c>
      <c r="D548" s="124" t="s">
        <v>35</v>
      </c>
      <c r="E548" s="124">
        <v>-11138</v>
      </c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</row>
    <row r="549" spans="1:42" s="106" customFormat="1" ht="13.8">
      <c r="A549" s="125"/>
      <c r="B549" s="34">
        <v>44439</v>
      </c>
      <c r="C549" s="34" t="s">
        <v>189</v>
      </c>
      <c r="D549" s="124" t="s">
        <v>34</v>
      </c>
      <c r="E549" s="124">
        <v>-7859</v>
      </c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</row>
    <row r="550" spans="1:42" s="106" customFormat="1" ht="13.8">
      <c r="A550" s="125"/>
      <c r="B550" s="34">
        <v>44439</v>
      </c>
      <c r="C550" s="34" t="s">
        <v>189</v>
      </c>
      <c r="D550" s="124" t="s">
        <v>33</v>
      </c>
      <c r="E550" s="124">
        <v>-205</v>
      </c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</row>
    <row r="551" spans="1:42" s="106" customFormat="1" ht="13.8">
      <c r="A551" s="125"/>
      <c r="B551" s="34">
        <v>44439</v>
      </c>
      <c r="C551" s="34" t="s">
        <v>189</v>
      </c>
      <c r="D551" s="124" t="s">
        <v>209</v>
      </c>
      <c r="E551" s="124">
        <v>1068</v>
      </c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>
        <v>1068</v>
      </c>
      <c r="U551" s="124"/>
      <c r="V551" s="124"/>
      <c r="W551" s="124"/>
      <c r="X551" s="124"/>
    </row>
    <row r="552" spans="1:42" s="106" customFormat="1" ht="13.8">
      <c r="A552" s="125"/>
      <c r="B552" s="34">
        <v>44439</v>
      </c>
      <c r="C552" s="34"/>
      <c r="D552" s="124" t="s">
        <v>57</v>
      </c>
      <c r="E552" s="124">
        <v>1000</v>
      </c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>
        <v>1000</v>
      </c>
      <c r="W552" s="124"/>
      <c r="X552" s="124"/>
    </row>
    <row r="553" spans="1:42" s="106" customFormat="1" ht="13.8">
      <c r="A553" s="125">
        <v>5</v>
      </c>
      <c r="B553" s="34">
        <v>44439</v>
      </c>
      <c r="C553" s="34" t="s">
        <v>189</v>
      </c>
      <c r="D553" s="124" t="s">
        <v>200</v>
      </c>
      <c r="E553" s="124">
        <v>1945</v>
      </c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>
        <v>1945</v>
      </c>
      <c r="V553" s="124"/>
      <c r="W553" s="124"/>
      <c r="X553" s="124"/>
    </row>
    <row r="554" spans="1:42" s="106" customFormat="1" ht="13.8">
      <c r="A554" s="125"/>
      <c r="B554" s="34">
        <v>44439</v>
      </c>
      <c r="C554" s="34"/>
      <c r="D554" s="124" t="s">
        <v>208</v>
      </c>
      <c r="E554" s="124">
        <v>39</v>
      </c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>
        <v>39</v>
      </c>
      <c r="Q554" s="124"/>
      <c r="R554" s="124"/>
      <c r="S554" s="124"/>
      <c r="T554" s="124"/>
      <c r="U554" s="124"/>
      <c r="V554" s="124"/>
      <c r="W554" s="124"/>
      <c r="X554" s="124"/>
    </row>
    <row r="555" spans="1:42" s="106" customFormat="1" ht="13.8">
      <c r="A555" s="125"/>
      <c r="B555" s="34">
        <v>44439</v>
      </c>
      <c r="C555" s="34"/>
      <c r="D555" s="124" t="s">
        <v>196</v>
      </c>
      <c r="E555" s="124">
        <v>112</v>
      </c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>
        <v>112</v>
      </c>
      <c r="S555" s="124"/>
      <c r="T555" s="124"/>
      <c r="U555" s="124"/>
      <c r="V555" s="124"/>
      <c r="W555" s="124"/>
      <c r="X555" s="124"/>
    </row>
    <row r="556" spans="1:42" s="106" customFormat="1" ht="13.8">
      <c r="A556" s="125"/>
      <c r="B556" s="34">
        <v>44439</v>
      </c>
      <c r="C556" s="34"/>
      <c r="D556" s="124" t="s">
        <v>162</v>
      </c>
      <c r="E556" s="124">
        <f>172.95+49.75</f>
        <v>222.7</v>
      </c>
      <c r="F556" s="124"/>
      <c r="G556" s="124">
        <f>172.95+49.75</f>
        <v>222.7</v>
      </c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</row>
    <row r="557" spans="1:42" s="106" customFormat="1" ht="13.8">
      <c r="A557" s="125"/>
      <c r="B557" s="34">
        <v>44439</v>
      </c>
      <c r="C557" s="34"/>
      <c r="D557" s="124" t="s">
        <v>207</v>
      </c>
      <c r="E557" s="124">
        <f>239.74+75</f>
        <v>314.74</v>
      </c>
      <c r="F557" s="124"/>
      <c r="G557" s="124"/>
      <c r="H557" s="124"/>
      <c r="I557" s="124"/>
      <c r="J557" s="124"/>
      <c r="K557" s="124"/>
      <c r="L557" s="124"/>
      <c r="M557" s="124">
        <v>314.74</v>
      </c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</row>
    <row r="558" spans="1:42" s="106" customFormat="1" ht="13.8">
      <c r="A558" s="125"/>
      <c r="B558" s="34">
        <v>44440</v>
      </c>
      <c r="C558" s="34" t="s">
        <v>189</v>
      </c>
      <c r="D558" s="124" t="s">
        <v>31</v>
      </c>
      <c r="E558" s="124">
        <v>-1277</v>
      </c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</row>
    <row r="559" spans="1:42" s="106" customFormat="1" ht="13.8">
      <c r="A559" s="125"/>
      <c r="B559" s="34">
        <v>44440</v>
      </c>
      <c r="C559" s="34" t="s">
        <v>189</v>
      </c>
      <c r="D559" s="124" t="s">
        <v>30</v>
      </c>
      <c r="E559" s="124">
        <v>7474</v>
      </c>
      <c r="F559" s="124"/>
      <c r="G559" s="124"/>
      <c r="H559" s="124"/>
      <c r="I559" s="124"/>
      <c r="J559" s="124"/>
      <c r="K559" s="124"/>
      <c r="L559" s="124"/>
      <c r="M559" s="124"/>
      <c r="N559" s="124">
        <v>7474</v>
      </c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</row>
    <row r="560" spans="1:42" s="106" customFormat="1" ht="13.8">
      <c r="A560" s="125"/>
      <c r="B560" s="34">
        <v>44440</v>
      </c>
      <c r="C560" s="34" t="s">
        <v>189</v>
      </c>
      <c r="D560" s="124" t="s">
        <v>28</v>
      </c>
      <c r="E560" s="124">
        <v>200</v>
      </c>
      <c r="F560" s="124">
        <v>200</v>
      </c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</row>
    <row r="561" spans="1:24" s="106" customFormat="1" ht="13.8">
      <c r="A561" s="125"/>
      <c r="B561" s="34">
        <v>44440</v>
      </c>
      <c r="C561" s="34" t="s">
        <v>189</v>
      </c>
      <c r="D561" s="124" t="s">
        <v>182</v>
      </c>
      <c r="E561" s="124">
        <v>284</v>
      </c>
      <c r="F561" s="124">
        <v>284</v>
      </c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</row>
    <row r="562" spans="1:24" s="106" customFormat="1" ht="13.8">
      <c r="A562" s="125"/>
      <c r="B562" s="34">
        <v>44440</v>
      </c>
      <c r="C562" s="34" t="s">
        <v>189</v>
      </c>
      <c r="D562" s="124" t="s">
        <v>183</v>
      </c>
      <c r="E562" s="124">
        <v>548.75</v>
      </c>
      <c r="F562" s="124"/>
      <c r="G562" s="172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>
        <v>548.75</v>
      </c>
      <c r="R562" s="124"/>
      <c r="S562" s="124"/>
      <c r="T562" s="124"/>
      <c r="U562" s="124"/>
      <c r="V562" s="124"/>
      <c r="W562" s="124"/>
      <c r="X562" s="124"/>
    </row>
    <row r="563" spans="1:24" s="106" customFormat="1" ht="13.8">
      <c r="A563" s="125"/>
      <c r="B563" s="34">
        <v>44440</v>
      </c>
      <c r="C563" s="34" t="s">
        <v>189</v>
      </c>
      <c r="D563" s="124" t="s">
        <v>25</v>
      </c>
      <c r="E563" s="124">
        <v>1659.11</v>
      </c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>
        <v>553.11</v>
      </c>
      <c r="Q563" s="124"/>
      <c r="R563" s="124"/>
      <c r="S563" s="124"/>
      <c r="T563" s="124"/>
      <c r="U563" s="124">
        <v>1100.5</v>
      </c>
      <c r="V563" s="124"/>
      <c r="W563" s="124"/>
      <c r="X563" s="124"/>
    </row>
    <row r="564" spans="1:24" s="106" customFormat="1" ht="13.8">
      <c r="A564" s="125"/>
      <c r="B564" s="34">
        <v>44440</v>
      </c>
      <c r="C564" s="34" t="s">
        <v>189</v>
      </c>
      <c r="D564" s="124" t="s">
        <v>206</v>
      </c>
      <c r="E564" s="124">
        <v>150</v>
      </c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>
        <v>150</v>
      </c>
      <c r="S564" s="124"/>
      <c r="T564" s="124"/>
      <c r="U564" s="124"/>
      <c r="V564" s="124"/>
      <c r="W564" s="124"/>
      <c r="X564" s="124"/>
    </row>
    <row r="565" spans="1:24" s="106" customFormat="1" ht="13.8">
      <c r="A565" s="125"/>
      <c r="B565" s="34">
        <v>44440</v>
      </c>
      <c r="C565" s="34"/>
      <c r="D565" s="124" t="s">
        <v>167</v>
      </c>
      <c r="E565" s="124">
        <v>200</v>
      </c>
      <c r="F565" s="124"/>
      <c r="G565" s="124">
        <v>200</v>
      </c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</row>
    <row r="566" spans="1:24" s="106" customFormat="1" ht="13.8">
      <c r="A566" s="125"/>
      <c r="B566" s="34">
        <v>44440</v>
      </c>
      <c r="C566" s="34" t="s">
        <v>189</v>
      </c>
      <c r="D566" s="124" t="s">
        <v>22</v>
      </c>
      <c r="E566" s="124">
        <v>138</v>
      </c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>
        <v>138</v>
      </c>
      <c r="R566" s="124"/>
      <c r="S566" s="124"/>
      <c r="T566" s="124"/>
      <c r="U566" s="124"/>
      <c r="V566" s="124"/>
      <c r="W566" s="124"/>
      <c r="X566" s="124"/>
    </row>
    <row r="567" spans="1:24" s="106" customFormat="1" ht="13.8">
      <c r="A567" s="125"/>
      <c r="B567" s="34">
        <v>44440</v>
      </c>
      <c r="C567" s="34"/>
      <c r="D567" s="124" t="s">
        <v>205</v>
      </c>
      <c r="E567" s="124">
        <v>34</v>
      </c>
      <c r="F567" s="124"/>
      <c r="G567" s="124">
        <v>34</v>
      </c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</row>
    <row r="568" spans="1:24" s="106" customFormat="1" ht="13.8">
      <c r="A568" s="125"/>
      <c r="B568" s="34">
        <v>44440</v>
      </c>
      <c r="C568" s="34"/>
      <c r="D568" s="124" t="s">
        <v>204</v>
      </c>
      <c r="E568" s="124">
        <v>75</v>
      </c>
      <c r="F568" s="124"/>
      <c r="G568" s="124">
        <v>75</v>
      </c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</row>
    <row r="569" spans="1:24" s="106" customFormat="1" ht="13.8">
      <c r="A569" s="125"/>
      <c r="B569" s="34">
        <v>44440</v>
      </c>
      <c r="C569" s="34" t="s">
        <v>189</v>
      </c>
      <c r="D569" s="124" t="s">
        <v>21</v>
      </c>
      <c r="E569" s="124">
        <f>$AM$37</f>
        <v>177</v>
      </c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>
        <f>E569</f>
        <v>177</v>
      </c>
      <c r="R569" s="124"/>
      <c r="S569" s="124"/>
      <c r="T569" s="124"/>
      <c r="U569" s="124"/>
      <c r="V569" s="124"/>
      <c r="W569" s="124"/>
      <c r="X569" s="124"/>
    </row>
    <row r="570" spans="1:24" s="106" customFormat="1" ht="13.8">
      <c r="A570" s="125"/>
      <c r="B570" s="34">
        <v>44445</v>
      </c>
      <c r="C570" s="34"/>
      <c r="D570" s="124" t="s">
        <v>203</v>
      </c>
      <c r="E570" s="124">
        <f>60+139.5</f>
        <v>199.5</v>
      </c>
      <c r="F570" s="124"/>
      <c r="G570" s="124">
        <f>60+139.5</f>
        <v>199.5</v>
      </c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</row>
    <row r="571" spans="1:24" s="106" customFormat="1" ht="13.8">
      <c r="A571" s="125"/>
      <c r="B571" s="34">
        <v>44445</v>
      </c>
      <c r="C571" s="34" t="s">
        <v>189</v>
      </c>
      <c r="D571" s="124" t="s">
        <v>20</v>
      </c>
      <c r="E571" s="124">
        <v>191.64</v>
      </c>
      <c r="F571" s="124">
        <v>191.64</v>
      </c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</row>
    <row r="572" spans="1:24" s="106" customFormat="1" ht="13.8">
      <c r="A572" s="125"/>
      <c r="B572" s="34">
        <v>44445</v>
      </c>
      <c r="C572" s="34" t="s">
        <v>189</v>
      </c>
      <c r="D572" s="124" t="s">
        <v>18</v>
      </c>
      <c r="E572" s="124">
        <v>210.65</v>
      </c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>
        <v>210.65</v>
      </c>
      <c r="Q572" s="124"/>
      <c r="R572" s="124"/>
      <c r="S572" s="124"/>
      <c r="T572" s="124"/>
      <c r="U572" s="124"/>
      <c r="V572" s="124"/>
      <c r="W572" s="124"/>
      <c r="X572" s="124"/>
    </row>
    <row r="573" spans="1:24" s="106" customFormat="1" ht="13.8">
      <c r="A573" s="125"/>
      <c r="B573" s="34">
        <v>44445</v>
      </c>
      <c r="C573" s="34" t="s">
        <v>189</v>
      </c>
      <c r="D573" s="124" t="s">
        <v>180</v>
      </c>
      <c r="E573" s="124">
        <v>173.77</v>
      </c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>
        <v>173.77</v>
      </c>
      <c r="V573" s="124"/>
      <c r="W573" s="124"/>
      <c r="X573" s="124"/>
    </row>
    <row r="574" spans="1:24" s="106" customFormat="1" ht="13.8">
      <c r="A574" s="125"/>
      <c r="B574" s="34"/>
      <c r="C574" s="34"/>
      <c r="D574" s="124" t="s">
        <v>202</v>
      </c>
      <c r="E574" s="124">
        <v>149</v>
      </c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</row>
    <row r="575" spans="1:24" s="106" customFormat="1" ht="13.8">
      <c r="A575" s="125"/>
      <c r="B575" s="34"/>
      <c r="C575" s="34"/>
      <c r="D575" s="124" t="s">
        <v>195</v>
      </c>
      <c r="E575" s="124">
        <v>123.9</v>
      </c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</row>
    <row r="576" spans="1:24" s="106" customFormat="1" ht="13.8">
      <c r="A576" s="125"/>
      <c r="B576" s="34"/>
      <c r="C576" s="34"/>
      <c r="D576" s="124" t="s">
        <v>124</v>
      </c>
      <c r="E576" s="124">
        <v>356.65</v>
      </c>
      <c r="F576" s="124"/>
      <c r="G576" s="124"/>
      <c r="H576" s="124"/>
      <c r="I576" s="124">
        <v>356.65</v>
      </c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</row>
    <row r="577" spans="1:42" s="106" customFormat="1" ht="13.8">
      <c r="A577" s="125"/>
      <c r="B577" s="34"/>
      <c r="C577" s="34"/>
      <c r="D577" s="124" t="s">
        <v>123</v>
      </c>
      <c r="E577" s="124">
        <v>39.950000000000003</v>
      </c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</row>
    <row r="578" spans="1:42" s="106" customFormat="1" ht="13.8">
      <c r="A578" s="125"/>
      <c r="B578" s="34"/>
      <c r="C578" s="34"/>
      <c r="D578" s="124" t="s">
        <v>42</v>
      </c>
      <c r="E578" s="124">
        <v>887.25</v>
      </c>
      <c r="F578" s="124"/>
      <c r="G578" s="124"/>
      <c r="H578" s="124">
        <v>627.29999999999995</v>
      </c>
      <c r="I578" s="124">
        <v>59.95</v>
      </c>
      <c r="J578" s="124"/>
      <c r="K578" s="124"/>
      <c r="L578" s="124">
        <v>124</v>
      </c>
      <c r="M578" s="124">
        <v>76</v>
      </c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</row>
    <row r="579" spans="1:42" s="106" customFormat="1" ht="13.8">
      <c r="A579" s="125"/>
      <c r="B579" s="34"/>
      <c r="C579" s="34"/>
      <c r="D579" s="124" t="s">
        <v>41</v>
      </c>
      <c r="E579" s="124">
        <v>480.4</v>
      </c>
      <c r="F579" s="124"/>
      <c r="G579" s="124"/>
      <c r="H579" s="124">
        <v>397</v>
      </c>
      <c r="I579" s="124"/>
      <c r="J579" s="124"/>
      <c r="K579" s="124"/>
      <c r="L579" s="124">
        <v>53.9</v>
      </c>
      <c r="M579" s="124">
        <v>29.5</v>
      </c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</row>
    <row r="580" spans="1:42" s="106" customFormat="1" ht="13.8">
      <c r="A580" s="125"/>
      <c r="B580" s="34"/>
      <c r="C580" s="34"/>
      <c r="D580" s="124" t="s">
        <v>40</v>
      </c>
      <c r="E580" s="124">
        <v>1825.96</v>
      </c>
      <c r="F580" s="124"/>
      <c r="G580" s="124"/>
      <c r="H580" s="124">
        <v>991.96</v>
      </c>
      <c r="I580" s="124"/>
      <c r="J580" s="124"/>
      <c r="K580" s="124">
        <v>450</v>
      </c>
      <c r="L580" s="124"/>
      <c r="M580" s="124">
        <v>45</v>
      </c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</row>
    <row r="581" spans="1:42" s="106" customFormat="1" ht="13.8">
      <c r="A581" s="125"/>
      <c r="B581" s="34"/>
      <c r="C581" s="34"/>
      <c r="D581" s="124" t="s">
        <v>39</v>
      </c>
      <c r="E581" s="124">
        <v>285.95</v>
      </c>
      <c r="F581" s="124"/>
      <c r="G581" s="124"/>
      <c r="H581" s="124">
        <v>285.95</v>
      </c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</row>
    <row r="582" spans="1:42" s="106" customFormat="1" ht="13.8">
      <c r="A582" s="125"/>
      <c r="B582" s="34"/>
      <c r="C582" s="34"/>
      <c r="D582" s="124" t="s">
        <v>38</v>
      </c>
      <c r="E582" s="124">
        <v>284.85000000000002</v>
      </c>
      <c r="F582" s="124"/>
      <c r="G582" s="124"/>
      <c r="H582" s="124">
        <v>284.85000000000002</v>
      </c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</row>
    <row r="583" spans="1:42" s="106" customFormat="1" ht="13.8">
      <c r="A583" s="125"/>
      <c r="B583" s="2930" t="str">
        <f>L35</f>
        <v>September</v>
      </c>
      <c r="C583" s="2931"/>
      <c r="D583" s="2934" t="s">
        <v>36</v>
      </c>
      <c r="E583" s="2934">
        <f t="shared" ref="E583:W583" si="32">SUM(E584:E584)</f>
        <v>0</v>
      </c>
      <c r="F583" s="2934">
        <f t="shared" si="32"/>
        <v>0</v>
      </c>
      <c r="G583" s="2934">
        <f t="shared" si="32"/>
        <v>0</v>
      </c>
      <c r="H583" s="2934">
        <f t="shared" si="32"/>
        <v>0</v>
      </c>
      <c r="I583" s="2934">
        <f t="shared" si="32"/>
        <v>0</v>
      </c>
      <c r="J583" s="2934">
        <f t="shared" si="32"/>
        <v>0</v>
      </c>
      <c r="K583" s="2934">
        <f t="shared" si="32"/>
        <v>0</v>
      </c>
      <c r="L583" s="2934">
        <f t="shared" si="32"/>
        <v>0</v>
      </c>
      <c r="M583" s="2934">
        <f t="shared" si="32"/>
        <v>0</v>
      </c>
      <c r="N583" s="2934">
        <f t="shared" si="32"/>
        <v>0</v>
      </c>
      <c r="O583" s="2934">
        <f t="shared" si="32"/>
        <v>0</v>
      </c>
      <c r="P583" s="2934">
        <f t="shared" si="32"/>
        <v>0</v>
      </c>
      <c r="Q583" s="2934">
        <f t="shared" si="32"/>
        <v>0</v>
      </c>
      <c r="R583" s="2934">
        <f t="shared" si="32"/>
        <v>0</v>
      </c>
      <c r="S583" s="2934">
        <f t="shared" si="32"/>
        <v>0</v>
      </c>
      <c r="T583" s="2934">
        <f t="shared" si="32"/>
        <v>0</v>
      </c>
      <c r="U583" s="2934">
        <f t="shared" si="32"/>
        <v>0</v>
      </c>
      <c r="V583" s="2934">
        <f t="shared" si="32"/>
        <v>0</v>
      </c>
      <c r="W583" s="2934">
        <f t="shared" si="32"/>
        <v>0</v>
      </c>
      <c r="X583" s="2934"/>
    </row>
    <row r="584" spans="1:42" s="120" customFormat="1" ht="12" customHeight="1">
      <c r="A584" s="60"/>
      <c r="B584" s="2999"/>
      <c r="C584" s="3000"/>
      <c r="D584" s="2935"/>
      <c r="E584" s="2935"/>
      <c r="F584" s="2935"/>
      <c r="G584" s="2935"/>
      <c r="H584" s="2935"/>
      <c r="I584" s="2935"/>
      <c r="J584" s="2935"/>
      <c r="K584" s="2935"/>
      <c r="L584" s="2935"/>
      <c r="M584" s="2935"/>
      <c r="N584" s="2935"/>
      <c r="O584" s="2935"/>
      <c r="P584" s="2935"/>
      <c r="Q584" s="2935"/>
      <c r="R584" s="2935"/>
      <c r="S584" s="2935"/>
      <c r="T584" s="2935"/>
      <c r="U584" s="2935"/>
      <c r="V584" s="2935"/>
      <c r="W584" s="2935"/>
      <c r="X584" s="293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</row>
    <row r="585" spans="1:42" s="102" customFormat="1" ht="15" customHeight="1">
      <c r="A585" s="121"/>
      <c r="B585" s="2988" t="str">
        <f>B621</f>
        <v>Oktober</v>
      </c>
      <c r="C585" s="2989"/>
      <c r="D585" s="170"/>
      <c r="E585" s="170">
        <f>SUM(E586:E620)</f>
        <v>-2028.5299999999995</v>
      </c>
      <c r="F585" s="170">
        <f>SUM(F586:F620)</f>
        <v>581.79</v>
      </c>
      <c r="G585" s="170">
        <f>SUM(G586:G620)</f>
        <v>1818.3100000000002</v>
      </c>
      <c r="H585" s="170">
        <f t="shared" ref="H585:W585" si="33">SUM(H586:H617)</f>
        <v>1985.6299999999997</v>
      </c>
      <c r="I585" s="170">
        <f t="shared" si="33"/>
        <v>1059.6000000000001</v>
      </c>
      <c r="J585" s="170">
        <f t="shared" si="33"/>
        <v>101.69999999999999</v>
      </c>
      <c r="K585" s="170">
        <f t="shared" si="33"/>
        <v>1320</v>
      </c>
      <c r="L585" s="170">
        <f t="shared" si="33"/>
        <v>338.95</v>
      </c>
      <c r="M585" s="170">
        <f t="shared" si="33"/>
        <v>143</v>
      </c>
      <c r="N585" s="170">
        <f t="shared" si="33"/>
        <v>0</v>
      </c>
      <c r="O585" s="169">
        <f t="shared" si="33"/>
        <v>1580.15</v>
      </c>
      <c r="P585" s="170" t="e">
        <f t="shared" si="33"/>
        <v>#REF!</v>
      </c>
      <c r="Q585" s="170">
        <f t="shared" si="33"/>
        <v>1212.78</v>
      </c>
      <c r="R585" s="170">
        <f t="shared" si="33"/>
        <v>368</v>
      </c>
      <c r="S585" s="170">
        <f t="shared" si="33"/>
        <v>0</v>
      </c>
      <c r="T585" s="170">
        <f t="shared" si="33"/>
        <v>0</v>
      </c>
      <c r="U585" s="170" t="e">
        <f t="shared" si="33"/>
        <v>#REF!</v>
      </c>
      <c r="V585" s="169">
        <f t="shared" si="33"/>
        <v>1000</v>
      </c>
      <c r="W585" s="169">
        <f t="shared" si="33"/>
        <v>0</v>
      </c>
      <c r="X585" s="169"/>
    </row>
    <row r="586" spans="1:42" s="126" customFormat="1" ht="13.5" customHeight="1">
      <c r="A586" s="39"/>
      <c r="B586" s="34">
        <v>44469</v>
      </c>
      <c r="C586" s="34" t="s">
        <v>189</v>
      </c>
      <c r="D586" s="124" t="s">
        <v>35</v>
      </c>
      <c r="E586" s="124">
        <v>-11138</v>
      </c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</row>
    <row r="587" spans="1:42" s="106" customFormat="1" ht="13.8">
      <c r="A587" s="125"/>
      <c r="B587" s="34">
        <v>44469</v>
      </c>
      <c r="C587" s="34" t="s">
        <v>189</v>
      </c>
      <c r="D587" s="124" t="s">
        <v>34</v>
      </c>
      <c r="E587" s="124">
        <v>-7859</v>
      </c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</row>
    <row r="588" spans="1:42" s="106" customFormat="1" ht="13.8">
      <c r="A588" s="125"/>
      <c r="B588" s="34">
        <v>44469</v>
      </c>
      <c r="C588" s="34" t="s">
        <v>189</v>
      </c>
      <c r="D588" s="124" t="s">
        <v>33</v>
      </c>
      <c r="E588" s="124">
        <v>-205</v>
      </c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</row>
    <row r="589" spans="1:42" s="106" customFormat="1" ht="13.8">
      <c r="A589" s="125"/>
      <c r="B589" s="34">
        <v>44469</v>
      </c>
      <c r="C589" s="34" t="s">
        <v>189</v>
      </c>
      <c r="D589" s="124" t="s">
        <v>201</v>
      </c>
      <c r="E589" s="124">
        <v>1561.29</v>
      </c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>
        <v>762.61</v>
      </c>
      <c r="Q589" s="124"/>
      <c r="R589" s="124"/>
      <c r="S589" s="124"/>
      <c r="T589" s="124"/>
      <c r="U589" s="124">
        <v>798.68</v>
      </c>
      <c r="V589" s="124"/>
      <c r="W589" s="124"/>
      <c r="X589" s="124"/>
    </row>
    <row r="590" spans="1:42" s="106" customFormat="1" ht="13.8">
      <c r="A590" s="125"/>
      <c r="B590" s="34">
        <v>44469</v>
      </c>
      <c r="C590" s="34" t="s">
        <v>189</v>
      </c>
      <c r="D590" s="124" t="s">
        <v>200</v>
      </c>
      <c r="E590" s="124">
        <v>1339</v>
      </c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>
        <v>1339</v>
      </c>
      <c r="V590" s="124"/>
      <c r="W590" s="124"/>
      <c r="X590" s="124"/>
    </row>
    <row r="591" spans="1:42" s="106" customFormat="1" ht="13.8">
      <c r="A591" s="125"/>
      <c r="B591" s="34">
        <v>44469</v>
      </c>
      <c r="C591" s="34" t="s">
        <v>189</v>
      </c>
      <c r="D591" s="124" t="s">
        <v>57</v>
      </c>
      <c r="E591" s="124">
        <v>1000</v>
      </c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>
        <v>1000</v>
      </c>
      <c r="W591" s="124"/>
      <c r="X591" s="124"/>
    </row>
    <row r="592" spans="1:42" s="106" customFormat="1" ht="13.8">
      <c r="A592" s="125">
        <v>5</v>
      </c>
      <c r="B592" s="34">
        <v>44469</v>
      </c>
      <c r="C592" s="34"/>
      <c r="D592" s="171" t="s">
        <v>199</v>
      </c>
      <c r="E592" s="124">
        <f>725.2+140+288+136+136+24.95+244.75+89+139+103.8+17.95</f>
        <v>2044.65</v>
      </c>
      <c r="F592" s="124"/>
      <c r="G592" s="124">
        <f>E592-M592-O592</f>
        <v>394.5</v>
      </c>
      <c r="H592" s="124"/>
      <c r="I592" s="124"/>
      <c r="J592" s="124"/>
      <c r="K592" s="124"/>
      <c r="L592" s="124"/>
      <c r="M592" s="124">
        <v>70</v>
      </c>
      <c r="N592" s="124"/>
      <c r="O592" s="124">
        <f>725.2+140+218+136+136+24.95+200</f>
        <v>1580.15</v>
      </c>
      <c r="P592" s="124"/>
      <c r="Q592" s="124"/>
      <c r="R592" s="124"/>
      <c r="S592" s="124"/>
      <c r="T592" s="124"/>
      <c r="U592" s="124"/>
      <c r="V592" s="124"/>
      <c r="W592" s="124"/>
      <c r="X592" s="124"/>
    </row>
    <row r="593" spans="1:24" s="106" customFormat="1" ht="13.8">
      <c r="A593" s="125"/>
      <c r="B593" s="34">
        <v>44469</v>
      </c>
      <c r="C593" s="34"/>
      <c r="D593" s="124" t="s">
        <v>124</v>
      </c>
      <c r="E593" s="124">
        <v>195.1</v>
      </c>
      <c r="F593" s="124"/>
      <c r="G593" s="124"/>
      <c r="H593" s="124"/>
      <c r="I593" s="124">
        <v>158.69999999999999</v>
      </c>
      <c r="J593" s="124">
        <v>36.4</v>
      </c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</row>
    <row r="594" spans="1:24" s="106" customFormat="1" ht="13.8">
      <c r="A594" s="125"/>
      <c r="B594" s="34">
        <v>44469</v>
      </c>
      <c r="C594" s="34"/>
      <c r="D594" s="124" t="s">
        <v>198</v>
      </c>
      <c r="E594" s="124">
        <v>297</v>
      </c>
      <c r="F594" s="124"/>
      <c r="G594" s="124">
        <v>297</v>
      </c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</row>
    <row r="595" spans="1:24" s="106" customFormat="1" ht="13.8">
      <c r="A595" s="125"/>
      <c r="B595" s="34">
        <v>44470</v>
      </c>
      <c r="C595" s="34" t="s">
        <v>189</v>
      </c>
      <c r="D595" s="124" t="s">
        <v>31</v>
      </c>
      <c r="E595" s="124">
        <f>$Y$37</f>
        <v>-1277</v>
      </c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</row>
    <row r="596" spans="1:24" s="106" customFormat="1" ht="13.8">
      <c r="A596" s="125"/>
      <c r="B596" s="34">
        <v>44470</v>
      </c>
      <c r="C596" s="34" t="s">
        <v>189</v>
      </c>
      <c r="D596" s="124" t="s">
        <v>28</v>
      </c>
      <c r="E596" s="124">
        <v>200</v>
      </c>
      <c r="F596" s="124">
        <v>200</v>
      </c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</row>
    <row r="597" spans="1:24" s="106" customFormat="1" ht="13.8">
      <c r="A597" s="125"/>
      <c r="B597" s="34">
        <v>44470</v>
      </c>
      <c r="C597" s="34" t="s">
        <v>189</v>
      </c>
      <c r="D597" s="124" t="s">
        <v>182</v>
      </c>
      <c r="E597" s="124">
        <v>184</v>
      </c>
      <c r="F597" s="124">
        <f>E597</f>
        <v>184</v>
      </c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</row>
    <row r="598" spans="1:24" s="106" customFormat="1" ht="13.8">
      <c r="A598" s="125"/>
      <c r="B598" s="34">
        <v>44470</v>
      </c>
      <c r="C598" s="34" t="s">
        <v>189</v>
      </c>
      <c r="D598" s="124" t="s">
        <v>183</v>
      </c>
      <c r="E598" s="124">
        <v>548.78</v>
      </c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>
        <v>548.78</v>
      </c>
      <c r="R598" s="124"/>
      <c r="S598" s="124"/>
      <c r="T598" s="124"/>
      <c r="U598" s="124"/>
      <c r="V598" s="124"/>
      <c r="W598" s="124"/>
      <c r="X598" s="124"/>
    </row>
    <row r="599" spans="1:24" s="106" customFormat="1" ht="13.8">
      <c r="A599" s="125"/>
      <c r="B599" s="34">
        <v>44470</v>
      </c>
      <c r="C599" s="34" t="s">
        <v>189</v>
      </c>
      <c r="D599" s="124" t="s">
        <v>25</v>
      </c>
      <c r="E599" s="124">
        <v>2093.7600000000002</v>
      </c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 t="e">
        <f>#REF!</f>
        <v>#REF!</v>
      </c>
      <c r="Q599" s="124"/>
      <c r="R599" s="124"/>
      <c r="S599" s="124"/>
      <c r="T599" s="124"/>
      <c r="U599" s="124" t="e">
        <f>#REF!</f>
        <v>#REF!</v>
      </c>
      <c r="V599" s="124"/>
      <c r="W599" s="124"/>
      <c r="X599" s="124"/>
    </row>
    <row r="600" spans="1:24" s="106" customFormat="1" ht="13.8">
      <c r="A600" s="125"/>
      <c r="B600" s="34">
        <v>44470</v>
      </c>
      <c r="C600" s="34" t="s">
        <v>189</v>
      </c>
      <c r="D600" s="124" t="s">
        <v>26</v>
      </c>
      <c r="E600" s="124">
        <v>620.98</v>
      </c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</row>
    <row r="601" spans="1:24" s="106" customFormat="1" ht="13.8">
      <c r="A601" s="125"/>
      <c r="B601" s="34">
        <v>44470</v>
      </c>
      <c r="C601" s="34" t="s">
        <v>189</v>
      </c>
      <c r="D601" s="124" t="s">
        <v>197</v>
      </c>
      <c r="E601" s="124">
        <v>1047</v>
      </c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>
        <v>349</v>
      </c>
      <c r="R601" s="124"/>
      <c r="S601" s="124"/>
      <c r="T601" s="124"/>
      <c r="U601" s="124"/>
      <c r="V601" s="124"/>
      <c r="W601" s="124"/>
      <c r="X601" s="124"/>
    </row>
    <row r="602" spans="1:24" s="106" customFormat="1" ht="13.8">
      <c r="A602" s="125"/>
      <c r="B602" s="34">
        <v>44470</v>
      </c>
      <c r="C602" s="34" t="s">
        <v>189</v>
      </c>
      <c r="D602" s="124" t="s">
        <v>23</v>
      </c>
      <c r="E602" s="124">
        <f>120+70+60+150-60-57</f>
        <v>283</v>
      </c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>
        <v>283</v>
      </c>
      <c r="S602" s="124"/>
      <c r="T602" s="124"/>
      <c r="U602" s="124"/>
      <c r="V602" s="124"/>
      <c r="W602" s="124"/>
      <c r="X602" s="124"/>
    </row>
    <row r="603" spans="1:24" s="106" customFormat="1" ht="13.8">
      <c r="A603" s="125"/>
      <c r="B603" s="34">
        <v>44470</v>
      </c>
      <c r="C603" s="34"/>
      <c r="D603" s="124" t="s">
        <v>196</v>
      </c>
      <c r="E603" s="124">
        <v>135</v>
      </c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>
        <v>85</v>
      </c>
      <c r="S603" s="124"/>
      <c r="T603" s="124"/>
      <c r="U603" s="124"/>
      <c r="V603" s="124"/>
      <c r="W603" s="124"/>
      <c r="X603" s="124"/>
    </row>
    <row r="604" spans="1:24" s="106" customFormat="1" ht="13.8">
      <c r="A604" s="125"/>
      <c r="B604" s="34">
        <v>44470</v>
      </c>
      <c r="C604" s="34" t="s">
        <v>189</v>
      </c>
      <c r="D604" s="124" t="s">
        <v>22</v>
      </c>
      <c r="E604" s="124">
        <v>138</v>
      </c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>
        <v>138</v>
      </c>
      <c r="R604" s="124"/>
      <c r="S604" s="124"/>
      <c r="T604" s="124"/>
      <c r="U604" s="124"/>
      <c r="V604" s="124"/>
      <c r="W604" s="124"/>
      <c r="X604" s="124"/>
    </row>
    <row r="605" spans="1:24" s="106" customFormat="1" ht="13.8">
      <c r="A605" s="125"/>
      <c r="B605" s="34">
        <v>44472</v>
      </c>
      <c r="C605" s="34" t="s">
        <v>189</v>
      </c>
      <c r="D605" s="124" t="s">
        <v>21</v>
      </c>
      <c r="E605" s="124">
        <f>$AM$37</f>
        <v>177</v>
      </c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>
        <f>E605</f>
        <v>177</v>
      </c>
      <c r="R605" s="124"/>
      <c r="S605" s="124"/>
      <c r="T605" s="124"/>
      <c r="U605" s="124"/>
      <c r="V605" s="124"/>
      <c r="W605" s="124"/>
      <c r="X605" s="124"/>
    </row>
    <row r="606" spans="1:24" s="106" customFormat="1" ht="13.8">
      <c r="A606" s="125"/>
      <c r="B606" s="34">
        <v>44472</v>
      </c>
      <c r="C606" s="34"/>
      <c r="D606" s="124" t="s">
        <v>195</v>
      </c>
      <c r="E606" s="124">
        <v>224.96</v>
      </c>
      <c r="F606" s="124"/>
      <c r="G606" s="124">
        <v>224.96</v>
      </c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</row>
    <row r="607" spans="1:24" s="106" customFormat="1" ht="13.8">
      <c r="A607" s="125"/>
      <c r="B607" s="34">
        <v>44474</v>
      </c>
      <c r="C607" s="34" t="s">
        <v>189</v>
      </c>
      <c r="D607" s="124" t="s">
        <v>20</v>
      </c>
      <c r="E607" s="124">
        <v>197.79</v>
      </c>
      <c r="F607" s="124">
        <v>197.79</v>
      </c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</row>
    <row r="608" spans="1:24" s="106" customFormat="1" ht="13.8">
      <c r="A608" s="125"/>
      <c r="B608" s="34">
        <v>44474</v>
      </c>
      <c r="C608" s="34" t="s">
        <v>189</v>
      </c>
      <c r="D608" s="124" t="s">
        <v>18</v>
      </c>
      <c r="E608" s="124">
        <v>217.45</v>
      </c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>
        <v>217.45</v>
      </c>
      <c r="Q608" s="124"/>
      <c r="R608" s="124"/>
      <c r="S608" s="124"/>
      <c r="T608" s="124"/>
      <c r="U608" s="124"/>
      <c r="V608" s="124"/>
      <c r="W608" s="124"/>
      <c r="X608" s="124"/>
    </row>
    <row r="609" spans="1:42" s="106" customFormat="1" ht="13.8">
      <c r="A609" s="125"/>
      <c r="B609" s="34">
        <v>44474</v>
      </c>
      <c r="C609" s="34" t="s">
        <v>189</v>
      </c>
      <c r="D609" s="124" t="s">
        <v>180</v>
      </c>
      <c r="E609" s="124">
        <v>179.33</v>
      </c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>
        <v>179.33</v>
      </c>
      <c r="V609" s="124"/>
      <c r="W609" s="124"/>
      <c r="X609" s="124"/>
    </row>
    <row r="610" spans="1:42" s="106" customFormat="1" ht="13.8">
      <c r="A610" s="125"/>
      <c r="B610" s="34">
        <v>44487</v>
      </c>
      <c r="C610" s="34"/>
      <c r="D610" s="124" t="s">
        <v>194</v>
      </c>
      <c r="E610" s="124">
        <v>399</v>
      </c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>
        <v>399</v>
      </c>
      <c r="Q610" s="124"/>
      <c r="R610" s="124"/>
      <c r="S610" s="124"/>
      <c r="T610" s="124"/>
      <c r="U610" s="124"/>
      <c r="V610" s="124"/>
      <c r="W610" s="124"/>
      <c r="X610" s="124"/>
    </row>
    <row r="611" spans="1:42" s="106" customFormat="1" ht="13.8">
      <c r="A611" s="125"/>
      <c r="B611" s="34">
        <v>44488</v>
      </c>
      <c r="C611" s="34"/>
      <c r="D611" s="124" t="s">
        <v>193</v>
      </c>
      <c r="E611" s="124">
        <v>-1200</v>
      </c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>
        <v>-1200</v>
      </c>
      <c r="Q611" s="124"/>
      <c r="R611" s="124"/>
      <c r="S611" s="124"/>
      <c r="T611" s="124"/>
      <c r="U611" s="124"/>
      <c r="V611" s="124"/>
      <c r="W611" s="124"/>
      <c r="X611" s="124"/>
    </row>
    <row r="612" spans="1:42" s="106" customFormat="1" ht="13.8">
      <c r="A612" s="125"/>
      <c r="B612" s="34">
        <v>44495</v>
      </c>
      <c r="C612" s="34"/>
      <c r="D612" s="124" t="s">
        <v>167</v>
      </c>
      <c r="E612" s="124">
        <v>200</v>
      </c>
      <c r="F612" s="124"/>
      <c r="G612" s="124">
        <v>200</v>
      </c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</row>
    <row r="613" spans="1:42" s="106" customFormat="1" ht="13.8">
      <c r="A613" s="125"/>
      <c r="B613" s="34"/>
      <c r="C613" s="34"/>
      <c r="D613" s="124" t="s">
        <v>124</v>
      </c>
      <c r="E613" s="124">
        <v>906.25</v>
      </c>
      <c r="F613" s="124"/>
      <c r="G613" s="124"/>
      <c r="H613" s="124"/>
      <c r="I613" s="124">
        <v>840.95</v>
      </c>
      <c r="J613" s="124">
        <v>65.3</v>
      </c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</row>
    <row r="614" spans="1:42" s="106" customFormat="1" ht="13.8">
      <c r="A614" s="125"/>
      <c r="B614" s="34"/>
      <c r="C614" s="34"/>
      <c r="D614" s="124" t="s">
        <v>42</v>
      </c>
      <c r="E614" s="124">
        <v>1243</v>
      </c>
      <c r="F614" s="124"/>
      <c r="G614" s="124">
        <v>58</v>
      </c>
      <c r="H614" s="124">
        <v>629.15</v>
      </c>
      <c r="I614" s="124">
        <v>59.95</v>
      </c>
      <c r="J614" s="124"/>
      <c r="K614" s="124">
        <v>110</v>
      </c>
      <c r="L614" s="124">
        <v>300</v>
      </c>
      <c r="M614" s="124">
        <v>63</v>
      </c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</row>
    <row r="615" spans="1:42" s="106" customFormat="1" ht="13.8">
      <c r="A615" s="125"/>
      <c r="B615" s="34"/>
      <c r="C615" s="34"/>
      <c r="D615" s="124" t="s">
        <v>41</v>
      </c>
      <c r="E615" s="124">
        <v>713.75</v>
      </c>
      <c r="F615" s="124"/>
      <c r="G615" s="124"/>
      <c r="H615" s="124">
        <v>674.8</v>
      </c>
      <c r="I615" s="124"/>
      <c r="J615" s="124"/>
      <c r="K615" s="124"/>
      <c r="L615" s="124">
        <v>38.950000000000003</v>
      </c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</row>
    <row r="616" spans="1:42" s="106" customFormat="1" ht="13.8">
      <c r="A616" s="125"/>
      <c r="B616" s="34"/>
      <c r="C616" s="34"/>
      <c r="D616" s="124" t="s">
        <v>40</v>
      </c>
      <c r="E616" s="124">
        <v>1478.59</v>
      </c>
      <c r="F616" s="124"/>
      <c r="G616" s="124"/>
      <c r="H616" s="124">
        <v>378.59</v>
      </c>
      <c r="I616" s="124"/>
      <c r="J616" s="124"/>
      <c r="K616" s="124">
        <v>1100</v>
      </c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</row>
    <row r="617" spans="1:42" s="106" customFormat="1" ht="13.8">
      <c r="A617" s="125"/>
      <c r="B617" s="34"/>
      <c r="C617" s="34"/>
      <c r="D617" s="124" t="s">
        <v>39</v>
      </c>
      <c r="E617" s="124">
        <v>644.04</v>
      </c>
      <c r="F617" s="124"/>
      <c r="G617" s="124">
        <v>150.94999999999999</v>
      </c>
      <c r="H617" s="124">
        <v>303.08999999999997</v>
      </c>
      <c r="I617" s="124"/>
      <c r="J617" s="124"/>
      <c r="K617" s="124">
        <v>110</v>
      </c>
      <c r="L617" s="124"/>
      <c r="M617" s="124">
        <f>10</f>
        <v>10</v>
      </c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</row>
    <row r="618" spans="1:42" s="106" customFormat="1" ht="13.8">
      <c r="A618" s="125"/>
      <c r="B618" s="34"/>
      <c r="C618" s="34"/>
      <c r="D618" s="124" t="s">
        <v>38</v>
      </c>
      <c r="E618" s="124">
        <v>563.79999999999995</v>
      </c>
      <c r="F618" s="124"/>
      <c r="G618" s="124">
        <v>36.950000000000003</v>
      </c>
      <c r="H618" s="124">
        <v>364.85</v>
      </c>
      <c r="I618" s="124"/>
      <c r="J618" s="124"/>
      <c r="K618" s="124"/>
      <c r="L618" s="124"/>
      <c r="M618" s="124">
        <v>25</v>
      </c>
      <c r="N618" s="124"/>
      <c r="O618" s="124"/>
      <c r="P618" s="124"/>
      <c r="Q618" s="124"/>
      <c r="R618" s="124"/>
      <c r="S618" s="124">
        <v>207</v>
      </c>
      <c r="T618" s="124"/>
      <c r="U618" s="124"/>
      <c r="V618" s="124"/>
      <c r="W618" s="124"/>
      <c r="X618" s="124"/>
    </row>
    <row r="619" spans="1:42" s="106" customFormat="1" ht="13.8">
      <c r="A619" s="125"/>
      <c r="B619" s="34"/>
      <c r="C619" s="34"/>
      <c r="D619" s="124" t="s">
        <v>192</v>
      </c>
      <c r="E619" s="124">
        <v>208</v>
      </c>
      <c r="F619" s="124"/>
      <c r="G619" s="124"/>
      <c r="H619" s="124">
        <v>208</v>
      </c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</row>
    <row r="620" spans="1:42" s="106" customFormat="1" ht="13.8">
      <c r="A620" s="125"/>
      <c r="B620" s="34"/>
      <c r="C620" s="34"/>
      <c r="D620" s="124" t="s">
        <v>37</v>
      </c>
      <c r="E620" s="124">
        <v>609.95000000000005</v>
      </c>
      <c r="F620" s="124"/>
      <c r="G620" s="124">
        <v>455.95</v>
      </c>
      <c r="H620" s="124">
        <v>45</v>
      </c>
      <c r="I620" s="124"/>
      <c r="J620" s="124"/>
      <c r="K620" s="124"/>
      <c r="L620" s="124"/>
      <c r="M620" s="124"/>
      <c r="N620" s="124"/>
      <c r="O620" s="124"/>
      <c r="P620" s="124">
        <v>99</v>
      </c>
      <c r="Q620" s="124"/>
      <c r="R620" s="124"/>
      <c r="S620" s="124"/>
      <c r="T620" s="124"/>
      <c r="U620" s="124"/>
      <c r="V620" s="124"/>
      <c r="W620" s="124"/>
      <c r="X620" s="124"/>
    </row>
    <row r="621" spans="1:42" s="106" customFormat="1" ht="13.8">
      <c r="A621" s="125"/>
      <c r="B621" s="2930" t="str">
        <f>M35</f>
        <v>Oktober</v>
      </c>
      <c r="C621" s="2931"/>
      <c r="D621" s="2966" t="s">
        <v>176</v>
      </c>
      <c r="E621" s="2934">
        <f t="shared" ref="E621:W621" si="34">SUM(E622:E622)</f>
        <v>0</v>
      </c>
      <c r="F621" s="2934">
        <f t="shared" si="34"/>
        <v>0</v>
      </c>
      <c r="G621" s="2934">
        <f t="shared" si="34"/>
        <v>0</v>
      </c>
      <c r="H621" s="2934">
        <f t="shared" si="34"/>
        <v>0</v>
      </c>
      <c r="I621" s="2934">
        <f t="shared" si="34"/>
        <v>0</v>
      </c>
      <c r="J621" s="2934">
        <f t="shared" si="34"/>
        <v>0</v>
      </c>
      <c r="K621" s="2934">
        <f t="shared" si="34"/>
        <v>0</v>
      </c>
      <c r="L621" s="2934">
        <f t="shared" si="34"/>
        <v>0</v>
      </c>
      <c r="M621" s="2934">
        <f t="shared" si="34"/>
        <v>0</v>
      </c>
      <c r="N621" s="2934">
        <f t="shared" si="34"/>
        <v>0</v>
      </c>
      <c r="O621" s="2934">
        <f t="shared" si="34"/>
        <v>0</v>
      </c>
      <c r="P621" s="2934">
        <f t="shared" si="34"/>
        <v>0</v>
      </c>
      <c r="Q621" s="2934">
        <f t="shared" si="34"/>
        <v>0</v>
      </c>
      <c r="R621" s="2934">
        <f t="shared" si="34"/>
        <v>0</v>
      </c>
      <c r="S621" s="2934">
        <f t="shared" si="34"/>
        <v>0</v>
      </c>
      <c r="T621" s="2934">
        <f t="shared" si="34"/>
        <v>0</v>
      </c>
      <c r="U621" s="2934">
        <f t="shared" si="34"/>
        <v>0</v>
      </c>
      <c r="V621" s="2934">
        <f t="shared" si="34"/>
        <v>0</v>
      </c>
      <c r="W621" s="2934">
        <f t="shared" si="34"/>
        <v>0</v>
      </c>
      <c r="X621" s="2934"/>
    </row>
    <row r="622" spans="1:42" s="120" customFormat="1" ht="12" customHeight="1">
      <c r="A622" s="60"/>
      <c r="B622" s="2932"/>
      <c r="C622" s="2933"/>
      <c r="D622" s="2935"/>
      <c r="E622" s="2935"/>
      <c r="F622" s="2935"/>
      <c r="G622" s="2935"/>
      <c r="H622" s="2935"/>
      <c r="I622" s="2935"/>
      <c r="J622" s="2935"/>
      <c r="K622" s="2935"/>
      <c r="L622" s="2935"/>
      <c r="M622" s="2935"/>
      <c r="N622" s="2935"/>
      <c r="O622" s="2935"/>
      <c r="P622" s="2935"/>
      <c r="Q622" s="2935"/>
      <c r="R622" s="2935"/>
      <c r="S622" s="2935"/>
      <c r="T622" s="2935"/>
      <c r="U622" s="2935"/>
      <c r="V622" s="2935"/>
      <c r="W622" s="2935"/>
      <c r="X622" s="293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  <c r="AP622" s="105"/>
    </row>
    <row r="623" spans="1:42" s="102" customFormat="1" ht="15" customHeight="1">
      <c r="A623" s="121"/>
      <c r="B623" s="2988" t="str">
        <f>B661</f>
        <v>November</v>
      </c>
      <c r="C623" s="2989"/>
      <c r="D623" s="170"/>
      <c r="E623" s="170">
        <f t="shared" ref="E623:W623" si="35">SUM(E624:E660)</f>
        <v>1310.42</v>
      </c>
      <c r="F623" s="170">
        <f t="shared" si="35"/>
        <v>675.64</v>
      </c>
      <c r="G623" s="170">
        <f t="shared" si="35"/>
        <v>442</v>
      </c>
      <c r="H623" s="170">
        <f t="shared" si="35"/>
        <v>9059</v>
      </c>
      <c r="I623" s="170">
        <f t="shared" si="35"/>
        <v>476.05</v>
      </c>
      <c r="J623" s="170">
        <f t="shared" si="35"/>
        <v>0</v>
      </c>
      <c r="K623" s="170">
        <f t="shared" si="35"/>
        <v>110</v>
      </c>
      <c r="L623" s="170">
        <f t="shared" si="35"/>
        <v>115</v>
      </c>
      <c r="M623" s="170">
        <f t="shared" si="35"/>
        <v>671.2</v>
      </c>
      <c r="N623" s="170">
        <f t="shared" si="35"/>
        <v>0</v>
      </c>
      <c r="O623" s="170">
        <f t="shared" si="35"/>
        <v>2022</v>
      </c>
      <c r="P623" s="170">
        <f t="shared" si="35"/>
        <v>9112.81</v>
      </c>
      <c r="Q623" s="170">
        <f t="shared" si="35"/>
        <v>863.78</v>
      </c>
      <c r="R623" s="170">
        <f t="shared" si="35"/>
        <v>240</v>
      </c>
      <c r="S623" s="170">
        <f t="shared" si="35"/>
        <v>1500</v>
      </c>
      <c r="T623" s="170">
        <f t="shared" si="35"/>
        <v>-200</v>
      </c>
      <c r="U623" s="170">
        <f t="shared" si="35"/>
        <v>1614.1399999999999</v>
      </c>
      <c r="V623" s="170">
        <f t="shared" si="35"/>
        <v>1000</v>
      </c>
      <c r="W623" s="170">
        <f t="shared" si="35"/>
        <v>0</v>
      </c>
      <c r="X623" s="170"/>
    </row>
    <row r="624" spans="1:42" s="106" customFormat="1" ht="13.8">
      <c r="A624" s="125"/>
      <c r="B624" s="34">
        <v>44498</v>
      </c>
      <c r="C624" s="34" t="s">
        <v>189</v>
      </c>
      <c r="D624" s="124" t="s">
        <v>35</v>
      </c>
      <c r="E624" s="124">
        <v>-11138</v>
      </c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</row>
    <row r="625" spans="1:24" s="106" customFormat="1" ht="13.8">
      <c r="A625" s="125"/>
      <c r="B625" s="34">
        <v>44498</v>
      </c>
      <c r="C625" s="34" t="s">
        <v>189</v>
      </c>
      <c r="D625" s="124" t="s">
        <v>34</v>
      </c>
      <c r="E625" s="124">
        <v>-7859</v>
      </c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</row>
    <row r="626" spans="1:24" s="106" customFormat="1" ht="13.8">
      <c r="A626" s="125"/>
      <c r="B626" s="34">
        <v>44498</v>
      </c>
      <c r="C626" s="34" t="s">
        <v>189</v>
      </c>
      <c r="D626" s="124" t="s">
        <v>33</v>
      </c>
      <c r="E626" s="124">
        <v>-205</v>
      </c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</row>
    <row r="627" spans="1:24" s="106" customFormat="1" ht="13.8">
      <c r="A627" s="125"/>
      <c r="B627" s="34">
        <v>44498</v>
      </c>
      <c r="C627" s="34"/>
      <c r="D627" s="124" t="s">
        <v>57</v>
      </c>
      <c r="E627" s="124">
        <v>1000</v>
      </c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>
        <v>1000</v>
      </c>
      <c r="W627" s="124"/>
      <c r="X627" s="124"/>
    </row>
    <row r="628" spans="1:24" s="106" customFormat="1" ht="13.8">
      <c r="A628" s="125"/>
      <c r="B628" s="34">
        <v>44498</v>
      </c>
      <c r="C628" s="34" t="s">
        <v>189</v>
      </c>
      <c r="D628" s="124" t="s">
        <v>32</v>
      </c>
      <c r="E628" s="124">
        <v>339</v>
      </c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>
        <v>339</v>
      </c>
      <c r="V628" s="124"/>
      <c r="W628" s="124"/>
      <c r="X628" s="124"/>
    </row>
    <row r="629" spans="1:24" s="106" customFormat="1" ht="13.8">
      <c r="A629" s="125"/>
      <c r="B629" s="34">
        <v>44499</v>
      </c>
      <c r="C629" s="34"/>
      <c r="D629" s="124" t="s">
        <v>191</v>
      </c>
      <c r="E629" s="124">
        <v>4400</v>
      </c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>
        <v>4400</v>
      </c>
      <c r="Q629" s="124"/>
      <c r="R629" s="124"/>
      <c r="S629" s="124"/>
      <c r="T629" s="124"/>
      <c r="U629" s="124"/>
      <c r="V629" s="124"/>
      <c r="W629" s="124"/>
      <c r="X629" s="124"/>
    </row>
    <row r="630" spans="1:24" s="106" customFormat="1" ht="13.8">
      <c r="A630" s="125">
        <v>5</v>
      </c>
      <c r="B630" s="34">
        <v>44501</v>
      </c>
      <c r="C630" s="34" t="s">
        <v>189</v>
      </c>
      <c r="D630" s="124" t="s">
        <v>31</v>
      </c>
      <c r="E630" s="124">
        <v>-1277</v>
      </c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</row>
    <row r="631" spans="1:24" s="106" customFormat="1" ht="13.8">
      <c r="A631" s="125"/>
      <c r="B631" s="34">
        <v>44501</v>
      </c>
      <c r="C631" s="34" t="s">
        <v>189</v>
      </c>
      <c r="D631" s="124" t="s">
        <v>28</v>
      </c>
      <c r="E631" s="124">
        <v>200</v>
      </c>
      <c r="F631" s="124">
        <v>200</v>
      </c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</row>
    <row r="632" spans="1:24" s="106" customFormat="1" ht="13.8">
      <c r="A632" s="125"/>
      <c r="B632" s="34">
        <v>44501</v>
      </c>
      <c r="C632" s="34" t="s">
        <v>189</v>
      </c>
      <c r="D632" s="124" t="s">
        <v>182</v>
      </c>
      <c r="E632" s="124">
        <v>284</v>
      </c>
      <c r="F632" s="124">
        <v>284</v>
      </c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</row>
    <row r="633" spans="1:24" s="106" customFormat="1" ht="13.8">
      <c r="A633" s="125"/>
      <c r="B633" s="34">
        <v>44501</v>
      </c>
      <c r="C633" s="34" t="s">
        <v>189</v>
      </c>
      <c r="D633" s="124" t="s">
        <v>183</v>
      </c>
      <c r="E633" s="124">
        <v>548.78</v>
      </c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>
        <f>E633</f>
        <v>548.78</v>
      </c>
      <c r="R633" s="124"/>
      <c r="S633" s="124"/>
      <c r="T633" s="124"/>
      <c r="U633" s="124"/>
      <c r="V633" s="124"/>
      <c r="W633" s="124"/>
      <c r="X633" s="124"/>
    </row>
    <row r="634" spans="1:24" s="106" customFormat="1" ht="13.8">
      <c r="A634" s="125"/>
      <c r="B634" s="34">
        <v>44501</v>
      </c>
      <c r="C634" s="34" t="s">
        <v>189</v>
      </c>
      <c r="D634" s="124" t="s">
        <v>156</v>
      </c>
      <c r="E634" s="124">
        <v>120</v>
      </c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>
        <v>120</v>
      </c>
      <c r="S634" s="124"/>
      <c r="T634" s="124"/>
      <c r="U634" s="124"/>
      <c r="V634" s="124"/>
      <c r="W634" s="124"/>
      <c r="X634" s="124"/>
    </row>
    <row r="635" spans="1:24" s="106" customFormat="1" ht="13.8">
      <c r="A635" s="125"/>
      <c r="B635" s="34">
        <v>44501</v>
      </c>
      <c r="C635" s="34" t="s">
        <v>189</v>
      </c>
      <c r="D635" s="124" t="s">
        <v>25</v>
      </c>
      <c r="E635" s="124">
        <f>1579.02</f>
        <v>1579.02</v>
      </c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>
        <v>472.15</v>
      </c>
      <c r="Q635" s="124"/>
      <c r="R635" s="124"/>
      <c r="S635" s="124"/>
      <c r="T635" s="124"/>
      <c r="U635" s="124">
        <v>1101.3699999999999</v>
      </c>
      <c r="V635" s="124"/>
      <c r="W635" s="124"/>
      <c r="X635" s="124"/>
    </row>
    <row r="636" spans="1:24" s="106" customFormat="1" ht="13.8">
      <c r="A636" s="125"/>
      <c r="B636" s="34">
        <v>44501</v>
      </c>
      <c r="C636" s="34" t="s">
        <v>189</v>
      </c>
      <c r="D636" s="124" t="s">
        <v>22</v>
      </c>
      <c r="E636" s="124">
        <v>138</v>
      </c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>
        <v>138</v>
      </c>
      <c r="R636" s="124"/>
      <c r="S636" s="124"/>
      <c r="T636" s="124"/>
      <c r="U636" s="124"/>
      <c r="V636" s="124"/>
      <c r="W636" s="124"/>
      <c r="X636" s="124"/>
    </row>
    <row r="637" spans="1:24" s="106" customFormat="1" ht="13.8">
      <c r="A637" s="125"/>
      <c r="B637" s="34">
        <v>44501</v>
      </c>
      <c r="C637" s="34" t="s">
        <v>189</v>
      </c>
      <c r="D637" s="124" t="s">
        <v>21</v>
      </c>
      <c r="E637" s="124">
        <f>$AM$37</f>
        <v>177</v>
      </c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>
        <f>E637</f>
        <v>177</v>
      </c>
      <c r="R637" s="124"/>
      <c r="S637" s="124"/>
      <c r="T637" s="124"/>
      <c r="U637" s="124"/>
      <c r="V637" s="124"/>
      <c r="W637" s="124"/>
      <c r="X637" s="124"/>
    </row>
    <row r="638" spans="1:24" s="106" customFormat="1" ht="13.8">
      <c r="A638" s="125"/>
      <c r="B638" s="34">
        <v>44503</v>
      </c>
      <c r="C638" s="34"/>
      <c r="D638" s="124" t="s">
        <v>190</v>
      </c>
      <c r="E638" s="124">
        <v>73</v>
      </c>
      <c r="F638" s="124"/>
      <c r="G638" s="124">
        <v>73</v>
      </c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</row>
    <row r="639" spans="1:24" s="106" customFormat="1" ht="13.8">
      <c r="A639" s="125"/>
      <c r="B639" s="34">
        <v>44504</v>
      </c>
      <c r="C639" s="34"/>
      <c r="D639" s="124" t="s">
        <v>143</v>
      </c>
      <c r="E639" s="124">
        <v>100</v>
      </c>
      <c r="F639" s="124"/>
      <c r="G639" s="124">
        <v>100</v>
      </c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</row>
    <row r="640" spans="1:24" s="106" customFormat="1" ht="13.8">
      <c r="A640" s="125"/>
      <c r="B640" s="34">
        <v>44505</v>
      </c>
      <c r="C640" s="34" t="s">
        <v>189</v>
      </c>
      <c r="D640" s="124" t="s">
        <v>20</v>
      </c>
      <c r="E640" s="124">
        <v>191.64</v>
      </c>
      <c r="F640" s="124">
        <v>191.64</v>
      </c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</row>
    <row r="641" spans="1:24" s="106" customFormat="1" ht="13.8">
      <c r="A641" s="125"/>
      <c r="B641" s="34">
        <v>44505</v>
      </c>
      <c r="C641" s="34" t="s">
        <v>189</v>
      </c>
      <c r="D641" s="124" t="s">
        <v>18</v>
      </c>
      <c r="E641" s="124">
        <v>210.66</v>
      </c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>
        <v>210.66</v>
      </c>
      <c r="Q641" s="124"/>
      <c r="R641" s="124"/>
      <c r="S641" s="124"/>
      <c r="T641" s="124"/>
      <c r="U641" s="124"/>
      <c r="V641" s="124"/>
      <c r="W641" s="124"/>
      <c r="X641" s="124"/>
    </row>
    <row r="642" spans="1:24" s="106" customFormat="1" ht="13.8">
      <c r="A642" s="125"/>
      <c r="B642" s="34">
        <v>44505</v>
      </c>
      <c r="C642" s="34" t="s">
        <v>189</v>
      </c>
      <c r="D642" s="124" t="s">
        <v>180</v>
      </c>
      <c r="E642" s="124">
        <v>173.77</v>
      </c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>
        <v>173.77</v>
      </c>
      <c r="V642" s="124"/>
      <c r="W642" s="124"/>
      <c r="X642" s="124"/>
    </row>
    <row r="643" spans="1:24" s="106" customFormat="1" ht="13.8">
      <c r="A643" s="125"/>
      <c r="B643" s="34">
        <v>44505</v>
      </c>
      <c r="C643" s="34"/>
      <c r="D643" s="124" t="s">
        <v>12</v>
      </c>
      <c r="E643" s="124">
        <v>500</v>
      </c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>
        <f>E643</f>
        <v>500</v>
      </c>
      <c r="T643" s="124"/>
      <c r="U643" s="124"/>
      <c r="V643" s="124"/>
      <c r="W643" s="124"/>
      <c r="X643" s="124"/>
    </row>
    <row r="644" spans="1:24" s="106" customFormat="1" ht="13.8">
      <c r="A644" s="125"/>
      <c r="B644" s="34">
        <v>44505</v>
      </c>
      <c r="C644" s="34"/>
      <c r="D644" s="124" t="s">
        <v>9</v>
      </c>
      <c r="E644" s="124">
        <v>500</v>
      </c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>
        <f>E644</f>
        <v>500</v>
      </c>
      <c r="T644" s="124"/>
      <c r="U644" s="124"/>
      <c r="V644" s="124"/>
      <c r="W644" s="124"/>
      <c r="X644" s="124"/>
    </row>
    <row r="645" spans="1:24" s="106" customFormat="1" ht="13.8">
      <c r="A645" s="125"/>
      <c r="B645" s="34">
        <v>44505</v>
      </c>
      <c r="C645" s="34"/>
      <c r="D645" s="124" t="s">
        <v>8</v>
      </c>
      <c r="E645" s="124">
        <v>500</v>
      </c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>
        <f>E645</f>
        <v>500</v>
      </c>
      <c r="T645" s="124"/>
      <c r="U645" s="124"/>
      <c r="V645" s="124"/>
      <c r="W645" s="124"/>
      <c r="X645" s="124"/>
    </row>
    <row r="646" spans="1:24" s="106" customFormat="1" ht="13.8">
      <c r="A646" s="125"/>
      <c r="B646" s="34">
        <v>44507</v>
      </c>
      <c r="C646" s="34"/>
      <c r="D646" s="124" t="s">
        <v>164</v>
      </c>
      <c r="E646" s="124">
        <v>441.5</v>
      </c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</row>
    <row r="647" spans="1:24" s="106" customFormat="1" ht="13.8">
      <c r="A647" s="125"/>
      <c r="B647" s="34">
        <v>44508</v>
      </c>
      <c r="C647" s="34"/>
      <c r="D647" s="124" t="s">
        <v>162</v>
      </c>
      <c r="E647" s="124">
        <f>466+56</f>
        <v>522</v>
      </c>
      <c r="F647" s="124"/>
      <c r="G647" s="124"/>
      <c r="H647" s="124"/>
      <c r="I647" s="124"/>
      <c r="J647" s="124"/>
      <c r="K647" s="124"/>
      <c r="L647" s="124"/>
      <c r="M647" s="124"/>
      <c r="N647" s="124"/>
      <c r="O647" s="124">
        <f>466+56</f>
        <v>522</v>
      </c>
      <c r="P647" s="124"/>
      <c r="Q647" s="124"/>
      <c r="R647" s="124"/>
      <c r="S647" s="124"/>
      <c r="T647" s="124"/>
      <c r="U647" s="124"/>
      <c r="V647" s="124"/>
      <c r="W647" s="124"/>
      <c r="X647" s="124"/>
    </row>
    <row r="648" spans="1:24" s="106" customFormat="1" ht="13.8">
      <c r="A648" s="125"/>
      <c r="B648" s="34">
        <v>44511</v>
      </c>
      <c r="C648" s="34"/>
      <c r="D648" s="124" t="s">
        <v>188</v>
      </c>
      <c r="E648" s="124">
        <v>-200</v>
      </c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>
        <v>-200</v>
      </c>
      <c r="U648" s="124"/>
      <c r="V648" s="124"/>
      <c r="W648" s="124"/>
      <c r="X648" s="124"/>
    </row>
    <row r="649" spans="1:24" s="106" customFormat="1" ht="13.8">
      <c r="A649" s="125"/>
      <c r="B649" s="34"/>
      <c r="C649" s="34"/>
      <c r="D649" s="124" t="s">
        <v>124</v>
      </c>
      <c r="E649" s="124">
        <f>150+50.7+35.35</f>
        <v>236.04999999999998</v>
      </c>
      <c r="F649" s="124"/>
      <c r="G649" s="124"/>
      <c r="H649" s="124"/>
      <c r="I649" s="124">
        <v>236.05</v>
      </c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</row>
    <row r="650" spans="1:24" s="106" customFormat="1" ht="13.8">
      <c r="A650" s="125"/>
      <c r="B650" s="34">
        <v>44515</v>
      </c>
      <c r="C650" s="34"/>
      <c r="D650" s="124" t="s">
        <v>187</v>
      </c>
      <c r="E650" s="124">
        <v>4030</v>
      </c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>
        <v>4030</v>
      </c>
      <c r="Q650" s="124"/>
      <c r="R650" s="124"/>
      <c r="S650" s="124"/>
      <c r="T650" s="124"/>
      <c r="U650" s="124"/>
      <c r="V650" s="124"/>
      <c r="W650" s="124"/>
      <c r="X650" s="124"/>
    </row>
    <row r="651" spans="1:24" s="106" customFormat="1" ht="13.8">
      <c r="A651" s="125"/>
      <c r="B651" s="34">
        <v>44521</v>
      </c>
      <c r="C651" s="34"/>
      <c r="D651" s="124" t="s">
        <v>186</v>
      </c>
      <c r="E651" s="124">
        <v>120</v>
      </c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>
        <v>120</v>
      </c>
      <c r="S651" s="124"/>
      <c r="T651" s="124"/>
      <c r="U651" s="124"/>
      <c r="V651" s="124"/>
      <c r="W651" s="124"/>
      <c r="X651" s="124"/>
    </row>
    <row r="652" spans="1:24" s="106" customFormat="1" ht="13.8">
      <c r="A652" s="125"/>
      <c r="B652" s="34">
        <v>44521</v>
      </c>
      <c r="C652" s="34"/>
      <c r="D652" s="124" t="s">
        <v>185</v>
      </c>
      <c r="E652" s="124">
        <v>1500</v>
      </c>
      <c r="F652" s="124"/>
      <c r="G652" s="124"/>
      <c r="H652" s="124"/>
      <c r="I652" s="124"/>
      <c r="J652" s="124"/>
      <c r="K652" s="124"/>
      <c r="L652" s="124"/>
      <c r="M652" s="124"/>
      <c r="N652" s="124"/>
      <c r="O652" s="124">
        <v>1500</v>
      </c>
      <c r="P652" s="124"/>
      <c r="Q652" s="124"/>
      <c r="R652" s="124"/>
      <c r="S652" s="124"/>
      <c r="T652" s="124"/>
      <c r="U652" s="124"/>
      <c r="V652" s="124"/>
      <c r="W652" s="124"/>
      <c r="X652" s="124"/>
    </row>
    <row r="653" spans="1:24" s="106" customFormat="1" ht="13.8">
      <c r="A653" s="125"/>
      <c r="B653" s="34">
        <v>44523</v>
      </c>
      <c r="C653" s="34"/>
      <c r="D653" s="124" t="s">
        <v>184</v>
      </c>
      <c r="E653" s="124">
        <v>240</v>
      </c>
      <c r="F653" s="124"/>
      <c r="G653" s="124"/>
      <c r="H653" s="124"/>
      <c r="I653" s="124">
        <v>240</v>
      </c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</row>
    <row r="654" spans="1:24" s="106" customFormat="1" ht="13.8">
      <c r="A654" s="125"/>
      <c r="B654" s="34"/>
      <c r="C654" s="34"/>
      <c r="D654" s="124" t="s">
        <v>42</v>
      </c>
      <c r="E654" s="124">
        <v>1298</v>
      </c>
      <c r="F654" s="124"/>
      <c r="G654" s="124">
        <v>50</v>
      </c>
      <c r="H654" s="124">
        <v>836</v>
      </c>
      <c r="I654" s="124"/>
      <c r="J654" s="124"/>
      <c r="K654" s="124"/>
      <c r="L654" s="124"/>
      <c r="M654" s="124">
        <f>15+40+18+94+15+20+30+85</f>
        <v>317</v>
      </c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</row>
    <row r="655" spans="1:24" s="106" customFormat="1" ht="13.8">
      <c r="A655" s="125"/>
      <c r="B655" s="34"/>
      <c r="C655" s="34"/>
      <c r="D655" s="124" t="s">
        <v>41</v>
      </c>
      <c r="E655" s="124">
        <v>320</v>
      </c>
      <c r="F655" s="124"/>
      <c r="G655" s="124"/>
      <c r="H655" s="124">
        <v>6695</v>
      </c>
      <c r="I655" s="124"/>
      <c r="J655" s="124"/>
      <c r="K655" s="124"/>
      <c r="L655" s="124">
        <v>95</v>
      </c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</row>
    <row r="656" spans="1:24" s="106" customFormat="1" ht="13.8">
      <c r="A656" s="125"/>
      <c r="B656" s="34"/>
      <c r="C656" s="34"/>
      <c r="D656" s="124" t="s">
        <v>40</v>
      </c>
      <c r="E656" s="124">
        <v>796</v>
      </c>
      <c r="F656" s="124"/>
      <c r="G656" s="124">
        <v>118</v>
      </c>
      <c r="H656" s="124">
        <v>258</v>
      </c>
      <c r="I656" s="124"/>
      <c r="J656" s="124"/>
      <c r="K656" s="124"/>
      <c r="L656" s="124"/>
      <c r="M656" s="124">
        <f>156+52.5+85.7+30</f>
        <v>324.2</v>
      </c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</row>
    <row r="657" spans="1:42" s="106" customFormat="1" ht="13.8">
      <c r="A657" s="125"/>
      <c r="B657" s="34"/>
      <c r="C657" s="34"/>
      <c r="D657" s="124" t="s">
        <v>39</v>
      </c>
      <c r="E657" s="124">
        <v>530</v>
      </c>
      <c r="F657" s="124"/>
      <c r="G657" s="124">
        <v>101</v>
      </c>
      <c r="H657" s="124">
        <v>349</v>
      </c>
      <c r="I657" s="124"/>
      <c r="J657" s="124"/>
      <c r="K657" s="124">
        <v>110</v>
      </c>
      <c r="L657" s="124">
        <v>20</v>
      </c>
      <c r="M657" s="124">
        <v>30</v>
      </c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</row>
    <row r="658" spans="1:42" s="106" customFormat="1" ht="13.8">
      <c r="A658" s="125"/>
      <c r="B658" s="34"/>
      <c r="C658" s="34"/>
      <c r="D658" s="124" t="s">
        <v>38</v>
      </c>
      <c r="E658" s="124">
        <f>15+27</f>
        <v>42</v>
      </c>
      <c r="F658" s="124"/>
      <c r="G658" s="124"/>
      <c r="H658" s="124">
        <v>42</v>
      </c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</row>
    <row r="659" spans="1:42" s="106" customFormat="1" ht="13.8">
      <c r="A659" s="125"/>
      <c r="B659" s="34"/>
      <c r="C659" s="34"/>
      <c r="D659" s="124" t="s">
        <v>123</v>
      </c>
      <c r="E659" s="124">
        <v>243</v>
      </c>
      <c r="F659" s="124"/>
      <c r="G659" s="124"/>
      <c r="H659" s="124">
        <v>243</v>
      </c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</row>
    <row r="660" spans="1:42" s="106" customFormat="1" ht="13.8">
      <c r="A660" s="125"/>
      <c r="B660" s="34"/>
      <c r="C660" s="34"/>
      <c r="D660" s="124" t="s">
        <v>37</v>
      </c>
      <c r="E660" s="124">
        <v>636</v>
      </c>
      <c r="F660" s="124"/>
      <c r="G660" s="124"/>
      <c r="H660" s="124">
        <v>636</v>
      </c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</row>
    <row r="661" spans="1:42" s="106" customFormat="1" ht="13.8">
      <c r="A661" s="125"/>
      <c r="B661" s="2930" t="str">
        <f>N35</f>
        <v>November</v>
      </c>
      <c r="C661" s="2931"/>
      <c r="D661" s="2966" t="s">
        <v>176</v>
      </c>
      <c r="E661" s="2934">
        <f t="shared" ref="E661:W661" si="36">SUM(E662:E662)</f>
        <v>0</v>
      </c>
      <c r="F661" s="2934">
        <f t="shared" si="36"/>
        <v>0</v>
      </c>
      <c r="G661" s="2934">
        <f t="shared" si="36"/>
        <v>0</v>
      </c>
      <c r="H661" s="2934">
        <f t="shared" si="36"/>
        <v>0</v>
      </c>
      <c r="I661" s="2934">
        <f t="shared" si="36"/>
        <v>0</v>
      </c>
      <c r="J661" s="2934">
        <f t="shared" si="36"/>
        <v>0</v>
      </c>
      <c r="K661" s="2934">
        <f t="shared" si="36"/>
        <v>0</v>
      </c>
      <c r="L661" s="2934">
        <f t="shared" si="36"/>
        <v>0</v>
      </c>
      <c r="M661" s="2934">
        <f t="shared" si="36"/>
        <v>0</v>
      </c>
      <c r="N661" s="2934">
        <f t="shared" si="36"/>
        <v>0</v>
      </c>
      <c r="O661" s="2934">
        <f t="shared" si="36"/>
        <v>0</v>
      </c>
      <c r="P661" s="2934">
        <f t="shared" si="36"/>
        <v>0</v>
      </c>
      <c r="Q661" s="2934">
        <f t="shared" si="36"/>
        <v>0</v>
      </c>
      <c r="R661" s="2934">
        <f t="shared" si="36"/>
        <v>0</v>
      </c>
      <c r="S661" s="2934">
        <f t="shared" si="36"/>
        <v>0</v>
      </c>
      <c r="T661" s="2934">
        <f t="shared" si="36"/>
        <v>0</v>
      </c>
      <c r="U661" s="2934">
        <f t="shared" si="36"/>
        <v>0</v>
      </c>
      <c r="V661" s="2934">
        <f t="shared" si="36"/>
        <v>0</v>
      </c>
      <c r="W661" s="2934">
        <f t="shared" si="36"/>
        <v>0</v>
      </c>
      <c r="X661" s="2934"/>
    </row>
    <row r="662" spans="1:42" s="120" customFormat="1" ht="12" customHeight="1">
      <c r="A662" s="60"/>
      <c r="B662" s="2932"/>
      <c r="C662" s="2933"/>
      <c r="D662" s="2935"/>
      <c r="E662" s="2935"/>
      <c r="F662" s="2935"/>
      <c r="G662" s="2935"/>
      <c r="H662" s="2935"/>
      <c r="I662" s="2935"/>
      <c r="J662" s="2935"/>
      <c r="K662" s="2935"/>
      <c r="L662" s="2935"/>
      <c r="M662" s="2935"/>
      <c r="N662" s="2935"/>
      <c r="O662" s="2935"/>
      <c r="P662" s="2935"/>
      <c r="Q662" s="2935"/>
      <c r="R662" s="2935"/>
      <c r="S662" s="2935"/>
      <c r="T662" s="2935"/>
      <c r="U662" s="2935"/>
      <c r="V662" s="2935"/>
      <c r="W662" s="2935"/>
      <c r="X662" s="293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</row>
    <row r="663" spans="1:42" s="102" customFormat="1" ht="15" customHeight="1">
      <c r="A663" s="121"/>
      <c r="B663" s="2988" t="str">
        <f>B701</f>
        <v>December</v>
      </c>
      <c r="C663" s="2989"/>
      <c r="D663" s="170"/>
      <c r="E663" s="170">
        <f t="shared" ref="E663:W663" si="37">SUM(E664:E700)</f>
        <v>-2788.090000000002</v>
      </c>
      <c r="F663" s="170">
        <f t="shared" si="37"/>
        <v>564.94000000000005</v>
      </c>
      <c r="G663" s="170">
        <f t="shared" si="37"/>
        <v>812.33</v>
      </c>
      <c r="H663" s="170">
        <f t="shared" si="37"/>
        <v>2407.85</v>
      </c>
      <c r="I663" s="170">
        <f t="shared" si="37"/>
        <v>214.35</v>
      </c>
      <c r="J663" s="170">
        <f t="shared" si="37"/>
        <v>0</v>
      </c>
      <c r="K663" s="170">
        <f t="shared" si="37"/>
        <v>550</v>
      </c>
      <c r="L663" s="170">
        <f t="shared" si="37"/>
        <v>240</v>
      </c>
      <c r="M663" s="170">
        <f t="shared" si="37"/>
        <v>133.5</v>
      </c>
      <c r="N663" s="170">
        <f t="shared" si="37"/>
        <v>7474</v>
      </c>
      <c r="O663" s="169">
        <f t="shared" si="37"/>
        <v>1477</v>
      </c>
      <c r="P663" s="170">
        <f t="shared" si="37"/>
        <v>-1050.9299999999998</v>
      </c>
      <c r="Q663" s="170">
        <f t="shared" si="37"/>
        <v>962.75</v>
      </c>
      <c r="R663" s="170">
        <f t="shared" si="37"/>
        <v>-347</v>
      </c>
      <c r="S663" s="170">
        <f t="shared" si="37"/>
        <v>2399</v>
      </c>
      <c r="T663" s="170">
        <f t="shared" si="37"/>
        <v>0</v>
      </c>
      <c r="U663" s="170">
        <f t="shared" si="37"/>
        <v>477.81999999999994</v>
      </c>
      <c r="V663" s="169">
        <f t="shared" si="37"/>
        <v>2764</v>
      </c>
      <c r="W663" s="169">
        <f t="shared" si="37"/>
        <v>0</v>
      </c>
      <c r="X663" s="169"/>
    </row>
    <row r="664" spans="1:42" s="106" customFormat="1" ht="13.8">
      <c r="A664" s="125"/>
      <c r="B664" s="34">
        <v>44530</v>
      </c>
      <c r="C664" s="34"/>
      <c r="D664" s="124" t="s">
        <v>35</v>
      </c>
      <c r="E664" s="124">
        <v>-11138</v>
      </c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</row>
    <row r="665" spans="1:42" s="106" customFormat="1" ht="13.8">
      <c r="A665" s="125"/>
      <c r="B665" s="34">
        <v>44530</v>
      </c>
      <c r="C665" s="34"/>
      <c r="D665" s="124" t="s">
        <v>34</v>
      </c>
      <c r="E665" s="124">
        <v>-7859</v>
      </c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</row>
    <row r="666" spans="1:42" s="106" customFormat="1" ht="13.8">
      <c r="A666" s="125"/>
      <c r="B666" s="34">
        <v>44530</v>
      </c>
      <c r="C666" s="34"/>
      <c r="D666" s="124" t="s">
        <v>33</v>
      </c>
      <c r="E666" s="124">
        <v>-205</v>
      </c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</row>
    <row r="667" spans="1:42" s="106" customFormat="1" ht="13.8">
      <c r="A667" s="125"/>
      <c r="B667" s="34">
        <v>44530</v>
      </c>
      <c r="C667" s="34"/>
      <c r="D667" s="124" t="s">
        <v>32</v>
      </c>
      <c r="E667" s="124">
        <v>339</v>
      </c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>
        <v>339</v>
      </c>
      <c r="V667" s="124"/>
      <c r="W667" s="124"/>
      <c r="X667" s="124"/>
    </row>
    <row r="668" spans="1:42" s="168" customFormat="1" ht="13.5" customHeight="1">
      <c r="A668" s="30"/>
      <c r="B668" s="34">
        <v>44530</v>
      </c>
      <c r="C668" s="34"/>
      <c r="D668" s="124" t="s">
        <v>23</v>
      </c>
      <c r="E668" s="124">
        <v>-126</v>
      </c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>
        <v>-126</v>
      </c>
      <c r="S668" s="124"/>
      <c r="T668" s="124"/>
      <c r="U668" s="124"/>
      <c r="V668" s="124"/>
      <c r="W668" s="124"/>
      <c r="X668" s="12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</row>
    <row r="669" spans="1:42" s="168" customFormat="1" ht="13.5" customHeight="1">
      <c r="A669" s="30"/>
      <c r="B669" s="34">
        <v>44530</v>
      </c>
      <c r="C669" s="34"/>
      <c r="D669" s="124" t="s">
        <v>57</v>
      </c>
      <c r="E669" s="124">
        <v>1000</v>
      </c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>
        <v>1000</v>
      </c>
      <c r="W669" s="124"/>
      <c r="X669" s="12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</row>
    <row r="670" spans="1:42" s="168" customFormat="1" ht="13.5" customHeight="1">
      <c r="A670" s="30"/>
      <c r="B670" s="34">
        <v>44530</v>
      </c>
      <c r="C670" s="34"/>
      <c r="D670" s="124" t="s">
        <v>124</v>
      </c>
      <c r="E670" s="124">
        <v>154.35</v>
      </c>
      <c r="F670" s="124"/>
      <c r="G670" s="124"/>
      <c r="H670" s="124"/>
      <c r="I670" s="124">
        <v>154.35</v>
      </c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</row>
    <row r="671" spans="1:42" s="106" customFormat="1" ht="13.8">
      <c r="A671" s="125"/>
      <c r="B671" s="34">
        <v>44531</v>
      </c>
      <c r="C671" s="34"/>
      <c r="D671" s="124" t="s">
        <v>183</v>
      </c>
      <c r="E671" s="124">
        <v>548.75</v>
      </c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>
        <v>548.75</v>
      </c>
      <c r="R671" s="124"/>
      <c r="S671" s="124"/>
      <c r="T671" s="124"/>
      <c r="U671" s="124"/>
      <c r="V671" s="124"/>
      <c r="W671" s="124"/>
      <c r="X671" s="124"/>
    </row>
    <row r="672" spans="1:42" s="106" customFormat="1" ht="13.8">
      <c r="A672" s="125"/>
      <c r="B672" s="34">
        <v>44531</v>
      </c>
      <c r="C672" s="34"/>
      <c r="D672" s="124" t="s">
        <v>25</v>
      </c>
      <c r="E672" s="124">
        <f>1853.97</f>
        <v>1853.97</v>
      </c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>
        <v>1453.88</v>
      </c>
      <c r="Q672" s="124"/>
      <c r="R672" s="124"/>
      <c r="S672" s="124"/>
      <c r="T672" s="124"/>
      <c r="U672" s="124">
        <v>400.09</v>
      </c>
      <c r="V672" s="124"/>
      <c r="W672" s="124"/>
      <c r="X672" s="124"/>
    </row>
    <row r="673" spans="1:42" s="106" customFormat="1" ht="13.8">
      <c r="A673" s="125"/>
      <c r="B673" s="34">
        <v>44531</v>
      </c>
      <c r="C673" s="34"/>
      <c r="D673" s="124" t="s">
        <v>23</v>
      </c>
      <c r="E673" s="124">
        <f>150+150-521</f>
        <v>-221</v>
      </c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>
        <v>-221</v>
      </c>
      <c r="S673" s="124"/>
      <c r="T673" s="124"/>
      <c r="U673" s="124"/>
      <c r="V673" s="124"/>
      <c r="W673" s="124"/>
      <c r="X673" s="124"/>
    </row>
    <row r="674" spans="1:42" s="106" customFormat="1" ht="13.8">
      <c r="A674" s="125"/>
      <c r="B674" s="34">
        <v>44531</v>
      </c>
      <c r="C674" s="34"/>
      <c r="D674" s="124" t="s">
        <v>182</v>
      </c>
      <c r="E674" s="124">
        <v>167.15</v>
      </c>
      <c r="F674" s="124">
        <v>167.15</v>
      </c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</row>
    <row r="675" spans="1:42" s="106" customFormat="1" ht="13.8">
      <c r="A675" s="125">
        <v>5</v>
      </c>
      <c r="B675" s="34">
        <v>44531</v>
      </c>
      <c r="C675" s="34"/>
      <c r="D675" s="124" t="s">
        <v>31</v>
      </c>
      <c r="E675" s="124">
        <v>-1277</v>
      </c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</row>
    <row r="676" spans="1:42" s="106" customFormat="1" ht="13.8">
      <c r="A676" s="125"/>
      <c r="B676" s="34">
        <v>44531</v>
      </c>
      <c r="C676" s="34"/>
      <c r="D676" s="124" t="s">
        <v>30</v>
      </c>
      <c r="E676" s="124">
        <v>7474</v>
      </c>
      <c r="F676" s="124"/>
      <c r="G676" s="124"/>
      <c r="H676" s="124"/>
      <c r="I676" s="124"/>
      <c r="J676" s="124"/>
      <c r="K676" s="124"/>
      <c r="L676" s="124"/>
      <c r="M676" s="124"/>
      <c r="N676" s="124">
        <v>7474</v>
      </c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</row>
    <row r="677" spans="1:42" s="106" customFormat="1" ht="13.8">
      <c r="A677" s="125"/>
      <c r="B677" s="34">
        <v>44531</v>
      </c>
      <c r="C677" s="34"/>
      <c r="D677" s="124" t="s">
        <v>181</v>
      </c>
      <c r="E677" s="124">
        <v>221.33</v>
      </c>
      <c r="F677" s="124"/>
      <c r="G677" s="124">
        <v>221.33</v>
      </c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</row>
    <row r="678" spans="1:42" s="106" customFormat="1" ht="13.8">
      <c r="A678" s="125"/>
      <c r="B678" s="34">
        <v>44531</v>
      </c>
      <c r="C678" s="34"/>
      <c r="D678" s="124" t="s">
        <v>22</v>
      </c>
      <c r="E678" s="124">
        <v>237</v>
      </c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>
        <v>237</v>
      </c>
      <c r="R678" s="124"/>
      <c r="S678" s="124"/>
      <c r="T678" s="124"/>
      <c r="U678" s="124"/>
      <c r="V678" s="124"/>
      <c r="W678" s="124"/>
      <c r="X678" s="124"/>
    </row>
    <row r="679" spans="1:42" s="106" customFormat="1" ht="13.8">
      <c r="A679" s="125"/>
      <c r="B679" s="34">
        <v>44532</v>
      </c>
      <c r="C679" s="34"/>
      <c r="D679" s="124" t="s">
        <v>180</v>
      </c>
      <c r="E679" s="124">
        <f>-81.94-165.33-7-7</f>
        <v>-261.27</v>
      </c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>
        <f>-81.94-165.33-7-7</f>
        <v>-261.27</v>
      </c>
      <c r="V679" s="124"/>
      <c r="W679" s="124"/>
      <c r="X679" s="124"/>
    </row>
    <row r="680" spans="1:42" s="167" customFormat="1" ht="13.5" customHeight="1">
      <c r="A680" s="9"/>
      <c r="B680" s="34">
        <v>44531</v>
      </c>
      <c r="C680" s="34"/>
      <c r="D680" s="124" t="s">
        <v>21</v>
      </c>
      <c r="E680" s="124">
        <v>177</v>
      </c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>
        <v>177</v>
      </c>
      <c r="R680" s="124"/>
      <c r="S680" s="124"/>
      <c r="T680" s="124"/>
      <c r="U680" s="124"/>
      <c r="V680" s="124"/>
      <c r="W680" s="124"/>
      <c r="X680" s="124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</row>
    <row r="681" spans="1:42" s="167" customFormat="1" ht="13.5" customHeight="1">
      <c r="A681" s="9"/>
      <c r="B681" s="34">
        <v>44536</v>
      </c>
      <c r="C681" s="34"/>
      <c r="D681" s="124" t="s">
        <v>18</v>
      </c>
      <c r="E681" s="124">
        <v>217.45</v>
      </c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>
        <v>217.45</v>
      </c>
      <c r="Q681" s="124"/>
      <c r="R681" s="124"/>
      <c r="S681" s="124"/>
      <c r="T681" s="124"/>
      <c r="U681" s="124"/>
      <c r="V681" s="124"/>
      <c r="W681" s="124"/>
      <c r="X681" s="124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</row>
    <row r="682" spans="1:42" s="167" customFormat="1" ht="13.5" customHeight="1">
      <c r="A682" s="9"/>
      <c r="B682" s="34">
        <v>44536</v>
      </c>
      <c r="C682" s="34"/>
      <c r="D682" s="124" t="s">
        <v>20</v>
      </c>
      <c r="E682" s="124">
        <v>197.79</v>
      </c>
      <c r="F682" s="124">
        <v>197.79</v>
      </c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  <c r="AP682" s="105"/>
    </row>
    <row r="683" spans="1:42" s="167" customFormat="1" ht="13.5" customHeight="1">
      <c r="A683" s="9"/>
      <c r="B683" s="34">
        <v>44536</v>
      </c>
      <c r="C683" s="34"/>
      <c r="D683" s="124" t="s">
        <v>170</v>
      </c>
      <c r="E683" s="124">
        <v>477.74</v>
      </c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>
        <v>477.74</v>
      </c>
      <c r="Q683" s="124"/>
      <c r="R683" s="124"/>
      <c r="S683" s="124"/>
      <c r="T683" s="124"/>
      <c r="U683" s="124">
        <f>F683</f>
        <v>0</v>
      </c>
      <c r="V683" s="124"/>
      <c r="W683" s="124"/>
      <c r="X683" s="124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</row>
    <row r="684" spans="1:42" s="167" customFormat="1" ht="13.5" customHeight="1">
      <c r="A684" s="9"/>
      <c r="B684" s="34">
        <v>44536</v>
      </c>
      <c r="C684" s="34"/>
      <c r="D684" s="124" t="s">
        <v>162</v>
      </c>
      <c r="E684" s="124">
        <f>288+14.5+234+198</f>
        <v>734.5</v>
      </c>
      <c r="F684" s="124"/>
      <c r="G684" s="124">
        <f>14.5+198+59</f>
        <v>271.5</v>
      </c>
      <c r="H684" s="124"/>
      <c r="I684" s="124"/>
      <c r="J684" s="124"/>
      <c r="K684" s="124"/>
      <c r="L684" s="124"/>
      <c r="M684" s="124"/>
      <c r="N684" s="124"/>
      <c r="O684" s="124">
        <f>288+234+405</f>
        <v>927</v>
      </c>
      <c r="P684" s="124"/>
      <c r="Q684" s="124"/>
      <c r="R684" s="124"/>
      <c r="S684" s="124"/>
      <c r="T684" s="124"/>
      <c r="U684" s="124"/>
      <c r="V684" s="124"/>
      <c r="W684" s="124"/>
      <c r="X684" s="124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</row>
    <row r="685" spans="1:42" s="167" customFormat="1" ht="13.5" customHeight="1">
      <c r="A685" s="9"/>
      <c r="B685" s="34">
        <v>44531</v>
      </c>
      <c r="C685" s="34"/>
      <c r="D685" s="124" t="s">
        <v>28</v>
      </c>
      <c r="E685" s="124">
        <v>200</v>
      </c>
      <c r="F685" s="124">
        <v>200</v>
      </c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</row>
    <row r="686" spans="1:42" s="106" customFormat="1" ht="13.8">
      <c r="A686" s="125"/>
      <c r="B686" s="34">
        <v>44545</v>
      </c>
      <c r="C686" s="34"/>
      <c r="D686" s="124" t="s">
        <v>177</v>
      </c>
      <c r="E686" s="124">
        <v>-1000</v>
      </c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>
        <v>-1000</v>
      </c>
      <c r="Q686" s="124"/>
      <c r="R686" s="124"/>
      <c r="S686" s="124"/>
      <c r="T686" s="124"/>
      <c r="U686" s="124"/>
      <c r="V686" s="124"/>
      <c r="W686" s="124"/>
      <c r="X686" s="124"/>
    </row>
    <row r="687" spans="1:42" s="106" customFormat="1" ht="13.8">
      <c r="A687" s="125"/>
      <c r="B687" s="34">
        <v>44545</v>
      </c>
      <c r="C687" s="34"/>
      <c r="D687" s="124" t="s">
        <v>179</v>
      </c>
      <c r="E687" s="124">
        <v>1764</v>
      </c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>
        <v>1764</v>
      </c>
      <c r="W687" s="124"/>
      <c r="X687" s="124"/>
    </row>
    <row r="688" spans="1:42" s="106" customFormat="1" ht="13.8">
      <c r="A688" s="125"/>
      <c r="B688" s="34">
        <v>44545</v>
      </c>
      <c r="C688" s="34"/>
      <c r="D688" s="124" t="s">
        <v>11</v>
      </c>
      <c r="E688" s="124">
        <v>500</v>
      </c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>
        <v>500</v>
      </c>
      <c r="T688" s="124"/>
      <c r="U688" s="124"/>
      <c r="V688" s="124"/>
      <c r="W688" s="124"/>
      <c r="X688" s="124"/>
    </row>
    <row r="689" spans="1:42" s="106" customFormat="1" ht="13.8">
      <c r="A689" s="125"/>
      <c r="B689" s="34">
        <v>44545</v>
      </c>
      <c r="C689" s="34"/>
      <c r="D689" s="124" t="s">
        <v>13</v>
      </c>
      <c r="E689" s="124">
        <v>500</v>
      </c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>
        <v>500</v>
      </c>
      <c r="T689" s="124"/>
      <c r="U689" s="124"/>
      <c r="V689" s="124"/>
      <c r="W689" s="124"/>
      <c r="X689" s="124"/>
    </row>
    <row r="690" spans="1:42" s="106" customFormat="1" ht="13.8">
      <c r="A690" s="125"/>
      <c r="B690" s="34">
        <v>44545</v>
      </c>
      <c r="C690" s="34"/>
      <c r="D690" s="124" t="s">
        <v>10</v>
      </c>
      <c r="E690" s="124">
        <v>500</v>
      </c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>
        <v>500</v>
      </c>
      <c r="T690" s="124"/>
      <c r="U690" s="124"/>
      <c r="V690" s="124"/>
      <c r="W690" s="124"/>
      <c r="X690" s="124"/>
    </row>
    <row r="691" spans="1:42" s="106" customFormat="1" ht="13.8">
      <c r="A691" s="125"/>
      <c r="B691" s="34">
        <v>44545</v>
      </c>
      <c r="C691" s="34"/>
      <c r="D691" s="124" t="s">
        <v>7</v>
      </c>
      <c r="E691" s="124">
        <v>500</v>
      </c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>
        <v>500</v>
      </c>
      <c r="T691" s="124"/>
      <c r="U691" s="124"/>
      <c r="V691" s="124"/>
      <c r="W691" s="124"/>
      <c r="X691" s="124"/>
    </row>
    <row r="692" spans="1:42" s="106" customFormat="1" ht="13.8">
      <c r="A692" s="125"/>
      <c r="B692" s="34">
        <v>44546</v>
      </c>
      <c r="C692" s="34"/>
      <c r="D692" s="124" t="s">
        <v>178</v>
      </c>
      <c r="E692" s="124">
        <v>399</v>
      </c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>
        <v>399</v>
      </c>
      <c r="T692" s="124"/>
      <c r="U692" s="124"/>
      <c r="V692" s="124"/>
      <c r="W692" s="124"/>
      <c r="X692" s="124"/>
    </row>
    <row r="693" spans="1:42" s="106" customFormat="1" ht="13.8">
      <c r="A693" s="125"/>
      <c r="B693" s="34">
        <v>44546</v>
      </c>
      <c r="C693" s="34"/>
      <c r="D693" s="124" t="s">
        <v>177</v>
      </c>
      <c r="E693" s="124">
        <v>-2200</v>
      </c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>
        <v>-2200</v>
      </c>
      <c r="Q693" s="124"/>
      <c r="R693" s="124"/>
      <c r="S693" s="124"/>
      <c r="T693" s="124"/>
      <c r="U693" s="124"/>
      <c r="V693" s="124"/>
      <c r="W693" s="124"/>
      <c r="X693" s="124"/>
    </row>
    <row r="694" spans="1:42" s="106" customFormat="1" ht="13.8">
      <c r="A694" s="125"/>
      <c r="B694" s="34">
        <v>44559</v>
      </c>
      <c r="C694" s="34"/>
      <c r="D694" s="124" t="s">
        <v>48</v>
      </c>
      <c r="E694" s="124">
        <v>550</v>
      </c>
      <c r="F694" s="124"/>
      <c r="G694" s="124"/>
      <c r="H694" s="124"/>
      <c r="I694" s="124"/>
      <c r="J694" s="124"/>
      <c r="K694" s="124"/>
      <c r="L694" s="124"/>
      <c r="M694" s="124"/>
      <c r="N694" s="124"/>
      <c r="O694" s="124">
        <v>550</v>
      </c>
      <c r="P694" s="124"/>
      <c r="Q694" s="124"/>
      <c r="R694" s="124"/>
      <c r="S694" s="124"/>
      <c r="T694" s="124"/>
      <c r="U694" s="124"/>
      <c r="V694" s="124"/>
      <c r="W694" s="124"/>
      <c r="X694" s="124"/>
    </row>
    <row r="695" spans="1:42" s="107" customFormat="1" ht="13.8">
      <c r="A695" s="142"/>
      <c r="B695" s="141"/>
      <c r="C695" s="141"/>
      <c r="D695" s="140" t="s">
        <v>42</v>
      </c>
      <c r="E695" s="140">
        <f>673.5+79.7+130.55+349.15+120+60+74.55+74.8+80.4+176.75</f>
        <v>1819.4</v>
      </c>
      <c r="F695" s="140"/>
      <c r="G695" s="140">
        <f>79</f>
        <v>79</v>
      </c>
      <c r="H695" s="140">
        <f>E695-K695-M695+219.15-120+60+74.55+74.8+70.45+166.75</f>
        <v>1711.1000000000001</v>
      </c>
      <c r="I695" s="140">
        <f>60</f>
        <v>60</v>
      </c>
      <c r="J695" s="140"/>
      <c r="K695" s="140">
        <v>550</v>
      </c>
      <c r="L695" s="140">
        <v>240</v>
      </c>
      <c r="M695" s="140">
        <f>30+54+10+10</f>
        <v>104</v>
      </c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</row>
    <row r="696" spans="1:42" s="107" customFormat="1" ht="13.8">
      <c r="A696" s="142"/>
      <c r="B696" s="141"/>
      <c r="C696" s="141"/>
      <c r="D696" s="140" t="s">
        <v>41</v>
      </c>
      <c r="E696" s="140">
        <f>150+29.5+103.95</f>
        <v>283.45</v>
      </c>
      <c r="F696" s="140"/>
      <c r="G696" s="140">
        <v>40</v>
      </c>
      <c r="H696" s="140">
        <f>150+63.95</f>
        <v>213.95</v>
      </c>
      <c r="I696" s="140"/>
      <c r="J696" s="140"/>
      <c r="K696" s="140"/>
      <c r="L696" s="140"/>
      <c r="M696" s="140">
        <f>29.5</f>
        <v>29.5</v>
      </c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</row>
    <row r="697" spans="1:42" s="107" customFormat="1" ht="13.8">
      <c r="A697" s="142"/>
      <c r="B697" s="141"/>
      <c r="C697" s="141"/>
      <c r="D697" s="140" t="s">
        <v>40</v>
      </c>
      <c r="E697" s="140">
        <f>39.5+64+183.95+99.5</f>
        <v>386.95</v>
      </c>
      <c r="F697" s="140"/>
      <c r="G697" s="140"/>
      <c r="H697" s="140">
        <f>39.5+64+183.95+99.5</f>
        <v>386.95</v>
      </c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</row>
    <row r="698" spans="1:42" s="107" customFormat="1" ht="13.8">
      <c r="A698" s="142"/>
      <c r="B698" s="141"/>
      <c r="C698" s="141"/>
      <c r="D698" s="140" t="s">
        <v>39</v>
      </c>
      <c r="E698" s="140">
        <f>28.25+12</f>
        <v>40.25</v>
      </c>
      <c r="F698" s="140"/>
      <c r="G698" s="140"/>
      <c r="H698" s="140">
        <f>28.25+12</f>
        <v>40.25</v>
      </c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</row>
    <row r="699" spans="1:42" s="107" customFormat="1" ht="13.8">
      <c r="A699" s="142"/>
      <c r="B699" s="141"/>
      <c r="C699" s="141"/>
      <c r="D699" s="140" t="s">
        <v>38</v>
      </c>
      <c r="E699" s="140">
        <f>27.8+27.8</f>
        <v>55.6</v>
      </c>
      <c r="F699" s="140"/>
      <c r="G699" s="140"/>
      <c r="H699" s="140">
        <f>27.8+27.8</f>
        <v>55.6</v>
      </c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</row>
    <row r="700" spans="1:42" s="107" customFormat="1" ht="13.8">
      <c r="A700" s="142"/>
      <c r="B700" s="141"/>
      <c r="C700" s="141"/>
      <c r="D700" s="140" t="s">
        <v>37</v>
      </c>
      <c r="E700" s="140">
        <f>69+99+32.5</f>
        <v>200.5</v>
      </c>
      <c r="F700" s="140"/>
      <c r="G700" s="140">
        <f>69+99+32.5</f>
        <v>200.5</v>
      </c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</row>
    <row r="701" spans="1:42" s="106" customFormat="1" ht="13.8">
      <c r="A701" s="125"/>
      <c r="B701" s="2930" t="str">
        <f>O35</f>
        <v>December</v>
      </c>
      <c r="C701" s="2931"/>
      <c r="D701" s="2966" t="s">
        <v>176</v>
      </c>
      <c r="E701" s="2934">
        <f t="shared" ref="E701:W701" si="38">SUM(E702:E703)</f>
        <v>0</v>
      </c>
      <c r="F701" s="2934">
        <f t="shared" si="38"/>
        <v>0</v>
      </c>
      <c r="G701" s="2934">
        <f t="shared" si="38"/>
        <v>0</v>
      </c>
      <c r="H701" s="2934">
        <f t="shared" si="38"/>
        <v>0</v>
      </c>
      <c r="I701" s="2934">
        <f t="shared" si="38"/>
        <v>0</v>
      </c>
      <c r="J701" s="2934">
        <f t="shared" si="38"/>
        <v>0</v>
      </c>
      <c r="K701" s="2934">
        <f t="shared" si="38"/>
        <v>0</v>
      </c>
      <c r="L701" s="2934">
        <f t="shared" si="38"/>
        <v>0</v>
      </c>
      <c r="M701" s="2934">
        <f t="shared" si="38"/>
        <v>0</v>
      </c>
      <c r="N701" s="2934">
        <f t="shared" si="38"/>
        <v>0</v>
      </c>
      <c r="O701" s="2934">
        <f t="shared" si="38"/>
        <v>0</v>
      </c>
      <c r="P701" s="2934">
        <f t="shared" si="38"/>
        <v>0</v>
      </c>
      <c r="Q701" s="2934">
        <f t="shared" si="38"/>
        <v>0</v>
      </c>
      <c r="R701" s="2934">
        <f t="shared" si="38"/>
        <v>0</v>
      </c>
      <c r="S701" s="2934">
        <f t="shared" si="38"/>
        <v>0</v>
      </c>
      <c r="T701" s="2934">
        <f t="shared" si="38"/>
        <v>0</v>
      </c>
      <c r="U701" s="2934">
        <f t="shared" si="38"/>
        <v>0</v>
      </c>
      <c r="V701" s="2934">
        <f t="shared" si="38"/>
        <v>0</v>
      </c>
      <c r="W701" s="2934">
        <f t="shared" si="38"/>
        <v>0</v>
      </c>
      <c r="X701" s="2934"/>
    </row>
    <row r="702" spans="1:42" s="120" customFormat="1" ht="12" customHeight="1">
      <c r="A702" s="60"/>
      <c r="B702" s="2932"/>
      <c r="C702" s="2933"/>
      <c r="D702" s="2935"/>
      <c r="E702" s="2935"/>
      <c r="F702" s="2935"/>
      <c r="G702" s="2935"/>
      <c r="H702" s="2935"/>
      <c r="I702" s="2935"/>
      <c r="J702" s="2935"/>
      <c r="K702" s="2935"/>
      <c r="L702" s="2935"/>
      <c r="M702" s="2935"/>
      <c r="N702" s="2935"/>
      <c r="O702" s="2935"/>
      <c r="P702" s="2935"/>
      <c r="Q702" s="2935"/>
      <c r="R702" s="2935"/>
      <c r="S702" s="2935"/>
      <c r="T702" s="2935"/>
      <c r="U702" s="2935"/>
      <c r="V702" s="2935"/>
      <c r="W702" s="2935"/>
      <c r="X702" s="293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</row>
    <row r="704" spans="1:42" ht="13.8">
      <c r="A704" s="97"/>
      <c r="B704" s="110"/>
      <c r="C704" s="110"/>
      <c r="D704" s="109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4"/>
      <c r="Q704" s="13"/>
      <c r="R704" s="97"/>
      <c r="S704" s="97"/>
      <c r="T704" s="97"/>
      <c r="U704" s="97"/>
      <c r="V704" s="97"/>
      <c r="W704" s="97"/>
    </row>
    <row r="705" spans="1:23" ht="13.8">
      <c r="A705" s="97"/>
      <c r="B705" s="110"/>
      <c r="C705" s="110"/>
      <c r="D705" s="109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4"/>
      <c r="Q705" s="13"/>
      <c r="R705" s="97"/>
      <c r="S705" s="97"/>
      <c r="T705" s="97"/>
      <c r="U705" s="97"/>
      <c r="V705" s="97"/>
      <c r="W705" s="97"/>
    </row>
    <row r="706" spans="1:23">
      <c r="A706" s="97"/>
    </row>
  </sheetData>
  <sheetProtection formatCells="0" formatColumns="0" formatRows="0" insertColumns="0" insertRows="0" insertHyperlinks="0" deleteColumns="0" deleteRows="0" sort="0" autoFilter="0" pivotTables="0"/>
  <mergeCells count="273">
    <mergeCell ref="B267:C268"/>
    <mergeCell ref="B174:C175"/>
    <mergeCell ref="V42:V43"/>
    <mergeCell ref="U42:U43"/>
    <mergeCell ref="T42:T43"/>
    <mergeCell ref="S42:S43"/>
    <mergeCell ref="R42:R43"/>
    <mergeCell ref="Q42:Q43"/>
    <mergeCell ref="P42:P43"/>
    <mergeCell ref="O42:O43"/>
    <mergeCell ref="J42:J43"/>
    <mergeCell ref="B42:C43"/>
    <mergeCell ref="E267:E268"/>
    <mergeCell ref="F267:F268"/>
    <mergeCell ref="G267:G268"/>
    <mergeCell ref="J174:J175"/>
    <mergeCell ref="K42:K43"/>
    <mergeCell ref="AE34:AF34"/>
    <mergeCell ref="AG34:AH34"/>
    <mergeCell ref="B34:C35"/>
    <mergeCell ref="B38:E40"/>
    <mergeCell ref="B701:C702"/>
    <mergeCell ref="B583:C584"/>
    <mergeCell ref="B545:C546"/>
    <mergeCell ref="B511:C512"/>
    <mergeCell ref="B431:C432"/>
    <mergeCell ref="B349:C350"/>
    <mergeCell ref="I431:I432"/>
    <mergeCell ref="I267:I268"/>
    <mergeCell ref="D431:D432"/>
    <mergeCell ref="E431:E432"/>
    <mergeCell ref="F431:F432"/>
    <mergeCell ref="G431:G432"/>
    <mergeCell ref="D349:D350"/>
    <mergeCell ref="H174:H175"/>
    <mergeCell ref="G174:G175"/>
    <mergeCell ref="F174:F175"/>
    <mergeCell ref="E174:E175"/>
    <mergeCell ref="D661:D662"/>
    <mergeCell ref="D42:D43"/>
    <mergeCell ref="H431:H432"/>
    <mergeCell ref="D701:D702"/>
    <mergeCell ref="E42:E43"/>
    <mergeCell ref="B663:C663"/>
    <mergeCell ref="B623:C623"/>
    <mergeCell ref="B585:C585"/>
    <mergeCell ref="B621:C622"/>
    <mergeCell ref="B661:C662"/>
    <mergeCell ref="I174:I175"/>
    <mergeCell ref="N174:N175"/>
    <mergeCell ref="J545:J546"/>
    <mergeCell ref="K545:K546"/>
    <mergeCell ref="L545:L546"/>
    <mergeCell ref="M545:M546"/>
    <mergeCell ref="E349:E350"/>
    <mergeCell ref="F349:F350"/>
    <mergeCell ref="G349:G350"/>
    <mergeCell ref="H349:H350"/>
    <mergeCell ref="D174:D175"/>
    <mergeCell ref="D511:D512"/>
    <mergeCell ref="E511:E512"/>
    <mergeCell ref="F511:F512"/>
    <mergeCell ref="G511:G512"/>
    <mergeCell ref="H511:H512"/>
    <mergeCell ref="D267:D268"/>
    <mergeCell ref="M34:O34"/>
    <mergeCell ref="S174:S175"/>
    <mergeCell ref="R174:R175"/>
    <mergeCell ref="Q174:Q175"/>
    <mergeCell ref="P174:P175"/>
    <mergeCell ref="O174:O175"/>
    <mergeCell ref="L621:L622"/>
    <mergeCell ref="N42:N43"/>
    <mergeCell ref="M42:M43"/>
    <mergeCell ref="L42:L43"/>
    <mergeCell ref="J34:L34"/>
    <mergeCell ref="P34:Q35"/>
    <mergeCell ref="J621:J622"/>
    <mergeCell ref="K621:K622"/>
    <mergeCell ref="J431:J432"/>
    <mergeCell ref="K174:K175"/>
    <mergeCell ref="M174:M175"/>
    <mergeCell ref="L174:L175"/>
    <mergeCell ref="O545:O546"/>
    <mergeCell ref="T511:T512"/>
    <mergeCell ref="U511:U512"/>
    <mergeCell ref="T349:T350"/>
    <mergeCell ref="U349:U350"/>
    <mergeCell ref="T621:T622"/>
    <mergeCell ref="P621:P622"/>
    <mergeCell ref="O621:O622"/>
    <mergeCell ref="L583:L584"/>
    <mergeCell ref="M583:M584"/>
    <mergeCell ref="N583:N584"/>
    <mergeCell ref="O583:O584"/>
    <mergeCell ref="O431:O432"/>
    <mergeCell ref="U621:U622"/>
    <mergeCell ref="W661:W662"/>
    <mergeCell ref="W701:W702"/>
    <mergeCell ref="V36:V37"/>
    <mergeCell ref="W42:W43"/>
    <mergeCell ref="W174:W175"/>
    <mergeCell ref="W267:W268"/>
    <mergeCell ref="W349:W350"/>
    <mergeCell ref="W431:W432"/>
    <mergeCell ref="W511:W512"/>
    <mergeCell ref="W545:W546"/>
    <mergeCell ref="W583:W584"/>
    <mergeCell ref="W621:W622"/>
    <mergeCell ref="V174:V175"/>
    <mergeCell ref="V621:V622"/>
    <mergeCell ref="U661:U662"/>
    <mergeCell ref="V661:V662"/>
    <mergeCell ref="U583:U584"/>
    <mergeCell ref="V583:V584"/>
    <mergeCell ref="U545:U546"/>
    <mergeCell ref="V545:V546"/>
    <mergeCell ref="R34:R35"/>
    <mergeCell ref="R36:R37"/>
    <mergeCell ref="U174:U175"/>
    <mergeCell ref="U431:U432"/>
    <mergeCell ref="V431:V432"/>
    <mergeCell ref="V349:V350"/>
    <mergeCell ref="V267:V268"/>
    <mergeCell ref="R545:R546"/>
    <mergeCell ref="R621:R622"/>
    <mergeCell ref="S621:S622"/>
    <mergeCell ref="R583:R584"/>
    <mergeCell ref="S583:S584"/>
    <mergeCell ref="T431:T432"/>
    <mergeCell ref="R431:R432"/>
    <mergeCell ref="S431:S432"/>
    <mergeCell ref="T545:T546"/>
    <mergeCell ref="T174:T175"/>
    <mergeCell ref="V511:V512"/>
    <mergeCell ref="P2:Q2"/>
    <mergeCell ref="U2:V2"/>
    <mergeCell ref="P3:Q3"/>
    <mergeCell ref="U3:V3"/>
    <mergeCell ref="X36:X37"/>
    <mergeCell ref="S34:T34"/>
    <mergeCell ref="U34:V34"/>
    <mergeCell ref="U36:U37"/>
    <mergeCell ref="T36:T37"/>
    <mergeCell ref="X34:X35"/>
    <mergeCell ref="X3:AA3"/>
    <mergeCell ref="P8:Q8"/>
    <mergeCell ref="P33:Q33"/>
    <mergeCell ref="P36:Q37"/>
    <mergeCell ref="S36:S37"/>
    <mergeCell ref="W36:W37"/>
    <mergeCell ref="W34:W35"/>
    <mergeCell ref="I621:I622"/>
    <mergeCell ref="F42:F43"/>
    <mergeCell ref="G42:G43"/>
    <mergeCell ref="H42:H43"/>
    <mergeCell ref="I42:I43"/>
    <mergeCell ref="I511:I512"/>
    <mergeCell ref="H267:H268"/>
    <mergeCell ref="I349:I350"/>
    <mergeCell ref="Q621:Q622"/>
    <mergeCell ref="P583:P584"/>
    <mergeCell ref="Q583:Q584"/>
    <mergeCell ref="P431:P432"/>
    <mergeCell ref="Q431:Q432"/>
    <mergeCell ref="L267:L268"/>
    <mergeCell ref="M267:M268"/>
    <mergeCell ref="N267:N268"/>
    <mergeCell ref="O267:O268"/>
    <mergeCell ref="J511:J512"/>
    <mergeCell ref="K511:K512"/>
    <mergeCell ref="L511:L512"/>
    <mergeCell ref="P545:P546"/>
    <mergeCell ref="O511:O512"/>
    <mergeCell ref="M511:M512"/>
    <mergeCell ref="N511:N512"/>
    <mergeCell ref="D621:D622"/>
    <mergeCell ref="E621:E622"/>
    <mergeCell ref="F621:F622"/>
    <mergeCell ref="G621:G622"/>
    <mergeCell ref="H621:H622"/>
    <mergeCell ref="Q349:Q350"/>
    <mergeCell ref="R349:R350"/>
    <mergeCell ref="S349:S350"/>
    <mergeCell ref="K431:K432"/>
    <mergeCell ref="L431:L432"/>
    <mergeCell ref="M431:M432"/>
    <mergeCell ref="N431:N432"/>
    <mergeCell ref="P349:P350"/>
    <mergeCell ref="D545:D546"/>
    <mergeCell ref="E545:E546"/>
    <mergeCell ref="F545:F546"/>
    <mergeCell ref="G545:G546"/>
    <mergeCell ref="S545:S546"/>
    <mergeCell ref="H545:H546"/>
    <mergeCell ref="I545:I546"/>
    <mergeCell ref="N545:N546"/>
    <mergeCell ref="Q545:Q546"/>
    <mergeCell ref="K583:K584"/>
    <mergeCell ref="P511:P512"/>
    <mergeCell ref="D583:D584"/>
    <mergeCell ref="E583:E584"/>
    <mergeCell ref="F583:F584"/>
    <mergeCell ref="G583:G584"/>
    <mergeCell ref="H583:H584"/>
    <mergeCell ref="I583:I584"/>
    <mergeCell ref="J583:J584"/>
    <mergeCell ref="T267:T268"/>
    <mergeCell ref="U267:U268"/>
    <mergeCell ref="P267:P268"/>
    <mergeCell ref="Q267:Q268"/>
    <mergeCell ref="R267:R268"/>
    <mergeCell ref="S267:S268"/>
    <mergeCell ref="J349:J350"/>
    <mergeCell ref="K349:K350"/>
    <mergeCell ref="L349:L350"/>
    <mergeCell ref="M349:M350"/>
    <mergeCell ref="N349:N350"/>
    <mergeCell ref="O349:O350"/>
    <mergeCell ref="J267:J268"/>
    <mergeCell ref="K267:K268"/>
    <mergeCell ref="Q511:Q512"/>
    <mergeCell ref="R511:R512"/>
    <mergeCell ref="S511:S512"/>
    <mergeCell ref="Q701:Q702"/>
    <mergeCell ref="R701:R702"/>
    <mergeCell ref="S701:S702"/>
    <mergeCell ref="T583:T584"/>
    <mergeCell ref="K661:K662"/>
    <mergeCell ref="L661:L662"/>
    <mergeCell ref="M661:M662"/>
    <mergeCell ref="N661:N662"/>
    <mergeCell ref="O661:O662"/>
    <mergeCell ref="T661:T662"/>
    <mergeCell ref="Q661:Q662"/>
    <mergeCell ref="R661:R662"/>
    <mergeCell ref="S661:S662"/>
    <mergeCell ref="M621:M622"/>
    <mergeCell ref="N621:N622"/>
    <mergeCell ref="I661:I662"/>
    <mergeCell ref="P661:P662"/>
    <mergeCell ref="J661:J662"/>
    <mergeCell ref="P701:P702"/>
    <mergeCell ref="E701:E702"/>
    <mergeCell ref="F701:F702"/>
    <mergeCell ref="G701:G702"/>
    <mergeCell ref="H701:H702"/>
    <mergeCell ref="I701:I702"/>
    <mergeCell ref="J701:J702"/>
    <mergeCell ref="X621:X622"/>
    <mergeCell ref="B41:E41"/>
    <mergeCell ref="T701:T702"/>
    <mergeCell ref="U701:U702"/>
    <mergeCell ref="V701:V702"/>
    <mergeCell ref="K701:K702"/>
    <mergeCell ref="L701:L702"/>
    <mergeCell ref="M701:M702"/>
    <mergeCell ref="N701:N702"/>
    <mergeCell ref="O701:O702"/>
    <mergeCell ref="X661:X662"/>
    <mergeCell ref="X701:X702"/>
    <mergeCell ref="X42:X43"/>
    <mergeCell ref="X174:X175"/>
    <mergeCell ref="X267:X268"/>
    <mergeCell ref="X349:X350"/>
    <mergeCell ref="X431:X432"/>
    <mergeCell ref="X511:X512"/>
    <mergeCell ref="X545:X546"/>
    <mergeCell ref="X583:X584"/>
    <mergeCell ref="E661:E662"/>
    <mergeCell ref="F661:F662"/>
    <mergeCell ref="G661:G662"/>
    <mergeCell ref="H661:H66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Z991"/>
  <sheetViews>
    <sheetView topLeftCell="A34" workbookViewId="0">
      <pane ySplit="5" topLeftCell="A684" activePane="bottomLeft" state="frozen"/>
      <selection activeCell="EZ40" sqref="EZ40"/>
      <selection pane="bottomLeft" activeCell="EZ40" sqref="EZ40"/>
    </sheetView>
  </sheetViews>
  <sheetFormatPr defaultColWidth="9.109375" defaultRowHeight="13.2"/>
  <cols>
    <col min="1" max="1" width="0.6640625" style="101" customWidth="1"/>
    <col min="2" max="2" width="14.88671875" style="100" customWidth="1"/>
    <col min="3" max="3" width="15.6640625" style="99" customWidth="1"/>
    <col min="4" max="4" width="12.6640625" style="99" customWidth="1"/>
    <col min="5" max="14" width="11.5546875" style="99" customWidth="1"/>
    <col min="15" max="16" width="10.33203125" style="99" customWidth="1"/>
    <col min="17" max="17" width="11.109375" style="99" customWidth="1"/>
    <col min="18" max="21" width="10.33203125" style="99" customWidth="1"/>
    <col min="22" max="22" width="10.109375" style="97" bestFit="1" customWidth="1"/>
    <col min="23" max="24" width="9.109375" style="97"/>
    <col min="25" max="25" width="10.109375" style="97" bestFit="1" customWidth="1"/>
    <col min="26" max="26" width="9.109375" style="97"/>
    <col min="27" max="27" width="9.44140625" style="97" bestFit="1" customWidth="1"/>
    <col min="28" max="34" width="9.109375" style="97"/>
    <col min="35" max="35" width="9.44140625" style="97" bestFit="1" customWidth="1"/>
    <col min="36" max="16384" width="9.109375" style="97"/>
  </cols>
  <sheetData>
    <row r="1" spans="1:51" ht="12" customHeight="1">
      <c r="A1" s="165"/>
      <c r="B1" s="233"/>
      <c r="C1" s="232">
        <v>39</v>
      </c>
      <c r="D1" s="232">
        <v>69</v>
      </c>
      <c r="E1" s="232">
        <v>100</v>
      </c>
      <c r="F1" s="232">
        <v>131</v>
      </c>
      <c r="G1" s="232">
        <v>160</v>
      </c>
      <c r="H1" s="232">
        <v>190</v>
      </c>
      <c r="I1" s="232">
        <v>219</v>
      </c>
      <c r="J1" s="232">
        <v>249</v>
      </c>
      <c r="K1" s="232">
        <v>279</v>
      </c>
      <c r="L1" s="232">
        <v>307</v>
      </c>
      <c r="M1" s="232">
        <v>335</v>
      </c>
      <c r="N1" s="232">
        <v>364</v>
      </c>
      <c r="O1" s="231"/>
      <c r="P1" s="230"/>
      <c r="Q1" s="229"/>
      <c r="R1" s="229"/>
      <c r="S1" s="229"/>
      <c r="T1" s="229"/>
      <c r="U1" s="229"/>
    </row>
    <row r="2" spans="1:51" s="120" customFormat="1" ht="19.5" customHeight="1">
      <c r="A2" s="60"/>
      <c r="B2" s="96" t="s">
        <v>111</v>
      </c>
      <c r="C2" s="96" t="s">
        <v>122</v>
      </c>
      <c r="D2" s="96" t="s">
        <v>121</v>
      </c>
      <c r="E2" s="96" t="s">
        <v>120</v>
      </c>
      <c r="F2" s="96" t="s">
        <v>119</v>
      </c>
      <c r="G2" s="96" t="s">
        <v>118</v>
      </c>
      <c r="H2" s="96" t="s">
        <v>44</v>
      </c>
      <c r="I2" s="96" t="s">
        <v>117</v>
      </c>
      <c r="J2" s="96" t="s">
        <v>116</v>
      </c>
      <c r="K2" s="96" t="s">
        <v>115</v>
      </c>
      <c r="L2" s="96" t="s">
        <v>114</v>
      </c>
      <c r="M2" s="96" t="s">
        <v>113</v>
      </c>
      <c r="N2" s="96" t="s">
        <v>112</v>
      </c>
      <c r="O2" s="2967" t="s">
        <v>111</v>
      </c>
      <c r="P2" s="2968"/>
      <c r="Q2" s="221" t="s">
        <v>110</v>
      </c>
      <c r="R2" s="228"/>
      <c r="S2" s="228"/>
      <c r="T2" s="2969" t="s">
        <v>109</v>
      </c>
      <c r="U2" s="2970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</row>
    <row r="3" spans="1:51" s="166" customFormat="1" ht="16.5" customHeight="1">
      <c r="A3" s="224"/>
      <c r="B3" s="223" t="s">
        <v>290</v>
      </c>
      <c r="C3" s="222">
        <f t="shared" ref="C3:N3" si="0">SUM(C4:C7)</f>
        <v>19683</v>
      </c>
      <c r="D3" s="222">
        <f t="shared" si="0"/>
        <v>8411</v>
      </c>
      <c r="E3" s="222">
        <f t="shared" si="0"/>
        <v>19683</v>
      </c>
      <c r="F3" s="222">
        <f t="shared" si="0"/>
        <v>19683</v>
      </c>
      <c r="G3" s="222">
        <f t="shared" si="0"/>
        <v>19683</v>
      </c>
      <c r="H3" s="222">
        <f t="shared" si="0"/>
        <v>19683</v>
      </c>
      <c r="I3" s="222">
        <f t="shared" si="0"/>
        <v>19683</v>
      </c>
      <c r="J3" s="222">
        <f t="shared" si="0"/>
        <v>19683</v>
      </c>
      <c r="K3" s="222">
        <f t="shared" si="0"/>
        <v>19683</v>
      </c>
      <c r="L3" s="222">
        <f t="shared" si="0"/>
        <v>19683</v>
      </c>
      <c r="M3" s="222">
        <f t="shared" si="0"/>
        <v>19683</v>
      </c>
      <c r="N3" s="222">
        <f t="shared" si="0"/>
        <v>19683</v>
      </c>
      <c r="O3" s="2971">
        <f>SUM(C3:N3)</f>
        <v>224924</v>
      </c>
      <c r="P3" s="2972"/>
      <c r="Q3" s="221">
        <f>O3/12</f>
        <v>18743.666666666668</v>
      </c>
      <c r="R3" s="226" t="s">
        <v>41</v>
      </c>
      <c r="S3" s="219"/>
      <c r="T3" s="2973" t="s">
        <v>254</v>
      </c>
      <c r="U3" s="2972"/>
      <c r="V3" s="2971" t="s">
        <v>427</v>
      </c>
      <c r="W3" s="2973"/>
      <c r="X3" s="2973"/>
      <c r="Y3" s="2973"/>
      <c r="Z3" s="2973"/>
      <c r="AA3" s="2972"/>
    </row>
    <row r="4" spans="1:51" ht="13.8">
      <c r="A4" s="165"/>
      <c r="B4" s="164" t="s">
        <v>35</v>
      </c>
      <c r="C4" s="81">
        <f t="shared" ref="C4:N4" si="1">-$AI$35</f>
        <v>11004</v>
      </c>
      <c r="D4" s="81">
        <f t="shared" si="1"/>
        <v>11004</v>
      </c>
      <c r="E4" s="81">
        <f t="shared" si="1"/>
        <v>11004</v>
      </c>
      <c r="F4" s="81">
        <f t="shared" si="1"/>
        <v>11004</v>
      </c>
      <c r="G4" s="81">
        <f t="shared" si="1"/>
        <v>11004</v>
      </c>
      <c r="H4" s="81">
        <f t="shared" si="1"/>
        <v>11004</v>
      </c>
      <c r="I4" s="81">
        <f t="shared" si="1"/>
        <v>11004</v>
      </c>
      <c r="J4" s="81">
        <f t="shared" si="1"/>
        <v>11004</v>
      </c>
      <c r="K4" s="81">
        <f t="shared" si="1"/>
        <v>11004</v>
      </c>
      <c r="L4" s="81">
        <f t="shared" si="1"/>
        <v>11004</v>
      </c>
      <c r="M4" s="81">
        <f t="shared" si="1"/>
        <v>11004</v>
      </c>
      <c r="N4" s="81">
        <f t="shared" si="1"/>
        <v>11004</v>
      </c>
      <c r="O4" s="216"/>
      <c r="P4" s="204">
        <f>SUM(C4:N4)</f>
        <v>132048</v>
      </c>
      <c r="Q4" s="203">
        <f>P4/12</f>
        <v>11004</v>
      </c>
      <c r="R4" s="162" t="s">
        <v>35</v>
      </c>
      <c r="S4" s="161"/>
      <c r="T4" s="162" t="s">
        <v>108</v>
      </c>
      <c r="U4" s="161">
        <v>16044</v>
      </c>
      <c r="V4" s="162" t="s">
        <v>108</v>
      </c>
      <c r="W4" s="161">
        <f>6419+3576</f>
        <v>9995</v>
      </c>
      <c r="X4" s="162" t="s">
        <v>33</v>
      </c>
      <c r="Y4" s="161">
        <f>4032/12</f>
        <v>336</v>
      </c>
      <c r="Z4" s="162" t="s">
        <v>47</v>
      </c>
      <c r="AA4" s="161">
        <v>18478</v>
      </c>
    </row>
    <row r="5" spans="1:51" ht="13.8">
      <c r="A5" s="165"/>
      <c r="B5" s="164" t="s">
        <v>34</v>
      </c>
      <c r="C5" s="81">
        <f>-$AJ$35</f>
        <v>7733</v>
      </c>
      <c r="D5" s="81">
        <f>-($AJ$35+$AA$7)</f>
        <v>-3539</v>
      </c>
      <c r="E5" s="81">
        <f t="shared" ref="E5:N5" si="2">-$AJ$35</f>
        <v>7733</v>
      </c>
      <c r="F5" s="81">
        <f t="shared" si="2"/>
        <v>7733</v>
      </c>
      <c r="G5" s="81">
        <f t="shared" si="2"/>
        <v>7733</v>
      </c>
      <c r="H5" s="81">
        <f t="shared" si="2"/>
        <v>7733</v>
      </c>
      <c r="I5" s="81">
        <f t="shared" si="2"/>
        <v>7733</v>
      </c>
      <c r="J5" s="81">
        <f t="shared" si="2"/>
        <v>7733</v>
      </c>
      <c r="K5" s="81">
        <f t="shared" si="2"/>
        <v>7733</v>
      </c>
      <c r="L5" s="81">
        <f t="shared" si="2"/>
        <v>7733</v>
      </c>
      <c r="M5" s="81">
        <f t="shared" si="2"/>
        <v>7733</v>
      </c>
      <c r="N5" s="81">
        <f t="shared" si="2"/>
        <v>7733</v>
      </c>
      <c r="O5" s="216"/>
      <c r="P5" s="204">
        <f>SUM(C5:N5)</f>
        <v>81524</v>
      </c>
      <c r="Q5" s="203">
        <f>P5/12</f>
        <v>6793.666666666667</v>
      </c>
      <c r="R5" s="162" t="s">
        <v>34</v>
      </c>
      <c r="S5" s="161"/>
      <c r="T5" s="162" t="s">
        <v>107</v>
      </c>
      <c r="U5" s="161">
        <v>4042</v>
      </c>
      <c r="V5" s="162" t="s">
        <v>107</v>
      </c>
      <c r="W5" s="161">
        <v>4193</v>
      </c>
      <c r="X5" s="162" t="s">
        <v>107</v>
      </c>
      <c r="Y5" s="161"/>
      <c r="Z5" s="162" t="s">
        <v>107</v>
      </c>
      <c r="AA5" s="161"/>
    </row>
    <row r="6" spans="1:51" ht="13.8">
      <c r="A6" s="165"/>
      <c r="B6" s="164" t="s">
        <v>33</v>
      </c>
      <c r="C6" s="81">
        <f t="shared" ref="C6:N6" si="3">-$S$6</f>
        <v>-205</v>
      </c>
      <c r="D6" s="81">
        <f t="shared" si="3"/>
        <v>-205</v>
      </c>
      <c r="E6" s="81">
        <f t="shared" si="3"/>
        <v>-205</v>
      </c>
      <c r="F6" s="81">
        <f t="shared" si="3"/>
        <v>-205</v>
      </c>
      <c r="G6" s="81">
        <f t="shared" si="3"/>
        <v>-205</v>
      </c>
      <c r="H6" s="81">
        <f t="shared" si="3"/>
        <v>-205</v>
      </c>
      <c r="I6" s="81">
        <f t="shared" si="3"/>
        <v>-205</v>
      </c>
      <c r="J6" s="81">
        <f t="shared" si="3"/>
        <v>-205</v>
      </c>
      <c r="K6" s="81">
        <f t="shared" si="3"/>
        <v>-205</v>
      </c>
      <c r="L6" s="81">
        <f t="shared" si="3"/>
        <v>-205</v>
      </c>
      <c r="M6" s="81">
        <f t="shared" si="3"/>
        <v>-205</v>
      </c>
      <c r="N6" s="81">
        <f t="shared" si="3"/>
        <v>-205</v>
      </c>
      <c r="O6" s="216"/>
      <c r="P6" s="204">
        <f>SUM(C6:N6)</f>
        <v>-2460</v>
      </c>
      <c r="Q6" s="203">
        <f>P6/12</f>
        <v>-205</v>
      </c>
      <c r="R6" s="162" t="s">
        <v>33</v>
      </c>
      <c r="S6" s="161">
        <f>ROUNDUP($Y$4*0.61,0)</f>
        <v>205</v>
      </c>
      <c r="T6" s="162" t="s">
        <v>106</v>
      </c>
      <c r="U6" s="161">
        <v>0.43</v>
      </c>
      <c r="V6" s="162" t="s">
        <v>106</v>
      </c>
      <c r="W6" s="161">
        <v>0.39</v>
      </c>
      <c r="X6" s="162" t="s">
        <v>106</v>
      </c>
      <c r="Y6" s="161">
        <v>0.39</v>
      </c>
      <c r="Z6" s="162" t="s">
        <v>106</v>
      </c>
      <c r="AA6" s="161">
        <v>0.39</v>
      </c>
    </row>
    <row r="7" spans="1:51" ht="13.8">
      <c r="A7" s="165"/>
      <c r="B7" s="164" t="s">
        <v>31</v>
      </c>
      <c r="C7" s="81">
        <f t="shared" ref="C7:N7" si="4">-$X$35</f>
        <v>1151</v>
      </c>
      <c r="D7" s="81">
        <f t="shared" si="4"/>
        <v>1151</v>
      </c>
      <c r="E7" s="81">
        <f t="shared" si="4"/>
        <v>1151</v>
      </c>
      <c r="F7" s="81">
        <f t="shared" si="4"/>
        <v>1151</v>
      </c>
      <c r="G7" s="81">
        <f t="shared" si="4"/>
        <v>1151</v>
      </c>
      <c r="H7" s="81">
        <f t="shared" si="4"/>
        <v>1151</v>
      </c>
      <c r="I7" s="81">
        <f t="shared" si="4"/>
        <v>1151</v>
      </c>
      <c r="J7" s="81">
        <f t="shared" si="4"/>
        <v>1151</v>
      </c>
      <c r="K7" s="81">
        <f t="shared" si="4"/>
        <v>1151</v>
      </c>
      <c r="L7" s="81">
        <f t="shared" si="4"/>
        <v>1151</v>
      </c>
      <c r="M7" s="81">
        <f t="shared" si="4"/>
        <v>1151</v>
      </c>
      <c r="N7" s="81">
        <f t="shared" si="4"/>
        <v>1151</v>
      </c>
      <c r="O7" s="216"/>
      <c r="P7" s="225">
        <f>SUM(C7:N7)</f>
        <v>13812</v>
      </c>
      <c r="Q7" s="203">
        <f>P7/12</f>
        <v>1151</v>
      </c>
      <c r="R7" s="162"/>
      <c r="S7" s="161"/>
      <c r="T7" s="162" t="s">
        <v>41</v>
      </c>
      <c r="U7" s="161">
        <v>11004</v>
      </c>
      <c r="V7" s="162" t="s">
        <v>41</v>
      </c>
      <c r="W7" s="161">
        <f>ROUNDUP($W$4-(($W$4-$W$5)*$W$6),0)</f>
        <v>7733</v>
      </c>
      <c r="X7" s="162" t="s">
        <v>41</v>
      </c>
      <c r="Y7" s="161">
        <f>ROUNDUP($Y$4*0.61,0)</f>
        <v>205</v>
      </c>
      <c r="Z7" s="162" t="s">
        <v>41</v>
      </c>
      <c r="AA7" s="161">
        <f>ROUNDUP($AA$4*0.61,0)</f>
        <v>11272</v>
      </c>
    </row>
    <row r="8" spans="1:51" s="166" customFormat="1" ht="16.5" customHeight="1">
      <c r="A8" s="224"/>
      <c r="B8" s="223" t="s">
        <v>289</v>
      </c>
      <c r="C8" s="222" t="e">
        <f t="shared" ref="C8:N8" si="5">SUM(C9:C31)</f>
        <v>#REF!</v>
      </c>
      <c r="D8" s="222" t="e">
        <f t="shared" si="5"/>
        <v>#REF!</v>
      </c>
      <c r="E8" s="222" t="e">
        <f t="shared" si="5"/>
        <v>#REF!</v>
      </c>
      <c r="F8" s="222" t="e">
        <f t="shared" si="5"/>
        <v>#REF!</v>
      </c>
      <c r="G8" s="222">
        <f t="shared" si="5"/>
        <v>18494.22</v>
      </c>
      <c r="H8" s="222" t="e">
        <f t="shared" si="5"/>
        <v>#REF!</v>
      </c>
      <c r="I8" s="222" t="e">
        <f t="shared" si="5"/>
        <v>#REF!</v>
      </c>
      <c r="J8" s="222" t="e">
        <f t="shared" si="5"/>
        <v>#REF!</v>
      </c>
      <c r="K8" s="222" t="e">
        <f t="shared" si="5"/>
        <v>#REF!</v>
      </c>
      <c r="L8" s="222" t="e">
        <f t="shared" si="5"/>
        <v>#REF!</v>
      </c>
      <c r="M8" s="222" t="e">
        <f t="shared" si="5"/>
        <v>#REF!</v>
      </c>
      <c r="N8" s="222" t="e">
        <f t="shared" si="5"/>
        <v>#REF!</v>
      </c>
      <c r="O8" s="2971" t="s">
        <v>111</v>
      </c>
      <c r="P8" s="2972"/>
      <c r="Q8" s="221" t="s">
        <v>110</v>
      </c>
      <c r="R8" s="220"/>
      <c r="S8" s="219"/>
      <c r="T8" s="218"/>
      <c r="U8" s="217"/>
      <c r="V8" s="272" t="s">
        <v>426</v>
      </c>
      <c r="W8" s="271" t="s">
        <v>425</v>
      </c>
    </row>
    <row r="9" spans="1:51" ht="12" customHeight="1">
      <c r="A9" s="165"/>
      <c r="B9" s="214" t="s">
        <v>30</v>
      </c>
      <c r="C9" s="213">
        <f>$U$9</f>
        <v>7474</v>
      </c>
      <c r="D9" s="213">
        <f>$U$9+9717</f>
        <v>17191</v>
      </c>
      <c r="E9" s="213">
        <f>$U$9</f>
        <v>7474</v>
      </c>
      <c r="F9" s="213">
        <f>$U$9</f>
        <v>7474</v>
      </c>
      <c r="G9" s="213">
        <f>$U$9</f>
        <v>7474</v>
      </c>
      <c r="H9" s="213">
        <f>$U$9</f>
        <v>7474</v>
      </c>
      <c r="I9" s="213">
        <f>$U$9/2</f>
        <v>3737</v>
      </c>
      <c r="J9" s="213">
        <f>$U$9</f>
        <v>7474</v>
      </c>
      <c r="K9" s="213">
        <f>$U$9</f>
        <v>7474</v>
      </c>
      <c r="L9" s="213">
        <f>$U$9</f>
        <v>7474</v>
      </c>
      <c r="M9" s="213">
        <f>$U$9/2</f>
        <v>3737</v>
      </c>
      <c r="N9" s="213">
        <f>$U$9</f>
        <v>7474</v>
      </c>
      <c r="O9" s="216"/>
      <c r="P9" s="204">
        <f t="shared" ref="P9:P32" si="6">SUM(C9:N9)</f>
        <v>91931</v>
      </c>
      <c r="Q9" s="203">
        <f t="shared" ref="Q9:Q32" si="7">P9/12</f>
        <v>7660.916666666667</v>
      </c>
      <c r="R9" s="85"/>
      <c r="S9" s="208"/>
      <c r="T9" s="208" t="s">
        <v>30</v>
      </c>
      <c r="U9" s="199">
        <v>7474</v>
      </c>
      <c r="V9" s="247" t="s">
        <v>122</v>
      </c>
      <c r="W9" s="270"/>
    </row>
    <row r="10" spans="1:51" ht="12" customHeight="1">
      <c r="A10" s="165"/>
      <c r="B10" s="214" t="s">
        <v>265</v>
      </c>
      <c r="C10" s="213">
        <f>$Y$35</f>
        <v>602.4</v>
      </c>
      <c r="D10" s="213">
        <f>$Y$35</f>
        <v>602.4</v>
      </c>
      <c r="E10" s="213">
        <f>$Y$35</f>
        <v>602.4</v>
      </c>
      <c r="F10" s="213" t="e">
        <f>#REF!</f>
        <v>#REF!</v>
      </c>
      <c r="G10" s="213"/>
      <c r="H10" s="213"/>
      <c r="I10" s="213"/>
      <c r="J10" s="213"/>
      <c r="K10" s="213"/>
      <c r="L10" s="213"/>
      <c r="M10" s="213"/>
      <c r="N10" s="213"/>
      <c r="O10" s="209"/>
      <c r="P10" s="215" t="e">
        <f t="shared" si="6"/>
        <v>#REF!</v>
      </c>
      <c r="Q10" s="203" t="e">
        <f t="shared" si="7"/>
        <v>#REF!</v>
      </c>
      <c r="R10" s="202"/>
      <c r="S10" s="208"/>
      <c r="T10" s="208" t="s">
        <v>37</v>
      </c>
      <c r="U10" s="199"/>
      <c r="V10" s="247" t="s">
        <v>121</v>
      </c>
      <c r="W10" s="270">
        <v>1</v>
      </c>
    </row>
    <row r="11" spans="1:51" ht="12" customHeight="1">
      <c r="A11" s="165"/>
      <c r="B11" s="214" t="s">
        <v>264</v>
      </c>
      <c r="C11" s="213">
        <f t="shared" ref="C11:K11" si="8">$Z$35</f>
        <v>490</v>
      </c>
      <c r="D11" s="213">
        <f t="shared" si="8"/>
        <v>490</v>
      </c>
      <c r="E11" s="213">
        <f t="shared" si="8"/>
        <v>490</v>
      </c>
      <c r="F11" s="213">
        <f t="shared" si="8"/>
        <v>490</v>
      </c>
      <c r="G11" s="213">
        <f t="shared" si="8"/>
        <v>490</v>
      </c>
      <c r="H11" s="213">
        <f t="shared" si="8"/>
        <v>490</v>
      </c>
      <c r="I11" s="213">
        <f t="shared" si="8"/>
        <v>490</v>
      </c>
      <c r="J11" s="213">
        <f t="shared" si="8"/>
        <v>490</v>
      </c>
      <c r="K11" s="213">
        <f t="shared" si="8"/>
        <v>490</v>
      </c>
      <c r="L11" s="213" t="e">
        <f>#REF!</f>
        <v>#REF!</v>
      </c>
      <c r="M11" s="213"/>
      <c r="N11" s="213"/>
      <c r="O11" s="209"/>
      <c r="P11" s="204" t="e">
        <f t="shared" si="6"/>
        <v>#REF!</v>
      </c>
      <c r="Q11" s="203" t="e">
        <f t="shared" si="7"/>
        <v>#REF!</v>
      </c>
      <c r="R11" s="202"/>
      <c r="S11" s="208"/>
      <c r="T11" s="208" t="s">
        <v>15</v>
      </c>
      <c r="U11" s="199"/>
      <c r="V11" s="247" t="s">
        <v>120</v>
      </c>
      <c r="W11" s="270">
        <v>2</v>
      </c>
    </row>
    <row r="12" spans="1:51" ht="12" customHeight="1">
      <c r="A12" s="165"/>
      <c r="B12" s="214" t="s">
        <v>182</v>
      </c>
      <c r="C12" s="213">
        <f t="shared" ref="C12:N12" si="9">$AA$35</f>
        <v>284</v>
      </c>
      <c r="D12" s="213">
        <f t="shared" si="9"/>
        <v>284</v>
      </c>
      <c r="E12" s="213">
        <f t="shared" si="9"/>
        <v>284</v>
      </c>
      <c r="F12" s="213">
        <f t="shared" si="9"/>
        <v>284</v>
      </c>
      <c r="G12" s="213">
        <f t="shared" si="9"/>
        <v>284</v>
      </c>
      <c r="H12" s="213">
        <f t="shared" si="9"/>
        <v>284</v>
      </c>
      <c r="I12" s="213">
        <f t="shared" si="9"/>
        <v>284</v>
      </c>
      <c r="J12" s="213">
        <f t="shared" si="9"/>
        <v>284</v>
      </c>
      <c r="K12" s="213">
        <f t="shared" si="9"/>
        <v>284</v>
      </c>
      <c r="L12" s="213">
        <f t="shared" si="9"/>
        <v>284</v>
      </c>
      <c r="M12" s="213">
        <f t="shared" si="9"/>
        <v>284</v>
      </c>
      <c r="N12" s="213">
        <f t="shared" si="9"/>
        <v>284</v>
      </c>
      <c r="O12" s="209"/>
      <c r="P12" s="204">
        <f t="shared" si="6"/>
        <v>3408</v>
      </c>
      <c r="Q12" s="203">
        <f t="shared" si="7"/>
        <v>284</v>
      </c>
      <c r="R12" s="202"/>
      <c r="S12" s="208"/>
      <c r="T12" s="208" t="s">
        <v>288</v>
      </c>
      <c r="U12" s="199">
        <v>258</v>
      </c>
      <c r="V12" s="247" t="s">
        <v>119</v>
      </c>
      <c r="W12" s="270"/>
    </row>
    <row r="13" spans="1:51" ht="12" customHeight="1">
      <c r="A13" s="165"/>
      <c r="B13" s="214" t="s">
        <v>183</v>
      </c>
      <c r="C13" s="213">
        <f t="shared" ref="C13:N13" si="10">$AB$35</f>
        <v>476.98</v>
      </c>
      <c r="D13" s="213">
        <f t="shared" si="10"/>
        <v>476.98</v>
      </c>
      <c r="E13" s="213">
        <f t="shared" si="10"/>
        <v>476.98</v>
      </c>
      <c r="F13" s="213">
        <f t="shared" si="10"/>
        <v>476.98</v>
      </c>
      <c r="G13" s="213">
        <f t="shared" si="10"/>
        <v>476.98</v>
      </c>
      <c r="H13" s="213">
        <f t="shared" si="10"/>
        <v>476.98</v>
      </c>
      <c r="I13" s="213">
        <f t="shared" si="10"/>
        <v>476.98</v>
      </c>
      <c r="J13" s="213">
        <f t="shared" si="10"/>
        <v>476.98</v>
      </c>
      <c r="K13" s="213">
        <f t="shared" si="10"/>
        <v>476.98</v>
      </c>
      <c r="L13" s="213">
        <f t="shared" si="10"/>
        <v>476.98</v>
      </c>
      <c r="M13" s="213">
        <f t="shared" si="10"/>
        <v>476.98</v>
      </c>
      <c r="N13" s="213">
        <f t="shared" si="10"/>
        <v>476.98</v>
      </c>
      <c r="O13" s="209"/>
      <c r="P13" s="204">
        <f t="shared" si="6"/>
        <v>5723.7599999999984</v>
      </c>
      <c r="Q13" s="203">
        <f t="shared" si="7"/>
        <v>476.97999999999985</v>
      </c>
      <c r="R13" s="202"/>
      <c r="S13" s="208"/>
      <c r="T13" s="208" t="s">
        <v>287</v>
      </c>
      <c r="U13" s="199"/>
      <c r="V13" s="247" t="s">
        <v>118</v>
      </c>
      <c r="W13" s="270">
        <v>3</v>
      </c>
    </row>
    <row r="14" spans="1:51" ht="12" customHeight="1">
      <c r="A14" s="165"/>
      <c r="B14" s="214" t="s">
        <v>20</v>
      </c>
      <c r="C14" s="213">
        <f t="shared" ref="C14:N14" si="11">$AC$35</f>
        <v>183.59</v>
      </c>
      <c r="D14" s="213">
        <f t="shared" si="11"/>
        <v>183.59</v>
      </c>
      <c r="E14" s="213">
        <f t="shared" si="11"/>
        <v>183.59</v>
      </c>
      <c r="F14" s="213">
        <f t="shared" si="11"/>
        <v>183.59</v>
      </c>
      <c r="G14" s="213">
        <f t="shared" si="11"/>
        <v>183.59</v>
      </c>
      <c r="H14" s="213">
        <f t="shared" si="11"/>
        <v>183.59</v>
      </c>
      <c r="I14" s="213">
        <f t="shared" si="11"/>
        <v>183.59</v>
      </c>
      <c r="J14" s="213">
        <f t="shared" si="11"/>
        <v>183.59</v>
      </c>
      <c r="K14" s="213">
        <f t="shared" si="11"/>
        <v>183.59</v>
      </c>
      <c r="L14" s="213">
        <f t="shared" si="11"/>
        <v>183.59</v>
      </c>
      <c r="M14" s="213">
        <f t="shared" si="11"/>
        <v>183.59</v>
      </c>
      <c r="N14" s="213">
        <f t="shared" si="11"/>
        <v>183.59</v>
      </c>
      <c r="O14" s="209"/>
      <c r="P14" s="204">
        <f t="shared" si="6"/>
        <v>2203.0799999999995</v>
      </c>
      <c r="Q14" s="203">
        <f t="shared" si="7"/>
        <v>183.58999999999995</v>
      </c>
      <c r="R14" s="202"/>
      <c r="S14" s="208"/>
      <c r="T14" s="208" t="s">
        <v>14</v>
      </c>
      <c r="U14" s="199">
        <v>420</v>
      </c>
      <c r="V14" s="247" t="s">
        <v>44</v>
      </c>
      <c r="W14" s="270"/>
    </row>
    <row r="15" spans="1:51" ht="12" customHeight="1">
      <c r="A15" s="165"/>
      <c r="B15" s="214" t="s">
        <v>100</v>
      </c>
      <c r="C15" s="213" t="e">
        <f>'[4]El-'!#REF!</f>
        <v>#REF!</v>
      </c>
      <c r="D15" s="213"/>
      <c r="E15" s="213"/>
      <c r="F15" s="213">
        <f>$AD$35</f>
        <v>815</v>
      </c>
      <c r="G15" s="213"/>
      <c r="H15" s="213"/>
      <c r="I15" s="213">
        <f>$AD$35</f>
        <v>815</v>
      </c>
      <c r="J15" s="213"/>
      <c r="K15" s="213"/>
      <c r="L15" s="213">
        <f>$AD$35</f>
        <v>815</v>
      </c>
      <c r="M15" s="213"/>
      <c r="N15" s="213"/>
      <c r="O15" s="209"/>
      <c r="P15" s="204" t="e">
        <f t="shared" si="6"/>
        <v>#REF!</v>
      </c>
      <c r="Q15" s="203" t="e">
        <f t="shared" si="7"/>
        <v>#REF!</v>
      </c>
      <c r="R15" s="202"/>
      <c r="S15" s="208"/>
      <c r="T15" s="212" t="s">
        <v>286</v>
      </c>
      <c r="U15" s="199">
        <f>30*4.25</f>
        <v>127.5</v>
      </c>
      <c r="V15" s="265" t="s">
        <v>117</v>
      </c>
      <c r="W15" s="270">
        <v>1</v>
      </c>
    </row>
    <row r="16" spans="1:51" ht="12" customHeight="1">
      <c r="A16" s="165"/>
      <c r="B16" s="214" t="s">
        <v>285</v>
      </c>
      <c r="C16" s="213">
        <v>1699</v>
      </c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09"/>
      <c r="P16" s="204">
        <f t="shared" si="6"/>
        <v>1699</v>
      </c>
      <c r="Q16" s="203">
        <f t="shared" si="7"/>
        <v>141.58333333333334</v>
      </c>
      <c r="R16" s="202"/>
      <c r="S16" s="208"/>
      <c r="T16" s="212" t="s">
        <v>284</v>
      </c>
      <c r="U16" s="199">
        <v>300</v>
      </c>
      <c r="V16" s="247" t="s">
        <v>116</v>
      </c>
      <c r="W16" s="270">
        <v>1</v>
      </c>
    </row>
    <row r="17" spans="1:51" ht="12" customHeight="1">
      <c r="A17" s="165"/>
      <c r="B17" s="214" t="s">
        <v>283</v>
      </c>
      <c r="C17" s="213"/>
      <c r="D17" s="213">
        <f>$AF$35</f>
        <v>2480</v>
      </c>
      <c r="E17" s="213"/>
      <c r="F17" s="213"/>
      <c r="G17" s="213"/>
      <c r="H17" s="213"/>
      <c r="I17" s="213"/>
      <c r="J17" s="213">
        <f>$AF$35</f>
        <v>2480</v>
      </c>
      <c r="K17" s="213"/>
      <c r="L17" s="213"/>
      <c r="M17" s="213"/>
      <c r="N17" s="213"/>
      <c r="O17" s="209"/>
      <c r="P17" s="204">
        <f t="shared" si="6"/>
        <v>4960</v>
      </c>
      <c r="Q17" s="203">
        <f t="shared" si="7"/>
        <v>413.33333333333331</v>
      </c>
      <c r="R17" s="202"/>
      <c r="S17" s="208"/>
      <c r="T17" s="212" t="s">
        <v>48</v>
      </c>
      <c r="U17" s="199">
        <v>800</v>
      </c>
      <c r="V17" s="247" t="s">
        <v>115</v>
      </c>
      <c r="W17" s="270"/>
    </row>
    <row r="18" spans="1:51" ht="12" customHeight="1">
      <c r="A18" s="165"/>
      <c r="B18" s="214" t="s">
        <v>99</v>
      </c>
      <c r="C18" s="213"/>
      <c r="D18" s="213">
        <f>$AG$35</f>
        <v>2300</v>
      </c>
      <c r="E18" s="213"/>
      <c r="F18" s="213"/>
      <c r="G18" s="213"/>
      <c r="H18" s="213"/>
      <c r="I18" s="213">
        <f>$AG$35</f>
        <v>2300</v>
      </c>
      <c r="J18" s="213"/>
      <c r="K18" s="213"/>
      <c r="L18" s="213"/>
      <c r="M18" s="213"/>
      <c r="N18" s="213"/>
      <c r="O18" s="209"/>
      <c r="P18" s="204">
        <f t="shared" si="6"/>
        <v>4600</v>
      </c>
      <c r="Q18" s="203">
        <f t="shared" si="7"/>
        <v>383.33333333333331</v>
      </c>
      <c r="R18" s="202"/>
      <c r="S18" s="208"/>
      <c r="T18" s="212" t="s">
        <v>282</v>
      </c>
      <c r="U18" s="199" t="e">
        <f>AVERAGE(#REF!)</f>
        <v>#REF!</v>
      </c>
      <c r="V18" s="247" t="s">
        <v>114</v>
      </c>
      <c r="W18" s="270"/>
    </row>
    <row r="19" spans="1:51" ht="12" customHeight="1">
      <c r="A19" s="165"/>
      <c r="B19" s="211" t="s">
        <v>281</v>
      </c>
      <c r="C19" s="206">
        <f>IF($F84=0,$U10,$F84)</f>
        <v>1327.7</v>
      </c>
      <c r="D19" s="206">
        <f>IF($F162=0,$U10,$F162)</f>
        <v>2036.52</v>
      </c>
      <c r="E19" s="206">
        <f>IF($F165=0,$U10,$F165)</f>
        <v>0</v>
      </c>
      <c r="F19" s="206">
        <f>IF($F227=0,$U10,$F227)</f>
        <v>338</v>
      </c>
      <c r="G19" s="206">
        <f>IF($F296=0,$U10,$F296)</f>
        <v>1568.3</v>
      </c>
      <c r="H19" s="206">
        <f>IF(F$370=0,$U10,$F370)</f>
        <v>3818.7999999999997</v>
      </c>
      <c r="I19" s="206">
        <f>IF($F444=0,$U10,$F444)</f>
        <v>874.19999999999993</v>
      </c>
      <c r="J19" s="206">
        <f>IF($F524=0,$U10,$F524)</f>
        <v>1262.1500000000001</v>
      </c>
      <c r="K19" s="206">
        <f>IF($F607=0,$U10,$F607)</f>
        <v>1006.95</v>
      </c>
      <c r="L19" s="206">
        <f>IF($F679=0,$U10,$F679)</f>
        <v>13214.890000000001</v>
      </c>
      <c r="M19" s="206">
        <f>IF($F800=0,$U10,$F800)</f>
        <v>7603.0499999999993</v>
      </c>
      <c r="N19" s="206">
        <f>IF($F892=0,$U10,$F892)</f>
        <v>3324.66</v>
      </c>
      <c r="O19" s="209"/>
      <c r="P19" s="204">
        <f t="shared" si="6"/>
        <v>36375.22</v>
      </c>
      <c r="Q19" s="203">
        <f t="shared" si="7"/>
        <v>3031.2683333333334</v>
      </c>
      <c r="R19" s="202"/>
      <c r="S19" s="208"/>
      <c r="T19" s="212" t="s">
        <v>280</v>
      </c>
      <c r="U19" s="199">
        <f>176+89+64</f>
        <v>329</v>
      </c>
      <c r="V19" s="247" t="s">
        <v>113</v>
      </c>
      <c r="W19" s="270"/>
    </row>
    <row r="20" spans="1:51" ht="12" customHeight="1">
      <c r="A20" s="165"/>
      <c r="B20" s="211" t="s">
        <v>279</v>
      </c>
      <c r="C20" s="206">
        <f>IF($G84&lt;$U$11,$U$11,$G84)</f>
        <v>2467.16</v>
      </c>
      <c r="D20" s="206">
        <f>IF($G162&lt;$U$11,$U$11,$G162)</f>
        <v>1897.9600000000003</v>
      </c>
      <c r="E20" s="206">
        <f>IF($G165=0,$U11,$G165)</f>
        <v>1096.8899999999999</v>
      </c>
      <c r="F20" s="206">
        <f>IF($G227=0,$U11,$G227)</f>
        <v>1326.21</v>
      </c>
      <c r="G20" s="206">
        <f>IF($G296=0,$U11,$G296)</f>
        <v>2361.4900000000002</v>
      </c>
      <c r="H20" s="206">
        <f>IF($G370=0,$U11,$G370)</f>
        <v>1719.1399999999999</v>
      </c>
      <c r="I20" s="206">
        <f>IF($G444=0,$U11,$G444)</f>
        <v>2717.5</v>
      </c>
      <c r="J20" s="206">
        <f>IF($G524=0,$U11,$G524)</f>
        <v>1877.9900000000002</v>
      </c>
      <c r="K20" s="206">
        <f>IF($G607=0,$U11,$G607)</f>
        <v>949.58999999999992</v>
      </c>
      <c r="L20" s="206">
        <f>IF($G679=0,$U11,$G679)</f>
        <v>3368.96</v>
      </c>
      <c r="M20" s="206">
        <f>IF($G800=0,$U11,$G800)</f>
        <v>2357.92</v>
      </c>
      <c r="N20" s="206">
        <f>IF($G892=0,$U11,$G892)</f>
        <v>1825.9300000000003</v>
      </c>
      <c r="O20" s="209"/>
      <c r="P20" s="204">
        <f t="shared" si="6"/>
        <v>23966.739999999998</v>
      </c>
      <c r="Q20" s="203">
        <f t="shared" si="7"/>
        <v>1997.2283333333332</v>
      </c>
      <c r="R20" s="202"/>
      <c r="S20" s="208"/>
      <c r="T20" s="212" t="s">
        <v>278</v>
      </c>
      <c r="U20" s="199">
        <v>504</v>
      </c>
      <c r="V20" s="247" t="s">
        <v>112</v>
      </c>
      <c r="W20" s="270">
        <f>SUM(W9:W19)</f>
        <v>8</v>
      </c>
    </row>
    <row r="21" spans="1:51" ht="12" customHeight="1">
      <c r="A21" s="165"/>
      <c r="B21" s="211" t="s">
        <v>277</v>
      </c>
      <c r="C21" s="206">
        <v>62.52</v>
      </c>
      <c r="D21" s="206" t="e">
        <f>IF($H162&lt;#REF!,#REF!,$H162)</f>
        <v>#REF!</v>
      </c>
      <c r="E21" s="206" t="e">
        <f>IF($H165&lt;#REF!,#REF!,$H165)</f>
        <v>#REF!</v>
      </c>
      <c r="F21" s="206">
        <f>IF($H227=0,#REF!,$H227)</f>
        <v>194.5</v>
      </c>
      <c r="G21" s="206">
        <f>IF($J296=0,0,$J296)</f>
        <v>0</v>
      </c>
      <c r="H21" s="206">
        <f>IF(J$370=0,#REF!,$J370)</f>
        <v>110</v>
      </c>
      <c r="I21" s="206">
        <f>IF($J444=0,#REF!,$J444)</f>
        <v>1155</v>
      </c>
      <c r="J21" s="206" t="e">
        <f>IF($J524=0,#REF!,$J524)</f>
        <v>#REF!</v>
      </c>
      <c r="K21" s="206">
        <f>IF($J607=0,#REF!+#REF!/2,$J607)</f>
        <v>110</v>
      </c>
      <c r="L21" s="206">
        <f>IF($J679=0,#REF!/2,$J679)</f>
        <v>1650</v>
      </c>
      <c r="M21" s="206" t="e">
        <f>IF($J800=0,#REF!*0.25,$J800)</f>
        <v>#REF!</v>
      </c>
      <c r="N21" s="206">
        <f>IF($J892=0,(#REF!*0.25)+(#REF!*0.25),$J892)</f>
        <v>660</v>
      </c>
      <c r="O21" s="209"/>
      <c r="P21" s="204" t="e">
        <f t="shared" si="6"/>
        <v>#REF!</v>
      </c>
      <c r="Q21" s="203" t="e">
        <f t="shared" si="7"/>
        <v>#REF!</v>
      </c>
      <c r="R21" s="202"/>
      <c r="S21" s="208"/>
      <c r="T21" s="200" t="s">
        <v>126</v>
      </c>
      <c r="U21" s="199">
        <v>124</v>
      </c>
      <c r="V21" s="269"/>
      <c r="W21" s="199"/>
    </row>
    <row r="22" spans="1:51" ht="12" customHeight="1">
      <c r="A22" s="165"/>
      <c r="B22" s="211" t="s">
        <v>276</v>
      </c>
      <c r="C22" s="206">
        <f>IF($I84=0,$U13,$I84)</f>
        <v>42.95</v>
      </c>
      <c r="D22" s="206">
        <f>IF($I162=0,$U13,$I162)</f>
        <v>0</v>
      </c>
      <c r="E22" s="206">
        <f>IF($I165=0,$U13,$I165)</f>
        <v>25.7</v>
      </c>
      <c r="F22" s="206">
        <f>IF($I227=0,$U13,$I227)</f>
        <v>6.55</v>
      </c>
      <c r="G22" s="206">
        <f>IF($I296=0,$U13,$I296)</f>
        <v>157.6</v>
      </c>
      <c r="H22" s="206">
        <f>IF($I370=0,$U13,I$370)</f>
        <v>35</v>
      </c>
      <c r="I22" s="206">
        <f>IF($I444=0,$U13,$I444)</f>
        <v>19.600000000000001</v>
      </c>
      <c r="J22" s="206">
        <f>IF($I524=0,$U13,$I524)</f>
        <v>0</v>
      </c>
      <c r="K22" s="206">
        <f>IF($I607=0,$U13,$I607)</f>
        <v>24.65</v>
      </c>
      <c r="L22" s="206">
        <f>IF($I679=0,$U13,$I679)</f>
        <v>53.75</v>
      </c>
      <c r="M22" s="206">
        <f>IF($I800=0,$U13,$I800)</f>
        <v>60</v>
      </c>
      <c r="N22" s="206">
        <f>IF($I892=0,$U13,$I892)</f>
        <v>0</v>
      </c>
      <c r="O22" s="209"/>
      <c r="P22" s="204">
        <f t="shared" si="6"/>
        <v>425.8</v>
      </c>
      <c r="Q22" s="203">
        <f t="shared" si="7"/>
        <v>35.483333333333334</v>
      </c>
      <c r="R22" s="202"/>
      <c r="S22" s="208"/>
      <c r="T22" s="200"/>
      <c r="U22" s="199"/>
      <c r="V22" s="269"/>
      <c r="W22" s="199"/>
    </row>
    <row r="23" spans="1:51" ht="12" customHeight="1">
      <c r="A23" s="165"/>
      <c r="B23" s="211" t="s">
        <v>275</v>
      </c>
      <c r="C23" s="206">
        <v>0</v>
      </c>
      <c r="D23" s="206" t="e">
        <f>#REF!</f>
        <v>#REF!</v>
      </c>
      <c r="E23" s="206">
        <f>IF($J165&lt;$U$14,$U$14,$J165)</f>
        <v>420</v>
      </c>
      <c r="F23" s="206">
        <f>IF($J227=0,$U$14,$J227)</f>
        <v>420</v>
      </c>
      <c r="G23" s="206">
        <f>IF($J296=0,$U14,$J296)</f>
        <v>420</v>
      </c>
      <c r="H23" s="206">
        <f>IF(J$370=0,$U14,$J370)</f>
        <v>110</v>
      </c>
      <c r="I23" s="206">
        <f>IF($J444=0,$U14,$J444)</f>
        <v>1155</v>
      </c>
      <c r="J23" s="206">
        <f>IF($J524=0,$U14,$J524)</f>
        <v>420</v>
      </c>
      <c r="K23" s="206">
        <f>IF($J607=0,$U14,$J607)</f>
        <v>110</v>
      </c>
      <c r="L23" s="206">
        <f>IF($J679=0,$U14,$J679)</f>
        <v>1650</v>
      </c>
      <c r="M23" s="206">
        <f>IF($J800=0,$U14,$J800)</f>
        <v>420</v>
      </c>
      <c r="N23" s="206">
        <f>IF($J892=0,$U14,$J892)</f>
        <v>660</v>
      </c>
      <c r="O23" s="209"/>
      <c r="P23" s="204" t="e">
        <f t="shared" si="6"/>
        <v>#REF!</v>
      </c>
      <c r="Q23" s="203" t="e">
        <f t="shared" si="7"/>
        <v>#REF!</v>
      </c>
      <c r="R23" s="202"/>
      <c r="S23" s="208"/>
      <c r="T23" s="200"/>
      <c r="U23" s="199"/>
      <c r="V23" s="269"/>
      <c r="W23" s="199"/>
    </row>
    <row r="24" spans="1:51" ht="12" customHeight="1">
      <c r="A24" s="165"/>
      <c r="B24" s="211" t="s">
        <v>274</v>
      </c>
      <c r="C24" s="206">
        <f>IF($K84&lt;$U$15,$U$15,$K84)</f>
        <v>127.5</v>
      </c>
      <c r="D24" s="206">
        <f>IF($K162&lt;$U$15,$U$15,$K162)</f>
        <v>163.5</v>
      </c>
      <c r="E24" s="206">
        <f>IF($K165&lt;$U$15,$U$15,$K165)</f>
        <v>127.5</v>
      </c>
      <c r="F24" s="206">
        <f>IF($K227=0,$U15,$K227)</f>
        <v>369.95</v>
      </c>
      <c r="G24" s="206">
        <f>IF($K296=0,$U15,$K296)</f>
        <v>127.5</v>
      </c>
      <c r="H24" s="206">
        <f>IF($K370=0,$U15,$K370)</f>
        <v>127.5</v>
      </c>
      <c r="I24" s="206">
        <f>IF($K444=0,$U15,$K444)</f>
        <v>127.5</v>
      </c>
      <c r="J24" s="206">
        <f>IF($K524=0,$U15,$K524)</f>
        <v>387</v>
      </c>
      <c r="K24" s="206">
        <f>IF($K607=0,$U15,$K607)</f>
        <v>127.5</v>
      </c>
      <c r="L24" s="206">
        <f>IF($K679=0,$U15,$K679)</f>
        <v>20</v>
      </c>
      <c r="M24" s="206">
        <f>IF($K800=0,$U15,$K800)</f>
        <v>179.9</v>
      </c>
      <c r="N24" s="206">
        <f>IF($K892=0,$U15,$K892)</f>
        <v>378.95</v>
      </c>
      <c r="O24" s="209"/>
      <c r="P24" s="204">
        <f t="shared" si="6"/>
        <v>2264.3000000000002</v>
      </c>
      <c r="Q24" s="203">
        <f t="shared" si="7"/>
        <v>188.69166666666669</v>
      </c>
      <c r="R24" s="202"/>
      <c r="S24" s="208"/>
      <c r="T24" s="200"/>
      <c r="U24" s="199"/>
      <c r="V24" s="269"/>
      <c r="W24" s="199"/>
    </row>
    <row r="25" spans="1:51" ht="12" customHeight="1">
      <c r="A25" s="165"/>
      <c r="B25" s="211" t="s">
        <v>273</v>
      </c>
      <c r="C25" s="206">
        <f>IF($L84&lt;$U$16,$U$16,$L84)</f>
        <v>451.9</v>
      </c>
      <c r="D25" s="206">
        <f>IF($L162&lt;$U$16,$U$16,$L162)</f>
        <v>634</v>
      </c>
      <c r="E25" s="206">
        <f>IF($L165&lt;$U$16,$U$16,$L165)</f>
        <v>300</v>
      </c>
      <c r="F25" s="206">
        <f>IF($L227=0,$U16,$L227)</f>
        <v>176</v>
      </c>
      <c r="G25" s="206">
        <f>IF($L296=0,$U16,$L296)</f>
        <v>438.95</v>
      </c>
      <c r="H25" s="206">
        <f>IF($L370=0,$U16,$L370)</f>
        <v>274.95</v>
      </c>
      <c r="I25" s="206">
        <f>IF($L444=0,$U16,$L444)</f>
        <v>406.62</v>
      </c>
      <c r="J25" s="206">
        <f>IF($L524=0,$U16,$L524)</f>
        <v>529.90000000000009</v>
      </c>
      <c r="K25" s="206">
        <f>IF($L607=0,$U16,$L607)</f>
        <v>336.93</v>
      </c>
      <c r="L25" s="206">
        <f>IF($L679=0,$U16,$L679)</f>
        <v>299.5</v>
      </c>
      <c r="M25" s="206">
        <f>IF($L800=0,$U16,$L800)</f>
        <v>949.93000000000006</v>
      </c>
      <c r="N25" s="206">
        <f>IF($L892=0,$U16,$L892)</f>
        <v>885.14</v>
      </c>
      <c r="O25" s="209"/>
      <c r="P25" s="204">
        <f t="shared" si="6"/>
        <v>5683.8200000000006</v>
      </c>
      <c r="Q25" s="203">
        <f t="shared" si="7"/>
        <v>473.6516666666667</v>
      </c>
      <c r="R25" s="202"/>
      <c r="S25" s="208"/>
      <c r="T25" s="200"/>
      <c r="U25" s="199"/>
      <c r="V25" s="269"/>
      <c r="W25" s="199"/>
    </row>
    <row r="26" spans="1:51" ht="12" customHeight="1">
      <c r="A26" s="165"/>
      <c r="B26" s="211" t="s">
        <v>272</v>
      </c>
      <c r="C26" s="206">
        <f>IF($N84&lt;0,0,$N84)</f>
        <v>20</v>
      </c>
      <c r="D26" s="206">
        <f>IF($N162&lt;$U$17,$U$17,$N162)</f>
        <v>800</v>
      </c>
      <c r="E26" s="206">
        <f>IF($N165&lt;$U$17,$U$17,$N165)</f>
        <v>800</v>
      </c>
      <c r="F26" s="206">
        <f>IF($N227=0,$U$17,$N227)</f>
        <v>800</v>
      </c>
      <c r="G26" s="206">
        <f>IF($N296=0,$U$17/2,$N296)</f>
        <v>400</v>
      </c>
      <c r="H26" s="206" t="e">
        <f>IF(#REF!=0,0,#REF!)</f>
        <v>#REF!</v>
      </c>
      <c r="I26" s="206" t="e">
        <f>IF(#REF!=0,#REF!)</f>
        <v>#REF!</v>
      </c>
      <c r="J26" s="206" t="e">
        <f>IF(#REF!=0,0,#REF!)</f>
        <v>#REF!</v>
      </c>
      <c r="K26" s="206" t="e">
        <f>IF(#REF!=0,$U$17/2,#REF!)</f>
        <v>#REF!</v>
      </c>
      <c r="L26" s="206" t="e">
        <f>IF(#REF!=0,$U$17,#REF!)</f>
        <v>#REF!</v>
      </c>
      <c r="M26" s="206" t="e">
        <f>IF(#REF!=0,$U$17,#REF!)</f>
        <v>#REF!</v>
      </c>
      <c r="N26" s="206" t="e">
        <f>IF(#REF!=0,$U$17,#REF!)</f>
        <v>#REF!</v>
      </c>
      <c r="O26" s="209"/>
      <c r="P26" s="204" t="e">
        <f t="shared" si="6"/>
        <v>#REF!</v>
      </c>
      <c r="Q26" s="203" t="e">
        <f t="shared" si="7"/>
        <v>#REF!</v>
      </c>
      <c r="R26" s="202"/>
      <c r="S26" s="208"/>
      <c r="T26" s="200"/>
      <c r="U26" s="199"/>
      <c r="V26" s="269"/>
      <c r="W26" s="199"/>
    </row>
    <row r="27" spans="1:51" ht="12" customHeight="1">
      <c r="A27" s="165"/>
      <c r="B27" s="211" t="s">
        <v>271</v>
      </c>
      <c r="C27" s="206" t="e">
        <f>IF($O84&lt;$U$18,$U$18,$O84)</f>
        <v>#REF!</v>
      </c>
      <c r="D27" s="206" t="e">
        <f>IF($O162&lt;$U$18,$U$18,$O162)</f>
        <v>#REF!</v>
      </c>
      <c r="E27" s="206">
        <f t="shared" ref="E27:N27" si="12">IF($O84=0,$U18,$O84)</f>
        <v>949.81</v>
      </c>
      <c r="F27" s="206">
        <f t="shared" si="12"/>
        <v>949.81</v>
      </c>
      <c r="G27" s="206">
        <f t="shared" si="12"/>
        <v>949.81</v>
      </c>
      <c r="H27" s="206">
        <f t="shared" si="12"/>
        <v>949.81</v>
      </c>
      <c r="I27" s="206">
        <f t="shared" si="12"/>
        <v>949.81</v>
      </c>
      <c r="J27" s="206">
        <f t="shared" si="12"/>
        <v>949.81</v>
      </c>
      <c r="K27" s="206">
        <f t="shared" si="12"/>
        <v>949.81</v>
      </c>
      <c r="L27" s="206">
        <f t="shared" si="12"/>
        <v>949.81</v>
      </c>
      <c r="M27" s="206">
        <f t="shared" si="12"/>
        <v>949.81</v>
      </c>
      <c r="N27" s="206">
        <f t="shared" si="12"/>
        <v>949.81</v>
      </c>
      <c r="O27" s="209"/>
      <c r="P27" s="204" t="e">
        <f t="shared" si="6"/>
        <v>#REF!</v>
      </c>
      <c r="Q27" s="203" t="e">
        <f t="shared" si="7"/>
        <v>#REF!</v>
      </c>
      <c r="R27" s="202"/>
      <c r="S27" s="208"/>
      <c r="T27" s="200"/>
      <c r="U27" s="199"/>
      <c r="V27" s="269"/>
      <c r="W27" s="199"/>
    </row>
    <row r="28" spans="1:51" ht="12" customHeight="1">
      <c r="A28" s="165"/>
      <c r="B28" s="211" t="s">
        <v>270</v>
      </c>
      <c r="C28" s="206">
        <f>IF($P84&lt;$U$19,$U$19,$P84)</f>
        <v>369</v>
      </c>
      <c r="D28" s="206">
        <f>IF($P162=0,$U$19,$P162)</f>
        <v>337</v>
      </c>
      <c r="E28" s="206">
        <f>IF($P165&lt;$U$19,$U$19,$P165)</f>
        <v>509</v>
      </c>
      <c r="F28" s="206">
        <f>IF($P227=0,$U$19,$P227)</f>
        <v>410.5</v>
      </c>
      <c r="G28" s="206">
        <f>IF($P296=0,$U$19,$P296)</f>
        <v>508</v>
      </c>
      <c r="H28" s="206">
        <f>IF($P370=0,$U$19,$P370)</f>
        <v>992</v>
      </c>
      <c r="I28" s="206">
        <f>IF($P444=0,$U$19,$P444)</f>
        <v>569</v>
      </c>
      <c r="J28" s="206">
        <f>IF($P524=0,$U$19,$P524)</f>
        <v>567</v>
      </c>
      <c r="K28" s="206">
        <f>IF($P607=0,$U$19,$P607)</f>
        <v>329</v>
      </c>
      <c r="L28" s="206">
        <f>IF($P679=0,$U$19,$P679)</f>
        <v>564</v>
      </c>
      <c r="M28" s="206">
        <f>IF($P800=0,$U$19,$P800)</f>
        <v>564</v>
      </c>
      <c r="N28" s="206">
        <f>IF($P892=0,$U$19,$P892)</f>
        <v>504</v>
      </c>
      <c r="O28" s="209"/>
      <c r="P28" s="204">
        <f t="shared" si="6"/>
        <v>6222.5</v>
      </c>
      <c r="Q28" s="203">
        <f t="shared" si="7"/>
        <v>518.54166666666663</v>
      </c>
      <c r="R28" s="202"/>
      <c r="S28" s="208"/>
      <c r="T28" s="200"/>
      <c r="U28" s="199"/>
      <c r="V28" s="269"/>
      <c r="W28" s="199"/>
    </row>
    <row r="29" spans="1:51" s="120" customFormat="1" ht="12" customHeight="1">
      <c r="A29" s="165"/>
      <c r="B29" s="211" t="s">
        <v>269</v>
      </c>
      <c r="C29" s="206">
        <f>IF($Q84&lt;$U$20,$U$20,$Q84)</f>
        <v>504</v>
      </c>
      <c r="D29" s="206">
        <f>IF($Q162&lt;$U$20,$U$20,$Q162)</f>
        <v>504</v>
      </c>
      <c r="E29" s="206">
        <f>IF($Q165&lt;$U$20,$U$20,$Q165)</f>
        <v>504</v>
      </c>
      <c r="F29" s="206">
        <f>IF($Q227&lt;$U$20,$U$20,$Q227)</f>
        <v>504</v>
      </c>
      <c r="G29" s="206">
        <f>IF($Q296&lt;$U$20,$U$20,$Q296)</f>
        <v>504</v>
      </c>
      <c r="H29" s="206">
        <f t="shared" ref="H29:N29" si="13">IF($Q84=0,$U20,$Q84)</f>
        <v>303</v>
      </c>
      <c r="I29" s="206">
        <f t="shared" si="13"/>
        <v>303</v>
      </c>
      <c r="J29" s="206">
        <f t="shared" si="13"/>
        <v>303</v>
      </c>
      <c r="K29" s="206">
        <f t="shared" si="13"/>
        <v>303</v>
      </c>
      <c r="L29" s="206">
        <f t="shared" si="13"/>
        <v>303</v>
      </c>
      <c r="M29" s="206">
        <f t="shared" si="13"/>
        <v>303</v>
      </c>
      <c r="N29" s="206">
        <f t="shared" si="13"/>
        <v>303</v>
      </c>
      <c r="O29" s="209"/>
      <c r="P29" s="204">
        <f t="shared" si="6"/>
        <v>4641</v>
      </c>
      <c r="Q29" s="203">
        <f t="shared" si="7"/>
        <v>386.75</v>
      </c>
      <c r="R29" s="202"/>
      <c r="S29" s="208"/>
      <c r="T29" s="200"/>
      <c r="U29" s="199"/>
      <c r="V29" s="269"/>
      <c r="W29" s="199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</row>
    <row r="30" spans="1:51" s="120" customFormat="1" ht="12" customHeight="1">
      <c r="A30" s="165"/>
      <c r="B30" s="210" t="s">
        <v>268</v>
      </c>
      <c r="C30" s="206">
        <f>$AH$35*W9</f>
        <v>0</v>
      </c>
      <c r="D30" s="206">
        <f>$AH$35*W10</f>
        <v>450</v>
      </c>
      <c r="E30" s="206">
        <f>$AH$35*W11</f>
        <v>900</v>
      </c>
      <c r="F30" s="206">
        <f>$AH$35*W12</f>
        <v>0</v>
      </c>
      <c r="G30" s="206">
        <f>$AH$35*W13</f>
        <v>1350</v>
      </c>
      <c r="H30" s="206">
        <f>$AH$35*W14</f>
        <v>0</v>
      </c>
      <c r="I30" s="206">
        <f>$AH$35*W15</f>
        <v>450</v>
      </c>
      <c r="J30" s="206">
        <f>$AH$35*W16</f>
        <v>450</v>
      </c>
      <c r="K30" s="206">
        <f>$AH$35*W17</f>
        <v>0</v>
      </c>
      <c r="L30" s="206">
        <f>$AH$35*W18</f>
        <v>0</v>
      </c>
      <c r="M30" s="206">
        <f>$AH$35*W19</f>
        <v>0</v>
      </c>
      <c r="N30" s="206">
        <f>$AH$35*W20</f>
        <v>3600</v>
      </c>
      <c r="O30" s="209"/>
      <c r="P30" s="204">
        <f t="shared" si="6"/>
        <v>7200</v>
      </c>
      <c r="Q30" s="203">
        <f t="shared" si="7"/>
        <v>600</v>
      </c>
      <c r="R30" s="202"/>
      <c r="S30" s="208"/>
      <c r="T30" s="200"/>
      <c r="U30" s="199"/>
      <c r="V30" s="269"/>
      <c r="W30" s="199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</row>
    <row r="31" spans="1:51" s="120" customFormat="1" ht="12" customHeight="1">
      <c r="A31" s="165"/>
      <c r="B31" s="207" t="s">
        <v>267</v>
      </c>
      <c r="C31" s="206">
        <f t="shared" ref="C31:N31" si="14">IF($T84&lt;0,0,$T84)</f>
        <v>800</v>
      </c>
      <c r="D31" s="206">
        <f t="shared" si="14"/>
        <v>800</v>
      </c>
      <c r="E31" s="206">
        <f t="shared" si="14"/>
        <v>800</v>
      </c>
      <c r="F31" s="206">
        <f t="shared" si="14"/>
        <v>800</v>
      </c>
      <c r="G31" s="206">
        <f t="shared" si="14"/>
        <v>800</v>
      </c>
      <c r="H31" s="206">
        <f t="shared" si="14"/>
        <v>800</v>
      </c>
      <c r="I31" s="206">
        <f t="shared" si="14"/>
        <v>800</v>
      </c>
      <c r="J31" s="206">
        <f t="shared" si="14"/>
        <v>800</v>
      </c>
      <c r="K31" s="206">
        <f t="shared" si="14"/>
        <v>800</v>
      </c>
      <c r="L31" s="206">
        <f t="shared" si="14"/>
        <v>800</v>
      </c>
      <c r="M31" s="206">
        <f t="shared" si="14"/>
        <v>800</v>
      </c>
      <c r="N31" s="206">
        <f t="shared" si="14"/>
        <v>800</v>
      </c>
      <c r="O31" s="209"/>
      <c r="P31" s="204">
        <f t="shared" si="6"/>
        <v>9600</v>
      </c>
      <c r="Q31" s="203">
        <f t="shared" si="7"/>
        <v>800</v>
      </c>
      <c r="R31" s="202"/>
      <c r="S31" s="208"/>
      <c r="T31" s="200"/>
      <c r="U31" s="199"/>
      <c r="V31" s="269"/>
      <c r="W31" s="268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</row>
    <row r="32" spans="1:51" s="120" customFormat="1" ht="12" customHeight="1" thickBot="1">
      <c r="A32" s="165"/>
      <c r="B32" s="207" t="s">
        <v>266</v>
      </c>
      <c r="C32" s="206">
        <f t="shared" ref="C32:N32" si="15">IF($U84&lt;0,0,$U84)</f>
        <v>0</v>
      </c>
      <c r="D32" s="206">
        <f t="shared" si="15"/>
        <v>0</v>
      </c>
      <c r="E32" s="206">
        <f t="shared" si="15"/>
        <v>0</v>
      </c>
      <c r="F32" s="206">
        <f t="shared" si="15"/>
        <v>0</v>
      </c>
      <c r="G32" s="206">
        <f t="shared" si="15"/>
        <v>0</v>
      </c>
      <c r="H32" s="206">
        <f t="shared" si="15"/>
        <v>0</v>
      </c>
      <c r="I32" s="206">
        <f t="shared" si="15"/>
        <v>0</v>
      </c>
      <c r="J32" s="206">
        <f t="shared" si="15"/>
        <v>0</v>
      </c>
      <c r="K32" s="206">
        <f t="shared" si="15"/>
        <v>0</v>
      </c>
      <c r="L32" s="206">
        <f t="shared" si="15"/>
        <v>0</v>
      </c>
      <c r="M32" s="206">
        <f t="shared" si="15"/>
        <v>0</v>
      </c>
      <c r="N32" s="206">
        <f t="shared" si="15"/>
        <v>0</v>
      </c>
      <c r="O32" s="205"/>
      <c r="P32" s="204">
        <f t="shared" si="6"/>
        <v>0</v>
      </c>
      <c r="Q32" s="203">
        <f t="shared" si="7"/>
        <v>0</v>
      </c>
      <c r="R32" s="202"/>
      <c r="S32" s="201"/>
      <c r="T32" s="200"/>
      <c r="U32" s="199"/>
      <c r="V32" s="269"/>
      <c r="W32" s="268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</row>
    <row r="33" spans="1:52" s="166" customFormat="1" ht="16.5" customHeight="1" thickBot="1">
      <c r="A33" s="165"/>
      <c r="B33" s="267" t="s">
        <v>78</v>
      </c>
      <c r="C33" s="266" t="e">
        <f>-C3-C8+'2019'!N41</f>
        <v>#REF!</v>
      </c>
      <c r="D33" s="266" t="e">
        <f t="shared" ref="D33:N33" si="16">-D3-D8</f>
        <v>#REF!</v>
      </c>
      <c r="E33" s="266" t="e">
        <f t="shared" si="16"/>
        <v>#REF!</v>
      </c>
      <c r="F33" s="266" t="e">
        <f t="shared" si="16"/>
        <v>#REF!</v>
      </c>
      <c r="G33" s="266">
        <f t="shared" si="16"/>
        <v>-38177.22</v>
      </c>
      <c r="H33" s="266" t="e">
        <f t="shared" si="16"/>
        <v>#REF!</v>
      </c>
      <c r="I33" s="266" t="e">
        <f t="shared" si="16"/>
        <v>#REF!</v>
      </c>
      <c r="J33" s="266" t="e">
        <f t="shared" si="16"/>
        <v>#REF!</v>
      </c>
      <c r="K33" s="266" t="e">
        <f t="shared" si="16"/>
        <v>#REF!</v>
      </c>
      <c r="L33" s="266" t="e">
        <f t="shared" si="16"/>
        <v>#REF!</v>
      </c>
      <c r="M33" s="266" t="e">
        <f t="shared" si="16"/>
        <v>#REF!</v>
      </c>
      <c r="N33" s="266" t="e">
        <f t="shared" si="16"/>
        <v>#REF!</v>
      </c>
      <c r="O33" s="2976" t="e">
        <f>SUM(C33:N33)</f>
        <v>#REF!</v>
      </c>
      <c r="P33" s="2977"/>
      <c r="Q33" s="196" t="e">
        <f>O33/12</f>
        <v>#REF!</v>
      </c>
      <c r="R33" s="195"/>
      <c r="S33" s="194"/>
      <c r="T33" s="194"/>
      <c r="U33" s="193"/>
    </row>
    <row r="34" spans="1:52" s="50" customFormat="1" ht="15.6">
      <c r="A34" s="60"/>
      <c r="B34" s="248"/>
      <c r="C34" s="247" t="s">
        <v>122</v>
      </c>
      <c r="D34" s="247" t="s">
        <v>121</v>
      </c>
      <c r="E34" s="247" t="s">
        <v>120</v>
      </c>
      <c r="F34" s="247" t="s">
        <v>119</v>
      </c>
      <c r="G34" s="247" t="s">
        <v>118</v>
      </c>
      <c r="H34" s="247" t="s">
        <v>44</v>
      </c>
      <c r="I34" s="265" t="s">
        <v>117</v>
      </c>
      <c r="J34" s="247" t="s">
        <v>116</v>
      </c>
      <c r="K34" s="247" t="s">
        <v>115</v>
      </c>
      <c r="L34" s="247" t="s">
        <v>114</v>
      </c>
      <c r="M34" s="247" t="s">
        <v>113</v>
      </c>
      <c r="N34" s="247" t="s">
        <v>112</v>
      </c>
      <c r="O34" s="3004" t="s">
        <v>424</v>
      </c>
      <c r="P34" s="2987"/>
      <c r="Q34" s="73" t="s">
        <v>423</v>
      </c>
      <c r="R34" s="73" t="s">
        <v>422</v>
      </c>
      <c r="S34" s="73" t="s">
        <v>421</v>
      </c>
      <c r="T34" s="73" t="s">
        <v>420</v>
      </c>
      <c r="U34" s="73" t="s">
        <v>419</v>
      </c>
      <c r="V34" s="73" t="s">
        <v>418</v>
      </c>
      <c r="W34" s="73"/>
      <c r="X34" s="163" t="s">
        <v>31</v>
      </c>
      <c r="Y34" s="163" t="s">
        <v>265</v>
      </c>
      <c r="Z34" s="163" t="s">
        <v>264</v>
      </c>
      <c r="AA34" s="163" t="s">
        <v>182</v>
      </c>
      <c r="AB34" s="163" t="s">
        <v>183</v>
      </c>
      <c r="AC34" s="163" t="s">
        <v>20</v>
      </c>
      <c r="AD34" s="163" t="s">
        <v>100</v>
      </c>
      <c r="AE34" s="163" t="s">
        <v>97</v>
      </c>
      <c r="AF34" s="163" t="s">
        <v>49</v>
      </c>
      <c r="AG34" s="163" t="s">
        <v>99</v>
      </c>
      <c r="AH34" s="163" t="s">
        <v>98</v>
      </c>
      <c r="AI34" s="163" t="s">
        <v>35</v>
      </c>
      <c r="AJ34" s="163" t="s">
        <v>34</v>
      </c>
      <c r="AK34" s="163" t="s">
        <v>21</v>
      </c>
      <c r="AL34" s="163" t="s">
        <v>22</v>
      </c>
      <c r="AM34" s="163" t="s">
        <v>230</v>
      </c>
      <c r="AN34" s="163" t="s">
        <v>97</v>
      </c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</row>
    <row r="35" spans="1:52" s="156" customFormat="1" ht="15" customHeight="1">
      <c r="A35" s="158">
        <f>D56020</f>
        <v>0</v>
      </c>
      <c r="B35" s="259" t="s">
        <v>78</v>
      </c>
      <c r="C35" s="264"/>
      <c r="D35" s="263"/>
      <c r="E35" s="263"/>
      <c r="F35" s="263"/>
      <c r="G35" s="262"/>
      <c r="H35" s="262"/>
      <c r="I35" s="258"/>
      <c r="J35" s="258"/>
      <c r="K35" s="261"/>
      <c r="L35" s="258"/>
      <c r="M35" s="258"/>
      <c r="N35" s="258">
        <f>INT($O$35-D966)</f>
        <v>329</v>
      </c>
      <c r="O35" s="3012">
        <f>Q35+R35+S35+T35</f>
        <v>329.03999999999996</v>
      </c>
      <c r="P35" s="3013"/>
      <c r="Q35" s="3016">
        <f>326.84-D964-110</f>
        <v>118.43999999999997</v>
      </c>
      <c r="R35" s="3005">
        <v>150</v>
      </c>
      <c r="S35" s="3005">
        <v>60.5</v>
      </c>
      <c r="T35" s="3005">
        <f>0.1</f>
        <v>0.1</v>
      </c>
      <c r="U35" s="3005">
        <v>0</v>
      </c>
      <c r="V35" s="258">
        <f>SUM(C35:N35)/W35</f>
        <v>329</v>
      </c>
      <c r="W35" s="260">
        <f>COUNT(C35:N35)</f>
        <v>1</v>
      </c>
      <c r="X35" s="148">
        <v>-1151</v>
      </c>
      <c r="Y35" s="148">
        <v>602.4</v>
      </c>
      <c r="Z35" s="148">
        <v>490</v>
      </c>
      <c r="AA35" s="148">
        <v>284</v>
      </c>
      <c r="AB35" s="148">
        <v>476.98</v>
      </c>
      <c r="AC35" s="148">
        <v>183.59</v>
      </c>
      <c r="AD35" s="148">
        <v>815</v>
      </c>
      <c r="AE35" s="148">
        <v>1876</v>
      </c>
      <c r="AF35" s="148">
        <v>2480</v>
      </c>
      <c r="AG35" s="148">
        <v>2300</v>
      </c>
      <c r="AH35" s="148">
        <v>450</v>
      </c>
      <c r="AI35" s="147">
        <v>-11004</v>
      </c>
      <c r="AJ35" s="147">
        <f>-ROUNDUP($W$4-(($W$4-$W$5)*$W$6),0)</f>
        <v>-7733</v>
      </c>
      <c r="AK35" s="147">
        <v>137</v>
      </c>
      <c r="AL35" s="147">
        <f>79+89</f>
        <v>168</v>
      </c>
      <c r="AM35" s="147">
        <v>229</v>
      </c>
      <c r="AN35" s="148">
        <v>175.93</v>
      </c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</row>
    <row r="36" spans="1:52" s="152" customFormat="1" ht="15" customHeight="1">
      <c r="A36" s="155"/>
      <c r="B36" s="259" t="s">
        <v>76</v>
      </c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>
        <f>N35+M36</f>
        <v>329</v>
      </c>
      <c r="O36" s="3014"/>
      <c r="P36" s="3015"/>
      <c r="Q36" s="3006"/>
      <c r="R36" s="3006"/>
      <c r="S36" s="3006"/>
      <c r="T36" s="3006"/>
      <c r="U36" s="3006"/>
      <c r="AB36" s="148">
        <v>517.75</v>
      </c>
    </row>
    <row r="37" spans="1:52" s="120" customFormat="1" ht="12" customHeight="1">
      <c r="A37" s="60"/>
      <c r="B37" s="257"/>
      <c r="C37" s="255"/>
      <c r="D37" s="256" t="s">
        <v>417</v>
      </c>
      <c r="E37" s="255" t="s">
        <v>416</v>
      </c>
      <c r="F37" s="255" t="s">
        <v>37</v>
      </c>
      <c r="G37" s="255" t="s">
        <v>15</v>
      </c>
      <c r="H37" s="255" t="s">
        <v>288</v>
      </c>
      <c r="I37" s="255" t="s">
        <v>287</v>
      </c>
      <c r="J37" s="255" t="s">
        <v>14</v>
      </c>
      <c r="K37" s="255" t="s">
        <v>286</v>
      </c>
      <c r="L37" s="255" t="s">
        <v>284</v>
      </c>
      <c r="M37" s="255" t="s">
        <v>30</v>
      </c>
      <c r="N37" s="255" t="s">
        <v>48</v>
      </c>
      <c r="O37" s="255" t="s">
        <v>282</v>
      </c>
      <c r="P37" s="255" t="s">
        <v>280</v>
      </c>
      <c r="Q37" s="255" t="s">
        <v>278</v>
      </c>
      <c r="R37" s="255" t="s">
        <v>98</v>
      </c>
      <c r="S37" s="255" t="s">
        <v>59</v>
      </c>
      <c r="T37" s="255" t="s">
        <v>58</v>
      </c>
      <c r="U37" s="255" t="s">
        <v>57</v>
      </c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</row>
    <row r="38" spans="1:52" s="126" customFormat="1" ht="13.5" customHeight="1">
      <c r="A38" s="39"/>
      <c r="B38" s="254" t="s">
        <v>415</v>
      </c>
      <c r="C38" s="253"/>
      <c r="D38" s="249"/>
      <c r="E38" s="249">
        <f t="shared" ref="E38:U38" si="17">E84+E162+E165+E227+E296+E370+E444+E524+E607+E679+E800+E892</f>
        <v>24815.06</v>
      </c>
      <c r="F38" s="249">
        <f t="shared" si="17"/>
        <v>36375.22</v>
      </c>
      <c r="G38" s="249">
        <f t="shared" si="17"/>
        <v>23966.739999999998</v>
      </c>
      <c r="H38" s="249">
        <f t="shared" si="17"/>
        <v>5081.3</v>
      </c>
      <c r="I38" s="249">
        <f t="shared" si="17"/>
        <v>425.8</v>
      </c>
      <c r="J38" s="249">
        <f t="shared" si="17"/>
        <v>4095</v>
      </c>
      <c r="K38" s="249">
        <f t="shared" si="17"/>
        <v>1592.8000000000002</v>
      </c>
      <c r="L38" s="249">
        <f t="shared" si="17"/>
        <v>5634.67</v>
      </c>
      <c r="M38" s="249">
        <f t="shared" si="17"/>
        <v>76983</v>
      </c>
      <c r="N38" s="249">
        <f t="shared" si="17"/>
        <v>4786.7</v>
      </c>
      <c r="O38" s="249" t="e">
        <f t="shared" si="17"/>
        <v>#REF!</v>
      </c>
      <c r="P38" s="249">
        <f t="shared" si="17"/>
        <v>5893.5</v>
      </c>
      <c r="Q38" s="249">
        <f t="shared" si="17"/>
        <v>3818</v>
      </c>
      <c r="R38" s="249">
        <f t="shared" si="17"/>
        <v>6941.91</v>
      </c>
      <c r="S38" s="249">
        <f t="shared" si="17"/>
        <v>3830.9900000000002</v>
      </c>
      <c r="T38" s="249">
        <f t="shared" si="17"/>
        <v>23528.82</v>
      </c>
      <c r="U38" s="249">
        <f t="shared" si="17"/>
        <v>22076.55</v>
      </c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</row>
    <row r="39" spans="1:52" s="126" customFormat="1" ht="13.5" customHeight="1">
      <c r="A39" s="39"/>
      <c r="B39" s="3007" t="str">
        <f>$C$2</f>
        <v>januar</v>
      </c>
      <c r="C39" s="3008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</row>
    <row r="40" spans="1:52" s="106" customFormat="1" ht="13.8">
      <c r="A40" s="125"/>
      <c r="B40" s="34">
        <v>43829</v>
      </c>
      <c r="C40" s="124" t="s">
        <v>34</v>
      </c>
      <c r="D40" s="124">
        <v>-7315</v>
      </c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</row>
    <row r="41" spans="1:52" s="106" customFormat="1" ht="13.8">
      <c r="A41" s="125"/>
      <c r="B41" s="34">
        <v>43829</v>
      </c>
      <c r="C41" s="124" t="s">
        <v>33</v>
      </c>
      <c r="D41" s="124">
        <v>-205</v>
      </c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</row>
    <row r="42" spans="1:52" s="106" customFormat="1" ht="13.8">
      <c r="A42" s="125"/>
      <c r="B42" s="34">
        <v>43829</v>
      </c>
      <c r="C42" s="124" t="s">
        <v>35</v>
      </c>
      <c r="D42" s="124">
        <v>-10830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</row>
    <row r="43" spans="1:52" s="106" customFormat="1" ht="13.8">
      <c r="A43" s="125"/>
      <c r="B43" s="34">
        <v>43830</v>
      </c>
      <c r="C43" s="124" t="s">
        <v>39</v>
      </c>
      <c r="D43" s="124">
        <v>150</v>
      </c>
      <c r="E43" s="124"/>
      <c r="F43" s="124">
        <v>39</v>
      </c>
      <c r="G43" s="124">
        <v>91</v>
      </c>
      <c r="H43" s="124"/>
      <c r="I43" s="124"/>
      <c r="J43" s="124"/>
      <c r="K43" s="124"/>
      <c r="L43" s="124">
        <v>20</v>
      </c>
      <c r="M43" s="124"/>
      <c r="N43" s="124"/>
      <c r="O43" s="124"/>
      <c r="P43" s="124"/>
      <c r="Q43" s="124"/>
      <c r="R43" s="124"/>
      <c r="S43" s="124"/>
      <c r="T43" s="124"/>
      <c r="U43" s="124"/>
    </row>
    <row r="44" spans="1:52" s="106" customFormat="1" ht="13.8">
      <c r="A44" s="125"/>
      <c r="B44" s="34">
        <v>43831</v>
      </c>
      <c r="C44" s="124" t="s">
        <v>230</v>
      </c>
      <c r="D44" s="124">
        <v>64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>
        <f>D44</f>
        <v>64</v>
      </c>
      <c r="Q44" s="124"/>
      <c r="R44" s="124"/>
      <c r="S44" s="124"/>
      <c r="T44" s="124"/>
      <c r="U44" s="124"/>
    </row>
    <row r="45" spans="1:52" s="106" customFormat="1" ht="13.8">
      <c r="A45" s="125"/>
      <c r="B45" s="34">
        <v>43831</v>
      </c>
      <c r="C45" s="124" t="s">
        <v>186</v>
      </c>
      <c r="D45" s="124">
        <v>300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>
        <v>300</v>
      </c>
      <c r="R45" s="124"/>
      <c r="S45" s="124"/>
      <c r="T45" s="124"/>
      <c r="U45" s="124"/>
    </row>
    <row r="46" spans="1:52" s="106" customFormat="1" ht="13.8">
      <c r="A46" s="125"/>
      <c r="B46" s="34">
        <v>43831</v>
      </c>
      <c r="C46" s="124" t="s">
        <v>22</v>
      </c>
      <c r="D46" s="124">
        <v>138</v>
      </c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f>D46</f>
        <v>138</v>
      </c>
      <c r="Q46" s="124"/>
      <c r="R46" s="124"/>
      <c r="S46" s="124"/>
      <c r="T46" s="124"/>
      <c r="U46" s="124"/>
    </row>
    <row r="47" spans="1:52" s="106" customFormat="1" ht="13.8">
      <c r="A47" s="125"/>
      <c r="B47" s="34">
        <v>43831</v>
      </c>
      <c r="C47" s="124" t="s">
        <v>21</v>
      </c>
      <c r="D47" s="124">
        <v>167</v>
      </c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>
        <f>D47</f>
        <v>167</v>
      </c>
      <c r="Q47" s="124"/>
      <c r="R47" s="124"/>
      <c r="S47" s="124"/>
      <c r="T47" s="124"/>
      <c r="U47" s="124"/>
    </row>
    <row r="48" spans="1:52" s="106" customFormat="1" ht="13.8">
      <c r="A48" s="125"/>
      <c r="B48" s="34">
        <v>43831</v>
      </c>
      <c r="C48" s="124" t="s">
        <v>414</v>
      </c>
      <c r="D48" s="124">
        <v>76.95</v>
      </c>
      <c r="E48" s="124"/>
      <c r="F48" s="124">
        <v>76.95</v>
      </c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</row>
    <row r="49" spans="1:21" s="106" customFormat="1" ht="13.8">
      <c r="A49" s="125"/>
      <c r="B49" s="34">
        <v>43832</v>
      </c>
      <c r="C49" s="124" t="s">
        <v>58</v>
      </c>
      <c r="D49" s="124">
        <v>500</v>
      </c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>
        <v>500</v>
      </c>
      <c r="U49" s="124"/>
    </row>
    <row r="50" spans="1:21" s="106" customFormat="1" ht="13.8">
      <c r="A50" s="125"/>
      <c r="B50" s="34">
        <v>43832</v>
      </c>
      <c r="C50" s="124" t="s">
        <v>363</v>
      </c>
      <c r="D50" s="124">
        <v>949.81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>
        <f>D50</f>
        <v>949.81</v>
      </c>
      <c r="P50" s="124"/>
      <c r="Q50" s="124"/>
      <c r="R50" s="124"/>
      <c r="S50" s="124"/>
      <c r="T50" s="124"/>
      <c r="U50" s="124"/>
    </row>
    <row r="51" spans="1:21" s="106" customFormat="1" ht="13.8">
      <c r="A51" s="125"/>
      <c r="B51" s="34">
        <v>43832</v>
      </c>
      <c r="C51" s="124" t="s">
        <v>223</v>
      </c>
      <c r="D51" s="124">
        <v>160</v>
      </c>
      <c r="E51" s="124"/>
      <c r="F51" s="124"/>
      <c r="G51" s="124">
        <v>160</v>
      </c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</row>
    <row r="52" spans="1:21" s="106" customFormat="1" ht="13.8">
      <c r="A52" s="125"/>
      <c r="B52" s="34">
        <v>43832</v>
      </c>
      <c r="C52" s="124" t="s">
        <v>31</v>
      </c>
      <c r="D52" s="124">
        <f>-1151</f>
        <v>-1151</v>
      </c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</row>
    <row r="53" spans="1:21" s="106" customFormat="1" ht="13.8">
      <c r="A53" s="125"/>
      <c r="B53" s="34">
        <v>43832</v>
      </c>
      <c r="C53" s="124" t="s">
        <v>183</v>
      </c>
      <c r="D53" s="124">
        <v>476.98</v>
      </c>
      <c r="E53" s="124">
        <f>D53</f>
        <v>476.98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</row>
    <row r="54" spans="1:21" s="106" customFormat="1" ht="13.8">
      <c r="A54" s="125"/>
      <c r="B54" s="34">
        <v>43832</v>
      </c>
      <c r="C54" s="124" t="s">
        <v>265</v>
      </c>
      <c r="D54" s="124">
        <v>602.4</v>
      </c>
      <c r="E54" s="124">
        <f>D54</f>
        <v>602.4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</row>
    <row r="55" spans="1:21" s="106" customFormat="1" ht="13.8">
      <c r="A55" s="125"/>
      <c r="B55" s="34">
        <v>43832</v>
      </c>
      <c r="C55" s="124" t="s">
        <v>265</v>
      </c>
      <c r="D55" s="124">
        <v>490</v>
      </c>
      <c r="E55" s="124">
        <f>D55</f>
        <v>490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</row>
    <row r="56" spans="1:21" s="106" customFormat="1" ht="13.8">
      <c r="A56" s="125"/>
      <c r="B56" s="34">
        <v>43832</v>
      </c>
      <c r="C56" s="124" t="s">
        <v>216</v>
      </c>
      <c r="D56" s="124">
        <v>159.85</v>
      </c>
      <c r="E56" s="124"/>
      <c r="F56" s="124"/>
      <c r="G56" s="124">
        <v>139.85</v>
      </c>
      <c r="H56" s="124"/>
      <c r="I56" s="124"/>
      <c r="J56" s="124"/>
      <c r="K56" s="124"/>
      <c r="L56" s="124"/>
      <c r="M56" s="124"/>
      <c r="N56" s="124">
        <v>20</v>
      </c>
      <c r="O56" s="124"/>
      <c r="P56" s="124"/>
      <c r="Q56" s="124"/>
      <c r="R56" s="124"/>
      <c r="S56" s="124"/>
      <c r="T56" s="124"/>
      <c r="U56" s="124"/>
    </row>
    <row r="57" spans="1:21" s="106" customFormat="1" ht="13.8">
      <c r="A57" s="125"/>
      <c r="B57" s="34">
        <v>43832</v>
      </c>
      <c r="C57" s="124" t="s">
        <v>30</v>
      </c>
      <c r="D57" s="124">
        <v>7474</v>
      </c>
      <c r="E57" s="124"/>
      <c r="F57" s="124"/>
      <c r="G57" s="124"/>
      <c r="H57" s="124"/>
      <c r="I57" s="124"/>
      <c r="J57" s="124"/>
      <c r="K57" s="124"/>
      <c r="L57" s="124"/>
      <c r="M57" s="124">
        <f>D57</f>
        <v>7474</v>
      </c>
      <c r="N57" s="124"/>
      <c r="O57" s="124"/>
      <c r="P57" s="124"/>
      <c r="Q57" s="124"/>
      <c r="R57" s="124"/>
      <c r="S57" s="124"/>
      <c r="T57" s="124"/>
      <c r="U57" s="124"/>
    </row>
    <row r="58" spans="1:21" s="106" customFormat="1" ht="13.8">
      <c r="A58" s="125"/>
      <c r="B58" s="34">
        <v>43832</v>
      </c>
      <c r="C58" s="124" t="s">
        <v>125</v>
      </c>
      <c r="D58" s="124">
        <v>119</v>
      </c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>
        <f>D58</f>
        <v>119</v>
      </c>
      <c r="R58" s="124"/>
      <c r="S58" s="124"/>
      <c r="T58" s="124"/>
      <c r="U58" s="124"/>
    </row>
    <row r="59" spans="1:21" s="106" customFormat="1" ht="13.8">
      <c r="A59" s="125"/>
      <c r="B59" s="34">
        <v>43832</v>
      </c>
      <c r="C59" s="124" t="s">
        <v>182</v>
      </c>
      <c r="D59" s="124">
        <v>284</v>
      </c>
      <c r="E59" s="124">
        <f>D59</f>
        <v>284</v>
      </c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</row>
    <row r="60" spans="1:21" s="106" customFormat="1" ht="13.8">
      <c r="A60" s="125"/>
      <c r="B60" s="34">
        <v>43832</v>
      </c>
      <c r="C60" s="124" t="s">
        <v>100</v>
      </c>
      <c r="D60" s="124">
        <f>AD35</f>
        <v>815</v>
      </c>
      <c r="E60" s="124">
        <f>D60</f>
        <v>815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</row>
    <row r="61" spans="1:21" s="106" customFormat="1" ht="13.8">
      <c r="A61" s="125"/>
      <c r="B61" s="34">
        <v>43836</v>
      </c>
      <c r="C61" s="124" t="s">
        <v>124</v>
      </c>
      <c r="D61" s="124">
        <v>4</v>
      </c>
      <c r="E61" s="124"/>
      <c r="F61" s="124"/>
      <c r="G61" s="124"/>
      <c r="H61" s="124"/>
      <c r="I61" s="124">
        <v>4</v>
      </c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</row>
    <row r="62" spans="1:21" s="106" customFormat="1" ht="13.8">
      <c r="A62" s="125"/>
      <c r="B62" s="34">
        <v>43836</v>
      </c>
      <c r="C62" s="124" t="s">
        <v>285</v>
      </c>
      <c r="D62" s="124">
        <v>1883</v>
      </c>
      <c r="E62" s="124">
        <v>1883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</row>
    <row r="63" spans="1:21" s="106" customFormat="1" ht="13.8">
      <c r="A63" s="125"/>
      <c r="B63" s="34">
        <v>43836</v>
      </c>
      <c r="C63" s="124" t="s">
        <v>20</v>
      </c>
      <c r="D63" s="124">
        <v>293.25</v>
      </c>
      <c r="E63" s="124">
        <f>D63</f>
        <v>293.25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</row>
    <row r="64" spans="1:21" s="106" customFormat="1" ht="13.8">
      <c r="A64" s="125"/>
      <c r="B64" s="34">
        <v>43838</v>
      </c>
      <c r="C64" s="124" t="s">
        <v>413</v>
      </c>
      <c r="D64" s="124">
        <v>206.95</v>
      </c>
      <c r="E64" s="124"/>
      <c r="F64" s="124">
        <v>140</v>
      </c>
      <c r="G64" s="124">
        <v>66.95</v>
      </c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</row>
    <row r="65" spans="1:21" s="106" customFormat="1" ht="13.8">
      <c r="A65" s="125"/>
      <c r="B65" s="34">
        <v>43839</v>
      </c>
      <c r="C65" s="124" t="s">
        <v>58</v>
      </c>
      <c r="D65" s="124">
        <v>200</v>
      </c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>
        <v>200</v>
      </c>
      <c r="U65" s="124"/>
    </row>
    <row r="66" spans="1:21" s="106" customFormat="1" ht="13.8">
      <c r="A66" s="125"/>
      <c r="B66" s="34">
        <v>43839</v>
      </c>
      <c r="C66" s="124" t="s">
        <v>229</v>
      </c>
      <c r="D66" s="124">
        <v>201.5</v>
      </c>
      <c r="E66" s="124"/>
      <c r="F66" s="124">
        <v>201.5</v>
      </c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</row>
    <row r="67" spans="1:21" s="106" customFormat="1" ht="13.8">
      <c r="A67" s="125"/>
      <c r="B67" s="34">
        <v>43841</v>
      </c>
      <c r="C67" s="124" t="s">
        <v>39</v>
      </c>
      <c r="D67" s="124">
        <v>108.8</v>
      </c>
      <c r="E67" s="124"/>
      <c r="F67" s="124"/>
      <c r="G67" s="124">
        <v>88.85</v>
      </c>
      <c r="H67" s="124"/>
      <c r="I67" s="124"/>
      <c r="J67" s="124"/>
      <c r="K67" s="124"/>
      <c r="L67" s="124">
        <v>19.95</v>
      </c>
      <c r="M67" s="124"/>
      <c r="N67" s="124"/>
      <c r="O67" s="124"/>
      <c r="P67" s="124"/>
      <c r="Q67" s="124"/>
      <c r="R67" s="124"/>
      <c r="S67" s="124"/>
      <c r="T67" s="124"/>
      <c r="U67" s="124"/>
    </row>
    <row r="68" spans="1:21" s="106" customFormat="1" ht="13.8">
      <c r="A68" s="125"/>
      <c r="B68" s="34">
        <v>43843</v>
      </c>
      <c r="C68" s="124" t="s">
        <v>124</v>
      </c>
      <c r="D68" s="124">
        <v>186.35</v>
      </c>
      <c r="E68" s="124"/>
      <c r="F68" s="124"/>
      <c r="G68" s="124"/>
      <c r="H68" s="124">
        <v>147.4</v>
      </c>
      <c r="I68" s="124">
        <v>38.950000000000003</v>
      </c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</row>
    <row r="69" spans="1:21" s="106" customFormat="1" ht="13.8">
      <c r="A69" s="125"/>
      <c r="B69" s="34">
        <v>43844</v>
      </c>
      <c r="C69" s="124" t="s">
        <v>58</v>
      </c>
      <c r="D69" s="124">
        <v>100</v>
      </c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>
        <v>100</v>
      </c>
      <c r="U69" s="124"/>
    </row>
    <row r="70" spans="1:21" s="106" customFormat="1" ht="13.8">
      <c r="A70" s="125"/>
      <c r="B70" s="34">
        <v>43844</v>
      </c>
      <c r="C70" s="124" t="s">
        <v>124</v>
      </c>
      <c r="D70" s="124">
        <v>221.82</v>
      </c>
      <c r="E70" s="124"/>
      <c r="F70" s="124"/>
      <c r="G70" s="124"/>
      <c r="H70" s="124">
        <v>221.85</v>
      </c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</row>
    <row r="71" spans="1:21" s="106" customFormat="1" ht="13.8">
      <c r="A71" s="125"/>
      <c r="B71" s="34">
        <v>43844</v>
      </c>
      <c r="C71" s="124" t="s">
        <v>186</v>
      </c>
      <c r="D71" s="124">
        <v>-50</v>
      </c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>
        <v>-50</v>
      </c>
      <c r="R71" s="124"/>
      <c r="S71" s="124"/>
      <c r="T71" s="124"/>
      <c r="U71" s="124"/>
    </row>
    <row r="72" spans="1:21" s="106" customFormat="1" ht="13.8">
      <c r="A72" s="125"/>
      <c r="B72" s="34">
        <v>43844</v>
      </c>
      <c r="C72" s="124" t="s">
        <v>196</v>
      </c>
      <c r="D72" s="124">
        <v>74</v>
      </c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>
        <v>74</v>
      </c>
      <c r="R72" s="124"/>
      <c r="S72" s="124"/>
      <c r="T72" s="124"/>
      <c r="U72" s="124"/>
    </row>
    <row r="73" spans="1:21" s="106" customFormat="1" ht="13.8">
      <c r="A73" s="125"/>
      <c r="B73" s="34">
        <v>43851</v>
      </c>
      <c r="C73" s="124" t="s">
        <v>40</v>
      </c>
      <c r="D73" s="124">
        <v>99</v>
      </c>
      <c r="E73" s="124"/>
      <c r="F73" s="124">
        <v>99</v>
      </c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</row>
    <row r="74" spans="1:21" s="106" customFormat="1" ht="13.8">
      <c r="A74" s="125"/>
      <c r="B74" s="34">
        <v>43852</v>
      </c>
      <c r="C74" s="124" t="s">
        <v>412</v>
      </c>
      <c r="D74" s="124">
        <v>199</v>
      </c>
      <c r="E74" s="124"/>
      <c r="F74" s="124">
        <v>199</v>
      </c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</row>
    <row r="75" spans="1:21" s="106" customFormat="1" ht="13.8">
      <c r="A75" s="125"/>
      <c r="B75" s="34">
        <v>43855</v>
      </c>
      <c r="C75" s="124" t="s">
        <v>186</v>
      </c>
      <c r="D75" s="124">
        <v>60</v>
      </c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>
        <v>60</v>
      </c>
      <c r="R75" s="124"/>
      <c r="S75" s="124"/>
      <c r="T75" s="124"/>
      <c r="U75" s="124"/>
    </row>
    <row r="76" spans="1:21" s="106" customFormat="1" ht="13.8">
      <c r="A76" s="125"/>
      <c r="B76" s="34">
        <v>43856</v>
      </c>
      <c r="C76" s="124" t="s">
        <v>215</v>
      </c>
      <c r="D76" s="124">
        <v>20</v>
      </c>
      <c r="E76" s="124"/>
      <c r="F76" s="124">
        <v>20</v>
      </c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</row>
    <row r="77" spans="1:21" s="106" customFormat="1" ht="13.8">
      <c r="A77" s="125"/>
      <c r="B77" s="34">
        <v>43857</v>
      </c>
      <c r="C77" s="124" t="s">
        <v>124</v>
      </c>
      <c r="D77" s="124">
        <v>105</v>
      </c>
      <c r="E77" s="124"/>
      <c r="F77" s="124"/>
      <c r="G77" s="124"/>
      <c r="H77" s="124">
        <v>105</v>
      </c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</row>
    <row r="78" spans="1:21" s="106" customFormat="1" ht="13.8">
      <c r="A78" s="125"/>
      <c r="B78" s="34">
        <v>43858</v>
      </c>
      <c r="C78" s="124" t="s">
        <v>196</v>
      </c>
      <c r="D78" s="124">
        <v>-260</v>
      </c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>
        <v>-260</v>
      </c>
      <c r="R78" s="124"/>
      <c r="S78" s="124"/>
      <c r="T78" s="124"/>
      <c r="U78" s="124"/>
    </row>
    <row r="79" spans="1:21" s="106" customFormat="1" ht="13.8">
      <c r="A79" s="125"/>
      <c r="B79" s="34">
        <v>43859</v>
      </c>
      <c r="C79" s="124" t="s">
        <v>186</v>
      </c>
      <c r="D79" s="124">
        <v>60</v>
      </c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>
        <v>60</v>
      </c>
      <c r="R79" s="124"/>
      <c r="S79" s="124"/>
      <c r="T79" s="124"/>
      <c r="U79" s="124"/>
    </row>
    <row r="80" spans="1:21" s="106" customFormat="1" ht="13.8">
      <c r="A80" s="125"/>
      <c r="B80" s="34"/>
      <c r="C80" s="124" t="s">
        <v>42</v>
      </c>
      <c r="D80" s="124">
        <v>1443.86</v>
      </c>
      <c r="E80" s="124"/>
      <c r="F80" s="124">
        <v>60</v>
      </c>
      <c r="G80" s="124">
        <v>1201.8599999999999</v>
      </c>
      <c r="H80" s="124"/>
      <c r="I80" s="124"/>
      <c r="J80" s="124"/>
      <c r="K80" s="124"/>
      <c r="L80" s="124">
        <v>182</v>
      </c>
      <c r="M80" s="124"/>
      <c r="N80" s="124"/>
      <c r="O80" s="124"/>
      <c r="P80" s="124"/>
      <c r="Q80" s="124"/>
      <c r="R80" s="124"/>
      <c r="S80" s="124"/>
      <c r="T80" s="124"/>
      <c r="U80" s="124"/>
    </row>
    <row r="81" spans="1:49" s="106" customFormat="1" ht="13.8">
      <c r="A81" s="125"/>
      <c r="B81" s="34"/>
      <c r="C81" s="124" t="s">
        <v>40</v>
      </c>
      <c r="D81" s="124">
        <v>579.65</v>
      </c>
      <c r="E81" s="124"/>
      <c r="F81" s="124"/>
      <c r="G81" s="124">
        <v>376.65</v>
      </c>
      <c r="H81" s="124"/>
      <c r="I81" s="124"/>
      <c r="J81" s="124"/>
      <c r="K81" s="124"/>
      <c r="L81" s="124">
        <v>204</v>
      </c>
      <c r="M81" s="124"/>
      <c r="N81" s="124"/>
      <c r="O81" s="124"/>
      <c r="P81" s="124"/>
      <c r="Q81" s="124"/>
      <c r="R81" s="124"/>
      <c r="S81" s="124"/>
      <c r="T81" s="124"/>
      <c r="U81" s="124"/>
    </row>
    <row r="82" spans="1:49" s="106" customFormat="1" ht="13.8">
      <c r="A82" s="125"/>
      <c r="B82" s="34"/>
      <c r="C82" s="124" t="s">
        <v>123</v>
      </c>
      <c r="D82" s="124">
        <v>436.95</v>
      </c>
      <c r="E82" s="124"/>
      <c r="F82" s="124">
        <v>89</v>
      </c>
      <c r="G82" s="124">
        <v>322</v>
      </c>
      <c r="H82" s="124"/>
      <c r="I82" s="124"/>
      <c r="J82" s="124"/>
      <c r="K82" s="124"/>
      <c r="L82" s="124">
        <v>25.95</v>
      </c>
      <c r="M82" s="124"/>
      <c r="N82" s="124"/>
      <c r="O82" s="124"/>
      <c r="P82" s="124"/>
      <c r="Q82" s="124"/>
      <c r="R82" s="124"/>
      <c r="S82" s="124"/>
      <c r="T82" s="124"/>
      <c r="U82" s="124"/>
    </row>
    <row r="83" spans="1:49" s="106" customFormat="1" ht="13.8">
      <c r="A83" s="125"/>
      <c r="B83" s="34"/>
      <c r="C83" s="124" t="s">
        <v>162</v>
      </c>
      <c r="D83" s="124">
        <v>423.25</v>
      </c>
      <c r="E83" s="124"/>
      <c r="F83" s="124">
        <v>403.25</v>
      </c>
      <c r="G83" s="124">
        <v>20</v>
      </c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</row>
    <row r="84" spans="1:49" s="126" customFormat="1" ht="13.8">
      <c r="A84" s="39"/>
      <c r="B84" s="252" t="str">
        <f>C2</f>
        <v>januar</v>
      </c>
      <c r="C84" s="251"/>
      <c r="D84" s="249">
        <f>SUM(D58:D58)</f>
        <v>119</v>
      </c>
      <c r="E84" s="249">
        <f t="shared" ref="E84:U84" si="18">SUM(E40:E83)</f>
        <v>4844.63</v>
      </c>
      <c r="F84" s="249">
        <f t="shared" si="18"/>
        <v>1327.7</v>
      </c>
      <c r="G84" s="249">
        <f t="shared" si="18"/>
        <v>2467.16</v>
      </c>
      <c r="H84" s="249">
        <f t="shared" si="18"/>
        <v>474.25</v>
      </c>
      <c r="I84" s="249">
        <f t="shared" si="18"/>
        <v>42.95</v>
      </c>
      <c r="J84" s="249">
        <f t="shared" si="18"/>
        <v>0</v>
      </c>
      <c r="K84" s="249">
        <f t="shared" si="18"/>
        <v>0</v>
      </c>
      <c r="L84" s="249">
        <f t="shared" si="18"/>
        <v>451.9</v>
      </c>
      <c r="M84" s="249">
        <f t="shared" si="18"/>
        <v>7474</v>
      </c>
      <c r="N84" s="249">
        <f t="shared" si="18"/>
        <v>20</v>
      </c>
      <c r="O84" s="249">
        <f t="shared" si="18"/>
        <v>949.81</v>
      </c>
      <c r="P84" s="249">
        <f t="shared" si="18"/>
        <v>369</v>
      </c>
      <c r="Q84" s="249">
        <f t="shared" si="18"/>
        <v>303</v>
      </c>
      <c r="R84" s="249">
        <f t="shared" si="18"/>
        <v>0</v>
      </c>
      <c r="S84" s="249">
        <f t="shared" si="18"/>
        <v>0</v>
      </c>
      <c r="T84" s="249">
        <f t="shared" si="18"/>
        <v>800</v>
      </c>
      <c r="U84" s="249">
        <f t="shared" si="18"/>
        <v>0</v>
      </c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</row>
    <row r="85" spans="1:49" s="120" customFormat="1" ht="12" customHeight="1">
      <c r="A85" s="60"/>
      <c r="B85" s="3009" t="str">
        <f>B84</f>
        <v>januar</v>
      </c>
      <c r="C85" s="3011" t="s">
        <v>36</v>
      </c>
      <c r="D85" s="250">
        <f t="shared" ref="D85:U85" si="19">SUM(D86:D86)</f>
        <v>0</v>
      </c>
      <c r="E85" s="250">
        <f t="shared" si="19"/>
        <v>0</v>
      </c>
      <c r="F85" s="250">
        <f t="shared" si="19"/>
        <v>0</v>
      </c>
      <c r="G85" s="250">
        <f t="shared" si="19"/>
        <v>0</v>
      </c>
      <c r="H85" s="250">
        <f t="shared" si="19"/>
        <v>0</v>
      </c>
      <c r="I85" s="250">
        <f t="shared" si="19"/>
        <v>0</v>
      </c>
      <c r="J85" s="250">
        <f t="shared" si="19"/>
        <v>0</v>
      </c>
      <c r="K85" s="250">
        <f t="shared" si="19"/>
        <v>0</v>
      </c>
      <c r="L85" s="250">
        <f t="shared" si="19"/>
        <v>0</v>
      </c>
      <c r="M85" s="250">
        <f t="shared" si="19"/>
        <v>0</v>
      </c>
      <c r="N85" s="250">
        <f t="shared" si="19"/>
        <v>0</v>
      </c>
      <c r="O85" s="250">
        <f t="shared" si="19"/>
        <v>0</v>
      </c>
      <c r="P85" s="250">
        <f t="shared" si="19"/>
        <v>0</v>
      </c>
      <c r="Q85" s="250">
        <f t="shared" si="19"/>
        <v>0</v>
      </c>
      <c r="R85" s="250">
        <f t="shared" si="19"/>
        <v>0</v>
      </c>
      <c r="S85" s="250">
        <f t="shared" si="19"/>
        <v>0</v>
      </c>
      <c r="T85" s="250">
        <f t="shared" si="19"/>
        <v>0</v>
      </c>
      <c r="U85" s="250">
        <f t="shared" si="19"/>
        <v>0</v>
      </c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</row>
    <row r="86" spans="1:49" s="120" customFormat="1" ht="12" customHeight="1">
      <c r="A86" s="60"/>
      <c r="B86" s="3010"/>
      <c r="C86" s="2935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</row>
    <row r="87" spans="1:49" s="126" customFormat="1" ht="13.5" customHeight="1">
      <c r="A87" s="39"/>
      <c r="B87" s="3007" t="str">
        <f>$D$2</f>
        <v>februar</v>
      </c>
      <c r="C87" s="3008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</row>
    <row r="88" spans="1:49" s="106" customFormat="1" ht="13.8">
      <c r="A88" s="125"/>
      <c r="B88" s="34">
        <v>43861</v>
      </c>
      <c r="C88" s="124" t="s">
        <v>34</v>
      </c>
      <c r="D88" s="124">
        <v>-19004</v>
      </c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</row>
    <row r="89" spans="1:49" s="106" customFormat="1" ht="13.8">
      <c r="A89" s="125"/>
      <c r="B89" s="34">
        <v>43861</v>
      </c>
      <c r="C89" s="124" t="s">
        <v>33</v>
      </c>
      <c r="D89" s="124">
        <v>-205</v>
      </c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</row>
    <row r="90" spans="1:49" s="106" customFormat="1" ht="13.8">
      <c r="A90" s="125"/>
      <c r="B90" s="34">
        <v>43861</v>
      </c>
      <c r="C90" s="124" t="s">
        <v>35</v>
      </c>
      <c r="D90" s="124">
        <v>-11004</v>
      </c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</row>
    <row r="91" spans="1:49" s="106" customFormat="1" ht="13.8">
      <c r="A91" s="125"/>
      <c r="B91" s="34">
        <v>43861</v>
      </c>
      <c r="C91" s="124" t="s">
        <v>21</v>
      </c>
      <c r="D91" s="124">
        <v>135</v>
      </c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>
        <f>D91</f>
        <v>135</v>
      </c>
      <c r="Q91" s="124"/>
      <c r="R91" s="124"/>
      <c r="S91" s="124"/>
      <c r="T91" s="124"/>
      <c r="U91" s="124"/>
    </row>
    <row r="92" spans="1:49" s="106" customFormat="1" ht="13.8">
      <c r="A92" s="125"/>
      <c r="B92" s="34">
        <v>43861</v>
      </c>
      <c r="C92" s="124" t="s">
        <v>42</v>
      </c>
      <c r="D92" s="124">
        <v>109</v>
      </c>
      <c r="E92" s="124"/>
      <c r="F92" s="124"/>
      <c r="G92" s="124">
        <v>109</v>
      </c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</row>
    <row r="93" spans="1:49" s="106" customFormat="1" ht="13.8">
      <c r="A93" s="125"/>
      <c r="B93" s="34">
        <v>43861</v>
      </c>
      <c r="C93" s="124" t="s">
        <v>39</v>
      </c>
      <c r="D93" s="124">
        <v>131.41999999999999</v>
      </c>
      <c r="E93" s="124"/>
      <c r="F93" s="124"/>
      <c r="G93" s="124">
        <v>131.41999999999999</v>
      </c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</row>
    <row r="94" spans="1:49" s="106" customFormat="1" ht="13.8">
      <c r="A94" s="125"/>
      <c r="B94" s="34">
        <v>43861</v>
      </c>
      <c r="C94" s="124" t="s">
        <v>196</v>
      </c>
      <c r="D94" s="124">
        <v>136</v>
      </c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>
        <v>136</v>
      </c>
      <c r="R94" s="124"/>
      <c r="S94" s="124"/>
      <c r="T94" s="124"/>
      <c r="U94" s="124"/>
    </row>
    <row r="95" spans="1:49" s="106" customFormat="1" ht="13.8">
      <c r="A95" s="125"/>
      <c r="B95" s="34">
        <v>43861</v>
      </c>
      <c r="C95" s="124" t="s">
        <v>39</v>
      </c>
      <c r="D95" s="124">
        <v>255.74</v>
      </c>
      <c r="E95" s="124"/>
      <c r="F95" s="124">
        <v>168</v>
      </c>
      <c r="G95" s="124">
        <v>87.74</v>
      </c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</row>
    <row r="96" spans="1:49" s="106" customFormat="1" ht="13.8">
      <c r="A96" s="125"/>
      <c r="B96" s="34">
        <v>43862</v>
      </c>
      <c r="C96" s="124" t="s">
        <v>230</v>
      </c>
      <c r="D96" s="124">
        <v>64</v>
      </c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>
        <f>D96</f>
        <v>64</v>
      </c>
      <c r="Q96" s="124"/>
      <c r="R96" s="124"/>
      <c r="S96" s="124"/>
      <c r="T96" s="124"/>
      <c r="U96" s="124"/>
    </row>
    <row r="97" spans="1:21" s="106" customFormat="1" ht="13.8">
      <c r="A97" s="125"/>
      <c r="B97" s="34">
        <v>43862</v>
      </c>
      <c r="C97" s="124" t="s">
        <v>40</v>
      </c>
      <c r="D97" s="124">
        <v>570</v>
      </c>
      <c r="E97" s="124"/>
      <c r="F97" s="124">
        <v>20</v>
      </c>
      <c r="G97" s="124"/>
      <c r="H97" s="124"/>
      <c r="I97" s="124"/>
      <c r="J97" s="124">
        <v>410</v>
      </c>
      <c r="K97" s="124"/>
      <c r="L97" s="124">
        <v>140</v>
      </c>
      <c r="M97" s="124"/>
      <c r="N97" s="124"/>
      <c r="O97" s="124"/>
      <c r="P97" s="124"/>
      <c r="Q97" s="124"/>
      <c r="R97" s="124"/>
      <c r="S97" s="124"/>
      <c r="T97" s="124"/>
      <c r="U97" s="124"/>
    </row>
    <row r="98" spans="1:21" s="106" customFormat="1" ht="13.8">
      <c r="A98" s="125"/>
      <c r="B98" s="34">
        <v>43862</v>
      </c>
      <c r="C98" s="124" t="s">
        <v>162</v>
      </c>
      <c r="D98" s="124">
        <v>101.75</v>
      </c>
      <c r="E98" s="124"/>
      <c r="F98" s="124">
        <v>101.75</v>
      </c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</row>
    <row r="99" spans="1:21" s="106" customFormat="1" ht="13.8">
      <c r="A99" s="125"/>
      <c r="B99" s="34">
        <v>43862</v>
      </c>
      <c r="C99" s="124" t="s">
        <v>42</v>
      </c>
      <c r="D99" s="124">
        <v>194.5</v>
      </c>
      <c r="E99" s="124"/>
      <c r="F99" s="124"/>
      <c r="G99" s="124">
        <v>64.5</v>
      </c>
      <c r="H99" s="124"/>
      <c r="I99" s="124"/>
      <c r="J99" s="124"/>
      <c r="K99" s="124">
        <v>25.5</v>
      </c>
      <c r="L99" s="124">
        <v>105</v>
      </c>
      <c r="M99" s="124"/>
      <c r="N99" s="124"/>
      <c r="O99" s="124"/>
      <c r="P99" s="124"/>
      <c r="Q99" s="124"/>
      <c r="R99" s="124"/>
      <c r="S99" s="124"/>
      <c r="T99" s="124"/>
      <c r="U99" s="124"/>
    </row>
    <row r="100" spans="1:21" s="106" customFormat="1" ht="13.8">
      <c r="A100" s="125"/>
      <c r="B100" s="34">
        <v>43864</v>
      </c>
      <c r="C100" s="124" t="s">
        <v>22</v>
      </c>
      <c r="D100" s="124">
        <v>138</v>
      </c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>
        <f>D100</f>
        <v>138</v>
      </c>
      <c r="Q100" s="124"/>
      <c r="R100" s="124"/>
      <c r="S100" s="124"/>
      <c r="T100" s="124"/>
      <c r="U100" s="124"/>
    </row>
    <row r="101" spans="1:21" s="106" customFormat="1" ht="13.8">
      <c r="A101" s="125"/>
      <c r="B101" s="34">
        <v>43862</v>
      </c>
      <c r="C101" s="124" t="s">
        <v>411</v>
      </c>
      <c r="D101" s="124">
        <v>90</v>
      </c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>
        <v>90</v>
      </c>
      <c r="T101" s="124"/>
      <c r="U101" s="124"/>
    </row>
    <row r="102" spans="1:21" s="106" customFormat="1" ht="13.8">
      <c r="A102" s="125"/>
      <c r="B102" s="34">
        <v>43863</v>
      </c>
      <c r="C102" s="124" t="s">
        <v>12</v>
      </c>
      <c r="D102" s="124">
        <v>499</v>
      </c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>
        <v>499</v>
      </c>
    </row>
    <row r="103" spans="1:21" s="106" customFormat="1" ht="13.8">
      <c r="A103" s="125"/>
      <c r="B103" s="34">
        <v>43863</v>
      </c>
      <c r="C103" s="124" t="s">
        <v>410</v>
      </c>
      <c r="D103" s="124">
        <v>999</v>
      </c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>
        <v>999</v>
      </c>
      <c r="T103" s="124"/>
      <c r="U103" s="124"/>
    </row>
    <row r="104" spans="1:21" s="106" customFormat="1" ht="13.8">
      <c r="A104" s="125"/>
      <c r="B104" s="34">
        <v>43863</v>
      </c>
      <c r="C104" s="124" t="s">
        <v>409</v>
      </c>
      <c r="D104" s="124">
        <v>60</v>
      </c>
      <c r="E104" s="124"/>
      <c r="F104" s="124"/>
      <c r="G104" s="124"/>
      <c r="H104" s="124"/>
      <c r="I104" s="124"/>
      <c r="J104" s="124"/>
      <c r="K104" s="124">
        <v>60</v>
      </c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</row>
    <row r="105" spans="1:21" s="106" customFormat="1" ht="13.8">
      <c r="A105" s="125"/>
      <c r="B105" s="34">
        <v>43864</v>
      </c>
      <c r="C105" s="124" t="s">
        <v>31</v>
      </c>
      <c r="D105" s="124">
        <v>-1151</v>
      </c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</row>
    <row r="106" spans="1:21" s="106" customFormat="1" ht="13.8">
      <c r="A106" s="125"/>
      <c r="B106" s="34">
        <v>43864</v>
      </c>
      <c r="C106" s="124" t="s">
        <v>30</v>
      </c>
      <c r="D106" s="124">
        <v>17191</v>
      </c>
      <c r="E106" s="124"/>
      <c r="F106" s="124"/>
      <c r="G106" s="124"/>
      <c r="H106" s="124"/>
      <c r="I106" s="124"/>
      <c r="J106" s="124"/>
      <c r="K106" s="124"/>
      <c r="L106" s="124"/>
      <c r="M106" s="124">
        <f>D106</f>
        <v>17191</v>
      </c>
      <c r="N106" s="124"/>
      <c r="O106" s="124"/>
      <c r="P106" s="124"/>
      <c r="Q106" s="124"/>
      <c r="R106" s="124"/>
      <c r="S106" s="124"/>
      <c r="T106" s="124"/>
      <c r="U106" s="124"/>
    </row>
    <row r="107" spans="1:21" s="106" customFormat="1" ht="13.8">
      <c r="A107" s="125"/>
      <c r="B107" s="34">
        <v>43864</v>
      </c>
      <c r="C107" s="124" t="s">
        <v>165</v>
      </c>
      <c r="D107" s="124">
        <v>148</v>
      </c>
      <c r="E107" s="124"/>
      <c r="F107" s="124">
        <v>148</v>
      </c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</row>
    <row r="108" spans="1:21" s="106" customFormat="1" ht="13.8">
      <c r="A108" s="125"/>
      <c r="B108" s="34">
        <v>43864</v>
      </c>
      <c r="C108" s="124" t="s">
        <v>164</v>
      </c>
      <c r="D108" s="124">
        <v>350</v>
      </c>
      <c r="E108" s="124"/>
      <c r="F108" s="124">
        <v>350</v>
      </c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</row>
    <row r="109" spans="1:21" s="106" customFormat="1" ht="13.8">
      <c r="A109" s="125"/>
      <c r="B109" s="34">
        <v>43864</v>
      </c>
      <c r="C109" s="124" t="s">
        <v>182</v>
      </c>
      <c r="D109" s="124">
        <v>284</v>
      </c>
      <c r="E109" s="124">
        <f>D109</f>
        <v>284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</row>
    <row r="110" spans="1:21" s="106" customFormat="1" ht="13.8">
      <c r="A110" s="125"/>
      <c r="B110" s="34">
        <v>43864</v>
      </c>
      <c r="C110" s="124" t="s">
        <v>183</v>
      </c>
      <c r="D110" s="124">
        <v>476.98</v>
      </c>
      <c r="E110" s="124">
        <f>D110</f>
        <v>476.98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</row>
    <row r="111" spans="1:21" s="106" customFormat="1" ht="13.8">
      <c r="A111" s="125"/>
      <c r="B111" s="34">
        <v>43864</v>
      </c>
      <c r="C111" s="124" t="s">
        <v>265</v>
      </c>
      <c r="D111" s="124">
        <v>602.4</v>
      </c>
      <c r="E111" s="124">
        <f>D111</f>
        <v>602.4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</row>
    <row r="112" spans="1:21" s="106" customFormat="1" ht="13.8">
      <c r="A112" s="125"/>
      <c r="B112" s="34">
        <v>43864</v>
      </c>
      <c r="C112" s="124" t="s">
        <v>363</v>
      </c>
      <c r="D112" s="124">
        <v>897.29</v>
      </c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>
        <f>D112</f>
        <v>897.29</v>
      </c>
      <c r="P112" s="124"/>
      <c r="Q112" s="124"/>
      <c r="R112" s="124"/>
      <c r="S112" s="124"/>
      <c r="T112" s="124"/>
      <c r="U112" s="124"/>
    </row>
    <row r="113" spans="1:21" s="106" customFormat="1" ht="13.8">
      <c r="A113" s="125"/>
      <c r="B113" s="34">
        <v>43864</v>
      </c>
      <c r="C113" s="124" t="s">
        <v>381</v>
      </c>
      <c r="D113" s="124">
        <v>1299.57</v>
      </c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>
        <f>D113</f>
        <v>1299.57</v>
      </c>
      <c r="U113" s="124"/>
    </row>
    <row r="114" spans="1:21" s="106" customFormat="1" ht="13.8">
      <c r="A114" s="125"/>
      <c r="B114" s="34">
        <v>43864</v>
      </c>
      <c r="C114" s="124" t="s">
        <v>265</v>
      </c>
      <c r="D114" s="124">
        <v>490</v>
      </c>
      <c r="E114" s="124">
        <f>D114</f>
        <v>490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</row>
    <row r="115" spans="1:21" s="106" customFormat="1" ht="13.8">
      <c r="A115" s="125"/>
      <c r="B115" s="34">
        <v>43864</v>
      </c>
      <c r="C115" s="124" t="s">
        <v>125</v>
      </c>
      <c r="D115" s="124">
        <v>119</v>
      </c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>
        <v>119</v>
      </c>
      <c r="R115" s="124"/>
      <c r="S115" s="124"/>
      <c r="T115" s="124"/>
      <c r="U115" s="124"/>
    </row>
    <row r="116" spans="1:21" s="106" customFormat="1" ht="13.8">
      <c r="A116" s="125"/>
      <c r="B116" s="34">
        <v>43864</v>
      </c>
      <c r="C116" s="124" t="s">
        <v>42</v>
      </c>
      <c r="D116" s="124">
        <v>112.95</v>
      </c>
      <c r="E116" s="124"/>
      <c r="F116" s="124"/>
      <c r="G116" s="124">
        <v>97.95</v>
      </c>
      <c r="H116" s="124"/>
      <c r="I116" s="124"/>
      <c r="J116" s="124"/>
      <c r="K116" s="124"/>
      <c r="L116" s="124">
        <v>15</v>
      </c>
      <c r="M116" s="124"/>
      <c r="N116" s="124"/>
      <c r="O116" s="124"/>
      <c r="P116" s="124"/>
      <c r="Q116" s="124"/>
      <c r="R116" s="124"/>
      <c r="S116" s="124"/>
      <c r="T116" s="124"/>
      <c r="U116" s="124"/>
    </row>
    <row r="117" spans="1:21" s="106" customFormat="1" ht="13.8">
      <c r="A117" s="125"/>
      <c r="B117" s="34">
        <v>43864</v>
      </c>
      <c r="C117" s="124" t="s">
        <v>42</v>
      </c>
      <c r="D117" s="124">
        <v>305.60000000000002</v>
      </c>
      <c r="E117" s="124"/>
      <c r="F117" s="124"/>
      <c r="G117" s="124">
        <v>263.10000000000002</v>
      </c>
      <c r="H117" s="124"/>
      <c r="I117" s="124"/>
      <c r="J117" s="124"/>
      <c r="K117" s="124">
        <v>42.5</v>
      </c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</row>
    <row r="118" spans="1:21" s="106" customFormat="1" ht="13.8">
      <c r="A118" s="125"/>
      <c r="B118" s="34">
        <v>43864</v>
      </c>
      <c r="C118" s="124" t="s">
        <v>124</v>
      </c>
      <c r="D118" s="124">
        <v>38.4</v>
      </c>
      <c r="E118" s="124"/>
      <c r="F118" s="124"/>
      <c r="G118" s="124"/>
      <c r="H118" s="124">
        <v>38.4</v>
      </c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</row>
    <row r="119" spans="1:21" s="106" customFormat="1" ht="13.8">
      <c r="A119" s="125"/>
      <c r="B119" s="34">
        <v>43865</v>
      </c>
      <c r="C119" s="124" t="s">
        <v>167</v>
      </c>
      <c r="D119" s="124">
        <v>150</v>
      </c>
      <c r="E119" s="124"/>
      <c r="F119" s="124">
        <v>150</v>
      </c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</row>
    <row r="120" spans="1:21" s="106" customFormat="1" ht="13.8">
      <c r="A120" s="125"/>
      <c r="B120" s="34">
        <v>43865</v>
      </c>
      <c r="C120" s="124" t="s">
        <v>124</v>
      </c>
      <c r="D120" s="124">
        <v>61.95</v>
      </c>
      <c r="E120" s="124"/>
      <c r="F120" s="124"/>
      <c r="G120" s="124"/>
      <c r="H120" s="124">
        <v>61.95</v>
      </c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</row>
    <row r="121" spans="1:21" s="106" customFormat="1" ht="13.8">
      <c r="A121" s="125"/>
      <c r="B121" s="34">
        <v>43866</v>
      </c>
      <c r="C121" s="124" t="s">
        <v>20</v>
      </c>
      <c r="D121" s="124">
        <v>181.24</v>
      </c>
      <c r="E121" s="124">
        <f>D121</f>
        <v>181.24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</row>
    <row r="122" spans="1:21" s="106" customFormat="1" ht="13.8">
      <c r="A122" s="125"/>
      <c r="B122" s="34">
        <v>43866</v>
      </c>
      <c r="C122" s="124" t="s">
        <v>352</v>
      </c>
      <c r="D122" s="124">
        <v>51</v>
      </c>
      <c r="E122" s="124"/>
      <c r="F122" s="124">
        <v>51</v>
      </c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</row>
    <row r="123" spans="1:21" s="106" customFormat="1" ht="13.8">
      <c r="A123" s="125"/>
      <c r="B123" s="34">
        <v>43866</v>
      </c>
      <c r="C123" s="124" t="s">
        <v>229</v>
      </c>
      <c r="D123" s="124">
        <v>161.6</v>
      </c>
      <c r="E123" s="124"/>
      <c r="F123" s="124">
        <v>161.6</v>
      </c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</row>
    <row r="124" spans="1:21" s="106" customFormat="1" ht="13.8">
      <c r="A124" s="125"/>
      <c r="B124" s="34">
        <v>43866</v>
      </c>
      <c r="C124" s="124" t="s">
        <v>38</v>
      </c>
      <c r="D124" s="124">
        <v>25</v>
      </c>
      <c r="E124" s="124"/>
      <c r="F124" s="124"/>
      <c r="G124" s="124">
        <v>25</v>
      </c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</row>
    <row r="125" spans="1:21" s="106" customFormat="1" ht="13.8">
      <c r="A125" s="125"/>
      <c r="B125" s="34">
        <v>43866</v>
      </c>
      <c r="C125" s="124" t="s">
        <v>40</v>
      </c>
      <c r="D125" s="124">
        <v>25.5</v>
      </c>
      <c r="E125" s="124"/>
      <c r="F125" s="124"/>
      <c r="G125" s="124">
        <v>25.5</v>
      </c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</row>
    <row r="126" spans="1:21" s="106" customFormat="1" ht="13.8">
      <c r="A126" s="125"/>
      <c r="B126" s="34">
        <v>43867</v>
      </c>
      <c r="C126" s="124" t="s">
        <v>42</v>
      </c>
      <c r="D126" s="124">
        <v>127.75</v>
      </c>
      <c r="E126" s="124"/>
      <c r="F126" s="124"/>
      <c r="G126" s="124">
        <v>127.75</v>
      </c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</row>
    <row r="127" spans="1:21" s="106" customFormat="1" ht="13.8">
      <c r="A127" s="125"/>
      <c r="B127" s="34">
        <v>43867</v>
      </c>
      <c r="C127" s="124" t="s">
        <v>39</v>
      </c>
      <c r="D127" s="124">
        <v>110</v>
      </c>
      <c r="E127" s="124"/>
      <c r="F127" s="124"/>
      <c r="G127" s="124">
        <v>10</v>
      </c>
      <c r="H127" s="124"/>
      <c r="I127" s="124"/>
      <c r="J127" s="124"/>
      <c r="K127" s="124"/>
      <c r="L127" s="124">
        <v>100</v>
      </c>
      <c r="M127" s="124"/>
      <c r="N127" s="124"/>
      <c r="O127" s="124"/>
      <c r="P127" s="124"/>
      <c r="Q127" s="124"/>
      <c r="R127" s="124"/>
      <c r="S127" s="124"/>
      <c r="T127" s="124"/>
      <c r="U127" s="124"/>
    </row>
    <row r="128" spans="1:21" s="106" customFormat="1" ht="13.8">
      <c r="A128" s="125"/>
      <c r="B128" s="34">
        <v>43868</v>
      </c>
      <c r="C128" s="124" t="s">
        <v>216</v>
      </c>
      <c r="D128" s="124">
        <v>131.94999999999999</v>
      </c>
      <c r="E128" s="124"/>
      <c r="F128" s="124">
        <v>99.2</v>
      </c>
      <c r="G128" s="124">
        <v>12.75</v>
      </c>
      <c r="H128" s="124"/>
      <c r="I128" s="124"/>
      <c r="J128" s="124"/>
      <c r="K128" s="124"/>
      <c r="L128" s="124">
        <v>20</v>
      </c>
      <c r="M128" s="124"/>
      <c r="N128" s="124"/>
      <c r="O128" s="124"/>
      <c r="P128" s="124"/>
      <c r="Q128" s="124"/>
      <c r="R128" s="124"/>
      <c r="S128" s="124"/>
      <c r="T128" s="124"/>
      <c r="U128" s="124"/>
    </row>
    <row r="129" spans="1:21" s="106" customFormat="1" ht="13.8">
      <c r="A129" s="125"/>
      <c r="B129" s="34">
        <v>43868</v>
      </c>
      <c r="C129" s="124" t="s">
        <v>42</v>
      </c>
      <c r="D129" s="124">
        <v>96.65</v>
      </c>
      <c r="E129" s="124"/>
      <c r="F129" s="124"/>
      <c r="G129" s="124">
        <v>88.65</v>
      </c>
      <c r="H129" s="124"/>
      <c r="I129" s="124"/>
      <c r="J129" s="124"/>
      <c r="K129" s="124"/>
      <c r="L129" s="124">
        <v>8</v>
      </c>
      <c r="M129" s="124"/>
      <c r="N129" s="124"/>
      <c r="O129" s="124"/>
      <c r="P129" s="124"/>
      <c r="Q129" s="124"/>
      <c r="R129" s="124"/>
      <c r="S129" s="124"/>
      <c r="T129" s="124"/>
      <c r="U129" s="124"/>
    </row>
    <row r="130" spans="1:21" s="106" customFormat="1" ht="13.8">
      <c r="A130" s="125"/>
      <c r="B130" s="34">
        <v>43868</v>
      </c>
      <c r="C130" s="124" t="s">
        <v>178</v>
      </c>
      <c r="D130" s="124">
        <v>395</v>
      </c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>
        <v>395</v>
      </c>
      <c r="S130" s="124"/>
      <c r="T130" s="124"/>
      <c r="U130" s="124"/>
    </row>
    <row r="131" spans="1:21" s="106" customFormat="1" ht="13.8">
      <c r="A131" s="125"/>
      <c r="B131" s="34">
        <v>43869</v>
      </c>
      <c r="C131" s="124" t="s">
        <v>40</v>
      </c>
      <c r="D131" s="124">
        <v>62.95</v>
      </c>
      <c r="E131" s="124"/>
      <c r="F131" s="124"/>
      <c r="G131" s="124">
        <v>47.95</v>
      </c>
      <c r="H131" s="124"/>
      <c r="I131" s="124"/>
      <c r="J131" s="124"/>
      <c r="K131" s="124"/>
      <c r="L131" s="124">
        <v>15</v>
      </c>
      <c r="M131" s="124"/>
      <c r="N131" s="124"/>
      <c r="O131" s="124"/>
      <c r="P131" s="124"/>
      <c r="Q131" s="124"/>
      <c r="R131" s="124"/>
      <c r="S131" s="124"/>
      <c r="T131" s="124"/>
      <c r="U131" s="124"/>
    </row>
    <row r="132" spans="1:21" s="106" customFormat="1" ht="13.8">
      <c r="A132" s="125"/>
      <c r="B132" s="34">
        <v>43871</v>
      </c>
      <c r="C132" s="124" t="s">
        <v>144</v>
      </c>
      <c r="D132" s="124">
        <v>1113</v>
      </c>
      <c r="E132" s="124">
        <f>D132</f>
        <v>1113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</row>
    <row r="133" spans="1:21" s="106" customFormat="1" ht="13.8">
      <c r="A133" s="125"/>
      <c r="B133" s="34">
        <v>43871</v>
      </c>
      <c r="C133" s="124" t="s">
        <v>42</v>
      </c>
      <c r="D133" s="124">
        <v>117.7</v>
      </c>
      <c r="E133" s="124"/>
      <c r="F133" s="124"/>
      <c r="G133" s="124">
        <v>100.7</v>
      </c>
      <c r="H133" s="124"/>
      <c r="I133" s="124"/>
      <c r="J133" s="124"/>
      <c r="K133" s="124"/>
      <c r="L133" s="124">
        <v>17</v>
      </c>
      <c r="M133" s="124"/>
      <c r="N133" s="124"/>
      <c r="O133" s="124"/>
      <c r="P133" s="124"/>
      <c r="Q133" s="124"/>
      <c r="R133" s="124"/>
      <c r="S133" s="124"/>
      <c r="T133" s="124"/>
      <c r="U133" s="124"/>
    </row>
    <row r="134" spans="1:21" s="106" customFormat="1" ht="13.8">
      <c r="A134" s="125"/>
      <c r="B134" s="34">
        <v>43871</v>
      </c>
      <c r="C134" s="124" t="s">
        <v>39</v>
      </c>
      <c r="D134" s="124">
        <v>55</v>
      </c>
      <c r="E134" s="124"/>
      <c r="F134" s="124"/>
      <c r="G134" s="124">
        <v>15</v>
      </c>
      <c r="H134" s="124"/>
      <c r="I134" s="124"/>
      <c r="J134" s="124"/>
      <c r="K134" s="124"/>
      <c r="L134" s="124">
        <v>40</v>
      </c>
      <c r="M134" s="124"/>
      <c r="N134" s="124"/>
      <c r="O134" s="124"/>
      <c r="P134" s="124"/>
      <c r="Q134" s="124"/>
      <c r="R134" s="124"/>
      <c r="S134" s="124"/>
      <c r="T134" s="124"/>
      <c r="U134" s="124"/>
    </row>
    <row r="135" spans="1:21" s="106" customFormat="1" ht="13.8">
      <c r="A135" s="125"/>
      <c r="B135" s="34">
        <v>43871</v>
      </c>
      <c r="C135" s="124" t="s">
        <v>40</v>
      </c>
      <c r="D135" s="124">
        <v>35</v>
      </c>
      <c r="E135" s="124"/>
      <c r="F135" s="124"/>
      <c r="G135" s="124"/>
      <c r="H135" s="124"/>
      <c r="I135" s="124"/>
      <c r="J135" s="124"/>
      <c r="K135" s="124">
        <v>10</v>
      </c>
      <c r="L135" s="124">
        <v>25</v>
      </c>
      <c r="M135" s="124"/>
      <c r="N135" s="124"/>
      <c r="O135" s="124"/>
      <c r="P135" s="124"/>
      <c r="Q135" s="124"/>
      <c r="R135" s="124"/>
      <c r="S135" s="124"/>
      <c r="T135" s="124"/>
      <c r="U135" s="124"/>
    </row>
    <row r="136" spans="1:21" s="106" customFormat="1" ht="13.8">
      <c r="A136" s="125"/>
      <c r="B136" s="34">
        <v>43871</v>
      </c>
      <c r="C136" s="124" t="s">
        <v>408</v>
      </c>
      <c r="D136" s="124">
        <v>137</v>
      </c>
      <c r="E136" s="124"/>
      <c r="F136" s="124">
        <v>137</v>
      </c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</row>
    <row r="137" spans="1:21" s="106" customFormat="1" ht="13.8">
      <c r="A137" s="125"/>
      <c r="B137" s="34">
        <v>43871</v>
      </c>
      <c r="C137" s="124" t="s">
        <v>407</v>
      </c>
      <c r="D137" s="124">
        <v>80</v>
      </c>
      <c r="E137" s="124"/>
      <c r="F137" s="124">
        <v>80</v>
      </c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</row>
    <row r="138" spans="1:21" s="106" customFormat="1" ht="13.8">
      <c r="A138" s="125"/>
      <c r="B138" s="34">
        <v>43872</v>
      </c>
      <c r="C138" s="124" t="s">
        <v>42</v>
      </c>
      <c r="D138" s="124">
        <v>26</v>
      </c>
      <c r="E138" s="124"/>
      <c r="F138" s="124"/>
      <c r="G138" s="124">
        <v>26</v>
      </c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</row>
    <row r="139" spans="1:21" s="106" customFormat="1" ht="13.8">
      <c r="A139" s="125"/>
      <c r="B139" s="34">
        <v>43872</v>
      </c>
      <c r="C139" s="124" t="s">
        <v>162</v>
      </c>
      <c r="D139" s="124">
        <v>220</v>
      </c>
      <c r="E139" s="124"/>
      <c r="F139" s="124"/>
      <c r="G139" s="124"/>
      <c r="H139" s="124"/>
      <c r="I139" s="124"/>
      <c r="J139" s="124"/>
      <c r="K139" s="124"/>
      <c r="L139" s="124"/>
      <c r="M139" s="124"/>
      <c r="N139" s="124">
        <v>220</v>
      </c>
      <c r="O139" s="124"/>
      <c r="P139" s="124"/>
      <c r="Q139" s="124"/>
      <c r="R139" s="124"/>
      <c r="S139" s="124"/>
      <c r="T139" s="124"/>
      <c r="U139" s="124"/>
    </row>
    <row r="140" spans="1:21" s="106" customFormat="1" ht="13.8">
      <c r="A140" s="125"/>
      <c r="B140" s="34">
        <v>43874</v>
      </c>
      <c r="C140" s="124" t="s">
        <v>406</v>
      </c>
      <c r="D140" s="124">
        <v>371.97</v>
      </c>
      <c r="E140" s="124"/>
      <c r="F140" s="124">
        <v>371.97</v>
      </c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</row>
    <row r="141" spans="1:21" s="106" customFormat="1" ht="13.8">
      <c r="A141" s="125"/>
      <c r="B141" s="34">
        <v>43874</v>
      </c>
      <c r="C141" s="124" t="s">
        <v>125</v>
      </c>
      <c r="D141" s="124">
        <v>19</v>
      </c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>
        <v>19</v>
      </c>
      <c r="R141" s="124"/>
      <c r="S141" s="124"/>
      <c r="T141" s="124"/>
      <c r="U141" s="124"/>
    </row>
    <row r="142" spans="1:21" s="106" customFormat="1" ht="13.8">
      <c r="A142" s="125"/>
      <c r="B142" s="34">
        <v>43874</v>
      </c>
      <c r="C142" s="124" t="s">
        <v>42</v>
      </c>
      <c r="D142" s="124">
        <v>78.5</v>
      </c>
      <c r="E142" s="124"/>
      <c r="F142" s="124"/>
      <c r="G142" s="124">
        <v>78.5</v>
      </c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</row>
    <row r="143" spans="1:21" s="106" customFormat="1" ht="13.8">
      <c r="A143" s="125"/>
      <c r="B143" s="34">
        <v>43874</v>
      </c>
      <c r="C143" s="124" t="s">
        <v>42</v>
      </c>
      <c r="D143" s="124">
        <v>60</v>
      </c>
      <c r="E143" s="124"/>
      <c r="F143" s="124"/>
      <c r="G143" s="124">
        <v>60</v>
      </c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</row>
    <row r="144" spans="1:21" s="106" customFormat="1" ht="13.8">
      <c r="A144" s="125"/>
      <c r="B144" s="34">
        <v>43874</v>
      </c>
      <c r="C144" s="124" t="s">
        <v>39</v>
      </c>
      <c r="D144" s="124">
        <v>119.5</v>
      </c>
      <c r="E144" s="124"/>
      <c r="F144" s="124"/>
      <c r="G144" s="124">
        <v>99.5</v>
      </c>
      <c r="H144" s="124"/>
      <c r="I144" s="124"/>
      <c r="J144" s="124"/>
      <c r="K144" s="124"/>
      <c r="L144" s="124">
        <v>20</v>
      </c>
      <c r="M144" s="124"/>
      <c r="N144" s="124"/>
      <c r="O144" s="124"/>
      <c r="P144" s="124"/>
      <c r="Q144" s="124"/>
      <c r="R144" s="124"/>
      <c r="S144" s="124"/>
      <c r="T144" s="124"/>
      <c r="U144" s="124"/>
    </row>
    <row r="145" spans="1:21" s="106" customFormat="1" ht="13.8">
      <c r="A145" s="125"/>
      <c r="B145" s="34">
        <v>43875</v>
      </c>
      <c r="C145" s="124" t="s">
        <v>405</v>
      </c>
      <c r="D145" s="124">
        <v>109</v>
      </c>
      <c r="E145" s="124"/>
      <c r="F145" s="124">
        <v>109</v>
      </c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</row>
    <row r="146" spans="1:21" s="106" customFormat="1" ht="13.8">
      <c r="A146" s="125"/>
      <c r="B146" s="34">
        <v>43875</v>
      </c>
      <c r="C146" s="124" t="s">
        <v>58</v>
      </c>
      <c r="D146" s="124">
        <v>200</v>
      </c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>
        <v>200</v>
      </c>
      <c r="U146" s="124"/>
    </row>
    <row r="147" spans="1:21" s="106" customFormat="1" ht="13.8">
      <c r="A147" s="125"/>
      <c r="B147" s="34">
        <v>43876</v>
      </c>
      <c r="C147" s="124" t="s">
        <v>42</v>
      </c>
      <c r="D147" s="124">
        <v>95.5</v>
      </c>
      <c r="E147" s="124"/>
      <c r="F147" s="124"/>
      <c r="G147" s="124">
        <v>70</v>
      </c>
      <c r="H147" s="124"/>
      <c r="I147" s="124"/>
      <c r="J147" s="124"/>
      <c r="K147" s="124">
        <v>25.5</v>
      </c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</row>
    <row r="148" spans="1:21" s="106" customFormat="1" ht="13.8">
      <c r="A148" s="125"/>
      <c r="B148" s="34">
        <v>43877</v>
      </c>
      <c r="C148" s="124" t="s">
        <v>39</v>
      </c>
      <c r="D148" s="124">
        <v>63.95</v>
      </c>
      <c r="E148" s="124"/>
      <c r="F148" s="124"/>
      <c r="G148" s="124">
        <v>23.95</v>
      </c>
      <c r="H148" s="124"/>
      <c r="I148" s="124"/>
      <c r="J148" s="124"/>
      <c r="K148" s="124"/>
      <c r="L148" s="124">
        <v>40</v>
      </c>
      <c r="M148" s="124"/>
      <c r="N148" s="124"/>
      <c r="O148" s="124"/>
      <c r="P148" s="124"/>
      <c r="Q148" s="124"/>
      <c r="R148" s="124"/>
      <c r="S148" s="124"/>
      <c r="T148" s="124"/>
      <c r="U148" s="124"/>
    </row>
    <row r="149" spans="1:21" s="106" customFormat="1" ht="13.8">
      <c r="A149" s="125"/>
      <c r="B149" s="34">
        <v>43878</v>
      </c>
      <c r="C149" s="124" t="s">
        <v>42</v>
      </c>
      <c r="D149" s="124">
        <v>40</v>
      </c>
      <c r="E149" s="124"/>
      <c r="F149" s="124"/>
      <c r="G149" s="124">
        <v>15</v>
      </c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>
        <v>25</v>
      </c>
      <c r="S149" s="124"/>
      <c r="T149" s="124"/>
      <c r="U149" s="124"/>
    </row>
    <row r="150" spans="1:21" s="106" customFormat="1" ht="13.8">
      <c r="A150" s="125"/>
      <c r="B150" s="34">
        <v>43878</v>
      </c>
      <c r="C150" s="124" t="s">
        <v>192</v>
      </c>
      <c r="D150" s="124">
        <v>75</v>
      </c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>
        <v>75</v>
      </c>
      <c r="S150" s="124"/>
      <c r="T150" s="124"/>
      <c r="U150" s="124"/>
    </row>
    <row r="151" spans="1:21" s="106" customFormat="1" ht="13.8">
      <c r="A151" s="125"/>
      <c r="B151" s="34">
        <v>43939</v>
      </c>
      <c r="C151" s="124" t="s">
        <v>196</v>
      </c>
      <c r="D151" s="124">
        <v>-25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>
        <v>-25</v>
      </c>
      <c r="R151" s="124"/>
      <c r="S151" s="124"/>
      <c r="T151" s="124"/>
      <c r="U151" s="124"/>
    </row>
    <row r="152" spans="1:21" s="106" customFormat="1" ht="13.8">
      <c r="A152" s="125"/>
      <c r="B152" s="34">
        <v>43940</v>
      </c>
      <c r="C152" s="124" t="s">
        <v>39</v>
      </c>
      <c r="D152" s="124">
        <v>84</v>
      </c>
      <c r="E152" s="124"/>
      <c r="F152" s="124">
        <v>69</v>
      </c>
      <c r="G152" s="124">
        <v>15</v>
      </c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</row>
    <row r="153" spans="1:21" s="106" customFormat="1" ht="13.8">
      <c r="A153" s="125"/>
      <c r="B153" s="34">
        <v>43940</v>
      </c>
      <c r="C153" s="124" t="s">
        <v>41</v>
      </c>
      <c r="D153" s="124">
        <v>78</v>
      </c>
      <c r="E153" s="124"/>
      <c r="F153" s="124">
        <v>20</v>
      </c>
      <c r="G153" s="124">
        <v>58</v>
      </c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</row>
    <row r="154" spans="1:21" s="106" customFormat="1" ht="13.8">
      <c r="A154" s="125"/>
      <c r="B154" s="34">
        <v>43881</v>
      </c>
      <c r="C154" s="124" t="s">
        <v>42</v>
      </c>
      <c r="D154" s="124">
        <v>121.5</v>
      </c>
      <c r="E154" s="124"/>
      <c r="F154" s="124"/>
      <c r="G154" s="124">
        <v>41.5</v>
      </c>
      <c r="H154" s="124"/>
      <c r="I154" s="124"/>
      <c r="J154" s="124"/>
      <c r="K154" s="124"/>
      <c r="L154" s="124">
        <v>80</v>
      </c>
      <c r="M154" s="124"/>
      <c r="N154" s="124"/>
      <c r="O154" s="124"/>
      <c r="P154" s="124"/>
      <c r="Q154" s="124"/>
      <c r="R154" s="124"/>
      <c r="S154" s="124"/>
      <c r="T154" s="124"/>
      <c r="U154" s="124"/>
    </row>
    <row r="155" spans="1:21" s="106" customFormat="1" ht="13.8">
      <c r="A155" s="125"/>
      <c r="B155" s="34">
        <v>43882</v>
      </c>
      <c r="C155" s="124" t="s">
        <v>162</v>
      </c>
      <c r="D155" s="124">
        <v>69</v>
      </c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>
        <v>169</v>
      </c>
      <c r="P155" s="124"/>
      <c r="Q155" s="124"/>
      <c r="R155" s="124"/>
      <c r="S155" s="124"/>
      <c r="T155" s="124"/>
      <c r="U155" s="124"/>
    </row>
    <row r="156" spans="1:21" s="106" customFormat="1" ht="13.8">
      <c r="A156" s="125"/>
      <c r="B156" s="34">
        <v>43882</v>
      </c>
      <c r="C156" s="124" t="s">
        <v>124</v>
      </c>
      <c r="D156" s="124">
        <v>261.95</v>
      </c>
      <c r="E156" s="124"/>
      <c r="F156" s="124"/>
      <c r="G156" s="124"/>
      <c r="H156" s="124">
        <v>261.95</v>
      </c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</row>
    <row r="157" spans="1:21" s="106" customFormat="1" ht="13.8">
      <c r="A157" s="125"/>
      <c r="B157" s="34">
        <v>43882</v>
      </c>
      <c r="C157" s="124" t="s">
        <v>42</v>
      </c>
      <c r="D157" s="124">
        <v>22</v>
      </c>
      <c r="E157" s="124"/>
      <c r="F157" s="124"/>
      <c r="G157" s="124">
        <v>22</v>
      </c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</row>
    <row r="158" spans="1:21" s="106" customFormat="1" ht="13.8">
      <c r="A158" s="125"/>
      <c r="B158" s="34">
        <v>43885</v>
      </c>
      <c r="C158" s="124" t="s">
        <v>42</v>
      </c>
      <c r="D158" s="124">
        <v>68.5</v>
      </c>
      <c r="E158" s="124"/>
      <c r="F158" s="124"/>
      <c r="G158" s="124">
        <v>68.5</v>
      </c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</row>
    <row r="159" spans="1:21" s="106" customFormat="1" ht="13.8">
      <c r="A159" s="125"/>
      <c r="B159" s="34">
        <v>43886</v>
      </c>
      <c r="C159" s="124" t="s">
        <v>39</v>
      </c>
      <c r="D159" s="124">
        <v>30</v>
      </c>
      <c r="E159" s="124"/>
      <c r="F159" s="124"/>
      <c r="G159" s="124">
        <v>30</v>
      </c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</row>
    <row r="160" spans="1:21" s="106" customFormat="1" ht="13.8">
      <c r="A160" s="125"/>
      <c r="B160" s="34">
        <v>43886</v>
      </c>
      <c r="C160" s="124" t="s">
        <v>42</v>
      </c>
      <c r="D160" s="124">
        <v>92</v>
      </c>
      <c r="E160" s="124"/>
      <c r="F160" s="124"/>
      <c r="G160" s="124">
        <v>83</v>
      </c>
      <c r="H160" s="124"/>
      <c r="I160" s="124"/>
      <c r="J160" s="124"/>
      <c r="K160" s="124"/>
      <c r="L160" s="124">
        <v>9</v>
      </c>
      <c r="M160" s="124"/>
      <c r="N160" s="124"/>
      <c r="O160" s="124"/>
      <c r="P160" s="124"/>
      <c r="Q160" s="124"/>
      <c r="R160" s="124"/>
      <c r="S160" s="124"/>
      <c r="T160" s="124"/>
      <c r="U160" s="124"/>
    </row>
    <row r="161" spans="1:49" s="106" customFormat="1" ht="13.8">
      <c r="A161" s="125"/>
      <c r="B161" s="34">
        <v>43887</v>
      </c>
      <c r="C161" s="124" t="s">
        <v>58</v>
      </c>
      <c r="D161" s="124">
        <v>200</v>
      </c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>
        <v>200</v>
      </c>
      <c r="U161" s="124"/>
    </row>
    <row r="162" spans="1:49" s="126" customFormat="1" ht="13.5" customHeight="1">
      <c r="A162" s="39"/>
      <c r="B162" s="3007" t="s">
        <v>121</v>
      </c>
      <c r="C162" s="3008" t="str">
        <f>D2</f>
        <v>februar</v>
      </c>
      <c r="D162" s="249">
        <f t="shared" ref="D162:U162" si="20">SUM(D88:D161)</f>
        <v>33.25999999999766</v>
      </c>
      <c r="E162" s="249">
        <f t="shared" si="20"/>
        <v>3147.62</v>
      </c>
      <c r="F162" s="249">
        <f t="shared" si="20"/>
        <v>2036.52</v>
      </c>
      <c r="G162" s="249">
        <f t="shared" si="20"/>
        <v>1897.9600000000003</v>
      </c>
      <c r="H162" s="249">
        <f t="shared" si="20"/>
        <v>362.29999999999995</v>
      </c>
      <c r="I162" s="249">
        <f t="shared" si="20"/>
        <v>0</v>
      </c>
      <c r="J162" s="249">
        <f t="shared" si="20"/>
        <v>410</v>
      </c>
      <c r="K162" s="249">
        <f t="shared" si="20"/>
        <v>163.5</v>
      </c>
      <c r="L162" s="249">
        <f t="shared" si="20"/>
        <v>634</v>
      </c>
      <c r="M162" s="249">
        <f t="shared" si="20"/>
        <v>17191</v>
      </c>
      <c r="N162" s="249">
        <f t="shared" si="20"/>
        <v>220</v>
      </c>
      <c r="O162" s="249">
        <f t="shared" si="20"/>
        <v>1066.29</v>
      </c>
      <c r="P162" s="249">
        <f t="shared" si="20"/>
        <v>337</v>
      </c>
      <c r="Q162" s="249">
        <f t="shared" si="20"/>
        <v>249</v>
      </c>
      <c r="R162" s="249">
        <f t="shared" si="20"/>
        <v>495</v>
      </c>
      <c r="S162" s="249">
        <f t="shared" si="20"/>
        <v>1089</v>
      </c>
      <c r="T162" s="249">
        <f t="shared" si="20"/>
        <v>1699.57</v>
      </c>
      <c r="U162" s="249">
        <f t="shared" si="20"/>
        <v>499</v>
      </c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</row>
    <row r="163" spans="1:49" s="120" customFormat="1" ht="12" customHeight="1">
      <c r="A163" s="60"/>
      <c r="B163" s="248" t="str">
        <f>B162</f>
        <v>februar</v>
      </c>
      <c r="C163" s="247" t="s">
        <v>36</v>
      </c>
      <c r="D163" s="247">
        <f t="shared" ref="D163:U163" si="21">SUM(D164:D164)</f>
        <v>0</v>
      </c>
      <c r="E163" s="247">
        <f t="shared" si="21"/>
        <v>0</v>
      </c>
      <c r="F163" s="247">
        <f t="shared" si="21"/>
        <v>0</v>
      </c>
      <c r="G163" s="247">
        <f t="shared" si="21"/>
        <v>0</v>
      </c>
      <c r="H163" s="247">
        <f t="shared" si="21"/>
        <v>0</v>
      </c>
      <c r="I163" s="247">
        <f t="shared" si="21"/>
        <v>0</v>
      </c>
      <c r="J163" s="247">
        <f t="shared" si="21"/>
        <v>0</v>
      </c>
      <c r="K163" s="247">
        <f t="shared" si="21"/>
        <v>0</v>
      </c>
      <c r="L163" s="247">
        <f t="shared" si="21"/>
        <v>0</v>
      </c>
      <c r="M163" s="247">
        <f t="shared" si="21"/>
        <v>0</v>
      </c>
      <c r="N163" s="247">
        <f t="shared" si="21"/>
        <v>0</v>
      </c>
      <c r="O163" s="247">
        <f t="shared" si="21"/>
        <v>0</v>
      </c>
      <c r="P163" s="247">
        <f t="shared" si="21"/>
        <v>0</v>
      </c>
      <c r="Q163" s="247">
        <f t="shared" si="21"/>
        <v>0</v>
      </c>
      <c r="R163" s="247">
        <f t="shared" si="21"/>
        <v>0</v>
      </c>
      <c r="S163" s="247">
        <f t="shared" si="21"/>
        <v>0</v>
      </c>
      <c r="T163" s="247">
        <f t="shared" si="21"/>
        <v>0</v>
      </c>
      <c r="U163" s="247">
        <f t="shared" si="21"/>
        <v>0</v>
      </c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</row>
    <row r="164" spans="1:49" s="120" customFormat="1" ht="12" customHeight="1">
      <c r="A164" s="60"/>
      <c r="B164" s="248"/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</row>
    <row r="165" spans="1:49" s="126" customFormat="1" ht="13.5" customHeight="1">
      <c r="A165" s="39"/>
      <c r="B165" s="3007" t="s">
        <v>120</v>
      </c>
      <c r="C165" s="3008" t="str">
        <f>E2</f>
        <v>marts</v>
      </c>
      <c r="D165" s="249">
        <f t="shared" ref="D165:U165" si="22">SUM(D189:D224)</f>
        <v>7486.37</v>
      </c>
      <c r="E165" s="249">
        <f t="shared" si="22"/>
        <v>193.76</v>
      </c>
      <c r="F165" s="249">
        <f t="shared" si="22"/>
        <v>0</v>
      </c>
      <c r="G165" s="249">
        <f t="shared" si="22"/>
        <v>1096.8899999999999</v>
      </c>
      <c r="H165" s="249">
        <f t="shared" si="22"/>
        <v>350.25</v>
      </c>
      <c r="I165" s="249">
        <f t="shared" si="22"/>
        <v>25.7</v>
      </c>
      <c r="J165" s="249">
        <f t="shared" si="22"/>
        <v>0</v>
      </c>
      <c r="K165" s="249">
        <f t="shared" si="22"/>
        <v>93.5</v>
      </c>
      <c r="L165" s="249">
        <f t="shared" si="22"/>
        <v>250.85000000000002</v>
      </c>
      <c r="M165" s="249">
        <f t="shared" si="22"/>
        <v>0</v>
      </c>
      <c r="N165" s="249">
        <f t="shared" si="22"/>
        <v>308</v>
      </c>
      <c r="O165" s="249">
        <f t="shared" si="22"/>
        <v>3211.34</v>
      </c>
      <c r="P165" s="249">
        <f t="shared" si="22"/>
        <v>509</v>
      </c>
      <c r="Q165" s="249">
        <f t="shared" si="22"/>
        <v>75</v>
      </c>
      <c r="R165" s="249">
        <f t="shared" si="22"/>
        <v>400</v>
      </c>
      <c r="S165" s="249">
        <f t="shared" si="22"/>
        <v>0</v>
      </c>
      <c r="T165" s="249">
        <f t="shared" si="22"/>
        <v>899.48</v>
      </c>
      <c r="U165" s="249">
        <f t="shared" si="22"/>
        <v>0</v>
      </c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</row>
    <row r="166" spans="1:49" s="106" customFormat="1" ht="13.8">
      <c r="A166" s="125"/>
      <c r="B166" s="34">
        <v>43889</v>
      </c>
      <c r="C166" s="124" t="s">
        <v>35</v>
      </c>
      <c r="D166" s="124">
        <v>-11004</v>
      </c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</row>
    <row r="167" spans="1:49" s="106" customFormat="1" ht="13.8">
      <c r="A167" s="125"/>
      <c r="B167" s="34">
        <v>43889</v>
      </c>
      <c r="C167" s="124" t="s">
        <v>34</v>
      </c>
      <c r="D167" s="124">
        <v>-7733</v>
      </c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</row>
    <row r="168" spans="1:49" s="106" customFormat="1" ht="13.8">
      <c r="A168" s="125"/>
      <c r="B168" s="34">
        <v>43889</v>
      </c>
      <c r="C168" s="124" t="s">
        <v>33</v>
      </c>
      <c r="D168" s="124">
        <v>-205</v>
      </c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</row>
    <row r="169" spans="1:49" s="106" customFormat="1" ht="13.8">
      <c r="A169" s="125"/>
      <c r="B169" s="34">
        <v>43889</v>
      </c>
      <c r="C169" s="124" t="s">
        <v>21</v>
      </c>
      <c r="D169" s="124">
        <v>413</v>
      </c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>
        <f>D169</f>
        <v>413</v>
      </c>
      <c r="Q169" s="124"/>
      <c r="R169" s="124"/>
      <c r="S169" s="124"/>
      <c r="T169" s="124"/>
      <c r="U169" s="124"/>
    </row>
    <row r="170" spans="1:49" s="106" customFormat="1" ht="13.8">
      <c r="A170" s="125"/>
      <c r="B170" s="34">
        <v>43889</v>
      </c>
      <c r="C170" s="124" t="s">
        <v>123</v>
      </c>
      <c r="D170" s="124">
        <v>102.9</v>
      </c>
      <c r="E170" s="124"/>
      <c r="F170" s="124"/>
      <c r="G170" s="124">
        <v>102.9</v>
      </c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</row>
    <row r="171" spans="1:49" s="106" customFormat="1" ht="13.8">
      <c r="A171" s="125"/>
      <c r="B171" s="34">
        <v>43889</v>
      </c>
      <c r="C171" s="124" t="s">
        <v>41</v>
      </c>
      <c r="D171" s="124">
        <v>40</v>
      </c>
      <c r="E171" s="124"/>
      <c r="F171" s="124"/>
      <c r="G171" s="124">
        <v>40</v>
      </c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</row>
    <row r="172" spans="1:49" s="106" customFormat="1" ht="13.8">
      <c r="A172" s="125"/>
      <c r="B172" s="34">
        <v>43889</v>
      </c>
      <c r="C172" s="124" t="s">
        <v>397</v>
      </c>
      <c r="D172" s="124">
        <v>351.12</v>
      </c>
      <c r="E172" s="124"/>
      <c r="F172" s="124">
        <v>351.12</v>
      </c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</row>
    <row r="173" spans="1:49" s="106" customFormat="1" ht="13.8">
      <c r="A173" s="125"/>
      <c r="B173" s="34">
        <v>43889</v>
      </c>
      <c r="C173" s="124" t="s">
        <v>58</v>
      </c>
      <c r="D173" s="124">
        <v>500</v>
      </c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>
        <v>500</v>
      </c>
      <c r="U173" s="124"/>
    </row>
    <row r="174" spans="1:49" s="106" customFormat="1" ht="13.8">
      <c r="A174" s="125"/>
      <c r="B174" s="34">
        <v>43890</v>
      </c>
      <c r="C174" s="124" t="s">
        <v>39</v>
      </c>
      <c r="D174" s="124">
        <v>34</v>
      </c>
      <c r="E174" s="124"/>
      <c r="F174" s="124"/>
      <c r="G174" s="124">
        <v>34</v>
      </c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</row>
    <row r="175" spans="1:49" s="106" customFormat="1" ht="13.8">
      <c r="A175" s="125"/>
      <c r="B175" s="34">
        <v>43890</v>
      </c>
      <c r="C175" s="124" t="s">
        <v>42</v>
      </c>
      <c r="D175" s="124">
        <v>100.75</v>
      </c>
      <c r="E175" s="124"/>
      <c r="F175" s="124"/>
      <c r="G175" s="124">
        <v>100.75</v>
      </c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</row>
    <row r="176" spans="1:49" s="106" customFormat="1" ht="13.8">
      <c r="A176" s="125"/>
      <c r="B176" s="34">
        <v>43890</v>
      </c>
      <c r="C176" s="124" t="s">
        <v>238</v>
      </c>
      <c r="D176" s="124">
        <v>39</v>
      </c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>
        <v>39</v>
      </c>
      <c r="P176" s="124"/>
      <c r="Q176" s="124"/>
      <c r="R176" s="124"/>
      <c r="S176" s="124"/>
      <c r="T176" s="124"/>
      <c r="U176" s="124"/>
    </row>
    <row r="177" spans="1:21" s="106" customFormat="1" ht="13.8">
      <c r="A177" s="125"/>
      <c r="B177" s="34">
        <v>43891</v>
      </c>
      <c r="C177" s="124" t="s">
        <v>230</v>
      </c>
      <c r="D177" s="124">
        <v>64</v>
      </c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>
        <f>D177</f>
        <v>64</v>
      </c>
      <c r="Q177" s="124"/>
      <c r="R177" s="124"/>
      <c r="S177" s="124"/>
      <c r="T177" s="124"/>
      <c r="U177" s="124"/>
    </row>
    <row r="178" spans="1:21" s="106" customFormat="1" ht="13.8">
      <c r="A178" s="125"/>
      <c r="B178" s="34">
        <v>43891</v>
      </c>
      <c r="C178" s="124" t="s">
        <v>41</v>
      </c>
      <c r="D178" s="124">
        <v>215</v>
      </c>
      <c r="E178" s="124"/>
      <c r="F178" s="124">
        <v>50</v>
      </c>
      <c r="G178" s="124">
        <v>125</v>
      </c>
      <c r="H178" s="124"/>
      <c r="I178" s="124"/>
      <c r="J178" s="124"/>
      <c r="K178" s="124"/>
      <c r="L178" s="124">
        <v>40</v>
      </c>
      <c r="M178" s="124"/>
      <c r="N178" s="124"/>
      <c r="O178" s="124"/>
      <c r="P178" s="124"/>
      <c r="Q178" s="124"/>
      <c r="R178" s="124"/>
      <c r="S178" s="124"/>
      <c r="T178" s="124"/>
      <c r="U178" s="124"/>
    </row>
    <row r="179" spans="1:21" s="106" customFormat="1" ht="13.8">
      <c r="A179" s="125"/>
      <c r="B179" s="34">
        <v>43891</v>
      </c>
      <c r="C179" s="124" t="s">
        <v>42</v>
      </c>
      <c r="D179" s="124">
        <v>134.6</v>
      </c>
      <c r="E179" s="124"/>
      <c r="F179" s="124"/>
      <c r="G179" s="124">
        <v>109.1</v>
      </c>
      <c r="H179" s="124"/>
      <c r="I179" s="124"/>
      <c r="J179" s="124"/>
      <c r="K179" s="124">
        <v>25.5</v>
      </c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</row>
    <row r="180" spans="1:21" s="106" customFormat="1" ht="13.8">
      <c r="A180" s="125"/>
      <c r="B180" s="34">
        <v>43891</v>
      </c>
      <c r="C180" s="124" t="s">
        <v>58</v>
      </c>
      <c r="D180" s="124">
        <v>500</v>
      </c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>
        <v>500</v>
      </c>
      <c r="U180" s="124"/>
    </row>
    <row r="181" spans="1:21" s="106" customFormat="1" ht="13.8">
      <c r="A181" s="125"/>
      <c r="B181" s="34">
        <v>43892</v>
      </c>
      <c r="C181" s="124" t="s">
        <v>22</v>
      </c>
      <c r="D181" s="124">
        <v>138</v>
      </c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>
        <f>D181</f>
        <v>138</v>
      </c>
      <c r="Q181" s="124"/>
      <c r="R181" s="124"/>
      <c r="S181" s="124"/>
      <c r="T181" s="124"/>
      <c r="U181" s="124"/>
    </row>
    <row r="182" spans="1:21" s="106" customFormat="1" ht="13.8">
      <c r="A182" s="125"/>
      <c r="B182" s="34">
        <v>43892</v>
      </c>
      <c r="C182" s="124" t="s">
        <v>30</v>
      </c>
      <c r="D182" s="124">
        <v>7474</v>
      </c>
      <c r="E182" s="124"/>
      <c r="F182" s="124"/>
      <c r="G182" s="124"/>
      <c r="H182" s="124"/>
      <c r="I182" s="124"/>
      <c r="J182" s="124"/>
      <c r="K182" s="124"/>
      <c r="L182" s="124"/>
      <c r="M182" s="124">
        <f>D182</f>
        <v>7474</v>
      </c>
      <c r="N182" s="124"/>
      <c r="O182" s="124"/>
      <c r="P182" s="124"/>
      <c r="Q182" s="124"/>
      <c r="R182" s="124"/>
      <c r="S182" s="124"/>
      <c r="T182" s="124"/>
      <c r="U182" s="124"/>
    </row>
    <row r="183" spans="1:21" s="106" customFormat="1" ht="13.8">
      <c r="A183" s="125"/>
      <c r="B183" s="34">
        <v>43892</v>
      </c>
      <c r="C183" s="124" t="s">
        <v>31</v>
      </c>
      <c r="D183" s="124">
        <v>-1151</v>
      </c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</row>
    <row r="184" spans="1:21" s="106" customFormat="1" ht="13.8">
      <c r="A184" s="125"/>
      <c r="B184" s="34">
        <v>43892</v>
      </c>
      <c r="C184" s="124" t="s">
        <v>125</v>
      </c>
      <c r="D184" s="124">
        <v>119</v>
      </c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>
        <v>119</v>
      </c>
      <c r="R184" s="124"/>
      <c r="S184" s="124"/>
      <c r="T184" s="124"/>
      <c r="U184" s="124"/>
    </row>
    <row r="185" spans="1:21" s="106" customFormat="1" ht="13.8">
      <c r="A185" s="125"/>
      <c r="B185" s="34">
        <v>43892</v>
      </c>
      <c r="C185" s="124" t="s">
        <v>182</v>
      </c>
      <c r="D185" s="124">
        <v>284</v>
      </c>
      <c r="E185" s="124">
        <f>D185</f>
        <v>284</v>
      </c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</row>
    <row r="186" spans="1:21" s="106" customFormat="1" ht="13.8">
      <c r="A186" s="125"/>
      <c r="B186" s="34">
        <v>43892</v>
      </c>
      <c r="C186" s="124" t="s">
        <v>265</v>
      </c>
      <c r="D186" s="124">
        <v>602.4</v>
      </c>
      <c r="E186" s="124">
        <f>D186</f>
        <v>602.4</v>
      </c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</row>
    <row r="187" spans="1:21" s="106" customFormat="1" ht="13.8">
      <c r="A187" s="125"/>
      <c r="B187" s="34">
        <v>43892</v>
      </c>
      <c r="C187" s="124" t="s">
        <v>183</v>
      </c>
      <c r="D187" s="124">
        <v>476.98</v>
      </c>
      <c r="E187" s="124">
        <f>D187</f>
        <v>476.98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</row>
    <row r="188" spans="1:21" s="106" customFormat="1" ht="13.8">
      <c r="A188" s="125"/>
      <c r="B188" s="34">
        <v>43892</v>
      </c>
      <c r="C188" s="124" t="s">
        <v>265</v>
      </c>
      <c r="D188" s="124">
        <v>490</v>
      </c>
      <c r="E188" s="124">
        <f>D188</f>
        <v>490</v>
      </c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</row>
    <row r="189" spans="1:21" s="106" customFormat="1" ht="13.8">
      <c r="A189" s="125"/>
      <c r="B189" s="34">
        <v>43892</v>
      </c>
      <c r="C189" s="124" t="s">
        <v>363</v>
      </c>
      <c r="D189" s="124">
        <v>627.34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>
        <f>D189</f>
        <v>627.34</v>
      </c>
      <c r="P189" s="124"/>
      <c r="Q189" s="124"/>
      <c r="R189" s="124"/>
      <c r="S189" s="124"/>
      <c r="T189" s="124"/>
      <c r="U189" s="124"/>
    </row>
    <row r="190" spans="1:21" s="106" customFormat="1" ht="13.8">
      <c r="A190" s="125"/>
      <c r="B190" s="34">
        <v>43892</v>
      </c>
      <c r="C190" s="124" t="s">
        <v>381</v>
      </c>
      <c r="D190" s="124">
        <v>899.48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>
        <f>D190</f>
        <v>899.48</v>
      </c>
      <c r="U190" s="124"/>
    </row>
    <row r="191" spans="1:21" s="106" customFormat="1" ht="13.8">
      <c r="A191" s="125"/>
      <c r="B191" s="34">
        <v>43892</v>
      </c>
      <c r="C191" s="124" t="s">
        <v>21</v>
      </c>
      <c r="D191" s="124">
        <v>509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>
        <v>509</v>
      </c>
      <c r="Q191" s="124"/>
      <c r="R191" s="124"/>
      <c r="S191" s="124"/>
      <c r="T191" s="124"/>
      <c r="U191" s="124"/>
    </row>
    <row r="192" spans="1:21" s="106" customFormat="1" ht="13.8">
      <c r="A192" s="125"/>
      <c r="B192" s="34">
        <v>43893</v>
      </c>
      <c r="C192" s="124" t="s">
        <v>162</v>
      </c>
      <c r="D192" s="124">
        <v>308</v>
      </c>
      <c r="E192" s="124"/>
      <c r="F192" s="124"/>
      <c r="G192" s="124"/>
      <c r="H192" s="124"/>
      <c r="I192" s="124"/>
      <c r="J192" s="124"/>
      <c r="K192" s="124"/>
      <c r="L192" s="124"/>
      <c r="M192" s="124"/>
      <c r="N192" s="124">
        <v>308</v>
      </c>
      <c r="O192" s="124"/>
      <c r="P192" s="124"/>
      <c r="Q192" s="124"/>
      <c r="R192" s="124"/>
      <c r="S192" s="124"/>
      <c r="T192" s="124"/>
      <c r="U192" s="124"/>
    </row>
    <row r="193" spans="1:21" s="106" customFormat="1" ht="13.8">
      <c r="A193" s="125"/>
      <c r="B193" s="34">
        <v>43893</v>
      </c>
      <c r="C193" s="124" t="s">
        <v>124</v>
      </c>
      <c r="D193" s="124">
        <v>133.9</v>
      </c>
      <c r="E193" s="124"/>
      <c r="F193" s="124"/>
      <c r="G193" s="124"/>
      <c r="H193" s="124">
        <v>133.9</v>
      </c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</row>
    <row r="194" spans="1:21" s="106" customFormat="1" ht="13.8">
      <c r="A194" s="125"/>
      <c r="B194" s="34">
        <v>43895</v>
      </c>
      <c r="C194" s="124" t="s">
        <v>20</v>
      </c>
      <c r="D194" s="124">
        <v>193.76</v>
      </c>
      <c r="E194" s="124">
        <f>D194</f>
        <v>193.76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</row>
    <row r="195" spans="1:21" s="106" customFormat="1" ht="13.8">
      <c r="A195" s="125"/>
      <c r="B195" s="34">
        <v>43895</v>
      </c>
      <c r="C195" s="124" t="s">
        <v>360</v>
      </c>
      <c r="D195" s="124">
        <v>2545</v>
      </c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>
        <f>D195</f>
        <v>2545</v>
      </c>
      <c r="P195" s="124"/>
      <c r="Q195" s="124"/>
      <c r="R195" s="124"/>
      <c r="S195" s="124"/>
      <c r="T195" s="124"/>
      <c r="U195" s="124"/>
    </row>
    <row r="196" spans="1:21" s="106" customFormat="1" ht="13.8">
      <c r="A196" s="125"/>
      <c r="B196" s="34">
        <v>43895</v>
      </c>
      <c r="C196" s="124" t="s">
        <v>124</v>
      </c>
      <c r="D196" s="124">
        <v>21.8</v>
      </c>
      <c r="E196" s="124"/>
      <c r="F196" s="124"/>
      <c r="G196" s="124"/>
      <c r="H196" s="124"/>
      <c r="I196" s="124">
        <v>21.8</v>
      </c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</row>
    <row r="197" spans="1:21" s="106" customFormat="1" ht="13.8">
      <c r="A197" s="125"/>
      <c r="B197" s="34">
        <v>44048</v>
      </c>
      <c r="C197" s="124" t="s">
        <v>42</v>
      </c>
      <c r="D197" s="124">
        <v>43.9</v>
      </c>
      <c r="E197" s="124"/>
      <c r="F197" s="124"/>
      <c r="G197" s="124">
        <v>8.9499999999999993</v>
      </c>
      <c r="H197" s="124"/>
      <c r="I197" s="124"/>
      <c r="J197" s="124"/>
      <c r="K197" s="124"/>
      <c r="L197" s="124">
        <v>34.950000000000003</v>
      </c>
      <c r="M197" s="124"/>
      <c r="N197" s="124"/>
      <c r="O197" s="124"/>
      <c r="P197" s="124"/>
      <c r="Q197" s="124"/>
      <c r="R197" s="124"/>
      <c r="S197" s="124"/>
      <c r="T197" s="124"/>
      <c r="U197" s="124"/>
    </row>
    <row r="198" spans="1:21" s="106" customFormat="1" ht="13.8">
      <c r="A198" s="125"/>
      <c r="B198" s="34">
        <v>43896</v>
      </c>
      <c r="C198" s="124" t="s">
        <v>42</v>
      </c>
      <c r="D198" s="124">
        <v>62.9</v>
      </c>
      <c r="E198" s="124"/>
      <c r="F198" s="124"/>
      <c r="G198" s="124">
        <v>62.9</v>
      </c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</row>
    <row r="199" spans="1:21" s="106" customFormat="1" ht="13.8">
      <c r="A199" s="125"/>
      <c r="B199" s="34">
        <v>43896</v>
      </c>
      <c r="C199" s="124" t="s">
        <v>39</v>
      </c>
      <c r="D199" s="124">
        <v>63.89</v>
      </c>
      <c r="E199" s="124"/>
      <c r="F199" s="124"/>
      <c r="G199" s="124">
        <v>63.89</v>
      </c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</row>
    <row r="200" spans="1:21" s="106" customFormat="1" ht="13.8">
      <c r="A200" s="125"/>
      <c r="B200" s="34">
        <v>43897</v>
      </c>
      <c r="C200" s="124" t="s">
        <v>41</v>
      </c>
      <c r="D200" s="124">
        <v>65</v>
      </c>
      <c r="E200" s="124"/>
      <c r="F200" s="124"/>
      <c r="G200" s="124">
        <v>65</v>
      </c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</row>
    <row r="201" spans="1:21" s="106" customFormat="1" ht="13.8">
      <c r="A201" s="125"/>
      <c r="B201" s="34">
        <v>43897</v>
      </c>
      <c r="C201" s="124" t="s">
        <v>42</v>
      </c>
      <c r="D201" s="124">
        <v>95.5</v>
      </c>
      <c r="E201" s="124"/>
      <c r="F201" s="124"/>
      <c r="G201" s="124">
        <v>95.5</v>
      </c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</row>
    <row r="202" spans="1:21" s="106" customFormat="1" ht="13.8">
      <c r="A202" s="125"/>
      <c r="B202" s="34">
        <v>43898</v>
      </c>
      <c r="C202" s="124" t="s">
        <v>42</v>
      </c>
      <c r="D202" s="124">
        <v>57.35</v>
      </c>
      <c r="E202" s="124"/>
      <c r="F202" s="124"/>
      <c r="G202" s="124">
        <v>31.85</v>
      </c>
      <c r="H202" s="124"/>
      <c r="I202" s="124"/>
      <c r="J202" s="124"/>
      <c r="K202" s="124">
        <v>25.5</v>
      </c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</row>
    <row r="203" spans="1:21" s="106" customFormat="1" ht="13.8">
      <c r="A203" s="125"/>
      <c r="B203" s="34">
        <v>43900</v>
      </c>
      <c r="C203" s="124" t="s">
        <v>41</v>
      </c>
      <c r="D203" s="124">
        <v>85</v>
      </c>
      <c r="E203" s="124"/>
      <c r="F203" s="124"/>
      <c r="G203" s="124">
        <v>70</v>
      </c>
      <c r="H203" s="124"/>
      <c r="I203" s="124"/>
      <c r="J203" s="124"/>
      <c r="K203" s="124"/>
      <c r="L203" s="124">
        <v>15</v>
      </c>
      <c r="M203" s="124"/>
      <c r="N203" s="124"/>
      <c r="O203" s="124"/>
      <c r="P203" s="124"/>
      <c r="Q203" s="124"/>
      <c r="R203" s="124"/>
      <c r="S203" s="124"/>
      <c r="T203" s="124"/>
      <c r="U203" s="124"/>
    </row>
    <row r="204" spans="1:21" s="106" customFormat="1" ht="13.8">
      <c r="A204" s="125"/>
      <c r="B204" s="34">
        <v>43900</v>
      </c>
      <c r="C204" s="124" t="s">
        <v>42</v>
      </c>
      <c r="D204" s="124">
        <v>54</v>
      </c>
      <c r="E204" s="124"/>
      <c r="F204" s="124"/>
      <c r="G204" s="124">
        <v>22</v>
      </c>
      <c r="H204" s="124"/>
      <c r="I204" s="124"/>
      <c r="J204" s="124"/>
      <c r="K204" s="124">
        <v>17</v>
      </c>
      <c r="L204" s="124">
        <v>15</v>
      </c>
      <c r="M204" s="124"/>
      <c r="N204" s="124"/>
      <c r="O204" s="124"/>
      <c r="P204" s="124"/>
      <c r="Q204" s="124"/>
      <c r="R204" s="124"/>
      <c r="S204" s="124"/>
      <c r="T204" s="124"/>
      <c r="U204" s="124"/>
    </row>
    <row r="205" spans="1:21" s="106" customFormat="1" ht="13.8">
      <c r="A205" s="125"/>
      <c r="B205" s="34">
        <v>43902</v>
      </c>
      <c r="C205" s="124" t="s">
        <v>124</v>
      </c>
      <c r="D205" s="124">
        <v>169.9</v>
      </c>
      <c r="E205" s="124"/>
      <c r="F205" s="124"/>
      <c r="G205" s="124"/>
      <c r="H205" s="124">
        <v>169.9</v>
      </c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</row>
    <row r="206" spans="1:21" s="106" customFormat="1" ht="13.8">
      <c r="A206" s="125"/>
      <c r="B206" s="34">
        <v>43903</v>
      </c>
      <c r="C206" s="124" t="s">
        <v>42</v>
      </c>
      <c r="D206" s="124">
        <v>83.9</v>
      </c>
      <c r="E206" s="124"/>
      <c r="F206" s="124"/>
      <c r="G206" s="124">
        <v>83.9</v>
      </c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</row>
    <row r="207" spans="1:21" s="106" customFormat="1" ht="13.8">
      <c r="A207" s="125"/>
      <c r="B207" s="34">
        <v>43906</v>
      </c>
      <c r="C207" s="124" t="s">
        <v>42</v>
      </c>
      <c r="D207" s="124">
        <v>86.3</v>
      </c>
      <c r="E207" s="124"/>
      <c r="F207" s="124"/>
      <c r="G207" s="124">
        <v>60.8</v>
      </c>
      <c r="H207" s="124"/>
      <c r="I207" s="124"/>
      <c r="J207" s="124"/>
      <c r="K207" s="124">
        <v>25.5</v>
      </c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</row>
    <row r="208" spans="1:21" s="106" customFormat="1" ht="13.8">
      <c r="A208" s="125"/>
      <c r="B208" s="34">
        <v>43906</v>
      </c>
      <c r="C208" s="124" t="s">
        <v>40</v>
      </c>
      <c r="D208" s="124">
        <v>53</v>
      </c>
      <c r="E208" s="124"/>
      <c r="F208" s="124"/>
      <c r="G208" s="124">
        <v>53</v>
      </c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</row>
    <row r="209" spans="1:21" s="106" customFormat="1" ht="13.8">
      <c r="A209" s="125"/>
      <c r="B209" s="34">
        <v>43907</v>
      </c>
      <c r="C209" s="124" t="s">
        <v>42</v>
      </c>
      <c r="D209" s="124">
        <v>55</v>
      </c>
      <c r="E209" s="124"/>
      <c r="F209" s="124"/>
      <c r="G209" s="124">
        <v>35</v>
      </c>
      <c r="H209" s="124"/>
      <c r="I209" s="124"/>
      <c r="J209" s="124"/>
      <c r="K209" s="124"/>
      <c r="L209" s="124">
        <v>20</v>
      </c>
      <c r="M209" s="124"/>
      <c r="N209" s="124"/>
      <c r="O209" s="124"/>
      <c r="P209" s="124"/>
      <c r="Q209" s="124"/>
      <c r="R209" s="124"/>
      <c r="S209" s="124"/>
      <c r="T209" s="124"/>
      <c r="U209" s="124"/>
    </row>
    <row r="210" spans="1:21" s="106" customFormat="1" ht="13.8">
      <c r="A210" s="125"/>
      <c r="B210" s="34">
        <v>43907</v>
      </c>
      <c r="C210" s="124" t="s">
        <v>192</v>
      </c>
      <c r="D210" s="124">
        <v>90</v>
      </c>
      <c r="E210" s="124"/>
      <c r="F210" s="124"/>
      <c r="G210" s="124">
        <v>90</v>
      </c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</row>
    <row r="211" spans="1:21" s="106" customFormat="1" ht="13.8">
      <c r="A211" s="125"/>
      <c r="B211" s="34">
        <v>43907</v>
      </c>
      <c r="C211" s="124" t="s">
        <v>222</v>
      </c>
      <c r="D211" s="124">
        <v>39</v>
      </c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>
        <v>39</v>
      </c>
      <c r="P211" s="124"/>
      <c r="Q211" s="124"/>
      <c r="R211" s="124"/>
      <c r="S211" s="124"/>
      <c r="T211" s="124"/>
      <c r="U211" s="124"/>
    </row>
    <row r="212" spans="1:21" s="106" customFormat="1" ht="13.8">
      <c r="A212" s="125"/>
      <c r="B212" s="34">
        <v>43907</v>
      </c>
      <c r="C212" s="124" t="s">
        <v>196</v>
      </c>
      <c r="D212" s="124">
        <v>75</v>
      </c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>
        <v>75</v>
      </c>
      <c r="R212" s="124"/>
      <c r="S212" s="124"/>
      <c r="T212" s="124"/>
      <c r="U212" s="124"/>
    </row>
    <row r="213" spans="1:21" s="106" customFormat="1" ht="13.8">
      <c r="A213" s="125"/>
      <c r="B213" s="34">
        <v>43908</v>
      </c>
      <c r="C213" s="124" t="s">
        <v>42</v>
      </c>
      <c r="D213" s="124">
        <v>36.85</v>
      </c>
      <c r="E213" s="124"/>
      <c r="F213" s="124"/>
      <c r="G213" s="124">
        <v>36.85</v>
      </c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</row>
    <row r="214" spans="1:21" s="106" customFormat="1" ht="13.8">
      <c r="A214" s="125"/>
      <c r="B214" s="34">
        <v>43908</v>
      </c>
      <c r="C214" s="124" t="s">
        <v>41</v>
      </c>
      <c r="D214" s="124">
        <v>20</v>
      </c>
      <c r="E214" s="124"/>
      <c r="F214" s="124"/>
      <c r="G214" s="124">
        <v>20</v>
      </c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</row>
    <row r="215" spans="1:21" s="106" customFormat="1" ht="13.8">
      <c r="A215" s="125"/>
      <c r="B215" s="34">
        <v>43908</v>
      </c>
      <c r="C215" s="124" t="s">
        <v>404</v>
      </c>
      <c r="D215" s="124">
        <v>400</v>
      </c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>
        <v>400</v>
      </c>
      <c r="S215" s="124"/>
      <c r="T215" s="124"/>
      <c r="U215" s="124"/>
    </row>
    <row r="216" spans="1:21" s="106" customFormat="1" ht="13.8">
      <c r="A216" s="125"/>
      <c r="B216" s="34">
        <v>43912</v>
      </c>
      <c r="C216" s="124" t="s">
        <v>42</v>
      </c>
      <c r="D216" s="124">
        <v>49.9</v>
      </c>
      <c r="E216" s="124"/>
      <c r="F216" s="124"/>
      <c r="G216" s="124">
        <v>22.95</v>
      </c>
      <c r="H216" s="124"/>
      <c r="I216" s="124"/>
      <c r="J216" s="124"/>
      <c r="K216" s="124"/>
      <c r="L216" s="124">
        <v>26.95</v>
      </c>
      <c r="M216" s="124"/>
      <c r="N216" s="124"/>
      <c r="O216" s="124"/>
      <c r="P216" s="124"/>
      <c r="Q216" s="124"/>
      <c r="R216" s="124"/>
      <c r="S216" s="124"/>
      <c r="T216" s="124"/>
      <c r="U216" s="124"/>
    </row>
    <row r="217" spans="1:21" s="106" customFormat="1" ht="13.8">
      <c r="A217" s="125"/>
      <c r="B217" s="34">
        <v>43915</v>
      </c>
      <c r="C217" s="124" t="s">
        <v>124</v>
      </c>
      <c r="D217" s="124">
        <v>46.45</v>
      </c>
      <c r="E217" s="124"/>
      <c r="F217" s="124"/>
      <c r="G217" s="124"/>
      <c r="H217" s="124">
        <v>46.45</v>
      </c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</row>
    <row r="218" spans="1:21" s="106" customFormat="1" ht="13.8">
      <c r="A218" s="125"/>
      <c r="B218" s="34">
        <v>43915</v>
      </c>
      <c r="C218" s="124" t="s">
        <v>38</v>
      </c>
      <c r="D218" s="124">
        <v>153</v>
      </c>
      <c r="E218" s="124"/>
      <c r="F218" s="124"/>
      <c r="G218" s="124">
        <v>53</v>
      </c>
      <c r="H218" s="124"/>
      <c r="I218" s="124"/>
      <c r="J218" s="124"/>
      <c r="K218" s="124"/>
      <c r="L218" s="124">
        <v>50</v>
      </c>
      <c r="M218" s="124"/>
      <c r="N218" s="124"/>
      <c r="O218" s="124"/>
      <c r="P218" s="124"/>
      <c r="Q218" s="124"/>
      <c r="R218" s="124"/>
      <c r="S218" s="124"/>
      <c r="T218" s="124"/>
      <c r="U218" s="124"/>
    </row>
    <row r="219" spans="1:21" s="106" customFormat="1" ht="13.8">
      <c r="A219" s="125"/>
      <c r="B219" s="34">
        <v>43915</v>
      </c>
      <c r="C219" s="124" t="s">
        <v>42</v>
      </c>
      <c r="D219" s="124">
        <v>125.8</v>
      </c>
      <c r="E219" s="124"/>
      <c r="F219" s="124"/>
      <c r="G219" s="124">
        <v>125.8</v>
      </c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</row>
    <row r="220" spans="1:21" s="106" customFormat="1" ht="13.8">
      <c r="A220" s="125"/>
      <c r="B220" s="34">
        <v>43916</v>
      </c>
      <c r="C220" s="124" t="s">
        <v>42</v>
      </c>
      <c r="D220" s="124">
        <v>99.45</v>
      </c>
      <c r="E220" s="124"/>
      <c r="F220" s="124"/>
      <c r="G220" s="124">
        <v>40</v>
      </c>
      <c r="H220" s="124"/>
      <c r="I220" s="124"/>
      <c r="J220" s="124"/>
      <c r="K220" s="124">
        <v>25.5</v>
      </c>
      <c r="L220" s="124">
        <v>33.950000000000003</v>
      </c>
      <c r="M220" s="124"/>
      <c r="N220" s="124"/>
      <c r="O220" s="124"/>
      <c r="P220" s="124"/>
      <c r="Q220" s="124"/>
      <c r="R220" s="124"/>
      <c r="S220" s="124"/>
      <c r="T220" s="124"/>
      <c r="U220" s="124"/>
    </row>
    <row r="221" spans="1:21" s="106" customFormat="1" ht="13.8">
      <c r="A221" s="125"/>
      <c r="B221" s="34">
        <v>43917</v>
      </c>
      <c r="C221" s="124" t="s">
        <v>124</v>
      </c>
      <c r="D221" s="124">
        <v>16.5</v>
      </c>
      <c r="E221" s="124"/>
      <c r="F221" s="124"/>
      <c r="G221" s="124"/>
      <c r="H221" s="124"/>
      <c r="I221" s="124">
        <v>3.9</v>
      </c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</row>
    <row r="222" spans="1:21" s="106" customFormat="1" ht="13.8">
      <c r="A222" s="125"/>
      <c r="B222" s="34">
        <v>43918</v>
      </c>
      <c r="C222" s="124" t="s">
        <v>38</v>
      </c>
      <c r="D222" s="124">
        <v>58.5</v>
      </c>
      <c r="E222" s="124"/>
      <c r="F222" s="124"/>
      <c r="G222" s="124">
        <v>23.5</v>
      </c>
      <c r="H222" s="124"/>
      <c r="I222" s="124"/>
      <c r="J222" s="124"/>
      <c r="K222" s="124"/>
      <c r="L222" s="124">
        <v>25</v>
      </c>
      <c r="M222" s="124"/>
      <c r="N222" s="124"/>
      <c r="O222" s="124"/>
      <c r="P222" s="124"/>
      <c r="Q222" s="124"/>
      <c r="R222" s="124"/>
      <c r="S222" s="124"/>
      <c r="T222" s="124"/>
      <c r="U222" s="124"/>
    </row>
    <row r="223" spans="1:21" s="106" customFormat="1" ht="13.8">
      <c r="A223" s="125"/>
      <c r="B223" s="34">
        <v>43918</v>
      </c>
      <c r="C223" s="124" t="s">
        <v>42</v>
      </c>
      <c r="D223" s="124">
        <v>17</v>
      </c>
      <c r="E223" s="124"/>
      <c r="F223" s="124"/>
      <c r="G223" s="124">
        <v>17</v>
      </c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</row>
    <row r="224" spans="1:21" s="106" customFormat="1" ht="13.8">
      <c r="A224" s="125"/>
      <c r="B224" s="34">
        <v>43918</v>
      </c>
      <c r="C224" s="124" t="s">
        <v>39</v>
      </c>
      <c r="D224" s="124">
        <v>45</v>
      </c>
      <c r="E224" s="124"/>
      <c r="F224" s="124"/>
      <c r="G224" s="124">
        <v>15</v>
      </c>
      <c r="H224" s="124"/>
      <c r="I224" s="124"/>
      <c r="J224" s="124"/>
      <c r="K224" s="124"/>
      <c r="L224" s="124">
        <v>30</v>
      </c>
      <c r="M224" s="124"/>
      <c r="N224" s="124"/>
      <c r="O224" s="124"/>
      <c r="P224" s="124"/>
      <c r="Q224" s="124"/>
      <c r="R224" s="124"/>
      <c r="S224" s="124"/>
      <c r="T224" s="124"/>
      <c r="U224" s="124"/>
    </row>
    <row r="225" spans="1:49" s="120" customFormat="1" ht="12" customHeight="1">
      <c r="A225" s="60"/>
      <c r="B225" s="248" t="str">
        <f>B165</f>
        <v>marts</v>
      </c>
      <c r="C225" s="247" t="s">
        <v>36</v>
      </c>
      <c r="D225" s="247">
        <f t="shared" ref="D225:U225" si="23">SUM(D226:D295)</f>
        <v>17492.599999999999</v>
      </c>
      <c r="E225" s="247">
        <f t="shared" si="23"/>
        <v>5194.5399999999991</v>
      </c>
      <c r="F225" s="247">
        <f t="shared" si="23"/>
        <v>1311.53</v>
      </c>
      <c r="G225" s="247">
        <f t="shared" si="23"/>
        <v>2652.4200000000005</v>
      </c>
      <c r="H225" s="247">
        <f t="shared" si="23"/>
        <v>493.65</v>
      </c>
      <c r="I225" s="247">
        <f t="shared" si="23"/>
        <v>13.1</v>
      </c>
      <c r="J225" s="247">
        <f t="shared" si="23"/>
        <v>1506</v>
      </c>
      <c r="K225" s="247">
        <f t="shared" si="23"/>
        <v>765.4</v>
      </c>
      <c r="L225" s="247">
        <f t="shared" si="23"/>
        <v>577</v>
      </c>
      <c r="M225" s="247">
        <f t="shared" si="23"/>
        <v>14948</v>
      </c>
      <c r="N225" s="247">
        <f t="shared" si="23"/>
        <v>262.5</v>
      </c>
      <c r="O225" s="247">
        <f t="shared" si="23"/>
        <v>4853.5</v>
      </c>
      <c r="P225" s="247">
        <f t="shared" si="23"/>
        <v>821</v>
      </c>
      <c r="Q225" s="247">
        <f t="shared" si="23"/>
        <v>759</v>
      </c>
      <c r="R225" s="247">
        <f t="shared" si="23"/>
        <v>800</v>
      </c>
      <c r="S225" s="247">
        <f t="shared" si="23"/>
        <v>658.5</v>
      </c>
      <c r="T225" s="247">
        <f t="shared" si="23"/>
        <v>2001.06</v>
      </c>
      <c r="U225" s="247">
        <f t="shared" si="23"/>
        <v>0</v>
      </c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</row>
    <row r="226" spans="1:49" s="120" customFormat="1" ht="12" customHeight="1">
      <c r="A226" s="60"/>
      <c r="B226" s="248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</row>
    <row r="227" spans="1:49" s="126" customFormat="1" ht="13.5" customHeight="1">
      <c r="A227" s="39"/>
      <c r="B227" s="3007" t="s">
        <v>119</v>
      </c>
      <c r="C227" s="3008" t="str">
        <f>F2</f>
        <v>april</v>
      </c>
      <c r="D227" s="249">
        <f t="shared" ref="D227:U227" si="24">SUM(D244:D293)</f>
        <v>16910.21</v>
      </c>
      <c r="E227" s="249">
        <f t="shared" si="24"/>
        <v>2455.27</v>
      </c>
      <c r="F227" s="249">
        <f t="shared" si="24"/>
        <v>338</v>
      </c>
      <c r="G227" s="249">
        <f t="shared" si="24"/>
        <v>1326.21</v>
      </c>
      <c r="H227" s="249">
        <f t="shared" si="24"/>
        <v>194.5</v>
      </c>
      <c r="I227" s="249">
        <f t="shared" si="24"/>
        <v>6.55</v>
      </c>
      <c r="J227" s="249">
        <f t="shared" si="24"/>
        <v>0</v>
      </c>
      <c r="K227" s="249">
        <f t="shared" si="24"/>
        <v>369.95</v>
      </c>
      <c r="L227" s="249">
        <f t="shared" si="24"/>
        <v>176</v>
      </c>
      <c r="M227" s="249">
        <f t="shared" si="24"/>
        <v>7474</v>
      </c>
      <c r="N227" s="249">
        <f t="shared" si="24"/>
        <v>0</v>
      </c>
      <c r="O227" s="249">
        <f t="shared" si="24"/>
        <v>2426.75</v>
      </c>
      <c r="P227" s="249">
        <f t="shared" si="24"/>
        <v>410.5</v>
      </c>
      <c r="Q227" s="249">
        <f t="shared" si="24"/>
        <v>320</v>
      </c>
      <c r="R227" s="249">
        <f t="shared" si="24"/>
        <v>400</v>
      </c>
      <c r="S227" s="249">
        <f t="shared" si="24"/>
        <v>57.75</v>
      </c>
      <c r="T227" s="249">
        <f t="shared" si="24"/>
        <v>1000.53</v>
      </c>
      <c r="U227" s="249">
        <f t="shared" si="24"/>
        <v>0</v>
      </c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</row>
    <row r="228" spans="1:49" s="106" customFormat="1" ht="13.8">
      <c r="A228" s="125"/>
      <c r="B228" s="34"/>
      <c r="C228" s="124" t="s">
        <v>403</v>
      </c>
      <c r="D228" s="124">
        <v>400</v>
      </c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>
        <f>D228</f>
        <v>400</v>
      </c>
      <c r="T228" s="124"/>
      <c r="U228" s="124"/>
    </row>
    <row r="229" spans="1:49" s="106" customFormat="1" ht="13.8">
      <c r="A229" s="125"/>
      <c r="B229" s="34">
        <v>43921</v>
      </c>
      <c r="C229" s="124" t="s">
        <v>35</v>
      </c>
      <c r="D229" s="124">
        <v>-11004</v>
      </c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</row>
    <row r="230" spans="1:49" s="106" customFormat="1" ht="13.8">
      <c r="A230" s="125"/>
      <c r="B230" s="34">
        <v>43921</v>
      </c>
      <c r="C230" s="124" t="s">
        <v>34</v>
      </c>
      <c r="D230" s="124">
        <v>-7733</v>
      </c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</row>
    <row r="231" spans="1:49" s="106" customFormat="1" ht="13.8">
      <c r="A231" s="125"/>
      <c r="B231" s="34">
        <v>43921</v>
      </c>
      <c r="C231" s="124" t="s">
        <v>33</v>
      </c>
      <c r="D231" s="124">
        <v>-205</v>
      </c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</row>
    <row r="232" spans="1:49" s="106" customFormat="1" ht="13.8">
      <c r="A232" s="125"/>
      <c r="B232" s="34">
        <v>43921</v>
      </c>
      <c r="C232" s="124" t="s">
        <v>40</v>
      </c>
      <c r="D232" s="124">
        <v>1181.55</v>
      </c>
      <c r="E232" s="124"/>
      <c r="F232" s="124">
        <v>95.55</v>
      </c>
      <c r="G232" s="124"/>
      <c r="H232" s="124"/>
      <c r="I232" s="124"/>
      <c r="J232" s="124">
        <v>1096</v>
      </c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</row>
    <row r="233" spans="1:49" s="106" customFormat="1" ht="13.8">
      <c r="A233" s="125"/>
      <c r="B233" s="34">
        <v>43921</v>
      </c>
      <c r="C233" s="124" t="s">
        <v>42</v>
      </c>
      <c r="D233" s="124">
        <v>644</v>
      </c>
      <c r="E233" s="124"/>
      <c r="F233" s="124">
        <v>183.5</v>
      </c>
      <c r="G233" s="124"/>
      <c r="H233" s="124"/>
      <c r="I233" s="124"/>
      <c r="J233" s="124">
        <v>410</v>
      </c>
      <c r="K233" s="124">
        <v>25.5</v>
      </c>
      <c r="L233" s="124">
        <v>25</v>
      </c>
      <c r="M233" s="124"/>
      <c r="N233" s="124"/>
      <c r="O233" s="124"/>
      <c r="P233" s="124"/>
      <c r="Q233" s="124"/>
      <c r="R233" s="124"/>
      <c r="S233" s="124"/>
      <c r="T233" s="124"/>
      <c r="U233" s="124"/>
    </row>
    <row r="234" spans="1:49" s="106" customFormat="1" ht="13.8">
      <c r="A234" s="125"/>
      <c r="B234" s="34">
        <v>43921</v>
      </c>
      <c r="C234" s="124" t="s">
        <v>39</v>
      </c>
      <c r="D234" s="124">
        <v>276.48</v>
      </c>
      <c r="E234" s="124"/>
      <c r="F234" s="124">
        <v>176.48</v>
      </c>
      <c r="G234" s="124"/>
      <c r="H234" s="124"/>
      <c r="I234" s="124"/>
      <c r="J234" s="124"/>
      <c r="K234" s="124"/>
      <c r="L234" s="124">
        <v>100</v>
      </c>
      <c r="M234" s="124"/>
      <c r="N234" s="124"/>
      <c r="O234" s="124"/>
      <c r="P234" s="124"/>
      <c r="Q234" s="124"/>
      <c r="R234" s="124"/>
      <c r="S234" s="124"/>
      <c r="T234" s="124"/>
      <c r="U234" s="124"/>
    </row>
    <row r="235" spans="1:49" s="106" customFormat="1" ht="13.8">
      <c r="A235" s="125"/>
      <c r="B235" s="34">
        <v>43921</v>
      </c>
      <c r="C235" s="124" t="s">
        <v>123</v>
      </c>
      <c r="D235" s="124">
        <v>100</v>
      </c>
      <c r="E235" s="124"/>
      <c r="F235" s="124"/>
      <c r="G235" s="124"/>
      <c r="H235" s="124"/>
      <c r="I235" s="124"/>
      <c r="J235" s="124"/>
      <c r="K235" s="124"/>
      <c r="L235" s="124">
        <v>100</v>
      </c>
      <c r="M235" s="124"/>
      <c r="N235" s="124"/>
      <c r="O235" s="124"/>
      <c r="P235" s="124"/>
      <c r="Q235" s="124"/>
      <c r="R235" s="124"/>
      <c r="S235" s="124"/>
      <c r="T235" s="124"/>
      <c r="U235" s="124"/>
    </row>
    <row r="236" spans="1:49" s="106" customFormat="1" ht="13.8">
      <c r="A236" s="125"/>
      <c r="B236" s="34">
        <v>43921</v>
      </c>
      <c r="C236" s="124" t="s">
        <v>124</v>
      </c>
      <c r="D236" s="124">
        <v>104.65</v>
      </c>
      <c r="E236" s="124"/>
      <c r="F236" s="124"/>
      <c r="G236" s="124"/>
      <c r="H236" s="124">
        <v>104.65</v>
      </c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</row>
    <row r="237" spans="1:49" s="106" customFormat="1" ht="13.8">
      <c r="A237" s="125"/>
      <c r="B237" s="34">
        <v>43921</v>
      </c>
      <c r="C237" s="124" t="s">
        <v>229</v>
      </c>
      <c r="D237" s="124">
        <v>180</v>
      </c>
      <c r="E237" s="124"/>
      <c r="F237" s="124">
        <v>180</v>
      </c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</row>
    <row r="238" spans="1:49" s="106" customFormat="1" ht="13.8">
      <c r="A238" s="125"/>
      <c r="B238" s="34">
        <v>43921</v>
      </c>
      <c r="C238" s="124" t="s">
        <v>162</v>
      </c>
      <c r="D238" s="124">
        <v>262.5</v>
      </c>
      <c r="E238" s="124"/>
      <c r="F238" s="124"/>
      <c r="G238" s="124"/>
      <c r="H238" s="124"/>
      <c r="I238" s="124"/>
      <c r="J238" s="124"/>
      <c r="K238" s="124"/>
      <c r="L238" s="124"/>
      <c r="M238" s="124"/>
      <c r="N238" s="124">
        <v>262.5</v>
      </c>
      <c r="O238" s="124"/>
      <c r="P238" s="124"/>
      <c r="Q238" s="124"/>
      <c r="R238" s="124"/>
      <c r="S238" s="124"/>
      <c r="T238" s="124"/>
      <c r="U238" s="124"/>
    </row>
    <row r="239" spans="1:49" s="106" customFormat="1" ht="13.8">
      <c r="A239" s="125"/>
      <c r="B239" s="34">
        <v>43921</v>
      </c>
      <c r="C239" s="124" t="s">
        <v>402</v>
      </c>
      <c r="D239" s="124">
        <v>143</v>
      </c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>
        <v>143</v>
      </c>
      <c r="T239" s="124"/>
      <c r="U239" s="124"/>
    </row>
    <row r="240" spans="1:49" s="106" customFormat="1" ht="13.8">
      <c r="A240" s="125"/>
      <c r="B240" s="34">
        <v>43921</v>
      </c>
      <c r="C240" s="124" t="s">
        <v>401</v>
      </c>
      <c r="D240" s="124">
        <v>70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</row>
    <row r="241" spans="1:21" s="106" customFormat="1" ht="13.8">
      <c r="A241" s="125"/>
      <c r="B241" s="34">
        <v>43922</v>
      </c>
      <c r="C241" s="124" t="s">
        <v>31</v>
      </c>
      <c r="D241" s="124">
        <v>-1151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</row>
    <row r="242" spans="1:21" s="106" customFormat="1" ht="13.8">
      <c r="A242" s="125"/>
      <c r="B242" s="34">
        <v>43922</v>
      </c>
      <c r="C242" s="124" t="s">
        <v>125</v>
      </c>
      <c r="D242" s="124">
        <v>119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v>119</v>
      </c>
      <c r="R242" s="124"/>
      <c r="S242" s="124"/>
      <c r="T242" s="124"/>
      <c r="U242" s="124"/>
    </row>
    <row r="243" spans="1:21" s="106" customFormat="1" ht="13.8">
      <c r="A243" s="125"/>
      <c r="B243" s="34">
        <v>43922</v>
      </c>
      <c r="C243" s="124" t="s">
        <v>182</v>
      </c>
      <c r="D243" s="124">
        <v>284</v>
      </c>
      <c r="E243" s="124">
        <f>D243</f>
        <v>284</v>
      </c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</row>
    <row r="244" spans="1:21" s="106" customFormat="1" ht="13.8">
      <c r="A244" s="125"/>
      <c r="B244" s="34">
        <v>43922</v>
      </c>
      <c r="C244" s="124" t="s">
        <v>183</v>
      </c>
      <c r="D244" s="124">
        <v>476.98</v>
      </c>
      <c r="E244" s="124">
        <f>D244</f>
        <v>476.98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</row>
    <row r="245" spans="1:21" s="106" customFormat="1" ht="13.8">
      <c r="A245" s="125"/>
      <c r="B245" s="34">
        <v>43922</v>
      </c>
      <c r="C245" s="124" t="s">
        <v>265</v>
      </c>
      <c r="D245" s="124">
        <v>490</v>
      </c>
      <c r="E245" s="124">
        <f>D245</f>
        <v>490</v>
      </c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</row>
    <row r="246" spans="1:21" s="106" customFormat="1" ht="13.8">
      <c r="A246" s="125"/>
      <c r="B246" s="34">
        <v>43922</v>
      </c>
      <c r="C246" s="124" t="s">
        <v>239</v>
      </c>
      <c r="D246" s="124">
        <v>150</v>
      </c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>
        <v>150</v>
      </c>
      <c r="R246" s="124"/>
      <c r="S246" s="124"/>
      <c r="T246" s="124"/>
      <c r="U246" s="124"/>
    </row>
    <row r="247" spans="1:21" s="106" customFormat="1" ht="13.8">
      <c r="A247" s="125"/>
      <c r="B247" s="34">
        <v>43922</v>
      </c>
      <c r="C247" s="124" t="s">
        <v>363</v>
      </c>
      <c r="D247" s="124">
        <v>1093.25</v>
      </c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>
        <v>1107.75</v>
      </c>
      <c r="P247" s="124"/>
      <c r="Q247" s="124"/>
      <c r="R247" s="124"/>
      <c r="S247" s="124"/>
      <c r="T247" s="124"/>
      <c r="U247" s="124"/>
    </row>
    <row r="248" spans="1:21" s="106" customFormat="1" ht="13.8">
      <c r="A248" s="125"/>
      <c r="B248" s="34">
        <v>43922</v>
      </c>
      <c r="C248" s="124" t="s">
        <v>381</v>
      </c>
      <c r="D248" s="124">
        <v>1000.53</v>
      </c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>
        <v>1000.53</v>
      </c>
      <c r="U248" s="124"/>
    </row>
    <row r="249" spans="1:21" s="106" customFormat="1" ht="13.8">
      <c r="A249" s="125"/>
      <c r="B249" s="34">
        <v>43922</v>
      </c>
      <c r="C249" s="124" t="s">
        <v>265</v>
      </c>
      <c r="D249" s="124">
        <v>602.4</v>
      </c>
      <c r="E249" s="124">
        <f>D249</f>
        <v>602.4</v>
      </c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</row>
    <row r="250" spans="1:21" s="106" customFormat="1" ht="13.8">
      <c r="A250" s="125"/>
      <c r="B250" s="34">
        <v>43922</v>
      </c>
      <c r="C250" s="124" t="s">
        <v>100</v>
      </c>
      <c r="D250" s="124">
        <v>698.16</v>
      </c>
      <c r="E250" s="124">
        <f>D250</f>
        <v>698.16</v>
      </c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</row>
    <row r="251" spans="1:21" s="106" customFormat="1" ht="13.8">
      <c r="A251" s="125"/>
      <c r="B251" s="34">
        <v>43922</v>
      </c>
      <c r="C251" s="124" t="s">
        <v>30</v>
      </c>
      <c r="D251" s="124">
        <v>7474</v>
      </c>
      <c r="E251" s="124"/>
      <c r="F251" s="124"/>
      <c r="G251" s="124"/>
      <c r="H251" s="124"/>
      <c r="I251" s="124"/>
      <c r="J251" s="124"/>
      <c r="K251" s="124"/>
      <c r="L251" s="124"/>
      <c r="M251" s="124">
        <f>D251</f>
        <v>7474</v>
      </c>
      <c r="N251" s="124"/>
      <c r="O251" s="124"/>
      <c r="P251" s="124"/>
      <c r="Q251" s="124"/>
      <c r="R251" s="124"/>
      <c r="S251" s="124"/>
      <c r="T251" s="124"/>
      <c r="U251" s="124"/>
    </row>
    <row r="252" spans="1:21" s="106" customFormat="1" ht="13.8">
      <c r="A252" s="125"/>
      <c r="B252" s="34">
        <v>43922</v>
      </c>
      <c r="C252" s="124" t="s">
        <v>230</v>
      </c>
      <c r="D252" s="124">
        <v>64</v>
      </c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>
        <f>D252</f>
        <v>64</v>
      </c>
      <c r="Q252" s="124"/>
      <c r="R252" s="124"/>
      <c r="S252" s="124"/>
      <c r="T252" s="124"/>
      <c r="U252" s="124"/>
    </row>
    <row r="253" spans="1:21" s="106" customFormat="1" ht="13.8">
      <c r="A253" s="125"/>
      <c r="B253" s="34">
        <v>43922</v>
      </c>
      <c r="C253" s="124" t="s">
        <v>21</v>
      </c>
      <c r="D253" s="124">
        <v>0</v>
      </c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>
        <f>$AK$35</f>
        <v>137</v>
      </c>
      <c r="Q253" s="124"/>
      <c r="R253" s="124"/>
      <c r="S253" s="124"/>
      <c r="T253" s="124"/>
      <c r="U253" s="124"/>
    </row>
    <row r="254" spans="1:21" s="106" customFormat="1" ht="13.8">
      <c r="A254" s="125"/>
      <c r="B254" s="34">
        <v>43922</v>
      </c>
      <c r="C254" s="124" t="s">
        <v>124</v>
      </c>
      <c r="D254" s="124">
        <v>62.8</v>
      </c>
      <c r="E254" s="124"/>
      <c r="F254" s="124"/>
      <c r="G254" s="124"/>
      <c r="H254" s="124">
        <v>56.25</v>
      </c>
      <c r="I254" s="124">
        <v>6.55</v>
      </c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</row>
    <row r="255" spans="1:21" s="106" customFormat="1" ht="13.8">
      <c r="A255" s="125"/>
      <c r="B255" s="34">
        <v>43922</v>
      </c>
      <c r="C255" s="124" t="s">
        <v>42</v>
      </c>
      <c r="D255" s="124">
        <v>86.45</v>
      </c>
      <c r="E255" s="124"/>
      <c r="F255" s="124"/>
      <c r="G255" s="124">
        <v>86.45</v>
      </c>
      <c r="H255" s="124" t="s">
        <v>389</v>
      </c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</row>
    <row r="256" spans="1:21" s="106" customFormat="1" ht="13.8">
      <c r="A256" s="125"/>
      <c r="B256" s="34">
        <v>43922</v>
      </c>
      <c r="C256" s="124" t="s">
        <v>22</v>
      </c>
      <c r="D256" s="124">
        <v>138</v>
      </c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>
        <f>D256</f>
        <v>138</v>
      </c>
      <c r="Q256" s="124"/>
      <c r="R256" s="124"/>
      <c r="S256" s="124"/>
      <c r="T256" s="124"/>
      <c r="U256" s="124"/>
    </row>
    <row r="257" spans="1:21" s="106" customFormat="1" ht="13.8">
      <c r="A257" s="125"/>
      <c r="B257" s="34">
        <v>43922</v>
      </c>
      <c r="C257" s="124" t="s">
        <v>186</v>
      </c>
      <c r="D257" s="124">
        <v>60</v>
      </c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>
        <f>D257</f>
        <v>60</v>
      </c>
      <c r="R257" s="124"/>
      <c r="S257" s="124"/>
      <c r="T257" s="124"/>
      <c r="U257" s="124"/>
    </row>
    <row r="258" spans="1:21" s="106" customFormat="1" ht="13.8">
      <c r="A258" s="125"/>
      <c r="B258" s="34">
        <v>43923</v>
      </c>
      <c r="C258" s="124" t="s">
        <v>39</v>
      </c>
      <c r="D258" s="124">
        <v>71</v>
      </c>
      <c r="E258" s="124"/>
      <c r="F258" s="124"/>
      <c r="G258" s="124">
        <v>71</v>
      </c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</row>
    <row r="259" spans="1:21" s="106" customFormat="1" ht="13.8">
      <c r="A259" s="125"/>
      <c r="B259" s="34">
        <v>43923</v>
      </c>
      <c r="C259" s="124" t="s">
        <v>40</v>
      </c>
      <c r="D259" s="124">
        <v>22.45</v>
      </c>
      <c r="E259" s="124"/>
      <c r="F259" s="124"/>
      <c r="G259" s="124">
        <v>12.5</v>
      </c>
      <c r="H259" s="124"/>
      <c r="I259" s="124"/>
      <c r="J259" s="124"/>
      <c r="K259" s="124">
        <v>9.9499999999999993</v>
      </c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</row>
    <row r="260" spans="1:21" s="106" customFormat="1" ht="13.8">
      <c r="A260" s="125"/>
      <c r="B260" s="34">
        <v>43925</v>
      </c>
      <c r="C260" s="124" t="s">
        <v>400</v>
      </c>
      <c r="D260" s="124">
        <v>500</v>
      </c>
      <c r="E260" s="124"/>
      <c r="F260" s="124">
        <v>100</v>
      </c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>
        <v>400</v>
      </c>
      <c r="S260" s="124"/>
      <c r="T260" s="124"/>
      <c r="U260" s="124"/>
    </row>
    <row r="261" spans="1:21" s="106" customFormat="1" ht="13.8">
      <c r="A261" s="125"/>
      <c r="B261" s="34">
        <v>43925</v>
      </c>
      <c r="C261" s="124" t="s">
        <v>124</v>
      </c>
      <c r="D261" s="124">
        <v>41.95</v>
      </c>
      <c r="E261" s="124"/>
      <c r="F261" s="124"/>
      <c r="G261" s="124"/>
      <c r="H261" s="124">
        <v>41.95</v>
      </c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</row>
    <row r="262" spans="1:21" s="106" customFormat="1" ht="13.8">
      <c r="A262" s="125"/>
      <c r="B262" s="34">
        <v>43925</v>
      </c>
      <c r="C262" s="124" t="s">
        <v>39</v>
      </c>
      <c r="D262" s="124">
        <v>111</v>
      </c>
      <c r="E262" s="124"/>
      <c r="F262" s="124"/>
      <c r="G262" s="124">
        <v>30</v>
      </c>
      <c r="H262" s="124"/>
      <c r="I262" s="124"/>
      <c r="J262" s="124"/>
      <c r="K262" s="124"/>
      <c r="L262" s="124">
        <v>81</v>
      </c>
      <c r="M262" s="124"/>
      <c r="N262" s="124"/>
      <c r="O262" s="124"/>
      <c r="P262" s="124"/>
      <c r="Q262" s="124"/>
      <c r="R262" s="124"/>
      <c r="S262" s="124"/>
      <c r="T262" s="124"/>
      <c r="U262" s="124"/>
    </row>
    <row r="263" spans="1:21" s="106" customFormat="1" ht="13.8">
      <c r="A263" s="125"/>
      <c r="B263" s="34">
        <v>43925</v>
      </c>
      <c r="C263" s="124" t="s">
        <v>42</v>
      </c>
      <c r="D263" s="124">
        <v>26</v>
      </c>
      <c r="E263" s="124"/>
      <c r="F263" s="124"/>
      <c r="G263" s="124">
        <v>17</v>
      </c>
      <c r="H263" s="124"/>
      <c r="I263" s="124"/>
      <c r="J263" s="124"/>
      <c r="K263" s="124"/>
      <c r="L263" s="124">
        <v>9</v>
      </c>
      <c r="M263" s="124"/>
      <c r="N263" s="124"/>
      <c r="O263" s="124"/>
      <c r="P263" s="124"/>
      <c r="Q263" s="124"/>
      <c r="R263" s="124"/>
      <c r="S263" s="124"/>
      <c r="T263" s="124"/>
      <c r="U263" s="124"/>
    </row>
    <row r="264" spans="1:21" s="106" customFormat="1" ht="13.8">
      <c r="A264" s="125"/>
      <c r="B264" s="34">
        <v>43926</v>
      </c>
      <c r="C264" s="124" t="s">
        <v>222</v>
      </c>
      <c r="D264" s="124">
        <v>39</v>
      </c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>
        <v>39</v>
      </c>
      <c r="P264" s="124"/>
      <c r="Q264" s="124"/>
      <c r="R264" s="124"/>
      <c r="S264" s="124"/>
      <c r="T264" s="124"/>
      <c r="U264" s="124"/>
    </row>
    <row r="265" spans="1:21" s="106" customFormat="1" ht="13.8">
      <c r="A265" s="125"/>
      <c r="B265" s="34">
        <v>43926</v>
      </c>
      <c r="C265" s="124" t="s">
        <v>39</v>
      </c>
      <c r="D265" s="124">
        <v>15</v>
      </c>
      <c r="E265" s="124"/>
      <c r="F265" s="124"/>
      <c r="G265" s="124">
        <v>15</v>
      </c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</row>
    <row r="266" spans="1:21" s="106" customFormat="1" ht="13.8">
      <c r="A266" s="125"/>
      <c r="B266" s="34">
        <v>43927</v>
      </c>
      <c r="C266" s="124" t="s">
        <v>39</v>
      </c>
      <c r="D266" s="124">
        <v>131.94999999999999</v>
      </c>
      <c r="E266" s="124"/>
      <c r="F266" s="124">
        <v>99</v>
      </c>
      <c r="G266" s="124">
        <v>32.950000000000003</v>
      </c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</row>
    <row r="267" spans="1:21" s="106" customFormat="1" ht="13.8">
      <c r="A267" s="125"/>
      <c r="B267" s="34">
        <v>43927</v>
      </c>
      <c r="C267" s="124" t="s">
        <v>20</v>
      </c>
      <c r="D267" s="124">
        <v>187.73</v>
      </c>
      <c r="E267" s="124">
        <f>D267</f>
        <v>187.73</v>
      </c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</row>
    <row r="268" spans="1:21" s="106" customFormat="1" ht="13.8">
      <c r="A268" s="125"/>
      <c r="B268" s="34">
        <v>43929</v>
      </c>
      <c r="C268" s="124" t="s">
        <v>39</v>
      </c>
      <c r="D268" s="124">
        <v>86.9</v>
      </c>
      <c r="E268" s="124"/>
      <c r="F268" s="124"/>
      <c r="G268" s="124">
        <v>86.9</v>
      </c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</row>
    <row r="269" spans="1:21" s="106" customFormat="1" ht="13.8">
      <c r="A269" s="125"/>
      <c r="B269" s="34">
        <v>43929</v>
      </c>
      <c r="C269" s="124" t="s">
        <v>399</v>
      </c>
      <c r="D269" s="124">
        <v>58.75</v>
      </c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>
        <v>58.75</v>
      </c>
      <c r="T269" s="124"/>
      <c r="U269" s="124"/>
    </row>
    <row r="270" spans="1:21" s="106" customFormat="1" ht="13.8">
      <c r="A270" s="125"/>
      <c r="B270" s="34">
        <v>43932</v>
      </c>
      <c r="C270" s="124" t="s">
        <v>39</v>
      </c>
      <c r="D270" s="124">
        <v>85.23</v>
      </c>
      <c r="E270" s="124"/>
      <c r="F270" s="124"/>
      <c r="G270" s="124">
        <v>85.23</v>
      </c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</row>
    <row r="271" spans="1:21" s="106" customFormat="1" ht="13.8">
      <c r="A271" s="125"/>
      <c r="B271" s="34">
        <v>43933</v>
      </c>
      <c r="C271" s="124" t="s">
        <v>38</v>
      </c>
      <c r="D271" s="124">
        <v>78.5</v>
      </c>
      <c r="E271" s="124"/>
      <c r="F271" s="124"/>
      <c r="G271" s="124">
        <v>78.5</v>
      </c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</row>
    <row r="272" spans="1:21" s="106" customFormat="1" ht="13.8">
      <c r="A272" s="125"/>
      <c r="B272" s="34">
        <v>43935</v>
      </c>
      <c r="C272" s="124" t="s">
        <v>398</v>
      </c>
      <c r="D272" s="124">
        <v>1280</v>
      </c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>
        <v>1280</v>
      </c>
      <c r="P272" s="124"/>
      <c r="Q272" s="124"/>
      <c r="R272" s="124"/>
      <c r="S272" s="124"/>
      <c r="T272" s="124"/>
      <c r="U272" s="124"/>
    </row>
    <row r="273" spans="1:21" s="106" customFormat="1" ht="13.8">
      <c r="A273" s="125"/>
      <c r="B273" s="34">
        <v>43935</v>
      </c>
      <c r="C273" s="124" t="s">
        <v>216</v>
      </c>
      <c r="D273" s="124">
        <v>135.4</v>
      </c>
      <c r="E273" s="124"/>
      <c r="F273" s="124">
        <v>40</v>
      </c>
      <c r="G273" s="124">
        <v>95.4</v>
      </c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</row>
    <row r="274" spans="1:21" s="106" customFormat="1" ht="13.8">
      <c r="A274" s="125"/>
      <c r="B274" s="34">
        <v>43935</v>
      </c>
      <c r="C274" s="124" t="s">
        <v>39</v>
      </c>
      <c r="D274" s="124">
        <v>22</v>
      </c>
      <c r="E274" s="124"/>
      <c r="F274" s="124"/>
      <c r="G274" s="124">
        <v>22</v>
      </c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</row>
    <row r="275" spans="1:21" s="106" customFormat="1" ht="13.8">
      <c r="A275" s="125"/>
      <c r="B275" s="34">
        <v>43936</v>
      </c>
      <c r="C275" s="124" t="s">
        <v>186</v>
      </c>
      <c r="D275" s="124">
        <v>50</v>
      </c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>
        <v>50</v>
      </c>
      <c r="R275" s="124"/>
      <c r="S275" s="124"/>
      <c r="T275" s="124"/>
      <c r="U275" s="124"/>
    </row>
    <row r="276" spans="1:21" s="106" customFormat="1" ht="13.8">
      <c r="A276" s="125"/>
      <c r="B276" s="34">
        <v>43936</v>
      </c>
      <c r="C276" s="124" t="s">
        <v>38</v>
      </c>
      <c r="D276" s="124">
        <v>99.9</v>
      </c>
      <c r="E276" s="124"/>
      <c r="F276" s="124"/>
      <c r="G276" s="124">
        <v>99.9</v>
      </c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</row>
    <row r="277" spans="1:21" s="106" customFormat="1" ht="13.8">
      <c r="A277" s="125"/>
      <c r="B277" s="34">
        <v>43937</v>
      </c>
      <c r="C277" s="124" t="s">
        <v>124</v>
      </c>
      <c r="D277" s="124">
        <v>20.5</v>
      </c>
      <c r="E277" s="124"/>
      <c r="F277" s="124"/>
      <c r="G277" s="124"/>
      <c r="H277" s="124">
        <v>20.5</v>
      </c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</row>
    <row r="278" spans="1:21" s="106" customFormat="1" ht="13.8">
      <c r="A278" s="125"/>
      <c r="B278" s="34">
        <v>43937</v>
      </c>
      <c r="C278" s="124" t="s">
        <v>42</v>
      </c>
      <c r="D278" s="124">
        <v>113.5</v>
      </c>
      <c r="E278" s="124"/>
      <c r="F278" s="124"/>
      <c r="G278" s="124">
        <v>113.5</v>
      </c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</row>
    <row r="279" spans="1:21" s="106" customFormat="1" ht="13.8">
      <c r="A279" s="125"/>
      <c r="B279" s="34">
        <v>43938</v>
      </c>
      <c r="C279" s="124" t="s">
        <v>186</v>
      </c>
      <c r="D279" s="124">
        <v>60</v>
      </c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>
        <v>60</v>
      </c>
      <c r="R279" s="124"/>
      <c r="S279" s="124"/>
      <c r="T279" s="124"/>
      <c r="U279" s="124"/>
    </row>
    <row r="280" spans="1:21" s="106" customFormat="1" ht="13.8">
      <c r="A280" s="125"/>
      <c r="B280" s="34">
        <v>43939</v>
      </c>
      <c r="C280" s="124" t="s">
        <v>230</v>
      </c>
      <c r="D280" s="124">
        <v>71.5</v>
      </c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>
        <v>71.5</v>
      </c>
      <c r="Q280" s="124"/>
      <c r="R280" s="124"/>
      <c r="S280" s="124"/>
      <c r="T280" s="124"/>
      <c r="U280" s="124"/>
    </row>
    <row r="281" spans="1:21" s="106" customFormat="1" ht="13.8">
      <c r="A281" s="125"/>
      <c r="B281" s="34">
        <v>43940</v>
      </c>
      <c r="C281" s="124" t="s">
        <v>42</v>
      </c>
      <c r="D281" s="124">
        <v>406.88</v>
      </c>
      <c r="E281" s="124"/>
      <c r="F281" s="124"/>
      <c r="G281" s="124">
        <v>120.88</v>
      </c>
      <c r="H281" s="124"/>
      <c r="I281" s="124"/>
      <c r="J281" s="124"/>
      <c r="K281" s="124">
        <v>240</v>
      </c>
      <c r="L281" s="124">
        <v>46</v>
      </c>
      <c r="M281" s="124"/>
      <c r="N281" s="124"/>
      <c r="O281" s="124"/>
      <c r="P281" s="124"/>
      <c r="Q281" s="124"/>
      <c r="R281" s="124"/>
      <c r="S281" s="124"/>
      <c r="T281" s="124"/>
      <c r="U281" s="124"/>
    </row>
    <row r="282" spans="1:21" s="106" customFormat="1" ht="13.8">
      <c r="A282" s="125"/>
      <c r="B282" s="34">
        <v>43941</v>
      </c>
      <c r="C282" s="124" t="s">
        <v>42</v>
      </c>
      <c r="D282" s="124">
        <v>192</v>
      </c>
      <c r="E282" s="124"/>
      <c r="F282" s="124"/>
      <c r="G282" s="124">
        <v>72</v>
      </c>
      <c r="H282" s="124"/>
      <c r="I282" s="124"/>
      <c r="J282" s="124"/>
      <c r="K282" s="124">
        <v>120</v>
      </c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</row>
    <row r="283" spans="1:21" s="106" customFormat="1" ht="13.8">
      <c r="A283" s="125"/>
      <c r="B283" s="34">
        <v>43943</v>
      </c>
      <c r="C283" s="124" t="s">
        <v>42</v>
      </c>
      <c r="D283" s="124">
        <v>53</v>
      </c>
      <c r="E283" s="124"/>
      <c r="F283" s="124"/>
      <c r="G283" s="124">
        <v>53</v>
      </c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</row>
    <row r="284" spans="1:21" s="106" customFormat="1" ht="13.8">
      <c r="A284" s="125"/>
      <c r="B284" s="34">
        <v>43946</v>
      </c>
      <c r="C284" s="124" t="s">
        <v>42</v>
      </c>
      <c r="D284" s="124">
        <v>51.5</v>
      </c>
      <c r="E284" s="124"/>
      <c r="F284" s="124"/>
      <c r="G284" s="124">
        <v>51.5</v>
      </c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</row>
    <row r="285" spans="1:21" s="106" customFormat="1" ht="13.8">
      <c r="A285" s="125"/>
      <c r="B285" s="34">
        <v>43946</v>
      </c>
      <c r="C285" s="124" t="s">
        <v>192</v>
      </c>
      <c r="D285" s="124">
        <v>89</v>
      </c>
      <c r="E285" s="124"/>
      <c r="F285" s="124"/>
      <c r="G285" s="124">
        <v>89</v>
      </c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</row>
    <row r="286" spans="1:21" s="106" customFormat="1" ht="13.8">
      <c r="A286" s="125"/>
      <c r="B286" s="34">
        <v>43946</v>
      </c>
      <c r="C286" s="124" t="s">
        <v>192</v>
      </c>
      <c r="D286" s="124">
        <v>299</v>
      </c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>
        <v>299</v>
      </c>
      <c r="T286" s="124"/>
      <c r="U286" s="124"/>
    </row>
    <row r="287" spans="1:21" s="106" customFormat="1" ht="13.8">
      <c r="A287" s="125"/>
      <c r="B287" s="34">
        <v>43946</v>
      </c>
      <c r="C287" s="124" t="s">
        <v>41</v>
      </c>
      <c r="D287" s="124">
        <v>40</v>
      </c>
      <c r="E287" s="124"/>
      <c r="F287" s="124"/>
      <c r="G287" s="124"/>
      <c r="H287" s="124"/>
      <c r="I287" s="124"/>
      <c r="J287" s="124"/>
      <c r="K287" s="124"/>
      <c r="L287" s="124">
        <v>40</v>
      </c>
      <c r="M287" s="124"/>
      <c r="N287" s="124"/>
      <c r="O287" s="124"/>
      <c r="P287" s="124"/>
      <c r="Q287" s="124"/>
      <c r="R287" s="124"/>
      <c r="S287" s="124"/>
      <c r="T287" s="124"/>
      <c r="U287" s="124"/>
    </row>
    <row r="288" spans="1:21" s="106" customFormat="1" ht="13.8">
      <c r="A288" s="125"/>
      <c r="B288" s="34">
        <v>43949</v>
      </c>
      <c r="C288" s="124" t="s">
        <v>42</v>
      </c>
      <c r="D288" s="124">
        <v>23.5</v>
      </c>
      <c r="E288" s="124"/>
      <c r="F288" s="124"/>
      <c r="G288" s="124">
        <v>23.5</v>
      </c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</row>
    <row r="289" spans="1:49" s="106" customFormat="1" ht="13.8">
      <c r="A289" s="125"/>
      <c r="B289" s="34">
        <v>43949</v>
      </c>
      <c r="C289" s="124" t="s">
        <v>242</v>
      </c>
      <c r="D289" s="124">
        <v>-300</v>
      </c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>
        <v>-300</v>
      </c>
      <c r="T289" s="124"/>
      <c r="U289" s="124"/>
    </row>
    <row r="290" spans="1:49" s="106" customFormat="1" ht="13.8">
      <c r="A290" s="125"/>
      <c r="B290" s="34">
        <v>43950</v>
      </c>
      <c r="C290" s="124" t="s">
        <v>124</v>
      </c>
      <c r="D290" s="124">
        <v>105.7</v>
      </c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</row>
    <row r="291" spans="1:49" s="106" customFormat="1" ht="13.8">
      <c r="A291" s="125"/>
      <c r="B291" s="34">
        <v>43950</v>
      </c>
      <c r="C291" s="124" t="s">
        <v>42</v>
      </c>
      <c r="D291" s="124">
        <v>75.8</v>
      </c>
      <c r="E291" s="124"/>
      <c r="F291" s="124"/>
      <c r="G291" s="124"/>
      <c r="H291" s="124">
        <v>75.8</v>
      </c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</row>
    <row r="292" spans="1:49" s="106" customFormat="1" ht="13.8">
      <c r="A292" s="125"/>
      <c r="B292" s="34">
        <v>43950</v>
      </c>
      <c r="C292" s="124" t="s">
        <v>38</v>
      </c>
      <c r="D292" s="124">
        <v>99</v>
      </c>
      <c r="E292" s="124"/>
      <c r="F292" s="124">
        <v>99</v>
      </c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</row>
    <row r="293" spans="1:49" s="106" customFormat="1" ht="13.8">
      <c r="A293" s="125"/>
      <c r="B293" s="34">
        <v>43950</v>
      </c>
      <c r="C293" s="124" t="s">
        <v>38</v>
      </c>
      <c r="D293" s="124">
        <v>70</v>
      </c>
      <c r="E293" s="124"/>
      <c r="F293" s="124"/>
      <c r="G293" s="124">
        <v>70</v>
      </c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</row>
    <row r="294" spans="1:49" s="120" customFormat="1" ht="12" customHeight="1">
      <c r="A294" s="60"/>
      <c r="B294" s="248" t="str">
        <f>B227</f>
        <v>april</v>
      </c>
      <c r="C294" s="247" t="s">
        <v>36</v>
      </c>
      <c r="D294" s="247">
        <f t="shared" ref="D294:U294" si="25">SUM(D295:D295)</f>
        <v>0</v>
      </c>
      <c r="E294" s="247">
        <f t="shared" si="25"/>
        <v>0</v>
      </c>
      <c r="F294" s="247">
        <f t="shared" si="25"/>
        <v>0</v>
      </c>
      <c r="G294" s="247">
        <f t="shared" si="25"/>
        <v>0</v>
      </c>
      <c r="H294" s="247">
        <f t="shared" si="25"/>
        <v>0</v>
      </c>
      <c r="I294" s="247">
        <f t="shared" si="25"/>
        <v>0</v>
      </c>
      <c r="J294" s="247">
        <f t="shared" si="25"/>
        <v>0</v>
      </c>
      <c r="K294" s="247">
        <f t="shared" si="25"/>
        <v>0</v>
      </c>
      <c r="L294" s="247">
        <f t="shared" si="25"/>
        <v>0</v>
      </c>
      <c r="M294" s="247">
        <f t="shared" si="25"/>
        <v>0</v>
      </c>
      <c r="N294" s="247">
        <f t="shared" si="25"/>
        <v>0</v>
      </c>
      <c r="O294" s="247">
        <f t="shared" si="25"/>
        <v>0</v>
      </c>
      <c r="P294" s="247">
        <f t="shared" si="25"/>
        <v>0</v>
      </c>
      <c r="Q294" s="247">
        <f t="shared" si="25"/>
        <v>0</v>
      </c>
      <c r="R294" s="247">
        <f t="shared" si="25"/>
        <v>0</v>
      </c>
      <c r="S294" s="247">
        <f t="shared" si="25"/>
        <v>0</v>
      </c>
      <c r="T294" s="247">
        <f t="shared" si="25"/>
        <v>0</v>
      </c>
      <c r="U294" s="247">
        <f t="shared" si="25"/>
        <v>0</v>
      </c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</row>
    <row r="295" spans="1:49" s="120" customFormat="1" ht="12" customHeight="1">
      <c r="A295" s="60"/>
      <c r="B295" s="248"/>
      <c r="C295" s="247"/>
      <c r="D295" s="247"/>
      <c r="E295" s="247"/>
      <c r="F295" s="247"/>
      <c r="G295" s="247"/>
      <c r="H295" s="247"/>
      <c r="I295" s="247"/>
      <c r="J295" s="247"/>
      <c r="K295" s="247"/>
      <c r="L295" s="247"/>
      <c r="M295" s="247"/>
      <c r="N295" s="247"/>
      <c r="O295" s="247"/>
      <c r="P295" s="247"/>
      <c r="Q295" s="247"/>
      <c r="R295" s="247"/>
      <c r="S295" s="247"/>
      <c r="T295" s="247"/>
      <c r="U295" s="247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</row>
    <row r="296" spans="1:49" s="126" customFormat="1" ht="13.5" customHeight="1">
      <c r="A296" s="39"/>
      <c r="B296" s="2948" t="str">
        <f>G2</f>
        <v>maj</v>
      </c>
      <c r="C296" s="3003"/>
      <c r="D296" s="36">
        <f t="shared" ref="D296:U296" si="26">SUM(D297:D367)</f>
        <v>-2840.2700000000018</v>
      </c>
      <c r="E296" s="36">
        <f t="shared" si="26"/>
        <v>2047.14</v>
      </c>
      <c r="F296" s="36">
        <f t="shared" si="26"/>
        <v>1568.3</v>
      </c>
      <c r="G296" s="36">
        <f t="shared" si="26"/>
        <v>2361.4900000000002</v>
      </c>
      <c r="H296" s="36">
        <f t="shared" si="26"/>
        <v>277.70000000000005</v>
      </c>
      <c r="I296" s="36">
        <f t="shared" si="26"/>
        <v>157.6</v>
      </c>
      <c r="J296" s="36">
        <f t="shared" si="26"/>
        <v>0</v>
      </c>
      <c r="K296" s="36">
        <f t="shared" si="26"/>
        <v>0</v>
      </c>
      <c r="L296" s="36">
        <f t="shared" si="26"/>
        <v>438.95</v>
      </c>
      <c r="M296" s="36">
        <f t="shared" si="26"/>
        <v>7474</v>
      </c>
      <c r="N296" s="36">
        <f t="shared" si="26"/>
        <v>0</v>
      </c>
      <c r="O296" s="36">
        <f t="shared" si="26"/>
        <v>451.55</v>
      </c>
      <c r="P296" s="36">
        <f t="shared" si="26"/>
        <v>508</v>
      </c>
      <c r="Q296" s="36">
        <f t="shared" si="26"/>
        <v>498</v>
      </c>
      <c r="R296" s="36">
        <f t="shared" si="26"/>
        <v>0</v>
      </c>
      <c r="S296" s="36">
        <f t="shared" si="26"/>
        <v>920</v>
      </c>
      <c r="T296" s="36">
        <f t="shared" si="26"/>
        <v>0</v>
      </c>
      <c r="U296" s="36">
        <f t="shared" si="26"/>
        <v>0</v>
      </c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</row>
    <row r="297" spans="1:49" s="106" customFormat="1" ht="13.8">
      <c r="A297" s="125"/>
      <c r="B297" s="34">
        <v>43951</v>
      </c>
      <c r="C297" s="124" t="s">
        <v>35</v>
      </c>
      <c r="D297" s="124">
        <v>-11004</v>
      </c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</row>
    <row r="298" spans="1:49" s="106" customFormat="1" ht="13.8">
      <c r="A298" s="125"/>
      <c r="B298" s="34">
        <v>43951</v>
      </c>
      <c r="C298" s="124" t="s">
        <v>34</v>
      </c>
      <c r="D298" s="124">
        <v>-7733</v>
      </c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</row>
    <row r="299" spans="1:49" s="106" customFormat="1" ht="13.8">
      <c r="A299" s="125"/>
      <c r="B299" s="34">
        <v>43951</v>
      </c>
      <c r="C299" s="124" t="s">
        <v>33</v>
      </c>
      <c r="D299" s="124">
        <v>5</v>
      </c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</row>
    <row r="300" spans="1:49" s="106" customFormat="1" ht="13.8">
      <c r="A300" s="125"/>
      <c r="B300" s="34">
        <v>43951</v>
      </c>
      <c r="C300" s="124" t="s">
        <v>21</v>
      </c>
      <c r="D300" s="124">
        <v>141</v>
      </c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>
        <v>141</v>
      </c>
      <c r="Q300" s="124"/>
      <c r="R300" s="124"/>
      <c r="S300" s="124"/>
      <c r="T300" s="124"/>
      <c r="U300" s="124"/>
    </row>
    <row r="301" spans="1:49" s="106" customFormat="1" ht="13.8">
      <c r="A301" s="125"/>
      <c r="B301" s="34">
        <v>43951</v>
      </c>
      <c r="C301" s="124" t="s">
        <v>39</v>
      </c>
      <c r="D301" s="124">
        <v>79.25</v>
      </c>
      <c r="E301" s="124"/>
      <c r="F301" s="124"/>
      <c r="G301" s="124">
        <v>59.25</v>
      </c>
      <c r="H301" s="124"/>
      <c r="I301" s="124"/>
      <c r="J301" s="124"/>
      <c r="K301" s="124"/>
      <c r="L301" s="124">
        <v>20</v>
      </c>
      <c r="M301" s="124"/>
      <c r="N301" s="124"/>
      <c r="O301" s="124"/>
      <c r="P301" s="124"/>
      <c r="Q301" s="124"/>
      <c r="R301" s="124"/>
      <c r="S301" s="124"/>
      <c r="T301" s="124"/>
      <c r="U301" s="124"/>
    </row>
    <row r="302" spans="1:49" s="106" customFormat="1" ht="13.8">
      <c r="A302" s="125"/>
      <c r="B302" s="34">
        <v>43951</v>
      </c>
      <c r="C302" s="124" t="s">
        <v>42</v>
      </c>
      <c r="D302" s="124">
        <v>78.5</v>
      </c>
      <c r="E302" s="124"/>
      <c r="F302" s="124"/>
      <c r="G302" s="124">
        <v>68.5</v>
      </c>
      <c r="H302" s="124"/>
      <c r="I302" s="124"/>
      <c r="J302" s="124"/>
      <c r="K302" s="124"/>
      <c r="L302" s="124">
        <v>10</v>
      </c>
      <c r="M302" s="124"/>
      <c r="N302" s="124"/>
      <c r="O302" s="124"/>
      <c r="P302" s="124"/>
      <c r="Q302" s="124"/>
      <c r="R302" s="124"/>
      <c r="S302" s="124"/>
      <c r="T302" s="124"/>
      <c r="U302" s="124"/>
    </row>
    <row r="303" spans="1:49" s="106" customFormat="1" ht="13.8">
      <c r="A303" s="125"/>
      <c r="B303" s="34">
        <v>43951</v>
      </c>
      <c r="C303" s="124" t="s">
        <v>124</v>
      </c>
      <c r="D303" s="124">
        <v>117.6</v>
      </c>
      <c r="E303" s="124"/>
      <c r="F303" s="124"/>
      <c r="G303" s="124"/>
      <c r="H303" s="124"/>
      <c r="I303" s="124">
        <v>117.6</v>
      </c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</row>
    <row r="304" spans="1:49" s="106" customFormat="1" ht="13.8">
      <c r="A304" s="125"/>
      <c r="B304" s="34">
        <v>43952</v>
      </c>
      <c r="C304" s="124" t="s">
        <v>125</v>
      </c>
      <c r="D304" s="124">
        <v>119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>
        <v>119</v>
      </c>
      <c r="R304" s="124"/>
      <c r="S304" s="124"/>
      <c r="T304" s="124"/>
      <c r="U304" s="124"/>
    </row>
    <row r="305" spans="1:21" s="106" customFormat="1" ht="13.8">
      <c r="A305" s="125"/>
      <c r="B305" s="34">
        <v>43952</v>
      </c>
      <c r="C305" s="124" t="s">
        <v>182</v>
      </c>
      <c r="D305" s="124">
        <v>284</v>
      </c>
      <c r="E305" s="124">
        <f>D305</f>
        <v>284</v>
      </c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</row>
    <row r="306" spans="1:21" s="106" customFormat="1" ht="13.8">
      <c r="A306" s="125"/>
      <c r="B306" s="34">
        <v>43952</v>
      </c>
      <c r="C306" s="124" t="s">
        <v>183</v>
      </c>
      <c r="D306" s="124">
        <v>476.98</v>
      </c>
      <c r="E306" s="124">
        <f>D306</f>
        <v>476.98</v>
      </c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</row>
    <row r="307" spans="1:21" s="106" customFormat="1" ht="13.8">
      <c r="A307" s="125"/>
      <c r="B307" s="34">
        <v>43952</v>
      </c>
      <c r="C307" s="124" t="s">
        <v>265</v>
      </c>
      <c r="D307" s="124">
        <v>602.4</v>
      </c>
      <c r="E307" s="124">
        <f>D307</f>
        <v>602.4</v>
      </c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</row>
    <row r="308" spans="1:21" s="106" customFormat="1" ht="13.8">
      <c r="A308" s="125"/>
      <c r="B308" s="34">
        <v>43952</v>
      </c>
      <c r="C308" s="124" t="s">
        <v>363</v>
      </c>
      <c r="D308" s="124">
        <v>451.55</v>
      </c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>
        <f>D308</f>
        <v>451.55</v>
      </c>
      <c r="P308" s="124"/>
      <c r="Q308" s="124"/>
      <c r="R308" s="124"/>
      <c r="S308" s="124"/>
      <c r="T308" s="124"/>
      <c r="U308" s="124"/>
    </row>
    <row r="309" spans="1:21" s="106" customFormat="1" ht="13.8">
      <c r="A309" s="125"/>
      <c r="B309" s="34">
        <v>43952</v>
      </c>
      <c r="C309" s="124" t="s">
        <v>265</v>
      </c>
      <c r="D309" s="124">
        <v>490</v>
      </c>
      <c r="E309" s="124">
        <f>D309</f>
        <v>490</v>
      </c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</row>
    <row r="310" spans="1:21" s="106" customFormat="1" ht="13.8">
      <c r="A310" s="125"/>
      <c r="B310" s="34">
        <v>43952</v>
      </c>
      <c r="C310" s="124" t="s">
        <v>31</v>
      </c>
      <c r="D310" s="124">
        <v>-1151</v>
      </c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</row>
    <row r="311" spans="1:21" s="106" customFormat="1" ht="13.8">
      <c r="A311" s="125"/>
      <c r="B311" s="34">
        <v>43952</v>
      </c>
      <c r="C311" s="124" t="s">
        <v>30</v>
      </c>
      <c r="D311" s="124">
        <v>7474</v>
      </c>
      <c r="E311" s="124"/>
      <c r="F311" s="124"/>
      <c r="G311" s="124"/>
      <c r="H311" s="124"/>
      <c r="I311" s="124"/>
      <c r="J311" s="124"/>
      <c r="K311" s="124"/>
      <c r="L311" s="124"/>
      <c r="M311" s="124">
        <f>D311</f>
        <v>7474</v>
      </c>
      <c r="N311" s="124"/>
      <c r="O311" s="124"/>
      <c r="P311" s="124"/>
      <c r="Q311" s="124"/>
      <c r="R311" s="124"/>
      <c r="S311" s="124"/>
      <c r="T311" s="124"/>
      <c r="U311" s="124"/>
    </row>
    <row r="312" spans="1:21" s="106" customFormat="1" ht="13.8">
      <c r="A312" s="125"/>
      <c r="B312" s="34">
        <v>43952</v>
      </c>
      <c r="C312" s="124" t="s">
        <v>230</v>
      </c>
      <c r="D312" s="124">
        <v>229</v>
      </c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>
        <f>D312</f>
        <v>229</v>
      </c>
      <c r="Q312" s="124"/>
      <c r="R312" s="124"/>
      <c r="S312" s="124"/>
      <c r="T312" s="124"/>
      <c r="U312" s="124"/>
    </row>
    <row r="313" spans="1:21" s="106" customFormat="1" ht="13.8">
      <c r="A313" s="125"/>
      <c r="B313" s="34">
        <v>43952</v>
      </c>
      <c r="C313" s="124" t="s">
        <v>186</v>
      </c>
      <c r="D313" s="124">
        <v>260</v>
      </c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>
        <v>260</v>
      </c>
      <c r="R313" s="124"/>
      <c r="S313" s="124"/>
      <c r="T313" s="124"/>
      <c r="U313" s="124"/>
    </row>
    <row r="314" spans="1:21" s="106" customFormat="1" ht="13.8">
      <c r="A314" s="125"/>
      <c r="B314" s="34">
        <v>43952</v>
      </c>
      <c r="C314" s="124" t="s">
        <v>216</v>
      </c>
      <c r="D314" s="124">
        <v>130.9</v>
      </c>
      <c r="E314" s="124"/>
      <c r="F314" s="124">
        <v>52.9</v>
      </c>
      <c r="G314" s="124">
        <v>78</v>
      </c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</row>
    <row r="315" spans="1:21" s="106" customFormat="1" ht="13.8">
      <c r="A315" s="125"/>
      <c r="B315" s="34">
        <v>43952</v>
      </c>
      <c r="C315" s="124" t="s">
        <v>192</v>
      </c>
      <c r="D315" s="124">
        <v>118</v>
      </c>
      <c r="E315" s="124"/>
      <c r="F315" s="124"/>
      <c r="G315" s="124">
        <v>118</v>
      </c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</row>
    <row r="316" spans="1:21" s="106" customFormat="1" ht="13.8">
      <c r="A316" s="125"/>
      <c r="B316" s="34">
        <v>43952</v>
      </c>
      <c r="C316" s="124" t="s">
        <v>42</v>
      </c>
      <c r="D316" s="124">
        <v>254.2</v>
      </c>
      <c r="E316" s="124"/>
      <c r="F316" s="124"/>
      <c r="G316" s="124">
        <v>254.2</v>
      </c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</row>
    <row r="317" spans="1:21" s="106" customFormat="1" ht="13.8">
      <c r="A317" s="125"/>
      <c r="B317" s="34">
        <v>43952</v>
      </c>
      <c r="C317" s="124" t="s">
        <v>397</v>
      </c>
      <c r="D317" s="124">
        <v>299.45</v>
      </c>
      <c r="E317" s="124"/>
      <c r="F317" s="124">
        <v>299.45</v>
      </c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</row>
    <row r="318" spans="1:21" s="106" customFormat="1" ht="13.8">
      <c r="A318" s="125"/>
      <c r="B318" s="34">
        <v>43952</v>
      </c>
      <c r="C318" s="124" t="s">
        <v>235</v>
      </c>
      <c r="D318" s="124">
        <v>75</v>
      </c>
      <c r="E318" s="124"/>
      <c r="F318" s="124">
        <v>75</v>
      </c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</row>
    <row r="319" spans="1:21" s="106" customFormat="1" ht="13.8">
      <c r="A319" s="125"/>
      <c r="B319" s="34">
        <v>43952</v>
      </c>
      <c r="C319" s="124" t="s">
        <v>22</v>
      </c>
      <c r="D319" s="124">
        <v>138</v>
      </c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>
        <f>D319</f>
        <v>138</v>
      </c>
      <c r="Q319" s="124"/>
      <c r="R319" s="124"/>
      <c r="S319" s="124"/>
      <c r="T319" s="124"/>
      <c r="U319" s="124"/>
    </row>
    <row r="320" spans="1:21" s="106" customFormat="1" ht="13.8">
      <c r="A320" s="125"/>
      <c r="B320" s="34">
        <v>43953</v>
      </c>
      <c r="C320" s="124" t="s">
        <v>42</v>
      </c>
      <c r="D320" s="124">
        <v>236.45</v>
      </c>
      <c r="E320" s="124"/>
      <c r="F320" s="124"/>
      <c r="G320" s="124">
        <v>236.45</v>
      </c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</row>
    <row r="321" spans="1:21" s="106" customFormat="1" ht="13.8">
      <c r="A321" s="125"/>
      <c r="B321" s="34">
        <v>43953</v>
      </c>
      <c r="C321" s="124" t="s">
        <v>40</v>
      </c>
      <c r="D321" s="124">
        <v>36</v>
      </c>
      <c r="E321" s="124"/>
      <c r="F321" s="124"/>
      <c r="G321" s="124">
        <v>36</v>
      </c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</row>
    <row r="322" spans="1:21" s="106" customFormat="1" ht="13.8">
      <c r="A322" s="125"/>
      <c r="B322" s="34">
        <v>43955</v>
      </c>
      <c r="C322" s="124" t="s">
        <v>396</v>
      </c>
      <c r="D322" s="124">
        <v>400</v>
      </c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>
        <v>400</v>
      </c>
      <c r="T322" s="124"/>
      <c r="U322" s="124"/>
    </row>
    <row r="323" spans="1:21" s="106" customFormat="1" ht="13.8">
      <c r="A323" s="125"/>
      <c r="B323" s="34">
        <v>43954</v>
      </c>
      <c r="C323" s="124" t="s">
        <v>40</v>
      </c>
      <c r="D323" s="124">
        <v>116.9</v>
      </c>
      <c r="E323" s="124"/>
      <c r="F323" s="124"/>
      <c r="G323" s="124">
        <v>116.9</v>
      </c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</row>
    <row r="324" spans="1:21" s="106" customFormat="1" ht="13.8">
      <c r="A324" s="125"/>
      <c r="B324" s="34">
        <v>43954</v>
      </c>
      <c r="C324" s="124" t="s">
        <v>42</v>
      </c>
      <c r="D324" s="124">
        <v>40</v>
      </c>
      <c r="E324" s="124"/>
      <c r="F324" s="124"/>
      <c r="G324" s="124"/>
      <c r="H324" s="124"/>
      <c r="I324" s="124"/>
      <c r="J324" s="124"/>
      <c r="K324" s="124"/>
      <c r="L324" s="124">
        <v>40</v>
      </c>
      <c r="M324" s="124"/>
      <c r="N324" s="124"/>
      <c r="O324" s="124"/>
      <c r="P324" s="124"/>
      <c r="Q324" s="124"/>
      <c r="R324" s="124"/>
      <c r="S324" s="124"/>
      <c r="T324" s="124"/>
      <c r="U324" s="124"/>
    </row>
    <row r="325" spans="1:21" s="106" customFormat="1" ht="13.8">
      <c r="A325" s="125"/>
      <c r="B325" s="34">
        <v>43954</v>
      </c>
      <c r="C325" s="124" t="s">
        <v>186</v>
      </c>
      <c r="D325" s="124">
        <v>50</v>
      </c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>
        <v>50</v>
      </c>
      <c r="R325" s="124"/>
      <c r="S325" s="124"/>
      <c r="T325" s="124"/>
      <c r="U325" s="124"/>
    </row>
    <row r="326" spans="1:21" s="106" customFormat="1" ht="13.8">
      <c r="A326" s="125"/>
      <c r="B326" s="34">
        <v>43956</v>
      </c>
      <c r="C326" s="124" t="s">
        <v>229</v>
      </c>
      <c r="D326" s="124">
        <v>40</v>
      </c>
      <c r="E326" s="124"/>
      <c r="F326" s="124">
        <v>40</v>
      </c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</row>
    <row r="327" spans="1:21" s="106" customFormat="1" ht="13.8">
      <c r="A327" s="125"/>
      <c r="B327" s="34">
        <v>43956</v>
      </c>
      <c r="C327" s="124" t="s">
        <v>395</v>
      </c>
      <c r="D327" s="124">
        <v>90</v>
      </c>
      <c r="E327" s="124"/>
      <c r="F327" s="124">
        <v>90</v>
      </c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</row>
    <row r="328" spans="1:21" s="106" customFormat="1" ht="13.8">
      <c r="A328" s="125"/>
      <c r="B328" s="34">
        <v>43957</v>
      </c>
      <c r="C328" s="124" t="s">
        <v>394</v>
      </c>
      <c r="D328" s="124">
        <v>200</v>
      </c>
      <c r="E328" s="124"/>
      <c r="F328" s="124">
        <v>200</v>
      </c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</row>
    <row r="329" spans="1:21" s="106" customFormat="1" ht="13.8">
      <c r="A329" s="125"/>
      <c r="B329" s="34">
        <v>43956</v>
      </c>
      <c r="C329" s="124" t="s">
        <v>20</v>
      </c>
      <c r="D329" s="124">
        <v>193.76</v>
      </c>
      <c r="E329" s="124">
        <f>D329</f>
        <v>193.76</v>
      </c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</row>
    <row r="330" spans="1:21" s="106" customFormat="1" ht="13.8">
      <c r="A330" s="125"/>
      <c r="B330" s="34">
        <v>43957</v>
      </c>
      <c r="C330" s="124" t="s">
        <v>124</v>
      </c>
      <c r="D330" s="124">
        <v>33.25</v>
      </c>
      <c r="E330" s="124"/>
      <c r="F330" s="124"/>
      <c r="G330" s="124"/>
      <c r="H330" s="124">
        <v>33.25</v>
      </c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</row>
    <row r="331" spans="1:21" s="106" customFormat="1" ht="13.8">
      <c r="A331" s="125"/>
      <c r="B331" s="34">
        <v>43961</v>
      </c>
      <c r="C331" s="124" t="s">
        <v>39</v>
      </c>
      <c r="D331" s="124">
        <v>126.4</v>
      </c>
      <c r="E331" s="124"/>
      <c r="F331" s="124"/>
      <c r="G331" s="124">
        <v>26.4</v>
      </c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</row>
    <row r="332" spans="1:21" s="106" customFormat="1" ht="13.8">
      <c r="A332" s="125"/>
      <c r="B332" s="34">
        <v>43962</v>
      </c>
      <c r="C332" s="124" t="s">
        <v>42</v>
      </c>
      <c r="D332" s="124">
        <v>142.6</v>
      </c>
      <c r="E332" s="124"/>
      <c r="F332" s="124"/>
      <c r="G332" s="124">
        <v>109.6</v>
      </c>
      <c r="H332" s="124"/>
      <c r="I332" s="124"/>
      <c r="J332" s="124"/>
      <c r="K332" s="124"/>
      <c r="L332" s="124">
        <v>33</v>
      </c>
      <c r="M332" s="124"/>
      <c r="N332" s="124"/>
      <c r="O332" s="124"/>
      <c r="P332" s="124"/>
      <c r="Q332" s="124"/>
      <c r="R332" s="124"/>
      <c r="S332" s="124"/>
      <c r="T332" s="124"/>
      <c r="U332" s="124"/>
    </row>
    <row r="333" spans="1:21" s="106" customFormat="1" ht="13.8">
      <c r="A333" s="125"/>
      <c r="B333" s="34">
        <v>43962</v>
      </c>
      <c r="C333" s="124" t="s">
        <v>41</v>
      </c>
      <c r="D333" s="124">
        <v>162.94999999999999</v>
      </c>
      <c r="E333" s="124"/>
      <c r="F333" s="124"/>
      <c r="G333" s="124">
        <v>62.95</v>
      </c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</row>
    <row r="334" spans="1:21" s="106" customFormat="1" ht="13.8">
      <c r="A334" s="125"/>
      <c r="B334" s="34">
        <v>43962</v>
      </c>
      <c r="C334" s="124" t="s">
        <v>186</v>
      </c>
      <c r="D334" s="124">
        <v>-96</v>
      </c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>
        <v>-96</v>
      </c>
      <c r="R334" s="124"/>
      <c r="S334" s="124"/>
      <c r="T334" s="124"/>
      <c r="U334" s="124"/>
    </row>
    <row r="335" spans="1:21" s="106" customFormat="1" ht="13.8">
      <c r="A335" s="125"/>
      <c r="B335" s="34">
        <v>43963</v>
      </c>
      <c r="C335" s="124" t="s">
        <v>41</v>
      </c>
      <c r="D335" s="124">
        <v>30</v>
      </c>
      <c r="E335" s="124"/>
      <c r="F335" s="124"/>
      <c r="G335" s="124">
        <v>30</v>
      </c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</row>
    <row r="336" spans="1:21" s="106" customFormat="1" ht="13.8">
      <c r="A336" s="125"/>
      <c r="B336" s="34">
        <v>43964</v>
      </c>
      <c r="C336" s="124" t="s">
        <v>58</v>
      </c>
      <c r="D336" s="124">
        <v>400</v>
      </c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>
        <v>400</v>
      </c>
      <c r="T336" s="124"/>
      <c r="U336" s="124"/>
    </row>
    <row r="337" spans="1:21" s="106" customFormat="1" ht="13.8">
      <c r="A337" s="125"/>
      <c r="B337" s="34">
        <v>43964</v>
      </c>
      <c r="C337" s="124" t="s">
        <v>186</v>
      </c>
      <c r="D337" s="124">
        <v>90</v>
      </c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>
        <v>90</v>
      </c>
      <c r="R337" s="124"/>
      <c r="S337" s="124"/>
      <c r="T337" s="124"/>
      <c r="U337" s="124"/>
    </row>
    <row r="338" spans="1:21" s="106" customFormat="1" ht="13.8">
      <c r="A338" s="125"/>
      <c r="B338" s="34">
        <v>43965</v>
      </c>
      <c r="C338" s="124" t="s">
        <v>235</v>
      </c>
      <c r="D338" s="124">
        <v>50</v>
      </c>
      <c r="E338" s="124"/>
      <c r="F338" s="124">
        <v>50</v>
      </c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</row>
    <row r="339" spans="1:21" s="106" customFormat="1" ht="13.8">
      <c r="A339" s="125"/>
      <c r="B339" s="34">
        <v>43965</v>
      </c>
      <c r="C339" s="124" t="s">
        <v>39</v>
      </c>
      <c r="D339" s="124">
        <v>42.5</v>
      </c>
      <c r="E339" s="124"/>
      <c r="F339" s="124"/>
      <c r="G339" s="124">
        <v>22.5</v>
      </c>
      <c r="H339" s="124"/>
      <c r="I339" s="124"/>
      <c r="J339" s="124"/>
      <c r="K339" s="124"/>
      <c r="L339" s="124">
        <v>20</v>
      </c>
      <c r="M339" s="124"/>
      <c r="N339" s="124"/>
      <c r="O339" s="124"/>
      <c r="P339" s="124"/>
      <c r="Q339" s="124"/>
      <c r="R339" s="124"/>
      <c r="S339" s="124"/>
      <c r="T339" s="124"/>
      <c r="U339" s="124"/>
    </row>
    <row r="340" spans="1:21" s="106" customFormat="1" ht="13.8">
      <c r="A340" s="125"/>
      <c r="B340" s="34">
        <v>43965</v>
      </c>
      <c r="C340" s="124" t="s">
        <v>42</v>
      </c>
      <c r="D340" s="124">
        <v>152.1</v>
      </c>
      <c r="E340" s="124"/>
      <c r="F340" s="124">
        <v>49</v>
      </c>
      <c r="G340" s="124">
        <v>103.1</v>
      </c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</row>
    <row r="341" spans="1:21" s="106" customFormat="1" ht="13.8">
      <c r="A341" s="125"/>
      <c r="B341" s="34">
        <v>43965</v>
      </c>
      <c r="C341" s="124" t="s">
        <v>41</v>
      </c>
      <c r="D341" s="124">
        <v>30</v>
      </c>
      <c r="E341" s="124"/>
      <c r="F341" s="124"/>
      <c r="G341" s="124"/>
      <c r="H341" s="124"/>
      <c r="I341" s="124"/>
      <c r="J341" s="124"/>
      <c r="K341" s="124"/>
      <c r="L341" s="124">
        <v>30</v>
      </c>
      <c r="M341" s="124"/>
      <c r="N341" s="124"/>
      <c r="O341" s="124"/>
      <c r="P341" s="124"/>
      <c r="Q341" s="124"/>
      <c r="R341" s="124"/>
      <c r="S341" s="124"/>
      <c r="T341" s="124"/>
      <c r="U341" s="124"/>
    </row>
    <row r="342" spans="1:21" s="106" customFormat="1" ht="13.8">
      <c r="A342" s="125"/>
      <c r="B342" s="34">
        <v>43965</v>
      </c>
      <c r="C342" s="124" t="s">
        <v>123</v>
      </c>
      <c r="D342" s="124">
        <v>117</v>
      </c>
      <c r="E342" s="124"/>
      <c r="F342" s="124"/>
      <c r="G342" s="124">
        <v>15</v>
      </c>
      <c r="H342" s="124">
        <v>40</v>
      </c>
      <c r="I342" s="124">
        <v>40</v>
      </c>
      <c r="J342" s="124"/>
      <c r="K342" s="124"/>
      <c r="L342" s="124">
        <v>22</v>
      </c>
      <c r="M342" s="124"/>
      <c r="N342" s="124"/>
      <c r="O342" s="124"/>
      <c r="P342" s="124"/>
      <c r="Q342" s="124"/>
      <c r="R342" s="124"/>
      <c r="S342" s="124"/>
      <c r="T342" s="124"/>
      <c r="U342" s="124"/>
    </row>
    <row r="343" spans="1:21" s="106" customFormat="1" ht="13.8">
      <c r="A343" s="125"/>
      <c r="B343" s="34">
        <v>43965</v>
      </c>
      <c r="C343" s="124" t="s">
        <v>42</v>
      </c>
      <c r="D343" s="124">
        <v>96.4</v>
      </c>
      <c r="E343" s="124"/>
      <c r="F343" s="124"/>
      <c r="G343" s="124">
        <v>35.450000000000003</v>
      </c>
      <c r="H343" s="124"/>
      <c r="I343" s="124"/>
      <c r="J343" s="124"/>
      <c r="K343" s="124"/>
      <c r="L343" s="124">
        <v>60.95</v>
      </c>
      <c r="M343" s="124"/>
      <c r="N343" s="124"/>
      <c r="O343" s="124"/>
      <c r="P343" s="124"/>
      <c r="Q343" s="124"/>
      <c r="R343" s="124"/>
      <c r="S343" s="124"/>
      <c r="T343" s="124"/>
      <c r="U343" s="124"/>
    </row>
    <row r="344" spans="1:21" s="106" customFormat="1" ht="13.8">
      <c r="A344" s="125"/>
      <c r="B344" s="34">
        <v>43966</v>
      </c>
      <c r="C344" s="124" t="s">
        <v>124</v>
      </c>
      <c r="D344" s="124">
        <v>125.55</v>
      </c>
      <c r="E344" s="124"/>
      <c r="F344" s="124"/>
      <c r="G344" s="124"/>
      <c r="H344" s="124">
        <v>125.55</v>
      </c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</row>
    <row r="345" spans="1:21" s="106" customFormat="1" ht="13.8">
      <c r="A345" s="125"/>
      <c r="B345" s="34">
        <v>43966</v>
      </c>
      <c r="C345" s="124" t="s">
        <v>42</v>
      </c>
      <c r="D345" s="124">
        <v>23.7</v>
      </c>
      <c r="E345" s="124"/>
      <c r="F345" s="124"/>
      <c r="G345" s="124">
        <v>23.7</v>
      </c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</row>
    <row r="346" spans="1:21" s="106" customFormat="1" ht="13.8">
      <c r="A346" s="125"/>
      <c r="B346" s="34">
        <v>43967</v>
      </c>
      <c r="C346" s="124" t="s">
        <v>186</v>
      </c>
      <c r="D346" s="124">
        <v>75</v>
      </c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>
        <v>75</v>
      </c>
      <c r="R346" s="124"/>
      <c r="S346" s="124"/>
      <c r="T346" s="124"/>
      <c r="U346" s="124"/>
    </row>
    <row r="347" spans="1:21" s="106" customFormat="1" ht="13.8">
      <c r="A347" s="125"/>
      <c r="B347" s="34">
        <v>43969</v>
      </c>
      <c r="C347" s="124" t="s">
        <v>40</v>
      </c>
      <c r="D347" s="124">
        <v>67</v>
      </c>
      <c r="E347" s="124"/>
      <c r="F347" s="124"/>
      <c r="G347" s="124">
        <v>47</v>
      </c>
      <c r="H347" s="124"/>
      <c r="I347" s="124"/>
      <c r="J347" s="124"/>
      <c r="K347" s="124"/>
      <c r="L347" s="124">
        <v>20</v>
      </c>
      <c r="M347" s="124"/>
      <c r="N347" s="124"/>
      <c r="O347" s="124"/>
      <c r="P347" s="124"/>
      <c r="Q347" s="124"/>
      <c r="R347" s="124"/>
      <c r="S347" s="124"/>
      <c r="T347" s="124"/>
      <c r="U347" s="124"/>
    </row>
    <row r="348" spans="1:21" s="106" customFormat="1" ht="13.8">
      <c r="A348" s="125"/>
      <c r="B348" s="34">
        <v>43970</v>
      </c>
      <c r="C348" s="124" t="s">
        <v>366</v>
      </c>
      <c r="D348" s="124">
        <v>120</v>
      </c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>
        <v>120</v>
      </c>
      <c r="T348" s="124"/>
      <c r="U348" s="124"/>
    </row>
    <row r="349" spans="1:21" s="106" customFormat="1" ht="13.8">
      <c r="A349" s="125"/>
      <c r="B349" s="34">
        <v>43970</v>
      </c>
      <c r="C349" s="124" t="s">
        <v>39</v>
      </c>
      <c r="D349" s="124">
        <v>48.24</v>
      </c>
      <c r="E349" s="124"/>
      <c r="F349" s="124"/>
      <c r="G349" s="124">
        <v>48.24</v>
      </c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</row>
    <row r="350" spans="1:21" s="106" customFormat="1" ht="13.8">
      <c r="A350" s="125"/>
      <c r="B350" s="34">
        <v>43970</v>
      </c>
      <c r="C350" s="124" t="s">
        <v>41</v>
      </c>
      <c r="D350" s="124">
        <v>36</v>
      </c>
      <c r="E350" s="124"/>
      <c r="F350" s="124"/>
      <c r="G350" s="124">
        <v>36</v>
      </c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</row>
    <row r="351" spans="1:21" s="106" customFormat="1" ht="13.8">
      <c r="A351" s="125"/>
      <c r="B351" s="34">
        <v>43970</v>
      </c>
      <c r="C351" s="124" t="s">
        <v>40</v>
      </c>
      <c r="D351" s="124">
        <v>40</v>
      </c>
      <c r="E351" s="124"/>
      <c r="F351" s="124"/>
      <c r="G351" s="124"/>
      <c r="H351" s="124"/>
      <c r="I351" s="124"/>
      <c r="J351" s="124"/>
      <c r="K351" s="124"/>
      <c r="L351" s="124">
        <v>40</v>
      </c>
      <c r="M351" s="124"/>
      <c r="N351" s="124"/>
      <c r="O351" s="124"/>
      <c r="P351" s="124"/>
      <c r="Q351" s="124"/>
      <c r="R351" s="124"/>
      <c r="S351" s="124"/>
      <c r="T351" s="124"/>
      <c r="U351" s="124"/>
    </row>
    <row r="352" spans="1:21" s="106" customFormat="1" ht="13.8">
      <c r="A352" s="125"/>
      <c r="B352" s="34">
        <v>43970</v>
      </c>
      <c r="C352" s="124" t="s">
        <v>124</v>
      </c>
      <c r="D352" s="124">
        <v>78.900000000000006</v>
      </c>
      <c r="E352" s="124"/>
      <c r="F352" s="124"/>
      <c r="G352" s="124"/>
      <c r="H352" s="124">
        <v>78.900000000000006</v>
      </c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</row>
    <row r="353" spans="1:49" s="106" customFormat="1" ht="13.8">
      <c r="A353" s="125"/>
      <c r="B353" s="34">
        <v>43971</v>
      </c>
      <c r="C353" s="124" t="s">
        <v>38</v>
      </c>
      <c r="D353" s="124">
        <v>20</v>
      </c>
      <c r="E353" s="124"/>
      <c r="F353" s="124"/>
      <c r="G353" s="124">
        <v>20</v>
      </c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</row>
    <row r="354" spans="1:49" s="106" customFormat="1" ht="13.8">
      <c r="A354" s="125"/>
      <c r="B354" s="34">
        <v>43971</v>
      </c>
      <c r="C354" s="124" t="s">
        <v>42</v>
      </c>
      <c r="D354" s="124">
        <v>151.75</v>
      </c>
      <c r="E354" s="124"/>
      <c r="F354" s="124"/>
      <c r="G354" s="124">
        <v>111.75</v>
      </c>
      <c r="H354" s="124"/>
      <c r="I354" s="124"/>
      <c r="J354" s="124"/>
      <c r="K354" s="124"/>
      <c r="L354" s="124">
        <v>40</v>
      </c>
      <c r="M354" s="124"/>
      <c r="N354" s="124"/>
      <c r="O354" s="124"/>
      <c r="P354" s="124"/>
      <c r="Q354" s="124"/>
      <c r="R354" s="124"/>
      <c r="S354" s="124"/>
      <c r="T354" s="124"/>
      <c r="U354" s="124"/>
    </row>
    <row r="355" spans="1:49" s="106" customFormat="1" ht="13.8">
      <c r="A355" s="125"/>
      <c r="B355" s="34">
        <v>43972</v>
      </c>
      <c r="C355" s="124" t="s">
        <v>40</v>
      </c>
      <c r="D355" s="124">
        <v>42.5</v>
      </c>
      <c r="E355" s="124"/>
      <c r="F355" s="124"/>
      <c r="G355" s="124">
        <v>42.5</v>
      </c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</row>
    <row r="356" spans="1:49" s="106" customFormat="1" ht="13.8">
      <c r="A356" s="125"/>
      <c r="B356" s="34">
        <v>43972</v>
      </c>
      <c r="C356" s="124" t="s">
        <v>42</v>
      </c>
      <c r="D356" s="124">
        <v>180.65</v>
      </c>
      <c r="E356" s="124"/>
      <c r="F356" s="124"/>
      <c r="G356" s="124">
        <v>115.65</v>
      </c>
      <c r="H356" s="124"/>
      <c r="I356" s="124"/>
      <c r="J356" s="124"/>
      <c r="K356" s="124"/>
      <c r="L356" s="124">
        <v>65</v>
      </c>
      <c r="M356" s="124"/>
      <c r="N356" s="124"/>
      <c r="O356" s="124"/>
      <c r="P356" s="124"/>
      <c r="Q356" s="124"/>
      <c r="R356" s="124"/>
      <c r="S356" s="124"/>
      <c r="T356" s="124"/>
      <c r="U356" s="124"/>
    </row>
    <row r="357" spans="1:49" s="106" customFormat="1" ht="13.8">
      <c r="A357" s="125"/>
      <c r="B357" s="34">
        <v>43973</v>
      </c>
      <c r="C357" s="124" t="s">
        <v>123</v>
      </c>
      <c r="D357" s="124">
        <v>80</v>
      </c>
      <c r="E357" s="124"/>
      <c r="F357" s="124"/>
      <c r="G357" s="124">
        <v>80</v>
      </c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</row>
    <row r="358" spans="1:49" s="106" customFormat="1" ht="13.8">
      <c r="A358" s="125"/>
      <c r="B358" s="34">
        <v>43974</v>
      </c>
      <c r="C358" s="124" t="s">
        <v>41</v>
      </c>
      <c r="D358" s="124">
        <v>104</v>
      </c>
      <c r="E358" s="124"/>
      <c r="F358" s="124"/>
      <c r="G358" s="124">
        <v>66</v>
      </c>
      <c r="H358" s="124"/>
      <c r="I358" s="124"/>
      <c r="J358" s="124"/>
      <c r="K358" s="124"/>
      <c r="L358" s="124">
        <v>38</v>
      </c>
      <c r="M358" s="124"/>
      <c r="N358" s="124"/>
      <c r="O358" s="124"/>
      <c r="P358" s="124"/>
      <c r="Q358" s="124"/>
      <c r="R358" s="124"/>
      <c r="S358" s="124"/>
      <c r="T358" s="124"/>
      <c r="U358" s="124"/>
    </row>
    <row r="359" spans="1:49" s="106" customFormat="1" ht="13.8">
      <c r="A359" s="125"/>
      <c r="B359" s="34">
        <v>43975</v>
      </c>
      <c r="C359" s="124" t="s">
        <v>162</v>
      </c>
      <c r="D359" s="124">
        <v>115</v>
      </c>
      <c r="E359" s="124"/>
      <c r="F359" s="124">
        <v>115</v>
      </c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</row>
    <row r="360" spans="1:49" s="106" customFormat="1" ht="13.8">
      <c r="A360" s="125"/>
      <c r="B360" s="34">
        <v>43975</v>
      </c>
      <c r="C360" s="124" t="s">
        <v>40</v>
      </c>
      <c r="D360" s="124">
        <v>83.95</v>
      </c>
      <c r="E360" s="124"/>
      <c r="F360" s="124">
        <v>29</v>
      </c>
      <c r="G360" s="124">
        <v>54.95</v>
      </c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</row>
    <row r="361" spans="1:49" s="106" customFormat="1" ht="13.8">
      <c r="A361" s="125"/>
      <c r="B361" s="34">
        <v>43976</v>
      </c>
      <c r="C361" s="124" t="s">
        <v>40</v>
      </c>
      <c r="D361" s="124">
        <v>90.9</v>
      </c>
      <c r="E361" s="124"/>
      <c r="F361" s="124"/>
      <c r="G361" s="124">
        <v>90.9</v>
      </c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</row>
    <row r="362" spans="1:49" s="106" customFormat="1" ht="13.8">
      <c r="A362" s="125"/>
      <c r="B362" s="34">
        <v>43979</v>
      </c>
      <c r="C362" s="124" t="s">
        <v>280</v>
      </c>
      <c r="D362" s="124">
        <v>428</v>
      </c>
      <c r="E362" s="124"/>
      <c r="F362" s="124">
        <v>428</v>
      </c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</row>
    <row r="363" spans="1:49" s="106" customFormat="1" ht="13.8">
      <c r="A363" s="125"/>
      <c r="B363" s="34">
        <v>43979</v>
      </c>
      <c r="C363" s="124" t="s">
        <v>393</v>
      </c>
      <c r="D363" s="124">
        <v>140</v>
      </c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</row>
    <row r="364" spans="1:49" s="106" customFormat="1" ht="13.8">
      <c r="A364" s="125"/>
      <c r="B364" s="34">
        <v>43979</v>
      </c>
      <c r="C364" s="124" t="s">
        <v>216</v>
      </c>
      <c r="D364" s="124">
        <v>111.95</v>
      </c>
      <c r="E364" s="124"/>
      <c r="F364" s="124">
        <v>81.95</v>
      </c>
      <c r="G364" s="124">
        <v>30</v>
      </c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</row>
    <row r="365" spans="1:49" s="106" customFormat="1" ht="13.8">
      <c r="A365" s="125"/>
      <c r="B365" s="34">
        <v>43979</v>
      </c>
      <c r="C365" s="124" t="s">
        <v>123</v>
      </c>
      <c r="D365" s="124">
        <v>25.9</v>
      </c>
      <c r="E365" s="124"/>
      <c r="F365" s="124"/>
      <c r="G365" s="124">
        <v>25.9</v>
      </c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</row>
    <row r="366" spans="1:49" s="106" customFormat="1" ht="13.8">
      <c r="A366" s="125">
        <v>125.85</v>
      </c>
      <c r="B366" s="34">
        <v>43979</v>
      </c>
      <c r="C366" s="124" t="s">
        <v>42</v>
      </c>
      <c r="D366" s="124">
        <v>125.85</v>
      </c>
      <c r="E366" s="124"/>
      <c r="F366" s="124">
        <v>19</v>
      </c>
      <c r="G366" s="124">
        <v>106.85</v>
      </c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</row>
    <row r="367" spans="1:49" s="106" customFormat="1" ht="13.8">
      <c r="A367" s="125"/>
      <c r="B367" s="34">
        <v>43979</v>
      </c>
      <c r="C367" s="124" t="s">
        <v>39</v>
      </c>
      <c r="D367" s="124">
        <v>128.75</v>
      </c>
      <c r="E367" s="124"/>
      <c r="F367" s="124">
        <v>39</v>
      </c>
      <c r="G367" s="124">
        <v>89.75</v>
      </c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</row>
    <row r="368" spans="1:49" s="120" customFormat="1" ht="12" customHeight="1">
      <c r="A368" s="60"/>
      <c r="B368" s="248" t="str">
        <f>B296</f>
        <v>maj</v>
      </c>
      <c r="C368" s="247" t="s">
        <v>36</v>
      </c>
      <c r="D368" s="247">
        <f t="shared" ref="D368:U368" si="27">SUM(D369:D369)</f>
        <v>0</v>
      </c>
      <c r="E368" s="247">
        <f t="shared" si="27"/>
        <v>0</v>
      </c>
      <c r="F368" s="247">
        <f t="shared" si="27"/>
        <v>0</v>
      </c>
      <c r="G368" s="247">
        <f t="shared" si="27"/>
        <v>0</v>
      </c>
      <c r="H368" s="247">
        <f t="shared" si="27"/>
        <v>0</v>
      </c>
      <c r="I368" s="247">
        <f t="shared" si="27"/>
        <v>0</v>
      </c>
      <c r="J368" s="247">
        <f t="shared" si="27"/>
        <v>0</v>
      </c>
      <c r="K368" s="247">
        <f t="shared" si="27"/>
        <v>0</v>
      </c>
      <c r="L368" s="247">
        <f t="shared" si="27"/>
        <v>0</v>
      </c>
      <c r="M368" s="247">
        <f t="shared" si="27"/>
        <v>0</v>
      </c>
      <c r="N368" s="247">
        <f t="shared" si="27"/>
        <v>0</v>
      </c>
      <c r="O368" s="247">
        <f t="shared" si="27"/>
        <v>0</v>
      </c>
      <c r="P368" s="247">
        <f t="shared" si="27"/>
        <v>0</v>
      </c>
      <c r="Q368" s="247">
        <f t="shared" si="27"/>
        <v>0</v>
      </c>
      <c r="R368" s="247">
        <f t="shared" si="27"/>
        <v>0</v>
      </c>
      <c r="S368" s="247">
        <f t="shared" si="27"/>
        <v>0</v>
      </c>
      <c r="T368" s="247">
        <f t="shared" si="27"/>
        <v>0</v>
      </c>
      <c r="U368" s="247">
        <f t="shared" si="27"/>
        <v>0</v>
      </c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</row>
    <row r="369" spans="1:49" s="120" customFormat="1" ht="12" customHeight="1">
      <c r="A369" s="60"/>
      <c r="B369" s="248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247"/>
      <c r="Q369" s="247"/>
      <c r="R369" s="247"/>
      <c r="S369" s="247"/>
      <c r="T369" s="247"/>
      <c r="U369" s="247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</row>
    <row r="370" spans="1:49" s="126" customFormat="1" ht="13.5" customHeight="1">
      <c r="A370" s="39"/>
      <c r="B370" s="2948" t="str">
        <f>H2</f>
        <v>juni</v>
      </c>
      <c r="C370" s="3003"/>
      <c r="D370" s="36">
        <f t="shared" ref="D370:U370" si="28">SUM(D371:D441)</f>
        <v>3643.879999999996</v>
      </c>
      <c r="E370" s="36">
        <f t="shared" si="28"/>
        <v>1731.26</v>
      </c>
      <c r="F370" s="36">
        <f t="shared" si="28"/>
        <v>3818.7999999999997</v>
      </c>
      <c r="G370" s="36">
        <f t="shared" si="28"/>
        <v>1719.1399999999999</v>
      </c>
      <c r="H370" s="36">
        <f t="shared" si="28"/>
        <v>168.15</v>
      </c>
      <c r="I370" s="36">
        <f t="shared" si="28"/>
        <v>35</v>
      </c>
      <c r="J370" s="36">
        <f t="shared" si="28"/>
        <v>110</v>
      </c>
      <c r="K370" s="36">
        <f t="shared" si="28"/>
        <v>0</v>
      </c>
      <c r="L370" s="36">
        <f t="shared" si="28"/>
        <v>274.95</v>
      </c>
      <c r="M370" s="36">
        <f t="shared" si="28"/>
        <v>7474</v>
      </c>
      <c r="N370" s="36">
        <f t="shared" si="28"/>
        <v>0</v>
      </c>
      <c r="O370" s="36">
        <f t="shared" si="28"/>
        <v>674.63</v>
      </c>
      <c r="P370" s="36">
        <f t="shared" si="28"/>
        <v>992</v>
      </c>
      <c r="Q370" s="36">
        <f t="shared" si="28"/>
        <v>309</v>
      </c>
      <c r="R370" s="36">
        <f t="shared" si="28"/>
        <v>0</v>
      </c>
      <c r="S370" s="36">
        <f t="shared" si="28"/>
        <v>198.19</v>
      </c>
      <c r="T370" s="36">
        <f t="shared" si="28"/>
        <v>5478.26</v>
      </c>
      <c r="U370" s="36">
        <f t="shared" si="28"/>
        <v>698</v>
      </c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</row>
    <row r="371" spans="1:49" s="106" customFormat="1" ht="13.8">
      <c r="A371" s="125"/>
      <c r="B371" s="34">
        <v>43980</v>
      </c>
      <c r="C371" s="124" t="s">
        <v>34</v>
      </c>
      <c r="D371" s="124">
        <v>-7733</v>
      </c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</row>
    <row r="372" spans="1:49" s="106" customFormat="1" ht="13.8">
      <c r="A372" s="125"/>
      <c r="B372" s="34">
        <v>43980</v>
      </c>
      <c r="C372" s="124" t="s">
        <v>33</v>
      </c>
      <c r="D372" s="124">
        <v>-205</v>
      </c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</row>
    <row r="373" spans="1:49" s="106" customFormat="1" ht="13.8">
      <c r="A373" s="125"/>
      <c r="B373" s="34">
        <v>43980</v>
      </c>
      <c r="C373" s="124" t="s">
        <v>35</v>
      </c>
      <c r="D373" s="124">
        <v>-11004</v>
      </c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</row>
    <row r="374" spans="1:49" s="106" customFormat="1" ht="13.8">
      <c r="A374" s="125"/>
      <c r="B374" s="34">
        <v>43980</v>
      </c>
      <c r="C374" s="124" t="s">
        <v>21</v>
      </c>
      <c r="D374" s="124">
        <v>167</v>
      </c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>
        <f>D374</f>
        <v>167</v>
      </c>
      <c r="Q374" s="124"/>
      <c r="R374" s="124"/>
      <c r="S374" s="124"/>
      <c r="T374" s="124"/>
      <c r="U374" s="124"/>
    </row>
    <row r="375" spans="1:49" s="106" customFormat="1" ht="13.8">
      <c r="A375" s="125"/>
      <c r="B375" s="34">
        <v>43980</v>
      </c>
      <c r="C375" s="124" t="s">
        <v>38</v>
      </c>
      <c r="D375" s="124">
        <v>77.599999999999994</v>
      </c>
      <c r="E375" s="124"/>
      <c r="F375" s="124"/>
      <c r="G375" s="124">
        <v>77.599999999999994</v>
      </c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</row>
    <row r="376" spans="1:49" s="106" customFormat="1" ht="13.8">
      <c r="A376" s="125"/>
      <c r="B376" s="34">
        <v>43980</v>
      </c>
      <c r="C376" s="124" t="s">
        <v>42</v>
      </c>
      <c r="D376" s="124">
        <v>114.3</v>
      </c>
      <c r="E376" s="124"/>
      <c r="F376" s="124"/>
      <c r="G376" s="124">
        <v>94.3</v>
      </c>
      <c r="H376" s="124"/>
      <c r="I376" s="124"/>
      <c r="J376" s="124"/>
      <c r="K376" s="124"/>
      <c r="L376" s="124">
        <v>20</v>
      </c>
      <c r="M376" s="124"/>
      <c r="N376" s="124"/>
      <c r="O376" s="124"/>
      <c r="P376" s="124"/>
      <c r="Q376" s="124"/>
      <c r="R376" s="124"/>
      <c r="S376" s="124"/>
      <c r="T376" s="124"/>
      <c r="U376" s="124"/>
    </row>
    <row r="377" spans="1:49" s="106" customFormat="1" ht="13.8">
      <c r="A377" s="125"/>
      <c r="B377" s="34">
        <v>43980</v>
      </c>
      <c r="C377" s="124" t="s">
        <v>392</v>
      </c>
      <c r="D377" s="124">
        <v>116</v>
      </c>
      <c r="E377" s="124"/>
      <c r="F377" s="124">
        <v>116</v>
      </c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</row>
    <row r="378" spans="1:49" s="106" customFormat="1" ht="13.8">
      <c r="A378" s="125"/>
      <c r="B378" s="34">
        <v>43980</v>
      </c>
      <c r="C378" s="124" t="s">
        <v>391</v>
      </c>
      <c r="D378" s="124">
        <v>86</v>
      </c>
      <c r="E378" s="124"/>
      <c r="F378" s="124">
        <v>86</v>
      </c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</row>
    <row r="379" spans="1:49" s="106" customFormat="1" ht="13.8">
      <c r="A379" s="125"/>
      <c r="B379" s="34">
        <v>43981</v>
      </c>
      <c r="C379" s="124" t="s">
        <v>38</v>
      </c>
      <c r="D379" s="124">
        <v>86.95</v>
      </c>
      <c r="E379" s="124"/>
      <c r="F379" s="124">
        <v>66.95</v>
      </c>
      <c r="G379" s="124"/>
      <c r="H379" s="124"/>
      <c r="I379" s="124"/>
      <c r="J379" s="124"/>
      <c r="K379" s="124"/>
      <c r="L379" s="124">
        <v>20</v>
      </c>
      <c r="M379" s="124"/>
      <c r="N379" s="124"/>
      <c r="O379" s="124"/>
      <c r="P379" s="124"/>
      <c r="Q379" s="124"/>
      <c r="R379" s="124"/>
      <c r="S379" s="124"/>
      <c r="T379" s="124"/>
      <c r="U379" s="124"/>
    </row>
    <row r="380" spans="1:49" s="106" customFormat="1" ht="13.8">
      <c r="A380" s="125"/>
      <c r="B380" s="34">
        <v>43981</v>
      </c>
      <c r="C380" s="124" t="s">
        <v>216</v>
      </c>
      <c r="D380" s="124">
        <v>207</v>
      </c>
      <c r="E380" s="124"/>
      <c r="F380" s="124">
        <v>108</v>
      </c>
      <c r="G380" s="124"/>
      <c r="H380" s="124"/>
      <c r="I380" s="124"/>
      <c r="J380" s="124"/>
      <c r="K380" s="124"/>
      <c r="L380" s="124"/>
      <c r="M380" s="124"/>
      <c r="N380" s="124"/>
      <c r="O380" s="124">
        <v>99</v>
      </c>
      <c r="P380" s="124"/>
      <c r="Q380" s="124"/>
      <c r="R380" s="124"/>
      <c r="S380" s="124"/>
      <c r="T380" s="124"/>
      <c r="U380" s="124"/>
    </row>
    <row r="381" spans="1:49" s="106" customFormat="1" ht="13.8">
      <c r="A381" s="125"/>
      <c r="B381" s="34">
        <v>43982</v>
      </c>
      <c r="C381" s="124" t="s">
        <v>390</v>
      </c>
      <c r="D381" s="124">
        <v>724.75</v>
      </c>
      <c r="E381" s="124"/>
      <c r="F381" s="124">
        <v>26.75</v>
      </c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>
        <v>698</v>
      </c>
    </row>
    <row r="382" spans="1:49" s="106" customFormat="1" ht="13.8">
      <c r="A382" s="125"/>
      <c r="B382" s="34">
        <v>43982</v>
      </c>
      <c r="C382" s="124" t="s">
        <v>186</v>
      </c>
      <c r="D382" s="124">
        <v>120</v>
      </c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>
        <v>120</v>
      </c>
      <c r="R382" s="124"/>
      <c r="S382" s="124"/>
      <c r="T382" s="124"/>
      <c r="U382" s="124"/>
    </row>
    <row r="383" spans="1:49" s="106" customFormat="1" ht="13.8">
      <c r="A383" s="125"/>
      <c r="B383" s="34">
        <v>43983</v>
      </c>
      <c r="C383" s="124" t="s">
        <v>230</v>
      </c>
      <c r="D383" s="124">
        <v>229</v>
      </c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>
        <f>D383</f>
        <v>229</v>
      </c>
      <c r="Q383" s="124"/>
      <c r="R383" s="124"/>
      <c r="S383" s="124"/>
      <c r="T383" s="124"/>
      <c r="U383" s="124"/>
    </row>
    <row r="384" spans="1:49" s="106" customFormat="1" ht="13.8">
      <c r="A384" s="125"/>
      <c r="B384" s="34">
        <v>43983</v>
      </c>
      <c r="C384" s="124" t="s">
        <v>42</v>
      </c>
      <c r="D384" s="124">
        <v>109.5</v>
      </c>
      <c r="E384" s="124"/>
      <c r="F384" s="124">
        <v>69.5</v>
      </c>
      <c r="G384" s="124"/>
      <c r="H384" s="124"/>
      <c r="I384" s="124"/>
      <c r="J384" s="124"/>
      <c r="K384" s="124"/>
      <c r="L384" s="124">
        <v>40</v>
      </c>
      <c r="M384" s="124"/>
      <c r="N384" s="124"/>
      <c r="O384" s="124"/>
      <c r="P384" s="124"/>
      <c r="Q384" s="124"/>
      <c r="R384" s="124"/>
      <c r="S384" s="124"/>
      <c r="T384" s="124"/>
      <c r="U384" s="124"/>
    </row>
    <row r="385" spans="1:21" s="106" customFormat="1" ht="13.8">
      <c r="A385" s="125"/>
      <c r="B385" s="34">
        <v>43984</v>
      </c>
      <c r="C385" s="124" t="s">
        <v>31</v>
      </c>
      <c r="D385" s="124">
        <v>-1151</v>
      </c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</row>
    <row r="386" spans="1:21" s="106" customFormat="1" ht="13.8">
      <c r="A386" s="125">
        <v>0.33333333333333331</v>
      </c>
      <c r="B386" s="34">
        <v>43984</v>
      </c>
      <c r="C386" s="124" t="s">
        <v>239</v>
      </c>
      <c r="D386" s="124">
        <v>-50</v>
      </c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>
        <v>-50</v>
      </c>
      <c r="R386" s="124"/>
      <c r="S386" s="124"/>
      <c r="T386" s="124"/>
      <c r="U386" s="124"/>
    </row>
    <row r="387" spans="1:21" s="106" customFormat="1" ht="13.8">
      <c r="A387" s="125"/>
      <c r="B387" s="34">
        <v>43984</v>
      </c>
      <c r="C387" s="124" t="s">
        <v>30</v>
      </c>
      <c r="D387" s="124">
        <v>7474</v>
      </c>
      <c r="E387" s="124"/>
      <c r="F387" s="124"/>
      <c r="G387" s="124"/>
      <c r="H387" s="124"/>
      <c r="I387" s="124"/>
      <c r="J387" s="124"/>
      <c r="K387" s="124"/>
      <c r="L387" s="124"/>
      <c r="M387" s="124">
        <f>D387</f>
        <v>7474</v>
      </c>
      <c r="N387" s="124"/>
      <c r="O387" s="124"/>
      <c r="P387" s="124"/>
      <c r="Q387" s="124"/>
      <c r="R387" s="124"/>
      <c r="S387" s="124"/>
      <c r="T387" s="124"/>
      <c r="U387" s="124"/>
    </row>
    <row r="388" spans="1:21" s="106" customFormat="1" ht="13.8">
      <c r="A388" s="125"/>
      <c r="B388" s="34">
        <v>43984</v>
      </c>
      <c r="C388" s="124" t="s">
        <v>125</v>
      </c>
      <c r="D388" s="124">
        <v>119</v>
      </c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>
        <f>D388</f>
        <v>119</v>
      </c>
      <c r="R388" s="124"/>
      <c r="S388" s="124"/>
      <c r="T388" s="124"/>
      <c r="U388" s="124"/>
    </row>
    <row r="389" spans="1:21" s="106" customFormat="1" ht="13.8">
      <c r="A389" s="125"/>
      <c r="B389" s="34">
        <v>43984</v>
      </c>
      <c r="C389" s="124" t="s">
        <v>182</v>
      </c>
      <c r="D389" s="124">
        <v>284</v>
      </c>
      <c r="E389" s="124">
        <f>D389</f>
        <v>284</v>
      </c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</row>
    <row r="390" spans="1:21" s="106" customFormat="1" ht="13.8">
      <c r="A390" s="125"/>
      <c r="B390" s="34">
        <v>43984</v>
      </c>
      <c r="C390" s="124" t="s">
        <v>183</v>
      </c>
      <c r="D390" s="124">
        <v>438.75</v>
      </c>
      <c r="E390" s="124">
        <f>D390</f>
        <v>438.75</v>
      </c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</row>
    <row r="391" spans="1:21" s="106" customFormat="1" ht="13.8">
      <c r="A391" s="125"/>
      <c r="B391" s="34">
        <v>43984</v>
      </c>
      <c r="C391" s="124" t="s">
        <v>265</v>
      </c>
      <c r="D391" s="124">
        <v>330.78</v>
      </c>
      <c r="E391" s="124">
        <f>D391</f>
        <v>330.78</v>
      </c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</row>
    <row r="392" spans="1:21" s="106" customFormat="1" ht="13.8">
      <c r="A392" s="125"/>
      <c r="B392" s="34">
        <v>43984</v>
      </c>
      <c r="C392" s="124" t="s">
        <v>363</v>
      </c>
      <c r="D392" s="124">
        <v>536.63</v>
      </c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>
        <f>D392</f>
        <v>536.63</v>
      </c>
      <c r="P392" s="124"/>
      <c r="Q392" s="124"/>
      <c r="R392" s="124"/>
      <c r="S392" s="124"/>
      <c r="T392" s="124"/>
      <c r="U392" s="124"/>
    </row>
    <row r="393" spans="1:21" s="106" customFormat="1" ht="13.8">
      <c r="A393" s="125"/>
      <c r="B393" s="34">
        <v>43984</v>
      </c>
      <c r="C393" s="124" t="s">
        <v>381</v>
      </c>
      <c r="D393" s="124">
        <v>977.86</v>
      </c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>
        <f>D393</f>
        <v>977.86</v>
      </c>
      <c r="U393" s="124"/>
    </row>
    <row r="394" spans="1:21" s="106" customFormat="1" ht="13.8">
      <c r="A394" s="125"/>
      <c r="B394" s="34">
        <v>43984</v>
      </c>
      <c r="C394" s="124" t="s">
        <v>186</v>
      </c>
      <c r="D394" s="124">
        <v>120</v>
      </c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>
        <v>120</v>
      </c>
      <c r="R394" s="124"/>
      <c r="S394" s="124"/>
      <c r="T394" s="124"/>
      <c r="U394" s="124"/>
    </row>
    <row r="395" spans="1:21" s="106" customFormat="1" ht="13.8">
      <c r="A395" s="125"/>
      <c r="B395" s="34">
        <v>43984</v>
      </c>
      <c r="C395" s="124" t="s">
        <v>265</v>
      </c>
      <c r="D395" s="124">
        <v>490</v>
      </c>
      <c r="E395" s="124">
        <f>D395</f>
        <v>490</v>
      </c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</row>
    <row r="396" spans="1:21" s="106" customFormat="1" ht="13.8">
      <c r="A396" s="125"/>
      <c r="B396" s="34">
        <v>43983</v>
      </c>
      <c r="C396" s="124" t="s">
        <v>22</v>
      </c>
      <c r="D396" s="124">
        <v>168</v>
      </c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>
        <f>D396</f>
        <v>168</v>
      </c>
      <c r="Q396" s="124"/>
      <c r="R396" s="124"/>
      <c r="S396" s="124"/>
      <c r="T396" s="124"/>
      <c r="U396" s="124"/>
    </row>
    <row r="397" spans="1:21" s="106" customFormat="1" ht="13.8">
      <c r="A397" s="125"/>
      <c r="B397" s="34">
        <v>43984</v>
      </c>
      <c r="C397" s="124" t="s">
        <v>42</v>
      </c>
      <c r="D397" s="124">
        <v>135.6</v>
      </c>
      <c r="E397" s="124"/>
      <c r="F397" s="124"/>
      <c r="G397" s="124">
        <v>55.6</v>
      </c>
      <c r="H397" s="124"/>
      <c r="I397" s="124"/>
      <c r="J397" s="124"/>
      <c r="K397" s="124"/>
      <c r="L397" s="124">
        <v>80</v>
      </c>
      <c r="M397" s="124"/>
      <c r="N397" s="124"/>
      <c r="O397" s="124"/>
      <c r="P397" s="124"/>
      <c r="Q397" s="124"/>
      <c r="R397" s="124"/>
      <c r="S397" s="124"/>
      <c r="T397" s="124"/>
      <c r="U397" s="124"/>
    </row>
    <row r="398" spans="1:21" s="106" customFormat="1" ht="13.8">
      <c r="A398" s="125"/>
      <c r="B398" s="34">
        <v>43985</v>
      </c>
      <c r="C398" s="124" t="s">
        <v>139</v>
      </c>
      <c r="D398" s="124">
        <v>-151.81</v>
      </c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>
        <v>-151.81</v>
      </c>
      <c r="T398" s="124"/>
      <c r="U398" s="124"/>
    </row>
    <row r="399" spans="1:21" s="106" customFormat="1" ht="13.8">
      <c r="A399" s="125"/>
      <c r="B399" s="34">
        <v>43985</v>
      </c>
      <c r="C399" s="124" t="s">
        <v>42</v>
      </c>
      <c r="D399" s="124">
        <v>40</v>
      </c>
      <c r="E399" s="124"/>
      <c r="F399" s="124"/>
      <c r="G399" s="124"/>
      <c r="H399" s="124"/>
      <c r="I399" s="124"/>
      <c r="J399" s="124"/>
      <c r="K399" s="124"/>
      <c r="L399" s="124">
        <v>40</v>
      </c>
      <c r="M399" s="124"/>
      <c r="N399" s="124"/>
      <c r="O399" s="124"/>
      <c r="P399" s="124"/>
      <c r="Q399" s="124"/>
      <c r="R399" s="124"/>
      <c r="S399" s="124"/>
      <c r="T399" s="124"/>
      <c r="U399" s="124"/>
    </row>
    <row r="400" spans="1:21" s="106" customFormat="1" ht="13.8">
      <c r="A400" s="125"/>
      <c r="B400" s="34">
        <v>43985</v>
      </c>
      <c r="C400" s="124" t="s">
        <v>162</v>
      </c>
      <c r="D400" s="124">
        <v>68</v>
      </c>
      <c r="E400" s="124"/>
      <c r="F400" s="124">
        <v>68</v>
      </c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</row>
    <row r="401" spans="1:21" s="106" customFormat="1" ht="13.8">
      <c r="A401" s="125"/>
      <c r="B401" s="34">
        <v>43986</v>
      </c>
      <c r="C401" s="124" t="s">
        <v>40</v>
      </c>
      <c r="D401" s="124">
        <v>35</v>
      </c>
      <c r="E401" s="124"/>
      <c r="F401" s="124"/>
      <c r="G401" s="124">
        <v>35</v>
      </c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</row>
    <row r="402" spans="1:21" s="106" customFormat="1" ht="13.8">
      <c r="A402" s="125"/>
      <c r="B402" s="34">
        <v>43986</v>
      </c>
      <c r="C402" s="124" t="s">
        <v>42</v>
      </c>
      <c r="D402" s="124">
        <v>35.6</v>
      </c>
      <c r="E402" s="124"/>
      <c r="F402" s="124"/>
      <c r="G402" s="124">
        <v>35.6</v>
      </c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</row>
    <row r="403" spans="1:21" s="106" customFormat="1" ht="13.8">
      <c r="A403" s="125"/>
      <c r="B403" s="34">
        <v>43990</v>
      </c>
      <c r="C403" s="124" t="s">
        <v>20</v>
      </c>
      <c r="D403" s="124">
        <v>187.73</v>
      </c>
      <c r="E403" s="124">
        <f>D403</f>
        <v>187.73</v>
      </c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</row>
    <row r="404" spans="1:21" s="106" customFormat="1" ht="13.8">
      <c r="A404" s="125"/>
      <c r="B404" s="34">
        <v>43990</v>
      </c>
      <c r="C404" s="124" t="s">
        <v>180</v>
      </c>
      <c r="D404" s="124">
        <v>395.78</v>
      </c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>
        <f>D404</f>
        <v>395.78</v>
      </c>
      <c r="U404" s="124"/>
    </row>
    <row r="405" spans="1:21" s="106" customFormat="1" ht="13.8">
      <c r="A405" s="125"/>
      <c r="B405" s="34">
        <v>43990</v>
      </c>
      <c r="C405" s="124" t="s">
        <v>280</v>
      </c>
      <c r="D405" s="124">
        <v>428</v>
      </c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>
        <v>428</v>
      </c>
      <c r="Q405" s="124"/>
      <c r="R405" s="124"/>
      <c r="S405" s="124"/>
      <c r="T405" s="124"/>
      <c r="U405" s="124"/>
    </row>
    <row r="406" spans="1:21" s="106" customFormat="1" ht="13.8">
      <c r="A406" s="125"/>
      <c r="B406" s="34">
        <v>43990</v>
      </c>
      <c r="C406" s="124" t="s">
        <v>42</v>
      </c>
      <c r="D406" s="124">
        <v>35.6</v>
      </c>
      <c r="E406" s="124"/>
      <c r="F406" s="124"/>
      <c r="G406" s="124">
        <v>35.6</v>
      </c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</row>
    <row r="407" spans="1:21" s="106" customFormat="1" ht="13.8">
      <c r="A407" s="125"/>
      <c r="B407" s="34">
        <v>43990</v>
      </c>
      <c r="C407" s="124" t="s">
        <v>40</v>
      </c>
      <c r="D407" s="124">
        <v>35</v>
      </c>
      <c r="E407" s="124"/>
      <c r="F407" s="124"/>
      <c r="G407" s="124">
        <v>35</v>
      </c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</row>
    <row r="408" spans="1:21" s="106" customFormat="1" ht="13.8">
      <c r="A408" s="125"/>
      <c r="B408" s="34">
        <v>43990</v>
      </c>
      <c r="C408" s="124" t="s">
        <v>41</v>
      </c>
      <c r="D408" s="124">
        <v>31</v>
      </c>
      <c r="E408" s="124"/>
      <c r="F408" s="124"/>
      <c r="G408" s="124">
        <v>31</v>
      </c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</row>
    <row r="409" spans="1:21" s="106" customFormat="1" ht="13.8">
      <c r="A409" s="125"/>
      <c r="B409" s="34">
        <v>43990</v>
      </c>
      <c r="C409" s="124" t="s">
        <v>123</v>
      </c>
      <c r="D409" s="124">
        <v>122.95</v>
      </c>
      <c r="E409" s="124"/>
      <c r="F409" s="124"/>
      <c r="G409" s="124">
        <v>122.95</v>
      </c>
      <c r="H409" s="124"/>
      <c r="I409" s="124"/>
      <c r="J409" s="124"/>
      <c r="K409" s="124"/>
      <c r="L409" s="124"/>
      <c r="M409" s="124" t="s">
        <v>389</v>
      </c>
      <c r="N409" s="124"/>
      <c r="O409" s="124"/>
      <c r="P409" s="124"/>
      <c r="Q409" s="124"/>
      <c r="R409" s="124"/>
      <c r="S409" s="124"/>
      <c r="T409" s="124"/>
      <c r="U409" s="124"/>
    </row>
    <row r="410" spans="1:21" s="106" customFormat="1" ht="13.8">
      <c r="A410" s="125"/>
      <c r="B410" s="34">
        <v>43990</v>
      </c>
      <c r="C410" s="124" t="s">
        <v>42</v>
      </c>
      <c r="D410" s="124">
        <v>79.400000000000006</v>
      </c>
      <c r="E410" s="124"/>
      <c r="F410" s="124"/>
      <c r="G410" s="124">
        <v>79.400000000000006</v>
      </c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</row>
    <row r="411" spans="1:21" s="106" customFormat="1" ht="13.8">
      <c r="A411" s="125"/>
      <c r="B411" s="34">
        <v>43990</v>
      </c>
      <c r="C411" s="124" t="s">
        <v>40</v>
      </c>
      <c r="D411" s="124">
        <v>69.900000000000006</v>
      </c>
      <c r="E411" s="124"/>
      <c r="F411" s="124"/>
      <c r="G411" s="124">
        <v>69.900000000000006</v>
      </c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</row>
    <row r="412" spans="1:21" s="106" customFormat="1" ht="13.8">
      <c r="A412" s="125"/>
      <c r="B412" s="34">
        <v>43990</v>
      </c>
      <c r="C412" s="124" t="s">
        <v>385</v>
      </c>
      <c r="D412" s="124">
        <v>1000</v>
      </c>
      <c r="E412" s="124"/>
      <c r="F412" s="124">
        <v>1000</v>
      </c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</row>
    <row r="413" spans="1:21" s="106" customFormat="1" ht="13.8">
      <c r="A413" s="125"/>
      <c r="B413" s="34">
        <v>43990</v>
      </c>
      <c r="C413" s="124" t="s">
        <v>388</v>
      </c>
      <c r="D413" s="124">
        <v>350</v>
      </c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>
        <v>350</v>
      </c>
      <c r="T413" s="124"/>
      <c r="U413" s="124"/>
    </row>
    <row r="414" spans="1:21" s="106" customFormat="1" ht="13.8">
      <c r="A414" s="125"/>
      <c r="B414" s="34">
        <v>43991</v>
      </c>
      <c r="C414" s="124" t="s">
        <v>387</v>
      </c>
      <c r="D414" s="124">
        <v>1020</v>
      </c>
      <c r="E414" s="124"/>
      <c r="F414" s="124">
        <v>1020</v>
      </c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</row>
    <row r="415" spans="1:21" s="106" customFormat="1" ht="13.8">
      <c r="A415" s="125"/>
      <c r="B415" s="34">
        <v>43991</v>
      </c>
      <c r="C415" s="124" t="s">
        <v>162</v>
      </c>
      <c r="D415" s="124">
        <v>96.7</v>
      </c>
      <c r="E415" s="124"/>
      <c r="F415" s="124">
        <v>96.7</v>
      </c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</row>
    <row r="416" spans="1:21" s="106" customFormat="1" ht="13.8">
      <c r="A416" s="125"/>
      <c r="B416" s="34">
        <v>43991</v>
      </c>
      <c r="C416" s="124" t="s">
        <v>39</v>
      </c>
      <c r="D416" s="124">
        <v>153.99</v>
      </c>
      <c r="E416" s="124"/>
      <c r="F416" s="124"/>
      <c r="G416" s="124">
        <v>153.99</v>
      </c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</row>
    <row r="417" spans="1:21" s="106" customFormat="1" ht="13.8">
      <c r="A417" s="125"/>
      <c r="B417" s="34">
        <v>43991</v>
      </c>
      <c r="C417" s="124" t="s">
        <v>339</v>
      </c>
      <c r="D417" s="124">
        <v>85</v>
      </c>
      <c r="E417" s="124"/>
      <c r="F417" s="124">
        <v>85</v>
      </c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</row>
    <row r="418" spans="1:21" s="106" customFormat="1" ht="13.8">
      <c r="A418" s="125"/>
      <c r="B418" s="34">
        <v>43991</v>
      </c>
      <c r="C418" s="124" t="s">
        <v>386</v>
      </c>
      <c r="D418" s="124">
        <v>438.9</v>
      </c>
      <c r="E418" s="124"/>
      <c r="F418" s="124">
        <v>438.9</v>
      </c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</row>
    <row r="419" spans="1:21" s="106" customFormat="1" ht="13.8">
      <c r="A419" s="125"/>
      <c r="B419" s="34">
        <v>43992</v>
      </c>
      <c r="C419" s="124" t="s">
        <v>38</v>
      </c>
      <c r="D419" s="124">
        <v>69.900000000000006</v>
      </c>
      <c r="E419" s="124"/>
      <c r="F419" s="124"/>
      <c r="G419" s="124">
        <v>69.900000000000006</v>
      </c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</row>
    <row r="420" spans="1:21" s="106" customFormat="1" ht="13.8">
      <c r="A420" s="125"/>
      <c r="B420" s="34">
        <v>43993</v>
      </c>
      <c r="C420" s="124" t="s">
        <v>123</v>
      </c>
      <c r="D420" s="124">
        <v>136.94999999999999</v>
      </c>
      <c r="E420" s="124"/>
      <c r="F420" s="124"/>
      <c r="G420" s="124">
        <v>66.95</v>
      </c>
      <c r="H420" s="124">
        <v>35</v>
      </c>
      <c r="I420" s="124">
        <v>35</v>
      </c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</row>
    <row r="421" spans="1:21" s="106" customFormat="1" ht="13.8">
      <c r="A421" s="125"/>
      <c r="B421" s="34">
        <v>43994</v>
      </c>
      <c r="C421" s="124" t="s">
        <v>385</v>
      </c>
      <c r="D421" s="124">
        <v>120</v>
      </c>
      <c r="E421" s="124"/>
      <c r="F421" s="124">
        <v>120</v>
      </c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</row>
    <row r="422" spans="1:21" s="106" customFormat="1" ht="13.8">
      <c r="A422" s="125"/>
      <c r="B422" s="34">
        <v>43995</v>
      </c>
      <c r="C422" s="124" t="s">
        <v>40</v>
      </c>
      <c r="D422" s="124">
        <v>55.5</v>
      </c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</row>
    <row r="423" spans="1:21" s="106" customFormat="1" ht="13.8">
      <c r="A423" s="125"/>
      <c r="B423" s="34">
        <v>43995</v>
      </c>
      <c r="C423" s="124" t="s">
        <v>42</v>
      </c>
      <c r="D423" s="124">
        <v>117.1</v>
      </c>
      <c r="E423" s="124"/>
      <c r="F423" s="124"/>
      <c r="G423" s="124">
        <v>92.15</v>
      </c>
      <c r="H423" s="124"/>
      <c r="I423" s="124"/>
      <c r="J423" s="124"/>
      <c r="K423" s="124"/>
      <c r="L423" s="124">
        <v>24.95</v>
      </c>
      <c r="M423" s="124"/>
      <c r="N423" s="124"/>
      <c r="O423" s="124"/>
      <c r="P423" s="124"/>
      <c r="Q423" s="124"/>
      <c r="R423" s="124"/>
      <c r="S423" s="124"/>
      <c r="T423" s="124"/>
      <c r="U423" s="124"/>
    </row>
    <row r="424" spans="1:21" s="106" customFormat="1" ht="13.8">
      <c r="A424" s="125"/>
      <c r="B424" s="34">
        <v>43996</v>
      </c>
      <c r="C424" s="124" t="s">
        <v>211</v>
      </c>
      <c r="D424" s="124">
        <v>327</v>
      </c>
      <c r="E424" s="124"/>
      <c r="F424" s="124">
        <v>327</v>
      </c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</row>
    <row r="425" spans="1:21" s="106" customFormat="1" ht="13.8">
      <c r="A425" s="125"/>
      <c r="B425" s="34">
        <v>43996</v>
      </c>
      <c r="C425" s="124" t="s">
        <v>312</v>
      </c>
      <c r="D425" s="124">
        <v>170</v>
      </c>
      <c r="E425" s="124"/>
      <c r="F425" s="124">
        <v>170</v>
      </c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</row>
    <row r="426" spans="1:21" s="106" customFormat="1" ht="13.8">
      <c r="A426" s="125"/>
      <c r="B426" s="34">
        <v>43997</v>
      </c>
      <c r="C426" s="124" t="s">
        <v>360</v>
      </c>
      <c r="D426" s="124">
        <v>4104.62</v>
      </c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>
        <f>D426</f>
        <v>4104.62</v>
      </c>
      <c r="U426" s="124"/>
    </row>
    <row r="427" spans="1:21" s="106" customFormat="1" ht="13.8">
      <c r="A427" s="125"/>
      <c r="B427" s="34">
        <v>43998</v>
      </c>
      <c r="C427" s="124" t="s">
        <v>42</v>
      </c>
      <c r="D427" s="124">
        <v>178.6</v>
      </c>
      <c r="E427" s="124"/>
      <c r="F427" s="124">
        <v>20</v>
      </c>
      <c r="G427" s="124">
        <v>128.6</v>
      </c>
      <c r="H427" s="124"/>
      <c r="I427" s="124"/>
      <c r="J427" s="124"/>
      <c r="K427" s="124"/>
      <c r="L427" s="124">
        <v>30</v>
      </c>
      <c r="M427" s="124"/>
      <c r="N427" s="124"/>
      <c r="O427" s="124"/>
      <c r="P427" s="124"/>
      <c r="Q427" s="124"/>
      <c r="R427" s="124"/>
      <c r="S427" s="124"/>
      <c r="T427" s="124"/>
      <c r="U427" s="124"/>
    </row>
    <row r="428" spans="1:21" s="106" customFormat="1" ht="13.8">
      <c r="A428" s="125"/>
      <c r="B428" s="34">
        <v>43999</v>
      </c>
      <c r="C428" s="124" t="s">
        <v>238</v>
      </c>
      <c r="D428" s="124">
        <v>39</v>
      </c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>
        <v>39</v>
      </c>
      <c r="P428" s="124"/>
      <c r="Q428" s="124"/>
      <c r="R428" s="124"/>
      <c r="S428" s="124"/>
      <c r="T428" s="124"/>
      <c r="U428" s="124"/>
    </row>
    <row r="429" spans="1:21" s="106" customFormat="1" ht="13.8">
      <c r="A429" s="125"/>
      <c r="B429" s="34">
        <v>43999</v>
      </c>
      <c r="C429" s="124" t="s">
        <v>384</v>
      </c>
      <c r="D429" s="124">
        <v>70.95</v>
      </c>
      <c r="E429" s="124"/>
      <c r="F429" s="124"/>
      <c r="G429" s="124"/>
      <c r="H429" s="124">
        <v>70.95</v>
      </c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</row>
    <row r="430" spans="1:21" s="106" customFormat="1" ht="13.8">
      <c r="A430" s="125"/>
      <c r="B430" s="34">
        <v>44001</v>
      </c>
      <c r="C430" s="124" t="s">
        <v>42</v>
      </c>
      <c r="D430" s="124">
        <v>77.599999999999994</v>
      </c>
      <c r="E430" s="124"/>
      <c r="F430" s="124"/>
      <c r="G430" s="124">
        <v>77.599999999999994</v>
      </c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</row>
    <row r="431" spans="1:21" s="106" customFormat="1" ht="13.8">
      <c r="A431" s="125"/>
      <c r="B431" s="34">
        <v>44004</v>
      </c>
      <c r="C431" s="124" t="s">
        <v>40</v>
      </c>
      <c r="D431" s="124">
        <v>200</v>
      </c>
      <c r="E431" s="124"/>
      <c r="F431" s="124"/>
      <c r="G431" s="124">
        <v>90</v>
      </c>
      <c r="H431" s="124"/>
      <c r="I431" s="124"/>
      <c r="J431" s="124">
        <v>110</v>
      </c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</row>
    <row r="432" spans="1:21" s="106" customFormat="1" ht="13.8">
      <c r="A432" s="125"/>
      <c r="B432" s="34">
        <v>44004</v>
      </c>
      <c r="C432" s="124" t="s">
        <v>42</v>
      </c>
      <c r="D432" s="124">
        <v>45</v>
      </c>
      <c r="E432" s="124"/>
      <c r="F432" s="124"/>
      <c r="G432" s="124">
        <v>25</v>
      </c>
      <c r="H432" s="124"/>
      <c r="I432" s="124"/>
      <c r="J432" s="124"/>
      <c r="K432" s="124"/>
      <c r="L432" s="124">
        <v>20</v>
      </c>
      <c r="M432" s="124"/>
      <c r="N432" s="124"/>
      <c r="O432" s="124"/>
      <c r="P432" s="124"/>
      <c r="Q432" s="124"/>
      <c r="R432" s="124"/>
      <c r="S432" s="124"/>
      <c r="T432" s="124"/>
      <c r="U432" s="124"/>
    </row>
    <row r="433" spans="1:49" s="106" customFormat="1" ht="13.8">
      <c r="A433" s="125"/>
      <c r="B433" s="34">
        <v>44005</v>
      </c>
      <c r="C433" s="124" t="s">
        <v>40</v>
      </c>
      <c r="D433" s="124">
        <v>20</v>
      </c>
      <c r="E433" s="124"/>
      <c r="F433" s="124"/>
      <c r="G433" s="124">
        <v>20</v>
      </c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</row>
    <row r="434" spans="1:49" s="106" customFormat="1" ht="13.8">
      <c r="A434" s="125"/>
      <c r="B434" s="34">
        <v>44005</v>
      </c>
      <c r="C434" s="124" t="s">
        <v>42</v>
      </c>
      <c r="D434" s="124">
        <v>22</v>
      </c>
      <c r="E434" s="124"/>
      <c r="F434" s="124"/>
      <c r="G434" s="124">
        <v>22</v>
      </c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</row>
    <row r="435" spans="1:49" s="106" customFormat="1" ht="13.8">
      <c r="A435" s="125"/>
      <c r="B435" s="34">
        <v>44006</v>
      </c>
      <c r="C435" s="124" t="s">
        <v>42</v>
      </c>
      <c r="D435" s="124">
        <v>65</v>
      </c>
      <c r="E435" s="124"/>
      <c r="F435" s="124"/>
      <c r="G435" s="124">
        <v>65</v>
      </c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</row>
    <row r="436" spans="1:49" s="106" customFormat="1" ht="13.8">
      <c r="A436" s="125"/>
      <c r="B436" s="34">
        <v>44007</v>
      </c>
      <c r="C436" s="124" t="s">
        <v>42</v>
      </c>
      <c r="D436" s="124">
        <v>22</v>
      </c>
      <c r="E436" s="124"/>
      <c r="F436" s="124"/>
      <c r="G436" s="124">
        <v>22</v>
      </c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</row>
    <row r="437" spans="1:49" s="106" customFormat="1" ht="13.8">
      <c r="A437" s="125"/>
      <c r="B437" s="34">
        <v>44007</v>
      </c>
      <c r="C437" s="124" t="s">
        <v>124</v>
      </c>
      <c r="D437" s="124">
        <v>62.2</v>
      </c>
      <c r="E437" s="124"/>
      <c r="F437" s="124"/>
      <c r="G437" s="124"/>
      <c r="H437" s="124">
        <v>62.2</v>
      </c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</row>
    <row r="438" spans="1:49" s="106" customFormat="1" ht="13.8">
      <c r="A438" s="125"/>
      <c r="B438" s="34">
        <v>44008</v>
      </c>
      <c r="C438" s="124" t="s">
        <v>38</v>
      </c>
      <c r="D438" s="124">
        <v>60</v>
      </c>
      <c r="E438" s="124"/>
      <c r="F438" s="124"/>
      <c r="G438" s="124">
        <v>60</v>
      </c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</row>
    <row r="439" spans="1:49" s="106" customFormat="1" ht="13.8">
      <c r="A439" s="125"/>
      <c r="B439" s="34">
        <v>44010</v>
      </c>
      <c r="C439" s="124" t="s">
        <v>40</v>
      </c>
      <c r="D439" s="124">
        <v>14.5</v>
      </c>
      <c r="E439" s="124"/>
      <c r="F439" s="124"/>
      <c r="G439" s="124">
        <v>14.5</v>
      </c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</row>
    <row r="440" spans="1:49" s="106" customFormat="1" ht="13.8">
      <c r="A440" s="125"/>
      <c r="B440" s="34">
        <v>44011</v>
      </c>
      <c r="C440" s="124" t="s">
        <v>38</v>
      </c>
      <c r="D440" s="124">
        <v>90</v>
      </c>
      <c r="E440" s="124"/>
      <c r="F440" s="124"/>
      <c r="G440" s="124">
        <v>90</v>
      </c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</row>
    <row r="441" spans="1:49" s="106" customFormat="1" ht="13.8">
      <c r="A441" s="125"/>
      <c r="B441" s="34">
        <v>44011</v>
      </c>
      <c r="C441" s="124" t="s">
        <v>42</v>
      </c>
      <c r="D441" s="124">
        <v>49.5</v>
      </c>
      <c r="E441" s="124"/>
      <c r="F441" s="124"/>
      <c r="G441" s="124">
        <v>49.5</v>
      </c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</row>
    <row r="442" spans="1:49" s="120" customFormat="1" ht="12" customHeight="1">
      <c r="A442" s="60"/>
      <c r="B442" s="248" t="str">
        <f>B370</f>
        <v>juni</v>
      </c>
      <c r="C442" s="247" t="s">
        <v>36</v>
      </c>
      <c r="D442" s="247">
        <f t="shared" ref="D442:U442" si="29">SUM(D443:D443)</f>
        <v>0</v>
      </c>
      <c r="E442" s="247">
        <f t="shared" si="29"/>
        <v>0</v>
      </c>
      <c r="F442" s="247">
        <f t="shared" si="29"/>
        <v>0</v>
      </c>
      <c r="G442" s="247">
        <f t="shared" si="29"/>
        <v>0</v>
      </c>
      <c r="H442" s="247">
        <f t="shared" si="29"/>
        <v>0</v>
      </c>
      <c r="I442" s="247">
        <f t="shared" si="29"/>
        <v>0</v>
      </c>
      <c r="J442" s="247">
        <f t="shared" si="29"/>
        <v>0</v>
      </c>
      <c r="K442" s="247">
        <f t="shared" si="29"/>
        <v>0</v>
      </c>
      <c r="L442" s="247">
        <f t="shared" si="29"/>
        <v>0</v>
      </c>
      <c r="M442" s="247">
        <f t="shared" si="29"/>
        <v>0</v>
      </c>
      <c r="N442" s="247">
        <f t="shared" si="29"/>
        <v>0</v>
      </c>
      <c r="O442" s="247">
        <f t="shared" si="29"/>
        <v>0</v>
      </c>
      <c r="P442" s="247">
        <f t="shared" si="29"/>
        <v>0</v>
      </c>
      <c r="Q442" s="247">
        <f t="shared" si="29"/>
        <v>0</v>
      </c>
      <c r="R442" s="247">
        <f t="shared" si="29"/>
        <v>0</v>
      </c>
      <c r="S442" s="247">
        <f t="shared" si="29"/>
        <v>0</v>
      </c>
      <c r="T442" s="247">
        <f t="shared" si="29"/>
        <v>0</v>
      </c>
      <c r="U442" s="247">
        <f t="shared" si="29"/>
        <v>0</v>
      </c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</row>
    <row r="443" spans="1:49" s="120" customFormat="1" ht="12" customHeight="1">
      <c r="A443" s="60"/>
      <c r="B443" s="248"/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</row>
    <row r="444" spans="1:49" s="126" customFormat="1" ht="13.5" customHeight="1">
      <c r="A444" s="39"/>
      <c r="B444" s="2948" t="str">
        <f>I2</f>
        <v>juli</v>
      </c>
      <c r="C444" s="3003"/>
      <c r="D444" s="36">
        <f>SUM(D521:D521)</f>
        <v>128.81</v>
      </c>
      <c r="E444" s="36">
        <f t="shared" ref="E444:U444" si="30">SUM(E445:E521)</f>
        <v>3431.6800000000003</v>
      </c>
      <c r="F444" s="36">
        <f t="shared" si="30"/>
        <v>874.19999999999993</v>
      </c>
      <c r="G444" s="36">
        <f t="shared" si="30"/>
        <v>2717.5</v>
      </c>
      <c r="H444" s="36">
        <f t="shared" si="30"/>
        <v>428.1</v>
      </c>
      <c r="I444" s="36">
        <f t="shared" si="30"/>
        <v>19.600000000000001</v>
      </c>
      <c r="J444" s="36">
        <f t="shared" si="30"/>
        <v>1155</v>
      </c>
      <c r="K444" s="36">
        <f t="shared" si="30"/>
        <v>0</v>
      </c>
      <c r="L444" s="36">
        <f t="shared" si="30"/>
        <v>406.62</v>
      </c>
      <c r="M444" s="36">
        <f t="shared" si="30"/>
        <v>3737</v>
      </c>
      <c r="N444" s="36">
        <f t="shared" si="30"/>
        <v>200</v>
      </c>
      <c r="O444" s="36" t="e">
        <f t="shared" si="30"/>
        <v>#REF!</v>
      </c>
      <c r="P444" s="36">
        <f t="shared" si="30"/>
        <v>569</v>
      </c>
      <c r="Q444" s="36">
        <f t="shared" si="30"/>
        <v>569</v>
      </c>
      <c r="R444" s="36">
        <f t="shared" si="30"/>
        <v>500</v>
      </c>
      <c r="S444" s="36">
        <f t="shared" si="30"/>
        <v>1041.9000000000001</v>
      </c>
      <c r="T444" s="36">
        <f t="shared" si="30"/>
        <v>375.75</v>
      </c>
      <c r="U444" s="36">
        <f t="shared" si="30"/>
        <v>3500</v>
      </c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</row>
    <row r="445" spans="1:49" s="106" customFormat="1" ht="13.8">
      <c r="A445" s="125"/>
      <c r="B445" s="34">
        <v>44012</v>
      </c>
      <c r="C445" s="124" t="s">
        <v>34</v>
      </c>
      <c r="D445" s="124">
        <v>-7733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</row>
    <row r="446" spans="1:49" s="106" customFormat="1" ht="13.8">
      <c r="A446" s="125"/>
      <c r="B446" s="34">
        <v>44012</v>
      </c>
      <c r="C446" s="124" t="s">
        <v>33</v>
      </c>
      <c r="D446" s="124">
        <v>-205</v>
      </c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</row>
    <row r="447" spans="1:49" s="106" customFormat="1" ht="13.8">
      <c r="A447" s="125"/>
      <c r="B447" s="34">
        <v>44012</v>
      </c>
      <c r="C447" s="124" t="s">
        <v>35</v>
      </c>
      <c r="D447" s="124">
        <v>-11004</v>
      </c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</row>
    <row r="448" spans="1:49" s="106" customFormat="1" ht="13.8">
      <c r="A448" s="125"/>
      <c r="B448" s="34">
        <v>44012</v>
      </c>
      <c r="C448" s="124" t="s">
        <v>21</v>
      </c>
      <c r="D448" s="124">
        <v>172</v>
      </c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>
        <v>172</v>
      </c>
      <c r="Q448" s="124"/>
      <c r="R448" s="124"/>
      <c r="S448" s="124"/>
      <c r="T448" s="124"/>
      <c r="U448" s="124"/>
    </row>
    <row r="449" spans="1:21" s="106" customFormat="1" ht="13.8">
      <c r="A449" s="125"/>
      <c r="B449" s="34">
        <v>44012</v>
      </c>
      <c r="C449" s="124" t="s">
        <v>186</v>
      </c>
      <c r="D449" s="124">
        <v>300</v>
      </c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>
        <v>300</v>
      </c>
      <c r="R449" s="124"/>
      <c r="S449" s="124"/>
      <c r="T449" s="124"/>
      <c r="U449" s="124"/>
    </row>
    <row r="450" spans="1:21" s="106" customFormat="1" ht="13.8">
      <c r="A450" s="125">
        <v>5</v>
      </c>
      <c r="B450" s="34">
        <v>44012</v>
      </c>
      <c r="C450" s="124" t="s">
        <v>57</v>
      </c>
      <c r="D450" s="124">
        <v>2000</v>
      </c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>
        <v>2000</v>
      </c>
    </row>
    <row r="451" spans="1:21" s="106" customFormat="1" ht="13.8">
      <c r="A451" s="125"/>
      <c r="B451" s="34">
        <v>44012</v>
      </c>
      <c r="C451" s="124" t="s">
        <v>124</v>
      </c>
      <c r="D451" s="124">
        <v>110.3</v>
      </c>
      <c r="E451" s="124"/>
      <c r="F451" s="124"/>
      <c r="G451" s="124"/>
      <c r="H451" s="124">
        <v>110.3</v>
      </c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</row>
    <row r="452" spans="1:21" s="106" customFormat="1" ht="13.8">
      <c r="A452" s="125"/>
      <c r="B452" s="34">
        <v>44012</v>
      </c>
      <c r="C452" s="124" t="s">
        <v>325</v>
      </c>
      <c r="D452" s="124">
        <v>768.2</v>
      </c>
      <c r="E452" s="124"/>
      <c r="F452" s="124"/>
      <c r="G452" s="124">
        <v>383.2</v>
      </c>
      <c r="H452" s="124"/>
      <c r="I452" s="124"/>
      <c r="J452" s="124">
        <v>385</v>
      </c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</row>
    <row r="453" spans="1:21" s="106" customFormat="1" ht="13.8">
      <c r="A453" s="125"/>
      <c r="B453" s="34">
        <v>44012</v>
      </c>
      <c r="C453" s="124" t="s">
        <v>325</v>
      </c>
      <c r="D453" s="124">
        <v>71.95</v>
      </c>
      <c r="E453" s="124"/>
      <c r="F453" s="124">
        <v>18</v>
      </c>
      <c r="G453" s="124">
        <v>20</v>
      </c>
      <c r="H453" s="124"/>
      <c r="I453" s="124"/>
      <c r="J453" s="124"/>
      <c r="K453" s="124"/>
      <c r="L453" s="124">
        <v>33.950000000000003</v>
      </c>
      <c r="M453" s="124"/>
      <c r="N453" s="124"/>
      <c r="O453" s="124"/>
      <c r="P453" s="124"/>
      <c r="Q453" s="124"/>
      <c r="R453" s="124"/>
      <c r="S453" s="124"/>
      <c r="T453" s="124"/>
      <c r="U453" s="124"/>
    </row>
    <row r="454" spans="1:21" s="106" customFormat="1" ht="13.8">
      <c r="A454" s="125"/>
      <c r="B454" s="34">
        <v>44012</v>
      </c>
      <c r="C454" s="124" t="s">
        <v>40</v>
      </c>
      <c r="D454" s="124">
        <v>72.95</v>
      </c>
      <c r="E454" s="124"/>
      <c r="F454" s="124">
        <v>49</v>
      </c>
      <c r="G454" s="124">
        <v>23.95</v>
      </c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</row>
    <row r="455" spans="1:21" s="106" customFormat="1" ht="13.8">
      <c r="A455" s="125"/>
      <c r="B455" s="34">
        <v>44012</v>
      </c>
      <c r="C455" s="124" t="s">
        <v>38</v>
      </c>
      <c r="D455" s="124">
        <v>100</v>
      </c>
      <c r="E455" s="124"/>
      <c r="F455" s="124"/>
      <c r="G455" s="124">
        <v>100</v>
      </c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</row>
    <row r="456" spans="1:21" s="106" customFormat="1" ht="13.8">
      <c r="A456" s="125"/>
      <c r="B456" s="34">
        <v>44012</v>
      </c>
      <c r="C456" s="124" t="s">
        <v>229</v>
      </c>
      <c r="D456" s="124">
        <v>274.94</v>
      </c>
      <c r="E456" s="124"/>
      <c r="F456" s="124">
        <v>274.95</v>
      </c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</row>
    <row r="457" spans="1:21" s="106" customFormat="1" ht="13.8">
      <c r="A457" s="125"/>
      <c r="B457" s="34">
        <v>44012</v>
      </c>
      <c r="C457" s="124" t="s">
        <v>383</v>
      </c>
      <c r="D457" s="124">
        <v>72</v>
      </c>
      <c r="E457" s="124"/>
      <c r="F457" s="124">
        <v>72</v>
      </c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</row>
    <row r="458" spans="1:21" s="106" customFormat="1" ht="13.8">
      <c r="A458" s="125"/>
      <c r="B458" s="34">
        <v>44012</v>
      </c>
      <c r="C458" s="124" t="s">
        <v>39</v>
      </c>
      <c r="D458" s="124">
        <v>93.85</v>
      </c>
      <c r="E458" s="124"/>
      <c r="F458" s="124"/>
      <c r="G458" s="124">
        <v>93.85</v>
      </c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</row>
    <row r="459" spans="1:21" s="106" customFormat="1" ht="13.8">
      <c r="A459" s="125"/>
      <c r="B459" s="34">
        <v>44012</v>
      </c>
      <c r="C459" s="124" t="s">
        <v>382</v>
      </c>
      <c r="D459" s="124">
        <v>39.9</v>
      </c>
      <c r="E459" s="124"/>
      <c r="F459" s="124">
        <v>39.9</v>
      </c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</row>
    <row r="460" spans="1:21" s="106" customFormat="1" ht="13.8">
      <c r="A460" s="125"/>
      <c r="B460" s="34">
        <v>44012</v>
      </c>
      <c r="C460" s="124" t="s">
        <v>325</v>
      </c>
      <c r="D460" s="124">
        <v>467</v>
      </c>
      <c r="E460" s="124"/>
      <c r="F460" s="124"/>
      <c r="G460" s="124">
        <v>82</v>
      </c>
      <c r="H460" s="124"/>
      <c r="I460" s="124"/>
      <c r="J460" s="124">
        <v>385</v>
      </c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</row>
    <row r="461" spans="1:21" s="106" customFormat="1" ht="13.8">
      <c r="A461" s="125"/>
      <c r="B461" s="34">
        <v>44013</v>
      </c>
      <c r="C461" s="124" t="s">
        <v>230</v>
      </c>
      <c r="D461" s="124">
        <v>229</v>
      </c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>
        <v>229</v>
      </c>
      <c r="Q461" s="124"/>
      <c r="R461" s="124"/>
      <c r="S461" s="124"/>
      <c r="T461" s="124"/>
      <c r="U461" s="124"/>
    </row>
    <row r="462" spans="1:21" s="106" customFormat="1" ht="13.8">
      <c r="A462" s="125"/>
      <c r="B462" s="34">
        <v>44013</v>
      </c>
      <c r="C462" s="124" t="s">
        <v>100</v>
      </c>
      <c r="D462" s="124">
        <v>815.7</v>
      </c>
      <c r="E462" s="124">
        <f>D462</f>
        <v>815.7</v>
      </c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</row>
    <row r="463" spans="1:21" s="106" customFormat="1" ht="13.8">
      <c r="A463" s="125"/>
      <c r="B463" s="34">
        <v>44013</v>
      </c>
      <c r="C463" s="124" t="s">
        <v>125</v>
      </c>
      <c r="D463" s="124">
        <v>119</v>
      </c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>
        <v>119</v>
      </c>
      <c r="R463" s="124"/>
      <c r="S463" s="124"/>
      <c r="T463" s="124"/>
      <c r="U463" s="124"/>
    </row>
    <row r="464" spans="1:21" s="106" customFormat="1" ht="13.8">
      <c r="A464" s="125"/>
      <c r="B464" s="34">
        <v>44013</v>
      </c>
      <c r="C464" s="124" t="s">
        <v>363</v>
      </c>
      <c r="D464" s="124" t="e">
        <f>#REF!</f>
        <v>#REF!</v>
      </c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 t="e">
        <f>D464</f>
        <v>#REF!</v>
      </c>
      <c r="P464" s="124"/>
      <c r="Q464" s="124"/>
      <c r="R464" s="124"/>
      <c r="S464" s="124"/>
      <c r="T464" s="124"/>
      <c r="U464" s="124"/>
    </row>
    <row r="465" spans="1:21" s="106" customFormat="1" ht="13.8">
      <c r="A465" s="125"/>
      <c r="B465" s="34">
        <v>44013</v>
      </c>
      <c r="C465" s="124" t="s">
        <v>381</v>
      </c>
      <c r="D465" s="124">
        <v>199.82</v>
      </c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>
        <f>D465</f>
        <v>199.82</v>
      </c>
      <c r="U465" s="124"/>
    </row>
    <row r="466" spans="1:21" s="106" customFormat="1" ht="13.8">
      <c r="A466" s="125"/>
      <c r="B466" s="34">
        <v>44013</v>
      </c>
      <c r="C466" s="124" t="s">
        <v>206</v>
      </c>
      <c r="D466" s="124">
        <v>150</v>
      </c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>
        <v>150</v>
      </c>
      <c r="R466" s="124"/>
      <c r="S466" s="124"/>
      <c r="T466" s="124"/>
      <c r="U466" s="124"/>
    </row>
    <row r="467" spans="1:21" s="106" customFormat="1" ht="13.8">
      <c r="A467" s="125"/>
      <c r="B467" s="34">
        <v>44013</v>
      </c>
      <c r="C467" s="124" t="s">
        <v>265</v>
      </c>
      <c r="D467" s="124">
        <v>490</v>
      </c>
      <c r="E467" s="124">
        <f>D467</f>
        <v>490</v>
      </c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</row>
    <row r="468" spans="1:21" s="106" customFormat="1" ht="13.8">
      <c r="A468" s="125"/>
      <c r="B468" s="34">
        <v>44013</v>
      </c>
      <c r="C468" s="124" t="s">
        <v>183</v>
      </c>
      <c r="D468" s="124">
        <v>438.75</v>
      </c>
      <c r="E468" s="124">
        <f>D468</f>
        <v>438.75</v>
      </c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</row>
    <row r="469" spans="1:21" s="106" customFormat="1" ht="13.8">
      <c r="A469" s="125"/>
      <c r="B469" s="34">
        <v>44013</v>
      </c>
      <c r="C469" s="124" t="s">
        <v>182</v>
      </c>
      <c r="D469" s="124">
        <v>284</v>
      </c>
      <c r="E469" s="124">
        <f>D469</f>
        <v>284</v>
      </c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</row>
    <row r="470" spans="1:21" s="106" customFormat="1" ht="13.8">
      <c r="A470" s="125"/>
      <c r="B470" s="34">
        <v>44013</v>
      </c>
      <c r="C470" s="124" t="s">
        <v>30</v>
      </c>
      <c r="D470" s="124">
        <v>3737</v>
      </c>
      <c r="E470" s="124"/>
      <c r="F470" s="124"/>
      <c r="G470" s="124"/>
      <c r="H470" s="124"/>
      <c r="I470" s="124"/>
      <c r="J470" s="124"/>
      <c r="K470" s="124"/>
      <c r="L470" s="124"/>
      <c r="M470" s="124">
        <f>D470</f>
        <v>3737</v>
      </c>
      <c r="N470" s="124"/>
      <c r="O470" s="124"/>
      <c r="P470" s="124"/>
      <c r="Q470" s="124"/>
      <c r="R470" s="124"/>
      <c r="S470" s="124"/>
      <c r="T470" s="124"/>
      <c r="U470" s="124"/>
    </row>
    <row r="471" spans="1:21" s="106" customFormat="1" ht="13.8">
      <c r="A471" s="125"/>
      <c r="B471" s="34">
        <v>44013</v>
      </c>
      <c r="C471" s="124" t="s">
        <v>31</v>
      </c>
      <c r="D471" s="124">
        <v>-1151</v>
      </c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</row>
    <row r="472" spans="1:21" s="106" customFormat="1" ht="13.8">
      <c r="A472" s="125"/>
      <c r="B472" s="34">
        <v>44013</v>
      </c>
      <c r="C472" s="124" t="s">
        <v>22</v>
      </c>
      <c r="D472" s="124">
        <v>168</v>
      </c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>
        <v>168</v>
      </c>
      <c r="Q472" s="124"/>
      <c r="R472" s="124"/>
      <c r="S472" s="124"/>
      <c r="T472" s="124"/>
      <c r="U472" s="124"/>
    </row>
    <row r="473" spans="1:21" s="106" customFormat="1" ht="13.8">
      <c r="A473" s="125"/>
      <c r="B473" s="34">
        <v>44014</v>
      </c>
      <c r="C473" s="124" t="s">
        <v>325</v>
      </c>
      <c r="D473" s="124">
        <v>99.9</v>
      </c>
      <c r="E473" s="124"/>
      <c r="F473" s="124"/>
      <c r="G473" s="124">
        <v>79.900000000000006</v>
      </c>
      <c r="H473" s="124"/>
      <c r="I473" s="124"/>
      <c r="J473" s="124"/>
      <c r="K473" s="124"/>
      <c r="L473" s="124">
        <v>20</v>
      </c>
      <c r="M473" s="124"/>
      <c r="N473" s="124"/>
      <c r="O473" s="124"/>
      <c r="P473" s="124"/>
      <c r="Q473" s="124"/>
      <c r="R473" s="124"/>
      <c r="S473" s="124"/>
      <c r="T473" s="124"/>
      <c r="U473" s="124"/>
    </row>
    <row r="474" spans="1:21" s="106" customFormat="1" ht="13.8">
      <c r="A474" s="125"/>
      <c r="B474" s="34">
        <v>44014</v>
      </c>
      <c r="C474" s="124" t="s">
        <v>325</v>
      </c>
      <c r="D474" s="124">
        <v>419</v>
      </c>
      <c r="E474" s="124"/>
      <c r="F474" s="124"/>
      <c r="G474" s="124">
        <v>34</v>
      </c>
      <c r="H474" s="124"/>
      <c r="I474" s="124"/>
      <c r="J474" s="124">
        <v>385</v>
      </c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</row>
    <row r="475" spans="1:21" s="106" customFormat="1" ht="13.8">
      <c r="A475" s="125"/>
      <c r="B475" s="34">
        <v>44014</v>
      </c>
      <c r="C475" s="124" t="s">
        <v>241</v>
      </c>
      <c r="D475" s="124">
        <v>46</v>
      </c>
      <c r="E475" s="124"/>
      <c r="F475" s="124"/>
      <c r="G475" s="124">
        <v>46</v>
      </c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</row>
    <row r="476" spans="1:21" s="106" customFormat="1" ht="13.8">
      <c r="A476" s="125"/>
      <c r="B476" s="34">
        <v>44015</v>
      </c>
      <c r="C476" s="124" t="s">
        <v>380</v>
      </c>
      <c r="D476" s="124">
        <v>158.5</v>
      </c>
      <c r="E476" s="124"/>
      <c r="F476" s="124">
        <v>158.5</v>
      </c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</row>
    <row r="477" spans="1:21" s="106" customFormat="1" ht="13.8">
      <c r="A477" s="125"/>
      <c r="B477" s="34">
        <v>44015</v>
      </c>
      <c r="C477" s="124" t="s">
        <v>325</v>
      </c>
      <c r="D477" s="124">
        <v>58.95</v>
      </c>
      <c r="E477" s="124"/>
      <c r="F477" s="124"/>
      <c r="G477" s="124">
        <v>58.95</v>
      </c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</row>
    <row r="478" spans="1:21" s="106" customFormat="1" ht="13.8">
      <c r="A478" s="125"/>
      <c r="B478" s="34">
        <v>44016</v>
      </c>
      <c r="C478" s="124" t="s">
        <v>57</v>
      </c>
      <c r="D478" s="124">
        <v>1500</v>
      </c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>
        <v>1500</v>
      </c>
    </row>
    <row r="479" spans="1:21" s="106" customFormat="1" ht="13.8">
      <c r="A479" s="125"/>
      <c r="B479" s="34">
        <v>44016</v>
      </c>
      <c r="C479" s="124" t="s">
        <v>379</v>
      </c>
      <c r="D479" s="124">
        <v>500</v>
      </c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>
        <v>500</v>
      </c>
      <c r="S479" s="124"/>
      <c r="T479" s="124"/>
      <c r="U479" s="124"/>
    </row>
    <row r="480" spans="1:21" s="106" customFormat="1" ht="13.8">
      <c r="A480" s="125"/>
      <c r="B480" s="34">
        <v>44017</v>
      </c>
      <c r="C480" s="124" t="s">
        <v>38</v>
      </c>
      <c r="D480" s="124">
        <v>87.5</v>
      </c>
      <c r="E480" s="124"/>
      <c r="F480" s="124"/>
      <c r="G480" s="124">
        <v>87.5</v>
      </c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</row>
    <row r="481" spans="1:21" s="106" customFormat="1" ht="13.8">
      <c r="A481" s="125"/>
      <c r="B481" s="34">
        <v>44017</v>
      </c>
      <c r="C481" s="124" t="s">
        <v>325</v>
      </c>
      <c r="D481" s="124">
        <v>100.5</v>
      </c>
      <c r="E481" s="124"/>
      <c r="F481" s="124"/>
      <c r="G481" s="124">
        <v>40.5</v>
      </c>
      <c r="H481" s="124"/>
      <c r="I481" s="124"/>
      <c r="J481" s="124"/>
      <c r="K481" s="124"/>
      <c r="L481" s="124">
        <v>60</v>
      </c>
      <c r="M481" s="124"/>
      <c r="N481" s="124"/>
      <c r="O481" s="124"/>
      <c r="P481" s="124"/>
      <c r="Q481" s="124"/>
      <c r="R481" s="124"/>
      <c r="S481" s="124"/>
      <c r="T481" s="124"/>
      <c r="U481" s="124"/>
    </row>
    <row r="482" spans="1:21" s="106" customFormat="1" ht="13.8">
      <c r="A482" s="125"/>
      <c r="B482" s="34">
        <v>44018</v>
      </c>
      <c r="C482" s="124" t="s">
        <v>20</v>
      </c>
      <c r="D482" s="124">
        <v>193.76</v>
      </c>
      <c r="E482" s="124">
        <v>193.76</v>
      </c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</row>
    <row r="483" spans="1:21" s="106" customFormat="1" ht="13.8">
      <c r="A483" s="125"/>
      <c r="B483" s="34">
        <v>44018</v>
      </c>
      <c r="C483" s="124" t="s">
        <v>180</v>
      </c>
      <c r="D483" s="124">
        <f>$AN$35</f>
        <v>175.93</v>
      </c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>
        <v>175.93</v>
      </c>
      <c r="U483" s="124"/>
    </row>
    <row r="484" spans="1:21" s="106" customFormat="1" ht="13.8">
      <c r="A484" s="125"/>
      <c r="B484" s="34">
        <v>44018</v>
      </c>
      <c r="C484" s="124" t="s">
        <v>378</v>
      </c>
      <c r="D484" s="124">
        <v>409.9</v>
      </c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>
        <v>409.9</v>
      </c>
      <c r="T484" s="124"/>
      <c r="U484" s="124"/>
    </row>
    <row r="485" spans="1:21" s="106" customFormat="1" ht="13.8">
      <c r="A485" s="125"/>
      <c r="B485" s="34">
        <v>44019</v>
      </c>
      <c r="C485" s="124" t="s">
        <v>325</v>
      </c>
      <c r="D485" s="124">
        <v>112.9</v>
      </c>
      <c r="E485" s="124"/>
      <c r="F485" s="124"/>
      <c r="G485" s="124">
        <v>112.9</v>
      </c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</row>
    <row r="486" spans="1:21" s="106" customFormat="1" ht="13.8">
      <c r="A486" s="125"/>
      <c r="B486" s="34">
        <v>44019</v>
      </c>
      <c r="C486" s="124" t="s">
        <v>124</v>
      </c>
      <c r="D486" s="124">
        <v>138.65</v>
      </c>
      <c r="E486" s="124"/>
      <c r="F486" s="124"/>
      <c r="G486" s="124"/>
      <c r="H486" s="124">
        <v>138.65</v>
      </c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</row>
    <row r="487" spans="1:21" s="106" customFormat="1" ht="13.8">
      <c r="A487" s="125"/>
      <c r="B487" s="34">
        <v>44019</v>
      </c>
      <c r="C487" s="124" t="s">
        <v>325</v>
      </c>
      <c r="D487" s="124">
        <v>44.4</v>
      </c>
      <c r="E487" s="124"/>
      <c r="F487" s="124"/>
      <c r="G487" s="124">
        <v>44.4</v>
      </c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</row>
    <row r="488" spans="1:21" s="106" customFormat="1" ht="13.8">
      <c r="A488" s="125"/>
      <c r="B488" s="34">
        <v>44020</v>
      </c>
      <c r="C488" s="124" t="s">
        <v>124</v>
      </c>
      <c r="D488" s="124">
        <v>198.75</v>
      </c>
      <c r="E488" s="124"/>
      <c r="F488" s="124"/>
      <c r="G488" s="124"/>
      <c r="H488" s="124">
        <v>179.15</v>
      </c>
      <c r="I488" s="124">
        <v>19.600000000000001</v>
      </c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</row>
    <row r="489" spans="1:21" s="106" customFormat="1" ht="13.8">
      <c r="A489" s="125"/>
      <c r="B489" s="34">
        <v>44020</v>
      </c>
      <c r="C489" s="124" t="s">
        <v>325</v>
      </c>
      <c r="D489" s="124">
        <v>101</v>
      </c>
      <c r="E489" s="124"/>
      <c r="F489" s="124"/>
      <c r="G489" s="124">
        <v>81</v>
      </c>
      <c r="H489" s="124"/>
      <c r="I489" s="124"/>
      <c r="J489" s="124"/>
      <c r="K489" s="124"/>
      <c r="L489" s="124">
        <v>20</v>
      </c>
      <c r="M489" s="124"/>
      <c r="N489" s="124"/>
      <c r="O489" s="124"/>
      <c r="P489" s="124"/>
      <c r="Q489" s="124"/>
      <c r="R489" s="124"/>
      <c r="S489" s="124"/>
      <c r="T489" s="124"/>
      <c r="U489" s="124"/>
    </row>
    <row r="490" spans="1:21" s="106" customFormat="1" ht="13.8">
      <c r="A490" s="125"/>
      <c r="B490" s="34">
        <v>44020</v>
      </c>
      <c r="C490" s="124" t="s">
        <v>38</v>
      </c>
      <c r="D490" s="124">
        <v>15.95</v>
      </c>
      <c r="E490" s="124"/>
      <c r="F490" s="124"/>
      <c r="G490" s="124">
        <v>15.95</v>
      </c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</row>
    <row r="491" spans="1:21" s="106" customFormat="1" ht="13.8">
      <c r="A491" s="125"/>
      <c r="B491" s="34">
        <v>44020</v>
      </c>
      <c r="C491" s="124" t="s">
        <v>377</v>
      </c>
      <c r="D491" s="124">
        <v>400</v>
      </c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>
        <v>400</v>
      </c>
      <c r="T491" s="124"/>
      <c r="U491" s="124"/>
    </row>
    <row r="492" spans="1:21" s="106" customFormat="1" ht="13.8">
      <c r="A492" s="125"/>
      <c r="B492" s="34">
        <v>44021</v>
      </c>
      <c r="C492" s="124" t="s">
        <v>192</v>
      </c>
      <c r="D492" s="124">
        <v>45</v>
      </c>
      <c r="E492" s="124"/>
      <c r="F492" s="124"/>
      <c r="G492" s="124">
        <v>45</v>
      </c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</row>
    <row r="493" spans="1:21" s="106" customFormat="1" ht="13.8">
      <c r="A493" s="125"/>
      <c r="B493" s="34">
        <v>44022</v>
      </c>
      <c r="C493" s="124" t="s">
        <v>144</v>
      </c>
      <c r="D493" s="124">
        <v>1209.47</v>
      </c>
      <c r="E493" s="124">
        <f>D493</f>
        <v>1209.47</v>
      </c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</row>
    <row r="494" spans="1:21" s="106" customFormat="1" ht="13.8">
      <c r="A494" s="125"/>
      <c r="B494" s="34">
        <v>44023</v>
      </c>
      <c r="C494" s="124" t="s">
        <v>376</v>
      </c>
      <c r="D494" s="124">
        <v>54</v>
      </c>
      <c r="E494" s="124"/>
      <c r="F494" s="124">
        <v>54</v>
      </c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</row>
    <row r="495" spans="1:21" s="106" customFormat="1" ht="13.8">
      <c r="A495" s="125"/>
      <c r="B495" s="34">
        <v>44023</v>
      </c>
      <c r="C495" s="124" t="s">
        <v>39</v>
      </c>
      <c r="D495" s="124">
        <v>147.65</v>
      </c>
      <c r="E495" s="124"/>
      <c r="F495" s="124">
        <v>39</v>
      </c>
      <c r="G495" s="124">
        <v>108.65</v>
      </c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</row>
    <row r="496" spans="1:21" s="106" customFormat="1" ht="13.8">
      <c r="A496" s="125"/>
      <c r="B496" s="34">
        <v>44023</v>
      </c>
      <c r="C496" s="124" t="s">
        <v>41</v>
      </c>
      <c r="D496" s="124">
        <v>152</v>
      </c>
      <c r="E496" s="124"/>
      <c r="F496" s="124"/>
      <c r="G496" s="124">
        <v>92</v>
      </c>
      <c r="H496" s="124"/>
      <c r="I496" s="124"/>
      <c r="J496" s="124"/>
      <c r="K496" s="124"/>
      <c r="L496" s="124">
        <v>60</v>
      </c>
      <c r="M496" s="124"/>
      <c r="N496" s="124"/>
      <c r="O496" s="124"/>
      <c r="P496" s="124"/>
      <c r="Q496" s="124"/>
      <c r="R496" s="124"/>
      <c r="S496" s="124"/>
      <c r="T496" s="124"/>
      <c r="U496" s="124"/>
    </row>
    <row r="497" spans="1:21" s="106" customFormat="1" ht="13.8">
      <c r="A497" s="125"/>
      <c r="B497" s="34">
        <v>44023</v>
      </c>
      <c r="C497" s="124" t="s">
        <v>40</v>
      </c>
      <c r="D497" s="124">
        <v>15.5</v>
      </c>
      <c r="E497" s="124"/>
      <c r="F497" s="124"/>
      <c r="G497" s="124"/>
      <c r="H497" s="124"/>
      <c r="I497" s="124"/>
      <c r="J497" s="124"/>
      <c r="K497" s="124"/>
      <c r="L497" s="124">
        <v>15.5</v>
      </c>
      <c r="M497" s="124"/>
      <c r="N497" s="124"/>
      <c r="O497" s="124"/>
      <c r="P497" s="124"/>
      <c r="Q497" s="124"/>
      <c r="R497" s="124"/>
      <c r="S497" s="124"/>
      <c r="T497" s="124"/>
      <c r="U497" s="124"/>
    </row>
    <row r="498" spans="1:21" s="106" customFormat="1" ht="13.8">
      <c r="A498" s="125"/>
      <c r="B498" s="34">
        <v>44024</v>
      </c>
      <c r="C498" s="124" t="s">
        <v>38</v>
      </c>
      <c r="D498" s="124">
        <v>17.600000000000001</v>
      </c>
      <c r="E498" s="124"/>
      <c r="F498" s="124"/>
      <c r="G498" s="124">
        <v>17.600000000000001</v>
      </c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</row>
    <row r="499" spans="1:21" s="106" customFormat="1" ht="13.8">
      <c r="A499" s="125"/>
      <c r="B499" s="34">
        <v>44024</v>
      </c>
      <c r="C499" s="124" t="s">
        <v>325</v>
      </c>
      <c r="D499" s="124">
        <v>46.4</v>
      </c>
      <c r="E499" s="124"/>
      <c r="F499" s="124"/>
      <c r="G499" s="124">
        <v>46.4</v>
      </c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</row>
    <row r="500" spans="1:21" s="106" customFormat="1" ht="13.8">
      <c r="A500" s="125"/>
      <c r="B500" s="34">
        <v>44025</v>
      </c>
      <c r="C500" s="124" t="s">
        <v>325</v>
      </c>
      <c r="D500" s="124">
        <v>100.15</v>
      </c>
      <c r="E500" s="124"/>
      <c r="F500" s="124"/>
      <c r="G500" s="124">
        <v>88.15</v>
      </c>
      <c r="H500" s="124"/>
      <c r="I500" s="124"/>
      <c r="J500" s="124"/>
      <c r="K500" s="124"/>
      <c r="L500" s="124">
        <v>12</v>
      </c>
      <c r="M500" s="124"/>
      <c r="N500" s="124"/>
      <c r="O500" s="124"/>
      <c r="P500" s="124"/>
      <c r="Q500" s="124"/>
      <c r="R500" s="124"/>
      <c r="S500" s="124"/>
      <c r="T500" s="124"/>
      <c r="U500" s="124"/>
    </row>
    <row r="501" spans="1:21" s="106" customFormat="1" ht="13.8">
      <c r="A501" s="125"/>
      <c r="B501" s="34">
        <v>44026</v>
      </c>
      <c r="C501" s="124" t="s">
        <v>375</v>
      </c>
      <c r="D501" s="124">
        <v>134</v>
      </c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>
        <v>134</v>
      </c>
      <c r="T501" s="124"/>
      <c r="U501" s="124"/>
    </row>
    <row r="502" spans="1:21" s="106" customFormat="1" ht="13.8">
      <c r="A502" s="125"/>
      <c r="B502" s="34">
        <v>44026</v>
      </c>
      <c r="C502" s="124" t="s">
        <v>41</v>
      </c>
      <c r="D502" s="124">
        <v>84.75</v>
      </c>
      <c r="E502" s="124"/>
      <c r="F502" s="124"/>
      <c r="G502" s="124">
        <v>44.75</v>
      </c>
      <c r="H502" s="124"/>
      <c r="I502" s="124"/>
      <c r="J502" s="124"/>
      <c r="K502" s="124"/>
      <c r="L502" s="124">
        <v>40</v>
      </c>
      <c r="M502" s="124"/>
      <c r="N502" s="124"/>
      <c r="O502" s="124"/>
      <c r="P502" s="124"/>
      <c r="Q502" s="124"/>
      <c r="R502" s="124"/>
      <c r="S502" s="124"/>
      <c r="T502" s="124"/>
      <c r="U502" s="124"/>
    </row>
    <row r="503" spans="1:21" s="106" customFormat="1" ht="13.8">
      <c r="A503" s="125"/>
      <c r="B503" s="34">
        <v>44026</v>
      </c>
      <c r="C503" s="124" t="s">
        <v>325</v>
      </c>
      <c r="D503" s="124">
        <v>30</v>
      </c>
      <c r="E503" s="124"/>
      <c r="F503" s="124"/>
      <c r="G503" s="124">
        <v>30</v>
      </c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</row>
    <row r="504" spans="1:21" s="106" customFormat="1" ht="13.8">
      <c r="A504" s="125"/>
      <c r="B504" s="34">
        <v>44027</v>
      </c>
      <c r="C504" s="124" t="s">
        <v>39</v>
      </c>
      <c r="D504" s="124">
        <v>71.849999999999994</v>
      </c>
      <c r="E504" s="124"/>
      <c r="F504" s="124">
        <v>71.849999999999994</v>
      </c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</row>
    <row r="505" spans="1:21" s="106" customFormat="1" ht="13.8">
      <c r="A505" s="125"/>
      <c r="B505" s="34">
        <v>44027</v>
      </c>
      <c r="C505" s="124" t="s">
        <v>325</v>
      </c>
      <c r="D505" s="124">
        <v>124.43</v>
      </c>
      <c r="E505" s="124"/>
      <c r="F505" s="124"/>
      <c r="G505" s="124">
        <v>94.75</v>
      </c>
      <c r="H505" s="124"/>
      <c r="I505" s="124"/>
      <c r="J505" s="124"/>
      <c r="K505" s="124"/>
      <c r="L505" s="124">
        <v>29.68</v>
      </c>
      <c r="M505" s="124"/>
      <c r="N505" s="124"/>
      <c r="O505" s="124"/>
      <c r="P505" s="124"/>
      <c r="Q505" s="124"/>
      <c r="R505" s="124"/>
      <c r="S505" s="124"/>
      <c r="T505" s="124"/>
      <c r="U505" s="124"/>
    </row>
    <row r="506" spans="1:21" s="106" customFormat="1" ht="13.8">
      <c r="A506" s="125"/>
      <c r="B506" s="34">
        <v>44028</v>
      </c>
      <c r="C506" s="124" t="s">
        <v>216</v>
      </c>
      <c r="D506" s="124">
        <v>366</v>
      </c>
      <c r="E506" s="124"/>
      <c r="F506" s="124">
        <v>68</v>
      </c>
      <c r="G506" s="124"/>
      <c r="H506" s="124"/>
      <c r="I506" s="124"/>
      <c r="J506" s="124"/>
      <c r="K506" s="124"/>
      <c r="L506" s="124"/>
      <c r="M506" s="124"/>
      <c r="N506" s="124">
        <v>200</v>
      </c>
      <c r="O506" s="124"/>
      <c r="P506" s="124"/>
      <c r="Q506" s="124"/>
      <c r="R506" s="124"/>
      <c r="S506" s="124">
        <v>98</v>
      </c>
      <c r="T506" s="124"/>
      <c r="U506" s="124"/>
    </row>
    <row r="507" spans="1:21" s="106" customFormat="1" ht="13.8">
      <c r="A507" s="125"/>
      <c r="B507" s="34">
        <v>44029</v>
      </c>
      <c r="C507" s="124" t="s">
        <v>325</v>
      </c>
      <c r="D507" s="124">
        <v>104.28</v>
      </c>
      <c r="E507" s="124"/>
      <c r="F507" s="124"/>
      <c r="G507" s="124">
        <v>96.6</v>
      </c>
      <c r="H507" s="124"/>
      <c r="I507" s="124"/>
      <c r="J507" s="124"/>
      <c r="K507" s="124"/>
      <c r="L507" s="124">
        <v>7.68</v>
      </c>
      <c r="M507" s="124"/>
      <c r="N507" s="124"/>
      <c r="O507" s="124"/>
      <c r="P507" s="124"/>
      <c r="Q507" s="124"/>
      <c r="R507" s="124"/>
      <c r="S507" s="124"/>
      <c r="T507" s="124"/>
      <c r="U507" s="124"/>
    </row>
    <row r="508" spans="1:21" s="106" customFormat="1" ht="13.8">
      <c r="A508" s="125"/>
      <c r="B508" s="34">
        <v>44030</v>
      </c>
      <c r="C508" s="124" t="s">
        <v>40</v>
      </c>
      <c r="D508" s="124">
        <v>42</v>
      </c>
      <c r="E508" s="124"/>
      <c r="F508" s="124"/>
      <c r="G508" s="124">
        <v>42</v>
      </c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</row>
    <row r="509" spans="1:21" s="106" customFormat="1" ht="13.8">
      <c r="A509" s="125"/>
      <c r="B509" s="34">
        <v>44031</v>
      </c>
      <c r="C509" s="124" t="s">
        <v>38</v>
      </c>
      <c r="D509" s="124">
        <v>73</v>
      </c>
      <c r="E509" s="124"/>
      <c r="F509" s="124"/>
      <c r="G509" s="124">
        <v>73</v>
      </c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</row>
    <row r="510" spans="1:21" s="106" customFormat="1" ht="13.8">
      <c r="A510" s="125"/>
      <c r="B510" s="34">
        <v>44031</v>
      </c>
      <c r="C510" s="124" t="s">
        <v>325</v>
      </c>
      <c r="D510" s="124">
        <v>19.77</v>
      </c>
      <c r="E510" s="124"/>
      <c r="F510" s="124"/>
      <c r="G510" s="124"/>
      <c r="H510" s="124"/>
      <c r="I510" s="124"/>
      <c r="J510" s="124"/>
      <c r="K510" s="124"/>
      <c r="L510" s="124">
        <v>19.77</v>
      </c>
      <c r="M510" s="124"/>
      <c r="N510" s="124"/>
      <c r="O510" s="124"/>
      <c r="P510" s="124"/>
      <c r="Q510" s="124"/>
      <c r="R510" s="124"/>
      <c r="S510" s="124"/>
      <c r="T510" s="124"/>
      <c r="U510" s="124"/>
    </row>
    <row r="511" spans="1:21" s="106" customFormat="1" ht="13.8">
      <c r="A511" s="125"/>
      <c r="B511" s="34">
        <v>44033</v>
      </c>
      <c r="C511" s="124" t="s">
        <v>41</v>
      </c>
      <c r="D511" s="124">
        <v>44.2</v>
      </c>
      <c r="E511" s="124"/>
      <c r="F511" s="124"/>
      <c r="G511" s="124">
        <v>29.2</v>
      </c>
      <c r="H511" s="124"/>
      <c r="I511" s="124"/>
      <c r="J511" s="124"/>
      <c r="K511" s="124"/>
      <c r="L511" s="124">
        <v>15</v>
      </c>
      <c r="M511" s="124"/>
      <c r="N511" s="124"/>
      <c r="O511" s="124"/>
      <c r="P511" s="124"/>
      <c r="Q511" s="124"/>
      <c r="R511" s="124"/>
      <c r="S511" s="124"/>
      <c r="T511" s="124"/>
      <c r="U511" s="124"/>
    </row>
    <row r="512" spans="1:21" s="106" customFormat="1" ht="13.8">
      <c r="A512" s="125"/>
      <c r="B512" s="34">
        <v>44034</v>
      </c>
      <c r="C512" s="124" t="s">
        <v>38</v>
      </c>
      <c r="D512" s="124">
        <v>30</v>
      </c>
      <c r="E512" s="124"/>
      <c r="F512" s="124"/>
      <c r="G512" s="124"/>
      <c r="H512" s="124"/>
      <c r="I512" s="124"/>
      <c r="J512" s="124"/>
      <c r="K512" s="124"/>
      <c r="L512" s="124">
        <v>30</v>
      </c>
      <c r="M512" s="124"/>
      <c r="N512" s="124"/>
      <c r="O512" s="124"/>
      <c r="P512" s="124"/>
      <c r="Q512" s="124"/>
      <c r="R512" s="124"/>
      <c r="S512" s="124"/>
      <c r="T512" s="124"/>
      <c r="U512" s="124"/>
    </row>
    <row r="513" spans="1:49" s="106" customFormat="1" ht="13.8">
      <c r="A513" s="125"/>
      <c r="B513" s="34">
        <v>44035</v>
      </c>
      <c r="C513" s="124" t="s">
        <v>325</v>
      </c>
      <c r="D513" s="124">
        <v>81.650000000000006</v>
      </c>
      <c r="E513" s="124"/>
      <c r="F513" s="124"/>
      <c r="G513" s="124">
        <v>81.650000000000006</v>
      </c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</row>
    <row r="514" spans="1:49" s="106" customFormat="1" ht="13.8">
      <c r="A514" s="125"/>
      <c r="B514" s="34">
        <v>44035</v>
      </c>
      <c r="C514" s="124" t="s">
        <v>38</v>
      </c>
      <c r="D514" s="124">
        <v>24</v>
      </c>
      <c r="E514" s="124"/>
      <c r="F514" s="124"/>
      <c r="G514" s="124">
        <v>24</v>
      </c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</row>
    <row r="515" spans="1:49" s="106" customFormat="1" ht="13.8">
      <c r="A515" s="125"/>
      <c r="B515" s="34">
        <v>44037</v>
      </c>
      <c r="C515" s="124" t="s">
        <v>325</v>
      </c>
      <c r="D515" s="124">
        <v>61.58</v>
      </c>
      <c r="E515" s="124"/>
      <c r="F515" s="124"/>
      <c r="G515" s="124">
        <v>61.58</v>
      </c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</row>
    <row r="516" spans="1:49" s="106" customFormat="1" ht="13.8">
      <c r="A516" s="125"/>
      <c r="B516" s="34">
        <v>44039</v>
      </c>
      <c r="C516" s="124" t="s">
        <v>123</v>
      </c>
      <c r="D516" s="124">
        <v>50</v>
      </c>
      <c r="E516" s="124"/>
      <c r="F516" s="124"/>
      <c r="G516" s="124">
        <v>50</v>
      </c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</row>
    <row r="517" spans="1:49" s="106" customFormat="1" ht="13.8">
      <c r="A517" s="125"/>
      <c r="B517" s="34">
        <v>44039</v>
      </c>
      <c r="C517" s="124" t="s">
        <v>41</v>
      </c>
      <c r="D517" s="124">
        <v>114</v>
      </c>
      <c r="E517" s="124"/>
      <c r="F517" s="124"/>
      <c r="G517" s="124">
        <v>114</v>
      </c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</row>
    <row r="518" spans="1:49" s="106" customFormat="1" ht="13.8">
      <c r="A518" s="125"/>
      <c r="B518" s="34">
        <v>44039</v>
      </c>
      <c r="C518" s="124" t="s">
        <v>39</v>
      </c>
      <c r="D518" s="124">
        <v>43.3</v>
      </c>
      <c r="E518" s="124"/>
      <c r="F518" s="124">
        <v>29</v>
      </c>
      <c r="G518" s="124">
        <v>14.3</v>
      </c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</row>
    <row r="519" spans="1:49" s="106" customFormat="1" ht="13.8">
      <c r="A519" s="125"/>
      <c r="B519" s="34">
        <v>44039</v>
      </c>
      <c r="C519" s="124" t="s">
        <v>325</v>
      </c>
      <c r="D519" s="124">
        <v>87</v>
      </c>
      <c r="E519" s="124"/>
      <c r="F519" s="124"/>
      <c r="G519" s="124">
        <v>87</v>
      </c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</row>
    <row r="520" spans="1:49" s="106" customFormat="1" ht="13.8">
      <c r="A520" s="125"/>
      <c r="B520" s="34">
        <v>44041</v>
      </c>
      <c r="C520" s="124" t="s">
        <v>325</v>
      </c>
      <c r="D520" s="124">
        <v>87</v>
      </c>
      <c r="E520" s="124"/>
      <c r="F520" s="124"/>
      <c r="G520" s="124">
        <v>79.319999999999993</v>
      </c>
      <c r="H520" s="124"/>
      <c r="I520" s="124"/>
      <c r="J520" s="124"/>
      <c r="K520" s="124"/>
      <c r="L520" s="124">
        <v>7.68</v>
      </c>
      <c r="M520" s="124"/>
      <c r="N520" s="124"/>
      <c r="O520" s="124"/>
      <c r="P520" s="124"/>
      <c r="Q520" s="124"/>
      <c r="R520" s="124"/>
      <c r="S520" s="124"/>
      <c r="T520" s="124"/>
      <c r="U520" s="124"/>
    </row>
    <row r="521" spans="1:49" s="106" customFormat="1" ht="13.8">
      <c r="A521" s="125"/>
      <c r="B521" s="34">
        <v>44042</v>
      </c>
      <c r="C521" s="124" t="s">
        <v>325</v>
      </c>
      <c r="D521" s="124">
        <v>128.81</v>
      </c>
      <c r="E521" s="124"/>
      <c r="F521" s="124"/>
      <c r="G521" s="124">
        <v>93.45</v>
      </c>
      <c r="H521" s="124"/>
      <c r="I521" s="124"/>
      <c r="J521" s="124"/>
      <c r="K521" s="124"/>
      <c r="L521" s="124">
        <v>35.36</v>
      </c>
      <c r="M521" s="124"/>
      <c r="N521" s="124"/>
      <c r="O521" s="124"/>
      <c r="P521" s="124"/>
      <c r="Q521" s="124"/>
      <c r="R521" s="124"/>
      <c r="S521" s="124"/>
      <c r="T521" s="124"/>
      <c r="U521" s="124"/>
    </row>
    <row r="522" spans="1:49" s="120" customFormat="1" ht="12" customHeight="1">
      <c r="A522" s="60"/>
      <c r="B522" s="248" t="str">
        <f>B444</f>
        <v>juli</v>
      </c>
      <c r="C522" s="247" t="s">
        <v>36</v>
      </c>
      <c r="D522" s="247">
        <f t="shared" ref="D522:U522" si="31">SUM(D523:D523)</f>
        <v>0</v>
      </c>
      <c r="E522" s="247">
        <f t="shared" si="31"/>
        <v>0</v>
      </c>
      <c r="F522" s="247">
        <f t="shared" si="31"/>
        <v>0</v>
      </c>
      <c r="G522" s="247">
        <f t="shared" si="31"/>
        <v>0</v>
      </c>
      <c r="H522" s="247">
        <f t="shared" si="31"/>
        <v>0</v>
      </c>
      <c r="I522" s="247">
        <f t="shared" si="31"/>
        <v>0</v>
      </c>
      <c r="J522" s="247">
        <f t="shared" si="31"/>
        <v>0</v>
      </c>
      <c r="K522" s="247">
        <f t="shared" si="31"/>
        <v>0</v>
      </c>
      <c r="L522" s="247">
        <f t="shared" si="31"/>
        <v>0</v>
      </c>
      <c r="M522" s="247">
        <f t="shared" si="31"/>
        <v>0</v>
      </c>
      <c r="N522" s="247">
        <f t="shared" si="31"/>
        <v>0</v>
      </c>
      <c r="O522" s="247">
        <f t="shared" si="31"/>
        <v>0</v>
      </c>
      <c r="P522" s="247">
        <f t="shared" si="31"/>
        <v>0</v>
      </c>
      <c r="Q522" s="247">
        <f t="shared" si="31"/>
        <v>0</v>
      </c>
      <c r="R522" s="247">
        <f t="shared" si="31"/>
        <v>0</v>
      </c>
      <c r="S522" s="247">
        <f t="shared" si="31"/>
        <v>0</v>
      </c>
      <c r="T522" s="247">
        <f t="shared" si="31"/>
        <v>0</v>
      </c>
      <c r="U522" s="247">
        <f t="shared" si="31"/>
        <v>0</v>
      </c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</row>
    <row r="523" spans="1:49" s="120" customFormat="1" ht="12" customHeight="1">
      <c r="A523" s="60"/>
      <c r="B523" s="248"/>
      <c r="C523" s="247"/>
      <c r="D523" s="247"/>
      <c r="E523" s="247"/>
      <c r="F523" s="247"/>
      <c r="G523" s="247"/>
      <c r="H523" s="247"/>
      <c r="I523" s="247"/>
      <c r="J523" s="247"/>
      <c r="K523" s="247"/>
      <c r="L523" s="247"/>
      <c r="M523" s="247"/>
      <c r="N523" s="247"/>
      <c r="O523" s="247"/>
      <c r="P523" s="247"/>
      <c r="Q523" s="247"/>
      <c r="R523" s="247"/>
      <c r="S523" s="247"/>
      <c r="T523" s="247"/>
      <c r="U523" s="247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</row>
    <row r="524" spans="1:49" s="126" customFormat="1" ht="13.5" customHeight="1">
      <c r="A524" s="39"/>
      <c r="B524" s="2948" t="str">
        <f>J2</f>
        <v>august</v>
      </c>
      <c r="C524" s="3003"/>
      <c r="D524" s="36">
        <f t="shared" ref="D524:U524" si="32">SUM(D525:D604)</f>
        <v>104.02000000000132</v>
      </c>
      <c r="E524" s="36">
        <f t="shared" si="32"/>
        <v>1485.51</v>
      </c>
      <c r="F524" s="36">
        <f t="shared" si="32"/>
        <v>1262.1500000000001</v>
      </c>
      <c r="G524" s="36">
        <f t="shared" si="32"/>
        <v>1877.9900000000002</v>
      </c>
      <c r="H524" s="36">
        <f t="shared" si="32"/>
        <v>367.35</v>
      </c>
      <c r="I524" s="36">
        <f t="shared" si="32"/>
        <v>0</v>
      </c>
      <c r="J524" s="36">
        <f t="shared" si="32"/>
        <v>0</v>
      </c>
      <c r="K524" s="36">
        <f t="shared" si="32"/>
        <v>387</v>
      </c>
      <c r="L524" s="36">
        <f t="shared" si="32"/>
        <v>529.90000000000009</v>
      </c>
      <c r="M524" s="36">
        <f t="shared" si="32"/>
        <v>7474</v>
      </c>
      <c r="N524" s="36">
        <f t="shared" si="32"/>
        <v>320</v>
      </c>
      <c r="O524" s="36">
        <f t="shared" si="32"/>
        <v>1174.54</v>
      </c>
      <c r="P524" s="36">
        <f t="shared" si="32"/>
        <v>567</v>
      </c>
      <c r="Q524" s="36">
        <f t="shared" si="32"/>
        <v>409</v>
      </c>
      <c r="R524" s="36">
        <f t="shared" si="32"/>
        <v>565</v>
      </c>
      <c r="S524" s="36">
        <f t="shared" si="32"/>
        <v>515.4</v>
      </c>
      <c r="T524" s="36">
        <f t="shared" si="32"/>
        <v>975.93000000000006</v>
      </c>
      <c r="U524" s="36">
        <f t="shared" si="32"/>
        <v>2286.25</v>
      </c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</row>
    <row r="525" spans="1:49" s="106" customFormat="1" ht="13.8">
      <c r="A525" s="125"/>
      <c r="B525" s="34">
        <v>44043</v>
      </c>
      <c r="C525" s="124" t="s">
        <v>35</v>
      </c>
      <c r="D525" s="124">
        <v>-11004</v>
      </c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</row>
    <row r="526" spans="1:49" s="106" customFormat="1" ht="13.8">
      <c r="A526" s="125"/>
      <c r="B526" s="34">
        <v>44043</v>
      </c>
      <c r="C526" s="124" t="s">
        <v>34</v>
      </c>
      <c r="D526" s="124">
        <v>-7733</v>
      </c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</row>
    <row r="527" spans="1:49" s="106" customFormat="1" ht="13.8">
      <c r="A527" s="125"/>
      <c r="B527" s="34">
        <v>44043</v>
      </c>
      <c r="C527" s="124" t="s">
        <v>33</v>
      </c>
      <c r="D527" s="124">
        <v>-205</v>
      </c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</row>
    <row r="528" spans="1:49" s="106" customFormat="1" ht="13.8">
      <c r="A528" s="125">
        <v>5</v>
      </c>
      <c r="B528" s="34">
        <v>44043</v>
      </c>
      <c r="C528" s="124" t="s">
        <v>57</v>
      </c>
      <c r="D528" s="124">
        <v>1600</v>
      </c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>
        <v>800</v>
      </c>
      <c r="U528" s="124">
        <v>800</v>
      </c>
    </row>
    <row r="529" spans="1:21" s="106" customFormat="1" ht="13.8">
      <c r="A529" s="125"/>
      <c r="B529" s="34">
        <v>44043</v>
      </c>
      <c r="C529" s="124" t="s">
        <v>21</v>
      </c>
      <c r="D529" s="124">
        <v>200</v>
      </c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>
        <v>200</v>
      </c>
      <c r="Q529" s="124"/>
      <c r="R529" s="124"/>
      <c r="S529" s="124"/>
      <c r="T529" s="124"/>
      <c r="U529" s="124"/>
    </row>
    <row r="530" spans="1:21" s="106" customFormat="1" ht="13.8">
      <c r="A530" s="125"/>
      <c r="B530" s="34">
        <v>44043</v>
      </c>
      <c r="C530" s="124" t="s">
        <v>374</v>
      </c>
      <c r="D530" s="124">
        <v>150.75</v>
      </c>
      <c r="E530" s="124"/>
      <c r="F530" s="124">
        <v>150.75</v>
      </c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</row>
    <row r="531" spans="1:21" s="106" customFormat="1" ht="13.8">
      <c r="A531" s="125"/>
      <c r="B531" s="34">
        <v>44043</v>
      </c>
      <c r="C531" s="124" t="s">
        <v>208</v>
      </c>
      <c r="D531" s="124">
        <v>39</v>
      </c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>
        <v>39</v>
      </c>
      <c r="P531" s="124"/>
      <c r="Q531" s="124"/>
      <c r="R531" s="124"/>
      <c r="S531" s="124"/>
      <c r="T531" s="124"/>
      <c r="U531" s="124"/>
    </row>
    <row r="532" spans="1:21" s="106" customFormat="1" ht="13.8">
      <c r="A532" s="125"/>
      <c r="B532" s="34">
        <v>44043</v>
      </c>
      <c r="C532" s="124" t="s">
        <v>216</v>
      </c>
      <c r="D532" s="124">
        <v>663.9</v>
      </c>
      <c r="E532" s="124"/>
      <c r="F532" s="124">
        <v>125.9</v>
      </c>
      <c r="G532" s="124"/>
      <c r="H532" s="124"/>
      <c r="I532" s="124"/>
      <c r="J532" s="124"/>
      <c r="K532" s="124"/>
      <c r="L532" s="124">
        <v>20</v>
      </c>
      <c r="M532" s="124"/>
      <c r="N532" s="124">
        <v>320</v>
      </c>
      <c r="O532" s="124">
        <v>198</v>
      </c>
      <c r="P532" s="124"/>
      <c r="Q532" s="124"/>
      <c r="R532" s="124"/>
      <c r="S532" s="124"/>
      <c r="T532" s="124"/>
      <c r="U532" s="124"/>
    </row>
    <row r="533" spans="1:21" s="106" customFormat="1" ht="13.8">
      <c r="A533" s="125"/>
      <c r="B533" s="34">
        <v>44043</v>
      </c>
      <c r="C533" s="124" t="s">
        <v>39</v>
      </c>
      <c r="D533" s="124">
        <v>214.84</v>
      </c>
      <c r="E533" s="124"/>
      <c r="F533" s="124"/>
      <c r="G533" s="124">
        <v>214.84</v>
      </c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</row>
    <row r="534" spans="1:21" s="106" customFormat="1" ht="13.8">
      <c r="A534" s="125"/>
      <c r="B534" s="34">
        <v>44043</v>
      </c>
      <c r="C534" s="124" t="s">
        <v>42</v>
      </c>
      <c r="D534" s="124">
        <v>84.5</v>
      </c>
      <c r="E534" s="124"/>
      <c r="F534" s="124">
        <v>9.5</v>
      </c>
      <c r="G534" s="124">
        <v>35</v>
      </c>
      <c r="H534" s="124"/>
      <c r="I534" s="124"/>
      <c r="J534" s="124"/>
      <c r="K534" s="124"/>
      <c r="L534" s="124">
        <v>40</v>
      </c>
      <c r="M534" s="124"/>
      <c r="N534" s="124"/>
      <c r="O534" s="124"/>
      <c r="P534" s="124"/>
      <c r="Q534" s="124"/>
      <c r="R534" s="124"/>
      <c r="S534" s="124"/>
      <c r="T534" s="124"/>
      <c r="U534" s="124"/>
    </row>
    <row r="535" spans="1:21" s="106" customFormat="1" ht="13.8">
      <c r="A535" s="125"/>
      <c r="B535" s="34">
        <v>44043</v>
      </c>
      <c r="C535" s="124" t="s">
        <v>186</v>
      </c>
      <c r="D535" s="124">
        <v>120</v>
      </c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>
        <v>120</v>
      </c>
      <c r="R535" s="124"/>
      <c r="S535" s="124"/>
      <c r="T535" s="124"/>
      <c r="U535" s="124"/>
    </row>
    <row r="536" spans="1:21" s="106" customFormat="1" ht="13.8">
      <c r="A536" s="125"/>
      <c r="B536" s="34">
        <v>44043</v>
      </c>
      <c r="C536" s="124" t="s">
        <v>297</v>
      </c>
      <c r="D536" s="124">
        <v>66.2</v>
      </c>
      <c r="E536" s="124"/>
      <c r="F536" s="124"/>
      <c r="G536" s="124"/>
      <c r="H536" s="124">
        <v>66.2</v>
      </c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</row>
    <row r="537" spans="1:21" s="106" customFormat="1" ht="13.8">
      <c r="A537" s="125"/>
      <c r="B537" s="34">
        <v>44043</v>
      </c>
      <c r="C537" s="124" t="s">
        <v>42</v>
      </c>
      <c r="D537" s="124">
        <v>84.95</v>
      </c>
      <c r="E537" s="124"/>
      <c r="F537" s="124"/>
      <c r="G537" s="124"/>
      <c r="H537" s="124"/>
      <c r="I537" s="124"/>
      <c r="J537" s="124"/>
      <c r="K537" s="124"/>
      <c r="L537" s="124">
        <v>84.95</v>
      </c>
      <c r="M537" s="124"/>
      <c r="N537" s="124"/>
      <c r="O537" s="124"/>
      <c r="P537" s="124"/>
      <c r="Q537" s="124"/>
      <c r="R537" s="124"/>
      <c r="S537" s="124"/>
      <c r="T537" s="124"/>
      <c r="U537" s="124"/>
    </row>
    <row r="538" spans="1:21" s="106" customFormat="1" ht="13.8">
      <c r="A538" s="125"/>
      <c r="B538" s="34">
        <v>44044</v>
      </c>
      <c r="C538" s="124" t="s">
        <v>230</v>
      </c>
      <c r="D538" s="124">
        <f>$AM$35</f>
        <v>229</v>
      </c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>
        <f>D538</f>
        <v>229</v>
      </c>
      <c r="Q538" s="124"/>
      <c r="R538" s="124"/>
      <c r="S538" s="124"/>
      <c r="T538" s="124"/>
      <c r="U538" s="124"/>
    </row>
    <row r="539" spans="1:21" s="106" customFormat="1" ht="13.8">
      <c r="A539" s="125"/>
      <c r="B539" s="34">
        <v>44044</v>
      </c>
      <c r="C539" s="124" t="s">
        <v>373</v>
      </c>
      <c r="D539" s="124">
        <v>250</v>
      </c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>
        <v>250</v>
      </c>
    </row>
    <row r="540" spans="1:21" s="106" customFormat="1" ht="13.8">
      <c r="A540" s="125"/>
      <c r="B540" s="34">
        <v>44044</v>
      </c>
      <c r="C540" s="124" t="s">
        <v>42</v>
      </c>
      <c r="D540" s="124">
        <v>235.6</v>
      </c>
      <c r="E540" s="124"/>
      <c r="F540" s="124"/>
      <c r="G540" s="124">
        <v>195.6</v>
      </c>
      <c r="H540" s="124"/>
      <c r="I540" s="124"/>
      <c r="J540" s="124"/>
      <c r="K540" s="124"/>
      <c r="L540" s="124">
        <v>40</v>
      </c>
      <c r="M540" s="124"/>
      <c r="N540" s="124"/>
      <c r="O540" s="124"/>
      <c r="P540" s="124"/>
      <c r="Q540" s="124"/>
      <c r="R540" s="124"/>
      <c r="S540" s="124"/>
      <c r="T540" s="124"/>
      <c r="U540" s="124"/>
    </row>
    <row r="541" spans="1:21" s="106" customFormat="1" ht="13.8">
      <c r="A541" s="125"/>
      <c r="B541" s="34">
        <v>44044</v>
      </c>
      <c r="C541" s="124" t="s">
        <v>186</v>
      </c>
      <c r="D541" s="124">
        <v>100</v>
      </c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>
        <v>100</v>
      </c>
      <c r="R541" s="124"/>
      <c r="S541" s="124"/>
      <c r="T541" s="124"/>
      <c r="U541" s="124"/>
    </row>
    <row r="542" spans="1:21" s="106" customFormat="1" ht="13.8">
      <c r="A542" s="125"/>
      <c r="B542" s="34">
        <v>44044</v>
      </c>
      <c r="C542" s="124" t="s">
        <v>143</v>
      </c>
      <c r="D542" s="124">
        <v>100</v>
      </c>
      <c r="E542" s="124"/>
      <c r="F542" s="124">
        <v>100</v>
      </c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</row>
    <row r="543" spans="1:21" s="106" customFormat="1" ht="13.8">
      <c r="A543" s="125"/>
      <c r="B543" s="34">
        <v>44044</v>
      </c>
      <c r="C543" s="124" t="s">
        <v>372</v>
      </c>
      <c r="D543" s="124">
        <v>88</v>
      </c>
      <c r="E543" s="124"/>
      <c r="F543" s="124">
        <v>88</v>
      </c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</row>
    <row r="544" spans="1:21" s="106" customFormat="1" ht="13.8">
      <c r="A544" s="125"/>
      <c r="B544" s="34">
        <v>44044</v>
      </c>
      <c r="C544" s="124" t="s">
        <v>41</v>
      </c>
      <c r="D544" s="124">
        <v>132</v>
      </c>
      <c r="E544" s="124"/>
      <c r="F544" s="124">
        <v>132</v>
      </c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</row>
    <row r="545" spans="1:21" s="106" customFormat="1" ht="13.8">
      <c r="A545" s="125"/>
      <c r="B545" s="34">
        <v>44044</v>
      </c>
      <c r="C545" s="124" t="s">
        <v>22</v>
      </c>
      <c r="D545" s="124">
        <v>138</v>
      </c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>
        <f>D545</f>
        <v>138</v>
      </c>
      <c r="Q545" s="124"/>
      <c r="R545" s="124"/>
      <c r="S545" s="124"/>
      <c r="T545" s="124"/>
      <c r="U545" s="124"/>
    </row>
    <row r="546" spans="1:21" s="106" customFormat="1" ht="13.8">
      <c r="A546" s="125"/>
      <c r="B546" s="34">
        <v>44045</v>
      </c>
      <c r="C546" s="124" t="s">
        <v>216</v>
      </c>
      <c r="D546" s="124">
        <v>68</v>
      </c>
      <c r="E546" s="124"/>
      <c r="F546" s="124">
        <v>48</v>
      </c>
      <c r="G546" s="124"/>
      <c r="H546" s="124"/>
      <c r="I546" s="124"/>
      <c r="J546" s="124"/>
      <c r="K546" s="124"/>
      <c r="L546" s="124">
        <v>20</v>
      </c>
      <c r="M546" s="124"/>
      <c r="N546" s="124"/>
      <c r="O546" s="124"/>
      <c r="P546" s="124"/>
      <c r="Q546" s="124"/>
      <c r="R546" s="124"/>
      <c r="S546" s="124"/>
      <c r="T546" s="124"/>
      <c r="U546" s="124"/>
    </row>
    <row r="547" spans="1:21" s="106" customFormat="1" ht="13.8">
      <c r="A547" s="125"/>
      <c r="B547" s="34">
        <v>44046</v>
      </c>
      <c r="C547" s="124" t="s">
        <v>31</v>
      </c>
      <c r="D547" s="124">
        <f>$X$35</f>
        <v>-1151</v>
      </c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</row>
    <row r="548" spans="1:21" s="106" customFormat="1" ht="13.8">
      <c r="A548" s="125"/>
      <c r="B548" s="34">
        <v>44046</v>
      </c>
      <c r="C548" s="124" t="s">
        <v>30</v>
      </c>
      <c r="D548" s="124">
        <v>7474</v>
      </c>
      <c r="E548" s="124"/>
      <c r="F548" s="124"/>
      <c r="G548" s="124"/>
      <c r="H548" s="124"/>
      <c r="I548" s="124"/>
      <c r="J548" s="124"/>
      <c r="K548" s="124"/>
      <c r="L548" s="124"/>
      <c r="M548" s="124">
        <v>7474</v>
      </c>
      <c r="N548" s="124"/>
      <c r="O548" s="124"/>
      <c r="P548" s="124"/>
      <c r="Q548" s="124"/>
      <c r="R548" s="124"/>
      <c r="S548" s="124"/>
      <c r="T548" s="124"/>
      <c r="U548" s="124"/>
    </row>
    <row r="549" spans="1:21" s="106" customFormat="1" ht="13.8">
      <c r="A549" s="125"/>
      <c r="B549" s="34">
        <v>44046</v>
      </c>
      <c r="C549" s="124" t="s">
        <v>371</v>
      </c>
      <c r="D549" s="124">
        <v>-50</v>
      </c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>
        <v>-50</v>
      </c>
      <c r="R549" s="124"/>
      <c r="S549" s="124"/>
      <c r="T549" s="124"/>
      <c r="U549" s="124"/>
    </row>
    <row r="550" spans="1:21" s="106" customFormat="1" ht="13.8">
      <c r="A550" s="125"/>
      <c r="B550" s="34">
        <v>44046</v>
      </c>
      <c r="C550" s="124" t="s">
        <v>125</v>
      </c>
      <c r="D550" s="124">
        <v>119</v>
      </c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>
        <v>119</v>
      </c>
      <c r="R550" s="124"/>
      <c r="S550" s="124"/>
      <c r="T550" s="124"/>
      <c r="U550" s="124"/>
    </row>
    <row r="551" spans="1:21" s="106" customFormat="1" ht="13.8">
      <c r="A551" s="125"/>
      <c r="B551" s="34">
        <v>44046</v>
      </c>
      <c r="C551" s="124" t="s">
        <v>182</v>
      </c>
      <c r="D551" s="124">
        <v>284</v>
      </c>
      <c r="E551" s="124">
        <v>284</v>
      </c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</row>
    <row r="552" spans="1:21" s="106" customFormat="1" ht="13.8">
      <c r="A552" s="125"/>
      <c r="B552" s="34">
        <v>44046</v>
      </c>
      <c r="C552" s="124" t="s">
        <v>265</v>
      </c>
      <c r="D552" s="124">
        <v>490</v>
      </c>
      <c r="E552" s="124">
        <v>490</v>
      </c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</row>
    <row r="553" spans="1:21" s="106" customFormat="1" ht="13.8">
      <c r="A553" s="125"/>
      <c r="B553" s="34">
        <v>44046</v>
      </c>
      <c r="C553" s="124" t="s">
        <v>206</v>
      </c>
      <c r="D553" s="124">
        <v>120</v>
      </c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>
        <v>120</v>
      </c>
      <c r="R553" s="124"/>
      <c r="S553" s="124"/>
      <c r="T553" s="124"/>
      <c r="U553" s="124"/>
    </row>
    <row r="554" spans="1:21" s="106" customFormat="1" ht="13.8">
      <c r="A554" s="125"/>
      <c r="B554" s="34">
        <v>44046</v>
      </c>
      <c r="C554" s="124" t="s">
        <v>363</v>
      </c>
      <c r="D554" s="124">
        <v>410.59</v>
      </c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>
        <v>410.59</v>
      </c>
      <c r="P554" s="124"/>
      <c r="Q554" s="124"/>
      <c r="R554" s="124"/>
      <c r="S554" s="124"/>
      <c r="T554" s="124"/>
      <c r="U554" s="124"/>
    </row>
    <row r="555" spans="1:21" s="106" customFormat="1" ht="13.8">
      <c r="A555" s="125"/>
      <c r="B555" s="34">
        <v>44046</v>
      </c>
      <c r="C555" s="124" t="s">
        <v>183</v>
      </c>
      <c r="D555" s="124">
        <v>517.75</v>
      </c>
      <c r="E555" s="124">
        <v>517.75</v>
      </c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</row>
    <row r="556" spans="1:21" s="106" customFormat="1" ht="13.8">
      <c r="A556" s="125"/>
      <c r="B556" s="34">
        <v>44046</v>
      </c>
      <c r="C556" s="124" t="s">
        <v>42</v>
      </c>
      <c r="D556" s="124">
        <v>214</v>
      </c>
      <c r="E556" s="124"/>
      <c r="F556" s="124"/>
      <c r="G556" s="124">
        <v>214</v>
      </c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</row>
    <row r="557" spans="1:21" s="106" customFormat="1" ht="13.8">
      <c r="A557" s="125"/>
      <c r="B557" s="34">
        <v>44046</v>
      </c>
      <c r="C557" s="124" t="s">
        <v>40</v>
      </c>
      <c r="D557" s="124">
        <v>57</v>
      </c>
      <c r="E557" s="124"/>
      <c r="F557" s="124"/>
      <c r="G557" s="124"/>
      <c r="H557" s="124"/>
      <c r="I557" s="124"/>
      <c r="J557" s="124"/>
      <c r="K557" s="124"/>
      <c r="L557" s="124">
        <v>57</v>
      </c>
      <c r="M557" s="124"/>
      <c r="N557" s="124"/>
      <c r="O557" s="124"/>
      <c r="P557" s="124"/>
      <c r="Q557" s="124"/>
      <c r="R557" s="124"/>
      <c r="S557" s="124"/>
      <c r="T557" s="124"/>
      <c r="U557" s="124"/>
    </row>
    <row r="558" spans="1:21" s="106" customFormat="1" ht="13.8">
      <c r="A558" s="125"/>
      <c r="B558" s="34">
        <v>44046</v>
      </c>
      <c r="C558" s="124" t="s">
        <v>370</v>
      </c>
      <c r="D558" s="124">
        <v>1015</v>
      </c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>
        <v>515</v>
      </c>
      <c r="S558" s="124"/>
      <c r="T558" s="124"/>
      <c r="U558" s="124">
        <v>500</v>
      </c>
    </row>
    <row r="559" spans="1:21" s="106" customFormat="1" ht="13.8">
      <c r="A559" s="125"/>
      <c r="B559" s="34">
        <v>44047</v>
      </c>
      <c r="C559" s="124" t="s">
        <v>369</v>
      </c>
      <c r="D559" s="124">
        <v>167.95</v>
      </c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>
        <v>167.95</v>
      </c>
      <c r="P559" s="124"/>
      <c r="Q559" s="124"/>
      <c r="R559" s="124"/>
      <c r="S559" s="124"/>
      <c r="T559" s="124"/>
      <c r="U559" s="124"/>
    </row>
    <row r="560" spans="1:21" s="106" customFormat="1" ht="13.8">
      <c r="A560" s="125"/>
      <c r="B560" s="34">
        <v>44047</v>
      </c>
      <c r="C560" s="124" t="s">
        <v>297</v>
      </c>
      <c r="D560" s="124">
        <v>131.35</v>
      </c>
      <c r="E560" s="124"/>
      <c r="F560" s="124"/>
      <c r="G560" s="124"/>
      <c r="H560" s="124">
        <v>131.35</v>
      </c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</row>
    <row r="561" spans="1:21" s="106" customFormat="1" ht="13.8">
      <c r="A561" s="125"/>
      <c r="B561" s="34">
        <v>44047</v>
      </c>
      <c r="C561" s="124" t="s">
        <v>40</v>
      </c>
      <c r="D561" s="124">
        <v>78.5</v>
      </c>
      <c r="E561" s="124"/>
      <c r="F561" s="124"/>
      <c r="G561" s="124">
        <v>78.5</v>
      </c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</row>
    <row r="562" spans="1:21" s="106" customFormat="1" ht="13.8">
      <c r="A562" s="125"/>
      <c r="B562" s="34">
        <v>44047</v>
      </c>
      <c r="C562" s="124" t="s">
        <v>38</v>
      </c>
      <c r="D562" s="124">
        <f>81.8+34.9</f>
        <v>116.69999999999999</v>
      </c>
      <c r="E562" s="124"/>
      <c r="F562" s="124"/>
      <c r="G562" s="124">
        <v>12</v>
      </c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>
        <v>104.7</v>
      </c>
    </row>
    <row r="563" spans="1:21" s="106" customFormat="1" ht="13.8">
      <c r="A563" s="125"/>
      <c r="B563" s="34">
        <v>44047</v>
      </c>
      <c r="C563" s="124" t="s">
        <v>368</v>
      </c>
      <c r="D563" s="124">
        <v>200</v>
      </c>
      <c r="E563" s="124"/>
      <c r="F563" s="124">
        <v>200</v>
      </c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</row>
    <row r="564" spans="1:21" s="106" customFormat="1" ht="13.8">
      <c r="A564" s="125"/>
      <c r="B564" s="34">
        <v>44048</v>
      </c>
      <c r="C564" s="124" t="s">
        <v>20</v>
      </c>
      <c r="D564" s="124">
        <v>193.76</v>
      </c>
      <c r="E564" s="124">
        <v>193.76</v>
      </c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</row>
    <row r="565" spans="1:21" s="106" customFormat="1" ht="13.8">
      <c r="A565" s="125"/>
      <c r="B565" s="34">
        <v>44048</v>
      </c>
      <c r="C565" s="124" t="s">
        <v>180</v>
      </c>
      <c r="D565" s="124">
        <v>175.93</v>
      </c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>
        <v>175.93</v>
      </c>
      <c r="U565" s="124"/>
    </row>
    <row r="566" spans="1:21" s="106" customFormat="1" ht="13.8">
      <c r="A566" s="125"/>
      <c r="B566" s="34">
        <v>44048</v>
      </c>
      <c r="C566" s="124" t="s">
        <v>40</v>
      </c>
      <c r="D566" s="124">
        <v>95</v>
      </c>
      <c r="E566" s="124"/>
      <c r="F566" s="124"/>
      <c r="G566" s="124"/>
      <c r="H566" s="124"/>
      <c r="I566" s="124"/>
      <c r="J566" s="124"/>
      <c r="K566" s="124"/>
      <c r="L566" s="124">
        <v>95</v>
      </c>
      <c r="M566" s="124"/>
      <c r="N566" s="124"/>
      <c r="O566" s="124"/>
      <c r="P566" s="124"/>
      <c r="Q566" s="124"/>
      <c r="R566" s="124"/>
      <c r="S566" s="124"/>
      <c r="T566" s="124"/>
      <c r="U566" s="124"/>
    </row>
    <row r="567" spans="1:21" s="106" customFormat="1" ht="13.8">
      <c r="A567" s="125"/>
      <c r="B567" s="34">
        <v>44048</v>
      </c>
      <c r="C567" s="124" t="s">
        <v>367</v>
      </c>
      <c r="D567" s="124">
        <v>50</v>
      </c>
      <c r="E567" s="124"/>
      <c r="F567" s="124"/>
      <c r="G567" s="124"/>
      <c r="H567" s="124"/>
      <c r="I567" s="124"/>
      <c r="J567" s="124"/>
      <c r="K567" s="124"/>
      <c r="L567" s="124">
        <v>50</v>
      </c>
      <c r="M567" s="124"/>
      <c r="N567" s="124"/>
      <c r="O567" s="124"/>
      <c r="P567" s="124"/>
      <c r="Q567" s="124"/>
      <c r="R567" s="124"/>
      <c r="S567" s="124"/>
      <c r="T567" s="124"/>
      <c r="U567" s="124"/>
    </row>
    <row r="568" spans="1:21" s="106" customFormat="1" ht="13.8">
      <c r="A568" s="125"/>
      <c r="B568" s="34">
        <v>44049</v>
      </c>
      <c r="C568" s="124" t="s">
        <v>42</v>
      </c>
      <c r="D568" s="124">
        <v>123.7</v>
      </c>
      <c r="E568" s="124"/>
      <c r="F568" s="124"/>
      <c r="G568" s="124">
        <v>123.7</v>
      </c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</row>
    <row r="569" spans="1:21" s="106" customFormat="1" ht="13.8">
      <c r="A569" s="125"/>
      <c r="B569" s="34">
        <v>44049</v>
      </c>
      <c r="C569" s="124" t="s">
        <v>366</v>
      </c>
      <c r="D569" s="124">
        <v>84.4</v>
      </c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>
        <v>84.4</v>
      </c>
      <c r="T569" s="124"/>
      <c r="U569" s="124"/>
    </row>
    <row r="570" spans="1:21" s="106" customFormat="1" ht="13.8">
      <c r="A570" s="125"/>
      <c r="B570" s="34">
        <v>44049</v>
      </c>
      <c r="C570" s="124" t="s">
        <v>42</v>
      </c>
      <c r="D570" s="124">
        <v>82.5</v>
      </c>
      <c r="E570" s="124"/>
      <c r="F570" s="124"/>
      <c r="G570" s="124">
        <v>82.5</v>
      </c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</row>
    <row r="571" spans="1:21" s="106" customFormat="1" ht="13.8">
      <c r="A571" s="125"/>
      <c r="B571" s="34">
        <v>44050</v>
      </c>
      <c r="C571" s="124" t="s">
        <v>42</v>
      </c>
      <c r="D571" s="124">
        <v>101.5</v>
      </c>
      <c r="E571" s="124"/>
      <c r="F571" s="124"/>
      <c r="G571" s="124">
        <v>101.5</v>
      </c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</row>
    <row r="572" spans="1:21" s="106" customFormat="1" ht="13.8">
      <c r="A572" s="125"/>
      <c r="B572" s="34">
        <v>44050</v>
      </c>
      <c r="C572" s="124" t="s">
        <v>365</v>
      </c>
      <c r="D572" s="124">
        <v>80</v>
      </c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>
        <v>80</v>
      </c>
      <c r="T572" s="124"/>
      <c r="U572" s="124"/>
    </row>
    <row r="573" spans="1:21" s="106" customFormat="1" ht="13.8">
      <c r="A573" s="125"/>
      <c r="B573" s="34">
        <v>44051</v>
      </c>
      <c r="C573" s="124" t="s">
        <v>40</v>
      </c>
      <c r="D573" s="124">
        <v>79.599999999999994</v>
      </c>
      <c r="E573" s="124"/>
      <c r="F573" s="124">
        <v>20</v>
      </c>
      <c r="G573" s="124">
        <v>59.6</v>
      </c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</row>
    <row r="574" spans="1:21" s="106" customFormat="1" ht="13.8">
      <c r="A574" s="125"/>
      <c r="B574" s="34">
        <v>44052</v>
      </c>
      <c r="C574" s="124" t="s">
        <v>42</v>
      </c>
      <c r="D574" s="124">
        <v>86</v>
      </c>
      <c r="E574" s="124"/>
      <c r="F574" s="124"/>
      <c r="G574" s="124">
        <v>14</v>
      </c>
      <c r="H574" s="124"/>
      <c r="I574" s="124"/>
      <c r="J574" s="124"/>
      <c r="K574" s="124">
        <v>72</v>
      </c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</row>
    <row r="575" spans="1:21" s="106" customFormat="1" ht="13.8">
      <c r="A575" s="125"/>
      <c r="B575" s="34">
        <v>44052</v>
      </c>
      <c r="C575" s="124" t="s">
        <v>312</v>
      </c>
      <c r="D575" s="124">
        <v>225</v>
      </c>
      <c r="E575" s="124"/>
      <c r="F575" s="124">
        <v>225</v>
      </c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</row>
    <row r="576" spans="1:21" s="106" customFormat="1" ht="13.8">
      <c r="A576" s="125"/>
      <c r="B576" s="34">
        <v>44053</v>
      </c>
      <c r="C576" s="124" t="s">
        <v>42</v>
      </c>
      <c r="D576" s="124">
        <v>173</v>
      </c>
      <c r="E576" s="124"/>
      <c r="F576" s="124"/>
      <c r="G576" s="124">
        <v>29</v>
      </c>
      <c r="H576" s="124"/>
      <c r="I576" s="124"/>
      <c r="J576" s="124"/>
      <c r="K576" s="124">
        <v>144</v>
      </c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</row>
    <row r="577" spans="1:21" s="106" customFormat="1" ht="13.8">
      <c r="A577" s="125"/>
      <c r="B577" s="34">
        <v>44054</v>
      </c>
      <c r="C577" s="124" t="s">
        <v>209</v>
      </c>
      <c r="D577" s="124">
        <v>351</v>
      </c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>
        <v>351</v>
      </c>
      <c r="T577" s="124"/>
      <c r="U577" s="124"/>
    </row>
    <row r="578" spans="1:21" s="106" customFormat="1" ht="13.8">
      <c r="A578" s="125"/>
      <c r="B578" s="34">
        <v>44054</v>
      </c>
      <c r="C578" s="124" t="s">
        <v>42</v>
      </c>
      <c r="D578" s="124">
        <v>72</v>
      </c>
      <c r="E578" s="124"/>
      <c r="F578" s="124"/>
      <c r="G578" s="124"/>
      <c r="H578" s="124"/>
      <c r="I578" s="124"/>
      <c r="J578" s="124"/>
      <c r="K578" s="124">
        <v>72</v>
      </c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</row>
    <row r="579" spans="1:21" s="106" customFormat="1" ht="13.8">
      <c r="A579" s="125"/>
      <c r="B579" s="34">
        <v>44055</v>
      </c>
      <c r="C579" s="124" t="s">
        <v>297</v>
      </c>
      <c r="D579" s="124">
        <v>23.95</v>
      </c>
      <c r="E579" s="124"/>
      <c r="F579" s="124"/>
      <c r="G579" s="124"/>
      <c r="H579" s="124">
        <v>23.95</v>
      </c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</row>
    <row r="580" spans="1:21" s="106" customFormat="1" ht="13.8">
      <c r="A580" s="125"/>
      <c r="B580" s="34">
        <v>44055</v>
      </c>
      <c r="C580" s="124" t="s">
        <v>42</v>
      </c>
      <c r="D580" s="124">
        <v>132.94999999999999</v>
      </c>
      <c r="E580" s="124"/>
      <c r="F580" s="124">
        <v>22</v>
      </c>
      <c r="G580" s="124">
        <v>11.95</v>
      </c>
      <c r="H580" s="124"/>
      <c r="I580" s="124"/>
      <c r="J580" s="124"/>
      <c r="K580" s="124">
        <v>99</v>
      </c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</row>
    <row r="581" spans="1:21" s="106" customFormat="1" ht="13.8">
      <c r="A581" s="125"/>
      <c r="B581" s="34">
        <v>44055</v>
      </c>
      <c r="C581" s="124" t="s">
        <v>364</v>
      </c>
      <c r="D581" s="124">
        <v>359</v>
      </c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>
        <v>359</v>
      </c>
      <c r="P581" s="124"/>
      <c r="Q581" s="124"/>
      <c r="R581" s="124"/>
      <c r="S581" s="124"/>
      <c r="T581" s="124"/>
      <c r="U581" s="124"/>
    </row>
    <row r="582" spans="1:21" s="106" customFormat="1" ht="13.8">
      <c r="A582" s="125"/>
      <c r="B582" s="34">
        <v>44056</v>
      </c>
      <c r="C582" s="124" t="s">
        <v>42</v>
      </c>
      <c r="D582" s="124">
        <v>131.55000000000001</v>
      </c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>
        <v>131.55000000000001</v>
      </c>
    </row>
    <row r="583" spans="1:21" s="106" customFormat="1" ht="13.8">
      <c r="A583" s="125"/>
      <c r="B583" s="34">
        <v>13.8</v>
      </c>
      <c r="C583" s="124" t="s">
        <v>38</v>
      </c>
      <c r="D583" s="124">
        <v>57.5</v>
      </c>
      <c r="E583" s="124"/>
      <c r="F583" s="124"/>
      <c r="G583" s="124">
        <v>7.5</v>
      </c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>
        <v>50</v>
      </c>
      <c r="S583" s="124"/>
      <c r="T583" s="124"/>
      <c r="U583" s="124"/>
    </row>
    <row r="584" spans="1:21" s="106" customFormat="1" ht="13.8">
      <c r="A584" s="125"/>
      <c r="B584" s="34">
        <v>44057</v>
      </c>
      <c r="C584" s="124" t="s">
        <v>42</v>
      </c>
      <c r="D584" s="124">
        <v>56</v>
      </c>
      <c r="E584" s="124"/>
      <c r="F584" s="124">
        <v>44</v>
      </c>
      <c r="G584" s="124">
        <v>12</v>
      </c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</row>
    <row r="585" spans="1:21" s="106" customFormat="1" ht="13.8">
      <c r="A585" s="125"/>
      <c r="B585" s="34">
        <v>44057</v>
      </c>
      <c r="C585" s="124" t="s">
        <v>38</v>
      </c>
      <c r="D585" s="124">
        <v>88</v>
      </c>
      <c r="E585" s="124"/>
      <c r="F585" s="124"/>
      <c r="G585" s="124">
        <v>88</v>
      </c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</row>
    <row r="586" spans="1:21" s="106" customFormat="1" ht="13.8">
      <c r="A586" s="125"/>
      <c r="B586" s="34">
        <v>44058</v>
      </c>
      <c r="C586" s="124" t="s">
        <v>297</v>
      </c>
      <c r="D586" s="124">
        <v>89.05</v>
      </c>
      <c r="E586" s="124"/>
      <c r="F586" s="124"/>
      <c r="G586" s="124"/>
      <c r="H586" s="124">
        <v>89.05</v>
      </c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</row>
    <row r="587" spans="1:21" s="106" customFormat="1" ht="13.8">
      <c r="A587" s="125"/>
      <c r="B587" s="34">
        <v>44058</v>
      </c>
      <c r="C587" s="124" t="s">
        <v>41</v>
      </c>
      <c r="D587" s="124">
        <v>107</v>
      </c>
      <c r="E587" s="124"/>
      <c r="F587" s="124">
        <v>67</v>
      </c>
      <c r="G587" s="124"/>
      <c r="H587" s="124"/>
      <c r="I587" s="124"/>
      <c r="J587" s="124"/>
      <c r="K587" s="124"/>
      <c r="L587" s="124">
        <v>40</v>
      </c>
      <c r="M587" s="124"/>
      <c r="N587" s="124"/>
      <c r="O587" s="124"/>
      <c r="P587" s="124"/>
      <c r="Q587" s="124"/>
      <c r="R587" s="124"/>
      <c r="S587" s="124"/>
      <c r="T587" s="124"/>
      <c r="U587" s="124"/>
    </row>
    <row r="588" spans="1:21" s="106" customFormat="1" ht="13.8">
      <c r="A588" s="125"/>
      <c r="B588" s="34">
        <v>44058</v>
      </c>
      <c r="C588" s="124" t="s">
        <v>42</v>
      </c>
      <c r="D588" s="124">
        <v>55.95</v>
      </c>
      <c r="E588" s="124"/>
      <c r="F588" s="124"/>
      <c r="G588" s="124">
        <v>55.95</v>
      </c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</row>
    <row r="589" spans="1:21" s="106" customFormat="1" ht="13.8">
      <c r="A589" s="125"/>
      <c r="B589" s="34">
        <v>44060</v>
      </c>
      <c r="C589" s="124" t="s">
        <v>42</v>
      </c>
      <c r="D589" s="124">
        <v>86.45</v>
      </c>
      <c r="E589" s="124"/>
      <c r="F589" s="124"/>
      <c r="G589" s="124">
        <v>66.45</v>
      </c>
      <c r="H589" s="124"/>
      <c r="I589" s="124"/>
      <c r="J589" s="124"/>
      <c r="K589" s="124"/>
      <c r="L589" s="124">
        <v>20</v>
      </c>
      <c r="M589" s="124"/>
      <c r="N589" s="124"/>
      <c r="O589" s="124"/>
      <c r="P589" s="124"/>
      <c r="Q589" s="124"/>
      <c r="R589" s="124"/>
      <c r="S589" s="124"/>
      <c r="T589" s="124"/>
      <c r="U589" s="124"/>
    </row>
    <row r="590" spans="1:21" s="106" customFormat="1" ht="13.8">
      <c r="A590" s="125"/>
      <c r="B590" s="34">
        <v>44062</v>
      </c>
      <c r="C590" s="124" t="s">
        <v>42</v>
      </c>
      <c r="D590" s="124">
        <v>77.5</v>
      </c>
      <c r="E590" s="124"/>
      <c r="F590" s="124"/>
      <c r="G590" s="124">
        <v>57.5</v>
      </c>
      <c r="H590" s="124"/>
      <c r="I590" s="124"/>
      <c r="J590" s="124"/>
      <c r="K590" s="124"/>
      <c r="L590" s="124">
        <v>20</v>
      </c>
      <c r="M590" s="124"/>
      <c r="N590" s="124"/>
      <c r="O590" s="124"/>
      <c r="P590" s="124"/>
      <c r="Q590" s="124"/>
      <c r="R590" s="124"/>
      <c r="S590" s="124"/>
      <c r="T590" s="124"/>
      <c r="U590" s="124"/>
    </row>
    <row r="591" spans="1:21" s="106" customFormat="1" ht="13.8">
      <c r="A591" s="125"/>
      <c r="B591" s="34">
        <v>44063</v>
      </c>
      <c r="C591" s="124" t="s">
        <v>297</v>
      </c>
      <c r="D591" s="124">
        <v>23.95</v>
      </c>
      <c r="E591" s="124"/>
      <c r="F591" s="124"/>
      <c r="G591" s="124"/>
      <c r="H591" s="124">
        <v>23.95</v>
      </c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</row>
    <row r="592" spans="1:21" s="106" customFormat="1" ht="13.8">
      <c r="A592" s="125"/>
      <c r="B592" s="34">
        <v>44063</v>
      </c>
      <c r="C592" s="124" t="s">
        <v>42</v>
      </c>
      <c r="D592" s="124">
        <v>64.900000000000006</v>
      </c>
      <c r="E592" s="124"/>
      <c r="F592" s="124"/>
      <c r="G592" s="124">
        <v>64.900000000000006</v>
      </c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</row>
    <row r="593" spans="1:49" s="106" customFormat="1" ht="13.8">
      <c r="A593" s="125"/>
      <c r="B593" s="34">
        <v>44063</v>
      </c>
      <c r="C593" s="124" t="s">
        <v>39</v>
      </c>
      <c r="D593" s="124">
        <v>21.45</v>
      </c>
      <c r="E593" s="124"/>
      <c r="F593" s="124"/>
      <c r="G593" s="124">
        <v>21.45</v>
      </c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</row>
    <row r="594" spans="1:49" s="106" customFormat="1" ht="13.8">
      <c r="A594" s="125"/>
      <c r="B594" s="34">
        <v>44064</v>
      </c>
      <c r="C594" s="124" t="s">
        <v>57</v>
      </c>
      <c r="D594" s="124">
        <v>500</v>
      </c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>
        <v>500</v>
      </c>
    </row>
    <row r="595" spans="1:49" s="106" customFormat="1" ht="13.8">
      <c r="A595" s="125"/>
      <c r="B595" s="34">
        <v>44065</v>
      </c>
      <c r="C595" s="124" t="s">
        <v>40</v>
      </c>
      <c r="D595" s="124">
        <v>31.5</v>
      </c>
      <c r="E595" s="124"/>
      <c r="F595" s="124"/>
      <c r="G595" s="124">
        <v>31.5</v>
      </c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</row>
    <row r="596" spans="1:49" s="106" customFormat="1" ht="13.8">
      <c r="A596" s="125"/>
      <c r="B596" s="34">
        <v>44065</v>
      </c>
      <c r="C596" s="124" t="s">
        <v>42</v>
      </c>
      <c r="D596" s="124">
        <v>68</v>
      </c>
      <c r="E596" s="124"/>
      <c r="F596" s="124"/>
      <c r="G596" s="124">
        <v>68</v>
      </c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</row>
    <row r="597" spans="1:49" s="106" customFormat="1" ht="13.8">
      <c r="A597" s="125"/>
      <c r="B597" s="34">
        <v>44067</v>
      </c>
      <c r="C597" s="124" t="s">
        <v>41</v>
      </c>
      <c r="D597" s="124">
        <v>47</v>
      </c>
      <c r="E597" s="124"/>
      <c r="F597" s="124"/>
      <c r="G597" s="124">
        <v>20</v>
      </c>
      <c r="H597" s="124"/>
      <c r="I597" s="124"/>
      <c r="J597" s="124"/>
      <c r="K597" s="124"/>
      <c r="L597" s="124">
        <v>27</v>
      </c>
      <c r="M597" s="124"/>
      <c r="N597" s="124"/>
      <c r="O597" s="124"/>
      <c r="P597" s="124"/>
      <c r="Q597" s="124"/>
      <c r="R597" s="124"/>
      <c r="S597" s="124"/>
      <c r="T597" s="124"/>
      <c r="U597" s="124"/>
    </row>
    <row r="598" spans="1:49" s="106" customFormat="1" ht="13.8">
      <c r="A598" s="125"/>
      <c r="B598" s="34">
        <v>44067</v>
      </c>
      <c r="C598" s="124" t="s">
        <v>40</v>
      </c>
      <c r="D598" s="124">
        <v>5</v>
      </c>
      <c r="E598" s="124"/>
      <c r="F598" s="124"/>
      <c r="G598" s="124">
        <v>5</v>
      </c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</row>
    <row r="599" spans="1:49" s="106" customFormat="1" ht="13.8">
      <c r="A599" s="125"/>
      <c r="B599" s="34">
        <v>44067</v>
      </c>
      <c r="C599" s="124" t="s">
        <v>42</v>
      </c>
      <c r="D599" s="124">
        <v>-10</v>
      </c>
      <c r="E599" s="124"/>
      <c r="F599" s="124"/>
      <c r="G599" s="124">
        <v>-10</v>
      </c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</row>
    <row r="600" spans="1:49" s="106" customFormat="1" ht="13.8">
      <c r="A600" s="125"/>
      <c r="B600" s="34">
        <v>44068</v>
      </c>
      <c r="C600" s="124" t="s">
        <v>42</v>
      </c>
      <c r="D600" s="124">
        <v>71.849999999999994</v>
      </c>
      <c r="E600" s="124"/>
      <c r="F600" s="124"/>
      <c r="G600" s="124">
        <v>71.849999999999994</v>
      </c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</row>
    <row r="601" spans="1:49" s="106" customFormat="1" ht="13.8">
      <c r="A601" s="125"/>
      <c r="B601" s="34">
        <v>44068</v>
      </c>
      <c r="C601" s="124" t="s">
        <v>41</v>
      </c>
      <c r="D601" s="124">
        <v>60</v>
      </c>
      <c r="E601" s="124"/>
      <c r="F601" s="124"/>
      <c r="G601" s="124">
        <v>60</v>
      </c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</row>
    <row r="602" spans="1:49" s="106" customFormat="1" ht="13.8">
      <c r="A602" s="125"/>
      <c r="B602" s="34">
        <v>44070</v>
      </c>
      <c r="C602" s="124" t="s">
        <v>297</v>
      </c>
      <c r="D602" s="124">
        <v>32.85</v>
      </c>
      <c r="E602" s="124"/>
      <c r="F602" s="124"/>
      <c r="G602" s="124"/>
      <c r="H602" s="124">
        <v>32.85</v>
      </c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</row>
    <row r="603" spans="1:49" s="106" customFormat="1" ht="13.8">
      <c r="A603" s="125"/>
      <c r="B603" s="34">
        <v>44070</v>
      </c>
      <c r="C603" s="124" t="s">
        <v>42</v>
      </c>
      <c r="D603" s="124">
        <v>63.2</v>
      </c>
      <c r="E603" s="124"/>
      <c r="F603" s="124">
        <v>30</v>
      </c>
      <c r="G603" s="124">
        <v>33.200000000000003</v>
      </c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</row>
    <row r="604" spans="1:49" s="106" customFormat="1" ht="13.8">
      <c r="A604" s="125"/>
      <c r="B604" s="34">
        <v>44071</v>
      </c>
      <c r="C604" s="124" t="s">
        <v>42</v>
      </c>
      <c r="D604" s="124">
        <v>68.45</v>
      </c>
      <c r="E604" s="124"/>
      <c r="F604" s="124"/>
      <c r="G604" s="124">
        <v>52.5</v>
      </c>
      <c r="H604" s="124"/>
      <c r="I604" s="124"/>
      <c r="J604" s="124"/>
      <c r="K604" s="124"/>
      <c r="L604" s="124">
        <v>15.95</v>
      </c>
      <c r="M604" s="124"/>
      <c r="N604" s="124"/>
      <c r="O604" s="124"/>
      <c r="P604" s="124"/>
      <c r="Q604" s="124"/>
      <c r="R604" s="124"/>
      <c r="S604" s="124"/>
      <c r="T604" s="124"/>
      <c r="U604" s="124"/>
    </row>
    <row r="605" spans="1:49" s="120" customFormat="1" ht="12" customHeight="1">
      <c r="A605" s="60"/>
      <c r="B605" s="248" t="str">
        <f>B524</f>
        <v>august</v>
      </c>
      <c r="C605" s="247" t="s">
        <v>36</v>
      </c>
      <c r="D605" s="247">
        <f t="shared" ref="D605:U605" si="33">SUM(D606:D606)</f>
        <v>0</v>
      </c>
      <c r="E605" s="247">
        <f t="shared" si="33"/>
        <v>0</v>
      </c>
      <c r="F605" s="247">
        <f t="shared" si="33"/>
        <v>0</v>
      </c>
      <c r="G605" s="247">
        <f t="shared" si="33"/>
        <v>0</v>
      </c>
      <c r="H605" s="247">
        <f t="shared" si="33"/>
        <v>0</v>
      </c>
      <c r="I605" s="247">
        <f t="shared" si="33"/>
        <v>0</v>
      </c>
      <c r="J605" s="247">
        <f t="shared" si="33"/>
        <v>0</v>
      </c>
      <c r="K605" s="247">
        <f t="shared" si="33"/>
        <v>0</v>
      </c>
      <c r="L605" s="247">
        <f t="shared" si="33"/>
        <v>0</v>
      </c>
      <c r="M605" s="247">
        <f t="shared" si="33"/>
        <v>0</v>
      </c>
      <c r="N605" s="247">
        <f t="shared" si="33"/>
        <v>0</v>
      </c>
      <c r="O605" s="247">
        <f t="shared" si="33"/>
        <v>0</v>
      </c>
      <c r="P605" s="247">
        <f t="shared" si="33"/>
        <v>0</v>
      </c>
      <c r="Q605" s="247">
        <f t="shared" si="33"/>
        <v>0</v>
      </c>
      <c r="R605" s="247">
        <f t="shared" si="33"/>
        <v>0</v>
      </c>
      <c r="S605" s="247">
        <f t="shared" si="33"/>
        <v>0</v>
      </c>
      <c r="T605" s="247">
        <f t="shared" si="33"/>
        <v>0</v>
      </c>
      <c r="U605" s="247">
        <f t="shared" si="33"/>
        <v>0</v>
      </c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</row>
    <row r="606" spans="1:49" s="120" customFormat="1" ht="12" customHeight="1">
      <c r="A606" s="60"/>
      <c r="B606" s="248"/>
      <c r="C606" s="247"/>
      <c r="D606" s="247"/>
      <c r="E606" s="247"/>
      <c r="F606" s="247"/>
      <c r="G606" s="247"/>
      <c r="H606" s="247"/>
      <c r="I606" s="247"/>
      <c r="J606" s="247"/>
      <c r="K606" s="247"/>
      <c r="L606" s="247"/>
      <c r="M606" s="247"/>
      <c r="N606" s="247"/>
      <c r="O606" s="247"/>
      <c r="P606" s="247"/>
      <c r="Q606" s="247"/>
      <c r="R606" s="247"/>
      <c r="S606" s="247"/>
      <c r="T606" s="247"/>
      <c r="U606" s="247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</row>
    <row r="607" spans="1:49" s="126" customFormat="1" ht="13.5" customHeight="1">
      <c r="A607" s="39"/>
      <c r="B607" s="2948" t="str">
        <f>K2</f>
        <v>september</v>
      </c>
      <c r="C607" s="3003"/>
      <c r="D607" s="36">
        <f t="shared" ref="D607:U607" si="34">SUM(D652:D676)</f>
        <v>1522.52</v>
      </c>
      <c r="E607" s="36">
        <f t="shared" si="34"/>
        <v>0</v>
      </c>
      <c r="F607" s="36">
        <f t="shared" si="34"/>
        <v>1006.95</v>
      </c>
      <c r="G607" s="36">
        <f t="shared" si="34"/>
        <v>949.58999999999992</v>
      </c>
      <c r="H607" s="36">
        <f t="shared" si="34"/>
        <v>256.39999999999998</v>
      </c>
      <c r="I607" s="36">
        <f t="shared" si="34"/>
        <v>24.65</v>
      </c>
      <c r="J607" s="36">
        <f t="shared" si="34"/>
        <v>110</v>
      </c>
      <c r="K607" s="36">
        <f t="shared" si="34"/>
        <v>0</v>
      </c>
      <c r="L607" s="36">
        <f t="shared" si="34"/>
        <v>336.93</v>
      </c>
      <c r="M607" s="36">
        <f t="shared" si="34"/>
        <v>0</v>
      </c>
      <c r="N607" s="36">
        <f t="shared" si="34"/>
        <v>600</v>
      </c>
      <c r="O607" s="36">
        <f t="shared" si="34"/>
        <v>-2200</v>
      </c>
      <c r="P607" s="36">
        <f t="shared" si="34"/>
        <v>0</v>
      </c>
      <c r="Q607" s="36">
        <f t="shared" si="34"/>
        <v>0</v>
      </c>
      <c r="R607" s="36">
        <f t="shared" si="34"/>
        <v>0</v>
      </c>
      <c r="S607" s="36">
        <f t="shared" si="34"/>
        <v>0</v>
      </c>
      <c r="T607" s="36">
        <f t="shared" si="34"/>
        <v>0</v>
      </c>
      <c r="U607" s="36">
        <f t="shared" si="34"/>
        <v>0</v>
      </c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</row>
    <row r="608" spans="1:49" s="106" customFormat="1" ht="13.8">
      <c r="A608" s="125"/>
      <c r="B608" s="34">
        <v>44074</v>
      </c>
      <c r="C608" s="124" t="s">
        <v>34</v>
      </c>
      <c r="D608" s="124">
        <v>-7733</v>
      </c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</row>
    <row r="609" spans="1:25" s="106" customFormat="1" ht="13.8">
      <c r="A609" s="125"/>
      <c r="B609" s="34">
        <v>44074</v>
      </c>
      <c r="C609" s="124" t="s">
        <v>33</v>
      </c>
      <c r="D609" s="124">
        <v>-205</v>
      </c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</row>
    <row r="610" spans="1:25" s="106" customFormat="1" ht="13.8">
      <c r="A610" s="125"/>
      <c r="B610" s="34">
        <v>44074</v>
      </c>
      <c r="C610" s="124" t="s">
        <v>35</v>
      </c>
      <c r="D610" s="124">
        <v>-11004</v>
      </c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</row>
    <row r="611" spans="1:25" s="106" customFormat="1" ht="13.8">
      <c r="A611" s="125">
        <v>5</v>
      </c>
      <c r="B611" s="34">
        <v>44074</v>
      </c>
      <c r="C611" s="124" t="s">
        <v>57</v>
      </c>
      <c r="D611" s="124">
        <v>800</v>
      </c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>
        <v>800</v>
      </c>
    </row>
    <row r="612" spans="1:25" s="106" customFormat="1" ht="13.8">
      <c r="A612" s="125"/>
      <c r="B612" s="34">
        <v>44074</v>
      </c>
      <c r="C612" s="124" t="s">
        <v>186</v>
      </c>
      <c r="D612" s="124">
        <v>150</v>
      </c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>
        <v>150</v>
      </c>
      <c r="R612" s="124"/>
      <c r="S612" s="124"/>
      <c r="T612" s="124"/>
      <c r="U612" s="124"/>
    </row>
    <row r="613" spans="1:25" s="106" customFormat="1" ht="13.8">
      <c r="A613" s="125"/>
      <c r="B613" s="34">
        <v>44074</v>
      </c>
      <c r="C613" s="124" t="s">
        <v>216</v>
      </c>
      <c r="D613" s="124">
        <v>737.95</v>
      </c>
      <c r="E613" s="124"/>
      <c r="F613" s="124"/>
      <c r="G613" s="124">
        <v>39</v>
      </c>
      <c r="H613" s="124"/>
      <c r="I613" s="124"/>
      <c r="J613" s="124"/>
      <c r="K613" s="124"/>
      <c r="L613" s="124">
        <v>170</v>
      </c>
      <c r="M613" s="124"/>
      <c r="N613" s="124">
        <v>200</v>
      </c>
      <c r="O613" s="124"/>
      <c r="P613" s="124"/>
      <c r="Q613" s="124"/>
      <c r="R613" s="124"/>
      <c r="S613" s="124"/>
      <c r="T613" s="124"/>
      <c r="U613" s="124"/>
    </row>
    <row r="614" spans="1:25" s="106" customFormat="1" ht="13.8">
      <c r="A614" s="125"/>
      <c r="B614" s="34">
        <v>44074</v>
      </c>
      <c r="C614" s="124" t="s">
        <v>124</v>
      </c>
      <c r="D614" s="124">
        <v>62</v>
      </c>
      <c r="E614" s="124"/>
      <c r="F614" s="124"/>
      <c r="G614" s="124"/>
      <c r="H614" s="124">
        <v>62</v>
      </c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</row>
    <row r="615" spans="1:25" s="106" customFormat="1" ht="13.8">
      <c r="A615" s="125"/>
      <c r="B615" s="34">
        <v>44074</v>
      </c>
      <c r="C615" s="124" t="s">
        <v>39</v>
      </c>
      <c r="D615" s="124">
        <v>87.7</v>
      </c>
      <c r="E615" s="124"/>
      <c r="F615" s="124">
        <v>40</v>
      </c>
      <c r="G615" s="124">
        <v>47.7</v>
      </c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</row>
    <row r="616" spans="1:25" s="106" customFormat="1" ht="13.8">
      <c r="A616" s="125"/>
      <c r="B616" s="34">
        <v>44074</v>
      </c>
      <c r="C616" s="124" t="s">
        <v>42</v>
      </c>
      <c r="D616" s="124">
        <v>116.45</v>
      </c>
      <c r="E616" s="124"/>
      <c r="F616" s="124"/>
      <c r="G616" s="124">
        <v>116.45</v>
      </c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</row>
    <row r="617" spans="1:25" s="106" customFormat="1" ht="13.8">
      <c r="A617" s="125"/>
      <c r="B617" s="34">
        <v>44074</v>
      </c>
      <c r="C617" s="124" t="s">
        <v>40</v>
      </c>
      <c r="D617" s="124">
        <v>91.95</v>
      </c>
      <c r="E617" s="124"/>
      <c r="F617" s="124"/>
      <c r="G617" s="124">
        <v>34.950000000000003</v>
      </c>
      <c r="H617" s="124"/>
      <c r="I617" s="124"/>
      <c r="J617" s="124"/>
      <c r="K617" s="124"/>
      <c r="L617" s="124">
        <v>57</v>
      </c>
      <c r="M617" s="124"/>
      <c r="N617" s="124"/>
      <c r="O617" s="124"/>
      <c r="P617" s="124"/>
      <c r="Q617" s="124"/>
      <c r="R617" s="124"/>
      <c r="S617" s="124"/>
      <c r="T617" s="124"/>
      <c r="U617" s="124"/>
    </row>
    <row r="618" spans="1:25" s="106" customFormat="1" ht="13.8">
      <c r="A618" s="125"/>
      <c r="B618" s="34">
        <v>44075</v>
      </c>
      <c r="C618" s="124" t="s">
        <v>230</v>
      </c>
      <c r="D618" s="124">
        <v>229</v>
      </c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>
        <v>229</v>
      </c>
      <c r="Q618" s="124"/>
      <c r="R618" s="124"/>
      <c r="S618" s="124"/>
      <c r="T618" s="124"/>
      <c r="U618" s="124"/>
    </row>
    <row r="619" spans="1:25" s="106" customFormat="1" ht="13.8">
      <c r="A619" s="125"/>
      <c r="B619" s="34">
        <v>44075</v>
      </c>
      <c r="C619" s="124" t="s">
        <v>125</v>
      </c>
      <c r="D619" s="124">
        <v>119</v>
      </c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>
        <v>119</v>
      </c>
      <c r="R619" s="124"/>
      <c r="S619" s="124"/>
      <c r="T619" s="124"/>
      <c r="U619" s="124"/>
    </row>
    <row r="620" spans="1:25" s="106" customFormat="1" ht="13.8">
      <c r="A620" s="125"/>
      <c r="B620" s="34">
        <v>44075</v>
      </c>
      <c r="C620" s="124" t="s">
        <v>182</v>
      </c>
      <c r="D620" s="124">
        <v>284</v>
      </c>
      <c r="E620" s="124">
        <v>284</v>
      </c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</row>
    <row r="621" spans="1:25" s="106" customFormat="1" ht="13.8">
      <c r="A621" s="125"/>
      <c r="B621" s="34">
        <v>44075</v>
      </c>
      <c r="C621" s="124" t="s">
        <v>206</v>
      </c>
      <c r="D621" s="124">
        <v>120</v>
      </c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>
        <v>120</v>
      </c>
      <c r="R621" s="124"/>
      <c r="S621" s="124"/>
      <c r="T621" s="124"/>
      <c r="U621" s="124"/>
      <c r="Y621" s="237"/>
    </row>
    <row r="622" spans="1:25" s="106" customFormat="1" ht="13.8">
      <c r="A622" s="125"/>
      <c r="B622" s="34">
        <v>44075</v>
      </c>
      <c r="C622" s="124" t="s">
        <v>363</v>
      </c>
      <c r="D622" s="124">
        <v>741.99</v>
      </c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>
        <v>741.99</v>
      </c>
      <c r="P622" s="124"/>
      <c r="Q622" s="124"/>
      <c r="R622" s="124"/>
      <c r="S622" s="124"/>
      <c r="T622" s="124"/>
      <c r="U622" s="124"/>
      <c r="Y622" s="237"/>
    </row>
    <row r="623" spans="1:25" s="106" customFormat="1" ht="14.25" customHeight="1">
      <c r="A623" s="125"/>
      <c r="B623" s="34">
        <v>44075</v>
      </c>
      <c r="C623" s="124" t="s">
        <v>265</v>
      </c>
      <c r="D623" s="124">
        <v>490</v>
      </c>
      <c r="E623" s="124">
        <v>490</v>
      </c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</row>
    <row r="624" spans="1:25" s="106" customFormat="1" ht="13.8">
      <c r="A624" s="125"/>
      <c r="B624" s="34">
        <v>44075</v>
      </c>
      <c r="C624" s="124" t="s">
        <v>31</v>
      </c>
      <c r="D624" s="124">
        <v>-1151</v>
      </c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</row>
    <row r="625" spans="1:21" s="106" customFormat="1" ht="13.8">
      <c r="A625" s="125"/>
      <c r="B625" s="34">
        <v>44075</v>
      </c>
      <c r="C625" s="124" t="s">
        <v>30</v>
      </c>
      <c r="D625" s="124">
        <v>7474</v>
      </c>
      <c r="E625" s="124"/>
      <c r="F625" s="124"/>
      <c r="G625" s="124"/>
      <c r="H625" s="124"/>
      <c r="I625" s="124"/>
      <c r="J625" s="124"/>
      <c r="K625" s="124"/>
      <c r="L625" s="124"/>
      <c r="M625" s="124">
        <v>7474</v>
      </c>
      <c r="N625" s="124"/>
      <c r="O625" s="124"/>
      <c r="P625" s="124"/>
      <c r="Q625" s="124"/>
      <c r="R625" s="124"/>
      <c r="S625" s="124"/>
      <c r="T625" s="124"/>
      <c r="U625" s="124"/>
    </row>
    <row r="626" spans="1:21" s="106" customFormat="1" ht="13.8">
      <c r="A626" s="125"/>
      <c r="B626" s="34">
        <v>44075</v>
      </c>
      <c r="C626" s="124" t="s">
        <v>42</v>
      </c>
      <c r="D626" s="124">
        <v>96.85</v>
      </c>
      <c r="E626" s="124"/>
      <c r="F626" s="124"/>
      <c r="G626" s="124">
        <v>96.85</v>
      </c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</row>
    <row r="627" spans="1:21" s="106" customFormat="1" ht="13.8">
      <c r="A627" s="125"/>
      <c r="B627" s="34">
        <v>44075</v>
      </c>
      <c r="C627" s="124" t="s">
        <v>123</v>
      </c>
      <c r="D627" s="124">
        <v>658</v>
      </c>
      <c r="E627" s="124"/>
      <c r="F627" s="124"/>
      <c r="G627" s="124"/>
      <c r="H627" s="124"/>
      <c r="I627" s="124"/>
      <c r="J627" s="124">
        <v>540</v>
      </c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</row>
    <row r="628" spans="1:21" s="106" customFormat="1" ht="13.8">
      <c r="A628" s="125"/>
      <c r="B628" s="34">
        <v>44075</v>
      </c>
      <c r="C628" s="124" t="s">
        <v>216</v>
      </c>
      <c r="D628" s="124">
        <v>209</v>
      </c>
      <c r="E628" s="124"/>
      <c r="F628" s="124">
        <v>90</v>
      </c>
      <c r="G628" s="124">
        <v>39</v>
      </c>
      <c r="H628" s="124"/>
      <c r="I628" s="124"/>
      <c r="J628" s="124"/>
      <c r="K628" s="124"/>
      <c r="L628" s="124">
        <v>80</v>
      </c>
      <c r="M628" s="124"/>
      <c r="N628" s="124"/>
      <c r="O628" s="124"/>
      <c r="P628" s="124"/>
      <c r="Q628" s="124"/>
      <c r="R628" s="124"/>
      <c r="S628" s="124"/>
      <c r="T628" s="124"/>
      <c r="U628" s="124"/>
    </row>
    <row r="629" spans="1:21" s="106" customFormat="1" ht="13.8">
      <c r="A629" s="125"/>
      <c r="B629" s="34">
        <v>44075</v>
      </c>
      <c r="C629" s="124" t="s">
        <v>356</v>
      </c>
      <c r="D629" s="124">
        <v>300</v>
      </c>
      <c r="E629" s="124"/>
      <c r="F629" s="124">
        <v>300</v>
      </c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</row>
    <row r="630" spans="1:21" s="106" customFormat="1" ht="13.8">
      <c r="A630" s="125"/>
      <c r="B630" s="34">
        <v>44075</v>
      </c>
      <c r="C630" s="124" t="s">
        <v>22</v>
      </c>
      <c r="D630" s="124">
        <v>138</v>
      </c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>
        <f>D630</f>
        <v>138</v>
      </c>
      <c r="Q630" s="124"/>
      <c r="R630" s="124"/>
      <c r="S630" s="124"/>
      <c r="T630" s="124"/>
      <c r="U630" s="124"/>
    </row>
    <row r="631" spans="1:21" s="106" customFormat="1" ht="13.8">
      <c r="A631" s="125"/>
      <c r="B631" s="34">
        <v>44076</v>
      </c>
      <c r="C631" s="124" t="s">
        <v>183</v>
      </c>
      <c r="D631" s="124">
        <v>517.75</v>
      </c>
      <c r="E631" s="124">
        <v>517.75</v>
      </c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</row>
    <row r="632" spans="1:21" s="106" customFormat="1" ht="13.8">
      <c r="A632" s="125"/>
      <c r="B632" s="34">
        <v>44076</v>
      </c>
      <c r="C632" s="124" t="s">
        <v>356</v>
      </c>
      <c r="D632" s="124">
        <v>115</v>
      </c>
      <c r="E632" s="124"/>
      <c r="F632" s="124">
        <v>115</v>
      </c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</row>
    <row r="633" spans="1:21" s="106" customFormat="1" ht="13.8">
      <c r="A633" s="125"/>
      <c r="B633" s="34">
        <v>44076</v>
      </c>
      <c r="C633" s="124" t="s">
        <v>216</v>
      </c>
      <c r="D633" s="124">
        <v>296.95</v>
      </c>
      <c r="E633" s="124"/>
      <c r="F633" s="124">
        <v>96.95</v>
      </c>
      <c r="G633" s="124"/>
      <c r="H633" s="124"/>
      <c r="I633" s="124"/>
      <c r="J633" s="124"/>
      <c r="K633" s="124"/>
      <c r="L633" s="124"/>
      <c r="M633" s="124"/>
      <c r="N633" s="124">
        <v>200</v>
      </c>
      <c r="O633" s="124"/>
      <c r="P633" s="124"/>
      <c r="Q633" s="124"/>
      <c r="R633" s="124"/>
      <c r="S633" s="124"/>
      <c r="T633" s="124"/>
      <c r="U633" s="124"/>
    </row>
    <row r="634" spans="1:21" s="106" customFormat="1" ht="13.8">
      <c r="A634" s="125"/>
      <c r="B634" s="34">
        <v>44076</v>
      </c>
      <c r="C634" s="124" t="s">
        <v>42</v>
      </c>
      <c r="D634" s="124">
        <f>153.7+72.9</f>
        <v>226.6</v>
      </c>
      <c r="E634" s="124"/>
      <c r="F634" s="124"/>
      <c r="G634" s="124">
        <v>186.6</v>
      </c>
      <c r="H634" s="124"/>
      <c r="I634" s="124"/>
      <c r="J634" s="124"/>
      <c r="K634" s="124"/>
      <c r="L634" s="124">
        <v>40</v>
      </c>
      <c r="M634" s="124"/>
      <c r="N634" s="124"/>
      <c r="O634" s="124"/>
      <c r="P634" s="124"/>
      <c r="Q634" s="124"/>
      <c r="R634" s="124"/>
      <c r="S634" s="124"/>
      <c r="T634" s="124"/>
      <c r="U634" s="124"/>
    </row>
    <row r="635" spans="1:21" s="106" customFormat="1" ht="13.8">
      <c r="A635" s="125"/>
      <c r="B635" s="34">
        <v>44076</v>
      </c>
      <c r="C635" s="124" t="s">
        <v>21</v>
      </c>
      <c r="D635" s="124">
        <v>197</v>
      </c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>
        <v>197</v>
      </c>
      <c r="Q635" s="124"/>
      <c r="R635" s="124"/>
      <c r="S635" s="124"/>
      <c r="T635" s="124"/>
      <c r="U635" s="124"/>
    </row>
    <row r="636" spans="1:21" s="106" customFormat="1" ht="13.8">
      <c r="A636" s="125"/>
      <c r="B636" s="34">
        <v>44077</v>
      </c>
      <c r="C636" s="124" t="s">
        <v>362</v>
      </c>
      <c r="D636" s="124">
        <v>149</v>
      </c>
      <c r="E636" s="124"/>
      <c r="F636" s="124">
        <v>149</v>
      </c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</row>
    <row r="637" spans="1:21" s="106" customFormat="1" ht="13.8">
      <c r="A637" s="125"/>
      <c r="B637" s="34">
        <v>44077</v>
      </c>
      <c r="C637" s="124" t="s">
        <v>42</v>
      </c>
      <c r="D637" s="124">
        <v>16.95</v>
      </c>
      <c r="E637" s="124"/>
      <c r="F637" s="124">
        <v>10</v>
      </c>
      <c r="G637" s="124">
        <v>6.95</v>
      </c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</row>
    <row r="638" spans="1:21" s="106" customFormat="1" ht="13.8">
      <c r="A638" s="125"/>
      <c r="B638" s="34">
        <v>44077</v>
      </c>
      <c r="C638" s="124" t="s">
        <v>41</v>
      </c>
      <c r="D638" s="124">
        <v>69.5</v>
      </c>
      <c r="E638" s="124"/>
      <c r="F638" s="124"/>
      <c r="G638" s="124">
        <v>40</v>
      </c>
      <c r="H638" s="124"/>
      <c r="I638" s="124"/>
      <c r="J638" s="124"/>
      <c r="K638" s="124"/>
      <c r="L638" s="124">
        <v>29.5</v>
      </c>
      <c r="M638" s="124"/>
      <c r="N638" s="124"/>
      <c r="O638" s="124"/>
      <c r="P638" s="124"/>
      <c r="Q638" s="124"/>
      <c r="R638" s="124"/>
      <c r="S638" s="124"/>
      <c r="T638" s="124"/>
      <c r="U638" s="124"/>
    </row>
    <row r="639" spans="1:21" s="106" customFormat="1" ht="13.8">
      <c r="A639" s="125"/>
      <c r="B639" s="34">
        <v>44078</v>
      </c>
      <c r="C639" s="124" t="s">
        <v>361</v>
      </c>
      <c r="D639" s="124">
        <v>300</v>
      </c>
      <c r="E639" s="124"/>
      <c r="F639" s="124">
        <v>300</v>
      </c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</row>
    <row r="640" spans="1:21" s="106" customFormat="1" ht="13.8">
      <c r="A640" s="125"/>
      <c r="B640" s="34">
        <v>44078</v>
      </c>
      <c r="C640" s="124" t="s">
        <v>42</v>
      </c>
      <c r="D640" s="124">
        <v>114.75</v>
      </c>
      <c r="E640" s="124"/>
      <c r="F640" s="124"/>
      <c r="G640" s="124">
        <v>92.8</v>
      </c>
      <c r="H640" s="124"/>
      <c r="I640" s="124"/>
      <c r="J640" s="124"/>
      <c r="K640" s="124"/>
      <c r="L640" s="124">
        <v>21.95</v>
      </c>
      <c r="M640" s="124"/>
      <c r="N640" s="124"/>
      <c r="O640" s="124"/>
      <c r="P640" s="124"/>
      <c r="Q640" s="124"/>
      <c r="R640" s="124"/>
      <c r="S640" s="124"/>
      <c r="T640" s="124"/>
      <c r="U640" s="124"/>
    </row>
    <row r="641" spans="1:21" s="106" customFormat="1" ht="13.8">
      <c r="A641" s="125"/>
      <c r="B641" s="34">
        <v>44081</v>
      </c>
      <c r="C641" s="124" t="s">
        <v>360</v>
      </c>
      <c r="D641" s="124">
        <v>2565</v>
      </c>
      <c r="E641" s="124">
        <v>2565</v>
      </c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</row>
    <row r="642" spans="1:21" s="106" customFormat="1" ht="13.8">
      <c r="A642" s="125"/>
      <c r="B642" s="34">
        <v>44081</v>
      </c>
      <c r="C642" s="124" t="s">
        <v>180</v>
      </c>
      <c r="D642" s="124">
        <v>170.48</v>
      </c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>
        <v>170.48</v>
      </c>
      <c r="U642" s="124"/>
    </row>
    <row r="643" spans="1:21" s="106" customFormat="1" ht="13.8">
      <c r="A643" s="125"/>
      <c r="B643" s="34">
        <v>44081</v>
      </c>
      <c r="C643" s="124" t="s">
        <v>20</v>
      </c>
      <c r="D643" s="124">
        <v>187.73</v>
      </c>
      <c r="E643" s="124">
        <v>187.73</v>
      </c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</row>
    <row r="644" spans="1:21" s="106" customFormat="1" ht="13.8">
      <c r="A644" s="125"/>
      <c r="B644" s="34">
        <v>44081</v>
      </c>
      <c r="C644" s="124" t="s">
        <v>359</v>
      </c>
      <c r="D644" s="124">
        <v>59.95</v>
      </c>
      <c r="E644" s="124"/>
      <c r="F644" s="124">
        <v>59.95</v>
      </c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</row>
    <row r="645" spans="1:21" s="106" customFormat="1" ht="13.8">
      <c r="A645" s="125"/>
      <c r="B645" s="34">
        <v>44081</v>
      </c>
      <c r="C645" s="124" t="s">
        <v>42</v>
      </c>
      <c r="D645" s="124">
        <v>53.1</v>
      </c>
      <c r="E645" s="124"/>
      <c r="F645" s="124"/>
      <c r="G645" s="124">
        <v>53.1</v>
      </c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</row>
    <row r="646" spans="1:21" s="106" customFormat="1" ht="13.8">
      <c r="A646" s="125"/>
      <c r="B646" s="34">
        <v>44081</v>
      </c>
      <c r="C646" s="124" t="s">
        <v>358</v>
      </c>
      <c r="D646" s="124">
        <v>55</v>
      </c>
      <c r="E646" s="124"/>
      <c r="F646" s="124">
        <v>55</v>
      </c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</row>
    <row r="647" spans="1:21" s="106" customFormat="1" ht="13.8">
      <c r="A647" s="125"/>
      <c r="B647" s="34">
        <v>44082</v>
      </c>
      <c r="C647" s="124" t="s">
        <v>42</v>
      </c>
      <c r="D647" s="124">
        <v>68.599999999999994</v>
      </c>
      <c r="E647" s="124"/>
      <c r="F647" s="124"/>
      <c r="G647" s="124">
        <v>68.599999999999994</v>
      </c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</row>
    <row r="648" spans="1:21" s="106" customFormat="1" ht="13.8">
      <c r="A648" s="125"/>
      <c r="B648" s="34">
        <v>44082</v>
      </c>
      <c r="C648" s="124" t="s">
        <v>38</v>
      </c>
      <c r="D648" s="124">
        <v>17.899999999999999</v>
      </c>
      <c r="E648" s="124"/>
      <c r="F648" s="124"/>
      <c r="G648" s="124">
        <v>17.899999999999999</v>
      </c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</row>
    <row r="649" spans="1:21" s="106" customFormat="1" ht="13.8">
      <c r="A649" s="125"/>
      <c r="B649" s="34">
        <v>44083</v>
      </c>
      <c r="C649" s="124" t="s">
        <v>38</v>
      </c>
      <c r="D649" s="124">
        <v>80.95</v>
      </c>
      <c r="E649" s="124"/>
      <c r="F649" s="124"/>
      <c r="G649" s="124">
        <v>80.95</v>
      </c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</row>
    <row r="650" spans="1:21" s="106" customFormat="1" ht="13.8">
      <c r="A650" s="125"/>
      <c r="B650" s="34">
        <v>44085</v>
      </c>
      <c r="C650" s="124" t="s">
        <v>38</v>
      </c>
      <c r="D650" s="124">
        <v>129.9</v>
      </c>
      <c r="E650" s="124"/>
      <c r="F650" s="124"/>
      <c r="G650" s="124">
        <v>129.9</v>
      </c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</row>
    <row r="651" spans="1:21" s="106" customFormat="1" ht="13.8">
      <c r="A651" s="125"/>
      <c r="B651" s="34">
        <v>44085</v>
      </c>
      <c r="C651" s="124" t="s">
        <v>42</v>
      </c>
      <c r="D651" s="124">
        <v>99.3</v>
      </c>
      <c r="E651" s="124"/>
      <c r="F651" s="124"/>
      <c r="G651" s="124">
        <v>99.3</v>
      </c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</row>
    <row r="652" spans="1:21" s="106" customFormat="1" ht="13.8">
      <c r="A652" s="125"/>
      <c r="B652" s="34">
        <v>44085</v>
      </c>
      <c r="C652" s="124" t="s">
        <v>357</v>
      </c>
      <c r="D652" s="124">
        <v>500</v>
      </c>
      <c r="E652" s="124"/>
      <c r="F652" s="124">
        <v>500</v>
      </c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</row>
    <row r="653" spans="1:21" s="106" customFormat="1" ht="13.8">
      <c r="A653" s="125"/>
      <c r="B653" s="34">
        <v>44085</v>
      </c>
      <c r="C653" s="124" t="s">
        <v>356</v>
      </c>
      <c r="D653" s="124">
        <v>95</v>
      </c>
      <c r="E653" s="124"/>
      <c r="F653" s="124">
        <v>5</v>
      </c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</row>
    <row r="654" spans="1:21" s="106" customFormat="1" ht="13.8">
      <c r="A654" s="125"/>
      <c r="B654" s="34">
        <v>44085</v>
      </c>
      <c r="C654" s="124" t="s">
        <v>216</v>
      </c>
      <c r="D654" s="124">
        <v>100</v>
      </c>
      <c r="E654" s="124"/>
      <c r="F654" s="124"/>
      <c r="G654" s="124"/>
      <c r="H654" s="124"/>
      <c r="I654" s="124"/>
      <c r="J654" s="124"/>
      <c r="K654" s="124"/>
      <c r="L654" s="124">
        <v>100</v>
      </c>
      <c r="M654" s="124"/>
      <c r="N654" s="124"/>
      <c r="O654" s="124"/>
      <c r="P654" s="124"/>
      <c r="Q654" s="124"/>
      <c r="R654" s="124"/>
      <c r="S654" s="124"/>
      <c r="T654" s="124"/>
      <c r="U654" s="124"/>
    </row>
    <row r="655" spans="1:21" s="106" customFormat="1" ht="13.8">
      <c r="A655" s="125"/>
      <c r="B655" s="34">
        <v>44087</v>
      </c>
      <c r="C655" s="124" t="s">
        <v>42</v>
      </c>
      <c r="D655" s="124">
        <v>44.5</v>
      </c>
      <c r="E655" s="124"/>
      <c r="F655" s="124"/>
      <c r="G655" s="124">
        <v>44.5</v>
      </c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</row>
    <row r="656" spans="1:21" s="106" customFormat="1" ht="13.8">
      <c r="A656" s="125"/>
      <c r="B656" s="34">
        <v>44088</v>
      </c>
      <c r="C656" s="124" t="s">
        <v>124</v>
      </c>
      <c r="D656" s="124">
        <v>24.65</v>
      </c>
      <c r="E656" s="124"/>
      <c r="F656" s="124"/>
      <c r="G656" s="124"/>
      <c r="H656" s="124"/>
      <c r="I656" s="124">
        <v>24.65</v>
      </c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</row>
    <row r="657" spans="1:21" s="106" customFormat="1" ht="13.8">
      <c r="A657" s="125"/>
      <c r="B657" s="34">
        <v>44088</v>
      </c>
      <c r="C657" s="124" t="s">
        <v>42</v>
      </c>
      <c r="D657" s="124">
        <v>94.9</v>
      </c>
      <c r="E657" s="124"/>
      <c r="F657" s="124"/>
      <c r="G657" s="124">
        <v>94.9</v>
      </c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</row>
    <row r="658" spans="1:21" s="106" customFormat="1" ht="13.8">
      <c r="A658" s="125"/>
      <c r="B658" s="34">
        <v>44089</v>
      </c>
      <c r="C658" s="124" t="s">
        <v>39</v>
      </c>
      <c r="D658" s="124">
        <v>21.45</v>
      </c>
      <c r="E658" s="124"/>
      <c r="F658" s="124"/>
      <c r="G658" s="124">
        <v>21.45</v>
      </c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</row>
    <row r="659" spans="1:21" s="106" customFormat="1" ht="13.8">
      <c r="A659" s="125"/>
      <c r="B659" s="34">
        <v>44090</v>
      </c>
      <c r="C659" s="124" t="s">
        <v>42</v>
      </c>
      <c r="D659" s="124">
        <v>19.5</v>
      </c>
      <c r="E659" s="124"/>
      <c r="F659" s="124"/>
      <c r="G659" s="124">
        <v>19.5</v>
      </c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</row>
    <row r="660" spans="1:21" s="106" customFormat="1" ht="13.8">
      <c r="A660" s="125"/>
      <c r="B660" s="34">
        <v>44090</v>
      </c>
      <c r="C660" s="124" t="s">
        <v>39</v>
      </c>
      <c r="D660" s="124">
        <v>51.8</v>
      </c>
      <c r="E660" s="124"/>
      <c r="F660" s="124"/>
      <c r="G660" s="124">
        <v>22.3</v>
      </c>
      <c r="H660" s="124"/>
      <c r="I660" s="124"/>
      <c r="J660" s="124"/>
      <c r="K660" s="124"/>
      <c r="L660" s="124">
        <v>29.5</v>
      </c>
      <c r="M660" s="124"/>
      <c r="N660" s="124"/>
      <c r="O660" s="124"/>
      <c r="P660" s="124"/>
      <c r="Q660" s="124"/>
      <c r="R660" s="124"/>
      <c r="S660" s="124"/>
      <c r="T660" s="124"/>
      <c r="U660" s="124"/>
    </row>
    <row r="661" spans="1:21" s="106" customFormat="1" ht="13.8">
      <c r="A661" s="125"/>
      <c r="B661" s="34">
        <v>44091</v>
      </c>
      <c r="C661" s="124" t="s">
        <v>42</v>
      </c>
      <c r="D661" s="124">
        <v>53.3</v>
      </c>
      <c r="E661" s="124"/>
      <c r="F661" s="124"/>
      <c r="G661" s="124">
        <v>53.3</v>
      </c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</row>
    <row r="662" spans="1:21" s="106" customFormat="1" ht="13.8">
      <c r="A662" s="125"/>
      <c r="B662" s="34">
        <v>44091</v>
      </c>
      <c r="C662" s="124" t="s">
        <v>38</v>
      </c>
      <c r="D662" s="124">
        <v>30</v>
      </c>
      <c r="E662" s="124"/>
      <c r="F662" s="124"/>
      <c r="G662" s="124">
        <v>30</v>
      </c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</row>
    <row r="663" spans="1:21" s="106" customFormat="1" ht="13.8">
      <c r="A663" s="125"/>
      <c r="B663" s="34">
        <v>44092</v>
      </c>
      <c r="C663" s="124" t="s">
        <v>42</v>
      </c>
      <c r="D663" s="124">
        <v>22.5</v>
      </c>
      <c r="E663" s="124"/>
      <c r="F663" s="124"/>
      <c r="G663" s="124">
        <v>22.5</v>
      </c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</row>
    <row r="664" spans="1:21" s="106" customFormat="1" ht="13.8">
      <c r="A664" s="125"/>
      <c r="B664" s="34">
        <v>44093</v>
      </c>
      <c r="C664" s="124" t="s">
        <v>42</v>
      </c>
      <c r="D664" s="124">
        <v>108</v>
      </c>
      <c r="E664" s="124"/>
      <c r="F664" s="124"/>
      <c r="G664" s="124">
        <v>108</v>
      </c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</row>
    <row r="665" spans="1:21" s="106" customFormat="1" ht="13.8">
      <c r="A665" s="125"/>
      <c r="B665" s="34">
        <v>44096</v>
      </c>
      <c r="C665" s="124" t="s">
        <v>355</v>
      </c>
      <c r="D665" s="124">
        <v>-2200</v>
      </c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>
        <v>-2200</v>
      </c>
      <c r="P665" s="124"/>
      <c r="Q665" s="124"/>
      <c r="R665" s="124"/>
      <c r="S665" s="124"/>
      <c r="T665" s="124"/>
      <c r="U665" s="124"/>
    </row>
    <row r="666" spans="1:21" s="106" customFormat="1" ht="13.8">
      <c r="A666" s="125"/>
      <c r="B666" s="34">
        <v>44096</v>
      </c>
      <c r="C666" s="124" t="s">
        <v>216</v>
      </c>
      <c r="D666" s="124">
        <v>300</v>
      </c>
      <c r="E666" s="124"/>
      <c r="F666" s="124"/>
      <c r="G666" s="124"/>
      <c r="H666" s="124"/>
      <c r="I666" s="124"/>
      <c r="J666" s="124"/>
      <c r="K666" s="124"/>
      <c r="L666" s="124">
        <v>100</v>
      </c>
      <c r="M666" s="124"/>
      <c r="N666" s="124">
        <v>200</v>
      </c>
      <c r="O666" s="124"/>
      <c r="P666" s="124"/>
      <c r="Q666" s="124"/>
      <c r="R666" s="124"/>
      <c r="S666" s="124"/>
      <c r="T666" s="124"/>
      <c r="U666" s="124"/>
    </row>
    <row r="667" spans="1:21" s="106" customFormat="1" ht="13.8">
      <c r="A667" s="125"/>
      <c r="B667" s="34">
        <v>44096</v>
      </c>
      <c r="C667" s="124" t="s">
        <v>42</v>
      </c>
      <c r="D667" s="124">
        <f>59.33+160.9</f>
        <v>220.23000000000002</v>
      </c>
      <c r="E667" s="124"/>
      <c r="F667" s="124">
        <v>25</v>
      </c>
      <c r="G667" s="124">
        <v>187.8</v>
      </c>
      <c r="H667" s="124"/>
      <c r="I667" s="124"/>
      <c r="J667" s="124"/>
      <c r="K667" s="124"/>
      <c r="L667" s="124">
        <v>7.43</v>
      </c>
      <c r="M667" s="124"/>
      <c r="N667" s="124"/>
      <c r="O667" s="124"/>
      <c r="P667" s="124"/>
      <c r="Q667" s="124"/>
      <c r="R667" s="124"/>
      <c r="S667" s="124"/>
      <c r="T667" s="124"/>
      <c r="U667" s="124"/>
    </row>
    <row r="668" spans="1:21" s="106" customFormat="1" ht="13.8">
      <c r="A668" s="125"/>
      <c r="B668" s="34">
        <v>44097</v>
      </c>
      <c r="C668" s="124" t="s">
        <v>42</v>
      </c>
      <c r="D668" s="124">
        <v>56.91</v>
      </c>
      <c r="E668" s="124"/>
      <c r="F668" s="124"/>
      <c r="G668" s="124">
        <v>56.91</v>
      </c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</row>
    <row r="669" spans="1:21" s="106" customFormat="1" ht="13.8">
      <c r="A669" s="125"/>
      <c r="B669" s="34">
        <v>44098</v>
      </c>
      <c r="C669" s="124" t="s">
        <v>354</v>
      </c>
      <c r="D669" s="124">
        <v>100</v>
      </c>
      <c r="E669" s="124"/>
      <c r="F669" s="124">
        <v>100</v>
      </c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</row>
    <row r="670" spans="1:21" s="106" customFormat="1" ht="13.8">
      <c r="A670" s="125"/>
      <c r="B670" s="34">
        <v>44098</v>
      </c>
      <c r="C670" s="124" t="s">
        <v>216</v>
      </c>
      <c r="D670" s="124">
        <v>686.95</v>
      </c>
      <c r="E670" s="124"/>
      <c r="F670" s="124">
        <v>38.950000000000003</v>
      </c>
      <c r="G670" s="124"/>
      <c r="H670" s="124"/>
      <c r="I670" s="124"/>
      <c r="J670" s="124"/>
      <c r="K670" s="124"/>
      <c r="L670" s="124">
        <v>100</v>
      </c>
      <c r="M670" s="124"/>
      <c r="N670" s="124">
        <v>200</v>
      </c>
      <c r="O670" s="124"/>
      <c r="P670" s="124"/>
      <c r="Q670" s="124"/>
      <c r="R670" s="124"/>
      <c r="S670" s="124"/>
      <c r="T670" s="124"/>
      <c r="U670" s="124"/>
    </row>
    <row r="671" spans="1:21" s="106" customFormat="1" ht="13.8">
      <c r="A671" s="125"/>
      <c r="B671" s="34">
        <v>44098</v>
      </c>
      <c r="C671" s="124" t="s">
        <v>124</v>
      </c>
      <c r="D671" s="124">
        <v>256.39999999999998</v>
      </c>
      <c r="E671" s="124"/>
      <c r="F671" s="124"/>
      <c r="G671" s="124"/>
      <c r="H671" s="124">
        <v>256.39999999999998</v>
      </c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</row>
    <row r="672" spans="1:21" s="106" customFormat="1" ht="13.8">
      <c r="A672" s="125"/>
      <c r="B672" s="34">
        <v>44098</v>
      </c>
      <c r="C672" s="124" t="s">
        <v>39</v>
      </c>
      <c r="D672" s="124">
        <v>369</v>
      </c>
      <c r="E672" s="124"/>
      <c r="F672" s="124">
        <v>298</v>
      </c>
      <c r="G672" s="124">
        <v>71</v>
      </c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</row>
    <row r="673" spans="1:49" s="106" customFormat="1" ht="13.8">
      <c r="A673" s="125"/>
      <c r="B673" s="34">
        <v>44099</v>
      </c>
      <c r="C673" s="124" t="s">
        <v>42</v>
      </c>
      <c r="D673" s="124">
        <v>52</v>
      </c>
      <c r="E673" s="124"/>
      <c r="F673" s="124">
        <v>40</v>
      </c>
      <c r="G673" s="124">
        <v>12</v>
      </c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</row>
    <row r="674" spans="1:49" s="106" customFormat="1" ht="13.8">
      <c r="A674" s="125"/>
      <c r="B674" s="34">
        <v>44102</v>
      </c>
      <c r="C674" s="124" t="s">
        <v>42</v>
      </c>
      <c r="D674" s="124">
        <v>75.430000000000007</v>
      </c>
      <c r="E674" s="124"/>
      <c r="F674" s="124"/>
      <c r="G674" s="124">
        <v>75.430000000000007</v>
      </c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</row>
    <row r="675" spans="1:49" s="106" customFormat="1" ht="13.8">
      <c r="A675" s="125"/>
      <c r="B675" s="34">
        <v>44102</v>
      </c>
      <c r="C675" s="124" t="s">
        <v>38</v>
      </c>
      <c r="D675" s="124">
        <v>240</v>
      </c>
      <c r="E675" s="124"/>
      <c r="F675" s="124"/>
      <c r="G675" s="124">
        <v>130</v>
      </c>
      <c r="H675" s="124"/>
      <c r="I675" s="124"/>
      <c r="J675" s="124">
        <v>110</v>
      </c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</row>
    <row r="676" spans="1:49" s="106" customFormat="1" ht="13.8">
      <c r="A676" s="125"/>
      <c r="B676" s="34">
        <v>44103</v>
      </c>
      <c r="C676" s="124" t="s">
        <v>216</v>
      </c>
      <c r="D676" s="124">
        <v>200</v>
      </c>
      <c r="E676" s="124"/>
      <c r="F676" s="124"/>
      <c r="G676" s="124"/>
      <c r="H676" s="124"/>
      <c r="I676" s="124"/>
      <c r="J676" s="124"/>
      <c r="K676" s="124"/>
      <c r="L676" s="124"/>
      <c r="M676" s="124"/>
      <c r="N676" s="124">
        <v>200</v>
      </c>
      <c r="O676" s="124"/>
      <c r="P676" s="124"/>
      <c r="Q676" s="124"/>
      <c r="R676" s="124"/>
      <c r="S676" s="124"/>
      <c r="T676" s="124"/>
      <c r="U676" s="124"/>
    </row>
    <row r="677" spans="1:49" s="120" customFormat="1" ht="12" customHeight="1">
      <c r="A677" s="60"/>
      <c r="B677" s="248" t="str">
        <f>B607</f>
        <v>september</v>
      </c>
      <c r="C677" s="247" t="s">
        <v>36</v>
      </c>
      <c r="D677" s="247">
        <f t="shared" ref="D677:U677" si="35">SUM(D678:D678)</f>
        <v>0</v>
      </c>
      <c r="E677" s="247">
        <f t="shared" si="35"/>
        <v>0</v>
      </c>
      <c r="F677" s="247">
        <f t="shared" si="35"/>
        <v>0</v>
      </c>
      <c r="G677" s="247">
        <f t="shared" si="35"/>
        <v>0</v>
      </c>
      <c r="H677" s="247">
        <f t="shared" si="35"/>
        <v>0</v>
      </c>
      <c r="I677" s="247">
        <f t="shared" si="35"/>
        <v>0</v>
      </c>
      <c r="J677" s="247">
        <f t="shared" si="35"/>
        <v>0</v>
      </c>
      <c r="K677" s="247">
        <f t="shared" si="35"/>
        <v>0</v>
      </c>
      <c r="L677" s="247">
        <f t="shared" si="35"/>
        <v>0</v>
      </c>
      <c r="M677" s="247">
        <f t="shared" si="35"/>
        <v>0</v>
      </c>
      <c r="N677" s="247">
        <f t="shared" si="35"/>
        <v>0</v>
      </c>
      <c r="O677" s="247">
        <f t="shared" si="35"/>
        <v>0</v>
      </c>
      <c r="P677" s="247">
        <f t="shared" si="35"/>
        <v>0</v>
      </c>
      <c r="Q677" s="247">
        <f t="shared" si="35"/>
        <v>0</v>
      </c>
      <c r="R677" s="247">
        <f t="shared" si="35"/>
        <v>0</v>
      </c>
      <c r="S677" s="247">
        <f t="shared" si="35"/>
        <v>0</v>
      </c>
      <c r="T677" s="247">
        <f t="shared" si="35"/>
        <v>0</v>
      </c>
      <c r="U677" s="247">
        <f t="shared" si="35"/>
        <v>0</v>
      </c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05"/>
      <c r="AV677" s="105"/>
      <c r="AW677" s="105"/>
    </row>
    <row r="678" spans="1:49" s="120" customFormat="1" ht="12" customHeight="1">
      <c r="A678" s="60"/>
      <c r="B678" s="248"/>
      <c r="C678" s="247"/>
      <c r="D678" s="247"/>
      <c r="E678" s="247"/>
      <c r="F678" s="247"/>
      <c r="G678" s="247"/>
      <c r="H678" s="247"/>
      <c r="I678" s="247"/>
      <c r="J678" s="247"/>
      <c r="K678" s="247"/>
      <c r="L678" s="247"/>
      <c r="M678" s="247"/>
      <c r="N678" s="247"/>
      <c r="O678" s="247"/>
      <c r="P678" s="247"/>
      <c r="Q678" s="247"/>
      <c r="R678" s="247"/>
      <c r="S678" s="247"/>
      <c r="T678" s="247"/>
      <c r="U678" s="247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05"/>
      <c r="AV678" s="105"/>
      <c r="AW678" s="105"/>
    </row>
    <row r="679" spans="1:49" s="126" customFormat="1" ht="13.5" customHeight="1">
      <c r="A679" s="39"/>
      <c r="B679" s="2948" t="str">
        <f>L2</f>
        <v>oktober</v>
      </c>
      <c r="C679" s="3003"/>
      <c r="D679" s="36">
        <f t="shared" ref="D679:U679" si="36">SUM(D680:D797)</f>
        <v>-14903.160000000025</v>
      </c>
      <c r="E679" s="36">
        <f t="shared" si="36"/>
        <v>2647.4000000000005</v>
      </c>
      <c r="F679" s="36">
        <f t="shared" si="36"/>
        <v>13214.890000000001</v>
      </c>
      <c r="G679" s="36">
        <f t="shared" si="36"/>
        <v>3368.96</v>
      </c>
      <c r="H679" s="36">
        <f t="shared" si="36"/>
        <v>577.70000000000005</v>
      </c>
      <c r="I679" s="36">
        <f t="shared" si="36"/>
        <v>53.75</v>
      </c>
      <c r="J679" s="36">
        <f t="shared" si="36"/>
        <v>1650</v>
      </c>
      <c r="K679" s="36">
        <f t="shared" si="36"/>
        <v>20</v>
      </c>
      <c r="L679" s="36">
        <f t="shared" si="36"/>
        <v>299.5</v>
      </c>
      <c r="M679" s="36">
        <f t="shared" si="36"/>
        <v>7474</v>
      </c>
      <c r="N679" s="36">
        <f t="shared" si="36"/>
        <v>959.5</v>
      </c>
      <c r="O679" s="36">
        <f t="shared" si="36"/>
        <v>24705.13</v>
      </c>
      <c r="P679" s="36">
        <f t="shared" si="36"/>
        <v>564</v>
      </c>
      <c r="Q679" s="36">
        <f t="shared" si="36"/>
        <v>433</v>
      </c>
      <c r="R679" s="36">
        <f t="shared" si="36"/>
        <v>275</v>
      </c>
      <c r="S679" s="36">
        <f t="shared" si="36"/>
        <v>-50</v>
      </c>
      <c r="T679" s="36">
        <f t="shared" si="36"/>
        <v>7000.39</v>
      </c>
      <c r="U679" s="36">
        <f t="shared" si="36"/>
        <v>13062</v>
      </c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</row>
    <row r="680" spans="1:49" s="106" customFormat="1" ht="13.8">
      <c r="A680" s="125"/>
      <c r="B680" s="34">
        <v>44104</v>
      </c>
      <c r="C680" s="124" t="s">
        <v>35</v>
      </c>
      <c r="D680" s="124">
        <f>$AI$35</f>
        <v>-11004</v>
      </c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</row>
    <row r="681" spans="1:49" s="106" customFormat="1" ht="13.8">
      <c r="A681" s="125"/>
      <c r="B681" s="34">
        <v>44104</v>
      </c>
      <c r="C681" s="124" t="s">
        <v>34</v>
      </c>
      <c r="D681" s="124">
        <f>$AJ$35</f>
        <v>-7733</v>
      </c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</row>
    <row r="682" spans="1:49" s="106" customFormat="1" ht="13.8">
      <c r="A682" s="125"/>
      <c r="B682" s="34">
        <v>44104</v>
      </c>
      <c r="C682" s="124" t="s">
        <v>33</v>
      </c>
      <c r="D682" s="124">
        <f>-$S$6</f>
        <v>-205</v>
      </c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</row>
    <row r="683" spans="1:49" s="106" customFormat="1" ht="13.8">
      <c r="A683" s="125">
        <v>5</v>
      </c>
      <c r="B683" s="34">
        <v>44104</v>
      </c>
      <c r="C683" s="124" t="s">
        <v>57</v>
      </c>
      <c r="D683" s="124">
        <v>5000</v>
      </c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>
        <v>5000</v>
      </c>
    </row>
    <row r="684" spans="1:49" s="106" customFormat="1" ht="13.8">
      <c r="A684" s="125"/>
      <c r="B684" s="34">
        <v>44104</v>
      </c>
      <c r="C684" s="124" t="s">
        <v>41</v>
      </c>
      <c r="D684" s="124">
        <v>63.4</v>
      </c>
      <c r="E684" s="124"/>
      <c r="F684" s="124">
        <v>32</v>
      </c>
      <c r="G684" s="124">
        <v>31.4</v>
      </c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</row>
    <row r="685" spans="1:49" s="106" customFormat="1" ht="13.8">
      <c r="A685" s="125"/>
      <c r="B685" s="34">
        <v>44104</v>
      </c>
      <c r="C685" s="124" t="s">
        <v>124</v>
      </c>
      <c r="D685" s="124">
        <v>65.8</v>
      </c>
      <c r="E685" s="124"/>
      <c r="F685" s="124"/>
      <c r="G685" s="124"/>
      <c r="H685" s="124">
        <v>49.15</v>
      </c>
      <c r="I685" s="124">
        <v>16.649999999999999</v>
      </c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</row>
    <row r="686" spans="1:49" s="106" customFormat="1" ht="13.8">
      <c r="A686" s="125"/>
      <c r="B686" s="34">
        <v>44104</v>
      </c>
      <c r="C686" s="124" t="s">
        <v>237</v>
      </c>
      <c r="D686" s="124">
        <v>88</v>
      </c>
      <c r="E686" s="124"/>
      <c r="F686" s="124"/>
      <c r="G686" s="124">
        <v>68</v>
      </c>
      <c r="H686" s="124"/>
      <c r="I686" s="124"/>
      <c r="J686" s="124"/>
      <c r="K686" s="124"/>
      <c r="L686" s="124">
        <v>20</v>
      </c>
      <c r="M686" s="124"/>
      <c r="N686" s="124"/>
      <c r="O686" s="124"/>
      <c r="P686" s="124"/>
      <c r="Q686" s="124"/>
      <c r="R686" s="124"/>
      <c r="S686" s="124"/>
      <c r="T686" s="124"/>
      <c r="U686" s="124"/>
    </row>
    <row r="687" spans="1:49" s="106" customFormat="1" ht="13.8">
      <c r="A687" s="125"/>
      <c r="B687" s="34">
        <v>44104</v>
      </c>
      <c r="C687" s="124" t="s">
        <v>325</v>
      </c>
      <c r="D687" s="124">
        <v>641.28</v>
      </c>
      <c r="E687" s="124"/>
      <c r="F687" s="124"/>
      <c r="G687" s="124">
        <v>91.28</v>
      </c>
      <c r="H687" s="124"/>
      <c r="I687" s="124"/>
      <c r="J687" s="124">
        <v>550</v>
      </c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</row>
    <row r="688" spans="1:49" s="106" customFormat="1" ht="13.8">
      <c r="A688" s="125"/>
      <c r="B688" s="34">
        <v>44104</v>
      </c>
      <c r="C688" s="124" t="s">
        <v>162</v>
      </c>
      <c r="D688" s="124">
        <v>493</v>
      </c>
      <c r="E688" s="124"/>
      <c r="F688" s="124">
        <v>493</v>
      </c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</row>
    <row r="689" spans="1:21" s="106" customFormat="1" ht="13.8">
      <c r="A689" s="125"/>
      <c r="B689" s="34">
        <v>44104</v>
      </c>
      <c r="C689" s="124" t="s">
        <v>353</v>
      </c>
      <c r="D689" s="124">
        <v>261</v>
      </c>
      <c r="E689" s="124"/>
      <c r="F689" s="124">
        <v>261</v>
      </c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</row>
    <row r="690" spans="1:21" s="106" customFormat="1" ht="13.8">
      <c r="A690" s="125"/>
      <c r="B690" s="34">
        <v>44104</v>
      </c>
      <c r="C690" s="124" t="s">
        <v>352</v>
      </c>
      <c r="D690" s="124">
        <v>81</v>
      </c>
      <c r="E690" s="124"/>
      <c r="F690" s="124">
        <v>61</v>
      </c>
      <c r="G690" s="124"/>
      <c r="H690" s="124"/>
      <c r="I690" s="124"/>
      <c r="J690" s="124"/>
      <c r="K690" s="124">
        <v>20</v>
      </c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</row>
    <row r="691" spans="1:21" s="106" customFormat="1" ht="13.8">
      <c r="A691" s="125"/>
      <c r="B691" s="34">
        <v>44104</v>
      </c>
      <c r="C691" s="124" t="s">
        <v>351</v>
      </c>
      <c r="D691" s="124">
        <v>300</v>
      </c>
      <c r="E691" s="124"/>
      <c r="F691" s="124">
        <v>300</v>
      </c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</row>
    <row r="692" spans="1:21" s="106" customFormat="1" ht="13.8">
      <c r="A692" s="125"/>
      <c r="B692" s="34">
        <v>44104</v>
      </c>
      <c r="C692" s="124" t="s">
        <v>350</v>
      </c>
      <c r="D692" s="124">
        <v>550</v>
      </c>
      <c r="E692" s="124"/>
      <c r="F692" s="124">
        <v>550</v>
      </c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</row>
    <row r="693" spans="1:21" s="106" customFormat="1" ht="13.8">
      <c r="A693" s="125"/>
      <c r="B693" s="34">
        <v>44104</v>
      </c>
      <c r="C693" s="124" t="s">
        <v>38</v>
      </c>
      <c r="D693" s="124">
        <v>90</v>
      </c>
      <c r="E693" s="124"/>
      <c r="F693" s="124"/>
      <c r="G693" s="124">
        <v>90</v>
      </c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</row>
    <row r="694" spans="1:21" s="106" customFormat="1" ht="13.8">
      <c r="A694" s="125"/>
      <c r="B694" s="34">
        <v>44105</v>
      </c>
      <c r="C694" s="124" t="s">
        <v>349</v>
      </c>
      <c r="D694" s="124">
        <v>-6125.66</v>
      </c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</row>
    <row r="695" spans="1:21" s="106" customFormat="1" ht="13.8">
      <c r="A695" s="125"/>
      <c r="B695" s="34">
        <v>44105</v>
      </c>
      <c r="C695" s="124" t="s">
        <v>348</v>
      </c>
      <c r="D695" s="124">
        <f>-62264.33</f>
        <v>-62264.33</v>
      </c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</row>
    <row r="696" spans="1:21" s="106" customFormat="1" ht="13.8">
      <c r="A696" s="125"/>
      <c r="B696" s="34">
        <v>44105</v>
      </c>
      <c r="C696" s="124" t="s">
        <v>31</v>
      </c>
      <c r="D696" s="124">
        <f>$X$35</f>
        <v>-1151</v>
      </c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</row>
    <row r="697" spans="1:21" s="106" customFormat="1" ht="13.8">
      <c r="A697" s="125"/>
      <c r="B697" s="34">
        <v>44105</v>
      </c>
      <c r="C697" s="124" t="s">
        <v>347</v>
      </c>
      <c r="D697" s="124">
        <v>-2000</v>
      </c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</row>
    <row r="698" spans="1:21" s="106" customFormat="1" ht="13.8">
      <c r="A698" s="125"/>
      <c r="B698" s="34">
        <v>44105</v>
      </c>
      <c r="C698" s="124" t="s">
        <v>100</v>
      </c>
      <c r="D698" s="124">
        <v>1141.8900000000001</v>
      </c>
      <c r="E698" s="124">
        <v>1141.8900000000001</v>
      </c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</row>
    <row r="699" spans="1:21" s="106" customFormat="1" ht="13.8">
      <c r="A699" s="125"/>
      <c r="B699" s="34">
        <v>44105</v>
      </c>
      <c r="C699" s="124" t="s">
        <v>125</v>
      </c>
      <c r="D699" s="124">
        <v>119</v>
      </c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>
        <v>119</v>
      </c>
      <c r="R699" s="124"/>
      <c r="S699" s="124"/>
      <c r="T699" s="124"/>
      <c r="U699" s="124"/>
    </row>
    <row r="700" spans="1:21" s="106" customFormat="1" ht="13.8">
      <c r="A700" s="125"/>
      <c r="B700" s="34">
        <v>44105</v>
      </c>
      <c r="C700" s="124" t="s">
        <v>182</v>
      </c>
      <c r="D700" s="124">
        <f>$AA$35</f>
        <v>284</v>
      </c>
      <c r="E700" s="124">
        <v>284</v>
      </c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</row>
    <row r="701" spans="1:21" s="106" customFormat="1" ht="13.8">
      <c r="A701" s="125"/>
      <c r="B701" s="34">
        <v>44105</v>
      </c>
      <c r="C701" s="124" t="s">
        <v>239</v>
      </c>
      <c r="D701" s="124">
        <v>150</v>
      </c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>
        <v>150</v>
      </c>
      <c r="R701" s="124"/>
      <c r="S701" s="124"/>
      <c r="T701" s="124"/>
      <c r="U701" s="124"/>
    </row>
    <row r="702" spans="1:21" s="106" customFormat="1" ht="13.8">
      <c r="A702" s="125"/>
      <c r="B702" s="34">
        <v>44105</v>
      </c>
      <c r="C702" s="124" t="s">
        <v>306</v>
      </c>
      <c r="D702" s="124">
        <v>447.13</v>
      </c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>
        <f>D702</f>
        <v>447.13</v>
      </c>
      <c r="P702" s="124"/>
      <c r="Q702" s="124"/>
      <c r="R702" s="124"/>
      <c r="S702" s="124"/>
      <c r="T702" s="124"/>
      <c r="U702" s="124"/>
    </row>
    <row r="703" spans="1:21" s="106" customFormat="1" ht="13.8">
      <c r="A703" s="125"/>
      <c r="B703" s="34">
        <v>44105</v>
      </c>
      <c r="C703" s="124" t="s">
        <v>206</v>
      </c>
      <c r="D703" s="124">
        <v>150</v>
      </c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>
        <v>150</v>
      </c>
      <c r="R703" s="124"/>
      <c r="S703" s="124"/>
      <c r="T703" s="124"/>
      <c r="U703" s="124"/>
    </row>
    <row r="704" spans="1:21" s="106" customFormat="1" ht="13.8">
      <c r="A704" s="125"/>
      <c r="B704" s="34">
        <v>44105</v>
      </c>
      <c r="C704" s="124" t="s">
        <v>183</v>
      </c>
      <c r="D704" s="124">
        <v>537.75</v>
      </c>
      <c r="E704" s="124">
        <v>537.75</v>
      </c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</row>
    <row r="705" spans="1:21" s="106" customFormat="1" ht="13.8">
      <c r="A705" s="125"/>
      <c r="B705" s="34">
        <v>44105</v>
      </c>
      <c r="C705" s="124" t="s">
        <v>265</v>
      </c>
      <c r="D705" s="124">
        <f>$Z$35</f>
        <v>490</v>
      </c>
      <c r="E705" s="124">
        <v>490</v>
      </c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</row>
    <row r="706" spans="1:21" s="106" customFormat="1" ht="13.8">
      <c r="A706" s="125"/>
      <c r="B706" s="34">
        <v>44105</v>
      </c>
      <c r="C706" s="124" t="s">
        <v>30</v>
      </c>
      <c r="D706" s="124">
        <v>7474</v>
      </c>
      <c r="E706" s="124"/>
      <c r="F706" s="124"/>
      <c r="G706" s="124"/>
      <c r="H706" s="124"/>
      <c r="I706" s="124"/>
      <c r="J706" s="124"/>
      <c r="K706" s="124"/>
      <c r="L706" s="124"/>
      <c r="M706" s="124">
        <v>7474</v>
      </c>
      <c r="N706" s="124"/>
      <c r="O706" s="124"/>
      <c r="P706" s="124"/>
      <c r="Q706" s="124"/>
      <c r="R706" s="124"/>
      <c r="S706" s="124"/>
      <c r="T706" s="124"/>
      <c r="U706" s="124"/>
    </row>
    <row r="707" spans="1:21" s="106" customFormat="1" ht="13.8">
      <c r="A707" s="125"/>
      <c r="B707" s="34">
        <v>44105</v>
      </c>
      <c r="C707" s="124" t="s">
        <v>346</v>
      </c>
      <c r="D707" s="124">
        <v>1180</v>
      </c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>
        <v>1180</v>
      </c>
      <c r="P707" s="124"/>
      <c r="Q707" s="124"/>
      <c r="R707" s="124"/>
      <c r="S707" s="124"/>
      <c r="T707" s="124"/>
      <c r="U707" s="124"/>
    </row>
    <row r="708" spans="1:21" s="106" customFormat="1" ht="13.8">
      <c r="A708" s="125"/>
      <c r="B708" s="34">
        <v>44105</v>
      </c>
      <c r="C708" s="124" t="s">
        <v>345</v>
      </c>
      <c r="D708" s="124">
        <v>19000</v>
      </c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>
        <v>19500</v>
      </c>
      <c r="P708" s="124"/>
      <c r="Q708" s="124"/>
      <c r="R708" s="124"/>
      <c r="S708" s="124"/>
      <c r="T708" s="124"/>
      <c r="U708" s="124"/>
    </row>
    <row r="709" spans="1:21" s="106" customFormat="1" ht="13.8">
      <c r="A709" s="125"/>
      <c r="B709" s="34">
        <v>44105</v>
      </c>
      <c r="C709" s="124" t="s">
        <v>230</v>
      </c>
      <c r="D709" s="124">
        <v>229</v>
      </c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>
        <v>229</v>
      </c>
      <c r="Q709" s="124"/>
      <c r="R709" s="124"/>
      <c r="S709" s="124"/>
      <c r="T709" s="124"/>
      <c r="U709" s="124"/>
    </row>
    <row r="710" spans="1:21" s="106" customFormat="1" ht="13.8">
      <c r="A710" s="125"/>
      <c r="B710" s="34">
        <v>44105</v>
      </c>
      <c r="C710" s="124" t="s">
        <v>344</v>
      </c>
      <c r="D710" s="124">
        <v>3555</v>
      </c>
      <c r="E710" s="124"/>
      <c r="F710" s="124">
        <f>D710</f>
        <v>3555</v>
      </c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</row>
    <row r="711" spans="1:21" s="106" customFormat="1" ht="13.8">
      <c r="A711" s="125"/>
      <c r="B711" s="34">
        <v>44105</v>
      </c>
      <c r="C711" s="124" t="s">
        <v>237</v>
      </c>
      <c r="D711" s="124">
        <v>33</v>
      </c>
      <c r="E711" s="124"/>
      <c r="F711" s="124"/>
      <c r="G711" s="124">
        <v>33</v>
      </c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</row>
    <row r="712" spans="1:21" s="106" customFormat="1" ht="13.8">
      <c r="A712" s="125"/>
      <c r="B712" s="34">
        <v>44105</v>
      </c>
      <c r="C712" s="124" t="s">
        <v>216</v>
      </c>
      <c r="D712" s="124">
        <v>78</v>
      </c>
      <c r="E712" s="124"/>
      <c r="F712" s="124">
        <v>78</v>
      </c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</row>
    <row r="713" spans="1:21" s="106" customFormat="1" ht="13.8">
      <c r="A713" s="125"/>
      <c r="B713" s="34">
        <v>44105</v>
      </c>
      <c r="C713" s="124" t="s">
        <v>192</v>
      </c>
      <c r="D713" s="124">
        <v>229</v>
      </c>
      <c r="E713" s="124"/>
      <c r="F713" s="124">
        <v>199</v>
      </c>
      <c r="G713" s="124">
        <v>30</v>
      </c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</row>
    <row r="714" spans="1:21" s="106" customFormat="1" ht="13.8">
      <c r="A714" s="125"/>
      <c r="B714" s="34">
        <v>44105</v>
      </c>
      <c r="C714" s="124" t="s">
        <v>39</v>
      </c>
      <c r="D714" s="124">
        <v>72.95</v>
      </c>
      <c r="E714" s="124"/>
      <c r="F714" s="124"/>
      <c r="G714" s="124">
        <v>72.95</v>
      </c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</row>
    <row r="715" spans="1:21" s="106" customFormat="1" ht="13.8">
      <c r="A715" s="125"/>
      <c r="B715" s="34">
        <v>44106</v>
      </c>
      <c r="C715" s="124" t="s">
        <v>325</v>
      </c>
      <c r="D715" s="124">
        <v>70.150000000000006</v>
      </c>
      <c r="E715" s="124"/>
      <c r="F715" s="124"/>
      <c r="G715" s="124">
        <v>70.150000000000006</v>
      </c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</row>
    <row r="716" spans="1:21" s="106" customFormat="1" ht="13.8">
      <c r="A716" s="125"/>
      <c r="B716" s="34">
        <v>44106</v>
      </c>
      <c r="C716" s="124" t="s">
        <v>22</v>
      </c>
      <c r="D716" s="124">
        <v>138</v>
      </c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>
        <v>138</v>
      </c>
      <c r="Q716" s="124"/>
      <c r="R716" s="124"/>
      <c r="S716" s="124"/>
      <c r="T716" s="124"/>
      <c r="U716" s="124"/>
    </row>
    <row r="717" spans="1:21" s="106" customFormat="1" ht="13.8">
      <c r="A717" s="125"/>
      <c r="B717" s="34">
        <v>44106</v>
      </c>
      <c r="C717" s="124" t="s">
        <v>343</v>
      </c>
      <c r="D717" s="124">
        <v>325</v>
      </c>
      <c r="E717" s="124"/>
      <c r="F717" s="124">
        <v>325</v>
      </c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</row>
    <row r="718" spans="1:21" s="106" customFormat="1" ht="13.8">
      <c r="A718" s="125"/>
      <c r="B718" s="34">
        <v>44106</v>
      </c>
      <c r="C718" s="124" t="s">
        <v>192</v>
      </c>
      <c r="D718" s="124">
        <v>221.07</v>
      </c>
      <c r="E718" s="124"/>
      <c r="F718" s="124">
        <v>60</v>
      </c>
      <c r="G718" s="124">
        <v>161.07</v>
      </c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</row>
    <row r="719" spans="1:21" s="106" customFormat="1" ht="13.8">
      <c r="A719" s="125"/>
      <c r="B719" s="34">
        <v>44106</v>
      </c>
      <c r="C719" s="124" t="s">
        <v>216</v>
      </c>
      <c r="D719" s="124">
        <v>418</v>
      </c>
      <c r="E719" s="124"/>
      <c r="F719" s="124">
        <v>20</v>
      </c>
      <c r="G719" s="124">
        <v>78</v>
      </c>
      <c r="H719" s="124"/>
      <c r="I719" s="124"/>
      <c r="J719" s="124"/>
      <c r="K719" s="124"/>
      <c r="L719" s="124"/>
      <c r="M719" s="124"/>
      <c r="N719" s="124">
        <v>320</v>
      </c>
      <c r="O719" s="124"/>
      <c r="P719" s="124"/>
      <c r="Q719" s="124"/>
      <c r="R719" s="124"/>
      <c r="S719" s="124"/>
      <c r="T719" s="124"/>
      <c r="U719" s="124"/>
    </row>
    <row r="720" spans="1:21" s="106" customFormat="1" ht="13.8">
      <c r="A720" s="125"/>
      <c r="B720" s="34">
        <v>44107</v>
      </c>
      <c r="C720" s="124" t="s">
        <v>21</v>
      </c>
      <c r="D720" s="124">
        <v>197</v>
      </c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>
        <v>197</v>
      </c>
      <c r="Q720" s="124"/>
      <c r="R720" s="124"/>
      <c r="S720" s="124"/>
      <c r="T720" s="124"/>
      <c r="U720" s="124"/>
    </row>
    <row r="721" spans="1:21" s="106" customFormat="1" ht="13.8">
      <c r="A721" s="125"/>
      <c r="B721" s="34">
        <v>44107</v>
      </c>
      <c r="C721" s="124" t="s">
        <v>242</v>
      </c>
      <c r="D721" s="124">
        <v>-50</v>
      </c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>
        <v>-50</v>
      </c>
      <c r="T721" s="124"/>
      <c r="U721" s="124"/>
    </row>
    <row r="722" spans="1:21" s="106" customFormat="1" ht="13.8">
      <c r="A722" s="125"/>
      <c r="B722" s="34">
        <v>44107</v>
      </c>
      <c r="C722" s="124" t="s">
        <v>342</v>
      </c>
      <c r="D722" s="124">
        <v>200</v>
      </c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>
        <v>200</v>
      </c>
    </row>
    <row r="723" spans="1:21" s="106" customFormat="1" ht="13.8">
      <c r="A723" s="125"/>
      <c r="B723" s="34">
        <v>44107</v>
      </c>
      <c r="C723" s="124" t="s">
        <v>39</v>
      </c>
      <c r="D723" s="124">
        <v>68</v>
      </c>
      <c r="E723" s="124"/>
      <c r="F723" s="124">
        <v>38</v>
      </c>
      <c r="G723" s="124">
        <v>30</v>
      </c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</row>
    <row r="724" spans="1:21" s="106" customFormat="1" ht="13.8">
      <c r="A724" s="125"/>
      <c r="B724" s="34">
        <v>44107</v>
      </c>
      <c r="C724" s="124" t="s">
        <v>325</v>
      </c>
      <c r="D724" s="124">
        <v>164.7</v>
      </c>
      <c r="E724" s="124"/>
      <c r="F724" s="124"/>
      <c r="G724" s="124">
        <v>74.7</v>
      </c>
      <c r="H724" s="124"/>
      <c r="I724" s="124"/>
      <c r="J724" s="124"/>
      <c r="K724" s="124"/>
      <c r="L724" s="124">
        <v>90</v>
      </c>
      <c r="M724" s="124"/>
      <c r="N724" s="124"/>
      <c r="O724" s="124"/>
      <c r="P724" s="124"/>
      <c r="Q724" s="124"/>
      <c r="R724" s="124"/>
      <c r="S724" s="124"/>
      <c r="T724" s="124"/>
      <c r="U724" s="124"/>
    </row>
    <row r="725" spans="1:21" s="106" customFormat="1" ht="13.8">
      <c r="A725" s="125"/>
      <c r="B725" s="34">
        <v>44107</v>
      </c>
      <c r="C725" s="124" t="s">
        <v>216</v>
      </c>
      <c r="D725" s="124">
        <v>200</v>
      </c>
      <c r="E725" s="124"/>
      <c r="F725" s="124"/>
      <c r="G725" s="124"/>
      <c r="H725" s="124"/>
      <c r="I725" s="124"/>
      <c r="J725" s="124"/>
      <c r="K725" s="124"/>
      <c r="L725" s="124"/>
      <c r="M725" s="124"/>
      <c r="N725" s="124">
        <v>200</v>
      </c>
      <c r="O725" s="124"/>
      <c r="P725" s="124"/>
      <c r="Q725" s="124"/>
      <c r="R725" s="124"/>
      <c r="S725" s="124"/>
      <c r="T725" s="124"/>
      <c r="U725" s="124"/>
    </row>
    <row r="726" spans="1:21" s="106" customFormat="1" ht="13.8">
      <c r="A726" s="125"/>
      <c r="B726" s="34">
        <v>44107</v>
      </c>
      <c r="C726" s="124" t="s">
        <v>40</v>
      </c>
      <c r="D726" s="124">
        <v>23.95</v>
      </c>
      <c r="E726" s="124"/>
      <c r="F726" s="124"/>
      <c r="G726" s="124">
        <v>23.95</v>
      </c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</row>
    <row r="727" spans="1:21" s="106" customFormat="1" ht="13.8">
      <c r="A727" s="125"/>
      <c r="B727" s="34">
        <v>44108</v>
      </c>
      <c r="C727" s="124" t="s">
        <v>233</v>
      </c>
      <c r="D727" s="124">
        <v>265</v>
      </c>
      <c r="E727" s="124"/>
      <c r="F727" s="124">
        <v>265</v>
      </c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</row>
    <row r="728" spans="1:21" s="106" customFormat="1" ht="13.8">
      <c r="A728" s="125"/>
      <c r="B728" s="34">
        <v>44109</v>
      </c>
      <c r="C728" s="124" t="s">
        <v>20</v>
      </c>
      <c r="D728" s="124">
        <v>193.76</v>
      </c>
      <c r="E728" s="124">
        <v>193.76</v>
      </c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</row>
    <row r="729" spans="1:21" s="106" customFormat="1" ht="13.8">
      <c r="A729" s="125"/>
      <c r="B729" s="34">
        <v>44109</v>
      </c>
      <c r="C729" s="124" t="s">
        <v>180</v>
      </c>
      <c r="D729" s="124">
        <f>$AN$35</f>
        <v>175.93</v>
      </c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>
        <v>175.93</v>
      </c>
      <c r="U729" s="124"/>
    </row>
    <row r="730" spans="1:21" s="106" customFormat="1" ht="13.8">
      <c r="A730" s="125"/>
      <c r="B730" s="34">
        <v>44110</v>
      </c>
      <c r="C730" s="124" t="s">
        <v>156</v>
      </c>
      <c r="D730" s="124">
        <v>-61</v>
      </c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>
        <v>-61</v>
      </c>
      <c r="R730" s="124"/>
      <c r="S730" s="124"/>
      <c r="T730" s="124"/>
      <c r="U730" s="124"/>
    </row>
    <row r="731" spans="1:21" s="106" customFormat="1" ht="13.8">
      <c r="A731" s="125"/>
      <c r="B731" s="34">
        <v>44110</v>
      </c>
      <c r="C731" s="124" t="s">
        <v>124</v>
      </c>
      <c r="D731" s="124">
        <v>68.400000000000006</v>
      </c>
      <c r="E731" s="124"/>
      <c r="F731" s="124"/>
      <c r="G731" s="124"/>
      <c r="H731" s="124">
        <v>68.400000000000006</v>
      </c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</row>
    <row r="732" spans="1:21" s="106" customFormat="1" ht="13.8">
      <c r="A732" s="125"/>
      <c r="B732" s="34">
        <v>44111</v>
      </c>
      <c r="C732" s="124" t="s">
        <v>39</v>
      </c>
      <c r="D732" s="124">
        <v>426.5</v>
      </c>
      <c r="E732" s="124"/>
      <c r="F732" s="124">
        <v>187</v>
      </c>
      <c r="G732" s="124">
        <v>210</v>
      </c>
      <c r="H732" s="124"/>
      <c r="I732" s="124"/>
      <c r="J732" s="124"/>
      <c r="K732" s="124"/>
      <c r="L732" s="124">
        <v>29.5</v>
      </c>
      <c r="M732" s="124"/>
      <c r="N732" s="124"/>
      <c r="O732" s="124"/>
      <c r="P732" s="124"/>
      <c r="Q732" s="124"/>
      <c r="R732" s="124"/>
      <c r="S732" s="124"/>
      <c r="T732" s="124"/>
      <c r="U732" s="124"/>
    </row>
    <row r="733" spans="1:21" s="106" customFormat="1" ht="13.8">
      <c r="A733" s="125"/>
      <c r="B733" s="34">
        <v>44111</v>
      </c>
      <c r="C733" s="124" t="s">
        <v>325</v>
      </c>
      <c r="D733" s="124">
        <v>58.6</v>
      </c>
      <c r="E733" s="124"/>
      <c r="F733" s="124"/>
      <c r="G733" s="124">
        <v>58.6</v>
      </c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</row>
    <row r="734" spans="1:21" s="106" customFormat="1" ht="13.8">
      <c r="A734" s="125"/>
      <c r="B734" s="34">
        <v>44111</v>
      </c>
      <c r="C734" s="124" t="s">
        <v>222</v>
      </c>
      <c r="D734" s="124">
        <v>59</v>
      </c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>
        <v>59</v>
      </c>
      <c r="P734" s="124"/>
      <c r="Q734" s="124"/>
      <c r="R734" s="124"/>
      <c r="S734" s="124"/>
      <c r="T734" s="124"/>
      <c r="U734" s="124"/>
    </row>
    <row r="735" spans="1:21" s="106" customFormat="1" ht="13.8">
      <c r="A735" s="125"/>
      <c r="B735" s="34">
        <v>44112</v>
      </c>
      <c r="C735" s="124" t="s">
        <v>341</v>
      </c>
      <c r="D735" s="124">
        <v>80</v>
      </c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>
        <v>80</v>
      </c>
      <c r="P735" s="124"/>
      <c r="Q735" s="124"/>
      <c r="R735" s="124"/>
      <c r="S735" s="124"/>
      <c r="T735" s="124"/>
      <c r="U735" s="124"/>
    </row>
    <row r="736" spans="1:21" s="106" customFormat="1" ht="13.8">
      <c r="A736" s="125"/>
      <c r="B736" s="34">
        <v>44112</v>
      </c>
      <c r="C736" s="124" t="s">
        <v>340</v>
      </c>
      <c r="D736" s="124">
        <v>90</v>
      </c>
      <c r="E736" s="124"/>
      <c r="F736" s="124"/>
      <c r="G736" s="124">
        <v>90</v>
      </c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</row>
    <row r="737" spans="1:21" s="106" customFormat="1" ht="13.8">
      <c r="A737" s="125"/>
      <c r="B737" s="34">
        <v>44112</v>
      </c>
      <c r="C737" s="124" t="s">
        <v>40</v>
      </c>
      <c r="D737" s="124">
        <v>26.95</v>
      </c>
      <c r="E737" s="124"/>
      <c r="F737" s="124"/>
      <c r="G737" s="124">
        <v>26.95</v>
      </c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</row>
    <row r="738" spans="1:21" s="106" customFormat="1" ht="13.8">
      <c r="A738" s="125"/>
      <c r="B738" s="34">
        <v>44112</v>
      </c>
      <c r="C738" s="124" t="s">
        <v>325</v>
      </c>
      <c r="D738" s="124">
        <v>19</v>
      </c>
      <c r="E738" s="124"/>
      <c r="F738" s="124"/>
      <c r="G738" s="124">
        <v>19</v>
      </c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</row>
    <row r="739" spans="1:21" s="106" customFormat="1" ht="13.8">
      <c r="A739" s="125"/>
      <c r="B739" s="34">
        <v>44113</v>
      </c>
      <c r="C739" s="124" t="s">
        <v>192</v>
      </c>
      <c r="D739" s="124">
        <v>60</v>
      </c>
      <c r="E739" s="124"/>
      <c r="F739" s="124">
        <v>60</v>
      </c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</row>
    <row r="740" spans="1:21" s="106" customFormat="1" ht="13.8">
      <c r="A740" s="125"/>
      <c r="B740" s="34">
        <v>44113</v>
      </c>
      <c r="C740" s="124" t="s">
        <v>124</v>
      </c>
      <c r="D740" s="124">
        <v>289.60000000000002</v>
      </c>
      <c r="E740" s="124"/>
      <c r="F740" s="124"/>
      <c r="G740" s="124"/>
      <c r="H740" s="124">
        <v>289.60000000000002</v>
      </c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</row>
    <row r="741" spans="1:21" s="106" customFormat="1" ht="13.8">
      <c r="A741" s="125"/>
      <c r="B741" s="34">
        <v>44113</v>
      </c>
      <c r="C741" s="124" t="s">
        <v>38</v>
      </c>
      <c r="D741" s="124">
        <v>90.5</v>
      </c>
      <c r="E741" s="124"/>
      <c r="F741" s="124"/>
      <c r="G741" s="124">
        <v>90.5</v>
      </c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</row>
    <row r="742" spans="1:21" s="106" customFormat="1" ht="13.8">
      <c r="A742" s="125"/>
      <c r="B742" s="34">
        <v>44113</v>
      </c>
      <c r="C742" s="124" t="s">
        <v>339</v>
      </c>
      <c r="D742" s="124">
        <v>24.5</v>
      </c>
      <c r="E742" s="124"/>
      <c r="F742" s="124">
        <v>24.5</v>
      </c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</row>
    <row r="743" spans="1:21" s="106" customFormat="1" ht="13.8">
      <c r="A743" s="125"/>
      <c r="B743" s="34">
        <v>44113</v>
      </c>
      <c r="C743" s="124" t="s">
        <v>39</v>
      </c>
      <c r="D743" s="124">
        <v>74.89</v>
      </c>
      <c r="E743" s="124"/>
      <c r="F743" s="124"/>
      <c r="G743" s="124">
        <v>74.89</v>
      </c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</row>
    <row r="744" spans="1:21" s="106" customFormat="1" ht="13.8">
      <c r="A744" s="125"/>
      <c r="B744" s="34">
        <v>44114</v>
      </c>
      <c r="C744" s="124" t="s">
        <v>162</v>
      </c>
      <c r="D744" s="124">
        <v>236</v>
      </c>
      <c r="E744" s="124"/>
      <c r="F744" s="124">
        <v>236</v>
      </c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</row>
    <row r="745" spans="1:21" s="106" customFormat="1" ht="13.8">
      <c r="A745" s="125"/>
      <c r="B745" s="34">
        <v>44114</v>
      </c>
      <c r="C745" s="124" t="s">
        <v>235</v>
      </c>
      <c r="D745" s="124">
        <v>75</v>
      </c>
      <c r="E745" s="124"/>
      <c r="F745" s="124">
        <v>75</v>
      </c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</row>
    <row r="746" spans="1:21" s="106" customFormat="1" ht="13.8">
      <c r="A746" s="125"/>
      <c r="B746" s="34">
        <v>44114</v>
      </c>
      <c r="C746" s="124" t="s">
        <v>325</v>
      </c>
      <c r="D746" s="124">
        <v>45</v>
      </c>
      <c r="E746" s="124"/>
      <c r="F746" s="124">
        <v>20</v>
      </c>
      <c r="G746" s="124">
        <v>25</v>
      </c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</row>
    <row r="747" spans="1:21" s="106" customFormat="1" ht="13.8">
      <c r="A747" s="125"/>
      <c r="B747" s="34">
        <v>44114</v>
      </c>
      <c r="C747" s="124" t="s">
        <v>186</v>
      </c>
      <c r="D747" s="124">
        <v>125</v>
      </c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>
        <v>125</v>
      </c>
      <c r="R747" s="124"/>
      <c r="S747" s="124"/>
      <c r="T747" s="124"/>
      <c r="U747" s="124"/>
    </row>
    <row r="748" spans="1:21" s="106" customFormat="1" ht="13.8">
      <c r="A748" s="125"/>
      <c r="B748" s="34">
        <v>44115</v>
      </c>
      <c r="C748" s="124" t="s">
        <v>39</v>
      </c>
      <c r="D748" s="124">
        <v>114</v>
      </c>
      <c r="E748" s="124"/>
      <c r="F748" s="124">
        <v>79</v>
      </c>
      <c r="G748" s="124">
        <v>35</v>
      </c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</row>
    <row r="749" spans="1:21" s="106" customFormat="1" ht="13.8">
      <c r="A749" s="125"/>
      <c r="B749" s="34">
        <v>44115</v>
      </c>
      <c r="C749" s="124" t="s">
        <v>325</v>
      </c>
      <c r="D749" s="124">
        <v>87.95</v>
      </c>
      <c r="E749" s="124"/>
      <c r="F749" s="124"/>
      <c r="G749" s="124">
        <v>57.95</v>
      </c>
      <c r="H749" s="124"/>
      <c r="I749" s="124"/>
      <c r="J749" s="124"/>
      <c r="K749" s="124"/>
      <c r="L749" s="124">
        <v>30</v>
      </c>
      <c r="M749" s="124"/>
      <c r="N749" s="124"/>
      <c r="O749" s="124"/>
      <c r="P749" s="124"/>
      <c r="Q749" s="124"/>
      <c r="R749" s="124"/>
      <c r="S749" s="124"/>
      <c r="T749" s="124"/>
      <c r="U749" s="124"/>
    </row>
    <row r="750" spans="1:21" s="106" customFormat="1" ht="13.8">
      <c r="A750" s="125"/>
      <c r="B750" s="34">
        <v>44116</v>
      </c>
      <c r="C750" s="124" t="s">
        <v>185</v>
      </c>
      <c r="D750" s="124">
        <v>3825</v>
      </c>
      <c r="E750" s="124"/>
      <c r="F750" s="124">
        <v>3825</v>
      </c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</row>
    <row r="751" spans="1:21" s="106" customFormat="1" ht="13.8">
      <c r="A751" s="125"/>
      <c r="B751" s="34">
        <v>44116</v>
      </c>
      <c r="C751" s="124" t="s">
        <v>216</v>
      </c>
      <c r="D751" s="124">
        <v>49.95</v>
      </c>
      <c r="E751" s="124"/>
      <c r="F751" s="124">
        <v>49.95</v>
      </c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</row>
    <row r="752" spans="1:21" s="106" customFormat="1" ht="13.8">
      <c r="A752" s="125"/>
      <c r="B752" s="34">
        <v>44116</v>
      </c>
      <c r="C752" s="124" t="s">
        <v>325</v>
      </c>
      <c r="D752" s="124">
        <v>73.569999999999993</v>
      </c>
      <c r="E752" s="124"/>
      <c r="F752" s="124"/>
      <c r="G752" s="124">
        <v>73.569999999999993</v>
      </c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</row>
    <row r="753" spans="1:21" s="106" customFormat="1" ht="13.8">
      <c r="A753" s="125"/>
      <c r="B753" s="34">
        <v>44116</v>
      </c>
      <c r="C753" s="124" t="s">
        <v>41</v>
      </c>
      <c r="D753" s="124">
        <v>94</v>
      </c>
      <c r="E753" s="124"/>
      <c r="F753" s="124"/>
      <c r="G753" s="124">
        <v>94</v>
      </c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</row>
    <row r="754" spans="1:21" s="106" customFormat="1" ht="13.8">
      <c r="A754" s="125"/>
      <c r="B754" s="34">
        <v>44116</v>
      </c>
      <c r="C754" s="124" t="s">
        <v>338</v>
      </c>
      <c r="D754" s="124">
        <v>824.46</v>
      </c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>
        <v>824.46</v>
      </c>
      <c r="U754" s="124"/>
    </row>
    <row r="755" spans="1:21" s="106" customFormat="1" ht="13.8">
      <c r="A755" s="125"/>
      <c r="B755" s="34">
        <v>44117</v>
      </c>
      <c r="C755" s="124" t="s">
        <v>162</v>
      </c>
      <c r="D755" s="124">
        <v>123.95</v>
      </c>
      <c r="E755" s="124"/>
      <c r="F755" s="124">
        <v>123.95</v>
      </c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</row>
    <row r="756" spans="1:21" s="106" customFormat="1" ht="13.8">
      <c r="A756" s="125"/>
      <c r="B756" s="34">
        <v>44117</v>
      </c>
      <c r="C756" s="124" t="s">
        <v>216</v>
      </c>
      <c r="D756" s="124">
        <v>400</v>
      </c>
      <c r="E756" s="124"/>
      <c r="F756" s="124"/>
      <c r="G756" s="124"/>
      <c r="H756" s="124"/>
      <c r="I756" s="124"/>
      <c r="J756" s="124"/>
      <c r="K756" s="124"/>
      <c r="L756" s="124"/>
      <c r="M756" s="124"/>
      <c r="N756" s="124">
        <v>400</v>
      </c>
      <c r="O756" s="124"/>
      <c r="P756" s="124"/>
      <c r="Q756" s="124"/>
      <c r="R756" s="124"/>
      <c r="S756" s="124"/>
      <c r="T756" s="124"/>
      <c r="U756" s="124"/>
    </row>
    <row r="757" spans="1:21" s="106" customFormat="1" ht="13.8">
      <c r="A757" s="125"/>
      <c r="B757" s="34">
        <v>44117</v>
      </c>
      <c r="C757" s="124" t="s">
        <v>57</v>
      </c>
      <c r="D757" s="124">
        <v>7862</v>
      </c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>
        <v>7862</v>
      </c>
    </row>
    <row r="758" spans="1:21" s="106" customFormat="1" ht="13.8">
      <c r="A758" s="125"/>
      <c r="B758" s="34">
        <v>44117</v>
      </c>
      <c r="C758" s="124" t="s">
        <v>192</v>
      </c>
      <c r="D758" s="124">
        <v>99</v>
      </c>
      <c r="E758" s="124"/>
      <c r="F758" s="124">
        <v>99</v>
      </c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</row>
    <row r="759" spans="1:21" s="106" customFormat="1" ht="13.8">
      <c r="A759" s="125"/>
      <c r="B759" s="34">
        <v>44117</v>
      </c>
      <c r="C759" s="124" t="s">
        <v>316</v>
      </c>
      <c r="D759" s="124">
        <v>15</v>
      </c>
      <c r="E759" s="124"/>
      <c r="F759" s="124">
        <v>15</v>
      </c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</row>
    <row r="760" spans="1:21" s="106" customFormat="1" ht="13.8">
      <c r="A760" s="125"/>
      <c r="B760" s="34">
        <v>44117</v>
      </c>
      <c r="C760" s="124" t="s">
        <v>58</v>
      </c>
      <c r="D760" s="124">
        <v>5000</v>
      </c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>
        <v>5000</v>
      </c>
      <c r="U760" s="124"/>
    </row>
    <row r="761" spans="1:21" s="106" customFormat="1" ht="13.8">
      <c r="A761" s="125"/>
      <c r="B761" s="34">
        <v>44119</v>
      </c>
      <c r="C761" s="124" t="s">
        <v>39</v>
      </c>
      <c r="D761" s="124">
        <v>300</v>
      </c>
      <c r="E761" s="124"/>
      <c r="F761" s="124">
        <v>217</v>
      </c>
      <c r="G761" s="124">
        <v>83</v>
      </c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</row>
    <row r="762" spans="1:21" s="106" customFormat="1" ht="13.8">
      <c r="A762" s="125"/>
      <c r="B762" s="34">
        <v>44119</v>
      </c>
      <c r="C762" s="124" t="s">
        <v>337</v>
      </c>
      <c r="D762" s="124">
        <v>200</v>
      </c>
      <c r="E762" s="124"/>
      <c r="F762" s="124">
        <v>200</v>
      </c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</row>
    <row r="763" spans="1:21" s="106" customFormat="1" ht="13.8">
      <c r="A763" s="125"/>
      <c r="B763" s="34">
        <v>44119</v>
      </c>
      <c r="C763" s="124" t="s">
        <v>40</v>
      </c>
      <c r="D763" s="124">
        <v>26</v>
      </c>
      <c r="E763" s="124"/>
      <c r="F763" s="124">
        <v>26</v>
      </c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</row>
    <row r="764" spans="1:21" s="106" customFormat="1" ht="13.8">
      <c r="A764" s="125"/>
      <c r="B764" s="34">
        <v>16</v>
      </c>
      <c r="C764" s="124" t="s">
        <v>336</v>
      </c>
      <c r="D764" s="124">
        <v>138.15</v>
      </c>
      <c r="E764" s="124"/>
      <c r="F764" s="124"/>
      <c r="G764" s="124"/>
      <c r="H764" s="124">
        <v>138.15</v>
      </c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</row>
    <row r="765" spans="1:21" s="106" customFormat="1" ht="13.8">
      <c r="A765" s="125"/>
      <c r="B765" s="34">
        <v>44120</v>
      </c>
      <c r="C765" s="124" t="s">
        <v>325</v>
      </c>
      <c r="D765" s="124">
        <v>7.5</v>
      </c>
      <c r="E765" s="124"/>
      <c r="F765" s="124"/>
      <c r="G765" s="124">
        <v>7.5</v>
      </c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</row>
    <row r="766" spans="1:21" s="106" customFormat="1" ht="13.8">
      <c r="A766" s="125"/>
      <c r="B766" s="34">
        <v>44121</v>
      </c>
      <c r="C766" s="124" t="s">
        <v>41</v>
      </c>
      <c r="D766" s="124">
        <v>182.9</v>
      </c>
      <c r="E766" s="124"/>
      <c r="F766" s="124"/>
      <c r="G766" s="124">
        <v>182.9</v>
      </c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</row>
    <row r="767" spans="1:21" s="106" customFormat="1" ht="13.8">
      <c r="A767" s="125"/>
      <c r="B767" s="34">
        <v>44121</v>
      </c>
      <c r="C767" s="124" t="s">
        <v>192</v>
      </c>
      <c r="D767" s="124">
        <v>443.3</v>
      </c>
      <c r="E767" s="124"/>
      <c r="F767" s="124">
        <v>244.3</v>
      </c>
      <c r="G767" s="124">
        <v>199</v>
      </c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</row>
    <row r="768" spans="1:21" s="106" customFormat="1" ht="13.8">
      <c r="A768" s="125"/>
      <c r="B768" s="34">
        <v>44121</v>
      </c>
      <c r="C768" s="124" t="s">
        <v>325</v>
      </c>
      <c r="D768" s="124">
        <v>72.05</v>
      </c>
      <c r="E768" s="124"/>
      <c r="F768" s="124"/>
      <c r="G768" s="124">
        <v>72.05</v>
      </c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</row>
    <row r="769" spans="1:21" s="106" customFormat="1" ht="13.8">
      <c r="A769" s="125"/>
      <c r="B769" s="34">
        <v>44121</v>
      </c>
      <c r="C769" s="124" t="s">
        <v>186</v>
      </c>
      <c r="D769" s="124">
        <v>-50</v>
      </c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>
        <v>-50</v>
      </c>
      <c r="R769" s="124"/>
      <c r="S769" s="124"/>
      <c r="T769" s="124"/>
      <c r="U769" s="124"/>
    </row>
    <row r="770" spans="1:21" s="106" customFormat="1" ht="13.8">
      <c r="A770" s="125"/>
      <c r="B770" s="34">
        <v>44121</v>
      </c>
      <c r="C770" s="124" t="s">
        <v>39</v>
      </c>
      <c r="D770" s="124">
        <v>304.26</v>
      </c>
      <c r="E770" s="124"/>
      <c r="F770" s="124">
        <v>233</v>
      </c>
      <c r="G770" s="124">
        <v>71.260000000000005</v>
      </c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</row>
    <row r="771" spans="1:21" s="106" customFormat="1" ht="13.8">
      <c r="A771" s="125"/>
      <c r="B771" s="34">
        <v>44121</v>
      </c>
      <c r="C771" s="124" t="s">
        <v>41</v>
      </c>
      <c r="D771" s="124">
        <v>70</v>
      </c>
      <c r="E771" s="124"/>
      <c r="F771" s="124"/>
      <c r="G771" s="124">
        <v>70</v>
      </c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</row>
    <row r="772" spans="1:21" s="106" customFormat="1" ht="13.8">
      <c r="A772" s="125"/>
      <c r="B772" s="34">
        <v>44123</v>
      </c>
      <c r="C772" s="124" t="s">
        <v>325</v>
      </c>
      <c r="D772" s="124">
        <v>84.2</v>
      </c>
      <c r="E772" s="124"/>
      <c r="F772" s="124"/>
      <c r="G772" s="124">
        <v>84.2</v>
      </c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</row>
    <row r="773" spans="1:21" s="106" customFormat="1" ht="13.8">
      <c r="A773" s="125"/>
      <c r="B773" s="34">
        <v>44124</v>
      </c>
      <c r="C773" s="124" t="s">
        <v>335</v>
      </c>
      <c r="D773" s="124">
        <v>136.74</v>
      </c>
      <c r="E773" s="124"/>
      <c r="F773" s="124">
        <v>136.74</v>
      </c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</row>
    <row r="774" spans="1:21" s="106" customFormat="1" ht="13.8">
      <c r="A774" s="125"/>
      <c r="B774" s="34">
        <v>44124</v>
      </c>
      <c r="C774" s="124" t="s">
        <v>334</v>
      </c>
      <c r="D774" s="124">
        <v>137</v>
      </c>
      <c r="E774" s="124"/>
      <c r="F774" s="124">
        <v>137</v>
      </c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</row>
    <row r="775" spans="1:21" s="106" customFormat="1" ht="13.8">
      <c r="A775" s="125"/>
      <c r="B775" s="34">
        <v>44124</v>
      </c>
      <c r="C775" s="124" t="s">
        <v>333</v>
      </c>
      <c r="D775" s="124">
        <v>80</v>
      </c>
      <c r="E775" s="124"/>
      <c r="F775" s="124">
        <v>80</v>
      </c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</row>
    <row r="776" spans="1:21" s="106" customFormat="1" ht="13.8">
      <c r="A776" s="125"/>
      <c r="B776" s="34">
        <v>44125</v>
      </c>
      <c r="C776" s="124" t="s">
        <v>41</v>
      </c>
      <c r="D776" s="124">
        <v>31.45</v>
      </c>
      <c r="E776" s="124"/>
      <c r="F776" s="124"/>
      <c r="G776" s="124">
        <v>31.45</v>
      </c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</row>
    <row r="777" spans="1:21" s="106" customFormat="1" ht="13.8">
      <c r="A777" s="125"/>
      <c r="B777" s="34">
        <v>44125</v>
      </c>
      <c r="C777" s="124" t="s">
        <v>325</v>
      </c>
      <c r="D777" s="124">
        <v>136.94999999999999</v>
      </c>
      <c r="E777" s="124"/>
      <c r="F777" s="124"/>
      <c r="G777" s="124">
        <v>136.94999999999999</v>
      </c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</row>
    <row r="778" spans="1:21" s="106" customFormat="1" ht="13.8">
      <c r="A778" s="125"/>
      <c r="B778" s="34">
        <v>44126</v>
      </c>
      <c r="C778" s="124" t="s">
        <v>332</v>
      </c>
      <c r="D778" s="124">
        <v>450</v>
      </c>
      <c r="E778" s="124"/>
      <c r="F778" s="124">
        <v>450</v>
      </c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</row>
    <row r="779" spans="1:21" s="106" customFormat="1" ht="13.8">
      <c r="A779" s="125"/>
      <c r="B779" s="34">
        <v>44126</v>
      </c>
      <c r="C779" s="124" t="s">
        <v>325</v>
      </c>
      <c r="D779" s="124">
        <v>50</v>
      </c>
      <c r="E779" s="124"/>
      <c r="F779" s="124"/>
      <c r="G779" s="124">
        <v>50</v>
      </c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</row>
    <row r="780" spans="1:21" s="106" customFormat="1" ht="13.8">
      <c r="A780" s="125"/>
      <c r="B780" s="34">
        <v>44126</v>
      </c>
      <c r="C780" s="124" t="s">
        <v>38</v>
      </c>
      <c r="D780" s="124">
        <v>75</v>
      </c>
      <c r="E780" s="124"/>
      <c r="F780" s="124"/>
      <c r="G780" s="124">
        <v>75</v>
      </c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</row>
    <row r="781" spans="1:21" s="106" customFormat="1" ht="13.8">
      <c r="A781" s="125"/>
      <c r="B781" s="34">
        <v>44126</v>
      </c>
      <c r="C781" s="124" t="s">
        <v>325</v>
      </c>
      <c r="D781" s="124">
        <v>34.85</v>
      </c>
      <c r="E781" s="124"/>
      <c r="F781" s="124"/>
      <c r="G781" s="124">
        <v>34.85</v>
      </c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</row>
    <row r="782" spans="1:21" s="106" customFormat="1" ht="13.8">
      <c r="A782" s="125"/>
      <c r="B782" s="34">
        <v>44127</v>
      </c>
      <c r="C782" s="124" t="s">
        <v>331</v>
      </c>
      <c r="D782" s="124">
        <v>1000</v>
      </c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>
        <v>1000</v>
      </c>
      <c r="U782" s="124"/>
    </row>
    <row r="783" spans="1:21" s="106" customFormat="1" ht="13.8">
      <c r="A783" s="125"/>
      <c r="B783" s="34">
        <v>44127</v>
      </c>
      <c r="C783" s="124" t="s">
        <v>330</v>
      </c>
      <c r="D783" s="124">
        <v>3690</v>
      </c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>
        <f>D783</f>
        <v>3690</v>
      </c>
      <c r="P783" s="124"/>
      <c r="Q783" s="124"/>
      <c r="R783" s="124"/>
      <c r="S783" s="124"/>
      <c r="T783" s="124"/>
      <c r="U783" s="124"/>
    </row>
    <row r="784" spans="1:21" s="106" customFormat="1" ht="13.8">
      <c r="A784" s="125"/>
      <c r="B784" s="34">
        <v>44127</v>
      </c>
      <c r="C784" s="124" t="s">
        <v>329</v>
      </c>
      <c r="D784" s="124">
        <v>195.44</v>
      </c>
      <c r="E784" s="124"/>
      <c r="F784" s="124"/>
      <c r="G784" s="124">
        <v>195.44</v>
      </c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</row>
    <row r="785" spans="1:49" s="106" customFormat="1" ht="13.8">
      <c r="A785" s="125"/>
      <c r="B785" s="34">
        <v>44127</v>
      </c>
      <c r="C785" s="124" t="s">
        <v>325</v>
      </c>
      <c r="D785" s="124">
        <v>95.85</v>
      </c>
      <c r="E785" s="124"/>
      <c r="F785" s="124"/>
      <c r="G785" s="124">
        <v>95.85</v>
      </c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</row>
    <row r="786" spans="1:49" s="106" customFormat="1" ht="13.8">
      <c r="A786" s="125"/>
      <c r="B786" s="34">
        <v>44127</v>
      </c>
      <c r="C786" s="124" t="s">
        <v>39</v>
      </c>
      <c r="D786" s="124">
        <v>103.3</v>
      </c>
      <c r="E786" s="124"/>
      <c r="F786" s="124">
        <v>89</v>
      </c>
      <c r="G786" s="124">
        <v>14.3</v>
      </c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</row>
    <row r="787" spans="1:49" s="106" customFormat="1" ht="13.8">
      <c r="A787" s="125"/>
      <c r="B787" s="34">
        <v>44127</v>
      </c>
      <c r="C787" s="124" t="s">
        <v>325</v>
      </c>
      <c r="D787" s="124">
        <f>598.3+693.1</f>
        <v>1291.4000000000001</v>
      </c>
      <c r="E787" s="124"/>
      <c r="F787" s="124"/>
      <c r="G787" s="124">
        <v>161.4</v>
      </c>
      <c r="H787" s="124"/>
      <c r="I787" s="124"/>
      <c r="J787" s="124">
        <v>1100</v>
      </c>
      <c r="K787" s="124"/>
      <c r="L787" s="124">
        <v>30</v>
      </c>
      <c r="M787" s="124"/>
      <c r="N787" s="124"/>
      <c r="O787" s="124"/>
      <c r="P787" s="124"/>
      <c r="Q787" s="124"/>
      <c r="R787" s="124"/>
      <c r="S787" s="124"/>
      <c r="T787" s="124"/>
      <c r="U787" s="124"/>
    </row>
    <row r="788" spans="1:49" s="106" customFormat="1" ht="13.8">
      <c r="A788" s="125"/>
      <c r="B788" s="34">
        <v>44128</v>
      </c>
      <c r="C788" s="124" t="s">
        <v>328</v>
      </c>
      <c r="D788" s="124">
        <v>242</v>
      </c>
      <c r="E788" s="124"/>
      <c r="F788" s="124">
        <v>242</v>
      </c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</row>
    <row r="789" spans="1:49" s="106" customFormat="1" ht="13.8">
      <c r="A789" s="125"/>
      <c r="B789" s="34">
        <v>44130</v>
      </c>
      <c r="C789" s="124" t="s">
        <v>327</v>
      </c>
      <c r="D789" s="124">
        <v>30</v>
      </c>
      <c r="E789" s="124"/>
      <c r="F789" s="124">
        <v>30</v>
      </c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</row>
    <row r="790" spans="1:49" s="106" customFormat="1" ht="13.8">
      <c r="A790" s="125"/>
      <c r="B790" s="34">
        <v>44130</v>
      </c>
      <c r="C790" s="124" t="s">
        <v>326</v>
      </c>
      <c r="D790" s="124">
        <v>275</v>
      </c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>
        <v>275</v>
      </c>
      <c r="S790" s="124"/>
      <c r="T790" s="124"/>
      <c r="U790" s="124"/>
    </row>
    <row r="791" spans="1:49" s="106" customFormat="1" ht="13.8">
      <c r="A791" s="125"/>
      <c r="B791" s="34">
        <v>44130</v>
      </c>
      <c r="C791" s="124" t="s">
        <v>216</v>
      </c>
      <c r="D791" s="124">
        <v>130.44999999999999</v>
      </c>
      <c r="E791" s="124"/>
      <c r="F791" s="124">
        <v>30.45</v>
      </c>
      <c r="G791" s="124"/>
      <c r="H791" s="124"/>
      <c r="I791" s="124"/>
      <c r="J791" s="124"/>
      <c r="K791" s="124"/>
      <c r="L791" s="124">
        <v>100</v>
      </c>
      <c r="M791" s="124"/>
      <c r="N791" s="124"/>
      <c r="O791" s="124"/>
      <c r="P791" s="124"/>
      <c r="Q791" s="124"/>
      <c r="R791" s="124"/>
      <c r="S791" s="124"/>
      <c r="T791" s="124"/>
      <c r="U791" s="124"/>
    </row>
    <row r="792" spans="1:49" s="106" customFormat="1" ht="13.8">
      <c r="A792" s="125"/>
      <c r="B792" s="34">
        <v>44130</v>
      </c>
      <c r="C792" s="124" t="s">
        <v>124</v>
      </c>
      <c r="D792" s="124">
        <v>32.4</v>
      </c>
      <c r="E792" s="124"/>
      <c r="F792" s="124"/>
      <c r="G792" s="124"/>
      <c r="H792" s="124">
        <v>32.4</v>
      </c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</row>
    <row r="793" spans="1:49" s="106" customFormat="1" ht="13.8">
      <c r="A793" s="125"/>
      <c r="B793" s="34">
        <v>44130</v>
      </c>
      <c r="C793" s="124" t="s">
        <v>325</v>
      </c>
      <c r="D793" s="124">
        <v>54</v>
      </c>
      <c r="E793" s="124"/>
      <c r="F793" s="124"/>
      <c r="G793" s="124">
        <v>54</v>
      </c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</row>
    <row r="794" spans="1:49" s="106" customFormat="1" ht="13.8">
      <c r="A794" s="125"/>
      <c r="B794" s="34">
        <v>44130</v>
      </c>
      <c r="C794" s="124" t="s">
        <v>162</v>
      </c>
      <c r="D794" s="124">
        <v>107.5</v>
      </c>
      <c r="E794" s="124"/>
      <c r="F794" s="124">
        <v>68</v>
      </c>
      <c r="G794" s="124"/>
      <c r="H794" s="124"/>
      <c r="I794" s="124"/>
      <c r="J794" s="124"/>
      <c r="K794" s="124"/>
      <c r="L794" s="124"/>
      <c r="M794" s="124"/>
      <c r="N794" s="124">
        <v>39.5</v>
      </c>
      <c r="O794" s="124"/>
      <c r="P794" s="124"/>
      <c r="Q794" s="124"/>
      <c r="R794" s="124"/>
      <c r="S794" s="124"/>
      <c r="T794" s="124"/>
      <c r="U794" s="124"/>
    </row>
    <row r="795" spans="1:49" s="106" customFormat="1" ht="13.8">
      <c r="A795" s="125"/>
      <c r="B795" s="34">
        <v>44131</v>
      </c>
      <c r="C795" s="124" t="s">
        <v>325</v>
      </c>
      <c r="D795" s="124">
        <v>39.85</v>
      </c>
      <c r="E795" s="124"/>
      <c r="F795" s="124"/>
      <c r="G795" s="124">
        <v>39.85</v>
      </c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</row>
    <row r="796" spans="1:49" s="106" customFormat="1" ht="13.8">
      <c r="A796" s="125"/>
      <c r="B796" s="34">
        <v>44131</v>
      </c>
      <c r="C796" s="124" t="s">
        <v>324</v>
      </c>
      <c r="D796" s="124">
        <v>-426.39</v>
      </c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>
        <v>-251</v>
      </c>
      <c r="P796" s="124"/>
      <c r="Q796" s="124"/>
      <c r="R796" s="124"/>
      <c r="S796" s="124"/>
      <c r="T796" s="124"/>
      <c r="U796" s="124"/>
    </row>
    <row r="797" spans="1:49" s="106" customFormat="1" ht="13.8">
      <c r="A797" s="125"/>
      <c r="B797" s="34">
        <v>44132</v>
      </c>
      <c r="C797" s="124" t="s">
        <v>124</v>
      </c>
      <c r="D797" s="124">
        <v>37.1</v>
      </c>
      <c r="E797" s="124"/>
      <c r="F797" s="124"/>
      <c r="G797" s="124"/>
      <c r="H797" s="124"/>
      <c r="I797" s="124">
        <v>37.1</v>
      </c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</row>
    <row r="798" spans="1:49" s="120" customFormat="1" ht="12" customHeight="1">
      <c r="A798" s="60"/>
      <c r="B798" s="248" t="str">
        <f>B679</f>
        <v>oktober</v>
      </c>
      <c r="C798" s="247" t="s">
        <v>36</v>
      </c>
      <c r="D798" s="247">
        <f t="shared" ref="D798:U798" si="37">SUM(D799:D968)</f>
        <v>28000.560000000016</v>
      </c>
      <c r="E798" s="247">
        <f t="shared" si="37"/>
        <v>5661.5800000000008</v>
      </c>
      <c r="F798" s="247">
        <f t="shared" si="37"/>
        <v>19568.3</v>
      </c>
      <c r="G798" s="247">
        <f t="shared" si="37"/>
        <v>8367.6999999999989</v>
      </c>
      <c r="H798" s="247">
        <f t="shared" si="37"/>
        <v>3249.2000000000003</v>
      </c>
      <c r="I798" s="247">
        <f t="shared" si="37"/>
        <v>120</v>
      </c>
      <c r="J798" s="247">
        <f t="shared" si="37"/>
        <v>1320</v>
      </c>
      <c r="K798" s="247">
        <f t="shared" si="37"/>
        <v>1117.7</v>
      </c>
      <c r="L798" s="247">
        <f t="shared" si="37"/>
        <v>3670.14</v>
      </c>
      <c r="M798" s="247">
        <f t="shared" si="37"/>
        <v>22422</v>
      </c>
      <c r="N798" s="247">
        <f t="shared" si="37"/>
        <v>4318.3999999999996</v>
      </c>
      <c r="O798" s="247">
        <f t="shared" si="37"/>
        <v>5321.0599999999995</v>
      </c>
      <c r="P798" s="247">
        <f t="shared" si="37"/>
        <v>2136</v>
      </c>
      <c r="Q798" s="247">
        <f t="shared" si="37"/>
        <v>1306</v>
      </c>
      <c r="R798" s="247">
        <f t="shared" si="37"/>
        <v>8613.82</v>
      </c>
      <c r="S798" s="247">
        <f t="shared" si="37"/>
        <v>117.5</v>
      </c>
      <c r="T798" s="247">
        <f t="shared" si="37"/>
        <v>10597.82</v>
      </c>
      <c r="U798" s="247">
        <f t="shared" si="37"/>
        <v>4062.6000000000004</v>
      </c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05"/>
      <c r="AV798" s="105"/>
      <c r="AW798" s="105"/>
    </row>
    <row r="799" spans="1:49" s="120" customFormat="1" ht="12" customHeight="1">
      <c r="A799" s="60"/>
      <c r="B799" s="248"/>
      <c r="C799" s="247"/>
      <c r="D799" s="247"/>
      <c r="E799" s="247"/>
      <c r="F799" s="247"/>
      <c r="G799" s="247"/>
      <c r="H799" s="247"/>
      <c r="I799" s="247"/>
      <c r="J799" s="247"/>
      <c r="K799" s="247"/>
      <c r="L799" s="247"/>
      <c r="M799" s="247"/>
      <c r="N799" s="247"/>
      <c r="O799" s="247"/>
      <c r="P799" s="247"/>
      <c r="Q799" s="247"/>
      <c r="R799" s="247"/>
      <c r="S799" s="247"/>
      <c r="T799" s="247"/>
      <c r="U799" s="247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05"/>
      <c r="AV799" s="105"/>
      <c r="AW799" s="105"/>
    </row>
    <row r="800" spans="1:49" s="126" customFormat="1" ht="13.5" customHeight="1">
      <c r="A800" s="39"/>
      <c r="B800" s="2948" t="str">
        <f>M2</f>
        <v>november</v>
      </c>
      <c r="C800" s="3003"/>
      <c r="D800" s="36">
        <f t="shared" ref="D800:U800" si="38">SUM(D801:D889)</f>
        <v>12840.150000000001</v>
      </c>
      <c r="E800" s="36">
        <f t="shared" si="38"/>
        <v>1499.48</v>
      </c>
      <c r="F800" s="36">
        <f t="shared" si="38"/>
        <v>7603.0499999999993</v>
      </c>
      <c r="G800" s="36">
        <f t="shared" si="38"/>
        <v>2357.92</v>
      </c>
      <c r="H800" s="36">
        <f t="shared" si="38"/>
        <v>610.65</v>
      </c>
      <c r="I800" s="36">
        <f t="shared" si="38"/>
        <v>60</v>
      </c>
      <c r="J800" s="36">
        <f t="shared" si="38"/>
        <v>0</v>
      </c>
      <c r="K800" s="36">
        <f t="shared" si="38"/>
        <v>179.9</v>
      </c>
      <c r="L800" s="36">
        <f t="shared" si="38"/>
        <v>949.93000000000006</v>
      </c>
      <c r="M800" s="36">
        <f t="shared" si="38"/>
        <v>7474</v>
      </c>
      <c r="N800" s="36">
        <f t="shared" si="38"/>
        <v>1033.75</v>
      </c>
      <c r="O800" s="36">
        <f t="shared" si="38"/>
        <v>1011.98</v>
      </c>
      <c r="P800" s="36">
        <f t="shared" si="38"/>
        <v>564</v>
      </c>
      <c r="Q800" s="36">
        <f t="shared" si="38"/>
        <v>289</v>
      </c>
      <c r="R800" s="36">
        <f t="shared" si="38"/>
        <v>2589.96</v>
      </c>
      <c r="S800" s="36">
        <f t="shared" si="38"/>
        <v>58.75</v>
      </c>
      <c r="T800" s="36">
        <f t="shared" si="38"/>
        <v>4922.9799999999996</v>
      </c>
      <c r="U800" s="36">
        <f t="shared" si="38"/>
        <v>1000</v>
      </c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</row>
    <row r="801" spans="1:21" s="106" customFormat="1" ht="13.8">
      <c r="A801" s="125"/>
      <c r="B801" s="34">
        <v>44134</v>
      </c>
      <c r="C801" s="124" t="s">
        <v>35</v>
      </c>
      <c r="D801" s="124">
        <f>$AI$35</f>
        <v>-11004</v>
      </c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</row>
    <row r="802" spans="1:21" s="106" customFormat="1" ht="13.8">
      <c r="A802" s="125"/>
      <c r="B802" s="34">
        <v>44134</v>
      </c>
      <c r="C802" s="124" t="s">
        <v>34</v>
      </c>
      <c r="D802" s="124">
        <f>$AJ$35</f>
        <v>-7733</v>
      </c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</row>
    <row r="803" spans="1:21" s="106" customFormat="1" ht="13.8">
      <c r="A803" s="125"/>
      <c r="B803" s="34">
        <v>44134</v>
      </c>
      <c r="C803" s="124" t="s">
        <v>33</v>
      </c>
      <c r="D803" s="124">
        <f>-$S$6</f>
        <v>-205</v>
      </c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</row>
    <row r="804" spans="1:21" s="106" customFormat="1" ht="13.8">
      <c r="A804" s="125">
        <v>5</v>
      </c>
      <c r="B804" s="34">
        <v>44134</v>
      </c>
      <c r="C804" s="124" t="s">
        <v>57</v>
      </c>
      <c r="D804" s="124">
        <v>1000</v>
      </c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>
        <v>1000</v>
      </c>
    </row>
    <row r="805" spans="1:21" s="106" customFormat="1" ht="13.8">
      <c r="A805" s="125"/>
      <c r="B805" s="34">
        <v>44134</v>
      </c>
      <c r="C805" s="124" t="s">
        <v>323</v>
      </c>
      <c r="D805" s="124">
        <v>400</v>
      </c>
      <c r="E805" s="124"/>
      <c r="F805" s="124">
        <v>400</v>
      </c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</row>
    <row r="806" spans="1:21" s="106" customFormat="1" ht="13.8">
      <c r="A806" s="125"/>
      <c r="B806" s="34">
        <v>44134</v>
      </c>
      <c r="C806" s="124" t="s">
        <v>322</v>
      </c>
      <c r="D806" s="124">
        <v>89</v>
      </c>
      <c r="E806" s="124"/>
      <c r="F806" s="124">
        <v>89</v>
      </c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</row>
    <row r="807" spans="1:21" s="106" customFormat="1" ht="13.8">
      <c r="A807" s="125"/>
      <c r="B807" s="34">
        <v>44134</v>
      </c>
      <c r="C807" s="124" t="s">
        <v>124</v>
      </c>
      <c r="D807" s="124">
        <v>152.65</v>
      </c>
      <c r="E807" s="124"/>
      <c r="F807" s="124"/>
      <c r="G807" s="124"/>
      <c r="H807" s="124">
        <v>152.65</v>
      </c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</row>
    <row r="808" spans="1:21" s="106" customFormat="1" ht="13.8">
      <c r="A808" s="125"/>
      <c r="B808" s="34">
        <v>44135</v>
      </c>
      <c r="C808" s="124" t="s">
        <v>321</v>
      </c>
      <c r="D808" s="124">
        <v>580</v>
      </c>
      <c r="E808" s="124"/>
      <c r="F808" s="124">
        <v>580</v>
      </c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</row>
    <row r="809" spans="1:21" s="106" customFormat="1" ht="13.8">
      <c r="A809" s="125"/>
      <c r="B809" s="34">
        <v>44135</v>
      </c>
      <c r="C809" s="124" t="s">
        <v>42</v>
      </c>
      <c r="D809" s="124">
        <v>65.95</v>
      </c>
      <c r="E809" s="124"/>
      <c r="F809" s="124"/>
      <c r="G809" s="124">
        <v>65.95</v>
      </c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</row>
    <row r="810" spans="1:21" s="106" customFormat="1" ht="13.8">
      <c r="A810" s="125"/>
      <c r="B810" s="34">
        <v>44136</v>
      </c>
      <c r="C810" s="124" t="s">
        <v>230</v>
      </c>
      <c r="D810" s="124">
        <v>229</v>
      </c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>
        <v>229</v>
      </c>
      <c r="Q810" s="124"/>
      <c r="R810" s="124"/>
      <c r="S810" s="124"/>
      <c r="T810" s="124"/>
      <c r="U810" s="124"/>
    </row>
    <row r="811" spans="1:21" s="106" customFormat="1" ht="13.8">
      <c r="A811" s="125"/>
      <c r="B811" s="34">
        <v>44136</v>
      </c>
      <c r="C811" s="124" t="s">
        <v>42</v>
      </c>
      <c r="D811" s="124">
        <v>191.95</v>
      </c>
      <c r="E811" s="124"/>
      <c r="F811" s="124"/>
      <c r="G811" s="124">
        <v>191.95</v>
      </c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</row>
    <row r="812" spans="1:21" s="106" customFormat="1" ht="13.8">
      <c r="A812" s="125"/>
      <c r="B812" s="34">
        <v>44136</v>
      </c>
      <c r="C812" s="124" t="s">
        <v>38</v>
      </c>
      <c r="D812" s="124">
        <v>27.5</v>
      </c>
      <c r="E812" s="124"/>
      <c r="F812" s="124"/>
      <c r="G812" s="124">
        <v>27.5</v>
      </c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</row>
    <row r="813" spans="1:21" s="106" customFormat="1" ht="13.8">
      <c r="A813" s="125"/>
      <c r="B813" s="34">
        <v>44136</v>
      </c>
      <c r="C813" s="124" t="s">
        <v>320</v>
      </c>
      <c r="D813" s="124">
        <v>40</v>
      </c>
      <c r="E813" s="124"/>
      <c r="F813" s="124">
        <v>40</v>
      </c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</row>
    <row r="814" spans="1:21" s="106" customFormat="1" ht="13.8">
      <c r="A814" s="125"/>
      <c r="B814" s="34">
        <v>44136</v>
      </c>
      <c r="C814" s="124" t="s">
        <v>319</v>
      </c>
      <c r="D814" s="124">
        <v>51</v>
      </c>
      <c r="E814" s="124"/>
      <c r="F814" s="124">
        <v>51</v>
      </c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</row>
    <row r="815" spans="1:21" s="106" customFormat="1" ht="13.8">
      <c r="A815" s="125"/>
      <c r="B815" s="34">
        <v>44137</v>
      </c>
      <c r="C815" s="124" t="s">
        <v>22</v>
      </c>
      <c r="D815" s="124">
        <v>138</v>
      </c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>
        <f>D815</f>
        <v>138</v>
      </c>
      <c r="Q815" s="124"/>
      <c r="R815" s="124"/>
      <c r="S815" s="124"/>
      <c r="T815" s="124"/>
      <c r="U815" s="124"/>
    </row>
    <row r="816" spans="1:21" s="106" customFormat="1" ht="13.8">
      <c r="A816" s="125"/>
      <c r="B816" s="34">
        <v>44137</v>
      </c>
      <c r="C816" s="124" t="s">
        <v>31</v>
      </c>
      <c r="D816" s="124">
        <f>$X$35</f>
        <v>-1151</v>
      </c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1:21" s="106" customFormat="1" ht="13.8">
      <c r="A817" s="125"/>
      <c r="B817" s="34">
        <v>44137</v>
      </c>
      <c r="C817" s="124" t="s">
        <v>30</v>
      </c>
      <c r="D817" s="124">
        <v>7474</v>
      </c>
      <c r="E817" s="124"/>
      <c r="F817" s="124"/>
      <c r="G817" s="124"/>
      <c r="H817" s="124"/>
      <c r="I817" s="124"/>
      <c r="J817" s="124"/>
      <c r="K817" s="124"/>
      <c r="L817" s="124"/>
      <c r="M817" s="124">
        <v>7474</v>
      </c>
      <c r="N817" s="124"/>
      <c r="O817" s="124"/>
      <c r="P817" s="124"/>
      <c r="Q817" s="124"/>
      <c r="R817" s="124"/>
      <c r="S817" s="124"/>
      <c r="T817" s="124"/>
      <c r="U817" s="124"/>
    </row>
    <row r="818" spans="1:21" s="106" customFormat="1" ht="13.8">
      <c r="A818" s="125"/>
      <c r="B818" s="34">
        <v>44137</v>
      </c>
      <c r="C818" s="124" t="s">
        <v>265</v>
      </c>
      <c r="D818" s="124">
        <v>490</v>
      </c>
      <c r="E818" s="124">
        <v>490</v>
      </c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</row>
    <row r="819" spans="1:21" s="106" customFormat="1" ht="13.8">
      <c r="A819" s="125"/>
      <c r="B819" s="34">
        <v>44137</v>
      </c>
      <c r="C819" s="124" t="s">
        <v>125</v>
      </c>
      <c r="D819" s="124">
        <v>119</v>
      </c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>
        <v>119</v>
      </c>
      <c r="R819" s="124"/>
      <c r="S819" s="124"/>
      <c r="T819" s="124"/>
      <c r="U819" s="124"/>
    </row>
    <row r="820" spans="1:21" s="106" customFormat="1" ht="13.8">
      <c r="A820" s="125"/>
      <c r="B820" s="34">
        <v>44137</v>
      </c>
      <c r="C820" s="124" t="s">
        <v>306</v>
      </c>
      <c r="D820" s="124">
        <v>540.25</v>
      </c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>
        <v>540.25</v>
      </c>
      <c r="P820" s="124"/>
      <c r="Q820" s="124"/>
      <c r="R820" s="124"/>
      <c r="S820" s="124"/>
      <c r="T820" s="124"/>
      <c r="U820" s="124"/>
    </row>
    <row r="821" spans="1:21" s="106" customFormat="1" ht="13.8">
      <c r="A821" s="125"/>
      <c r="B821" s="34">
        <v>44137</v>
      </c>
      <c r="C821" s="124" t="s">
        <v>206</v>
      </c>
      <c r="D821" s="124">
        <v>120</v>
      </c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>
        <v>120</v>
      </c>
      <c r="R821" s="124"/>
      <c r="S821" s="124"/>
      <c r="T821" s="124"/>
      <c r="U821" s="124"/>
    </row>
    <row r="822" spans="1:21" s="106" customFormat="1" ht="13.8">
      <c r="A822" s="125"/>
      <c r="B822" s="34">
        <v>44137</v>
      </c>
      <c r="C822" s="124" t="s">
        <v>183</v>
      </c>
      <c r="D822" s="124">
        <v>537.75</v>
      </c>
      <c r="E822" s="124">
        <v>537.75</v>
      </c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</row>
    <row r="823" spans="1:21" s="106" customFormat="1" ht="13.8">
      <c r="A823" s="125"/>
      <c r="B823" s="34">
        <v>44137</v>
      </c>
      <c r="C823" s="124" t="s">
        <v>182</v>
      </c>
      <c r="D823" s="124">
        <f>$AA$35</f>
        <v>284</v>
      </c>
      <c r="E823" s="124">
        <v>284</v>
      </c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</row>
    <row r="824" spans="1:21" s="106" customFormat="1" ht="13.8">
      <c r="A824" s="125"/>
      <c r="B824" s="34">
        <v>44137</v>
      </c>
      <c r="C824" s="124" t="s">
        <v>318</v>
      </c>
      <c r="D824" s="124">
        <v>250</v>
      </c>
      <c r="E824" s="124"/>
      <c r="F824" s="124">
        <v>250</v>
      </c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</row>
    <row r="825" spans="1:21" s="106" customFormat="1" ht="13.8">
      <c r="A825" s="125"/>
      <c r="B825" s="34">
        <v>44137</v>
      </c>
      <c r="C825" s="124" t="s">
        <v>317</v>
      </c>
      <c r="D825" s="124">
        <v>52.95</v>
      </c>
      <c r="E825" s="124"/>
      <c r="F825" s="124">
        <v>52.95</v>
      </c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</row>
    <row r="826" spans="1:21" s="106" customFormat="1" ht="13.8">
      <c r="A826" s="125"/>
      <c r="B826" s="34">
        <v>44137</v>
      </c>
      <c r="C826" s="124" t="s">
        <v>21</v>
      </c>
      <c r="D826" s="124">
        <v>197</v>
      </c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>
        <v>197</v>
      </c>
      <c r="Q826" s="124"/>
      <c r="R826" s="124"/>
      <c r="S826" s="124"/>
      <c r="T826" s="124"/>
      <c r="U826" s="124"/>
    </row>
    <row r="827" spans="1:21" s="106" customFormat="1" ht="13.8">
      <c r="A827" s="125"/>
      <c r="B827" s="34">
        <v>44138</v>
      </c>
      <c r="C827" s="124" t="s">
        <v>316</v>
      </c>
      <c r="D827" s="124">
        <v>89</v>
      </c>
      <c r="E827" s="124"/>
      <c r="F827" s="124">
        <v>89</v>
      </c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</row>
    <row r="828" spans="1:21" s="106" customFormat="1" ht="13.8">
      <c r="A828" s="125"/>
      <c r="B828" s="34">
        <v>44138</v>
      </c>
      <c r="C828" s="124" t="s">
        <v>123</v>
      </c>
      <c r="D828" s="124">
        <v>544.79999999999995</v>
      </c>
      <c r="E828" s="124"/>
      <c r="F828" s="124"/>
      <c r="G828" s="124">
        <v>89.9</v>
      </c>
      <c r="H828" s="124"/>
      <c r="I828" s="124"/>
      <c r="J828" s="124"/>
      <c r="K828" s="124"/>
      <c r="L828" s="124">
        <v>80</v>
      </c>
      <c r="M828" s="124"/>
      <c r="N828" s="124"/>
      <c r="O828" s="124"/>
      <c r="P828" s="124"/>
      <c r="Q828" s="124"/>
      <c r="R828" s="124">
        <v>375</v>
      </c>
      <c r="S828" s="124"/>
      <c r="T828" s="124"/>
      <c r="U828" s="124"/>
    </row>
    <row r="829" spans="1:21" s="106" customFormat="1" ht="13.8">
      <c r="A829" s="125"/>
      <c r="B829" s="34">
        <v>44138</v>
      </c>
      <c r="C829" s="124" t="s">
        <v>42</v>
      </c>
      <c r="D829" s="124">
        <v>75</v>
      </c>
      <c r="E829" s="124"/>
      <c r="F829" s="124"/>
      <c r="G829" s="124">
        <v>75</v>
      </c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</row>
    <row r="830" spans="1:21" s="106" customFormat="1" ht="13.8">
      <c r="A830" s="125"/>
      <c r="B830" s="34">
        <v>44139</v>
      </c>
      <c r="C830" s="124" t="s">
        <v>42</v>
      </c>
      <c r="D830" s="124">
        <v>128.94999999999999</v>
      </c>
      <c r="E830" s="124"/>
      <c r="F830" s="124"/>
      <c r="G830" s="124">
        <v>90</v>
      </c>
      <c r="H830" s="124"/>
      <c r="I830" s="124"/>
      <c r="J830" s="124"/>
      <c r="K830" s="124">
        <v>38.950000000000003</v>
      </c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</row>
    <row r="831" spans="1:21" s="106" customFormat="1" ht="13.8">
      <c r="A831" s="125"/>
      <c r="B831" s="34">
        <v>44139</v>
      </c>
      <c r="C831" s="124" t="s">
        <v>186</v>
      </c>
      <c r="D831" s="124">
        <v>50</v>
      </c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>
        <v>50</v>
      </c>
      <c r="R831" s="124"/>
      <c r="S831" s="124"/>
      <c r="T831" s="124"/>
      <c r="U831" s="124"/>
    </row>
    <row r="832" spans="1:21" s="106" customFormat="1" ht="13.8">
      <c r="A832" s="125"/>
      <c r="B832" s="34">
        <v>44140</v>
      </c>
      <c r="C832" s="124" t="s">
        <v>180</v>
      </c>
      <c r="D832" s="124">
        <v>170.48</v>
      </c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40"/>
      <c r="P832" s="124"/>
      <c r="Q832" s="124"/>
      <c r="R832" s="124"/>
      <c r="S832" s="124"/>
      <c r="T832" s="124">
        <v>170.48</v>
      </c>
      <c r="U832" s="124"/>
    </row>
    <row r="833" spans="1:21" s="106" customFormat="1" ht="13.8">
      <c r="A833" s="125"/>
      <c r="B833" s="34">
        <v>44140</v>
      </c>
      <c r="C833" s="124" t="s">
        <v>20</v>
      </c>
      <c r="D833" s="124">
        <v>187.73</v>
      </c>
      <c r="E833" s="124">
        <v>187.73</v>
      </c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</row>
    <row r="834" spans="1:21" s="106" customFormat="1" ht="13.8">
      <c r="A834" s="125"/>
      <c r="B834" s="34">
        <v>44140</v>
      </c>
      <c r="C834" s="124" t="s">
        <v>18</v>
      </c>
      <c r="D834" s="124">
        <v>452.73</v>
      </c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>
        <v>452.73</v>
      </c>
      <c r="P834" s="124"/>
      <c r="Q834" s="124"/>
      <c r="R834" s="124"/>
      <c r="S834" s="124"/>
      <c r="T834" s="124"/>
      <c r="U834" s="124"/>
    </row>
    <row r="835" spans="1:21" s="106" customFormat="1" ht="13.8">
      <c r="A835" s="125"/>
      <c r="B835" s="34">
        <v>44140</v>
      </c>
      <c r="C835" s="124" t="s">
        <v>227</v>
      </c>
      <c r="D835" s="124">
        <v>4752.5</v>
      </c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40"/>
      <c r="P835" s="124"/>
      <c r="Q835" s="124"/>
      <c r="R835" s="124"/>
      <c r="S835" s="124"/>
      <c r="T835" s="124">
        <v>4752.5</v>
      </c>
      <c r="U835" s="124"/>
    </row>
    <row r="836" spans="1:21" s="106" customFormat="1" ht="13.8">
      <c r="A836" s="125"/>
      <c r="B836" s="34">
        <v>44140</v>
      </c>
      <c r="C836" s="124" t="s">
        <v>40</v>
      </c>
      <c r="D836" s="124">
        <v>223.95</v>
      </c>
      <c r="E836" s="124"/>
      <c r="F836" s="124"/>
      <c r="G836" s="124">
        <v>223.95</v>
      </c>
      <c r="H836" s="124"/>
      <c r="I836" s="124"/>
      <c r="J836" s="124"/>
      <c r="K836" s="124"/>
      <c r="L836" s="124"/>
      <c r="M836" s="124"/>
      <c r="N836" s="124"/>
      <c r="O836" s="140"/>
      <c r="P836" s="124"/>
      <c r="Q836" s="124"/>
      <c r="R836" s="124"/>
      <c r="S836" s="124"/>
      <c r="T836" s="124"/>
      <c r="U836" s="124"/>
    </row>
    <row r="837" spans="1:21" s="106" customFormat="1" ht="13.8">
      <c r="A837" s="125"/>
      <c r="B837" s="34">
        <v>44142</v>
      </c>
      <c r="C837" s="124" t="s">
        <v>123</v>
      </c>
      <c r="D837" s="124">
        <v>160</v>
      </c>
      <c r="E837" s="124"/>
      <c r="F837" s="124"/>
      <c r="G837" s="124"/>
      <c r="H837" s="124"/>
      <c r="I837" s="124"/>
      <c r="J837" s="124"/>
      <c r="K837" s="124"/>
      <c r="L837" s="124">
        <v>160</v>
      </c>
      <c r="M837" s="124"/>
      <c r="N837" s="124"/>
      <c r="O837" s="140"/>
      <c r="P837" s="124"/>
      <c r="Q837" s="124"/>
      <c r="R837" s="124"/>
      <c r="S837" s="124"/>
      <c r="T837" s="124"/>
      <c r="U837" s="124"/>
    </row>
    <row r="838" spans="1:21" s="106" customFormat="1" ht="13.8">
      <c r="A838" s="125"/>
      <c r="B838" s="34">
        <v>44142</v>
      </c>
      <c r="C838" s="124" t="s">
        <v>42</v>
      </c>
      <c r="D838" s="124">
        <v>343.55</v>
      </c>
      <c r="E838" s="124"/>
      <c r="F838" s="124"/>
      <c r="G838" s="124">
        <v>283.55</v>
      </c>
      <c r="H838" s="124"/>
      <c r="I838" s="124"/>
      <c r="J838" s="124"/>
      <c r="K838" s="124"/>
      <c r="L838" s="124">
        <v>60</v>
      </c>
      <c r="M838" s="124"/>
      <c r="N838" s="124"/>
      <c r="O838" s="140"/>
      <c r="P838" s="124"/>
      <c r="Q838" s="124"/>
      <c r="R838" s="124"/>
      <c r="S838" s="124"/>
      <c r="T838" s="124"/>
      <c r="U838" s="124"/>
    </row>
    <row r="839" spans="1:21" s="106" customFormat="1" ht="13.8">
      <c r="A839" s="125"/>
      <c r="B839" s="34">
        <v>44142</v>
      </c>
      <c r="C839" s="124" t="s">
        <v>40</v>
      </c>
      <c r="D839" s="124">
        <v>20</v>
      </c>
      <c r="E839" s="124"/>
      <c r="F839" s="124"/>
      <c r="G839" s="124">
        <v>20</v>
      </c>
      <c r="H839" s="124"/>
      <c r="I839" s="124"/>
      <c r="J839" s="124"/>
      <c r="K839" s="124"/>
      <c r="L839" s="124"/>
      <c r="M839" s="124"/>
      <c r="N839" s="124"/>
      <c r="O839" s="140"/>
      <c r="P839" s="124"/>
      <c r="Q839" s="124"/>
      <c r="R839" s="124"/>
      <c r="S839" s="124"/>
      <c r="T839" s="124"/>
      <c r="U839" s="124"/>
    </row>
    <row r="840" spans="1:21" s="106" customFormat="1" ht="13.8">
      <c r="A840" s="125"/>
      <c r="B840" s="34">
        <v>44144</v>
      </c>
      <c r="C840" s="124" t="s">
        <v>42</v>
      </c>
      <c r="D840" s="124">
        <v>103</v>
      </c>
      <c r="E840" s="124"/>
      <c r="F840" s="124"/>
      <c r="G840" s="124">
        <v>34</v>
      </c>
      <c r="H840" s="124"/>
      <c r="I840" s="124"/>
      <c r="J840" s="124"/>
      <c r="K840" s="124"/>
      <c r="L840" s="124"/>
      <c r="M840" s="124"/>
      <c r="N840" s="124"/>
      <c r="O840" s="140"/>
      <c r="P840" s="124"/>
      <c r="Q840" s="124"/>
      <c r="R840" s="124">
        <v>69</v>
      </c>
      <c r="S840" s="124"/>
      <c r="T840" s="124"/>
      <c r="U840" s="124"/>
    </row>
    <row r="841" spans="1:21" s="106" customFormat="1" ht="13.8">
      <c r="A841" s="125"/>
      <c r="B841" s="34">
        <v>44144</v>
      </c>
      <c r="C841" s="124" t="s">
        <v>24</v>
      </c>
      <c r="D841" s="124">
        <v>58.75</v>
      </c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40"/>
      <c r="P841" s="124"/>
      <c r="Q841" s="124"/>
      <c r="R841" s="124"/>
      <c r="S841" s="124">
        <v>58.75</v>
      </c>
      <c r="T841" s="124"/>
      <c r="U841" s="124"/>
    </row>
    <row r="842" spans="1:21" s="106" customFormat="1" ht="13.8">
      <c r="A842" s="125"/>
      <c r="B842" s="34">
        <v>44144</v>
      </c>
      <c r="C842" s="124" t="s">
        <v>140</v>
      </c>
      <c r="D842" s="124">
        <v>3145.46</v>
      </c>
      <c r="E842" s="124"/>
      <c r="F842" s="124">
        <v>3145.46</v>
      </c>
      <c r="G842" s="124"/>
      <c r="H842" s="124"/>
      <c r="I842" s="124"/>
      <c r="J842" s="124"/>
      <c r="K842" s="124"/>
      <c r="L842" s="124"/>
      <c r="M842" s="124"/>
      <c r="N842" s="124"/>
      <c r="O842" s="140"/>
      <c r="P842" s="124"/>
      <c r="Q842" s="124"/>
      <c r="R842" s="124"/>
      <c r="S842" s="124"/>
      <c r="T842" s="124"/>
      <c r="U842" s="124"/>
    </row>
    <row r="843" spans="1:21" s="106" customFormat="1" ht="13.8">
      <c r="A843" s="125"/>
      <c r="B843" s="34">
        <v>44145</v>
      </c>
      <c r="C843" s="124" t="s">
        <v>315</v>
      </c>
      <c r="D843" s="124">
        <v>807</v>
      </c>
      <c r="E843" s="124"/>
      <c r="F843" s="124">
        <v>787</v>
      </c>
      <c r="G843" s="124"/>
      <c r="H843" s="124"/>
      <c r="I843" s="124"/>
      <c r="J843" s="124"/>
      <c r="K843" s="124"/>
      <c r="L843" s="124">
        <v>20</v>
      </c>
      <c r="M843" s="124"/>
      <c r="N843" s="124"/>
      <c r="O843" s="140"/>
      <c r="P843" s="124"/>
      <c r="Q843" s="124"/>
      <c r="R843" s="124"/>
      <c r="S843" s="124"/>
      <c r="T843" s="124"/>
      <c r="U843" s="124"/>
    </row>
    <row r="844" spans="1:21" s="106" customFormat="1" ht="13.8">
      <c r="A844" s="125"/>
      <c r="B844" s="34">
        <v>44146</v>
      </c>
      <c r="C844" s="124" t="s">
        <v>42</v>
      </c>
      <c r="D844" s="124">
        <v>59.95</v>
      </c>
      <c r="E844" s="124"/>
      <c r="F844" s="124"/>
      <c r="G844" s="124">
        <v>8.9499999999999993</v>
      </c>
      <c r="H844" s="124"/>
      <c r="I844" s="124"/>
      <c r="J844" s="124"/>
      <c r="K844" s="124">
        <v>51</v>
      </c>
      <c r="L844" s="124"/>
      <c r="M844" s="124"/>
      <c r="N844" s="124"/>
      <c r="O844" s="140"/>
      <c r="P844" s="124"/>
      <c r="Q844" s="124"/>
      <c r="R844" s="124"/>
      <c r="S844" s="124"/>
      <c r="T844" s="124"/>
      <c r="U844" s="124"/>
    </row>
    <row r="845" spans="1:21" s="106" customFormat="1" ht="13.8">
      <c r="A845" s="125"/>
      <c r="B845" s="34">
        <v>44146</v>
      </c>
      <c r="C845" s="124" t="s">
        <v>38</v>
      </c>
      <c r="D845" s="124">
        <v>29.95</v>
      </c>
      <c r="E845" s="124"/>
      <c r="F845" s="124">
        <v>29.95</v>
      </c>
      <c r="G845" s="124"/>
      <c r="H845" s="124"/>
      <c r="I845" s="124"/>
      <c r="J845" s="124"/>
      <c r="K845" s="124"/>
      <c r="L845" s="124"/>
      <c r="M845" s="124"/>
      <c r="N845" s="124"/>
      <c r="O845" s="140"/>
      <c r="P845" s="124"/>
      <c r="Q845" s="124"/>
      <c r="R845" s="124"/>
      <c r="S845" s="124"/>
      <c r="T845" s="124"/>
      <c r="U845" s="124"/>
    </row>
    <row r="846" spans="1:21" s="106" customFormat="1" ht="13.8">
      <c r="A846" s="125"/>
      <c r="B846" s="34">
        <v>44147</v>
      </c>
      <c r="C846" s="124" t="s">
        <v>39</v>
      </c>
      <c r="D846" s="124">
        <v>240</v>
      </c>
      <c r="E846" s="124"/>
      <c r="F846" s="124">
        <v>240</v>
      </c>
      <c r="G846" s="124"/>
      <c r="H846" s="124"/>
      <c r="I846" s="124"/>
      <c r="J846" s="124"/>
      <c r="K846" s="124"/>
      <c r="L846" s="124"/>
      <c r="M846" s="124"/>
      <c r="N846" s="124"/>
      <c r="O846" s="140"/>
      <c r="P846" s="124"/>
      <c r="Q846" s="124"/>
      <c r="R846" s="124"/>
      <c r="S846" s="124"/>
      <c r="T846" s="124"/>
      <c r="U846" s="124"/>
    </row>
    <row r="847" spans="1:21" s="106" customFormat="1" ht="13.8">
      <c r="A847" s="125"/>
      <c r="B847" s="34">
        <v>44148</v>
      </c>
      <c r="C847" s="124" t="s">
        <v>314</v>
      </c>
      <c r="D847" s="124">
        <v>45</v>
      </c>
      <c r="E847" s="124"/>
      <c r="F847" s="124"/>
      <c r="G847" s="124">
        <v>45</v>
      </c>
      <c r="H847" s="124"/>
      <c r="I847" s="124"/>
      <c r="J847" s="124"/>
      <c r="K847" s="124"/>
      <c r="L847" s="124"/>
      <c r="M847" s="124"/>
      <c r="N847" s="124"/>
      <c r="O847" s="140"/>
      <c r="P847" s="124"/>
      <c r="Q847" s="124"/>
      <c r="R847" s="124"/>
      <c r="S847" s="124"/>
      <c r="T847" s="124"/>
      <c r="U847" s="124"/>
    </row>
    <row r="848" spans="1:21" s="106" customFormat="1" ht="13.8">
      <c r="A848" s="125"/>
      <c r="B848" s="34">
        <v>44148</v>
      </c>
      <c r="C848" s="124" t="s">
        <v>216</v>
      </c>
      <c r="D848" s="124">
        <v>100</v>
      </c>
      <c r="E848" s="124"/>
      <c r="F848" s="124"/>
      <c r="G848" s="124"/>
      <c r="H848" s="124"/>
      <c r="I848" s="124"/>
      <c r="J848" s="124"/>
      <c r="K848" s="124"/>
      <c r="L848" s="124">
        <v>100</v>
      </c>
      <c r="M848" s="124"/>
      <c r="N848" s="124"/>
      <c r="O848" s="140"/>
      <c r="P848" s="124"/>
      <c r="Q848" s="124"/>
      <c r="R848" s="124"/>
      <c r="S848" s="124"/>
      <c r="T848" s="124"/>
      <c r="U848" s="124"/>
    </row>
    <row r="849" spans="1:21" s="106" customFormat="1" ht="13.8">
      <c r="A849" s="125"/>
      <c r="B849" s="34">
        <v>44148</v>
      </c>
      <c r="C849" s="124" t="s">
        <v>217</v>
      </c>
      <c r="D849" s="124">
        <v>69</v>
      </c>
      <c r="E849" s="124"/>
      <c r="F849" s="124">
        <v>69</v>
      </c>
      <c r="G849" s="124"/>
      <c r="H849" s="124"/>
      <c r="I849" s="124"/>
      <c r="J849" s="124"/>
      <c r="K849" s="124"/>
      <c r="L849" s="124"/>
      <c r="M849" s="124"/>
      <c r="N849" s="124"/>
      <c r="O849" s="140"/>
      <c r="P849" s="124"/>
      <c r="Q849" s="124"/>
      <c r="R849" s="124"/>
      <c r="S849" s="124"/>
      <c r="T849" s="124"/>
      <c r="U849" s="124"/>
    </row>
    <row r="850" spans="1:21" s="106" customFormat="1" ht="13.8">
      <c r="A850" s="125"/>
      <c r="B850" s="34">
        <v>44148</v>
      </c>
      <c r="C850" s="124" t="s">
        <v>40</v>
      </c>
      <c r="D850" s="124">
        <v>41.4</v>
      </c>
      <c r="E850" s="124"/>
      <c r="F850" s="124"/>
      <c r="G850" s="124">
        <v>41.4</v>
      </c>
      <c r="H850" s="124"/>
      <c r="I850" s="124"/>
      <c r="J850" s="124"/>
      <c r="K850" s="124"/>
      <c r="L850" s="124"/>
      <c r="M850" s="124"/>
      <c r="N850" s="124"/>
      <c r="O850" s="140"/>
      <c r="P850" s="124"/>
      <c r="Q850" s="124"/>
      <c r="R850" s="124"/>
      <c r="S850" s="124"/>
      <c r="T850" s="124"/>
      <c r="U850" s="124"/>
    </row>
    <row r="851" spans="1:21" s="106" customFormat="1" ht="13.8">
      <c r="A851" s="125"/>
      <c r="B851" s="34">
        <v>44149</v>
      </c>
      <c r="C851" s="124" t="s">
        <v>42</v>
      </c>
      <c r="D851" s="124">
        <v>20.149999999999999</v>
      </c>
      <c r="E851" s="124"/>
      <c r="F851" s="124"/>
      <c r="G851" s="124">
        <v>20.149999999999999</v>
      </c>
      <c r="H851" s="124"/>
      <c r="I851" s="124"/>
      <c r="J851" s="124"/>
      <c r="K851" s="124"/>
      <c r="L851" s="124"/>
      <c r="M851" s="124"/>
      <c r="N851" s="124"/>
      <c r="O851" s="140"/>
      <c r="P851" s="124"/>
      <c r="Q851" s="124"/>
      <c r="R851" s="124"/>
      <c r="S851" s="124"/>
      <c r="T851" s="124"/>
      <c r="U851" s="124"/>
    </row>
    <row r="852" spans="1:21" s="106" customFormat="1" ht="13.8">
      <c r="A852" s="125"/>
      <c r="B852" s="34">
        <v>44151</v>
      </c>
      <c r="C852" s="124" t="s">
        <v>216</v>
      </c>
      <c r="D852" s="124">
        <v>71.2</v>
      </c>
      <c r="E852" s="124"/>
      <c r="F852" s="124">
        <v>71.2</v>
      </c>
      <c r="G852" s="124"/>
      <c r="H852" s="124"/>
      <c r="I852" s="124"/>
      <c r="J852" s="124"/>
      <c r="K852" s="124"/>
      <c r="L852" s="124"/>
      <c r="M852" s="124"/>
      <c r="N852" s="124"/>
      <c r="O852" s="140"/>
      <c r="P852" s="124"/>
      <c r="Q852" s="124"/>
      <c r="R852" s="124"/>
      <c r="S852" s="124"/>
      <c r="T852" s="124"/>
      <c r="U852" s="124"/>
    </row>
    <row r="853" spans="1:21" s="106" customFormat="1" ht="13.8">
      <c r="A853" s="125" t="s">
        <v>45</v>
      </c>
      <c r="B853" s="34">
        <v>44151</v>
      </c>
      <c r="C853" s="124" t="s">
        <v>42</v>
      </c>
      <c r="D853" s="124">
        <f>152.55+38.95</f>
        <v>191.5</v>
      </c>
      <c r="E853" s="124"/>
      <c r="F853" s="124"/>
      <c r="G853" s="124">
        <v>32.549999999999997</v>
      </c>
      <c r="H853" s="124">
        <v>60</v>
      </c>
      <c r="I853" s="124">
        <v>60</v>
      </c>
      <c r="J853" s="124"/>
      <c r="K853" s="124">
        <v>38.950000000000003</v>
      </c>
      <c r="L853" s="124"/>
      <c r="M853" s="124"/>
      <c r="N853" s="124"/>
      <c r="O853" s="140"/>
      <c r="P853" s="124"/>
      <c r="Q853" s="124"/>
      <c r="R853" s="124"/>
      <c r="S853" s="124"/>
      <c r="T853" s="124"/>
      <c r="U853" s="124"/>
    </row>
    <row r="854" spans="1:21" s="106" customFormat="1" ht="13.8">
      <c r="A854" s="125"/>
      <c r="B854" s="34">
        <v>44151</v>
      </c>
      <c r="C854" s="124" t="s">
        <v>40</v>
      </c>
      <c r="D854" s="124">
        <v>30</v>
      </c>
      <c r="E854" s="124"/>
      <c r="F854" s="124"/>
      <c r="G854" s="124">
        <v>30</v>
      </c>
      <c r="H854" s="124"/>
      <c r="I854" s="124"/>
      <c r="J854" s="124"/>
      <c r="K854" s="124"/>
      <c r="L854" s="124"/>
      <c r="M854" s="124"/>
      <c r="N854" s="124"/>
      <c r="O854" s="140"/>
      <c r="P854" s="124"/>
      <c r="Q854" s="124"/>
      <c r="R854" s="124"/>
      <c r="S854" s="124"/>
      <c r="T854" s="124"/>
      <c r="U854" s="124"/>
    </row>
    <row r="855" spans="1:21" s="106" customFormat="1" ht="13.8">
      <c r="A855" s="125"/>
      <c r="B855" s="34">
        <v>44151</v>
      </c>
      <c r="C855" s="124" t="s">
        <v>238</v>
      </c>
      <c r="D855" s="124">
        <v>19</v>
      </c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40">
        <v>19</v>
      </c>
      <c r="P855" s="124"/>
      <c r="Q855" s="124"/>
      <c r="R855" s="124"/>
      <c r="S855" s="124"/>
      <c r="T855" s="124"/>
      <c r="U855" s="124"/>
    </row>
    <row r="856" spans="1:21" s="106" customFormat="1" ht="13.8">
      <c r="A856" s="125"/>
      <c r="B856" s="34">
        <v>44151</v>
      </c>
      <c r="C856" s="124" t="s">
        <v>313</v>
      </c>
      <c r="D856" s="124">
        <v>383.5</v>
      </c>
      <c r="E856" s="124"/>
      <c r="F856" s="124">
        <v>383.5</v>
      </c>
      <c r="G856" s="124"/>
      <c r="H856" s="124"/>
      <c r="I856" s="124"/>
      <c r="J856" s="124"/>
      <c r="K856" s="124"/>
      <c r="L856" s="124"/>
      <c r="M856" s="124"/>
      <c r="N856" s="124"/>
      <c r="O856" s="140"/>
      <c r="P856" s="124"/>
      <c r="Q856" s="124"/>
      <c r="R856" s="124"/>
      <c r="S856" s="124"/>
      <c r="T856" s="124"/>
      <c r="U856" s="124"/>
    </row>
    <row r="857" spans="1:21" s="106" customFormat="1" ht="13.8">
      <c r="A857" s="125"/>
      <c r="B857" s="34">
        <v>44154</v>
      </c>
      <c r="C857" s="124" t="s">
        <v>39</v>
      </c>
      <c r="D857" s="124">
        <v>138.5</v>
      </c>
      <c r="E857" s="124"/>
      <c r="F857" s="124">
        <v>69</v>
      </c>
      <c r="G857" s="124">
        <v>19.5</v>
      </c>
      <c r="H857" s="124"/>
      <c r="I857" s="124"/>
      <c r="J857" s="124"/>
      <c r="K857" s="124"/>
      <c r="L857" s="124">
        <v>50</v>
      </c>
      <c r="M857" s="124"/>
      <c r="N857" s="124"/>
      <c r="O857" s="140"/>
      <c r="P857" s="124"/>
      <c r="Q857" s="124"/>
      <c r="R857" s="124"/>
      <c r="S857" s="124"/>
      <c r="T857" s="124"/>
      <c r="U857" s="124"/>
    </row>
    <row r="858" spans="1:21" s="106" customFormat="1" ht="13.8">
      <c r="A858" s="125"/>
      <c r="B858" s="34">
        <v>44154</v>
      </c>
      <c r="C858" s="124" t="s">
        <v>41</v>
      </c>
      <c r="D858" s="124">
        <v>60</v>
      </c>
      <c r="E858" s="124"/>
      <c r="F858" s="124"/>
      <c r="G858" s="124">
        <v>60</v>
      </c>
      <c r="H858" s="124"/>
      <c r="I858" s="124"/>
      <c r="J858" s="124"/>
      <c r="K858" s="124"/>
      <c r="L858" s="124"/>
      <c r="M858" s="124"/>
      <c r="N858" s="124"/>
      <c r="O858" s="140"/>
      <c r="P858" s="124"/>
      <c r="Q858" s="124"/>
      <c r="R858" s="124"/>
      <c r="S858" s="124"/>
      <c r="T858" s="124"/>
      <c r="U858" s="124"/>
    </row>
    <row r="859" spans="1:21" s="106" customFormat="1" ht="13.8">
      <c r="A859" s="125"/>
      <c r="B859" s="34">
        <v>44154</v>
      </c>
      <c r="C859" s="124" t="s">
        <v>42</v>
      </c>
      <c r="D859" s="124">
        <v>39.450000000000003</v>
      </c>
      <c r="E859" s="124"/>
      <c r="F859" s="124"/>
      <c r="G859" s="124">
        <v>39.450000000000003</v>
      </c>
      <c r="H859" s="124"/>
      <c r="I859" s="124"/>
      <c r="J859" s="124"/>
      <c r="K859" s="124"/>
      <c r="L859" s="124"/>
      <c r="M859" s="124"/>
      <c r="N859" s="124"/>
      <c r="O859" s="140"/>
      <c r="P859" s="124"/>
      <c r="Q859" s="124"/>
      <c r="R859" s="124"/>
      <c r="S859" s="124"/>
      <c r="T859" s="124"/>
      <c r="U859" s="124"/>
    </row>
    <row r="860" spans="1:21" s="106" customFormat="1" ht="13.8">
      <c r="A860" s="125"/>
      <c r="B860" s="34">
        <v>44154</v>
      </c>
      <c r="C860" s="124" t="s">
        <v>123</v>
      </c>
      <c r="D860" s="124">
        <v>12.95</v>
      </c>
      <c r="E860" s="124"/>
      <c r="F860" s="124"/>
      <c r="G860" s="124">
        <v>12.95</v>
      </c>
      <c r="H860" s="124"/>
      <c r="I860" s="124"/>
      <c r="J860" s="124"/>
      <c r="K860" s="124"/>
      <c r="L860" s="124"/>
      <c r="M860" s="124"/>
      <c r="N860" s="124"/>
      <c r="O860" s="140"/>
      <c r="P860" s="124"/>
      <c r="Q860" s="124"/>
      <c r="R860" s="124"/>
      <c r="S860" s="124"/>
      <c r="T860" s="124"/>
      <c r="U860" s="124"/>
    </row>
    <row r="861" spans="1:21" s="106" customFormat="1" ht="13.8">
      <c r="A861" s="125"/>
      <c r="B861" s="34">
        <v>44154</v>
      </c>
      <c r="C861" s="124" t="s">
        <v>41</v>
      </c>
      <c r="D861" s="124">
        <v>56</v>
      </c>
      <c r="E861" s="124"/>
      <c r="F861" s="124"/>
      <c r="G861" s="124">
        <v>56</v>
      </c>
      <c r="H861" s="124"/>
      <c r="I861" s="124"/>
      <c r="J861" s="124"/>
      <c r="K861" s="124"/>
      <c r="L861" s="124"/>
      <c r="M861" s="124"/>
      <c r="N861" s="124"/>
      <c r="O861" s="140"/>
      <c r="P861" s="124"/>
      <c r="Q861" s="124"/>
      <c r="R861" s="124"/>
      <c r="S861" s="124"/>
      <c r="T861" s="124"/>
      <c r="U861" s="124"/>
    </row>
    <row r="862" spans="1:21" s="106" customFormat="1" ht="13.8">
      <c r="A862" s="125"/>
      <c r="B862" s="34">
        <v>44154</v>
      </c>
      <c r="C862" s="124" t="s">
        <v>162</v>
      </c>
      <c r="D862" s="124">
        <v>38.75</v>
      </c>
      <c r="E862" s="124"/>
      <c r="F862" s="124"/>
      <c r="G862" s="124"/>
      <c r="H862" s="124"/>
      <c r="I862" s="124"/>
      <c r="J862" s="124"/>
      <c r="K862" s="124"/>
      <c r="L862" s="124"/>
      <c r="M862" s="124"/>
      <c r="N862" s="124">
        <v>38.75</v>
      </c>
      <c r="O862" s="140"/>
      <c r="P862" s="124"/>
      <c r="Q862" s="124"/>
      <c r="R862" s="124"/>
      <c r="S862" s="124"/>
      <c r="T862" s="124"/>
      <c r="U862" s="124"/>
    </row>
    <row r="863" spans="1:21" s="106" customFormat="1" ht="13.8">
      <c r="A863" s="125"/>
      <c r="B863" s="34">
        <v>44155</v>
      </c>
      <c r="C863" s="124" t="s">
        <v>39</v>
      </c>
      <c r="D863" s="124">
        <v>85.22</v>
      </c>
      <c r="E863" s="124"/>
      <c r="F863" s="124">
        <v>19</v>
      </c>
      <c r="G863" s="124">
        <v>66.22</v>
      </c>
      <c r="H863" s="124"/>
      <c r="I863" s="124"/>
      <c r="J863" s="124"/>
      <c r="K863" s="124"/>
      <c r="L863" s="124"/>
      <c r="M863" s="124"/>
      <c r="N863" s="124"/>
      <c r="O863" s="140"/>
      <c r="P863" s="124"/>
      <c r="Q863" s="124"/>
      <c r="R863" s="124"/>
      <c r="S863" s="124"/>
      <c r="T863" s="124"/>
      <c r="U863" s="124"/>
    </row>
    <row r="864" spans="1:21" s="106" customFormat="1" ht="13.8">
      <c r="A864" s="125"/>
      <c r="B864" s="34">
        <v>44156</v>
      </c>
      <c r="C864" s="124" t="s">
        <v>42</v>
      </c>
      <c r="D864" s="124">
        <v>471.95</v>
      </c>
      <c r="E864" s="124"/>
      <c r="F864" s="124">
        <v>49</v>
      </c>
      <c r="G864" s="124">
        <v>422.95</v>
      </c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</row>
    <row r="865" spans="1:21" s="106" customFormat="1" ht="13.8">
      <c r="A865" s="125"/>
      <c r="B865" s="34">
        <v>44157</v>
      </c>
      <c r="C865" s="124" t="s">
        <v>216</v>
      </c>
      <c r="D865" s="124">
        <v>475</v>
      </c>
      <c r="E865" s="124"/>
      <c r="F865" s="124">
        <v>15</v>
      </c>
      <c r="G865" s="124"/>
      <c r="H865" s="124"/>
      <c r="I865" s="124"/>
      <c r="J865" s="124"/>
      <c r="K865" s="124"/>
      <c r="L865" s="124">
        <v>160</v>
      </c>
      <c r="M865" s="124"/>
      <c r="N865" s="124">
        <v>300</v>
      </c>
      <c r="O865" s="124"/>
      <c r="P865" s="124"/>
      <c r="Q865" s="124"/>
      <c r="R865" s="124"/>
      <c r="S865" s="124"/>
      <c r="T865" s="124"/>
      <c r="U865" s="124"/>
    </row>
    <row r="866" spans="1:21" s="106" customFormat="1" ht="13.8">
      <c r="A866" s="125"/>
      <c r="B866" s="34">
        <v>44157</v>
      </c>
      <c r="C866" s="124" t="s">
        <v>312</v>
      </c>
      <c r="D866" s="124">
        <v>30</v>
      </c>
      <c r="E866" s="124"/>
      <c r="F866" s="124">
        <v>30</v>
      </c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</row>
    <row r="867" spans="1:21" s="106" customFormat="1" ht="13.8">
      <c r="A867" s="125"/>
      <c r="B867" s="34">
        <v>44158</v>
      </c>
      <c r="C867" s="124" t="s">
        <v>216</v>
      </c>
      <c r="D867" s="124">
        <v>328</v>
      </c>
      <c r="E867" s="124"/>
      <c r="F867" s="124"/>
      <c r="G867" s="124"/>
      <c r="H867" s="124"/>
      <c r="I867" s="124"/>
      <c r="J867" s="124"/>
      <c r="K867" s="124"/>
      <c r="L867" s="124"/>
      <c r="M867" s="124"/>
      <c r="N867" s="124">
        <v>328</v>
      </c>
      <c r="O867" s="124"/>
      <c r="P867" s="124"/>
      <c r="Q867" s="124"/>
      <c r="R867" s="124"/>
      <c r="S867" s="124"/>
      <c r="T867" s="124"/>
      <c r="U867" s="124"/>
    </row>
    <row r="868" spans="1:21" s="106" customFormat="1" ht="13.8">
      <c r="A868" s="125"/>
      <c r="B868" s="34">
        <v>44158</v>
      </c>
      <c r="C868" s="124" t="s">
        <v>42</v>
      </c>
      <c r="D868" s="124">
        <v>98.45</v>
      </c>
      <c r="E868" s="124"/>
      <c r="F868" s="124">
        <v>47.45</v>
      </c>
      <c r="G868" s="124"/>
      <c r="H868" s="124"/>
      <c r="I868" s="124"/>
      <c r="J868" s="124"/>
      <c r="K868" s="124">
        <v>51</v>
      </c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</row>
    <row r="869" spans="1:21" s="106" customFormat="1" ht="13.8">
      <c r="A869" s="125"/>
      <c r="B869" s="34">
        <v>44158</v>
      </c>
      <c r="C869" s="124" t="s">
        <v>162</v>
      </c>
      <c r="D869" s="124">
        <v>167</v>
      </c>
      <c r="E869" s="124"/>
      <c r="F869" s="124"/>
      <c r="G869" s="124"/>
      <c r="H869" s="124"/>
      <c r="I869" s="124"/>
      <c r="J869" s="124"/>
      <c r="K869" s="124"/>
      <c r="L869" s="124"/>
      <c r="M869" s="124"/>
      <c r="N869" s="124">
        <v>167</v>
      </c>
      <c r="O869" s="124"/>
      <c r="P869" s="124"/>
      <c r="Q869" s="124"/>
      <c r="R869" s="124"/>
      <c r="S869" s="124"/>
      <c r="T869" s="124"/>
      <c r="U869" s="124"/>
    </row>
    <row r="870" spans="1:21" s="106" customFormat="1" ht="13.8">
      <c r="A870" s="125"/>
      <c r="B870" s="34">
        <v>44159</v>
      </c>
      <c r="C870" s="124" t="s">
        <v>192</v>
      </c>
      <c r="D870" s="124">
        <v>80</v>
      </c>
      <c r="E870" s="124"/>
      <c r="F870" s="124">
        <v>80</v>
      </c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</row>
    <row r="871" spans="1:21" s="106" customFormat="1" ht="13.8">
      <c r="A871" s="125"/>
      <c r="B871" s="34">
        <v>44159</v>
      </c>
      <c r="C871" s="124" t="s">
        <v>216</v>
      </c>
      <c r="D871" s="124">
        <v>200</v>
      </c>
      <c r="E871" s="124"/>
      <c r="F871" s="124"/>
      <c r="G871" s="124"/>
      <c r="H871" s="124"/>
      <c r="I871" s="124"/>
      <c r="J871" s="124"/>
      <c r="K871" s="124"/>
      <c r="L871" s="124"/>
      <c r="M871" s="124"/>
      <c r="N871" s="124">
        <v>200</v>
      </c>
      <c r="O871" s="124"/>
      <c r="P871" s="124"/>
      <c r="Q871" s="124"/>
      <c r="R871" s="124"/>
      <c r="S871" s="124"/>
      <c r="T871" s="124"/>
      <c r="U871" s="124"/>
    </row>
    <row r="872" spans="1:21" s="106" customFormat="1" ht="13.8">
      <c r="A872" s="125"/>
      <c r="B872" s="34">
        <v>44159</v>
      </c>
      <c r="C872" s="124" t="s">
        <v>217</v>
      </c>
      <c r="D872" s="124">
        <v>46</v>
      </c>
      <c r="E872" s="124"/>
      <c r="F872" s="124"/>
      <c r="G872" s="124">
        <v>46</v>
      </c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</row>
    <row r="873" spans="1:21" s="106" customFormat="1" ht="13.8">
      <c r="A873" s="125"/>
      <c r="B873" s="34">
        <v>44159</v>
      </c>
      <c r="C873" s="124" t="s">
        <v>311</v>
      </c>
      <c r="D873" s="124">
        <v>1500</v>
      </c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>
        <v>1500</v>
      </c>
      <c r="S873" s="124"/>
      <c r="T873" s="124"/>
      <c r="U873" s="124"/>
    </row>
    <row r="874" spans="1:21" s="106" customFormat="1" ht="13.8">
      <c r="A874" s="125"/>
      <c r="B874" s="34">
        <v>44160</v>
      </c>
      <c r="C874" s="124" t="s">
        <v>38</v>
      </c>
      <c r="D874" s="124">
        <v>129.94999999999999</v>
      </c>
      <c r="E874" s="124"/>
      <c r="F874" s="124"/>
      <c r="G874" s="124">
        <v>129.94999999999999</v>
      </c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</row>
    <row r="875" spans="1:21" s="106" customFormat="1" ht="13.8">
      <c r="A875" s="125"/>
      <c r="B875" s="34">
        <v>44160</v>
      </c>
      <c r="C875" s="124" t="s">
        <v>42</v>
      </c>
      <c r="D875" s="124">
        <v>62.95</v>
      </c>
      <c r="E875" s="124"/>
      <c r="F875" s="124"/>
      <c r="G875" s="124">
        <v>62.95</v>
      </c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</row>
    <row r="876" spans="1:21" s="106" customFormat="1" ht="13.8">
      <c r="A876" s="125"/>
      <c r="B876" s="34">
        <v>44160</v>
      </c>
      <c r="C876" s="124" t="s">
        <v>303</v>
      </c>
      <c r="D876" s="124">
        <v>264.94</v>
      </c>
      <c r="E876" s="124"/>
      <c r="F876" s="124"/>
      <c r="G876" s="124"/>
      <c r="H876" s="124"/>
      <c r="I876" s="124"/>
      <c r="J876" s="124"/>
      <c r="K876" s="124"/>
      <c r="L876" s="124">
        <v>264.94</v>
      </c>
      <c r="M876" s="124"/>
      <c r="N876" s="124"/>
      <c r="O876" s="124"/>
      <c r="P876" s="124"/>
      <c r="Q876" s="124"/>
      <c r="R876" s="124"/>
      <c r="S876" s="124"/>
      <c r="T876" s="124"/>
      <c r="U876" s="124"/>
    </row>
    <row r="877" spans="1:21" s="106" customFormat="1" ht="13.8">
      <c r="A877" s="125"/>
      <c r="B877" s="34">
        <v>44160</v>
      </c>
      <c r="C877" s="124" t="s">
        <v>302</v>
      </c>
      <c r="D877" s="124">
        <v>54.99</v>
      </c>
      <c r="E877" s="124"/>
      <c r="F877" s="124"/>
      <c r="G877" s="124"/>
      <c r="H877" s="124"/>
      <c r="I877" s="124"/>
      <c r="J877" s="124"/>
      <c r="K877" s="124"/>
      <c r="L877" s="124">
        <v>54.99</v>
      </c>
      <c r="M877" s="124"/>
      <c r="N877" s="124"/>
      <c r="O877" s="124"/>
      <c r="P877" s="124"/>
      <c r="Q877" s="124"/>
      <c r="R877" s="124"/>
      <c r="S877" s="124"/>
      <c r="T877" s="124"/>
      <c r="U877" s="124"/>
    </row>
    <row r="878" spans="1:21" s="106" customFormat="1" ht="13.8">
      <c r="A878" s="125"/>
      <c r="B878" s="34">
        <v>44161</v>
      </c>
      <c r="C878" s="124" t="s">
        <v>254</v>
      </c>
      <c r="D878" s="124">
        <v>447.96</v>
      </c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>
        <v>447.96</v>
      </c>
      <c r="S878" s="124"/>
      <c r="T878" s="124"/>
      <c r="U878" s="124"/>
    </row>
    <row r="879" spans="1:21" s="106" customFormat="1" ht="13.8">
      <c r="A879" s="125"/>
      <c r="B879" s="34">
        <v>44161</v>
      </c>
      <c r="C879" s="124" t="s">
        <v>217</v>
      </c>
      <c r="D879" s="124">
        <v>24</v>
      </c>
      <c r="E879" s="124"/>
      <c r="F879" s="124"/>
      <c r="G879" s="124">
        <v>24</v>
      </c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</row>
    <row r="880" spans="1:21" s="106" customFormat="1" ht="13.8">
      <c r="A880" s="125"/>
      <c r="B880" s="34">
        <v>44161</v>
      </c>
      <c r="C880" s="124" t="s">
        <v>39</v>
      </c>
      <c r="D880" s="124">
        <v>26.5</v>
      </c>
      <c r="E880" s="124"/>
      <c r="F880" s="124"/>
      <c r="G880" s="124">
        <v>26.5</v>
      </c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</row>
    <row r="881" spans="1:49" s="106" customFormat="1" ht="13.8">
      <c r="A881" s="125"/>
      <c r="B881" s="34">
        <v>44161</v>
      </c>
      <c r="C881" s="124" t="s">
        <v>140</v>
      </c>
      <c r="D881" s="124">
        <v>995.54</v>
      </c>
      <c r="E881" s="124"/>
      <c r="F881" s="124">
        <v>995.54</v>
      </c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</row>
    <row r="882" spans="1:49" s="106" customFormat="1" ht="13.8">
      <c r="A882" s="125"/>
      <c r="B882" s="34">
        <v>44162</v>
      </c>
      <c r="C882" s="124" t="s">
        <v>124</v>
      </c>
      <c r="D882" s="124">
        <v>398</v>
      </c>
      <c r="E882" s="124"/>
      <c r="F882" s="124"/>
      <c r="G882" s="124"/>
      <c r="H882" s="124">
        <v>398</v>
      </c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</row>
    <row r="883" spans="1:49" s="106" customFormat="1" ht="13.8">
      <c r="A883" s="125"/>
      <c r="B883" s="34">
        <v>44162</v>
      </c>
      <c r="C883" s="124" t="s">
        <v>42</v>
      </c>
      <c r="D883" s="124">
        <v>111.6</v>
      </c>
      <c r="E883" s="124"/>
      <c r="F883" s="124"/>
      <c r="G883" s="124">
        <v>111.6</v>
      </c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</row>
    <row r="884" spans="1:49" s="106" customFormat="1" ht="13.8">
      <c r="A884" s="125"/>
      <c r="B884" s="34">
        <v>44163</v>
      </c>
      <c r="C884" s="124" t="s">
        <v>123</v>
      </c>
      <c r="D884" s="124">
        <v>209.9</v>
      </c>
      <c r="E884" s="124"/>
      <c r="F884" s="124">
        <v>20</v>
      </c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>
        <v>198</v>
      </c>
      <c r="S884" s="124"/>
      <c r="T884" s="124"/>
      <c r="U884" s="124"/>
    </row>
    <row r="885" spans="1:49" s="106" customFormat="1" ht="13.8">
      <c r="A885" s="125"/>
      <c r="B885" s="34">
        <v>44163</v>
      </c>
      <c r="C885" s="124" t="s">
        <v>310</v>
      </c>
      <c r="D885" s="124">
        <v>296</v>
      </c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</row>
    <row r="886" spans="1:49" s="106" customFormat="1" ht="13.8">
      <c r="A886" s="125"/>
      <c r="B886" s="34">
        <v>44163</v>
      </c>
      <c r="C886" s="124" t="s">
        <v>307</v>
      </c>
      <c r="D886" s="124">
        <v>40</v>
      </c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</row>
    <row r="887" spans="1:49" s="106" customFormat="1" ht="13.8">
      <c r="A887" s="125"/>
      <c r="B887" s="34">
        <v>44163</v>
      </c>
      <c r="C887" s="124" t="s">
        <v>309</v>
      </c>
      <c r="D887" s="124">
        <v>120</v>
      </c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</row>
    <row r="888" spans="1:49" s="106" customFormat="1" ht="13.8">
      <c r="A888" s="125"/>
      <c r="B888" s="34">
        <v>44163</v>
      </c>
      <c r="C888" s="124" t="s">
        <v>308</v>
      </c>
      <c r="D888" s="124">
        <v>160</v>
      </c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</row>
    <row r="889" spans="1:49" s="106" customFormat="1" ht="13.8">
      <c r="A889" s="125"/>
      <c r="B889" s="34">
        <v>44163</v>
      </c>
      <c r="C889" s="124" t="s">
        <v>307</v>
      </c>
      <c r="D889" s="124">
        <v>120</v>
      </c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</row>
    <row r="890" spans="1:49" s="120" customFormat="1" ht="12" customHeight="1">
      <c r="A890" s="60"/>
      <c r="B890" s="248" t="str">
        <f>B800</f>
        <v>november</v>
      </c>
      <c r="C890" s="247" t="s">
        <v>36</v>
      </c>
      <c r="D890" s="247">
        <f t="shared" ref="D890:U890" si="39">SUM(D891:D891)</f>
        <v>0</v>
      </c>
      <c r="E890" s="247">
        <f t="shared" si="39"/>
        <v>0</v>
      </c>
      <c r="F890" s="247">
        <f t="shared" si="39"/>
        <v>0</v>
      </c>
      <c r="G890" s="247">
        <f t="shared" si="39"/>
        <v>0</v>
      </c>
      <c r="H890" s="247">
        <f t="shared" si="39"/>
        <v>0</v>
      </c>
      <c r="I890" s="247">
        <f t="shared" si="39"/>
        <v>0</v>
      </c>
      <c r="J890" s="247">
        <f t="shared" si="39"/>
        <v>0</v>
      </c>
      <c r="K890" s="247">
        <f t="shared" si="39"/>
        <v>0</v>
      </c>
      <c r="L890" s="247">
        <f t="shared" si="39"/>
        <v>0</v>
      </c>
      <c r="M890" s="247">
        <f t="shared" si="39"/>
        <v>0</v>
      </c>
      <c r="N890" s="247">
        <f t="shared" si="39"/>
        <v>0</v>
      </c>
      <c r="O890" s="247">
        <f t="shared" si="39"/>
        <v>0</v>
      </c>
      <c r="P890" s="247">
        <f t="shared" si="39"/>
        <v>0</v>
      </c>
      <c r="Q890" s="247">
        <f t="shared" si="39"/>
        <v>0</v>
      </c>
      <c r="R890" s="247">
        <f t="shared" si="39"/>
        <v>0</v>
      </c>
      <c r="S890" s="247">
        <f t="shared" si="39"/>
        <v>0</v>
      </c>
      <c r="T890" s="247">
        <f t="shared" si="39"/>
        <v>0</v>
      </c>
      <c r="U890" s="247">
        <f t="shared" si="39"/>
        <v>0</v>
      </c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  <c r="AP890" s="105"/>
      <c r="AQ890" s="105"/>
      <c r="AR890" s="105"/>
      <c r="AS890" s="105"/>
      <c r="AT890" s="105"/>
      <c r="AU890" s="105"/>
      <c r="AV890" s="105"/>
      <c r="AW890" s="105"/>
    </row>
    <row r="891" spans="1:49" s="120" customFormat="1" ht="12" customHeight="1">
      <c r="A891" s="60"/>
      <c r="B891" s="248"/>
      <c r="C891" s="247"/>
      <c r="D891" s="247"/>
      <c r="E891" s="247"/>
      <c r="F891" s="247"/>
      <c r="G891" s="247"/>
      <c r="H891" s="247"/>
      <c r="I891" s="247"/>
      <c r="J891" s="247"/>
      <c r="K891" s="247"/>
      <c r="L891" s="247"/>
      <c r="M891" s="247"/>
      <c r="N891" s="247"/>
      <c r="O891" s="247"/>
      <c r="P891" s="247"/>
      <c r="Q891" s="247"/>
      <c r="R891" s="247"/>
      <c r="S891" s="247"/>
      <c r="T891" s="247"/>
      <c r="U891" s="247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  <c r="AP891" s="105"/>
      <c r="AQ891" s="105"/>
      <c r="AR891" s="105"/>
      <c r="AS891" s="105"/>
      <c r="AT891" s="105"/>
      <c r="AU891" s="105"/>
      <c r="AV891" s="105"/>
      <c r="AW891" s="105"/>
    </row>
    <row r="892" spans="1:49" s="126" customFormat="1" ht="13.5" customHeight="1">
      <c r="A892" s="39"/>
      <c r="B892" s="2948" t="str">
        <f>N2</f>
        <v>december</v>
      </c>
      <c r="C892" s="3003"/>
      <c r="D892" s="36">
        <f t="shared" ref="D892:U892" si="40">SUM(D893:D965)</f>
        <v>1160.1299999999958</v>
      </c>
      <c r="E892" s="36">
        <f t="shared" si="40"/>
        <v>1331.31</v>
      </c>
      <c r="F892" s="36">
        <f t="shared" si="40"/>
        <v>3324.66</v>
      </c>
      <c r="G892" s="36">
        <f t="shared" si="40"/>
        <v>1825.9300000000003</v>
      </c>
      <c r="H892" s="36">
        <f t="shared" si="40"/>
        <v>1013.9499999999999</v>
      </c>
      <c r="I892" s="36">
        <f t="shared" si="40"/>
        <v>0</v>
      </c>
      <c r="J892" s="36">
        <f t="shared" si="40"/>
        <v>660</v>
      </c>
      <c r="K892" s="36">
        <f t="shared" si="40"/>
        <v>378.95</v>
      </c>
      <c r="L892" s="36">
        <f t="shared" si="40"/>
        <v>885.14</v>
      </c>
      <c r="M892" s="36">
        <f t="shared" si="40"/>
        <v>3737</v>
      </c>
      <c r="N892" s="36">
        <f t="shared" si="40"/>
        <v>1125.45</v>
      </c>
      <c r="O892" s="36">
        <f t="shared" si="40"/>
        <v>2792.1099999999997</v>
      </c>
      <c r="P892" s="36">
        <f t="shared" si="40"/>
        <v>504</v>
      </c>
      <c r="Q892" s="36">
        <f t="shared" si="40"/>
        <v>364</v>
      </c>
      <c r="R892" s="36">
        <f t="shared" si="40"/>
        <v>1716.95</v>
      </c>
      <c r="S892" s="36">
        <f t="shared" si="40"/>
        <v>0</v>
      </c>
      <c r="T892" s="36">
        <f t="shared" si="40"/>
        <v>375.93</v>
      </c>
      <c r="U892" s="36">
        <f t="shared" si="40"/>
        <v>1031.3</v>
      </c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</row>
    <row r="893" spans="1:49" s="106" customFormat="1" ht="13.8">
      <c r="A893" s="125"/>
      <c r="B893" s="34">
        <v>44165</v>
      </c>
      <c r="C893" s="124" t="s">
        <v>35</v>
      </c>
      <c r="D893" s="124">
        <v>-11004</v>
      </c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40"/>
      <c r="P893" s="124"/>
      <c r="Q893" s="124"/>
      <c r="R893" s="124"/>
      <c r="S893" s="124"/>
      <c r="T893" s="124"/>
      <c r="U893" s="124"/>
    </row>
    <row r="894" spans="1:49" s="106" customFormat="1" ht="13.8">
      <c r="A894" s="125"/>
      <c r="B894" s="34">
        <v>44165</v>
      </c>
      <c r="C894" s="124" t="s">
        <v>34</v>
      </c>
      <c r="D894" s="124">
        <v>-7733</v>
      </c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40"/>
      <c r="P894" s="124"/>
      <c r="Q894" s="124"/>
      <c r="R894" s="124"/>
      <c r="S894" s="124"/>
      <c r="T894" s="124"/>
      <c r="U894" s="124"/>
    </row>
    <row r="895" spans="1:49" s="106" customFormat="1" ht="13.8">
      <c r="A895" s="125"/>
      <c r="B895" s="34">
        <v>44165</v>
      </c>
      <c r="C895" s="124" t="s">
        <v>33</v>
      </c>
      <c r="D895" s="124">
        <v>-205</v>
      </c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40"/>
      <c r="P895" s="124"/>
      <c r="Q895" s="124"/>
      <c r="R895" s="124"/>
      <c r="S895" s="124"/>
      <c r="T895" s="124"/>
      <c r="U895" s="124"/>
    </row>
    <row r="896" spans="1:49" s="106" customFormat="1" ht="13.8">
      <c r="A896" s="125">
        <v>5</v>
      </c>
      <c r="B896" s="34">
        <v>44165</v>
      </c>
      <c r="C896" s="124" t="s">
        <v>57</v>
      </c>
      <c r="D896" s="124">
        <v>1000</v>
      </c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40"/>
      <c r="P896" s="124"/>
      <c r="Q896" s="124"/>
      <c r="R896" s="124"/>
      <c r="S896" s="124"/>
      <c r="T896" s="124"/>
      <c r="U896" s="124">
        <v>1000</v>
      </c>
    </row>
    <row r="897" spans="1:21" s="106" customFormat="1" ht="13.8">
      <c r="A897" s="125"/>
      <c r="B897" s="34">
        <v>44165</v>
      </c>
      <c r="C897" s="124" t="s">
        <v>162</v>
      </c>
      <c r="D897" s="124">
        <v>49.5</v>
      </c>
      <c r="E897" s="124"/>
      <c r="F897" s="124"/>
      <c r="G897" s="124"/>
      <c r="H897" s="124"/>
      <c r="I897" s="124"/>
      <c r="J897" s="124"/>
      <c r="K897" s="124"/>
      <c r="L897" s="124"/>
      <c r="M897" s="124"/>
      <c r="N897" s="124">
        <v>49.5</v>
      </c>
      <c r="O897" s="140"/>
      <c r="P897" s="124"/>
      <c r="Q897" s="124"/>
      <c r="R897" s="124"/>
      <c r="S897" s="124"/>
      <c r="T897" s="124"/>
      <c r="U897" s="124"/>
    </row>
    <row r="898" spans="1:21" s="106" customFormat="1" ht="13.8">
      <c r="A898" s="125"/>
      <c r="B898" s="34">
        <v>44165</v>
      </c>
      <c r="C898" s="124" t="s">
        <v>42</v>
      </c>
      <c r="D898" s="124">
        <v>89.5</v>
      </c>
      <c r="E898" s="124"/>
      <c r="F898" s="124"/>
      <c r="G898" s="124">
        <v>49.5</v>
      </c>
      <c r="H898" s="124"/>
      <c r="I898" s="124"/>
      <c r="J898" s="124"/>
      <c r="K898" s="124">
        <v>40</v>
      </c>
      <c r="L898" s="124"/>
      <c r="M898" s="124"/>
      <c r="N898" s="124"/>
      <c r="O898" s="140"/>
      <c r="P898" s="124"/>
      <c r="Q898" s="124"/>
      <c r="R898" s="124"/>
      <c r="S898" s="124"/>
      <c r="T898" s="124"/>
      <c r="U898" s="124"/>
    </row>
    <row r="899" spans="1:21" s="106" customFormat="1" ht="13.8">
      <c r="A899" s="125"/>
      <c r="B899" s="34">
        <v>44165</v>
      </c>
      <c r="C899" s="124" t="s">
        <v>42</v>
      </c>
      <c r="D899" s="124">
        <v>191.1</v>
      </c>
      <c r="E899" s="124"/>
      <c r="F899" s="124"/>
      <c r="G899" s="124">
        <v>71.099999999999994</v>
      </c>
      <c r="H899" s="124"/>
      <c r="I899" s="124"/>
      <c r="J899" s="124"/>
      <c r="K899" s="124">
        <v>120</v>
      </c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</row>
    <row r="900" spans="1:21" s="106" customFormat="1" ht="13.8">
      <c r="A900" s="125"/>
      <c r="B900" s="34">
        <v>44166</v>
      </c>
      <c r="C900" s="124" t="s">
        <v>31</v>
      </c>
      <c r="D900" s="124">
        <v>-1151</v>
      </c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40"/>
      <c r="P900" s="124"/>
      <c r="Q900" s="124"/>
      <c r="R900" s="124"/>
      <c r="S900" s="124"/>
      <c r="T900" s="124"/>
      <c r="U900" s="124"/>
    </row>
    <row r="901" spans="1:21" s="106" customFormat="1" ht="13.8">
      <c r="A901" s="125"/>
      <c r="B901" s="34">
        <v>44166</v>
      </c>
      <c r="C901" s="124" t="s">
        <v>182</v>
      </c>
      <c r="D901" s="124">
        <v>284</v>
      </c>
      <c r="E901" s="124">
        <v>284</v>
      </c>
      <c r="F901" s="124"/>
      <c r="G901" s="124"/>
      <c r="H901" s="124"/>
      <c r="I901" s="124"/>
      <c r="J901" s="124"/>
      <c r="K901" s="124"/>
      <c r="L901" s="124"/>
      <c r="M901" s="124"/>
      <c r="N901" s="124"/>
      <c r="O901" s="140"/>
      <c r="P901" s="124"/>
      <c r="Q901" s="124"/>
      <c r="R901" s="124"/>
      <c r="S901" s="124"/>
      <c r="T901" s="124"/>
      <c r="U901" s="124"/>
    </row>
    <row r="902" spans="1:21" s="106" customFormat="1" ht="13.8">
      <c r="A902" s="125"/>
      <c r="B902" s="34">
        <v>44166</v>
      </c>
      <c r="C902" s="124" t="s">
        <v>183</v>
      </c>
      <c r="D902" s="124">
        <v>537.75</v>
      </c>
      <c r="E902" s="124">
        <v>537.75</v>
      </c>
      <c r="F902" s="124"/>
      <c r="G902" s="124"/>
      <c r="H902" s="124"/>
      <c r="I902" s="124"/>
      <c r="J902" s="124"/>
      <c r="K902" s="124"/>
      <c r="L902" s="124"/>
      <c r="M902" s="124"/>
      <c r="N902" s="124"/>
      <c r="O902" s="140"/>
      <c r="P902" s="124"/>
      <c r="Q902" s="124"/>
      <c r="R902" s="124"/>
      <c r="S902" s="124"/>
      <c r="T902" s="124"/>
      <c r="U902" s="124"/>
    </row>
    <row r="903" spans="1:21" s="106" customFormat="1" ht="13.8">
      <c r="A903" s="125"/>
      <c r="B903" s="34">
        <v>44166</v>
      </c>
      <c r="C903" s="124" t="s">
        <v>306</v>
      </c>
      <c r="D903" s="124">
        <v>909.92</v>
      </c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>
        <v>909.92</v>
      </c>
      <c r="P903" s="124"/>
      <c r="Q903" s="124"/>
      <c r="R903" s="124"/>
      <c r="S903" s="124"/>
      <c r="T903" s="124"/>
      <c r="U903" s="124"/>
    </row>
    <row r="904" spans="1:21" s="106" customFormat="1" ht="13.8">
      <c r="A904" s="125"/>
      <c r="B904" s="34">
        <v>44166</v>
      </c>
      <c r="C904" s="124" t="s">
        <v>206</v>
      </c>
      <c r="D904" s="124">
        <v>150</v>
      </c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40"/>
      <c r="P904" s="124"/>
      <c r="Q904" s="124">
        <v>120</v>
      </c>
      <c r="R904" s="124"/>
      <c r="S904" s="124"/>
      <c r="T904" s="124"/>
      <c r="U904" s="124"/>
    </row>
    <row r="905" spans="1:21" s="106" customFormat="1" ht="13.8">
      <c r="A905" s="125"/>
      <c r="B905" s="34">
        <v>44166</v>
      </c>
      <c r="C905" s="124" t="s">
        <v>125</v>
      </c>
      <c r="D905" s="124">
        <v>119</v>
      </c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40"/>
      <c r="P905" s="124"/>
      <c r="Q905" s="124">
        <v>119</v>
      </c>
      <c r="R905" s="124"/>
      <c r="S905" s="124"/>
      <c r="T905" s="124"/>
      <c r="U905" s="124"/>
    </row>
    <row r="906" spans="1:21" s="106" customFormat="1" ht="13.8">
      <c r="A906" s="125"/>
      <c r="B906" s="34">
        <v>44166</v>
      </c>
      <c r="C906" s="124" t="s">
        <v>30</v>
      </c>
      <c r="D906" s="124">
        <v>3737</v>
      </c>
      <c r="E906" s="124"/>
      <c r="F906" s="124"/>
      <c r="G906" s="124"/>
      <c r="H906" s="124"/>
      <c r="I906" s="124"/>
      <c r="J906" s="124"/>
      <c r="K906" s="124"/>
      <c r="L906" s="124"/>
      <c r="M906" s="124">
        <v>3737</v>
      </c>
      <c r="N906" s="124"/>
      <c r="O906" s="140"/>
      <c r="P906" s="124"/>
      <c r="Q906" s="124"/>
      <c r="R906" s="124"/>
      <c r="S906" s="124"/>
      <c r="T906" s="124"/>
      <c r="U906" s="124"/>
    </row>
    <row r="907" spans="1:21" s="106" customFormat="1" ht="13.8">
      <c r="A907" s="125"/>
      <c r="B907" s="34">
        <v>44166</v>
      </c>
      <c r="C907" s="124" t="s">
        <v>265</v>
      </c>
      <c r="D907" s="124">
        <v>315.8</v>
      </c>
      <c r="E907" s="124">
        <v>315.8</v>
      </c>
      <c r="F907" s="124"/>
      <c r="G907" s="124"/>
      <c r="H907" s="124"/>
      <c r="I907" s="124"/>
      <c r="J907" s="124"/>
      <c r="K907" s="124"/>
      <c r="L907" s="124"/>
      <c r="M907" s="124"/>
      <c r="N907" s="124"/>
      <c r="O907" s="140"/>
      <c r="P907" s="124"/>
      <c r="Q907" s="124"/>
      <c r="R907" s="124"/>
      <c r="S907" s="124"/>
      <c r="T907" s="124"/>
      <c r="U907" s="124"/>
    </row>
    <row r="908" spans="1:21" s="106" customFormat="1" ht="13.8">
      <c r="A908" s="125"/>
      <c r="B908" s="34">
        <v>44166</v>
      </c>
      <c r="C908" s="124" t="s">
        <v>230</v>
      </c>
      <c r="D908" s="124">
        <v>229</v>
      </c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40"/>
      <c r="P908" s="124">
        <v>229</v>
      </c>
      <c r="Q908" s="124"/>
      <c r="R908" s="124"/>
      <c r="S908" s="124"/>
      <c r="T908" s="124"/>
      <c r="U908" s="124"/>
    </row>
    <row r="909" spans="1:21" s="106" customFormat="1" ht="13.8">
      <c r="A909" s="125"/>
      <c r="B909" s="34">
        <v>44166</v>
      </c>
      <c r="C909" s="124" t="s">
        <v>305</v>
      </c>
      <c r="D909" s="124">
        <v>2388.16</v>
      </c>
      <c r="E909" s="124"/>
      <c r="F909" s="124">
        <v>2388.16</v>
      </c>
      <c r="G909" s="124"/>
      <c r="H909" s="124"/>
      <c r="I909" s="124"/>
      <c r="J909" s="124"/>
      <c r="K909" s="124"/>
      <c r="L909" s="124"/>
      <c r="M909" s="124"/>
      <c r="N909" s="124"/>
      <c r="O909" s="140"/>
      <c r="P909" s="124"/>
      <c r="Q909" s="124"/>
      <c r="R909" s="124"/>
      <c r="S909" s="124"/>
      <c r="T909" s="124"/>
      <c r="U909" s="124"/>
    </row>
    <row r="910" spans="1:21" s="106" customFormat="1" ht="13.8">
      <c r="A910" s="125"/>
      <c r="B910" s="34">
        <v>44166</v>
      </c>
      <c r="C910" s="124" t="s">
        <v>42</v>
      </c>
      <c r="D910" s="124">
        <v>179.4</v>
      </c>
      <c r="E910" s="124"/>
      <c r="F910" s="124"/>
      <c r="G910" s="124">
        <v>20.45</v>
      </c>
      <c r="H910" s="124"/>
      <c r="I910" s="124"/>
      <c r="J910" s="124"/>
      <c r="K910" s="124">
        <v>158.94999999999999</v>
      </c>
      <c r="L910" s="124"/>
      <c r="M910" s="124"/>
      <c r="N910" s="124"/>
      <c r="O910" s="140"/>
      <c r="P910" s="124"/>
      <c r="Q910" s="124"/>
      <c r="R910" s="124"/>
      <c r="S910" s="124"/>
      <c r="T910" s="124"/>
      <c r="U910" s="124"/>
    </row>
    <row r="911" spans="1:21" s="106" customFormat="1" ht="13.8">
      <c r="A911" s="125"/>
      <c r="B911" s="34">
        <v>44166</v>
      </c>
      <c r="C911" s="124" t="s">
        <v>40</v>
      </c>
      <c r="D911" s="124">
        <v>661.95</v>
      </c>
      <c r="E911" s="124"/>
      <c r="F911" s="124"/>
      <c r="G911" s="124">
        <v>111.95</v>
      </c>
      <c r="H911" s="124"/>
      <c r="I911" s="124"/>
      <c r="J911" s="124">
        <v>550</v>
      </c>
      <c r="K911" s="124"/>
      <c r="L911" s="124"/>
      <c r="M911" s="124"/>
      <c r="N911" s="124"/>
      <c r="O911" s="140"/>
      <c r="P911" s="124"/>
      <c r="Q911" s="124"/>
      <c r="R911" s="124"/>
      <c r="S911" s="124"/>
      <c r="T911" s="124"/>
      <c r="U911" s="124"/>
    </row>
    <row r="912" spans="1:21" s="106" customFormat="1" ht="13.8">
      <c r="A912" s="125"/>
      <c r="B912" s="34">
        <v>44166</v>
      </c>
      <c r="C912" s="124" t="s">
        <v>22</v>
      </c>
      <c r="D912" s="124">
        <v>138</v>
      </c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40"/>
      <c r="P912" s="124">
        <v>138</v>
      </c>
      <c r="Q912" s="124"/>
      <c r="R912" s="124"/>
      <c r="S912" s="124"/>
      <c r="T912" s="124"/>
      <c r="U912" s="124"/>
    </row>
    <row r="913" spans="1:21" s="106" customFormat="1" ht="13.8">
      <c r="A913" s="125"/>
      <c r="B913" s="34">
        <v>44167</v>
      </c>
      <c r="C913" s="124" t="s">
        <v>304</v>
      </c>
      <c r="D913" s="124">
        <v>385</v>
      </c>
      <c r="E913" s="124"/>
      <c r="F913" s="124">
        <v>385</v>
      </c>
      <c r="G913" s="124"/>
      <c r="H913" s="124"/>
      <c r="I913" s="124"/>
      <c r="J913" s="124"/>
      <c r="K913" s="124"/>
      <c r="L913" s="124"/>
      <c r="M913" s="124"/>
      <c r="N913" s="124"/>
      <c r="O913" s="140"/>
      <c r="P913" s="124"/>
      <c r="Q913" s="124"/>
      <c r="R913" s="124"/>
      <c r="S913" s="124"/>
      <c r="T913" s="124"/>
      <c r="U913" s="124"/>
    </row>
    <row r="914" spans="1:21" s="106" customFormat="1" ht="13.8">
      <c r="A914" s="125"/>
      <c r="B914" s="34">
        <v>44167</v>
      </c>
      <c r="C914" s="124" t="s">
        <v>216</v>
      </c>
      <c r="D914" s="124">
        <v>234.95</v>
      </c>
      <c r="E914" s="124"/>
      <c r="F914" s="124"/>
      <c r="G914" s="124">
        <v>34.950000000000003</v>
      </c>
      <c r="H914" s="124"/>
      <c r="I914" s="124"/>
      <c r="J914" s="124"/>
      <c r="K914" s="124"/>
      <c r="L914" s="124"/>
      <c r="M914" s="124"/>
      <c r="N914" s="124">
        <v>200</v>
      </c>
      <c r="O914" s="140"/>
      <c r="P914" s="124"/>
      <c r="Q914" s="124"/>
      <c r="R914" s="124"/>
      <c r="S914" s="124"/>
      <c r="T914" s="124"/>
      <c r="U914" s="124"/>
    </row>
    <row r="915" spans="1:21" s="106" customFormat="1" ht="13.8">
      <c r="A915" s="125"/>
      <c r="B915" s="34">
        <v>44167</v>
      </c>
      <c r="C915" s="124" t="s">
        <v>299</v>
      </c>
      <c r="D915" s="124">
        <v>46</v>
      </c>
      <c r="E915" s="124"/>
      <c r="F915" s="124"/>
      <c r="G915" s="124">
        <v>46</v>
      </c>
      <c r="H915" s="124"/>
      <c r="I915" s="124"/>
      <c r="J915" s="124"/>
      <c r="K915" s="124"/>
      <c r="L915" s="124"/>
      <c r="M915" s="124"/>
      <c r="N915" s="124"/>
      <c r="O915" s="140"/>
      <c r="P915" s="124"/>
      <c r="Q915" s="124"/>
      <c r="R915" s="124"/>
      <c r="S915" s="124"/>
      <c r="T915" s="124"/>
      <c r="U915" s="124"/>
    </row>
    <row r="916" spans="1:21" s="106" customFormat="1" ht="13.8">
      <c r="A916" s="125"/>
      <c r="B916" s="34">
        <v>44168</v>
      </c>
      <c r="C916" s="124" t="s">
        <v>21</v>
      </c>
      <c r="D916" s="124">
        <v>137</v>
      </c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40"/>
      <c r="P916" s="124">
        <v>137</v>
      </c>
      <c r="Q916" s="124"/>
      <c r="R916" s="124"/>
      <c r="S916" s="124"/>
      <c r="T916" s="124"/>
      <c r="U916" s="124"/>
    </row>
    <row r="917" spans="1:21" s="106" customFormat="1" ht="13.8">
      <c r="A917" s="125"/>
      <c r="B917" s="34">
        <v>44168</v>
      </c>
      <c r="C917" s="124" t="s">
        <v>216</v>
      </c>
      <c r="D917" s="124">
        <v>354.45</v>
      </c>
      <c r="E917" s="124"/>
      <c r="F917" s="124"/>
      <c r="G917" s="124"/>
      <c r="H917" s="124"/>
      <c r="I917" s="124"/>
      <c r="J917" s="124"/>
      <c r="K917" s="124"/>
      <c r="L917" s="124">
        <v>34.5</v>
      </c>
      <c r="M917" s="124"/>
      <c r="N917" s="124">
        <v>319.95</v>
      </c>
      <c r="O917" s="140"/>
      <c r="P917" s="124"/>
      <c r="Q917" s="124"/>
      <c r="R917" s="124"/>
      <c r="S917" s="124"/>
      <c r="T917" s="124"/>
      <c r="U917" s="124"/>
    </row>
    <row r="918" spans="1:21" s="106" customFormat="1" ht="13.8">
      <c r="A918" s="125"/>
      <c r="B918" s="34">
        <v>44168</v>
      </c>
      <c r="C918" s="124" t="s">
        <v>42</v>
      </c>
      <c r="D918" s="124">
        <v>55.75</v>
      </c>
      <c r="E918" s="124"/>
      <c r="F918" s="124"/>
      <c r="G918" s="124">
        <v>31.75</v>
      </c>
      <c r="H918" s="124"/>
      <c r="I918" s="124"/>
      <c r="J918" s="124"/>
      <c r="K918" s="124"/>
      <c r="L918" s="124">
        <v>24</v>
      </c>
      <c r="M918" s="124"/>
      <c r="N918" s="124"/>
      <c r="O918" s="140"/>
      <c r="P918" s="124"/>
      <c r="Q918" s="124"/>
      <c r="R918" s="124"/>
      <c r="S918" s="124"/>
      <c r="T918" s="124"/>
      <c r="U918" s="124"/>
    </row>
    <row r="919" spans="1:21" s="106" customFormat="1" ht="13.8">
      <c r="A919" s="125"/>
      <c r="B919" s="34">
        <v>44168</v>
      </c>
      <c r="C919" s="124" t="s">
        <v>162</v>
      </c>
      <c r="D919" s="124">
        <v>89</v>
      </c>
      <c r="E919" s="124"/>
      <c r="F919" s="124">
        <v>89</v>
      </c>
      <c r="G919" s="124"/>
      <c r="H919" s="124"/>
      <c r="I919" s="124"/>
      <c r="J919" s="124"/>
      <c r="K919" s="124"/>
      <c r="L919" s="124"/>
      <c r="M919" s="124"/>
      <c r="N919" s="124"/>
      <c r="O919" s="140"/>
      <c r="P919" s="124"/>
      <c r="Q919" s="124"/>
      <c r="R919" s="124"/>
      <c r="S919" s="124"/>
      <c r="T919" s="124"/>
      <c r="U919" s="124"/>
    </row>
    <row r="920" spans="1:21" s="106" customFormat="1" ht="13.8">
      <c r="A920" s="125"/>
      <c r="B920" s="34">
        <v>44168</v>
      </c>
      <c r="C920" s="124" t="s">
        <v>303</v>
      </c>
      <c r="D920" s="124">
        <v>281.89999999999998</v>
      </c>
      <c r="E920" s="124"/>
      <c r="F920" s="124"/>
      <c r="G920" s="124"/>
      <c r="H920" s="124"/>
      <c r="I920" s="124"/>
      <c r="J920" s="124"/>
      <c r="K920" s="124"/>
      <c r="L920" s="124">
        <v>281.89999999999998</v>
      </c>
      <c r="M920" s="124"/>
      <c r="N920" s="124"/>
      <c r="O920" s="140"/>
      <c r="P920" s="124"/>
      <c r="Q920" s="124"/>
      <c r="R920" s="124"/>
      <c r="S920" s="124"/>
      <c r="T920" s="124"/>
      <c r="U920" s="124"/>
    </row>
    <row r="921" spans="1:21" s="106" customFormat="1" ht="13.8">
      <c r="A921" s="125"/>
      <c r="B921" s="34">
        <v>44168</v>
      </c>
      <c r="C921" s="124" t="s">
        <v>302</v>
      </c>
      <c r="D921" s="124">
        <v>49.99</v>
      </c>
      <c r="E921" s="124"/>
      <c r="F921" s="124"/>
      <c r="G921" s="124"/>
      <c r="H921" s="124"/>
      <c r="I921" s="124"/>
      <c r="J921" s="124"/>
      <c r="K921" s="124"/>
      <c r="L921" s="124">
        <v>49.99</v>
      </c>
      <c r="M921" s="124"/>
      <c r="N921" s="124"/>
      <c r="O921" s="140"/>
      <c r="P921" s="124"/>
      <c r="Q921" s="124"/>
      <c r="R921" s="124"/>
      <c r="S921" s="124"/>
      <c r="T921" s="124"/>
      <c r="U921" s="124"/>
    </row>
    <row r="922" spans="1:21" s="106" customFormat="1" ht="13.8">
      <c r="A922" s="125"/>
      <c r="B922" s="34">
        <v>44169</v>
      </c>
      <c r="C922" s="124" t="s">
        <v>301</v>
      </c>
      <c r="D922" s="124">
        <v>60</v>
      </c>
      <c r="E922" s="124"/>
      <c r="F922" s="124">
        <v>60</v>
      </c>
      <c r="G922" s="124"/>
      <c r="H922" s="124"/>
      <c r="I922" s="124"/>
      <c r="J922" s="124"/>
      <c r="K922" s="124"/>
      <c r="L922" s="124"/>
      <c r="M922" s="124"/>
      <c r="N922" s="124"/>
      <c r="O922" s="140"/>
      <c r="P922" s="124"/>
      <c r="Q922" s="124"/>
      <c r="R922" s="124"/>
      <c r="S922" s="124"/>
      <c r="T922" s="124"/>
      <c r="U922" s="124"/>
    </row>
    <row r="923" spans="1:21" s="106" customFormat="1" ht="13.8">
      <c r="A923" s="125"/>
      <c r="B923" s="34">
        <v>44170</v>
      </c>
      <c r="C923" s="124" t="s">
        <v>186</v>
      </c>
      <c r="D923" s="124">
        <v>125</v>
      </c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40"/>
      <c r="P923" s="124"/>
      <c r="Q923" s="124">
        <v>125</v>
      </c>
      <c r="R923" s="124"/>
      <c r="S923" s="124"/>
      <c r="T923" s="124"/>
      <c r="U923" s="124"/>
    </row>
    <row r="924" spans="1:21" s="106" customFormat="1" ht="13.8">
      <c r="A924" s="125"/>
      <c r="B924" s="34">
        <v>44171</v>
      </c>
      <c r="C924" s="124" t="s">
        <v>300</v>
      </c>
      <c r="D924" s="124">
        <v>-300</v>
      </c>
      <c r="E924" s="124"/>
      <c r="F924" s="124">
        <v>-300</v>
      </c>
      <c r="G924" s="124"/>
      <c r="H924" s="124"/>
      <c r="I924" s="124"/>
      <c r="J924" s="124"/>
      <c r="K924" s="124"/>
      <c r="L924" s="124"/>
      <c r="M924" s="124"/>
      <c r="N924" s="124"/>
      <c r="O924" s="140"/>
      <c r="P924" s="124"/>
      <c r="Q924" s="124"/>
      <c r="R924" s="124"/>
      <c r="S924" s="124"/>
      <c r="T924" s="124"/>
      <c r="U924" s="124"/>
    </row>
    <row r="925" spans="1:21" s="106" customFormat="1" ht="13.8">
      <c r="A925" s="125"/>
      <c r="B925" s="34">
        <v>44171</v>
      </c>
      <c r="C925" s="124" t="s">
        <v>42</v>
      </c>
      <c r="D925" s="124">
        <v>41.85</v>
      </c>
      <c r="E925" s="124"/>
      <c r="F925" s="124"/>
      <c r="G925" s="124">
        <v>41.85</v>
      </c>
      <c r="H925" s="124"/>
      <c r="I925" s="124"/>
      <c r="J925" s="124"/>
      <c r="K925" s="124"/>
      <c r="L925" s="124"/>
      <c r="M925" s="124"/>
      <c r="N925" s="124"/>
      <c r="O925" s="140"/>
      <c r="P925" s="124"/>
      <c r="Q925" s="124"/>
      <c r="R925" s="124"/>
      <c r="S925" s="124"/>
      <c r="T925" s="124"/>
      <c r="U925" s="124"/>
    </row>
    <row r="926" spans="1:21" s="106" customFormat="1" ht="13.8">
      <c r="A926" s="125"/>
      <c r="B926" s="34">
        <v>44172</v>
      </c>
      <c r="C926" s="124" t="s">
        <v>20</v>
      </c>
      <c r="D926" s="124">
        <v>193.76</v>
      </c>
      <c r="E926" s="124">
        <v>193.76</v>
      </c>
      <c r="F926" s="124"/>
      <c r="G926" s="124"/>
      <c r="H926" s="124"/>
      <c r="I926" s="124"/>
      <c r="J926" s="124"/>
      <c r="K926" s="124"/>
      <c r="L926" s="124"/>
      <c r="M926" s="124"/>
      <c r="N926" s="124"/>
      <c r="O926" s="140"/>
      <c r="P926" s="124"/>
      <c r="Q926" s="124"/>
      <c r="R926" s="124"/>
      <c r="S926" s="124"/>
      <c r="T926" s="124"/>
      <c r="U926" s="124"/>
    </row>
    <row r="927" spans="1:21" s="106" customFormat="1" ht="13.8">
      <c r="A927" s="125"/>
      <c r="B927" s="34">
        <v>44172</v>
      </c>
      <c r="C927" s="124" t="s">
        <v>18</v>
      </c>
      <c r="D927" s="124">
        <v>213.19</v>
      </c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>
        <v>213.19</v>
      </c>
      <c r="P927" s="124"/>
      <c r="Q927" s="124"/>
      <c r="R927" s="124"/>
      <c r="S927" s="124"/>
      <c r="T927" s="124"/>
      <c r="U927" s="124"/>
    </row>
    <row r="928" spans="1:21" s="106" customFormat="1" ht="13.8">
      <c r="A928" s="125"/>
      <c r="B928" s="34">
        <v>44172</v>
      </c>
      <c r="C928" s="124" t="s">
        <v>180</v>
      </c>
      <c r="D928" s="124">
        <v>175.93</v>
      </c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40"/>
      <c r="P928" s="124"/>
      <c r="Q928" s="124"/>
      <c r="R928" s="124"/>
      <c r="S928" s="124"/>
      <c r="T928" s="124">
        <v>175.93</v>
      </c>
      <c r="U928" s="124"/>
    </row>
    <row r="929" spans="1:21" s="106" customFormat="1" ht="13.8">
      <c r="A929" s="125"/>
      <c r="B929" s="34">
        <v>44172</v>
      </c>
      <c r="C929" s="124" t="s">
        <v>38</v>
      </c>
      <c r="D929" s="124">
        <v>164.95</v>
      </c>
      <c r="E929" s="124"/>
      <c r="F929" s="124"/>
      <c r="G929" s="124">
        <v>35</v>
      </c>
      <c r="H929" s="124"/>
      <c r="I929" s="124"/>
      <c r="J929" s="124"/>
      <c r="K929" s="124">
        <v>30</v>
      </c>
      <c r="L929" s="124">
        <v>99.95</v>
      </c>
      <c r="M929" s="124"/>
      <c r="N929" s="124"/>
      <c r="O929" s="140"/>
      <c r="P929" s="124"/>
      <c r="Q929" s="124"/>
      <c r="R929" s="124"/>
      <c r="S929" s="124"/>
      <c r="T929" s="124"/>
      <c r="U929" s="124"/>
    </row>
    <row r="930" spans="1:21" s="106" customFormat="1" ht="13.8">
      <c r="A930" s="125"/>
      <c r="B930" s="34">
        <v>44172</v>
      </c>
      <c r="C930" s="124" t="s">
        <v>162</v>
      </c>
      <c r="D930" s="124">
        <v>256</v>
      </c>
      <c r="E930" s="124"/>
      <c r="F930" s="124"/>
      <c r="G930" s="124"/>
      <c r="H930" s="124"/>
      <c r="I930" s="124"/>
      <c r="J930" s="124"/>
      <c r="K930" s="124"/>
      <c r="L930" s="124"/>
      <c r="M930" s="124"/>
      <c r="N930" s="124">
        <v>256</v>
      </c>
      <c r="O930" s="140"/>
      <c r="P930" s="124"/>
      <c r="Q930" s="124"/>
      <c r="R930" s="124"/>
      <c r="S930" s="124"/>
      <c r="T930" s="124"/>
      <c r="U930" s="124"/>
    </row>
    <row r="931" spans="1:21" s="106" customFormat="1" ht="13.8">
      <c r="A931" s="125"/>
      <c r="B931" s="34">
        <v>44172</v>
      </c>
      <c r="C931" s="124" t="s">
        <v>10</v>
      </c>
      <c r="D931" s="124">
        <v>500</v>
      </c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40"/>
      <c r="P931" s="124"/>
      <c r="Q931" s="124"/>
      <c r="R931" s="124">
        <f>D931</f>
        <v>500</v>
      </c>
      <c r="S931" s="124"/>
      <c r="T931" s="124"/>
      <c r="U931" s="124"/>
    </row>
    <row r="932" spans="1:21" s="106" customFormat="1" ht="13.8">
      <c r="A932" s="125"/>
      <c r="B932" s="34">
        <v>44172</v>
      </c>
      <c r="C932" s="124" t="s">
        <v>7</v>
      </c>
      <c r="D932" s="124">
        <v>500</v>
      </c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40"/>
      <c r="P932" s="124"/>
      <c r="Q932" s="124"/>
      <c r="R932" s="124">
        <f>D932</f>
        <v>500</v>
      </c>
      <c r="S932" s="124"/>
      <c r="T932" s="124"/>
      <c r="U932" s="124"/>
    </row>
    <row r="933" spans="1:21" s="106" customFormat="1" ht="13.8">
      <c r="A933" s="125"/>
      <c r="B933" s="34">
        <v>44172</v>
      </c>
      <c r="C933" s="124" t="s">
        <v>13</v>
      </c>
      <c r="D933" s="124">
        <v>500</v>
      </c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40"/>
      <c r="P933" s="124"/>
      <c r="Q933" s="124"/>
      <c r="R933" s="124">
        <f>D933</f>
        <v>500</v>
      </c>
      <c r="S933" s="124"/>
      <c r="T933" s="124"/>
      <c r="U933" s="124"/>
    </row>
    <row r="934" spans="1:21" s="106" customFormat="1" ht="13.8">
      <c r="A934" s="125"/>
      <c r="B934" s="34">
        <v>44172</v>
      </c>
      <c r="C934" s="124" t="s">
        <v>11</v>
      </c>
      <c r="D934" s="124">
        <v>500</v>
      </c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40"/>
      <c r="P934" s="124"/>
      <c r="Q934" s="124"/>
      <c r="R934" s="124">
        <f>D934</f>
        <v>500</v>
      </c>
      <c r="S934" s="124"/>
      <c r="T934" s="124"/>
      <c r="U934" s="124"/>
    </row>
    <row r="935" spans="1:21" s="106" customFormat="1" ht="13.8">
      <c r="A935" s="125"/>
      <c r="B935" s="34">
        <v>44173</v>
      </c>
      <c r="C935" s="124" t="s">
        <v>242</v>
      </c>
      <c r="D935" s="124">
        <v>-500</v>
      </c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40"/>
      <c r="P935" s="124"/>
      <c r="Q935" s="124"/>
      <c r="R935" s="124">
        <f>D935</f>
        <v>-500</v>
      </c>
      <c r="S935" s="124"/>
      <c r="T935" s="124"/>
      <c r="U935" s="124"/>
    </row>
    <row r="936" spans="1:21" s="106" customFormat="1" ht="13.8">
      <c r="A936" s="125"/>
      <c r="B936" s="34">
        <v>44174</v>
      </c>
      <c r="C936" s="124" t="s">
        <v>38</v>
      </c>
      <c r="D936" s="124">
        <v>30</v>
      </c>
      <c r="E936" s="124"/>
      <c r="F936" s="124"/>
      <c r="G936" s="124"/>
      <c r="H936" s="124"/>
      <c r="I936" s="124"/>
      <c r="J936" s="124"/>
      <c r="K936" s="124">
        <v>30</v>
      </c>
      <c r="L936" s="124"/>
      <c r="M936" s="124"/>
      <c r="N936" s="124"/>
      <c r="O936" s="140"/>
      <c r="P936" s="124"/>
      <c r="Q936" s="124"/>
      <c r="R936" s="124"/>
      <c r="S936" s="124"/>
      <c r="T936" s="124"/>
      <c r="U936" s="124"/>
    </row>
    <row r="937" spans="1:21" s="106" customFormat="1" ht="13.8">
      <c r="A937" s="125"/>
      <c r="B937" s="34">
        <v>44174</v>
      </c>
      <c r="C937" s="124" t="s">
        <v>192</v>
      </c>
      <c r="D937" s="124">
        <v>49</v>
      </c>
      <c r="E937" s="124"/>
      <c r="F937" s="124">
        <v>49</v>
      </c>
      <c r="G937" s="124"/>
      <c r="H937" s="124"/>
      <c r="I937" s="124"/>
      <c r="J937" s="124"/>
      <c r="K937" s="124"/>
      <c r="L937" s="124"/>
      <c r="M937" s="124"/>
      <c r="N937" s="124"/>
      <c r="O937" s="140"/>
      <c r="P937" s="124"/>
      <c r="Q937" s="124"/>
      <c r="R937" s="124"/>
      <c r="S937" s="124"/>
      <c r="T937" s="124"/>
      <c r="U937" s="124"/>
    </row>
    <row r="938" spans="1:21" s="106" customFormat="1" ht="13.8">
      <c r="A938" s="125"/>
      <c r="B938" s="34">
        <v>44174</v>
      </c>
      <c r="C938" s="124" t="s">
        <v>299</v>
      </c>
      <c r="D938" s="124">
        <v>69</v>
      </c>
      <c r="E938" s="124"/>
      <c r="F938" s="124"/>
      <c r="G938" s="124">
        <v>69</v>
      </c>
      <c r="H938" s="124"/>
      <c r="I938" s="124"/>
      <c r="J938" s="124"/>
      <c r="K938" s="124"/>
      <c r="L938" s="124"/>
      <c r="M938" s="124"/>
      <c r="N938" s="124"/>
      <c r="O938" s="140"/>
      <c r="P938" s="124"/>
      <c r="Q938" s="124"/>
      <c r="R938" s="124"/>
      <c r="S938" s="124"/>
      <c r="T938" s="124"/>
      <c r="U938" s="124"/>
    </row>
    <row r="939" spans="1:21" s="106" customFormat="1" ht="13.8">
      <c r="A939" s="125"/>
      <c r="B939" s="34">
        <v>44174</v>
      </c>
      <c r="C939" s="124" t="s">
        <v>42</v>
      </c>
      <c r="D939" s="124">
        <v>50.45</v>
      </c>
      <c r="E939" s="124"/>
      <c r="F939" s="124"/>
      <c r="G939" s="124">
        <v>50.45</v>
      </c>
      <c r="H939" s="124"/>
      <c r="I939" s="124"/>
      <c r="J939" s="124"/>
      <c r="K939" s="124"/>
      <c r="L939" s="124"/>
      <c r="M939" s="124"/>
      <c r="N939" s="124"/>
      <c r="O939" s="140"/>
      <c r="P939" s="124"/>
      <c r="Q939" s="124"/>
      <c r="R939" s="124"/>
      <c r="S939" s="124"/>
      <c r="T939" s="124"/>
      <c r="U939" s="124"/>
    </row>
    <row r="940" spans="1:21" s="106" customFormat="1" ht="13.8">
      <c r="A940" s="125"/>
      <c r="B940" s="34">
        <v>44175</v>
      </c>
      <c r="C940" s="124" t="s">
        <v>216</v>
      </c>
      <c r="D940" s="124">
        <v>507</v>
      </c>
      <c r="E940" s="124"/>
      <c r="F940" s="124">
        <v>207</v>
      </c>
      <c r="G940" s="124"/>
      <c r="H940" s="124"/>
      <c r="I940" s="124"/>
      <c r="J940" s="124"/>
      <c r="K940" s="124"/>
      <c r="L940" s="124"/>
      <c r="M940" s="124"/>
      <c r="N940" s="124">
        <v>300</v>
      </c>
      <c r="O940" s="140"/>
      <c r="P940" s="124"/>
      <c r="Q940" s="124"/>
      <c r="R940" s="124"/>
      <c r="S940" s="124"/>
      <c r="T940" s="124"/>
      <c r="U940" s="124"/>
    </row>
    <row r="941" spans="1:21" s="106" customFormat="1" ht="13.8">
      <c r="A941" s="125"/>
      <c r="B941" s="34">
        <v>44175</v>
      </c>
      <c r="C941" s="124" t="s">
        <v>39</v>
      </c>
      <c r="D941" s="124">
        <v>215.45</v>
      </c>
      <c r="E941" s="124"/>
      <c r="F941" s="124">
        <v>59</v>
      </c>
      <c r="G941" s="124"/>
      <c r="H941" s="124"/>
      <c r="I941" s="124"/>
      <c r="J941" s="124"/>
      <c r="K941" s="124"/>
      <c r="L941" s="124"/>
      <c r="M941" s="124"/>
      <c r="N941" s="124"/>
      <c r="O941" s="140"/>
      <c r="P941" s="124"/>
      <c r="Q941" s="124"/>
      <c r="R941" s="124"/>
      <c r="S941" s="124"/>
      <c r="T941" s="124"/>
      <c r="U941" s="124"/>
    </row>
    <row r="942" spans="1:21" s="106" customFormat="1" ht="13.8">
      <c r="A942" s="125"/>
      <c r="B942" s="34">
        <v>44176</v>
      </c>
      <c r="C942" s="124" t="s">
        <v>237</v>
      </c>
      <c r="D942" s="124">
        <v>299.85000000000002</v>
      </c>
      <c r="E942" s="124"/>
      <c r="F942" s="124"/>
      <c r="G942" s="124"/>
      <c r="H942" s="124"/>
      <c r="I942" s="124"/>
      <c r="J942" s="124"/>
      <c r="K942" s="124"/>
      <c r="L942" s="124">
        <v>199.9</v>
      </c>
      <c r="M942" s="124"/>
      <c r="N942" s="124"/>
      <c r="O942" s="140"/>
      <c r="P942" s="124"/>
      <c r="Q942" s="124"/>
      <c r="R942" s="124">
        <v>99.95</v>
      </c>
      <c r="S942" s="124"/>
      <c r="T942" s="124"/>
      <c r="U942" s="124"/>
    </row>
    <row r="943" spans="1:21" s="106" customFormat="1" ht="13.8">
      <c r="A943" s="125"/>
      <c r="B943" s="34">
        <v>44176</v>
      </c>
      <c r="C943" s="124" t="s">
        <v>42</v>
      </c>
      <c r="D943" s="124">
        <v>131.75</v>
      </c>
      <c r="E943" s="124"/>
      <c r="F943" s="124"/>
      <c r="G943" s="124">
        <v>131.75</v>
      </c>
      <c r="H943" s="124"/>
      <c r="I943" s="124"/>
      <c r="J943" s="124"/>
      <c r="K943" s="124"/>
      <c r="L943" s="124"/>
      <c r="M943" s="124"/>
      <c r="N943" s="124"/>
      <c r="O943" s="140"/>
      <c r="P943" s="124"/>
      <c r="Q943" s="124"/>
      <c r="R943" s="124"/>
      <c r="S943" s="124"/>
      <c r="T943" s="124"/>
      <c r="U943" s="124"/>
    </row>
    <row r="944" spans="1:21" s="106" customFormat="1" ht="13.8">
      <c r="A944" s="125"/>
      <c r="B944" s="34">
        <v>44176</v>
      </c>
      <c r="C944" s="124" t="s">
        <v>297</v>
      </c>
      <c r="D944" s="124">
        <v>570.79999999999995</v>
      </c>
      <c r="E944" s="124"/>
      <c r="F944" s="124"/>
      <c r="G944" s="124"/>
      <c r="H944" s="124">
        <v>570.79999999999995</v>
      </c>
      <c r="I944" s="124"/>
      <c r="J944" s="124"/>
      <c r="K944" s="124"/>
      <c r="L944" s="124"/>
      <c r="M944" s="124"/>
      <c r="N944" s="124"/>
      <c r="O944" s="140"/>
      <c r="P944" s="124"/>
      <c r="Q944" s="124"/>
      <c r="R944" s="124"/>
      <c r="S944" s="124"/>
      <c r="T944" s="124"/>
      <c r="U944" s="124"/>
    </row>
    <row r="945" spans="1:21" s="106" customFormat="1" ht="13.8">
      <c r="A945" s="125"/>
      <c r="B945" s="34">
        <v>44177</v>
      </c>
      <c r="C945" s="124" t="s">
        <v>41</v>
      </c>
      <c r="D945" s="124">
        <v>165.7</v>
      </c>
      <c r="E945" s="124"/>
      <c r="F945" s="124"/>
      <c r="G945" s="124"/>
      <c r="H945" s="124">
        <v>165.7</v>
      </c>
      <c r="I945" s="124"/>
      <c r="J945" s="124"/>
      <c r="K945" s="124"/>
      <c r="L945" s="124"/>
      <c r="M945" s="124"/>
      <c r="N945" s="124"/>
      <c r="O945" s="140"/>
      <c r="P945" s="124"/>
      <c r="Q945" s="124"/>
      <c r="R945" s="124"/>
      <c r="S945" s="124"/>
      <c r="T945" s="124"/>
      <c r="U945" s="124"/>
    </row>
    <row r="946" spans="1:21" s="106" customFormat="1" ht="13.8">
      <c r="A946" s="125"/>
      <c r="B946" s="34">
        <v>44178</v>
      </c>
      <c r="C946" s="124" t="s">
        <v>42</v>
      </c>
      <c r="D946" s="124">
        <v>114.05</v>
      </c>
      <c r="E946" s="124"/>
      <c r="F946" s="124"/>
      <c r="G946" s="124"/>
      <c r="H946" s="124">
        <v>114.05</v>
      </c>
      <c r="I946" s="124"/>
      <c r="J946" s="124"/>
      <c r="K946" s="124"/>
      <c r="L946" s="124"/>
      <c r="M946" s="124"/>
      <c r="N946" s="124"/>
      <c r="O946" s="140"/>
      <c r="P946" s="124"/>
      <c r="Q946" s="124"/>
      <c r="R946" s="124"/>
      <c r="S946" s="124"/>
      <c r="T946" s="124"/>
      <c r="U946" s="124"/>
    </row>
    <row r="947" spans="1:21" s="106" customFormat="1" ht="13.8">
      <c r="A947" s="125"/>
      <c r="B947" s="34">
        <v>44179</v>
      </c>
      <c r="C947" s="124" t="s">
        <v>298</v>
      </c>
      <c r="D947" s="124">
        <v>1600</v>
      </c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>
        <v>1600</v>
      </c>
      <c r="P947" s="124"/>
      <c r="Q947" s="124"/>
      <c r="R947" s="124"/>
      <c r="S947" s="124"/>
      <c r="T947" s="124"/>
      <c r="U947" s="124"/>
    </row>
    <row r="948" spans="1:21" s="106" customFormat="1" ht="13.8">
      <c r="A948" s="125"/>
      <c r="B948" s="34">
        <v>44180</v>
      </c>
      <c r="C948" s="124" t="s">
        <v>238</v>
      </c>
      <c r="D948" s="124">
        <v>69</v>
      </c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>
        <v>69</v>
      </c>
      <c r="P948" s="124"/>
      <c r="Q948" s="124"/>
      <c r="R948" s="124"/>
      <c r="S948" s="124"/>
      <c r="T948" s="124"/>
      <c r="U948" s="124"/>
    </row>
    <row r="949" spans="1:21" s="106" customFormat="1" ht="13.8">
      <c r="A949" s="125"/>
      <c r="B949" s="34">
        <v>44181</v>
      </c>
      <c r="C949" s="124" t="s">
        <v>39</v>
      </c>
      <c r="D949" s="124">
        <v>53.3</v>
      </c>
      <c r="E949" s="124"/>
      <c r="F949" s="124">
        <v>39</v>
      </c>
      <c r="G949" s="124">
        <v>14.3</v>
      </c>
      <c r="H949" s="124"/>
      <c r="I949" s="124"/>
      <c r="J949" s="124"/>
      <c r="K949" s="124"/>
      <c r="L949" s="124"/>
      <c r="M949" s="124"/>
      <c r="N949" s="124"/>
      <c r="O949" s="140"/>
      <c r="P949" s="124"/>
      <c r="Q949" s="124"/>
      <c r="R949" s="124"/>
      <c r="S949" s="124"/>
      <c r="T949" s="124"/>
      <c r="U949" s="124"/>
    </row>
    <row r="950" spans="1:21" s="106" customFormat="1" ht="13.8">
      <c r="A950" s="125"/>
      <c r="B950" s="34">
        <v>44181</v>
      </c>
      <c r="C950" s="124" t="s">
        <v>42</v>
      </c>
      <c r="D950" s="124">
        <v>29</v>
      </c>
      <c r="E950" s="124"/>
      <c r="F950" s="124"/>
      <c r="G950" s="124">
        <v>29</v>
      </c>
      <c r="H950" s="124"/>
      <c r="I950" s="124"/>
      <c r="J950" s="124"/>
      <c r="K950" s="124"/>
      <c r="L950" s="124"/>
      <c r="M950" s="124"/>
      <c r="N950" s="124"/>
      <c r="O950" s="140"/>
      <c r="P950" s="124"/>
      <c r="Q950" s="124"/>
      <c r="R950" s="124"/>
      <c r="S950" s="124"/>
      <c r="T950" s="124"/>
      <c r="U950" s="124"/>
    </row>
    <row r="951" spans="1:21" s="106" customFormat="1" ht="13.8">
      <c r="A951" s="125"/>
      <c r="B951" s="34">
        <v>44182</v>
      </c>
      <c r="C951" s="124" t="s">
        <v>38</v>
      </c>
      <c r="D951" s="124">
        <v>126.8</v>
      </c>
      <c r="E951" s="124"/>
      <c r="F951" s="124"/>
      <c r="G951" s="124">
        <v>126.8</v>
      </c>
      <c r="H951" s="124"/>
      <c r="I951" s="124"/>
      <c r="J951" s="124"/>
      <c r="K951" s="124"/>
      <c r="L951" s="124"/>
      <c r="M951" s="124"/>
      <c r="N951" s="124"/>
      <c r="O951" s="140"/>
      <c r="P951" s="124"/>
      <c r="Q951" s="124"/>
      <c r="R951" s="124"/>
      <c r="S951" s="124"/>
      <c r="T951" s="124"/>
      <c r="U951" s="124"/>
    </row>
    <row r="952" spans="1:21" s="106" customFormat="1" ht="13.8">
      <c r="A952" s="125"/>
      <c r="B952" s="34">
        <v>44182</v>
      </c>
      <c r="C952" s="124" t="s">
        <v>42</v>
      </c>
      <c r="D952" s="124">
        <v>256.89999999999998</v>
      </c>
      <c r="E952" s="124"/>
      <c r="F952" s="124"/>
      <c r="G952" s="124">
        <v>178.9</v>
      </c>
      <c r="H952" s="124"/>
      <c r="I952" s="124"/>
      <c r="J952" s="124"/>
      <c r="K952" s="124"/>
      <c r="L952" s="124"/>
      <c r="M952" s="124"/>
      <c r="N952" s="124"/>
      <c r="O952" s="140"/>
      <c r="P952" s="124"/>
      <c r="Q952" s="124"/>
      <c r="R952" s="124">
        <v>78</v>
      </c>
      <c r="S952" s="124"/>
      <c r="T952" s="124"/>
      <c r="U952" s="124"/>
    </row>
    <row r="953" spans="1:21" s="106" customFormat="1" ht="13.8">
      <c r="A953" s="125"/>
      <c r="B953" s="34">
        <v>44182</v>
      </c>
      <c r="C953" s="124" t="s">
        <v>297</v>
      </c>
      <c r="D953" s="124">
        <v>163.4</v>
      </c>
      <c r="E953" s="124"/>
      <c r="F953" s="124"/>
      <c r="G953" s="124"/>
      <c r="H953" s="124">
        <v>163.4</v>
      </c>
      <c r="I953" s="124"/>
      <c r="J953" s="124"/>
      <c r="K953" s="124"/>
      <c r="L953" s="124"/>
      <c r="M953" s="124"/>
      <c r="N953" s="124"/>
      <c r="O953" s="140"/>
      <c r="P953" s="124"/>
      <c r="Q953" s="124"/>
      <c r="R953" s="124"/>
      <c r="S953" s="124"/>
      <c r="T953" s="124"/>
      <c r="U953" s="124"/>
    </row>
    <row r="954" spans="1:21" s="106" customFormat="1" ht="13.8">
      <c r="A954" s="125"/>
      <c r="B954" s="34">
        <v>44182</v>
      </c>
      <c r="C954" s="124" t="s">
        <v>192</v>
      </c>
      <c r="D954" s="124">
        <v>54</v>
      </c>
      <c r="E954" s="124"/>
      <c r="F954" s="124"/>
      <c r="G954" s="124"/>
      <c r="H954" s="124"/>
      <c r="I954" s="124"/>
      <c r="J954" s="124"/>
      <c r="K954" s="124"/>
      <c r="L954" s="124">
        <v>54</v>
      </c>
      <c r="M954" s="124"/>
      <c r="N954" s="124"/>
      <c r="O954" s="140"/>
      <c r="P954" s="124"/>
      <c r="Q954" s="124"/>
      <c r="R954" s="124"/>
      <c r="S954" s="124"/>
      <c r="T954" s="124"/>
      <c r="U954" s="124"/>
    </row>
    <row r="955" spans="1:21" s="106" customFormat="1" ht="13.8">
      <c r="A955" s="125"/>
      <c r="B955" s="34">
        <v>44182</v>
      </c>
      <c r="C955" s="124" t="s">
        <v>41</v>
      </c>
      <c r="D955" s="124">
        <v>129</v>
      </c>
      <c r="E955" s="124"/>
      <c r="F955" s="124">
        <v>109</v>
      </c>
      <c r="G955" s="124">
        <v>20</v>
      </c>
      <c r="H955" s="124"/>
      <c r="I955" s="124"/>
      <c r="J955" s="124"/>
      <c r="K955" s="124"/>
      <c r="L955" s="124"/>
      <c r="M955" s="124"/>
      <c r="N955" s="124"/>
      <c r="O955" s="140"/>
      <c r="P955" s="124"/>
      <c r="Q955" s="124"/>
      <c r="R955" s="124"/>
      <c r="S955" s="124"/>
      <c r="T955" s="124"/>
      <c r="U955" s="124"/>
    </row>
    <row r="956" spans="1:21" s="106" customFormat="1" ht="13.8">
      <c r="A956" s="125"/>
      <c r="B956" s="34">
        <v>44182</v>
      </c>
      <c r="C956" s="124" t="s">
        <v>241</v>
      </c>
      <c r="D956" s="124">
        <v>165</v>
      </c>
      <c r="E956" s="124"/>
      <c r="F956" s="124"/>
      <c r="G956" s="124">
        <v>165</v>
      </c>
      <c r="H956" s="124"/>
      <c r="I956" s="124"/>
      <c r="J956" s="124"/>
      <c r="K956" s="124"/>
      <c r="L956" s="124"/>
      <c r="M956" s="124"/>
      <c r="N956" s="124"/>
      <c r="O956" s="140"/>
      <c r="P956" s="124"/>
      <c r="Q956" s="124"/>
      <c r="R956" s="124"/>
      <c r="S956" s="124"/>
      <c r="T956" s="124"/>
      <c r="U956" s="124"/>
    </row>
    <row r="957" spans="1:21" s="106" customFormat="1" ht="13.8">
      <c r="A957" s="125"/>
      <c r="B957" s="34">
        <v>44183</v>
      </c>
      <c r="C957" s="124" t="s">
        <v>40</v>
      </c>
      <c r="D957" s="124">
        <v>34.75</v>
      </c>
      <c r="E957" s="124"/>
      <c r="F957" s="124"/>
      <c r="G957" s="124">
        <v>34.75</v>
      </c>
      <c r="H957" s="124"/>
      <c r="I957" s="124"/>
      <c r="J957" s="124"/>
      <c r="K957" s="124"/>
      <c r="L957" s="124"/>
      <c r="M957" s="124"/>
      <c r="N957" s="124"/>
      <c r="O957" s="140"/>
      <c r="P957" s="124"/>
      <c r="Q957" s="124"/>
      <c r="R957" s="124"/>
      <c r="S957" s="124"/>
      <c r="T957" s="124"/>
      <c r="U957" s="124"/>
    </row>
    <row r="958" spans="1:21" s="106" customFormat="1" ht="13.8">
      <c r="A958" s="125"/>
      <c r="B958" s="34">
        <v>44183</v>
      </c>
      <c r="C958" s="124" t="s">
        <v>162</v>
      </c>
      <c r="D958" s="124">
        <v>39.5</v>
      </c>
      <c r="E958" s="124"/>
      <c r="F958" s="124">
        <v>39.5</v>
      </c>
      <c r="G958" s="124"/>
      <c r="H958" s="124"/>
      <c r="I958" s="124"/>
      <c r="J958" s="124"/>
      <c r="K958" s="124"/>
      <c r="L958" s="124"/>
      <c r="M958" s="124"/>
      <c r="N958" s="124"/>
      <c r="O958" s="140"/>
      <c r="P958" s="124"/>
      <c r="Q958" s="124"/>
      <c r="R958" s="124"/>
      <c r="S958" s="124"/>
      <c r="T958" s="124"/>
      <c r="U958" s="124"/>
    </row>
    <row r="959" spans="1:21" s="106" customFormat="1" ht="13.8">
      <c r="A959" s="125"/>
      <c r="B959" s="34">
        <v>44185</v>
      </c>
      <c r="C959" s="124" t="s">
        <v>42</v>
      </c>
      <c r="D959" s="124">
        <v>396.88</v>
      </c>
      <c r="E959" s="124"/>
      <c r="F959" s="124"/>
      <c r="G959" s="124">
        <v>255.98</v>
      </c>
      <c r="H959" s="124"/>
      <c r="I959" s="124"/>
      <c r="J959" s="124"/>
      <c r="K959" s="124"/>
      <c r="L959" s="124">
        <v>140.9</v>
      </c>
      <c r="M959" s="124"/>
      <c r="N959" s="124"/>
      <c r="O959" s="140"/>
      <c r="P959" s="124"/>
      <c r="Q959" s="124"/>
      <c r="R959" s="124"/>
      <c r="S959" s="124"/>
      <c r="T959" s="124"/>
      <c r="U959" s="124"/>
    </row>
    <row r="960" spans="1:21" s="106" customFormat="1" ht="13.8">
      <c r="A960" s="125"/>
      <c r="B960" s="34">
        <v>44187</v>
      </c>
      <c r="C960" s="124" t="s">
        <v>167</v>
      </c>
      <c r="D960" s="124">
        <v>200</v>
      </c>
      <c r="E960" s="124"/>
      <c r="F960" s="124">
        <v>200</v>
      </c>
      <c r="G960" s="124"/>
      <c r="H960" s="124"/>
      <c r="I960" s="124"/>
      <c r="J960" s="124"/>
      <c r="K960" s="124"/>
      <c r="L960" s="124"/>
      <c r="M960" s="124"/>
      <c r="N960" s="124"/>
      <c r="O960" s="140"/>
      <c r="P960" s="124"/>
      <c r="Q960" s="124"/>
      <c r="R960" s="124"/>
      <c r="S960" s="124"/>
      <c r="T960" s="124"/>
      <c r="U960" s="124"/>
    </row>
    <row r="961" spans="1:49" s="106" customFormat="1" ht="13.8">
      <c r="A961" s="125"/>
      <c r="B961" s="34">
        <v>44187</v>
      </c>
      <c r="C961" s="124" t="s">
        <v>42</v>
      </c>
      <c r="D961" s="124">
        <f>86.95+120.2</f>
        <v>207.15</v>
      </c>
      <c r="E961" s="124"/>
      <c r="F961" s="124"/>
      <c r="G961" s="124">
        <v>168.15</v>
      </c>
      <c r="H961" s="124"/>
      <c r="I961" s="124"/>
      <c r="J961" s="124"/>
      <c r="K961" s="124"/>
      <c r="L961" s="124"/>
      <c r="M961" s="124"/>
      <c r="N961" s="124"/>
      <c r="O961" s="140"/>
      <c r="P961" s="124"/>
      <c r="Q961" s="124"/>
      <c r="R961" s="124">
        <v>39</v>
      </c>
      <c r="S961" s="124"/>
      <c r="T961" s="124"/>
      <c r="U961" s="124"/>
    </row>
    <row r="962" spans="1:49" s="106" customFormat="1" ht="13.8">
      <c r="A962" s="125"/>
      <c r="B962" s="34">
        <v>44189</v>
      </c>
      <c r="C962" s="124" t="s">
        <v>40</v>
      </c>
      <c r="D962" s="124">
        <v>52.2</v>
      </c>
      <c r="E962" s="124"/>
      <c r="F962" s="124"/>
      <c r="G962" s="124">
        <v>20.9</v>
      </c>
      <c r="H962" s="124"/>
      <c r="I962" s="124"/>
      <c r="J962" s="124"/>
      <c r="K962" s="124"/>
      <c r="L962" s="124"/>
      <c r="M962" s="124"/>
      <c r="N962" s="124"/>
      <c r="O962" s="140"/>
      <c r="P962" s="124"/>
      <c r="Q962" s="124"/>
      <c r="R962" s="124"/>
      <c r="S962" s="124"/>
      <c r="T962" s="124"/>
      <c r="U962" s="124">
        <v>31.3</v>
      </c>
    </row>
    <row r="963" spans="1:49" s="106" customFormat="1" ht="13.8">
      <c r="A963" s="125"/>
      <c r="B963" s="34">
        <v>24.12</v>
      </c>
      <c r="C963" s="124" t="s">
        <v>58</v>
      </c>
      <c r="D963" s="124">
        <v>200</v>
      </c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40"/>
      <c r="P963" s="124"/>
      <c r="Q963" s="124"/>
      <c r="R963" s="124"/>
      <c r="S963" s="124"/>
      <c r="T963" s="124">
        <v>200</v>
      </c>
      <c r="U963" s="124"/>
    </row>
    <row r="964" spans="1:49" s="106" customFormat="1" ht="13.8">
      <c r="A964" s="125"/>
      <c r="B964" s="34">
        <v>44192</v>
      </c>
      <c r="C964" s="124" t="s">
        <v>39</v>
      </c>
      <c r="D964" s="124">
        <v>98.4</v>
      </c>
      <c r="E964" s="124"/>
      <c r="F964" s="124"/>
      <c r="G964" s="124">
        <v>98.4</v>
      </c>
      <c r="H964" s="124"/>
      <c r="I964" s="124"/>
      <c r="J964" s="124"/>
      <c r="K964" s="124"/>
      <c r="L964" s="124"/>
      <c r="M964" s="124"/>
      <c r="N964" s="124"/>
      <c r="O964" s="140"/>
      <c r="P964" s="124"/>
      <c r="Q964" s="124"/>
      <c r="R964" s="124"/>
      <c r="S964" s="124"/>
      <c r="T964" s="124"/>
      <c r="U964" s="124"/>
    </row>
    <row r="965" spans="1:49" s="106" customFormat="1" ht="13.8">
      <c r="A965" s="125"/>
      <c r="B965" s="34">
        <v>44193</v>
      </c>
      <c r="C965" s="124" t="s">
        <v>40</v>
      </c>
      <c r="D965" s="124">
        <v>130</v>
      </c>
      <c r="E965" s="124"/>
      <c r="F965" s="124"/>
      <c r="G965" s="124">
        <v>20</v>
      </c>
      <c r="H965" s="124"/>
      <c r="I965" s="124"/>
      <c r="J965" s="124">
        <v>110</v>
      </c>
      <c r="K965" s="124"/>
      <c r="L965" s="124"/>
      <c r="M965" s="124"/>
      <c r="N965" s="124"/>
      <c r="O965" s="140"/>
      <c r="P965" s="124"/>
      <c r="Q965" s="124"/>
      <c r="R965" s="124"/>
      <c r="S965" s="124"/>
      <c r="T965" s="124"/>
      <c r="U965" s="124"/>
    </row>
    <row r="966" spans="1:49" s="120" customFormat="1" ht="12" customHeight="1">
      <c r="A966" s="60"/>
      <c r="B966" s="248" t="str">
        <f>B892</f>
        <v>december</v>
      </c>
      <c r="C966" s="247" t="s">
        <v>36</v>
      </c>
      <c r="D966" s="247">
        <f>SUM(D967:D969)</f>
        <v>0</v>
      </c>
      <c r="E966" s="247">
        <f t="shared" ref="E966:T966" si="41">SUM(E967:E968)</f>
        <v>0</v>
      </c>
      <c r="F966" s="247">
        <f t="shared" si="41"/>
        <v>-1143.56</v>
      </c>
      <c r="G966" s="247">
        <f t="shared" si="41"/>
        <v>0</v>
      </c>
      <c r="H966" s="247">
        <f t="shared" si="41"/>
        <v>0</v>
      </c>
      <c r="I966" s="247">
        <f t="shared" si="41"/>
        <v>0</v>
      </c>
      <c r="J966" s="247">
        <f t="shared" si="41"/>
        <v>0</v>
      </c>
      <c r="K966" s="247">
        <f t="shared" si="41"/>
        <v>0</v>
      </c>
      <c r="L966" s="247">
        <f t="shared" si="41"/>
        <v>0</v>
      </c>
      <c r="M966" s="247">
        <f t="shared" si="41"/>
        <v>0</v>
      </c>
      <c r="N966" s="247">
        <f t="shared" si="41"/>
        <v>0</v>
      </c>
      <c r="O966" s="247">
        <f t="shared" si="41"/>
        <v>-1143.56</v>
      </c>
      <c r="P966" s="247">
        <f t="shared" si="41"/>
        <v>0</v>
      </c>
      <c r="Q966" s="247">
        <f t="shared" si="41"/>
        <v>0</v>
      </c>
      <c r="R966" s="247">
        <f t="shared" si="41"/>
        <v>0</v>
      </c>
      <c r="S966" s="247">
        <f t="shared" si="41"/>
        <v>0</v>
      </c>
      <c r="T966" s="247">
        <f t="shared" si="41"/>
        <v>0</v>
      </c>
      <c r="U966" s="247">
        <f>SUM(U967:U967)</f>
        <v>0</v>
      </c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  <c r="AP966" s="105"/>
      <c r="AQ966" s="105"/>
      <c r="AR966" s="105"/>
      <c r="AS966" s="105"/>
      <c r="AT966" s="105"/>
      <c r="AU966" s="105"/>
      <c r="AV966" s="105"/>
      <c r="AW966" s="105"/>
    </row>
    <row r="967" spans="1:49" s="120" customFormat="1" ht="12" customHeight="1">
      <c r="A967" s="60"/>
      <c r="B967" s="248"/>
      <c r="C967" s="247"/>
      <c r="D967" s="247"/>
      <c r="E967" s="247"/>
      <c r="F967" s="247"/>
      <c r="G967" s="247"/>
      <c r="H967" s="247"/>
      <c r="I967" s="247"/>
      <c r="J967" s="247"/>
      <c r="K967" s="247"/>
      <c r="L967" s="247"/>
      <c r="M967" s="247"/>
      <c r="N967" s="247"/>
      <c r="O967" s="247"/>
      <c r="P967" s="247"/>
      <c r="Q967" s="247"/>
      <c r="R967" s="247"/>
      <c r="S967" s="247"/>
      <c r="T967" s="247"/>
      <c r="U967" s="247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  <c r="AP967" s="105"/>
      <c r="AQ967" s="105"/>
      <c r="AR967" s="105"/>
      <c r="AS967" s="105"/>
      <c r="AT967" s="105"/>
      <c r="AU967" s="105"/>
      <c r="AV967" s="105"/>
      <c r="AW967" s="105"/>
    </row>
    <row r="968" spans="1:49" s="106" customFormat="1" ht="13.8">
      <c r="A968" s="125"/>
      <c r="B968" s="246"/>
      <c r="C968" s="244" t="s">
        <v>228</v>
      </c>
      <c r="D968" s="245"/>
      <c r="E968" s="245"/>
      <c r="F968" s="245">
        <v>-1143.56</v>
      </c>
      <c r="G968" s="244"/>
      <c r="H968" s="244"/>
      <c r="I968" s="244"/>
      <c r="J968" s="244"/>
      <c r="K968" s="244"/>
      <c r="L968" s="244"/>
      <c r="M968" s="244"/>
      <c r="N968" s="244"/>
      <c r="O968" s="244">
        <v>-1143.56</v>
      </c>
      <c r="P968" s="244"/>
      <c r="Q968" s="244"/>
      <c r="R968" s="244"/>
      <c r="S968" s="244"/>
      <c r="T968" s="244"/>
      <c r="U968" s="244"/>
    </row>
    <row r="970" spans="1:49" ht="13.8">
      <c r="B970" s="236" t="s">
        <v>33</v>
      </c>
      <c r="C970" s="234">
        <v>205</v>
      </c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43"/>
    </row>
    <row r="971" spans="1:49" ht="13.8">
      <c r="B971" s="236" t="s">
        <v>6</v>
      </c>
      <c r="C971" s="234">
        <v>9780</v>
      </c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106"/>
      <c r="Q971" s="106"/>
      <c r="R971" s="106"/>
      <c r="S971" s="237"/>
    </row>
    <row r="972" spans="1:49" ht="13.8">
      <c r="B972" s="236" t="s">
        <v>2</v>
      </c>
      <c r="C972" s="234">
        <v>3458</v>
      </c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</row>
    <row r="973" spans="1:49" ht="13.8">
      <c r="B973" s="236" t="s">
        <v>1</v>
      </c>
      <c r="C973" s="234">
        <f>(C971-C972)*0.39</f>
        <v>2465.58</v>
      </c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13"/>
    </row>
    <row r="974" spans="1:49" ht="14.4" thickBot="1">
      <c r="B974" s="242" t="s">
        <v>5</v>
      </c>
      <c r="C974" s="241">
        <v>7315</v>
      </c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3"/>
    </row>
    <row r="975" spans="1:49" ht="13.8">
      <c r="B975" s="236" t="s">
        <v>4</v>
      </c>
      <c r="C975" s="234">
        <f>C980</f>
        <v>11306</v>
      </c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13"/>
    </row>
    <row r="976" spans="1:49" ht="13.8">
      <c r="B976" s="236" t="s">
        <v>3</v>
      </c>
      <c r="C976" s="234">
        <v>16044</v>
      </c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13"/>
    </row>
    <row r="977" spans="1:21" ht="13.8">
      <c r="B977" s="236" t="s">
        <v>2</v>
      </c>
      <c r="C977" s="234">
        <v>4042</v>
      </c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13"/>
    </row>
    <row r="978" spans="1:21" ht="13.8">
      <c r="B978" s="236" t="s">
        <v>1</v>
      </c>
      <c r="C978" s="234">
        <v>4644</v>
      </c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13"/>
    </row>
    <row r="979" spans="1:21" ht="13.8">
      <c r="B979" s="236" t="s">
        <v>1</v>
      </c>
      <c r="C979" s="234">
        <v>94</v>
      </c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13"/>
    </row>
    <row r="980" spans="1:21" ht="14.4" thickBot="1">
      <c r="B980" s="242" t="s">
        <v>0</v>
      </c>
      <c r="C980" s="241">
        <f>C976-C978-C979</f>
        <v>11306</v>
      </c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3"/>
    </row>
    <row r="981" spans="1:21" ht="13.8">
      <c r="A981" s="97"/>
      <c r="B981" s="240" t="s">
        <v>182</v>
      </c>
      <c r="C981" s="239">
        <v>264</v>
      </c>
      <c r="D981" s="238">
        <f>'2019'!O1022</f>
        <v>4848.49</v>
      </c>
      <c r="E981" s="238">
        <f t="shared" ref="E981:J981" si="42">D981-264</f>
        <v>4584.49</v>
      </c>
      <c r="F981" s="238">
        <f t="shared" si="42"/>
        <v>4320.49</v>
      </c>
      <c r="G981" s="238">
        <f t="shared" si="42"/>
        <v>4056.49</v>
      </c>
      <c r="H981" s="238">
        <f t="shared" si="42"/>
        <v>3792.49</v>
      </c>
      <c r="I981" s="238">
        <f t="shared" si="42"/>
        <v>3528.49</v>
      </c>
      <c r="J981" s="238">
        <f t="shared" si="42"/>
        <v>3264.49</v>
      </c>
      <c r="K981" s="238">
        <v>3317.48</v>
      </c>
      <c r="L981" s="238">
        <f>K981-$C$981</f>
        <v>3053.48</v>
      </c>
      <c r="M981" s="238">
        <f>L981-$C$981</f>
        <v>2789.48</v>
      </c>
      <c r="N981" s="238">
        <v>2707.81</v>
      </c>
      <c r="O981" s="238"/>
      <c r="P981" s="106"/>
      <c r="Q981" s="106"/>
      <c r="R981" s="106"/>
      <c r="S981" s="237"/>
      <c r="T981" s="97"/>
      <c r="U981" s="97"/>
    </row>
    <row r="982" spans="1:21" ht="13.8">
      <c r="A982" s="97"/>
      <c r="B982" s="240" t="s">
        <v>265</v>
      </c>
      <c r="C982" s="239">
        <v>490</v>
      </c>
      <c r="D982" s="238"/>
      <c r="E982" s="238"/>
      <c r="F982" s="238"/>
      <c r="G982" s="238"/>
      <c r="H982" s="238"/>
      <c r="I982" s="238"/>
      <c r="J982" s="238"/>
      <c r="K982" s="238"/>
      <c r="L982" s="238">
        <v>744.55</v>
      </c>
      <c r="M982" s="238">
        <f>L982-423.3</f>
        <v>321.24999999999994</v>
      </c>
      <c r="N982" s="238">
        <v>0</v>
      </c>
      <c r="O982" s="238"/>
      <c r="P982" s="106"/>
      <c r="Q982" s="106"/>
      <c r="R982" s="106"/>
      <c r="S982" s="237"/>
      <c r="T982" s="97"/>
      <c r="U982" s="97"/>
    </row>
    <row r="983" spans="1:21" ht="13.8">
      <c r="A983" s="97"/>
      <c r="B983" s="236" t="s">
        <v>296</v>
      </c>
      <c r="C983" s="234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13"/>
      <c r="Q983" s="97"/>
      <c r="R983" s="97"/>
      <c r="S983" s="97"/>
      <c r="T983" s="97"/>
      <c r="U983" s="97"/>
    </row>
    <row r="984" spans="1:21" ht="13.8">
      <c r="A984" s="97"/>
      <c r="B984" s="110" t="s">
        <v>296</v>
      </c>
      <c r="C984" s="109"/>
      <c r="D984" s="15"/>
      <c r="E984" s="234"/>
      <c r="F984" s="234"/>
      <c r="G984" s="234"/>
      <c r="H984" s="234"/>
      <c r="I984" s="234"/>
      <c r="J984" s="234"/>
      <c r="K984" s="234"/>
      <c r="L984" s="234"/>
      <c r="M984" s="234"/>
      <c r="N984" s="234"/>
      <c r="O984" s="234"/>
      <c r="P984" s="13"/>
      <c r="Q984" s="97"/>
      <c r="R984" s="97"/>
      <c r="S984" s="97"/>
      <c r="T984" s="97"/>
      <c r="U984" s="97"/>
    </row>
    <row r="985" spans="1:21" ht="13.8">
      <c r="A985" s="97"/>
      <c r="B985" s="110" t="s">
        <v>295</v>
      </c>
      <c r="C985" s="109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3"/>
      <c r="Q985" s="97"/>
      <c r="R985" s="97"/>
      <c r="S985" s="97"/>
      <c r="T985" s="97"/>
      <c r="U985" s="97"/>
    </row>
    <row r="986" spans="1:21" ht="13.8">
      <c r="A986" s="97"/>
      <c r="B986" s="110" t="s">
        <v>294</v>
      </c>
      <c r="C986" s="109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4"/>
      <c r="P986" s="13"/>
      <c r="Q986" s="97"/>
      <c r="R986" s="97"/>
      <c r="S986" s="97"/>
      <c r="T986" s="97"/>
      <c r="U986" s="97"/>
    </row>
    <row r="987" spans="1:21" ht="13.8">
      <c r="A987" s="97"/>
      <c r="B987" s="110" t="s">
        <v>293</v>
      </c>
      <c r="C987" s="109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4"/>
      <c r="P987" s="13"/>
      <c r="Q987" s="97"/>
      <c r="R987" s="97"/>
      <c r="S987" s="97"/>
      <c r="T987" s="97"/>
      <c r="U987" s="97"/>
    </row>
    <row r="988" spans="1:21" ht="13.8">
      <c r="A988" s="97"/>
      <c r="B988" s="110" t="s">
        <v>292</v>
      </c>
      <c r="C988" s="109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4"/>
      <c r="P988" s="13"/>
      <c r="Q988" s="97"/>
      <c r="R988" s="97"/>
      <c r="S988" s="97"/>
      <c r="T988" s="97"/>
      <c r="U988" s="97"/>
    </row>
    <row r="989" spans="1:21" ht="13.8">
      <c r="A989" s="97"/>
      <c r="B989" s="110" t="s">
        <v>291</v>
      </c>
      <c r="C989" s="109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4"/>
      <c r="P989" s="13"/>
      <c r="Q989" s="97"/>
      <c r="R989" s="97"/>
      <c r="S989" s="97"/>
      <c r="T989" s="97"/>
      <c r="U989" s="97"/>
    </row>
    <row r="990" spans="1:21" ht="13.8">
      <c r="A990" s="97"/>
      <c r="B990" s="110"/>
      <c r="C990" s="109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4"/>
      <c r="P990" s="13"/>
      <c r="Q990" s="97"/>
      <c r="R990" s="97"/>
      <c r="S990" s="97"/>
      <c r="T990" s="97"/>
      <c r="U990" s="97"/>
    </row>
    <row r="991" spans="1:21" ht="13.8">
      <c r="A991" s="97"/>
      <c r="B991" s="110"/>
      <c r="C991" s="109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4"/>
      <c r="P991" s="13"/>
      <c r="Q991" s="97"/>
      <c r="R991" s="97"/>
      <c r="S991" s="97"/>
      <c r="T991" s="97"/>
      <c r="U991" s="97"/>
    </row>
  </sheetData>
  <sheetProtection formatCells="0" formatColumns="0" formatRows="0" insertColumns="0" insertRows="0" insertHyperlinks="0" deleteColumns="0" deleteRows="0" sort="0" autoFilter="0" pivotTables="0"/>
  <mergeCells count="29">
    <mergeCell ref="B227:C227"/>
    <mergeCell ref="B296:C296"/>
    <mergeCell ref="V3:AA3"/>
    <mergeCell ref="T3:U3"/>
    <mergeCell ref="R35:R36"/>
    <mergeCell ref="B162:C162"/>
    <mergeCell ref="B39:C39"/>
    <mergeCell ref="B85:B86"/>
    <mergeCell ref="C85:C86"/>
    <mergeCell ref="B87:C87"/>
    <mergeCell ref="O33:P33"/>
    <mergeCell ref="O35:P36"/>
    <mergeCell ref="Q35:Q36"/>
    <mergeCell ref="B679:C679"/>
    <mergeCell ref="B800:C800"/>
    <mergeCell ref="B892:C892"/>
    <mergeCell ref="T2:U2"/>
    <mergeCell ref="O34:P34"/>
    <mergeCell ref="O8:P8"/>
    <mergeCell ref="O3:P3"/>
    <mergeCell ref="U35:U36"/>
    <mergeCell ref="S35:S36"/>
    <mergeCell ref="T35:T36"/>
    <mergeCell ref="O2:P2"/>
    <mergeCell ref="B607:C607"/>
    <mergeCell ref="B165:C165"/>
    <mergeCell ref="B370:C370"/>
    <mergeCell ref="B444:C444"/>
    <mergeCell ref="B524:C52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E1029"/>
  <sheetViews>
    <sheetView topLeftCell="A40" workbookViewId="0">
      <pane ySplit="5" topLeftCell="A616" activePane="bottomLeft" state="frozen"/>
      <selection activeCell="EZ40" sqref="EZ40"/>
      <selection pane="bottomLeft" activeCell="EZ40" sqref="EZ40"/>
    </sheetView>
  </sheetViews>
  <sheetFormatPr defaultColWidth="9.109375" defaultRowHeight="13.2"/>
  <cols>
    <col min="1" max="1" width="0.6640625" style="276" customWidth="1"/>
    <col min="2" max="2" width="14.88671875" style="275" customWidth="1"/>
    <col min="3" max="3" width="17.44140625" style="274" customWidth="1"/>
    <col min="4" max="23" width="10.6640625" style="274" customWidth="1"/>
    <col min="24" max="16384" width="9.109375" style="273"/>
  </cols>
  <sheetData>
    <row r="1" spans="1:56" s="285" customFormat="1" ht="12" customHeight="1">
      <c r="A1" s="289"/>
      <c r="B1" s="438"/>
      <c r="C1" s="437" t="s">
        <v>122</v>
      </c>
      <c r="D1" s="437" t="s">
        <v>121</v>
      </c>
      <c r="E1" s="437" t="s">
        <v>120</v>
      </c>
      <c r="F1" s="437" t="s">
        <v>119</v>
      </c>
      <c r="G1" s="437" t="s">
        <v>118</v>
      </c>
      <c r="H1" s="437" t="s">
        <v>44</v>
      </c>
      <c r="I1" s="437" t="s">
        <v>117</v>
      </c>
      <c r="J1" s="437" t="s">
        <v>116</v>
      </c>
      <c r="K1" s="437" t="s">
        <v>115</v>
      </c>
      <c r="L1" s="437" t="s">
        <v>114</v>
      </c>
      <c r="M1" s="437" t="s">
        <v>113</v>
      </c>
      <c r="N1" s="437" t="s">
        <v>112</v>
      </c>
      <c r="O1" s="437" t="s">
        <v>550</v>
      </c>
      <c r="P1" s="437" t="s">
        <v>426</v>
      </c>
      <c r="Q1" s="437"/>
      <c r="R1" s="437"/>
      <c r="S1" s="437"/>
      <c r="T1" s="437"/>
      <c r="U1" s="437"/>
      <c r="V1" s="437"/>
      <c r="W1" s="437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</row>
    <row r="2" spans="1:56" s="357" customFormat="1" ht="16.5" customHeight="1">
      <c r="A2" s="367"/>
      <c r="B2" s="436" t="s">
        <v>290</v>
      </c>
      <c r="C2" s="435">
        <f t="shared" ref="C2:N2" si="0">SUM(C3:C7)</f>
        <v>-19507</v>
      </c>
      <c r="D2" s="435">
        <f t="shared" si="0"/>
        <v>-30780</v>
      </c>
      <c r="E2" s="435">
        <f t="shared" si="0"/>
        <v>-20045</v>
      </c>
      <c r="F2" s="435">
        <f t="shared" si="0"/>
        <v>-20045</v>
      </c>
      <c r="G2" s="435">
        <f t="shared" si="0"/>
        <v>-20045</v>
      </c>
      <c r="H2" s="435">
        <f t="shared" si="0"/>
        <v>-19973</v>
      </c>
      <c r="I2" s="435">
        <f t="shared" si="0"/>
        <v>-19973</v>
      </c>
      <c r="J2" s="435">
        <f t="shared" si="0"/>
        <v>-19973</v>
      </c>
      <c r="K2" s="435">
        <f t="shared" si="0"/>
        <v>-19973</v>
      </c>
      <c r="L2" s="435">
        <f t="shared" si="0"/>
        <v>-19973</v>
      </c>
      <c r="M2" s="435">
        <f t="shared" si="0"/>
        <v>-8796</v>
      </c>
      <c r="N2" s="434" t="e">
        <f t="shared" si="0"/>
        <v>#REF!</v>
      </c>
      <c r="O2" s="433"/>
      <c r="P2" s="432"/>
      <c r="Q2" s="431"/>
      <c r="R2" s="430"/>
      <c r="S2" s="430"/>
      <c r="T2" s="431"/>
      <c r="U2" s="430"/>
      <c r="V2" s="429"/>
      <c r="W2" s="429"/>
    </row>
    <row r="3" spans="1:56" ht="12" customHeight="1">
      <c r="A3" s="367"/>
      <c r="B3" s="424" t="s">
        <v>35</v>
      </c>
      <c r="C3" s="423">
        <v>-11448</v>
      </c>
      <c r="D3" s="423">
        <v>-11306</v>
      </c>
      <c r="E3" s="423">
        <v>-11306</v>
      </c>
      <c r="F3" s="423">
        <v>-11306</v>
      </c>
      <c r="G3" s="423">
        <v>-11306</v>
      </c>
      <c r="H3" s="423">
        <v>-11306</v>
      </c>
      <c r="I3" s="423">
        <v>-11306</v>
      </c>
      <c r="J3" s="423">
        <v>-11306</v>
      </c>
      <c r="K3" s="423">
        <v>-11306</v>
      </c>
      <c r="L3" s="423">
        <v>-11306</v>
      </c>
      <c r="M3" s="423">
        <f>D899</f>
        <v>0</v>
      </c>
      <c r="N3" s="422" t="e">
        <f>#REF!</f>
        <v>#REF!</v>
      </c>
      <c r="O3" s="428" t="e">
        <f>SUM(C3:N3)</f>
        <v>#REF!</v>
      </c>
      <c r="P3" s="427" t="e">
        <f>O3/12</f>
        <v>#REF!</v>
      </c>
      <c r="Q3" s="426"/>
      <c r="R3" s="426"/>
      <c r="S3" s="426"/>
      <c r="T3" s="426"/>
      <c r="U3" s="426"/>
      <c r="V3" s="425"/>
      <c r="W3" s="425"/>
    </row>
    <row r="4" spans="1:56" ht="12" customHeight="1">
      <c r="A4" s="367"/>
      <c r="B4" s="424" t="s">
        <v>34</v>
      </c>
      <c r="C4" s="423">
        <v>-6707</v>
      </c>
      <c r="D4" s="423">
        <v>-18122</v>
      </c>
      <c r="E4" s="423">
        <v>-7387</v>
      </c>
      <c r="F4" s="423">
        <v>-7387</v>
      </c>
      <c r="G4" s="423">
        <v>-7387</v>
      </c>
      <c r="H4" s="423">
        <v>-7315</v>
      </c>
      <c r="I4" s="423">
        <v>-7315</v>
      </c>
      <c r="J4" s="423">
        <v>-7315</v>
      </c>
      <c r="K4" s="423">
        <v>-7315</v>
      </c>
      <c r="L4" s="423">
        <v>-7315</v>
      </c>
      <c r="M4" s="423">
        <f>D812</f>
        <v>-7315</v>
      </c>
      <c r="N4" s="422" t="e">
        <f>#REF!</f>
        <v>#REF!</v>
      </c>
      <c r="O4" s="428" t="e">
        <f>SUM(C4:N4)</f>
        <v>#REF!</v>
      </c>
      <c r="P4" s="427" t="e">
        <f>O4/12</f>
        <v>#REF!</v>
      </c>
      <c r="Q4" s="426"/>
      <c r="R4" s="426"/>
      <c r="S4" s="426"/>
      <c r="T4" s="426"/>
      <c r="U4" s="426"/>
      <c r="V4" s="425"/>
      <c r="W4" s="425"/>
    </row>
    <row r="5" spans="1:56" ht="12" customHeight="1">
      <c r="A5" s="367"/>
      <c r="B5" s="424" t="s">
        <v>33</v>
      </c>
      <c r="C5" s="423">
        <v>-205</v>
      </c>
      <c r="D5" s="423">
        <v>-205</v>
      </c>
      <c r="E5" s="423">
        <v>-205</v>
      </c>
      <c r="F5" s="423">
        <v>-205</v>
      </c>
      <c r="G5" s="423">
        <v>-205</v>
      </c>
      <c r="H5" s="423">
        <v>-205</v>
      </c>
      <c r="I5" s="423">
        <v>-205</v>
      </c>
      <c r="J5" s="423">
        <v>-205</v>
      </c>
      <c r="K5" s="423">
        <v>-205</v>
      </c>
      <c r="L5" s="423">
        <v>-205</v>
      </c>
      <c r="M5" s="423">
        <f>D813</f>
        <v>-205</v>
      </c>
      <c r="N5" s="422" t="e">
        <f>#REF!</f>
        <v>#REF!</v>
      </c>
      <c r="O5" s="428" t="e">
        <f>SUM(C5:N5)</f>
        <v>#REF!</v>
      </c>
      <c r="P5" s="427" t="e">
        <f>O5/12</f>
        <v>#REF!</v>
      </c>
      <c r="Q5" s="426"/>
      <c r="R5" s="426"/>
      <c r="S5" s="426"/>
      <c r="T5" s="426"/>
      <c r="U5" s="426"/>
      <c r="V5" s="425"/>
      <c r="W5" s="425"/>
    </row>
    <row r="6" spans="1:56" ht="12" customHeight="1">
      <c r="A6" s="367"/>
      <c r="B6" s="424" t="s">
        <v>31</v>
      </c>
      <c r="C6" s="423">
        <v>-1147</v>
      </c>
      <c r="D6" s="423">
        <v>-1147</v>
      </c>
      <c r="E6" s="423">
        <v>-1147</v>
      </c>
      <c r="F6" s="423">
        <v>-1147</v>
      </c>
      <c r="G6" s="423">
        <v>-1147</v>
      </c>
      <c r="H6" s="423">
        <v>-1147</v>
      </c>
      <c r="I6" s="423">
        <v>-1147</v>
      </c>
      <c r="J6" s="423">
        <v>-1147</v>
      </c>
      <c r="K6" s="423">
        <v>-1147</v>
      </c>
      <c r="L6" s="423">
        <v>-1147</v>
      </c>
      <c r="M6" s="423">
        <f>D826</f>
        <v>-1276</v>
      </c>
      <c r="N6" s="422">
        <f>D918</f>
        <v>-1147</v>
      </c>
      <c r="O6" s="428">
        <f>SUM(C6:N6)</f>
        <v>-13893</v>
      </c>
      <c r="P6" s="427">
        <f>O6/12</f>
        <v>-1157.75</v>
      </c>
      <c r="Q6" s="426"/>
      <c r="R6" s="426"/>
      <c r="S6" s="426"/>
      <c r="T6" s="426"/>
      <c r="U6" s="426"/>
      <c r="V6" s="425"/>
      <c r="W6" s="425"/>
    </row>
    <row r="7" spans="1:56" ht="12" customHeight="1">
      <c r="A7" s="367"/>
      <c r="B7" s="424" t="s">
        <v>561</v>
      </c>
      <c r="C7" s="423"/>
      <c r="D7" s="423">
        <f>-U145</f>
        <v>0</v>
      </c>
      <c r="E7" s="423">
        <v>0</v>
      </c>
      <c r="F7" s="423"/>
      <c r="G7" s="423"/>
      <c r="H7" s="423"/>
      <c r="I7" s="423"/>
      <c r="J7" s="423"/>
      <c r="K7" s="423"/>
      <c r="L7" s="423"/>
      <c r="M7" s="423"/>
      <c r="N7" s="422"/>
      <c r="O7" s="421">
        <f>SUM(C7:N7)</f>
        <v>0</v>
      </c>
      <c r="P7" s="420">
        <f>O7/12</f>
        <v>0</v>
      </c>
      <c r="Q7" s="419"/>
      <c r="R7" s="419"/>
      <c r="S7" s="419"/>
      <c r="T7" s="419"/>
      <c r="U7" s="419"/>
      <c r="V7" s="418"/>
      <c r="W7" s="418"/>
    </row>
    <row r="8" spans="1:56" ht="12" customHeight="1">
      <c r="A8" s="367"/>
      <c r="B8" s="417"/>
      <c r="C8" s="416">
        <v>45</v>
      </c>
      <c r="D8" s="416">
        <v>145</v>
      </c>
      <c r="E8" s="416">
        <v>226</v>
      </c>
      <c r="F8" s="416">
        <v>291</v>
      </c>
      <c r="G8" s="416">
        <v>375</v>
      </c>
      <c r="H8" s="416">
        <v>458</v>
      </c>
      <c r="I8" s="416">
        <v>527</v>
      </c>
      <c r="J8" s="416">
        <v>608</v>
      </c>
      <c r="K8" s="416">
        <v>678</v>
      </c>
      <c r="L8" s="416">
        <v>749</v>
      </c>
      <c r="M8" s="416">
        <v>810</v>
      </c>
      <c r="N8" s="416">
        <v>839</v>
      </c>
      <c r="O8" s="415"/>
      <c r="P8" s="414"/>
      <c r="Q8" s="413"/>
      <c r="R8" s="414"/>
      <c r="S8" s="414"/>
      <c r="T8" s="413"/>
      <c r="U8" s="413"/>
      <c r="V8" s="413"/>
      <c r="W8" s="413"/>
      <c r="X8" s="412" t="s">
        <v>426</v>
      </c>
      <c r="Y8" s="411" t="s">
        <v>425</v>
      </c>
    </row>
    <row r="9" spans="1:56" s="357" customFormat="1" ht="16.5" customHeight="1">
      <c r="A9" s="410"/>
      <c r="B9" s="409" t="s">
        <v>289</v>
      </c>
      <c r="C9" s="408">
        <f t="shared" ref="C9:N9" si="1">SUM(C10:C38)</f>
        <v>19272.670000000002</v>
      </c>
      <c r="D9" s="408">
        <f t="shared" si="1"/>
        <v>30755.950000000004</v>
      </c>
      <c r="E9" s="408">
        <f t="shared" si="1"/>
        <v>20080.669999999998</v>
      </c>
      <c r="F9" s="408">
        <f t="shared" si="1"/>
        <v>12345.24</v>
      </c>
      <c r="G9" s="408">
        <f t="shared" si="1"/>
        <v>18500.89</v>
      </c>
      <c r="H9" s="408">
        <f t="shared" si="1"/>
        <v>19396.260000000002</v>
      </c>
      <c r="I9" s="408">
        <f t="shared" si="1"/>
        <v>18404.570000000003</v>
      </c>
      <c r="J9" s="408">
        <f t="shared" si="1"/>
        <v>19519.599999999999</v>
      </c>
      <c r="K9" s="408">
        <f t="shared" si="1"/>
        <v>22344.12</v>
      </c>
      <c r="L9" s="408">
        <f t="shared" si="1"/>
        <v>19958.070000000003</v>
      </c>
      <c r="M9" s="408" t="e">
        <f t="shared" si="1"/>
        <v>#REF!</v>
      </c>
      <c r="N9" s="408">
        <f t="shared" si="1"/>
        <v>25413.739999999998</v>
      </c>
      <c r="O9" s="3021" t="s">
        <v>550</v>
      </c>
      <c r="P9" s="3022"/>
      <c r="Q9" s="407" t="s">
        <v>110</v>
      </c>
      <c r="R9" s="406"/>
      <c r="S9" s="405"/>
      <c r="T9" s="404"/>
      <c r="U9" s="403"/>
      <c r="V9" s="403"/>
      <c r="W9" s="403"/>
      <c r="X9" s="287" t="s">
        <v>122</v>
      </c>
      <c r="Y9" s="388"/>
    </row>
    <row r="10" spans="1:56" ht="12" customHeight="1">
      <c r="A10" s="367"/>
      <c r="B10" s="398" t="s">
        <v>30</v>
      </c>
      <c r="C10" s="397"/>
      <c r="D10" s="397">
        <v>14948</v>
      </c>
      <c r="E10" s="397">
        <v>7474</v>
      </c>
      <c r="F10" s="397"/>
      <c r="G10" s="397">
        <v>0</v>
      </c>
      <c r="H10" s="397">
        <v>11211</v>
      </c>
      <c r="I10" s="397">
        <v>4857</v>
      </c>
      <c r="J10" s="397">
        <v>9717</v>
      </c>
      <c r="K10" s="397">
        <v>9717</v>
      </c>
      <c r="L10" s="397">
        <v>9717</v>
      </c>
      <c r="M10" s="395">
        <f>IF($M897&lt;$D827,D827,$M897)</f>
        <v>4857</v>
      </c>
      <c r="N10" s="395">
        <v>9717</v>
      </c>
      <c r="O10" s="392"/>
      <c r="P10" s="391">
        <f t="shared" ref="P10:P26" si="2">SUM(C10:N10)</f>
        <v>82215</v>
      </c>
      <c r="Q10" s="371">
        <f t="shared" ref="Q10:Q22" si="3">P10/12</f>
        <v>6851.25</v>
      </c>
      <c r="R10" s="3019" t="s">
        <v>30</v>
      </c>
      <c r="S10" s="3020"/>
      <c r="T10" s="390">
        <v>7474</v>
      </c>
      <c r="U10" s="368"/>
      <c r="V10" s="368"/>
      <c r="W10" s="368"/>
      <c r="X10" s="287" t="s">
        <v>121</v>
      </c>
      <c r="Y10" s="388">
        <v>1</v>
      </c>
    </row>
    <row r="11" spans="1:56" ht="12" customHeight="1">
      <c r="A11" s="367"/>
      <c r="B11" s="398" t="s">
        <v>265</v>
      </c>
      <c r="C11" s="397">
        <v>602.42999999999995</v>
      </c>
      <c r="D11" s="397">
        <v>602.4</v>
      </c>
      <c r="E11" s="397">
        <v>602.4</v>
      </c>
      <c r="F11" s="397">
        <v>602.4</v>
      </c>
      <c r="G11" s="397">
        <v>602.4</v>
      </c>
      <c r="H11" s="397">
        <v>602.4</v>
      </c>
      <c r="I11" s="397">
        <v>602.4</v>
      </c>
      <c r="J11" s="397">
        <v>602.4</v>
      </c>
      <c r="K11" s="397">
        <v>602.4</v>
      </c>
      <c r="L11" s="397">
        <v>602.4</v>
      </c>
      <c r="M11" s="399">
        <v>602.4</v>
      </c>
      <c r="N11" s="399">
        <v>602.4</v>
      </c>
      <c r="O11" s="402"/>
      <c r="P11" s="391">
        <f t="shared" si="2"/>
        <v>7228.8299999999981</v>
      </c>
      <c r="Q11" s="371">
        <f t="shared" si="3"/>
        <v>602.4024999999998</v>
      </c>
      <c r="R11" s="3019" t="s">
        <v>265</v>
      </c>
      <c r="S11" s="3020"/>
      <c r="T11" s="401">
        <v>602.4</v>
      </c>
      <c r="U11" s="368"/>
      <c r="V11" s="368"/>
      <c r="W11" s="368"/>
      <c r="X11" s="287" t="s">
        <v>120</v>
      </c>
      <c r="Y11" s="388">
        <v>2</v>
      </c>
    </row>
    <row r="12" spans="1:56" ht="12" customHeight="1">
      <c r="A12" s="367"/>
      <c r="B12" s="398" t="s">
        <v>264</v>
      </c>
      <c r="C12" s="397">
        <v>523</v>
      </c>
      <c r="D12" s="397">
        <v>523</v>
      </c>
      <c r="E12" s="397">
        <v>523</v>
      </c>
      <c r="F12" s="397">
        <v>523</v>
      </c>
      <c r="G12" s="397"/>
      <c r="H12" s="397"/>
      <c r="I12" s="397"/>
      <c r="J12" s="397">
        <v>490</v>
      </c>
      <c r="K12" s="397">
        <v>490</v>
      </c>
      <c r="L12" s="397">
        <v>490</v>
      </c>
      <c r="M12" s="399">
        <v>490</v>
      </c>
      <c r="N12" s="399">
        <v>490</v>
      </c>
      <c r="O12" s="392"/>
      <c r="P12" s="391">
        <f t="shared" si="2"/>
        <v>4542</v>
      </c>
      <c r="Q12" s="371">
        <f t="shared" si="3"/>
        <v>378.5</v>
      </c>
      <c r="R12" s="3019" t="s">
        <v>264</v>
      </c>
      <c r="S12" s="3020"/>
      <c r="T12" s="390">
        <v>523</v>
      </c>
      <c r="U12" s="368"/>
      <c r="V12" s="368"/>
      <c r="W12" s="368"/>
      <c r="X12" s="287" t="s">
        <v>119</v>
      </c>
      <c r="Y12" s="388"/>
    </row>
    <row r="13" spans="1:56" ht="12" customHeight="1">
      <c r="A13" s="367"/>
      <c r="B13" s="398" t="s">
        <v>182</v>
      </c>
      <c r="C13" s="397">
        <v>279</v>
      </c>
      <c r="D13" s="397">
        <v>284</v>
      </c>
      <c r="E13" s="397">
        <v>284</v>
      </c>
      <c r="F13" s="397">
        <v>284</v>
      </c>
      <c r="G13" s="397">
        <v>284</v>
      </c>
      <c r="H13" s="397">
        <v>284</v>
      </c>
      <c r="I13" s="397">
        <v>284</v>
      </c>
      <c r="J13" s="397">
        <v>284</v>
      </c>
      <c r="K13" s="397">
        <v>284</v>
      </c>
      <c r="L13" s="397">
        <v>284</v>
      </c>
      <c r="M13" s="399">
        <v>284</v>
      </c>
      <c r="N13" s="399">
        <v>284</v>
      </c>
      <c r="O13" s="392"/>
      <c r="P13" s="391">
        <f t="shared" si="2"/>
        <v>3403</v>
      </c>
      <c r="Q13" s="371">
        <f t="shared" si="3"/>
        <v>283.58333333333331</v>
      </c>
      <c r="R13" s="3019" t="s">
        <v>182</v>
      </c>
      <c r="S13" s="3020"/>
      <c r="T13" s="390">
        <v>284</v>
      </c>
      <c r="U13" s="368"/>
      <c r="V13" s="368"/>
      <c r="W13" s="368"/>
      <c r="X13" s="287" t="s">
        <v>118</v>
      </c>
      <c r="Y13" s="388">
        <v>3</v>
      </c>
    </row>
    <row r="14" spans="1:56" ht="12" customHeight="1">
      <c r="A14" s="367"/>
      <c r="B14" s="398" t="s">
        <v>183</v>
      </c>
      <c r="C14" s="397">
        <v>458.75</v>
      </c>
      <c r="D14" s="397">
        <v>458.73</v>
      </c>
      <c r="E14" s="397">
        <v>458.75</v>
      </c>
      <c r="F14" s="397">
        <v>458.75</v>
      </c>
      <c r="G14" s="397">
        <v>458.75</v>
      </c>
      <c r="H14" s="397">
        <v>458.75</v>
      </c>
      <c r="I14" s="397">
        <v>458.75</v>
      </c>
      <c r="J14" s="397">
        <v>458.75</v>
      </c>
      <c r="K14" s="397">
        <v>458.75</v>
      </c>
      <c r="L14" s="397">
        <v>458.75</v>
      </c>
      <c r="M14" s="399">
        <v>458.75</v>
      </c>
      <c r="N14" s="399">
        <v>458.75</v>
      </c>
      <c r="O14" s="392"/>
      <c r="P14" s="391">
        <f t="shared" si="2"/>
        <v>5504.98</v>
      </c>
      <c r="Q14" s="371">
        <f t="shared" si="3"/>
        <v>458.74833333333328</v>
      </c>
      <c r="R14" s="3019" t="s">
        <v>183</v>
      </c>
      <c r="S14" s="3020"/>
      <c r="T14" s="390">
        <v>458.75</v>
      </c>
      <c r="U14" s="368"/>
      <c r="V14" s="368"/>
      <c r="W14" s="368"/>
      <c r="X14" s="287" t="s">
        <v>44</v>
      </c>
      <c r="Y14" s="388"/>
    </row>
    <row r="15" spans="1:56" ht="12" customHeight="1">
      <c r="A15" s="367"/>
      <c r="B15" s="398" t="s">
        <v>20</v>
      </c>
      <c r="C15" s="397"/>
      <c r="D15" s="397">
        <v>344.73</v>
      </c>
      <c r="E15" s="397">
        <v>182.48</v>
      </c>
      <c r="F15" s="397">
        <v>176.59</v>
      </c>
      <c r="G15" s="397">
        <v>182.48</v>
      </c>
      <c r="H15" s="397">
        <v>176.59</v>
      </c>
      <c r="I15" s="397">
        <v>182.48</v>
      </c>
      <c r="J15" s="397">
        <v>182.48</v>
      </c>
      <c r="K15" s="397">
        <f>$S$15</f>
        <v>0</v>
      </c>
      <c r="L15" s="397">
        <v>182.48</v>
      </c>
      <c r="M15" s="399">
        <v>183.59</v>
      </c>
      <c r="N15" s="399">
        <v>183.59</v>
      </c>
      <c r="O15" s="392"/>
      <c r="P15" s="391">
        <f t="shared" si="2"/>
        <v>1977.49</v>
      </c>
      <c r="Q15" s="371">
        <f t="shared" si="3"/>
        <v>164.79083333333332</v>
      </c>
      <c r="R15" s="3019" t="s">
        <v>560</v>
      </c>
      <c r="S15" s="3020"/>
      <c r="T15" s="390">
        <v>176.59</v>
      </c>
      <c r="U15" s="368"/>
      <c r="V15" s="368"/>
      <c r="W15" s="368"/>
      <c r="X15" s="400" t="s">
        <v>117</v>
      </c>
      <c r="Y15" s="388">
        <v>1</v>
      </c>
    </row>
    <row r="16" spans="1:56" ht="12" customHeight="1">
      <c r="A16" s="367"/>
      <c r="B16" s="398" t="s">
        <v>472</v>
      </c>
      <c r="C16" s="397">
        <v>240</v>
      </c>
      <c r="D16" s="397">
        <v>245</v>
      </c>
      <c r="E16" s="397">
        <v>245</v>
      </c>
      <c r="F16" s="397">
        <v>245</v>
      </c>
      <c r="G16" s="397">
        <v>245</v>
      </c>
      <c r="H16" s="397"/>
      <c r="I16" s="397"/>
      <c r="J16" s="397"/>
      <c r="K16" s="397"/>
      <c r="L16" s="397"/>
      <c r="M16" s="397"/>
      <c r="N16" s="395"/>
      <c r="O16" s="392"/>
      <c r="P16" s="391">
        <f t="shared" si="2"/>
        <v>1220</v>
      </c>
      <c r="Q16" s="371">
        <f t="shared" si="3"/>
        <v>101.66666666666667</v>
      </c>
      <c r="R16" s="3019" t="s">
        <v>472</v>
      </c>
      <c r="S16" s="3020"/>
      <c r="T16" s="390">
        <v>245</v>
      </c>
      <c r="U16" s="368"/>
      <c r="V16" s="368"/>
      <c r="W16" s="368"/>
      <c r="X16" s="287" t="s">
        <v>116</v>
      </c>
      <c r="Y16" s="388">
        <v>1</v>
      </c>
    </row>
    <row r="17" spans="1:55" ht="12" customHeight="1">
      <c r="A17" s="367"/>
      <c r="B17" s="398" t="s">
        <v>472</v>
      </c>
      <c r="C17" s="397">
        <v>210</v>
      </c>
      <c r="D17" s="397">
        <v>215</v>
      </c>
      <c r="E17" s="397">
        <v>215</v>
      </c>
      <c r="F17" s="397">
        <v>215</v>
      </c>
      <c r="G17" s="397">
        <v>215</v>
      </c>
      <c r="H17" s="397"/>
      <c r="I17" s="397"/>
      <c r="J17" s="397"/>
      <c r="K17" s="397"/>
      <c r="L17" s="397"/>
      <c r="M17" s="397"/>
      <c r="N17" s="395"/>
      <c r="O17" s="392"/>
      <c r="P17" s="391">
        <f t="shared" si="2"/>
        <v>1070</v>
      </c>
      <c r="Q17" s="371">
        <f t="shared" si="3"/>
        <v>89.166666666666671</v>
      </c>
      <c r="R17" s="3019" t="s">
        <v>472</v>
      </c>
      <c r="S17" s="3020"/>
      <c r="T17" s="390">
        <v>215</v>
      </c>
      <c r="U17" s="368"/>
      <c r="V17" s="368"/>
      <c r="W17" s="368"/>
      <c r="X17" s="287" t="s">
        <v>115</v>
      </c>
      <c r="Y17" s="388"/>
    </row>
    <row r="18" spans="1:55" ht="12" customHeight="1">
      <c r="A18" s="367"/>
      <c r="B18" s="398" t="s">
        <v>481</v>
      </c>
      <c r="C18" s="397">
        <v>73</v>
      </c>
      <c r="D18" s="397">
        <v>73</v>
      </c>
      <c r="E18" s="397">
        <v>73</v>
      </c>
      <c r="F18" s="397">
        <v>73</v>
      </c>
      <c r="G18" s="397">
        <v>73</v>
      </c>
      <c r="H18" s="397"/>
      <c r="I18" s="397"/>
      <c r="J18" s="397"/>
      <c r="K18" s="397"/>
      <c r="L18" s="397"/>
      <c r="M18" s="397"/>
      <c r="N18" s="395"/>
      <c r="O18" s="392"/>
      <c r="P18" s="391">
        <f t="shared" si="2"/>
        <v>365</v>
      </c>
      <c r="Q18" s="371">
        <f t="shared" si="3"/>
        <v>30.416666666666668</v>
      </c>
      <c r="R18" s="3019" t="s">
        <v>481</v>
      </c>
      <c r="S18" s="3020"/>
      <c r="T18" s="390">
        <v>73</v>
      </c>
      <c r="U18" s="368"/>
      <c r="V18" s="368"/>
      <c r="W18" s="368"/>
      <c r="X18" s="287" t="s">
        <v>114</v>
      </c>
      <c r="Y18" s="388"/>
    </row>
    <row r="19" spans="1:55" ht="12" customHeight="1">
      <c r="A19" s="367"/>
      <c r="B19" s="398" t="s">
        <v>100</v>
      </c>
      <c r="C19" s="397">
        <v>760</v>
      </c>
      <c r="D19" s="397">
        <v>1510.25</v>
      </c>
      <c r="E19" s="397"/>
      <c r="F19" s="397"/>
      <c r="G19" s="397">
        <v>662.04</v>
      </c>
      <c r="H19" s="397"/>
      <c r="I19" s="397"/>
      <c r="J19" s="397">
        <v>-32.61</v>
      </c>
      <c r="K19" s="397"/>
      <c r="L19" s="397"/>
      <c r="M19" s="399"/>
      <c r="N19" s="395"/>
      <c r="O19" s="392"/>
      <c r="P19" s="391">
        <f t="shared" si="2"/>
        <v>2899.68</v>
      </c>
      <c r="Q19" s="371">
        <f t="shared" si="3"/>
        <v>241.64</v>
      </c>
      <c r="R19" s="3019" t="s">
        <v>100</v>
      </c>
      <c r="S19" s="3020"/>
      <c r="T19" s="390">
        <v>760</v>
      </c>
      <c r="U19" s="368"/>
      <c r="V19" s="368"/>
      <c r="W19" s="368"/>
      <c r="X19" s="287" t="s">
        <v>113</v>
      </c>
      <c r="Y19" s="388"/>
    </row>
    <row r="20" spans="1:55" ht="12" customHeight="1">
      <c r="A20" s="367"/>
      <c r="B20" s="398" t="s">
        <v>285</v>
      </c>
      <c r="C20" s="397">
        <v>1699</v>
      </c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5"/>
      <c r="O20" s="392"/>
      <c r="P20" s="391">
        <f t="shared" si="2"/>
        <v>1699</v>
      </c>
      <c r="Q20" s="371">
        <f t="shared" si="3"/>
        <v>141.58333333333334</v>
      </c>
      <c r="R20" s="3019" t="s">
        <v>559</v>
      </c>
      <c r="S20" s="3020"/>
      <c r="T20" s="390">
        <v>1700</v>
      </c>
      <c r="U20" s="368"/>
      <c r="V20" s="368"/>
      <c r="W20" s="368"/>
      <c r="X20" s="287" t="s">
        <v>112</v>
      </c>
      <c r="Y20" s="388">
        <f>SUM(Y9:Y19)</f>
        <v>8</v>
      </c>
    </row>
    <row r="21" spans="1:55" ht="12" customHeight="1">
      <c r="A21" s="367"/>
      <c r="B21" s="398" t="s">
        <v>283</v>
      </c>
      <c r="C21" s="396"/>
      <c r="D21" s="396"/>
      <c r="E21" s="397">
        <v>2545</v>
      </c>
      <c r="F21" s="396"/>
      <c r="G21" s="396"/>
      <c r="H21" s="396"/>
      <c r="I21" s="396"/>
      <c r="J21" s="396"/>
      <c r="K21" s="397">
        <v>2545</v>
      </c>
      <c r="L21" s="396"/>
      <c r="M21" s="396"/>
      <c r="N21" s="395"/>
      <c r="O21" s="392"/>
      <c r="P21" s="391">
        <f t="shared" si="2"/>
        <v>5090</v>
      </c>
      <c r="Q21" s="371">
        <f t="shared" si="3"/>
        <v>424.16666666666669</v>
      </c>
      <c r="R21" s="3019" t="s">
        <v>360</v>
      </c>
      <c r="S21" s="3020"/>
      <c r="T21" s="390">
        <v>2480</v>
      </c>
      <c r="U21" s="368"/>
      <c r="V21" s="368"/>
      <c r="W21" s="368"/>
      <c r="X21" s="389"/>
      <c r="Y21" s="388"/>
    </row>
    <row r="22" spans="1:55" ht="12" customHeight="1">
      <c r="A22" s="367"/>
      <c r="B22" s="398" t="s">
        <v>99</v>
      </c>
      <c r="C22" s="396"/>
      <c r="D22" s="397">
        <v>2323.88</v>
      </c>
      <c r="E22" s="396"/>
      <c r="F22" s="396"/>
      <c r="G22" s="396"/>
      <c r="H22" s="396"/>
      <c r="I22" s="397">
        <v>2139.06</v>
      </c>
      <c r="J22" s="396"/>
      <c r="K22" s="396"/>
      <c r="L22" s="396"/>
      <c r="M22" s="396"/>
      <c r="N22" s="395"/>
      <c r="O22" s="394"/>
      <c r="P22" s="391">
        <f t="shared" si="2"/>
        <v>4462.9400000000005</v>
      </c>
      <c r="Q22" s="371">
        <f t="shared" si="3"/>
        <v>371.91166666666669</v>
      </c>
      <c r="R22" s="3019" t="s">
        <v>99</v>
      </c>
      <c r="S22" s="3020"/>
      <c r="T22" s="393">
        <v>2300</v>
      </c>
      <c r="U22" s="368"/>
      <c r="V22" s="368"/>
      <c r="W22" s="368"/>
      <c r="X22" s="389"/>
      <c r="Y22" s="388"/>
    </row>
    <row r="23" spans="1:55" ht="12" customHeight="1">
      <c r="A23" s="367"/>
      <c r="B23" s="385" t="s">
        <v>281</v>
      </c>
      <c r="C23" s="384">
        <v>4205.62</v>
      </c>
      <c r="D23" s="384">
        <v>2128.38</v>
      </c>
      <c r="E23" s="384">
        <v>1645.68</v>
      </c>
      <c r="F23" s="384">
        <v>3044.79</v>
      </c>
      <c r="G23" s="384">
        <v>1687.95</v>
      </c>
      <c r="H23" s="384">
        <v>896</v>
      </c>
      <c r="I23" s="384">
        <v>972.35</v>
      </c>
      <c r="J23" s="384">
        <v>1101.3</v>
      </c>
      <c r="K23" s="384">
        <v>316</v>
      </c>
      <c r="L23" s="384">
        <f>1460.4+415.15</f>
        <v>1875.5500000000002</v>
      </c>
      <c r="M23" s="387">
        <f>$F897</f>
        <v>2145.67</v>
      </c>
      <c r="N23" s="383">
        <v>0</v>
      </c>
      <c r="O23" s="392"/>
      <c r="P23" s="391">
        <f t="shared" si="2"/>
        <v>20019.29</v>
      </c>
      <c r="Q23" s="371">
        <f t="shared" ref="Q23:Q33" si="4">P23/$U$23</f>
        <v>2001.9290000000001</v>
      </c>
      <c r="R23" s="3019" t="s">
        <v>37</v>
      </c>
      <c r="S23" s="3020"/>
      <c r="T23" s="390"/>
      <c r="U23" s="369">
        <f>COUNT(C34:N34)</f>
        <v>10</v>
      </c>
      <c r="V23" s="368"/>
      <c r="W23" s="368"/>
      <c r="X23" s="389"/>
      <c r="Y23" s="388"/>
    </row>
    <row r="24" spans="1:55" ht="12" customHeight="1">
      <c r="A24" s="367"/>
      <c r="B24" s="385" t="s">
        <v>279</v>
      </c>
      <c r="C24" s="384">
        <v>2783.72</v>
      </c>
      <c r="D24" s="384">
        <v>1669.25</v>
      </c>
      <c r="E24" s="384">
        <v>1747.45</v>
      </c>
      <c r="F24" s="384">
        <v>1957.35</v>
      </c>
      <c r="G24" s="384">
        <v>2367.2199999999998</v>
      </c>
      <c r="H24" s="384">
        <v>1690.7</v>
      </c>
      <c r="I24" s="384">
        <v>2193.77</v>
      </c>
      <c r="J24" s="384">
        <v>1727.36</v>
      </c>
      <c r="K24" s="384">
        <v>1453.65</v>
      </c>
      <c r="L24" s="384">
        <v>1823.88</v>
      </c>
      <c r="M24" s="387">
        <f>G897</f>
        <v>3295.3399999999997</v>
      </c>
      <c r="N24" s="383">
        <v>0</v>
      </c>
      <c r="O24" s="392"/>
      <c r="P24" s="391">
        <f t="shared" si="2"/>
        <v>22709.690000000002</v>
      </c>
      <c r="Q24" s="371">
        <f t="shared" si="4"/>
        <v>2270.9690000000001</v>
      </c>
      <c r="R24" s="3019" t="s">
        <v>15</v>
      </c>
      <c r="S24" s="3020"/>
      <c r="T24" s="390">
        <f>Q24</f>
        <v>2270.9690000000001</v>
      </c>
      <c r="U24" s="369"/>
      <c r="V24" s="368"/>
      <c r="W24" s="368"/>
      <c r="X24" s="389"/>
      <c r="Y24" s="388"/>
    </row>
    <row r="25" spans="1:55" ht="12" customHeight="1">
      <c r="A25" s="367"/>
      <c r="B25" s="385" t="s">
        <v>277</v>
      </c>
      <c r="C25" s="384">
        <f>H45</f>
        <v>413.05</v>
      </c>
      <c r="D25" s="384">
        <f>H145</f>
        <v>51.900000000000006</v>
      </c>
      <c r="E25" s="384">
        <f>H226</f>
        <v>328.65</v>
      </c>
      <c r="F25" s="384">
        <f>H291</f>
        <v>422.19999999999993</v>
      </c>
      <c r="G25" s="384">
        <f>H375</f>
        <v>315.55</v>
      </c>
      <c r="H25" s="384">
        <f>H458</f>
        <v>386.59999999999991</v>
      </c>
      <c r="I25" s="384">
        <f>H527</f>
        <v>158.94999999999999</v>
      </c>
      <c r="J25" s="384">
        <f>H608</f>
        <v>421.79999999999995</v>
      </c>
      <c r="K25" s="384">
        <f>H678</f>
        <v>745.2</v>
      </c>
      <c r="L25" s="384">
        <v>0</v>
      </c>
      <c r="M25" s="387">
        <f>IF($H897=0,#REF!,$H897)</f>
        <v>498.15</v>
      </c>
      <c r="N25" s="383">
        <v>43</v>
      </c>
      <c r="O25" s="381"/>
      <c r="P25" s="380">
        <f t="shared" si="2"/>
        <v>3785.0499999999997</v>
      </c>
      <c r="Q25" s="371">
        <f t="shared" si="4"/>
        <v>378.505</v>
      </c>
      <c r="R25" s="3019" t="s">
        <v>384</v>
      </c>
      <c r="S25" s="3020"/>
      <c r="T25" s="379">
        <v>258</v>
      </c>
      <c r="U25" s="369"/>
      <c r="V25" s="368"/>
      <c r="W25" s="368"/>
      <c r="X25" s="389"/>
      <c r="Y25" s="388"/>
    </row>
    <row r="26" spans="1:55" ht="12" customHeight="1">
      <c r="A26" s="367"/>
      <c r="B26" s="385" t="s">
        <v>276</v>
      </c>
      <c r="C26" s="384">
        <f>$I45</f>
        <v>9.4499999999999993</v>
      </c>
      <c r="D26" s="384">
        <f>I145</f>
        <v>8.3000000000000007</v>
      </c>
      <c r="E26" s="384">
        <f>I226</f>
        <v>33.4</v>
      </c>
      <c r="F26" s="384">
        <f>I291</f>
        <v>103.6</v>
      </c>
      <c r="G26" s="384">
        <f>I375</f>
        <v>62.5</v>
      </c>
      <c r="H26" s="384">
        <f>I458</f>
        <v>0</v>
      </c>
      <c r="I26" s="384">
        <f>I527</f>
        <v>50.4</v>
      </c>
      <c r="J26" s="384">
        <f>I608</f>
        <v>0</v>
      </c>
      <c r="K26" s="384">
        <f>I678</f>
        <v>10.5</v>
      </c>
      <c r="L26" s="384">
        <v>0</v>
      </c>
      <c r="M26" s="387">
        <f>I897</f>
        <v>52.55</v>
      </c>
      <c r="N26" s="383">
        <v>0</v>
      </c>
      <c r="O26" s="381"/>
      <c r="P26" s="380">
        <f t="shared" si="2"/>
        <v>330.7</v>
      </c>
      <c r="Q26" s="371">
        <f t="shared" si="4"/>
        <v>33.07</v>
      </c>
      <c r="R26" s="3019" t="s">
        <v>384</v>
      </c>
      <c r="S26" s="3020"/>
      <c r="T26" s="379">
        <v>258</v>
      </c>
      <c r="U26" s="369"/>
      <c r="V26" s="368"/>
      <c r="W26" s="368"/>
      <c r="X26" s="389"/>
      <c r="Y26" s="388"/>
    </row>
    <row r="27" spans="1:55" ht="12" customHeight="1">
      <c r="A27" s="367"/>
      <c r="B27" s="385" t="s">
        <v>275</v>
      </c>
      <c r="C27" s="384">
        <v>1570</v>
      </c>
      <c r="D27" s="384">
        <v>0</v>
      </c>
      <c r="E27" s="384">
        <v>0</v>
      </c>
      <c r="F27" s="384">
        <v>0</v>
      </c>
      <c r="G27" s="384">
        <v>0</v>
      </c>
      <c r="H27" s="384">
        <v>0</v>
      </c>
      <c r="I27" s="384">
        <v>480</v>
      </c>
      <c r="J27" s="384">
        <v>480</v>
      </c>
      <c r="K27" s="384">
        <v>360</v>
      </c>
      <c r="L27" s="384">
        <v>488</v>
      </c>
      <c r="M27" s="387">
        <f>$S$27-$J897</f>
        <v>-410</v>
      </c>
      <c r="N27" s="383">
        <v>0</v>
      </c>
      <c r="O27" s="381"/>
      <c r="P27" s="380">
        <f>SUM(C27:M27)</f>
        <v>2968</v>
      </c>
      <c r="Q27" s="371">
        <f t="shared" si="4"/>
        <v>296.8</v>
      </c>
      <c r="R27" s="3019" t="s">
        <v>14</v>
      </c>
      <c r="S27" s="3020"/>
      <c r="T27" s="379">
        <v>420</v>
      </c>
      <c r="U27" s="369"/>
      <c r="V27" s="368"/>
      <c r="W27" s="368"/>
      <c r="X27" s="389"/>
      <c r="Y27" s="388"/>
    </row>
    <row r="28" spans="1:55" ht="12" customHeight="1">
      <c r="A28" s="367"/>
      <c r="B28" s="385" t="s">
        <v>274</v>
      </c>
      <c r="C28" s="384">
        <v>0</v>
      </c>
      <c r="D28" s="384">
        <v>162</v>
      </c>
      <c r="E28" s="384">
        <v>70</v>
      </c>
      <c r="F28" s="384">
        <v>25.5</v>
      </c>
      <c r="G28" s="384">
        <v>409</v>
      </c>
      <c r="H28" s="384">
        <v>0</v>
      </c>
      <c r="I28" s="384">
        <v>15</v>
      </c>
      <c r="J28" s="384">
        <v>0</v>
      </c>
      <c r="K28" s="384">
        <v>93.5</v>
      </c>
      <c r="L28" s="384">
        <v>69.45</v>
      </c>
      <c r="M28" s="387">
        <f>IF($K897&lt;500,500,$K897)</f>
        <v>595.45000000000005</v>
      </c>
      <c r="N28" s="383">
        <v>0</v>
      </c>
      <c r="O28" s="381"/>
      <c r="P28" s="380">
        <f t="shared" ref="P28:P38" si="5">SUM(C28:N28)</f>
        <v>1439.9</v>
      </c>
      <c r="Q28" s="371">
        <f t="shared" si="4"/>
        <v>143.99</v>
      </c>
      <c r="R28" s="3019" t="s">
        <v>286</v>
      </c>
      <c r="S28" s="3020"/>
      <c r="T28" s="379">
        <f>30*4.25</f>
        <v>127.5</v>
      </c>
      <c r="U28" s="369"/>
      <c r="V28" s="368"/>
      <c r="W28" s="368"/>
      <c r="X28" s="389"/>
      <c r="Y28" s="388"/>
    </row>
    <row r="29" spans="1:55" ht="12" customHeight="1">
      <c r="A29" s="367"/>
      <c r="B29" s="385" t="s">
        <v>273</v>
      </c>
      <c r="C29" s="384">
        <v>459.7</v>
      </c>
      <c r="D29" s="384">
        <v>318</v>
      </c>
      <c r="E29" s="384">
        <v>294</v>
      </c>
      <c r="F29" s="384">
        <v>161</v>
      </c>
      <c r="G29" s="384">
        <v>378.95</v>
      </c>
      <c r="H29" s="384">
        <v>319</v>
      </c>
      <c r="I29" s="384">
        <v>422.95</v>
      </c>
      <c r="J29" s="384">
        <v>588.5</v>
      </c>
      <c r="K29" s="384">
        <v>278.25</v>
      </c>
      <c r="L29" s="384">
        <v>63.7</v>
      </c>
      <c r="M29" s="387">
        <f>IF($L897&lt;300,300,$L897)</f>
        <v>778.8</v>
      </c>
      <c r="N29" s="383">
        <v>300</v>
      </c>
      <c r="O29" s="381"/>
      <c r="P29" s="380">
        <f t="shared" si="5"/>
        <v>4362.8499999999995</v>
      </c>
      <c r="Q29" s="371">
        <f t="shared" si="4"/>
        <v>436.28499999999997</v>
      </c>
      <c r="R29" s="3019" t="s">
        <v>284</v>
      </c>
      <c r="S29" s="3020"/>
      <c r="T29" s="379">
        <v>300</v>
      </c>
      <c r="U29" s="369"/>
      <c r="V29" s="368"/>
      <c r="W29" s="368"/>
      <c r="X29" s="389"/>
      <c r="Y29" s="388"/>
    </row>
    <row r="30" spans="1:55" s="285" customFormat="1" ht="12" customHeight="1">
      <c r="A30" s="367"/>
      <c r="B30" s="385" t="s">
        <v>272</v>
      </c>
      <c r="C30" s="384">
        <v>2158.75</v>
      </c>
      <c r="D30" s="384">
        <v>557</v>
      </c>
      <c r="E30" s="384">
        <v>0</v>
      </c>
      <c r="F30" s="384">
        <v>680</v>
      </c>
      <c r="G30" s="384">
        <v>0</v>
      </c>
      <c r="H30" s="384">
        <v>0</v>
      </c>
      <c r="I30" s="384">
        <v>0</v>
      </c>
      <c r="J30" s="384">
        <v>0</v>
      </c>
      <c r="K30" s="384">
        <v>260.85000000000002</v>
      </c>
      <c r="L30" s="384">
        <v>412.15</v>
      </c>
      <c r="M30" s="387">
        <f>IF($N897&lt;800,800,$N897)</f>
        <v>2040</v>
      </c>
      <c r="N30" s="383">
        <v>800</v>
      </c>
      <c r="O30" s="381"/>
      <c r="P30" s="380">
        <f t="shared" si="5"/>
        <v>6908.75</v>
      </c>
      <c r="Q30" s="371">
        <f t="shared" si="4"/>
        <v>690.875</v>
      </c>
      <c r="R30" s="3019" t="s">
        <v>48</v>
      </c>
      <c r="S30" s="3020"/>
      <c r="T30" s="379">
        <v>800</v>
      </c>
      <c r="U30" s="369"/>
      <c r="V30" s="368"/>
      <c r="W30" s="368"/>
      <c r="X30" s="389"/>
      <c r="Y30" s="388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</row>
    <row r="31" spans="1:55" s="285" customFormat="1" ht="12" customHeight="1">
      <c r="A31" s="367"/>
      <c r="B31" s="385" t="s">
        <v>271</v>
      </c>
      <c r="C31" s="384">
        <v>718.77</v>
      </c>
      <c r="D31" s="384">
        <v>1049.54</v>
      </c>
      <c r="E31" s="384">
        <v>326.05</v>
      </c>
      <c r="F31" s="384">
        <v>1198.9000000000001</v>
      </c>
      <c r="G31" s="384">
        <v>7642.53</v>
      </c>
      <c r="H31" s="384">
        <v>1472.75</v>
      </c>
      <c r="I31" s="384">
        <v>3251.58</v>
      </c>
      <c r="J31" s="384">
        <v>2692.62</v>
      </c>
      <c r="K31" s="384">
        <v>3343.31</v>
      </c>
      <c r="L31" s="384">
        <v>900.42</v>
      </c>
      <c r="M31" s="387" t="e">
        <f>IF($O897&lt;#REF!,#REF!,$O897)</f>
        <v>#REF!</v>
      </c>
      <c r="N31" s="383">
        <v>725</v>
      </c>
      <c r="O31" s="381"/>
      <c r="P31" s="380" t="e">
        <f t="shared" si="5"/>
        <v>#REF!</v>
      </c>
      <c r="Q31" s="371" t="e">
        <f t="shared" si="4"/>
        <v>#REF!</v>
      </c>
      <c r="R31" s="3019" t="s">
        <v>282</v>
      </c>
      <c r="S31" s="3020"/>
      <c r="T31" s="379">
        <v>725</v>
      </c>
      <c r="U31" s="369"/>
      <c r="V31" s="368"/>
      <c r="W31" s="368"/>
      <c r="X31" s="389"/>
      <c r="Y31" s="388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</row>
    <row r="32" spans="1:55" ht="12" customHeight="1">
      <c r="A32" s="367"/>
      <c r="B32" s="385" t="s">
        <v>270</v>
      </c>
      <c r="C32" s="384">
        <v>324</v>
      </c>
      <c r="D32" s="384">
        <v>1299</v>
      </c>
      <c r="E32" s="384">
        <v>324</v>
      </c>
      <c r="F32" s="384">
        <v>373.4</v>
      </c>
      <c r="G32" s="384">
        <v>355</v>
      </c>
      <c r="H32" s="384">
        <v>431.34</v>
      </c>
      <c r="I32" s="384">
        <v>354</v>
      </c>
      <c r="J32" s="384">
        <v>315</v>
      </c>
      <c r="K32" s="384">
        <v>505</v>
      </c>
      <c r="L32" s="384">
        <v>153</v>
      </c>
      <c r="M32" s="387">
        <f>IF($P897&lt;$T$32,$T$32,$P897)</f>
        <v>498</v>
      </c>
      <c r="N32" s="383">
        <v>329</v>
      </c>
      <c r="O32" s="392"/>
      <c r="P32" s="391">
        <f t="shared" si="5"/>
        <v>5260.74</v>
      </c>
      <c r="Q32" s="371">
        <f t="shared" si="4"/>
        <v>526.07399999999996</v>
      </c>
      <c r="R32" s="3019" t="s">
        <v>280</v>
      </c>
      <c r="S32" s="3020"/>
      <c r="T32" s="390">
        <v>329</v>
      </c>
      <c r="U32" s="369"/>
      <c r="V32" s="368"/>
      <c r="W32" s="368"/>
      <c r="X32" s="389"/>
      <c r="Y32" s="388"/>
    </row>
    <row r="33" spans="1:57" s="285" customFormat="1" ht="12" customHeight="1">
      <c r="A33" s="367"/>
      <c r="B33" s="385" t="s">
        <v>269</v>
      </c>
      <c r="C33" s="384">
        <v>465</v>
      </c>
      <c r="D33" s="384">
        <v>395</v>
      </c>
      <c r="E33" s="384">
        <v>469.98</v>
      </c>
      <c r="F33" s="384">
        <v>50</v>
      </c>
      <c r="G33" s="384">
        <v>360</v>
      </c>
      <c r="H33" s="384">
        <v>39</v>
      </c>
      <c r="I33" s="384">
        <v>331</v>
      </c>
      <c r="J33" s="384">
        <v>41</v>
      </c>
      <c r="K33" s="384">
        <v>281</v>
      </c>
      <c r="L33" s="384">
        <v>393</v>
      </c>
      <c r="M33" s="387">
        <f>IF($Q897&lt;$T$33,$T$33,$Q897)+50</f>
        <v>552</v>
      </c>
      <c r="N33" s="383">
        <v>281</v>
      </c>
      <c r="O33" s="381"/>
      <c r="P33" s="380">
        <f t="shared" si="5"/>
        <v>3657.98</v>
      </c>
      <c r="Q33" s="371">
        <f t="shared" si="4"/>
        <v>365.798</v>
      </c>
      <c r="R33" s="3019" t="s">
        <v>278</v>
      </c>
      <c r="S33" s="3020"/>
      <c r="T33" s="379">
        <f>200+81</f>
        <v>281</v>
      </c>
      <c r="U33" s="369"/>
      <c r="V33" s="368"/>
      <c r="W33" s="368"/>
      <c r="X33" s="308"/>
      <c r="Y33" s="308"/>
      <c r="Z33" s="308"/>
      <c r="AA33" s="308"/>
      <c r="AB33" s="308"/>
      <c r="AC33" s="308"/>
      <c r="AD33" s="308"/>
      <c r="AE33" s="308"/>
      <c r="AF33" s="308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</row>
    <row r="34" spans="1:57" s="285" customFormat="1" ht="12" customHeight="1">
      <c r="A34" s="367"/>
      <c r="B34" s="385" t="s">
        <v>558</v>
      </c>
      <c r="C34" s="384">
        <v>30</v>
      </c>
      <c r="D34" s="384">
        <v>90</v>
      </c>
      <c r="E34" s="384">
        <v>70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7"/>
      <c r="N34" s="387"/>
      <c r="O34" s="381"/>
      <c r="P34" s="380">
        <f t="shared" si="5"/>
        <v>190</v>
      </c>
      <c r="Q34" s="386"/>
      <c r="R34" s="3019"/>
      <c r="S34" s="3020"/>
      <c r="T34" s="379"/>
      <c r="U34" s="369"/>
      <c r="V34" s="368"/>
      <c r="W34" s="368"/>
      <c r="X34" s="308"/>
      <c r="Y34" s="308"/>
      <c r="Z34" s="308"/>
      <c r="AA34" s="308"/>
      <c r="AB34" s="308"/>
      <c r="AC34" s="308"/>
      <c r="AD34" s="308"/>
      <c r="AE34" s="308"/>
      <c r="AF34" s="308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</row>
    <row r="35" spans="1:57" s="285" customFormat="1" ht="12" customHeight="1">
      <c r="A35" s="367"/>
      <c r="B35" s="385" t="s">
        <v>557</v>
      </c>
      <c r="C35" s="384">
        <v>90</v>
      </c>
      <c r="D35" s="384">
        <v>100</v>
      </c>
      <c r="E35" s="384">
        <v>70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7"/>
      <c r="N35" s="387"/>
      <c r="O35" s="381"/>
      <c r="P35" s="380">
        <f t="shared" si="5"/>
        <v>260</v>
      </c>
      <c r="Q35" s="386"/>
      <c r="R35" s="3019"/>
      <c r="S35" s="3020"/>
      <c r="T35" s="379"/>
      <c r="U35" s="369"/>
      <c r="V35" s="368"/>
      <c r="W35" s="368"/>
      <c r="X35" s="308"/>
      <c r="Y35" s="308"/>
      <c r="Z35" s="308"/>
      <c r="AA35" s="308"/>
      <c r="AB35" s="308"/>
      <c r="AC35" s="308"/>
      <c r="AD35" s="308"/>
      <c r="AE35" s="308"/>
      <c r="AF35" s="308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</row>
    <row r="36" spans="1:57" s="285" customFormat="1" ht="12" customHeight="1">
      <c r="A36" s="367"/>
      <c r="B36" s="385" t="s">
        <v>556</v>
      </c>
      <c r="C36" s="384">
        <v>0</v>
      </c>
      <c r="D36" s="384">
        <v>800</v>
      </c>
      <c r="E36" s="384">
        <v>800</v>
      </c>
      <c r="F36" s="384">
        <v>800</v>
      </c>
      <c r="G36" s="384">
        <v>800</v>
      </c>
      <c r="H36" s="384">
        <v>128</v>
      </c>
      <c r="I36" s="384">
        <v>550</v>
      </c>
      <c r="J36" s="384">
        <v>450</v>
      </c>
      <c r="K36" s="384">
        <f>$T678</f>
        <v>0</v>
      </c>
      <c r="L36" s="384">
        <v>0</v>
      </c>
      <c r="M36" s="383">
        <v>0</v>
      </c>
      <c r="N36" s="382">
        <f>IF($T1002&lt;$T$36*COUNT($D971:$D1004),$T$36*COUNT($D971:$D1004),$T1002)</f>
        <v>11200</v>
      </c>
      <c r="O36" s="381"/>
      <c r="P36" s="380">
        <f t="shared" si="5"/>
        <v>15528</v>
      </c>
      <c r="Q36" s="371">
        <f>P36/$U$23</f>
        <v>1552.8</v>
      </c>
      <c r="R36" s="3019" t="s">
        <v>98</v>
      </c>
      <c r="S36" s="3020"/>
      <c r="T36" s="379">
        <v>400</v>
      </c>
      <c r="U36" s="369"/>
      <c r="V36" s="368"/>
      <c r="W36" s="368"/>
      <c r="X36" s="308"/>
      <c r="Y36" s="308"/>
      <c r="Z36" s="308"/>
      <c r="AA36" s="308"/>
      <c r="AB36" s="308"/>
      <c r="AC36" s="308"/>
      <c r="AD36" s="308"/>
      <c r="AE36" s="308"/>
      <c r="AF36" s="308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</row>
    <row r="37" spans="1:57" s="285" customFormat="1" ht="12" customHeight="1">
      <c r="A37" s="367"/>
      <c r="B37" s="376" t="s">
        <v>555</v>
      </c>
      <c r="C37" s="375">
        <v>1199.43</v>
      </c>
      <c r="D37" s="375">
        <v>599.59</v>
      </c>
      <c r="E37" s="375">
        <v>1298.83</v>
      </c>
      <c r="F37" s="375">
        <v>950.76</v>
      </c>
      <c r="G37" s="375">
        <v>1399.52</v>
      </c>
      <c r="H37" s="375">
        <v>1300.1300000000001</v>
      </c>
      <c r="I37" s="375">
        <v>1100.8800000000001</v>
      </c>
      <c r="J37" s="375"/>
      <c r="K37" s="375">
        <v>199.71</v>
      </c>
      <c r="L37" s="375">
        <v>1044.29</v>
      </c>
      <c r="M37" s="378">
        <v>1234.07</v>
      </c>
      <c r="N37" s="374"/>
      <c r="O37" s="373"/>
      <c r="P37" s="372">
        <f t="shared" si="5"/>
        <v>10327.209999999999</v>
      </c>
      <c r="Q37" s="371">
        <f>$P37/COUNT($C37:$N37)</f>
        <v>1032.721</v>
      </c>
      <c r="R37" s="3019" t="s">
        <v>58</v>
      </c>
      <c r="S37" s="3020"/>
      <c r="T37" s="377"/>
      <c r="U37" s="369"/>
      <c r="V37" s="368"/>
      <c r="W37" s="368"/>
      <c r="X37" s="308"/>
      <c r="Y37" s="308"/>
      <c r="Z37" s="308"/>
      <c r="AA37" s="308"/>
      <c r="AB37" s="308"/>
      <c r="AC37" s="308"/>
      <c r="AD37" s="308"/>
      <c r="AE37" s="308"/>
      <c r="AF37" s="308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</row>
    <row r="38" spans="1:57" s="285" customFormat="1" ht="12" customHeight="1" thickBot="1">
      <c r="A38" s="367"/>
      <c r="B38" s="376" t="s">
        <v>554</v>
      </c>
      <c r="C38" s="375"/>
      <c r="D38" s="375"/>
      <c r="E38" s="375"/>
      <c r="F38" s="375"/>
      <c r="G38" s="375"/>
      <c r="H38" s="375"/>
      <c r="I38" s="375"/>
      <c r="J38" s="375"/>
      <c r="K38" s="375">
        <v>400</v>
      </c>
      <c r="L38" s="375">
        <v>1000</v>
      </c>
      <c r="M38" s="374">
        <v>1000</v>
      </c>
      <c r="N38" s="374"/>
      <c r="O38" s="373"/>
      <c r="P38" s="372">
        <f t="shared" si="5"/>
        <v>2400</v>
      </c>
      <c r="Q38" s="371">
        <f>$P38/COUNT($C38:$N38)</f>
        <v>800</v>
      </c>
      <c r="R38" s="3017" t="s">
        <v>57</v>
      </c>
      <c r="S38" s="3018"/>
      <c r="T38" s="370"/>
      <c r="U38" s="369"/>
      <c r="V38" s="368"/>
      <c r="W38" s="368"/>
      <c r="X38" s="308"/>
      <c r="Y38" s="308"/>
      <c r="Z38" s="308"/>
      <c r="AA38" s="308"/>
      <c r="AB38" s="308"/>
      <c r="AC38" s="308"/>
      <c r="AD38" s="308"/>
      <c r="AE38" s="308"/>
      <c r="AF38" s="308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</row>
    <row r="39" spans="1:57" s="357" customFormat="1" ht="16.5" customHeight="1">
      <c r="A39" s="367"/>
      <c r="B39" s="366" t="s">
        <v>78</v>
      </c>
      <c r="C39" s="365">
        <f t="shared" ref="C39:L39" si="6">-C2-C9</f>
        <v>234.32999999999811</v>
      </c>
      <c r="D39" s="365">
        <f t="shared" si="6"/>
        <v>24.049999999995634</v>
      </c>
      <c r="E39" s="365">
        <f t="shared" si="6"/>
        <v>-35.669999999998254</v>
      </c>
      <c r="F39" s="365">
        <f t="shared" si="6"/>
        <v>7699.76</v>
      </c>
      <c r="G39" s="365">
        <f t="shared" si="6"/>
        <v>1544.1100000000006</v>
      </c>
      <c r="H39" s="365">
        <f t="shared" si="6"/>
        <v>576.73999999999796</v>
      </c>
      <c r="I39" s="365">
        <f t="shared" si="6"/>
        <v>1568.4299999999967</v>
      </c>
      <c r="J39" s="365">
        <f t="shared" si="6"/>
        <v>453.40000000000146</v>
      </c>
      <c r="K39" s="365">
        <f t="shared" si="6"/>
        <v>-2371.119999999999</v>
      </c>
      <c r="L39" s="365">
        <f t="shared" si="6"/>
        <v>14.929999999996653</v>
      </c>
      <c r="M39" s="365" t="e">
        <f>-M2-M9+L42</f>
        <v>#REF!</v>
      </c>
      <c r="N39" s="365" t="e">
        <f>-N2-N9+M42</f>
        <v>#REF!</v>
      </c>
      <c r="O39" s="364"/>
      <c r="P39" s="363" t="e">
        <f>SUM(P10:P37)</f>
        <v>#REF!</v>
      </c>
      <c r="Q39" s="363" t="e">
        <f>SUM(Q10:Q37)</f>
        <v>#REF!</v>
      </c>
      <c r="R39" s="362"/>
      <c r="S39" s="361"/>
      <c r="T39" s="359"/>
      <c r="U39" s="360"/>
      <c r="V39" s="359"/>
      <c r="W39" s="359"/>
      <c r="X39" s="358"/>
      <c r="Y39" s="358"/>
      <c r="Z39" s="358"/>
      <c r="AA39" s="358"/>
      <c r="AB39" s="358"/>
      <c r="AC39" s="358"/>
      <c r="AD39" s="358"/>
      <c r="AE39" s="358"/>
      <c r="AF39" s="358"/>
    </row>
    <row r="40" spans="1:57" s="328" customFormat="1" ht="12" customHeight="1">
      <c r="A40" s="335"/>
      <c r="B40" s="356"/>
      <c r="C40" s="355" t="s">
        <v>122</v>
      </c>
      <c r="D40" s="355" t="s">
        <v>121</v>
      </c>
      <c r="E40" s="355" t="s">
        <v>120</v>
      </c>
      <c r="F40" s="355" t="s">
        <v>119</v>
      </c>
      <c r="G40" s="355" t="s">
        <v>118</v>
      </c>
      <c r="H40" s="355" t="s">
        <v>44</v>
      </c>
      <c r="I40" s="355" t="s">
        <v>117</v>
      </c>
      <c r="J40" s="355" t="s">
        <v>116</v>
      </c>
      <c r="K40" s="355" t="s">
        <v>115</v>
      </c>
      <c r="L40" s="355" t="s">
        <v>114</v>
      </c>
      <c r="M40" s="355" t="s">
        <v>113</v>
      </c>
      <c r="N40" s="355" t="s">
        <v>112</v>
      </c>
      <c r="O40" s="3026" t="s">
        <v>424</v>
      </c>
      <c r="P40" s="3027"/>
      <c r="Q40" s="354" t="s">
        <v>423</v>
      </c>
      <c r="R40" s="354" t="s">
        <v>422</v>
      </c>
      <c r="S40" s="354" t="s">
        <v>421</v>
      </c>
      <c r="T40" s="354" t="s">
        <v>420</v>
      </c>
      <c r="U40" s="353" t="s">
        <v>419</v>
      </c>
      <c r="V40" s="353"/>
      <c r="W40" s="353"/>
      <c r="X40" s="330"/>
      <c r="Y40" s="330"/>
      <c r="Z40" s="330"/>
      <c r="AA40" s="330"/>
      <c r="AB40" s="330"/>
      <c r="AC40" s="330"/>
      <c r="AD40" s="330"/>
      <c r="AE40" s="330"/>
      <c r="AF40" s="330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</row>
    <row r="41" spans="1:57" s="344" customFormat="1" ht="15" customHeight="1">
      <c r="A41" s="352"/>
      <c r="B41" s="351" t="s">
        <v>76</v>
      </c>
      <c r="C41" s="350"/>
      <c r="D41" s="350"/>
      <c r="E41" s="350"/>
      <c r="F41" s="350"/>
      <c r="G41" s="350"/>
      <c r="H41" s="349"/>
      <c r="I41" s="349"/>
      <c r="J41" s="349"/>
      <c r="K41" s="349"/>
      <c r="L41" s="348"/>
      <c r="M41" s="347"/>
      <c r="N41" s="347">
        <f>$O$41-D1003</f>
        <v>226.36</v>
      </c>
      <c r="O41" s="3028">
        <f>SUM(Q41:T41)</f>
        <v>226.36</v>
      </c>
      <c r="P41" s="3029"/>
      <c r="Q41" s="3005">
        <v>11.4</v>
      </c>
      <c r="R41" s="3005">
        <v>150</v>
      </c>
      <c r="S41" s="3005">
        <v>64.5</v>
      </c>
      <c r="T41" s="3005">
        <v>0.46</v>
      </c>
      <c r="U41" s="3005">
        <v>140</v>
      </c>
      <c r="V41" s="3005">
        <f>O41+U41</f>
        <v>366.36</v>
      </c>
      <c r="W41" s="3005"/>
      <c r="X41" s="346"/>
      <c r="Y41" s="346"/>
      <c r="Z41" s="346"/>
      <c r="AA41" s="346"/>
      <c r="AB41" s="346"/>
      <c r="AC41" s="346"/>
      <c r="AD41" s="346"/>
      <c r="AE41" s="346"/>
      <c r="AF41" s="346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  <c r="AW41" s="345"/>
      <c r="AX41" s="345"/>
      <c r="AY41" s="345"/>
      <c r="AZ41" s="345"/>
      <c r="BA41" s="345"/>
      <c r="BB41" s="345"/>
      <c r="BC41" s="345"/>
    </row>
    <row r="42" spans="1:57" s="336" customFormat="1" ht="15" customHeight="1">
      <c r="A42" s="343"/>
      <c r="B42" s="342" t="s">
        <v>553</v>
      </c>
      <c r="C42" s="341"/>
      <c r="D42" s="341"/>
      <c r="E42" s="341"/>
      <c r="F42" s="341"/>
      <c r="G42" s="341"/>
      <c r="H42" s="340"/>
      <c r="I42" s="340"/>
      <c r="J42" s="340"/>
      <c r="K42" s="340"/>
      <c r="L42" s="339"/>
      <c r="M42" s="338"/>
      <c r="N42" s="338"/>
      <c r="O42" s="3030"/>
      <c r="P42" s="3031"/>
      <c r="Q42" s="3006"/>
      <c r="R42" s="3006"/>
      <c r="S42" s="3006"/>
      <c r="T42" s="3006"/>
      <c r="U42" s="3025"/>
      <c r="V42" s="3006"/>
      <c r="W42" s="3006"/>
      <c r="X42" s="337"/>
      <c r="Y42" s="337"/>
      <c r="Z42" s="337"/>
      <c r="AA42" s="337"/>
      <c r="AB42" s="337"/>
      <c r="AC42" s="337"/>
      <c r="AD42" s="337"/>
      <c r="AE42" s="337"/>
      <c r="AF42" s="337"/>
    </row>
    <row r="43" spans="1:57" s="328" customFormat="1" ht="12" customHeight="1">
      <c r="A43" s="335"/>
      <c r="B43" s="334"/>
      <c r="C43" s="332"/>
      <c r="D43" s="333" t="s">
        <v>417</v>
      </c>
      <c r="E43" s="332" t="s">
        <v>416</v>
      </c>
      <c r="F43" s="332" t="s">
        <v>37</v>
      </c>
      <c r="G43" s="332" t="s">
        <v>15</v>
      </c>
      <c r="H43" s="332" t="s">
        <v>288</v>
      </c>
      <c r="I43" s="332" t="s">
        <v>287</v>
      </c>
      <c r="J43" s="332" t="s">
        <v>14</v>
      </c>
      <c r="K43" s="332" t="s">
        <v>286</v>
      </c>
      <c r="L43" s="332" t="s">
        <v>284</v>
      </c>
      <c r="M43" s="332" t="s">
        <v>30</v>
      </c>
      <c r="N43" s="332" t="s">
        <v>48</v>
      </c>
      <c r="O43" s="332" t="s">
        <v>282</v>
      </c>
      <c r="P43" s="331" t="s">
        <v>280</v>
      </c>
      <c r="Q43" s="331" t="s">
        <v>278</v>
      </c>
      <c r="R43" s="331" t="s">
        <v>552</v>
      </c>
      <c r="S43" s="331" t="s">
        <v>551</v>
      </c>
      <c r="T43" s="331" t="s">
        <v>98</v>
      </c>
      <c r="U43" s="331" t="s">
        <v>59</v>
      </c>
      <c r="V43" s="331" t="s">
        <v>58</v>
      </c>
      <c r="W43" s="331" t="s">
        <v>57</v>
      </c>
      <c r="X43" s="330"/>
      <c r="Y43" s="330"/>
      <c r="Z43" s="330"/>
      <c r="AA43" s="330"/>
      <c r="AB43" s="330"/>
      <c r="AC43" s="330"/>
      <c r="AD43" s="330"/>
      <c r="AE43" s="330"/>
      <c r="AF43" s="330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</row>
    <row r="44" spans="1:57" s="299" customFormat="1" ht="13.5" customHeight="1">
      <c r="A44" s="301"/>
      <c r="B44" s="327" t="s">
        <v>550</v>
      </c>
      <c r="C44" s="326"/>
      <c r="D44" s="325" t="e">
        <f>D45+D145+D226+D291+D375+D458+D527+D608+D678+D749+D897+A1002</f>
        <v>#REF!</v>
      </c>
      <c r="E44" s="325">
        <f t="shared" ref="E44:W44" si="7">E45+E145+E226+E291+E375+E458+E527+E608+E678+E749+E897+E1002</f>
        <v>34415.370000000003</v>
      </c>
      <c r="F44" s="325">
        <f t="shared" si="7"/>
        <v>21606.09</v>
      </c>
      <c r="G44" s="325">
        <f t="shared" si="7"/>
        <v>25420.240000000002</v>
      </c>
      <c r="H44" s="325">
        <f t="shared" si="7"/>
        <v>4759.3999999999996</v>
      </c>
      <c r="I44" s="325">
        <f t="shared" si="7"/>
        <v>375.95</v>
      </c>
      <c r="J44" s="325">
        <f t="shared" si="7"/>
        <v>5500</v>
      </c>
      <c r="K44" s="325">
        <f t="shared" si="7"/>
        <v>1469.9</v>
      </c>
      <c r="L44" s="325">
        <f t="shared" si="7"/>
        <v>4456.2499999999991</v>
      </c>
      <c r="M44" s="325">
        <f t="shared" si="7"/>
        <v>79972</v>
      </c>
      <c r="N44" s="325">
        <f t="shared" si="7"/>
        <v>7148.75</v>
      </c>
      <c r="O44" s="325" t="e">
        <f t="shared" si="7"/>
        <v>#REF!</v>
      </c>
      <c r="P44" s="325">
        <f t="shared" si="7"/>
        <v>5304.8</v>
      </c>
      <c r="Q44" s="325">
        <f t="shared" si="7"/>
        <v>3937.98</v>
      </c>
      <c r="R44" s="325">
        <f t="shared" si="7"/>
        <v>110</v>
      </c>
      <c r="S44" s="325">
        <f t="shared" si="7"/>
        <v>70</v>
      </c>
      <c r="T44" s="325">
        <f t="shared" si="7"/>
        <v>7209.41</v>
      </c>
      <c r="U44" s="325">
        <f t="shared" si="7"/>
        <v>-468.70000000000005</v>
      </c>
      <c r="V44" s="325" t="e">
        <f t="shared" si="7"/>
        <v>#REF!</v>
      </c>
      <c r="W44" s="325">
        <f t="shared" si="7"/>
        <v>2400</v>
      </c>
      <c r="X44" s="322"/>
      <c r="Y44" s="322"/>
      <c r="Z44" s="322"/>
      <c r="AA44" s="322"/>
      <c r="AB44" s="322"/>
      <c r="AC44" s="322"/>
      <c r="AD44" s="322"/>
      <c r="AE44" s="322"/>
      <c r="AF44" s="322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</row>
    <row r="45" spans="1:57" s="299" customFormat="1" ht="13.5" customHeight="1">
      <c r="A45" s="301"/>
      <c r="B45" s="252" t="str">
        <f>C1</f>
        <v>januar</v>
      </c>
      <c r="C45" s="251"/>
      <c r="D45" s="310">
        <f t="shared" ref="D45:V45" si="8">SUM(D46:D144)</f>
        <v>19554.940000000002</v>
      </c>
      <c r="E45" s="310">
        <f t="shared" si="8"/>
        <v>3490.91</v>
      </c>
      <c r="F45" s="310">
        <f t="shared" si="8"/>
        <v>4205.62</v>
      </c>
      <c r="G45" s="310">
        <f t="shared" si="8"/>
        <v>2783.7199999999993</v>
      </c>
      <c r="H45" s="310">
        <f t="shared" si="8"/>
        <v>413.05</v>
      </c>
      <c r="I45" s="310">
        <f t="shared" si="8"/>
        <v>9.4499999999999993</v>
      </c>
      <c r="J45" s="310">
        <f t="shared" si="8"/>
        <v>1570</v>
      </c>
      <c r="K45" s="310">
        <f t="shared" si="8"/>
        <v>0</v>
      </c>
      <c r="L45" s="310">
        <f t="shared" si="8"/>
        <v>459.7</v>
      </c>
      <c r="M45" s="310">
        <f t="shared" si="8"/>
        <v>0</v>
      </c>
      <c r="N45" s="310">
        <f t="shared" si="8"/>
        <v>2158.75</v>
      </c>
      <c r="O45" s="310">
        <f t="shared" si="8"/>
        <v>2417.77</v>
      </c>
      <c r="P45" s="310">
        <f t="shared" si="8"/>
        <v>324</v>
      </c>
      <c r="Q45" s="310">
        <f t="shared" si="8"/>
        <v>465</v>
      </c>
      <c r="R45" s="310">
        <f t="shared" si="8"/>
        <v>30</v>
      </c>
      <c r="S45" s="310">
        <f t="shared" si="8"/>
        <v>90</v>
      </c>
      <c r="T45" s="310">
        <f t="shared" si="8"/>
        <v>0</v>
      </c>
      <c r="U45" s="310">
        <f t="shared" si="8"/>
        <v>-47.94</v>
      </c>
      <c r="V45" s="310">
        <f t="shared" si="8"/>
        <v>1199.43</v>
      </c>
      <c r="W45" s="310"/>
      <c r="X45" s="324"/>
      <c r="Y45" s="323"/>
      <c r="Z45" s="322"/>
      <c r="AA45" s="322"/>
      <c r="AB45" s="322"/>
      <c r="AC45" s="322"/>
      <c r="AD45" s="322"/>
      <c r="AE45" s="322"/>
      <c r="AF45" s="322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</row>
    <row r="46" spans="1:57" s="311" customFormat="1" ht="13.5" customHeight="1">
      <c r="A46" s="314"/>
      <c r="B46" s="296">
        <v>43462</v>
      </c>
      <c r="C46" s="295" t="s">
        <v>451</v>
      </c>
      <c r="D46" s="294">
        <v>241.8</v>
      </c>
      <c r="E46" s="294"/>
      <c r="F46" s="294"/>
      <c r="G46" s="294">
        <v>161.80000000000001</v>
      </c>
      <c r="H46" s="294"/>
      <c r="I46" s="294"/>
      <c r="J46" s="294">
        <v>80</v>
      </c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320"/>
      <c r="Y46" s="318"/>
      <c r="Z46" s="313"/>
      <c r="AA46" s="313"/>
      <c r="AB46" s="313"/>
      <c r="AC46" s="313"/>
      <c r="AD46" s="313"/>
      <c r="AE46" s="313"/>
      <c r="AF46" s="313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</row>
    <row r="47" spans="1:57" s="311" customFormat="1" ht="13.5" customHeight="1">
      <c r="A47" s="314"/>
      <c r="B47" s="296">
        <v>43462</v>
      </c>
      <c r="C47" s="295" t="s">
        <v>469</v>
      </c>
      <c r="D47" s="294">
        <v>289.5</v>
      </c>
      <c r="E47" s="294"/>
      <c r="F47" s="294"/>
      <c r="G47" s="294">
        <v>189.5</v>
      </c>
      <c r="H47" s="294"/>
      <c r="I47" s="294"/>
      <c r="J47" s="294">
        <v>80</v>
      </c>
      <c r="K47" s="294"/>
      <c r="L47" s="294">
        <v>20</v>
      </c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320"/>
      <c r="Y47" s="318"/>
      <c r="Z47" s="313"/>
      <c r="AA47" s="313"/>
      <c r="AB47" s="313"/>
      <c r="AC47" s="313"/>
      <c r="AD47" s="313"/>
      <c r="AE47" s="313"/>
      <c r="AF47" s="313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</row>
    <row r="48" spans="1:57" s="311" customFormat="1" ht="13.5" customHeight="1">
      <c r="A48" s="314"/>
      <c r="B48" s="296">
        <v>43462</v>
      </c>
      <c r="C48" s="295" t="s">
        <v>466</v>
      </c>
      <c r="D48" s="294">
        <v>129.94999999999999</v>
      </c>
      <c r="E48" s="294"/>
      <c r="F48" s="294"/>
      <c r="G48" s="294">
        <v>49.95</v>
      </c>
      <c r="H48" s="294"/>
      <c r="I48" s="294"/>
      <c r="J48" s="294">
        <v>80</v>
      </c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320"/>
      <c r="Y48" s="318"/>
      <c r="Z48" s="313"/>
      <c r="AA48" s="313"/>
      <c r="AB48" s="313"/>
      <c r="AC48" s="313"/>
      <c r="AD48" s="313"/>
      <c r="AE48" s="313"/>
      <c r="AF48" s="313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</row>
    <row r="49" spans="1:55" s="311" customFormat="1" ht="13.5" customHeight="1">
      <c r="A49" s="314"/>
      <c r="B49" s="296">
        <v>43462</v>
      </c>
      <c r="C49" s="295" t="s">
        <v>465</v>
      </c>
      <c r="D49" s="294">
        <v>46.5</v>
      </c>
      <c r="E49" s="294"/>
      <c r="F49" s="294"/>
      <c r="G49" s="294"/>
      <c r="H49" s="294">
        <v>46.5</v>
      </c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320"/>
      <c r="Y49" s="318"/>
      <c r="Z49" s="313"/>
      <c r="AA49" s="313"/>
      <c r="AB49" s="313"/>
      <c r="AC49" s="313"/>
      <c r="AD49" s="313"/>
      <c r="AE49" s="313"/>
      <c r="AF49" s="313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  <c r="AX49" s="312"/>
      <c r="AY49" s="312"/>
      <c r="AZ49" s="312"/>
      <c r="BA49" s="312"/>
      <c r="BB49" s="312"/>
      <c r="BC49" s="312"/>
    </row>
    <row r="50" spans="1:55" s="311" customFormat="1" ht="13.5" customHeight="1">
      <c r="A50" s="314"/>
      <c r="B50" s="296">
        <v>43462</v>
      </c>
      <c r="C50" s="295" t="s">
        <v>490</v>
      </c>
      <c r="D50" s="294">
        <v>69.900000000000006</v>
      </c>
      <c r="E50" s="294"/>
      <c r="F50" s="294"/>
      <c r="G50" s="294">
        <v>26</v>
      </c>
      <c r="H50" s="294"/>
      <c r="I50" s="294"/>
      <c r="J50" s="294"/>
      <c r="K50" s="294"/>
      <c r="L50" s="294">
        <v>43.9</v>
      </c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320"/>
      <c r="Y50" s="318"/>
      <c r="Z50" s="313"/>
      <c r="AA50" s="313"/>
      <c r="AB50" s="313"/>
      <c r="AC50" s="313"/>
      <c r="AD50" s="313"/>
      <c r="AE50" s="313"/>
      <c r="AF50" s="313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2"/>
      <c r="AX50" s="312"/>
      <c r="AY50" s="312"/>
      <c r="AZ50" s="312"/>
      <c r="BA50" s="312"/>
      <c r="BB50" s="312"/>
      <c r="BC50" s="312"/>
    </row>
    <row r="51" spans="1:55" s="311" customFormat="1" ht="13.5" customHeight="1">
      <c r="A51" s="314"/>
      <c r="B51" s="296">
        <v>43462</v>
      </c>
      <c r="C51" s="295" t="s">
        <v>57</v>
      </c>
      <c r="D51" s="294">
        <v>700</v>
      </c>
      <c r="E51" s="294"/>
      <c r="F51" s="294">
        <v>700</v>
      </c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320"/>
      <c r="Y51" s="318"/>
      <c r="Z51" s="313"/>
      <c r="AA51" s="313"/>
      <c r="AB51" s="313"/>
      <c r="AC51" s="313"/>
      <c r="AD51" s="313"/>
      <c r="AE51" s="313"/>
      <c r="AF51" s="313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  <c r="AX51" s="312"/>
      <c r="AY51" s="312"/>
      <c r="AZ51" s="312"/>
      <c r="BA51" s="312"/>
      <c r="BB51" s="312"/>
      <c r="BC51" s="312"/>
    </row>
    <row r="52" spans="1:55" s="311" customFormat="1" ht="13.5" customHeight="1">
      <c r="A52" s="314"/>
      <c r="B52" s="296">
        <v>43462</v>
      </c>
      <c r="C52" s="295" t="s">
        <v>48</v>
      </c>
      <c r="D52" s="294">
        <v>408.55</v>
      </c>
      <c r="E52" s="294"/>
      <c r="F52" s="294"/>
      <c r="G52" s="294"/>
      <c r="H52" s="294"/>
      <c r="I52" s="294"/>
      <c r="J52" s="294"/>
      <c r="K52" s="294"/>
      <c r="L52" s="294"/>
      <c r="M52" s="294"/>
      <c r="N52" s="294">
        <f>D52</f>
        <v>408.55</v>
      </c>
      <c r="O52" s="294"/>
      <c r="P52" s="294"/>
      <c r="Q52" s="294"/>
      <c r="R52" s="294"/>
      <c r="S52" s="294"/>
      <c r="T52" s="294"/>
      <c r="U52" s="294"/>
      <c r="V52" s="294"/>
      <c r="W52" s="294"/>
      <c r="X52" s="321"/>
      <c r="Y52" s="318"/>
      <c r="Z52" s="313"/>
      <c r="AA52" s="313"/>
      <c r="AB52" s="313"/>
      <c r="AC52" s="313"/>
      <c r="AD52" s="313"/>
      <c r="AE52" s="313"/>
      <c r="AF52" s="313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</row>
    <row r="53" spans="1:55" s="311" customFormat="1" ht="13.5" customHeight="1">
      <c r="A53" s="314"/>
      <c r="B53" s="296">
        <v>43462</v>
      </c>
      <c r="C53" s="295" t="s">
        <v>397</v>
      </c>
      <c r="D53" s="294">
        <v>239.4</v>
      </c>
      <c r="E53" s="294"/>
      <c r="F53" s="294">
        <v>239.4</v>
      </c>
      <c r="G53" s="294"/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320"/>
      <c r="Y53" s="318"/>
      <c r="Z53" s="313"/>
      <c r="AA53" s="313"/>
      <c r="AB53" s="313"/>
      <c r="AC53" s="313"/>
      <c r="AD53" s="313"/>
      <c r="AE53" s="313"/>
      <c r="AF53" s="313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  <c r="AX53" s="312"/>
      <c r="AY53" s="312"/>
      <c r="AZ53" s="312"/>
      <c r="BA53" s="312"/>
      <c r="BB53" s="312"/>
      <c r="BC53" s="312"/>
    </row>
    <row r="54" spans="1:55" s="311" customFormat="1" ht="13.5" customHeight="1">
      <c r="A54" s="314"/>
      <c r="B54" s="296">
        <v>43462</v>
      </c>
      <c r="C54" s="295" t="s">
        <v>126</v>
      </c>
      <c r="D54" s="294">
        <v>190</v>
      </c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>
        <v>190</v>
      </c>
      <c r="R54" s="294"/>
      <c r="S54" s="294"/>
      <c r="T54" s="294"/>
      <c r="U54" s="294"/>
      <c r="V54" s="294"/>
      <c r="W54" s="294"/>
      <c r="X54" s="320"/>
      <c r="Y54" s="318"/>
      <c r="Z54" s="313"/>
      <c r="AA54" s="313"/>
      <c r="AB54" s="313"/>
      <c r="AC54" s="313"/>
      <c r="AD54" s="313"/>
      <c r="AE54" s="313"/>
      <c r="AF54" s="313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  <c r="AQ54" s="312"/>
      <c r="AR54" s="312"/>
      <c r="AS54" s="312"/>
      <c r="AT54" s="312"/>
      <c r="AU54" s="312"/>
      <c r="AV54" s="312"/>
      <c r="AW54" s="312"/>
      <c r="AX54" s="312"/>
      <c r="AY54" s="312"/>
      <c r="AZ54" s="312"/>
      <c r="BA54" s="312"/>
      <c r="BB54" s="312"/>
      <c r="BC54" s="312"/>
    </row>
    <row r="55" spans="1:55" s="311" customFormat="1" ht="13.5" customHeight="1">
      <c r="A55" s="314"/>
      <c r="B55" s="296">
        <v>43463</v>
      </c>
      <c r="C55" s="295" t="s">
        <v>216</v>
      </c>
      <c r="D55" s="294">
        <v>28.72</v>
      </c>
      <c r="E55" s="294"/>
      <c r="F55" s="294"/>
      <c r="G55" s="294">
        <v>18.72</v>
      </c>
      <c r="H55" s="294"/>
      <c r="I55" s="294"/>
      <c r="J55" s="294"/>
      <c r="K55" s="294"/>
      <c r="L55" s="294">
        <v>10</v>
      </c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320"/>
      <c r="Y55" s="318"/>
      <c r="Z55" s="313"/>
      <c r="AA55" s="313"/>
      <c r="AB55" s="313"/>
      <c r="AC55" s="313"/>
      <c r="AD55" s="313"/>
      <c r="AE55" s="313"/>
      <c r="AF55" s="313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  <c r="AX55" s="312"/>
      <c r="AY55" s="312"/>
      <c r="AZ55" s="312"/>
      <c r="BA55" s="312"/>
      <c r="BB55" s="312"/>
      <c r="BC55" s="312"/>
    </row>
    <row r="56" spans="1:55" s="311" customFormat="1" ht="13.5" customHeight="1">
      <c r="A56" s="314"/>
      <c r="B56" s="296">
        <v>43463</v>
      </c>
      <c r="C56" s="295" t="s">
        <v>451</v>
      </c>
      <c r="D56" s="294">
        <v>229.25</v>
      </c>
      <c r="E56" s="294"/>
      <c r="F56" s="294"/>
      <c r="G56" s="294">
        <v>149.25</v>
      </c>
      <c r="H56" s="294"/>
      <c r="I56" s="294"/>
      <c r="J56" s="294">
        <v>80</v>
      </c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320"/>
      <c r="Y56" s="318"/>
      <c r="Z56" s="313"/>
      <c r="AA56" s="313"/>
      <c r="AB56" s="313"/>
      <c r="AC56" s="313"/>
      <c r="AD56" s="313"/>
      <c r="AE56" s="313"/>
      <c r="AF56" s="313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2"/>
      <c r="AX56" s="312"/>
      <c r="AY56" s="312"/>
      <c r="AZ56" s="312"/>
      <c r="BA56" s="312"/>
      <c r="BB56" s="312"/>
      <c r="BC56" s="312"/>
    </row>
    <row r="57" spans="1:55" s="311" customFormat="1" ht="13.5" customHeight="1">
      <c r="A57" s="314"/>
      <c r="B57" s="296">
        <v>43463</v>
      </c>
      <c r="C57" s="295" t="s">
        <v>444</v>
      </c>
      <c r="D57" s="294">
        <v>48</v>
      </c>
      <c r="E57" s="294"/>
      <c r="F57" s="294">
        <v>48</v>
      </c>
      <c r="G57" s="294"/>
      <c r="H57" s="294"/>
      <c r="I57" s="294"/>
      <c r="J57" s="294"/>
      <c r="K57" s="294"/>
      <c r="L57" s="294"/>
      <c r="M57" s="294"/>
      <c r="N57" s="294">
        <f>D57</f>
        <v>48</v>
      </c>
      <c r="O57" s="294"/>
      <c r="P57" s="294"/>
      <c r="Q57" s="294"/>
      <c r="R57" s="294"/>
      <c r="S57" s="294"/>
      <c r="T57" s="294"/>
      <c r="U57" s="294"/>
      <c r="V57" s="294"/>
      <c r="W57" s="294"/>
      <c r="X57" s="320"/>
      <c r="Y57" s="318"/>
      <c r="Z57" s="313"/>
      <c r="AA57" s="313"/>
      <c r="AB57" s="313"/>
      <c r="AC57" s="313"/>
      <c r="AD57" s="313"/>
      <c r="AE57" s="313"/>
      <c r="AF57" s="313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</row>
    <row r="58" spans="1:55" s="311" customFormat="1" ht="13.5" customHeight="1">
      <c r="A58" s="314"/>
      <c r="B58" s="296">
        <v>43464</v>
      </c>
      <c r="C58" s="295" t="s">
        <v>549</v>
      </c>
      <c r="D58" s="294">
        <v>20</v>
      </c>
      <c r="E58" s="294"/>
      <c r="F58" s="294"/>
      <c r="G58" s="294"/>
      <c r="H58" s="294"/>
      <c r="I58" s="294"/>
      <c r="J58" s="294"/>
      <c r="K58" s="294"/>
      <c r="L58" s="294">
        <v>20</v>
      </c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319"/>
      <c r="Y58" s="318"/>
      <c r="Z58" s="313"/>
      <c r="AA58" s="313"/>
      <c r="AB58" s="313"/>
      <c r="AC58" s="313"/>
      <c r="AD58" s="313"/>
      <c r="AE58" s="313"/>
      <c r="AF58" s="313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  <c r="BC58" s="312"/>
    </row>
    <row r="59" spans="1:55" s="311" customFormat="1" ht="13.5" customHeight="1">
      <c r="A59" s="314"/>
      <c r="B59" s="296">
        <v>43464</v>
      </c>
      <c r="C59" s="295" t="s">
        <v>548</v>
      </c>
      <c r="D59" s="294">
        <v>30</v>
      </c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>
        <f>D59</f>
        <v>30</v>
      </c>
      <c r="T59" s="294"/>
      <c r="U59" s="294"/>
      <c r="V59" s="294"/>
      <c r="W59" s="294"/>
      <c r="X59" s="319"/>
      <c r="Y59" s="318"/>
      <c r="Z59" s="313"/>
      <c r="AA59" s="313"/>
      <c r="AB59" s="313"/>
      <c r="AC59" s="313"/>
      <c r="AD59" s="313"/>
      <c r="AE59" s="313"/>
      <c r="AF59" s="313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2"/>
      <c r="AV59" s="312"/>
      <c r="AW59" s="312"/>
      <c r="AX59" s="312"/>
      <c r="AY59" s="312"/>
      <c r="AZ59" s="312"/>
      <c r="BA59" s="312"/>
      <c r="BB59" s="312"/>
      <c r="BC59" s="312"/>
    </row>
    <row r="60" spans="1:55" s="311" customFormat="1" ht="13.5" customHeight="1">
      <c r="A60" s="314"/>
      <c r="B60" s="296">
        <v>43466</v>
      </c>
      <c r="C60" s="295" t="s">
        <v>22</v>
      </c>
      <c r="D60" s="294">
        <v>89</v>
      </c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>
        <v>89</v>
      </c>
      <c r="Q60" s="294"/>
      <c r="R60" s="294"/>
      <c r="S60" s="294"/>
      <c r="T60" s="294"/>
      <c r="U60" s="294"/>
      <c r="V60" s="294"/>
      <c r="W60" s="294"/>
      <c r="X60" s="319"/>
      <c r="Y60" s="318"/>
      <c r="Z60" s="313"/>
      <c r="AA60" s="313"/>
      <c r="AB60" s="313"/>
      <c r="AC60" s="313"/>
      <c r="AD60" s="313"/>
      <c r="AE60" s="313"/>
      <c r="AF60" s="313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2"/>
      <c r="AX60" s="312"/>
      <c r="AY60" s="312"/>
      <c r="AZ60" s="312"/>
      <c r="BA60" s="312"/>
      <c r="BB60" s="312"/>
      <c r="BC60" s="312"/>
    </row>
    <row r="61" spans="1:55" s="311" customFormat="1" ht="13.5" customHeight="1">
      <c r="A61" s="314"/>
      <c r="B61" s="296">
        <v>43466</v>
      </c>
      <c r="C61" s="295" t="s">
        <v>230</v>
      </c>
      <c r="D61" s="294">
        <v>59</v>
      </c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>
        <v>59</v>
      </c>
      <c r="Q61" s="294"/>
      <c r="R61" s="294"/>
      <c r="S61" s="294"/>
      <c r="T61" s="294"/>
      <c r="U61" s="294"/>
      <c r="V61" s="294"/>
      <c r="W61" s="294"/>
      <c r="X61" s="319"/>
      <c r="Y61" s="318"/>
      <c r="Z61" s="313"/>
      <c r="AA61" s="313"/>
      <c r="AB61" s="313"/>
      <c r="AC61" s="313"/>
      <c r="AD61" s="313"/>
      <c r="AE61" s="313"/>
      <c r="AF61" s="313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</row>
    <row r="62" spans="1:55" s="311" customFormat="1" ht="13.5" customHeight="1">
      <c r="A62" s="314"/>
      <c r="B62" s="296">
        <v>43466</v>
      </c>
      <c r="C62" s="295" t="s">
        <v>265</v>
      </c>
      <c r="D62" s="294">
        <v>602.42999999999995</v>
      </c>
      <c r="E62" s="294">
        <v>602.42999999999995</v>
      </c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319"/>
      <c r="Y62" s="318"/>
      <c r="Z62" s="313"/>
      <c r="AA62" s="313"/>
      <c r="AB62" s="313"/>
      <c r="AC62" s="313"/>
      <c r="AD62" s="313"/>
      <c r="AE62" s="313"/>
      <c r="AF62" s="313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</row>
    <row r="63" spans="1:55" s="311" customFormat="1" ht="13.5" customHeight="1">
      <c r="A63" s="314"/>
      <c r="B63" s="296">
        <v>43466</v>
      </c>
      <c r="C63" s="295" t="s">
        <v>264</v>
      </c>
      <c r="D63" s="294">
        <v>523</v>
      </c>
      <c r="E63" s="294">
        <v>523</v>
      </c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319"/>
      <c r="Y63" s="318"/>
      <c r="Z63" s="313"/>
      <c r="AA63" s="313"/>
      <c r="AB63" s="313"/>
      <c r="AC63" s="313"/>
      <c r="AD63" s="313"/>
      <c r="AE63" s="313"/>
      <c r="AF63" s="313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2"/>
      <c r="AX63" s="312"/>
      <c r="AY63" s="312"/>
      <c r="AZ63" s="312"/>
      <c r="BA63" s="312"/>
      <c r="BB63" s="312"/>
      <c r="BC63" s="312"/>
    </row>
    <row r="64" spans="1:55" s="311" customFormat="1" ht="13.5" customHeight="1">
      <c r="A64" s="314"/>
      <c r="B64" s="296">
        <v>43466</v>
      </c>
      <c r="C64" s="295" t="s">
        <v>182</v>
      </c>
      <c r="D64" s="294">
        <v>279</v>
      </c>
      <c r="E64" s="294">
        <v>279</v>
      </c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319"/>
      <c r="Y64" s="318"/>
      <c r="Z64" s="313"/>
      <c r="AA64" s="313"/>
      <c r="AB64" s="313"/>
      <c r="AC64" s="313"/>
      <c r="AD64" s="313"/>
      <c r="AE64" s="313"/>
      <c r="AF64" s="313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2"/>
      <c r="AV64" s="312"/>
      <c r="AW64" s="312"/>
      <c r="AX64" s="312"/>
      <c r="AY64" s="312"/>
      <c r="AZ64" s="312"/>
      <c r="BA64" s="312"/>
      <c r="BB64" s="312"/>
      <c r="BC64" s="312"/>
    </row>
    <row r="65" spans="1:55" s="311" customFormat="1" ht="13.5" customHeight="1">
      <c r="A65" s="314"/>
      <c r="B65" s="296">
        <v>43466</v>
      </c>
      <c r="C65" s="295" t="s">
        <v>472</v>
      </c>
      <c r="D65" s="294">
        <v>240</v>
      </c>
      <c r="E65" s="294">
        <v>240</v>
      </c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319"/>
      <c r="Y65" s="318"/>
      <c r="Z65" s="313"/>
      <c r="AA65" s="313"/>
      <c r="AB65" s="313"/>
      <c r="AC65" s="313"/>
      <c r="AD65" s="313"/>
      <c r="AE65" s="313"/>
      <c r="AF65" s="313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2"/>
      <c r="AV65" s="312"/>
      <c r="AW65" s="312"/>
      <c r="AX65" s="312"/>
      <c r="AY65" s="312"/>
      <c r="AZ65" s="312"/>
      <c r="BA65" s="312"/>
      <c r="BB65" s="312"/>
      <c r="BC65" s="312"/>
    </row>
    <row r="66" spans="1:55" s="311" customFormat="1" ht="13.5" customHeight="1">
      <c r="A66" s="314"/>
      <c r="B66" s="296">
        <v>43466</v>
      </c>
      <c r="C66" s="295" t="s">
        <v>472</v>
      </c>
      <c r="D66" s="294">
        <v>210</v>
      </c>
      <c r="E66" s="294">
        <v>210</v>
      </c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319"/>
      <c r="Y66" s="318"/>
      <c r="Z66" s="313"/>
      <c r="AA66" s="313"/>
      <c r="AB66" s="313"/>
      <c r="AC66" s="313"/>
      <c r="AD66" s="313"/>
      <c r="AE66" s="313"/>
      <c r="AF66" s="313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2"/>
      <c r="AX66" s="312"/>
      <c r="AY66" s="312"/>
      <c r="AZ66" s="312"/>
      <c r="BA66" s="312"/>
      <c r="BB66" s="312"/>
      <c r="BC66" s="312"/>
    </row>
    <row r="67" spans="1:55" s="311" customFormat="1" ht="13.5" customHeight="1">
      <c r="A67" s="314"/>
      <c r="B67" s="296">
        <v>43466</v>
      </c>
      <c r="C67" s="295" t="s">
        <v>183</v>
      </c>
      <c r="D67" s="294">
        <v>458.75</v>
      </c>
      <c r="E67" s="294">
        <v>458.75</v>
      </c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319"/>
      <c r="Y67" s="318"/>
      <c r="Z67" s="313"/>
      <c r="AA67" s="313"/>
      <c r="AB67" s="313"/>
      <c r="AC67" s="313"/>
      <c r="AD67" s="313"/>
      <c r="AE67" s="313"/>
      <c r="AF67" s="313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</row>
    <row r="68" spans="1:55" s="311" customFormat="1" ht="13.5" customHeight="1">
      <c r="A68" s="314"/>
      <c r="B68" s="296">
        <v>43466</v>
      </c>
      <c r="C68" s="295" t="s">
        <v>481</v>
      </c>
      <c r="D68" s="294">
        <v>73</v>
      </c>
      <c r="E68" s="294">
        <v>73</v>
      </c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319"/>
      <c r="Y68" s="318"/>
      <c r="Z68" s="313"/>
      <c r="AA68" s="313"/>
      <c r="AB68" s="313"/>
      <c r="AC68" s="313"/>
      <c r="AD68" s="313"/>
      <c r="AE68" s="313"/>
      <c r="AF68" s="313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2"/>
      <c r="AX68" s="312"/>
      <c r="AY68" s="312"/>
      <c r="AZ68" s="312"/>
      <c r="BA68" s="312"/>
      <c r="BB68" s="312"/>
      <c r="BC68" s="312"/>
    </row>
    <row r="69" spans="1:55" s="311" customFormat="1" ht="13.5" customHeight="1">
      <c r="A69" s="314"/>
      <c r="B69" s="296">
        <v>43466</v>
      </c>
      <c r="C69" s="295" t="s">
        <v>186</v>
      </c>
      <c r="D69" s="294">
        <v>200</v>
      </c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>
        <v>200</v>
      </c>
      <c r="R69" s="294"/>
      <c r="S69" s="294"/>
      <c r="T69" s="294"/>
      <c r="U69" s="294"/>
      <c r="V69" s="294"/>
      <c r="W69" s="294"/>
      <c r="X69" s="319"/>
      <c r="Y69" s="318"/>
      <c r="Z69" s="313"/>
      <c r="AA69" s="313"/>
      <c r="AB69" s="313"/>
      <c r="AC69" s="313"/>
      <c r="AD69" s="313"/>
      <c r="AE69" s="313"/>
      <c r="AF69" s="313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2"/>
      <c r="AV69" s="312"/>
      <c r="AW69" s="312"/>
      <c r="AX69" s="312"/>
      <c r="AY69" s="312"/>
      <c r="AZ69" s="312"/>
      <c r="BA69" s="312"/>
      <c r="BB69" s="312"/>
      <c r="BC69" s="312"/>
    </row>
    <row r="70" spans="1:55" s="311" customFormat="1" ht="13.5" customHeight="1">
      <c r="A70" s="314"/>
      <c r="B70" s="296">
        <v>43466</v>
      </c>
      <c r="C70" s="295" t="s">
        <v>523</v>
      </c>
      <c r="D70" s="294">
        <v>760</v>
      </c>
      <c r="E70" s="294">
        <v>760</v>
      </c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313"/>
      <c r="Y70" s="313"/>
      <c r="Z70" s="313"/>
      <c r="AA70" s="313"/>
      <c r="AB70" s="313"/>
      <c r="AC70" s="313"/>
      <c r="AD70" s="313"/>
      <c r="AE70" s="313"/>
      <c r="AF70" s="313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2"/>
      <c r="AV70" s="312"/>
      <c r="AW70" s="312"/>
      <c r="AX70" s="312"/>
      <c r="AY70" s="312"/>
      <c r="AZ70" s="312"/>
      <c r="BA70" s="312"/>
      <c r="BB70" s="312"/>
      <c r="BC70" s="312"/>
    </row>
    <row r="71" spans="1:55" s="311" customFormat="1" ht="13.5" customHeight="1">
      <c r="A71" s="314"/>
      <c r="B71" s="296">
        <v>43466</v>
      </c>
      <c r="C71" s="295" t="s">
        <v>306</v>
      </c>
      <c r="D71" s="294">
        <v>570.77</v>
      </c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>
        <v>570.77</v>
      </c>
      <c r="P71" s="294"/>
      <c r="Q71" s="294"/>
      <c r="R71" s="294"/>
      <c r="S71" s="294"/>
      <c r="T71" s="294"/>
      <c r="U71" s="294"/>
      <c r="V71" s="294"/>
      <c r="W71" s="294"/>
      <c r="X71" s="313"/>
      <c r="Y71" s="313"/>
      <c r="Z71" s="313"/>
      <c r="AA71" s="313"/>
      <c r="AB71" s="313"/>
      <c r="AC71" s="313"/>
      <c r="AD71" s="313"/>
      <c r="AE71" s="313"/>
      <c r="AF71" s="313"/>
      <c r="AG71" s="312"/>
      <c r="AH71" s="312"/>
      <c r="AI71" s="312"/>
      <c r="AJ71" s="312"/>
      <c r="AK71" s="312"/>
      <c r="AL71" s="312"/>
      <c r="AM71" s="312"/>
      <c r="AN71" s="312"/>
      <c r="AO71" s="312"/>
      <c r="AP71" s="312"/>
      <c r="AQ71" s="312"/>
      <c r="AR71" s="312"/>
      <c r="AS71" s="312"/>
      <c r="AT71" s="312"/>
      <c r="AU71" s="312"/>
      <c r="AV71" s="312"/>
      <c r="AW71" s="312"/>
      <c r="AX71" s="312"/>
      <c r="AY71" s="312"/>
      <c r="AZ71" s="312"/>
      <c r="BA71" s="312"/>
      <c r="BB71" s="312"/>
      <c r="BC71" s="312"/>
    </row>
    <row r="72" spans="1:55" s="311" customFormat="1" ht="13.5" customHeight="1">
      <c r="A72" s="314"/>
      <c r="B72" s="296">
        <v>43466</v>
      </c>
      <c r="C72" s="295" t="s">
        <v>547</v>
      </c>
      <c r="D72" s="294">
        <v>1199.43</v>
      </c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>
        <v>1199.43</v>
      </c>
      <c r="W72" s="294"/>
      <c r="X72" s="313"/>
      <c r="Y72" s="313"/>
      <c r="Z72" s="313"/>
      <c r="AA72" s="313"/>
      <c r="AB72" s="313"/>
      <c r="AC72" s="313"/>
      <c r="AD72" s="313"/>
      <c r="AE72" s="313"/>
      <c r="AF72" s="313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2"/>
      <c r="AV72" s="312"/>
      <c r="AW72" s="312"/>
      <c r="AX72" s="312"/>
      <c r="AY72" s="312"/>
      <c r="AZ72" s="312"/>
      <c r="BA72" s="312"/>
      <c r="BB72" s="312"/>
      <c r="BC72" s="312"/>
    </row>
    <row r="73" spans="1:55" s="311" customFormat="1" ht="13.5" customHeight="1">
      <c r="A73" s="314"/>
      <c r="B73" s="296">
        <v>43467</v>
      </c>
      <c r="C73" s="295" t="s">
        <v>465</v>
      </c>
      <c r="D73" s="294">
        <v>152.19999999999999</v>
      </c>
      <c r="E73" s="294"/>
      <c r="F73" s="294"/>
      <c r="G73" s="294"/>
      <c r="H73" s="294">
        <v>142.75</v>
      </c>
      <c r="I73" s="294">
        <v>9.4499999999999993</v>
      </c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313"/>
      <c r="Y73" s="313"/>
      <c r="Z73" s="313"/>
      <c r="AA73" s="313"/>
      <c r="AB73" s="313"/>
      <c r="AC73" s="313"/>
      <c r="AD73" s="313"/>
      <c r="AE73" s="313"/>
      <c r="AF73" s="313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2"/>
      <c r="AV73" s="312"/>
      <c r="AW73" s="312"/>
      <c r="AX73" s="312"/>
      <c r="AY73" s="312"/>
      <c r="AZ73" s="312"/>
      <c r="BA73" s="312"/>
      <c r="BB73" s="312"/>
      <c r="BC73" s="312"/>
    </row>
    <row r="74" spans="1:55" s="311" customFormat="1" ht="13.5" customHeight="1">
      <c r="A74" s="314"/>
      <c r="B74" s="296">
        <v>43467</v>
      </c>
      <c r="C74" s="295" t="s">
        <v>451</v>
      </c>
      <c r="D74" s="294">
        <v>91.2</v>
      </c>
      <c r="E74" s="294"/>
      <c r="F74" s="294"/>
      <c r="G74" s="294">
        <v>76.25</v>
      </c>
      <c r="H74" s="294"/>
      <c r="I74" s="294"/>
      <c r="J74" s="294"/>
      <c r="K74" s="294"/>
      <c r="L74" s="294">
        <v>14.95</v>
      </c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313"/>
      <c r="Y74" s="313"/>
      <c r="Z74" s="313"/>
      <c r="AA74" s="313"/>
      <c r="AB74" s="313"/>
      <c r="AC74" s="313"/>
      <c r="AD74" s="313"/>
      <c r="AE74" s="313"/>
      <c r="AF74" s="313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  <c r="AQ74" s="312"/>
      <c r="AR74" s="312"/>
      <c r="AS74" s="312"/>
      <c r="AT74" s="312"/>
      <c r="AU74" s="312"/>
      <c r="AV74" s="312"/>
      <c r="AW74" s="312"/>
      <c r="AX74" s="312"/>
      <c r="AY74" s="312"/>
      <c r="AZ74" s="312"/>
      <c r="BA74" s="312"/>
      <c r="BB74" s="312"/>
      <c r="BC74" s="312"/>
    </row>
    <row r="75" spans="1:55" s="311" customFormat="1" ht="13.5" customHeight="1">
      <c r="A75" s="314"/>
      <c r="B75" s="296">
        <v>43467</v>
      </c>
      <c r="C75" s="295" t="s">
        <v>451</v>
      </c>
      <c r="D75" s="294">
        <v>146.80000000000001</v>
      </c>
      <c r="E75" s="294"/>
      <c r="F75" s="294"/>
      <c r="G75" s="294">
        <v>26.8</v>
      </c>
      <c r="H75" s="294"/>
      <c r="I75" s="294"/>
      <c r="J75" s="294">
        <v>80</v>
      </c>
      <c r="K75" s="294"/>
      <c r="L75" s="294">
        <v>40</v>
      </c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313"/>
      <c r="Y75" s="313"/>
      <c r="Z75" s="313"/>
      <c r="AA75" s="313"/>
      <c r="AB75" s="313"/>
      <c r="AC75" s="313"/>
      <c r="AD75" s="313"/>
      <c r="AE75" s="313"/>
      <c r="AF75" s="313"/>
      <c r="AG75" s="312"/>
      <c r="AH75" s="312"/>
      <c r="AI75" s="312"/>
      <c r="AJ75" s="312"/>
      <c r="AK75" s="312"/>
      <c r="AL75" s="312"/>
      <c r="AM75" s="312"/>
      <c r="AN75" s="312"/>
      <c r="AO75" s="312"/>
      <c r="AP75" s="312"/>
      <c r="AQ75" s="312"/>
      <c r="AR75" s="312"/>
      <c r="AS75" s="312"/>
      <c r="AT75" s="312"/>
      <c r="AU75" s="312"/>
      <c r="AV75" s="312"/>
      <c r="AW75" s="312"/>
      <c r="AX75" s="312"/>
      <c r="AY75" s="312"/>
      <c r="AZ75" s="312"/>
      <c r="BA75" s="312"/>
      <c r="BB75" s="312"/>
      <c r="BC75" s="312"/>
    </row>
    <row r="76" spans="1:55" s="311" customFormat="1" ht="13.5" customHeight="1">
      <c r="A76" s="314"/>
      <c r="B76" s="296">
        <v>43467</v>
      </c>
      <c r="C76" s="295" t="s">
        <v>40</v>
      </c>
      <c r="D76" s="294">
        <v>32.15</v>
      </c>
      <c r="E76" s="294"/>
      <c r="F76" s="294"/>
      <c r="G76" s="294">
        <v>17.2</v>
      </c>
      <c r="H76" s="294"/>
      <c r="I76" s="294"/>
      <c r="J76" s="294"/>
      <c r="K76" s="294"/>
      <c r="L76" s="294">
        <v>14.95</v>
      </c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313"/>
      <c r="Y76" s="313"/>
      <c r="Z76" s="313"/>
      <c r="AA76" s="313"/>
      <c r="AB76" s="313"/>
      <c r="AC76" s="313"/>
      <c r="AD76" s="313"/>
      <c r="AE76" s="313"/>
      <c r="AF76" s="313"/>
      <c r="AG76" s="312"/>
      <c r="AH76" s="312"/>
      <c r="AI76" s="312"/>
      <c r="AJ76" s="312"/>
      <c r="AK76" s="312"/>
      <c r="AL76" s="312"/>
      <c r="AM76" s="312"/>
      <c r="AN76" s="312"/>
      <c r="AO76" s="312"/>
      <c r="AP76" s="312"/>
      <c r="AQ76" s="312"/>
      <c r="AR76" s="312"/>
      <c r="AS76" s="312"/>
      <c r="AT76" s="312"/>
      <c r="AU76" s="312"/>
      <c r="AV76" s="312"/>
      <c r="AW76" s="312"/>
      <c r="AX76" s="312"/>
      <c r="AY76" s="312"/>
      <c r="AZ76" s="312"/>
      <c r="BA76" s="312"/>
      <c r="BB76" s="312"/>
      <c r="BC76" s="312"/>
    </row>
    <row r="77" spans="1:55" s="311" customFormat="1" ht="13.5" customHeight="1">
      <c r="A77" s="314"/>
      <c r="B77" s="296">
        <v>43467</v>
      </c>
      <c r="C77" s="295" t="s">
        <v>464</v>
      </c>
      <c r="D77" s="294">
        <v>129</v>
      </c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>
        <v>129</v>
      </c>
      <c r="P77" s="294"/>
      <c r="Q77" s="294"/>
      <c r="R77" s="294"/>
      <c r="S77" s="294"/>
      <c r="T77" s="294"/>
      <c r="U77" s="294"/>
      <c r="V77" s="294"/>
      <c r="W77" s="294"/>
      <c r="X77" s="313"/>
      <c r="Y77" s="313"/>
      <c r="Z77" s="313"/>
      <c r="AA77" s="313"/>
      <c r="AB77" s="313"/>
      <c r="AC77" s="313"/>
      <c r="AD77" s="313"/>
      <c r="AE77" s="313"/>
      <c r="AF77" s="313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2"/>
      <c r="AX77" s="312"/>
      <c r="AY77" s="312"/>
      <c r="AZ77" s="312"/>
      <c r="BA77" s="312"/>
      <c r="BB77" s="312"/>
      <c r="BC77" s="312"/>
    </row>
    <row r="78" spans="1:55" s="311" customFormat="1" ht="13.5" customHeight="1">
      <c r="A78" s="314"/>
      <c r="B78" s="296">
        <v>43467</v>
      </c>
      <c r="C78" s="295" t="s">
        <v>21</v>
      </c>
      <c r="D78" s="294">
        <v>176</v>
      </c>
      <c r="E78" s="294"/>
      <c r="F78" s="294"/>
      <c r="G78" s="294"/>
      <c r="H78" s="294"/>
      <c r="I78" s="294"/>
      <c r="J78" s="294"/>
      <c r="K78" s="294"/>
      <c r="L78" s="294"/>
      <c r="M78" s="294"/>
      <c r="N78" s="294"/>
      <c r="O78" s="294"/>
      <c r="P78" s="294">
        <v>176</v>
      </c>
      <c r="Q78" s="294"/>
      <c r="R78" s="294"/>
      <c r="S78" s="294"/>
      <c r="T78" s="294"/>
      <c r="U78" s="294"/>
      <c r="V78" s="294"/>
      <c r="W78" s="294"/>
      <c r="X78" s="313"/>
      <c r="Y78" s="313"/>
      <c r="Z78" s="313"/>
      <c r="AA78" s="313"/>
      <c r="AB78" s="313"/>
      <c r="AC78" s="313"/>
      <c r="AD78" s="313"/>
      <c r="AE78" s="313"/>
      <c r="AF78" s="313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</row>
    <row r="79" spans="1:55" s="311" customFormat="1" ht="13.5" customHeight="1">
      <c r="A79" s="314"/>
      <c r="B79" s="296">
        <v>43467</v>
      </c>
      <c r="C79" s="295" t="s">
        <v>525</v>
      </c>
      <c r="D79" s="294">
        <v>129</v>
      </c>
      <c r="E79" s="294"/>
      <c r="F79" s="294">
        <v>129</v>
      </c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313"/>
      <c r="Y79" s="313"/>
      <c r="Z79" s="313"/>
      <c r="AA79" s="313"/>
      <c r="AB79" s="313"/>
      <c r="AC79" s="313"/>
      <c r="AD79" s="313"/>
      <c r="AE79" s="313"/>
      <c r="AF79" s="313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2"/>
      <c r="AX79" s="312"/>
      <c r="AY79" s="312"/>
      <c r="AZ79" s="312"/>
      <c r="BA79" s="312"/>
      <c r="BB79" s="312"/>
      <c r="BC79" s="312"/>
    </row>
    <row r="80" spans="1:55" s="311" customFormat="1" ht="13.5" customHeight="1">
      <c r="A80" s="314"/>
      <c r="B80" s="296">
        <v>43468</v>
      </c>
      <c r="C80" s="295" t="s">
        <v>451</v>
      </c>
      <c r="D80" s="294">
        <v>318.66000000000003</v>
      </c>
      <c r="E80" s="294"/>
      <c r="F80" s="294"/>
      <c r="G80" s="294">
        <v>188.66</v>
      </c>
      <c r="H80" s="294"/>
      <c r="I80" s="294"/>
      <c r="J80" s="294">
        <v>80</v>
      </c>
      <c r="K80" s="294"/>
      <c r="L80" s="294">
        <v>50</v>
      </c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313"/>
      <c r="Y80" s="313"/>
      <c r="Z80" s="313"/>
      <c r="AA80" s="313"/>
      <c r="AB80" s="313"/>
      <c r="AC80" s="313"/>
      <c r="AD80" s="313"/>
      <c r="AE80" s="313"/>
      <c r="AF80" s="313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2"/>
      <c r="AX80" s="312"/>
      <c r="AY80" s="312"/>
      <c r="AZ80" s="312"/>
      <c r="BA80" s="312"/>
      <c r="BB80" s="312"/>
      <c r="BC80" s="312"/>
    </row>
    <row r="81" spans="1:55" s="311" customFormat="1" ht="13.5" customHeight="1">
      <c r="A81" s="314"/>
      <c r="B81" s="296">
        <v>43468</v>
      </c>
      <c r="C81" s="295" t="s">
        <v>48</v>
      </c>
      <c r="D81" s="294">
        <v>279</v>
      </c>
      <c r="E81" s="294"/>
      <c r="F81" s="294"/>
      <c r="G81" s="294"/>
      <c r="H81" s="294"/>
      <c r="I81" s="294"/>
      <c r="J81" s="294"/>
      <c r="K81" s="294"/>
      <c r="L81" s="294"/>
      <c r="M81" s="294"/>
      <c r="N81" s="294">
        <v>279</v>
      </c>
      <c r="O81" s="294"/>
      <c r="P81" s="294"/>
      <c r="Q81" s="294"/>
      <c r="R81" s="294"/>
      <c r="S81" s="294"/>
      <c r="T81" s="294"/>
      <c r="U81" s="294"/>
      <c r="V81" s="294"/>
      <c r="W81" s="294"/>
      <c r="X81" s="313"/>
      <c r="Y81" s="313"/>
      <c r="Z81" s="313"/>
      <c r="AA81" s="313"/>
      <c r="AB81" s="313"/>
      <c r="AC81" s="313"/>
      <c r="AD81" s="313"/>
      <c r="AE81" s="313"/>
      <c r="AF81" s="313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</row>
    <row r="82" spans="1:55" s="311" customFormat="1" ht="13.5" customHeight="1">
      <c r="A82" s="314"/>
      <c r="B82" s="296">
        <v>43469</v>
      </c>
      <c r="C82" s="295" t="s">
        <v>40</v>
      </c>
      <c r="D82" s="294">
        <v>519.9</v>
      </c>
      <c r="E82" s="294"/>
      <c r="F82" s="294"/>
      <c r="G82" s="294">
        <v>79.900000000000006</v>
      </c>
      <c r="H82" s="294"/>
      <c r="I82" s="294"/>
      <c r="J82" s="294">
        <v>400</v>
      </c>
      <c r="K82" s="294"/>
      <c r="L82" s="294">
        <v>40</v>
      </c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313"/>
      <c r="Y82" s="313"/>
      <c r="Z82" s="313"/>
      <c r="AA82" s="313"/>
      <c r="AB82" s="313"/>
      <c r="AC82" s="313"/>
      <c r="AD82" s="313"/>
      <c r="AE82" s="313"/>
      <c r="AF82" s="313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2"/>
      <c r="AX82" s="312"/>
      <c r="AY82" s="312"/>
      <c r="AZ82" s="312"/>
      <c r="BA82" s="312"/>
      <c r="BB82" s="312"/>
      <c r="BC82" s="312"/>
    </row>
    <row r="83" spans="1:55" s="311" customFormat="1" ht="13.5" customHeight="1">
      <c r="A83" s="314"/>
      <c r="B83" s="296">
        <v>43469</v>
      </c>
      <c r="C83" s="295" t="s">
        <v>465</v>
      </c>
      <c r="D83" s="294">
        <v>11.3</v>
      </c>
      <c r="E83" s="294"/>
      <c r="F83" s="294"/>
      <c r="G83" s="294"/>
      <c r="H83" s="294">
        <v>11.3</v>
      </c>
      <c r="I83" s="294"/>
      <c r="J83" s="294"/>
      <c r="K83" s="294"/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313"/>
      <c r="Y83" s="313"/>
      <c r="Z83" s="313"/>
      <c r="AA83" s="313"/>
      <c r="AB83" s="313"/>
      <c r="AC83" s="313"/>
      <c r="AD83" s="313"/>
      <c r="AE83" s="313"/>
      <c r="AF83" s="313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2"/>
      <c r="AX83" s="312"/>
      <c r="AY83" s="312"/>
      <c r="AZ83" s="312"/>
      <c r="BA83" s="312"/>
      <c r="BB83" s="312"/>
      <c r="BC83" s="312"/>
    </row>
    <row r="84" spans="1:55" s="311" customFormat="1" ht="13.5" customHeight="1">
      <c r="A84" s="314"/>
      <c r="B84" s="296">
        <v>43469</v>
      </c>
      <c r="C84" s="295" t="s">
        <v>451</v>
      </c>
      <c r="D84" s="294">
        <v>42</v>
      </c>
      <c r="E84" s="294"/>
      <c r="F84" s="294"/>
      <c r="G84" s="294">
        <v>42</v>
      </c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313"/>
      <c r="Y84" s="313"/>
      <c r="Z84" s="313"/>
      <c r="AA84" s="313"/>
      <c r="AB84" s="313"/>
      <c r="AC84" s="313"/>
      <c r="AD84" s="313"/>
      <c r="AE84" s="313"/>
      <c r="AF84" s="313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2"/>
      <c r="AX84" s="312"/>
      <c r="AY84" s="312"/>
      <c r="AZ84" s="312"/>
      <c r="BA84" s="312"/>
      <c r="BB84" s="312"/>
      <c r="BC84" s="312"/>
    </row>
    <row r="85" spans="1:55" s="311" customFormat="1" ht="13.5" customHeight="1">
      <c r="A85" s="314"/>
      <c r="B85" s="296">
        <v>43470</v>
      </c>
      <c r="C85" s="295" t="s">
        <v>546</v>
      </c>
      <c r="D85" s="294">
        <v>30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>
        <f>D85</f>
        <v>30</v>
      </c>
      <c r="T85" s="294"/>
      <c r="U85" s="294"/>
      <c r="V85" s="294"/>
      <c r="W85" s="294"/>
      <c r="X85" s="313"/>
      <c r="Y85" s="313"/>
      <c r="Z85" s="313"/>
      <c r="AA85" s="313"/>
      <c r="AB85" s="313"/>
      <c r="AC85" s="313"/>
      <c r="AD85" s="313"/>
      <c r="AE85" s="313"/>
      <c r="AF85" s="313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2"/>
      <c r="AX85" s="312"/>
      <c r="AY85" s="312"/>
      <c r="AZ85" s="312"/>
      <c r="BA85" s="312"/>
      <c r="BB85" s="312"/>
      <c r="BC85" s="312"/>
    </row>
    <row r="86" spans="1:55" s="311" customFormat="1" ht="13.5" customHeight="1">
      <c r="A86" s="314"/>
      <c r="B86" s="296">
        <v>43470</v>
      </c>
      <c r="C86" s="295" t="s">
        <v>48</v>
      </c>
      <c r="D86" s="294">
        <v>1023.2</v>
      </c>
      <c r="E86" s="294"/>
      <c r="F86" s="294"/>
      <c r="G86" s="294"/>
      <c r="H86" s="294"/>
      <c r="I86" s="294"/>
      <c r="J86" s="294"/>
      <c r="K86" s="294"/>
      <c r="L86" s="294"/>
      <c r="M86" s="294"/>
      <c r="N86" s="294">
        <v>1023.2</v>
      </c>
      <c r="O86" s="294"/>
      <c r="P86" s="294"/>
      <c r="Q86" s="294"/>
      <c r="R86" s="294"/>
      <c r="S86" s="294"/>
      <c r="T86" s="294"/>
      <c r="U86" s="294"/>
      <c r="V86" s="294"/>
      <c r="W86" s="294"/>
      <c r="X86" s="313"/>
      <c r="Y86" s="313"/>
      <c r="Z86" s="313"/>
      <c r="AA86" s="313"/>
      <c r="AB86" s="313"/>
      <c r="AC86" s="313"/>
      <c r="AD86" s="313"/>
      <c r="AE86" s="313"/>
      <c r="AF86" s="313"/>
      <c r="AG86" s="312"/>
      <c r="AH86" s="312"/>
      <c r="AI86" s="312"/>
      <c r="AJ86" s="312"/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2"/>
      <c r="AX86" s="312"/>
      <c r="AY86" s="312"/>
      <c r="AZ86" s="312"/>
      <c r="BA86" s="312"/>
      <c r="BB86" s="312"/>
      <c r="BC86" s="312"/>
    </row>
    <row r="87" spans="1:55" s="311" customFormat="1" ht="13.5" customHeight="1">
      <c r="A87" s="314"/>
      <c r="B87" s="296">
        <v>43472</v>
      </c>
      <c r="C87" s="295" t="s">
        <v>545</v>
      </c>
      <c r="D87" s="294">
        <v>236</v>
      </c>
      <c r="E87" s="294"/>
      <c r="F87" s="294">
        <v>236</v>
      </c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313"/>
      <c r="Y87" s="313"/>
      <c r="Z87" s="313"/>
      <c r="AA87" s="313"/>
      <c r="AB87" s="313"/>
      <c r="AC87" s="313"/>
      <c r="AD87" s="313"/>
      <c r="AE87" s="313"/>
      <c r="AF87" s="313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</row>
    <row r="88" spans="1:55" s="311" customFormat="1" ht="13.5" customHeight="1">
      <c r="A88" s="314"/>
      <c r="B88" s="296">
        <v>43472</v>
      </c>
      <c r="C88" s="295" t="s">
        <v>20</v>
      </c>
      <c r="D88" s="294">
        <v>344.73</v>
      </c>
      <c r="E88" s="294">
        <v>344.73</v>
      </c>
      <c r="F88" s="294"/>
      <c r="G88" s="294"/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313"/>
      <c r="Y88" s="313"/>
      <c r="Z88" s="313"/>
      <c r="AA88" s="313"/>
      <c r="AB88" s="313"/>
      <c r="AC88" s="313"/>
      <c r="AD88" s="313"/>
      <c r="AE88" s="313"/>
      <c r="AF88" s="313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2"/>
      <c r="AV88" s="312"/>
      <c r="AW88" s="312"/>
      <c r="AX88" s="312"/>
      <c r="AY88" s="312"/>
      <c r="AZ88" s="312"/>
      <c r="BA88" s="312"/>
      <c r="BB88" s="312"/>
      <c r="BC88" s="312"/>
    </row>
    <row r="89" spans="1:55" s="311" customFormat="1" ht="13.5" customHeight="1">
      <c r="A89" s="314"/>
      <c r="B89" s="296">
        <v>43472</v>
      </c>
      <c r="C89" s="295" t="s">
        <v>285</v>
      </c>
      <c r="D89" s="294">
        <v>1699</v>
      </c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>
        <v>1699</v>
      </c>
      <c r="P89" s="294"/>
      <c r="Q89" s="294"/>
      <c r="R89" s="294"/>
      <c r="S89" s="294"/>
      <c r="T89" s="294"/>
      <c r="U89" s="294"/>
      <c r="V89" s="294"/>
      <c r="W89" s="294"/>
      <c r="X89" s="313"/>
      <c r="Y89" s="313"/>
      <c r="Z89" s="313"/>
      <c r="AA89" s="313"/>
      <c r="AB89" s="313"/>
      <c r="AC89" s="313"/>
      <c r="AD89" s="313"/>
      <c r="AE89" s="313"/>
      <c r="AF89" s="313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2"/>
      <c r="BA89" s="312"/>
      <c r="BB89" s="312"/>
      <c r="BC89" s="312"/>
    </row>
    <row r="90" spans="1:55" s="311" customFormat="1" ht="13.5" customHeight="1">
      <c r="A90" s="314"/>
      <c r="B90" s="296">
        <v>43473</v>
      </c>
      <c r="C90" s="295" t="s">
        <v>239</v>
      </c>
      <c r="D90" s="294">
        <v>75</v>
      </c>
      <c r="E90" s="294"/>
      <c r="F90" s="294"/>
      <c r="G90" s="294"/>
      <c r="H90" s="294"/>
      <c r="I90" s="294"/>
      <c r="J90" s="294"/>
      <c r="K90" s="294"/>
      <c r="L90" s="294"/>
      <c r="M90" s="294"/>
      <c r="N90" s="294"/>
      <c r="O90" s="294"/>
      <c r="P90" s="294"/>
      <c r="Q90" s="294">
        <v>75</v>
      </c>
      <c r="R90" s="294"/>
      <c r="S90" s="294"/>
      <c r="T90" s="294"/>
      <c r="U90" s="294"/>
      <c r="V90" s="294"/>
      <c r="W90" s="294"/>
      <c r="X90" s="313"/>
      <c r="Y90" s="313"/>
      <c r="Z90" s="313"/>
      <c r="AA90" s="313"/>
      <c r="AB90" s="313"/>
      <c r="AC90" s="313"/>
      <c r="AD90" s="313"/>
      <c r="AE90" s="313"/>
      <c r="AF90" s="313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2"/>
      <c r="AX90" s="312"/>
      <c r="AY90" s="312"/>
      <c r="AZ90" s="312"/>
      <c r="BA90" s="312"/>
      <c r="BB90" s="312"/>
      <c r="BC90" s="312"/>
    </row>
    <row r="91" spans="1:55" s="311" customFormat="1" ht="13.5" customHeight="1">
      <c r="A91" s="314"/>
      <c r="B91" s="296">
        <v>43473</v>
      </c>
      <c r="C91" s="295" t="s">
        <v>469</v>
      </c>
      <c r="D91" s="294">
        <v>111</v>
      </c>
      <c r="E91" s="294"/>
      <c r="F91" s="294"/>
      <c r="G91" s="294">
        <v>111</v>
      </c>
      <c r="H91" s="294"/>
      <c r="I91" s="294"/>
      <c r="J91" s="294"/>
      <c r="K91" s="294"/>
      <c r="L91" s="294"/>
      <c r="M91" s="294"/>
      <c r="N91" s="294"/>
      <c r="O91" s="294"/>
      <c r="P91" s="294"/>
      <c r="Q91" s="294"/>
      <c r="R91" s="294"/>
      <c r="S91" s="294"/>
      <c r="T91" s="294"/>
      <c r="U91" s="294"/>
      <c r="V91" s="294"/>
      <c r="W91" s="294"/>
      <c r="X91" s="313"/>
      <c r="Y91" s="313"/>
      <c r="Z91" s="313"/>
      <c r="AA91" s="313"/>
      <c r="AB91" s="313"/>
      <c r="AC91" s="313"/>
      <c r="AD91" s="313"/>
      <c r="AE91" s="313"/>
      <c r="AF91" s="313"/>
      <c r="AG91" s="312"/>
      <c r="AH91" s="312"/>
      <c r="AI91" s="312"/>
      <c r="AJ91" s="312"/>
      <c r="AK91" s="312"/>
      <c r="AL91" s="312"/>
      <c r="AM91" s="312"/>
      <c r="AN91" s="312"/>
      <c r="AO91" s="312"/>
      <c r="AP91" s="312"/>
      <c r="AQ91" s="312"/>
      <c r="AR91" s="312"/>
      <c r="AS91" s="312"/>
      <c r="AT91" s="312"/>
      <c r="AU91" s="312"/>
      <c r="AV91" s="312"/>
      <c r="AW91" s="312"/>
      <c r="AX91" s="312"/>
      <c r="AY91" s="312"/>
      <c r="AZ91" s="312"/>
      <c r="BA91" s="312"/>
      <c r="BB91" s="312"/>
      <c r="BC91" s="312"/>
    </row>
    <row r="92" spans="1:55" s="311" customFormat="1" ht="13.5" customHeight="1">
      <c r="A92" s="314"/>
      <c r="B92" s="296">
        <v>43473</v>
      </c>
      <c r="C92" s="295" t="s">
        <v>451</v>
      </c>
      <c r="D92" s="294">
        <v>58.1</v>
      </c>
      <c r="E92" s="294"/>
      <c r="F92" s="294"/>
      <c r="G92" s="294">
        <v>58.1</v>
      </c>
      <c r="H92" s="294"/>
      <c r="I92" s="294"/>
      <c r="J92" s="294"/>
      <c r="K92" s="294"/>
      <c r="L92" s="294"/>
      <c r="M92" s="294"/>
      <c r="N92" s="294"/>
      <c r="O92" s="294"/>
      <c r="P92" s="294"/>
      <c r="Q92" s="294"/>
      <c r="R92" s="294"/>
      <c r="S92" s="294"/>
      <c r="T92" s="294"/>
      <c r="U92" s="294"/>
      <c r="V92" s="294"/>
      <c r="W92" s="294"/>
      <c r="X92" s="313"/>
      <c r="Y92" s="313"/>
      <c r="Z92" s="313"/>
      <c r="AA92" s="313"/>
      <c r="AB92" s="313"/>
      <c r="AC92" s="313"/>
      <c r="AD92" s="313"/>
      <c r="AE92" s="313"/>
      <c r="AF92" s="313"/>
      <c r="AG92" s="312"/>
      <c r="AH92" s="312"/>
      <c r="AI92" s="312"/>
      <c r="AJ92" s="312"/>
      <c r="AK92" s="312"/>
      <c r="AL92" s="312"/>
      <c r="AM92" s="312"/>
      <c r="AN92" s="312"/>
      <c r="AO92" s="312"/>
      <c r="AP92" s="312"/>
      <c r="AQ92" s="312"/>
      <c r="AR92" s="312"/>
      <c r="AS92" s="312"/>
      <c r="AT92" s="312"/>
      <c r="AU92" s="312"/>
      <c r="AV92" s="312"/>
      <c r="AW92" s="312"/>
      <c r="AX92" s="312"/>
      <c r="AY92" s="312"/>
      <c r="AZ92" s="312"/>
      <c r="BA92" s="312"/>
      <c r="BB92" s="312"/>
      <c r="BC92" s="312"/>
    </row>
    <row r="93" spans="1:55" s="311" customFormat="1" ht="13.5" customHeight="1">
      <c r="A93" s="314"/>
      <c r="B93" s="296">
        <v>43474</v>
      </c>
      <c r="C93" s="295" t="s">
        <v>40</v>
      </c>
      <c r="D93" s="294">
        <v>80</v>
      </c>
      <c r="E93" s="294"/>
      <c r="F93" s="294"/>
      <c r="G93" s="294">
        <v>80</v>
      </c>
      <c r="H93" s="294"/>
      <c r="I93" s="294"/>
      <c r="J93" s="294"/>
      <c r="K93" s="294"/>
      <c r="L93" s="294"/>
      <c r="M93" s="294"/>
      <c r="N93" s="294"/>
      <c r="O93" s="294"/>
      <c r="P93" s="294"/>
      <c r="Q93" s="294"/>
      <c r="R93" s="294"/>
      <c r="S93" s="294"/>
      <c r="T93" s="294"/>
      <c r="U93" s="294"/>
      <c r="V93" s="294"/>
      <c r="W93" s="294"/>
      <c r="X93" s="313"/>
      <c r="Y93" s="313"/>
      <c r="Z93" s="313"/>
      <c r="AA93" s="313"/>
      <c r="AB93" s="313"/>
      <c r="AC93" s="313"/>
      <c r="AD93" s="313"/>
      <c r="AE93" s="313"/>
      <c r="AF93" s="313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2"/>
      <c r="AV93" s="312"/>
      <c r="AW93" s="312"/>
      <c r="AX93" s="312"/>
      <c r="AY93" s="312"/>
      <c r="AZ93" s="312"/>
      <c r="BA93" s="312"/>
      <c r="BB93" s="312"/>
      <c r="BC93" s="312"/>
    </row>
    <row r="94" spans="1:55" s="311" customFormat="1" ht="13.5" customHeight="1">
      <c r="A94" s="314"/>
      <c r="B94" s="296">
        <v>43474</v>
      </c>
      <c r="C94" s="295" t="s">
        <v>451</v>
      </c>
      <c r="D94" s="294">
        <v>85.95</v>
      </c>
      <c r="E94" s="294"/>
      <c r="F94" s="294"/>
      <c r="G94" s="294">
        <v>85.95</v>
      </c>
      <c r="H94" s="294"/>
      <c r="I94" s="294"/>
      <c r="J94" s="294"/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313"/>
      <c r="Y94" s="313"/>
      <c r="Z94" s="313"/>
      <c r="AA94" s="313"/>
      <c r="AB94" s="313"/>
      <c r="AC94" s="313"/>
      <c r="AD94" s="313"/>
      <c r="AE94" s="313"/>
      <c r="AF94" s="313"/>
      <c r="AG94" s="312"/>
      <c r="AH94" s="312"/>
      <c r="AI94" s="312"/>
      <c r="AJ94" s="312"/>
      <c r="AK94" s="312"/>
      <c r="AL94" s="312"/>
      <c r="AM94" s="312"/>
      <c r="AN94" s="312"/>
      <c r="AO94" s="312"/>
      <c r="AP94" s="312"/>
      <c r="AQ94" s="312"/>
      <c r="AR94" s="312"/>
      <c r="AS94" s="312"/>
      <c r="AT94" s="312"/>
      <c r="AU94" s="312"/>
      <c r="AV94" s="312"/>
      <c r="AW94" s="312"/>
      <c r="AX94" s="312"/>
      <c r="AY94" s="312"/>
      <c r="AZ94" s="312"/>
      <c r="BA94" s="312"/>
      <c r="BB94" s="312"/>
      <c r="BC94" s="312"/>
    </row>
    <row r="95" spans="1:55" s="311" customFormat="1" ht="13.5" customHeight="1">
      <c r="A95" s="314"/>
      <c r="B95" s="296">
        <v>43474</v>
      </c>
      <c r="C95" s="295" t="s">
        <v>223</v>
      </c>
      <c r="D95" s="294">
        <v>100</v>
      </c>
      <c r="E95" s="294"/>
      <c r="F95" s="294"/>
      <c r="G95" s="294">
        <v>100</v>
      </c>
      <c r="H95" s="294"/>
      <c r="I95" s="294"/>
      <c r="J95" s="294"/>
      <c r="K95" s="294"/>
      <c r="L95" s="294"/>
      <c r="M95" s="294"/>
      <c r="N95" s="294"/>
      <c r="O95" s="294"/>
      <c r="P95" s="294"/>
      <c r="Q95" s="294"/>
      <c r="R95" s="294"/>
      <c r="S95" s="294"/>
      <c r="T95" s="294"/>
      <c r="U95" s="294"/>
      <c r="V95" s="294"/>
      <c r="W95" s="294"/>
      <c r="X95" s="313"/>
      <c r="Y95" s="313"/>
      <c r="Z95" s="313"/>
      <c r="AA95" s="313"/>
      <c r="AB95" s="313"/>
      <c r="AC95" s="313"/>
      <c r="AD95" s="313"/>
      <c r="AE95" s="313"/>
      <c r="AF95" s="313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</row>
    <row r="96" spans="1:55" s="311" customFormat="1" ht="13.5" customHeight="1">
      <c r="A96" s="314"/>
      <c r="B96" s="296">
        <v>43474</v>
      </c>
      <c r="C96" s="295" t="s">
        <v>465</v>
      </c>
      <c r="D96" s="294">
        <v>178.3</v>
      </c>
      <c r="E96" s="294"/>
      <c r="F96" s="294"/>
      <c r="G96" s="294"/>
      <c r="H96" s="294">
        <v>178.3</v>
      </c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313"/>
      <c r="Y96" s="313"/>
      <c r="Z96" s="313"/>
      <c r="AA96" s="313"/>
      <c r="AB96" s="313"/>
      <c r="AC96" s="313"/>
      <c r="AD96" s="313"/>
      <c r="AE96" s="313"/>
      <c r="AF96" s="313"/>
      <c r="AG96" s="312"/>
      <c r="AH96" s="312"/>
      <c r="AI96" s="312"/>
      <c r="AJ96" s="312"/>
      <c r="AK96" s="312"/>
      <c r="AL96" s="312"/>
      <c r="AM96" s="312"/>
      <c r="AN96" s="312"/>
      <c r="AO96" s="312"/>
      <c r="AP96" s="312"/>
      <c r="AQ96" s="312"/>
      <c r="AR96" s="312"/>
      <c r="AS96" s="312"/>
      <c r="AT96" s="312"/>
      <c r="AU96" s="312"/>
      <c r="AV96" s="312"/>
      <c r="AW96" s="312"/>
      <c r="AX96" s="312"/>
      <c r="AY96" s="312"/>
      <c r="AZ96" s="312"/>
      <c r="BA96" s="312"/>
      <c r="BB96" s="312"/>
      <c r="BC96" s="312"/>
    </row>
    <row r="97" spans="1:55" s="311" customFormat="1" ht="13.5" customHeight="1">
      <c r="A97" s="314"/>
      <c r="B97" s="296">
        <v>43474</v>
      </c>
      <c r="C97" s="295" t="s">
        <v>37</v>
      </c>
      <c r="D97" s="294">
        <v>36.9</v>
      </c>
      <c r="E97" s="294"/>
      <c r="F97" s="294">
        <v>36.9</v>
      </c>
      <c r="G97" s="294"/>
      <c r="H97" s="294"/>
      <c r="I97" s="294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313"/>
      <c r="Y97" s="313"/>
      <c r="Z97" s="313"/>
      <c r="AA97" s="313"/>
      <c r="AB97" s="313"/>
      <c r="AC97" s="313"/>
      <c r="AD97" s="313"/>
      <c r="AE97" s="313"/>
      <c r="AF97" s="313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</row>
    <row r="98" spans="1:55" s="311" customFormat="1" ht="13.5" customHeight="1">
      <c r="A98" s="314"/>
      <c r="B98" s="296">
        <v>43475</v>
      </c>
      <c r="C98" s="295" t="s">
        <v>469</v>
      </c>
      <c r="D98" s="294">
        <v>21.45</v>
      </c>
      <c r="E98" s="294"/>
      <c r="F98" s="294"/>
      <c r="G98" s="294">
        <v>21.45</v>
      </c>
      <c r="H98" s="294"/>
      <c r="I98" s="294"/>
      <c r="J98" s="294"/>
      <c r="K98" s="294"/>
      <c r="L98" s="294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313"/>
      <c r="Y98" s="313"/>
      <c r="Z98" s="313"/>
      <c r="AA98" s="313"/>
      <c r="AB98" s="313"/>
      <c r="AC98" s="313"/>
      <c r="AD98" s="313"/>
      <c r="AE98" s="313"/>
      <c r="AF98" s="313"/>
      <c r="AG98" s="312"/>
      <c r="AH98" s="312"/>
      <c r="AI98" s="312"/>
      <c r="AJ98" s="312"/>
      <c r="AK98" s="312"/>
      <c r="AL98" s="312"/>
      <c r="AM98" s="312"/>
      <c r="AN98" s="312"/>
      <c r="AO98" s="312"/>
      <c r="AP98" s="312"/>
      <c r="AQ98" s="312"/>
      <c r="AR98" s="312"/>
      <c r="AS98" s="312"/>
      <c r="AT98" s="312"/>
      <c r="AU98" s="312"/>
      <c r="AV98" s="312"/>
      <c r="AW98" s="312"/>
      <c r="AX98" s="312"/>
      <c r="AY98" s="312"/>
      <c r="AZ98" s="312"/>
      <c r="BA98" s="312"/>
      <c r="BB98" s="312"/>
      <c r="BC98" s="312"/>
    </row>
    <row r="99" spans="1:55" s="311" customFormat="1" ht="13.5" customHeight="1">
      <c r="A99" s="314"/>
      <c r="B99" s="296">
        <v>43475</v>
      </c>
      <c r="C99" s="295" t="s">
        <v>451</v>
      </c>
      <c r="D99" s="294">
        <v>87.85</v>
      </c>
      <c r="E99" s="294"/>
      <c r="F99" s="294"/>
      <c r="G99" s="294">
        <v>87.85</v>
      </c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313"/>
      <c r="Y99" s="313"/>
      <c r="Z99" s="313"/>
      <c r="AA99" s="313"/>
      <c r="AB99" s="313"/>
      <c r="AC99" s="313"/>
      <c r="AD99" s="313"/>
      <c r="AE99" s="313"/>
      <c r="AF99" s="313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2"/>
      <c r="AV99" s="312"/>
      <c r="AW99" s="312"/>
      <c r="AX99" s="312"/>
      <c r="AY99" s="312"/>
      <c r="AZ99" s="312"/>
      <c r="BA99" s="312"/>
      <c r="BB99" s="312"/>
      <c r="BC99" s="312"/>
    </row>
    <row r="100" spans="1:55" s="311" customFormat="1" ht="13.5" customHeight="1">
      <c r="A100" s="314"/>
      <c r="B100" s="296">
        <v>43475</v>
      </c>
      <c r="C100" s="295" t="s">
        <v>223</v>
      </c>
      <c r="D100" s="294">
        <v>30</v>
      </c>
      <c r="E100" s="294"/>
      <c r="F100" s="294"/>
      <c r="G100" s="294">
        <v>30</v>
      </c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2"/>
      <c r="AH100" s="312"/>
      <c r="AI100" s="312"/>
      <c r="AJ100" s="312"/>
      <c r="AK100" s="312"/>
      <c r="AL100" s="312"/>
      <c r="AM100" s="312"/>
      <c r="AN100" s="312"/>
      <c r="AO100" s="312"/>
      <c r="AP100" s="312"/>
      <c r="AQ100" s="312"/>
      <c r="AR100" s="312"/>
      <c r="AS100" s="312"/>
      <c r="AT100" s="312"/>
      <c r="AU100" s="312"/>
      <c r="AV100" s="312"/>
      <c r="AW100" s="312"/>
      <c r="AX100" s="312"/>
      <c r="AY100" s="312"/>
      <c r="AZ100" s="312"/>
      <c r="BA100" s="312"/>
      <c r="BB100" s="312"/>
      <c r="BC100" s="312"/>
    </row>
    <row r="101" spans="1:55" s="311" customFormat="1" ht="13.5" customHeight="1">
      <c r="A101" s="314"/>
      <c r="B101" s="296">
        <v>43475</v>
      </c>
      <c r="C101" s="295" t="s">
        <v>40</v>
      </c>
      <c r="D101" s="294">
        <v>24.95</v>
      </c>
      <c r="E101" s="294"/>
      <c r="F101" s="294"/>
      <c r="G101" s="294">
        <v>24.95</v>
      </c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313"/>
      <c r="Y101" s="313"/>
      <c r="Z101" s="313"/>
      <c r="AA101" s="313"/>
      <c r="AB101" s="313"/>
      <c r="AC101" s="313"/>
      <c r="AD101" s="313"/>
      <c r="AE101" s="313"/>
      <c r="AF101" s="313"/>
      <c r="AG101" s="312"/>
      <c r="AH101" s="312"/>
      <c r="AI101" s="312"/>
      <c r="AJ101" s="312"/>
      <c r="AK101" s="312"/>
      <c r="AL101" s="312"/>
      <c r="AM101" s="312"/>
      <c r="AN101" s="312"/>
      <c r="AO101" s="312"/>
      <c r="AP101" s="312"/>
      <c r="AQ101" s="312"/>
      <c r="AR101" s="312"/>
      <c r="AS101" s="312"/>
      <c r="AT101" s="312"/>
      <c r="AU101" s="312"/>
      <c r="AV101" s="312"/>
      <c r="AW101" s="312"/>
      <c r="AX101" s="312"/>
      <c r="AY101" s="312"/>
      <c r="AZ101" s="312"/>
      <c r="BA101" s="312"/>
      <c r="BB101" s="312"/>
      <c r="BC101" s="312"/>
    </row>
    <row r="102" spans="1:55" s="311" customFormat="1" ht="13.5" customHeight="1">
      <c r="A102" s="314"/>
      <c r="B102" s="296">
        <v>43475</v>
      </c>
      <c r="C102" s="295" t="s">
        <v>544</v>
      </c>
      <c r="D102" s="294">
        <v>148</v>
      </c>
      <c r="E102" s="294"/>
      <c r="F102" s="294">
        <v>148</v>
      </c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313"/>
      <c r="Y102" s="313"/>
      <c r="Z102" s="313"/>
      <c r="AA102" s="313"/>
      <c r="AB102" s="313"/>
      <c r="AC102" s="313"/>
      <c r="AD102" s="313"/>
      <c r="AE102" s="313"/>
      <c r="AF102" s="313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2"/>
      <c r="AV102" s="312"/>
      <c r="AW102" s="312"/>
      <c r="AX102" s="312"/>
      <c r="AY102" s="312"/>
      <c r="AZ102" s="312"/>
      <c r="BA102" s="312"/>
      <c r="BB102" s="312"/>
      <c r="BC102" s="312"/>
    </row>
    <row r="103" spans="1:55" s="311" customFormat="1" ht="13.5" customHeight="1">
      <c r="A103" s="314"/>
      <c r="B103" s="296">
        <v>43475</v>
      </c>
      <c r="C103" s="295" t="s">
        <v>543</v>
      </c>
      <c r="D103" s="294">
        <v>69</v>
      </c>
      <c r="E103" s="294"/>
      <c r="F103" s="294">
        <v>69</v>
      </c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313"/>
      <c r="Y103" s="313"/>
      <c r="Z103" s="313"/>
      <c r="AA103" s="313"/>
      <c r="AB103" s="313"/>
      <c r="AC103" s="313"/>
      <c r="AD103" s="313"/>
      <c r="AE103" s="313"/>
      <c r="AF103" s="313"/>
      <c r="AG103" s="312"/>
      <c r="AH103" s="312"/>
      <c r="AI103" s="312"/>
      <c r="AJ103" s="312"/>
      <c r="AK103" s="312"/>
      <c r="AL103" s="312"/>
      <c r="AM103" s="312"/>
      <c r="AN103" s="312"/>
      <c r="AO103" s="312"/>
      <c r="AP103" s="312"/>
      <c r="AQ103" s="312"/>
      <c r="AR103" s="312"/>
      <c r="AS103" s="312"/>
      <c r="AT103" s="312"/>
      <c r="AU103" s="312"/>
      <c r="AV103" s="312"/>
      <c r="AW103" s="312"/>
      <c r="AX103" s="312"/>
      <c r="AY103" s="312"/>
      <c r="AZ103" s="312"/>
      <c r="BA103" s="312"/>
      <c r="BB103" s="312"/>
      <c r="BC103" s="312"/>
    </row>
    <row r="104" spans="1:55" s="311" customFormat="1" ht="13.5" customHeight="1">
      <c r="A104" s="314"/>
      <c r="B104" s="296">
        <v>43475</v>
      </c>
      <c r="C104" s="295" t="s">
        <v>542</v>
      </c>
      <c r="D104" s="294">
        <v>19</v>
      </c>
      <c r="E104" s="294"/>
      <c r="F104" s="294"/>
      <c r="G104" s="294"/>
      <c r="H104" s="294"/>
      <c r="I104" s="294"/>
      <c r="J104" s="294"/>
      <c r="K104" s="294"/>
      <c r="L104" s="294"/>
      <c r="M104" s="294"/>
      <c r="N104" s="294"/>
      <c r="O104" s="294">
        <v>19</v>
      </c>
      <c r="P104" s="294"/>
      <c r="Q104" s="294"/>
      <c r="R104" s="294"/>
      <c r="S104" s="294"/>
      <c r="T104" s="294"/>
      <c r="U104" s="294"/>
      <c r="V104" s="294"/>
      <c r="W104" s="294"/>
      <c r="X104" s="313"/>
      <c r="Y104" s="313"/>
      <c r="Z104" s="313"/>
      <c r="AA104" s="313"/>
      <c r="AB104" s="313"/>
      <c r="AC104" s="313"/>
      <c r="AD104" s="313"/>
      <c r="AE104" s="313"/>
      <c r="AF104" s="313"/>
      <c r="AG104" s="312"/>
      <c r="AH104" s="312"/>
      <c r="AI104" s="312"/>
      <c r="AJ104" s="312"/>
      <c r="AK104" s="312"/>
      <c r="AL104" s="312"/>
      <c r="AM104" s="312"/>
      <c r="AN104" s="312"/>
      <c r="AO104" s="312"/>
      <c r="AP104" s="312"/>
      <c r="AQ104" s="312"/>
      <c r="AR104" s="312"/>
      <c r="AS104" s="312"/>
      <c r="AT104" s="312"/>
      <c r="AU104" s="312"/>
      <c r="AV104" s="312"/>
      <c r="AW104" s="312"/>
      <c r="AX104" s="312"/>
      <c r="AY104" s="312"/>
      <c r="AZ104" s="312"/>
      <c r="BA104" s="312"/>
      <c r="BB104" s="312"/>
      <c r="BC104" s="312"/>
    </row>
    <row r="105" spans="1:55" s="311" customFormat="1" ht="13.5" customHeight="1">
      <c r="A105" s="314"/>
      <c r="B105" s="296">
        <v>43475</v>
      </c>
      <c r="C105" s="295" t="s">
        <v>541</v>
      </c>
      <c r="D105" s="294">
        <v>29</v>
      </c>
      <c r="E105" s="294"/>
      <c r="F105" s="294">
        <v>29</v>
      </c>
      <c r="G105" s="294"/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4"/>
      <c r="U105" s="294"/>
      <c r="V105" s="294"/>
      <c r="W105" s="294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2"/>
      <c r="AR105" s="312"/>
      <c r="AS105" s="312"/>
      <c r="AT105" s="312"/>
      <c r="AU105" s="312"/>
      <c r="AV105" s="312"/>
      <c r="AW105" s="312"/>
      <c r="AX105" s="312"/>
      <c r="AY105" s="312"/>
      <c r="AZ105" s="312"/>
      <c r="BA105" s="312"/>
      <c r="BB105" s="312"/>
      <c r="BC105" s="312"/>
    </row>
    <row r="106" spans="1:55" s="311" customFormat="1" ht="13.5" customHeight="1">
      <c r="A106" s="314"/>
      <c r="B106" s="296">
        <v>43475</v>
      </c>
      <c r="C106" s="295" t="s">
        <v>540</v>
      </c>
      <c r="D106" s="294">
        <v>129</v>
      </c>
      <c r="E106" s="294"/>
      <c r="F106" s="294">
        <v>129</v>
      </c>
      <c r="G106" s="294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  <c r="T106" s="294"/>
      <c r="U106" s="294"/>
      <c r="V106" s="294"/>
      <c r="W106" s="294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</row>
    <row r="107" spans="1:55" s="311" customFormat="1" ht="13.5" customHeight="1">
      <c r="A107" s="314"/>
      <c r="B107" s="296">
        <v>43476</v>
      </c>
      <c r="C107" s="295" t="s">
        <v>490</v>
      </c>
      <c r="D107" s="294">
        <v>114.85</v>
      </c>
      <c r="E107" s="294"/>
      <c r="F107" s="294"/>
      <c r="G107" s="294">
        <v>104.85</v>
      </c>
      <c r="H107" s="294"/>
      <c r="I107" s="294"/>
      <c r="J107" s="294"/>
      <c r="K107" s="294"/>
      <c r="L107" s="294">
        <v>10</v>
      </c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2"/>
      <c r="AH107" s="312"/>
      <c r="AI107" s="312"/>
      <c r="AJ107" s="312"/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2"/>
      <c r="AV107" s="312"/>
      <c r="AW107" s="312"/>
      <c r="AX107" s="312"/>
      <c r="AY107" s="312"/>
      <c r="AZ107" s="312"/>
      <c r="BA107" s="312"/>
      <c r="BB107" s="312"/>
      <c r="BC107" s="312"/>
    </row>
    <row r="108" spans="1:55" s="311" customFormat="1" ht="13.5" customHeight="1">
      <c r="A108" s="314"/>
      <c r="B108" s="296">
        <v>43476</v>
      </c>
      <c r="C108" s="295" t="s">
        <v>451</v>
      </c>
      <c r="D108" s="294">
        <v>147</v>
      </c>
      <c r="E108" s="294"/>
      <c r="F108" s="294"/>
      <c r="G108" s="294">
        <v>147</v>
      </c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2"/>
      <c r="AH108" s="312"/>
      <c r="AI108" s="312"/>
      <c r="AJ108" s="312"/>
      <c r="AK108" s="312"/>
      <c r="AL108" s="312"/>
      <c r="AM108" s="312"/>
      <c r="AN108" s="312"/>
      <c r="AO108" s="312"/>
      <c r="AP108" s="312"/>
      <c r="AQ108" s="312"/>
      <c r="AR108" s="312"/>
      <c r="AS108" s="312"/>
      <c r="AT108" s="312"/>
      <c r="AU108" s="312"/>
      <c r="AV108" s="312"/>
      <c r="AW108" s="312"/>
      <c r="AX108" s="312"/>
      <c r="AY108" s="312"/>
      <c r="AZ108" s="312"/>
      <c r="BA108" s="312"/>
      <c r="BB108" s="312"/>
      <c r="BC108" s="312"/>
    </row>
    <row r="109" spans="1:55" s="311" customFormat="1" ht="13.5" customHeight="1">
      <c r="A109" s="314"/>
      <c r="B109" s="296">
        <v>43476</v>
      </c>
      <c r="C109" s="295" t="s">
        <v>40</v>
      </c>
      <c r="D109" s="294">
        <v>100.8</v>
      </c>
      <c r="E109" s="294"/>
      <c r="F109" s="294"/>
      <c r="G109" s="294">
        <v>70.900000000000006</v>
      </c>
      <c r="H109" s="294"/>
      <c r="I109" s="294"/>
      <c r="J109" s="294"/>
      <c r="K109" s="294"/>
      <c r="L109" s="294">
        <v>29.9</v>
      </c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2"/>
      <c r="AX109" s="312"/>
      <c r="AY109" s="312"/>
      <c r="AZ109" s="312"/>
      <c r="BA109" s="312"/>
      <c r="BB109" s="312"/>
      <c r="BC109" s="312"/>
    </row>
    <row r="110" spans="1:55" s="311" customFormat="1" ht="13.5" customHeight="1">
      <c r="A110" s="314"/>
      <c r="B110" s="296">
        <v>43476</v>
      </c>
      <c r="C110" s="295" t="s">
        <v>539</v>
      </c>
      <c r="D110" s="294">
        <v>29</v>
      </c>
      <c r="E110" s="294"/>
      <c r="F110" s="294">
        <v>29</v>
      </c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2"/>
      <c r="AH110" s="312"/>
      <c r="AI110" s="312"/>
      <c r="AJ110" s="312"/>
      <c r="AK110" s="312"/>
      <c r="AL110" s="312"/>
      <c r="AM110" s="312"/>
      <c r="AN110" s="312"/>
      <c r="AO110" s="312"/>
      <c r="AP110" s="312"/>
      <c r="AQ110" s="312"/>
      <c r="AR110" s="312"/>
      <c r="AS110" s="312"/>
      <c r="AT110" s="312"/>
      <c r="AU110" s="312"/>
      <c r="AV110" s="312"/>
      <c r="AW110" s="312"/>
      <c r="AX110" s="312"/>
      <c r="AY110" s="312"/>
      <c r="AZ110" s="312"/>
      <c r="BA110" s="312"/>
      <c r="BB110" s="312"/>
      <c r="BC110" s="312"/>
    </row>
    <row r="111" spans="1:55" s="311" customFormat="1" ht="13.5" customHeight="1">
      <c r="A111" s="314"/>
      <c r="B111" s="296">
        <v>43476</v>
      </c>
      <c r="C111" s="295" t="s">
        <v>167</v>
      </c>
      <c r="D111" s="294">
        <v>280</v>
      </c>
      <c r="E111" s="294"/>
      <c r="F111" s="294">
        <v>280</v>
      </c>
      <c r="G111" s="294"/>
      <c r="H111" s="294"/>
      <c r="I111" s="294"/>
      <c r="J111" s="294"/>
      <c r="K111" s="294"/>
      <c r="L111" s="294"/>
      <c r="M111" s="294"/>
      <c r="N111" s="294"/>
      <c r="O111" s="294"/>
      <c r="P111" s="294"/>
      <c r="Q111" s="294"/>
      <c r="R111" s="294"/>
      <c r="S111" s="294"/>
      <c r="T111" s="294"/>
      <c r="U111" s="294"/>
      <c r="V111" s="294"/>
      <c r="W111" s="294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2"/>
      <c r="AH111" s="312"/>
      <c r="AI111" s="312"/>
      <c r="AJ111" s="312"/>
      <c r="AK111" s="312"/>
      <c r="AL111" s="312"/>
      <c r="AM111" s="312"/>
      <c r="AN111" s="312"/>
      <c r="AO111" s="312"/>
      <c r="AP111" s="312"/>
      <c r="AQ111" s="312"/>
      <c r="AR111" s="312"/>
      <c r="AS111" s="312"/>
      <c r="AT111" s="312"/>
      <c r="AU111" s="312"/>
      <c r="AV111" s="312"/>
      <c r="AW111" s="312"/>
      <c r="AX111" s="312"/>
      <c r="AY111" s="312"/>
      <c r="AZ111" s="312"/>
      <c r="BA111" s="312"/>
      <c r="BB111" s="312"/>
      <c r="BC111" s="312"/>
    </row>
    <row r="112" spans="1:55" s="311" customFormat="1" ht="13.5" customHeight="1">
      <c r="A112" s="314"/>
      <c r="B112" s="296">
        <v>43477</v>
      </c>
      <c r="C112" s="295" t="s">
        <v>538</v>
      </c>
      <c r="D112" s="294">
        <v>690</v>
      </c>
      <c r="E112" s="294"/>
      <c r="F112" s="294"/>
      <c r="G112" s="294"/>
      <c r="H112" s="294"/>
      <c r="I112" s="294"/>
      <c r="J112" s="294">
        <v>690</v>
      </c>
      <c r="K112" s="294"/>
      <c r="L112" s="294"/>
      <c r="M112" s="294"/>
      <c r="N112" s="294"/>
      <c r="O112" s="294"/>
      <c r="P112" s="294"/>
      <c r="Q112" s="294"/>
      <c r="R112" s="294"/>
      <c r="S112" s="294"/>
      <c r="T112" s="294"/>
      <c r="U112" s="294"/>
      <c r="V112" s="294"/>
      <c r="W112" s="294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2"/>
      <c r="AH112" s="312"/>
      <c r="AI112" s="312"/>
      <c r="AJ112" s="312"/>
      <c r="AK112" s="312"/>
      <c r="AL112" s="312"/>
      <c r="AM112" s="312"/>
      <c r="AN112" s="312"/>
      <c r="AO112" s="312"/>
      <c r="AP112" s="312"/>
      <c r="AQ112" s="312"/>
      <c r="AR112" s="312"/>
      <c r="AS112" s="312"/>
      <c r="AT112" s="312"/>
      <c r="AU112" s="312"/>
      <c r="AV112" s="312"/>
      <c r="AW112" s="312"/>
      <c r="AX112" s="312"/>
      <c r="AY112" s="312"/>
      <c r="AZ112" s="312"/>
      <c r="BA112" s="312"/>
      <c r="BB112" s="312"/>
      <c r="BC112" s="312"/>
    </row>
    <row r="113" spans="1:55" s="311" customFormat="1" ht="13.5" customHeight="1">
      <c r="A113" s="314"/>
      <c r="B113" s="296">
        <v>43477</v>
      </c>
      <c r="C113" s="295" t="s">
        <v>474</v>
      </c>
      <c r="D113" s="294">
        <v>170</v>
      </c>
      <c r="E113" s="294"/>
      <c r="F113" s="294">
        <v>170</v>
      </c>
      <c r="G113" s="294"/>
      <c r="H113" s="294"/>
      <c r="I113" s="294"/>
      <c r="J113" s="294"/>
      <c r="K113" s="294"/>
      <c r="L113" s="294"/>
      <c r="M113" s="294"/>
      <c r="N113" s="294"/>
      <c r="O113" s="294"/>
      <c r="P113" s="294"/>
      <c r="Q113" s="294"/>
      <c r="R113" s="294"/>
      <c r="S113" s="294"/>
      <c r="T113" s="294"/>
      <c r="U113" s="294"/>
      <c r="V113" s="294"/>
      <c r="W113" s="294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2"/>
      <c r="AH113" s="312"/>
      <c r="AI113" s="312"/>
      <c r="AJ113" s="312"/>
      <c r="AK113" s="312"/>
      <c r="AL113" s="312"/>
      <c r="AM113" s="312"/>
      <c r="AN113" s="312"/>
      <c r="AO113" s="312"/>
      <c r="AP113" s="312"/>
      <c r="AQ113" s="312"/>
      <c r="AR113" s="312"/>
      <c r="AS113" s="312"/>
      <c r="AT113" s="312"/>
      <c r="AU113" s="312"/>
      <c r="AV113" s="312"/>
      <c r="AW113" s="312"/>
      <c r="AX113" s="312"/>
      <c r="AY113" s="312"/>
      <c r="AZ113" s="312"/>
      <c r="BA113" s="312"/>
      <c r="BB113" s="312"/>
      <c r="BC113" s="312"/>
    </row>
    <row r="114" spans="1:55" s="311" customFormat="1" ht="13.5" customHeight="1">
      <c r="A114" s="314"/>
      <c r="B114" s="296">
        <v>43479</v>
      </c>
      <c r="C114" s="295" t="s">
        <v>451</v>
      </c>
      <c r="D114" s="294">
        <v>105.75</v>
      </c>
      <c r="E114" s="294"/>
      <c r="F114" s="294"/>
      <c r="G114" s="294">
        <v>105.75</v>
      </c>
      <c r="H114" s="294"/>
      <c r="I114" s="294"/>
      <c r="J114" s="294"/>
      <c r="K114" s="294"/>
      <c r="L114" s="294"/>
      <c r="M114" s="294"/>
      <c r="N114" s="294"/>
      <c r="O114" s="294"/>
      <c r="P114" s="294"/>
      <c r="Q114" s="294"/>
      <c r="R114" s="294"/>
      <c r="S114" s="294"/>
      <c r="T114" s="294"/>
      <c r="U114" s="294"/>
      <c r="V114" s="294"/>
      <c r="W114" s="294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2"/>
      <c r="AV114" s="312"/>
      <c r="AW114" s="312"/>
      <c r="AX114" s="312"/>
      <c r="AY114" s="312"/>
      <c r="AZ114" s="312"/>
      <c r="BA114" s="312"/>
      <c r="BB114" s="312"/>
      <c r="BC114" s="312"/>
    </row>
    <row r="115" spans="1:55" s="311" customFormat="1" ht="13.5" customHeight="1">
      <c r="A115" s="314"/>
      <c r="B115" s="296">
        <v>43479</v>
      </c>
      <c r="C115" s="295" t="s">
        <v>469</v>
      </c>
      <c r="D115" s="294">
        <v>52.14</v>
      </c>
      <c r="E115" s="294"/>
      <c r="F115" s="294"/>
      <c r="G115" s="294">
        <v>52.14</v>
      </c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2"/>
      <c r="AV115" s="312"/>
      <c r="AW115" s="312"/>
      <c r="AX115" s="312"/>
      <c r="AY115" s="312"/>
      <c r="AZ115" s="312"/>
      <c r="BA115" s="312"/>
      <c r="BB115" s="312"/>
      <c r="BC115" s="312"/>
    </row>
    <row r="116" spans="1:55" s="311" customFormat="1" ht="13.5" customHeight="1">
      <c r="A116" s="314"/>
      <c r="B116" s="296">
        <v>43479</v>
      </c>
      <c r="C116" s="295" t="s">
        <v>48</v>
      </c>
      <c r="D116" s="294">
        <v>200</v>
      </c>
      <c r="E116" s="294"/>
      <c r="F116" s="294"/>
      <c r="G116" s="294"/>
      <c r="H116" s="294"/>
      <c r="I116" s="294"/>
      <c r="J116" s="294"/>
      <c r="K116" s="294"/>
      <c r="L116" s="294"/>
      <c r="M116" s="294"/>
      <c r="N116" s="294">
        <v>200</v>
      </c>
      <c r="O116" s="294"/>
      <c r="P116" s="294"/>
      <c r="Q116" s="294"/>
      <c r="R116" s="294"/>
      <c r="S116" s="294"/>
      <c r="T116" s="294"/>
      <c r="U116" s="294"/>
      <c r="V116" s="294"/>
      <c r="W116" s="294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2"/>
      <c r="AH116" s="312"/>
      <c r="AI116" s="312"/>
      <c r="AJ116" s="312"/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2"/>
      <c r="AX116" s="312"/>
      <c r="AY116" s="312"/>
      <c r="AZ116" s="312"/>
      <c r="BA116" s="312"/>
      <c r="BB116" s="312"/>
      <c r="BC116" s="312"/>
    </row>
    <row r="117" spans="1:55" s="311" customFormat="1" ht="13.5" customHeight="1">
      <c r="A117" s="314"/>
      <c r="B117" s="296">
        <v>43480</v>
      </c>
      <c r="C117" s="295" t="s">
        <v>474</v>
      </c>
      <c r="D117" s="294">
        <v>170</v>
      </c>
      <c r="E117" s="294"/>
      <c r="F117" s="294">
        <v>170</v>
      </c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2"/>
      <c r="BA117" s="312"/>
      <c r="BB117" s="312"/>
      <c r="BC117" s="312"/>
    </row>
    <row r="118" spans="1:55" s="311" customFormat="1" ht="13.5" customHeight="1">
      <c r="A118" s="314"/>
      <c r="B118" s="296">
        <v>43480</v>
      </c>
      <c r="C118" s="295" t="s">
        <v>466</v>
      </c>
      <c r="D118" s="294">
        <v>35</v>
      </c>
      <c r="E118" s="294"/>
      <c r="F118" s="294"/>
      <c r="G118" s="294">
        <v>35</v>
      </c>
      <c r="H118" s="294"/>
      <c r="I118" s="294"/>
      <c r="J118" s="294"/>
      <c r="K118" s="294"/>
      <c r="L118" s="294"/>
      <c r="M118" s="294"/>
      <c r="N118" s="294"/>
      <c r="O118" s="294"/>
      <c r="P118" s="294"/>
      <c r="Q118" s="294"/>
      <c r="R118" s="294"/>
      <c r="S118" s="294"/>
      <c r="T118" s="294"/>
      <c r="U118" s="294"/>
      <c r="V118" s="294"/>
      <c r="W118" s="294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2"/>
      <c r="AX118" s="312"/>
      <c r="AY118" s="312"/>
      <c r="AZ118" s="312"/>
      <c r="BA118" s="312"/>
      <c r="BB118" s="312"/>
      <c r="BC118" s="312"/>
    </row>
    <row r="119" spans="1:55" s="311" customFormat="1" ht="13.5" customHeight="1">
      <c r="A119" s="314"/>
      <c r="B119" s="296">
        <v>43481</v>
      </c>
      <c r="C119" s="295" t="s">
        <v>535</v>
      </c>
      <c r="D119" s="294">
        <v>308</v>
      </c>
      <c r="E119" s="294"/>
      <c r="F119" s="294">
        <v>308</v>
      </c>
      <c r="G119" s="294"/>
      <c r="H119" s="294"/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4"/>
      <c r="T119" s="294"/>
      <c r="U119" s="294"/>
      <c r="V119" s="294"/>
      <c r="W119" s="294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2"/>
      <c r="AH119" s="312"/>
      <c r="AI119" s="312"/>
      <c r="AJ119" s="312"/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2"/>
      <c r="AV119" s="312"/>
      <c r="AW119" s="312"/>
      <c r="AX119" s="312"/>
      <c r="AY119" s="312"/>
      <c r="AZ119" s="312"/>
      <c r="BA119" s="312"/>
      <c r="BB119" s="312"/>
      <c r="BC119" s="312"/>
    </row>
    <row r="120" spans="1:55" s="311" customFormat="1" ht="13.5" customHeight="1">
      <c r="A120" s="314"/>
      <c r="B120" s="296">
        <v>43482</v>
      </c>
      <c r="C120" s="295" t="s">
        <v>537</v>
      </c>
      <c r="D120" s="294">
        <v>-138</v>
      </c>
      <c r="E120" s="294"/>
      <c r="F120" s="294"/>
      <c r="G120" s="294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>
        <v>-137.94</v>
      </c>
      <c r="V120" s="294"/>
      <c r="W120" s="294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2"/>
      <c r="AH120" s="312"/>
      <c r="AI120" s="312"/>
      <c r="AJ120" s="312"/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2"/>
      <c r="AV120" s="312"/>
      <c r="AW120" s="312"/>
      <c r="AX120" s="312"/>
      <c r="AY120" s="312"/>
      <c r="AZ120" s="312"/>
      <c r="BA120" s="312"/>
      <c r="BB120" s="312"/>
      <c r="BC120" s="312"/>
    </row>
    <row r="121" spans="1:55" s="311" customFormat="1" ht="13.5" customHeight="1">
      <c r="A121" s="314"/>
      <c r="B121" s="296">
        <v>43482</v>
      </c>
      <c r="C121" s="295" t="s">
        <v>469</v>
      </c>
      <c r="D121" s="294">
        <v>101.95</v>
      </c>
      <c r="E121" s="294"/>
      <c r="F121" s="294"/>
      <c r="G121" s="294">
        <v>101.95</v>
      </c>
      <c r="H121" s="294"/>
      <c r="I121" s="294"/>
      <c r="J121" s="294"/>
      <c r="K121" s="294"/>
      <c r="L121" s="294"/>
      <c r="M121" s="294"/>
      <c r="N121" s="294"/>
      <c r="O121" s="294"/>
      <c r="P121" s="294"/>
      <c r="Q121" s="294"/>
      <c r="R121" s="294"/>
      <c r="S121" s="294"/>
      <c r="T121" s="294"/>
      <c r="U121" s="294"/>
      <c r="V121" s="294"/>
      <c r="W121" s="294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2"/>
      <c r="AH121" s="312"/>
      <c r="AI121" s="312"/>
      <c r="AJ121" s="312"/>
      <c r="AK121" s="312"/>
      <c r="AL121" s="312"/>
      <c r="AM121" s="312"/>
      <c r="AN121" s="312"/>
      <c r="AO121" s="312"/>
      <c r="AP121" s="312"/>
      <c r="AQ121" s="312"/>
      <c r="AR121" s="312"/>
      <c r="AS121" s="312"/>
      <c r="AT121" s="312"/>
      <c r="AU121" s="312"/>
      <c r="AV121" s="312"/>
      <c r="AW121" s="312"/>
      <c r="AX121" s="312"/>
      <c r="AY121" s="312"/>
      <c r="AZ121" s="312"/>
      <c r="BA121" s="312"/>
      <c r="BB121" s="312"/>
      <c r="BC121" s="312"/>
    </row>
    <row r="122" spans="1:55" s="311" customFormat="1" ht="13.5" customHeight="1">
      <c r="A122" s="314"/>
      <c r="B122" s="296">
        <v>43482</v>
      </c>
      <c r="C122" s="295" t="s">
        <v>40</v>
      </c>
      <c r="D122" s="294">
        <v>38.85</v>
      </c>
      <c r="E122" s="294"/>
      <c r="F122" s="294"/>
      <c r="G122" s="294">
        <v>38.85</v>
      </c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/>
      <c r="W122" s="294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2"/>
      <c r="AH122" s="312"/>
      <c r="AI122" s="312"/>
      <c r="AJ122" s="312"/>
      <c r="AK122" s="312"/>
      <c r="AL122" s="312"/>
      <c r="AM122" s="312"/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2"/>
      <c r="AX122" s="312"/>
      <c r="AY122" s="312"/>
      <c r="AZ122" s="312"/>
      <c r="BA122" s="312"/>
      <c r="BB122" s="312"/>
      <c r="BC122" s="312"/>
    </row>
    <row r="123" spans="1:55" s="311" customFormat="1" ht="13.5" customHeight="1">
      <c r="A123" s="314"/>
      <c r="B123" s="296">
        <v>43482</v>
      </c>
      <c r="C123" s="295" t="s">
        <v>536</v>
      </c>
      <c r="D123" s="294">
        <v>132.9</v>
      </c>
      <c r="E123" s="294"/>
      <c r="F123" s="294">
        <v>132.9</v>
      </c>
      <c r="G123" s="294"/>
      <c r="H123" s="294"/>
      <c r="I123" s="294"/>
      <c r="J123" s="294"/>
      <c r="K123" s="294"/>
      <c r="L123" s="294"/>
      <c r="M123" s="294"/>
      <c r="N123" s="294"/>
      <c r="O123" s="294"/>
      <c r="P123" s="294"/>
      <c r="Q123" s="294"/>
      <c r="R123" s="294"/>
      <c r="S123" s="294"/>
      <c r="T123" s="294"/>
      <c r="U123" s="294"/>
      <c r="V123" s="294"/>
      <c r="W123" s="294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</row>
    <row r="124" spans="1:55" s="311" customFormat="1" ht="13.5" customHeight="1">
      <c r="A124" s="314"/>
      <c r="B124" s="296">
        <v>43483</v>
      </c>
      <c r="C124" s="295" t="s">
        <v>535</v>
      </c>
      <c r="D124" s="294">
        <v>195.95</v>
      </c>
      <c r="E124" s="294"/>
      <c r="F124" s="294">
        <v>195.95</v>
      </c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94"/>
      <c r="U124" s="294"/>
      <c r="V124" s="294"/>
      <c r="W124" s="294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</row>
    <row r="125" spans="1:55" s="311" customFormat="1" ht="13.5" customHeight="1">
      <c r="A125" s="314"/>
      <c r="B125" s="296">
        <v>43483</v>
      </c>
      <c r="C125" s="295" t="s">
        <v>451</v>
      </c>
      <c r="D125" s="294">
        <v>136.75</v>
      </c>
      <c r="E125" s="294"/>
      <c r="F125" s="294"/>
      <c r="G125" s="294">
        <v>136.75</v>
      </c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12"/>
      <c r="BB125" s="312"/>
      <c r="BC125" s="312"/>
    </row>
    <row r="126" spans="1:55" s="311" customFormat="1" ht="13.5" customHeight="1">
      <c r="A126" s="314"/>
      <c r="B126" s="296">
        <v>43486</v>
      </c>
      <c r="C126" s="295" t="s">
        <v>40</v>
      </c>
      <c r="D126" s="294">
        <v>36.950000000000003</v>
      </c>
      <c r="E126" s="294"/>
      <c r="F126" s="294"/>
      <c r="G126" s="294">
        <v>36.950000000000003</v>
      </c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2"/>
      <c r="AH126" s="312"/>
      <c r="AI126" s="312"/>
      <c r="AJ126" s="312"/>
      <c r="AK126" s="312"/>
      <c r="AL126" s="312"/>
      <c r="AM126" s="312"/>
      <c r="AN126" s="312"/>
      <c r="AO126" s="312"/>
      <c r="AP126" s="312"/>
      <c r="AQ126" s="312"/>
      <c r="AR126" s="312"/>
      <c r="AS126" s="312"/>
      <c r="AT126" s="312"/>
      <c r="AU126" s="312"/>
      <c r="AV126" s="312"/>
      <c r="AW126" s="312"/>
      <c r="AX126" s="312"/>
      <c r="AY126" s="312"/>
      <c r="AZ126" s="312"/>
      <c r="BA126" s="312"/>
      <c r="BB126" s="312"/>
      <c r="BC126" s="312"/>
    </row>
    <row r="127" spans="1:55" s="311" customFormat="1" ht="13.5" customHeight="1">
      <c r="A127" s="314"/>
      <c r="B127" s="296">
        <v>43486</v>
      </c>
      <c r="C127" s="295" t="s">
        <v>534</v>
      </c>
      <c r="D127" s="294">
        <v>30</v>
      </c>
      <c r="E127" s="294"/>
      <c r="F127" s="294"/>
      <c r="G127" s="294"/>
      <c r="H127" s="294"/>
      <c r="I127" s="294"/>
      <c r="J127" s="294"/>
      <c r="K127" s="294"/>
      <c r="L127" s="294"/>
      <c r="M127" s="294"/>
      <c r="N127" s="294"/>
      <c r="O127" s="294"/>
      <c r="P127" s="294"/>
      <c r="Q127" s="294"/>
      <c r="R127" s="294">
        <f>D127</f>
        <v>30</v>
      </c>
      <c r="S127" s="294"/>
      <c r="T127" s="294"/>
      <c r="U127" s="294"/>
      <c r="V127" s="294"/>
      <c r="W127" s="294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2"/>
      <c r="AH127" s="312"/>
      <c r="AI127" s="312"/>
      <c r="AJ127" s="312"/>
      <c r="AK127" s="312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2"/>
      <c r="AX127" s="312"/>
      <c r="AY127" s="312"/>
      <c r="AZ127" s="312"/>
      <c r="BA127" s="312"/>
      <c r="BB127" s="312"/>
      <c r="BC127" s="312"/>
    </row>
    <row r="128" spans="1:55" s="311" customFormat="1" ht="13.5" customHeight="1">
      <c r="A128" s="314"/>
      <c r="B128" s="296">
        <v>43486</v>
      </c>
      <c r="C128" s="295" t="s">
        <v>533</v>
      </c>
      <c r="D128" s="294">
        <v>30</v>
      </c>
      <c r="E128" s="294"/>
      <c r="F128" s="294"/>
      <c r="G128" s="294"/>
      <c r="H128" s="294"/>
      <c r="I128" s="294"/>
      <c r="J128" s="294"/>
      <c r="K128" s="294"/>
      <c r="L128" s="294"/>
      <c r="M128" s="294"/>
      <c r="N128" s="294"/>
      <c r="O128" s="294"/>
      <c r="P128" s="294"/>
      <c r="Q128" s="294"/>
      <c r="R128" s="294"/>
      <c r="S128" s="294">
        <f>D128</f>
        <v>30</v>
      </c>
      <c r="T128" s="294"/>
      <c r="U128" s="294"/>
      <c r="V128" s="294"/>
      <c r="W128" s="294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2"/>
      <c r="AV128" s="312"/>
      <c r="AW128" s="312"/>
      <c r="AX128" s="312"/>
      <c r="AY128" s="312"/>
      <c r="AZ128" s="312"/>
      <c r="BA128" s="312"/>
      <c r="BB128" s="312"/>
      <c r="BC128" s="312"/>
    </row>
    <row r="129" spans="1:55" s="311" customFormat="1" ht="13.5" customHeight="1">
      <c r="A129" s="314"/>
      <c r="B129" s="296">
        <v>43486</v>
      </c>
      <c r="C129" s="295" t="s">
        <v>48</v>
      </c>
      <c r="D129" s="294">
        <v>200</v>
      </c>
      <c r="E129" s="294"/>
      <c r="F129" s="294"/>
      <c r="G129" s="294"/>
      <c r="H129" s="294"/>
      <c r="I129" s="294"/>
      <c r="J129" s="294"/>
      <c r="K129" s="294"/>
      <c r="L129" s="294"/>
      <c r="M129" s="294"/>
      <c r="N129" s="294">
        <v>200</v>
      </c>
      <c r="O129" s="294"/>
      <c r="P129" s="294"/>
      <c r="Q129" s="294"/>
      <c r="R129" s="294"/>
      <c r="S129" s="294"/>
      <c r="T129" s="294"/>
      <c r="U129" s="294"/>
      <c r="V129" s="294"/>
      <c r="W129" s="294"/>
      <c r="X129" s="313"/>
      <c r="Y129" s="313"/>
      <c r="Z129" s="313"/>
      <c r="AA129" s="313"/>
      <c r="AB129" s="313"/>
      <c r="AC129" s="313"/>
      <c r="AD129" s="313"/>
      <c r="AE129" s="313"/>
      <c r="AF129" s="313"/>
      <c r="AG129" s="312"/>
      <c r="AH129" s="312"/>
      <c r="AI129" s="312"/>
      <c r="AJ129" s="312"/>
      <c r="AK129" s="312"/>
      <c r="AL129" s="312"/>
      <c r="AM129" s="312"/>
      <c r="AN129" s="312"/>
      <c r="AO129" s="312"/>
      <c r="AP129" s="312"/>
      <c r="AQ129" s="312"/>
      <c r="AR129" s="312"/>
      <c r="AS129" s="312"/>
      <c r="AT129" s="312"/>
      <c r="AU129" s="312"/>
      <c r="AV129" s="312"/>
      <c r="AW129" s="312"/>
      <c r="AX129" s="312"/>
      <c r="AY129" s="312"/>
      <c r="AZ129" s="312"/>
      <c r="BA129" s="312"/>
      <c r="BB129" s="312"/>
      <c r="BC129" s="312"/>
    </row>
    <row r="130" spans="1:55" s="311" customFormat="1" ht="13.5" customHeight="1">
      <c r="A130" s="314"/>
      <c r="B130" s="296">
        <v>43487</v>
      </c>
      <c r="C130" s="295" t="s">
        <v>465</v>
      </c>
      <c r="D130" s="294">
        <v>34.200000000000003</v>
      </c>
      <c r="E130" s="294"/>
      <c r="F130" s="294"/>
      <c r="G130" s="294"/>
      <c r="H130" s="294">
        <v>34.200000000000003</v>
      </c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  <c r="T130" s="294"/>
      <c r="U130" s="294"/>
      <c r="V130" s="294"/>
      <c r="W130" s="294"/>
      <c r="X130" s="313"/>
      <c r="Y130" s="313"/>
      <c r="Z130" s="313"/>
      <c r="AA130" s="313"/>
      <c r="AB130" s="313"/>
      <c r="AC130" s="313"/>
      <c r="AD130" s="313"/>
      <c r="AE130" s="313"/>
      <c r="AF130" s="313"/>
      <c r="AG130" s="312"/>
      <c r="AH130" s="312"/>
      <c r="AI130" s="312"/>
      <c r="AJ130" s="312"/>
      <c r="AK130" s="312"/>
      <c r="AL130" s="312"/>
      <c r="AM130" s="312"/>
      <c r="AN130" s="312"/>
      <c r="AO130" s="312"/>
      <c r="AP130" s="312"/>
      <c r="AQ130" s="312"/>
      <c r="AR130" s="312"/>
      <c r="AS130" s="312"/>
      <c r="AT130" s="312"/>
      <c r="AU130" s="312"/>
      <c r="AV130" s="312"/>
      <c r="AW130" s="312"/>
      <c r="AX130" s="312"/>
      <c r="AY130" s="312"/>
      <c r="AZ130" s="312"/>
      <c r="BA130" s="312"/>
      <c r="BB130" s="312"/>
      <c r="BC130" s="312"/>
    </row>
    <row r="131" spans="1:55" s="311" customFormat="1" ht="13.5" customHeight="1">
      <c r="A131" s="314"/>
      <c r="B131" s="296">
        <v>43487</v>
      </c>
      <c r="C131" s="295" t="s">
        <v>451</v>
      </c>
      <c r="D131" s="294">
        <v>49.8</v>
      </c>
      <c r="E131" s="294"/>
      <c r="F131" s="294"/>
      <c r="G131" s="294">
        <v>9.8000000000000007</v>
      </c>
      <c r="H131" s="294"/>
      <c r="I131" s="294"/>
      <c r="J131" s="294"/>
      <c r="K131" s="294"/>
      <c r="L131" s="294">
        <v>30</v>
      </c>
      <c r="M131" s="294"/>
      <c r="N131" s="294"/>
      <c r="O131" s="294"/>
      <c r="P131" s="294"/>
      <c r="Q131" s="294"/>
      <c r="R131" s="294"/>
      <c r="S131" s="294"/>
      <c r="T131" s="294"/>
      <c r="U131" s="294"/>
      <c r="V131" s="294"/>
      <c r="W131" s="294"/>
      <c r="X131" s="313"/>
      <c r="Y131" s="313"/>
      <c r="Z131" s="313"/>
      <c r="AA131" s="313"/>
      <c r="AB131" s="313"/>
      <c r="AC131" s="313"/>
      <c r="AD131" s="313"/>
      <c r="AE131" s="313"/>
      <c r="AF131" s="313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12"/>
      <c r="BB131" s="312"/>
      <c r="BC131" s="312"/>
    </row>
    <row r="132" spans="1:55" s="311" customFormat="1" ht="13.5" customHeight="1">
      <c r="A132" s="314"/>
      <c r="B132" s="296">
        <v>43488</v>
      </c>
      <c r="C132" s="295" t="s">
        <v>40</v>
      </c>
      <c r="D132" s="294">
        <v>46.5</v>
      </c>
      <c r="E132" s="294"/>
      <c r="F132" s="294"/>
      <c r="G132" s="294">
        <v>6.5</v>
      </c>
      <c r="H132" s="294"/>
      <c r="I132" s="294"/>
      <c r="J132" s="294"/>
      <c r="K132" s="294"/>
      <c r="L132" s="294">
        <v>40</v>
      </c>
      <c r="M132" s="294"/>
      <c r="N132" s="294"/>
      <c r="O132" s="294"/>
      <c r="P132" s="294"/>
      <c r="Q132" s="294"/>
      <c r="R132" s="294"/>
      <c r="S132" s="294"/>
      <c r="T132" s="294"/>
      <c r="U132" s="294"/>
      <c r="V132" s="294"/>
      <c r="W132" s="294"/>
      <c r="X132" s="313"/>
      <c r="Y132" s="313"/>
      <c r="Z132" s="313"/>
      <c r="AA132" s="313"/>
      <c r="AB132" s="313"/>
      <c r="AC132" s="313"/>
      <c r="AD132" s="313"/>
      <c r="AE132" s="313"/>
      <c r="AF132" s="313"/>
      <c r="AG132" s="312"/>
      <c r="AH132" s="312"/>
      <c r="AI132" s="312"/>
      <c r="AJ132" s="312"/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2"/>
      <c r="AV132" s="312"/>
      <c r="AW132" s="312"/>
      <c r="AX132" s="312"/>
      <c r="AY132" s="312"/>
      <c r="AZ132" s="312"/>
      <c r="BA132" s="312"/>
      <c r="BB132" s="312"/>
      <c r="BC132" s="312"/>
    </row>
    <row r="133" spans="1:55" s="311" customFormat="1" ht="13.5" customHeight="1">
      <c r="A133" s="314"/>
      <c r="B133" s="296">
        <v>43489</v>
      </c>
      <c r="C133" s="295" t="s">
        <v>40</v>
      </c>
      <c r="D133" s="294">
        <v>76</v>
      </c>
      <c r="E133" s="294"/>
      <c r="F133" s="294"/>
      <c r="G133" s="294">
        <v>40</v>
      </c>
      <c r="H133" s="294"/>
      <c r="I133" s="294"/>
      <c r="J133" s="294"/>
      <c r="K133" s="294"/>
      <c r="L133" s="294">
        <v>36</v>
      </c>
      <c r="M133" s="294"/>
      <c r="N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 s="312"/>
      <c r="AH133" s="312"/>
      <c r="AI133" s="312"/>
      <c r="AJ133" s="312"/>
      <c r="AK133" s="312"/>
      <c r="AL133" s="312"/>
      <c r="AM133" s="312"/>
      <c r="AN133" s="312"/>
      <c r="AO133" s="312"/>
      <c r="AP133" s="312"/>
      <c r="AQ133" s="312"/>
      <c r="AR133" s="312"/>
      <c r="AS133" s="312"/>
      <c r="AT133" s="312"/>
      <c r="AU133" s="312"/>
      <c r="AV133" s="312"/>
      <c r="AW133" s="312"/>
      <c r="AX133" s="312"/>
      <c r="AY133" s="312"/>
      <c r="AZ133" s="312"/>
      <c r="BA133" s="312"/>
      <c r="BB133" s="312"/>
      <c r="BC133" s="312"/>
    </row>
    <row r="134" spans="1:55" s="311" customFormat="1" ht="13.5" customHeight="1">
      <c r="A134" s="314"/>
      <c r="B134" s="296">
        <v>43490</v>
      </c>
      <c r="C134" s="295" t="s">
        <v>40</v>
      </c>
      <c r="D134" s="294">
        <v>83</v>
      </c>
      <c r="E134" s="294"/>
      <c r="F134" s="294"/>
      <c r="G134" s="294">
        <v>43</v>
      </c>
      <c r="H134" s="294"/>
      <c r="I134" s="294"/>
      <c r="J134" s="294"/>
      <c r="K134" s="294"/>
      <c r="L134" s="294">
        <v>40</v>
      </c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313"/>
      <c r="Y134" s="313"/>
      <c r="Z134" s="313"/>
      <c r="AA134" s="313"/>
      <c r="AB134" s="313"/>
      <c r="AC134" s="313"/>
      <c r="AD134" s="313"/>
      <c r="AE134" s="313"/>
      <c r="AF134" s="313"/>
      <c r="AG134" s="312"/>
      <c r="AH134" s="312"/>
      <c r="AI134" s="312"/>
      <c r="AJ134" s="312"/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2"/>
      <c r="AV134" s="312"/>
      <c r="AW134" s="312"/>
      <c r="AX134" s="312"/>
      <c r="AY134" s="312"/>
      <c r="AZ134" s="312"/>
      <c r="BA134" s="312"/>
      <c r="BB134" s="312"/>
      <c r="BC134" s="312"/>
    </row>
    <row r="135" spans="1:55" s="311" customFormat="1" ht="13.5" customHeight="1">
      <c r="A135" s="314"/>
      <c r="B135" s="296">
        <v>43490</v>
      </c>
      <c r="C135" s="295" t="s">
        <v>532</v>
      </c>
      <c r="D135" s="294">
        <v>119.9</v>
      </c>
      <c r="E135" s="294"/>
      <c r="F135" s="294">
        <v>119.9</v>
      </c>
      <c r="G135" s="294"/>
      <c r="H135" s="294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313"/>
      <c r="Y135" s="313"/>
      <c r="Z135" s="313"/>
      <c r="AA135" s="313"/>
      <c r="AB135" s="313"/>
      <c r="AC135" s="313"/>
      <c r="AD135" s="313"/>
      <c r="AE135" s="313"/>
      <c r="AF135" s="313"/>
      <c r="AG135" s="312"/>
      <c r="AH135" s="312"/>
      <c r="AI135" s="312"/>
      <c r="AJ135" s="312"/>
      <c r="AK135" s="312"/>
      <c r="AL135" s="312"/>
      <c r="AM135" s="312"/>
      <c r="AN135" s="312"/>
      <c r="AO135" s="312"/>
      <c r="AP135" s="312"/>
      <c r="AQ135" s="312"/>
      <c r="AR135" s="312"/>
      <c r="AS135" s="312"/>
      <c r="AT135" s="312"/>
      <c r="AU135" s="312"/>
      <c r="AV135" s="312"/>
      <c r="AW135" s="312"/>
      <c r="AX135" s="312"/>
      <c r="AY135" s="312"/>
      <c r="AZ135" s="312"/>
      <c r="BA135" s="312"/>
      <c r="BB135" s="312"/>
      <c r="BC135" s="312"/>
    </row>
    <row r="136" spans="1:55" s="311" customFormat="1" ht="13.5" customHeight="1">
      <c r="A136" s="314"/>
      <c r="B136" s="296">
        <v>43490</v>
      </c>
      <c r="C136" s="295" t="s">
        <v>531</v>
      </c>
      <c r="D136" s="294">
        <v>99</v>
      </c>
      <c r="E136" s="294"/>
      <c r="F136" s="294">
        <v>99</v>
      </c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  <c r="R136" s="294"/>
      <c r="S136" s="294"/>
      <c r="T136" s="294"/>
      <c r="U136" s="294"/>
      <c r="V136" s="294"/>
      <c r="W136" s="294"/>
      <c r="X136" s="313"/>
      <c r="Y136" s="313"/>
      <c r="Z136" s="313"/>
      <c r="AA136" s="313"/>
      <c r="AB136" s="313"/>
      <c r="AC136" s="313"/>
      <c r="AD136" s="313"/>
      <c r="AE136" s="313"/>
      <c r="AF136" s="313"/>
      <c r="AG136" s="312"/>
      <c r="AH136" s="312"/>
      <c r="AI136" s="312"/>
      <c r="AJ136" s="312"/>
      <c r="AK136" s="312"/>
      <c r="AL136" s="312"/>
      <c r="AM136" s="312"/>
      <c r="AN136" s="312"/>
      <c r="AO136" s="312"/>
      <c r="AP136" s="312"/>
      <c r="AQ136" s="312"/>
      <c r="AR136" s="312"/>
      <c r="AS136" s="312"/>
      <c r="AT136" s="312"/>
      <c r="AU136" s="312"/>
      <c r="AV136" s="312"/>
      <c r="AW136" s="312"/>
      <c r="AX136" s="312"/>
      <c r="AY136" s="312"/>
      <c r="AZ136" s="312"/>
      <c r="BA136" s="312"/>
      <c r="BB136" s="312"/>
      <c r="BC136" s="312"/>
    </row>
    <row r="137" spans="1:55" s="311" customFormat="1" ht="13.5" customHeight="1">
      <c r="A137" s="314"/>
      <c r="B137" s="296">
        <v>43492</v>
      </c>
      <c r="C137" s="295" t="s">
        <v>40</v>
      </c>
      <c r="D137" s="294">
        <v>46.95</v>
      </c>
      <c r="E137" s="294"/>
      <c r="F137" s="294"/>
      <c r="G137" s="294">
        <v>26.95</v>
      </c>
      <c r="H137" s="294"/>
      <c r="I137" s="294"/>
      <c r="J137" s="294"/>
      <c r="K137" s="294"/>
      <c r="L137" s="294">
        <v>20</v>
      </c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313"/>
      <c r="Y137" s="313"/>
      <c r="Z137" s="313"/>
      <c r="AA137" s="313"/>
      <c r="AB137" s="313"/>
      <c r="AC137" s="313"/>
      <c r="AD137" s="313"/>
      <c r="AE137" s="313"/>
      <c r="AF137" s="313"/>
      <c r="AG137" s="312"/>
      <c r="AH137" s="312"/>
      <c r="AI137" s="312"/>
      <c r="AJ137" s="312"/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2"/>
      <c r="AX137" s="312"/>
      <c r="AY137" s="312"/>
      <c r="AZ137" s="312"/>
      <c r="BA137" s="312"/>
      <c r="BB137" s="312"/>
      <c r="BC137" s="312"/>
    </row>
    <row r="138" spans="1:55" s="311" customFormat="1" ht="13.5" customHeight="1">
      <c r="A138" s="314"/>
      <c r="B138" s="296">
        <v>43493</v>
      </c>
      <c r="C138" s="295" t="s">
        <v>466</v>
      </c>
      <c r="D138" s="294">
        <v>37</v>
      </c>
      <c r="E138" s="294"/>
      <c r="F138" s="294"/>
      <c r="G138" s="294">
        <v>37</v>
      </c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2"/>
      <c r="AH138" s="312"/>
      <c r="AI138" s="312"/>
      <c r="AJ138" s="312"/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2"/>
      <c r="AV138" s="312"/>
      <c r="AW138" s="312"/>
      <c r="AX138" s="312"/>
      <c r="AY138" s="312"/>
      <c r="AZ138" s="312"/>
      <c r="BA138" s="312"/>
      <c r="BB138" s="312"/>
      <c r="BC138" s="312"/>
    </row>
    <row r="139" spans="1:55" s="311" customFormat="1" ht="13.5" customHeight="1">
      <c r="A139" s="314"/>
      <c r="B139" s="296">
        <v>43493</v>
      </c>
      <c r="C139" s="295" t="s">
        <v>40</v>
      </c>
      <c r="D139" s="294">
        <v>70</v>
      </c>
      <c r="E139" s="294"/>
      <c r="F139" s="294"/>
      <c r="G139" s="294">
        <v>70</v>
      </c>
      <c r="H139" s="294"/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4"/>
      <c r="T139" s="294"/>
      <c r="U139" s="294"/>
      <c r="V139" s="294"/>
      <c r="W139" s="294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2"/>
      <c r="AH139" s="312"/>
      <c r="AI139" s="312"/>
      <c r="AJ139" s="312"/>
      <c r="AK139" s="312"/>
      <c r="AL139" s="312"/>
      <c r="AM139" s="312"/>
      <c r="AN139" s="312"/>
      <c r="AO139" s="312"/>
      <c r="AP139" s="312"/>
      <c r="AQ139" s="312"/>
      <c r="AR139" s="312"/>
      <c r="AS139" s="312"/>
      <c r="AT139" s="312"/>
      <c r="AU139" s="312"/>
      <c r="AV139" s="312"/>
      <c r="AW139" s="312"/>
      <c r="AX139" s="312"/>
      <c r="AY139" s="312"/>
      <c r="AZ139" s="312"/>
      <c r="BA139" s="312"/>
      <c r="BB139" s="312"/>
      <c r="BC139" s="312"/>
    </row>
    <row r="140" spans="1:55" s="311" customFormat="1" ht="13.5" customHeight="1">
      <c r="A140" s="314"/>
      <c r="B140" s="296">
        <v>43493</v>
      </c>
      <c r="C140" s="295" t="s">
        <v>490</v>
      </c>
      <c r="D140" s="294">
        <v>48</v>
      </c>
      <c r="E140" s="294"/>
      <c r="F140" s="294"/>
      <c r="G140" s="294">
        <v>48</v>
      </c>
      <c r="H140" s="294"/>
      <c r="I140" s="294"/>
      <c r="J140" s="294"/>
      <c r="K140" s="294"/>
      <c r="L140" s="294"/>
      <c r="M140" s="294"/>
      <c r="N140" s="294"/>
      <c r="O140" s="294"/>
      <c r="P140" s="294"/>
      <c r="Q140" s="294"/>
      <c r="R140" s="294"/>
      <c r="S140" s="294"/>
      <c r="T140" s="294"/>
      <c r="U140" s="294"/>
      <c r="V140" s="294"/>
      <c r="W140" s="294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2"/>
      <c r="AH140" s="312"/>
      <c r="AI140" s="312"/>
      <c r="AJ140" s="312"/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2"/>
      <c r="AV140" s="312"/>
      <c r="AW140" s="312"/>
      <c r="AX140" s="312"/>
      <c r="AY140" s="312"/>
      <c r="AZ140" s="312"/>
      <c r="BA140" s="312"/>
      <c r="BB140" s="312"/>
      <c r="BC140" s="312"/>
    </row>
    <row r="141" spans="1:55" s="311" customFormat="1" ht="13.5" customHeight="1">
      <c r="A141" s="314"/>
      <c r="B141" s="296">
        <v>43493</v>
      </c>
      <c r="C141" s="295" t="s">
        <v>530</v>
      </c>
      <c r="D141" s="294">
        <v>50</v>
      </c>
      <c r="E141" s="294"/>
      <c r="F141" s="294">
        <v>50</v>
      </c>
      <c r="G141" s="294"/>
      <c r="H141" s="294"/>
      <c r="I141" s="294"/>
      <c r="J141" s="294"/>
      <c r="K141" s="294"/>
      <c r="L141" s="294"/>
      <c r="M141" s="294"/>
      <c r="N141" s="294"/>
      <c r="O141" s="294"/>
      <c r="P141" s="294"/>
      <c r="Q141" s="294"/>
      <c r="R141" s="294"/>
      <c r="S141" s="294"/>
      <c r="T141" s="294"/>
      <c r="U141" s="294"/>
      <c r="V141" s="294"/>
      <c r="W141" s="294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2"/>
      <c r="AH141" s="312"/>
      <c r="AI141" s="312"/>
      <c r="AJ141" s="312"/>
      <c r="AK141" s="312"/>
      <c r="AL141" s="312"/>
      <c r="AM141" s="312"/>
      <c r="AN141" s="312"/>
      <c r="AO141" s="312"/>
      <c r="AP141" s="312"/>
      <c r="AQ141" s="312"/>
      <c r="AR141" s="312"/>
      <c r="AS141" s="312"/>
      <c r="AT141" s="312"/>
      <c r="AU141" s="312"/>
      <c r="AV141" s="312"/>
      <c r="AW141" s="312"/>
      <c r="AX141" s="312"/>
      <c r="AY141" s="312"/>
      <c r="AZ141" s="312"/>
      <c r="BA141" s="312"/>
      <c r="BB141" s="312"/>
      <c r="BC141" s="312"/>
    </row>
    <row r="142" spans="1:55" s="311" customFormat="1" ht="13.5" customHeight="1">
      <c r="A142" s="314"/>
      <c r="B142" s="296">
        <v>43495</v>
      </c>
      <c r="C142" s="295" t="s">
        <v>451</v>
      </c>
      <c r="D142" s="294">
        <v>47</v>
      </c>
      <c r="E142" s="294"/>
      <c r="F142" s="294"/>
      <c r="G142" s="294">
        <v>47</v>
      </c>
      <c r="H142" s="294"/>
      <c r="I142" s="294"/>
      <c r="J142" s="294"/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313"/>
      <c r="Y142" s="313"/>
      <c r="Z142" s="313"/>
      <c r="AA142" s="313"/>
      <c r="AB142" s="313"/>
      <c r="AC142" s="313"/>
      <c r="AD142" s="313"/>
      <c r="AE142" s="313"/>
      <c r="AF142" s="313"/>
      <c r="AG142" s="312"/>
      <c r="AH142" s="312"/>
      <c r="AI142" s="312"/>
      <c r="AJ142" s="312"/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2"/>
      <c r="AV142" s="312"/>
      <c r="AW142" s="312"/>
      <c r="AX142" s="312"/>
      <c r="AY142" s="312"/>
      <c r="AZ142" s="312"/>
      <c r="BA142" s="312"/>
      <c r="BB142" s="312"/>
      <c r="BC142" s="312"/>
    </row>
    <row r="143" spans="1:55" s="311" customFormat="1" ht="13.5" customHeight="1">
      <c r="A143" s="314"/>
      <c r="B143" s="296">
        <v>43496</v>
      </c>
      <c r="C143" s="295" t="s">
        <v>529</v>
      </c>
      <c r="D143" s="294">
        <v>90</v>
      </c>
      <c r="E143" s="294"/>
      <c r="F143" s="294"/>
      <c r="G143" s="294"/>
      <c r="H143" s="294"/>
      <c r="I143" s="294"/>
      <c r="J143" s="294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>
        <v>90</v>
      </c>
      <c r="V143" s="294"/>
      <c r="W143" s="294"/>
      <c r="X143" s="313"/>
      <c r="Y143" s="313"/>
      <c r="Z143" s="313"/>
      <c r="AA143" s="313"/>
      <c r="AB143" s="313"/>
      <c r="AC143" s="313"/>
      <c r="AD143" s="313"/>
      <c r="AE143" s="313"/>
      <c r="AF143" s="313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2"/>
      <c r="AX143" s="312"/>
      <c r="AY143" s="312"/>
      <c r="AZ143" s="312"/>
      <c r="BA143" s="312"/>
      <c r="BB143" s="312"/>
      <c r="BC143" s="312"/>
    </row>
    <row r="144" spans="1:55" s="311" customFormat="1" ht="13.5" customHeight="1">
      <c r="A144" s="314"/>
      <c r="B144" s="296"/>
      <c r="C144" s="295" t="s">
        <v>428</v>
      </c>
      <c r="D144" s="294">
        <v>910.11</v>
      </c>
      <c r="E144" s="294"/>
      <c r="F144" s="294">
        <v>886.57</v>
      </c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313"/>
      <c r="Y144" s="313"/>
      <c r="Z144" s="313"/>
      <c r="AA144" s="313"/>
      <c r="AB144" s="313"/>
      <c r="AC144" s="313"/>
      <c r="AD144" s="313"/>
      <c r="AE144" s="313"/>
      <c r="AF144" s="313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2"/>
      <c r="AX144" s="312"/>
      <c r="AY144" s="312"/>
      <c r="AZ144" s="312"/>
      <c r="BA144" s="312"/>
      <c r="BB144" s="312"/>
      <c r="BC144" s="312"/>
    </row>
    <row r="145" spans="1:55" s="290" customFormat="1" ht="13.5" customHeight="1">
      <c r="A145" s="293"/>
      <c r="B145" s="3032" t="s">
        <v>121</v>
      </c>
      <c r="C145" s="3033" t="str">
        <f>D1</f>
        <v>februar</v>
      </c>
      <c r="D145" s="310">
        <f t="shared" ref="D145:V145" si="9">SUM(D146:D225)</f>
        <v>31155.970000000005</v>
      </c>
      <c r="E145" s="310">
        <f t="shared" si="9"/>
        <v>6580.01</v>
      </c>
      <c r="F145" s="310">
        <f t="shared" si="9"/>
        <v>2128.38</v>
      </c>
      <c r="G145" s="310">
        <f t="shared" si="9"/>
        <v>1669.25</v>
      </c>
      <c r="H145" s="310">
        <f t="shared" si="9"/>
        <v>51.900000000000006</v>
      </c>
      <c r="I145" s="310">
        <f t="shared" si="9"/>
        <v>8.3000000000000007</v>
      </c>
      <c r="J145" s="310">
        <f t="shared" si="9"/>
        <v>0</v>
      </c>
      <c r="K145" s="310">
        <f t="shared" si="9"/>
        <v>162</v>
      </c>
      <c r="L145" s="310">
        <f t="shared" si="9"/>
        <v>318</v>
      </c>
      <c r="M145" s="310">
        <f t="shared" si="9"/>
        <v>14948</v>
      </c>
      <c r="N145" s="310">
        <f t="shared" si="9"/>
        <v>557</v>
      </c>
      <c r="O145" s="310">
        <f t="shared" si="9"/>
        <v>1049.54</v>
      </c>
      <c r="P145" s="310">
        <f t="shared" si="9"/>
        <v>1299</v>
      </c>
      <c r="Q145" s="310">
        <f t="shared" si="9"/>
        <v>395</v>
      </c>
      <c r="R145" s="310">
        <f t="shared" si="9"/>
        <v>90</v>
      </c>
      <c r="S145" s="310">
        <f t="shared" si="9"/>
        <v>100</v>
      </c>
      <c r="T145" s="310">
        <f t="shared" si="9"/>
        <v>800</v>
      </c>
      <c r="U145" s="310">
        <f t="shared" si="9"/>
        <v>0</v>
      </c>
      <c r="V145" s="310">
        <f t="shared" si="9"/>
        <v>599.59</v>
      </c>
      <c r="W145" s="310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</row>
    <row r="146" spans="1:55" s="311" customFormat="1" ht="13.5" customHeight="1">
      <c r="A146" s="314"/>
      <c r="B146" s="317">
        <v>43496</v>
      </c>
      <c r="C146" s="316" t="s">
        <v>451</v>
      </c>
      <c r="D146" s="315">
        <v>174.55</v>
      </c>
      <c r="E146" s="315"/>
      <c r="F146" s="315"/>
      <c r="G146" s="315">
        <v>154.55000000000001</v>
      </c>
      <c r="H146" s="315"/>
      <c r="I146" s="315"/>
      <c r="J146" s="315"/>
      <c r="K146" s="315"/>
      <c r="L146" s="315">
        <v>20</v>
      </c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3"/>
      <c r="Y146" s="313"/>
      <c r="Z146" s="313"/>
      <c r="AA146" s="313"/>
      <c r="AB146" s="313"/>
      <c r="AC146" s="313"/>
      <c r="AD146" s="313"/>
      <c r="AE146" s="313"/>
      <c r="AF146" s="313"/>
      <c r="AG146" s="312"/>
      <c r="AH146" s="312"/>
      <c r="AI146" s="312"/>
      <c r="AJ146" s="312"/>
      <c r="AK146" s="312"/>
      <c r="AL146" s="312"/>
      <c r="AM146" s="312"/>
      <c r="AN146" s="312"/>
      <c r="AO146" s="312"/>
      <c r="AP146" s="312"/>
      <c r="AQ146" s="312"/>
      <c r="AR146" s="312"/>
      <c r="AS146" s="312"/>
      <c r="AT146" s="312"/>
      <c r="AU146" s="312"/>
      <c r="AV146" s="312"/>
      <c r="AW146" s="312"/>
      <c r="AX146" s="312"/>
      <c r="AY146" s="312"/>
      <c r="AZ146" s="312"/>
      <c r="BA146" s="312"/>
      <c r="BB146" s="312"/>
      <c r="BC146" s="312"/>
    </row>
    <row r="147" spans="1:55" s="311" customFormat="1" ht="13.5" customHeight="1">
      <c r="A147" s="314"/>
      <c r="B147" s="296">
        <v>43496</v>
      </c>
      <c r="C147" s="295" t="s">
        <v>490</v>
      </c>
      <c r="D147" s="294">
        <v>48</v>
      </c>
      <c r="E147" s="294"/>
      <c r="F147" s="294"/>
      <c r="G147" s="294">
        <v>48</v>
      </c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2"/>
      <c r="AH147" s="312"/>
      <c r="AI147" s="312"/>
      <c r="AJ147" s="312"/>
      <c r="AK147" s="312"/>
      <c r="AL147" s="312"/>
      <c r="AM147" s="312"/>
      <c r="AN147" s="312"/>
      <c r="AO147" s="312"/>
      <c r="AP147" s="312"/>
      <c r="AQ147" s="312"/>
      <c r="AR147" s="312"/>
      <c r="AS147" s="312"/>
      <c r="AT147" s="312"/>
      <c r="AU147" s="312"/>
      <c r="AV147" s="312"/>
      <c r="AW147" s="312"/>
      <c r="AX147" s="312"/>
      <c r="AY147" s="312"/>
      <c r="AZ147" s="312"/>
      <c r="BA147" s="312"/>
      <c r="BB147" s="312"/>
      <c r="BC147" s="312"/>
    </row>
    <row r="148" spans="1:55" s="311" customFormat="1" ht="13.5" customHeight="1">
      <c r="A148" s="314"/>
      <c r="B148" s="296">
        <v>43496</v>
      </c>
      <c r="C148" s="295" t="s">
        <v>469</v>
      </c>
      <c r="D148" s="294">
        <v>63.45</v>
      </c>
      <c r="E148" s="294"/>
      <c r="F148" s="294"/>
      <c r="G148" s="294">
        <v>63.45</v>
      </c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2"/>
      <c r="AH148" s="312"/>
      <c r="AI148" s="312"/>
      <c r="AJ148" s="312"/>
      <c r="AK148" s="312"/>
      <c r="AL148" s="312"/>
      <c r="AM148" s="312"/>
      <c r="AN148" s="312"/>
      <c r="AO148" s="312"/>
      <c r="AP148" s="312"/>
      <c r="AQ148" s="312"/>
      <c r="AR148" s="312"/>
      <c r="AS148" s="312"/>
      <c r="AT148" s="312"/>
      <c r="AU148" s="312"/>
      <c r="AV148" s="312"/>
      <c r="AW148" s="312"/>
      <c r="AX148" s="312"/>
      <c r="AY148" s="312"/>
      <c r="AZ148" s="312"/>
      <c r="BA148" s="312"/>
      <c r="BB148" s="312"/>
      <c r="BC148" s="312"/>
    </row>
    <row r="149" spans="1:55" s="311" customFormat="1" ht="13.5" customHeight="1">
      <c r="A149" s="314"/>
      <c r="B149" s="296">
        <v>43496</v>
      </c>
      <c r="C149" s="295" t="s">
        <v>48</v>
      </c>
      <c r="D149" s="294">
        <v>557</v>
      </c>
      <c r="E149" s="294"/>
      <c r="F149" s="294"/>
      <c r="G149" s="294"/>
      <c r="H149" s="294"/>
      <c r="I149" s="294"/>
      <c r="J149" s="294"/>
      <c r="K149" s="294"/>
      <c r="L149" s="294"/>
      <c r="M149" s="294"/>
      <c r="N149" s="294">
        <f>D149</f>
        <v>557</v>
      </c>
      <c r="O149" s="294"/>
      <c r="P149" s="294"/>
      <c r="Q149" s="294"/>
      <c r="R149" s="294"/>
      <c r="S149" s="294"/>
      <c r="T149" s="294"/>
      <c r="U149" s="294"/>
      <c r="V149" s="294"/>
      <c r="W149" s="294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2"/>
      <c r="AH149" s="312"/>
      <c r="AI149" s="312"/>
      <c r="AJ149" s="312"/>
      <c r="AK149" s="312"/>
      <c r="AL149" s="312"/>
      <c r="AM149" s="312"/>
      <c r="AN149" s="312"/>
      <c r="AO149" s="312"/>
      <c r="AP149" s="312"/>
      <c r="AQ149" s="312"/>
      <c r="AR149" s="312"/>
      <c r="AS149" s="312"/>
      <c r="AT149" s="312"/>
      <c r="AU149" s="312"/>
      <c r="AV149" s="312"/>
      <c r="AW149" s="312"/>
      <c r="AX149" s="312"/>
      <c r="AY149" s="312"/>
      <c r="AZ149" s="312"/>
      <c r="BA149" s="312"/>
      <c r="BB149" s="312"/>
      <c r="BC149" s="312"/>
    </row>
    <row r="150" spans="1:55" s="311" customFormat="1" ht="13.5" customHeight="1">
      <c r="A150" s="314"/>
      <c r="B150" s="296">
        <v>43496</v>
      </c>
      <c r="C150" s="295" t="s">
        <v>528</v>
      </c>
      <c r="D150" s="294">
        <v>98</v>
      </c>
      <c r="E150" s="294"/>
      <c r="F150" s="294">
        <v>98</v>
      </c>
      <c r="G150" s="294"/>
      <c r="H150" s="294"/>
      <c r="I150" s="294"/>
      <c r="J150" s="294"/>
      <c r="K150" s="294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313"/>
      <c r="Y150" s="313"/>
      <c r="Z150" s="313"/>
      <c r="AA150" s="313"/>
      <c r="AB150" s="313"/>
      <c r="AC150" s="313"/>
      <c r="AD150" s="313"/>
      <c r="AE150" s="313"/>
      <c r="AF150" s="313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  <c r="AQ150" s="312"/>
      <c r="AR150" s="312"/>
      <c r="AS150" s="312"/>
      <c r="AT150" s="312"/>
      <c r="AU150" s="312"/>
      <c r="AV150" s="312"/>
      <c r="AW150" s="312"/>
      <c r="AX150" s="312"/>
      <c r="AY150" s="312"/>
      <c r="AZ150" s="312"/>
      <c r="BA150" s="312"/>
      <c r="BB150" s="312"/>
      <c r="BC150" s="312"/>
    </row>
    <row r="151" spans="1:55" s="311" customFormat="1" ht="13.5" customHeight="1">
      <c r="A151" s="314"/>
      <c r="B151" s="296">
        <v>43496</v>
      </c>
      <c r="C151" s="295" t="s">
        <v>527</v>
      </c>
      <c r="D151" s="294">
        <f>19.96+19.96+15.96*1.25</f>
        <v>59.870000000000005</v>
      </c>
      <c r="E151" s="294"/>
      <c r="F151" s="294">
        <v>59.87</v>
      </c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313"/>
      <c r="Y151" s="313"/>
      <c r="Z151" s="313"/>
      <c r="AA151" s="313"/>
      <c r="AB151" s="313"/>
      <c r="AC151" s="313"/>
      <c r="AD151" s="313"/>
      <c r="AE151" s="313"/>
      <c r="AF151" s="313"/>
      <c r="AG151" s="312"/>
      <c r="AH151" s="312"/>
      <c r="AI151" s="312"/>
      <c r="AJ151" s="312"/>
      <c r="AK151" s="312"/>
      <c r="AL151" s="312"/>
      <c r="AM151" s="312"/>
      <c r="AN151" s="312"/>
      <c r="AO151" s="312"/>
      <c r="AP151" s="312"/>
      <c r="AQ151" s="312"/>
      <c r="AR151" s="312"/>
      <c r="AS151" s="312"/>
      <c r="AT151" s="312"/>
      <c r="AU151" s="312"/>
      <c r="AV151" s="312"/>
      <c r="AW151" s="312"/>
      <c r="AX151" s="312"/>
      <c r="AY151" s="312"/>
      <c r="AZ151" s="312"/>
      <c r="BA151" s="312"/>
      <c r="BB151" s="312"/>
      <c r="BC151" s="312"/>
    </row>
    <row r="152" spans="1:55" s="311" customFormat="1" ht="13.5" customHeight="1">
      <c r="A152" s="314"/>
      <c r="B152" s="296">
        <v>43496</v>
      </c>
      <c r="C152" s="295" t="s">
        <v>526</v>
      </c>
      <c r="D152" s="294">
        <v>16.95</v>
      </c>
      <c r="E152" s="294"/>
      <c r="F152" s="294">
        <v>16.95</v>
      </c>
      <c r="G152" s="294"/>
      <c r="H152" s="294"/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2"/>
      <c r="AH152" s="312"/>
      <c r="AI152" s="312"/>
      <c r="AJ152" s="312"/>
      <c r="AK152" s="312"/>
      <c r="AL152" s="312"/>
      <c r="AM152" s="312"/>
      <c r="AN152" s="312"/>
      <c r="AO152" s="312"/>
      <c r="AP152" s="312"/>
      <c r="AQ152" s="312"/>
      <c r="AR152" s="312"/>
      <c r="AS152" s="312"/>
      <c r="AT152" s="312"/>
      <c r="AU152" s="312"/>
      <c r="AV152" s="312"/>
      <c r="AW152" s="312"/>
      <c r="AX152" s="312"/>
      <c r="AY152" s="312"/>
      <c r="AZ152" s="312"/>
      <c r="BA152" s="312"/>
      <c r="BB152" s="312"/>
      <c r="BC152" s="312"/>
    </row>
    <row r="153" spans="1:55" s="311" customFormat="1" ht="13.5" customHeight="1">
      <c r="A153" s="314"/>
      <c r="B153" s="296">
        <v>43496</v>
      </c>
      <c r="C153" s="295" t="s">
        <v>525</v>
      </c>
      <c r="D153" s="294">
        <v>158</v>
      </c>
      <c r="E153" s="294"/>
      <c r="F153" s="294">
        <v>158</v>
      </c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313"/>
      <c r="Y153" s="313"/>
      <c r="Z153" s="313"/>
      <c r="AA153" s="313"/>
      <c r="AB153" s="313"/>
      <c r="AC153" s="313"/>
      <c r="AD153" s="313"/>
      <c r="AE153" s="313"/>
      <c r="AF153" s="313"/>
      <c r="AG153" s="312"/>
      <c r="AH153" s="312"/>
      <c r="AI153" s="312"/>
      <c r="AJ153" s="312"/>
      <c r="AK153" s="312"/>
      <c r="AL153" s="312"/>
      <c r="AM153" s="312"/>
      <c r="AN153" s="312"/>
      <c r="AO153" s="312"/>
      <c r="AP153" s="312"/>
      <c r="AQ153" s="312"/>
      <c r="AR153" s="312"/>
      <c r="AS153" s="312"/>
      <c r="AT153" s="312"/>
      <c r="AU153" s="312"/>
      <c r="AV153" s="312"/>
      <c r="AW153" s="312"/>
      <c r="AX153" s="312"/>
      <c r="AY153" s="312"/>
      <c r="AZ153" s="312"/>
      <c r="BA153" s="312"/>
      <c r="BB153" s="312"/>
      <c r="BC153" s="312"/>
    </row>
    <row r="154" spans="1:55" s="311" customFormat="1" ht="13.5" customHeight="1">
      <c r="A154" s="314"/>
      <c r="B154" s="296">
        <v>43496</v>
      </c>
      <c r="C154" s="295" t="s">
        <v>524</v>
      </c>
      <c r="D154" s="294">
        <v>20</v>
      </c>
      <c r="E154" s="294"/>
      <c r="F154" s="294">
        <v>20</v>
      </c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313"/>
      <c r="Y154" s="313"/>
      <c r="Z154" s="313"/>
      <c r="AA154" s="313"/>
      <c r="AB154" s="313"/>
      <c r="AC154" s="313"/>
      <c r="AD154" s="313"/>
      <c r="AE154" s="313"/>
      <c r="AF154" s="313"/>
      <c r="AG154" s="312"/>
      <c r="AH154" s="312"/>
      <c r="AI154" s="312"/>
      <c r="AJ154" s="312"/>
      <c r="AK154" s="312"/>
      <c r="AL154" s="312"/>
      <c r="AM154" s="312"/>
      <c r="AN154" s="312"/>
      <c r="AO154" s="312"/>
      <c r="AP154" s="312"/>
      <c r="AQ154" s="312"/>
      <c r="AR154" s="312"/>
      <c r="AS154" s="312"/>
      <c r="AT154" s="312"/>
      <c r="AU154" s="312"/>
      <c r="AV154" s="312"/>
      <c r="AW154" s="312"/>
      <c r="AX154" s="312"/>
      <c r="AY154" s="312"/>
      <c r="AZ154" s="312"/>
      <c r="BA154" s="312"/>
      <c r="BB154" s="312"/>
      <c r="BC154" s="312"/>
    </row>
    <row r="155" spans="1:55" s="311" customFormat="1" ht="13.5" customHeight="1">
      <c r="A155" s="314"/>
      <c r="B155" s="296">
        <v>43497</v>
      </c>
      <c r="C155" s="295" t="s">
        <v>30</v>
      </c>
      <c r="D155" s="294">
        <v>14948</v>
      </c>
      <c r="E155" s="294"/>
      <c r="F155" s="294"/>
      <c r="G155" s="294"/>
      <c r="H155" s="294"/>
      <c r="I155" s="294"/>
      <c r="J155" s="294"/>
      <c r="K155" s="294"/>
      <c r="L155" s="294"/>
      <c r="M155" s="294">
        <v>14948</v>
      </c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313"/>
      <c r="Y155" s="313"/>
      <c r="Z155" s="313"/>
      <c r="AA155" s="313"/>
      <c r="AB155" s="313"/>
      <c r="AC155" s="313"/>
      <c r="AD155" s="313"/>
      <c r="AE155" s="313"/>
      <c r="AF155" s="313"/>
      <c r="AG155" s="312"/>
      <c r="AH155" s="312"/>
      <c r="AI155" s="312"/>
      <c r="AJ155" s="312"/>
      <c r="AK155" s="312"/>
      <c r="AL155" s="312"/>
      <c r="AM155" s="312"/>
      <c r="AN155" s="312"/>
      <c r="AO155" s="312"/>
      <c r="AP155" s="312"/>
      <c r="AQ155" s="312"/>
      <c r="AR155" s="312"/>
      <c r="AS155" s="312"/>
      <c r="AT155" s="312"/>
      <c r="AU155" s="312"/>
      <c r="AV155" s="312"/>
      <c r="AW155" s="312"/>
      <c r="AX155" s="312"/>
      <c r="AY155" s="312"/>
      <c r="AZ155" s="312"/>
      <c r="BA155" s="312"/>
      <c r="BB155" s="312"/>
      <c r="BC155" s="312"/>
    </row>
    <row r="156" spans="1:55" s="311" customFormat="1" ht="13.5" customHeight="1">
      <c r="A156" s="314"/>
      <c r="B156" s="296">
        <v>43497</v>
      </c>
      <c r="C156" s="295" t="s">
        <v>265</v>
      </c>
      <c r="D156" s="294">
        <v>602.4</v>
      </c>
      <c r="E156" s="294">
        <v>602.4</v>
      </c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313"/>
      <c r="Y156" s="313"/>
      <c r="Z156" s="313"/>
      <c r="AA156" s="313"/>
      <c r="AB156" s="313"/>
      <c r="AC156" s="313"/>
      <c r="AD156" s="313"/>
      <c r="AE156" s="313"/>
      <c r="AF156" s="313"/>
      <c r="AG156" s="312"/>
      <c r="AH156" s="312"/>
      <c r="AI156" s="312"/>
      <c r="AJ156" s="312"/>
      <c r="AK156" s="312"/>
      <c r="AL156" s="312"/>
      <c r="AM156" s="312"/>
      <c r="AN156" s="312"/>
      <c r="AO156" s="312"/>
      <c r="AP156" s="312"/>
      <c r="AQ156" s="312"/>
      <c r="AR156" s="312"/>
      <c r="AS156" s="312"/>
      <c r="AT156" s="312"/>
      <c r="AU156" s="312"/>
      <c r="AV156" s="312"/>
      <c r="AW156" s="312"/>
      <c r="AX156" s="312"/>
      <c r="AY156" s="312"/>
      <c r="AZ156" s="312"/>
      <c r="BA156" s="312"/>
      <c r="BB156" s="312"/>
      <c r="BC156" s="312"/>
    </row>
    <row r="157" spans="1:55" s="311" customFormat="1" ht="13.5" customHeight="1">
      <c r="A157" s="314"/>
      <c r="B157" s="296">
        <v>43497</v>
      </c>
      <c r="C157" s="295" t="s">
        <v>264</v>
      </c>
      <c r="D157" s="294">
        <v>523</v>
      </c>
      <c r="E157" s="294">
        <v>523</v>
      </c>
      <c r="F157" s="294"/>
      <c r="G157" s="294"/>
      <c r="H157" s="294"/>
      <c r="I157" s="294"/>
      <c r="J157" s="294"/>
      <c r="K157" s="294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2"/>
      <c r="AH157" s="312"/>
      <c r="AI157" s="312"/>
      <c r="AJ157" s="312"/>
      <c r="AK157" s="312"/>
      <c r="AL157" s="312"/>
      <c r="AM157" s="312"/>
      <c r="AN157" s="312"/>
      <c r="AO157" s="312"/>
      <c r="AP157" s="312"/>
      <c r="AQ157" s="312"/>
      <c r="AR157" s="312"/>
      <c r="AS157" s="312"/>
      <c r="AT157" s="312"/>
      <c r="AU157" s="312"/>
      <c r="AV157" s="312"/>
      <c r="AW157" s="312"/>
      <c r="AX157" s="312"/>
      <c r="AY157" s="312"/>
      <c r="AZ157" s="312"/>
      <c r="BA157" s="312"/>
      <c r="BB157" s="312"/>
      <c r="BC157" s="312"/>
    </row>
    <row r="158" spans="1:55" s="311" customFormat="1" ht="13.5" customHeight="1">
      <c r="A158" s="314"/>
      <c r="B158" s="296">
        <v>43497</v>
      </c>
      <c r="C158" s="295" t="s">
        <v>182</v>
      </c>
      <c r="D158" s="294">
        <v>284</v>
      </c>
      <c r="E158" s="294">
        <v>284</v>
      </c>
      <c r="F158" s="294"/>
      <c r="G158" s="294"/>
      <c r="H158" s="294"/>
      <c r="I158" s="294"/>
      <c r="J158" s="294"/>
      <c r="K158" s="294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313"/>
      <c r="Y158" s="313"/>
      <c r="Z158" s="313"/>
      <c r="AA158" s="313"/>
      <c r="AB158" s="313"/>
      <c r="AC158" s="313"/>
      <c r="AD158" s="313"/>
      <c r="AE158" s="313"/>
      <c r="AF158" s="313"/>
      <c r="AG158" s="312"/>
      <c r="AH158" s="312"/>
      <c r="AI158" s="312"/>
      <c r="AJ158" s="312"/>
      <c r="AK158" s="312"/>
      <c r="AL158" s="312"/>
      <c r="AM158" s="312"/>
      <c r="AN158" s="312"/>
      <c r="AO158" s="312"/>
      <c r="AP158" s="312"/>
      <c r="AQ158" s="312"/>
      <c r="AR158" s="312"/>
      <c r="AS158" s="312"/>
      <c r="AT158" s="312"/>
      <c r="AU158" s="312"/>
      <c r="AV158" s="312"/>
      <c r="AW158" s="312"/>
      <c r="AX158" s="312"/>
      <c r="AY158" s="312"/>
      <c r="AZ158" s="312"/>
      <c r="BA158" s="312"/>
      <c r="BB158" s="312"/>
      <c r="BC158" s="312"/>
    </row>
    <row r="159" spans="1:55" s="311" customFormat="1" ht="13.5" customHeight="1">
      <c r="A159" s="314"/>
      <c r="B159" s="296">
        <v>43497</v>
      </c>
      <c r="C159" s="295" t="s">
        <v>472</v>
      </c>
      <c r="D159" s="294">
        <v>245</v>
      </c>
      <c r="E159" s="294">
        <v>245</v>
      </c>
      <c r="F159" s="294"/>
      <c r="G159" s="294"/>
      <c r="H159" s="294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313"/>
      <c r="Y159" s="313"/>
      <c r="Z159" s="313"/>
      <c r="AA159" s="313"/>
      <c r="AB159" s="313"/>
      <c r="AC159" s="313"/>
      <c r="AD159" s="313"/>
      <c r="AE159" s="313"/>
      <c r="AF159" s="313"/>
      <c r="AG159" s="312"/>
      <c r="AH159" s="312"/>
      <c r="AI159" s="312"/>
      <c r="AJ159" s="312"/>
      <c r="AK159" s="312"/>
      <c r="AL159" s="312"/>
      <c r="AM159" s="312"/>
      <c r="AN159" s="312"/>
      <c r="AO159" s="312"/>
      <c r="AP159" s="312"/>
      <c r="AQ159" s="312"/>
      <c r="AR159" s="312"/>
      <c r="AS159" s="312"/>
      <c r="AT159" s="312"/>
      <c r="AU159" s="312"/>
      <c r="AV159" s="312"/>
      <c r="AW159" s="312"/>
      <c r="AX159" s="312"/>
      <c r="AY159" s="312"/>
      <c r="AZ159" s="312"/>
      <c r="BA159" s="312"/>
      <c r="BB159" s="312"/>
      <c r="BC159" s="312"/>
    </row>
    <row r="160" spans="1:55" s="311" customFormat="1" ht="13.5" customHeight="1">
      <c r="A160" s="314"/>
      <c r="B160" s="296">
        <v>43497</v>
      </c>
      <c r="C160" s="295" t="s">
        <v>472</v>
      </c>
      <c r="D160" s="294">
        <v>215</v>
      </c>
      <c r="E160" s="294">
        <v>215</v>
      </c>
      <c r="F160" s="294"/>
      <c r="G160" s="294"/>
      <c r="H160" s="294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2"/>
      <c r="AH160" s="312"/>
      <c r="AI160" s="312"/>
      <c r="AJ160" s="312"/>
      <c r="AK160" s="312"/>
      <c r="AL160" s="312"/>
      <c r="AM160" s="312"/>
      <c r="AN160" s="312"/>
      <c r="AO160" s="312"/>
      <c r="AP160" s="312"/>
      <c r="AQ160" s="312"/>
      <c r="AR160" s="312"/>
      <c r="AS160" s="312"/>
      <c r="AT160" s="312"/>
      <c r="AU160" s="312"/>
      <c r="AV160" s="312"/>
      <c r="AW160" s="312"/>
      <c r="AX160" s="312"/>
      <c r="AY160" s="312"/>
      <c r="AZ160" s="312"/>
      <c r="BA160" s="312"/>
      <c r="BB160" s="312"/>
      <c r="BC160" s="312"/>
    </row>
    <row r="161" spans="1:55" s="311" customFormat="1" ht="13.5" customHeight="1">
      <c r="A161" s="314"/>
      <c r="B161" s="296">
        <v>43497</v>
      </c>
      <c r="C161" s="295" t="s">
        <v>183</v>
      </c>
      <c r="D161" s="294">
        <v>458.75</v>
      </c>
      <c r="E161" s="294">
        <v>458.75</v>
      </c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313"/>
      <c r="Y161" s="313"/>
      <c r="Z161" s="313"/>
      <c r="AA161" s="313"/>
      <c r="AB161" s="313"/>
      <c r="AC161" s="313"/>
      <c r="AD161" s="313"/>
      <c r="AE161" s="313"/>
      <c r="AF161" s="313"/>
      <c r="AG161" s="312"/>
      <c r="AH161" s="312"/>
      <c r="AI161" s="312"/>
      <c r="AJ161" s="312"/>
      <c r="AK161" s="312"/>
      <c r="AL161" s="312"/>
      <c r="AM161" s="312"/>
      <c r="AN161" s="312"/>
      <c r="AO161" s="312"/>
      <c r="AP161" s="312"/>
      <c r="AQ161" s="312"/>
      <c r="AR161" s="312"/>
      <c r="AS161" s="312"/>
      <c r="AT161" s="312"/>
      <c r="AU161" s="312"/>
      <c r="AV161" s="312"/>
      <c r="AW161" s="312"/>
      <c r="AX161" s="312"/>
      <c r="AY161" s="312"/>
      <c r="AZ161" s="312"/>
      <c r="BA161" s="312"/>
      <c r="BB161" s="312"/>
      <c r="BC161" s="312"/>
    </row>
    <row r="162" spans="1:55" s="311" customFormat="1" ht="13.5" customHeight="1">
      <c r="A162" s="314"/>
      <c r="B162" s="296">
        <v>43497</v>
      </c>
      <c r="C162" s="295" t="s">
        <v>481</v>
      </c>
      <c r="D162" s="294">
        <v>73</v>
      </c>
      <c r="E162" s="294">
        <v>73</v>
      </c>
      <c r="F162" s="294"/>
      <c r="G162" s="294"/>
      <c r="H162" s="294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313"/>
      <c r="Y162" s="313"/>
      <c r="Z162" s="313"/>
      <c r="AA162" s="313"/>
      <c r="AB162" s="313"/>
      <c r="AC162" s="313"/>
      <c r="AD162" s="313"/>
      <c r="AE162" s="313"/>
      <c r="AF162" s="313"/>
      <c r="AG162" s="312"/>
      <c r="AH162" s="312"/>
      <c r="AI162" s="312"/>
      <c r="AJ162" s="312"/>
      <c r="AK162" s="312"/>
      <c r="AL162" s="312"/>
      <c r="AM162" s="312"/>
      <c r="AN162" s="312"/>
      <c r="AO162" s="312"/>
      <c r="AP162" s="312"/>
      <c r="AQ162" s="312"/>
      <c r="AR162" s="312"/>
      <c r="AS162" s="312"/>
      <c r="AT162" s="312"/>
      <c r="AU162" s="312"/>
      <c r="AV162" s="312"/>
      <c r="AW162" s="312"/>
      <c r="AX162" s="312"/>
      <c r="AY162" s="312"/>
      <c r="AZ162" s="312"/>
      <c r="BA162" s="312"/>
      <c r="BB162" s="312"/>
      <c r="BC162" s="312"/>
    </row>
    <row r="163" spans="1:55" s="311" customFormat="1" ht="13.5" customHeight="1">
      <c r="A163" s="314"/>
      <c r="B163" s="296">
        <v>43497</v>
      </c>
      <c r="C163" s="295" t="s">
        <v>523</v>
      </c>
      <c r="D163" s="294">
        <v>751.17</v>
      </c>
      <c r="E163" s="294">
        <v>751.17</v>
      </c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313"/>
      <c r="Y163" s="313"/>
      <c r="Z163" s="313"/>
      <c r="AA163" s="313"/>
      <c r="AB163" s="313"/>
      <c r="AC163" s="313"/>
      <c r="AD163" s="313"/>
      <c r="AE163" s="313"/>
      <c r="AF163" s="313"/>
      <c r="AG163" s="312"/>
      <c r="AH163" s="312"/>
      <c r="AI163" s="312"/>
      <c r="AJ163" s="312"/>
      <c r="AK163" s="312"/>
      <c r="AL163" s="312"/>
      <c r="AM163" s="312"/>
      <c r="AN163" s="312"/>
      <c r="AO163" s="312"/>
      <c r="AP163" s="312"/>
      <c r="AQ163" s="312"/>
      <c r="AR163" s="312"/>
      <c r="AS163" s="312"/>
      <c r="AT163" s="312"/>
      <c r="AU163" s="312"/>
      <c r="AV163" s="312"/>
      <c r="AW163" s="312"/>
      <c r="AX163" s="312"/>
      <c r="AY163" s="312"/>
      <c r="AZ163" s="312"/>
      <c r="BA163" s="312"/>
      <c r="BB163" s="312"/>
      <c r="BC163" s="312"/>
    </row>
    <row r="164" spans="1:55" s="311" customFormat="1" ht="13.5" customHeight="1">
      <c r="A164" s="314"/>
      <c r="B164" s="296">
        <v>43497</v>
      </c>
      <c r="C164" s="295" t="s">
        <v>522</v>
      </c>
      <c r="D164" s="294">
        <v>759.08</v>
      </c>
      <c r="E164" s="294">
        <v>759.08</v>
      </c>
      <c r="F164" s="294"/>
      <c r="G164" s="294"/>
      <c r="H164" s="294"/>
      <c r="I164" s="294"/>
      <c r="J164" s="294"/>
      <c r="K164" s="294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2"/>
      <c r="AH164" s="312"/>
      <c r="AI164" s="312"/>
      <c r="AJ164" s="312"/>
      <c r="AK164" s="312"/>
      <c r="AL164" s="312"/>
      <c r="AM164" s="312"/>
      <c r="AN164" s="312"/>
      <c r="AO164" s="312"/>
      <c r="AP164" s="312"/>
      <c r="AQ164" s="312"/>
      <c r="AR164" s="312"/>
      <c r="AS164" s="312"/>
      <c r="AT164" s="312"/>
      <c r="AU164" s="312"/>
      <c r="AV164" s="312"/>
      <c r="AW164" s="312"/>
      <c r="AX164" s="312"/>
      <c r="AY164" s="312"/>
      <c r="AZ164" s="312"/>
      <c r="BA164" s="312"/>
      <c r="BB164" s="312"/>
      <c r="BC164" s="312"/>
    </row>
    <row r="165" spans="1:55" s="311" customFormat="1" ht="13.5" customHeight="1">
      <c r="A165" s="314"/>
      <c r="B165" s="296">
        <v>43497</v>
      </c>
      <c r="C165" s="295" t="s">
        <v>20</v>
      </c>
      <c r="D165" s="294">
        <v>344.73</v>
      </c>
      <c r="E165" s="294">
        <v>344.73</v>
      </c>
      <c r="F165" s="294"/>
      <c r="G165" s="294"/>
      <c r="H165" s="294"/>
      <c r="I165" s="294"/>
      <c r="J165" s="294"/>
      <c r="K165" s="294"/>
      <c r="L165" s="294"/>
      <c r="M165" s="294"/>
      <c r="N165" s="294"/>
      <c r="O165" s="294"/>
      <c r="P165" s="294"/>
      <c r="Q165" s="294"/>
      <c r="R165" s="294"/>
      <c r="S165" s="294"/>
      <c r="T165" s="294"/>
      <c r="U165" s="294"/>
      <c r="V165" s="294"/>
      <c r="W165" s="294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2"/>
      <c r="AH165" s="312"/>
      <c r="AI165" s="312"/>
      <c r="AJ165" s="312"/>
      <c r="AK165" s="312"/>
      <c r="AL165" s="312"/>
      <c r="AM165" s="312"/>
      <c r="AN165" s="312"/>
      <c r="AO165" s="312"/>
      <c r="AP165" s="312"/>
      <c r="AQ165" s="312"/>
      <c r="AR165" s="312"/>
      <c r="AS165" s="312"/>
      <c r="AT165" s="312"/>
      <c r="AU165" s="312"/>
      <c r="AV165" s="312"/>
      <c r="AW165" s="312"/>
      <c r="AX165" s="312"/>
      <c r="AY165" s="312"/>
      <c r="AZ165" s="312"/>
      <c r="BA165" s="312"/>
      <c r="BB165" s="312"/>
      <c r="BC165" s="312"/>
    </row>
    <row r="166" spans="1:55" s="311" customFormat="1" ht="13.5" customHeight="1">
      <c r="A166" s="314"/>
      <c r="B166" s="296">
        <v>43497</v>
      </c>
      <c r="C166" s="295" t="s">
        <v>363</v>
      </c>
      <c r="D166" s="294">
        <v>893.75</v>
      </c>
      <c r="E166" s="294"/>
      <c r="F166" s="294"/>
      <c r="G166" s="294"/>
      <c r="H166" s="294"/>
      <c r="I166" s="294"/>
      <c r="J166" s="294"/>
      <c r="K166" s="294"/>
      <c r="L166" s="294"/>
      <c r="M166" s="294"/>
      <c r="N166" s="294"/>
      <c r="O166" s="294">
        <v>893.75</v>
      </c>
      <c r="P166" s="294"/>
      <c r="Q166" s="294"/>
      <c r="R166" s="294"/>
      <c r="S166" s="294"/>
      <c r="T166" s="294"/>
      <c r="U166" s="294"/>
      <c r="V166" s="294"/>
      <c r="W166" s="294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2"/>
      <c r="AH166" s="312"/>
      <c r="AI166" s="312"/>
      <c r="AJ166" s="312"/>
      <c r="AK166" s="312"/>
      <c r="AL166" s="312"/>
      <c r="AM166" s="312"/>
      <c r="AN166" s="312"/>
      <c r="AO166" s="312"/>
      <c r="AP166" s="312"/>
      <c r="AQ166" s="312"/>
      <c r="AR166" s="312"/>
      <c r="AS166" s="312"/>
      <c r="AT166" s="312"/>
      <c r="AU166" s="312"/>
      <c r="AV166" s="312"/>
      <c r="AW166" s="312"/>
      <c r="AX166" s="312"/>
      <c r="AY166" s="312"/>
      <c r="AZ166" s="312"/>
      <c r="BA166" s="312"/>
      <c r="BB166" s="312"/>
      <c r="BC166" s="312"/>
    </row>
    <row r="167" spans="1:55" s="311" customFormat="1" ht="13.5" customHeight="1">
      <c r="A167" s="314"/>
      <c r="B167" s="296">
        <v>43497</v>
      </c>
      <c r="C167" s="295" t="s">
        <v>381</v>
      </c>
      <c r="D167" s="294">
        <v>599.59</v>
      </c>
      <c r="E167" s="294"/>
      <c r="F167" s="294"/>
      <c r="G167" s="294"/>
      <c r="H167" s="294"/>
      <c r="I167" s="294"/>
      <c r="J167" s="294"/>
      <c r="K167" s="294"/>
      <c r="L167" s="294"/>
      <c r="M167" s="294"/>
      <c r="N167" s="294"/>
      <c r="O167" s="294"/>
      <c r="P167" s="294"/>
      <c r="Q167" s="294"/>
      <c r="R167" s="294"/>
      <c r="S167" s="294"/>
      <c r="T167" s="294"/>
      <c r="U167" s="294"/>
      <c r="V167" s="294">
        <v>599.59</v>
      </c>
      <c r="W167" s="294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2"/>
      <c r="AH167" s="312"/>
      <c r="AI167" s="312"/>
      <c r="AJ167" s="312"/>
      <c r="AK167" s="312"/>
      <c r="AL167" s="312"/>
      <c r="AM167" s="312"/>
      <c r="AN167" s="312"/>
      <c r="AO167" s="312"/>
      <c r="AP167" s="312"/>
      <c r="AQ167" s="312"/>
      <c r="AR167" s="312"/>
      <c r="AS167" s="312"/>
      <c r="AT167" s="312"/>
      <c r="AU167" s="312"/>
      <c r="AV167" s="312"/>
      <c r="AW167" s="312"/>
      <c r="AX167" s="312"/>
      <c r="AY167" s="312"/>
      <c r="AZ167" s="312"/>
      <c r="BA167" s="312"/>
      <c r="BB167" s="312"/>
      <c r="BC167" s="312"/>
    </row>
    <row r="168" spans="1:55" s="311" customFormat="1" ht="13.5" customHeight="1">
      <c r="A168" s="314"/>
      <c r="B168" s="296">
        <v>43497</v>
      </c>
      <c r="C168" s="295" t="s">
        <v>521</v>
      </c>
      <c r="D168" s="294">
        <v>17.95</v>
      </c>
      <c r="E168" s="294"/>
      <c r="F168" s="294"/>
      <c r="G168" s="294">
        <v>17.95</v>
      </c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294"/>
      <c r="S168" s="294"/>
      <c r="T168" s="294"/>
      <c r="U168" s="294"/>
      <c r="V168" s="294"/>
      <c r="W168" s="294"/>
      <c r="X168" s="313"/>
      <c r="Y168" s="313"/>
      <c r="Z168" s="313"/>
      <c r="AA168" s="313"/>
      <c r="AB168" s="313"/>
      <c r="AC168" s="313"/>
      <c r="AD168" s="313"/>
      <c r="AE168" s="313"/>
      <c r="AF168" s="313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  <c r="AQ168" s="312"/>
      <c r="AR168" s="312"/>
      <c r="AS168" s="312"/>
      <c r="AT168" s="312"/>
      <c r="AU168" s="312"/>
      <c r="AV168" s="312"/>
      <c r="AW168" s="312"/>
      <c r="AX168" s="312"/>
      <c r="AY168" s="312"/>
      <c r="AZ168" s="312"/>
      <c r="BA168" s="312"/>
      <c r="BB168" s="312"/>
      <c r="BC168" s="312"/>
    </row>
    <row r="169" spans="1:55" s="311" customFormat="1" ht="13.5" customHeight="1">
      <c r="A169" s="314"/>
      <c r="B169" s="296">
        <v>43497</v>
      </c>
      <c r="C169" s="295" t="s">
        <v>464</v>
      </c>
      <c r="D169" s="294">
        <v>129</v>
      </c>
      <c r="E169" s="294"/>
      <c r="F169" s="294"/>
      <c r="G169" s="294"/>
      <c r="H169" s="294"/>
      <c r="I169" s="294"/>
      <c r="J169" s="294"/>
      <c r="K169" s="294"/>
      <c r="L169" s="294"/>
      <c r="M169" s="294"/>
      <c r="N169" s="294"/>
      <c r="O169" s="294">
        <f>D169</f>
        <v>129</v>
      </c>
      <c r="P169" s="294"/>
      <c r="Q169" s="294"/>
      <c r="R169" s="294"/>
      <c r="S169" s="294"/>
      <c r="T169" s="294"/>
      <c r="U169" s="294"/>
      <c r="V169" s="294"/>
      <c r="W169" s="294"/>
      <c r="X169" s="313"/>
      <c r="Y169" s="313"/>
      <c r="Z169" s="313"/>
      <c r="AA169" s="313"/>
      <c r="AB169" s="313"/>
      <c r="AC169" s="313"/>
      <c r="AD169" s="313"/>
      <c r="AE169" s="313"/>
      <c r="AF169" s="313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  <c r="AQ169" s="312"/>
      <c r="AR169" s="312"/>
      <c r="AS169" s="312"/>
      <c r="AT169" s="312"/>
      <c r="AU169" s="312"/>
      <c r="AV169" s="312"/>
      <c r="AW169" s="312"/>
      <c r="AX169" s="312"/>
      <c r="AY169" s="312"/>
      <c r="AZ169" s="312"/>
      <c r="BA169" s="312"/>
      <c r="BB169" s="312"/>
      <c r="BC169" s="312"/>
    </row>
    <row r="170" spans="1:55" s="311" customFormat="1" ht="13.5" customHeight="1">
      <c r="A170" s="314"/>
      <c r="B170" s="296">
        <v>43497</v>
      </c>
      <c r="C170" s="295" t="s">
        <v>22</v>
      </c>
      <c r="D170" s="294">
        <v>89</v>
      </c>
      <c r="E170" s="294"/>
      <c r="F170" s="294"/>
      <c r="G170" s="294"/>
      <c r="H170" s="294"/>
      <c r="I170" s="294"/>
      <c r="J170" s="294"/>
      <c r="K170" s="294"/>
      <c r="L170" s="294"/>
      <c r="M170" s="294"/>
      <c r="N170" s="294"/>
      <c r="O170" s="294"/>
      <c r="P170" s="294">
        <f>D170</f>
        <v>89</v>
      </c>
      <c r="Q170" s="294"/>
      <c r="R170" s="294"/>
      <c r="S170" s="294"/>
      <c r="T170" s="294"/>
      <c r="U170" s="294"/>
      <c r="V170" s="294"/>
      <c r="W170" s="294"/>
      <c r="X170" s="313"/>
      <c r="Y170" s="313"/>
      <c r="Z170" s="313"/>
      <c r="AA170" s="313"/>
      <c r="AB170" s="313"/>
      <c r="AC170" s="313"/>
      <c r="AD170" s="313"/>
      <c r="AE170" s="313"/>
      <c r="AF170" s="313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  <c r="AQ170" s="312"/>
      <c r="AR170" s="312"/>
      <c r="AS170" s="312"/>
      <c r="AT170" s="312"/>
      <c r="AU170" s="312"/>
      <c r="AV170" s="312"/>
      <c r="AW170" s="312"/>
      <c r="AX170" s="312"/>
      <c r="AY170" s="312"/>
      <c r="AZ170" s="312"/>
      <c r="BA170" s="312"/>
      <c r="BB170" s="312"/>
      <c r="BC170" s="312"/>
    </row>
    <row r="171" spans="1:55" s="311" customFormat="1" ht="13.5" customHeight="1">
      <c r="A171" s="314"/>
      <c r="B171" s="296">
        <v>43497</v>
      </c>
      <c r="C171" s="295" t="s">
        <v>164</v>
      </c>
      <c r="D171" s="294">
        <v>350</v>
      </c>
      <c r="E171" s="294"/>
      <c r="F171" s="294"/>
      <c r="G171" s="294"/>
      <c r="H171" s="294"/>
      <c r="I171" s="294"/>
      <c r="J171" s="294"/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313"/>
      <c r="Y171" s="313"/>
      <c r="Z171" s="313"/>
      <c r="AA171" s="313"/>
      <c r="AB171" s="313"/>
      <c r="AC171" s="313"/>
      <c r="AD171" s="313"/>
      <c r="AE171" s="313"/>
      <c r="AF171" s="313"/>
      <c r="AG171" s="312"/>
      <c r="AH171" s="312"/>
      <c r="AI171" s="312"/>
      <c r="AJ171" s="312"/>
      <c r="AK171" s="312"/>
      <c r="AL171" s="312"/>
      <c r="AM171" s="312"/>
      <c r="AN171" s="312"/>
      <c r="AO171" s="312"/>
      <c r="AP171" s="312"/>
      <c r="AQ171" s="312"/>
      <c r="AR171" s="312"/>
      <c r="AS171" s="312"/>
      <c r="AT171" s="312"/>
      <c r="AU171" s="312"/>
      <c r="AV171" s="312"/>
      <c r="AW171" s="312"/>
      <c r="AX171" s="312"/>
      <c r="AY171" s="312"/>
      <c r="AZ171" s="312"/>
      <c r="BA171" s="312"/>
      <c r="BB171" s="312"/>
      <c r="BC171" s="312"/>
    </row>
    <row r="172" spans="1:55" s="311" customFormat="1" ht="13.5" customHeight="1">
      <c r="A172" s="314"/>
      <c r="B172" s="296">
        <v>43497</v>
      </c>
      <c r="C172" s="295" t="s">
        <v>520</v>
      </c>
      <c r="D172" s="294">
        <v>100</v>
      </c>
      <c r="E172" s="294"/>
      <c r="F172" s="294">
        <v>100</v>
      </c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4"/>
      <c r="W172" s="294"/>
      <c r="X172" s="313"/>
      <c r="Y172" s="313"/>
      <c r="Z172" s="313"/>
      <c r="AA172" s="313"/>
      <c r="AB172" s="313"/>
      <c r="AC172" s="313"/>
      <c r="AD172" s="313"/>
      <c r="AE172" s="313"/>
      <c r="AF172" s="313"/>
      <c r="AG172" s="312"/>
      <c r="AH172" s="312"/>
      <c r="AI172" s="312"/>
      <c r="AJ172" s="312"/>
      <c r="AK172" s="312"/>
      <c r="AL172" s="312"/>
      <c r="AM172" s="312"/>
      <c r="AN172" s="312"/>
      <c r="AO172" s="312"/>
      <c r="AP172" s="312"/>
      <c r="AQ172" s="312"/>
      <c r="AR172" s="312"/>
      <c r="AS172" s="312"/>
      <c r="AT172" s="312"/>
      <c r="AU172" s="312"/>
      <c r="AV172" s="312"/>
      <c r="AW172" s="312"/>
      <c r="AX172" s="312"/>
      <c r="AY172" s="312"/>
      <c r="AZ172" s="312"/>
      <c r="BA172" s="312"/>
      <c r="BB172" s="312"/>
      <c r="BC172" s="312"/>
    </row>
    <row r="173" spans="1:55" s="311" customFormat="1" ht="13.5" customHeight="1">
      <c r="A173" s="314"/>
      <c r="B173" s="296">
        <v>43497</v>
      </c>
      <c r="C173" s="295" t="s">
        <v>519</v>
      </c>
      <c r="D173" s="294">
        <v>99</v>
      </c>
      <c r="E173" s="294"/>
      <c r="F173" s="294">
        <v>99</v>
      </c>
      <c r="G173" s="294"/>
      <c r="H173" s="294"/>
      <c r="I173" s="294"/>
      <c r="J173" s="294"/>
      <c r="K173" s="294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4"/>
      <c r="W173" s="294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2"/>
      <c r="AH173" s="312"/>
      <c r="AI173" s="312"/>
      <c r="AJ173" s="312"/>
      <c r="AK173" s="312"/>
      <c r="AL173" s="312"/>
      <c r="AM173" s="312"/>
      <c r="AN173" s="312"/>
      <c r="AO173" s="312"/>
      <c r="AP173" s="312"/>
      <c r="AQ173" s="312"/>
      <c r="AR173" s="312"/>
      <c r="AS173" s="312"/>
      <c r="AT173" s="312"/>
      <c r="AU173" s="312"/>
      <c r="AV173" s="312"/>
      <c r="AW173" s="312"/>
      <c r="AX173" s="312"/>
      <c r="AY173" s="312"/>
      <c r="AZ173" s="312"/>
      <c r="BA173" s="312"/>
      <c r="BB173" s="312"/>
      <c r="BC173" s="312"/>
    </row>
    <row r="174" spans="1:55" s="311" customFormat="1" ht="13.5" customHeight="1">
      <c r="A174" s="314"/>
      <c r="B174" s="296">
        <v>43497</v>
      </c>
      <c r="C174" s="295" t="s">
        <v>280</v>
      </c>
      <c r="D174" s="294">
        <v>777</v>
      </c>
      <c r="E174" s="294"/>
      <c r="F174" s="294"/>
      <c r="G174" s="294"/>
      <c r="H174" s="294"/>
      <c r="I174" s="294"/>
      <c r="J174" s="294"/>
      <c r="K174" s="294"/>
      <c r="L174" s="294"/>
      <c r="M174" s="294"/>
      <c r="N174" s="294"/>
      <c r="O174" s="294"/>
      <c r="P174" s="294">
        <f>D174</f>
        <v>777</v>
      </c>
      <c r="Q174" s="294"/>
      <c r="R174" s="294"/>
      <c r="S174" s="294"/>
      <c r="T174" s="294"/>
      <c r="U174" s="294"/>
      <c r="V174" s="294"/>
      <c r="W174" s="294"/>
      <c r="X174" s="313"/>
      <c r="Y174" s="313"/>
      <c r="Z174" s="313"/>
      <c r="AA174" s="313"/>
      <c r="AB174" s="313"/>
      <c r="AC174" s="313"/>
      <c r="AD174" s="313"/>
      <c r="AE174" s="313"/>
      <c r="AF174" s="313"/>
      <c r="AG174" s="312"/>
      <c r="AH174" s="312"/>
      <c r="AI174" s="312"/>
      <c r="AJ174" s="312"/>
      <c r="AK174" s="312"/>
      <c r="AL174" s="312"/>
      <c r="AM174" s="312"/>
      <c r="AN174" s="312"/>
      <c r="AO174" s="312"/>
      <c r="AP174" s="312"/>
      <c r="AQ174" s="312"/>
      <c r="AR174" s="312"/>
      <c r="AS174" s="312"/>
      <c r="AT174" s="312"/>
      <c r="AU174" s="312"/>
      <c r="AV174" s="312"/>
      <c r="AW174" s="312"/>
      <c r="AX174" s="312"/>
      <c r="AY174" s="312"/>
      <c r="AZ174" s="312"/>
      <c r="BA174" s="312"/>
      <c r="BB174" s="312"/>
      <c r="BC174" s="312"/>
    </row>
    <row r="175" spans="1:55" s="311" customFormat="1" ht="13.5" customHeight="1">
      <c r="A175" s="314"/>
      <c r="B175" s="296">
        <v>43497</v>
      </c>
      <c r="C175" s="295" t="s">
        <v>21</v>
      </c>
      <c r="D175" s="294">
        <v>176</v>
      </c>
      <c r="E175" s="294"/>
      <c r="F175" s="294"/>
      <c r="G175" s="294"/>
      <c r="H175" s="294"/>
      <c r="I175" s="294"/>
      <c r="J175" s="294"/>
      <c r="K175" s="294"/>
      <c r="L175" s="294"/>
      <c r="M175" s="294"/>
      <c r="N175" s="294"/>
      <c r="O175" s="294"/>
      <c r="P175" s="294">
        <f>D175</f>
        <v>176</v>
      </c>
      <c r="Q175" s="294"/>
      <c r="R175" s="294"/>
      <c r="S175" s="294"/>
      <c r="T175" s="294"/>
      <c r="U175" s="294"/>
      <c r="V175" s="294"/>
      <c r="W175" s="294"/>
      <c r="X175" s="313"/>
      <c r="Y175" s="313"/>
      <c r="Z175" s="313"/>
      <c r="AA175" s="313"/>
      <c r="AB175" s="313"/>
      <c r="AC175" s="313"/>
      <c r="AD175" s="313"/>
      <c r="AE175" s="313"/>
      <c r="AF175" s="313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2"/>
      <c r="AV175" s="312"/>
      <c r="AW175" s="312"/>
      <c r="AX175" s="312"/>
      <c r="AY175" s="312"/>
      <c r="AZ175" s="312"/>
      <c r="BA175" s="312"/>
      <c r="BB175" s="312"/>
      <c r="BC175" s="312"/>
    </row>
    <row r="176" spans="1:55" s="311" customFormat="1" ht="13.5" customHeight="1">
      <c r="A176" s="314"/>
      <c r="B176" s="296">
        <v>43497</v>
      </c>
      <c r="C176" s="295" t="s">
        <v>230</v>
      </c>
      <c r="D176" s="294">
        <v>59</v>
      </c>
      <c r="E176" s="294"/>
      <c r="F176" s="294"/>
      <c r="G176" s="294"/>
      <c r="H176" s="294"/>
      <c r="I176" s="294"/>
      <c r="J176" s="294"/>
      <c r="K176" s="294"/>
      <c r="L176" s="294"/>
      <c r="M176" s="294"/>
      <c r="N176" s="294"/>
      <c r="O176" s="294"/>
      <c r="P176" s="294">
        <f>D176</f>
        <v>59</v>
      </c>
      <c r="Q176" s="294"/>
      <c r="R176" s="294"/>
      <c r="S176" s="294"/>
      <c r="T176" s="294"/>
      <c r="U176" s="294"/>
      <c r="V176" s="294"/>
      <c r="W176" s="294"/>
      <c r="X176" s="313"/>
      <c r="Y176" s="313"/>
      <c r="Z176" s="313"/>
      <c r="AA176" s="313"/>
      <c r="AB176" s="313"/>
      <c r="AC176" s="313"/>
      <c r="AD176" s="313"/>
      <c r="AE176" s="313"/>
      <c r="AF176" s="313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  <c r="AQ176" s="312"/>
      <c r="AR176" s="312"/>
      <c r="AS176" s="312"/>
      <c r="AT176" s="312"/>
      <c r="AU176" s="312"/>
      <c r="AV176" s="312"/>
      <c r="AW176" s="312"/>
      <c r="AX176" s="312"/>
      <c r="AY176" s="312"/>
      <c r="AZ176" s="312"/>
      <c r="BA176" s="312"/>
      <c r="BB176" s="312"/>
      <c r="BC176" s="312"/>
    </row>
    <row r="177" spans="1:55" s="311" customFormat="1" ht="13.5" customHeight="1">
      <c r="A177" s="314"/>
      <c r="B177" s="296">
        <v>43497</v>
      </c>
      <c r="C177" s="295" t="s">
        <v>186</v>
      </c>
      <c r="D177" s="294">
        <v>200</v>
      </c>
      <c r="E177" s="294"/>
      <c r="F177" s="294"/>
      <c r="G177" s="294"/>
      <c r="H177" s="294"/>
      <c r="I177" s="294"/>
      <c r="J177" s="294"/>
      <c r="K177" s="294"/>
      <c r="L177" s="294"/>
      <c r="M177" s="294"/>
      <c r="N177" s="294"/>
      <c r="O177" s="294"/>
      <c r="P177" s="294"/>
      <c r="Q177" s="294">
        <v>200</v>
      </c>
      <c r="R177" s="294"/>
      <c r="S177" s="294"/>
      <c r="T177" s="294"/>
      <c r="U177" s="294"/>
      <c r="V177" s="294"/>
      <c r="W177" s="294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  <c r="AQ177" s="312"/>
      <c r="AR177" s="312"/>
      <c r="AS177" s="312"/>
      <c r="AT177" s="312"/>
      <c r="AU177" s="312"/>
      <c r="AV177" s="312"/>
      <c r="AW177" s="312"/>
      <c r="AX177" s="312"/>
      <c r="AY177" s="312"/>
      <c r="AZ177" s="312"/>
      <c r="BA177" s="312"/>
      <c r="BB177" s="312"/>
      <c r="BC177" s="312"/>
    </row>
    <row r="178" spans="1:55" s="311" customFormat="1" ht="13.5" customHeight="1">
      <c r="A178" s="314"/>
      <c r="B178" s="296">
        <v>43497</v>
      </c>
      <c r="C178" s="295" t="s">
        <v>518</v>
      </c>
      <c r="D178" s="294">
        <v>195</v>
      </c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>
        <v>195</v>
      </c>
      <c r="R178" s="294"/>
      <c r="S178" s="294"/>
      <c r="T178" s="294"/>
      <c r="U178" s="294"/>
      <c r="V178" s="294"/>
      <c r="W178" s="294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2"/>
      <c r="AH178" s="312"/>
      <c r="AI178" s="312"/>
      <c r="AJ178" s="312"/>
      <c r="AK178" s="312"/>
      <c r="AL178" s="312"/>
      <c r="AM178" s="312"/>
      <c r="AN178" s="312"/>
      <c r="AO178" s="312"/>
      <c r="AP178" s="312"/>
      <c r="AQ178" s="312"/>
      <c r="AR178" s="312"/>
      <c r="AS178" s="312"/>
      <c r="AT178" s="312"/>
      <c r="AU178" s="312"/>
      <c r="AV178" s="312"/>
      <c r="AW178" s="312"/>
      <c r="AX178" s="312"/>
      <c r="AY178" s="312"/>
      <c r="AZ178" s="312"/>
      <c r="BA178" s="312"/>
      <c r="BB178" s="312"/>
      <c r="BC178" s="312"/>
    </row>
    <row r="179" spans="1:55" s="311" customFormat="1" ht="13.5" customHeight="1">
      <c r="A179" s="314"/>
      <c r="B179" s="296">
        <v>43499</v>
      </c>
      <c r="C179" s="295" t="s">
        <v>517</v>
      </c>
      <c r="D179" s="294">
        <v>30</v>
      </c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>
        <f>D179</f>
        <v>30</v>
      </c>
      <c r="S179" s="294"/>
      <c r="T179" s="294"/>
      <c r="U179" s="294"/>
      <c r="V179" s="294"/>
      <c r="W179" s="294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2"/>
      <c r="AH179" s="312"/>
      <c r="AI179" s="312"/>
      <c r="AJ179" s="312"/>
      <c r="AK179" s="312"/>
      <c r="AL179" s="312"/>
      <c r="AM179" s="312"/>
      <c r="AN179" s="312"/>
      <c r="AO179" s="312"/>
      <c r="AP179" s="312"/>
      <c r="AQ179" s="312"/>
      <c r="AR179" s="312"/>
      <c r="AS179" s="312"/>
      <c r="AT179" s="312"/>
      <c r="AU179" s="312"/>
      <c r="AV179" s="312"/>
      <c r="AW179" s="312"/>
      <c r="AX179" s="312"/>
      <c r="AY179" s="312"/>
      <c r="AZ179" s="312"/>
      <c r="BA179" s="312"/>
      <c r="BB179" s="312"/>
      <c r="BC179" s="312"/>
    </row>
    <row r="180" spans="1:55" s="311" customFormat="1" ht="13.5" customHeight="1">
      <c r="A180" s="314"/>
      <c r="B180" s="296">
        <v>43499</v>
      </c>
      <c r="C180" s="295" t="s">
        <v>516</v>
      </c>
      <c r="D180" s="294">
        <v>40</v>
      </c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>
        <f>D180</f>
        <v>40</v>
      </c>
      <c r="T180" s="294"/>
      <c r="U180" s="294"/>
      <c r="V180" s="294"/>
      <c r="W180" s="294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2"/>
      <c r="AH180" s="312"/>
      <c r="AI180" s="312"/>
      <c r="AJ180" s="312"/>
      <c r="AK180" s="312"/>
      <c r="AL180" s="312"/>
      <c r="AM180" s="312"/>
      <c r="AN180" s="312"/>
      <c r="AO180" s="312"/>
      <c r="AP180" s="312"/>
      <c r="AQ180" s="312"/>
      <c r="AR180" s="312"/>
      <c r="AS180" s="312"/>
      <c r="AT180" s="312"/>
      <c r="AU180" s="312"/>
      <c r="AV180" s="312"/>
      <c r="AW180" s="312"/>
      <c r="AX180" s="312"/>
      <c r="AY180" s="312"/>
      <c r="AZ180" s="312"/>
      <c r="BA180" s="312"/>
      <c r="BB180" s="312"/>
      <c r="BC180" s="312"/>
    </row>
    <row r="181" spans="1:55" s="311" customFormat="1" ht="13.5" customHeight="1">
      <c r="A181" s="314"/>
      <c r="B181" s="296">
        <v>43499</v>
      </c>
      <c r="C181" s="295" t="s">
        <v>515</v>
      </c>
      <c r="D181" s="294">
        <v>528.85</v>
      </c>
      <c r="E181" s="294"/>
      <c r="F181" s="294">
        <v>528.85</v>
      </c>
      <c r="G181" s="294"/>
      <c r="H181" s="294"/>
      <c r="I181" s="294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313"/>
      <c r="Y181" s="313"/>
      <c r="Z181" s="313"/>
      <c r="AA181" s="313"/>
      <c r="AB181" s="313"/>
      <c r="AC181" s="313"/>
      <c r="AD181" s="313"/>
      <c r="AE181" s="313"/>
      <c r="AF181" s="313"/>
      <c r="AG181" s="312"/>
      <c r="AH181" s="312"/>
      <c r="AI181" s="312"/>
      <c r="AJ181" s="312"/>
      <c r="AK181" s="312"/>
      <c r="AL181" s="312"/>
      <c r="AM181" s="312"/>
      <c r="AN181" s="312"/>
      <c r="AO181" s="312"/>
      <c r="AP181" s="312"/>
      <c r="AQ181" s="312"/>
      <c r="AR181" s="312"/>
      <c r="AS181" s="312"/>
      <c r="AT181" s="312"/>
      <c r="AU181" s="312"/>
      <c r="AV181" s="312"/>
      <c r="AW181" s="312"/>
      <c r="AX181" s="312"/>
      <c r="AY181" s="312"/>
      <c r="AZ181" s="312"/>
      <c r="BA181" s="312"/>
      <c r="BB181" s="312"/>
      <c r="BC181" s="312"/>
    </row>
    <row r="182" spans="1:55" s="311" customFormat="1" ht="13.5" customHeight="1">
      <c r="A182" s="314"/>
      <c r="B182" s="296">
        <v>43500</v>
      </c>
      <c r="C182" s="295" t="s">
        <v>451</v>
      </c>
      <c r="D182" s="294">
        <v>161.6</v>
      </c>
      <c r="E182" s="294"/>
      <c r="F182" s="294"/>
      <c r="G182" s="294">
        <v>131.6</v>
      </c>
      <c r="H182" s="294"/>
      <c r="I182" s="294"/>
      <c r="J182" s="294"/>
      <c r="K182" s="294"/>
      <c r="L182" s="294">
        <v>30</v>
      </c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313"/>
      <c r="Y182" s="313"/>
      <c r="Z182" s="313"/>
      <c r="AA182" s="313"/>
      <c r="AB182" s="313"/>
      <c r="AC182" s="313"/>
      <c r="AD182" s="313"/>
      <c r="AE182" s="313"/>
      <c r="AF182" s="313"/>
      <c r="AG182" s="312"/>
      <c r="AH182" s="312"/>
      <c r="AI182" s="312"/>
      <c r="AJ182" s="312"/>
      <c r="AK182" s="312"/>
      <c r="AL182" s="312"/>
      <c r="AM182" s="312"/>
      <c r="AN182" s="312"/>
      <c r="AO182" s="312"/>
      <c r="AP182" s="312"/>
      <c r="AQ182" s="312"/>
      <c r="AR182" s="312"/>
      <c r="AS182" s="312"/>
      <c r="AT182" s="312"/>
      <c r="AU182" s="312"/>
      <c r="AV182" s="312"/>
      <c r="AW182" s="312"/>
      <c r="AX182" s="312"/>
      <c r="AY182" s="312"/>
      <c r="AZ182" s="312"/>
      <c r="BA182" s="312"/>
      <c r="BB182" s="312"/>
      <c r="BC182" s="312"/>
    </row>
    <row r="183" spans="1:55" s="311" customFormat="1" ht="13.5" customHeight="1">
      <c r="A183" s="314"/>
      <c r="B183" s="296">
        <v>43500</v>
      </c>
      <c r="C183" s="295" t="s">
        <v>451</v>
      </c>
      <c r="D183" s="294">
        <v>75</v>
      </c>
      <c r="E183" s="294"/>
      <c r="F183" s="294"/>
      <c r="G183" s="294">
        <v>5</v>
      </c>
      <c r="H183" s="294"/>
      <c r="I183" s="294"/>
      <c r="J183" s="294"/>
      <c r="K183" s="294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313"/>
      <c r="Y183" s="313"/>
      <c r="Z183" s="313"/>
      <c r="AA183" s="313"/>
      <c r="AB183" s="313"/>
      <c r="AC183" s="313"/>
      <c r="AD183" s="313"/>
      <c r="AE183" s="313"/>
      <c r="AF183" s="313"/>
      <c r="AG183" s="312"/>
      <c r="AH183" s="312"/>
      <c r="AI183" s="312"/>
      <c r="AJ183" s="312"/>
      <c r="AK183" s="312"/>
      <c r="AL183" s="312"/>
      <c r="AM183" s="312"/>
      <c r="AN183" s="312"/>
      <c r="AO183" s="312"/>
      <c r="AP183" s="312"/>
      <c r="AQ183" s="312"/>
      <c r="AR183" s="312"/>
      <c r="AS183" s="312"/>
      <c r="AT183" s="312"/>
      <c r="AU183" s="312"/>
      <c r="AV183" s="312"/>
      <c r="AW183" s="312"/>
      <c r="AX183" s="312"/>
      <c r="AY183" s="312"/>
      <c r="AZ183" s="312"/>
      <c r="BA183" s="312"/>
      <c r="BB183" s="312"/>
      <c r="BC183" s="312"/>
    </row>
    <row r="184" spans="1:55" s="311" customFormat="1" ht="13.5" customHeight="1">
      <c r="A184" s="314"/>
      <c r="B184" s="296">
        <v>43500</v>
      </c>
      <c r="C184" s="295" t="s">
        <v>40</v>
      </c>
      <c r="D184" s="294">
        <v>122.7</v>
      </c>
      <c r="E184" s="294"/>
      <c r="F184" s="294"/>
      <c r="G184" s="294">
        <v>122.7</v>
      </c>
      <c r="H184" s="294"/>
      <c r="I184" s="294"/>
      <c r="J184" s="294"/>
      <c r="K184" s="294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4"/>
      <c r="W184" s="294"/>
      <c r="X184" s="313"/>
      <c r="Y184" s="313"/>
      <c r="Z184" s="313"/>
      <c r="AA184" s="313"/>
      <c r="AB184" s="313"/>
      <c r="AC184" s="313"/>
      <c r="AD184" s="313"/>
      <c r="AE184" s="313"/>
      <c r="AF184" s="313"/>
      <c r="AG184" s="312"/>
      <c r="AH184" s="312"/>
      <c r="AI184" s="312"/>
      <c r="AJ184" s="312"/>
      <c r="AK184" s="312"/>
      <c r="AL184" s="312"/>
      <c r="AM184" s="312"/>
      <c r="AN184" s="312"/>
      <c r="AO184" s="312"/>
      <c r="AP184" s="312"/>
      <c r="AQ184" s="312"/>
      <c r="AR184" s="312"/>
      <c r="AS184" s="312"/>
      <c r="AT184" s="312"/>
      <c r="AU184" s="312"/>
      <c r="AV184" s="312"/>
      <c r="AW184" s="312"/>
      <c r="AX184" s="312"/>
      <c r="AY184" s="312"/>
      <c r="AZ184" s="312"/>
      <c r="BA184" s="312"/>
      <c r="BB184" s="312"/>
      <c r="BC184" s="312"/>
    </row>
    <row r="185" spans="1:55" s="311" customFormat="1" ht="13.5" customHeight="1">
      <c r="A185" s="314"/>
      <c r="B185" s="296">
        <v>43500</v>
      </c>
      <c r="C185" s="295" t="s">
        <v>464</v>
      </c>
      <c r="D185" s="294">
        <v>26.79</v>
      </c>
      <c r="E185" s="294"/>
      <c r="F185" s="294"/>
      <c r="G185" s="294"/>
      <c r="H185" s="294"/>
      <c r="I185" s="294"/>
      <c r="J185" s="294"/>
      <c r="K185" s="294"/>
      <c r="L185" s="294"/>
      <c r="M185" s="294"/>
      <c r="N185" s="294"/>
      <c r="O185" s="294">
        <v>26.79</v>
      </c>
      <c r="P185" s="294"/>
      <c r="Q185" s="294"/>
      <c r="R185" s="294"/>
      <c r="S185" s="294"/>
      <c r="T185" s="294"/>
      <c r="U185" s="294"/>
      <c r="V185" s="294"/>
      <c r="W185" s="294"/>
      <c r="X185" s="313"/>
      <c r="Y185" s="313"/>
      <c r="Z185" s="313"/>
      <c r="AA185" s="313"/>
      <c r="AB185" s="313"/>
      <c r="AC185" s="313"/>
      <c r="AD185" s="313"/>
      <c r="AE185" s="313"/>
      <c r="AF185" s="313"/>
      <c r="AG185" s="312"/>
      <c r="AH185" s="312"/>
      <c r="AI185" s="312"/>
      <c r="AJ185" s="312"/>
      <c r="AK185" s="312"/>
      <c r="AL185" s="312"/>
      <c r="AM185" s="312"/>
      <c r="AN185" s="312"/>
      <c r="AO185" s="312"/>
      <c r="AP185" s="312"/>
      <c r="AQ185" s="312"/>
      <c r="AR185" s="312"/>
      <c r="AS185" s="312"/>
      <c r="AT185" s="312"/>
      <c r="AU185" s="312"/>
      <c r="AV185" s="312"/>
      <c r="AW185" s="312"/>
      <c r="AX185" s="312"/>
      <c r="AY185" s="312"/>
      <c r="AZ185" s="312"/>
      <c r="BA185" s="312"/>
      <c r="BB185" s="312"/>
      <c r="BC185" s="312"/>
    </row>
    <row r="186" spans="1:55" s="311" customFormat="1" ht="13.5" customHeight="1">
      <c r="A186" s="314"/>
      <c r="B186" s="296">
        <v>43501</v>
      </c>
      <c r="C186" s="295" t="s">
        <v>465</v>
      </c>
      <c r="D186" s="294">
        <v>8.3000000000000007</v>
      </c>
      <c r="E186" s="294"/>
      <c r="F186" s="294"/>
      <c r="G186" s="294"/>
      <c r="H186" s="294"/>
      <c r="I186" s="294">
        <v>8.3000000000000007</v>
      </c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313"/>
      <c r="Y186" s="313"/>
      <c r="Z186" s="313"/>
      <c r="AA186" s="313"/>
      <c r="AB186" s="313"/>
      <c r="AC186" s="313"/>
      <c r="AD186" s="313"/>
      <c r="AE186" s="313"/>
      <c r="AF186" s="313"/>
      <c r="AG186" s="312"/>
      <c r="AH186" s="312"/>
      <c r="AI186" s="312"/>
      <c r="AJ186" s="312"/>
      <c r="AK186" s="312"/>
      <c r="AL186" s="312"/>
      <c r="AM186" s="312"/>
      <c r="AN186" s="312"/>
      <c r="AO186" s="312"/>
      <c r="AP186" s="312"/>
      <c r="AQ186" s="312"/>
      <c r="AR186" s="312"/>
      <c r="AS186" s="312"/>
      <c r="AT186" s="312"/>
      <c r="AU186" s="312"/>
      <c r="AV186" s="312"/>
      <c r="AW186" s="312"/>
      <c r="AX186" s="312"/>
      <c r="AY186" s="312"/>
      <c r="AZ186" s="312"/>
      <c r="BA186" s="312"/>
      <c r="BB186" s="312"/>
      <c r="BC186" s="312"/>
    </row>
    <row r="187" spans="1:55" s="311" customFormat="1" ht="13.5" customHeight="1">
      <c r="A187" s="314"/>
      <c r="B187" s="296">
        <v>43501</v>
      </c>
      <c r="C187" s="295" t="s">
        <v>451</v>
      </c>
      <c r="D187" s="294">
        <v>47</v>
      </c>
      <c r="E187" s="294"/>
      <c r="F187" s="294"/>
      <c r="G187" s="294">
        <v>47</v>
      </c>
      <c r="H187" s="294"/>
      <c r="I187" s="294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313"/>
      <c r="Y187" s="313"/>
      <c r="Z187" s="313"/>
      <c r="AA187" s="313"/>
      <c r="AB187" s="313"/>
      <c r="AC187" s="313"/>
      <c r="AD187" s="313"/>
      <c r="AE187" s="313"/>
      <c r="AF187" s="313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2"/>
      <c r="AV187" s="312"/>
      <c r="AW187" s="312"/>
      <c r="AX187" s="312"/>
      <c r="AY187" s="312"/>
      <c r="AZ187" s="312"/>
      <c r="BA187" s="312"/>
      <c r="BB187" s="312"/>
      <c r="BC187" s="312"/>
    </row>
    <row r="188" spans="1:55" s="311" customFormat="1" ht="13.5" customHeight="1">
      <c r="A188" s="314"/>
      <c r="B188" s="296">
        <v>43501</v>
      </c>
      <c r="C188" s="295" t="s">
        <v>514</v>
      </c>
      <c r="D188" s="294">
        <v>99</v>
      </c>
      <c r="E188" s="294"/>
      <c r="F188" s="294"/>
      <c r="G188" s="294"/>
      <c r="H188" s="294"/>
      <c r="I188" s="294"/>
      <c r="J188" s="294"/>
      <c r="K188" s="294"/>
      <c r="L188" s="294"/>
      <c r="M188" s="294"/>
      <c r="N188" s="294"/>
      <c r="O188" s="294"/>
      <c r="P188" s="294">
        <f>D188</f>
        <v>99</v>
      </c>
      <c r="Q188" s="294"/>
      <c r="R188" s="294"/>
      <c r="S188" s="294"/>
      <c r="T188" s="294"/>
      <c r="U188" s="294"/>
      <c r="V188" s="294"/>
      <c r="W188" s="294"/>
      <c r="X188" s="313"/>
      <c r="Y188" s="313"/>
      <c r="Z188" s="313"/>
      <c r="AA188" s="313"/>
      <c r="AB188" s="313"/>
      <c r="AC188" s="313"/>
      <c r="AD188" s="313"/>
      <c r="AE188" s="313"/>
      <c r="AF188" s="313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2"/>
      <c r="AV188" s="312"/>
      <c r="AW188" s="312"/>
      <c r="AX188" s="312"/>
      <c r="AY188" s="312"/>
      <c r="AZ188" s="312"/>
      <c r="BA188" s="312"/>
      <c r="BB188" s="312"/>
      <c r="BC188" s="312"/>
    </row>
    <row r="189" spans="1:55" s="311" customFormat="1" ht="13.5" customHeight="1">
      <c r="A189" s="314"/>
      <c r="B189" s="296">
        <v>43501</v>
      </c>
      <c r="C189" s="295" t="s">
        <v>513</v>
      </c>
      <c r="D189" s="294">
        <v>99</v>
      </c>
      <c r="E189" s="294"/>
      <c r="F189" s="294"/>
      <c r="G189" s="294"/>
      <c r="H189" s="294"/>
      <c r="I189" s="294"/>
      <c r="J189" s="294"/>
      <c r="K189" s="294"/>
      <c r="L189" s="294"/>
      <c r="M189" s="294"/>
      <c r="N189" s="294"/>
      <c r="O189" s="294"/>
      <c r="P189" s="294">
        <f>D189</f>
        <v>99</v>
      </c>
      <c r="Q189" s="294"/>
      <c r="R189" s="294"/>
      <c r="S189" s="294"/>
      <c r="T189" s="294"/>
      <c r="U189" s="294"/>
      <c r="V189" s="294"/>
      <c r="W189" s="294"/>
      <c r="X189" s="313"/>
      <c r="Y189" s="313"/>
      <c r="Z189" s="313"/>
      <c r="AA189" s="313"/>
      <c r="AB189" s="313"/>
      <c r="AC189" s="313"/>
      <c r="AD189" s="313"/>
      <c r="AE189" s="313"/>
      <c r="AF189" s="313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2"/>
      <c r="AV189" s="312"/>
      <c r="AW189" s="312"/>
      <c r="AX189" s="312"/>
      <c r="AY189" s="312"/>
      <c r="AZ189" s="312"/>
      <c r="BA189" s="312"/>
      <c r="BB189" s="312"/>
      <c r="BC189" s="312"/>
    </row>
    <row r="190" spans="1:55" s="311" customFormat="1" ht="13.5" customHeight="1">
      <c r="A190" s="314"/>
      <c r="B190" s="296">
        <v>43504</v>
      </c>
      <c r="C190" s="295" t="s">
        <v>466</v>
      </c>
      <c r="D190" s="294">
        <v>80</v>
      </c>
      <c r="E190" s="294"/>
      <c r="F190" s="294"/>
      <c r="G190" s="294">
        <v>80</v>
      </c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2"/>
      <c r="AR190" s="312"/>
      <c r="AS190" s="312"/>
      <c r="AT190" s="312"/>
      <c r="AU190" s="312"/>
      <c r="AV190" s="312"/>
      <c r="AW190" s="312"/>
      <c r="AX190" s="312"/>
      <c r="AY190" s="312"/>
      <c r="AZ190" s="312"/>
      <c r="BA190" s="312"/>
      <c r="BB190" s="312"/>
      <c r="BC190" s="312"/>
    </row>
    <row r="191" spans="1:55" s="311" customFormat="1" ht="13.5" customHeight="1">
      <c r="A191" s="314"/>
      <c r="B191" s="296">
        <v>43504</v>
      </c>
      <c r="C191" s="295" t="s">
        <v>40</v>
      </c>
      <c r="D191" s="294">
        <v>19.899999999999999</v>
      </c>
      <c r="E191" s="294"/>
      <c r="F191" s="294"/>
      <c r="G191" s="294">
        <v>19.899999999999999</v>
      </c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2"/>
      <c r="AR191" s="312"/>
      <c r="AS191" s="312"/>
      <c r="AT191" s="312"/>
      <c r="AU191" s="312"/>
      <c r="AV191" s="312"/>
      <c r="AW191" s="312"/>
      <c r="AX191" s="312"/>
      <c r="AY191" s="312"/>
      <c r="AZ191" s="312"/>
      <c r="BA191" s="312"/>
      <c r="BB191" s="312"/>
      <c r="BC191" s="312"/>
    </row>
    <row r="192" spans="1:55" s="311" customFormat="1" ht="13.5" customHeight="1">
      <c r="A192" s="314"/>
      <c r="B192" s="296">
        <v>43504</v>
      </c>
      <c r="C192" s="295" t="s">
        <v>451</v>
      </c>
      <c r="D192" s="294">
        <v>19</v>
      </c>
      <c r="E192" s="294"/>
      <c r="F192" s="294"/>
      <c r="G192" s="294">
        <v>19</v>
      </c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4"/>
      <c r="W192" s="294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2"/>
      <c r="AH192" s="312"/>
      <c r="AI192" s="312"/>
      <c r="AJ192" s="312"/>
      <c r="AK192" s="312"/>
      <c r="AL192" s="312"/>
      <c r="AM192" s="312"/>
      <c r="AN192" s="312"/>
      <c r="AO192" s="312"/>
      <c r="AP192" s="312"/>
      <c r="AQ192" s="312"/>
      <c r="AR192" s="312"/>
      <c r="AS192" s="312"/>
      <c r="AT192" s="312"/>
      <c r="AU192" s="312"/>
      <c r="AV192" s="312"/>
      <c r="AW192" s="312"/>
      <c r="AX192" s="312"/>
      <c r="AY192" s="312"/>
      <c r="AZ192" s="312"/>
      <c r="BA192" s="312"/>
      <c r="BB192" s="312"/>
      <c r="BC192" s="312"/>
    </row>
    <row r="193" spans="1:55" s="311" customFormat="1" ht="13.5" customHeight="1">
      <c r="A193" s="314"/>
      <c r="B193" s="296">
        <v>43505</v>
      </c>
      <c r="C193" s="295" t="s">
        <v>474</v>
      </c>
      <c r="D193" s="294">
        <v>380</v>
      </c>
      <c r="E193" s="294"/>
      <c r="F193" s="294">
        <v>380</v>
      </c>
      <c r="G193" s="294"/>
      <c r="H193" s="294"/>
      <c r="I193" s="294"/>
      <c r="J193" s="294"/>
      <c r="K193" s="294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4"/>
      <c r="W193" s="294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2"/>
      <c r="AV193" s="312"/>
      <c r="AW193" s="312"/>
      <c r="AX193" s="312"/>
      <c r="AY193" s="312"/>
      <c r="AZ193" s="312"/>
      <c r="BA193" s="312"/>
      <c r="BB193" s="312"/>
      <c r="BC193" s="312"/>
    </row>
    <row r="194" spans="1:55" s="311" customFormat="1" ht="13.5" customHeight="1">
      <c r="A194" s="314"/>
      <c r="B194" s="296">
        <v>43505</v>
      </c>
      <c r="C194" s="295" t="s">
        <v>512</v>
      </c>
      <c r="D194" s="294">
        <v>30</v>
      </c>
      <c r="E194" s="294"/>
      <c r="F194" s="294"/>
      <c r="G194" s="294"/>
      <c r="H194" s="294"/>
      <c r="I194" s="294"/>
      <c r="J194" s="294"/>
      <c r="K194" s="294"/>
      <c r="L194" s="294"/>
      <c r="M194" s="294"/>
      <c r="N194" s="294"/>
      <c r="O194" s="294"/>
      <c r="P194" s="294"/>
      <c r="Q194" s="294"/>
      <c r="R194" s="294">
        <f>D194</f>
        <v>30</v>
      </c>
      <c r="S194" s="294"/>
      <c r="T194" s="294"/>
      <c r="U194" s="294"/>
      <c r="V194" s="294"/>
      <c r="W194" s="294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2"/>
      <c r="AH194" s="312"/>
      <c r="AI194" s="312"/>
      <c r="AJ194" s="312"/>
      <c r="AK194" s="312"/>
      <c r="AL194" s="312"/>
      <c r="AM194" s="312"/>
      <c r="AN194" s="312"/>
      <c r="AO194" s="312"/>
      <c r="AP194" s="312"/>
      <c r="AQ194" s="312"/>
      <c r="AR194" s="312"/>
      <c r="AS194" s="312"/>
      <c r="AT194" s="312"/>
      <c r="AU194" s="312"/>
      <c r="AV194" s="312"/>
      <c r="AW194" s="312"/>
      <c r="AX194" s="312"/>
      <c r="AY194" s="312"/>
      <c r="AZ194" s="312"/>
      <c r="BA194" s="312"/>
      <c r="BB194" s="312"/>
      <c r="BC194" s="312"/>
    </row>
    <row r="195" spans="1:55" s="311" customFormat="1" ht="13.5" customHeight="1">
      <c r="A195" s="314"/>
      <c r="B195" s="296">
        <v>43505</v>
      </c>
      <c r="C195" s="295" t="s">
        <v>511</v>
      </c>
      <c r="D195" s="294">
        <v>30</v>
      </c>
      <c r="E195" s="294"/>
      <c r="F195" s="294"/>
      <c r="G195" s="294"/>
      <c r="H195" s="294"/>
      <c r="I195" s="294"/>
      <c r="J195" s="294"/>
      <c r="K195" s="294"/>
      <c r="L195" s="294"/>
      <c r="M195" s="294"/>
      <c r="N195" s="294"/>
      <c r="O195" s="294"/>
      <c r="P195" s="294"/>
      <c r="Q195" s="294"/>
      <c r="R195" s="294"/>
      <c r="S195" s="294">
        <f>D195</f>
        <v>30</v>
      </c>
      <c r="T195" s="294"/>
      <c r="U195" s="294"/>
      <c r="V195" s="294"/>
      <c r="W195" s="294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  <c r="AQ195" s="312"/>
      <c r="AR195" s="312"/>
      <c r="AS195" s="312"/>
      <c r="AT195" s="312"/>
      <c r="AU195" s="312"/>
      <c r="AV195" s="312"/>
      <c r="AW195" s="312"/>
      <c r="AX195" s="312"/>
      <c r="AY195" s="312"/>
      <c r="AZ195" s="312"/>
      <c r="BA195" s="312"/>
      <c r="BB195" s="312"/>
      <c r="BC195" s="312"/>
    </row>
    <row r="196" spans="1:55" s="311" customFormat="1" ht="13.5" customHeight="1">
      <c r="A196" s="314"/>
      <c r="B196" s="296">
        <v>43506</v>
      </c>
      <c r="C196" s="295" t="s">
        <v>144</v>
      </c>
      <c r="D196" s="294">
        <v>2323.88</v>
      </c>
      <c r="E196" s="294">
        <v>2323.88</v>
      </c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4"/>
      <c r="W196" s="294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  <c r="AQ196" s="312"/>
      <c r="AR196" s="312"/>
      <c r="AS196" s="312"/>
      <c r="AT196" s="312"/>
      <c r="AU196" s="312"/>
      <c r="AV196" s="312"/>
      <c r="AW196" s="312"/>
      <c r="AX196" s="312"/>
      <c r="AY196" s="312"/>
      <c r="AZ196" s="312"/>
      <c r="BA196" s="312"/>
      <c r="BB196" s="312"/>
      <c r="BC196" s="312"/>
    </row>
    <row r="197" spans="1:55" s="311" customFormat="1" ht="13.5" customHeight="1">
      <c r="A197" s="314"/>
      <c r="B197" s="296">
        <v>43507</v>
      </c>
      <c r="C197" s="295" t="s">
        <v>451</v>
      </c>
      <c r="D197" s="294">
        <v>62</v>
      </c>
      <c r="E197" s="294"/>
      <c r="F197" s="294"/>
      <c r="G197" s="294">
        <v>52</v>
      </c>
      <c r="H197" s="294"/>
      <c r="I197" s="294"/>
      <c r="J197" s="294"/>
      <c r="K197" s="294"/>
      <c r="L197" s="294">
        <v>10</v>
      </c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2"/>
      <c r="AH197" s="312"/>
      <c r="AI197" s="312"/>
      <c r="AJ197" s="312"/>
      <c r="AK197" s="312"/>
      <c r="AL197" s="312"/>
      <c r="AM197" s="312"/>
      <c r="AN197" s="312"/>
      <c r="AO197" s="312"/>
      <c r="AP197" s="312"/>
      <c r="AQ197" s="312"/>
      <c r="AR197" s="312"/>
      <c r="AS197" s="312"/>
      <c r="AT197" s="312"/>
      <c r="AU197" s="312"/>
      <c r="AV197" s="312"/>
      <c r="AW197" s="312"/>
      <c r="AX197" s="312"/>
      <c r="AY197" s="312"/>
      <c r="AZ197" s="312"/>
      <c r="BA197" s="312"/>
      <c r="BB197" s="312"/>
      <c r="BC197" s="312"/>
    </row>
    <row r="198" spans="1:55" s="311" customFormat="1" ht="13.5" customHeight="1">
      <c r="A198" s="314"/>
      <c r="B198" s="296">
        <v>43508</v>
      </c>
      <c r="C198" s="295" t="s">
        <v>469</v>
      </c>
      <c r="D198" s="294">
        <v>60</v>
      </c>
      <c r="E198" s="294"/>
      <c r="F198" s="294"/>
      <c r="G198" s="294">
        <v>60</v>
      </c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4"/>
      <c r="W198" s="294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2"/>
      <c r="AV198" s="312"/>
      <c r="AW198" s="312"/>
      <c r="AX198" s="312"/>
      <c r="AY198" s="312"/>
      <c r="AZ198" s="312"/>
      <c r="BA198" s="312"/>
      <c r="BB198" s="312"/>
      <c r="BC198" s="312"/>
    </row>
    <row r="199" spans="1:55" s="311" customFormat="1" ht="13.5" customHeight="1">
      <c r="A199" s="314"/>
      <c r="B199" s="296">
        <v>43509</v>
      </c>
      <c r="C199" s="295" t="s">
        <v>465</v>
      </c>
      <c r="D199" s="294">
        <v>7.45</v>
      </c>
      <c r="E199" s="294"/>
      <c r="F199" s="294"/>
      <c r="G199" s="294"/>
      <c r="H199" s="294">
        <v>7.45</v>
      </c>
      <c r="I199" s="294"/>
      <c r="J199" s="294"/>
      <c r="K199" s="294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4"/>
      <c r="W199" s="294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  <c r="AR199" s="312"/>
      <c r="AS199" s="312"/>
      <c r="AT199" s="312"/>
      <c r="AU199" s="312"/>
      <c r="AV199" s="312"/>
      <c r="AW199" s="312"/>
      <c r="AX199" s="312"/>
      <c r="AY199" s="312"/>
      <c r="AZ199" s="312"/>
      <c r="BA199" s="312"/>
      <c r="BB199" s="312"/>
      <c r="BC199" s="312"/>
    </row>
    <row r="200" spans="1:55" s="311" customFormat="1" ht="13.5" customHeight="1">
      <c r="A200" s="314"/>
      <c r="B200" s="296">
        <v>43509</v>
      </c>
      <c r="C200" s="295" t="s">
        <v>451</v>
      </c>
      <c r="D200" s="294">
        <v>22.65</v>
      </c>
      <c r="E200" s="294"/>
      <c r="F200" s="294"/>
      <c r="G200" s="294">
        <v>12.65</v>
      </c>
      <c r="H200" s="294"/>
      <c r="I200" s="294"/>
      <c r="J200" s="294"/>
      <c r="K200" s="294"/>
      <c r="L200" s="294">
        <v>10</v>
      </c>
      <c r="M200" s="294"/>
      <c r="N200" s="294"/>
      <c r="O200" s="294"/>
      <c r="P200" s="294"/>
      <c r="Q200" s="294"/>
      <c r="R200" s="294"/>
      <c r="S200" s="294"/>
      <c r="T200" s="294"/>
      <c r="U200" s="294"/>
      <c r="V200" s="294"/>
      <c r="W200" s="294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  <c r="AQ200" s="312"/>
      <c r="AR200" s="312"/>
      <c r="AS200" s="312"/>
      <c r="AT200" s="312"/>
      <c r="AU200" s="312"/>
      <c r="AV200" s="312"/>
      <c r="AW200" s="312"/>
      <c r="AX200" s="312"/>
      <c r="AY200" s="312"/>
      <c r="AZ200" s="312"/>
      <c r="BA200" s="312"/>
      <c r="BB200" s="312"/>
      <c r="BC200" s="312"/>
    </row>
    <row r="201" spans="1:55" s="311" customFormat="1" ht="13.5" customHeight="1">
      <c r="A201" s="314"/>
      <c r="B201" s="296">
        <v>43510</v>
      </c>
      <c r="C201" s="295" t="s">
        <v>466</v>
      </c>
      <c r="D201" s="294">
        <v>20</v>
      </c>
      <c r="E201" s="294"/>
      <c r="F201" s="294"/>
      <c r="G201" s="294">
        <v>20</v>
      </c>
      <c r="H201" s="294"/>
      <c r="I201" s="294"/>
      <c r="J201" s="294"/>
      <c r="K201" s="294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4"/>
      <c r="W201" s="294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2"/>
      <c r="AH201" s="312"/>
      <c r="AI201" s="312"/>
      <c r="AJ201" s="312"/>
      <c r="AK201" s="312"/>
      <c r="AL201" s="312"/>
      <c r="AM201" s="312"/>
      <c r="AN201" s="312"/>
      <c r="AO201" s="312"/>
      <c r="AP201" s="312"/>
      <c r="AQ201" s="312"/>
      <c r="AR201" s="312"/>
      <c r="AS201" s="312"/>
      <c r="AT201" s="312"/>
      <c r="AU201" s="312"/>
      <c r="AV201" s="312"/>
      <c r="AW201" s="312"/>
      <c r="AX201" s="312"/>
      <c r="AY201" s="312"/>
      <c r="AZ201" s="312"/>
      <c r="BA201" s="312"/>
      <c r="BB201" s="312"/>
      <c r="BC201" s="312"/>
    </row>
    <row r="202" spans="1:55" s="311" customFormat="1" ht="13.5" customHeight="1">
      <c r="A202" s="314"/>
      <c r="B202" s="296">
        <v>43510</v>
      </c>
      <c r="C202" s="295" t="s">
        <v>510</v>
      </c>
      <c r="D202" s="294">
        <v>140</v>
      </c>
      <c r="E202" s="294"/>
      <c r="F202" s="294">
        <v>140</v>
      </c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4"/>
      <c r="W202" s="294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2"/>
      <c r="AH202" s="312"/>
      <c r="AI202" s="312"/>
      <c r="AJ202" s="312"/>
      <c r="AK202" s="312"/>
      <c r="AL202" s="312"/>
      <c r="AM202" s="312"/>
      <c r="AN202" s="312"/>
      <c r="AO202" s="312"/>
      <c r="AP202" s="312"/>
      <c r="AQ202" s="312"/>
      <c r="AR202" s="312"/>
      <c r="AS202" s="312"/>
      <c r="AT202" s="312"/>
      <c r="AU202" s="312"/>
      <c r="AV202" s="312"/>
      <c r="AW202" s="312"/>
      <c r="AX202" s="312"/>
      <c r="AY202" s="312"/>
      <c r="AZ202" s="312"/>
      <c r="BA202" s="312"/>
      <c r="BB202" s="312"/>
      <c r="BC202" s="312"/>
    </row>
    <row r="203" spans="1:55" s="311" customFormat="1" ht="13.5" customHeight="1">
      <c r="A203" s="314"/>
      <c r="B203" s="296">
        <v>43511</v>
      </c>
      <c r="C203" s="295" t="s">
        <v>451</v>
      </c>
      <c r="D203" s="294">
        <v>104</v>
      </c>
      <c r="E203" s="294"/>
      <c r="F203" s="294"/>
      <c r="G203" s="294">
        <v>104</v>
      </c>
      <c r="H203" s="294"/>
      <c r="I203" s="294"/>
      <c r="J203" s="294"/>
      <c r="K203" s="294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4"/>
      <c r="W203" s="294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2"/>
      <c r="AH203" s="312"/>
      <c r="AI203" s="312"/>
      <c r="AJ203" s="312"/>
      <c r="AK203" s="312"/>
      <c r="AL203" s="312"/>
      <c r="AM203" s="312"/>
      <c r="AN203" s="312"/>
      <c r="AO203" s="312"/>
      <c r="AP203" s="312"/>
      <c r="AQ203" s="312"/>
      <c r="AR203" s="312"/>
      <c r="AS203" s="312"/>
      <c r="AT203" s="312"/>
      <c r="AU203" s="312"/>
      <c r="AV203" s="312"/>
      <c r="AW203" s="312"/>
      <c r="AX203" s="312"/>
      <c r="AY203" s="312"/>
      <c r="AZ203" s="312"/>
      <c r="BA203" s="312"/>
      <c r="BB203" s="312"/>
      <c r="BC203" s="312"/>
    </row>
    <row r="204" spans="1:55" s="311" customFormat="1" ht="13.5" customHeight="1">
      <c r="A204" s="314"/>
      <c r="B204" s="296">
        <v>43512</v>
      </c>
      <c r="C204" s="295" t="s">
        <v>451</v>
      </c>
      <c r="D204" s="294">
        <v>92</v>
      </c>
      <c r="E204" s="294"/>
      <c r="F204" s="294"/>
      <c r="G204" s="294">
        <v>92</v>
      </c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4"/>
      <c r="W204" s="294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2"/>
      <c r="AH204" s="312"/>
      <c r="AI204" s="312"/>
      <c r="AJ204" s="312"/>
      <c r="AK204" s="312"/>
      <c r="AL204" s="312"/>
      <c r="AM204" s="312"/>
      <c r="AN204" s="312"/>
      <c r="AO204" s="312"/>
      <c r="AP204" s="312"/>
      <c r="AQ204" s="312"/>
      <c r="AR204" s="312"/>
      <c r="AS204" s="312"/>
      <c r="AT204" s="312"/>
      <c r="AU204" s="312"/>
      <c r="AV204" s="312"/>
      <c r="AW204" s="312"/>
      <c r="AX204" s="312"/>
      <c r="AY204" s="312"/>
      <c r="AZ204" s="312"/>
      <c r="BA204" s="312"/>
      <c r="BB204" s="312"/>
      <c r="BC204" s="312"/>
    </row>
    <row r="205" spans="1:55" s="311" customFormat="1" ht="13.5" customHeight="1">
      <c r="A205" s="314"/>
      <c r="B205" s="296">
        <v>43513</v>
      </c>
      <c r="C205" s="295" t="s">
        <v>178</v>
      </c>
      <c r="D205" s="294">
        <v>400</v>
      </c>
      <c r="E205" s="294"/>
      <c r="F205" s="294"/>
      <c r="G205" s="294"/>
      <c r="H205" s="294"/>
      <c r="I205" s="294"/>
      <c r="J205" s="294"/>
      <c r="K205" s="294"/>
      <c r="L205" s="294"/>
      <c r="M205" s="294"/>
      <c r="N205" s="294"/>
      <c r="O205" s="294"/>
      <c r="P205" s="294"/>
      <c r="Q205" s="294"/>
      <c r="R205" s="294"/>
      <c r="S205" s="294"/>
      <c r="T205" s="294">
        <f>D205</f>
        <v>400</v>
      </c>
      <c r="U205" s="294"/>
      <c r="V205" s="294"/>
      <c r="W205" s="294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2"/>
      <c r="AH205" s="312"/>
      <c r="AI205" s="312"/>
      <c r="AJ205" s="312"/>
      <c r="AK205" s="312"/>
      <c r="AL205" s="312"/>
      <c r="AM205" s="312"/>
      <c r="AN205" s="312"/>
      <c r="AO205" s="312"/>
      <c r="AP205" s="312"/>
      <c r="AQ205" s="312"/>
      <c r="AR205" s="312"/>
      <c r="AS205" s="312"/>
      <c r="AT205" s="312"/>
      <c r="AU205" s="312"/>
      <c r="AV205" s="312"/>
      <c r="AW205" s="312"/>
      <c r="AX205" s="312"/>
      <c r="AY205" s="312"/>
      <c r="AZ205" s="312"/>
      <c r="BA205" s="312"/>
      <c r="BB205" s="312"/>
      <c r="BC205" s="312"/>
    </row>
    <row r="206" spans="1:55" s="311" customFormat="1" ht="13.5" customHeight="1">
      <c r="A206" s="314"/>
      <c r="B206" s="296">
        <v>43514</v>
      </c>
      <c r="C206" s="295" t="s">
        <v>451</v>
      </c>
      <c r="D206" s="294">
        <v>83.5</v>
      </c>
      <c r="E206" s="294"/>
      <c r="F206" s="294"/>
      <c r="G206" s="294">
        <v>47.5</v>
      </c>
      <c r="H206" s="294"/>
      <c r="I206" s="294"/>
      <c r="J206" s="294"/>
      <c r="K206" s="294">
        <v>36</v>
      </c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2"/>
      <c r="AH206" s="312"/>
      <c r="AI206" s="312"/>
      <c r="AJ206" s="312"/>
      <c r="AK206" s="312"/>
      <c r="AL206" s="312"/>
      <c r="AM206" s="312"/>
      <c r="AN206" s="312"/>
      <c r="AO206" s="312"/>
      <c r="AP206" s="312"/>
      <c r="AQ206" s="312"/>
      <c r="AR206" s="312"/>
      <c r="AS206" s="312"/>
      <c r="AT206" s="312"/>
      <c r="AU206" s="312"/>
      <c r="AV206" s="312"/>
      <c r="AW206" s="312"/>
      <c r="AX206" s="312"/>
      <c r="AY206" s="312"/>
      <c r="AZ206" s="312"/>
      <c r="BA206" s="312"/>
      <c r="BB206" s="312"/>
      <c r="BC206" s="312"/>
    </row>
    <row r="207" spans="1:55" s="311" customFormat="1" ht="13.5" customHeight="1">
      <c r="A207" s="314"/>
      <c r="B207" s="296">
        <v>43514</v>
      </c>
      <c r="C207" s="295" t="s">
        <v>469</v>
      </c>
      <c r="D207" s="294">
        <v>84</v>
      </c>
      <c r="E207" s="294"/>
      <c r="F207" s="294"/>
      <c r="G207" s="294">
        <v>84</v>
      </c>
      <c r="H207" s="294"/>
      <c r="I207" s="294"/>
      <c r="J207" s="294"/>
      <c r="K207" s="294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2"/>
      <c r="AH207" s="312"/>
      <c r="AI207" s="312"/>
      <c r="AJ207" s="312"/>
      <c r="AK207" s="312"/>
      <c r="AL207" s="312"/>
      <c r="AM207" s="312"/>
      <c r="AN207" s="312"/>
      <c r="AO207" s="312"/>
      <c r="AP207" s="312"/>
      <c r="AQ207" s="312"/>
      <c r="AR207" s="312"/>
      <c r="AS207" s="312"/>
      <c r="AT207" s="312"/>
      <c r="AU207" s="312"/>
      <c r="AV207" s="312"/>
      <c r="AW207" s="312"/>
      <c r="AX207" s="312"/>
      <c r="AY207" s="312"/>
      <c r="AZ207" s="312"/>
      <c r="BA207" s="312"/>
      <c r="BB207" s="312"/>
      <c r="BC207" s="312"/>
    </row>
    <row r="208" spans="1:55" s="311" customFormat="1" ht="13.5" customHeight="1">
      <c r="A208" s="314"/>
      <c r="B208" s="296">
        <v>43514</v>
      </c>
      <c r="C208" s="295" t="s">
        <v>451</v>
      </c>
      <c r="D208" s="294">
        <v>56</v>
      </c>
      <c r="E208" s="294"/>
      <c r="F208" s="294"/>
      <c r="G208" s="294">
        <v>10</v>
      </c>
      <c r="H208" s="294"/>
      <c r="I208" s="294"/>
      <c r="J208" s="294"/>
      <c r="K208" s="294">
        <v>36</v>
      </c>
      <c r="L208" s="294">
        <v>10</v>
      </c>
      <c r="M208" s="294"/>
      <c r="N208" s="294"/>
      <c r="O208" s="294"/>
      <c r="P208" s="294"/>
      <c r="Q208" s="294"/>
      <c r="R208" s="294"/>
      <c r="S208" s="294"/>
      <c r="T208" s="294"/>
      <c r="U208" s="294"/>
      <c r="V208" s="294"/>
      <c r="W208" s="294"/>
      <c r="X208" s="313"/>
      <c r="Y208" s="313"/>
      <c r="Z208" s="313"/>
      <c r="AA208" s="313"/>
      <c r="AB208" s="313"/>
      <c r="AC208" s="313"/>
      <c r="AD208" s="313"/>
      <c r="AE208" s="313"/>
      <c r="AF208" s="313"/>
      <c r="AG208" s="312"/>
      <c r="AH208" s="312"/>
      <c r="AI208" s="312"/>
      <c r="AJ208" s="312"/>
      <c r="AK208" s="312"/>
      <c r="AL208" s="312"/>
      <c r="AM208" s="312"/>
      <c r="AN208" s="312"/>
      <c r="AO208" s="312"/>
      <c r="AP208" s="312"/>
      <c r="AQ208" s="312"/>
      <c r="AR208" s="312"/>
      <c r="AS208" s="312"/>
      <c r="AT208" s="312"/>
      <c r="AU208" s="312"/>
      <c r="AV208" s="312"/>
      <c r="AW208" s="312"/>
      <c r="AX208" s="312"/>
      <c r="AY208" s="312"/>
      <c r="AZ208" s="312"/>
      <c r="BA208" s="312"/>
      <c r="BB208" s="312"/>
      <c r="BC208" s="312"/>
    </row>
    <row r="209" spans="1:55" s="311" customFormat="1" ht="13.5" customHeight="1">
      <c r="A209" s="314"/>
      <c r="B209" s="296">
        <v>43514</v>
      </c>
      <c r="C209" s="295" t="s">
        <v>465</v>
      </c>
      <c r="D209" s="294">
        <v>44.45</v>
      </c>
      <c r="E209" s="294"/>
      <c r="F209" s="294"/>
      <c r="G209" s="294"/>
      <c r="H209" s="294">
        <v>44.45</v>
      </c>
      <c r="I209" s="294"/>
      <c r="J209" s="294"/>
      <c r="K209" s="294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4"/>
      <c r="W209" s="294"/>
      <c r="X209" s="313"/>
      <c r="Y209" s="313"/>
      <c r="Z209" s="313"/>
      <c r="AA209" s="313"/>
      <c r="AB209" s="313"/>
      <c r="AC209" s="313"/>
      <c r="AD209" s="313"/>
      <c r="AE209" s="313"/>
      <c r="AF209" s="313"/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  <c r="AQ209" s="312"/>
      <c r="AR209" s="312"/>
      <c r="AS209" s="312"/>
      <c r="AT209" s="312"/>
      <c r="AU209" s="312"/>
      <c r="AV209" s="312"/>
      <c r="AW209" s="312"/>
      <c r="AX209" s="312"/>
      <c r="AY209" s="312"/>
      <c r="AZ209" s="312"/>
      <c r="BA209" s="312"/>
      <c r="BB209" s="312"/>
      <c r="BC209" s="312"/>
    </row>
    <row r="210" spans="1:55" s="311" customFormat="1" ht="13.5" customHeight="1">
      <c r="A210" s="314"/>
      <c r="B210" s="296">
        <v>43514</v>
      </c>
      <c r="C210" s="295" t="s">
        <v>40</v>
      </c>
      <c r="D210" s="294">
        <v>36.950000000000003</v>
      </c>
      <c r="E210" s="294"/>
      <c r="F210" s="294"/>
      <c r="G210" s="294">
        <v>36.950000000000003</v>
      </c>
      <c r="H210" s="294"/>
      <c r="I210" s="294"/>
      <c r="J210" s="294"/>
      <c r="K210" s="294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4"/>
      <c r="W210" s="294"/>
      <c r="X210" s="313"/>
      <c r="Y210" s="313"/>
      <c r="Z210" s="313"/>
      <c r="AA210" s="313"/>
      <c r="AB210" s="313"/>
      <c r="AC210" s="313"/>
      <c r="AD210" s="313"/>
      <c r="AE210" s="313"/>
      <c r="AF210" s="313"/>
      <c r="AG210" s="312"/>
      <c r="AH210" s="312"/>
      <c r="AI210" s="312"/>
      <c r="AJ210" s="312"/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2"/>
      <c r="AV210" s="312"/>
      <c r="AW210" s="312"/>
      <c r="AX210" s="312"/>
      <c r="AY210" s="312"/>
      <c r="AZ210" s="312"/>
      <c r="BA210" s="312"/>
      <c r="BB210" s="312"/>
      <c r="BC210" s="312"/>
    </row>
    <row r="211" spans="1:55" s="311" customFormat="1" ht="13.5" customHeight="1">
      <c r="A211" s="314"/>
      <c r="B211" s="296">
        <v>43516</v>
      </c>
      <c r="C211" s="295" t="s">
        <v>451</v>
      </c>
      <c r="D211" s="294">
        <v>145.5</v>
      </c>
      <c r="E211" s="294"/>
      <c r="F211" s="294"/>
      <c r="G211" s="294">
        <v>109.5</v>
      </c>
      <c r="H211" s="294"/>
      <c r="I211" s="294"/>
      <c r="J211" s="294"/>
      <c r="K211" s="294">
        <v>36</v>
      </c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313"/>
      <c r="Y211" s="313"/>
      <c r="Z211" s="313"/>
      <c r="AA211" s="313"/>
      <c r="AB211" s="313"/>
      <c r="AC211" s="313"/>
      <c r="AD211" s="313"/>
      <c r="AE211" s="313"/>
      <c r="AF211" s="313"/>
      <c r="AG211" s="312"/>
      <c r="AH211" s="312"/>
      <c r="AI211" s="312"/>
      <c r="AJ211" s="312"/>
      <c r="AK211" s="312"/>
      <c r="AL211" s="312"/>
      <c r="AM211" s="312"/>
      <c r="AN211" s="312"/>
      <c r="AO211" s="312"/>
      <c r="AP211" s="312"/>
      <c r="AQ211" s="312"/>
      <c r="AR211" s="312"/>
      <c r="AS211" s="312"/>
      <c r="AT211" s="312"/>
      <c r="AU211" s="312"/>
      <c r="AV211" s="312"/>
      <c r="AW211" s="312"/>
      <c r="AX211" s="312"/>
      <c r="AY211" s="312"/>
      <c r="AZ211" s="312"/>
      <c r="BA211" s="312"/>
      <c r="BB211" s="312"/>
      <c r="BC211" s="312"/>
    </row>
    <row r="212" spans="1:55" s="311" customFormat="1" ht="13.5" customHeight="1">
      <c r="A212" s="314"/>
      <c r="B212" s="296">
        <v>43516</v>
      </c>
      <c r="C212" s="295" t="s">
        <v>40</v>
      </c>
      <c r="D212" s="294">
        <v>99</v>
      </c>
      <c r="E212" s="294"/>
      <c r="F212" s="294"/>
      <c r="G212" s="294">
        <v>27</v>
      </c>
      <c r="H212" s="294"/>
      <c r="I212" s="294"/>
      <c r="J212" s="294"/>
      <c r="K212" s="294"/>
      <c r="L212" s="294">
        <v>72</v>
      </c>
      <c r="M212" s="294"/>
      <c r="N212" s="294"/>
      <c r="O212" s="294"/>
      <c r="P212" s="294"/>
      <c r="Q212" s="294"/>
      <c r="R212" s="294"/>
      <c r="S212" s="294"/>
      <c r="T212" s="294"/>
      <c r="U212" s="294"/>
      <c r="V212" s="294"/>
      <c r="W212" s="294"/>
      <c r="X212" s="313"/>
      <c r="Y212" s="313"/>
      <c r="Z212" s="313"/>
      <c r="AA212" s="313"/>
      <c r="AB212" s="313"/>
      <c r="AC212" s="313"/>
      <c r="AD212" s="313"/>
      <c r="AE212" s="313"/>
      <c r="AF212" s="313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2"/>
      <c r="AV212" s="312"/>
      <c r="AW212" s="312"/>
      <c r="AX212" s="312"/>
      <c r="AY212" s="312"/>
      <c r="AZ212" s="312"/>
      <c r="BA212" s="312"/>
      <c r="BB212" s="312"/>
      <c r="BC212" s="312"/>
    </row>
    <row r="213" spans="1:55" s="311" customFormat="1" ht="13.5" customHeight="1">
      <c r="A213" s="314"/>
      <c r="B213" s="296">
        <v>43516</v>
      </c>
      <c r="C213" s="295" t="s">
        <v>466</v>
      </c>
      <c r="D213" s="294">
        <v>45</v>
      </c>
      <c r="E213" s="294"/>
      <c r="F213" s="294"/>
      <c r="G213" s="294">
        <v>45</v>
      </c>
      <c r="H213" s="294"/>
      <c r="I213" s="294"/>
      <c r="J213" s="294"/>
      <c r="K213" s="294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4"/>
      <c r="W213" s="294"/>
      <c r="X213" s="313"/>
      <c r="Y213" s="313"/>
      <c r="Z213" s="313"/>
      <c r="AA213" s="313"/>
      <c r="AB213" s="313"/>
      <c r="AC213" s="313"/>
      <c r="AD213" s="313"/>
      <c r="AE213" s="313"/>
      <c r="AF213" s="313"/>
      <c r="AG213" s="312"/>
      <c r="AH213" s="312"/>
      <c r="AI213" s="312"/>
      <c r="AJ213" s="312"/>
      <c r="AK213" s="312"/>
      <c r="AL213" s="312"/>
      <c r="AM213" s="312"/>
      <c r="AN213" s="312"/>
      <c r="AO213" s="312"/>
      <c r="AP213" s="312"/>
      <c r="AQ213" s="312"/>
      <c r="AR213" s="312"/>
      <c r="AS213" s="312"/>
      <c r="AT213" s="312"/>
      <c r="AU213" s="312"/>
      <c r="AV213" s="312"/>
      <c r="AW213" s="312"/>
      <c r="AX213" s="312"/>
      <c r="AY213" s="312"/>
      <c r="AZ213" s="312"/>
      <c r="BA213" s="312"/>
      <c r="BB213" s="312"/>
      <c r="BC213" s="312"/>
    </row>
    <row r="214" spans="1:55" s="311" customFormat="1" ht="13.5" customHeight="1">
      <c r="A214" s="314"/>
      <c r="B214" s="296">
        <v>43518</v>
      </c>
      <c r="C214" s="295" t="s">
        <v>451</v>
      </c>
      <c r="D214" s="294">
        <v>72.5</v>
      </c>
      <c r="E214" s="294"/>
      <c r="F214" s="294"/>
      <c r="G214" s="294">
        <v>44.5</v>
      </c>
      <c r="H214" s="294"/>
      <c r="I214" s="294"/>
      <c r="J214" s="294"/>
      <c r="K214" s="294">
        <v>18</v>
      </c>
      <c r="L214" s="294">
        <v>10</v>
      </c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313"/>
      <c r="Y214" s="313"/>
      <c r="Z214" s="313"/>
      <c r="AA214" s="313"/>
      <c r="AB214" s="313"/>
      <c r="AC214" s="313"/>
      <c r="AD214" s="313"/>
      <c r="AE214" s="313"/>
      <c r="AF214" s="313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2"/>
      <c r="AV214" s="312"/>
      <c r="AW214" s="312"/>
      <c r="AX214" s="312"/>
      <c r="AY214" s="312"/>
      <c r="AZ214" s="312"/>
      <c r="BA214" s="312"/>
      <c r="BB214" s="312"/>
      <c r="BC214" s="312"/>
    </row>
    <row r="215" spans="1:55" s="311" customFormat="1" ht="13.5" customHeight="1">
      <c r="A215" s="314"/>
      <c r="B215" s="296">
        <v>43519</v>
      </c>
      <c r="C215" s="295" t="s">
        <v>451</v>
      </c>
      <c r="D215" s="294">
        <v>65</v>
      </c>
      <c r="E215" s="294"/>
      <c r="F215" s="294"/>
      <c r="G215" s="294">
        <v>19</v>
      </c>
      <c r="H215" s="294"/>
      <c r="I215" s="294"/>
      <c r="J215" s="294"/>
      <c r="K215" s="294">
        <v>36</v>
      </c>
      <c r="L215" s="294">
        <v>10</v>
      </c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313"/>
      <c r="Y215" s="313"/>
      <c r="Z215" s="313"/>
      <c r="AA215" s="313"/>
      <c r="AB215" s="313"/>
      <c r="AC215" s="313"/>
      <c r="AD215" s="313"/>
      <c r="AE215" s="313"/>
      <c r="AF215" s="313"/>
      <c r="AG215" s="312"/>
      <c r="AH215" s="312"/>
      <c r="AI215" s="312"/>
      <c r="AJ215" s="312"/>
      <c r="AK215" s="312"/>
      <c r="AL215" s="312"/>
      <c r="AM215" s="312"/>
      <c r="AN215" s="312"/>
      <c r="AO215" s="312"/>
      <c r="AP215" s="312"/>
      <c r="AQ215" s="312"/>
      <c r="AR215" s="312"/>
      <c r="AS215" s="312"/>
      <c r="AT215" s="312"/>
      <c r="AU215" s="312"/>
      <c r="AV215" s="312"/>
      <c r="AW215" s="312"/>
      <c r="AX215" s="312"/>
      <c r="AY215" s="312"/>
      <c r="AZ215" s="312"/>
      <c r="BA215" s="312"/>
      <c r="BB215" s="312"/>
      <c r="BC215" s="312"/>
    </row>
    <row r="216" spans="1:55" s="311" customFormat="1" ht="13.5" customHeight="1">
      <c r="A216" s="314"/>
      <c r="B216" s="296">
        <v>43519</v>
      </c>
      <c r="C216" s="295" t="s">
        <v>40</v>
      </c>
      <c r="D216" s="294">
        <v>56</v>
      </c>
      <c r="E216" s="294"/>
      <c r="F216" s="294"/>
      <c r="G216" s="294">
        <v>16</v>
      </c>
      <c r="H216" s="294"/>
      <c r="I216" s="294"/>
      <c r="J216" s="294"/>
      <c r="K216" s="294"/>
      <c r="L216" s="294">
        <v>40</v>
      </c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2"/>
      <c r="AH216" s="312"/>
      <c r="AI216" s="312"/>
      <c r="AJ216" s="312"/>
      <c r="AK216" s="312"/>
      <c r="AL216" s="312"/>
      <c r="AM216" s="312"/>
      <c r="AN216" s="312"/>
      <c r="AO216" s="312"/>
      <c r="AP216" s="312"/>
      <c r="AQ216" s="312"/>
      <c r="AR216" s="312"/>
      <c r="AS216" s="312"/>
      <c r="AT216" s="312"/>
      <c r="AU216" s="312"/>
      <c r="AV216" s="312"/>
      <c r="AW216" s="312"/>
      <c r="AX216" s="312"/>
      <c r="AY216" s="312"/>
      <c r="AZ216" s="312"/>
      <c r="BA216" s="312"/>
      <c r="BB216" s="312"/>
      <c r="BC216" s="312"/>
    </row>
    <row r="217" spans="1:55" s="311" customFormat="1" ht="13.5" customHeight="1">
      <c r="A217" s="314"/>
      <c r="B217" s="296">
        <v>43519</v>
      </c>
      <c r="C217" s="295" t="s">
        <v>12</v>
      </c>
      <c r="D217" s="294">
        <v>400</v>
      </c>
      <c r="E217" s="294"/>
      <c r="F217" s="294"/>
      <c r="G217" s="294"/>
      <c r="H217" s="294"/>
      <c r="I217" s="294"/>
      <c r="J217" s="294"/>
      <c r="K217" s="294"/>
      <c r="L217" s="294"/>
      <c r="M217" s="294"/>
      <c r="N217" s="294"/>
      <c r="O217" s="294"/>
      <c r="P217" s="294"/>
      <c r="Q217" s="294"/>
      <c r="R217" s="294"/>
      <c r="S217" s="294"/>
      <c r="T217" s="294">
        <f>D217</f>
        <v>400</v>
      </c>
      <c r="U217" s="294"/>
      <c r="V217" s="294"/>
      <c r="W217" s="294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2"/>
      <c r="AH217" s="312"/>
      <c r="AI217" s="312"/>
      <c r="AJ217" s="312"/>
      <c r="AK217" s="312"/>
      <c r="AL217" s="312"/>
      <c r="AM217" s="312"/>
      <c r="AN217" s="312"/>
      <c r="AO217" s="312"/>
      <c r="AP217" s="312"/>
      <c r="AQ217" s="312"/>
      <c r="AR217" s="312"/>
      <c r="AS217" s="312"/>
      <c r="AT217" s="312"/>
      <c r="AU217" s="312"/>
      <c r="AV217" s="312"/>
      <c r="AW217" s="312"/>
      <c r="AX217" s="312"/>
      <c r="AY217" s="312"/>
      <c r="AZ217" s="312"/>
      <c r="BA217" s="312"/>
      <c r="BB217" s="312"/>
      <c r="BC217" s="312"/>
    </row>
    <row r="218" spans="1:55" s="311" customFormat="1" ht="13.5" customHeight="1">
      <c r="A218" s="314"/>
      <c r="B218" s="296">
        <v>43521</v>
      </c>
      <c r="C218" s="295" t="s">
        <v>451</v>
      </c>
      <c r="D218" s="294">
        <v>79</v>
      </c>
      <c r="E218" s="294"/>
      <c r="F218" s="294"/>
      <c r="G218" s="294">
        <v>79</v>
      </c>
      <c r="H218" s="294"/>
      <c r="I218" s="294"/>
      <c r="J218" s="294"/>
      <c r="K218" s="294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4"/>
      <c r="W218" s="294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2"/>
      <c r="AH218" s="312"/>
      <c r="AI218" s="312"/>
      <c r="AJ218" s="312"/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312"/>
      <c r="AU218" s="312"/>
      <c r="AV218" s="312"/>
      <c r="AW218" s="312"/>
      <c r="AX218" s="312"/>
      <c r="AY218" s="312"/>
      <c r="AZ218" s="312"/>
      <c r="BA218" s="312"/>
      <c r="BB218" s="312"/>
      <c r="BC218" s="312"/>
    </row>
    <row r="219" spans="1:55" s="311" customFormat="1" ht="13.5" customHeight="1">
      <c r="A219" s="314"/>
      <c r="B219" s="296">
        <v>43521</v>
      </c>
      <c r="C219" s="295" t="s">
        <v>509</v>
      </c>
      <c r="D219" s="294">
        <v>30</v>
      </c>
      <c r="E219" s="294"/>
      <c r="F219" s="294"/>
      <c r="G219" s="294"/>
      <c r="H219" s="294"/>
      <c r="I219" s="294"/>
      <c r="J219" s="294"/>
      <c r="K219" s="294"/>
      <c r="L219" s="294"/>
      <c r="M219" s="294"/>
      <c r="N219" s="294"/>
      <c r="O219" s="294"/>
      <c r="P219" s="294"/>
      <c r="Q219" s="294"/>
      <c r="R219" s="294">
        <f>D219</f>
        <v>30</v>
      </c>
      <c r="S219" s="294"/>
      <c r="T219" s="294"/>
      <c r="U219" s="294"/>
      <c r="V219" s="294"/>
      <c r="W219" s="294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  <c r="AQ219" s="312"/>
      <c r="AR219" s="312"/>
      <c r="AS219" s="312"/>
      <c r="AT219" s="312"/>
      <c r="AU219" s="312"/>
      <c r="AV219" s="312"/>
      <c r="AW219" s="312"/>
      <c r="AX219" s="312"/>
      <c r="AY219" s="312"/>
      <c r="AZ219" s="312"/>
      <c r="BA219" s="312"/>
      <c r="BB219" s="312"/>
      <c r="BC219" s="312"/>
    </row>
    <row r="220" spans="1:55" s="311" customFormat="1" ht="13.5" customHeight="1">
      <c r="A220" s="314"/>
      <c r="B220" s="296">
        <v>43521</v>
      </c>
      <c r="C220" s="295" t="s">
        <v>508</v>
      </c>
      <c r="D220" s="294">
        <v>30</v>
      </c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>
        <f>D220</f>
        <v>30</v>
      </c>
      <c r="T220" s="294"/>
      <c r="U220" s="294"/>
      <c r="V220" s="294"/>
      <c r="W220" s="294"/>
      <c r="X220" s="313"/>
      <c r="Y220" s="313"/>
      <c r="Z220" s="313"/>
      <c r="AA220" s="313"/>
      <c r="AB220" s="313"/>
      <c r="AC220" s="313"/>
      <c r="AD220" s="313"/>
      <c r="AE220" s="313"/>
      <c r="AF220" s="313"/>
      <c r="AG220" s="312"/>
      <c r="AH220" s="312"/>
      <c r="AI220" s="312"/>
      <c r="AJ220" s="312"/>
      <c r="AK220" s="312"/>
      <c r="AL220" s="312"/>
      <c r="AM220" s="312"/>
      <c r="AN220" s="312"/>
      <c r="AO220" s="312"/>
      <c r="AP220" s="312"/>
      <c r="AQ220" s="312"/>
      <c r="AR220" s="312"/>
      <c r="AS220" s="312"/>
      <c r="AT220" s="312"/>
      <c r="AU220" s="312"/>
      <c r="AV220" s="312"/>
      <c r="AW220" s="312"/>
      <c r="AX220" s="312"/>
      <c r="AY220" s="312"/>
      <c r="AZ220" s="312"/>
      <c r="BA220" s="312"/>
      <c r="BB220" s="312"/>
      <c r="BC220" s="312"/>
    </row>
    <row r="221" spans="1:55" s="311" customFormat="1" ht="13.5" customHeight="1">
      <c r="A221" s="314"/>
      <c r="B221" s="296">
        <v>43523</v>
      </c>
      <c r="C221" s="295" t="s">
        <v>451</v>
      </c>
      <c r="D221" s="294">
        <v>67</v>
      </c>
      <c r="E221" s="294"/>
      <c r="F221" s="294"/>
      <c r="G221" s="294">
        <v>67</v>
      </c>
      <c r="H221" s="294"/>
      <c r="I221" s="294"/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4"/>
      <c r="W221" s="294"/>
      <c r="X221" s="313"/>
      <c r="Y221" s="313"/>
      <c r="Z221" s="313"/>
      <c r="AA221" s="313"/>
      <c r="AB221" s="313"/>
      <c r="AC221" s="313"/>
      <c r="AD221" s="313"/>
      <c r="AE221" s="313"/>
      <c r="AF221" s="313"/>
      <c r="AG221" s="312"/>
      <c r="AH221" s="312"/>
      <c r="AI221" s="312"/>
      <c r="AJ221" s="312"/>
      <c r="AK221" s="312"/>
      <c r="AL221" s="312"/>
      <c r="AM221" s="312"/>
      <c r="AN221" s="312"/>
      <c r="AO221" s="312"/>
      <c r="AP221" s="312"/>
      <c r="AQ221" s="312"/>
      <c r="AR221" s="312"/>
      <c r="AS221" s="312"/>
      <c r="AT221" s="312"/>
      <c r="AU221" s="312"/>
      <c r="AV221" s="312"/>
      <c r="AW221" s="312"/>
      <c r="AX221" s="312"/>
      <c r="AY221" s="312"/>
      <c r="AZ221" s="312"/>
      <c r="BA221" s="312"/>
      <c r="BB221" s="312"/>
      <c r="BC221" s="312"/>
    </row>
    <row r="222" spans="1:55" s="311" customFormat="1" ht="13.5" customHeight="1">
      <c r="A222" s="314"/>
      <c r="B222" s="296">
        <v>43523</v>
      </c>
      <c r="C222" s="295" t="s">
        <v>40</v>
      </c>
      <c r="D222" s="294">
        <v>60</v>
      </c>
      <c r="E222" s="294"/>
      <c r="F222" s="294"/>
      <c r="G222" s="294"/>
      <c r="H222" s="294"/>
      <c r="I222" s="294"/>
      <c r="J222" s="294"/>
      <c r="K222" s="294"/>
      <c r="L222" s="294">
        <v>60</v>
      </c>
      <c r="M222" s="294"/>
      <c r="N222" s="294"/>
      <c r="O222" s="294"/>
      <c r="P222" s="294"/>
      <c r="Q222" s="294"/>
      <c r="R222" s="294"/>
      <c r="S222" s="294"/>
      <c r="T222" s="294"/>
      <c r="U222" s="294"/>
      <c r="V222" s="294"/>
      <c r="W222" s="294"/>
      <c r="X222" s="313"/>
      <c r="Y222" s="313"/>
      <c r="Z222" s="313"/>
      <c r="AA222" s="313"/>
      <c r="AB222" s="313"/>
      <c r="AC222" s="313"/>
      <c r="AD222" s="313"/>
      <c r="AE222" s="313"/>
      <c r="AF222" s="313"/>
      <c r="AG222" s="312"/>
      <c r="AH222" s="312"/>
      <c r="AI222" s="312"/>
      <c r="AJ222" s="312"/>
      <c r="AK222" s="312"/>
      <c r="AL222" s="312"/>
      <c r="AM222" s="312"/>
      <c r="AN222" s="312"/>
      <c r="AO222" s="312"/>
      <c r="AP222" s="312"/>
      <c r="AQ222" s="312"/>
      <c r="AR222" s="312"/>
      <c r="AS222" s="312"/>
      <c r="AT222" s="312"/>
      <c r="AU222" s="312"/>
      <c r="AV222" s="312"/>
      <c r="AW222" s="312"/>
      <c r="AX222" s="312"/>
      <c r="AY222" s="312"/>
      <c r="AZ222" s="312"/>
      <c r="BA222" s="312"/>
      <c r="BB222" s="312"/>
      <c r="BC222" s="312"/>
    </row>
    <row r="223" spans="1:55" s="311" customFormat="1" ht="13.5" customHeight="1">
      <c r="A223" s="314"/>
      <c r="B223" s="296">
        <v>43523</v>
      </c>
      <c r="C223" s="295" t="s">
        <v>451</v>
      </c>
      <c r="D223" s="294">
        <v>24</v>
      </c>
      <c r="E223" s="294"/>
      <c r="F223" s="294"/>
      <c r="G223" s="294">
        <v>24</v>
      </c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4"/>
      <c r="W223" s="294"/>
      <c r="X223" s="313"/>
      <c r="Y223" s="313"/>
      <c r="Z223" s="313"/>
      <c r="AA223" s="313"/>
      <c r="AB223" s="313"/>
      <c r="AC223" s="313"/>
      <c r="AD223" s="313"/>
      <c r="AE223" s="313"/>
      <c r="AF223" s="313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  <c r="AQ223" s="312"/>
      <c r="AR223" s="312"/>
      <c r="AS223" s="312"/>
      <c r="AT223" s="312"/>
      <c r="AU223" s="312"/>
      <c r="AV223" s="312"/>
      <c r="AW223" s="312"/>
      <c r="AX223" s="312"/>
      <c r="AY223" s="312"/>
      <c r="AZ223" s="312"/>
      <c r="BA223" s="312"/>
      <c r="BB223" s="312"/>
      <c r="BC223" s="312"/>
    </row>
    <row r="224" spans="1:55" s="311" customFormat="1" ht="13.5" customHeight="1">
      <c r="A224" s="314"/>
      <c r="B224" s="296">
        <v>43523</v>
      </c>
      <c r="C224" s="295" t="s">
        <v>40</v>
      </c>
      <c r="D224" s="294">
        <v>36</v>
      </c>
      <c r="E224" s="294"/>
      <c r="F224" s="294"/>
      <c r="G224" s="294">
        <v>10</v>
      </c>
      <c r="H224" s="294"/>
      <c r="I224" s="294"/>
      <c r="J224" s="294"/>
      <c r="K224" s="294"/>
      <c r="L224" s="294">
        <v>46</v>
      </c>
      <c r="M224" s="294"/>
      <c r="N224" s="294"/>
      <c r="O224" s="294"/>
      <c r="P224" s="294"/>
      <c r="Q224" s="294"/>
      <c r="R224" s="294"/>
      <c r="S224" s="294"/>
      <c r="T224" s="294"/>
      <c r="U224" s="294"/>
      <c r="V224" s="294"/>
      <c r="W224" s="294"/>
      <c r="X224" s="313"/>
      <c r="Y224" s="313"/>
      <c r="Z224" s="313"/>
      <c r="AA224" s="313"/>
      <c r="AB224" s="313"/>
      <c r="AC224" s="313"/>
      <c r="AD224" s="313"/>
      <c r="AE224" s="313"/>
      <c r="AF224" s="313"/>
      <c r="AG224" s="312"/>
      <c r="AH224" s="312"/>
      <c r="AI224" s="312"/>
      <c r="AJ224" s="312"/>
      <c r="AK224" s="312"/>
      <c r="AL224" s="312"/>
      <c r="AM224" s="312"/>
      <c r="AN224" s="312"/>
      <c r="AO224" s="312"/>
      <c r="AP224" s="312"/>
      <c r="AQ224" s="312"/>
      <c r="AR224" s="312"/>
      <c r="AS224" s="312"/>
      <c r="AT224" s="312"/>
      <c r="AU224" s="312"/>
      <c r="AV224" s="312"/>
      <c r="AW224" s="312"/>
      <c r="AX224" s="312"/>
      <c r="AY224" s="312"/>
      <c r="AZ224" s="312"/>
      <c r="BA224" s="312"/>
      <c r="BB224" s="312"/>
      <c r="BC224" s="312"/>
    </row>
    <row r="225" spans="1:55" s="311" customFormat="1" ht="13.5" customHeight="1">
      <c r="A225" s="314"/>
      <c r="B225" s="296">
        <v>43524</v>
      </c>
      <c r="C225" s="295" t="s">
        <v>428</v>
      </c>
      <c r="D225" s="294">
        <v>527.71</v>
      </c>
      <c r="E225" s="294"/>
      <c r="F225" s="294">
        <f>D225</f>
        <v>527.71</v>
      </c>
      <c r="G225" s="294"/>
      <c r="H225" s="294"/>
      <c r="I225" s="294"/>
      <c r="J225" s="294"/>
      <c r="K225" s="294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4"/>
      <c r="W225" s="294"/>
      <c r="X225" s="313"/>
      <c r="Y225" s="313"/>
      <c r="Z225" s="313"/>
      <c r="AA225" s="313"/>
      <c r="AB225" s="313"/>
      <c r="AC225" s="313"/>
      <c r="AD225" s="313"/>
      <c r="AE225" s="313"/>
      <c r="AF225" s="313"/>
      <c r="AG225" s="312"/>
      <c r="AH225" s="312"/>
      <c r="AI225" s="312"/>
      <c r="AJ225" s="312"/>
      <c r="AK225" s="312"/>
      <c r="AL225" s="312"/>
      <c r="AM225" s="312"/>
      <c r="AN225" s="312"/>
      <c r="AO225" s="312"/>
      <c r="AP225" s="312"/>
      <c r="AQ225" s="312"/>
      <c r="AR225" s="312"/>
      <c r="AS225" s="312"/>
      <c r="AT225" s="312"/>
      <c r="AU225" s="312"/>
      <c r="AV225" s="312"/>
      <c r="AW225" s="312"/>
      <c r="AX225" s="312"/>
      <c r="AY225" s="312"/>
      <c r="AZ225" s="312"/>
      <c r="BA225" s="312"/>
      <c r="BB225" s="312"/>
      <c r="BC225" s="312"/>
    </row>
    <row r="226" spans="1:55" s="290" customFormat="1" ht="13.5" customHeight="1">
      <c r="A226" s="293"/>
      <c r="B226" s="3032" t="s">
        <v>120</v>
      </c>
      <c r="C226" s="3033" t="str">
        <f>E1</f>
        <v>marts</v>
      </c>
      <c r="D226" s="310">
        <f t="shared" ref="D226:V226" si="10">SUM(D227:D290)</f>
        <v>19908.189999999999</v>
      </c>
      <c r="E226" s="310">
        <f t="shared" si="10"/>
        <v>2718.15</v>
      </c>
      <c r="F226" s="310">
        <f t="shared" si="10"/>
        <v>1645.68</v>
      </c>
      <c r="G226" s="310">
        <f t="shared" si="10"/>
        <v>1747.45</v>
      </c>
      <c r="H226" s="310">
        <f t="shared" si="10"/>
        <v>328.65</v>
      </c>
      <c r="I226" s="310">
        <f t="shared" si="10"/>
        <v>33.4</v>
      </c>
      <c r="J226" s="310">
        <f t="shared" si="10"/>
        <v>0</v>
      </c>
      <c r="K226" s="310">
        <f t="shared" si="10"/>
        <v>70</v>
      </c>
      <c r="L226" s="310">
        <f t="shared" si="10"/>
        <v>294</v>
      </c>
      <c r="M226" s="310">
        <f t="shared" si="10"/>
        <v>7474</v>
      </c>
      <c r="N226" s="310">
        <f t="shared" si="10"/>
        <v>0</v>
      </c>
      <c r="O226" s="310">
        <f t="shared" si="10"/>
        <v>2871.05</v>
      </c>
      <c r="P226" s="310">
        <f t="shared" si="10"/>
        <v>324</v>
      </c>
      <c r="Q226" s="310">
        <f t="shared" si="10"/>
        <v>469.98</v>
      </c>
      <c r="R226" s="310">
        <f t="shared" si="10"/>
        <v>70</v>
      </c>
      <c r="S226" s="310">
        <f t="shared" si="10"/>
        <v>70</v>
      </c>
      <c r="T226" s="310">
        <f t="shared" si="10"/>
        <v>800</v>
      </c>
      <c r="U226" s="310">
        <f t="shared" si="10"/>
        <v>0</v>
      </c>
      <c r="V226" s="310">
        <f t="shared" si="10"/>
        <v>1298.83</v>
      </c>
      <c r="W226" s="310"/>
      <c r="X226" s="309"/>
      <c r="Y226" s="309"/>
      <c r="Z226" s="309"/>
      <c r="AA226" s="309"/>
      <c r="AB226" s="309"/>
      <c r="AC226" s="309"/>
      <c r="AD226" s="309"/>
      <c r="AE226" s="309"/>
      <c r="AF226" s="309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</row>
    <row r="227" spans="1:55" s="285" customFormat="1" ht="13.5" customHeight="1">
      <c r="A227" s="297"/>
      <c r="B227" s="296">
        <v>43524</v>
      </c>
      <c r="C227" s="295" t="s">
        <v>465</v>
      </c>
      <c r="D227" s="294">
        <v>54.9</v>
      </c>
      <c r="E227" s="294"/>
      <c r="F227" s="294"/>
      <c r="G227" s="294"/>
      <c r="H227" s="294">
        <v>43.45</v>
      </c>
      <c r="I227" s="294">
        <v>11.45</v>
      </c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</row>
    <row r="228" spans="1:55" s="285" customFormat="1" ht="13.5" customHeight="1">
      <c r="A228" s="297"/>
      <c r="B228" s="296">
        <v>43524</v>
      </c>
      <c r="C228" s="295" t="s">
        <v>451</v>
      </c>
      <c r="D228" s="294">
        <v>236</v>
      </c>
      <c r="E228" s="294"/>
      <c r="F228" s="294"/>
      <c r="G228" s="294">
        <v>216</v>
      </c>
      <c r="H228" s="294"/>
      <c r="I228" s="294"/>
      <c r="J228" s="294"/>
      <c r="K228" s="294"/>
      <c r="L228" s="294">
        <v>20</v>
      </c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308"/>
      <c r="Y228" s="308"/>
      <c r="Z228" s="308"/>
      <c r="AA228" s="308"/>
      <c r="AB228" s="308"/>
      <c r="AC228" s="308"/>
      <c r="AD228" s="308"/>
      <c r="AE228" s="308"/>
      <c r="AF228" s="308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</row>
    <row r="229" spans="1:55" s="285" customFormat="1" ht="13.5" customHeight="1">
      <c r="A229" s="297"/>
      <c r="B229" s="296">
        <v>43524</v>
      </c>
      <c r="C229" s="295" t="s">
        <v>40</v>
      </c>
      <c r="D229" s="294">
        <v>158.80000000000001</v>
      </c>
      <c r="E229" s="294"/>
      <c r="F229" s="294"/>
      <c r="G229" s="294">
        <v>147.80000000000001</v>
      </c>
      <c r="H229" s="294"/>
      <c r="I229" s="294"/>
      <c r="J229" s="294"/>
      <c r="K229" s="294">
        <v>11</v>
      </c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4"/>
      <c r="W229" s="294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</row>
    <row r="230" spans="1:55" s="285" customFormat="1" ht="13.5" customHeight="1">
      <c r="A230" s="297"/>
      <c r="B230" s="296">
        <v>43524</v>
      </c>
      <c r="C230" s="295" t="s">
        <v>195</v>
      </c>
      <c r="D230" s="294">
        <v>210.68</v>
      </c>
      <c r="E230" s="294"/>
      <c r="F230" s="294">
        <v>210.68</v>
      </c>
      <c r="G230" s="294"/>
      <c r="H230" s="294"/>
      <c r="I230" s="294"/>
      <c r="J230" s="294"/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</row>
    <row r="231" spans="1:55" s="285" customFormat="1" ht="13.5" customHeight="1">
      <c r="A231" s="297"/>
      <c r="B231" s="296">
        <v>43524</v>
      </c>
      <c r="C231" s="295" t="s">
        <v>465</v>
      </c>
      <c r="D231" s="294">
        <v>21.05</v>
      </c>
      <c r="E231" s="294"/>
      <c r="F231" s="294"/>
      <c r="G231" s="294"/>
      <c r="H231" s="294">
        <v>21.05</v>
      </c>
      <c r="I231" s="294"/>
      <c r="J231" s="294"/>
      <c r="K231" s="294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4"/>
      <c r="W231" s="294"/>
      <c r="X231" s="308"/>
      <c r="Y231" s="308"/>
      <c r="Z231" s="308"/>
      <c r="AA231" s="308"/>
      <c r="AB231" s="308"/>
      <c r="AC231" s="308"/>
      <c r="AD231" s="308"/>
      <c r="AE231" s="308"/>
      <c r="AF231" s="308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286"/>
      <c r="BB231" s="286"/>
      <c r="BC231" s="286"/>
    </row>
    <row r="232" spans="1:55" s="285" customFormat="1" ht="13.5" customHeight="1">
      <c r="A232" s="297"/>
      <c r="B232" s="296">
        <v>43524</v>
      </c>
      <c r="C232" s="295" t="s">
        <v>451</v>
      </c>
      <c r="D232" s="294">
        <v>58.85</v>
      </c>
      <c r="E232" s="294"/>
      <c r="F232" s="294"/>
      <c r="G232" s="294">
        <v>58.85</v>
      </c>
      <c r="H232" s="294"/>
      <c r="I232" s="294"/>
      <c r="J232" s="294"/>
      <c r="K232" s="294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4"/>
      <c r="W232" s="294"/>
      <c r="X232" s="308"/>
      <c r="Y232" s="308"/>
      <c r="Z232" s="308"/>
      <c r="AA232" s="308"/>
      <c r="AB232" s="308"/>
      <c r="AC232" s="308"/>
      <c r="AD232" s="308"/>
      <c r="AE232" s="308"/>
      <c r="AF232" s="308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</row>
    <row r="233" spans="1:55" s="285" customFormat="1" ht="13.5" customHeight="1">
      <c r="A233" s="297"/>
      <c r="B233" s="296">
        <v>43525</v>
      </c>
      <c r="C233" s="295" t="s">
        <v>30</v>
      </c>
      <c r="D233" s="294">
        <v>7474</v>
      </c>
      <c r="E233" s="294"/>
      <c r="F233" s="294"/>
      <c r="G233" s="294"/>
      <c r="H233" s="294"/>
      <c r="I233" s="294"/>
      <c r="J233" s="294"/>
      <c r="K233" s="294"/>
      <c r="L233" s="294"/>
      <c r="M233" s="294">
        <f>D233</f>
        <v>7474</v>
      </c>
      <c r="N233" s="294"/>
      <c r="O233" s="294"/>
      <c r="P233" s="294"/>
      <c r="Q233" s="294"/>
      <c r="R233" s="294"/>
      <c r="S233" s="294"/>
      <c r="T233" s="294"/>
      <c r="U233" s="294"/>
      <c r="V233" s="294"/>
      <c r="W233" s="294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</row>
    <row r="234" spans="1:55" s="285" customFormat="1" ht="13.5" customHeight="1">
      <c r="A234" s="297"/>
      <c r="B234" s="296">
        <v>43525</v>
      </c>
      <c r="C234" s="295" t="s">
        <v>265</v>
      </c>
      <c r="D234" s="294">
        <v>602.4</v>
      </c>
      <c r="E234" s="294">
        <v>602.4</v>
      </c>
      <c r="F234" s="294"/>
      <c r="G234" s="294"/>
      <c r="H234" s="294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4"/>
      <c r="W234" s="294"/>
      <c r="X234" s="308"/>
      <c r="Y234" s="308"/>
      <c r="Z234" s="308"/>
      <c r="AA234" s="308"/>
      <c r="AB234" s="308"/>
      <c r="AC234" s="308"/>
      <c r="AD234" s="308"/>
      <c r="AE234" s="308"/>
      <c r="AF234" s="308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</row>
    <row r="235" spans="1:55" s="285" customFormat="1" ht="13.5" customHeight="1">
      <c r="A235" s="297"/>
      <c r="B235" s="296">
        <v>43525</v>
      </c>
      <c r="C235" s="295" t="s">
        <v>264</v>
      </c>
      <c r="D235" s="294">
        <v>523</v>
      </c>
      <c r="E235" s="294">
        <v>523</v>
      </c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94"/>
      <c r="U235" s="294"/>
      <c r="V235" s="294"/>
      <c r="W235" s="294"/>
      <c r="X235" s="308"/>
      <c r="Y235" s="308"/>
      <c r="Z235" s="308"/>
      <c r="AA235" s="308"/>
      <c r="AB235" s="308"/>
      <c r="AC235" s="308"/>
      <c r="AD235" s="308"/>
      <c r="AE235" s="308"/>
      <c r="AF235" s="308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286"/>
      <c r="BB235" s="286"/>
      <c r="BC235" s="286"/>
    </row>
    <row r="236" spans="1:55" s="285" customFormat="1" ht="13.5" customHeight="1">
      <c r="A236" s="297"/>
      <c r="B236" s="296">
        <v>43525</v>
      </c>
      <c r="C236" s="295" t="s">
        <v>182</v>
      </c>
      <c r="D236" s="294">
        <v>284</v>
      </c>
      <c r="E236" s="294">
        <v>284</v>
      </c>
      <c r="F236" s="294"/>
      <c r="G236" s="294"/>
      <c r="H236" s="294"/>
      <c r="I236" s="294"/>
      <c r="J236" s="294"/>
      <c r="K236" s="294"/>
      <c r="L236" s="294"/>
      <c r="M236" s="294"/>
      <c r="N236" s="294"/>
      <c r="O236" s="294"/>
      <c r="P236" s="294"/>
      <c r="Q236" s="294"/>
      <c r="R236" s="294"/>
      <c r="S236" s="294"/>
      <c r="T236" s="294"/>
      <c r="U236" s="294"/>
      <c r="V236" s="294"/>
      <c r="W236" s="294"/>
      <c r="X236" s="308"/>
      <c r="Y236" s="308"/>
      <c r="Z236" s="308"/>
      <c r="AA236" s="308"/>
      <c r="AB236" s="308"/>
      <c r="AC236" s="308"/>
      <c r="AD236" s="308"/>
      <c r="AE236" s="308"/>
      <c r="AF236" s="308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</row>
    <row r="237" spans="1:55" s="285" customFormat="1" ht="13.5" customHeight="1">
      <c r="A237" s="297"/>
      <c r="B237" s="296">
        <v>43525</v>
      </c>
      <c r="C237" s="295" t="s">
        <v>472</v>
      </c>
      <c r="D237" s="294">
        <v>245</v>
      </c>
      <c r="E237" s="294">
        <v>245</v>
      </c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94"/>
      <c r="U237" s="294"/>
      <c r="V237" s="294"/>
      <c r="W237" s="294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</row>
    <row r="238" spans="1:55" s="285" customFormat="1" ht="13.5" customHeight="1">
      <c r="A238" s="297"/>
      <c r="B238" s="296">
        <v>43525</v>
      </c>
      <c r="C238" s="295" t="s">
        <v>472</v>
      </c>
      <c r="D238" s="294">
        <v>215</v>
      </c>
      <c r="E238" s="294">
        <v>215</v>
      </c>
      <c r="F238" s="294"/>
      <c r="G238" s="294"/>
      <c r="H238" s="294"/>
      <c r="I238" s="294"/>
      <c r="J238" s="294"/>
      <c r="K238" s="294"/>
      <c r="L238" s="294"/>
      <c r="M238" s="294"/>
      <c r="N238" s="294"/>
      <c r="O238" s="294"/>
      <c r="P238" s="294"/>
      <c r="Q238" s="294"/>
      <c r="R238" s="294"/>
      <c r="S238" s="294"/>
      <c r="T238" s="294"/>
      <c r="U238" s="294"/>
      <c r="V238" s="294"/>
      <c r="W238" s="294"/>
      <c r="X238" s="308"/>
      <c r="Y238" s="308"/>
      <c r="Z238" s="308"/>
      <c r="AA238" s="308"/>
      <c r="AB238" s="308"/>
      <c r="AC238" s="308"/>
      <c r="AD238" s="308"/>
      <c r="AE238" s="308"/>
      <c r="AF238" s="308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</row>
    <row r="239" spans="1:55" s="285" customFormat="1" ht="13.5" customHeight="1">
      <c r="A239" s="297"/>
      <c r="B239" s="296">
        <v>43525</v>
      </c>
      <c r="C239" s="295" t="s">
        <v>183</v>
      </c>
      <c r="D239" s="294">
        <v>458.75</v>
      </c>
      <c r="E239" s="294">
        <v>458.75</v>
      </c>
      <c r="F239" s="294"/>
      <c r="G239" s="294"/>
      <c r="H239" s="294"/>
      <c r="I239" s="294"/>
      <c r="J239" s="294"/>
      <c r="K239" s="294"/>
      <c r="L239" s="294"/>
      <c r="M239" s="294"/>
      <c r="N239" s="294"/>
      <c r="O239" s="294"/>
      <c r="P239" s="294"/>
      <c r="Q239" s="294"/>
      <c r="R239" s="294"/>
      <c r="S239" s="294"/>
      <c r="T239" s="294"/>
      <c r="U239" s="294"/>
      <c r="V239" s="294"/>
      <c r="W239" s="294"/>
      <c r="X239" s="308"/>
      <c r="Y239" s="308"/>
      <c r="Z239" s="308"/>
      <c r="AA239" s="308"/>
      <c r="AB239" s="308"/>
      <c r="AC239" s="308"/>
      <c r="AD239" s="308"/>
      <c r="AE239" s="308"/>
      <c r="AF239" s="308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  <c r="BC239" s="286"/>
    </row>
    <row r="240" spans="1:55" s="285" customFormat="1" ht="13.5" customHeight="1">
      <c r="A240" s="297"/>
      <c r="B240" s="296">
        <v>43525</v>
      </c>
      <c r="C240" s="295" t="s">
        <v>481</v>
      </c>
      <c r="D240" s="294">
        <v>73</v>
      </c>
      <c r="E240" s="294">
        <v>73</v>
      </c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308"/>
      <c r="Y240" s="308"/>
      <c r="Z240" s="308"/>
      <c r="AA240" s="308"/>
      <c r="AB240" s="308"/>
      <c r="AC240" s="308"/>
      <c r="AD240" s="308"/>
      <c r="AE240" s="308"/>
      <c r="AF240" s="308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</row>
    <row r="241" spans="1:55" s="285" customFormat="1" ht="13.5" customHeight="1">
      <c r="A241" s="297"/>
      <c r="B241" s="296">
        <v>43525</v>
      </c>
      <c r="C241" s="295" t="s">
        <v>363</v>
      </c>
      <c r="D241" s="294">
        <v>157.05000000000001</v>
      </c>
      <c r="E241" s="294"/>
      <c r="F241" s="294"/>
      <c r="G241" s="294"/>
      <c r="H241" s="294"/>
      <c r="I241" s="294"/>
      <c r="J241" s="294"/>
      <c r="K241" s="294"/>
      <c r="L241" s="294"/>
      <c r="M241" s="294"/>
      <c r="N241" s="294"/>
      <c r="O241" s="294">
        <f>D241</f>
        <v>157.05000000000001</v>
      </c>
      <c r="P241" s="294"/>
      <c r="Q241" s="294"/>
      <c r="R241" s="294"/>
      <c r="S241" s="294"/>
      <c r="T241" s="294"/>
      <c r="U241" s="294"/>
      <c r="V241" s="294"/>
      <c r="W241" s="294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286"/>
      <c r="BB241" s="286"/>
      <c r="BC241" s="286"/>
    </row>
    <row r="242" spans="1:55" s="285" customFormat="1" ht="13.5" customHeight="1">
      <c r="A242" s="297"/>
      <c r="B242" s="296">
        <v>43525</v>
      </c>
      <c r="C242" s="295" t="s">
        <v>381</v>
      </c>
      <c r="D242" s="294">
        <v>1298.83</v>
      </c>
      <c r="E242" s="294"/>
      <c r="F242" s="294"/>
      <c r="G242" s="294"/>
      <c r="H242" s="294"/>
      <c r="I242" s="294"/>
      <c r="J242" s="294"/>
      <c r="K242" s="294"/>
      <c r="L242" s="294"/>
      <c r="M242" s="294"/>
      <c r="N242" s="294"/>
      <c r="O242" s="294"/>
      <c r="P242" s="294"/>
      <c r="Q242" s="294"/>
      <c r="R242" s="294"/>
      <c r="S242" s="294"/>
      <c r="T242" s="294"/>
      <c r="U242" s="294"/>
      <c r="V242" s="294">
        <f>D242</f>
        <v>1298.83</v>
      </c>
      <c r="W242" s="294"/>
      <c r="X242" s="308"/>
      <c r="Y242" s="308"/>
      <c r="Z242" s="308"/>
      <c r="AA242" s="308"/>
      <c r="AB242" s="308"/>
      <c r="AC242" s="308"/>
      <c r="AD242" s="308"/>
      <c r="AE242" s="308"/>
      <c r="AF242" s="308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  <c r="BC242" s="286"/>
    </row>
    <row r="243" spans="1:55" s="285" customFormat="1" ht="13.5" customHeight="1">
      <c r="A243" s="297"/>
      <c r="B243" s="296">
        <v>43525</v>
      </c>
      <c r="C243" s="295" t="s">
        <v>230</v>
      </c>
      <c r="D243" s="294">
        <v>59</v>
      </c>
      <c r="E243" s="294">
        <v>59</v>
      </c>
      <c r="F243" s="294"/>
      <c r="G243" s="294"/>
      <c r="H243" s="294"/>
      <c r="I243" s="294"/>
      <c r="J243" s="294"/>
      <c r="K243" s="294"/>
      <c r="L243" s="294"/>
      <c r="M243" s="294"/>
      <c r="N243" s="294"/>
      <c r="O243" s="294"/>
      <c r="P243" s="294">
        <f>D243</f>
        <v>59</v>
      </c>
      <c r="Q243" s="294"/>
      <c r="R243" s="294"/>
      <c r="S243" s="294"/>
      <c r="T243" s="294"/>
      <c r="U243" s="294"/>
      <c r="V243" s="294"/>
      <c r="W243" s="294"/>
      <c r="X243" s="308"/>
      <c r="Y243" s="308"/>
      <c r="Z243" s="308"/>
      <c r="AA243" s="308"/>
      <c r="AB243" s="308"/>
      <c r="AC243" s="308"/>
      <c r="AD243" s="308"/>
      <c r="AE243" s="308"/>
      <c r="AF243" s="308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</row>
    <row r="244" spans="1:55" s="285" customFormat="1" ht="13.5" customHeight="1">
      <c r="A244" s="297"/>
      <c r="B244" s="296">
        <v>43525</v>
      </c>
      <c r="C244" s="295" t="s">
        <v>464</v>
      </c>
      <c r="D244" s="294">
        <v>169</v>
      </c>
      <c r="E244" s="294">
        <v>169</v>
      </c>
      <c r="F244" s="294"/>
      <c r="G244" s="294"/>
      <c r="H244" s="294"/>
      <c r="I244" s="294"/>
      <c r="J244" s="294"/>
      <c r="K244" s="294"/>
      <c r="L244" s="294"/>
      <c r="M244" s="294"/>
      <c r="N244" s="294"/>
      <c r="O244" s="294">
        <f>D244</f>
        <v>169</v>
      </c>
      <c r="P244" s="294"/>
      <c r="Q244" s="294"/>
      <c r="R244" s="294"/>
      <c r="S244" s="294"/>
      <c r="T244" s="294"/>
      <c r="U244" s="294"/>
      <c r="V244" s="294"/>
      <c r="W244" s="294"/>
      <c r="X244" s="308"/>
      <c r="Y244" s="308"/>
      <c r="Z244" s="308"/>
      <c r="AA244" s="308"/>
      <c r="AB244" s="308"/>
      <c r="AC244" s="308"/>
      <c r="AD244" s="308"/>
      <c r="AE244" s="308"/>
      <c r="AF244" s="308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</row>
    <row r="245" spans="1:55" s="285" customFormat="1" ht="13.5" customHeight="1">
      <c r="A245" s="297"/>
      <c r="B245" s="296">
        <v>43525</v>
      </c>
      <c r="C245" s="295" t="s">
        <v>22</v>
      </c>
      <c r="D245" s="294">
        <v>89</v>
      </c>
      <c r="E245" s="294">
        <v>89</v>
      </c>
      <c r="F245" s="294"/>
      <c r="G245" s="294"/>
      <c r="H245" s="294"/>
      <c r="I245" s="294"/>
      <c r="J245" s="294"/>
      <c r="K245" s="294"/>
      <c r="L245" s="294"/>
      <c r="M245" s="294"/>
      <c r="N245" s="294"/>
      <c r="O245" s="294"/>
      <c r="P245" s="294">
        <f>D245</f>
        <v>89</v>
      </c>
      <c r="Q245" s="294"/>
      <c r="R245" s="294"/>
      <c r="S245" s="294"/>
      <c r="T245" s="294"/>
      <c r="U245" s="294"/>
      <c r="V245" s="294"/>
      <c r="W245" s="294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</row>
    <row r="246" spans="1:55" s="285" customFormat="1" ht="13.5" customHeight="1">
      <c r="A246" s="297"/>
      <c r="B246" s="296">
        <v>43525</v>
      </c>
      <c r="C246" s="295" t="s">
        <v>283</v>
      </c>
      <c r="D246" s="294">
        <v>2545</v>
      </c>
      <c r="E246" s="294"/>
      <c r="F246" s="294"/>
      <c r="G246" s="294"/>
      <c r="H246" s="294"/>
      <c r="I246" s="294"/>
      <c r="J246" s="294"/>
      <c r="K246" s="294"/>
      <c r="L246" s="294"/>
      <c r="M246" s="294"/>
      <c r="N246" s="294"/>
      <c r="O246" s="294">
        <v>2545</v>
      </c>
      <c r="P246" s="294"/>
      <c r="Q246" s="294"/>
      <c r="R246" s="294"/>
      <c r="S246" s="294"/>
      <c r="T246" s="294"/>
      <c r="U246" s="294"/>
      <c r="V246" s="294"/>
      <c r="W246" s="294"/>
      <c r="X246" s="308"/>
      <c r="Y246" s="308"/>
      <c r="Z246" s="308"/>
      <c r="AA246" s="308"/>
      <c r="AB246" s="308"/>
      <c r="AC246" s="308"/>
      <c r="AD246" s="308"/>
      <c r="AE246" s="308"/>
      <c r="AF246" s="308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  <c r="BC246" s="286"/>
    </row>
    <row r="247" spans="1:55" s="285" customFormat="1" ht="13.5" customHeight="1">
      <c r="A247" s="297"/>
      <c r="B247" s="296">
        <v>43525</v>
      </c>
      <c r="C247" s="295" t="s">
        <v>465</v>
      </c>
      <c r="D247" s="294">
        <v>160.35</v>
      </c>
      <c r="E247" s="294"/>
      <c r="F247" s="294"/>
      <c r="G247" s="294"/>
      <c r="H247" s="294">
        <v>160.35</v>
      </c>
      <c r="I247" s="294"/>
      <c r="J247" s="294"/>
      <c r="K247" s="294"/>
      <c r="L247" s="294"/>
      <c r="M247" s="294"/>
      <c r="N247" s="294"/>
      <c r="O247" s="294"/>
      <c r="P247" s="294"/>
      <c r="Q247" s="294"/>
      <c r="R247" s="294"/>
      <c r="S247" s="294"/>
      <c r="T247" s="294"/>
      <c r="U247" s="294"/>
      <c r="V247" s="294"/>
      <c r="W247" s="294"/>
      <c r="X247" s="308"/>
      <c r="Y247" s="308"/>
      <c r="Z247" s="308"/>
      <c r="AA247" s="308"/>
      <c r="AB247" s="308"/>
      <c r="AC247" s="308"/>
      <c r="AD247" s="308"/>
      <c r="AE247" s="308"/>
      <c r="AF247" s="308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</row>
    <row r="248" spans="1:55" s="285" customFormat="1" ht="13.5" customHeight="1">
      <c r="A248" s="297"/>
      <c r="B248" s="296">
        <v>43525</v>
      </c>
      <c r="C248" s="295" t="s">
        <v>507</v>
      </c>
      <c r="D248" s="294">
        <v>795</v>
      </c>
      <c r="E248" s="294"/>
      <c r="F248" s="294">
        <v>795</v>
      </c>
      <c r="G248" s="294"/>
      <c r="H248" s="294"/>
      <c r="I248" s="294"/>
      <c r="J248" s="294"/>
      <c r="K248" s="294"/>
      <c r="L248" s="294"/>
      <c r="M248" s="294"/>
      <c r="N248" s="294"/>
      <c r="O248" s="294"/>
      <c r="P248" s="294"/>
      <c r="Q248" s="294"/>
      <c r="R248" s="294"/>
      <c r="S248" s="294"/>
      <c r="T248" s="294"/>
      <c r="U248" s="294"/>
      <c r="V248" s="294"/>
      <c r="W248" s="294"/>
      <c r="X248" s="308"/>
      <c r="Y248" s="308"/>
      <c r="Z248" s="308"/>
      <c r="AA248" s="308"/>
      <c r="AB248" s="308"/>
      <c r="AC248" s="308"/>
      <c r="AD248" s="308"/>
      <c r="AE248" s="308"/>
      <c r="AF248" s="308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</row>
    <row r="249" spans="1:55" s="285" customFormat="1" ht="13.5" customHeight="1">
      <c r="A249" s="297"/>
      <c r="B249" s="296">
        <v>43525</v>
      </c>
      <c r="C249" s="295" t="s">
        <v>469</v>
      </c>
      <c r="D249" s="294">
        <v>119.85</v>
      </c>
      <c r="E249" s="294"/>
      <c r="F249" s="294"/>
      <c r="G249" s="294">
        <v>119.85</v>
      </c>
      <c r="H249" s="294"/>
      <c r="I249" s="294"/>
      <c r="J249" s="294"/>
      <c r="K249" s="294"/>
      <c r="L249" s="294"/>
      <c r="M249" s="294"/>
      <c r="N249" s="294"/>
      <c r="O249" s="294"/>
      <c r="P249" s="294"/>
      <c r="Q249" s="294"/>
      <c r="R249" s="294"/>
      <c r="S249" s="294"/>
      <c r="T249" s="294"/>
      <c r="U249" s="294"/>
      <c r="V249" s="294"/>
      <c r="W249" s="294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286"/>
      <c r="BB249" s="286"/>
      <c r="BC249" s="286"/>
    </row>
    <row r="250" spans="1:55" s="285" customFormat="1" ht="13.5" customHeight="1">
      <c r="A250" s="297"/>
      <c r="B250" s="296">
        <v>43525</v>
      </c>
      <c r="C250" s="295" t="s">
        <v>21</v>
      </c>
      <c r="D250" s="294">
        <v>176</v>
      </c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>
        <f>D250</f>
        <v>176</v>
      </c>
      <c r="Q250" s="294"/>
      <c r="R250" s="294"/>
      <c r="S250" s="294"/>
      <c r="T250" s="294"/>
      <c r="U250" s="294"/>
      <c r="V250" s="294"/>
      <c r="W250" s="294"/>
      <c r="X250" s="308"/>
      <c r="Y250" s="308"/>
      <c r="Z250" s="308"/>
      <c r="AA250" s="308"/>
      <c r="AB250" s="308"/>
      <c r="AC250" s="308"/>
      <c r="AD250" s="308"/>
      <c r="AE250" s="308"/>
      <c r="AF250" s="308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286"/>
      <c r="BB250" s="286"/>
      <c r="BC250" s="286"/>
    </row>
    <row r="251" spans="1:55" s="285" customFormat="1" ht="13.5" customHeight="1">
      <c r="A251" s="297"/>
      <c r="B251" s="296">
        <v>43526</v>
      </c>
      <c r="C251" s="295" t="s">
        <v>451</v>
      </c>
      <c r="D251" s="294">
        <v>88.8</v>
      </c>
      <c r="E251" s="294"/>
      <c r="F251" s="294"/>
      <c r="G251" s="294">
        <v>88.8</v>
      </c>
      <c r="H251" s="294"/>
      <c r="I251" s="294"/>
      <c r="J251" s="294"/>
      <c r="K251" s="294"/>
      <c r="L251" s="294"/>
      <c r="M251" s="294"/>
      <c r="N251" s="294"/>
      <c r="O251" s="294"/>
      <c r="P251" s="294"/>
      <c r="Q251" s="294"/>
      <c r="R251" s="294"/>
      <c r="S251" s="294"/>
      <c r="T251" s="294"/>
      <c r="U251" s="294"/>
      <c r="V251" s="294"/>
      <c r="W251" s="294"/>
      <c r="X251" s="308"/>
      <c r="Y251" s="308"/>
      <c r="Z251" s="308"/>
      <c r="AA251" s="308"/>
      <c r="AB251" s="308"/>
      <c r="AC251" s="308"/>
      <c r="AD251" s="308"/>
      <c r="AE251" s="308"/>
      <c r="AF251" s="308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  <c r="BC251" s="286"/>
    </row>
    <row r="252" spans="1:55" s="285" customFormat="1" ht="13.5" customHeight="1">
      <c r="A252" s="297"/>
      <c r="B252" s="296">
        <v>43526</v>
      </c>
      <c r="C252" s="295" t="s">
        <v>466</v>
      </c>
      <c r="D252" s="294">
        <v>150</v>
      </c>
      <c r="E252" s="294"/>
      <c r="F252" s="294"/>
      <c r="G252" s="294"/>
      <c r="H252" s="294"/>
      <c r="I252" s="294"/>
      <c r="J252" s="294"/>
      <c r="K252" s="294"/>
      <c r="L252" s="294">
        <v>150</v>
      </c>
      <c r="M252" s="294"/>
      <c r="N252" s="294"/>
      <c r="O252" s="294"/>
      <c r="P252" s="294"/>
      <c r="Q252" s="294"/>
      <c r="R252" s="294"/>
      <c r="S252" s="294"/>
      <c r="T252" s="294"/>
      <c r="U252" s="294"/>
      <c r="V252" s="294"/>
      <c r="W252" s="294"/>
      <c r="X252" s="308"/>
      <c r="Y252" s="308"/>
      <c r="Z252" s="308"/>
      <c r="AA252" s="308"/>
      <c r="AB252" s="308"/>
      <c r="AC252" s="308"/>
      <c r="AD252" s="308"/>
      <c r="AE252" s="308"/>
      <c r="AF252" s="308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286"/>
      <c r="BB252" s="286"/>
      <c r="BC252" s="286"/>
    </row>
    <row r="253" spans="1:55" s="285" customFormat="1" ht="13.5" customHeight="1">
      <c r="A253" s="297"/>
      <c r="B253" s="296">
        <v>43526</v>
      </c>
      <c r="C253" s="295" t="s">
        <v>506</v>
      </c>
      <c r="D253" s="294">
        <v>40</v>
      </c>
      <c r="E253" s="294"/>
      <c r="F253" s="294"/>
      <c r="G253" s="294"/>
      <c r="H253" s="294"/>
      <c r="I253" s="294"/>
      <c r="J253" s="294"/>
      <c r="K253" s="294"/>
      <c r="L253" s="294"/>
      <c r="M253" s="294"/>
      <c r="N253" s="294"/>
      <c r="O253" s="294"/>
      <c r="P253" s="294"/>
      <c r="Q253" s="294"/>
      <c r="R253" s="294">
        <f>D253</f>
        <v>40</v>
      </c>
      <c r="S253" s="294"/>
      <c r="T253" s="294"/>
      <c r="U253" s="294"/>
      <c r="V253" s="294"/>
      <c r="W253" s="294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  <c r="BC253" s="286"/>
    </row>
    <row r="254" spans="1:55" s="285" customFormat="1" ht="13.5" customHeight="1">
      <c r="A254" s="297"/>
      <c r="B254" s="296">
        <v>43526</v>
      </c>
      <c r="C254" s="295" t="s">
        <v>505</v>
      </c>
      <c r="D254" s="294">
        <v>40</v>
      </c>
      <c r="E254" s="294"/>
      <c r="F254" s="294"/>
      <c r="G254" s="294"/>
      <c r="H254" s="294"/>
      <c r="I254" s="294"/>
      <c r="J254" s="294"/>
      <c r="K254" s="294"/>
      <c r="L254" s="294"/>
      <c r="M254" s="294"/>
      <c r="N254" s="294"/>
      <c r="O254" s="294"/>
      <c r="P254" s="294"/>
      <c r="Q254" s="294"/>
      <c r="R254" s="294"/>
      <c r="S254" s="294">
        <f>D254</f>
        <v>40</v>
      </c>
      <c r="T254" s="294"/>
      <c r="U254" s="294"/>
      <c r="V254" s="294"/>
      <c r="W254" s="294"/>
      <c r="X254" s="308"/>
      <c r="Y254" s="308"/>
      <c r="Z254" s="308"/>
      <c r="AA254" s="308"/>
      <c r="AB254" s="308"/>
      <c r="AC254" s="308"/>
      <c r="AD254" s="308"/>
      <c r="AE254" s="308"/>
      <c r="AF254" s="308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  <c r="BA254" s="286"/>
      <c r="BB254" s="286"/>
      <c r="BC254" s="286"/>
    </row>
    <row r="255" spans="1:55" s="285" customFormat="1" ht="13.5" customHeight="1">
      <c r="A255" s="297"/>
      <c r="B255" s="296">
        <v>43526</v>
      </c>
      <c r="C255" s="295" t="s">
        <v>474</v>
      </c>
      <c r="D255" s="294">
        <v>180</v>
      </c>
      <c r="E255" s="294"/>
      <c r="F255" s="294">
        <v>180</v>
      </c>
      <c r="G255" s="294"/>
      <c r="H255" s="294"/>
      <c r="I255" s="294"/>
      <c r="J255" s="294"/>
      <c r="K255" s="294"/>
      <c r="L255" s="294"/>
      <c r="M255" s="294"/>
      <c r="N255" s="294"/>
      <c r="O255" s="294"/>
      <c r="P255" s="294"/>
      <c r="Q255" s="294"/>
      <c r="R255" s="294"/>
      <c r="S255" s="294"/>
      <c r="T255" s="294"/>
      <c r="U255" s="294"/>
      <c r="V255" s="294"/>
      <c r="W255" s="294"/>
      <c r="X255" s="308"/>
      <c r="Y255" s="308"/>
      <c r="Z255" s="308"/>
      <c r="AA255" s="308"/>
      <c r="AB255" s="308"/>
      <c r="AC255" s="308"/>
      <c r="AD255" s="308"/>
      <c r="AE255" s="308"/>
      <c r="AF255" s="308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</row>
    <row r="256" spans="1:55" s="285" customFormat="1" ht="13.5" customHeight="1">
      <c r="A256" s="297"/>
      <c r="B256" s="296">
        <v>43526</v>
      </c>
      <c r="C256" s="295" t="s">
        <v>40</v>
      </c>
      <c r="D256" s="294">
        <v>41.95</v>
      </c>
      <c r="E256" s="294"/>
      <c r="F256" s="294"/>
      <c r="G256" s="294">
        <v>41.95</v>
      </c>
      <c r="H256" s="294"/>
      <c r="I256" s="294"/>
      <c r="J256" s="294"/>
      <c r="K256" s="294"/>
      <c r="L256" s="294"/>
      <c r="M256" s="294"/>
      <c r="N256" s="294"/>
      <c r="O256" s="294"/>
      <c r="P256" s="294"/>
      <c r="Q256" s="294"/>
      <c r="R256" s="294"/>
      <c r="S256" s="294"/>
      <c r="T256" s="294"/>
      <c r="U256" s="294"/>
      <c r="V256" s="294"/>
      <c r="W256" s="294"/>
      <c r="X256" s="308"/>
      <c r="Y256" s="308"/>
      <c r="Z256" s="308"/>
      <c r="AA256" s="308"/>
      <c r="AB256" s="308"/>
      <c r="AC256" s="308"/>
      <c r="AD256" s="308"/>
      <c r="AE256" s="308"/>
      <c r="AF256" s="308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286"/>
      <c r="BB256" s="286"/>
      <c r="BC256" s="286"/>
    </row>
    <row r="257" spans="1:55" s="285" customFormat="1" ht="13.5" customHeight="1">
      <c r="A257" s="297"/>
      <c r="B257" s="296">
        <v>43526</v>
      </c>
      <c r="C257" s="295" t="s">
        <v>504</v>
      </c>
      <c r="D257" s="294">
        <v>124</v>
      </c>
      <c r="E257" s="294"/>
      <c r="F257" s="294">
        <v>124</v>
      </c>
      <c r="G257" s="294"/>
      <c r="H257" s="294"/>
      <c r="I257" s="294"/>
      <c r="J257" s="294"/>
      <c r="K257" s="294"/>
      <c r="L257" s="294"/>
      <c r="M257" s="294"/>
      <c r="N257" s="294"/>
      <c r="O257" s="294"/>
      <c r="P257" s="294"/>
      <c r="Q257" s="294"/>
      <c r="R257" s="294"/>
      <c r="S257" s="294"/>
      <c r="T257" s="294"/>
      <c r="U257" s="294"/>
      <c r="V257" s="294"/>
      <c r="W257" s="294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  <c r="BA257" s="286"/>
      <c r="BB257" s="286"/>
      <c r="BC257" s="286"/>
    </row>
    <row r="258" spans="1:55" s="285" customFormat="1" ht="13.5" customHeight="1">
      <c r="A258" s="297"/>
      <c r="B258" s="296">
        <v>43526</v>
      </c>
      <c r="C258" s="295" t="s">
        <v>503</v>
      </c>
      <c r="D258" s="294">
        <v>70</v>
      </c>
      <c r="E258" s="294"/>
      <c r="F258" s="294">
        <v>70</v>
      </c>
      <c r="G258" s="294"/>
      <c r="H258" s="294"/>
      <c r="I258" s="294"/>
      <c r="J258" s="294"/>
      <c r="K258" s="294"/>
      <c r="L258" s="294"/>
      <c r="M258" s="294"/>
      <c r="N258" s="294"/>
      <c r="O258" s="294"/>
      <c r="P258" s="294"/>
      <c r="Q258" s="294"/>
      <c r="R258" s="294"/>
      <c r="S258" s="294"/>
      <c r="T258" s="294"/>
      <c r="U258" s="294"/>
      <c r="V258" s="294"/>
      <c r="W258" s="294"/>
      <c r="X258" s="308"/>
      <c r="Y258" s="308"/>
      <c r="Z258" s="308"/>
      <c r="AA258" s="308"/>
      <c r="AB258" s="308"/>
      <c r="AC258" s="308"/>
      <c r="AD258" s="308"/>
      <c r="AE258" s="308"/>
      <c r="AF258" s="308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  <c r="BA258" s="286"/>
      <c r="BB258" s="286"/>
      <c r="BC258" s="286"/>
    </row>
    <row r="259" spans="1:55" s="285" customFormat="1" ht="13.5" customHeight="1">
      <c r="A259" s="297"/>
      <c r="B259" s="296">
        <v>43528</v>
      </c>
      <c r="C259" s="295" t="s">
        <v>465</v>
      </c>
      <c r="D259" s="294">
        <v>21.95</v>
      </c>
      <c r="E259" s="294"/>
      <c r="F259" s="294"/>
      <c r="G259" s="294"/>
      <c r="H259" s="294"/>
      <c r="I259" s="294">
        <v>21.95</v>
      </c>
      <c r="J259" s="294"/>
      <c r="K259" s="294"/>
      <c r="L259" s="294"/>
      <c r="M259" s="294"/>
      <c r="N259" s="294"/>
      <c r="O259" s="294"/>
      <c r="P259" s="294"/>
      <c r="Q259" s="294"/>
      <c r="R259" s="294"/>
      <c r="S259" s="294"/>
      <c r="T259" s="294"/>
      <c r="U259" s="294"/>
      <c r="V259" s="294"/>
      <c r="W259" s="294"/>
      <c r="X259" s="308"/>
      <c r="Y259" s="308"/>
      <c r="Z259" s="308"/>
      <c r="AA259" s="308"/>
      <c r="AB259" s="308"/>
      <c r="AC259" s="308"/>
      <c r="AD259" s="308"/>
      <c r="AE259" s="308"/>
      <c r="AF259" s="308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  <c r="BA259" s="286"/>
      <c r="BB259" s="286"/>
      <c r="BC259" s="286"/>
    </row>
    <row r="260" spans="1:55" s="285" customFormat="1" ht="13.5" customHeight="1">
      <c r="A260" s="297"/>
      <c r="B260" s="296">
        <v>43528</v>
      </c>
      <c r="C260" s="295" t="s">
        <v>451</v>
      </c>
      <c r="D260" s="294">
        <v>42</v>
      </c>
      <c r="E260" s="294"/>
      <c r="F260" s="294"/>
      <c r="G260" s="294">
        <v>42</v>
      </c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294"/>
      <c r="S260" s="294"/>
      <c r="T260" s="294"/>
      <c r="U260" s="294"/>
      <c r="V260" s="294"/>
      <c r="W260" s="294"/>
      <c r="X260" s="308"/>
      <c r="Y260" s="308"/>
      <c r="Z260" s="308"/>
      <c r="AA260" s="308"/>
      <c r="AB260" s="308"/>
      <c r="AC260" s="308"/>
      <c r="AD260" s="308"/>
      <c r="AE260" s="308"/>
      <c r="AF260" s="308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</row>
    <row r="261" spans="1:55" s="285" customFormat="1" ht="13.5" customHeight="1">
      <c r="A261" s="297"/>
      <c r="B261" s="296">
        <v>43528</v>
      </c>
      <c r="C261" s="295" t="s">
        <v>41</v>
      </c>
      <c r="D261" s="294">
        <v>140</v>
      </c>
      <c r="E261" s="294"/>
      <c r="F261" s="294"/>
      <c r="G261" s="294">
        <v>115</v>
      </c>
      <c r="H261" s="294"/>
      <c r="I261" s="294"/>
      <c r="J261" s="294"/>
      <c r="K261" s="294"/>
      <c r="L261" s="294">
        <v>25</v>
      </c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286"/>
      <c r="BB261" s="286"/>
      <c r="BC261" s="286"/>
    </row>
    <row r="262" spans="1:55" s="285" customFormat="1" ht="13.5" customHeight="1">
      <c r="A262" s="297"/>
      <c r="B262" s="296">
        <v>43528</v>
      </c>
      <c r="C262" s="295" t="s">
        <v>502</v>
      </c>
      <c r="D262" s="294">
        <v>89</v>
      </c>
      <c r="E262" s="294"/>
      <c r="F262" s="294">
        <v>89</v>
      </c>
      <c r="G262" s="294"/>
      <c r="H262" s="294"/>
      <c r="I262" s="294"/>
      <c r="J262" s="294"/>
      <c r="K262" s="294"/>
      <c r="L262" s="294"/>
      <c r="M262" s="294"/>
      <c r="N262" s="294"/>
      <c r="O262" s="294"/>
      <c r="P262" s="294"/>
      <c r="Q262" s="294"/>
      <c r="R262" s="294"/>
      <c r="S262" s="294"/>
      <c r="T262" s="294"/>
      <c r="U262" s="294"/>
      <c r="V262" s="294"/>
      <c r="W262" s="294"/>
      <c r="X262" s="308"/>
      <c r="Y262" s="308"/>
      <c r="Z262" s="308"/>
      <c r="AA262" s="308"/>
      <c r="AB262" s="308"/>
      <c r="AC262" s="308"/>
      <c r="AD262" s="308"/>
      <c r="AE262" s="308"/>
      <c r="AF262" s="308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  <c r="BA262" s="286"/>
      <c r="BB262" s="286"/>
      <c r="BC262" s="286"/>
    </row>
    <row r="263" spans="1:55" s="285" customFormat="1" ht="13.5" customHeight="1">
      <c r="A263" s="297"/>
      <c r="B263" s="296">
        <v>43528</v>
      </c>
      <c r="C263" s="295" t="s">
        <v>469</v>
      </c>
      <c r="D263" s="294">
        <v>134</v>
      </c>
      <c r="E263" s="294"/>
      <c r="F263" s="294">
        <v>85</v>
      </c>
      <c r="G263" s="294">
        <v>49</v>
      </c>
      <c r="H263" s="294"/>
      <c r="I263" s="294"/>
      <c r="J263" s="294"/>
      <c r="K263" s="294"/>
      <c r="L263" s="294"/>
      <c r="M263" s="294"/>
      <c r="N263" s="294"/>
      <c r="O263" s="294"/>
      <c r="P263" s="294"/>
      <c r="Q263" s="294"/>
      <c r="R263" s="294"/>
      <c r="S263" s="294"/>
      <c r="T263" s="294"/>
      <c r="U263" s="294"/>
      <c r="V263" s="294"/>
      <c r="W263" s="294"/>
      <c r="X263" s="308"/>
      <c r="Y263" s="308"/>
      <c r="Z263" s="308"/>
      <c r="AA263" s="308"/>
      <c r="AB263" s="308"/>
      <c r="AC263" s="308"/>
      <c r="AD263" s="308"/>
      <c r="AE263" s="308"/>
      <c r="AF263" s="308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  <c r="BA263" s="286"/>
      <c r="BB263" s="286"/>
      <c r="BC263" s="286"/>
    </row>
    <row r="264" spans="1:55" s="285" customFormat="1" ht="13.5" customHeight="1">
      <c r="A264" s="297"/>
      <c r="B264" s="296">
        <v>43528</v>
      </c>
      <c r="C264" s="295" t="s">
        <v>466</v>
      </c>
      <c r="D264" s="294">
        <v>60</v>
      </c>
      <c r="E264" s="294"/>
      <c r="F264" s="294"/>
      <c r="G264" s="294">
        <v>10</v>
      </c>
      <c r="H264" s="294"/>
      <c r="I264" s="294"/>
      <c r="J264" s="294"/>
      <c r="K264" s="294"/>
      <c r="L264" s="294">
        <v>40</v>
      </c>
      <c r="M264" s="294"/>
      <c r="N264" s="294"/>
      <c r="O264" s="294"/>
      <c r="P264" s="294"/>
      <c r="Q264" s="294"/>
      <c r="R264" s="294"/>
      <c r="S264" s="294"/>
      <c r="T264" s="294"/>
      <c r="U264" s="294"/>
      <c r="V264" s="294"/>
      <c r="W264" s="294"/>
      <c r="X264" s="308"/>
      <c r="Y264" s="308"/>
      <c r="Z264" s="308"/>
      <c r="AA264" s="308"/>
      <c r="AB264" s="308"/>
      <c r="AC264" s="308"/>
      <c r="AD264" s="308"/>
      <c r="AE264" s="308"/>
      <c r="AF264" s="308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  <c r="BA264" s="286"/>
      <c r="BB264" s="286"/>
      <c r="BC264" s="286"/>
    </row>
    <row r="265" spans="1:55" s="285" customFormat="1" ht="13.5" customHeight="1">
      <c r="A265" s="297"/>
      <c r="B265" s="296">
        <v>43528</v>
      </c>
      <c r="C265" s="295" t="s">
        <v>40</v>
      </c>
      <c r="D265" s="294">
        <v>59</v>
      </c>
      <c r="E265" s="294"/>
      <c r="F265" s="294"/>
      <c r="G265" s="294"/>
      <c r="H265" s="294"/>
      <c r="I265" s="294"/>
      <c r="J265" s="294"/>
      <c r="K265" s="294"/>
      <c r="L265" s="294">
        <v>59</v>
      </c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286"/>
      <c r="BB265" s="286"/>
      <c r="BC265" s="286"/>
    </row>
    <row r="266" spans="1:55" s="285" customFormat="1" ht="13.5" customHeight="1">
      <c r="A266" s="297"/>
      <c r="B266" s="296">
        <v>43529</v>
      </c>
      <c r="C266" s="295" t="s">
        <v>451</v>
      </c>
      <c r="D266" s="294">
        <v>76</v>
      </c>
      <c r="E266" s="294"/>
      <c r="F266" s="294">
        <v>32</v>
      </c>
      <c r="G266" s="294">
        <v>44</v>
      </c>
      <c r="H266" s="294"/>
      <c r="I266" s="294"/>
      <c r="J266" s="294"/>
      <c r="K266" s="294"/>
      <c r="L266" s="294"/>
      <c r="M266" s="294"/>
      <c r="N266" s="294"/>
      <c r="O266" s="294"/>
      <c r="P266" s="294"/>
      <c r="Q266" s="294"/>
      <c r="R266" s="294"/>
      <c r="S266" s="294"/>
      <c r="T266" s="294"/>
      <c r="U266" s="294"/>
      <c r="V266" s="294"/>
      <c r="W266" s="294"/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  <c r="BA266" s="286"/>
      <c r="BB266" s="286"/>
      <c r="BC266" s="286"/>
    </row>
    <row r="267" spans="1:55" s="285" customFormat="1" ht="13.5" customHeight="1">
      <c r="A267" s="297"/>
      <c r="B267" s="296">
        <v>43530</v>
      </c>
      <c r="C267" s="295" t="s">
        <v>501</v>
      </c>
      <c r="D267" s="294">
        <v>30</v>
      </c>
      <c r="E267" s="294"/>
      <c r="F267" s="294"/>
      <c r="G267" s="294"/>
      <c r="H267" s="294"/>
      <c r="I267" s="294"/>
      <c r="J267" s="294"/>
      <c r="K267" s="294"/>
      <c r="L267" s="294"/>
      <c r="M267" s="294"/>
      <c r="N267" s="294"/>
      <c r="O267" s="294"/>
      <c r="P267" s="294"/>
      <c r="Q267" s="294"/>
      <c r="R267" s="294">
        <f>D267</f>
        <v>30</v>
      </c>
      <c r="S267" s="294"/>
      <c r="T267" s="294"/>
      <c r="U267" s="294"/>
      <c r="V267" s="294"/>
      <c r="W267" s="294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286"/>
      <c r="BB267" s="286"/>
      <c r="BC267" s="286"/>
    </row>
    <row r="268" spans="1:55" s="285" customFormat="1" ht="13.5" customHeight="1">
      <c r="A268" s="297"/>
      <c r="B268" s="296">
        <v>43530</v>
      </c>
      <c r="C268" s="295" t="s">
        <v>500</v>
      </c>
      <c r="D268" s="294">
        <v>30</v>
      </c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>
        <f>D268</f>
        <v>30</v>
      </c>
      <c r="T268" s="294"/>
      <c r="U268" s="294"/>
      <c r="V268" s="294"/>
      <c r="W268" s="294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  <c r="BA268" s="286"/>
      <c r="BB268" s="286"/>
      <c r="BC268" s="286"/>
    </row>
    <row r="269" spans="1:55" s="285" customFormat="1" ht="13.5" customHeight="1">
      <c r="A269" s="297"/>
      <c r="B269" s="296">
        <v>43531</v>
      </c>
      <c r="C269" s="295" t="s">
        <v>465</v>
      </c>
      <c r="D269" s="294">
        <v>76.349999999999994</v>
      </c>
      <c r="E269" s="294"/>
      <c r="F269" s="294"/>
      <c r="G269" s="294"/>
      <c r="H269" s="294">
        <v>76.349999999999994</v>
      </c>
      <c r="I269" s="294"/>
      <c r="J269" s="294"/>
      <c r="K269" s="294"/>
      <c r="L269" s="294"/>
      <c r="M269" s="294"/>
      <c r="N269" s="294"/>
      <c r="O269" s="294"/>
      <c r="P269" s="294"/>
      <c r="Q269" s="294"/>
      <c r="R269" s="294"/>
      <c r="S269" s="294"/>
      <c r="T269" s="294"/>
      <c r="U269" s="294"/>
      <c r="V269" s="294"/>
      <c r="W269" s="294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286"/>
      <c r="BB269" s="286"/>
      <c r="BC269" s="286"/>
    </row>
    <row r="270" spans="1:55" s="285" customFormat="1" ht="13.5" customHeight="1">
      <c r="A270" s="297"/>
      <c r="B270" s="296">
        <v>43531</v>
      </c>
      <c r="C270" s="295" t="s">
        <v>499</v>
      </c>
      <c r="D270" s="294">
        <v>469.98</v>
      </c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  <c r="O270" s="294"/>
      <c r="P270" s="294"/>
      <c r="Q270" s="294">
        <v>469.98</v>
      </c>
      <c r="R270" s="294"/>
      <c r="S270" s="294"/>
      <c r="T270" s="294"/>
      <c r="U270" s="294"/>
      <c r="V270" s="294"/>
      <c r="W270" s="294"/>
      <c r="X270" s="308"/>
      <c r="Y270" s="308"/>
      <c r="Z270" s="308"/>
      <c r="AA270" s="308"/>
      <c r="AB270" s="308"/>
      <c r="AC270" s="308"/>
      <c r="AD270" s="308"/>
      <c r="AE270" s="308"/>
      <c r="AF270" s="308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286"/>
      <c r="BB270" s="286"/>
      <c r="BC270" s="286"/>
    </row>
    <row r="271" spans="1:55" s="285" customFormat="1" ht="13.5" customHeight="1">
      <c r="A271" s="297"/>
      <c r="B271" s="296">
        <v>43532</v>
      </c>
      <c r="C271" s="295" t="s">
        <v>223</v>
      </c>
      <c r="D271" s="294">
        <v>110</v>
      </c>
      <c r="E271" s="294"/>
      <c r="F271" s="294"/>
      <c r="G271" s="294">
        <v>110</v>
      </c>
      <c r="H271" s="294"/>
      <c r="I271" s="294"/>
      <c r="J271" s="294"/>
      <c r="K271" s="294"/>
      <c r="L271" s="294"/>
      <c r="M271" s="294"/>
      <c r="N271" s="294"/>
      <c r="O271" s="294"/>
      <c r="P271" s="294"/>
      <c r="Q271" s="294"/>
      <c r="R271" s="294"/>
      <c r="S271" s="294"/>
      <c r="T271" s="294"/>
      <c r="U271" s="294"/>
      <c r="V271" s="294"/>
      <c r="W271" s="294"/>
      <c r="X271" s="308"/>
      <c r="Y271" s="308"/>
      <c r="Z271" s="308"/>
      <c r="AA271" s="308"/>
      <c r="AB271" s="308"/>
      <c r="AC271" s="308"/>
      <c r="AD271" s="308"/>
      <c r="AE271" s="308"/>
      <c r="AF271" s="308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  <c r="BA271" s="286"/>
      <c r="BB271" s="286"/>
      <c r="BC271" s="286"/>
    </row>
    <row r="272" spans="1:55" s="285" customFormat="1" ht="13.5" customHeight="1">
      <c r="A272" s="297"/>
      <c r="B272" s="296">
        <v>43532</v>
      </c>
      <c r="C272" s="295" t="s">
        <v>469</v>
      </c>
      <c r="D272" s="294">
        <v>73.150000000000006</v>
      </c>
      <c r="E272" s="294"/>
      <c r="F272" s="294"/>
      <c r="G272" s="294">
        <v>73.150000000000006</v>
      </c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94"/>
      <c r="U272" s="294"/>
      <c r="V272" s="294"/>
      <c r="W272" s="294"/>
      <c r="X272" s="308"/>
      <c r="Y272" s="308"/>
      <c r="Z272" s="308"/>
      <c r="AA272" s="308"/>
      <c r="AB272" s="308"/>
      <c r="AC272" s="308"/>
      <c r="AD272" s="308"/>
      <c r="AE272" s="308"/>
      <c r="AF272" s="308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  <c r="BA272" s="286"/>
      <c r="BB272" s="286"/>
      <c r="BC272" s="286"/>
    </row>
    <row r="273" spans="1:55" s="285" customFormat="1" ht="13.5" customHeight="1">
      <c r="A273" s="297"/>
      <c r="B273" s="296">
        <v>43532</v>
      </c>
      <c r="C273" s="295" t="s">
        <v>498</v>
      </c>
      <c r="D273" s="294">
        <v>59</v>
      </c>
      <c r="E273" s="294"/>
      <c r="F273" s="294"/>
      <c r="G273" s="294"/>
      <c r="H273" s="294"/>
      <c r="I273" s="294"/>
      <c r="J273" s="294"/>
      <c r="K273" s="294">
        <v>59</v>
      </c>
      <c r="L273" s="294"/>
      <c r="M273" s="294"/>
      <c r="N273" s="294"/>
      <c r="O273" s="294"/>
      <c r="P273" s="294"/>
      <c r="Q273" s="294"/>
      <c r="R273" s="294"/>
      <c r="S273" s="294"/>
      <c r="T273" s="294"/>
      <c r="U273" s="294"/>
      <c r="V273" s="294"/>
      <c r="W273" s="294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286"/>
      <c r="BB273" s="286"/>
      <c r="BC273" s="286"/>
    </row>
    <row r="274" spans="1:55" s="285" customFormat="1" ht="13.5" customHeight="1">
      <c r="A274" s="297"/>
      <c r="B274" s="296">
        <v>43532</v>
      </c>
      <c r="C274" s="295" t="s">
        <v>40</v>
      </c>
      <c r="D274" s="294">
        <v>56</v>
      </c>
      <c r="E274" s="294"/>
      <c r="F274" s="294"/>
      <c r="G274" s="294">
        <v>56</v>
      </c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94"/>
      <c r="U274" s="294"/>
      <c r="V274" s="294"/>
      <c r="W274" s="294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  <c r="BA274" s="286"/>
      <c r="BB274" s="286"/>
      <c r="BC274" s="286"/>
    </row>
    <row r="275" spans="1:55" s="285" customFormat="1" ht="13.5" customHeight="1">
      <c r="A275" s="297"/>
      <c r="B275" s="296">
        <v>43535</v>
      </c>
      <c r="C275" s="295" t="s">
        <v>451</v>
      </c>
      <c r="D275" s="294">
        <v>74.599999999999994</v>
      </c>
      <c r="E275" s="294"/>
      <c r="F275" s="294"/>
      <c r="G275" s="294">
        <v>74.599999999999994</v>
      </c>
      <c r="H275" s="294"/>
      <c r="I275" s="294"/>
      <c r="J275" s="294"/>
      <c r="K275" s="294"/>
      <c r="L275" s="294"/>
      <c r="M275" s="294"/>
      <c r="N275" s="294"/>
      <c r="O275" s="294"/>
      <c r="P275" s="294"/>
      <c r="Q275" s="294"/>
      <c r="R275" s="294"/>
      <c r="S275" s="294"/>
      <c r="T275" s="294"/>
      <c r="U275" s="294"/>
      <c r="V275" s="294"/>
      <c r="W275" s="294"/>
      <c r="X275" s="308"/>
      <c r="Y275" s="308"/>
      <c r="Z275" s="308"/>
      <c r="AA275" s="308"/>
      <c r="AB275" s="308"/>
      <c r="AC275" s="308"/>
      <c r="AD275" s="308"/>
      <c r="AE275" s="308"/>
      <c r="AF275" s="308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286"/>
      <c r="BB275" s="286"/>
      <c r="BC275" s="286"/>
    </row>
    <row r="276" spans="1:55" s="285" customFormat="1" ht="13.5" customHeight="1">
      <c r="A276" s="297"/>
      <c r="B276" s="296">
        <v>43537</v>
      </c>
      <c r="C276" s="295" t="s">
        <v>451</v>
      </c>
      <c r="D276" s="294">
        <v>28.5</v>
      </c>
      <c r="E276" s="294"/>
      <c r="F276" s="294"/>
      <c r="G276" s="294">
        <v>28.5</v>
      </c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  <c r="T276" s="294"/>
      <c r="U276" s="294"/>
      <c r="V276" s="294"/>
      <c r="W276" s="294"/>
      <c r="X276" s="308"/>
      <c r="Y276" s="308"/>
      <c r="Z276" s="308"/>
      <c r="AA276" s="308"/>
      <c r="AB276" s="308"/>
      <c r="AC276" s="308"/>
      <c r="AD276" s="308"/>
      <c r="AE276" s="308"/>
      <c r="AF276" s="308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  <c r="BA276" s="286"/>
      <c r="BB276" s="286"/>
      <c r="BC276" s="286"/>
    </row>
    <row r="277" spans="1:55" s="285" customFormat="1" ht="13.5" customHeight="1">
      <c r="A277" s="297"/>
      <c r="B277" s="296">
        <v>43540</v>
      </c>
      <c r="C277" s="295" t="s">
        <v>451</v>
      </c>
      <c r="D277" s="294">
        <v>87.5</v>
      </c>
      <c r="E277" s="294"/>
      <c r="F277" s="294"/>
      <c r="G277" s="294">
        <v>87.5</v>
      </c>
      <c r="H277" s="294"/>
      <c r="I277" s="294"/>
      <c r="J277" s="294"/>
      <c r="K277" s="294"/>
      <c r="L277" s="294"/>
      <c r="M277" s="294"/>
      <c r="N277" s="294"/>
      <c r="O277" s="294"/>
      <c r="P277" s="294"/>
      <c r="Q277" s="294"/>
      <c r="R277" s="294"/>
      <c r="S277" s="294"/>
      <c r="T277" s="294"/>
      <c r="U277" s="294"/>
      <c r="V277" s="294"/>
      <c r="W277" s="294"/>
      <c r="X277" s="308"/>
      <c r="Y277" s="308"/>
      <c r="Z277" s="308"/>
      <c r="AA277" s="308"/>
      <c r="AB277" s="308"/>
      <c r="AC277" s="308"/>
      <c r="AD277" s="308"/>
      <c r="AE277" s="308"/>
      <c r="AF277" s="308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  <c r="BA277" s="286"/>
      <c r="BB277" s="286"/>
      <c r="BC277" s="286"/>
    </row>
    <row r="278" spans="1:55" s="285" customFormat="1" ht="13.5" customHeight="1">
      <c r="A278" s="297"/>
      <c r="B278" s="296">
        <v>43545</v>
      </c>
      <c r="C278" s="295" t="s">
        <v>8</v>
      </c>
      <c r="D278" s="294">
        <v>400</v>
      </c>
      <c r="E278" s="294"/>
      <c r="F278" s="294"/>
      <c r="G278" s="294"/>
      <c r="H278" s="294"/>
      <c r="I278" s="294"/>
      <c r="J278" s="294"/>
      <c r="K278" s="294"/>
      <c r="L278" s="294"/>
      <c r="M278" s="294"/>
      <c r="N278" s="294"/>
      <c r="O278" s="294"/>
      <c r="P278" s="294"/>
      <c r="Q278" s="294"/>
      <c r="R278" s="294"/>
      <c r="S278" s="294"/>
      <c r="T278" s="294">
        <f>D278</f>
        <v>400</v>
      </c>
      <c r="U278" s="294"/>
      <c r="V278" s="294"/>
      <c r="W278" s="294"/>
      <c r="X278" s="308"/>
      <c r="Y278" s="308"/>
      <c r="Z278" s="308"/>
      <c r="AA278" s="308"/>
      <c r="AB278" s="308"/>
      <c r="AC278" s="308"/>
      <c r="AD278" s="308"/>
      <c r="AE278" s="308"/>
      <c r="AF278" s="308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  <c r="BA278" s="286"/>
      <c r="BB278" s="286"/>
      <c r="BC278" s="286"/>
    </row>
    <row r="279" spans="1:55" s="285" customFormat="1" ht="13.5" customHeight="1">
      <c r="A279" s="297"/>
      <c r="B279" s="296">
        <v>43541</v>
      </c>
      <c r="C279" s="295" t="s">
        <v>233</v>
      </c>
      <c r="D279" s="294">
        <v>60</v>
      </c>
      <c r="E279" s="294"/>
      <c r="F279" s="294">
        <v>60</v>
      </c>
      <c r="G279" s="294"/>
      <c r="H279" s="294"/>
      <c r="I279" s="294"/>
      <c r="J279" s="294"/>
      <c r="K279" s="294"/>
      <c r="L279" s="294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308"/>
      <c r="Y279" s="308"/>
      <c r="Z279" s="308"/>
      <c r="AA279" s="308"/>
      <c r="AB279" s="308"/>
      <c r="AC279" s="308"/>
      <c r="AD279" s="308"/>
      <c r="AE279" s="308"/>
      <c r="AF279" s="308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286"/>
      <c r="BB279" s="286"/>
      <c r="BC279" s="286"/>
    </row>
    <row r="280" spans="1:55" s="285" customFormat="1" ht="13.5" customHeight="1">
      <c r="A280" s="297"/>
      <c r="B280" s="296">
        <v>43542</v>
      </c>
      <c r="C280" s="295" t="s">
        <v>13</v>
      </c>
      <c r="D280" s="294">
        <v>400</v>
      </c>
      <c r="E280" s="294"/>
      <c r="F280" s="294"/>
      <c r="G280" s="294"/>
      <c r="H280" s="294"/>
      <c r="I280" s="294"/>
      <c r="J280" s="294"/>
      <c r="K280" s="294"/>
      <c r="L280" s="294"/>
      <c r="M280" s="294"/>
      <c r="N280" s="294"/>
      <c r="O280" s="294"/>
      <c r="P280" s="294"/>
      <c r="Q280" s="294"/>
      <c r="R280" s="294"/>
      <c r="S280" s="294"/>
      <c r="T280" s="294">
        <f>D280</f>
        <v>400</v>
      </c>
      <c r="U280" s="294"/>
      <c r="V280" s="294"/>
      <c r="W280" s="294"/>
      <c r="X280" s="308"/>
      <c r="Y280" s="308"/>
      <c r="Z280" s="308"/>
      <c r="AA280" s="308"/>
      <c r="AB280" s="308"/>
      <c r="AC280" s="308"/>
      <c r="AD280" s="308"/>
      <c r="AE280" s="308"/>
      <c r="AF280" s="308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  <c r="BA280" s="286"/>
      <c r="BB280" s="286"/>
      <c r="BC280" s="286"/>
    </row>
    <row r="281" spans="1:55" s="285" customFormat="1" ht="13.5" customHeight="1">
      <c r="A281" s="297"/>
      <c r="B281" s="296">
        <v>43542</v>
      </c>
      <c r="C281" s="295" t="s">
        <v>469</v>
      </c>
      <c r="D281" s="294">
        <v>97</v>
      </c>
      <c r="E281" s="294"/>
      <c r="F281" s="294"/>
      <c r="G281" s="294">
        <v>97</v>
      </c>
      <c r="H281" s="294"/>
      <c r="I281" s="294"/>
      <c r="J281" s="294"/>
      <c r="K281" s="294"/>
      <c r="L281" s="294"/>
      <c r="M281" s="294"/>
      <c r="N281" s="294"/>
      <c r="O281" s="294"/>
      <c r="P281" s="294"/>
      <c r="Q281" s="294"/>
      <c r="R281" s="294"/>
      <c r="S281" s="294"/>
      <c r="T281" s="294"/>
      <c r="U281" s="294"/>
      <c r="V281" s="294"/>
      <c r="W281" s="294"/>
      <c r="X281" s="308"/>
      <c r="Y281" s="308"/>
      <c r="Z281" s="308"/>
      <c r="AA281" s="308"/>
      <c r="AB281" s="308"/>
      <c r="AC281" s="308"/>
      <c r="AD281" s="308"/>
      <c r="AE281" s="308"/>
      <c r="AF281" s="308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  <c r="BC281" s="286"/>
    </row>
    <row r="282" spans="1:55" s="285" customFormat="1" ht="13.5" customHeight="1">
      <c r="A282" s="297"/>
      <c r="B282" s="296">
        <v>43546</v>
      </c>
      <c r="C282" s="295" t="s">
        <v>451</v>
      </c>
      <c r="D282" s="294">
        <v>60</v>
      </c>
      <c r="E282" s="294"/>
      <c r="F282" s="294"/>
      <c r="G282" s="294">
        <v>60</v>
      </c>
      <c r="H282" s="294"/>
      <c r="I282" s="294"/>
      <c r="J282" s="294"/>
      <c r="K282" s="294"/>
      <c r="L282" s="294"/>
      <c r="M282" s="294"/>
      <c r="N282" s="294"/>
      <c r="O282" s="294"/>
      <c r="P282" s="294"/>
      <c r="Q282" s="294"/>
      <c r="R282" s="294"/>
      <c r="S282" s="294"/>
      <c r="T282" s="294"/>
      <c r="U282" s="294"/>
      <c r="V282" s="294"/>
      <c r="W282" s="294"/>
      <c r="X282" s="308"/>
      <c r="Y282" s="308"/>
      <c r="Z282" s="308"/>
      <c r="AA282" s="308"/>
      <c r="AB282" s="308"/>
      <c r="AC282" s="308"/>
      <c r="AD282" s="308"/>
      <c r="AE282" s="308"/>
      <c r="AF282" s="308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  <c r="BA282" s="286"/>
      <c r="BB282" s="286"/>
      <c r="BC282" s="286"/>
    </row>
    <row r="283" spans="1:55" s="285" customFormat="1" ht="13.5" customHeight="1">
      <c r="A283" s="297"/>
      <c r="B283" s="296">
        <v>43547</v>
      </c>
      <c r="C283" s="295" t="s">
        <v>451</v>
      </c>
      <c r="D283" s="294">
        <v>49.5</v>
      </c>
      <c r="E283" s="294"/>
      <c r="F283" s="294"/>
      <c r="G283" s="294">
        <v>49.5</v>
      </c>
      <c r="H283" s="294"/>
      <c r="I283" s="294"/>
      <c r="J283" s="294"/>
      <c r="K283" s="294"/>
      <c r="L283" s="294"/>
      <c r="M283" s="294"/>
      <c r="N283" s="294"/>
      <c r="O283" s="294"/>
      <c r="P283" s="294"/>
      <c r="Q283" s="294"/>
      <c r="R283" s="294"/>
      <c r="S283" s="294"/>
      <c r="T283" s="294"/>
      <c r="U283" s="294"/>
      <c r="V283" s="294"/>
      <c r="W283" s="294"/>
      <c r="X283" s="308"/>
      <c r="Y283" s="308"/>
      <c r="Z283" s="308"/>
      <c r="AA283" s="308"/>
      <c r="AB283" s="308"/>
      <c r="AC283" s="308"/>
      <c r="AD283" s="308"/>
      <c r="AE283" s="308"/>
      <c r="AF283" s="308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  <c r="BC283" s="286"/>
    </row>
    <row r="284" spans="1:55" s="285" customFormat="1" ht="13.5" customHeight="1">
      <c r="A284" s="297"/>
      <c r="B284" s="296">
        <v>43549</v>
      </c>
      <c r="C284" s="295" t="s">
        <v>465</v>
      </c>
      <c r="D284" s="294">
        <v>27.45</v>
      </c>
      <c r="E284" s="294"/>
      <c r="F284" s="294"/>
      <c r="G284" s="294"/>
      <c r="H284" s="294">
        <v>27.45</v>
      </c>
      <c r="I284" s="294"/>
      <c r="J284" s="294"/>
      <c r="K284" s="294"/>
      <c r="L284" s="294"/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308"/>
      <c r="Y284" s="308"/>
      <c r="Z284" s="308"/>
      <c r="AA284" s="308"/>
      <c r="AB284" s="308"/>
      <c r="AC284" s="308"/>
      <c r="AD284" s="308"/>
      <c r="AE284" s="308"/>
      <c r="AF284" s="308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  <c r="BA284" s="286"/>
      <c r="BB284" s="286"/>
      <c r="BC284" s="286"/>
    </row>
    <row r="285" spans="1:55" s="285" customFormat="1" ht="13.5" customHeight="1">
      <c r="A285" s="297"/>
      <c r="B285" s="296">
        <v>43549</v>
      </c>
      <c r="C285" s="295" t="s">
        <v>40</v>
      </c>
      <c r="D285" s="294">
        <v>36.950000000000003</v>
      </c>
      <c r="E285" s="294"/>
      <c r="F285" s="294"/>
      <c r="G285" s="294">
        <v>36.950000000000003</v>
      </c>
      <c r="H285" s="294"/>
      <c r="I285" s="294"/>
      <c r="J285" s="294"/>
      <c r="K285" s="294"/>
      <c r="L285" s="294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308"/>
      <c r="Y285" s="308"/>
      <c r="Z285" s="308"/>
      <c r="AA285" s="308"/>
      <c r="AB285" s="308"/>
      <c r="AC285" s="308"/>
      <c r="AD285" s="308"/>
      <c r="AE285" s="308"/>
      <c r="AF285" s="308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286"/>
      <c r="BB285" s="286"/>
      <c r="BC285" s="286"/>
    </row>
    <row r="286" spans="1:55" s="285" customFormat="1" ht="13.5" customHeight="1">
      <c r="A286" s="297"/>
      <c r="B286" s="296">
        <v>43550</v>
      </c>
      <c r="C286" s="295" t="s">
        <v>466</v>
      </c>
      <c r="D286" s="294">
        <v>20</v>
      </c>
      <c r="E286" s="294"/>
      <c r="F286" s="294"/>
      <c r="G286" s="294">
        <v>20</v>
      </c>
      <c r="H286" s="294"/>
      <c r="I286" s="294"/>
      <c r="J286" s="294"/>
      <c r="K286" s="294"/>
      <c r="L286" s="294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308"/>
      <c r="Y286" s="308"/>
      <c r="Z286" s="308"/>
      <c r="AA286" s="308"/>
      <c r="AB286" s="308"/>
      <c r="AC286" s="308"/>
      <c r="AD286" s="308"/>
      <c r="AE286" s="308"/>
      <c r="AF286" s="308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286"/>
      <c r="BB286" s="286"/>
      <c r="BC286" s="286"/>
    </row>
    <row r="287" spans="1:55" s="285" customFormat="1" ht="13.5" customHeight="1">
      <c r="A287" s="297"/>
      <c r="B287" s="296">
        <v>43550</v>
      </c>
      <c r="C287" s="295" t="s">
        <v>469</v>
      </c>
      <c r="D287" s="294">
        <v>60</v>
      </c>
      <c r="E287" s="294"/>
      <c r="F287" s="294"/>
      <c r="G287" s="294">
        <v>60</v>
      </c>
      <c r="H287" s="294"/>
      <c r="I287" s="294"/>
      <c r="J287" s="294"/>
      <c r="K287" s="294"/>
      <c r="L287" s="294"/>
      <c r="M287" s="294"/>
      <c r="N287" s="294"/>
      <c r="O287" s="294"/>
      <c r="P287" s="294"/>
      <c r="Q287" s="294"/>
      <c r="R287" s="294"/>
      <c r="S287" s="294"/>
      <c r="T287" s="294"/>
      <c r="U287" s="294"/>
      <c r="V287" s="294"/>
      <c r="W287" s="294"/>
      <c r="X287" s="308"/>
      <c r="Y287" s="308"/>
      <c r="Z287" s="308"/>
      <c r="AA287" s="308"/>
      <c r="AB287" s="308"/>
      <c r="AC287" s="308"/>
      <c r="AD287" s="308"/>
      <c r="AE287" s="308"/>
      <c r="AF287" s="308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286"/>
      <c r="BB287" s="286"/>
      <c r="BC287" s="286"/>
    </row>
    <row r="288" spans="1:55" s="285" customFormat="1" ht="13.5" customHeight="1">
      <c r="A288" s="297"/>
      <c r="B288" s="296">
        <v>43550</v>
      </c>
      <c r="C288" s="295" t="s">
        <v>496</v>
      </c>
      <c r="D288" s="294">
        <v>10</v>
      </c>
      <c r="E288" s="294"/>
      <c r="F288" s="294"/>
      <c r="G288" s="294">
        <v>10</v>
      </c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286"/>
      <c r="BB288" s="286"/>
      <c r="BC288" s="286"/>
    </row>
    <row r="289" spans="1:55" s="285" customFormat="1" ht="13.5" customHeight="1">
      <c r="A289" s="297"/>
      <c r="B289" s="296">
        <v>43551</v>
      </c>
      <c r="C289" s="295" t="s">
        <v>466</v>
      </c>
      <c r="D289" s="294">
        <v>45</v>
      </c>
      <c r="E289" s="294"/>
      <c r="F289" s="294"/>
      <c r="G289" s="294">
        <v>45</v>
      </c>
      <c r="H289" s="294"/>
      <c r="I289" s="294"/>
      <c r="J289" s="294"/>
      <c r="K289" s="294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308"/>
      <c r="Y289" s="308"/>
      <c r="Z289" s="308"/>
      <c r="AA289" s="308"/>
      <c r="AB289" s="308"/>
      <c r="AC289" s="308"/>
      <c r="AD289" s="308"/>
      <c r="AE289" s="308"/>
      <c r="AF289" s="308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286"/>
      <c r="BB289" s="286"/>
      <c r="BC289" s="286"/>
    </row>
    <row r="290" spans="1:55" s="285" customFormat="1" ht="13.5" customHeight="1">
      <c r="A290" s="297"/>
      <c r="B290" s="296">
        <v>43552</v>
      </c>
      <c r="C290" s="295" t="s">
        <v>40</v>
      </c>
      <c r="D290" s="294">
        <v>6</v>
      </c>
      <c r="E290" s="294"/>
      <c r="F290" s="294"/>
      <c r="G290" s="294">
        <v>6</v>
      </c>
      <c r="H290" s="294"/>
      <c r="I290" s="294"/>
      <c r="J290" s="294"/>
      <c r="K290" s="294"/>
      <c r="L290" s="294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308"/>
      <c r="Y290" s="308"/>
      <c r="Z290" s="308"/>
      <c r="AA290" s="308"/>
      <c r="AB290" s="308"/>
      <c r="AC290" s="308"/>
      <c r="AD290" s="308"/>
      <c r="AE290" s="308"/>
      <c r="AF290" s="308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  <c r="BC290" s="286"/>
    </row>
    <row r="291" spans="1:55" s="290" customFormat="1" ht="13.5" customHeight="1">
      <c r="A291" s="293"/>
      <c r="B291" s="3032" t="s">
        <v>119</v>
      </c>
      <c r="C291" s="3033" t="str">
        <f>F1</f>
        <v>april</v>
      </c>
      <c r="D291" s="310" t="e">
        <f t="shared" ref="D291:V291" si="11">SUM(D292:D374)</f>
        <v>#REF!</v>
      </c>
      <c r="E291" s="310">
        <f t="shared" si="11"/>
        <v>2636.7400000000002</v>
      </c>
      <c r="F291" s="310">
        <f t="shared" si="11"/>
        <v>3044.79</v>
      </c>
      <c r="G291" s="310">
        <f t="shared" si="11"/>
        <v>1957.3500000000001</v>
      </c>
      <c r="H291" s="310">
        <f t="shared" si="11"/>
        <v>422.19999999999993</v>
      </c>
      <c r="I291" s="310">
        <f t="shared" si="11"/>
        <v>103.6</v>
      </c>
      <c r="J291" s="310">
        <f t="shared" si="11"/>
        <v>0</v>
      </c>
      <c r="K291" s="310">
        <f t="shared" si="11"/>
        <v>25.5</v>
      </c>
      <c r="L291" s="310">
        <f t="shared" si="11"/>
        <v>161</v>
      </c>
      <c r="M291" s="310">
        <f t="shared" si="11"/>
        <v>7474</v>
      </c>
      <c r="N291" s="310">
        <f t="shared" si="11"/>
        <v>680</v>
      </c>
      <c r="O291" s="310" t="e">
        <f t="shared" si="11"/>
        <v>#REF!</v>
      </c>
      <c r="P291" s="310">
        <f t="shared" si="11"/>
        <v>373.46000000000004</v>
      </c>
      <c r="Q291" s="310">
        <f t="shared" si="11"/>
        <v>50</v>
      </c>
      <c r="R291" s="310">
        <f t="shared" si="11"/>
        <v>0</v>
      </c>
      <c r="S291" s="310">
        <f t="shared" si="11"/>
        <v>0</v>
      </c>
      <c r="T291" s="310">
        <f t="shared" si="11"/>
        <v>300</v>
      </c>
      <c r="U291" s="310">
        <f t="shared" si="11"/>
        <v>0</v>
      </c>
      <c r="V291" s="310" t="e">
        <f t="shared" si="11"/>
        <v>#REF!</v>
      </c>
      <c r="W291" s="310"/>
      <c r="X291" s="309"/>
      <c r="Y291" s="309"/>
      <c r="Z291" s="309"/>
      <c r="AA291" s="309"/>
      <c r="AB291" s="309"/>
      <c r="AC291" s="309"/>
      <c r="AD291" s="309"/>
      <c r="AE291" s="309"/>
      <c r="AF291" s="309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</row>
    <row r="292" spans="1:55" s="285" customFormat="1" ht="13.5" customHeight="1">
      <c r="A292" s="297"/>
      <c r="B292" s="296">
        <v>43553</v>
      </c>
      <c r="C292" s="295" t="s">
        <v>497</v>
      </c>
      <c r="D292" s="294">
        <v>49.46</v>
      </c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>
        <v>49.46</v>
      </c>
      <c r="Q292" s="294"/>
      <c r="R292" s="294"/>
      <c r="S292" s="294"/>
      <c r="T292" s="294"/>
      <c r="U292" s="294"/>
      <c r="V292" s="294"/>
      <c r="W292" s="294"/>
      <c r="X292" s="308"/>
      <c r="Y292" s="308"/>
      <c r="Z292" s="308"/>
      <c r="AA292" s="308"/>
      <c r="AB292" s="308"/>
      <c r="AC292" s="308"/>
      <c r="AD292" s="308"/>
      <c r="AE292" s="308"/>
      <c r="AF292" s="308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286"/>
      <c r="BB292" s="286"/>
      <c r="BC292" s="286"/>
    </row>
    <row r="293" spans="1:55" s="285" customFormat="1" ht="13.5" customHeight="1">
      <c r="A293" s="297"/>
      <c r="B293" s="296">
        <v>43553</v>
      </c>
      <c r="C293" s="295" t="s">
        <v>496</v>
      </c>
      <c r="D293" s="294">
        <v>45</v>
      </c>
      <c r="E293" s="294"/>
      <c r="F293" s="294"/>
      <c r="G293" s="294">
        <v>45</v>
      </c>
      <c r="H293" s="294"/>
      <c r="I293" s="294"/>
      <c r="J293" s="294"/>
      <c r="K293" s="294"/>
      <c r="L293" s="294"/>
      <c r="M293" s="294"/>
      <c r="N293" s="294"/>
      <c r="O293" s="294"/>
      <c r="P293" s="294"/>
      <c r="Q293" s="294"/>
      <c r="R293" s="294"/>
      <c r="S293" s="294"/>
      <c r="T293" s="294"/>
      <c r="U293" s="294"/>
      <c r="V293" s="294"/>
      <c r="W293" s="294"/>
      <c r="X293" s="308"/>
      <c r="Y293" s="308"/>
      <c r="Z293" s="308"/>
      <c r="AA293" s="308"/>
      <c r="AB293" s="308"/>
      <c r="AC293" s="308"/>
      <c r="AD293" s="308"/>
      <c r="AE293" s="308"/>
      <c r="AF293" s="308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  <c r="BA293" s="286"/>
      <c r="BB293" s="286"/>
      <c r="BC293" s="286"/>
    </row>
    <row r="294" spans="1:55" s="285" customFormat="1" ht="13.5" customHeight="1">
      <c r="A294" s="297"/>
      <c r="B294" s="296">
        <v>43553</v>
      </c>
      <c r="C294" s="295" t="s">
        <v>473</v>
      </c>
      <c r="D294" s="294">
        <v>50</v>
      </c>
      <c r="E294" s="294"/>
      <c r="F294" s="294">
        <v>50</v>
      </c>
      <c r="G294" s="294"/>
      <c r="H294" s="294"/>
      <c r="I294" s="294"/>
      <c r="J294" s="294"/>
      <c r="K294" s="294"/>
      <c r="L294" s="294"/>
      <c r="M294" s="294"/>
      <c r="N294" s="294"/>
      <c r="O294" s="294"/>
      <c r="P294" s="294"/>
      <c r="Q294" s="294"/>
      <c r="R294" s="294"/>
      <c r="S294" s="294"/>
      <c r="T294" s="294"/>
      <c r="U294" s="294"/>
      <c r="V294" s="294"/>
      <c r="W294" s="294"/>
      <c r="X294" s="308"/>
      <c r="Y294" s="308"/>
      <c r="Z294" s="308"/>
      <c r="AA294" s="308"/>
      <c r="AB294" s="308"/>
      <c r="AC294" s="308"/>
      <c r="AD294" s="308"/>
      <c r="AE294" s="308"/>
      <c r="AF294" s="308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286"/>
      <c r="BB294" s="286"/>
      <c r="BC294" s="286"/>
    </row>
    <row r="295" spans="1:55" s="285" customFormat="1" ht="13.5" customHeight="1">
      <c r="A295" s="297"/>
      <c r="B295" s="296">
        <v>43553</v>
      </c>
      <c r="C295" s="295" t="s">
        <v>39</v>
      </c>
      <c r="D295" s="294">
        <v>129.4</v>
      </c>
      <c r="E295" s="294"/>
      <c r="F295" s="294"/>
      <c r="G295" s="294">
        <v>98.4</v>
      </c>
      <c r="H295" s="294"/>
      <c r="I295" s="294"/>
      <c r="J295" s="294"/>
      <c r="K295" s="294"/>
      <c r="L295" s="294">
        <v>31</v>
      </c>
      <c r="M295" s="294"/>
      <c r="N295" s="294"/>
      <c r="O295" s="294"/>
      <c r="P295" s="294"/>
      <c r="Q295" s="294"/>
      <c r="R295" s="294"/>
      <c r="S295" s="294"/>
      <c r="T295" s="294"/>
      <c r="U295" s="294"/>
      <c r="V295" s="294"/>
      <c r="W295" s="294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286"/>
      <c r="BB295" s="286"/>
      <c r="BC295" s="286"/>
    </row>
    <row r="296" spans="1:55" s="285" customFormat="1" ht="13.5" customHeight="1">
      <c r="A296" s="297"/>
      <c r="B296" s="296">
        <v>43553</v>
      </c>
      <c r="C296" s="295" t="s">
        <v>451</v>
      </c>
      <c r="D296" s="294">
        <v>103.7</v>
      </c>
      <c r="E296" s="294"/>
      <c r="F296" s="294"/>
      <c r="G296" s="294">
        <v>103.7</v>
      </c>
      <c r="H296" s="294"/>
      <c r="I296" s="294"/>
      <c r="J296" s="294"/>
      <c r="K296" s="294"/>
      <c r="L296" s="294"/>
      <c r="M296" s="294"/>
      <c r="N296" s="294"/>
      <c r="O296" s="294"/>
      <c r="P296" s="294"/>
      <c r="Q296" s="294"/>
      <c r="R296" s="294"/>
      <c r="S296" s="294"/>
      <c r="T296" s="294"/>
      <c r="U296" s="294"/>
      <c r="V296" s="294"/>
      <c r="W296" s="294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  <c r="BC296" s="286"/>
    </row>
    <row r="297" spans="1:55" s="285" customFormat="1" ht="13.5" customHeight="1">
      <c r="A297" s="297"/>
      <c r="B297" s="296">
        <v>43553</v>
      </c>
      <c r="C297" s="295" t="s">
        <v>465</v>
      </c>
      <c r="D297" s="294">
        <v>57.95</v>
      </c>
      <c r="E297" s="294"/>
      <c r="F297" s="294"/>
      <c r="G297" s="294"/>
      <c r="H297" s="294">
        <v>57.95</v>
      </c>
      <c r="I297" s="294"/>
      <c r="J297" s="294"/>
      <c r="K297" s="294"/>
      <c r="L297" s="294"/>
      <c r="M297" s="294"/>
      <c r="N297" s="294"/>
      <c r="O297" s="294"/>
      <c r="P297" s="294"/>
      <c r="Q297" s="294"/>
      <c r="R297" s="294"/>
      <c r="S297" s="294"/>
      <c r="T297" s="294"/>
      <c r="U297" s="294"/>
      <c r="V297" s="294"/>
      <c r="W297" s="294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  <c r="BA297" s="286"/>
      <c r="BB297" s="286"/>
      <c r="BC297" s="286"/>
    </row>
    <row r="298" spans="1:55" s="285" customFormat="1" ht="13.5" customHeight="1">
      <c r="A298" s="297"/>
      <c r="B298" s="296">
        <v>43553</v>
      </c>
      <c r="C298" s="295" t="s">
        <v>464</v>
      </c>
      <c r="D298" s="294">
        <v>169</v>
      </c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>
        <v>169</v>
      </c>
      <c r="P298" s="294"/>
      <c r="Q298" s="294"/>
      <c r="R298" s="294"/>
      <c r="S298" s="294"/>
      <c r="T298" s="294"/>
      <c r="U298" s="294"/>
      <c r="V298" s="294"/>
      <c r="W298" s="294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286"/>
      <c r="BB298" s="286"/>
      <c r="BC298" s="286"/>
    </row>
    <row r="299" spans="1:55" s="285" customFormat="1" ht="13.5" customHeight="1">
      <c r="A299" s="297"/>
      <c r="B299" s="296">
        <v>43553</v>
      </c>
      <c r="C299" s="295" t="s">
        <v>482</v>
      </c>
      <c r="D299" s="294">
        <v>541.95000000000005</v>
      </c>
      <c r="E299" s="294"/>
      <c r="F299" s="294"/>
      <c r="G299" s="294"/>
      <c r="H299" s="294"/>
      <c r="I299" s="294"/>
      <c r="J299" s="294"/>
      <c r="K299" s="294"/>
      <c r="L299" s="294"/>
      <c r="M299" s="294"/>
      <c r="N299" s="294"/>
      <c r="O299" s="294">
        <v>541.95000000000005</v>
      </c>
      <c r="P299" s="294"/>
      <c r="Q299" s="294"/>
      <c r="R299" s="294"/>
      <c r="S299" s="294"/>
      <c r="T299" s="294"/>
      <c r="U299" s="294"/>
      <c r="V299" s="294"/>
      <c r="W299" s="294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286"/>
      <c r="BB299" s="286"/>
      <c r="BC299" s="286"/>
    </row>
    <row r="300" spans="1:55" s="285" customFormat="1" ht="13.5" customHeight="1">
      <c r="A300" s="297"/>
      <c r="B300" s="296">
        <v>43554</v>
      </c>
      <c r="C300" s="295" t="s">
        <v>48</v>
      </c>
      <c r="D300" s="294">
        <v>200</v>
      </c>
      <c r="E300" s="294"/>
      <c r="F300" s="294"/>
      <c r="G300" s="294"/>
      <c r="H300" s="294"/>
      <c r="I300" s="294"/>
      <c r="J300" s="294"/>
      <c r="K300" s="294"/>
      <c r="L300" s="294"/>
      <c r="M300" s="294"/>
      <c r="N300" s="294">
        <v>200</v>
      </c>
      <c r="O300" s="294"/>
      <c r="P300" s="294"/>
      <c r="Q300" s="294"/>
      <c r="R300" s="294"/>
      <c r="S300" s="294"/>
      <c r="T300" s="294"/>
      <c r="U300" s="294"/>
      <c r="V300" s="294"/>
      <c r="W300" s="294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  <c r="BA300" s="286"/>
      <c r="BB300" s="286"/>
      <c r="BC300" s="286"/>
    </row>
    <row r="301" spans="1:55" s="285" customFormat="1" ht="13.5" customHeight="1">
      <c r="A301" s="297"/>
      <c r="B301" s="296">
        <v>43554</v>
      </c>
      <c r="C301" s="295" t="s">
        <v>216</v>
      </c>
      <c r="D301" s="294">
        <v>78.25</v>
      </c>
      <c r="E301" s="294"/>
      <c r="F301" s="294">
        <v>78.25</v>
      </c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94"/>
      <c r="U301" s="294"/>
      <c r="V301" s="294"/>
      <c r="W301" s="294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286"/>
      <c r="BB301" s="286"/>
      <c r="BC301" s="286"/>
    </row>
    <row r="302" spans="1:55" s="285" customFormat="1" ht="13.5" customHeight="1">
      <c r="A302" s="297"/>
      <c r="B302" s="296">
        <v>30</v>
      </c>
      <c r="C302" s="295" t="s">
        <v>469</v>
      </c>
      <c r="D302" s="294">
        <v>59</v>
      </c>
      <c r="E302" s="294"/>
      <c r="F302" s="294">
        <v>59</v>
      </c>
      <c r="G302" s="294"/>
      <c r="H302" s="294"/>
      <c r="I302" s="294"/>
      <c r="J302" s="294"/>
      <c r="K302" s="294"/>
      <c r="L302" s="294"/>
      <c r="M302" s="294"/>
      <c r="N302" s="294"/>
      <c r="O302" s="294"/>
      <c r="P302" s="294"/>
      <c r="Q302" s="294"/>
      <c r="R302" s="294"/>
      <c r="S302" s="294"/>
      <c r="T302" s="294"/>
      <c r="U302" s="294"/>
      <c r="V302" s="294"/>
      <c r="W302" s="294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</row>
    <row r="303" spans="1:55" s="285" customFormat="1" ht="13.5" customHeight="1">
      <c r="A303" s="297"/>
      <c r="B303" s="296">
        <v>43554</v>
      </c>
      <c r="C303" s="295" t="s">
        <v>469</v>
      </c>
      <c r="D303" s="294">
        <v>80</v>
      </c>
      <c r="E303" s="294"/>
      <c r="F303" s="294"/>
      <c r="G303" s="294">
        <v>60</v>
      </c>
      <c r="H303" s="294"/>
      <c r="I303" s="294"/>
      <c r="J303" s="294"/>
      <c r="K303" s="294"/>
      <c r="L303" s="294">
        <v>20</v>
      </c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286"/>
      <c r="BB303" s="286"/>
      <c r="BC303" s="286"/>
    </row>
    <row r="304" spans="1:55" s="285" customFormat="1" ht="13.5" customHeight="1">
      <c r="A304" s="297"/>
      <c r="B304" s="296">
        <v>43554</v>
      </c>
      <c r="C304" s="295" t="s">
        <v>451</v>
      </c>
      <c r="D304" s="294">
        <v>184.9</v>
      </c>
      <c r="E304" s="294"/>
      <c r="F304" s="294"/>
      <c r="G304" s="294">
        <v>184.9</v>
      </c>
      <c r="H304" s="294"/>
      <c r="I304" s="294"/>
      <c r="J304" s="294"/>
      <c r="K304" s="294"/>
      <c r="L304" s="294"/>
      <c r="M304" s="294"/>
      <c r="N304" s="294"/>
      <c r="O304" s="294"/>
      <c r="P304" s="294"/>
      <c r="Q304" s="294"/>
      <c r="R304" s="294"/>
      <c r="S304" s="294"/>
      <c r="T304" s="294"/>
      <c r="U304" s="294"/>
      <c r="V304" s="294"/>
      <c r="W304" s="294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  <c r="BA304" s="286"/>
      <c r="BB304" s="286"/>
      <c r="BC304" s="286"/>
    </row>
    <row r="305" spans="1:55" s="285" customFormat="1" ht="13.5" customHeight="1">
      <c r="A305" s="297"/>
      <c r="B305" s="296">
        <v>43554</v>
      </c>
      <c r="C305" s="295" t="s">
        <v>469</v>
      </c>
      <c r="D305" s="294">
        <v>25</v>
      </c>
      <c r="E305" s="294"/>
      <c r="F305" s="294"/>
      <c r="G305" s="294">
        <v>25</v>
      </c>
      <c r="H305" s="294"/>
      <c r="I305" s="294"/>
      <c r="J305" s="294"/>
      <c r="K305" s="294"/>
      <c r="L305" s="294"/>
      <c r="M305" s="294"/>
      <c r="N305" s="294"/>
      <c r="O305" s="294"/>
      <c r="P305" s="294"/>
      <c r="Q305" s="294"/>
      <c r="R305" s="294"/>
      <c r="S305" s="294"/>
      <c r="T305" s="294"/>
      <c r="U305" s="294"/>
      <c r="V305" s="294"/>
      <c r="W305" s="294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286"/>
      <c r="BB305" s="286"/>
      <c r="BC305" s="286"/>
    </row>
    <row r="306" spans="1:55" s="285" customFormat="1" ht="13.5" customHeight="1">
      <c r="A306" s="297"/>
      <c r="B306" s="296">
        <v>43555</v>
      </c>
      <c r="C306" s="295" t="s">
        <v>490</v>
      </c>
      <c r="D306" s="294">
        <v>100</v>
      </c>
      <c r="E306" s="294"/>
      <c r="F306" s="294"/>
      <c r="G306" s="294"/>
      <c r="H306" s="294"/>
      <c r="I306" s="294">
        <v>80</v>
      </c>
      <c r="J306" s="294"/>
      <c r="K306" s="294"/>
      <c r="L306" s="294">
        <v>20</v>
      </c>
      <c r="M306" s="294"/>
      <c r="N306" s="294"/>
      <c r="O306" s="294"/>
      <c r="P306" s="294"/>
      <c r="Q306" s="294"/>
      <c r="R306" s="294"/>
      <c r="S306" s="294"/>
      <c r="T306" s="294"/>
      <c r="U306" s="294"/>
      <c r="V306" s="294"/>
      <c r="W306" s="294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286"/>
      <c r="BB306" s="286"/>
      <c r="BC306" s="286"/>
    </row>
    <row r="307" spans="1:55" s="285" customFormat="1" ht="13.5" customHeight="1">
      <c r="A307" s="297"/>
      <c r="B307" s="296">
        <v>43555</v>
      </c>
      <c r="C307" s="295" t="s">
        <v>451</v>
      </c>
      <c r="D307" s="294">
        <v>110</v>
      </c>
      <c r="E307" s="294"/>
      <c r="F307" s="294"/>
      <c r="G307" s="294">
        <v>110</v>
      </c>
      <c r="H307" s="294"/>
      <c r="I307" s="294"/>
      <c r="J307" s="294"/>
      <c r="K307" s="294"/>
      <c r="L307" s="294"/>
      <c r="M307" s="294"/>
      <c r="N307" s="294"/>
      <c r="O307" s="294"/>
      <c r="P307" s="294"/>
      <c r="Q307" s="294"/>
      <c r="R307" s="294"/>
      <c r="S307" s="294"/>
      <c r="T307" s="294"/>
      <c r="U307" s="294"/>
      <c r="V307" s="294"/>
      <c r="W307" s="294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286"/>
      <c r="BB307" s="286"/>
      <c r="BC307" s="286"/>
    </row>
    <row r="308" spans="1:55" s="285" customFormat="1" ht="13.5" customHeight="1">
      <c r="A308" s="297"/>
      <c r="B308" s="296">
        <v>43555</v>
      </c>
      <c r="C308" s="295" t="s">
        <v>40</v>
      </c>
      <c r="D308" s="294">
        <v>23</v>
      </c>
      <c r="E308" s="294"/>
      <c r="F308" s="294"/>
      <c r="G308" s="294">
        <v>23</v>
      </c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4"/>
      <c r="S308" s="294"/>
      <c r="T308" s="294"/>
      <c r="U308" s="294"/>
      <c r="V308" s="294"/>
      <c r="W308" s="294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  <c r="BC308" s="286"/>
    </row>
    <row r="309" spans="1:55" s="285" customFormat="1" ht="13.5" customHeight="1">
      <c r="A309" s="297"/>
      <c r="B309" s="296">
        <v>43555</v>
      </c>
      <c r="C309" s="295" t="s">
        <v>41</v>
      </c>
      <c r="D309" s="294">
        <v>82</v>
      </c>
      <c r="E309" s="294"/>
      <c r="F309" s="294"/>
      <c r="G309" s="294">
        <v>82</v>
      </c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94"/>
      <c r="U309" s="294"/>
      <c r="V309" s="294"/>
      <c r="W309" s="294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286"/>
      <c r="BB309" s="286"/>
      <c r="BC309" s="286"/>
    </row>
    <row r="310" spans="1:55" s="285" customFormat="1" ht="13.5" customHeight="1">
      <c r="A310" s="297"/>
      <c r="B310" s="296">
        <v>43556</v>
      </c>
      <c r="C310" s="295" t="s">
        <v>30</v>
      </c>
      <c r="D310" s="294">
        <f>'[5]2019gl'!$C$65</f>
        <v>7474</v>
      </c>
      <c r="E310" s="294"/>
      <c r="F310" s="294"/>
      <c r="G310" s="294"/>
      <c r="H310" s="294"/>
      <c r="I310" s="294"/>
      <c r="J310" s="294"/>
      <c r="K310" s="294"/>
      <c r="L310" s="294"/>
      <c r="M310" s="294">
        <f>D310</f>
        <v>7474</v>
      </c>
      <c r="N310" s="294"/>
      <c r="O310" s="294"/>
      <c r="P310" s="294"/>
      <c r="Q310" s="294"/>
      <c r="R310" s="294"/>
      <c r="S310" s="294"/>
      <c r="T310" s="294"/>
      <c r="U310" s="294"/>
      <c r="V310" s="294"/>
      <c r="W310" s="294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286"/>
      <c r="BB310" s="286"/>
      <c r="BC310" s="286"/>
    </row>
    <row r="311" spans="1:55" s="285" customFormat="1" ht="13.5" customHeight="1">
      <c r="A311" s="297"/>
      <c r="B311" s="296">
        <v>43556</v>
      </c>
      <c r="C311" s="295" t="s">
        <v>265</v>
      </c>
      <c r="D311" s="294">
        <f>'[5]2019gl'!$C$67</f>
        <v>602.4</v>
      </c>
      <c r="E311" s="294">
        <f>'[5]2019gl'!$C$67</f>
        <v>602.4</v>
      </c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94"/>
      <c r="U311" s="294"/>
      <c r="V311" s="294"/>
      <c r="W311" s="294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286"/>
      <c r="BB311" s="286"/>
      <c r="BC311" s="286"/>
    </row>
    <row r="312" spans="1:55" s="285" customFormat="1" ht="13.5" customHeight="1">
      <c r="A312" s="297"/>
      <c r="B312" s="296">
        <v>43556</v>
      </c>
      <c r="C312" s="295" t="s">
        <v>264</v>
      </c>
      <c r="D312" s="294">
        <f>'[5]2019gl'!$C$68</f>
        <v>523</v>
      </c>
      <c r="E312" s="294">
        <f>'[5]2019gl'!$C$68</f>
        <v>523</v>
      </c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286"/>
      <c r="BB312" s="286"/>
      <c r="BC312" s="286"/>
    </row>
    <row r="313" spans="1:55" s="285" customFormat="1" ht="13.5" customHeight="1">
      <c r="A313" s="297"/>
      <c r="B313" s="296">
        <v>43556</v>
      </c>
      <c r="C313" s="295" t="s">
        <v>182</v>
      </c>
      <c r="D313" s="294">
        <f>'[5]2019gl'!$C$69</f>
        <v>284</v>
      </c>
      <c r="E313" s="294">
        <f>'[5]2019gl'!$C$69</f>
        <v>284</v>
      </c>
      <c r="F313" s="294"/>
      <c r="G313" s="294"/>
      <c r="H313" s="294"/>
      <c r="I313" s="294"/>
      <c r="J313" s="294"/>
      <c r="K313" s="294"/>
      <c r="L313" s="294"/>
      <c r="M313" s="294"/>
      <c r="N313" s="294"/>
      <c r="O313" s="294"/>
      <c r="P313" s="294"/>
      <c r="Q313" s="294"/>
      <c r="R313" s="294"/>
      <c r="S313" s="294"/>
      <c r="T313" s="294"/>
      <c r="U313" s="294"/>
      <c r="V313" s="294"/>
      <c r="W313" s="294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286"/>
      <c r="BB313" s="286"/>
      <c r="BC313" s="286"/>
    </row>
    <row r="314" spans="1:55" s="285" customFormat="1" ht="13.5" customHeight="1">
      <c r="A314" s="297"/>
      <c r="B314" s="296">
        <v>43556</v>
      </c>
      <c r="C314" s="295" t="s">
        <v>472</v>
      </c>
      <c r="D314" s="294">
        <f>'[5]2019gl'!$C$70</f>
        <v>245</v>
      </c>
      <c r="E314" s="294">
        <f>'[5]2019gl'!$C$70</f>
        <v>245</v>
      </c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  <c r="R314" s="294"/>
      <c r="S314" s="294"/>
      <c r="T314" s="294"/>
      <c r="U314" s="294"/>
      <c r="V314" s="294"/>
      <c r="W314" s="294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286"/>
      <c r="BB314" s="286"/>
      <c r="BC314" s="286"/>
    </row>
    <row r="315" spans="1:55" s="285" customFormat="1" ht="13.5" customHeight="1">
      <c r="A315" s="297"/>
      <c r="B315" s="296">
        <v>43556</v>
      </c>
      <c r="C315" s="295" t="s">
        <v>472</v>
      </c>
      <c r="D315" s="294">
        <f>'[5]2019gl'!$C$71</f>
        <v>215</v>
      </c>
      <c r="E315" s="294">
        <f>'[5]2019gl'!$C$71</f>
        <v>215</v>
      </c>
      <c r="F315" s="294"/>
      <c r="G315" s="294"/>
      <c r="H315" s="294"/>
      <c r="I315" s="294"/>
      <c r="J315" s="294"/>
      <c r="K315" s="294"/>
      <c r="L315" s="294"/>
      <c r="M315" s="294"/>
      <c r="N315" s="294"/>
      <c r="O315" s="294"/>
      <c r="P315" s="294"/>
      <c r="Q315" s="294"/>
      <c r="R315" s="294"/>
      <c r="S315" s="294"/>
      <c r="T315" s="294"/>
      <c r="U315" s="294"/>
      <c r="V315" s="294"/>
      <c r="W315" s="294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286"/>
      <c r="BB315" s="286"/>
      <c r="BC315" s="286"/>
    </row>
    <row r="316" spans="1:55" s="285" customFormat="1" ht="13.5" customHeight="1">
      <c r="A316" s="297"/>
      <c r="B316" s="296">
        <v>43556</v>
      </c>
      <c r="C316" s="295" t="s">
        <v>183</v>
      </c>
      <c r="D316" s="294">
        <f>'[5]2019gl'!$C$72</f>
        <v>458.75</v>
      </c>
      <c r="E316" s="294">
        <f>'[5]2019gl'!$C$72</f>
        <v>458.75</v>
      </c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  <c r="T316" s="294"/>
      <c r="U316" s="294"/>
      <c r="V316" s="294"/>
      <c r="W316" s="294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286"/>
      <c r="BB316" s="286"/>
      <c r="BC316" s="286"/>
    </row>
    <row r="317" spans="1:55" s="285" customFormat="1" ht="13.5" customHeight="1">
      <c r="A317" s="297"/>
      <c r="B317" s="296">
        <v>43556</v>
      </c>
      <c r="C317" s="295" t="s">
        <v>481</v>
      </c>
      <c r="D317" s="294">
        <f>'[5]2019gl'!$C$73</f>
        <v>73</v>
      </c>
      <c r="E317" s="294">
        <f>'[5]2019gl'!$C$73</f>
        <v>73</v>
      </c>
      <c r="F317" s="294"/>
      <c r="G317" s="294"/>
      <c r="H317" s="294"/>
      <c r="I317" s="294"/>
      <c r="J317" s="294"/>
      <c r="K317" s="294"/>
      <c r="L317" s="294"/>
      <c r="M317" s="294"/>
      <c r="N317" s="294"/>
      <c r="O317" s="294"/>
      <c r="P317" s="294"/>
      <c r="Q317" s="294"/>
      <c r="R317" s="294"/>
      <c r="S317" s="294"/>
      <c r="T317" s="294"/>
      <c r="U317" s="294"/>
      <c r="V317" s="294"/>
      <c r="W317" s="294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286"/>
      <c r="BB317" s="286"/>
      <c r="BC317" s="286"/>
    </row>
    <row r="318" spans="1:55" s="285" customFormat="1" ht="13.5" customHeight="1">
      <c r="A318" s="297"/>
      <c r="B318" s="296">
        <v>43556</v>
      </c>
      <c r="C318" s="295" t="s">
        <v>239</v>
      </c>
      <c r="D318" s="294">
        <f>'[5]2019gl'!$C$76</f>
        <v>150</v>
      </c>
      <c r="E318" s="294"/>
      <c r="F318" s="294"/>
      <c r="G318" s="294"/>
      <c r="H318" s="294"/>
      <c r="I318" s="294"/>
      <c r="J318" s="294"/>
      <c r="K318" s="294"/>
      <c r="L318" s="294"/>
      <c r="M318" s="294"/>
      <c r="N318" s="294"/>
      <c r="O318" s="294"/>
      <c r="P318" s="294"/>
      <c r="Q318" s="294">
        <f>D318</f>
        <v>150</v>
      </c>
      <c r="R318" s="294"/>
      <c r="S318" s="294"/>
      <c r="T318" s="294"/>
      <c r="U318" s="294"/>
      <c r="V318" s="294"/>
      <c r="W318" s="294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286"/>
      <c r="BB318" s="286"/>
      <c r="BC318" s="286"/>
    </row>
    <row r="319" spans="1:55" s="285" customFormat="1" ht="13.5" customHeight="1">
      <c r="A319" s="297"/>
      <c r="B319" s="296">
        <v>43556</v>
      </c>
      <c r="C319" s="295" t="s">
        <v>363</v>
      </c>
      <c r="D319" s="294" t="e">
        <f>#REF!+5.5</f>
        <v>#REF!</v>
      </c>
      <c r="E319" s="294"/>
      <c r="F319" s="294"/>
      <c r="G319" s="294"/>
      <c r="H319" s="294"/>
      <c r="I319" s="294"/>
      <c r="J319" s="294"/>
      <c r="K319" s="294"/>
      <c r="L319" s="294"/>
      <c r="M319" s="294"/>
      <c r="N319" s="294"/>
      <c r="O319" s="294" t="e">
        <f>D319</f>
        <v>#REF!</v>
      </c>
      <c r="P319" s="294"/>
      <c r="Q319" s="294"/>
      <c r="R319" s="294"/>
      <c r="S319" s="294"/>
      <c r="T319" s="294"/>
      <c r="U319" s="294"/>
      <c r="V319" s="294"/>
      <c r="W319" s="294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  <c r="BA319" s="286"/>
      <c r="BB319" s="286"/>
      <c r="BC319" s="286"/>
    </row>
    <row r="320" spans="1:55" s="285" customFormat="1" ht="13.5" customHeight="1">
      <c r="A320" s="297"/>
      <c r="B320" s="296">
        <v>43556</v>
      </c>
      <c r="C320" s="295" t="s">
        <v>381</v>
      </c>
      <c r="D320" s="294" t="e">
        <f>#REF!</f>
        <v>#REF!</v>
      </c>
      <c r="E320" s="294"/>
      <c r="F320" s="294"/>
      <c r="G320" s="294"/>
      <c r="H320" s="294"/>
      <c r="I320" s="294"/>
      <c r="J320" s="294"/>
      <c r="K320" s="294"/>
      <c r="L320" s="294"/>
      <c r="M320" s="294"/>
      <c r="N320" s="294"/>
      <c r="O320" s="294"/>
      <c r="P320" s="294"/>
      <c r="Q320" s="294"/>
      <c r="R320" s="294"/>
      <c r="S320" s="294"/>
      <c r="T320" s="294"/>
      <c r="U320" s="294"/>
      <c r="V320" s="294" t="e">
        <f>D320</f>
        <v>#REF!</v>
      </c>
      <c r="W320" s="294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286"/>
      <c r="BB320" s="286"/>
      <c r="BC320" s="286"/>
    </row>
    <row r="321" spans="1:55" s="285" customFormat="1" ht="13.5" customHeight="1">
      <c r="A321" s="297"/>
      <c r="B321" s="296">
        <v>43556</v>
      </c>
      <c r="C321" s="295" t="s">
        <v>230</v>
      </c>
      <c r="D321" s="294">
        <v>59</v>
      </c>
      <c r="E321" s="294">
        <v>59</v>
      </c>
      <c r="F321" s="294"/>
      <c r="G321" s="294"/>
      <c r="H321" s="294"/>
      <c r="I321" s="294"/>
      <c r="J321" s="294"/>
      <c r="K321" s="294"/>
      <c r="L321" s="294"/>
      <c r="M321" s="294"/>
      <c r="N321" s="294"/>
      <c r="O321" s="294"/>
      <c r="P321" s="294">
        <f>D321</f>
        <v>59</v>
      </c>
      <c r="Q321" s="294"/>
      <c r="R321" s="294"/>
      <c r="S321" s="294"/>
      <c r="T321" s="294"/>
      <c r="U321" s="294"/>
      <c r="V321" s="294"/>
      <c r="W321" s="294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286"/>
      <c r="BB321" s="286"/>
      <c r="BC321" s="286"/>
    </row>
    <row r="322" spans="1:55" s="285" customFormat="1" ht="13.5" customHeight="1">
      <c r="A322" s="297"/>
      <c r="B322" s="296">
        <v>43556</v>
      </c>
      <c r="C322" s="295" t="s">
        <v>22</v>
      </c>
      <c r="D322" s="294">
        <v>89</v>
      </c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>
        <f>D322</f>
        <v>89</v>
      </c>
      <c r="Q322" s="294"/>
      <c r="R322" s="294"/>
      <c r="S322" s="294"/>
      <c r="T322" s="294"/>
      <c r="U322" s="294"/>
      <c r="V322" s="294"/>
      <c r="W322" s="294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286"/>
      <c r="BB322" s="286"/>
      <c r="BC322" s="286"/>
    </row>
    <row r="323" spans="1:55" s="285" customFormat="1" ht="13.5" customHeight="1">
      <c r="A323" s="297"/>
      <c r="B323" s="296">
        <v>43556</v>
      </c>
      <c r="C323" s="295" t="s">
        <v>451</v>
      </c>
      <c r="D323" s="294">
        <v>37</v>
      </c>
      <c r="E323" s="294"/>
      <c r="F323" s="294"/>
      <c r="G323" s="294">
        <v>37</v>
      </c>
      <c r="H323" s="294"/>
      <c r="I323" s="294"/>
      <c r="J323" s="294"/>
      <c r="K323" s="294"/>
      <c r="L323" s="294"/>
      <c r="M323" s="294"/>
      <c r="N323" s="294"/>
      <c r="O323" s="294"/>
      <c r="P323" s="294"/>
      <c r="Q323" s="294"/>
      <c r="R323" s="294"/>
      <c r="S323" s="294"/>
      <c r="T323" s="294"/>
      <c r="U323" s="294"/>
      <c r="V323" s="294"/>
      <c r="W323" s="294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286"/>
      <c r="BB323" s="286"/>
      <c r="BC323" s="286"/>
    </row>
    <row r="324" spans="1:55" s="285" customFormat="1" ht="13.5" customHeight="1">
      <c r="A324" s="297"/>
      <c r="B324" s="296">
        <v>43556</v>
      </c>
      <c r="C324" s="295" t="s">
        <v>41</v>
      </c>
      <c r="D324" s="294">
        <v>82</v>
      </c>
      <c r="E324" s="294"/>
      <c r="F324" s="294"/>
      <c r="G324" s="294">
        <v>82</v>
      </c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286"/>
      <c r="BB324" s="286"/>
      <c r="BC324" s="286"/>
    </row>
    <row r="325" spans="1:55" s="285" customFormat="1" ht="13.5" customHeight="1">
      <c r="A325" s="297"/>
      <c r="B325" s="296">
        <v>43556</v>
      </c>
      <c r="C325" s="295" t="s">
        <v>167</v>
      </c>
      <c r="D325" s="294">
        <v>750</v>
      </c>
      <c r="E325" s="294"/>
      <c r="F325" s="294">
        <v>750</v>
      </c>
      <c r="G325" s="294"/>
      <c r="H325" s="294"/>
      <c r="I325" s="294"/>
      <c r="J325" s="294"/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286"/>
      <c r="BB325" s="286"/>
      <c r="BC325" s="286"/>
    </row>
    <row r="326" spans="1:55" s="285" customFormat="1" ht="13.5" customHeight="1">
      <c r="A326" s="297"/>
      <c r="B326" s="296">
        <v>43556</v>
      </c>
      <c r="C326" s="295" t="s">
        <v>21</v>
      </c>
      <c r="D326" s="294">
        <v>176</v>
      </c>
      <c r="E326" s="294"/>
      <c r="F326" s="294"/>
      <c r="G326" s="294"/>
      <c r="H326" s="294"/>
      <c r="I326" s="294"/>
      <c r="J326" s="294"/>
      <c r="K326" s="294"/>
      <c r="L326" s="294"/>
      <c r="M326" s="294"/>
      <c r="N326" s="294"/>
      <c r="O326" s="294"/>
      <c r="P326" s="294">
        <f>D326</f>
        <v>176</v>
      </c>
      <c r="Q326" s="294"/>
      <c r="R326" s="294"/>
      <c r="S326" s="294"/>
      <c r="T326" s="294"/>
      <c r="U326" s="294"/>
      <c r="V326" s="294"/>
      <c r="W326" s="294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  <c r="BA326" s="286"/>
      <c r="BB326" s="286"/>
      <c r="BC326" s="286"/>
    </row>
    <row r="327" spans="1:55" s="285" customFormat="1" ht="13.5" customHeight="1">
      <c r="A327" s="297"/>
      <c r="B327" s="296">
        <v>43557</v>
      </c>
      <c r="C327" s="295" t="s">
        <v>495</v>
      </c>
      <c r="D327" s="294">
        <v>300</v>
      </c>
      <c r="E327" s="294"/>
      <c r="F327" s="294"/>
      <c r="G327" s="294"/>
      <c r="H327" s="294"/>
      <c r="I327" s="294"/>
      <c r="J327" s="294"/>
      <c r="K327" s="294"/>
      <c r="L327" s="294"/>
      <c r="M327" s="294"/>
      <c r="N327" s="294"/>
      <c r="O327" s="294"/>
      <c r="P327" s="294"/>
      <c r="Q327" s="294"/>
      <c r="R327" s="294"/>
      <c r="S327" s="294"/>
      <c r="T327" s="294">
        <f>D327</f>
        <v>300</v>
      </c>
      <c r="U327" s="294"/>
      <c r="V327" s="294"/>
      <c r="W327" s="294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286"/>
      <c r="BB327" s="286"/>
      <c r="BC327" s="286"/>
    </row>
    <row r="328" spans="1:55" s="285" customFormat="1" ht="13.5" customHeight="1">
      <c r="A328" s="297"/>
      <c r="B328" s="296">
        <v>43557</v>
      </c>
      <c r="C328" s="295" t="s">
        <v>239</v>
      </c>
      <c r="D328" s="294">
        <v>-100</v>
      </c>
      <c r="E328" s="294"/>
      <c r="F328" s="294"/>
      <c r="G328" s="294"/>
      <c r="H328" s="294"/>
      <c r="I328" s="294"/>
      <c r="J328" s="294"/>
      <c r="K328" s="294"/>
      <c r="L328" s="294"/>
      <c r="M328" s="294"/>
      <c r="N328" s="294"/>
      <c r="O328" s="294"/>
      <c r="P328" s="294"/>
      <c r="Q328" s="294">
        <f>D328</f>
        <v>-100</v>
      </c>
      <c r="R328" s="294"/>
      <c r="S328" s="294"/>
      <c r="T328" s="294"/>
      <c r="U328" s="294"/>
      <c r="V328" s="294"/>
      <c r="W328" s="294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  <c r="BA328" s="286"/>
      <c r="BB328" s="286"/>
      <c r="BC328" s="286"/>
    </row>
    <row r="329" spans="1:55" s="285" customFormat="1" ht="13.5" customHeight="1">
      <c r="A329" s="297"/>
      <c r="B329" s="296">
        <v>43557</v>
      </c>
      <c r="C329" s="295" t="s">
        <v>494</v>
      </c>
      <c r="D329" s="294">
        <v>98</v>
      </c>
      <c r="E329" s="294"/>
      <c r="F329" s="294">
        <v>98</v>
      </c>
      <c r="G329" s="294"/>
      <c r="H329" s="294"/>
      <c r="I329" s="294"/>
      <c r="J329" s="294"/>
      <c r="K329" s="294"/>
      <c r="L329" s="294"/>
      <c r="M329" s="294"/>
      <c r="N329" s="294"/>
      <c r="O329" s="294"/>
      <c r="P329" s="294"/>
      <c r="Q329" s="294"/>
      <c r="R329" s="294"/>
      <c r="S329" s="294"/>
      <c r="T329" s="294"/>
      <c r="U329" s="294"/>
      <c r="V329" s="294"/>
      <c r="W329" s="294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286"/>
      <c r="BB329" s="286"/>
      <c r="BC329" s="286"/>
    </row>
    <row r="330" spans="1:55" s="285" customFormat="1" ht="13.5" customHeight="1">
      <c r="A330" s="297"/>
      <c r="B330" s="296">
        <v>43557</v>
      </c>
      <c r="C330" s="295" t="s">
        <v>451</v>
      </c>
      <c r="D330" s="294">
        <v>132</v>
      </c>
      <c r="E330" s="294"/>
      <c r="F330" s="294"/>
      <c r="G330" s="294">
        <v>122</v>
      </c>
      <c r="H330" s="294"/>
      <c r="I330" s="294"/>
      <c r="J330" s="294"/>
      <c r="K330" s="294"/>
      <c r="L330" s="294">
        <v>10</v>
      </c>
      <c r="M330" s="294"/>
      <c r="N330" s="294"/>
      <c r="O330" s="294"/>
      <c r="P330" s="294"/>
      <c r="Q330" s="294"/>
      <c r="R330" s="294"/>
      <c r="S330" s="294"/>
      <c r="T330" s="294"/>
      <c r="U330" s="294"/>
      <c r="V330" s="294"/>
      <c r="W330" s="294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286"/>
      <c r="BB330" s="286"/>
      <c r="BC330" s="286"/>
    </row>
    <row r="331" spans="1:55" s="285" customFormat="1" ht="13.5" customHeight="1">
      <c r="A331" s="297"/>
      <c r="B331" s="296">
        <v>43557</v>
      </c>
      <c r="C331" s="295" t="s">
        <v>48</v>
      </c>
      <c r="D331" s="294">
        <v>200</v>
      </c>
      <c r="E331" s="294"/>
      <c r="F331" s="294"/>
      <c r="G331" s="294"/>
      <c r="H331" s="294"/>
      <c r="I331" s="294"/>
      <c r="J331" s="294"/>
      <c r="K331" s="294"/>
      <c r="L331" s="294"/>
      <c r="M331" s="294"/>
      <c r="N331" s="294"/>
      <c r="O331" s="294"/>
      <c r="P331" s="294"/>
      <c r="Q331" s="294"/>
      <c r="R331" s="294"/>
      <c r="S331" s="294"/>
      <c r="T331" s="294"/>
      <c r="U331" s="294"/>
      <c r="V331" s="294"/>
      <c r="W331" s="294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286"/>
      <c r="BB331" s="286"/>
      <c r="BC331" s="286"/>
    </row>
    <row r="332" spans="1:55" s="285" customFormat="1" ht="13.5" customHeight="1">
      <c r="A332" s="297"/>
      <c r="B332" s="296">
        <v>43557</v>
      </c>
      <c r="C332" s="295" t="s">
        <v>216</v>
      </c>
      <c r="D332" s="294">
        <v>131.63999999999999</v>
      </c>
      <c r="E332" s="294"/>
      <c r="F332" s="294">
        <v>131.63999999999999</v>
      </c>
      <c r="G332" s="294"/>
      <c r="H332" s="294"/>
      <c r="I332" s="294"/>
      <c r="J332" s="294"/>
      <c r="K332" s="294"/>
      <c r="L332" s="294"/>
      <c r="M332" s="294"/>
      <c r="N332" s="294">
        <v>200</v>
      </c>
      <c r="O332" s="294"/>
      <c r="P332" s="294"/>
      <c r="Q332" s="294"/>
      <c r="R332" s="294"/>
      <c r="S332" s="294"/>
      <c r="T332" s="294"/>
      <c r="U332" s="294"/>
      <c r="V332" s="294"/>
      <c r="W332" s="294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  <c r="BA332" s="286"/>
      <c r="BB332" s="286"/>
      <c r="BC332" s="286"/>
    </row>
    <row r="333" spans="1:55" s="285" customFormat="1" ht="13.5" customHeight="1">
      <c r="A333" s="297"/>
      <c r="B333" s="296">
        <v>43557</v>
      </c>
      <c r="C333" s="295" t="s">
        <v>465</v>
      </c>
      <c r="D333" s="294">
        <v>281.45</v>
      </c>
      <c r="E333" s="294"/>
      <c r="F333" s="294"/>
      <c r="G333" s="294"/>
      <c r="H333" s="294">
        <v>281.45</v>
      </c>
      <c r="I333" s="294"/>
      <c r="J333" s="294"/>
      <c r="K333" s="294"/>
      <c r="L333" s="294"/>
      <c r="M333" s="294"/>
      <c r="N333" s="294"/>
      <c r="O333" s="294"/>
      <c r="P333" s="294"/>
      <c r="Q333" s="294"/>
      <c r="R333" s="294"/>
      <c r="S333" s="294"/>
      <c r="T333" s="294"/>
      <c r="U333" s="294"/>
      <c r="V333" s="294"/>
      <c r="W333" s="294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286"/>
      <c r="BB333" s="286"/>
      <c r="BC333" s="286"/>
    </row>
    <row r="334" spans="1:55" s="285" customFormat="1" ht="13.5" customHeight="1">
      <c r="A334" s="297"/>
      <c r="B334" s="296">
        <v>43558</v>
      </c>
      <c r="C334" s="295" t="s">
        <v>493</v>
      </c>
      <c r="D334" s="294">
        <v>150</v>
      </c>
      <c r="E334" s="294"/>
      <c r="F334" s="294">
        <v>150</v>
      </c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294"/>
      <c r="S334" s="294"/>
      <c r="T334" s="294"/>
      <c r="U334" s="294"/>
      <c r="V334" s="294"/>
      <c r="W334" s="294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286"/>
      <c r="BB334" s="286"/>
      <c r="BC334" s="286"/>
    </row>
    <row r="335" spans="1:55" s="285" customFormat="1" ht="13.5" customHeight="1">
      <c r="A335" s="297"/>
      <c r="B335" s="296">
        <v>43559</v>
      </c>
      <c r="C335" s="295" t="s">
        <v>397</v>
      </c>
      <c r="D335" s="294">
        <v>299.25</v>
      </c>
      <c r="E335" s="294"/>
      <c r="F335" s="294">
        <v>299.25</v>
      </c>
      <c r="G335" s="294"/>
      <c r="H335" s="294"/>
      <c r="I335" s="294"/>
      <c r="J335" s="294"/>
      <c r="K335" s="294"/>
      <c r="L335" s="294"/>
      <c r="M335" s="294"/>
      <c r="N335" s="294"/>
      <c r="O335" s="294"/>
      <c r="P335" s="294"/>
      <c r="Q335" s="294"/>
      <c r="R335" s="294"/>
      <c r="S335" s="294"/>
      <c r="T335" s="294"/>
      <c r="U335" s="294"/>
      <c r="V335" s="294"/>
      <c r="W335" s="294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  <c r="BA335" s="286"/>
      <c r="BB335" s="286"/>
      <c r="BC335" s="286"/>
    </row>
    <row r="336" spans="1:55" s="285" customFormat="1" ht="13.5" customHeight="1">
      <c r="A336" s="297"/>
      <c r="B336" s="296">
        <v>43559</v>
      </c>
      <c r="C336" s="295" t="s">
        <v>40</v>
      </c>
      <c r="D336" s="294">
        <v>20.95</v>
      </c>
      <c r="E336" s="294"/>
      <c r="F336" s="294"/>
      <c r="G336" s="294">
        <v>20.95</v>
      </c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294"/>
      <c r="S336" s="294"/>
      <c r="T336" s="294"/>
      <c r="U336" s="294"/>
      <c r="V336" s="294"/>
      <c r="W336" s="294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286"/>
      <c r="BB336" s="286"/>
      <c r="BC336" s="286"/>
    </row>
    <row r="337" spans="1:55" s="285" customFormat="1" ht="13.5" customHeight="1">
      <c r="A337" s="297"/>
      <c r="B337" s="296">
        <v>43559</v>
      </c>
      <c r="C337" s="295" t="s">
        <v>492</v>
      </c>
      <c r="D337" s="294">
        <v>25</v>
      </c>
      <c r="E337" s="294"/>
      <c r="F337" s="294">
        <v>25</v>
      </c>
      <c r="G337" s="294"/>
      <c r="H337" s="294"/>
      <c r="I337" s="294"/>
      <c r="J337" s="294"/>
      <c r="K337" s="294"/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286"/>
      <c r="BB337" s="286"/>
      <c r="BC337" s="286"/>
    </row>
    <row r="338" spans="1:55" s="285" customFormat="1" ht="13.5" customHeight="1">
      <c r="A338" s="297"/>
      <c r="B338" s="296">
        <v>43560</v>
      </c>
      <c r="C338" s="295" t="s">
        <v>20</v>
      </c>
      <c r="D338" s="294">
        <v>176.59</v>
      </c>
      <c r="E338" s="294">
        <v>176.59</v>
      </c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94"/>
      <c r="W338" s="294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286"/>
      <c r="BB338" s="286"/>
      <c r="BC338" s="286"/>
    </row>
    <row r="339" spans="1:55" s="285" customFormat="1" ht="13.5" customHeight="1">
      <c r="A339" s="297"/>
      <c r="B339" s="296">
        <v>43560</v>
      </c>
      <c r="C339" s="295" t="s">
        <v>469</v>
      </c>
      <c r="D339" s="294">
        <v>52.45</v>
      </c>
      <c r="E339" s="294"/>
      <c r="F339" s="294"/>
      <c r="G339" s="294">
        <v>52.45</v>
      </c>
      <c r="H339" s="294"/>
      <c r="I339" s="294"/>
      <c r="J339" s="294"/>
      <c r="K339" s="294"/>
      <c r="L339" s="294"/>
      <c r="M339" s="294"/>
      <c r="N339" s="294"/>
      <c r="O339" s="294"/>
      <c r="P339" s="294"/>
      <c r="Q339" s="294"/>
      <c r="R339" s="294"/>
      <c r="S339" s="294"/>
      <c r="T339" s="294"/>
      <c r="U339" s="294"/>
      <c r="V339" s="294"/>
      <c r="W339" s="294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  <c r="BA339" s="286"/>
      <c r="BB339" s="286"/>
      <c r="BC339" s="286"/>
    </row>
    <row r="340" spans="1:55" s="285" customFormat="1" ht="13.5" customHeight="1">
      <c r="A340" s="297"/>
      <c r="B340" s="296">
        <v>43560</v>
      </c>
      <c r="C340" s="295" t="s">
        <v>216</v>
      </c>
      <c r="D340" s="294">
        <v>48.25</v>
      </c>
      <c r="E340" s="294"/>
      <c r="F340" s="294">
        <v>48.25</v>
      </c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  <c r="T340" s="294"/>
      <c r="U340" s="294"/>
      <c r="V340" s="294"/>
      <c r="W340" s="294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  <c r="BC340" s="286"/>
    </row>
    <row r="341" spans="1:55" s="285" customFormat="1" ht="13.5" customHeight="1">
      <c r="A341" s="297"/>
      <c r="B341" s="296">
        <v>43561</v>
      </c>
      <c r="C341" s="295" t="s">
        <v>466</v>
      </c>
      <c r="D341" s="294">
        <v>20</v>
      </c>
      <c r="E341" s="294"/>
      <c r="F341" s="294"/>
      <c r="G341" s="294">
        <v>20</v>
      </c>
      <c r="H341" s="294"/>
      <c r="I341" s="294"/>
      <c r="J341" s="294"/>
      <c r="K341" s="294"/>
      <c r="L341" s="294"/>
      <c r="M341" s="294"/>
      <c r="N341" s="294"/>
      <c r="O341" s="294"/>
      <c r="P341" s="294"/>
      <c r="Q341" s="294"/>
      <c r="R341" s="294"/>
      <c r="S341" s="294"/>
      <c r="T341" s="294"/>
      <c r="U341" s="294"/>
      <c r="V341" s="294"/>
      <c r="W341" s="294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  <c r="BA341" s="286"/>
      <c r="BB341" s="286"/>
      <c r="BC341" s="286"/>
    </row>
    <row r="342" spans="1:55" s="285" customFormat="1" ht="13.5" customHeight="1">
      <c r="A342" s="297"/>
      <c r="B342" s="296">
        <v>43561</v>
      </c>
      <c r="C342" s="295" t="s">
        <v>451</v>
      </c>
      <c r="D342" s="294">
        <v>15</v>
      </c>
      <c r="E342" s="294"/>
      <c r="F342" s="294"/>
      <c r="G342" s="294">
        <v>15</v>
      </c>
      <c r="H342" s="294"/>
      <c r="I342" s="294"/>
      <c r="J342" s="294"/>
      <c r="K342" s="294"/>
      <c r="L342" s="294"/>
      <c r="M342" s="294"/>
      <c r="N342" s="294"/>
      <c r="O342" s="294"/>
      <c r="P342" s="294"/>
      <c r="Q342" s="294"/>
      <c r="R342" s="294"/>
      <c r="S342" s="294"/>
      <c r="T342" s="294"/>
      <c r="U342" s="294"/>
      <c r="V342" s="294"/>
      <c r="W342" s="294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  <c r="BA342" s="286"/>
      <c r="BB342" s="286"/>
      <c r="BC342" s="286"/>
    </row>
    <row r="343" spans="1:55" s="285" customFormat="1" ht="13.5" customHeight="1">
      <c r="A343" s="297"/>
      <c r="B343" s="296">
        <v>43561</v>
      </c>
      <c r="C343" s="295" t="s">
        <v>40</v>
      </c>
      <c r="D343" s="294">
        <v>6</v>
      </c>
      <c r="E343" s="294"/>
      <c r="F343" s="294"/>
      <c r="G343" s="294">
        <v>6</v>
      </c>
      <c r="H343" s="294"/>
      <c r="I343" s="294"/>
      <c r="J343" s="294"/>
      <c r="K343" s="294"/>
      <c r="L343" s="294"/>
      <c r="M343" s="294"/>
      <c r="N343" s="294"/>
      <c r="O343" s="294"/>
      <c r="P343" s="294"/>
      <c r="Q343" s="294"/>
      <c r="R343" s="294"/>
      <c r="S343" s="294"/>
      <c r="T343" s="294"/>
      <c r="U343" s="294"/>
      <c r="V343" s="294"/>
      <c r="W343" s="294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</row>
    <row r="344" spans="1:55" s="285" customFormat="1" ht="13.5" customHeight="1">
      <c r="A344" s="297"/>
      <c r="B344" s="296">
        <v>43562</v>
      </c>
      <c r="C344" s="295" t="s">
        <v>491</v>
      </c>
      <c r="D344" s="294">
        <v>500</v>
      </c>
      <c r="E344" s="294"/>
      <c r="F344" s="294">
        <v>500</v>
      </c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286"/>
      <c r="BB344" s="286"/>
      <c r="BC344" s="286"/>
    </row>
    <row r="345" spans="1:55" s="285" customFormat="1" ht="13.5" customHeight="1">
      <c r="A345" s="297"/>
      <c r="B345" s="296">
        <v>43562</v>
      </c>
      <c r="C345" s="295" t="s">
        <v>312</v>
      </c>
      <c r="D345" s="294">
        <v>250</v>
      </c>
      <c r="E345" s="294"/>
      <c r="F345" s="294">
        <v>250</v>
      </c>
      <c r="G345" s="294"/>
      <c r="H345" s="294"/>
      <c r="I345" s="294"/>
      <c r="J345" s="294"/>
      <c r="K345" s="294"/>
      <c r="L345" s="294"/>
      <c r="M345" s="294"/>
      <c r="N345" s="294"/>
      <c r="O345" s="294"/>
      <c r="P345" s="294"/>
      <c r="Q345" s="294"/>
      <c r="R345" s="294"/>
      <c r="S345" s="294"/>
      <c r="T345" s="294"/>
      <c r="U345" s="294"/>
      <c r="V345" s="294"/>
      <c r="W345" s="294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286"/>
      <c r="BB345" s="286"/>
      <c r="BC345" s="286"/>
    </row>
    <row r="346" spans="1:55" s="285" customFormat="1" ht="13.5" customHeight="1">
      <c r="A346" s="297"/>
      <c r="B346" s="296">
        <v>43563</v>
      </c>
      <c r="C346" s="295" t="s">
        <v>131</v>
      </c>
      <c r="D346" s="294">
        <v>50</v>
      </c>
      <c r="E346" s="294"/>
      <c r="F346" s="294">
        <v>50</v>
      </c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94"/>
      <c r="U346" s="294"/>
      <c r="V346" s="294"/>
      <c r="W346" s="294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286"/>
      <c r="BB346" s="286"/>
      <c r="BC346" s="286"/>
    </row>
    <row r="347" spans="1:55" s="285" customFormat="1" ht="13.5" customHeight="1">
      <c r="A347" s="297"/>
      <c r="B347" s="296">
        <v>43563</v>
      </c>
      <c r="C347" s="295" t="s">
        <v>451</v>
      </c>
      <c r="D347" s="294">
        <v>112</v>
      </c>
      <c r="E347" s="294"/>
      <c r="F347" s="294"/>
      <c r="G347" s="294">
        <v>112</v>
      </c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286"/>
      <c r="BB347" s="286"/>
      <c r="BC347" s="286"/>
    </row>
    <row r="348" spans="1:55" s="285" customFormat="1" ht="13.5" customHeight="1">
      <c r="A348" s="297"/>
      <c r="B348" s="296">
        <v>43563</v>
      </c>
      <c r="C348" s="295" t="s">
        <v>490</v>
      </c>
      <c r="D348" s="294">
        <v>22</v>
      </c>
      <c r="E348" s="294"/>
      <c r="F348" s="294"/>
      <c r="G348" s="294">
        <v>22</v>
      </c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94"/>
      <c r="U348" s="294"/>
      <c r="V348" s="294"/>
      <c r="W348" s="294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  <c r="BA348" s="286"/>
      <c r="BB348" s="286"/>
      <c r="BC348" s="286"/>
    </row>
    <row r="349" spans="1:55" s="285" customFormat="1" ht="13.5" customHeight="1">
      <c r="A349" s="297"/>
      <c r="B349" s="296">
        <v>43564</v>
      </c>
      <c r="C349" s="295" t="s">
        <v>451</v>
      </c>
      <c r="D349" s="294">
        <v>69</v>
      </c>
      <c r="E349" s="294"/>
      <c r="F349" s="294"/>
      <c r="G349" s="294">
        <v>69</v>
      </c>
      <c r="H349" s="294"/>
      <c r="I349" s="294"/>
      <c r="J349" s="294"/>
      <c r="K349" s="294"/>
      <c r="L349" s="294"/>
      <c r="M349" s="294"/>
      <c r="N349" s="294"/>
      <c r="O349" s="294"/>
      <c r="P349" s="294"/>
      <c r="Q349" s="294"/>
      <c r="R349" s="294"/>
      <c r="S349" s="294"/>
      <c r="T349" s="294"/>
      <c r="U349" s="294"/>
      <c r="V349" s="294"/>
      <c r="W349" s="294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  <c r="BA349" s="286"/>
      <c r="BB349" s="286"/>
      <c r="BC349" s="286"/>
    </row>
    <row r="350" spans="1:55" s="285" customFormat="1" ht="13.5" customHeight="1">
      <c r="A350" s="297"/>
      <c r="B350" s="296">
        <v>43564</v>
      </c>
      <c r="C350" s="295" t="s">
        <v>40</v>
      </c>
      <c r="D350" s="294">
        <v>6</v>
      </c>
      <c r="E350" s="294"/>
      <c r="F350" s="294"/>
      <c r="G350" s="294">
        <v>6</v>
      </c>
      <c r="H350" s="294"/>
      <c r="I350" s="294"/>
      <c r="J350" s="294"/>
      <c r="K350" s="294"/>
      <c r="L350" s="294"/>
      <c r="M350" s="294"/>
      <c r="N350" s="294"/>
      <c r="O350" s="294"/>
      <c r="P350" s="294"/>
      <c r="Q350" s="294"/>
      <c r="R350" s="294"/>
      <c r="S350" s="294"/>
      <c r="T350" s="294"/>
      <c r="U350" s="294"/>
      <c r="V350" s="294"/>
      <c r="W350" s="294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286"/>
      <c r="BB350" s="286"/>
      <c r="BC350" s="286"/>
    </row>
    <row r="351" spans="1:55" s="285" customFormat="1" ht="13.5" customHeight="1">
      <c r="A351" s="297"/>
      <c r="B351" s="296">
        <v>43564</v>
      </c>
      <c r="C351" s="295" t="s">
        <v>466</v>
      </c>
      <c r="D351" s="294">
        <v>20</v>
      </c>
      <c r="E351" s="294"/>
      <c r="F351" s="294"/>
      <c r="G351" s="294">
        <v>20</v>
      </c>
      <c r="H351" s="294"/>
      <c r="I351" s="294"/>
      <c r="J351" s="294"/>
      <c r="K351" s="294"/>
      <c r="L351" s="294"/>
      <c r="M351" s="294"/>
      <c r="N351" s="294"/>
      <c r="O351" s="294"/>
      <c r="P351" s="294"/>
      <c r="Q351" s="294"/>
      <c r="R351" s="294"/>
      <c r="S351" s="294"/>
      <c r="T351" s="294"/>
      <c r="U351" s="294"/>
      <c r="V351" s="294"/>
      <c r="W351" s="294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286"/>
      <c r="BB351" s="286"/>
      <c r="BC351" s="286"/>
    </row>
    <row r="352" spans="1:55" s="285" customFormat="1" ht="13.5" customHeight="1">
      <c r="A352" s="297"/>
      <c r="B352" s="296">
        <v>43565</v>
      </c>
      <c r="C352" s="295" t="s">
        <v>465</v>
      </c>
      <c r="D352" s="294">
        <v>8.9499999999999993</v>
      </c>
      <c r="E352" s="294"/>
      <c r="F352" s="294"/>
      <c r="G352" s="294"/>
      <c r="H352" s="294">
        <v>8.9499999999999993</v>
      </c>
      <c r="I352" s="294"/>
      <c r="J352" s="294"/>
      <c r="K352" s="294"/>
      <c r="L352" s="294"/>
      <c r="M352" s="294"/>
      <c r="N352" s="294"/>
      <c r="O352" s="294"/>
      <c r="P352" s="294"/>
      <c r="Q352" s="294"/>
      <c r="R352" s="294"/>
      <c r="S352" s="294"/>
      <c r="T352" s="294"/>
      <c r="U352" s="294"/>
      <c r="V352" s="294"/>
      <c r="W352" s="294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  <c r="BC352" s="286"/>
    </row>
    <row r="353" spans="1:55" s="285" customFormat="1" ht="13.5" customHeight="1">
      <c r="A353" s="297"/>
      <c r="B353" s="296">
        <v>43566</v>
      </c>
      <c r="C353" s="295" t="s">
        <v>48</v>
      </c>
      <c r="D353" s="294">
        <v>280</v>
      </c>
      <c r="E353" s="294"/>
      <c r="F353" s="294"/>
      <c r="G353" s="294"/>
      <c r="H353" s="294"/>
      <c r="I353" s="294"/>
      <c r="J353" s="294"/>
      <c r="K353" s="294"/>
      <c r="L353" s="294"/>
      <c r="M353" s="294"/>
      <c r="N353" s="294">
        <v>280</v>
      </c>
      <c r="O353" s="294"/>
      <c r="P353" s="294"/>
      <c r="Q353" s="294"/>
      <c r="R353" s="294"/>
      <c r="S353" s="294"/>
      <c r="T353" s="294"/>
      <c r="U353" s="294"/>
      <c r="V353" s="294"/>
      <c r="W353" s="294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  <c r="BA353" s="286"/>
      <c r="BB353" s="286"/>
      <c r="BC353" s="286"/>
    </row>
    <row r="354" spans="1:55" s="285" customFormat="1" ht="13.5" customHeight="1">
      <c r="A354" s="297"/>
      <c r="B354" s="296">
        <v>43566</v>
      </c>
      <c r="C354" s="295" t="s">
        <v>489</v>
      </c>
      <c r="D354" s="294">
        <v>95</v>
      </c>
      <c r="E354" s="294"/>
      <c r="F354" s="294">
        <v>95</v>
      </c>
      <c r="G354" s="294"/>
      <c r="H354" s="294"/>
      <c r="I354" s="294"/>
      <c r="J354" s="294"/>
      <c r="K354" s="294"/>
      <c r="L354" s="294"/>
      <c r="M354" s="294"/>
      <c r="N354" s="294"/>
      <c r="O354" s="294"/>
      <c r="P354" s="294"/>
      <c r="Q354" s="294"/>
      <c r="R354" s="294"/>
      <c r="S354" s="294"/>
      <c r="T354" s="294"/>
      <c r="U354" s="294"/>
      <c r="V354" s="294"/>
      <c r="W354" s="294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286"/>
      <c r="BB354" s="286"/>
      <c r="BC354" s="286"/>
    </row>
    <row r="355" spans="1:55" s="285" customFormat="1" ht="13.5" customHeight="1">
      <c r="A355" s="297"/>
      <c r="B355" s="296">
        <v>43566</v>
      </c>
      <c r="C355" s="295" t="s">
        <v>469</v>
      </c>
      <c r="D355" s="294">
        <v>24</v>
      </c>
      <c r="E355" s="294"/>
      <c r="F355" s="294"/>
      <c r="G355" s="294">
        <v>24</v>
      </c>
      <c r="H355" s="294"/>
      <c r="I355" s="294"/>
      <c r="J355" s="294"/>
      <c r="K355" s="294"/>
      <c r="L355" s="294"/>
      <c r="M355" s="294"/>
      <c r="N355" s="294"/>
      <c r="O355" s="294"/>
      <c r="P355" s="294"/>
      <c r="Q355" s="294"/>
      <c r="R355" s="294"/>
      <c r="S355" s="294"/>
      <c r="T355" s="294"/>
      <c r="U355" s="294"/>
      <c r="V355" s="294"/>
      <c r="W355" s="294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  <c r="BA355" s="286"/>
      <c r="BB355" s="286"/>
      <c r="BC355" s="286"/>
    </row>
    <row r="356" spans="1:55" s="285" customFormat="1" ht="13.5" customHeight="1">
      <c r="A356" s="297"/>
      <c r="B356" s="296">
        <v>43566</v>
      </c>
      <c r="C356" s="295" t="s">
        <v>123</v>
      </c>
      <c r="D356" s="294">
        <v>54.7</v>
      </c>
      <c r="E356" s="294"/>
      <c r="F356" s="294"/>
      <c r="G356" s="294">
        <v>34.700000000000003</v>
      </c>
      <c r="H356" s="294"/>
      <c r="I356" s="294"/>
      <c r="J356" s="294"/>
      <c r="K356" s="294"/>
      <c r="L356" s="294">
        <v>20</v>
      </c>
      <c r="M356" s="294"/>
      <c r="N356" s="294"/>
      <c r="O356" s="294"/>
      <c r="P356" s="294"/>
      <c r="Q356" s="294"/>
      <c r="R356" s="294"/>
      <c r="S356" s="294"/>
      <c r="T356" s="294"/>
      <c r="U356" s="294"/>
      <c r="V356" s="294"/>
      <c r="W356" s="294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  <c r="BA356" s="286"/>
      <c r="BB356" s="286"/>
      <c r="BC356" s="286"/>
    </row>
    <row r="357" spans="1:55" s="285" customFormat="1" ht="13.5" customHeight="1">
      <c r="A357" s="297"/>
      <c r="B357" s="296">
        <v>43569</v>
      </c>
      <c r="C357" s="295" t="s">
        <v>451</v>
      </c>
      <c r="D357" s="294">
        <v>127</v>
      </c>
      <c r="E357" s="294"/>
      <c r="F357" s="294"/>
      <c r="G357" s="294">
        <v>117</v>
      </c>
      <c r="H357" s="294"/>
      <c r="I357" s="294"/>
      <c r="J357" s="294"/>
      <c r="K357" s="294"/>
      <c r="L357" s="294">
        <v>10</v>
      </c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286"/>
      <c r="BB357" s="286"/>
      <c r="BC357" s="286"/>
    </row>
    <row r="358" spans="1:55" s="285" customFormat="1" ht="13.5" customHeight="1">
      <c r="A358" s="297"/>
      <c r="B358" s="296">
        <v>43569</v>
      </c>
      <c r="C358" s="295" t="s">
        <v>40</v>
      </c>
      <c r="D358" s="294">
        <v>78</v>
      </c>
      <c r="E358" s="294"/>
      <c r="F358" s="294"/>
      <c r="G358" s="294">
        <v>78</v>
      </c>
      <c r="H358" s="294"/>
      <c r="I358" s="294"/>
      <c r="J358" s="294"/>
      <c r="K358" s="294"/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286"/>
      <c r="BB358" s="286"/>
      <c r="BC358" s="286"/>
    </row>
    <row r="359" spans="1:55" s="285" customFormat="1" ht="13.5" customHeight="1">
      <c r="A359" s="297"/>
      <c r="B359" s="296">
        <v>43570</v>
      </c>
      <c r="C359" s="295" t="s">
        <v>40</v>
      </c>
      <c r="D359" s="294">
        <v>37</v>
      </c>
      <c r="E359" s="294"/>
      <c r="F359" s="294"/>
      <c r="G359" s="294">
        <v>37</v>
      </c>
      <c r="H359" s="294"/>
      <c r="I359" s="294"/>
      <c r="J359" s="294"/>
      <c r="K359" s="294"/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286"/>
      <c r="BB359" s="286"/>
      <c r="BC359" s="286"/>
    </row>
    <row r="360" spans="1:55" s="285" customFormat="1" ht="13.5" customHeight="1">
      <c r="A360" s="297"/>
      <c r="B360" s="296">
        <v>43572</v>
      </c>
      <c r="C360" s="295" t="s">
        <v>40</v>
      </c>
      <c r="D360" s="294">
        <v>85.4</v>
      </c>
      <c r="E360" s="294"/>
      <c r="F360" s="294">
        <v>70.400000000000006</v>
      </c>
      <c r="G360" s="294"/>
      <c r="H360" s="294"/>
      <c r="I360" s="294"/>
      <c r="J360" s="294"/>
      <c r="K360" s="294"/>
      <c r="L360" s="294">
        <v>15</v>
      </c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  <c r="BA360" s="286"/>
      <c r="BB360" s="286"/>
      <c r="BC360" s="286"/>
    </row>
    <row r="361" spans="1:55" s="285" customFormat="1" ht="13.5" customHeight="1">
      <c r="A361" s="297"/>
      <c r="B361" s="296">
        <v>43572</v>
      </c>
      <c r="C361" s="295" t="s">
        <v>451</v>
      </c>
      <c r="D361" s="294">
        <v>73</v>
      </c>
      <c r="E361" s="294"/>
      <c r="F361" s="294"/>
      <c r="G361" s="294">
        <v>73</v>
      </c>
      <c r="H361" s="294"/>
      <c r="I361" s="294"/>
      <c r="J361" s="294"/>
      <c r="K361" s="294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  <c r="BA361" s="286"/>
      <c r="BB361" s="286"/>
      <c r="BC361" s="286"/>
    </row>
    <row r="362" spans="1:55" s="285" customFormat="1" ht="13.5" customHeight="1">
      <c r="A362" s="297"/>
      <c r="B362" s="296">
        <v>43572</v>
      </c>
      <c r="C362" s="295" t="s">
        <v>488</v>
      </c>
      <c r="D362" s="294">
        <v>105</v>
      </c>
      <c r="E362" s="294"/>
      <c r="F362" s="294">
        <v>105</v>
      </c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286"/>
      <c r="BB362" s="286"/>
      <c r="BC362" s="286"/>
    </row>
    <row r="363" spans="1:55" s="285" customFormat="1" ht="13.5" customHeight="1">
      <c r="A363" s="297"/>
      <c r="B363" s="296">
        <v>43575</v>
      </c>
      <c r="C363" s="295" t="s">
        <v>40</v>
      </c>
      <c r="D363" s="294">
        <v>64</v>
      </c>
      <c r="E363" s="294"/>
      <c r="F363" s="294"/>
      <c r="G363" s="294">
        <v>64</v>
      </c>
      <c r="H363" s="294"/>
      <c r="I363" s="294"/>
      <c r="J363" s="294"/>
      <c r="K363" s="294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286"/>
      <c r="BB363" s="286"/>
      <c r="BC363" s="286"/>
    </row>
    <row r="364" spans="1:55" s="285" customFormat="1" ht="13.5" customHeight="1">
      <c r="A364" s="297"/>
      <c r="B364" s="296">
        <v>43575</v>
      </c>
      <c r="C364" s="295" t="s">
        <v>310</v>
      </c>
      <c r="D364" s="294">
        <v>285</v>
      </c>
      <c r="E364" s="294"/>
      <c r="F364" s="294">
        <v>285</v>
      </c>
      <c r="G364" s="294"/>
      <c r="H364" s="294"/>
      <c r="I364" s="294"/>
      <c r="J364" s="294"/>
      <c r="K364" s="294"/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286"/>
      <c r="BB364" s="286"/>
      <c r="BC364" s="286"/>
    </row>
    <row r="365" spans="1:55" s="285" customFormat="1" ht="13.5" customHeight="1">
      <c r="A365" s="297"/>
      <c r="B365" s="296">
        <v>43578</v>
      </c>
      <c r="C365" s="295" t="s">
        <v>465</v>
      </c>
      <c r="D365" s="294">
        <v>23.6</v>
      </c>
      <c r="E365" s="294"/>
      <c r="F365" s="294"/>
      <c r="G365" s="294"/>
      <c r="H365" s="294"/>
      <c r="I365" s="294">
        <v>23.6</v>
      </c>
      <c r="J365" s="294"/>
      <c r="K365" s="294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286"/>
      <c r="BB365" s="286"/>
      <c r="BC365" s="286"/>
    </row>
    <row r="366" spans="1:55" s="285" customFormat="1" ht="13.5" customHeight="1">
      <c r="A366" s="297"/>
      <c r="B366" s="296">
        <v>43578</v>
      </c>
      <c r="C366" s="295" t="s">
        <v>451</v>
      </c>
      <c r="D366" s="294">
        <v>55.25</v>
      </c>
      <c r="E366" s="294"/>
      <c r="F366" s="294"/>
      <c r="G366" s="294">
        <v>19.75</v>
      </c>
      <c r="H366" s="294"/>
      <c r="I366" s="294"/>
      <c r="J366" s="294"/>
      <c r="K366" s="294">
        <v>25.5</v>
      </c>
      <c r="L366" s="294">
        <v>10</v>
      </c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286"/>
      <c r="BB366" s="286"/>
      <c r="BC366" s="286"/>
    </row>
    <row r="367" spans="1:55" s="285" customFormat="1" ht="13.5" customHeight="1">
      <c r="A367" s="297"/>
      <c r="B367" s="296">
        <v>43579</v>
      </c>
      <c r="C367" s="295" t="s">
        <v>40</v>
      </c>
      <c r="D367" s="294">
        <v>23</v>
      </c>
      <c r="E367" s="294"/>
      <c r="F367" s="294"/>
      <c r="G367" s="294">
        <v>23</v>
      </c>
      <c r="H367" s="294"/>
      <c r="I367" s="294"/>
      <c r="J367" s="294"/>
      <c r="K367" s="294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286"/>
      <c r="BB367" s="286"/>
      <c r="BC367" s="286"/>
    </row>
    <row r="368" spans="1:55" s="285" customFormat="1" ht="13.5" customHeight="1">
      <c r="A368" s="297"/>
      <c r="B368" s="296">
        <v>43580</v>
      </c>
      <c r="C368" s="295" t="s">
        <v>465</v>
      </c>
      <c r="D368" s="294">
        <v>73.849999999999994</v>
      </c>
      <c r="E368" s="294"/>
      <c r="F368" s="294"/>
      <c r="G368" s="294"/>
      <c r="H368" s="294">
        <v>73.849999999999994</v>
      </c>
      <c r="I368" s="294"/>
      <c r="J368" s="294"/>
      <c r="K368" s="294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286"/>
      <c r="BB368" s="286"/>
      <c r="BC368" s="286"/>
    </row>
    <row r="369" spans="1:55" s="285" customFormat="1" ht="13.5" customHeight="1">
      <c r="A369" s="297"/>
      <c r="B369" s="296">
        <v>43580</v>
      </c>
      <c r="C369" s="295" t="s">
        <v>451</v>
      </c>
      <c r="D369" s="294">
        <v>5.5</v>
      </c>
      <c r="E369" s="294"/>
      <c r="F369" s="294"/>
      <c r="G369" s="294">
        <v>5.5</v>
      </c>
      <c r="H369" s="294"/>
      <c r="I369" s="294"/>
      <c r="J369" s="294"/>
      <c r="K369" s="294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  <c r="BA369" s="286"/>
      <c r="BB369" s="286"/>
      <c r="BC369" s="286"/>
    </row>
    <row r="370" spans="1:55" s="285" customFormat="1" ht="13.5" customHeight="1">
      <c r="A370" s="297"/>
      <c r="B370" s="296">
        <v>43581</v>
      </c>
      <c r="C370" s="295" t="s">
        <v>123</v>
      </c>
      <c r="D370" s="294">
        <v>48</v>
      </c>
      <c r="E370" s="294"/>
      <c r="F370" s="294"/>
      <c r="G370" s="294">
        <v>38</v>
      </c>
      <c r="H370" s="294"/>
      <c r="I370" s="294"/>
      <c r="J370" s="294"/>
      <c r="K370" s="294"/>
      <c r="L370" s="294">
        <v>10</v>
      </c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286"/>
      <c r="BB370" s="286"/>
      <c r="BC370" s="286"/>
    </row>
    <row r="371" spans="1:55" s="285" customFormat="1" ht="13.5" customHeight="1">
      <c r="A371" s="297"/>
      <c r="B371" s="296">
        <v>43581</v>
      </c>
      <c r="C371" s="295" t="s">
        <v>451</v>
      </c>
      <c r="D371" s="294">
        <v>20</v>
      </c>
      <c r="E371" s="294"/>
      <c r="F371" s="294"/>
      <c r="G371" s="294">
        <v>20</v>
      </c>
      <c r="H371" s="294"/>
      <c r="I371" s="294"/>
      <c r="J371" s="294"/>
      <c r="K371" s="294"/>
      <c r="L371" s="294"/>
      <c r="M371" s="294"/>
      <c r="N371" s="294"/>
      <c r="O371" s="294"/>
      <c r="P371" s="294"/>
      <c r="Q371" s="294"/>
      <c r="R371" s="294"/>
      <c r="S371" s="294"/>
      <c r="T371" s="294"/>
      <c r="U371" s="294"/>
      <c r="V371" s="294"/>
      <c r="W371" s="294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286"/>
      <c r="BB371" s="286"/>
      <c r="BC371" s="286"/>
    </row>
    <row r="372" spans="1:55" s="285" customFormat="1" ht="13.5" customHeight="1">
      <c r="A372" s="297"/>
      <c r="B372" s="296">
        <v>43581</v>
      </c>
      <c r="C372" s="295" t="s">
        <v>40</v>
      </c>
      <c r="D372" s="294">
        <v>27</v>
      </c>
      <c r="E372" s="294"/>
      <c r="F372" s="294"/>
      <c r="G372" s="294">
        <v>12</v>
      </c>
      <c r="H372" s="294"/>
      <c r="I372" s="294"/>
      <c r="J372" s="294"/>
      <c r="K372" s="294"/>
      <c r="L372" s="294">
        <v>15</v>
      </c>
      <c r="M372" s="294"/>
      <c r="N372" s="294"/>
      <c r="O372" s="294"/>
      <c r="P372" s="294"/>
      <c r="Q372" s="294"/>
      <c r="R372" s="294"/>
      <c r="S372" s="294"/>
      <c r="T372" s="294"/>
      <c r="U372" s="294"/>
      <c r="V372" s="294"/>
      <c r="W372" s="294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286"/>
      <c r="BB372" s="286"/>
      <c r="BC372" s="286"/>
    </row>
    <row r="373" spans="1:55" s="285" customFormat="1" ht="13.5" customHeight="1">
      <c r="A373" s="297"/>
      <c r="B373" s="296">
        <v>43584</v>
      </c>
      <c r="C373" s="295" t="s">
        <v>123</v>
      </c>
      <c r="D373" s="294">
        <v>15</v>
      </c>
      <c r="E373" s="294"/>
      <c r="F373" s="294"/>
      <c r="G373" s="294">
        <v>15</v>
      </c>
      <c r="H373" s="294"/>
      <c r="I373" s="294"/>
      <c r="J373" s="294"/>
      <c r="K373" s="294"/>
      <c r="L373" s="294"/>
      <c r="M373" s="294"/>
      <c r="N373" s="294"/>
      <c r="O373" s="294"/>
      <c r="P373" s="294"/>
      <c r="Q373" s="294"/>
      <c r="R373" s="294"/>
      <c r="S373" s="294"/>
      <c r="T373" s="294"/>
      <c r="U373" s="294"/>
      <c r="V373" s="294"/>
      <c r="W373" s="294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286"/>
      <c r="BB373" s="286"/>
      <c r="BC373" s="286"/>
    </row>
    <row r="374" spans="1:55" s="285" customFormat="1" ht="13.5" customHeight="1">
      <c r="A374" s="297"/>
      <c r="B374" s="296">
        <v>43584</v>
      </c>
      <c r="C374" s="295" t="s">
        <v>451</v>
      </c>
      <c r="D374" s="294">
        <v>80</v>
      </c>
      <c r="E374" s="294"/>
      <c r="F374" s="294"/>
      <c r="G374" s="294">
        <v>80</v>
      </c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286"/>
      <c r="BB374" s="286"/>
      <c r="BC374" s="286"/>
    </row>
    <row r="375" spans="1:55" s="290" customFormat="1" ht="13.5" customHeight="1">
      <c r="A375" s="293"/>
      <c r="B375" s="3023" t="str">
        <f>G1</f>
        <v>maj</v>
      </c>
      <c r="C375" s="3024"/>
      <c r="D375" s="292">
        <f t="shared" ref="D375:V375" si="12">SUM(D376:D457)</f>
        <v>17822.889999999996</v>
      </c>
      <c r="E375" s="292">
        <f t="shared" si="12"/>
        <v>2722.67</v>
      </c>
      <c r="F375" s="292">
        <f t="shared" si="12"/>
        <v>1687.95</v>
      </c>
      <c r="G375" s="292">
        <f t="shared" si="12"/>
        <v>2367.2200000000003</v>
      </c>
      <c r="H375" s="292">
        <f t="shared" si="12"/>
        <v>315.55</v>
      </c>
      <c r="I375" s="292">
        <f t="shared" si="12"/>
        <v>62.5</v>
      </c>
      <c r="J375" s="292">
        <f t="shared" si="12"/>
        <v>0</v>
      </c>
      <c r="K375" s="292">
        <f t="shared" si="12"/>
        <v>409</v>
      </c>
      <c r="L375" s="292">
        <f t="shared" si="12"/>
        <v>378.95</v>
      </c>
      <c r="M375" s="292">
        <f t="shared" si="12"/>
        <v>0</v>
      </c>
      <c r="N375" s="292">
        <f t="shared" si="12"/>
        <v>0</v>
      </c>
      <c r="O375" s="292">
        <f t="shared" si="12"/>
        <v>7642.5300000000007</v>
      </c>
      <c r="P375" s="292">
        <f t="shared" si="12"/>
        <v>355</v>
      </c>
      <c r="Q375" s="292">
        <f t="shared" si="12"/>
        <v>360</v>
      </c>
      <c r="R375" s="292">
        <f t="shared" si="12"/>
        <v>-80</v>
      </c>
      <c r="S375" s="292">
        <f t="shared" si="12"/>
        <v>-190</v>
      </c>
      <c r="T375" s="292">
        <f t="shared" si="12"/>
        <v>800</v>
      </c>
      <c r="U375" s="292">
        <f t="shared" si="12"/>
        <v>-400</v>
      </c>
      <c r="V375" s="292">
        <f t="shared" si="12"/>
        <v>1399.52</v>
      </c>
      <c r="W375" s="292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</row>
    <row r="376" spans="1:55" s="285" customFormat="1" ht="13.5" customHeight="1">
      <c r="A376" s="297"/>
      <c r="B376" s="296">
        <v>43585</v>
      </c>
      <c r="C376" s="295" t="s">
        <v>487</v>
      </c>
      <c r="D376" s="294">
        <v>100</v>
      </c>
      <c r="E376" s="294"/>
      <c r="F376" s="294">
        <v>100</v>
      </c>
      <c r="G376" s="294"/>
      <c r="H376" s="294"/>
      <c r="I376" s="294"/>
      <c r="J376" s="294"/>
      <c r="K376" s="294"/>
      <c r="L376" s="294"/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286"/>
      <c r="BB376" s="286"/>
      <c r="BC376" s="286"/>
    </row>
    <row r="377" spans="1:55" s="285" customFormat="1" ht="13.5" customHeight="1">
      <c r="A377" s="297"/>
      <c r="B377" s="296">
        <v>43585</v>
      </c>
      <c r="C377" s="295" t="s">
        <v>21</v>
      </c>
      <c r="D377" s="294">
        <v>157</v>
      </c>
      <c r="E377" s="294"/>
      <c r="F377" s="294"/>
      <c r="G377" s="294"/>
      <c r="H377" s="294"/>
      <c r="I377" s="294"/>
      <c r="J377" s="294"/>
      <c r="K377" s="294"/>
      <c r="L377" s="294"/>
      <c r="M377" s="294"/>
      <c r="N377" s="294"/>
      <c r="O377" s="294"/>
      <c r="P377" s="294">
        <f>D377</f>
        <v>157</v>
      </c>
      <c r="Q377" s="294"/>
      <c r="R377" s="294"/>
      <c r="S377" s="294"/>
      <c r="T377" s="294"/>
      <c r="U377" s="294"/>
      <c r="V377" s="294"/>
      <c r="W377" s="294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  <c r="BC377" s="286"/>
    </row>
    <row r="378" spans="1:55" s="285" customFormat="1" ht="13.5" customHeight="1">
      <c r="A378" s="297"/>
      <c r="B378" s="296">
        <v>43585</v>
      </c>
      <c r="C378" s="295" t="s">
        <v>486</v>
      </c>
      <c r="D378" s="294">
        <v>65</v>
      </c>
      <c r="E378" s="294"/>
      <c r="F378" s="294">
        <v>65</v>
      </c>
      <c r="G378" s="294"/>
      <c r="H378" s="294"/>
      <c r="I378" s="294"/>
      <c r="J378" s="294"/>
      <c r="K378" s="294"/>
      <c r="L378" s="294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286"/>
      <c r="BB378" s="286"/>
      <c r="BC378" s="286"/>
    </row>
    <row r="379" spans="1:55" s="285" customFormat="1" ht="13.5" customHeight="1">
      <c r="A379" s="297"/>
      <c r="B379" s="296">
        <v>43585</v>
      </c>
      <c r="C379" s="295" t="s">
        <v>41</v>
      </c>
      <c r="D379" s="294">
        <v>40</v>
      </c>
      <c r="E379" s="294"/>
      <c r="F379" s="294"/>
      <c r="G379" s="294"/>
      <c r="H379" s="294"/>
      <c r="I379" s="294"/>
      <c r="J379" s="294"/>
      <c r="K379" s="294"/>
      <c r="L379" s="294">
        <v>40</v>
      </c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286"/>
      <c r="BB379" s="286"/>
      <c r="BC379" s="286"/>
    </row>
    <row r="380" spans="1:55" s="285" customFormat="1" ht="13.5" customHeight="1">
      <c r="A380" s="297"/>
      <c r="B380" s="296">
        <v>43585</v>
      </c>
      <c r="C380" s="295" t="s">
        <v>42</v>
      </c>
      <c r="D380" s="294">
        <v>224.5</v>
      </c>
      <c r="E380" s="294"/>
      <c r="F380" s="294"/>
      <c r="G380" s="294">
        <v>190.5</v>
      </c>
      <c r="H380" s="294"/>
      <c r="I380" s="294"/>
      <c r="J380" s="294"/>
      <c r="K380" s="294">
        <v>34</v>
      </c>
      <c r="L380" s="294"/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  <c r="BA380" s="286"/>
      <c r="BB380" s="286"/>
      <c r="BC380" s="286"/>
    </row>
    <row r="381" spans="1:55" s="285" customFormat="1" ht="13.5" customHeight="1">
      <c r="A381" s="297"/>
      <c r="B381" s="296">
        <v>43585</v>
      </c>
      <c r="C381" s="295" t="s">
        <v>42</v>
      </c>
      <c r="D381" s="294">
        <v>235</v>
      </c>
      <c r="E381" s="294"/>
      <c r="F381" s="294">
        <v>45</v>
      </c>
      <c r="G381" s="294">
        <v>150</v>
      </c>
      <c r="H381" s="294"/>
      <c r="I381" s="294"/>
      <c r="J381" s="294"/>
      <c r="K381" s="294"/>
      <c r="L381" s="294">
        <v>40</v>
      </c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  <c r="BA381" s="286"/>
      <c r="BB381" s="286"/>
      <c r="BC381" s="286"/>
    </row>
    <row r="382" spans="1:55" s="285" customFormat="1" ht="13.5" customHeight="1">
      <c r="A382" s="297"/>
      <c r="B382" s="296">
        <v>43585</v>
      </c>
      <c r="C382" s="295" t="s">
        <v>223</v>
      </c>
      <c r="D382" s="294">
        <v>218</v>
      </c>
      <c r="E382" s="294"/>
      <c r="F382" s="294"/>
      <c r="G382" s="294">
        <v>218</v>
      </c>
      <c r="H382" s="294"/>
      <c r="I382" s="294"/>
      <c r="J382" s="294"/>
      <c r="K382" s="294"/>
      <c r="L382" s="294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  <c r="BA382" s="286"/>
      <c r="BB382" s="286"/>
      <c r="BC382" s="286"/>
    </row>
    <row r="383" spans="1:55" s="285" customFormat="1" ht="13.5" customHeight="1">
      <c r="A383" s="297"/>
      <c r="B383" s="296">
        <v>304</v>
      </c>
      <c r="C383" s="295" t="s">
        <v>485</v>
      </c>
      <c r="D383" s="294">
        <v>25</v>
      </c>
      <c r="E383" s="294"/>
      <c r="F383" s="294"/>
      <c r="G383" s="294"/>
      <c r="H383" s="294"/>
      <c r="I383" s="294"/>
      <c r="J383" s="294"/>
      <c r="K383" s="294"/>
      <c r="L383" s="294"/>
      <c r="M383" s="294"/>
      <c r="N383" s="294"/>
      <c r="O383" s="294">
        <v>25</v>
      </c>
      <c r="P383" s="294"/>
      <c r="Q383" s="294"/>
      <c r="R383" s="294"/>
      <c r="S383" s="294"/>
      <c r="T383" s="294"/>
      <c r="U383" s="294"/>
      <c r="V383" s="294"/>
      <c r="W383" s="294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  <c r="BA383" s="286"/>
      <c r="BB383" s="286"/>
      <c r="BC383" s="286"/>
    </row>
    <row r="384" spans="1:55" s="285" customFormat="1" ht="13.5" customHeight="1">
      <c r="A384" s="297"/>
      <c r="B384" s="296">
        <v>43586</v>
      </c>
      <c r="C384" s="295" t="s">
        <v>464</v>
      </c>
      <c r="D384" s="294">
        <v>159</v>
      </c>
      <c r="E384" s="294"/>
      <c r="F384" s="294"/>
      <c r="G384" s="294"/>
      <c r="H384" s="294"/>
      <c r="I384" s="294"/>
      <c r="J384" s="294"/>
      <c r="K384" s="294"/>
      <c r="L384" s="294"/>
      <c r="M384" s="294"/>
      <c r="N384" s="294"/>
      <c r="O384" s="294">
        <f>D384</f>
        <v>159</v>
      </c>
      <c r="P384" s="294"/>
      <c r="Q384" s="294"/>
      <c r="R384" s="294"/>
      <c r="S384" s="294"/>
      <c r="T384" s="294"/>
      <c r="U384" s="294"/>
      <c r="V384" s="294"/>
      <c r="W384" s="294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  <c r="BA384" s="286"/>
      <c r="BB384" s="286"/>
      <c r="BC384" s="286"/>
    </row>
    <row r="385" spans="1:55" s="285" customFormat="1" ht="13.5" customHeight="1">
      <c r="A385" s="297"/>
      <c r="B385" s="296">
        <v>43586</v>
      </c>
      <c r="C385" s="295" t="s">
        <v>100</v>
      </c>
      <c r="D385" s="294">
        <v>662.04</v>
      </c>
      <c r="E385" s="294">
        <v>662.04</v>
      </c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</row>
    <row r="386" spans="1:55" s="285" customFormat="1" ht="13.5" customHeight="1">
      <c r="A386" s="297"/>
      <c r="B386" s="296">
        <v>43586</v>
      </c>
      <c r="C386" s="295" t="s">
        <v>182</v>
      </c>
      <c r="D386" s="294">
        <v>284</v>
      </c>
      <c r="E386" s="294">
        <v>284</v>
      </c>
      <c r="F386" s="294"/>
      <c r="G386" s="294"/>
      <c r="H386" s="294"/>
      <c r="I386" s="294"/>
      <c r="J386" s="294"/>
      <c r="K386" s="294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  <c r="BA386" s="286"/>
      <c r="BB386" s="286"/>
      <c r="BC386" s="286"/>
    </row>
    <row r="387" spans="1:55" s="285" customFormat="1" ht="13.5" customHeight="1">
      <c r="A387" s="297"/>
      <c r="B387" s="296">
        <v>43586</v>
      </c>
      <c r="C387" s="295" t="s">
        <v>472</v>
      </c>
      <c r="D387" s="294">
        <v>245</v>
      </c>
      <c r="E387" s="294">
        <v>245</v>
      </c>
      <c r="F387" s="294"/>
      <c r="G387" s="294"/>
      <c r="H387" s="294"/>
      <c r="I387" s="294"/>
      <c r="J387" s="294"/>
      <c r="K387" s="294"/>
      <c r="L387" s="294"/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  <c r="BA387" s="286"/>
      <c r="BB387" s="286"/>
      <c r="BC387" s="286"/>
    </row>
    <row r="388" spans="1:55" s="285" customFormat="1" ht="13.5" customHeight="1">
      <c r="A388" s="297"/>
      <c r="B388" s="296">
        <v>43586</v>
      </c>
      <c r="C388" s="295" t="s">
        <v>23</v>
      </c>
      <c r="D388" s="294">
        <v>250</v>
      </c>
      <c r="E388" s="294"/>
      <c r="F388" s="294"/>
      <c r="G388" s="294"/>
      <c r="H388" s="294"/>
      <c r="I388" s="294"/>
      <c r="J388" s="294"/>
      <c r="K388" s="294"/>
      <c r="L388" s="294"/>
      <c r="M388" s="294"/>
      <c r="N388" s="294"/>
      <c r="O388" s="294"/>
      <c r="P388" s="294"/>
      <c r="Q388" s="294">
        <v>250</v>
      </c>
      <c r="R388" s="294"/>
      <c r="S388" s="294"/>
      <c r="T388" s="294"/>
      <c r="U388" s="294"/>
      <c r="V388" s="294"/>
      <c r="W388" s="294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  <c r="BA388" s="286"/>
      <c r="BB388" s="286"/>
      <c r="BC388" s="286"/>
    </row>
    <row r="389" spans="1:55" s="285" customFormat="1" ht="13.5" customHeight="1">
      <c r="A389" s="297"/>
      <c r="B389" s="296">
        <v>43586</v>
      </c>
      <c r="C389" s="295" t="s">
        <v>363</v>
      </c>
      <c r="D389" s="294">
        <v>595.03</v>
      </c>
      <c r="E389" s="294"/>
      <c r="F389" s="294"/>
      <c r="G389" s="294"/>
      <c r="H389" s="294"/>
      <c r="I389" s="294"/>
      <c r="J389" s="294"/>
      <c r="K389" s="294"/>
      <c r="L389" s="294"/>
      <c r="M389" s="294"/>
      <c r="N389" s="294"/>
      <c r="O389" s="294">
        <f>D389</f>
        <v>595.03</v>
      </c>
      <c r="P389" s="294"/>
      <c r="Q389" s="294"/>
      <c r="R389" s="294"/>
      <c r="S389" s="294"/>
      <c r="T389" s="294"/>
      <c r="U389" s="294"/>
      <c r="V389" s="294"/>
      <c r="W389" s="294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  <c r="BA389" s="286"/>
      <c r="BB389" s="286"/>
      <c r="BC389" s="286"/>
    </row>
    <row r="390" spans="1:55" s="285" customFormat="1" ht="13.5" customHeight="1">
      <c r="A390" s="297"/>
      <c r="B390" s="296">
        <v>43586</v>
      </c>
      <c r="C390" s="295" t="s">
        <v>381</v>
      </c>
      <c r="D390" s="294">
        <v>1399.52</v>
      </c>
      <c r="E390" s="294"/>
      <c r="F390" s="294"/>
      <c r="G390" s="294"/>
      <c r="H390" s="294"/>
      <c r="I390" s="294"/>
      <c r="J390" s="294"/>
      <c r="K390" s="294"/>
      <c r="L390" s="294"/>
      <c r="M390" s="294"/>
      <c r="N390" s="294"/>
      <c r="O390" s="294"/>
      <c r="P390" s="294"/>
      <c r="Q390" s="294"/>
      <c r="R390" s="294"/>
      <c r="S390" s="294"/>
      <c r="T390" s="294"/>
      <c r="U390" s="294"/>
      <c r="V390" s="294">
        <f>D390</f>
        <v>1399.52</v>
      </c>
      <c r="W390" s="294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  <c r="BA390" s="286"/>
      <c r="BB390" s="286"/>
      <c r="BC390" s="286"/>
    </row>
    <row r="391" spans="1:55" s="285" customFormat="1" ht="13.5" customHeight="1">
      <c r="A391" s="297"/>
      <c r="B391" s="296">
        <v>43586</v>
      </c>
      <c r="C391" s="295" t="s">
        <v>472</v>
      </c>
      <c r="D391" s="294">
        <v>215</v>
      </c>
      <c r="E391" s="294">
        <v>215</v>
      </c>
      <c r="F391" s="294"/>
      <c r="G391" s="294"/>
      <c r="H391" s="294"/>
      <c r="I391" s="294"/>
      <c r="J391" s="294"/>
      <c r="K391" s="294"/>
      <c r="L391" s="294"/>
      <c r="M391" s="294"/>
      <c r="N391" s="294"/>
      <c r="O391" s="294"/>
      <c r="P391" s="294"/>
      <c r="Q391" s="294"/>
      <c r="R391" s="294"/>
      <c r="S391" s="294"/>
      <c r="T391" s="294"/>
      <c r="U391" s="294"/>
      <c r="V391" s="294"/>
      <c r="W391" s="294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  <c r="BA391" s="286"/>
      <c r="BB391" s="286"/>
      <c r="BC391" s="286"/>
    </row>
    <row r="392" spans="1:55" s="285" customFormat="1" ht="13.5" customHeight="1">
      <c r="A392" s="297"/>
      <c r="B392" s="296">
        <v>43586</v>
      </c>
      <c r="C392" s="295" t="s">
        <v>183</v>
      </c>
      <c r="D392" s="294">
        <v>458.75</v>
      </c>
      <c r="E392" s="294">
        <v>458.75</v>
      </c>
      <c r="F392" s="294"/>
      <c r="G392" s="294"/>
      <c r="H392" s="294"/>
      <c r="I392" s="294"/>
      <c r="J392" s="294"/>
      <c r="K392" s="294"/>
      <c r="L392" s="294"/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  <c r="BA392" s="286"/>
      <c r="BB392" s="286"/>
      <c r="BC392" s="286"/>
    </row>
    <row r="393" spans="1:55" s="285" customFormat="1" ht="13.5" customHeight="1">
      <c r="A393" s="297"/>
      <c r="B393" s="296">
        <v>43586</v>
      </c>
      <c r="C393" s="295" t="s">
        <v>230</v>
      </c>
      <c r="D393" s="294">
        <v>59</v>
      </c>
      <c r="E393" s="294"/>
      <c r="F393" s="294"/>
      <c r="G393" s="294"/>
      <c r="H393" s="294"/>
      <c r="I393" s="294"/>
      <c r="J393" s="294"/>
      <c r="K393" s="294"/>
      <c r="L393" s="294"/>
      <c r="M393" s="294"/>
      <c r="N393" s="294"/>
      <c r="O393" s="294"/>
      <c r="P393" s="294">
        <f>D393</f>
        <v>59</v>
      </c>
      <c r="Q393" s="294"/>
      <c r="R393" s="294"/>
      <c r="S393" s="294"/>
      <c r="T393" s="294"/>
      <c r="U393" s="294"/>
      <c r="V393" s="294"/>
      <c r="W393" s="294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  <c r="BA393" s="286"/>
      <c r="BB393" s="286"/>
      <c r="BC393" s="286"/>
    </row>
    <row r="394" spans="1:55" s="285" customFormat="1" ht="13.5" customHeight="1">
      <c r="A394" s="297"/>
      <c r="B394" s="296">
        <v>43586</v>
      </c>
      <c r="C394" s="295" t="s">
        <v>22</v>
      </c>
      <c r="D394" s="294">
        <v>89</v>
      </c>
      <c r="E394" s="294"/>
      <c r="F394" s="294"/>
      <c r="G394" s="294"/>
      <c r="H394" s="294"/>
      <c r="I394" s="294"/>
      <c r="J394" s="294"/>
      <c r="K394" s="294"/>
      <c r="L394" s="294"/>
      <c r="M394" s="294"/>
      <c r="N394" s="294"/>
      <c r="O394" s="294"/>
      <c r="P394" s="294">
        <f>D394</f>
        <v>89</v>
      </c>
      <c r="Q394" s="294"/>
      <c r="R394" s="294"/>
      <c r="S394" s="294"/>
      <c r="T394" s="294"/>
      <c r="U394" s="294"/>
      <c r="V394" s="294"/>
      <c r="W394" s="294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  <c r="BA394" s="286"/>
      <c r="BB394" s="286"/>
      <c r="BC394" s="286"/>
    </row>
    <row r="395" spans="1:55" s="285" customFormat="1" ht="13.5" customHeight="1">
      <c r="A395" s="297"/>
      <c r="B395" s="296">
        <v>43586</v>
      </c>
      <c r="C395" s="295" t="s">
        <v>484</v>
      </c>
      <c r="D395" s="294">
        <v>40</v>
      </c>
      <c r="E395" s="294"/>
      <c r="F395" s="294"/>
      <c r="G395" s="294"/>
      <c r="H395" s="294"/>
      <c r="I395" s="294"/>
      <c r="J395" s="294"/>
      <c r="K395" s="294"/>
      <c r="L395" s="294">
        <v>40</v>
      </c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  <c r="BA395" s="286"/>
      <c r="BB395" s="286"/>
      <c r="BC395" s="286"/>
    </row>
    <row r="396" spans="1:55" s="285" customFormat="1" ht="13.5" customHeight="1">
      <c r="A396" s="297"/>
      <c r="B396" s="296">
        <v>43586</v>
      </c>
      <c r="C396" s="295" t="s">
        <v>195</v>
      </c>
      <c r="D396" s="294">
        <v>57</v>
      </c>
      <c r="E396" s="294"/>
      <c r="F396" s="294">
        <v>57</v>
      </c>
      <c r="G396" s="294"/>
      <c r="H396" s="294"/>
      <c r="I396" s="294"/>
      <c r="J396" s="294"/>
      <c r="K396" s="294"/>
      <c r="L396" s="294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  <c r="BA396" s="286"/>
      <c r="BB396" s="286"/>
      <c r="BC396" s="286"/>
    </row>
    <row r="397" spans="1:55" s="285" customFormat="1" ht="13.5" customHeight="1">
      <c r="A397" s="297"/>
      <c r="B397" s="296">
        <v>43587</v>
      </c>
      <c r="C397" s="295" t="s">
        <v>451</v>
      </c>
      <c r="D397" s="294">
        <v>75</v>
      </c>
      <c r="E397" s="294"/>
      <c r="F397" s="294"/>
      <c r="G397" s="294">
        <v>50</v>
      </c>
      <c r="H397" s="294"/>
      <c r="I397" s="294"/>
      <c r="J397" s="294"/>
      <c r="K397" s="294"/>
      <c r="L397" s="294">
        <v>25</v>
      </c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  <c r="BA397" s="286"/>
      <c r="BB397" s="286"/>
      <c r="BC397" s="286"/>
    </row>
    <row r="398" spans="1:55" s="285" customFormat="1" ht="13.5" customHeight="1">
      <c r="A398" s="297"/>
      <c r="B398" s="296">
        <v>43587</v>
      </c>
      <c r="C398" s="295" t="s">
        <v>483</v>
      </c>
      <c r="D398" s="294">
        <v>101.6</v>
      </c>
      <c r="E398" s="294"/>
      <c r="F398" s="294">
        <v>101.6</v>
      </c>
      <c r="G398" s="294"/>
      <c r="H398" s="294"/>
      <c r="I398" s="294"/>
      <c r="J398" s="294"/>
      <c r="K398" s="294"/>
      <c r="L398" s="294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  <c r="BA398" s="286"/>
      <c r="BB398" s="286"/>
      <c r="BC398" s="286"/>
    </row>
    <row r="399" spans="1:55" s="285" customFormat="1" ht="13.5" customHeight="1">
      <c r="A399" s="297"/>
      <c r="B399" s="296">
        <v>43587</v>
      </c>
      <c r="C399" s="295" t="s">
        <v>482</v>
      </c>
      <c r="D399" s="294">
        <v>220.9</v>
      </c>
      <c r="E399" s="294"/>
      <c r="F399" s="294"/>
      <c r="G399" s="294"/>
      <c r="H399" s="294"/>
      <c r="I399" s="294"/>
      <c r="J399" s="294"/>
      <c r="K399" s="294"/>
      <c r="L399" s="294"/>
      <c r="M399" s="294"/>
      <c r="N399" s="294"/>
      <c r="O399" s="294">
        <v>220.9</v>
      </c>
      <c r="P399" s="294"/>
      <c r="Q399" s="294"/>
      <c r="R399" s="294"/>
      <c r="S399" s="294"/>
      <c r="T399" s="294"/>
      <c r="U399" s="294"/>
      <c r="V399" s="294"/>
      <c r="W399" s="294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  <c r="BA399" s="286"/>
      <c r="BB399" s="286"/>
      <c r="BC399" s="286"/>
    </row>
    <row r="400" spans="1:55" s="285" customFormat="1" ht="13.5" customHeight="1">
      <c r="A400" s="297"/>
      <c r="B400" s="296">
        <v>43587</v>
      </c>
      <c r="C400" s="295" t="s">
        <v>265</v>
      </c>
      <c r="D400" s="294">
        <v>602.4</v>
      </c>
      <c r="E400" s="294">
        <v>602.4</v>
      </c>
      <c r="F400" s="294"/>
      <c r="G400" s="294"/>
      <c r="H400" s="294"/>
      <c r="I400" s="294"/>
      <c r="J400" s="294"/>
      <c r="K400" s="294"/>
      <c r="L400" s="294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  <c r="BA400" s="286"/>
      <c r="BB400" s="286"/>
      <c r="BC400" s="286"/>
    </row>
    <row r="401" spans="1:55" s="285" customFormat="1" ht="13.5" customHeight="1">
      <c r="A401" s="297"/>
      <c r="B401" s="296">
        <v>43587</v>
      </c>
      <c r="C401" s="295" t="s">
        <v>481</v>
      </c>
      <c r="D401" s="294">
        <v>73</v>
      </c>
      <c r="E401" s="294">
        <v>73</v>
      </c>
      <c r="F401" s="294"/>
      <c r="G401" s="294"/>
      <c r="H401" s="294"/>
      <c r="I401" s="294"/>
      <c r="J401" s="294"/>
      <c r="K401" s="294"/>
      <c r="L401" s="294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  <c r="BA401" s="286"/>
      <c r="BB401" s="286"/>
      <c r="BC401" s="286"/>
    </row>
    <row r="402" spans="1:55" s="285" customFormat="1" ht="13.5" customHeight="1">
      <c r="A402" s="297"/>
      <c r="B402" s="296">
        <v>43588</v>
      </c>
      <c r="C402" s="295" t="s">
        <v>451</v>
      </c>
      <c r="D402" s="294">
        <v>57</v>
      </c>
      <c r="E402" s="294"/>
      <c r="F402" s="294"/>
      <c r="G402" s="294">
        <v>57</v>
      </c>
      <c r="H402" s="294"/>
      <c r="I402" s="294"/>
      <c r="J402" s="294"/>
      <c r="K402" s="294"/>
      <c r="L402" s="294"/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  <c r="BA402" s="286"/>
      <c r="BB402" s="286"/>
      <c r="BC402" s="286"/>
    </row>
    <row r="403" spans="1:55" s="285" customFormat="1" ht="13.5" customHeight="1">
      <c r="A403" s="297"/>
      <c r="B403" s="296">
        <v>43588</v>
      </c>
      <c r="C403" s="295" t="s">
        <v>41</v>
      </c>
      <c r="D403" s="294">
        <v>50</v>
      </c>
      <c r="E403" s="294"/>
      <c r="F403" s="294"/>
      <c r="G403" s="294">
        <v>50</v>
      </c>
      <c r="H403" s="294"/>
      <c r="I403" s="294"/>
      <c r="J403" s="294"/>
      <c r="K403" s="294"/>
      <c r="L403" s="294"/>
      <c r="M403" s="294"/>
      <c r="N403" s="294"/>
      <c r="O403" s="294"/>
      <c r="P403" s="294"/>
      <c r="Q403" s="294"/>
      <c r="R403" s="294"/>
      <c r="S403" s="294"/>
      <c r="T403" s="294"/>
      <c r="U403" s="294"/>
      <c r="V403" s="294"/>
      <c r="W403" s="294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  <c r="BA403" s="286"/>
      <c r="BB403" s="286"/>
      <c r="BC403" s="286"/>
    </row>
    <row r="404" spans="1:55" s="285" customFormat="1" ht="13.5" customHeight="1">
      <c r="A404" s="297"/>
      <c r="B404" s="296">
        <v>43588</v>
      </c>
      <c r="C404" s="295" t="s">
        <v>186</v>
      </c>
      <c r="D404" s="294">
        <v>60</v>
      </c>
      <c r="E404" s="294"/>
      <c r="F404" s="294"/>
      <c r="G404" s="294"/>
      <c r="H404" s="294"/>
      <c r="I404" s="294"/>
      <c r="J404" s="294"/>
      <c r="K404" s="294"/>
      <c r="L404" s="294"/>
      <c r="M404" s="294"/>
      <c r="N404" s="294"/>
      <c r="O404" s="294"/>
      <c r="P404" s="294"/>
      <c r="Q404" s="294">
        <v>60</v>
      </c>
      <c r="R404" s="294"/>
      <c r="S404" s="294"/>
      <c r="T404" s="294"/>
      <c r="U404" s="294"/>
      <c r="V404" s="294"/>
      <c r="W404" s="294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  <c r="BA404" s="286"/>
      <c r="BB404" s="286"/>
      <c r="BC404" s="286"/>
    </row>
    <row r="405" spans="1:55" s="285" customFormat="1" ht="13.5" customHeight="1">
      <c r="A405" s="297"/>
      <c r="B405" s="296">
        <v>43588</v>
      </c>
      <c r="C405" s="295" t="s">
        <v>480</v>
      </c>
      <c r="D405" s="294">
        <v>279.3</v>
      </c>
      <c r="E405" s="294"/>
      <c r="F405" s="294">
        <v>279.3</v>
      </c>
      <c r="G405" s="294"/>
      <c r="H405" s="294"/>
      <c r="I405" s="294"/>
      <c r="J405" s="294"/>
      <c r="K405" s="294"/>
      <c r="L405" s="294"/>
      <c r="M405" s="294"/>
      <c r="N405" s="294"/>
      <c r="O405" s="294"/>
      <c r="P405" s="294"/>
      <c r="Q405" s="294"/>
      <c r="R405" s="294"/>
      <c r="S405" s="294"/>
      <c r="T405" s="294"/>
      <c r="U405" s="294"/>
      <c r="V405" s="294"/>
      <c r="W405" s="294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  <c r="BA405" s="286"/>
      <c r="BB405" s="286"/>
      <c r="BC405" s="286"/>
    </row>
    <row r="406" spans="1:55" s="285" customFormat="1" ht="13.5" customHeight="1">
      <c r="A406" s="297"/>
      <c r="B406" s="296">
        <v>43588</v>
      </c>
      <c r="C406" s="295" t="s">
        <v>479</v>
      </c>
      <c r="D406" s="294">
        <v>128</v>
      </c>
      <c r="E406" s="294"/>
      <c r="F406" s="294">
        <v>128</v>
      </c>
      <c r="G406" s="294"/>
      <c r="H406" s="294"/>
      <c r="I406" s="294"/>
      <c r="J406" s="294"/>
      <c r="K406" s="294"/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  <c r="BA406" s="286"/>
      <c r="BB406" s="286"/>
      <c r="BC406" s="286"/>
    </row>
    <row r="407" spans="1:55" s="285" customFormat="1" ht="13.5" customHeight="1">
      <c r="A407" s="297"/>
      <c r="B407" s="296">
        <v>43589</v>
      </c>
      <c r="C407" s="295" t="s">
        <v>465</v>
      </c>
      <c r="D407" s="294">
        <v>227.6</v>
      </c>
      <c r="E407" s="294"/>
      <c r="F407" s="294"/>
      <c r="G407" s="294"/>
      <c r="H407" s="294">
        <v>227.6</v>
      </c>
      <c r="I407" s="294"/>
      <c r="J407" s="294"/>
      <c r="K407" s="294"/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  <c r="BA407" s="286"/>
      <c r="BB407" s="286"/>
      <c r="BC407" s="286"/>
    </row>
    <row r="408" spans="1:55" s="285" customFormat="1" ht="13.5" customHeight="1">
      <c r="A408" s="297"/>
      <c r="B408" s="296">
        <v>43589</v>
      </c>
      <c r="C408" s="295" t="s">
        <v>451</v>
      </c>
      <c r="D408" s="294">
        <v>127.75</v>
      </c>
      <c r="E408" s="294"/>
      <c r="F408" s="294">
        <v>65.75</v>
      </c>
      <c r="G408" s="294"/>
      <c r="H408" s="294"/>
      <c r="I408" s="294"/>
      <c r="J408" s="294"/>
      <c r="K408" s="294"/>
      <c r="L408" s="294">
        <v>70</v>
      </c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  <c r="BA408" s="286"/>
      <c r="BB408" s="286"/>
      <c r="BC408" s="286"/>
    </row>
    <row r="409" spans="1:55" s="285" customFormat="1" ht="13.5" customHeight="1">
      <c r="A409" s="297"/>
      <c r="B409" s="296">
        <v>43589</v>
      </c>
      <c r="C409" s="295" t="s">
        <v>451</v>
      </c>
      <c r="D409" s="294">
        <v>42</v>
      </c>
      <c r="E409" s="294"/>
      <c r="F409" s="294"/>
      <c r="G409" s="294">
        <v>42</v>
      </c>
      <c r="H409" s="294"/>
      <c r="I409" s="294"/>
      <c r="J409" s="294"/>
      <c r="K409" s="294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  <c r="BA409" s="286"/>
      <c r="BB409" s="286"/>
      <c r="BC409" s="286"/>
    </row>
    <row r="410" spans="1:55" s="285" customFormat="1" ht="13.5" customHeight="1">
      <c r="A410" s="297"/>
      <c r="B410" s="296">
        <v>43589</v>
      </c>
      <c r="C410" s="295" t="s">
        <v>7</v>
      </c>
      <c r="D410" s="294">
        <v>400</v>
      </c>
      <c r="E410" s="294"/>
      <c r="F410" s="294"/>
      <c r="G410" s="294"/>
      <c r="H410" s="294"/>
      <c r="I410" s="294"/>
      <c r="J410" s="294"/>
      <c r="K410" s="294"/>
      <c r="L410" s="294"/>
      <c r="M410" s="294"/>
      <c r="N410" s="294"/>
      <c r="O410" s="294"/>
      <c r="P410" s="294"/>
      <c r="Q410" s="294"/>
      <c r="R410" s="294"/>
      <c r="S410" s="294"/>
      <c r="T410" s="294">
        <v>400</v>
      </c>
      <c r="U410" s="294"/>
      <c r="V410" s="294"/>
      <c r="W410" s="294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  <c r="BA410" s="286"/>
      <c r="BB410" s="286"/>
      <c r="BC410" s="286"/>
    </row>
    <row r="411" spans="1:55" s="285" customFormat="1" ht="13.5" customHeight="1">
      <c r="A411" s="297"/>
      <c r="B411" s="296">
        <v>43590</v>
      </c>
      <c r="C411" s="295" t="s">
        <v>20</v>
      </c>
      <c r="D411" s="294">
        <v>182.48</v>
      </c>
      <c r="E411" s="294">
        <v>182.48</v>
      </c>
      <c r="F411" s="294"/>
      <c r="G411" s="294"/>
      <c r="H411" s="294"/>
      <c r="I411" s="294"/>
      <c r="J411" s="294"/>
      <c r="K411" s="294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  <c r="BA411" s="286"/>
      <c r="BB411" s="286"/>
      <c r="BC411" s="286"/>
    </row>
    <row r="412" spans="1:55" s="285" customFormat="1" ht="13.5" customHeight="1">
      <c r="A412" s="297"/>
      <c r="B412" s="296">
        <v>43590</v>
      </c>
      <c r="C412" s="295" t="s">
        <v>451</v>
      </c>
      <c r="D412" s="294">
        <v>57</v>
      </c>
      <c r="E412" s="294"/>
      <c r="F412" s="294"/>
      <c r="G412" s="294">
        <v>31.5</v>
      </c>
      <c r="H412" s="294"/>
      <c r="I412" s="294"/>
      <c r="J412" s="294"/>
      <c r="K412" s="294">
        <v>25.5</v>
      </c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  <c r="BA412" s="286"/>
      <c r="BB412" s="286"/>
      <c r="BC412" s="286"/>
    </row>
    <row r="413" spans="1:55" s="285" customFormat="1" ht="13.5" customHeight="1">
      <c r="A413" s="297"/>
      <c r="B413" s="296">
        <v>43590</v>
      </c>
      <c r="C413" s="295" t="s">
        <v>41</v>
      </c>
      <c r="D413" s="294">
        <v>151</v>
      </c>
      <c r="E413" s="294"/>
      <c r="F413" s="294"/>
      <c r="G413" s="294">
        <v>151</v>
      </c>
      <c r="H413" s="294"/>
      <c r="I413" s="294"/>
      <c r="J413" s="294"/>
      <c r="K413" s="294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  <c r="BA413" s="286"/>
      <c r="BB413" s="286"/>
      <c r="BC413" s="286"/>
    </row>
    <row r="414" spans="1:55" s="285" customFormat="1" ht="13.5" customHeight="1">
      <c r="A414" s="297"/>
      <c r="B414" s="296">
        <v>43590</v>
      </c>
      <c r="C414" s="295" t="s">
        <v>469</v>
      </c>
      <c r="D414" s="294">
        <v>76</v>
      </c>
      <c r="E414" s="294"/>
      <c r="F414" s="294">
        <v>72</v>
      </c>
      <c r="G414" s="294">
        <v>4</v>
      </c>
      <c r="H414" s="294"/>
      <c r="I414" s="294"/>
      <c r="J414" s="294"/>
      <c r="K414" s="294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  <c r="BC414" s="286"/>
    </row>
    <row r="415" spans="1:55" s="285" customFormat="1" ht="13.5" customHeight="1">
      <c r="A415" s="297"/>
      <c r="B415" s="296">
        <v>43590</v>
      </c>
      <c r="C415" s="295" t="s">
        <v>123</v>
      </c>
      <c r="D415" s="294">
        <v>60</v>
      </c>
      <c r="E415" s="294"/>
      <c r="F415" s="294"/>
      <c r="G415" s="294">
        <v>60</v>
      </c>
      <c r="H415" s="294"/>
      <c r="I415" s="294"/>
      <c r="J415" s="294"/>
      <c r="K415" s="294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  <c r="BA415" s="286"/>
      <c r="BB415" s="286"/>
      <c r="BC415" s="286"/>
    </row>
    <row r="416" spans="1:55" s="285" customFormat="1" ht="13.5" customHeight="1">
      <c r="A416" s="297"/>
      <c r="B416" s="296">
        <v>43591</v>
      </c>
      <c r="C416" s="295" t="s">
        <v>41</v>
      </c>
      <c r="D416" s="294">
        <v>90</v>
      </c>
      <c r="E416" s="294"/>
      <c r="F416" s="294"/>
      <c r="G416" s="294">
        <v>90</v>
      </c>
      <c r="H416" s="294"/>
      <c r="I416" s="294"/>
      <c r="J416" s="294"/>
      <c r="K416" s="294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  <c r="BA416" s="286"/>
      <c r="BB416" s="286"/>
      <c r="BC416" s="286"/>
    </row>
    <row r="417" spans="1:55" s="285" customFormat="1" ht="13.5" customHeight="1">
      <c r="A417" s="297"/>
      <c r="B417" s="296">
        <v>43591</v>
      </c>
      <c r="C417" s="295" t="s">
        <v>478</v>
      </c>
      <c r="D417" s="294">
        <v>400</v>
      </c>
      <c r="E417" s="294"/>
      <c r="F417" s="294"/>
      <c r="G417" s="294"/>
      <c r="H417" s="294"/>
      <c r="I417" s="294"/>
      <c r="J417" s="294"/>
      <c r="K417" s="294"/>
      <c r="L417" s="294"/>
      <c r="M417" s="294"/>
      <c r="N417" s="294"/>
      <c r="O417" s="294">
        <v>400</v>
      </c>
      <c r="P417" s="294"/>
      <c r="Q417" s="294"/>
      <c r="R417" s="294"/>
      <c r="S417" s="294"/>
      <c r="T417" s="294"/>
      <c r="U417" s="294"/>
      <c r="V417" s="294"/>
      <c r="W417" s="294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  <c r="BA417" s="286"/>
      <c r="BB417" s="286"/>
      <c r="BC417" s="286"/>
    </row>
    <row r="418" spans="1:55" s="285" customFormat="1" ht="13.5" customHeight="1">
      <c r="A418" s="297"/>
      <c r="B418" s="296">
        <v>43591</v>
      </c>
      <c r="C418" s="295" t="s">
        <v>123</v>
      </c>
      <c r="D418" s="294">
        <v>165</v>
      </c>
      <c r="E418" s="294"/>
      <c r="F418" s="294"/>
      <c r="G418" s="294">
        <v>140</v>
      </c>
      <c r="H418" s="294"/>
      <c r="I418" s="294"/>
      <c r="J418" s="294"/>
      <c r="K418" s="294"/>
      <c r="L418" s="294">
        <v>25</v>
      </c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  <c r="BA418" s="286"/>
      <c r="BB418" s="286"/>
      <c r="BC418" s="286"/>
    </row>
    <row r="419" spans="1:55" s="285" customFormat="1" ht="13.5" customHeight="1">
      <c r="A419" s="297"/>
      <c r="B419" s="296">
        <v>43598</v>
      </c>
      <c r="C419" s="295" t="s">
        <v>11</v>
      </c>
      <c r="D419" s="294">
        <v>400</v>
      </c>
      <c r="E419" s="294"/>
      <c r="F419" s="294"/>
      <c r="G419" s="294"/>
      <c r="H419" s="294"/>
      <c r="I419" s="294"/>
      <c r="J419" s="294"/>
      <c r="K419" s="294"/>
      <c r="L419" s="294"/>
      <c r="M419" s="294"/>
      <c r="N419" s="294"/>
      <c r="O419" s="294"/>
      <c r="P419" s="294"/>
      <c r="Q419" s="294"/>
      <c r="R419" s="294"/>
      <c r="S419" s="294"/>
      <c r="T419" s="294">
        <v>400</v>
      </c>
      <c r="U419" s="294"/>
      <c r="V419" s="294"/>
      <c r="W419" s="294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  <c r="BA419" s="286"/>
      <c r="BB419" s="286"/>
      <c r="BC419" s="286"/>
    </row>
    <row r="420" spans="1:55" s="285" customFormat="1" ht="13.5" customHeight="1">
      <c r="A420" s="297"/>
      <c r="B420" s="296">
        <v>43592</v>
      </c>
      <c r="C420" s="295" t="s">
        <v>242</v>
      </c>
      <c r="D420" s="294">
        <v>-400</v>
      </c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>
        <v>-400</v>
      </c>
      <c r="V420" s="294"/>
      <c r="W420" s="294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  <c r="BA420" s="286"/>
      <c r="BB420" s="286"/>
      <c r="BC420" s="286"/>
    </row>
    <row r="421" spans="1:55" s="285" customFormat="1" ht="13.5" customHeight="1">
      <c r="A421" s="297"/>
      <c r="B421" s="296">
        <v>43593</v>
      </c>
      <c r="C421" s="295" t="s">
        <v>465</v>
      </c>
      <c r="D421" s="294">
        <v>62.5</v>
      </c>
      <c r="E421" s="294"/>
      <c r="F421" s="294"/>
      <c r="G421" s="294"/>
      <c r="H421" s="294"/>
      <c r="I421" s="294">
        <v>62.5</v>
      </c>
      <c r="J421" s="294"/>
      <c r="K421" s="294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</row>
    <row r="422" spans="1:55" s="285" customFormat="1" ht="13.5" customHeight="1">
      <c r="A422" s="297"/>
      <c r="B422" s="296">
        <v>43594</v>
      </c>
      <c r="C422" s="295" t="s">
        <v>123</v>
      </c>
      <c r="D422" s="294">
        <v>99</v>
      </c>
      <c r="E422" s="294"/>
      <c r="F422" s="294"/>
      <c r="G422" s="294">
        <v>99</v>
      </c>
      <c r="H422" s="294"/>
      <c r="I422" s="294"/>
      <c r="J422" s="294"/>
      <c r="K422" s="294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  <c r="BA422" s="286"/>
      <c r="BB422" s="286"/>
      <c r="BC422" s="286"/>
    </row>
    <row r="423" spans="1:55" s="285" customFormat="1" ht="13.5" customHeight="1">
      <c r="A423" s="297"/>
      <c r="B423" s="296">
        <v>43595</v>
      </c>
      <c r="C423" s="295" t="s">
        <v>451</v>
      </c>
      <c r="D423" s="294">
        <v>51</v>
      </c>
      <c r="E423" s="294"/>
      <c r="F423" s="294"/>
      <c r="G423" s="294">
        <v>25.5</v>
      </c>
      <c r="H423" s="294"/>
      <c r="I423" s="294"/>
      <c r="J423" s="294"/>
      <c r="K423" s="294">
        <v>25.5</v>
      </c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  <c r="BA423" s="286"/>
      <c r="BB423" s="286"/>
      <c r="BC423" s="286"/>
    </row>
    <row r="424" spans="1:55" s="285" customFormat="1" ht="13.5" customHeight="1">
      <c r="A424" s="297"/>
      <c r="B424" s="296">
        <v>43595</v>
      </c>
      <c r="C424" s="295" t="s">
        <v>186</v>
      </c>
      <c r="D424" s="294">
        <v>50</v>
      </c>
      <c r="E424" s="294"/>
      <c r="F424" s="294"/>
      <c r="G424" s="294"/>
      <c r="H424" s="294"/>
      <c r="I424" s="294"/>
      <c r="J424" s="294"/>
      <c r="K424" s="294"/>
      <c r="L424" s="294"/>
      <c r="M424" s="294"/>
      <c r="N424" s="294"/>
      <c r="O424" s="294"/>
      <c r="P424" s="294"/>
      <c r="Q424" s="294">
        <v>50</v>
      </c>
      <c r="R424" s="294"/>
      <c r="S424" s="294"/>
      <c r="T424" s="294"/>
      <c r="U424" s="294"/>
      <c r="V424" s="294"/>
      <c r="W424" s="294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  <c r="BA424" s="286"/>
      <c r="BB424" s="286"/>
      <c r="BC424" s="286"/>
    </row>
    <row r="425" spans="1:55" s="285" customFormat="1" ht="13.5" customHeight="1">
      <c r="A425" s="297"/>
      <c r="B425" s="296">
        <v>43596</v>
      </c>
      <c r="C425" s="295" t="s">
        <v>451</v>
      </c>
      <c r="D425" s="294">
        <v>109.38</v>
      </c>
      <c r="E425" s="294"/>
      <c r="F425" s="294"/>
      <c r="G425" s="294">
        <v>109.38</v>
      </c>
      <c r="H425" s="294"/>
      <c r="I425" s="294"/>
      <c r="J425" s="294"/>
      <c r="K425" s="294"/>
      <c r="L425" s="294"/>
      <c r="M425" s="294"/>
      <c r="N425" s="294"/>
      <c r="O425" s="294"/>
      <c r="P425" s="294"/>
      <c r="Q425" s="294"/>
      <c r="R425" s="294"/>
      <c r="S425" s="294"/>
      <c r="T425" s="294"/>
      <c r="U425" s="294"/>
      <c r="V425" s="294"/>
      <c r="W425" s="294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  <c r="BA425" s="286"/>
      <c r="BB425" s="286"/>
      <c r="BC425" s="286"/>
    </row>
    <row r="426" spans="1:55" s="285" customFormat="1" ht="13.5" customHeight="1">
      <c r="A426" s="297"/>
      <c r="B426" s="296">
        <v>43597</v>
      </c>
      <c r="C426" s="295" t="s">
        <v>451</v>
      </c>
      <c r="D426" s="294">
        <v>75.400000000000006</v>
      </c>
      <c r="E426" s="294"/>
      <c r="F426" s="294"/>
      <c r="G426" s="294">
        <v>56.45</v>
      </c>
      <c r="H426" s="294"/>
      <c r="I426" s="294"/>
      <c r="J426" s="294"/>
      <c r="K426" s="294"/>
      <c r="L426" s="294">
        <v>18.95</v>
      </c>
      <c r="M426" s="294"/>
      <c r="N426" s="294"/>
      <c r="O426" s="294"/>
      <c r="P426" s="294"/>
      <c r="Q426" s="294"/>
      <c r="R426" s="294"/>
      <c r="S426" s="294"/>
      <c r="T426" s="294"/>
      <c r="U426" s="294"/>
      <c r="V426" s="294"/>
      <c r="W426" s="294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  <c r="BA426" s="286"/>
      <c r="BB426" s="286"/>
      <c r="BC426" s="286"/>
    </row>
    <row r="427" spans="1:55" s="285" customFormat="1" ht="13.5" customHeight="1">
      <c r="A427" s="297"/>
      <c r="B427" s="296">
        <v>43598</v>
      </c>
      <c r="C427" s="295" t="s">
        <v>451</v>
      </c>
      <c r="D427" s="294">
        <v>83.9</v>
      </c>
      <c r="E427" s="294"/>
      <c r="F427" s="294"/>
      <c r="G427" s="294">
        <v>73.900000000000006</v>
      </c>
      <c r="H427" s="294"/>
      <c r="I427" s="294"/>
      <c r="J427" s="294"/>
      <c r="K427" s="294"/>
      <c r="L427" s="294">
        <v>10</v>
      </c>
      <c r="M427" s="294"/>
      <c r="N427" s="294"/>
      <c r="O427" s="294"/>
      <c r="P427" s="294"/>
      <c r="Q427" s="294"/>
      <c r="R427" s="294"/>
      <c r="S427" s="294"/>
      <c r="T427" s="294"/>
      <c r="U427" s="294"/>
      <c r="V427" s="294"/>
      <c r="W427" s="294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</row>
    <row r="428" spans="1:55" s="285" customFormat="1" ht="13.5" customHeight="1">
      <c r="A428" s="297"/>
      <c r="B428" s="296">
        <v>43598</v>
      </c>
      <c r="C428" s="295" t="s">
        <v>397</v>
      </c>
      <c r="D428" s="294">
        <v>299</v>
      </c>
      <c r="E428" s="294"/>
      <c r="F428" s="294">
        <v>299</v>
      </c>
      <c r="G428" s="294"/>
      <c r="H428" s="294"/>
      <c r="I428" s="294"/>
      <c r="J428" s="294"/>
      <c r="K428" s="294"/>
      <c r="L428" s="294"/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  <c r="BA428" s="286"/>
      <c r="BB428" s="286"/>
      <c r="BC428" s="286"/>
    </row>
    <row r="429" spans="1:55" s="285" customFormat="1" ht="13.5" customHeight="1">
      <c r="A429" s="297"/>
      <c r="B429" s="296">
        <v>43598</v>
      </c>
      <c r="C429" s="295" t="s">
        <v>192</v>
      </c>
      <c r="D429" s="294">
        <v>30</v>
      </c>
      <c r="E429" s="294"/>
      <c r="F429" s="294"/>
      <c r="G429" s="294">
        <v>30</v>
      </c>
      <c r="H429" s="294"/>
      <c r="I429" s="294"/>
      <c r="J429" s="294"/>
      <c r="K429" s="294"/>
      <c r="L429" s="294"/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  <c r="BA429" s="286"/>
      <c r="BB429" s="286"/>
      <c r="BC429" s="286"/>
    </row>
    <row r="430" spans="1:55" s="285" customFormat="1" ht="13.5" customHeight="1">
      <c r="A430" s="297"/>
      <c r="B430" s="296">
        <v>43598</v>
      </c>
      <c r="C430" s="295" t="s">
        <v>465</v>
      </c>
      <c r="D430" s="294">
        <v>80.75</v>
      </c>
      <c r="E430" s="294"/>
      <c r="F430" s="294"/>
      <c r="G430" s="294"/>
      <c r="H430" s="294">
        <v>80.75</v>
      </c>
      <c r="I430" s="294"/>
      <c r="J430" s="294"/>
      <c r="K430" s="294"/>
      <c r="L430" s="294"/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  <c r="BA430" s="286"/>
      <c r="BB430" s="286"/>
      <c r="BC430" s="286"/>
    </row>
    <row r="431" spans="1:55" s="285" customFormat="1" ht="13.5" customHeight="1">
      <c r="A431" s="297"/>
      <c r="B431" s="296">
        <v>43599</v>
      </c>
      <c r="C431" s="295" t="s">
        <v>451</v>
      </c>
      <c r="D431" s="294">
        <v>135</v>
      </c>
      <c r="E431" s="294"/>
      <c r="F431" s="294">
        <v>30</v>
      </c>
      <c r="G431" s="294">
        <v>85</v>
      </c>
      <c r="H431" s="294"/>
      <c r="I431" s="294"/>
      <c r="J431" s="294"/>
      <c r="K431" s="294"/>
      <c r="L431" s="294">
        <v>20</v>
      </c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  <c r="BA431" s="286"/>
      <c r="BB431" s="286"/>
      <c r="BC431" s="286"/>
    </row>
    <row r="432" spans="1:55" s="285" customFormat="1" ht="13.5" customHeight="1">
      <c r="A432" s="297"/>
      <c r="B432" s="296">
        <v>43600</v>
      </c>
      <c r="C432" s="295" t="s">
        <v>451</v>
      </c>
      <c r="D432" s="294">
        <v>119.14</v>
      </c>
      <c r="E432" s="294"/>
      <c r="F432" s="294"/>
      <c r="G432" s="294">
        <v>99.14</v>
      </c>
      <c r="H432" s="294"/>
      <c r="I432" s="294"/>
      <c r="J432" s="294"/>
      <c r="K432" s="294"/>
      <c r="L432" s="294">
        <v>20</v>
      </c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  <c r="BA432" s="286"/>
      <c r="BB432" s="286"/>
      <c r="BC432" s="286"/>
    </row>
    <row r="433" spans="1:55" s="285" customFormat="1" ht="13.5" customHeight="1">
      <c r="A433" s="297"/>
      <c r="B433" s="296">
        <v>43601</v>
      </c>
      <c r="C433" s="295" t="s">
        <v>216</v>
      </c>
      <c r="D433" s="294">
        <v>57.8</v>
      </c>
      <c r="E433" s="294"/>
      <c r="F433" s="294">
        <v>57.8</v>
      </c>
      <c r="G433" s="294"/>
      <c r="H433" s="294"/>
      <c r="I433" s="294"/>
      <c r="J433" s="294"/>
      <c r="K433" s="294"/>
      <c r="L433" s="294"/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  <c r="BA433" s="286"/>
      <c r="BB433" s="286"/>
      <c r="BC433" s="286"/>
    </row>
    <row r="434" spans="1:55" s="285" customFormat="1" ht="13.5" customHeight="1">
      <c r="A434" s="297"/>
      <c r="B434" s="296">
        <v>43601</v>
      </c>
      <c r="C434" s="295" t="s">
        <v>451</v>
      </c>
      <c r="D434" s="294">
        <v>45</v>
      </c>
      <c r="E434" s="294"/>
      <c r="F434" s="294"/>
      <c r="G434" s="294">
        <v>45</v>
      </c>
      <c r="H434" s="294"/>
      <c r="I434" s="294"/>
      <c r="J434" s="294"/>
      <c r="K434" s="294"/>
      <c r="L434" s="294"/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</row>
    <row r="435" spans="1:55" s="285" customFormat="1" ht="13.5" customHeight="1">
      <c r="A435" s="297"/>
      <c r="B435" s="296">
        <v>43601</v>
      </c>
      <c r="C435" s="295" t="s">
        <v>192</v>
      </c>
      <c r="D435" s="294">
        <v>50</v>
      </c>
      <c r="E435" s="294"/>
      <c r="F435" s="294"/>
      <c r="G435" s="294">
        <v>50</v>
      </c>
      <c r="H435" s="294"/>
      <c r="I435" s="294"/>
      <c r="J435" s="294"/>
      <c r="K435" s="294"/>
      <c r="L435" s="294"/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</row>
    <row r="436" spans="1:55" s="285" customFormat="1" ht="13.5" customHeight="1">
      <c r="A436" s="297"/>
      <c r="B436" s="296">
        <v>43603</v>
      </c>
      <c r="C436" s="295" t="s">
        <v>477</v>
      </c>
      <c r="D436" s="294">
        <v>-270</v>
      </c>
      <c r="E436" s="294"/>
      <c r="F436" s="294"/>
      <c r="G436" s="294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>
        <v>-80</v>
      </c>
      <c r="S436" s="294">
        <v>-190</v>
      </c>
      <c r="T436" s="294"/>
      <c r="U436" s="294"/>
      <c r="V436" s="294"/>
      <c r="W436" s="294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  <c r="BA436" s="286"/>
      <c r="BB436" s="286"/>
      <c r="BC436" s="286"/>
    </row>
    <row r="437" spans="1:55" s="285" customFormat="1" ht="13.5" customHeight="1">
      <c r="A437" s="297"/>
      <c r="B437" s="296">
        <v>43605</v>
      </c>
      <c r="C437" s="295" t="s">
        <v>451</v>
      </c>
      <c r="D437" s="294">
        <v>121</v>
      </c>
      <c r="E437" s="294"/>
      <c r="F437" s="294"/>
      <c r="G437" s="294">
        <v>75</v>
      </c>
      <c r="H437" s="294"/>
      <c r="I437" s="294"/>
      <c r="J437" s="294"/>
      <c r="K437" s="294">
        <v>36</v>
      </c>
      <c r="L437" s="294">
        <v>10</v>
      </c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  <c r="BA437" s="286"/>
      <c r="BB437" s="286"/>
      <c r="BC437" s="286"/>
    </row>
    <row r="438" spans="1:55" s="285" customFormat="1" ht="13.5" customHeight="1">
      <c r="A438" s="297"/>
      <c r="B438" s="296">
        <v>43606</v>
      </c>
      <c r="C438" s="295" t="s">
        <v>21</v>
      </c>
      <c r="D438" s="294">
        <v>50</v>
      </c>
      <c r="E438" s="294"/>
      <c r="F438" s="294"/>
      <c r="G438" s="294"/>
      <c r="H438" s="294"/>
      <c r="I438" s="294"/>
      <c r="J438" s="294"/>
      <c r="K438" s="294"/>
      <c r="L438" s="294"/>
      <c r="M438" s="294"/>
      <c r="N438" s="294"/>
      <c r="O438" s="294"/>
      <c r="P438" s="294">
        <v>50</v>
      </c>
      <c r="Q438" s="294"/>
      <c r="R438" s="294"/>
      <c r="S438" s="294"/>
      <c r="T438" s="294"/>
      <c r="U438" s="294"/>
      <c r="V438" s="294"/>
      <c r="W438" s="294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  <c r="BA438" s="286"/>
      <c r="BB438" s="286"/>
      <c r="BC438" s="286"/>
    </row>
    <row r="439" spans="1:55" s="285" customFormat="1" ht="13.5" customHeight="1">
      <c r="A439" s="297"/>
      <c r="B439" s="296">
        <v>43606</v>
      </c>
      <c r="C439" s="295" t="s">
        <v>451</v>
      </c>
      <c r="D439" s="294">
        <v>36</v>
      </c>
      <c r="E439" s="294"/>
      <c r="F439" s="294"/>
      <c r="G439" s="294"/>
      <c r="H439" s="294"/>
      <c r="I439" s="294"/>
      <c r="J439" s="294"/>
      <c r="K439" s="294">
        <v>36</v>
      </c>
      <c r="L439" s="294"/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</row>
    <row r="440" spans="1:55" s="285" customFormat="1" ht="13.5" customHeight="1">
      <c r="A440" s="297"/>
      <c r="B440" s="296">
        <v>43607</v>
      </c>
      <c r="C440" s="295" t="s">
        <v>451</v>
      </c>
      <c r="D440" s="294">
        <v>92.5</v>
      </c>
      <c r="E440" s="294"/>
      <c r="F440" s="294"/>
      <c r="G440" s="294">
        <v>16.5</v>
      </c>
      <c r="H440" s="294"/>
      <c r="I440" s="294"/>
      <c r="J440" s="294"/>
      <c r="K440" s="294">
        <v>36</v>
      </c>
      <c r="L440" s="294">
        <v>40</v>
      </c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  <c r="BA440" s="286"/>
      <c r="BB440" s="286"/>
      <c r="BC440" s="286"/>
    </row>
    <row r="441" spans="1:55" s="285" customFormat="1" ht="13.5" customHeight="1">
      <c r="A441" s="297"/>
      <c r="B441" s="296">
        <v>43607</v>
      </c>
      <c r="C441" s="295" t="s">
        <v>476</v>
      </c>
      <c r="D441" s="294">
        <v>5843.6</v>
      </c>
      <c r="E441" s="294"/>
      <c r="F441" s="294"/>
      <c r="G441" s="294"/>
      <c r="H441" s="294"/>
      <c r="I441" s="294"/>
      <c r="J441" s="294"/>
      <c r="K441" s="294"/>
      <c r="L441" s="294"/>
      <c r="M441" s="294"/>
      <c r="N441" s="294"/>
      <c r="O441" s="294">
        <v>5843.6</v>
      </c>
      <c r="P441" s="294"/>
      <c r="Q441" s="294"/>
      <c r="R441" s="294"/>
      <c r="S441" s="294"/>
      <c r="T441" s="294"/>
      <c r="U441" s="294"/>
      <c r="V441" s="294"/>
      <c r="W441" s="294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</row>
    <row r="442" spans="1:55" s="285" customFormat="1" ht="13.5" customHeight="1">
      <c r="A442" s="297"/>
      <c r="B442" s="296">
        <v>43607</v>
      </c>
      <c r="C442" s="295" t="s">
        <v>451</v>
      </c>
      <c r="D442" s="294">
        <v>124.6</v>
      </c>
      <c r="E442" s="294"/>
      <c r="F442" s="294"/>
      <c r="G442" s="294">
        <v>52.6</v>
      </c>
      <c r="H442" s="294"/>
      <c r="I442" s="294"/>
      <c r="J442" s="294"/>
      <c r="K442" s="294">
        <v>72</v>
      </c>
      <c r="L442" s="294"/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</row>
    <row r="443" spans="1:55" s="285" customFormat="1" ht="13.5" customHeight="1">
      <c r="A443" s="297"/>
      <c r="B443" s="296">
        <v>43608</v>
      </c>
      <c r="C443" s="295" t="s">
        <v>194</v>
      </c>
      <c r="D443" s="294">
        <v>399</v>
      </c>
      <c r="E443" s="294"/>
      <c r="F443" s="294"/>
      <c r="G443" s="294"/>
      <c r="H443" s="294"/>
      <c r="I443" s="294"/>
      <c r="J443" s="294"/>
      <c r="K443" s="294"/>
      <c r="L443" s="294"/>
      <c r="M443" s="294"/>
      <c r="N443" s="294"/>
      <c r="O443" s="294">
        <f>D443</f>
        <v>399</v>
      </c>
      <c r="P443" s="294"/>
      <c r="Q443" s="294"/>
      <c r="R443" s="294"/>
      <c r="S443" s="294"/>
      <c r="T443" s="294"/>
      <c r="U443" s="294"/>
      <c r="V443" s="294"/>
      <c r="W443" s="294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</row>
    <row r="444" spans="1:55" s="285" customFormat="1" ht="13.5" customHeight="1">
      <c r="A444" s="297"/>
      <c r="B444" s="296">
        <v>43608</v>
      </c>
      <c r="C444" s="295" t="s">
        <v>39</v>
      </c>
      <c r="D444" s="294">
        <v>38.5</v>
      </c>
      <c r="E444" s="294"/>
      <c r="F444" s="294"/>
      <c r="G444" s="294">
        <v>38.5</v>
      </c>
      <c r="H444" s="294"/>
      <c r="I444" s="294"/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</row>
    <row r="445" spans="1:55" s="285" customFormat="1" ht="13.5" customHeight="1">
      <c r="A445" s="297"/>
      <c r="B445" s="296">
        <v>43608</v>
      </c>
      <c r="C445" s="295" t="s">
        <v>451</v>
      </c>
      <c r="D445" s="294">
        <v>56</v>
      </c>
      <c r="E445" s="294"/>
      <c r="F445" s="294"/>
      <c r="G445" s="294">
        <v>20</v>
      </c>
      <c r="H445" s="294"/>
      <c r="I445" s="294"/>
      <c r="J445" s="294"/>
      <c r="K445" s="294">
        <v>36</v>
      </c>
      <c r="L445" s="294"/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  <c r="BA445" s="286"/>
      <c r="BB445" s="286"/>
      <c r="BC445" s="286"/>
    </row>
    <row r="446" spans="1:55" s="285" customFormat="1" ht="13.5" customHeight="1">
      <c r="A446" s="297"/>
      <c r="B446" s="296">
        <v>43608</v>
      </c>
      <c r="C446" s="295" t="s">
        <v>235</v>
      </c>
      <c r="D446" s="294">
        <v>82.5</v>
      </c>
      <c r="E446" s="294"/>
      <c r="F446" s="294">
        <v>82.5</v>
      </c>
      <c r="G446" s="294"/>
      <c r="H446" s="294"/>
      <c r="I446" s="294"/>
      <c r="J446" s="294"/>
      <c r="K446" s="294"/>
      <c r="L446" s="294"/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  <c r="BA446" s="286"/>
      <c r="BB446" s="286"/>
      <c r="BC446" s="286"/>
    </row>
    <row r="447" spans="1:55" s="285" customFormat="1" ht="13.5" customHeight="1">
      <c r="A447" s="297"/>
      <c r="B447" s="296">
        <v>43609</v>
      </c>
      <c r="C447" s="295" t="s">
        <v>451</v>
      </c>
      <c r="D447" s="294">
        <v>66</v>
      </c>
      <c r="E447" s="294"/>
      <c r="F447" s="294"/>
      <c r="G447" s="294">
        <v>10</v>
      </c>
      <c r="H447" s="294"/>
      <c r="I447" s="294"/>
      <c r="J447" s="294"/>
      <c r="K447" s="294">
        <v>36</v>
      </c>
      <c r="L447" s="294">
        <v>20</v>
      </c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  <c r="BA447" s="286"/>
      <c r="BB447" s="286"/>
      <c r="BC447" s="286"/>
    </row>
    <row r="448" spans="1:55" s="285" customFormat="1" ht="13.5" customHeight="1">
      <c r="A448" s="297"/>
      <c r="B448" s="296">
        <v>43609</v>
      </c>
      <c r="C448" s="295" t="s">
        <v>235</v>
      </c>
      <c r="D448" s="294">
        <v>100</v>
      </c>
      <c r="E448" s="294"/>
      <c r="F448" s="294">
        <v>100</v>
      </c>
      <c r="G448" s="294"/>
      <c r="H448" s="294"/>
      <c r="I448" s="294"/>
      <c r="J448" s="294"/>
      <c r="K448" s="294"/>
      <c r="L448" s="294"/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  <c r="BA448" s="286"/>
      <c r="BB448" s="286"/>
      <c r="BC448" s="286"/>
    </row>
    <row r="449" spans="1:55" s="285" customFormat="1" ht="13.5" customHeight="1">
      <c r="A449" s="297"/>
      <c r="B449" s="296">
        <v>43610</v>
      </c>
      <c r="C449" s="295" t="s">
        <v>465</v>
      </c>
      <c r="D449" s="294">
        <v>7.2</v>
      </c>
      <c r="E449" s="294"/>
      <c r="F449" s="294"/>
      <c r="G449" s="294"/>
      <c r="H449" s="294">
        <v>7.2</v>
      </c>
      <c r="I449" s="294"/>
      <c r="J449" s="294"/>
      <c r="K449" s="294"/>
      <c r="L449" s="294"/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  <c r="BA449" s="286"/>
      <c r="BB449" s="286"/>
      <c r="BC449" s="286"/>
    </row>
    <row r="450" spans="1:55" s="285" customFormat="1" ht="13.5" customHeight="1">
      <c r="A450" s="297"/>
      <c r="B450" s="296">
        <v>43610</v>
      </c>
      <c r="C450" s="295" t="s">
        <v>451</v>
      </c>
      <c r="D450" s="294">
        <v>86</v>
      </c>
      <c r="E450" s="294"/>
      <c r="F450" s="294"/>
      <c r="G450" s="294">
        <v>50</v>
      </c>
      <c r="H450" s="294"/>
      <c r="I450" s="294"/>
      <c r="J450" s="294"/>
      <c r="K450" s="294">
        <v>36</v>
      </c>
      <c r="L450" s="294"/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  <c r="BA450" s="286"/>
      <c r="BB450" s="286"/>
      <c r="BC450" s="286"/>
    </row>
    <row r="451" spans="1:55" s="285" customFormat="1" ht="13.5" customHeight="1">
      <c r="A451" s="297"/>
      <c r="B451" s="296">
        <v>43610</v>
      </c>
      <c r="C451" s="295" t="s">
        <v>40</v>
      </c>
      <c r="D451" s="294">
        <v>26</v>
      </c>
      <c r="E451" s="294"/>
      <c r="F451" s="294"/>
      <c r="G451" s="294">
        <v>26</v>
      </c>
      <c r="H451" s="294"/>
      <c r="I451" s="294"/>
      <c r="J451" s="294"/>
      <c r="K451" s="294"/>
      <c r="L451" s="294"/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  <c r="BA451" s="286"/>
      <c r="BB451" s="286"/>
      <c r="BC451" s="286"/>
    </row>
    <row r="452" spans="1:55" s="285" customFormat="1" ht="13.5" customHeight="1">
      <c r="A452" s="297"/>
      <c r="B452" s="296">
        <v>43610</v>
      </c>
      <c r="C452" s="295" t="s">
        <v>451</v>
      </c>
      <c r="D452" s="294">
        <v>66</v>
      </c>
      <c r="E452" s="294"/>
      <c r="F452" s="294"/>
      <c r="G452" s="294">
        <v>30</v>
      </c>
      <c r="H452" s="294"/>
      <c r="I452" s="294"/>
      <c r="J452" s="294"/>
      <c r="K452" s="294">
        <v>36</v>
      </c>
      <c r="L452" s="294"/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  <c r="BA452" s="286"/>
      <c r="BB452" s="286"/>
      <c r="BC452" s="286"/>
    </row>
    <row r="453" spans="1:55" s="285" customFormat="1" ht="13.5" customHeight="1">
      <c r="A453" s="297"/>
      <c r="B453" s="296">
        <v>43610</v>
      </c>
      <c r="C453" s="295" t="s">
        <v>466</v>
      </c>
      <c r="D453" s="294">
        <v>30</v>
      </c>
      <c r="E453" s="294"/>
      <c r="F453" s="294"/>
      <c r="G453" s="294">
        <v>30</v>
      </c>
      <c r="H453" s="294"/>
      <c r="I453" s="294"/>
      <c r="J453" s="294"/>
      <c r="K453" s="294"/>
      <c r="L453" s="294"/>
      <c r="M453" s="294"/>
      <c r="N453" s="294"/>
      <c r="O453" s="294"/>
      <c r="P453" s="294"/>
      <c r="Q453" s="294"/>
      <c r="R453" s="294"/>
      <c r="S453" s="294"/>
      <c r="T453" s="294"/>
      <c r="U453" s="294"/>
      <c r="V453" s="294"/>
      <c r="W453" s="294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  <c r="BA453" s="286"/>
      <c r="BB453" s="286"/>
      <c r="BC453" s="286"/>
    </row>
    <row r="454" spans="1:55" s="285" customFormat="1" ht="13.5" customHeight="1">
      <c r="A454" s="297"/>
      <c r="B454" s="296">
        <v>43612</v>
      </c>
      <c r="C454" s="295" t="s">
        <v>451</v>
      </c>
      <c r="D454" s="294">
        <v>96.25</v>
      </c>
      <c r="E454" s="294"/>
      <c r="F454" s="294"/>
      <c r="G454" s="294">
        <v>96.25</v>
      </c>
      <c r="H454" s="294"/>
      <c r="I454" s="294"/>
      <c r="J454" s="294"/>
      <c r="K454" s="294"/>
      <c r="L454" s="294"/>
      <c r="M454" s="294"/>
      <c r="N454" s="294"/>
      <c r="O454" s="294"/>
      <c r="P454" s="294"/>
      <c r="Q454" s="294"/>
      <c r="R454" s="294"/>
      <c r="S454" s="294"/>
      <c r="T454" s="294"/>
      <c r="U454" s="294"/>
      <c r="V454" s="294"/>
      <c r="W454" s="294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  <c r="BA454" s="286"/>
      <c r="BB454" s="286"/>
      <c r="BC454" s="286"/>
    </row>
    <row r="455" spans="1:55" s="285" customFormat="1" ht="13.5" customHeight="1">
      <c r="A455" s="297"/>
      <c r="B455" s="296">
        <v>43613</v>
      </c>
      <c r="C455" s="295" t="s">
        <v>475</v>
      </c>
      <c r="D455" s="294">
        <v>25</v>
      </c>
      <c r="E455" s="294"/>
      <c r="F455" s="294">
        <v>25</v>
      </c>
      <c r="G455" s="294"/>
      <c r="H455" s="294"/>
      <c r="I455" s="294"/>
      <c r="J455" s="294"/>
      <c r="K455" s="294"/>
      <c r="L455" s="294"/>
      <c r="M455" s="294"/>
      <c r="N455" s="294"/>
      <c r="O455" s="294"/>
      <c r="P455" s="294"/>
      <c r="Q455" s="294"/>
      <c r="R455" s="294"/>
      <c r="S455" s="294"/>
      <c r="T455" s="294"/>
      <c r="U455" s="294"/>
      <c r="V455" s="294"/>
      <c r="W455" s="294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  <c r="BA455" s="286"/>
      <c r="BB455" s="286"/>
      <c r="BC455" s="286"/>
    </row>
    <row r="456" spans="1:55" s="285" customFormat="1" ht="13.5" customHeight="1">
      <c r="A456" s="297"/>
      <c r="B456" s="296">
        <v>43613</v>
      </c>
      <c r="C456" s="295" t="s">
        <v>40</v>
      </c>
      <c r="D456" s="294">
        <v>15</v>
      </c>
      <c r="E456" s="294"/>
      <c r="F456" s="294"/>
      <c r="G456" s="294">
        <v>15</v>
      </c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294"/>
      <c r="S456" s="294"/>
      <c r="T456" s="294"/>
      <c r="U456" s="294"/>
      <c r="V456" s="294"/>
      <c r="W456" s="294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  <c r="BA456" s="286"/>
      <c r="BB456" s="286"/>
      <c r="BC456" s="286"/>
    </row>
    <row r="457" spans="1:55" s="285" customFormat="1" ht="13.5" customHeight="1">
      <c r="A457" s="297"/>
      <c r="B457" s="296">
        <v>43614</v>
      </c>
      <c r="C457" s="295" t="s">
        <v>474</v>
      </c>
      <c r="D457" s="294">
        <v>180</v>
      </c>
      <c r="E457" s="294"/>
      <c r="F457" s="294">
        <v>180</v>
      </c>
      <c r="G457" s="294"/>
      <c r="H457" s="294"/>
      <c r="I457" s="294"/>
      <c r="J457" s="294"/>
      <c r="K457" s="294"/>
      <c r="L457" s="294"/>
      <c r="M457" s="294"/>
      <c r="N457" s="294"/>
      <c r="O457" s="294"/>
      <c r="P457" s="294"/>
      <c r="Q457" s="294"/>
      <c r="R457" s="294"/>
      <c r="S457" s="294"/>
      <c r="T457" s="294"/>
      <c r="U457" s="294"/>
      <c r="V457" s="294"/>
      <c r="W457" s="294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  <c r="BA457" s="286"/>
      <c r="BB457" s="286"/>
      <c r="BC457" s="286"/>
    </row>
    <row r="458" spans="1:55" s="290" customFormat="1" ht="13.5" customHeight="1">
      <c r="A458" s="293"/>
      <c r="B458" s="3023" t="str">
        <f>H1</f>
        <v>juni</v>
      </c>
      <c r="C458" s="3024"/>
      <c r="D458" s="292">
        <f t="shared" ref="D458:V458" si="13">SUM(D459:D526)</f>
        <v>18804.310000000005</v>
      </c>
      <c r="E458" s="292">
        <f t="shared" si="13"/>
        <v>1716.79</v>
      </c>
      <c r="F458" s="292">
        <f t="shared" si="13"/>
        <v>896</v>
      </c>
      <c r="G458" s="292">
        <f t="shared" si="13"/>
        <v>1690.7</v>
      </c>
      <c r="H458" s="292">
        <f t="shared" si="13"/>
        <v>386.59999999999991</v>
      </c>
      <c r="I458" s="292">
        <f t="shared" si="13"/>
        <v>0</v>
      </c>
      <c r="J458" s="292">
        <f t="shared" si="13"/>
        <v>400</v>
      </c>
      <c r="K458" s="292">
        <f t="shared" si="13"/>
        <v>0</v>
      </c>
      <c r="L458" s="292">
        <f t="shared" si="13"/>
        <v>319</v>
      </c>
      <c r="M458" s="292">
        <f t="shared" si="13"/>
        <v>11211</v>
      </c>
      <c r="N458" s="292">
        <f t="shared" si="13"/>
        <v>0</v>
      </c>
      <c r="O458" s="292">
        <f t="shared" si="13"/>
        <v>1472.75</v>
      </c>
      <c r="P458" s="292">
        <f t="shared" si="13"/>
        <v>431.34000000000003</v>
      </c>
      <c r="Q458" s="292">
        <f t="shared" si="13"/>
        <v>39</v>
      </c>
      <c r="R458" s="292">
        <f t="shared" si="13"/>
        <v>0</v>
      </c>
      <c r="S458" s="292">
        <f t="shared" si="13"/>
        <v>0</v>
      </c>
      <c r="T458" s="292">
        <f t="shared" si="13"/>
        <v>128</v>
      </c>
      <c r="U458" s="292">
        <f t="shared" si="13"/>
        <v>0</v>
      </c>
      <c r="V458" s="292">
        <f t="shared" si="13"/>
        <v>1300.1300000000001</v>
      </c>
      <c r="W458" s="292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</row>
    <row r="459" spans="1:55" s="285" customFormat="1" ht="13.5" customHeight="1">
      <c r="A459" s="297"/>
      <c r="B459" s="296">
        <v>43614</v>
      </c>
      <c r="C459" s="295" t="s">
        <v>41</v>
      </c>
      <c r="D459" s="294">
        <v>80</v>
      </c>
      <c r="E459" s="294"/>
      <c r="F459" s="294"/>
      <c r="G459" s="294">
        <v>40</v>
      </c>
      <c r="H459" s="294"/>
      <c r="I459" s="294"/>
      <c r="J459" s="294">
        <v>80</v>
      </c>
      <c r="K459" s="294"/>
      <c r="L459" s="294"/>
      <c r="M459" s="294"/>
      <c r="N459" s="294"/>
      <c r="O459" s="294"/>
      <c r="P459" s="294"/>
      <c r="Q459" s="294"/>
      <c r="R459" s="294"/>
      <c r="S459" s="294"/>
      <c r="T459" s="294"/>
      <c r="U459" s="294"/>
      <c r="V459" s="294"/>
      <c r="W459" s="294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  <c r="BA459" s="286"/>
      <c r="BB459" s="286"/>
      <c r="BC459" s="286"/>
    </row>
    <row r="460" spans="1:55" s="285" customFormat="1" ht="13.5" customHeight="1">
      <c r="A460" s="297"/>
      <c r="B460" s="296">
        <v>43616</v>
      </c>
      <c r="C460" s="295" t="s">
        <v>451</v>
      </c>
      <c r="D460" s="294">
        <v>22</v>
      </c>
      <c r="E460" s="294"/>
      <c r="F460" s="294"/>
      <c r="G460" s="294">
        <v>22</v>
      </c>
      <c r="H460" s="294"/>
      <c r="I460" s="294"/>
      <c r="J460" s="294"/>
      <c r="K460" s="294"/>
      <c r="L460" s="294"/>
      <c r="M460" s="294"/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  <c r="BA460" s="286"/>
      <c r="BB460" s="286"/>
      <c r="BC460" s="286"/>
    </row>
    <row r="461" spans="1:55" s="285" customFormat="1" ht="13.5" customHeight="1">
      <c r="A461" s="297"/>
      <c r="B461" s="296">
        <v>43616</v>
      </c>
      <c r="C461" s="295" t="s">
        <v>473</v>
      </c>
      <c r="D461" s="294">
        <v>15</v>
      </c>
      <c r="E461" s="294"/>
      <c r="F461" s="294">
        <v>15</v>
      </c>
      <c r="G461" s="294"/>
      <c r="H461" s="294"/>
      <c r="I461" s="294"/>
      <c r="J461" s="294"/>
      <c r="K461" s="294"/>
      <c r="L461" s="294"/>
      <c r="M461" s="294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  <c r="BA461" s="286"/>
      <c r="BB461" s="286"/>
      <c r="BC461" s="286"/>
    </row>
    <row r="462" spans="1:55" s="285" customFormat="1" ht="13.5" customHeight="1">
      <c r="A462" s="297"/>
      <c r="B462" s="296">
        <v>43616</v>
      </c>
      <c r="C462" s="295" t="s">
        <v>220</v>
      </c>
      <c r="D462" s="294">
        <v>146</v>
      </c>
      <c r="E462" s="294"/>
      <c r="F462" s="294">
        <v>146</v>
      </c>
      <c r="G462" s="294"/>
      <c r="H462" s="294"/>
      <c r="I462" s="294"/>
      <c r="J462" s="294"/>
      <c r="K462" s="294"/>
      <c r="L462" s="294"/>
      <c r="M462" s="294"/>
      <c r="N462" s="294"/>
      <c r="O462" s="294"/>
      <c r="P462" s="294"/>
      <c r="Q462" s="294"/>
      <c r="R462" s="294"/>
      <c r="S462" s="294"/>
      <c r="T462" s="294"/>
      <c r="U462" s="294"/>
      <c r="V462" s="294"/>
      <c r="W462" s="294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  <c r="BA462" s="286"/>
      <c r="BB462" s="286"/>
      <c r="BC462" s="286"/>
    </row>
    <row r="463" spans="1:55" s="285" customFormat="1" ht="13.5" customHeight="1">
      <c r="A463" s="297"/>
      <c r="B463" s="296">
        <v>43616</v>
      </c>
      <c r="C463" s="295" t="s">
        <v>58</v>
      </c>
      <c r="D463" s="294">
        <v>700</v>
      </c>
      <c r="E463" s="294"/>
      <c r="F463" s="294"/>
      <c r="G463" s="294"/>
      <c r="H463" s="294"/>
      <c r="I463" s="294"/>
      <c r="J463" s="294"/>
      <c r="K463" s="294"/>
      <c r="L463" s="294"/>
      <c r="M463" s="294"/>
      <c r="N463" s="294"/>
      <c r="O463" s="294"/>
      <c r="P463" s="294"/>
      <c r="Q463" s="294"/>
      <c r="R463" s="294"/>
      <c r="S463" s="294"/>
      <c r="T463" s="294"/>
      <c r="U463" s="294"/>
      <c r="V463" s="294">
        <v>700</v>
      </c>
      <c r="W463" s="294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  <c r="BC463" s="286"/>
    </row>
    <row r="464" spans="1:55" s="285" customFormat="1" ht="13.5" customHeight="1">
      <c r="A464" s="297"/>
      <c r="B464" s="296">
        <v>43616</v>
      </c>
      <c r="C464" s="295" t="s">
        <v>378</v>
      </c>
      <c r="D464" s="294">
        <v>128</v>
      </c>
      <c r="E464" s="294"/>
      <c r="F464" s="294"/>
      <c r="G464" s="294"/>
      <c r="H464" s="294"/>
      <c r="I464" s="294"/>
      <c r="J464" s="294"/>
      <c r="K464" s="294"/>
      <c r="L464" s="294"/>
      <c r="M464" s="294"/>
      <c r="N464" s="294"/>
      <c r="O464" s="294"/>
      <c r="P464" s="294"/>
      <c r="Q464" s="294"/>
      <c r="R464" s="294"/>
      <c r="S464" s="294"/>
      <c r="T464" s="294">
        <v>128</v>
      </c>
      <c r="U464" s="294"/>
      <c r="V464" s="294"/>
      <c r="W464" s="294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  <c r="BA464" s="286"/>
      <c r="BB464" s="286"/>
      <c r="BC464" s="286"/>
    </row>
    <row r="465" spans="1:55" s="285" customFormat="1" ht="13.5" customHeight="1">
      <c r="A465" s="297"/>
      <c r="B465" s="296">
        <v>43616</v>
      </c>
      <c r="C465" s="295" t="s">
        <v>464</v>
      </c>
      <c r="D465" s="294">
        <v>69</v>
      </c>
      <c r="E465" s="294"/>
      <c r="F465" s="294"/>
      <c r="G465" s="294"/>
      <c r="H465" s="294"/>
      <c r="I465" s="294"/>
      <c r="J465" s="294"/>
      <c r="K465" s="294"/>
      <c r="L465" s="294"/>
      <c r="M465" s="294"/>
      <c r="N465" s="294"/>
      <c r="O465" s="294">
        <f>D465</f>
        <v>69</v>
      </c>
      <c r="P465" s="294"/>
      <c r="Q465" s="294"/>
      <c r="R465" s="294"/>
      <c r="S465" s="294"/>
      <c r="T465" s="294"/>
      <c r="U465" s="294"/>
      <c r="V465" s="294"/>
      <c r="W465" s="294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  <c r="BA465" s="286"/>
      <c r="BB465" s="286"/>
      <c r="BC465" s="286"/>
    </row>
    <row r="466" spans="1:55" s="285" customFormat="1" ht="13.5" customHeight="1">
      <c r="A466" s="297"/>
      <c r="B466" s="296">
        <v>43616</v>
      </c>
      <c r="C466" s="295" t="s">
        <v>220</v>
      </c>
      <c r="D466" s="294">
        <v>-200</v>
      </c>
      <c r="E466" s="294"/>
      <c r="F466" s="294">
        <v>-200</v>
      </c>
      <c r="G466" s="294"/>
      <c r="H466" s="294"/>
      <c r="I466" s="294"/>
      <c r="J466" s="294"/>
      <c r="K466" s="294"/>
      <c r="L466" s="294"/>
      <c r="M466" s="294"/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  <c r="BC466" s="286"/>
    </row>
    <row r="467" spans="1:55" s="285" customFormat="1" ht="13.5" customHeight="1">
      <c r="A467" s="297"/>
      <c r="B467" s="296">
        <v>43619</v>
      </c>
      <c r="C467" s="295" t="s">
        <v>230</v>
      </c>
      <c r="D467" s="294">
        <v>59</v>
      </c>
      <c r="E467" s="294"/>
      <c r="F467" s="294"/>
      <c r="G467" s="294"/>
      <c r="H467" s="294"/>
      <c r="I467" s="294"/>
      <c r="J467" s="294"/>
      <c r="K467" s="294"/>
      <c r="L467" s="294"/>
      <c r="M467" s="294"/>
      <c r="N467" s="294"/>
      <c r="O467" s="294"/>
      <c r="P467" s="294">
        <f>D467</f>
        <v>59</v>
      </c>
      <c r="Q467" s="294"/>
      <c r="R467" s="294"/>
      <c r="S467" s="294"/>
      <c r="T467" s="294"/>
      <c r="U467" s="294"/>
      <c r="V467" s="294"/>
      <c r="W467" s="294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  <c r="BA467" s="286"/>
      <c r="BB467" s="286"/>
      <c r="BC467" s="286"/>
    </row>
    <row r="468" spans="1:55" s="285" customFormat="1" ht="13.5" customHeight="1">
      <c r="A468" s="297"/>
      <c r="B468" s="296">
        <v>43617</v>
      </c>
      <c r="C468" s="295" t="s">
        <v>451</v>
      </c>
      <c r="D468" s="294">
        <v>150.30000000000001</v>
      </c>
      <c r="E468" s="294"/>
      <c r="F468" s="294"/>
      <c r="G468" s="294">
        <v>40.299999999999997</v>
      </c>
      <c r="H468" s="294"/>
      <c r="I468" s="294"/>
      <c r="J468" s="294">
        <v>80</v>
      </c>
      <c r="K468" s="294"/>
      <c r="L468" s="294">
        <v>30</v>
      </c>
      <c r="M468" s="294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  <c r="BA468" s="286"/>
      <c r="BB468" s="286"/>
      <c r="BC468" s="286"/>
    </row>
    <row r="469" spans="1:55" s="285" customFormat="1" ht="13.5" customHeight="1">
      <c r="A469" s="297"/>
      <c r="B469" s="296">
        <v>43617</v>
      </c>
      <c r="C469" s="295" t="s">
        <v>451</v>
      </c>
      <c r="D469" s="294">
        <v>33.5</v>
      </c>
      <c r="E469" s="294"/>
      <c r="F469" s="294"/>
      <c r="G469" s="294">
        <v>33.5</v>
      </c>
      <c r="H469" s="294"/>
      <c r="I469" s="294"/>
      <c r="J469" s="294"/>
      <c r="K469" s="294"/>
      <c r="L469" s="294"/>
      <c r="M469" s="294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</row>
    <row r="470" spans="1:55" s="285" customFormat="1" ht="13.5" customHeight="1">
      <c r="A470" s="297"/>
      <c r="B470" s="296">
        <v>43617</v>
      </c>
      <c r="C470" s="295" t="s">
        <v>22</v>
      </c>
      <c r="D470" s="294">
        <v>89</v>
      </c>
      <c r="E470" s="294"/>
      <c r="F470" s="294"/>
      <c r="G470" s="294"/>
      <c r="H470" s="294"/>
      <c r="I470" s="294"/>
      <c r="J470" s="294"/>
      <c r="K470" s="294"/>
      <c r="L470" s="294"/>
      <c r="M470" s="294"/>
      <c r="N470" s="294"/>
      <c r="O470" s="294"/>
      <c r="P470" s="294">
        <f>D470</f>
        <v>89</v>
      </c>
      <c r="Q470" s="294"/>
      <c r="R470" s="294"/>
      <c r="S470" s="294"/>
      <c r="T470" s="294"/>
      <c r="U470" s="294"/>
      <c r="V470" s="294"/>
      <c r="W470" s="294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  <c r="BC470" s="286"/>
    </row>
    <row r="471" spans="1:55" s="285" customFormat="1" ht="13.5" customHeight="1">
      <c r="A471" s="297"/>
      <c r="B471" s="296">
        <v>43618</v>
      </c>
      <c r="C471" s="295" t="s">
        <v>21</v>
      </c>
      <c r="D471" s="294">
        <v>176</v>
      </c>
      <c r="E471" s="294"/>
      <c r="F471" s="294"/>
      <c r="G471" s="294"/>
      <c r="H471" s="294"/>
      <c r="I471" s="294"/>
      <c r="J471" s="294"/>
      <c r="K471" s="294"/>
      <c r="L471" s="294"/>
      <c r="M471" s="294"/>
      <c r="N471" s="294"/>
      <c r="O471" s="294"/>
      <c r="P471" s="294">
        <f>D471</f>
        <v>176</v>
      </c>
      <c r="Q471" s="294"/>
      <c r="R471" s="294"/>
      <c r="S471" s="294"/>
      <c r="T471" s="294"/>
      <c r="U471" s="294"/>
      <c r="V471" s="294"/>
      <c r="W471" s="294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  <c r="BA471" s="286"/>
      <c r="BB471" s="286"/>
      <c r="BC471" s="286"/>
    </row>
    <row r="472" spans="1:55" s="285" customFormat="1" ht="13.5" customHeight="1">
      <c r="A472" s="297"/>
      <c r="B472" s="296">
        <v>43619</v>
      </c>
      <c r="C472" s="295" t="s">
        <v>31</v>
      </c>
      <c r="D472" s="294">
        <v>-1147</v>
      </c>
      <c r="E472" s="294"/>
      <c r="F472" s="294"/>
      <c r="G472" s="294"/>
      <c r="H472" s="294"/>
      <c r="I472" s="294"/>
      <c r="J472" s="294"/>
      <c r="K472" s="294"/>
      <c r="L472" s="294"/>
      <c r="M472" s="294"/>
      <c r="N472" s="294"/>
      <c r="O472" s="294"/>
      <c r="P472" s="294"/>
      <c r="Q472" s="294"/>
      <c r="R472" s="294"/>
      <c r="S472" s="294"/>
      <c r="T472" s="294"/>
      <c r="U472" s="294"/>
      <c r="V472" s="294"/>
      <c r="W472" s="294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  <c r="BA472" s="286"/>
      <c r="BB472" s="286"/>
      <c r="BC472" s="286"/>
    </row>
    <row r="473" spans="1:55" s="285" customFormat="1" ht="13.5" customHeight="1">
      <c r="A473" s="297"/>
      <c r="B473" s="296">
        <v>43619</v>
      </c>
      <c r="C473" s="295" t="s">
        <v>30</v>
      </c>
      <c r="D473" s="294">
        <v>11211</v>
      </c>
      <c r="E473" s="294"/>
      <c r="F473" s="294"/>
      <c r="G473" s="294"/>
      <c r="H473" s="294"/>
      <c r="I473" s="294"/>
      <c r="J473" s="294"/>
      <c r="K473" s="294"/>
      <c r="L473" s="294"/>
      <c r="M473" s="294">
        <f>D473</f>
        <v>11211</v>
      </c>
      <c r="N473" s="294"/>
      <c r="O473" s="294"/>
      <c r="P473" s="294"/>
      <c r="Q473" s="294"/>
      <c r="R473" s="294"/>
      <c r="S473" s="294"/>
      <c r="T473" s="294"/>
      <c r="U473" s="294"/>
      <c r="V473" s="294"/>
      <c r="W473" s="294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</row>
    <row r="474" spans="1:55" s="285" customFormat="1" ht="13.5" customHeight="1">
      <c r="A474" s="297"/>
      <c r="B474" s="296">
        <v>43619</v>
      </c>
      <c r="C474" s="295" t="s">
        <v>125</v>
      </c>
      <c r="D474" s="294">
        <v>43</v>
      </c>
      <c r="E474" s="294"/>
      <c r="F474" s="294"/>
      <c r="G474" s="294"/>
      <c r="H474" s="294"/>
      <c r="I474" s="294"/>
      <c r="J474" s="294"/>
      <c r="K474" s="294"/>
      <c r="L474" s="294"/>
      <c r="M474" s="294"/>
      <c r="N474" s="294"/>
      <c r="O474" s="294"/>
      <c r="P474" s="294"/>
      <c r="Q474" s="294">
        <v>43</v>
      </c>
      <c r="R474" s="294"/>
      <c r="S474" s="294"/>
      <c r="T474" s="294"/>
      <c r="U474" s="294"/>
      <c r="V474" s="294"/>
      <c r="W474" s="294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  <c r="BC474" s="286"/>
    </row>
    <row r="475" spans="1:55" s="285" customFormat="1" ht="13.5" customHeight="1">
      <c r="A475" s="297"/>
      <c r="B475" s="296">
        <v>43619</v>
      </c>
      <c r="C475" s="295" t="s">
        <v>182</v>
      </c>
      <c r="D475" s="294">
        <f>'[5]2019gl'!$C$69</f>
        <v>284</v>
      </c>
      <c r="E475" s="294">
        <f>'[5]2019gl'!$C$69</f>
        <v>284</v>
      </c>
      <c r="F475" s="294"/>
      <c r="G475" s="294"/>
      <c r="H475" s="294"/>
      <c r="I475" s="294"/>
      <c r="J475" s="294"/>
      <c r="K475" s="294"/>
      <c r="L475" s="294"/>
      <c r="M475" s="294"/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  <c r="BC475" s="286"/>
    </row>
    <row r="476" spans="1:55" s="285" customFormat="1" ht="13.5" customHeight="1">
      <c r="A476" s="297"/>
      <c r="B476" s="296">
        <v>43619</v>
      </c>
      <c r="C476" s="295" t="s">
        <v>183</v>
      </c>
      <c r="D476" s="294">
        <f>'[5]2019gl'!$C$72</f>
        <v>458.75</v>
      </c>
      <c r="E476" s="294">
        <f>'[5]2019gl'!$C$72</f>
        <v>458.75</v>
      </c>
      <c r="F476" s="294"/>
      <c r="G476" s="294"/>
      <c r="H476" s="294"/>
      <c r="I476" s="294"/>
      <c r="J476" s="294"/>
      <c r="K476" s="294"/>
      <c r="L476" s="294"/>
      <c r="M476" s="294"/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  <c r="BA476" s="286"/>
      <c r="BB476" s="286"/>
      <c r="BC476" s="286"/>
    </row>
    <row r="477" spans="1:55" s="285" customFormat="1" ht="13.5" customHeight="1">
      <c r="A477" s="297"/>
      <c r="B477" s="296">
        <v>43619</v>
      </c>
      <c r="C477" s="295" t="s">
        <v>265</v>
      </c>
      <c r="D477" s="294">
        <f>'[5]2019gl'!$C$67</f>
        <v>602.4</v>
      </c>
      <c r="E477" s="294">
        <f>'[5]2019gl'!$C$67</f>
        <v>602.4</v>
      </c>
      <c r="F477" s="294"/>
      <c r="G477" s="294"/>
      <c r="H477" s="294"/>
      <c r="I477" s="294"/>
      <c r="J477" s="294"/>
      <c r="K477" s="294"/>
      <c r="L477" s="294"/>
      <c r="M477" s="294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  <c r="BA477" s="286"/>
      <c r="BB477" s="286"/>
      <c r="BC477" s="286"/>
    </row>
    <row r="478" spans="1:55" s="285" customFormat="1" ht="13.5" customHeight="1">
      <c r="A478" s="297"/>
      <c r="B478" s="296">
        <v>43619</v>
      </c>
      <c r="C478" s="295" t="s">
        <v>472</v>
      </c>
      <c r="D478" s="294">
        <v>71.19</v>
      </c>
      <c r="E478" s="294">
        <v>71.19</v>
      </c>
      <c r="F478" s="294"/>
      <c r="G478" s="294"/>
      <c r="H478" s="294"/>
      <c r="I478" s="294"/>
      <c r="J478" s="294"/>
      <c r="K478" s="294"/>
      <c r="L478" s="294"/>
      <c r="M478" s="294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6"/>
      <c r="BC478" s="286"/>
    </row>
    <row r="479" spans="1:55" s="285" customFormat="1" ht="13.5" customHeight="1">
      <c r="A479" s="297"/>
      <c r="B479" s="296">
        <v>43619</v>
      </c>
      <c r="C479" s="295" t="s">
        <v>186</v>
      </c>
      <c r="D479" s="294">
        <v>200</v>
      </c>
      <c r="E479" s="294"/>
      <c r="F479" s="294"/>
      <c r="G479" s="294"/>
      <c r="H479" s="294"/>
      <c r="I479" s="294"/>
      <c r="J479" s="294"/>
      <c r="K479" s="294"/>
      <c r="L479" s="294"/>
      <c r="M479" s="294"/>
      <c r="N479" s="294"/>
      <c r="O479" s="294"/>
      <c r="P479" s="294"/>
      <c r="Q479" s="294">
        <v>200</v>
      </c>
      <c r="R479" s="294"/>
      <c r="S479" s="294"/>
      <c r="T479" s="294"/>
      <c r="U479" s="294"/>
      <c r="V479" s="294"/>
      <c r="W479" s="294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  <c r="BA479" s="286"/>
      <c r="BB479" s="286"/>
      <c r="BC479" s="286"/>
    </row>
    <row r="480" spans="1:55" s="285" customFormat="1" ht="13.5" customHeight="1">
      <c r="A480" s="297"/>
      <c r="B480" s="296">
        <v>43619</v>
      </c>
      <c r="C480" s="295" t="s">
        <v>363</v>
      </c>
      <c r="D480" s="294">
        <v>1037.29</v>
      </c>
      <c r="E480" s="294"/>
      <c r="F480" s="294"/>
      <c r="G480" s="294"/>
      <c r="H480" s="294"/>
      <c r="I480" s="294"/>
      <c r="J480" s="294"/>
      <c r="K480" s="294"/>
      <c r="L480" s="294"/>
      <c r="M480" s="294"/>
      <c r="N480" s="294"/>
      <c r="O480" s="294">
        <v>1037.29</v>
      </c>
      <c r="P480" s="294"/>
      <c r="Q480" s="294"/>
      <c r="R480" s="294"/>
      <c r="S480" s="294"/>
      <c r="T480" s="294"/>
      <c r="U480" s="294"/>
      <c r="V480" s="294"/>
      <c r="W480" s="294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  <c r="BC480" s="286"/>
    </row>
    <row r="481" spans="1:55" s="285" customFormat="1" ht="13.5" customHeight="1">
      <c r="A481" s="297"/>
      <c r="B481" s="296">
        <v>43619</v>
      </c>
      <c r="C481" s="295" t="s">
        <v>381</v>
      </c>
      <c r="D481" s="294">
        <v>300.13</v>
      </c>
      <c r="E481" s="294"/>
      <c r="F481" s="294"/>
      <c r="G481" s="294"/>
      <c r="H481" s="294"/>
      <c r="I481" s="294"/>
      <c r="J481" s="294"/>
      <c r="K481" s="294"/>
      <c r="L481" s="294"/>
      <c r="M481" s="294"/>
      <c r="N481" s="294"/>
      <c r="O481" s="294"/>
      <c r="P481" s="294"/>
      <c r="Q481" s="294"/>
      <c r="R481" s="294"/>
      <c r="S481" s="294"/>
      <c r="T481" s="294"/>
      <c r="U481" s="294"/>
      <c r="V481" s="294">
        <v>300.13</v>
      </c>
      <c r="W481" s="294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  <c r="BC481" s="286"/>
    </row>
    <row r="482" spans="1:55" s="285" customFormat="1" ht="13.5" customHeight="1">
      <c r="A482" s="297"/>
      <c r="B482" s="296">
        <v>43619</v>
      </c>
      <c r="C482" s="295" t="s">
        <v>472</v>
      </c>
      <c r="D482" s="294">
        <v>123.86</v>
      </c>
      <c r="E482" s="294">
        <v>123.86</v>
      </c>
      <c r="F482" s="294"/>
      <c r="G482" s="294"/>
      <c r="H482" s="294"/>
      <c r="I482" s="294"/>
      <c r="J482" s="294"/>
      <c r="K482" s="294"/>
      <c r="L482" s="294"/>
      <c r="M482" s="294"/>
      <c r="N482" s="294"/>
      <c r="O482" s="294"/>
      <c r="P482" s="294"/>
      <c r="Q482" s="294"/>
      <c r="R482" s="294"/>
      <c r="S482" s="294"/>
      <c r="T482" s="294"/>
      <c r="U482" s="294"/>
      <c r="V482" s="294"/>
      <c r="W482" s="294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  <c r="BA482" s="286"/>
      <c r="BB482" s="286"/>
      <c r="BC482" s="286"/>
    </row>
    <row r="483" spans="1:55" s="285" customFormat="1" ht="13.5" customHeight="1">
      <c r="A483" s="297"/>
      <c r="B483" s="296">
        <v>43619</v>
      </c>
      <c r="C483" s="295" t="s">
        <v>42</v>
      </c>
      <c r="D483" s="294">
        <v>119</v>
      </c>
      <c r="E483" s="294"/>
      <c r="F483" s="294"/>
      <c r="G483" s="294">
        <v>57</v>
      </c>
      <c r="H483" s="294"/>
      <c r="I483" s="294"/>
      <c r="J483" s="294"/>
      <c r="K483" s="294"/>
      <c r="L483" s="294">
        <v>62</v>
      </c>
      <c r="M483" s="294"/>
      <c r="N483" s="294"/>
      <c r="O483" s="294"/>
      <c r="P483" s="294"/>
      <c r="Q483" s="294"/>
      <c r="R483" s="294"/>
      <c r="S483" s="294"/>
      <c r="T483" s="294"/>
      <c r="U483" s="294"/>
      <c r="V483" s="294"/>
      <c r="W483" s="294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  <c r="BA483" s="286"/>
      <c r="BB483" s="286"/>
      <c r="BC483" s="286"/>
    </row>
    <row r="484" spans="1:55" s="285" customFormat="1" ht="13.5" customHeight="1">
      <c r="A484" s="297"/>
      <c r="B484" s="296">
        <v>43619</v>
      </c>
      <c r="C484" s="295" t="s">
        <v>186</v>
      </c>
      <c r="D484" s="294">
        <v>-50</v>
      </c>
      <c r="E484" s="294"/>
      <c r="F484" s="294"/>
      <c r="G484" s="294"/>
      <c r="H484" s="294"/>
      <c r="I484" s="294"/>
      <c r="J484" s="294"/>
      <c r="K484" s="294"/>
      <c r="L484" s="294"/>
      <c r="M484" s="294"/>
      <c r="N484" s="294"/>
      <c r="O484" s="294"/>
      <c r="P484" s="294"/>
      <c r="Q484" s="294">
        <v>-50</v>
      </c>
      <c r="R484" s="294"/>
      <c r="S484" s="294"/>
      <c r="T484" s="294"/>
      <c r="U484" s="294"/>
      <c r="V484" s="294"/>
      <c r="W484" s="294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  <c r="BA484" s="286"/>
      <c r="BB484" s="286"/>
      <c r="BC484" s="286"/>
    </row>
    <row r="485" spans="1:55" s="285" customFormat="1" ht="13.5" customHeight="1">
      <c r="A485" s="297"/>
      <c r="B485" s="296">
        <v>43620</v>
      </c>
      <c r="C485" s="295" t="s">
        <v>466</v>
      </c>
      <c r="D485" s="294">
        <v>195</v>
      </c>
      <c r="E485" s="294"/>
      <c r="F485" s="294">
        <v>160</v>
      </c>
      <c r="G485" s="294">
        <v>35</v>
      </c>
      <c r="H485" s="294"/>
      <c r="I485" s="294"/>
      <c r="J485" s="294"/>
      <c r="K485" s="294"/>
      <c r="L485" s="294"/>
      <c r="M485" s="294"/>
      <c r="N485" s="294"/>
      <c r="O485" s="294"/>
      <c r="P485" s="294"/>
      <c r="Q485" s="294"/>
      <c r="R485" s="294"/>
      <c r="S485" s="294"/>
      <c r="T485" s="294"/>
      <c r="U485" s="294"/>
      <c r="V485" s="294"/>
      <c r="W485" s="294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  <c r="BA485" s="286"/>
      <c r="BB485" s="286"/>
      <c r="BC485" s="286"/>
    </row>
    <row r="486" spans="1:55" s="285" customFormat="1" ht="13.5" customHeight="1">
      <c r="A486" s="297"/>
      <c r="B486" s="296">
        <v>43620</v>
      </c>
      <c r="C486" s="295" t="s">
        <v>40</v>
      </c>
      <c r="D486" s="294">
        <v>62</v>
      </c>
      <c r="E486" s="294"/>
      <c r="F486" s="294"/>
      <c r="G486" s="294">
        <v>31</v>
      </c>
      <c r="H486" s="294"/>
      <c r="I486" s="294"/>
      <c r="J486" s="294"/>
      <c r="K486" s="294"/>
      <c r="L486" s="294">
        <v>31</v>
      </c>
      <c r="M486" s="294"/>
      <c r="N486" s="294"/>
      <c r="O486" s="294"/>
      <c r="P486" s="294"/>
      <c r="Q486" s="294"/>
      <c r="R486" s="294"/>
      <c r="S486" s="294"/>
      <c r="T486" s="294"/>
      <c r="U486" s="294"/>
      <c r="V486" s="294"/>
      <c r="W486" s="294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  <c r="BA486" s="286"/>
      <c r="BB486" s="286"/>
      <c r="BC486" s="286"/>
    </row>
    <row r="487" spans="1:55" s="285" customFormat="1" ht="13.5" customHeight="1">
      <c r="A487" s="297"/>
      <c r="B487" s="296">
        <v>43620</v>
      </c>
      <c r="C487" s="295" t="s">
        <v>216</v>
      </c>
      <c r="D487" s="294">
        <v>169</v>
      </c>
      <c r="E487" s="294"/>
      <c r="F487" s="294">
        <v>149</v>
      </c>
      <c r="G487" s="294">
        <v>20</v>
      </c>
      <c r="H487" s="294"/>
      <c r="I487" s="294"/>
      <c r="J487" s="294"/>
      <c r="K487" s="294"/>
      <c r="L487" s="294"/>
      <c r="M487" s="294"/>
      <c r="N487" s="294"/>
      <c r="O487" s="294"/>
      <c r="P487" s="294"/>
      <c r="Q487" s="294"/>
      <c r="R487" s="294"/>
      <c r="S487" s="294"/>
      <c r="T487" s="294"/>
      <c r="U487" s="294"/>
      <c r="V487" s="294"/>
      <c r="W487" s="294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  <c r="BA487" s="286"/>
      <c r="BB487" s="286"/>
      <c r="BC487" s="286"/>
    </row>
    <row r="488" spans="1:55" s="285" customFormat="1" ht="13.5" customHeight="1">
      <c r="A488" s="297"/>
      <c r="B488" s="296">
        <v>43621</v>
      </c>
      <c r="C488" s="295" t="s">
        <v>40</v>
      </c>
      <c r="D488" s="294">
        <v>76</v>
      </c>
      <c r="E488" s="294"/>
      <c r="F488" s="294"/>
      <c r="G488" s="294">
        <v>10</v>
      </c>
      <c r="H488" s="294"/>
      <c r="I488" s="294"/>
      <c r="J488" s="294"/>
      <c r="K488" s="294"/>
      <c r="L488" s="294">
        <v>66</v>
      </c>
      <c r="M488" s="294"/>
      <c r="N488" s="294"/>
      <c r="O488" s="294"/>
      <c r="P488" s="294"/>
      <c r="Q488" s="294"/>
      <c r="R488" s="294"/>
      <c r="S488" s="294"/>
      <c r="T488" s="294"/>
      <c r="U488" s="294"/>
      <c r="V488" s="294"/>
      <c r="W488" s="294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  <c r="BA488" s="286"/>
      <c r="BB488" s="286"/>
      <c r="BC488" s="286"/>
    </row>
    <row r="489" spans="1:55" s="285" customFormat="1" ht="13.5" customHeight="1">
      <c r="A489" s="297"/>
      <c r="B489" s="296">
        <v>43622</v>
      </c>
      <c r="C489" s="295" t="s">
        <v>451</v>
      </c>
      <c r="D489" s="294">
        <v>81.3</v>
      </c>
      <c r="E489" s="294"/>
      <c r="F489" s="294"/>
      <c r="G489" s="294">
        <v>41.3</v>
      </c>
      <c r="H489" s="294"/>
      <c r="I489" s="294"/>
      <c r="J489" s="294"/>
      <c r="K489" s="294"/>
      <c r="L489" s="294">
        <v>40</v>
      </c>
      <c r="M489" s="294"/>
      <c r="N489" s="294"/>
      <c r="O489" s="294"/>
      <c r="P489" s="294"/>
      <c r="Q489" s="294"/>
      <c r="R489" s="294"/>
      <c r="S489" s="294"/>
      <c r="T489" s="294"/>
      <c r="U489" s="294"/>
      <c r="V489" s="294"/>
      <c r="W489" s="294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  <c r="BA489" s="286"/>
      <c r="BB489" s="286"/>
      <c r="BC489" s="286"/>
    </row>
    <row r="490" spans="1:55" s="285" customFormat="1" ht="13.5" customHeight="1">
      <c r="A490" s="297"/>
      <c r="B490" s="296">
        <v>43622</v>
      </c>
      <c r="C490" s="295" t="s">
        <v>20</v>
      </c>
      <c r="D490" s="294">
        <v>176.59</v>
      </c>
      <c r="E490" s="294">
        <v>176.59</v>
      </c>
      <c r="F490" s="294"/>
      <c r="G490" s="294"/>
      <c r="H490" s="294"/>
      <c r="I490" s="294"/>
      <c r="J490" s="294"/>
      <c r="K490" s="294"/>
      <c r="L490" s="294"/>
      <c r="M490" s="294"/>
      <c r="N490" s="294"/>
      <c r="O490" s="294"/>
      <c r="P490" s="294"/>
      <c r="Q490" s="294"/>
      <c r="R490" s="294"/>
      <c r="S490" s="294"/>
      <c r="T490" s="294"/>
      <c r="U490" s="294"/>
      <c r="V490" s="294"/>
      <c r="W490" s="294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  <c r="BA490" s="286"/>
      <c r="BB490" s="286"/>
      <c r="BC490" s="286"/>
    </row>
    <row r="491" spans="1:55" s="285" customFormat="1" ht="13.5" customHeight="1">
      <c r="A491" s="297"/>
      <c r="B491" s="296">
        <v>43623</v>
      </c>
      <c r="C491" s="295" t="s">
        <v>451</v>
      </c>
      <c r="D491" s="294">
        <v>94</v>
      </c>
      <c r="E491" s="294"/>
      <c r="F491" s="294"/>
      <c r="G491" s="294">
        <v>14</v>
      </c>
      <c r="H491" s="294"/>
      <c r="I491" s="294"/>
      <c r="J491" s="294">
        <v>80</v>
      </c>
      <c r="K491" s="294"/>
      <c r="L491" s="294"/>
      <c r="M491" s="294"/>
      <c r="N491" s="294"/>
      <c r="O491" s="294"/>
      <c r="P491" s="294"/>
      <c r="Q491" s="294"/>
      <c r="R491" s="294"/>
      <c r="S491" s="294"/>
      <c r="T491" s="294"/>
      <c r="U491" s="294"/>
      <c r="V491" s="294"/>
      <c r="W491" s="294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  <c r="BA491" s="286"/>
      <c r="BB491" s="286"/>
      <c r="BC491" s="286"/>
    </row>
    <row r="492" spans="1:55" s="285" customFormat="1" ht="13.5" customHeight="1">
      <c r="A492" s="297"/>
      <c r="B492" s="296">
        <v>43624</v>
      </c>
      <c r="C492" s="295" t="s">
        <v>230</v>
      </c>
      <c r="D492" s="294">
        <v>107.34</v>
      </c>
      <c r="E492" s="294"/>
      <c r="F492" s="294"/>
      <c r="G492" s="294"/>
      <c r="H492" s="294"/>
      <c r="I492" s="294"/>
      <c r="J492" s="294"/>
      <c r="K492" s="294"/>
      <c r="L492" s="294"/>
      <c r="M492" s="294"/>
      <c r="N492" s="294"/>
      <c r="O492" s="294"/>
      <c r="P492" s="294">
        <v>107.34</v>
      </c>
      <c r="Q492" s="294"/>
      <c r="R492" s="294"/>
      <c r="S492" s="294"/>
      <c r="T492" s="294"/>
      <c r="U492" s="294"/>
      <c r="V492" s="294"/>
      <c r="W492" s="294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  <c r="BA492" s="286"/>
      <c r="BB492" s="286"/>
      <c r="BC492" s="286"/>
    </row>
    <row r="493" spans="1:55" s="285" customFormat="1" ht="13.5" customHeight="1">
      <c r="A493" s="297"/>
      <c r="B493" s="296">
        <v>43624</v>
      </c>
      <c r="C493" s="295" t="s">
        <v>123</v>
      </c>
      <c r="D493" s="294">
        <v>100</v>
      </c>
      <c r="E493" s="294"/>
      <c r="F493" s="294"/>
      <c r="G493" s="294">
        <v>100</v>
      </c>
      <c r="H493" s="294"/>
      <c r="I493" s="294"/>
      <c r="J493" s="294"/>
      <c r="K493" s="294"/>
      <c r="L493" s="294"/>
      <c r="M493" s="294"/>
      <c r="N493" s="294"/>
      <c r="O493" s="294"/>
      <c r="P493" s="294"/>
      <c r="Q493" s="294"/>
      <c r="R493" s="294"/>
      <c r="S493" s="294"/>
      <c r="T493" s="294"/>
      <c r="U493" s="294"/>
      <c r="V493" s="294"/>
      <c r="W493" s="294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  <c r="BA493" s="286"/>
      <c r="BB493" s="286"/>
      <c r="BC493" s="286"/>
    </row>
    <row r="494" spans="1:55" s="285" customFormat="1" ht="13.5" customHeight="1">
      <c r="A494" s="297"/>
      <c r="B494" s="296">
        <v>43625</v>
      </c>
      <c r="C494" s="295" t="s">
        <v>40</v>
      </c>
      <c r="D494" s="294">
        <v>64.900000000000006</v>
      </c>
      <c r="E494" s="294"/>
      <c r="F494" s="294"/>
      <c r="G494" s="294">
        <v>64.900000000000006</v>
      </c>
      <c r="H494" s="294"/>
      <c r="I494" s="294"/>
      <c r="J494" s="294"/>
      <c r="K494" s="294"/>
      <c r="L494" s="294"/>
      <c r="M494" s="294"/>
      <c r="N494" s="294"/>
      <c r="O494" s="294"/>
      <c r="P494" s="294"/>
      <c r="Q494" s="294"/>
      <c r="R494" s="294"/>
      <c r="S494" s="294"/>
      <c r="T494" s="294"/>
      <c r="U494" s="294"/>
      <c r="V494" s="294"/>
      <c r="W494" s="294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  <c r="BA494" s="286"/>
      <c r="BB494" s="286"/>
      <c r="BC494" s="286"/>
    </row>
    <row r="495" spans="1:55" s="285" customFormat="1" ht="13.5" customHeight="1">
      <c r="A495" s="297"/>
      <c r="B495" s="296">
        <v>43625</v>
      </c>
      <c r="C495" s="295" t="s">
        <v>310</v>
      </c>
      <c r="D495" s="294">
        <v>247</v>
      </c>
      <c r="E495" s="294"/>
      <c r="F495" s="294">
        <v>247</v>
      </c>
      <c r="G495" s="294"/>
      <c r="H495" s="294"/>
      <c r="I495" s="294"/>
      <c r="J495" s="294"/>
      <c r="K495" s="294"/>
      <c r="L495" s="294"/>
      <c r="M495" s="294"/>
      <c r="N495" s="294"/>
      <c r="O495" s="294"/>
      <c r="P495" s="294"/>
      <c r="Q495" s="294"/>
      <c r="R495" s="294"/>
      <c r="S495" s="294"/>
      <c r="T495" s="294"/>
      <c r="U495" s="294"/>
      <c r="V495" s="294"/>
      <c r="W495" s="294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  <c r="BA495" s="286"/>
      <c r="BB495" s="286"/>
      <c r="BC495" s="286"/>
    </row>
    <row r="496" spans="1:55" s="285" customFormat="1" ht="13.5" customHeight="1">
      <c r="A496" s="297"/>
      <c r="B496" s="296">
        <v>43627</v>
      </c>
      <c r="C496" s="295" t="s">
        <v>123</v>
      </c>
      <c r="D496" s="294">
        <v>107</v>
      </c>
      <c r="E496" s="294"/>
      <c r="F496" s="294"/>
      <c r="G496" s="294">
        <v>27</v>
      </c>
      <c r="H496" s="294"/>
      <c r="I496" s="294"/>
      <c r="J496" s="294">
        <v>80</v>
      </c>
      <c r="K496" s="294"/>
      <c r="L496" s="294"/>
      <c r="M496" s="294"/>
      <c r="N496" s="294"/>
      <c r="O496" s="294"/>
      <c r="P496" s="294"/>
      <c r="Q496" s="294"/>
      <c r="R496" s="294"/>
      <c r="S496" s="294"/>
      <c r="T496" s="294"/>
      <c r="U496" s="294"/>
      <c r="V496" s="294"/>
      <c r="W496" s="294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  <c r="BA496" s="286"/>
      <c r="BB496" s="286"/>
      <c r="BC496" s="286"/>
    </row>
    <row r="497" spans="1:55" s="285" customFormat="1" ht="13.5" customHeight="1">
      <c r="A497" s="297"/>
      <c r="B497" s="296">
        <v>43628</v>
      </c>
      <c r="C497" s="295" t="s">
        <v>451</v>
      </c>
      <c r="D497" s="294">
        <v>16.350000000000001</v>
      </c>
      <c r="E497" s="294"/>
      <c r="F497" s="294"/>
      <c r="G497" s="294">
        <v>16.350000000000001</v>
      </c>
      <c r="H497" s="294"/>
      <c r="I497" s="294"/>
      <c r="J497" s="294"/>
      <c r="K497" s="294"/>
      <c r="L497" s="294"/>
      <c r="M497" s="294"/>
      <c r="N497" s="294"/>
      <c r="O497" s="294"/>
      <c r="P497" s="294"/>
      <c r="Q497" s="294"/>
      <c r="R497" s="294"/>
      <c r="S497" s="294"/>
      <c r="T497" s="294"/>
      <c r="U497" s="294"/>
      <c r="V497" s="294"/>
      <c r="W497" s="294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  <c r="BA497" s="286"/>
      <c r="BB497" s="286"/>
      <c r="BC497" s="286"/>
    </row>
    <row r="498" spans="1:55" s="285" customFormat="1" ht="13.5" customHeight="1">
      <c r="A498" s="297"/>
      <c r="B498" s="296">
        <v>43628</v>
      </c>
      <c r="C498" s="295" t="s">
        <v>451</v>
      </c>
      <c r="D498" s="294">
        <v>116</v>
      </c>
      <c r="E498" s="294"/>
      <c r="F498" s="294"/>
      <c r="G498" s="294">
        <v>116</v>
      </c>
      <c r="H498" s="294"/>
      <c r="I498" s="294"/>
      <c r="J498" s="294"/>
      <c r="K498" s="294"/>
      <c r="L498" s="294"/>
      <c r="M498" s="294"/>
      <c r="N498" s="294"/>
      <c r="O498" s="294"/>
      <c r="P498" s="294"/>
      <c r="Q498" s="294"/>
      <c r="R498" s="294"/>
      <c r="S498" s="294"/>
      <c r="T498" s="294"/>
      <c r="U498" s="294"/>
      <c r="V498" s="294"/>
      <c r="W498" s="294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  <c r="BA498" s="286"/>
      <c r="BB498" s="286"/>
      <c r="BC498" s="286"/>
    </row>
    <row r="499" spans="1:55" s="285" customFormat="1" ht="13.5" customHeight="1">
      <c r="A499" s="297"/>
      <c r="B499" s="296">
        <v>43628</v>
      </c>
      <c r="C499" s="295" t="s">
        <v>186</v>
      </c>
      <c r="D499" s="294">
        <v>-104</v>
      </c>
      <c r="E499" s="294"/>
      <c r="F499" s="294"/>
      <c r="G499" s="294"/>
      <c r="H499" s="294"/>
      <c r="I499" s="294"/>
      <c r="J499" s="294"/>
      <c r="K499" s="294"/>
      <c r="L499" s="294"/>
      <c r="M499" s="294"/>
      <c r="N499" s="294"/>
      <c r="O499" s="294"/>
      <c r="P499" s="294"/>
      <c r="Q499" s="294">
        <v>-104</v>
      </c>
      <c r="R499" s="294"/>
      <c r="S499" s="294"/>
      <c r="T499" s="294"/>
      <c r="U499" s="294"/>
      <c r="V499" s="294"/>
      <c r="W499" s="294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  <c r="BA499" s="286"/>
      <c r="BB499" s="286"/>
      <c r="BC499" s="286"/>
    </row>
    <row r="500" spans="1:55" s="285" customFormat="1" ht="13.5" customHeight="1">
      <c r="A500" s="297"/>
      <c r="B500" s="296">
        <v>43629</v>
      </c>
      <c r="C500" s="295" t="s">
        <v>451</v>
      </c>
      <c r="D500" s="294">
        <v>107.6</v>
      </c>
      <c r="E500" s="294"/>
      <c r="F500" s="294"/>
      <c r="G500" s="294">
        <v>67.599999999999994</v>
      </c>
      <c r="H500" s="294"/>
      <c r="I500" s="294"/>
      <c r="J500" s="294"/>
      <c r="K500" s="294"/>
      <c r="L500" s="294">
        <v>40</v>
      </c>
      <c r="M500" s="294"/>
      <c r="N500" s="294"/>
      <c r="O500" s="294"/>
      <c r="P500" s="294"/>
      <c r="Q500" s="294"/>
      <c r="R500" s="294"/>
      <c r="S500" s="294"/>
      <c r="T500" s="294"/>
      <c r="U500" s="294"/>
      <c r="V500" s="294"/>
      <c r="W500" s="294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  <c r="BA500" s="286"/>
      <c r="BB500" s="286"/>
      <c r="BC500" s="286"/>
    </row>
    <row r="501" spans="1:55" s="285" customFormat="1" ht="13.5" customHeight="1">
      <c r="A501" s="297"/>
      <c r="B501" s="296">
        <v>43629</v>
      </c>
      <c r="C501" s="295" t="s">
        <v>41</v>
      </c>
      <c r="D501" s="294">
        <v>42</v>
      </c>
      <c r="E501" s="294"/>
      <c r="F501" s="294"/>
      <c r="G501" s="294">
        <v>42</v>
      </c>
      <c r="H501" s="294"/>
      <c r="I501" s="294"/>
      <c r="J501" s="294"/>
      <c r="K501" s="294"/>
      <c r="L501" s="294"/>
      <c r="M501" s="294"/>
      <c r="N501" s="294"/>
      <c r="O501" s="294"/>
      <c r="P501" s="294"/>
      <c r="Q501" s="294"/>
      <c r="R501" s="294"/>
      <c r="S501" s="294"/>
      <c r="T501" s="294"/>
      <c r="U501" s="294"/>
      <c r="V501" s="294"/>
      <c r="W501" s="294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  <c r="BA501" s="286"/>
      <c r="BB501" s="286"/>
      <c r="BC501" s="286"/>
    </row>
    <row r="502" spans="1:55" s="285" customFormat="1" ht="13.5" customHeight="1">
      <c r="A502" s="297"/>
      <c r="B502" s="296">
        <v>43629</v>
      </c>
      <c r="C502" s="295" t="s">
        <v>469</v>
      </c>
      <c r="D502" s="294">
        <v>183.5</v>
      </c>
      <c r="E502" s="294"/>
      <c r="F502" s="294">
        <v>105</v>
      </c>
      <c r="G502" s="294">
        <v>78.5</v>
      </c>
      <c r="H502" s="294"/>
      <c r="I502" s="294"/>
      <c r="J502" s="294"/>
      <c r="K502" s="294"/>
      <c r="L502" s="294"/>
      <c r="M502" s="294"/>
      <c r="N502" s="294"/>
      <c r="O502" s="294"/>
      <c r="P502" s="294"/>
      <c r="Q502" s="294"/>
      <c r="R502" s="294"/>
      <c r="S502" s="294"/>
      <c r="T502" s="294"/>
      <c r="U502" s="294"/>
      <c r="V502" s="294"/>
      <c r="W502" s="294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  <c r="BA502" s="286"/>
      <c r="BB502" s="286"/>
      <c r="BC502" s="286"/>
    </row>
    <row r="503" spans="1:55" s="285" customFormat="1" ht="13.5" customHeight="1">
      <c r="A503" s="297"/>
      <c r="B503" s="296">
        <v>43629</v>
      </c>
      <c r="C503" s="295" t="s">
        <v>216</v>
      </c>
      <c r="D503" s="294">
        <v>55</v>
      </c>
      <c r="E503" s="294"/>
      <c r="F503" s="294"/>
      <c r="G503" s="294"/>
      <c r="H503" s="294"/>
      <c r="I503" s="294"/>
      <c r="J503" s="294"/>
      <c r="K503" s="294"/>
      <c r="L503" s="294"/>
      <c r="M503" s="294"/>
      <c r="N503" s="294"/>
      <c r="O503" s="294">
        <v>55</v>
      </c>
      <c r="P503" s="294"/>
      <c r="Q503" s="294"/>
      <c r="R503" s="294"/>
      <c r="S503" s="294"/>
      <c r="T503" s="294"/>
      <c r="U503" s="294"/>
      <c r="V503" s="294"/>
      <c r="W503" s="294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  <c r="BA503" s="286"/>
      <c r="BB503" s="286"/>
      <c r="BC503" s="286"/>
    </row>
    <row r="504" spans="1:55" s="285" customFormat="1" ht="13.5" customHeight="1">
      <c r="A504" s="297"/>
      <c r="B504" s="296">
        <v>43631</v>
      </c>
      <c r="C504" s="295" t="s">
        <v>465</v>
      </c>
      <c r="D504" s="294">
        <v>35.4</v>
      </c>
      <c r="E504" s="294"/>
      <c r="F504" s="294"/>
      <c r="G504" s="294"/>
      <c r="H504" s="294">
        <v>35.4</v>
      </c>
      <c r="I504" s="294"/>
      <c r="J504" s="294"/>
      <c r="K504" s="294"/>
      <c r="L504" s="294"/>
      <c r="M504" s="294"/>
      <c r="N504" s="294"/>
      <c r="O504" s="294"/>
      <c r="P504" s="294"/>
      <c r="Q504" s="294"/>
      <c r="R504" s="294"/>
      <c r="S504" s="294"/>
      <c r="T504" s="294"/>
      <c r="U504" s="294"/>
      <c r="V504" s="294"/>
      <c r="W504" s="294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  <c r="BA504" s="286"/>
      <c r="BB504" s="286"/>
      <c r="BC504" s="286"/>
    </row>
    <row r="505" spans="1:55" s="285" customFormat="1" ht="13.5" customHeight="1">
      <c r="A505" s="297"/>
      <c r="B505" s="296">
        <v>43631</v>
      </c>
      <c r="C505" s="295" t="s">
        <v>451</v>
      </c>
      <c r="D505" s="294">
        <v>36</v>
      </c>
      <c r="E505" s="294"/>
      <c r="F505" s="294"/>
      <c r="G505" s="294">
        <v>36</v>
      </c>
      <c r="H505" s="294"/>
      <c r="I505" s="294"/>
      <c r="J505" s="294"/>
      <c r="K505" s="294"/>
      <c r="L505" s="294"/>
      <c r="M505" s="294"/>
      <c r="N505" s="294"/>
      <c r="O505" s="294"/>
      <c r="P505" s="294"/>
      <c r="Q505" s="294"/>
      <c r="R505" s="294"/>
      <c r="S505" s="294"/>
      <c r="T505" s="294"/>
      <c r="U505" s="294"/>
      <c r="V505" s="294"/>
      <c r="W505" s="294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  <c r="BA505" s="286"/>
      <c r="BB505" s="286"/>
      <c r="BC505" s="286"/>
    </row>
    <row r="506" spans="1:55" s="285" customFormat="1" ht="13.5" customHeight="1">
      <c r="A506" s="297"/>
      <c r="B506" s="296">
        <v>43632</v>
      </c>
      <c r="C506" s="295" t="s">
        <v>451</v>
      </c>
      <c r="D506" s="294">
        <v>33</v>
      </c>
      <c r="E506" s="294"/>
      <c r="F506" s="294"/>
      <c r="G506" s="294">
        <v>33</v>
      </c>
      <c r="H506" s="294"/>
      <c r="I506" s="294"/>
      <c r="J506" s="294"/>
      <c r="K506" s="294"/>
      <c r="L506" s="294"/>
      <c r="M506" s="294"/>
      <c r="N506" s="294"/>
      <c r="O506" s="294"/>
      <c r="P506" s="294"/>
      <c r="Q506" s="294"/>
      <c r="R506" s="294"/>
      <c r="S506" s="294"/>
      <c r="T506" s="294"/>
      <c r="U506" s="294"/>
      <c r="V506" s="294"/>
      <c r="W506" s="294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  <c r="BC506" s="286"/>
    </row>
    <row r="507" spans="1:55" s="285" customFormat="1" ht="13.5" customHeight="1">
      <c r="A507" s="297"/>
      <c r="B507" s="296">
        <v>43633</v>
      </c>
      <c r="C507" s="295" t="s">
        <v>471</v>
      </c>
      <c r="D507" s="294">
        <v>175</v>
      </c>
      <c r="E507" s="294"/>
      <c r="F507" s="294"/>
      <c r="G507" s="294"/>
      <c r="H507" s="294"/>
      <c r="I507" s="294"/>
      <c r="J507" s="294"/>
      <c r="K507" s="294"/>
      <c r="L507" s="294"/>
      <c r="M507" s="294"/>
      <c r="N507" s="294"/>
      <c r="O507" s="294">
        <v>175</v>
      </c>
      <c r="P507" s="294"/>
      <c r="Q507" s="294"/>
      <c r="R507" s="294"/>
      <c r="S507" s="294"/>
      <c r="T507" s="294"/>
      <c r="U507" s="294"/>
      <c r="V507" s="294"/>
      <c r="W507" s="294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  <c r="BA507" s="286"/>
      <c r="BB507" s="286"/>
      <c r="BC507" s="286"/>
    </row>
    <row r="508" spans="1:55" s="285" customFormat="1" ht="13.5" customHeight="1">
      <c r="A508" s="297"/>
      <c r="B508" s="296">
        <v>43633</v>
      </c>
      <c r="C508" s="295" t="s">
        <v>469</v>
      </c>
      <c r="D508" s="294">
        <v>151.30000000000001</v>
      </c>
      <c r="E508" s="294"/>
      <c r="F508" s="294">
        <v>74</v>
      </c>
      <c r="G508" s="294">
        <v>77.3</v>
      </c>
      <c r="H508" s="294"/>
      <c r="I508" s="294"/>
      <c r="J508" s="294"/>
      <c r="K508" s="294"/>
      <c r="L508" s="294"/>
      <c r="M508" s="294"/>
      <c r="N508" s="294"/>
      <c r="O508" s="294"/>
      <c r="P508" s="294"/>
      <c r="Q508" s="294"/>
      <c r="R508" s="294"/>
      <c r="S508" s="294"/>
      <c r="T508" s="294"/>
      <c r="U508" s="294"/>
      <c r="V508" s="294"/>
      <c r="W508" s="294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  <c r="BA508" s="286"/>
      <c r="BB508" s="286"/>
      <c r="BC508" s="286"/>
    </row>
    <row r="509" spans="1:55" s="285" customFormat="1" ht="13.5" customHeight="1">
      <c r="A509" s="297"/>
      <c r="B509" s="296">
        <v>43633</v>
      </c>
      <c r="C509" s="295" t="s">
        <v>123</v>
      </c>
      <c r="D509" s="294">
        <v>18</v>
      </c>
      <c r="E509" s="294"/>
      <c r="F509" s="294"/>
      <c r="G509" s="294">
        <v>18</v>
      </c>
      <c r="H509" s="294"/>
      <c r="I509" s="294"/>
      <c r="J509" s="294"/>
      <c r="K509" s="294"/>
      <c r="L509" s="294"/>
      <c r="M509" s="294"/>
      <c r="N509" s="294"/>
      <c r="O509" s="294"/>
      <c r="P509" s="294"/>
      <c r="Q509" s="294"/>
      <c r="R509" s="294"/>
      <c r="S509" s="294"/>
      <c r="T509" s="294"/>
      <c r="U509" s="294"/>
      <c r="V509" s="294"/>
      <c r="W509" s="294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  <c r="BC509" s="286"/>
    </row>
    <row r="510" spans="1:55" s="285" customFormat="1" ht="13.5" customHeight="1">
      <c r="A510" s="297"/>
      <c r="B510" s="296">
        <v>43633</v>
      </c>
      <c r="C510" s="295" t="s">
        <v>470</v>
      </c>
      <c r="D510" s="294">
        <v>136.46</v>
      </c>
      <c r="E510" s="294"/>
      <c r="F510" s="294"/>
      <c r="G510" s="294"/>
      <c r="H510" s="294"/>
      <c r="I510" s="294"/>
      <c r="J510" s="294"/>
      <c r="K510" s="294"/>
      <c r="L510" s="294"/>
      <c r="M510" s="294"/>
      <c r="N510" s="294"/>
      <c r="O510" s="294">
        <v>136.46</v>
      </c>
      <c r="P510" s="294"/>
      <c r="Q510" s="294"/>
      <c r="R510" s="294"/>
      <c r="S510" s="294"/>
      <c r="T510" s="294"/>
      <c r="U510" s="294"/>
      <c r="V510" s="294"/>
      <c r="W510" s="294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</row>
    <row r="511" spans="1:55" s="285" customFormat="1" ht="13.5" customHeight="1">
      <c r="A511" s="297"/>
      <c r="B511" s="296">
        <v>43635</v>
      </c>
      <c r="C511" s="295" t="s">
        <v>451</v>
      </c>
      <c r="D511" s="294">
        <v>78</v>
      </c>
      <c r="E511" s="294"/>
      <c r="F511" s="294"/>
      <c r="G511" s="294">
        <v>78</v>
      </c>
      <c r="H511" s="294"/>
      <c r="I511" s="294"/>
      <c r="J511" s="294"/>
      <c r="K511" s="294"/>
      <c r="L511" s="294"/>
      <c r="M511" s="294"/>
      <c r="N511" s="294"/>
      <c r="O511" s="294"/>
      <c r="P511" s="294"/>
      <c r="Q511" s="294"/>
      <c r="R511" s="294"/>
      <c r="S511" s="294"/>
      <c r="T511" s="294"/>
      <c r="U511" s="294"/>
      <c r="V511" s="294"/>
      <c r="W511" s="294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  <c r="BA511" s="286"/>
      <c r="BB511" s="286"/>
      <c r="BC511" s="286"/>
    </row>
    <row r="512" spans="1:55" s="285" customFormat="1" ht="13.5" customHeight="1">
      <c r="A512" s="297"/>
      <c r="B512" s="296">
        <v>43636</v>
      </c>
      <c r="C512" s="295" t="s">
        <v>469</v>
      </c>
      <c r="D512" s="294">
        <v>60</v>
      </c>
      <c r="E512" s="294"/>
      <c r="F512" s="294"/>
      <c r="G512" s="294">
        <v>60</v>
      </c>
      <c r="H512" s="294"/>
      <c r="I512" s="294"/>
      <c r="J512" s="294"/>
      <c r="K512" s="294"/>
      <c r="L512" s="294"/>
      <c r="M512" s="294"/>
      <c r="N512" s="294"/>
      <c r="O512" s="294"/>
      <c r="P512" s="294"/>
      <c r="Q512" s="294"/>
      <c r="R512" s="294"/>
      <c r="S512" s="294"/>
      <c r="T512" s="294"/>
      <c r="U512" s="294"/>
      <c r="V512" s="294"/>
      <c r="W512" s="294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  <c r="BA512" s="286"/>
      <c r="BB512" s="286"/>
      <c r="BC512" s="286"/>
    </row>
    <row r="513" spans="1:55" s="285" customFormat="1" ht="13.5" customHeight="1">
      <c r="A513" s="297"/>
      <c r="B513" s="296">
        <v>43637</v>
      </c>
      <c r="C513" s="295" t="s">
        <v>465</v>
      </c>
      <c r="D513" s="294">
        <v>266.14999999999998</v>
      </c>
      <c r="E513" s="294"/>
      <c r="F513" s="294"/>
      <c r="G513" s="294"/>
      <c r="H513" s="294">
        <v>266.14999999999998</v>
      </c>
      <c r="I513" s="294"/>
      <c r="J513" s="294"/>
      <c r="K513" s="294"/>
      <c r="L513" s="294"/>
      <c r="M513" s="294"/>
      <c r="N513" s="294"/>
      <c r="O513" s="294"/>
      <c r="P513" s="294"/>
      <c r="Q513" s="294"/>
      <c r="R513" s="294"/>
      <c r="S513" s="294"/>
      <c r="T513" s="294"/>
      <c r="U513" s="294"/>
      <c r="V513" s="294"/>
      <c r="W513" s="294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  <c r="BA513" s="286"/>
      <c r="BB513" s="286"/>
      <c r="BC513" s="286"/>
    </row>
    <row r="514" spans="1:55" s="285" customFormat="1" ht="13.5" customHeight="1">
      <c r="A514" s="297"/>
      <c r="B514" s="296">
        <v>43637</v>
      </c>
      <c r="C514" s="295" t="s">
        <v>451</v>
      </c>
      <c r="D514" s="294">
        <v>84</v>
      </c>
      <c r="E514" s="294"/>
      <c r="F514" s="294"/>
      <c r="G514" s="294">
        <v>49</v>
      </c>
      <c r="H514" s="294"/>
      <c r="I514" s="294"/>
      <c r="J514" s="294"/>
      <c r="K514" s="294"/>
      <c r="L514" s="294">
        <v>35</v>
      </c>
      <c r="M514" s="294"/>
      <c r="N514" s="294"/>
      <c r="O514" s="294"/>
      <c r="P514" s="294"/>
      <c r="Q514" s="294"/>
      <c r="R514" s="294"/>
      <c r="S514" s="294"/>
      <c r="T514" s="294"/>
      <c r="U514" s="294"/>
      <c r="V514" s="294"/>
      <c r="W514" s="294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  <c r="BA514" s="286"/>
      <c r="BB514" s="286"/>
      <c r="BC514" s="286"/>
    </row>
    <row r="515" spans="1:55" s="285" customFormat="1" ht="13.5" customHeight="1">
      <c r="A515" s="297"/>
      <c r="B515" s="296">
        <v>43637</v>
      </c>
      <c r="C515" s="295" t="s">
        <v>123</v>
      </c>
      <c r="D515" s="294">
        <v>30</v>
      </c>
      <c r="E515" s="294"/>
      <c r="F515" s="294"/>
      <c r="G515" s="294">
        <v>30</v>
      </c>
      <c r="H515" s="294"/>
      <c r="I515" s="294"/>
      <c r="J515" s="294"/>
      <c r="K515" s="294"/>
      <c r="L515" s="294"/>
      <c r="M515" s="294"/>
      <c r="N515" s="294"/>
      <c r="O515" s="294"/>
      <c r="P515" s="294"/>
      <c r="Q515" s="294"/>
      <c r="R515" s="294"/>
      <c r="S515" s="294"/>
      <c r="T515" s="294"/>
      <c r="U515" s="294"/>
      <c r="V515" s="294"/>
      <c r="W515" s="294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  <c r="BA515" s="286"/>
      <c r="BB515" s="286"/>
      <c r="BC515" s="286"/>
    </row>
    <row r="516" spans="1:55" s="285" customFormat="1" ht="13.5" customHeight="1">
      <c r="A516" s="297"/>
      <c r="B516" s="296">
        <v>43638</v>
      </c>
      <c r="C516" s="295" t="s">
        <v>468</v>
      </c>
      <c r="D516" s="294">
        <v>300</v>
      </c>
      <c r="E516" s="294"/>
      <c r="F516" s="294"/>
      <c r="G516" s="294"/>
      <c r="H516" s="294"/>
      <c r="I516" s="294"/>
      <c r="J516" s="294"/>
      <c r="K516" s="294"/>
      <c r="L516" s="294"/>
      <c r="M516" s="294"/>
      <c r="N516" s="294"/>
      <c r="O516" s="294"/>
      <c r="P516" s="294"/>
      <c r="Q516" s="294"/>
      <c r="R516" s="294"/>
      <c r="S516" s="294"/>
      <c r="T516" s="294"/>
      <c r="U516" s="294"/>
      <c r="V516" s="294">
        <v>300</v>
      </c>
      <c r="W516" s="294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  <c r="BA516" s="286"/>
      <c r="BB516" s="286"/>
      <c r="BC516" s="286"/>
    </row>
    <row r="517" spans="1:55" s="285" customFormat="1" ht="13.5" customHeight="1">
      <c r="A517" s="297"/>
      <c r="B517" s="296">
        <v>43639</v>
      </c>
      <c r="C517" s="295" t="s">
        <v>451</v>
      </c>
      <c r="D517" s="294">
        <v>201.3</v>
      </c>
      <c r="E517" s="294"/>
      <c r="F517" s="294"/>
      <c r="G517" s="294">
        <v>121.3</v>
      </c>
      <c r="H517" s="294"/>
      <c r="I517" s="294"/>
      <c r="J517" s="294">
        <v>80</v>
      </c>
      <c r="K517" s="294"/>
      <c r="L517" s="294"/>
      <c r="M517" s="294"/>
      <c r="N517" s="294"/>
      <c r="O517" s="294"/>
      <c r="P517" s="294"/>
      <c r="Q517" s="294"/>
      <c r="R517" s="294"/>
      <c r="S517" s="294"/>
      <c r="T517" s="294"/>
      <c r="U517" s="294"/>
      <c r="V517" s="294"/>
      <c r="W517" s="294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  <c r="BA517" s="286"/>
      <c r="BB517" s="286"/>
      <c r="BC517" s="286"/>
    </row>
    <row r="518" spans="1:55" s="285" customFormat="1" ht="13.5" customHeight="1">
      <c r="A518" s="297"/>
      <c r="B518" s="296">
        <v>43639</v>
      </c>
      <c r="C518" s="295" t="s">
        <v>467</v>
      </c>
      <c r="D518" s="294">
        <v>200</v>
      </c>
      <c r="E518" s="294"/>
      <c r="F518" s="294">
        <v>200</v>
      </c>
      <c r="G518" s="294"/>
      <c r="H518" s="294"/>
      <c r="I518" s="294"/>
      <c r="J518" s="294"/>
      <c r="K518" s="294"/>
      <c r="L518" s="294"/>
      <c r="M518" s="294"/>
      <c r="N518" s="294"/>
      <c r="O518" s="294"/>
      <c r="P518" s="294"/>
      <c r="Q518" s="294"/>
      <c r="R518" s="294"/>
      <c r="S518" s="294"/>
      <c r="T518" s="294"/>
      <c r="U518" s="294"/>
      <c r="V518" s="294"/>
      <c r="W518" s="294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  <c r="BA518" s="286"/>
      <c r="BB518" s="286"/>
      <c r="BC518" s="286"/>
    </row>
    <row r="519" spans="1:55" s="285" customFormat="1" ht="13.5" customHeight="1">
      <c r="A519" s="297"/>
      <c r="B519" s="296">
        <v>43640</v>
      </c>
      <c r="C519" s="295" t="s">
        <v>451</v>
      </c>
      <c r="D519" s="294">
        <v>96</v>
      </c>
      <c r="E519" s="294"/>
      <c r="F519" s="294"/>
      <c r="G519" s="294">
        <v>96</v>
      </c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294"/>
      <c r="S519" s="294"/>
      <c r="T519" s="294"/>
      <c r="U519" s="294"/>
      <c r="V519" s="294"/>
      <c r="W519" s="294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  <c r="BA519" s="286"/>
      <c r="BB519" s="286"/>
      <c r="BC519" s="286"/>
    </row>
    <row r="520" spans="1:55" s="285" customFormat="1" ht="13.5" customHeight="1">
      <c r="A520" s="297"/>
      <c r="B520" s="296">
        <v>43640</v>
      </c>
      <c r="C520" s="295" t="s">
        <v>466</v>
      </c>
      <c r="D520" s="294">
        <v>16</v>
      </c>
      <c r="E520" s="294"/>
      <c r="F520" s="294"/>
      <c r="G520" s="294">
        <v>16</v>
      </c>
      <c r="H520" s="294"/>
      <c r="I520" s="294"/>
      <c r="J520" s="294"/>
      <c r="K520" s="294"/>
      <c r="L520" s="294"/>
      <c r="M520" s="294"/>
      <c r="N520" s="294"/>
      <c r="O520" s="294"/>
      <c r="P520" s="294"/>
      <c r="Q520" s="294"/>
      <c r="R520" s="294"/>
      <c r="S520" s="294"/>
      <c r="T520" s="294"/>
      <c r="U520" s="294"/>
      <c r="V520" s="294"/>
      <c r="W520" s="294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  <c r="BA520" s="286"/>
      <c r="BB520" s="286"/>
      <c r="BC520" s="286"/>
    </row>
    <row r="521" spans="1:55" s="285" customFormat="1" ht="13.5" customHeight="1">
      <c r="A521" s="297"/>
      <c r="B521" s="296">
        <v>43640</v>
      </c>
      <c r="C521" s="295" t="s">
        <v>465</v>
      </c>
      <c r="D521" s="294">
        <v>34.65</v>
      </c>
      <c r="E521" s="294"/>
      <c r="F521" s="294"/>
      <c r="G521" s="294"/>
      <c r="H521" s="294">
        <v>34.65</v>
      </c>
      <c r="I521" s="294"/>
      <c r="J521" s="294"/>
      <c r="K521" s="294"/>
      <c r="L521" s="294"/>
      <c r="M521" s="294"/>
      <c r="N521" s="294"/>
      <c r="O521" s="294"/>
      <c r="P521" s="294"/>
      <c r="Q521" s="294"/>
      <c r="R521" s="294"/>
      <c r="S521" s="294"/>
      <c r="T521" s="294"/>
      <c r="U521" s="294"/>
      <c r="V521" s="294"/>
      <c r="W521" s="294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  <c r="BA521" s="286"/>
      <c r="BB521" s="286"/>
      <c r="BC521" s="286"/>
    </row>
    <row r="522" spans="1:55" s="285" customFormat="1" ht="13.5" customHeight="1">
      <c r="A522" s="297"/>
      <c r="B522" s="296">
        <v>43641</v>
      </c>
      <c r="C522" s="295" t="s">
        <v>451</v>
      </c>
      <c r="D522" s="294">
        <v>107.65</v>
      </c>
      <c r="E522" s="294"/>
      <c r="F522" s="294"/>
      <c r="G522" s="294">
        <v>107.65</v>
      </c>
      <c r="H522" s="294"/>
      <c r="I522" s="294"/>
      <c r="J522" s="294"/>
      <c r="K522" s="294"/>
      <c r="L522" s="294"/>
      <c r="M522" s="294"/>
      <c r="N522" s="294"/>
      <c r="O522" s="294"/>
      <c r="P522" s="294"/>
      <c r="Q522" s="294"/>
      <c r="R522" s="294"/>
      <c r="S522" s="294"/>
      <c r="T522" s="294"/>
      <c r="U522" s="294"/>
      <c r="V522" s="294"/>
      <c r="W522" s="294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  <c r="BA522" s="286"/>
      <c r="BB522" s="286"/>
      <c r="BC522" s="286"/>
    </row>
    <row r="523" spans="1:55" s="285" customFormat="1" ht="13.5" customHeight="1">
      <c r="A523" s="297"/>
      <c r="B523" s="296"/>
      <c r="C523" s="295" t="s">
        <v>186</v>
      </c>
      <c r="D523" s="294">
        <v>-50</v>
      </c>
      <c r="E523" s="294"/>
      <c r="F523" s="294"/>
      <c r="G523" s="294"/>
      <c r="H523" s="294"/>
      <c r="I523" s="294"/>
      <c r="J523" s="294"/>
      <c r="K523" s="294"/>
      <c r="L523" s="294"/>
      <c r="M523" s="294"/>
      <c r="N523" s="294"/>
      <c r="O523" s="294"/>
      <c r="P523" s="294"/>
      <c r="Q523" s="294">
        <v>-50</v>
      </c>
      <c r="R523" s="294"/>
      <c r="S523" s="294"/>
      <c r="T523" s="294"/>
      <c r="U523" s="294"/>
      <c r="V523" s="294"/>
      <c r="W523" s="294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  <c r="BA523" s="286"/>
      <c r="BB523" s="286"/>
      <c r="BC523" s="286"/>
    </row>
    <row r="524" spans="1:55" s="285" customFormat="1" ht="13.5" customHeight="1">
      <c r="A524" s="297"/>
      <c r="B524" s="296">
        <v>43642</v>
      </c>
      <c r="C524" s="295" t="s">
        <v>39</v>
      </c>
      <c r="D524" s="294">
        <v>60</v>
      </c>
      <c r="E524" s="294"/>
      <c r="F524" s="294"/>
      <c r="G524" s="294">
        <v>60</v>
      </c>
      <c r="H524" s="294"/>
      <c r="I524" s="294"/>
      <c r="J524" s="294"/>
      <c r="K524" s="294"/>
      <c r="L524" s="294"/>
      <c r="M524" s="294"/>
      <c r="N524" s="294"/>
      <c r="O524" s="294"/>
      <c r="P524" s="294"/>
      <c r="Q524" s="294"/>
      <c r="R524" s="294"/>
      <c r="S524" s="294"/>
      <c r="T524" s="294"/>
      <c r="U524" s="294"/>
      <c r="V524" s="294"/>
      <c r="W524" s="294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  <c r="BA524" s="286"/>
      <c r="BB524" s="286"/>
      <c r="BC524" s="286"/>
    </row>
    <row r="525" spans="1:55" s="285" customFormat="1" ht="13.5" customHeight="1">
      <c r="A525" s="297"/>
      <c r="B525" s="296">
        <v>43643</v>
      </c>
      <c r="C525" s="295" t="s">
        <v>451</v>
      </c>
      <c r="D525" s="294">
        <v>67</v>
      </c>
      <c r="E525" s="294"/>
      <c r="F525" s="294"/>
      <c r="G525" s="294">
        <v>52</v>
      </c>
      <c r="H525" s="294"/>
      <c r="I525" s="294"/>
      <c r="J525" s="294"/>
      <c r="K525" s="294"/>
      <c r="L525" s="294">
        <v>15</v>
      </c>
      <c r="M525" s="294"/>
      <c r="N525" s="294"/>
      <c r="O525" s="294"/>
      <c r="P525" s="294"/>
      <c r="Q525" s="294"/>
      <c r="R525" s="294"/>
      <c r="S525" s="294"/>
      <c r="T525" s="294"/>
      <c r="U525" s="294"/>
      <c r="V525" s="294"/>
      <c r="W525" s="294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  <c r="BA525" s="286"/>
      <c r="BB525" s="286"/>
      <c r="BC525" s="286"/>
    </row>
    <row r="526" spans="1:55" s="285" customFormat="1" ht="13.5" customHeight="1">
      <c r="A526" s="297"/>
      <c r="B526" s="307">
        <v>43644</v>
      </c>
      <c r="C526" s="295" t="s">
        <v>465</v>
      </c>
      <c r="D526" s="294">
        <v>50.4</v>
      </c>
      <c r="E526" s="294"/>
      <c r="F526" s="294"/>
      <c r="G526" s="294"/>
      <c r="H526" s="294">
        <v>50.4</v>
      </c>
      <c r="I526" s="294"/>
      <c r="J526" s="294"/>
      <c r="K526" s="294"/>
      <c r="L526" s="294"/>
      <c r="M526" s="294"/>
      <c r="N526" s="294"/>
      <c r="O526" s="294"/>
      <c r="P526" s="294"/>
      <c r="Q526" s="294"/>
      <c r="R526" s="294"/>
      <c r="S526" s="294"/>
      <c r="T526" s="294"/>
      <c r="U526" s="294"/>
      <c r="V526" s="294"/>
      <c r="W526" s="294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  <c r="BA526" s="286"/>
      <c r="BB526" s="286"/>
      <c r="BC526" s="286"/>
    </row>
    <row r="527" spans="1:55" s="290" customFormat="1" ht="13.5" customHeight="1">
      <c r="A527" s="293"/>
      <c r="B527" s="3023" t="str">
        <f>I1</f>
        <v>juli</v>
      </c>
      <c r="C527" s="3024"/>
      <c r="D527" s="292" t="e">
        <f t="shared" ref="D527:V527" si="14">SUM(D528:D607)</f>
        <v>#REF!</v>
      </c>
      <c r="E527" s="292">
        <f t="shared" si="14"/>
        <v>4156.7700000000004</v>
      </c>
      <c r="F527" s="292">
        <f t="shared" si="14"/>
        <v>972.35</v>
      </c>
      <c r="G527" s="292">
        <f t="shared" si="14"/>
        <v>2193.77</v>
      </c>
      <c r="H527" s="292">
        <f t="shared" si="14"/>
        <v>158.94999999999999</v>
      </c>
      <c r="I527" s="292">
        <f t="shared" si="14"/>
        <v>50.4</v>
      </c>
      <c r="J527" s="292">
        <f t="shared" si="14"/>
        <v>480</v>
      </c>
      <c r="K527" s="292">
        <f t="shared" si="14"/>
        <v>15</v>
      </c>
      <c r="L527" s="292">
        <f t="shared" si="14"/>
        <v>422.95</v>
      </c>
      <c r="M527" s="292">
        <f t="shared" si="14"/>
        <v>4857</v>
      </c>
      <c r="N527" s="292">
        <f t="shared" si="14"/>
        <v>0</v>
      </c>
      <c r="O527" s="292" t="e">
        <f t="shared" si="14"/>
        <v>#REF!</v>
      </c>
      <c r="P527" s="292">
        <f t="shared" si="14"/>
        <v>354</v>
      </c>
      <c r="Q527" s="292">
        <f t="shared" si="14"/>
        <v>331</v>
      </c>
      <c r="R527" s="292">
        <f t="shared" si="14"/>
        <v>0</v>
      </c>
      <c r="S527" s="292">
        <f t="shared" si="14"/>
        <v>0</v>
      </c>
      <c r="T527" s="292">
        <f t="shared" si="14"/>
        <v>550</v>
      </c>
      <c r="U527" s="292">
        <f t="shared" si="14"/>
        <v>-338.51</v>
      </c>
      <c r="V527" s="292" t="e">
        <f t="shared" si="14"/>
        <v>#REF!</v>
      </c>
      <c r="W527" s="292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</row>
    <row r="528" spans="1:55" s="285" customFormat="1" ht="13.5" customHeight="1">
      <c r="A528" s="297"/>
      <c r="B528" s="296">
        <v>43646</v>
      </c>
      <c r="C528" s="295" t="s">
        <v>35</v>
      </c>
      <c r="D528" s="294">
        <v>-11306</v>
      </c>
      <c r="E528" s="294"/>
      <c r="F528" s="294"/>
      <c r="G528" s="294"/>
      <c r="H528" s="294"/>
      <c r="I528" s="294"/>
      <c r="J528" s="294"/>
      <c r="K528" s="294"/>
      <c r="L528" s="294"/>
      <c r="M528" s="294"/>
      <c r="N528" s="294"/>
      <c r="O528" s="294"/>
      <c r="P528" s="294"/>
      <c r="Q528" s="294"/>
      <c r="R528" s="294"/>
      <c r="S528" s="294"/>
      <c r="T528" s="294"/>
      <c r="U528" s="294"/>
      <c r="V528" s="294"/>
      <c r="W528" s="294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  <c r="BA528" s="286"/>
      <c r="BB528" s="286"/>
      <c r="BC528" s="286"/>
    </row>
    <row r="529" spans="1:55" s="285" customFormat="1" ht="13.5" customHeight="1">
      <c r="A529" s="297"/>
      <c r="B529" s="296">
        <v>43646</v>
      </c>
      <c r="C529" s="295" t="s">
        <v>34</v>
      </c>
      <c r="D529" s="294">
        <v>-7315</v>
      </c>
      <c r="E529" s="294"/>
      <c r="F529" s="294"/>
      <c r="G529" s="294"/>
      <c r="H529" s="294"/>
      <c r="I529" s="294"/>
      <c r="J529" s="294"/>
      <c r="K529" s="294"/>
      <c r="L529" s="294"/>
      <c r="M529" s="294"/>
      <c r="N529" s="294"/>
      <c r="O529" s="294"/>
      <c r="P529" s="294"/>
      <c r="Q529" s="294"/>
      <c r="R529" s="294"/>
      <c r="S529" s="294"/>
      <c r="T529" s="294"/>
      <c r="U529" s="294"/>
      <c r="V529" s="294"/>
      <c r="W529" s="294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  <c r="BA529" s="286"/>
      <c r="BB529" s="286"/>
      <c r="BC529" s="286"/>
    </row>
    <row r="530" spans="1:55" s="285" customFormat="1" ht="13.5" customHeight="1">
      <c r="A530" s="297"/>
      <c r="B530" s="296">
        <v>43646</v>
      </c>
      <c r="C530" s="295" t="s">
        <v>33</v>
      </c>
      <c r="D530" s="294">
        <v>-205</v>
      </c>
      <c r="E530" s="294"/>
      <c r="F530" s="294"/>
      <c r="G530" s="294"/>
      <c r="H530" s="294"/>
      <c r="I530" s="294"/>
      <c r="J530" s="294"/>
      <c r="K530" s="294"/>
      <c r="L530" s="294"/>
      <c r="M530" s="294"/>
      <c r="N530" s="294"/>
      <c r="O530" s="294"/>
      <c r="P530" s="294"/>
      <c r="Q530" s="294"/>
      <c r="R530" s="294"/>
      <c r="S530" s="294"/>
      <c r="T530" s="294"/>
      <c r="U530" s="294"/>
      <c r="V530" s="294"/>
      <c r="W530" s="294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  <c r="BA530" s="286"/>
      <c r="BB530" s="286"/>
      <c r="BC530" s="286"/>
    </row>
    <row r="531" spans="1:55" s="285" customFormat="1" ht="13.5" customHeight="1">
      <c r="A531" s="297"/>
      <c r="B531" s="296">
        <v>43646</v>
      </c>
      <c r="C531" s="295" t="s">
        <v>124</v>
      </c>
      <c r="D531" s="294">
        <v>50.4</v>
      </c>
      <c r="E531" s="294"/>
      <c r="F531" s="294"/>
      <c r="G531" s="294"/>
      <c r="H531" s="294">
        <v>50.4</v>
      </c>
      <c r="I531" s="294">
        <v>50.4</v>
      </c>
      <c r="J531" s="294"/>
      <c r="K531" s="294"/>
      <c r="L531" s="294"/>
      <c r="M531" s="294"/>
      <c r="N531" s="294"/>
      <c r="O531" s="294"/>
      <c r="P531" s="294"/>
      <c r="Q531" s="294"/>
      <c r="R531" s="294"/>
      <c r="S531" s="294"/>
      <c r="T531" s="294"/>
      <c r="U531" s="294"/>
      <c r="V531" s="294"/>
      <c r="W531" s="294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  <c r="BA531" s="286"/>
      <c r="BB531" s="286"/>
      <c r="BC531" s="286"/>
    </row>
    <row r="532" spans="1:55" s="285" customFormat="1" ht="13.5" customHeight="1">
      <c r="A532" s="297"/>
      <c r="B532" s="296">
        <v>43646</v>
      </c>
      <c r="C532" s="295" t="s">
        <v>458</v>
      </c>
      <c r="D532" s="294">
        <v>156.1</v>
      </c>
      <c r="E532" s="294"/>
      <c r="F532" s="294"/>
      <c r="G532" s="294">
        <v>76.099999999999994</v>
      </c>
      <c r="H532" s="294"/>
      <c r="I532" s="294"/>
      <c r="J532" s="294">
        <v>80</v>
      </c>
      <c r="K532" s="294"/>
      <c r="L532" s="294"/>
      <c r="M532" s="294"/>
      <c r="N532" s="294"/>
      <c r="O532" s="294"/>
      <c r="P532" s="294"/>
      <c r="Q532" s="294"/>
      <c r="R532" s="294"/>
      <c r="S532" s="294"/>
      <c r="T532" s="294"/>
      <c r="U532" s="294"/>
      <c r="V532" s="294"/>
      <c r="W532" s="294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  <c r="BA532" s="286"/>
      <c r="BB532" s="286"/>
      <c r="BC532" s="286"/>
    </row>
    <row r="533" spans="1:55" s="285" customFormat="1" ht="13.5" customHeight="1">
      <c r="A533" s="297"/>
      <c r="B533" s="296">
        <v>43646</v>
      </c>
      <c r="C533" s="295" t="s">
        <v>464</v>
      </c>
      <c r="D533" s="294">
        <v>69</v>
      </c>
      <c r="E533" s="294"/>
      <c r="F533" s="294"/>
      <c r="G533" s="294"/>
      <c r="H533" s="294"/>
      <c r="I533" s="294"/>
      <c r="J533" s="294"/>
      <c r="K533" s="294"/>
      <c r="L533" s="294"/>
      <c r="M533" s="294"/>
      <c r="N533" s="294"/>
      <c r="O533" s="294">
        <f>D533</f>
        <v>69</v>
      </c>
      <c r="P533" s="294"/>
      <c r="Q533" s="294"/>
      <c r="R533" s="294"/>
      <c r="S533" s="294"/>
      <c r="T533" s="294"/>
      <c r="U533" s="294"/>
      <c r="V533" s="294"/>
      <c r="W533" s="294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  <c r="BA533" s="286"/>
      <c r="BB533" s="286"/>
      <c r="BC533" s="286"/>
    </row>
    <row r="534" spans="1:55" s="285" customFormat="1" ht="13.5" customHeight="1">
      <c r="A534" s="297"/>
      <c r="B534" s="296">
        <v>43646</v>
      </c>
      <c r="C534" s="295" t="s">
        <v>186</v>
      </c>
      <c r="D534" s="294">
        <v>50</v>
      </c>
      <c r="E534" s="294"/>
      <c r="F534" s="294"/>
      <c r="G534" s="294"/>
      <c r="H534" s="294"/>
      <c r="I534" s="294"/>
      <c r="J534" s="294"/>
      <c r="K534" s="294"/>
      <c r="L534" s="294"/>
      <c r="M534" s="294"/>
      <c r="N534" s="294"/>
      <c r="O534" s="294"/>
      <c r="P534" s="294"/>
      <c r="Q534" s="294">
        <v>50</v>
      </c>
      <c r="R534" s="294"/>
      <c r="S534" s="294"/>
      <c r="T534" s="294"/>
      <c r="U534" s="294"/>
      <c r="V534" s="294"/>
      <c r="W534" s="294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  <c r="BA534" s="286"/>
      <c r="BB534" s="286"/>
      <c r="BC534" s="286"/>
    </row>
    <row r="535" spans="1:55" s="285" customFormat="1" ht="13.5" customHeight="1">
      <c r="A535" s="297"/>
      <c r="B535" s="296">
        <v>43646</v>
      </c>
      <c r="C535" s="295" t="s">
        <v>216</v>
      </c>
      <c r="D535" s="294">
        <v>271.85000000000002</v>
      </c>
      <c r="E535" s="294"/>
      <c r="F535" s="294">
        <v>271.85000000000002</v>
      </c>
      <c r="G535" s="294"/>
      <c r="H535" s="294"/>
      <c r="I535" s="294"/>
      <c r="J535" s="294"/>
      <c r="K535" s="294"/>
      <c r="L535" s="294"/>
      <c r="M535" s="294"/>
      <c r="N535" s="294"/>
      <c r="O535" s="294"/>
      <c r="P535" s="294"/>
      <c r="Q535" s="294"/>
      <c r="R535" s="294"/>
      <c r="S535" s="294"/>
      <c r="T535" s="294"/>
      <c r="U535" s="294"/>
      <c r="V535" s="294"/>
      <c r="W535" s="294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  <c r="BA535" s="286"/>
      <c r="BB535" s="286"/>
      <c r="BC535" s="286"/>
    </row>
    <row r="536" spans="1:55" s="285" customFormat="1" ht="13.5" customHeight="1">
      <c r="A536" s="297"/>
      <c r="B536" s="296">
        <v>43646</v>
      </c>
      <c r="C536" s="295" t="s">
        <v>458</v>
      </c>
      <c r="D536" s="294">
        <v>288.5</v>
      </c>
      <c r="E536" s="294"/>
      <c r="F536" s="294"/>
      <c r="G536" s="294">
        <v>260</v>
      </c>
      <c r="H536" s="294"/>
      <c r="I536" s="294"/>
      <c r="J536" s="294"/>
      <c r="K536" s="294"/>
      <c r="L536" s="294">
        <v>28.5</v>
      </c>
      <c r="M536" s="294"/>
      <c r="N536" s="294"/>
      <c r="O536" s="294"/>
      <c r="P536" s="294"/>
      <c r="Q536" s="294"/>
      <c r="R536" s="294"/>
      <c r="S536" s="294"/>
      <c r="T536" s="294"/>
      <c r="U536" s="294"/>
      <c r="V536" s="294"/>
      <c r="W536" s="294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  <c r="BA536" s="286"/>
      <c r="BB536" s="286"/>
      <c r="BC536" s="286"/>
    </row>
    <row r="537" spans="1:55" s="285" customFormat="1" ht="13.5" customHeight="1">
      <c r="A537" s="297"/>
      <c r="B537" s="296">
        <v>43646</v>
      </c>
      <c r="C537" s="295" t="s">
        <v>41</v>
      </c>
      <c r="D537" s="294">
        <v>100</v>
      </c>
      <c r="E537" s="294"/>
      <c r="F537" s="294"/>
      <c r="G537" s="294">
        <v>100</v>
      </c>
      <c r="H537" s="294"/>
      <c r="I537" s="294"/>
      <c r="J537" s="294"/>
      <c r="K537" s="294"/>
      <c r="L537" s="294"/>
      <c r="M537" s="294"/>
      <c r="N537" s="294"/>
      <c r="O537" s="294"/>
      <c r="P537" s="294"/>
      <c r="Q537" s="294"/>
      <c r="R537" s="294"/>
      <c r="S537" s="294"/>
      <c r="T537" s="294"/>
      <c r="U537" s="294"/>
      <c r="V537" s="294"/>
      <c r="W537" s="294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  <c r="BA537" s="286"/>
      <c r="BB537" s="286"/>
      <c r="BC537" s="286"/>
    </row>
    <row r="538" spans="1:55" s="285" customFormat="1" ht="13.5" customHeight="1">
      <c r="A538" s="297"/>
      <c r="B538" s="296">
        <v>43646</v>
      </c>
      <c r="C538" s="295" t="s">
        <v>458</v>
      </c>
      <c r="D538" s="294">
        <v>201.47</v>
      </c>
      <c r="E538" s="294"/>
      <c r="F538" s="294"/>
      <c r="G538" s="294">
        <v>121.47</v>
      </c>
      <c r="H538" s="294"/>
      <c r="I538" s="294"/>
      <c r="J538" s="294">
        <v>80</v>
      </c>
      <c r="K538" s="294"/>
      <c r="L538" s="294"/>
      <c r="M538" s="294"/>
      <c r="N538" s="294"/>
      <c r="O538" s="294"/>
      <c r="P538" s="294"/>
      <c r="Q538" s="294"/>
      <c r="R538" s="294"/>
      <c r="S538" s="294"/>
      <c r="T538" s="294"/>
      <c r="U538" s="294"/>
      <c r="V538" s="294"/>
      <c r="W538" s="294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  <c r="BA538" s="286"/>
      <c r="BB538" s="286"/>
      <c r="BC538" s="286"/>
    </row>
    <row r="539" spans="1:55" s="285" customFormat="1" ht="13.5" customHeight="1">
      <c r="A539" s="297"/>
      <c r="B539" s="296">
        <v>43646</v>
      </c>
      <c r="C539" s="295" t="s">
        <v>39</v>
      </c>
      <c r="D539" s="294">
        <v>48.95</v>
      </c>
      <c r="E539" s="294"/>
      <c r="F539" s="294">
        <v>39</v>
      </c>
      <c r="G539" s="294"/>
      <c r="H539" s="294"/>
      <c r="I539" s="294"/>
      <c r="J539" s="294"/>
      <c r="K539" s="294"/>
      <c r="L539" s="294">
        <v>9.9499999999999993</v>
      </c>
      <c r="M539" s="294"/>
      <c r="N539" s="294"/>
      <c r="O539" s="294"/>
      <c r="P539" s="294"/>
      <c r="Q539" s="294"/>
      <c r="R539" s="294"/>
      <c r="S539" s="294"/>
      <c r="T539" s="294"/>
      <c r="U539" s="294"/>
      <c r="V539" s="294"/>
      <c r="W539" s="294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  <c r="BA539" s="286"/>
      <c r="BB539" s="286"/>
      <c r="BC539" s="286"/>
    </row>
    <row r="540" spans="1:55" s="285" customFormat="1" ht="13.5" customHeight="1">
      <c r="A540" s="297"/>
      <c r="B540" s="296">
        <v>43646</v>
      </c>
      <c r="C540" s="295" t="s">
        <v>123</v>
      </c>
      <c r="D540" s="294">
        <v>266.75</v>
      </c>
      <c r="E540" s="294"/>
      <c r="F540" s="294">
        <v>30</v>
      </c>
      <c r="G540" s="294">
        <v>236.75</v>
      </c>
      <c r="H540" s="294"/>
      <c r="I540" s="294"/>
      <c r="J540" s="294"/>
      <c r="K540" s="294"/>
      <c r="L540" s="294"/>
      <c r="M540" s="294"/>
      <c r="N540" s="294"/>
      <c r="O540" s="294"/>
      <c r="P540" s="294"/>
      <c r="Q540" s="294"/>
      <c r="R540" s="294"/>
      <c r="S540" s="294"/>
      <c r="T540" s="294"/>
      <c r="U540" s="294"/>
      <c r="V540" s="294"/>
      <c r="W540" s="294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  <c r="BA540" s="286"/>
      <c r="BB540" s="286"/>
      <c r="BC540" s="286"/>
    </row>
    <row r="541" spans="1:55" s="285" customFormat="1" ht="13.5" customHeight="1">
      <c r="A541" s="297"/>
      <c r="B541" s="296">
        <v>43646</v>
      </c>
      <c r="C541" s="295" t="s">
        <v>123</v>
      </c>
      <c r="D541" s="294">
        <v>246.95</v>
      </c>
      <c r="E541" s="294"/>
      <c r="F541" s="294"/>
      <c r="G541" s="294">
        <v>96.95</v>
      </c>
      <c r="H541" s="294"/>
      <c r="I541" s="294"/>
      <c r="J541" s="294"/>
      <c r="K541" s="294"/>
      <c r="L541" s="294">
        <v>150</v>
      </c>
      <c r="M541" s="294"/>
      <c r="N541" s="294"/>
      <c r="O541" s="294"/>
      <c r="P541" s="294"/>
      <c r="Q541" s="294"/>
      <c r="R541" s="294"/>
      <c r="S541" s="294"/>
      <c r="T541" s="294"/>
      <c r="U541" s="294"/>
      <c r="V541" s="294"/>
      <c r="W541" s="294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  <c r="BA541" s="286"/>
      <c r="BB541" s="286"/>
      <c r="BC541" s="286"/>
    </row>
    <row r="542" spans="1:55" s="285" customFormat="1" ht="13.5" customHeight="1">
      <c r="A542" s="297"/>
      <c r="B542" s="296">
        <v>43646</v>
      </c>
      <c r="C542" s="295" t="s">
        <v>458</v>
      </c>
      <c r="D542" s="294">
        <v>40</v>
      </c>
      <c r="E542" s="294"/>
      <c r="F542" s="294"/>
      <c r="G542" s="294">
        <v>40</v>
      </c>
      <c r="H542" s="294"/>
      <c r="I542" s="294"/>
      <c r="J542" s="294"/>
      <c r="K542" s="294"/>
      <c r="L542" s="294"/>
      <c r="M542" s="294"/>
      <c r="N542" s="294"/>
      <c r="O542" s="294"/>
      <c r="P542" s="294"/>
      <c r="Q542" s="294"/>
      <c r="R542" s="294"/>
      <c r="S542" s="294"/>
      <c r="T542" s="294"/>
      <c r="U542" s="294"/>
      <c r="V542" s="294"/>
      <c r="W542" s="294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  <c r="BA542" s="286"/>
      <c r="BB542" s="286"/>
      <c r="BC542" s="286"/>
    </row>
    <row r="543" spans="1:55" s="285" customFormat="1" ht="13.5" customHeight="1">
      <c r="A543" s="297"/>
      <c r="B543" s="296">
        <v>43646</v>
      </c>
      <c r="C543" s="295" t="s">
        <v>41</v>
      </c>
      <c r="D543" s="294">
        <v>100</v>
      </c>
      <c r="E543" s="294"/>
      <c r="F543" s="294"/>
      <c r="G543" s="294">
        <v>100</v>
      </c>
      <c r="H543" s="294"/>
      <c r="I543" s="294"/>
      <c r="J543" s="294"/>
      <c r="K543" s="294"/>
      <c r="L543" s="294"/>
      <c r="M543" s="294"/>
      <c r="N543" s="294"/>
      <c r="O543" s="294"/>
      <c r="P543" s="294"/>
      <c r="Q543" s="294"/>
      <c r="R543" s="294"/>
      <c r="S543" s="294"/>
      <c r="T543" s="294"/>
      <c r="U543" s="294"/>
      <c r="V543" s="294"/>
      <c r="W543" s="294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  <c r="BA543" s="286"/>
      <c r="BB543" s="286"/>
      <c r="BC543" s="286"/>
    </row>
    <row r="544" spans="1:55" s="285" customFormat="1" ht="13.5" customHeight="1">
      <c r="A544" s="297"/>
      <c r="B544" s="296">
        <v>30.6</v>
      </c>
      <c r="C544" s="295" t="s">
        <v>143</v>
      </c>
      <c r="D544" s="294">
        <v>100</v>
      </c>
      <c r="E544" s="294"/>
      <c r="F544" s="294">
        <v>100</v>
      </c>
      <c r="G544" s="294"/>
      <c r="H544" s="294"/>
      <c r="I544" s="294"/>
      <c r="J544" s="294"/>
      <c r="K544" s="294"/>
      <c r="L544" s="294"/>
      <c r="M544" s="294"/>
      <c r="N544" s="294"/>
      <c r="O544" s="294"/>
      <c r="P544" s="294"/>
      <c r="Q544" s="294"/>
      <c r="R544" s="294"/>
      <c r="S544" s="294"/>
      <c r="T544" s="294"/>
      <c r="U544" s="294"/>
      <c r="V544" s="294"/>
      <c r="W544" s="294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  <c r="BA544" s="286"/>
      <c r="BB544" s="286"/>
      <c r="BC544" s="286"/>
    </row>
    <row r="545" spans="1:55" s="285" customFormat="1" ht="13.5" customHeight="1">
      <c r="A545" s="297"/>
      <c r="B545" s="296">
        <v>43647</v>
      </c>
      <c r="C545" s="295" t="s">
        <v>230</v>
      </c>
      <c r="D545" s="294">
        <v>64</v>
      </c>
      <c r="E545" s="294"/>
      <c r="F545" s="294"/>
      <c r="G545" s="294"/>
      <c r="H545" s="294"/>
      <c r="I545" s="294"/>
      <c r="J545" s="294"/>
      <c r="K545" s="294"/>
      <c r="L545" s="294"/>
      <c r="M545" s="294"/>
      <c r="N545" s="294"/>
      <c r="O545" s="294"/>
      <c r="P545" s="294">
        <f>D545</f>
        <v>64</v>
      </c>
      <c r="Q545" s="294"/>
      <c r="R545" s="294"/>
      <c r="S545" s="294"/>
      <c r="T545" s="294"/>
      <c r="U545" s="294"/>
      <c r="V545" s="294"/>
      <c r="W545" s="294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  <c r="BA545" s="286"/>
      <c r="BB545" s="286"/>
      <c r="BC545" s="286"/>
    </row>
    <row r="546" spans="1:55" s="285" customFormat="1" ht="13.5" customHeight="1">
      <c r="A546" s="297"/>
      <c r="B546" s="296">
        <v>43647</v>
      </c>
      <c r="C546" s="295" t="s">
        <v>186</v>
      </c>
      <c r="D546" s="294">
        <v>200</v>
      </c>
      <c r="E546" s="294"/>
      <c r="F546" s="294"/>
      <c r="G546" s="294"/>
      <c r="H546" s="294"/>
      <c r="I546" s="294"/>
      <c r="J546" s="294"/>
      <c r="K546" s="294"/>
      <c r="L546" s="294"/>
      <c r="M546" s="294"/>
      <c r="N546" s="294"/>
      <c r="O546" s="294"/>
      <c r="P546" s="294"/>
      <c r="Q546" s="294">
        <v>200</v>
      </c>
      <c r="R546" s="294"/>
      <c r="S546" s="294"/>
      <c r="T546" s="294"/>
      <c r="U546" s="294"/>
      <c r="V546" s="294"/>
      <c r="W546" s="294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  <c r="BA546" s="286"/>
      <c r="BB546" s="286"/>
      <c r="BC546" s="286"/>
    </row>
    <row r="547" spans="1:55" s="285" customFormat="1" ht="13.5" customHeight="1">
      <c r="A547" s="297"/>
      <c r="B547" s="296">
        <v>43647</v>
      </c>
      <c r="C547" s="295" t="s">
        <v>182</v>
      </c>
      <c r="D547" s="294">
        <f>'[5]2019gl'!$C$69</f>
        <v>284</v>
      </c>
      <c r="E547" s="294">
        <f>D547</f>
        <v>284</v>
      </c>
      <c r="F547" s="294"/>
      <c r="G547" s="294"/>
      <c r="H547" s="294"/>
      <c r="I547" s="294"/>
      <c r="J547" s="294"/>
      <c r="K547" s="294"/>
      <c r="L547" s="294"/>
      <c r="M547" s="294"/>
      <c r="N547" s="294"/>
      <c r="O547" s="294"/>
      <c r="P547" s="294"/>
      <c r="Q547" s="294"/>
      <c r="R547" s="294"/>
      <c r="S547" s="294"/>
      <c r="T547" s="294"/>
      <c r="U547" s="294"/>
      <c r="V547" s="294"/>
      <c r="W547" s="294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  <c r="BA547" s="286"/>
      <c r="BB547" s="286"/>
      <c r="BC547" s="286"/>
    </row>
    <row r="548" spans="1:55" s="285" customFormat="1" ht="13.5" customHeight="1">
      <c r="A548" s="297"/>
      <c r="B548" s="296">
        <v>43647</v>
      </c>
      <c r="C548" s="295" t="s">
        <v>363</v>
      </c>
      <c r="D548" s="294" t="e">
        <f>#REF!</f>
        <v>#REF!</v>
      </c>
      <c r="E548" s="294"/>
      <c r="F548" s="294"/>
      <c r="G548" s="294"/>
      <c r="H548" s="294"/>
      <c r="I548" s="294"/>
      <c r="J548" s="294"/>
      <c r="K548" s="294"/>
      <c r="L548" s="294"/>
      <c r="M548" s="294"/>
      <c r="N548" s="294"/>
      <c r="O548" s="294" t="e">
        <f>D548</f>
        <v>#REF!</v>
      </c>
      <c r="P548" s="294"/>
      <c r="Q548" s="294"/>
      <c r="R548" s="294"/>
      <c r="S548" s="294"/>
      <c r="T548" s="294"/>
      <c r="U548" s="294"/>
      <c r="V548" s="294"/>
      <c r="W548" s="294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  <c r="BA548" s="286"/>
      <c r="BB548" s="286"/>
      <c r="BC548" s="286"/>
    </row>
    <row r="549" spans="1:55" s="285" customFormat="1" ht="13.5" customHeight="1">
      <c r="A549" s="297"/>
      <c r="B549" s="296">
        <v>43647</v>
      </c>
      <c r="C549" s="295" t="s">
        <v>381</v>
      </c>
      <c r="D549" s="294" t="e">
        <f>#REF!</f>
        <v>#REF!</v>
      </c>
      <c r="E549" s="294"/>
      <c r="F549" s="294"/>
      <c r="G549" s="294"/>
      <c r="H549" s="294"/>
      <c r="I549" s="294"/>
      <c r="J549" s="294"/>
      <c r="K549" s="294"/>
      <c r="L549" s="294"/>
      <c r="M549" s="294"/>
      <c r="N549" s="294"/>
      <c r="O549" s="294"/>
      <c r="P549" s="294"/>
      <c r="Q549" s="294"/>
      <c r="R549" s="294"/>
      <c r="S549" s="294"/>
      <c r="T549" s="294"/>
      <c r="U549" s="294"/>
      <c r="V549" s="294" t="e">
        <f>D549</f>
        <v>#REF!</v>
      </c>
      <c r="W549" s="294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  <c r="BA549" s="286"/>
      <c r="BB549" s="286"/>
      <c r="BC549" s="286"/>
    </row>
    <row r="550" spans="1:55" s="285" customFormat="1" ht="13.5" customHeight="1">
      <c r="A550" s="297"/>
      <c r="B550" s="296">
        <v>43678</v>
      </c>
      <c r="C550" s="295" t="s">
        <v>265</v>
      </c>
      <c r="D550" s="294">
        <v>602.48</v>
      </c>
      <c r="E550" s="294">
        <f>D550</f>
        <v>602.48</v>
      </c>
      <c r="F550" s="294"/>
      <c r="G550" s="294"/>
      <c r="H550" s="294"/>
      <c r="I550" s="294"/>
      <c r="J550" s="294"/>
      <c r="K550" s="294"/>
      <c r="L550" s="294"/>
      <c r="M550" s="294"/>
      <c r="N550" s="294"/>
      <c r="O550" s="294"/>
      <c r="P550" s="294"/>
      <c r="Q550" s="294"/>
      <c r="R550" s="294"/>
      <c r="S550" s="294"/>
      <c r="T550" s="294"/>
      <c r="U550" s="294"/>
      <c r="V550" s="294"/>
      <c r="W550" s="294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  <c r="BA550" s="286"/>
      <c r="BB550" s="286"/>
      <c r="BC550" s="286"/>
    </row>
    <row r="551" spans="1:55" s="285" customFormat="1" ht="13.5" customHeight="1">
      <c r="A551" s="297"/>
      <c r="B551" s="296">
        <v>43647</v>
      </c>
      <c r="C551" s="295" t="s">
        <v>31</v>
      </c>
      <c r="D551" s="294">
        <v>-1147</v>
      </c>
      <c r="E551" s="294"/>
      <c r="F551" s="294"/>
      <c r="G551" s="294"/>
      <c r="H551" s="294"/>
      <c r="I551" s="294"/>
      <c r="J551" s="294"/>
      <c r="K551" s="294"/>
      <c r="L551" s="294"/>
      <c r="M551" s="294"/>
      <c r="N551" s="294"/>
      <c r="O551" s="294"/>
      <c r="P551" s="294"/>
      <c r="Q551" s="294"/>
      <c r="R551" s="294"/>
      <c r="S551" s="294"/>
      <c r="T551" s="294"/>
      <c r="U551" s="294"/>
      <c r="V551" s="294"/>
      <c r="W551" s="294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</row>
    <row r="552" spans="1:55" s="285" customFormat="1" ht="13.5" customHeight="1">
      <c r="A552" s="297"/>
      <c r="B552" s="296">
        <v>43647</v>
      </c>
      <c r="C552" s="295" t="s">
        <v>30</v>
      </c>
      <c r="D552" s="294">
        <v>4857</v>
      </c>
      <c r="E552" s="294"/>
      <c r="F552" s="294"/>
      <c r="G552" s="294"/>
      <c r="H552" s="294"/>
      <c r="I552" s="294"/>
      <c r="J552" s="294"/>
      <c r="K552" s="294"/>
      <c r="L552" s="294"/>
      <c r="M552" s="294">
        <f>D552</f>
        <v>4857</v>
      </c>
      <c r="N552" s="294"/>
      <c r="O552" s="294"/>
      <c r="P552" s="294"/>
      <c r="Q552" s="294"/>
      <c r="R552" s="294"/>
      <c r="S552" s="294"/>
      <c r="T552" s="294"/>
      <c r="U552" s="294"/>
      <c r="V552" s="294"/>
      <c r="W552" s="294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  <c r="BA552" s="286"/>
      <c r="BB552" s="286"/>
      <c r="BC552" s="286"/>
    </row>
    <row r="553" spans="1:55" s="285" customFormat="1" ht="13.5" customHeight="1">
      <c r="A553" s="297"/>
      <c r="B553" s="296">
        <v>43647</v>
      </c>
      <c r="C553" s="295" t="s">
        <v>265</v>
      </c>
      <c r="D553" s="294">
        <v>490</v>
      </c>
      <c r="E553" s="294">
        <f>D553</f>
        <v>490</v>
      </c>
      <c r="F553" s="294"/>
      <c r="G553" s="294"/>
      <c r="H553" s="294"/>
      <c r="I553" s="294"/>
      <c r="J553" s="294"/>
      <c r="K553" s="294"/>
      <c r="L553" s="294"/>
      <c r="M553" s="294"/>
      <c r="N553" s="294"/>
      <c r="O553" s="294"/>
      <c r="P553" s="294"/>
      <c r="Q553" s="294"/>
      <c r="R553" s="294"/>
      <c r="S553" s="294"/>
      <c r="T553" s="294"/>
      <c r="U553" s="294"/>
      <c r="V553" s="294"/>
      <c r="W553" s="294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  <c r="BA553" s="286"/>
      <c r="BB553" s="286"/>
      <c r="BC553" s="286"/>
    </row>
    <row r="554" spans="1:55" s="285" customFormat="1" ht="13.5" customHeight="1">
      <c r="A554" s="297"/>
      <c r="B554" s="296">
        <v>43647</v>
      </c>
      <c r="C554" s="295" t="s">
        <v>183</v>
      </c>
      <c r="D554" s="294">
        <f>'[5]2019gl'!$C$72</f>
        <v>458.75</v>
      </c>
      <c r="E554" s="294">
        <f>D554</f>
        <v>458.75</v>
      </c>
      <c r="F554" s="294"/>
      <c r="G554" s="294"/>
      <c r="H554" s="294"/>
      <c r="I554" s="294"/>
      <c r="J554" s="294"/>
      <c r="K554" s="294"/>
      <c r="L554" s="294"/>
      <c r="M554" s="294"/>
      <c r="N554" s="294"/>
      <c r="O554" s="294"/>
      <c r="P554" s="294"/>
      <c r="Q554" s="294"/>
      <c r="R554" s="294"/>
      <c r="S554" s="294"/>
      <c r="T554" s="294"/>
      <c r="U554" s="294"/>
      <c r="V554" s="294"/>
      <c r="W554" s="294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  <c r="BA554" s="286"/>
      <c r="BB554" s="286"/>
      <c r="BC554" s="286"/>
    </row>
    <row r="555" spans="1:55" s="285" customFormat="1" ht="13.5" customHeight="1">
      <c r="A555" s="297"/>
      <c r="B555" s="296">
        <v>43644</v>
      </c>
      <c r="C555" s="295" t="s">
        <v>21</v>
      </c>
      <c r="D555" s="294">
        <v>176</v>
      </c>
      <c r="E555" s="294"/>
      <c r="F555" s="294"/>
      <c r="G555" s="294"/>
      <c r="H555" s="294"/>
      <c r="I555" s="294"/>
      <c r="J555" s="294"/>
      <c r="K555" s="294"/>
      <c r="L555" s="294"/>
      <c r="M555" s="294"/>
      <c r="N555" s="294"/>
      <c r="O555" s="294"/>
      <c r="P555" s="294">
        <f>D555</f>
        <v>176</v>
      </c>
      <c r="Q555" s="294"/>
      <c r="R555" s="294"/>
      <c r="S555" s="294"/>
      <c r="T555" s="294"/>
      <c r="U555" s="294"/>
      <c r="V555" s="294"/>
      <c r="W555" s="294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  <c r="BA555" s="286"/>
      <c r="BB555" s="286"/>
      <c r="BC555" s="286"/>
    </row>
    <row r="556" spans="1:55" s="285" customFormat="1" ht="13.5" customHeight="1">
      <c r="A556" s="297"/>
      <c r="B556" s="296">
        <v>43647</v>
      </c>
      <c r="C556" s="295" t="s">
        <v>125</v>
      </c>
      <c r="D556" s="294">
        <v>43</v>
      </c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>
        <v>43</v>
      </c>
      <c r="R556" s="294"/>
      <c r="S556" s="294"/>
      <c r="T556" s="294"/>
      <c r="U556" s="294"/>
      <c r="V556" s="294"/>
      <c r="W556" s="294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  <c r="BA556" s="286"/>
      <c r="BB556" s="286"/>
      <c r="BC556" s="286"/>
    </row>
    <row r="557" spans="1:55" s="285" customFormat="1" ht="13.5" customHeight="1">
      <c r="A557" s="297"/>
      <c r="B557" s="296">
        <v>43647</v>
      </c>
      <c r="C557" s="295" t="s">
        <v>22</v>
      </c>
      <c r="D557" s="294">
        <v>89</v>
      </c>
      <c r="E557" s="294"/>
      <c r="F557" s="294"/>
      <c r="G557" s="294"/>
      <c r="H557" s="294"/>
      <c r="I557" s="294"/>
      <c r="J557" s="294"/>
      <c r="K557" s="294"/>
      <c r="L557" s="294"/>
      <c r="M557" s="294"/>
      <c r="N557" s="294"/>
      <c r="O557" s="294"/>
      <c r="P557" s="294">
        <f>D557</f>
        <v>89</v>
      </c>
      <c r="Q557" s="294"/>
      <c r="R557" s="294"/>
      <c r="S557" s="294"/>
      <c r="T557" s="294"/>
      <c r="U557" s="294"/>
      <c r="V557" s="294"/>
      <c r="W557" s="294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  <c r="BA557" s="286"/>
      <c r="BB557" s="286"/>
      <c r="BC557" s="286"/>
    </row>
    <row r="558" spans="1:55" s="285" customFormat="1" ht="13.5" customHeight="1">
      <c r="A558" s="297"/>
      <c r="B558" s="296">
        <v>43648</v>
      </c>
      <c r="C558" s="295" t="s">
        <v>216</v>
      </c>
      <c r="D558" s="294">
        <v>143</v>
      </c>
      <c r="E558" s="294"/>
      <c r="F558" s="294">
        <v>143</v>
      </c>
      <c r="G558" s="294"/>
      <c r="H558" s="294"/>
      <c r="I558" s="294"/>
      <c r="J558" s="294"/>
      <c r="K558" s="294"/>
      <c r="L558" s="294"/>
      <c r="M558" s="294"/>
      <c r="N558" s="294"/>
      <c r="O558" s="294"/>
      <c r="P558" s="294"/>
      <c r="Q558" s="294"/>
      <c r="R558" s="294"/>
      <c r="S558" s="294"/>
      <c r="T558" s="294"/>
      <c r="U558" s="294"/>
      <c r="V558" s="294"/>
      <c r="W558" s="294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  <c r="BA558" s="286"/>
      <c r="BB558" s="286"/>
      <c r="BC558" s="286"/>
    </row>
    <row r="559" spans="1:55" s="285" customFormat="1" ht="13.5" customHeight="1">
      <c r="A559" s="297"/>
      <c r="B559" s="296">
        <v>43648</v>
      </c>
      <c r="C559" s="295" t="s">
        <v>38</v>
      </c>
      <c r="D559" s="294">
        <v>20</v>
      </c>
      <c r="E559" s="294"/>
      <c r="F559" s="294">
        <v>20</v>
      </c>
      <c r="G559" s="294"/>
      <c r="H559" s="294"/>
      <c r="I559" s="294"/>
      <c r="J559" s="294"/>
      <c r="K559" s="294"/>
      <c r="L559" s="294"/>
      <c r="M559" s="294"/>
      <c r="N559" s="294"/>
      <c r="O559" s="294"/>
      <c r="P559" s="294"/>
      <c r="Q559" s="294"/>
      <c r="R559" s="294"/>
      <c r="S559" s="294"/>
      <c r="T559" s="294"/>
      <c r="U559" s="294"/>
      <c r="V559" s="294"/>
      <c r="W559" s="294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  <c r="BA559" s="286"/>
      <c r="BB559" s="286"/>
      <c r="BC559" s="286"/>
    </row>
    <row r="560" spans="1:55" s="285" customFormat="1" ht="13.5" customHeight="1">
      <c r="A560" s="297"/>
      <c r="B560" s="296">
        <v>43648</v>
      </c>
      <c r="C560" s="295" t="s">
        <v>21</v>
      </c>
      <c r="D560" s="294">
        <v>25</v>
      </c>
      <c r="E560" s="294"/>
      <c r="F560" s="294"/>
      <c r="G560" s="294"/>
      <c r="H560" s="294"/>
      <c r="I560" s="294"/>
      <c r="J560" s="294"/>
      <c r="K560" s="294"/>
      <c r="L560" s="294"/>
      <c r="M560" s="294"/>
      <c r="N560" s="294"/>
      <c r="O560" s="294"/>
      <c r="P560" s="294">
        <v>25</v>
      </c>
      <c r="Q560" s="294"/>
      <c r="R560" s="294"/>
      <c r="S560" s="294"/>
      <c r="T560" s="294"/>
      <c r="U560" s="294"/>
      <c r="V560" s="294"/>
      <c r="W560" s="294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  <c r="BA560" s="286"/>
      <c r="BB560" s="286"/>
      <c r="BC560" s="286"/>
    </row>
    <row r="561" spans="1:55" s="285" customFormat="1" ht="13.5" customHeight="1">
      <c r="A561" s="297"/>
      <c r="B561" s="296">
        <v>43647</v>
      </c>
      <c r="C561" s="295" t="s">
        <v>139</v>
      </c>
      <c r="D561" s="294">
        <v>-134.76</v>
      </c>
      <c r="E561" s="294"/>
      <c r="F561" s="294"/>
      <c r="G561" s="294"/>
      <c r="H561" s="294"/>
      <c r="I561" s="294"/>
      <c r="J561" s="294"/>
      <c r="K561" s="294"/>
      <c r="L561" s="294"/>
      <c r="M561" s="294"/>
      <c r="N561" s="294"/>
      <c r="O561" s="294"/>
      <c r="P561" s="294"/>
      <c r="Q561" s="294"/>
      <c r="R561" s="294"/>
      <c r="S561" s="294"/>
      <c r="T561" s="294"/>
      <c r="U561" s="294">
        <v>-134.76</v>
      </c>
      <c r="V561" s="294"/>
      <c r="W561" s="294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  <c r="BA561" s="286"/>
      <c r="BB561" s="286"/>
      <c r="BC561" s="286"/>
    </row>
    <row r="562" spans="1:55" s="285" customFormat="1" ht="13.5" customHeight="1">
      <c r="A562" s="297"/>
      <c r="B562" s="296">
        <v>43649</v>
      </c>
      <c r="C562" s="295" t="s">
        <v>154</v>
      </c>
      <c r="D562" s="294">
        <v>500</v>
      </c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>
        <f>D562</f>
        <v>500</v>
      </c>
      <c r="P562" s="294"/>
      <c r="Q562" s="294"/>
      <c r="R562" s="294"/>
      <c r="S562" s="294"/>
      <c r="T562" s="294"/>
      <c r="U562" s="294"/>
      <c r="V562" s="294"/>
      <c r="W562" s="294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  <c r="BA562" s="286"/>
      <c r="BB562" s="286"/>
      <c r="BC562" s="286"/>
    </row>
    <row r="563" spans="1:55" s="285" customFormat="1" ht="13.5" customHeight="1">
      <c r="A563" s="297"/>
      <c r="B563" s="296">
        <v>43650</v>
      </c>
      <c r="C563" s="295" t="s">
        <v>201</v>
      </c>
      <c r="D563" s="294">
        <v>307.83</v>
      </c>
      <c r="E563" s="294"/>
      <c r="F563" s="294"/>
      <c r="G563" s="294"/>
      <c r="H563" s="294"/>
      <c r="I563" s="294"/>
      <c r="J563" s="294"/>
      <c r="K563" s="294"/>
      <c r="L563" s="294"/>
      <c r="M563" s="294"/>
      <c r="N563" s="294"/>
      <c r="O563" s="294">
        <f>D563</f>
        <v>307.83</v>
      </c>
      <c r="P563" s="294"/>
      <c r="Q563" s="294"/>
      <c r="R563" s="294"/>
      <c r="S563" s="294"/>
      <c r="T563" s="294"/>
      <c r="U563" s="294"/>
      <c r="V563" s="294"/>
      <c r="W563" s="294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  <c r="BA563" s="286"/>
      <c r="BB563" s="286"/>
      <c r="BC563" s="286"/>
    </row>
    <row r="564" spans="1:55" s="285" customFormat="1" ht="13.5" customHeight="1">
      <c r="A564" s="297"/>
      <c r="B564" s="296">
        <v>43651</v>
      </c>
      <c r="C564" s="295" t="s">
        <v>10</v>
      </c>
      <c r="D564" s="294">
        <v>450</v>
      </c>
      <c r="E564" s="294"/>
      <c r="F564" s="294"/>
      <c r="G564" s="294"/>
      <c r="H564" s="294"/>
      <c r="I564" s="294"/>
      <c r="J564" s="294"/>
      <c r="K564" s="294"/>
      <c r="L564" s="294"/>
      <c r="M564" s="294"/>
      <c r="N564" s="294"/>
      <c r="O564" s="294"/>
      <c r="P564" s="294"/>
      <c r="Q564" s="294"/>
      <c r="R564" s="294"/>
      <c r="S564" s="294"/>
      <c r="T564" s="294">
        <f>D564</f>
        <v>450</v>
      </c>
      <c r="U564" s="294"/>
      <c r="V564" s="294"/>
      <c r="W564" s="294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  <c r="BA564" s="286"/>
      <c r="BB564" s="286"/>
      <c r="BC564" s="286"/>
    </row>
    <row r="565" spans="1:55" s="285" customFormat="1" ht="13.5" customHeight="1">
      <c r="A565" s="297"/>
      <c r="B565" s="296">
        <v>43651</v>
      </c>
      <c r="C565" s="295" t="s">
        <v>463</v>
      </c>
      <c r="D565" s="294">
        <v>50</v>
      </c>
      <c r="E565" s="294"/>
      <c r="F565" s="294">
        <v>50</v>
      </c>
      <c r="G565" s="294"/>
      <c r="H565" s="294"/>
      <c r="I565" s="294"/>
      <c r="J565" s="294"/>
      <c r="K565" s="294"/>
      <c r="L565" s="294"/>
      <c r="M565" s="294"/>
      <c r="N565" s="294"/>
      <c r="O565" s="294"/>
      <c r="P565" s="294"/>
      <c r="Q565" s="294"/>
      <c r="R565" s="294"/>
      <c r="S565" s="294"/>
      <c r="T565" s="294"/>
      <c r="U565" s="294"/>
      <c r="V565" s="294"/>
      <c r="W565" s="294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  <c r="BA565" s="286"/>
      <c r="BB565" s="286"/>
      <c r="BC565" s="286"/>
    </row>
    <row r="566" spans="1:55" s="285" customFormat="1" ht="13.5" customHeight="1">
      <c r="A566" s="297"/>
      <c r="B566" s="296">
        <v>43651</v>
      </c>
      <c r="C566" s="295" t="s">
        <v>123</v>
      </c>
      <c r="D566" s="294">
        <v>24</v>
      </c>
      <c r="E566" s="294"/>
      <c r="F566" s="294"/>
      <c r="G566" s="294">
        <v>24</v>
      </c>
      <c r="H566" s="294"/>
      <c r="I566" s="294"/>
      <c r="J566" s="294"/>
      <c r="K566" s="294"/>
      <c r="L566" s="294"/>
      <c r="M566" s="294"/>
      <c r="N566" s="294"/>
      <c r="O566" s="294"/>
      <c r="P566" s="294"/>
      <c r="Q566" s="294"/>
      <c r="R566" s="294"/>
      <c r="S566" s="294"/>
      <c r="T566" s="294"/>
      <c r="U566" s="294"/>
      <c r="V566" s="294"/>
      <c r="W566" s="294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  <c r="BA566" s="286"/>
      <c r="BB566" s="286"/>
      <c r="BC566" s="286"/>
    </row>
    <row r="567" spans="1:55" s="285" customFormat="1" ht="13.5" customHeight="1">
      <c r="A567" s="297"/>
      <c r="B567" s="296">
        <v>43651</v>
      </c>
      <c r="C567" s="295" t="s">
        <v>20</v>
      </c>
      <c r="D567" s="294">
        <f>'[5]2019gl'!$C$79</f>
        <v>182.48</v>
      </c>
      <c r="E567" s="294">
        <f>D567</f>
        <v>182.48</v>
      </c>
      <c r="F567" s="294"/>
      <c r="G567" s="294"/>
      <c r="H567" s="294"/>
      <c r="I567" s="294"/>
      <c r="J567" s="294"/>
      <c r="K567" s="294"/>
      <c r="L567" s="294"/>
      <c r="M567" s="294"/>
      <c r="N567" s="294"/>
      <c r="O567" s="294"/>
      <c r="P567" s="294"/>
      <c r="Q567" s="294"/>
      <c r="R567" s="294"/>
      <c r="S567" s="294"/>
      <c r="T567" s="294"/>
      <c r="U567" s="294"/>
      <c r="V567" s="294"/>
      <c r="W567" s="294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  <c r="BA567" s="286"/>
      <c r="BB567" s="286"/>
      <c r="BC567" s="286"/>
    </row>
    <row r="568" spans="1:55" s="285" customFormat="1" ht="13.5" customHeight="1">
      <c r="A568" s="297"/>
      <c r="B568" s="296">
        <v>43653</v>
      </c>
      <c r="C568" s="295" t="s">
        <v>123</v>
      </c>
      <c r="D568" s="294">
        <v>37</v>
      </c>
      <c r="E568" s="294"/>
      <c r="F568" s="294"/>
      <c r="G568" s="294">
        <v>37</v>
      </c>
      <c r="H568" s="294"/>
      <c r="I568" s="294"/>
      <c r="J568" s="294"/>
      <c r="K568" s="294"/>
      <c r="L568" s="294"/>
      <c r="M568" s="294"/>
      <c r="N568" s="294"/>
      <c r="O568" s="294"/>
      <c r="P568" s="294"/>
      <c r="Q568" s="294"/>
      <c r="R568" s="294"/>
      <c r="S568" s="294"/>
      <c r="T568" s="294"/>
      <c r="U568" s="294"/>
      <c r="V568" s="294"/>
      <c r="W568" s="294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  <c r="BA568" s="286"/>
      <c r="BB568" s="286"/>
      <c r="BC568" s="286"/>
    </row>
    <row r="569" spans="1:55" s="285" customFormat="1" ht="13.5" customHeight="1">
      <c r="A569" s="297"/>
      <c r="B569" s="296">
        <v>43653</v>
      </c>
      <c r="C569" s="295" t="s">
        <v>39</v>
      </c>
      <c r="D569" s="294">
        <v>97</v>
      </c>
      <c r="E569" s="294"/>
      <c r="F569" s="294"/>
      <c r="G569" s="294">
        <v>97</v>
      </c>
      <c r="H569" s="294"/>
      <c r="I569" s="294"/>
      <c r="J569" s="294"/>
      <c r="K569" s="294"/>
      <c r="L569" s="294"/>
      <c r="M569" s="294"/>
      <c r="N569" s="294"/>
      <c r="O569" s="294"/>
      <c r="P569" s="294"/>
      <c r="Q569" s="294"/>
      <c r="R569" s="294"/>
      <c r="S569" s="294"/>
      <c r="T569" s="294"/>
      <c r="U569" s="294"/>
      <c r="V569" s="294"/>
      <c r="W569" s="294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  <c r="BA569" s="286"/>
      <c r="BB569" s="286"/>
      <c r="BC569" s="286"/>
    </row>
    <row r="570" spans="1:55" s="285" customFormat="1" ht="13.5" customHeight="1">
      <c r="A570" s="297"/>
      <c r="B570" s="296">
        <v>43653</v>
      </c>
      <c r="C570" s="295" t="s">
        <v>40</v>
      </c>
      <c r="D570" s="294">
        <v>47</v>
      </c>
      <c r="E570" s="294"/>
      <c r="F570" s="294"/>
      <c r="G570" s="294">
        <v>25</v>
      </c>
      <c r="H570" s="294"/>
      <c r="I570" s="294"/>
      <c r="J570" s="294"/>
      <c r="K570" s="294"/>
      <c r="L570" s="294">
        <v>22</v>
      </c>
      <c r="M570" s="294"/>
      <c r="N570" s="294"/>
      <c r="O570" s="294"/>
      <c r="P570" s="294"/>
      <c r="Q570" s="294"/>
      <c r="R570" s="294"/>
      <c r="S570" s="294"/>
      <c r="T570" s="294"/>
      <c r="U570" s="294"/>
      <c r="V570" s="294"/>
      <c r="W570" s="294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  <c r="BA570" s="286"/>
      <c r="BB570" s="286"/>
      <c r="BC570" s="286"/>
    </row>
    <row r="571" spans="1:55" s="285" customFormat="1" ht="13.5" customHeight="1">
      <c r="A571" s="297"/>
      <c r="B571" s="296">
        <v>43654</v>
      </c>
      <c r="C571" s="295" t="s">
        <v>39</v>
      </c>
      <c r="D571" s="294">
        <v>49</v>
      </c>
      <c r="E571" s="294"/>
      <c r="F571" s="294">
        <v>19</v>
      </c>
      <c r="G571" s="294">
        <v>30</v>
      </c>
      <c r="H571" s="294"/>
      <c r="I571" s="294"/>
      <c r="J571" s="294"/>
      <c r="K571" s="294"/>
      <c r="L571" s="294"/>
      <c r="M571" s="294"/>
      <c r="N571" s="294"/>
      <c r="O571" s="294"/>
      <c r="P571" s="294"/>
      <c r="Q571" s="294"/>
      <c r="R571" s="294"/>
      <c r="S571" s="294"/>
      <c r="T571" s="294"/>
      <c r="U571" s="294"/>
      <c r="V571" s="294"/>
      <c r="W571" s="294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  <c r="BA571" s="286"/>
      <c r="BB571" s="286"/>
      <c r="BC571" s="286"/>
    </row>
    <row r="572" spans="1:55" s="285" customFormat="1" ht="13.5" customHeight="1">
      <c r="A572" s="297"/>
      <c r="B572" s="296">
        <v>43654</v>
      </c>
      <c r="C572" s="295" t="s">
        <v>458</v>
      </c>
      <c r="D572" s="294">
        <v>47</v>
      </c>
      <c r="E572" s="294"/>
      <c r="F572" s="294"/>
      <c r="G572" s="294">
        <v>47</v>
      </c>
      <c r="H572" s="294"/>
      <c r="I572" s="294"/>
      <c r="J572" s="294"/>
      <c r="K572" s="294"/>
      <c r="L572" s="294"/>
      <c r="M572" s="294"/>
      <c r="N572" s="294"/>
      <c r="O572" s="294"/>
      <c r="P572" s="294"/>
      <c r="Q572" s="294"/>
      <c r="R572" s="294"/>
      <c r="S572" s="294"/>
      <c r="T572" s="294"/>
      <c r="U572" s="294"/>
      <c r="V572" s="294"/>
      <c r="W572" s="294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  <c r="BA572" s="286"/>
      <c r="BB572" s="286"/>
      <c r="BC572" s="286"/>
    </row>
    <row r="573" spans="1:55" s="285" customFormat="1" ht="13.5" customHeight="1">
      <c r="A573" s="297"/>
      <c r="B573" s="296">
        <v>43654</v>
      </c>
      <c r="C573" s="295" t="s">
        <v>41</v>
      </c>
      <c r="D573" s="294">
        <v>30</v>
      </c>
      <c r="E573" s="294"/>
      <c r="F573" s="294"/>
      <c r="G573" s="294">
        <v>30</v>
      </c>
      <c r="H573" s="294"/>
      <c r="I573" s="294"/>
      <c r="J573" s="294"/>
      <c r="K573" s="294"/>
      <c r="L573" s="294"/>
      <c r="M573" s="294"/>
      <c r="N573" s="294"/>
      <c r="O573" s="294"/>
      <c r="P573" s="294"/>
      <c r="Q573" s="294"/>
      <c r="R573" s="294"/>
      <c r="S573" s="294"/>
      <c r="T573" s="294"/>
      <c r="U573" s="294"/>
      <c r="V573" s="294"/>
      <c r="W573" s="294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  <c r="BA573" s="286"/>
      <c r="BB573" s="286"/>
      <c r="BC573" s="286"/>
    </row>
    <row r="574" spans="1:55" s="285" customFormat="1" ht="13.5" customHeight="1">
      <c r="A574" s="297"/>
      <c r="B574" s="296">
        <v>43654</v>
      </c>
      <c r="C574" s="295" t="s">
        <v>40</v>
      </c>
      <c r="D574" s="294">
        <v>44</v>
      </c>
      <c r="E574" s="294"/>
      <c r="F574" s="294"/>
      <c r="G574" s="294">
        <v>44</v>
      </c>
      <c r="H574" s="294"/>
      <c r="I574" s="294"/>
      <c r="J574" s="294"/>
      <c r="K574" s="294"/>
      <c r="L574" s="294"/>
      <c r="M574" s="294"/>
      <c r="N574" s="294"/>
      <c r="O574" s="294"/>
      <c r="P574" s="294"/>
      <c r="Q574" s="294"/>
      <c r="R574" s="294"/>
      <c r="S574" s="294"/>
      <c r="T574" s="294"/>
      <c r="U574" s="294"/>
      <c r="V574" s="294"/>
      <c r="W574" s="294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  <c r="BA574" s="286"/>
      <c r="BB574" s="286"/>
      <c r="BC574" s="286"/>
    </row>
    <row r="575" spans="1:55" s="285" customFormat="1" ht="13.5" customHeight="1">
      <c r="A575" s="297"/>
      <c r="B575" s="296">
        <v>43655</v>
      </c>
      <c r="C575" s="295" t="s">
        <v>123</v>
      </c>
      <c r="D575" s="294">
        <v>79</v>
      </c>
      <c r="E575" s="294"/>
      <c r="F575" s="294"/>
      <c r="G575" s="294">
        <v>41</v>
      </c>
      <c r="H575" s="294"/>
      <c r="I575" s="294"/>
      <c r="J575" s="294"/>
      <c r="K575" s="294"/>
      <c r="L575" s="294">
        <v>38</v>
      </c>
      <c r="M575" s="294"/>
      <c r="N575" s="294"/>
      <c r="O575" s="294"/>
      <c r="P575" s="294"/>
      <c r="Q575" s="294"/>
      <c r="R575" s="294"/>
      <c r="S575" s="294"/>
      <c r="T575" s="294"/>
      <c r="U575" s="294"/>
      <c r="V575" s="294"/>
      <c r="W575" s="294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  <c r="BA575" s="286"/>
      <c r="BB575" s="286"/>
      <c r="BC575" s="286"/>
    </row>
    <row r="576" spans="1:55" s="285" customFormat="1" ht="13.5" customHeight="1">
      <c r="A576" s="297"/>
      <c r="B576" s="296">
        <v>43655</v>
      </c>
      <c r="C576" s="295" t="s">
        <v>218</v>
      </c>
      <c r="D576" s="294">
        <v>34</v>
      </c>
      <c r="E576" s="294"/>
      <c r="F576" s="294">
        <v>34</v>
      </c>
      <c r="G576" s="294"/>
      <c r="H576" s="294"/>
      <c r="I576" s="294"/>
      <c r="J576" s="294"/>
      <c r="K576" s="294"/>
      <c r="L576" s="294"/>
      <c r="M576" s="294"/>
      <c r="N576" s="294"/>
      <c r="O576" s="294"/>
      <c r="P576" s="294"/>
      <c r="Q576" s="294"/>
      <c r="R576" s="294"/>
      <c r="S576" s="294"/>
      <c r="T576" s="294"/>
      <c r="U576" s="294"/>
      <c r="V576" s="294"/>
      <c r="W576" s="294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  <c r="BA576" s="286"/>
      <c r="BB576" s="286"/>
      <c r="BC576" s="286"/>
    </row>
    <row r="577" spans="1:55" s="285" customFormat="1" ht="13.5" customHeight="1">
      <c r="A577" s="297"/>
      <c r="B577" s="296">
        <v>43656</v>
      </c>
      <c r="C577" s="295" t="s">
        <v>144</v>
      </c>
      <c r="D577" s="294">
        <v>2139.06</v>
      </c>
      <c r="E577" s="294">
        <v>2139.06</v>
      </c>
      <c r="F577" s="294"/>
      <c r="G577" s="294"/>
      <c r="H577" s="294"/>
      <c r="I577" s="294"/>
      <c r="J577" s="294"/>
      <c r="K577" s="294"/>
      <c r="L577" s="294"/>
      <c r="M577" s="294"/>
      <c r="N577" s="294"/>
      <c r="O577" s="294"/>
      <c r="P577" s="294"/>
      <c r="Q577" s="294"/>
      <c r="R577" s="294"/>
      <c r="S577" s="294"/>
      <c r="T577" s="294"/>
      <c r="U577" s="294"/>
      <c r="V577" s="294"/>
      <c r="W577" s="294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  <c r="BA577" s="286"/>
      <c r="BB577" s="286"/>
      <c r="BC577" s="286"/>
    </row>
    <row r="578" spans="1:55" s="285" customFormat="1" ht="13.5" customHeight="1">
      <c r="A578" s="297"/>
      <c r="B578" s="296">
        <v>43656</v>
      </c>
      <c r="C578" s="295" t="s">
        <v>123</v>
      </c>
      <c r="D578" s="294">
        <v>20</v>
      </c>
      <c r="E578" s="294"/>
      <c r="F578" s="294"/>
      <c r="G578" s="294">
        <v>20</v>
      </c>
      <c r="H578" s="294"/>
      <c r="I578" s="294"/>
      <c r="J578" s="294"/>
      <c r="K578" s="294"/>
      <c r="L578" s="294"/>
      <c r="M578" s="294"/>
      <c r="N578" s="294"/>
      <c r="O578" s="294"/>
      <c r="P578" s="294"/>
      <c r="Q578" s="294"/>
      <c r="R578" s="294"/>
      <c r="S578" s="294"/>
      <c r="T578" s="294"/>
      <c r="U578" s="294"/>
      <c r="V578" s="294"/>
      <c r="W578" s="294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  <c r="BA578" s="286"/>
      <c r="BB578" s="286"/>
      <c r="BC578" s="286"/>
    </row>
    <row r="579" spans="1:55" s="285" customFormat="1" ht="13.5" customHeight="1">
      <c r="A579" s="297"/>
      <c r="B579" s="296">
        <v>43656</v>
      </c>
      <c r="C579" s="295" t="s">
        <v>458</v>
      </c>
      <c r="D579" s="294">
        <v>25</v>
      </c>
      <c r="E579" s="294"/>
      <c r="F579" s="294">
        <v>25</v>
      </c>
      <c r="G579" s="294"/>
      <c r="H579" s="294"/>
      <c r="I579" s="294"/>
      <c r="J579" s="294"/>
      <c r="K579" s="294"/>
      <c r="L579" s="294"/>
      <c r="M579" s="294"/>
      <c r="N579" s="294"/>
      <c r="O579" s="294"/>
      <c r="P579" s="294"/>
      <c r="Q579" s="294"/>
      <c r="R579" s="294"/>
      <c r="S579" s="294"/>
      <c r="T579" s="294"/>
      <c r="U579" s="294"/>
      <c r="V579" s="294"/>
      <c r="W579" s="294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  <c r="BA579" s="286"/>
      <c r="BB579" s="286"/>
      <c r="BC579" s="286"/>
    </row>
    <row r="580" spans="1:55" s="285" customFormat="1" ht="13.5" customHeight="1">
      <c r="A580" s="297"/>
      <c r="B580" s="296">
        <v>43657</v>
      </c>
      <c r="C580" s="295" t="s">
        <v>39</v>
      </c>
      <c r="D580" s="294">
        <v>131.5</v>
      </c>
      <c r="E580" s="294"/>
      <c r="F580" s="294"/>
      <c r="G580" s="294">
        <v>51.5</v>
      </c>
      <c r="H580" s="294"/>
      <c r="I580" s="294"/>
      <c r="J580" s="294">
        <v>80</v>
      </c>
      <c r="K580" s="294"/>
      <c r="L580" s="294"/>
      <c r="M580" s="294"/>
      <c r="N580" s="294"/>
      <c r="O580" s="294"/>
      <c r="P580" s="294"/>
      <c r="Q580" s="294"/>
      <c r="R580" s="294"/>
      <c r="S580" s="294"/>
      <c r="T580" s="294"/>
      <c r="U580" s="294"/>
      <c r="V580" s="294"/>
      <c r="W580" s="294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  <c r="BA580" s="286"/>
      <c r="BB580" s="286"/>
      <c r="BC580" s="286"/>
    </row>
    <row r="581" spans="1:55" s="285" customFormat="1" ht="13.5" customHeight="1">
      <c r="A581" s="297"/>
      <c r="B581" s="296">
        <v>43657</v>
      </c>
      <c r="C581" s="295" t="s">
        <v>41</v>
      </c>
      <c r="D581" s="294">
        <v>80</v>
      </c>
      <c r="E581" s="294"/>
      <c r="F581" s="294"/>
      <c r="G581" s="294">
        <v>40</v>
      </c>
      <c r="H581" s="294"/>
      <c r="I581" s="294"/>
      <c r="J581" s="294"/>
      <c r="K581" s="294"/>
      <c r="L581" s="294">
        <v>40</v>
      </c>
      <c r="M581" s="294"/>
      <c r="N581" s="294"/>
      <c r="O581" s="294"/>
      <c r="P581" s="294"/>
      <c r="Q581" s="294"/>
      <c r="R581" s="294"/>
      <c r="S581" s="294"/>
      <c r="T581" s="294"/>
      <c r="U581" s="294"/>
      <c r="V581" s="294"/>
      <c r="W581" s="294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  <c r="BA581" s="286"/>
      <c r="BB581" s="286"/>
      <c r="BC581" s="286"/>
    </row>
    <row r="582" spans="1:55" s="285" customFormat="1" ht="13.5" customHeight="1">
      <c r="A582" s="297"/>
      <c r="B582" s="296">
        <v>43658</v>
      </c>
      <c r="C582" s="295" t="s">
        <v>125</v>
      </c>
      <c r="D582" s="294">
        <v>38</v>
      </c>
      <c r="E582" s="294"/>
      <c r="F582" s="294"/>
      <c r="G582" s="294"/>
      <c r="H582" s="294"/>
      <c r="I582" s="294"/>
      <c r="J582" s="294"/>
      <c r="K582" s="294"/>
      <c r="L582" s="294"/>
      <c r="M582" s="294"/>
      <c r="N582" s="294"/>
      <c r="O582" s="294"/>
      <c r="P582" s="294"/>
      <c r="Q582" s="294">
        <v>38</v>
      </c>
      <c r="R582" s="294"/>
      <c r="S582" s="294"/>
      <c r="T582" s="294"/>
      <c r="U582" s="294"/>
      <c r="V582" s="294"/>
      <c r="W582" s="294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  <c r="BA582" s="286"/>
      <c r="BB582" s="286"/>
      <c r="BC582" s="286"/>
    </row>
    <row r="583" spans="1:55" s="285" customFormat="1" ht="13.5" customHeight="1">
      <c r="A583" s="297"/>
      <c r="B583" s="296">
        <v>43658</v>
      </c>
      <c r="C583" s="295" t="s">
        <v>201</v>
      </c>
      <c r="D583" s="294">
        <v>1375.63</v>
      </c>
      <c r="E583" s="294"/>
      <c r="F583" s="294"/>
      <c r="G583" s="294"/>
      <c r="H583" s="294"/>
      <c r="I583" s="294"/>
      <c r="J583" s="294"/>
      <c r="K583" s="294"/>
      <c r="L583" s="294"/>
      <c r="M583" s="294"/>
      <c r="N583" s="294"/>
      <c r="O583" s="294">
        <f>D583</f>
        <v>1375.63</v>
      </c>
      <c r="P583" s="294"/>
      <c r="Q583" s="294"/>
      <c r="R583" s="294"/>
      <c r="S583" s="294"/>
      <c r="T583" s="294"/>
      <c r="U583" s="294"/>
      <c r="V583" s="294"/>
      <c r="W583" s="294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  <c r="BA583" s="286"/>
      <c r="BB583" s="286"/>
      <c r="BC583" s="286"/>
    </row>
    <row r="584" spans="1:55" s="285" customFormat="1" ht="13.5" customHeight="1">
      <c r="A584" s="297"/>
      <c r="B584" s="296">
        <v>43658</v>
      </c>
      <c r="C584" s="295" t="s">
        <v>458</v>
      </c>
      <c r="D584" s="294">
        <v>84.5</v>
      </c>
      <c r="E584" s="294"/>
      <c r="F584" s="294"/>
      <c r="G584" s="294">
        <v>69.5</v>
      </c>
      <c r="H584" s="294"/>
      <c r="I584" s="294"/>
      <c r="J584" s="294"/>
      <c r="K584" s="294"/>
      <c r="L584" s="294">
        <v>15</v>
      </c>
      <c r="M584" s="294"/>
      <c r="N584" s="294"/>
      <c r="O584" s="294"/>
      <c r="P584" s="294"/>
      <c r="Q584" s="294"/>
      <c r="R584" s="294"/>
      <c r="S584" s="294"/>
      <c r="T584" s="294"/>
      <c r="U584" s="294"/>
      <c r="V584" s="294"/>
      <c r="W584" s="294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  <c r="BA584" s="286"/>
      <c r="BB584" s="286"/>
      <c r="BC584" s="286"/>
    </row>
    <row r="585" spans="1:55" s="285" customFormat="1" ht="13.5" customHeight="1">
      <c r="A585" s="297"/>
      <c r="B585" s="296">
        <v>43658</v>
      </c>
      <c r="C585" s="295" t="s">
        <v>455</v>
      </c>
      <c r="D585" s="294">
        <v>178</v>
      </c>
      <c r="E585" s="294"/>
      <c r="F585" s="294">
        <v>178</v>
      </c>
      <c r="G585" s="294"/>
      <c r="H585" s="294"/>
      <c r="I585" s="294"/>
      <c r="J585" s="294"/>
      <c r="K585" s="294"/>
      <c r="L585" s="294"/>
      <c r="M585" s="294"/>
      <c r="N585" s="294"/>
      <c r="O585" s="294"/>
      <c r="P585" s="294"/>
      <c r="Q585" s="294"/>
      <c r="R585" s="294"/>
      <c r="S585" s="294"/>
      <c r="T585" s="294"/>
      <c r="U585" s="294"/>
      <c r="V585" s="294"/>
      <c r="W585" s="294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  <c r="BA585" s="286"/>
      <c r="BB585" s="286"/>
      <c r="BC585" s="286"/>
    </row>
    <row r="586" spans="1:55" s="285" customFormat="1" ht="13.5" customHeight="1">
      <c r="A586" s="297"/>
      <c r="B586" s="296">
        <v>43661</v>
      </c>
      <c r="C586" s="295" t="s">
        <v>458</v>
      </c>
      <c r="D586" s="294">
        <v>85</v>
      </c>
      <c r="E586" s="294"/>
      <c r="F586" s="294">
        <v>5</v>
      </c>
      <c r="G586" s="294"/>
      <c r="H586" s="294"/>
      <c r="I586" s="294"/>
      <c r="J586" s="294">
        <v>80</v>
      </c>
      <c r="K586" s="294"/>
      <c r="L586" s="294"/>
      <c r="M586" s="294"/>
      <c r="N586" s="294"/>
      <c r="O586" s="294"/>
      <c r="P586" s="294"/>
      <c r="Q586" s="294"/>
      <c r="R586" s="294"/>
      <c r="S586" s="294"/>
      <c r="T586" s="294"/>
      <c r="U586" s="294"/>
      <c r="V586" s="294"/>
      <c r="W586" s="294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  <c r="BA586" s="286"/>
      <c r="BB586" s="286"/>
      <c r="BC586" s="286"/>
    </row>
    <row r="587" spans="1:55" s="285" customFormat="1" ht="13.5" customHeight="1">
      <c r="A587" s="297"/>
      <c r="B587" s="296">
        <v>43662</v>
      </c>
      <c r="C587" s="295" t="s">
        <v>455</v>
      </c>
      <c r="D587" s="294">
        <v>396.25</v>
      </c>
      <c r="E587" s="294"/>
      <c r="F587" s="294"/>
      <c r="G587" s="294"/>
      <c r="H587" s="294"/>
      <c r="I587" s="294"/>
      <c r="J587" s="294"/>
      <c r="K587" s="294"/>
      <c r="L587" s="294"/>
      <c r="M587" s="294"/>
      <c r="N587" s="294"/>
      <c r="O587" s="294"/>
      <c r="P587" s="294"/>
      <c r="Q587" s="294"/>
      <c r="R587" s="294"/>
      <c r="S587" s="294"/>
      <c r="T587" s="294"/>
      <c r="U587" s="294">
        <v>396.25</v>
      </c>
      <c r="V587" s="294"/>
      <c r="W587" s="294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  <c r="BA587" s="286"/>
      <c r="BB587" s="286"/>
      <c r="BC587" s="286"/>
    </row>
    <row r="588" spans="1:55" s="285" customFormat="1" ht="13.5" customHeight="1">
      <c r="A588" s="297"/>
      <c r="B588" s="296">
        <v>43664</v>
      </c>
      <c r="C588" s="295" t="s">
        <v>458</v>
      </c>
      <c r="D588" s="294">
        <v>72</v>
      </c>
      <c r="E588" s="294"/>
      <c r="F588" s="294"/>
      <c r="G588" s="294">
        <v>32</v>
      </c>
      <c r="H588" s="294"/>
      <c r="I588" s="294"/>
      <c r="J588" s="294"/>
      <c r="K588" s="294"/>
      <c r="L588" s="294">
        <v>40</v>
      </c>
      <c r="M588" s="294"/>
      <c r="N588" s="294"/>
      <c r="O588" s="294"/>
      <c r="P588" s="294"/>
      <c r="Q588" s="294"/>
      <c r="R588" s="294"/>
      <c r="S588" s="294"/>
      <c r="T588" s="294"/>
      <c r="U588" s="294"/>
      <c r="V588" s="294"/>
      <c r="W588" s="294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  <c r="BA588" s="286"/>
      <c r="BB588" s="286"/>
      <c r="BC588" s="286"/>
    </row>
    <row r="589" spans="1:55" s="285" customFormat="1" ht="13.5" customHeight="1">
      <c r="A589" s="297"/>
      <c r="B589" s="296">
        <v>43664</v>
      </c>
      <c r="C589" s="295" t="s">
        <v>462</v>
      </c>
      <c r="D589" s="294">
        <v>10.5</v>
      </c>
      <c r="E589" s="294"/>
      <c r="F589" s="294">
        <v>10.5</v>
      </c>
      <c r="G589" s="294"/>
      <c r="H589" s="294"/>
      <c r="I589" s="294"/>
      <c r="J589" s="294"/>
      <c r="K589" s="294"/>
      <c r="L589" s="294"/>
      <c r="M589" s="294"/>
      <c r="N589" s="294"/>
      <c r="O589" s="294"/>
      <c r="P589" s="294"/>
      <c r="Q589" s="294"/>
      <c r="R589" s="294"/>
      <c r="S589" s="294"/>
      <c r="T589" s="294"/>
      <c r="U589" s="294"/>
      <c r="V589" s="294"/>
      <c r="W589" s="294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  <c r="BA589" s="286"/>
      <c r="BB589" s="286"/>
      <c r="BC589" s="286"/>
    </row>
    <row r="590" spans="1:55" s="285" customFormat="1" ht="13.5" customHeight="1">
      <c r="A590" s="297"/>
      <c r="B590" s="296">
        <v>43665</v>
      </c>
      <c r="C590" s="295" t="s">
        <v>461</v>
      </c>
      <c r="D590" s="294">
        <v>-500</v>
      </c>
      <c r="E590" s="294"/>
      <c r="F590" s="294"/>
      <c r="G590" s="294"/>
      <c r="H590" s="294"/>
      <c r="I590" s="294"/>
      <c r="J590" s="294"/>
      <c r="K590" s="294"/>
      <c r="L590" s="294"/>
      <c r="M590" s="294"/>
      <c r="N590" s="294"/>
      <c r="O590" s="294"/>
      <c r="P590" s="294"/>
      <c r="Q590" s="294"/>
      <c r="R590" s="294"/>
      <c r="S590" s="294"/>
      <c r="T590" s="294"/>
      <c r="U590" s="294">
        <v>-500</v>
      </c>
      <c r="V590" s="294"/>
      <c r="W590" s="294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  <c r="BA590" s="286"/>
      <c r="BB590" s="286"/>
      <c r="BC590" s="286"/>
    </row>
    <row r="591" spans="1:55" s="285" customFormat="1" ht="13.5" customHeight="1">
      <c r="A591" s="297"/>
      <c r="B591" s="296">
        <v>43665</v>
      </c>
      <c r="C591" s="295" t="s">
        <v>458</v>
      </c>
      <c r="D591" s="294">
        <v>113</v>
      </c>
      <c r="E591" s="294"/>
      <c r="F591" s="294"/>
      <c r="G591" s="294">
        <v>56</v>
      </c>
      <c r="H591" s="294"/>
      <c r="I591" s="294"/>
      <c r="J591" s="294"/>
      <c r="K591" s="294"/>
      <c r="L591" s="294">
        <v>57</v>
      </c>
      <c r="M591" s="294"/>
      <c r="N591" s="294"/>
      <c r="O591" s="294"/>
      <c r="P591" s="294"/>
      <c r="Q591" s="294"/>
      <c r="R591" s="294"/>
      <c r="S591" s="294"/>
      <c r="T591" s="294"/>
      <c r="U591" s="294"/>
      <c r="V591" s="294"/>
      <c r="W591" s="294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  <c r="BA591" s="286"/>
      <c r="BB591" s="286"/>
      <c r="BC591" s="286"/>
    </row>
    <row r="592" spans="1:55" s="285" customFormat="1" ht="13.5" customHeight="1">
      <c r="A592" s="297"/>
      <c r="B592" s="296">
        <v>43665</v>
      </c>
      <c r="C592" s="295" t="s">
        <v>39</v>
      </c>
      <c r="D592" s="294">
        <v>18</v>
      </c>
      <c r="E592" s="294"/>
      <c r="F592" s="294"/>
      <c r="G592" s="294">
        <v>18</v>
      </c>
      <c r="H592" s="294"/>
      <c r="I592" s="294"/>
      <c r="J592" s="294"/>
      <c r="K592" s="294"/>
      <c r="L592" s="294"/>
      <c r="M592" s="294"/>
      <c r="N592" s="294"/>
      <c r="O592" s="294"/>
      <c r="P592" s="294"/>
      <c r="Q592" s="294"/>
      <c r="R592" s="294"/>
      <c r="S592" s="294"/>
      <c r="T592" s="294"/>
      <c r="U592" s="294"/>
      <c r="V592" s="294"/>
      <c r="W592" s="294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  <c r="BA592" s="286"/>
      <c r="BB592" s="286"/>
      <c r="BC592" s="286"/>
    </row>
    <row r="593" spans="1:55" s="285" customFormat="1" ht="13.5" customHeight="1">
      <c r="A593" s="297"/>
      <c r="B593" s="296">
        <v>43666</v>
      </c>
      <c r="C593" s="295" t="s">
        <v>458</v>
      </c>
      <c r="D593" s="294">
        <v>167</v>
      </c>
      <c r="E593" s="294"/>
      <c r="F593" s="294"/>
      <c r="G593" s="294">
        <v>87</v>
      </c>
      <c r="H593" s="294"/>
      <c r="I593" s="294"/>
      <c r="J593" s="294">
        <v>80</v>
      </c>
      <c r="K593" s="294"/>
      <c r="L593" s="294"/>
      <c r="M593" s="294"/>
      <c r="N593" s="294"/>
      <c r="O593" s="294"/>
      <c r="P593" s="294"/>
      <c r="Q593" s="294"/>
      <c r="R593" s="294"/>
      <c r="S593" s="294"/>
      <c r="T593" s="294"/>
      <c r="U593" s="294"/>
      <c r="V593" s="294"/>
      <c r="W593" s="294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</row>
    <row r="594" spans="1:55" s="285" customFormat="1" ht="13.5" customHeight="1">
      <c r="A594" s="297"/>
      <c r="B594" s="296">
        <v>43666</v>
      </c>
      <c r="C594" s="295" t="s">
        <v>39</v>
      </c>
      <c r="D594" s="294">
        <v>62</v>
      </c>
      <c r="E594" s="294"/>
      <c r="F594" s="294"/>
      <c r="G594" s="294">
        <v>50</v>
      </c>
      <c r="H594" s="294"/>
      <c r="I594" s="294"/>
      <c r="J594" s="294"/>
      <c r="K594" s="294"/>
      <c r="L594" s="294">
        <v>12</v>
      </c>
      <c r="M594" s="294"/>
      <c r="N594" s="294"/>
      <c r="O594" s="294"/>
      <c r="P594" s="294"/>
      <c r="Q594" s="294"/>
      <c r="R594" s="294"/>
      <c r="S594" s="294"/>
      <c r="T594" s="294"/>
      <c r="U594" s="294"/>
      <c r="V594" s="294"/>
      <c r="W594" s="294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  <c r="BA594" s="286"/>
      <c r="BB594" s="286"/>
      <c r="BC594" s="286"/>
    </row>
    <row r="595" spans="1:55" s="285" customFormat="1" ht="13.5" customHeight="1">
      <c r="A595" s="297"/>
      <c r="B595" s="296">
        <v>43668</v>
      </c>
      <c r="C595" s="295" t="s">
        <v>458</v>
      </c>
      <c r="D595" s="294">
        <v>103</v>
      </c>
      <c r="E595" s="294"/>
      <c r="F595" s="294"/>
      <c r="G595" s="294">
        <v>103</v>
      </c>
      <c r="H595" s="294"/>
      <c r="I595" s="294"/>
      <c r="J595" s="294"/>
      <c r="K595" s="294"/>
      <c r="L595" s="294"/>
      <c r="M595" s="294"/>
      <c r="N595" s="294"/>
      <c r="O595" s="294"/>
      <c r="P595" s="294"/>
      <c r="Q595" s="294"/>
      <c r="R595" s="294"/>
      <c r="S595" s="294"/>
      <c r="T595" s="294"/>
      <c r="U595" s="294"/>
      <c r="V595" s="294"/>
      <c r="W595" s="294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  <c r="BA595" s="286"/>
      <c r="BB595" s="286"/>
      <c r="BC595" s="286"/>
    </row>
    <row r="596" spans="1:55" s="285" customFormat="1" ht="13.5" customHeight="1">
      <c r="A596" s="297"/>
      <c r="B596" s="296">
        <v>43668</v>
      </c>
      <c r="C596" s="295" t="s">
        <v>458</v>
      </c>
      <c r="D596" s="294">
        <v>53.5</v>
      </c>
      <c r="E596" s="294"/>
      <c r="F596" s="294"/>
      <c r="G596" s="294">
        <v>38.5</v>
      </c>
      <c r="H596" s="294"/>
      <c r="I596" s="294"/>
      <c r="J596" s="294"/>
      <c r="K596" s="294">
        <v>15</v>
      </c>
      <c r="L596" s="294"/>
      <c r="M596" s="294"/>
      <c r="N596" s="294"/>
      <c r="O596" s="294"/>
      <c r="P596" s="294"/>
      <c r="Q596" s="294"/>
      <c r="R596" s="294"/>
      <c r="S596" s="294"/>
      <c r="T596" s="294"/>
      <c r="U596" s="294"/>
      <c r="V596" s="294"/>
      <c r="W596" s="294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  <c r="BA596" s="286"/>
      <c r="BB596" s="286"/>
      <c r="BC596" s="286"/>
    </row>
    <row r="597" spans="1:55" s="285" customFormat="1" ht="13.5" customHeight="1">
      <c r="A597" s="297"/>
      <c r="B597" s="296">
        <v>43670</v>
      </c>
      <c r="C597" s="295" t="s">
        <v>458</v>
      </c>
      <c r="D597" s="294">
        <v>29</v>
      </c>
      <c r="E597" s="294"/>
      <c r="F597" s="294"/>
      <c r="G597" s="294">
        <v>18.5</v>
      </c>
      <c r="H597" s="294"/>
      <c r="I597" s="294"/>
      <c r="J597" s="294"/>
      <c r="K597" s="294"/>
      <c r="L597" s="294">
        <v>10.5</v>
      </c>
      <c r="M597" s="294"/>
      <c r="N597" s="294"/>
      <c r="O597" s="294"/>
      <c r="P597" s="294"/>
      <c r="Q597" s="294"/>
      <c r="R597" s="294"/>
      <c r="S597" s="294"/>
      <c r="T597" s="294"/>
      <c r="U597" s="294"/>
      <c r="V597" s="294"/>
      <c r="W597" s="294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  <c r="BA597" s="286"/>
      <c r="BB597" s="286"/>
      <c r="BC597" s="286"/>
    </row>
    <row r="598" spans="1:55" s="285" customFormat="1" ht="13.5" customHeight="1">
      <c r="A598" s="297"/>
      <c r="B598" s="296">
        <v>43670</v>
      </c>
      <c r="C598" s="295" t="s">
        <v>38</v>
      </c>
      <c r="D598" s="294">
        <v>43</v>
      </c>
      <c r="E598" s="294"/>
      <c r="F598" s="294"/>
      <c r="G598" s="294">
        <v>43</v>
      </c>
      <c r="H598" s="294"/>
      <c r="I598" s="294"/>
      <c r="J598" s="294"/>
      <c r="K598" s="294"/>
      <c r="L598" s="294"/>
      <c r="M598" s="294"/>
      <c r="N598" s="294"/>
      <c r="O598" s="294"/>
      <c r="P598" s="294"/>
      <c r="Q598" s="294"/>
      <c r="R598" s="294"/>
      <c r="S598" s="294"/>
      <c r="T598" s="294"/>
      <c r="U598" s="294"/>
      <c r="V598" s="294"/>
      <c r="W598" s="294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  <c r="BA598" s="286"/>
      <c r="BB598" s="286"/>
      <c r="BC598" s="286"/>
    </row>
    <row r="599" spans="1:55" s="285" customFormat="1" ht="13.5" customHeight="1">
      <c r="A599" s="297"/>
      <c r="B599" s="296">
        <v>43671</v>
      </c>
      <c r="C599" s="295" t="s">
        <v>461</v>
      </c>
      <c r="D599" s="294">
        <v>-100</v>
      </c>
      <c r="E599" s="294"/>
      <c r="F599" s="294"/>
      <c r="G599" s="294"/>
      <c r="H599" s="294"/>
      <c r="I599" s="294"/>
      <c r="J599" s="294"/>
      <c r="K599" s="294"/>
      <c r="L599" s="294"/>
      <c r="M599" s="294"/>
      <c r="N599" s="294"/>
      <c r="O599" s="294"/>
      <c r="P599" s="294"/>
      <c r="Q599" s="294"/>
      <c r="R599" s="294"/>
      <c r="S599" s="294"/>
      <c r="T599" s="294"/>
      <c r="U599" s="294">
        <v>-100</v>
      </c>
      <c r="V599" s="294"/>
      <c r="W599" s="294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  <c r="BA599" s="286"/>
      <c r="BB599" s="286"/>
      <c r="BC599" s="286"/>
    </row>
    <row r="600" spans="1:55" s="285" customFormat="1" ht="13.5" customHeight="1">
      <c r="A600" s="297"/>
      <c r="B600" s="296">
        <v>43671</v>
      </c>
      <c r="C600" s="295" t="s">
        <v>124</v>
      </c>
      <c r="D600" s="294">
        <v>108.55</v>
      </c>
      <c r="E600" s="294"/>
      <c r="F600" s="294"/>
      <c r="G600" s="294"/>
      <c r="H600" s="294">
        <v>108.55</v>
      </c>
      <c r="I600" s="294"/>
      <c r="J600" s="294"/>
      <c r="K600" s="294"/>
      <c r="L600" s="294"/>
      <c r="M600" s="294"/>
      <c r="N600" s="294"/>
      <c r="O600" s="294"/>
      <c r="P600" s="294"/>
      <c r="Q600" s="294"/>
      <c r="R600" s="294"/>
      <c r="S600" s="294"/>
      <c r="T600" s="294"/>
      <c r="U600" s="294"/>
      <c r="V600" s="294"/>
      <c r="W600" s="294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  <c r="BA600" s="286"/>
      <c r="BB600" s="286"/>
      <c r="BC600" s="286"/>
    </row>
    <row r="601" spans="1:55" s="285" customFormat="1" ht="13.5" customHeight="1">
      <c r="A601" s="297"/>
      <c r="B601" s="296">
        <v>43672</v>
      </c>
      <c r="C601" s="295" t="s">
        <v>460</v>
      </c>
      <c r="D601" s="294">
        <v>100</v>
      </c>
      <c r="E601" s="294"/>
      <c r="F601" s="294"/>
      <c r="G601" s="294"/>
      <c r="H601" s="294"/>
      <c r="I601" s="294"/>
      <c r="J601" s="294"/>
      <c r="K601" s="294"/>
      <c r="L601" s="294"/>
      <c r="M601" s="294"/>
      <c r="N601" s="294"/>
      <c r="O601" s="294"/>
      <c r="P601" s="294"/>
      <c r="Q601" s="294"/>
      <c r="R601" s="294"/>
      <c r="S601" s="294"/>
      <c r="T601" s="294">
        <v>100</v>
      </c>
      <c r="U601" s="294"/>
      <c r="V601" s="294"/>
      <c r="W601" s="294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  <c r="BA601" s="286"/>
      <c r="BB601" s="286"/>
      <c r="BC601" s="286"/>
    </row>
    <row r="602" spans="1:55" s="285" customFormat="1" ht="13.5" customHeight="1">
      <c r="A602" s="297"/>
      <c r="B602" s="296">
        <v>43674</v>
      </c>
      <c r="C602" s="295" t="s">
        <v>458</v>
      </c>
      <c r="D602" s="294">
        <v>80.5</v>
      </c>
      <c r="E602" s="294"/>
      <c r="F602" s="294"/>
      <c r="G602" s="294">
        <v>80.5</v>
      </c>
      <c r="H602" s="294"/>
      <c r="I602" s="294"/>
      <c r="J602" s="294"/>
      <c r="K602" s="294"/>
      <c r="L602" s="294"/>
      <c r="M602" s="294"/>
      <c r="N602" s="294"/>
      <c r="O602" s="294"/>
      <c r="P602" s="294"/>
      <c r="Q602" s="294"/>
      <c r="R602" s="294"/>
      <c r="S602" s="294"/>
      <c r="T602" s="294"/>
      <c r="U602" s="294"/>
      <c r="V602" s="294"/>
      <c r="W602" s="294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  <c r="BA602" s="286"/>
      <c r="BB602" s="286"/>
      <c r="BC602" s="286"/>
    </row>
    <row r="603" spans="1:55" s="285" customFormat="1" ht="13.5" customHeight="1">
      <c r="A603" s="297"/>
      <c r="B603" s="296">
        <v>43674</v>
      </c>
      <c r="C603" s="295" t="s">
        <v>329</v>
      </c>
      <c r="D603" s="294">
        <v>80</v>
      </c>
      <c r="E603" s="294"/>
      <c r="F603" s="294"/>
      <c r="G603" s="294"/>
      <c r="H603" s="294"/>
      <c r="I603" s="294"/>
      <c r="J603" s="294">
        <v>80</v>
      </c>
      <c r="K603" s="294"/>
      <c r="L603" s="294"/>
      <c r="M603" s="294"/>
      <c r="N603" s="294"/>
      <c r="O603" s="294"/>
      <c r="P603" s="294"/>
      <c r="Q603" s="294"/>
      <c r="R603" s="294"/>
      <c r="S603" s="294"/>
      <c r="T603" s="294"/>
      <c r="U603" s="294"/>
      <c r="V603" s="294"/>
      <c r="W603" s="294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  <c r="BA603" s="286"/>
      <c r="BB603" s="286"/>
      <c r="BC603" s="286"/>
    </row>
    <row r="604" spans="1:55" s="285" customFormat="1" ht="13.5" customHeight="1">
      <c r="A604" s="297"/>
      <c r="B604" s="296">
        <v>43675</v>
      </c>
      <c r="C604" s="295" t="s">
        <v>162</v>
      </c>
      <c r="D604" s="294">
        <v>47</v>
      </c>
      <c r="E604" s="294"/>
      <c r="F604" s="294">
        <v>47</v>
      </c>
      <c r="G604" s="294"/>
      <c r="H604" s="294"/>
      <c r="I604" s="294"/>
      <c r="J604" s="294"/>
      <c r="K604" s="294"/>
      <c r="L604" s="294"/>
      <c r="M604" s="294"/>
      <c r="N604" s="294"/>
      <c r="O604" s="294"/>
      <c r="P604" s="294"/>
      <c r="Q604" s="294"/>
      <c r="R604" s="294"/>
      <c r="S604" s="294"/>
      <c r="T604" s="294"/>
      <c r="U604" s="294"/>
      <c r="V604" s="294"/>
      <c r="W604" s="294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  <c r="BA604" s="286"/>
      <c r="BB604" s="286"/>
      <c r="BC604" s="286"/>
    </row>
    <row r="605" spans="1:55" s="285" customFormat="1" ht="13.5" customHeight="1">
      <c r="A605" s="297"/>
      <c r="B605" s="296">
        <v>43675</v>
      </c>
      <c r="C605" s="295" t="s">
        <v>38</v>
      </c>
      <c r="D605" s="294">
        <v>62</v>
      </c>
      <c r="E605" s="294"/>
      <c r="F605" s="294"/>
      <c r="G605" s="294">
        <v>62</v>
      </c>
      <c r="H605" s="294"/>
      <c r="I605" s="294"/>
      <c r="J605" s="294"/>
      <c r="K605" s="294"/>
      <c r="L605" s="294"/>
      <c r="M605" s="294"/>
      <c r="N605" s="294"/>
      <c r="O605" s="294"/>
      <c r="P605" s="294"/>
      <c r="Q605" s="294"/>
      <c r="R605" s="294"/>
      <c r="S605" s="294"/>
      <c r="T605" s="294"/>
      <c r="U605" s="294"/>
      <c r="V605" s="294"/>
      <c r="W605" s="294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  <c r="BA605" s="286"/>
      <c r="BB605" s="286"/>
      <c r="BC605" s="286"/>
    </row>
    <row r="606" spans="1:55" s="285" customFormat="1" ht="13.5" customHeight="1">
      <c r="A606" s="297"/>
      <c r="B606" s="296">
        <v>43675</v>
      </c>
      <c r="C606" s="295" t="s">
        <v>40</v>
      </c>
      <c r="D606" s="294">
        <v>9</v>
      </c>
      <c r="E606" s="294"/>
      <c r="F606" s="294"/>
      <c r="G606" s="294">
        <v>9</v>
      </c>
      <c r="H606" s="294"/>
      <c r="I606" s="294"/>
      <c r="J606" s="294"/>
      <c r="K606" s="294"/>
      <c r="L606" s="294"/>
      <c r="M606" s="294"/>
      <c r="N606" s="294"/>
      <c r="O606" s="294"/>
      <c r="P606" s="294"/>
      <c r="Q606" s="294"/>
      <c r="R606" s="294"/>
      <c r="S606" s="294"/>
      <c r="T606" s="294"/>
      <c r="U606" s="294"/>
      <c r="V606" s="294"/>
      <c r="W606" s="294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  <c r="BA606" s="286"/>
      <c r="BB606" s="286"/>
      <c r="BC606" s="286"/>
    </row>
    <row r="607" spans="1:55" s="285" customFormat="1" ht="13.5" customHeight="1">
      <c r="A607" s="297"/>
      <c r="B607" s="296">
        <v>43676</v>
      </c>
      <c r="C607" s="295" t="s">
        <v>458</v>
      </c>
      <c r="D607" s="294">
        <v>9</v>
      </c>
      <c r="E607" s="294"/>
      <c r="F607" s="294"/>
      <c r="G607" s="294">
        <v>9</v>
      </c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94"/>
      <c r="S607" s="294"/>
      <c r="T607" s="294"/>
      <c r="U607" s="294"/>
      <c r="V607" s="294"/>
      <c r="W607" s="294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  <c r="BA607" s="286"/>
      <c r="BB607" s="286"/>
      <c r="BC607" s="286"/>
    </row>
    <row r="608" spans="1:55" s="290" customFormat="1" ht="13.5" customHeight="1">
      <c r="A608" s="293"/>
      <c r="B608" s="3023" t="str">
        <f>J1</f>
        <v>august</v>
      </c>
      <c r="C608" s="3024"/>
      <c r="D608" s="292">
        <f t="shared" ref="D608:W608" si="15">SUM(D609:D675)</f>
        <v>352.59999999999553</v>
      </c>
      <c r="E608" s="292">
        <f t="shared" si="15"/>
        <v>1985.0200000000002</v>
      </c>
      <c r="F608" s="292">
        <f t="shared" si="15"/>
        <v>1101.3</v>
      </c>
      <c r="G608" s="292">
        <f t="shared" si="15"/>
        <v>1727.3600000000001</v>
      </c>
      <c r="H608" s="292">
        <f t="shared" si="15"/>
        <v>421.79999999999995</v>
      </c>
      <c r="I608" s="292">
        <f t="shared" si="15"/>
        <v>0</v>
      </c>
      <c r="J608" s="292">
        <f t="shared" si="15"/>
        <v>480</v>
      </c>
      <c r="K608" s="292">
        <f t="shared" si="15"/>
        <v>0</v>
      </c>
      <c r="L608" s="292">
        <f t="shared" si="15"/>
        <v>588.5</v>
      </c>
      <c r="M608" s="292">
        <f t="shared" si="15"/>
        <v>9717</v>
      </c>
      <c r="N608" s="292">
        <f t="shared" si="15"/>
        <v>0</v>
      </c>
      <c r="O608" s="292">
        <f t="shared" si="15"/>
        <v>2692.62</v>
      </c>
      <c r="P608" s="292">
        <f t="shared" si="15"/>
        <v>315</v>
      </c>
      <c r="Q608" s="292">
        <f t="shared" si="15"/>
        <v>41</v>
      </c>
      <c r="R608" s="292">
        <f t="shared" si="15"/>
        <v>0</v>
      </c>
      <c r="S608" s="292">
        <f t="shared" si="15"/>
        <v>0</v>
      </c>
      <c r="T608" s="292">
        <f t="shared" si="15"/>
        <v>450</v>
      </c>
      <c r="U608" s="292">
        <f t="shared" si="15"/>
        <v>406</v>
      </c>
      <c r="V608" s="292">
        <f t="shared" si="15"/>
        <v>0</v>
      </c>
      <c r="W608" s="292">
        <f t="shared" si="15"/>
        <v>400</v>
      </c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</row>
    <row r="609" spans="1:55" s="285" customFormat="1" ht="13.5" customHeight="1">
      <c r="A609" s="297"/>
      <c r="B609" s="296">
        <v>43677</v>
      </c>
      <c r="C609" s="295" t="s">
        <v>35</v>
      </c>
      <c r="D609" s="294">
        <v>-11306</v>
      </c>
      <c r="E609" s="294"/>
      <c r="F609" s="294"/>
      <c r="G609" s="294"/>
      <c r="H609" s="294"/>
      <c r="I609" s="294"/>
      <c r="J609" s="294"/>
      <c r="K609" s="294"/>
      <c r="L609" s="294"/>
      <c r="M609" s="294"/>
      <c r="N609" s="294"/>
      <c r="O609" s="294"/>
      <c r="P609" s="294"/>
      <c r="Q609" s="294"/>
      <c r="R609" s="294"/>
      <c r="S609" s="294"/>
      <c r="T609" s="294"/>
      <c r="U609" s="294"/>
      <c r="V609" s="294"/>
      <c r="W609" s="294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  <c r="BA609" s="286"/>
      <c r="BB609" s="286"/>
      <c r="BC609" s="286"/>
    </row>
    <row r="610" spans="1:55" s="285" customFormat="1" ht="13.5" customHeight="1">
      <c r="A610" s="297"/>
      <c r="B610" s="296">
        <v>43677</v>
      </c>
      <c r="C610" s="295" t="s">
        <v>34</v>
      </c>
      <c r="D610" s="294">
        <v>-7315</v>
      </c>
      <c r="E610" s="294"/>
      <c r="F610" s="294"/>
      <c r="G610" s="294"/>
      <c r="H610" s="294"/>
      <c r="I610" s="294"/>
      <c r="J610" s="294"/>
      <c r="K610" s="294"/>
      <c r="L610" s="294"/>
      <c r="M610" s="294"/>
      <c r="N610" s="294"/>
      <c r="O610" s="294"/>
      <c r="P610" s="294"/>
      <c r="Q610" s="294"/>
      <c r="R610" s="294"/>
      <c r="S610" s="294"/>
      <c r="T610" s="294"/>
      <c r="U610" s="294"/>
      <c r="V610" s="294"/>
      <c r="W610" s="294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  <c r="BA610" s="286"/>
      <c r="BB610" s="286"/>
      <c r="BC610" s="286"/>
    </row>
    <row r="611" spans="1:55" s="285" customFormat="1" ht="13.5" customHeight="1">
      <c r="A611" s="297"/>
      <c r="B611" s="296">
        <v>43677</v>
      </c>
      <c r="C611" s="295" t="s">
        <v>33</v>
      </c>
      <c r="D611" s="294">
        <v>-205</v>
      </c>
      <c r="E611" s="294"/>
      <c r="F611" s="294"/>
      <c r="G611" s="294"/>
      <c r="H611" s="294"/>
      <c r="I611" s="294"/>
      <c r="J611" s="294"/>
      <c r="K611" s="294"/>
      <c r="L611" s="294"/>
      <c r="M611" s="294"/>
      <c r="N611" s="294"/>
      <c r="O611" s="294"/>
      <c r="P611" s="294"/>
      <c r="Q611" s="294"/>
      <c r="R611" s="294"/>
      <c r="S611" s="294"/>
      <c r="T611" s="294"/>
      <c r="U611" s="294"/>
      <c r="V611" s="294"/>
      <c r="W611" s="294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  <c r="BA611" s="286"/>
      <c r="BB611" s="286"/>
      <c r="BC611" s="286"/>
    </row>
    <row r="612" spans="1:55" s="285" customFormat="1" ht="13.5" customHeight="1">
      <c r="A612" s="297"/>
      <c r="B612" s="296">
        <v>43677</v>
      </c>
      <c r="C612" s="295" t="s">
        <v>38</v>
      </c>
      <c r="D612" s="294">
        <v>51</v>
      </c>
      <c r="E612" s="294"/>
      <c r="F612" s="294"/>
      <c r="G612" s="294">
        <v>51</v>
      </c>
      <c r="H612" s="294"/>
      <c r="I612" s="294"/>
      <c r="J612" s="294"/>
      <c r="K612" s="294"/>
      <c r="L612" s="294"/>
      <c r="M612" s="294"/>
      <c r="N612" s="294"/>
      <c r="O612" s="294"/>
      <c r="P612" s="294"/>
      <c r="Q612" s="294"/>
      <c r="R612" s="294"/>
      <c r="S612" s="294"/>
      <c r="T612" s="294"/>
      <c r="U612" s="294"/>
      <c r="V612" s="294"/>
      <c r="W612" s="294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  <c r="BA612" s="286"/>
      <c r="BB612" s="286"/>
      <c r="BC612" s="286"/>
    </row>
    <row r="613" spans="1:55" s="285" customFormat="1" ht="13.5" customHeight="1">
      <c r="A613" s="297"/>
      <c r="B613" s="296">
        <v>43677</v>
      </c>
      <c r="C613" s="295" t="s">
        <v>39</v>
      </c>
      <c r="D613" s="294">
        <v>241.85</v>
      </c>
      <c r="E613" s="294"/>
      <c r="F613" s="294">
        <v>100</v>
      </c>
      <c r="G613" s="294">
        <v>17.850000000000001</v>
      </c>
      <c r="H613" s="294"/>
      <c r="I613" s="294"/>
      <c r="J613" s="294">
        <v>80</v>
      </c>
      <c r="K613" s="294"/>
      <c r="L613" s="294">
        <v>44</v>
      </c>
      <c r="M613" s="294"/>
      <c r="N613" s="294"/>
      <c r="O613" s="294"/>
      <c r="P613" s="294"/>
      <c r="Q613" s="294"/>
      <c r="R613" s="294"/>
      <c r="S613" s="294"/>
      <c r="T613" s="294"/>
      <c r="U613" s="294"/>
      <c r="V613" s="294"/>
      <c r="W613" s="294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  <c r="BA613" s="286"/>
      <c r="BB613" s="286"/>
      <c r="BC613" s="286"/>
    </row>
    <row r="614" spans="1:55" s="285" customFormat="1" ht="13.5" customHeight="1">
      <c r="A614" s="297"/>
      <c r="B614" s="296">
        <v>43677</v>
      </c>
      <c r="C614" s="295" t="s">
        <v>124</v>
      </c>
      <c r="D614" s="294">
        <v>4.3499999999999996</v>
      </c>
      <c r="E614" s="294"/>
      <c r="F614" s="294"/>
      <c r="G614" s="294"/>
      <c r="H614" s="294">
        <v>4.3499999999999996</v>
      </c>
      <c r="I614" s="294"/>
      <c r="J614" s="294"/>
      <c r="K614" s="294"/>
      <c r="L614" s="294"/>
      <c r="M614" s="294"/>
      <c r="N614" s="294"/>
      <c r="O614" s="294"/>
      <c r="P614" s="294"/>
      <c r="Q614" s="294"/>
      <c r="R614" s="294"/>
      <c r="S614" s="294"/>
      <c r="T614" s="294"/>
      <c r="U614" s="294"/>
      <c r="V614" s="294"/>
      <c r="W614" s="294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  <c r="BA614" s="286"/>
      <c r="BB614" s="286"/>
      <c r="BC614" s="286"/>
    </row>
    <row r="615" spans="1:55" s="285" customFormat="1" ht="13.5" customHeight="1">
      <c r="A615" s="297"/>
      <c r="B615" s="296">
        <v>43677</v>
      </c>
      <c r="C615" s="295" t="s">
        <v>458</v>
      </c>
      <c r="D615" s="294">
        <v>125.75</v>
      </c>
      <c r="E615" s="294"/>
      <c r="F615" s="294"/>
      <c r="G615" s="294">
        <v>110.75</v>
      </c>
      <c r="H615" s="294"/>
      <c r="I615" s="294"/>
      <c r="J615" s="294"/>
      <c r="K615" s="294"/>
      <c r="L615" s="294">
        <v>15</v>
      </c>
      <c r="M615" s="294"/>
      <c r="N615" s="294"/>
      <c r="O615" s="294"/>
      <c r="P615" s="294"/>
      <c r="Q615" s="294"/>
      <c r="R615" s="294"/>
      <c r="S615" s="294"/>
      <c r="T615" s="294"/>
      <c r="U615" s="294"/>
      <c r="V615" s="294"/>
      <c r="W615" s="294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  <c r="BA615" s="286"/>
      <c r="BB615" s="286"/>
      <c r="BC615" s="286"/>
    </row>
    <row r="616" spans="1:55" s="285" customFormat="1" ht="13.5" customHeight="1">
      <c r="A616" s="297"/>
      <c r="B616" s="296">
        <v>43678</v>
      </c>
      <c r="C616" s="295" t="s">
        <v>125</v>
      </c>
      <c r="D616" s="294">
        <v>81</v>
      </c>
      <c r="E616" s="294"/>
      <c r="F616" s="294"/>
      <c r="G616" s="294"/>
      <c r="H616" s="294"/>
      <c r="I616" s="294"/>
      <c r="J616" s="294"/>
      <c r="K616" s="294"/>
      <c r="L616" s="294"/>
      <c r="M616" s="294"/>
      <c r="N616" s="294"/>
      <c r="O616" s="294"/>
      <c r="P616" s="294"/>
      <c r="Q616" s="294">
        <f>D616</f>
        <v>81</v>
      </c>
      <c r="R616" s="294"/>
      <c r="S616" s="294"/>
      <c r="T616" s="294"/>
      <c r="U616" s="294"/>
      <c r="V616" s="294"/>
      <c r="W616" s="294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  <c r="BA616" s="286"/>
      <c r="BB616" s="286"/>
      <c r="BC616" s="286"/>
    </row>
    <row r="617" spans="1:55" s="285" customFormat="1" ht="13.5" customHeight="1">
      <c r="A617" s="297"/>
      <c r="B617" s="296">
        <v>43678</v>
      </c>
      <c r="C617" s="295" t="s">
        <v>182</v>
      </c>
      <c r="D617" s="294">
        <f>'[5]2019gl'!$C$69</f>
        <v>284</v>
      </c>
      <c r="E617" s="294">
        <f>D617</f>
        <v>284</v>
      </c>
      <c r="F617" s="294"/>
      <c r="G617" s="294"/>
      <c r="H617" s="294"/>
      <c r="I617" s="294"/>
      <c r="J617" s="294"/>
      <c r="K617" s="294"/>
      <c r="L617" s="294"/>
      <c r="M617" s="294"/>
      <c r="N617" s="294"/>
      <c r="O617" s="294"/>
      <c r="P617" s="294"/>
      <c r="Q617" s="294"/>
      <c r="R617" s="294"/>
      <c r="S617" s="294"/>
      <c r="T617" s="294"/>
      <c r="U617" s="294"/>
      <c r="V617" s="294"/>
      <c r="W617" s="294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  <c r="BA617" s="286"/>
      <c r="BB617" s="286"/>
      <c r="BC617" s="286"/>
    </row>
    <row r="618" spans="1:55" s="285" customFormat="1" ht="13.5" customHeight="1">
      <c r="A618" s="297"/>
      <c r="B618" s="296">
        <v>43678</v>
      </c>
      <c r="C618" s="295" t="s">
        <v>265</v>
      </c>
      <c r="D618" s="294">
        <v>490</v>
      </c>
      <c r="E618" s="294">
        <f>D618</f>
        <v>490</v>
      </c>
      <c r="F618" s="294"/>
      <c r="G618" s="294"/>
      <c r="H618" s="294"/>
      <c r="I618" s="294"/>
      <c r="J618" s="294"/>
      <c r="K618" s="294"/>
      <c r="L618" s="294"/>
      <c r="M618" s="294"/>
      <c r="N618" s="294"/>
      <c r="O618" s="294"/>
      <c r="P618" s="294"/>
      <c r="Q618" s="294"/>
      <c r="R618" s="294"/>
      <c r="S618" s="294"/>
      <c r="T618" s="294"/>
      <c r="U618" s="294"/>
      <c r="V618" s="294"/>
      <c r="W618" s="294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  <c r="BA618" s="286"/>
      <c r="BB618" s="286"/>
      <c r="BC618" s="286"/>
    </row>
    <row r="619" spans="1:55" s="285" customFormat="1" ht="13.5" customHeight="1">
      <c r="A619" s="297"/>
      <c r="B619" s="296">
        <v>43678</v>
      </c>
      <c r="C619" s="295" t="s">
        <v>363</v>
      </c>
      <c r="D619" s="294">
        <v>1004.62</v>
      </c>
      <c r="E619" s="294"/>
      <c r="F619" s="294"/>
      <c r="G619" s="294"/>
      <c r="H619" s="294"/>
      <c r="I619" s="294"/>
      <c r="J619" s="294"/>
      <c r="K619" s="294"/>
      <c r="L619" s="294"/>
      <c r="M619" s="294"/>
      <c r="N619" s="294"/>
      <c r="O619" s="294">
        <f>D619</f>
        <v>1004.62</v>
      </c>
      <c r="P619" s="294"/>
      <c r="Q619" s="294"/>
      <c r="R619" s="294"/>
      <c r="S619" s="294"/>
      <c r="T619" s="294"/>
      <c r="U619" s="294"/>
      <c r="V619" s="294"/>
      <c r="W619" s="294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  <c r="BA619" s="286"/>
      <c r="BB619" s="286"/>
      <c r="BC619" s="286"/>
    </row>
    <row r="620" spans="1:55" s="285" customFormat="1" ht="13.5" customHeight="1">
      <c r="A620" s="297"/>
      <c r="B620" s="296">
        <v>43678</v>
      </c>
      <c r="C620" s="295" t="s">
        <v>265</v>
      </c>
      <c r="D620" s="294">
        <f>'[5]2019gl'!$C$67</f>
        <v>602.4</v>
      </c>
      <c r="E620" s="294">
        <f>D620</f>
        <v>602.4</v>
      </c>
      <c r="F620" s="294"/>
      <c r="G620" s="294"/>
      <c r="H620" s="294"/>
      <c r="I620" s="294"/>
      <c r="J620" s="294"/>
      <c r="K620" s="294"/>
      <c r="L620" s="294"/>
      <c r="M620" s="294"/>
      <c r="N620" s="294"/>
      <c r="O620" s="294"/>
      <c r="P620" s="294"/>
      <c r="Q620" s="294"/>
      <c r="R620" s="294"/>
      <c r="S620" s="294"/>
      <c r="T620" s="294"/>
      <c r="U620" s="294"/>
      <c r="V620" s="294"/>
      <c r="W620" s="294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  <c r="BA620" s="286"/>
      <c r="BB620" s="286"/>
      <c r="BC620" s="286"/>
    </row>
    <row r="621" spans="1:55" s="285" customFormat="1" ht="13.5" customHeight="1">
      <c r="A621" s="297"/>
      <c r="B621" s="296">
        <v>43678</v>
      </c>
      <c r="C621" s="295" t="s">
        <v>183</v>
      </c>
      <c r="D621" s="294">
        <f>'[5]2019gl'!$C$72</f>
        <v>458.75</v>
      </c>
      <c r="E621" s="294">
        <f>D621</f>
        <v>458.75</v>
      </c>
      <c r="F621" s="294"/>
      <c r="G621" s="294"/>
      <c r="H621" s="294"/>
      <c r="I621" s="294"/>
      <c r="J621" s="294"/>
      <c r="K621" s="294"/>
      <c r="L621" s="294"/>
      <c r="M621" s="294"/>
      <c r="N621" s="294"/>
      <c r="O621" s="294"/>
      <c r="P621" s="294"/>
      <c r="Q621" s="294"/>
      <c r="R621" s="294"/>
      <c r="S621" s="294"/>
      <c r="T621" s="294"/>
      <c r="U621" s="294"/>
      <c r="V621" s="294"/>
      <c r="W621" s="294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  <c r="BA621" s="286"/>
      <c r="BB621" s="286"/>
      <c r="BC621" s="286"/>
    </row>
    <row r="622" spans="1:55" s="285" customFormat="1" ht="13.5" customHeight="1">
      <c r="A622" s="297"/>
      <c r="B622" s="296">
        <v>43678</v>
      </c>
      <c r="C622" s="295" t="s">
        <v>30</v>
      </c>
      <c r="D622" s="294">
        <v>9717</v>
      </c>
      <c r="E622" s="294"/>
      <c r="F622" s="294"/>
      <c r="G622" s="294"/>
      <c r="H622" s="294"/>
      <c r="I622" s="294"/>
      <c r="J622" s="294"/>
      <c r="K622" s="294"/>
      <c r="L622" s="294"/>
      <c r="M622" s="294">
        <f>D622</f>
        <v>9717</v>
      </c>
      <c r="N622" s="294"/>
      <c r="O622" s="294"/>
      <c r="P622" s="294"/>
      <c r="Q622" s="294"/>
      <c r="R622" s="294"/>
      <c r="S622" s="294"/>
      <c r="T622" s="294"/>
      <c r="U622" s="294"/>
      <c r="V622" s="294"/>
      <c r="W622" s="294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  <c r="BA622" s="286"/>
      <c r="BB622" s="286"/>
      <c r="BC622" s="286"/>
    </row>
    <row r="623" spans="1:55" s="285" customFormat="1" ht="13.5" customHeight="1">
      <c r="A623" s="297"/>
      <c r="B623" s="296">
        <v>43678</v>
      </c>
      <c r="C623" s="295" t="s">
        <v>31</v>
      </c>
      <c r="D623" s="294">
        <v>-1147</v>
      </c>
      <c r="E623" s="294"/>
      <c r="F623" s="294"/>
      <c r="G623" s="294"/>
      <c r="H623" s="294"/>
      <c r="I623" s="294"/>
      <c r="J623" s="294"/>
      <c r="K623" s="294"/>
      <c r="L623" s="294"/>
      <c r="M623" s="294"/>
      <c r="N623" s="294"/>
      <c r="O623" s="294"/>
      <c r="P623" s="294"/>
      <c r="Q623" s="294"/>
      <c r="R623" s="294"/>
      <c r="S623" s="294"/>
      <c r="T623" s="294"/>
      <c r="U623" s="294"/>
      <c r="V623" s="294"/>
      <c r="W623" s="294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  <c r="BA623" s="286"/>
      <c r="BB623" s="286"/>
      <c r="BC623" s="286"/>
    </row>
    <row r="624" spans="1:55" s="285" customFormat="1" ht="13.5" customHeight="1">
      <c r="A624" s="297"/>
      <c r="B624" s="296">
        <v>43678</v>
      </c>
      <c r="C624" s="295" t="s">
        <v>100</v>
      </c>
      <c r="D624" s="294">
        <v>-32.61</v>
      </c>
      <c r="E624" s="294">
        <f>D624</f>
        <v>-32.61</v>
      </c>
      <c r="F624" s="294"/>
      <c r="G624" s="294"/>
      <c r="H624" s="294"/>
      <c r="I624" s="294"/>
      <c r="J624" s="294"/>
      <c r="K624" s="294"/>
      <c r="L624" s="294"/>
      <c r="M624" s="294"/>
      <c r="N624" s="294"/>
      <c r="O624" s="294"/>
      <c r="P624" s="294"/>
      <c r="Q624" s="294"/>
      <c r="R624" s="294"/>
      <c r="S624" s="294"/>
      <c r="T624" s="294"/>
      <c r="U624" s="294"/>
      <c r="V624" s="294"/>
      <c r="W624" s="294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  <c r="BA624" s="286"/>
      <c r="BB624" s="286"/>
      <c r="BC624" s="286"/>
    </row>
    <row r="625" spans="1:55" s="285" customFormat="1" ht="13.5" customHeight="1">
      <c r="A625" s="297"/>
      <c r="B625" s="296">
        <v>43678</v>
      </c>
      <c r="C625" s="295" t="s">
        <v>230</v>
      </c>
      <c r="D625" s="294">
        <v>64</v>
      </c>
      <c r="E625" s="294"/>
      <c r="F625" s="294"/>
      <c r="G625" s="294"/>
      <c r="H625" s="294"/>
      <c r="I625" s="294"/>
      <c r="J625" s="294"/>
      <c r="K625" s="294"/>
      <c r="L625" s="294"/>
      <c r="M625" s="294"/>
      <c r="N625" s="294"/>
      <c r="O625" s="294"/>
      <c r="P625" s="294">
        <f>D625</f>
        <v>64</v>
      </c>
      <c r="Q625" s="294"/>
      <c r="R625" s="294"/>
      <c r="S625" s="294"/>
      <c r="T625" s="294"/>
      <c r="U625" s="294"/>
      <c r="V625" s="294"/>
      <c r="W625" s="294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  <c r="BA625" s="286"/>
      <c r="BB625" s="286"/>
      <c r="BC625" s="286"/>
    </row>
    <row r="626" spans="1:55" s="285" customFormat="1" ht="13.5" customHeight="1">
      <c r="A626" s="297"/>
      <c r="B626" s="296">
        <v>43678</v>
      </c>
      <c r="C626" s="295" t="s">
        <v>22</v>
      </c>
      <c r="D626" s="294">
        <v>89</v>
      </c>
      <c r="E626" s="294"/>
      <c r="F626" s="294"/>
      <c r="G626" s="294"/>
      <c r="H626" s="294"/>
      <c r="I626" s="294"/>
      <c r="J626" s="294"/>
      <c r="K626" s="294"/>
      <c r="L626" s="294"/>
      <c r="M626" s="294"/>
      <c r="N626" s="294"/>
      <c r="O626" s="294"/>
      <c r="P626" s="294">
        <f>D626</f>
        <v>89</v>
      </c>
      <c r="Q626" s="294"/>
      <c r="R626" s="294"/>
      <c r="S626" s="294"/>
      <c r="T626" s="294"/>
      <c r="U626" s="294"/>
      <c r="V626" s="294"/>
      <c r="W626" s="294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  <c r="BA626" s="286"/>
      <c r="BB626" s="286"/>
      <c r="BC626" s="286"/>
    </row>
    <row r="627" spans="1:55" s="285" customFormat="1" ht="13.5" customHeight="1">
      <c r="A627" s="297"/>
      <c r="B627" s="296">
        <v>43678</v>
      </c>
      <c r="C627" s="295" t="s">
        <v>21</v>
      </c>
      <c r="D627" s="294">
        <v>162</v>
      </c>
      <c r="E627" s="294"/>
      <c r="F627" s="294"/>
      <c r="G627" s="294"/>
      <c r="H627" s="294"/>
      <c r="I627" s="294"/>
      <c r="J627" s="294"/>
      <c r="K627" s="294"/>
      <c r="L627" s="294"/>
      <c r="M627" s="294"/>
      <c r="N627" s="294"/>
      <c r="O627" s="294"/>
      <c r="P627" s="294">
        <f>D627</f>
        <v>162</v>
      </c>
      <c r="Q627" s="294"/>
      <c r="R627" s="294"/>
      <c r="S627" s="294"/>
      <c r="T627" s="294"/>
      <c r="U627" s="294"/>
      <c r="V627" s="294"/>
      <c r="W627" s="294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  <c r="BA627" s="286"/>
      <c r="BB627" s="286"/>
      <c r="BC627" s="286"/>
    </row>
    <row r="628" spans="1:55" s="285" customFormat="1" ht="13.5" customHeight="1">
      <c r="A628" s="297"/>
      <c r="B628" s="296">
        <v>43678</v>
      </c>
      <c r="C628" s="295" t="s">
        <v>458</v>
      </c>
      <c r="D628" s="294">
        <v>55.5</v>
      </c>
      <c r="E628" s="294"/>
      <c r="F628" s="294"/>
      <c r="G628" s="294">
        <v>38.5</v>
      </c>
      <c r="H628" s="294"/>
      <c r="I628" s="294"/>
      <c r="J628" s="294"/>
      <c r="K628" s="294"/>
      <c r="L628" s="294">
        <v>17</v>
      </c>
      <c r="M628" s="294"/>
      <c r="N628" s="294"/>
      <c r="O628" s="294"/>
      <c r="P628" s="294"/>
      <c r="Q628" s="294"/>
      <c r="R628" s="294"/>
      <c r="S628" s="294"/>
      <c r="T628" s="294"/>
      <c r="U628" s="294"/>
      <c r="V628" s="294"/>
      <c r="W628" s="294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  <c r="BA628" s="286"/>
      <c r="BB628" s="286"/>
      <c r="BC628" s="286"/>
    </row>
    <row r="629" spans="1:55" s="285" customFormat="1" ht="13.5" customHeight="1">
      <c r="A629" s="297"/>
      <c r="B629" s="296">
        <v>43678</v>
      </c>
      <c r="C629" s="295" t="s">
        <v>123</v>
      </c>
      <c r="D629" s="294">
        <v>266</v>
      </c>
      <c r="E629" s="294"/>
      <c r="F629" s="294"/>
      <c r="G629" s="294">
        <v>86</v>
      </c>
      <c r="H629" s="294"/>
      <c r="I629" s="294"/>
      <c r="J629" s="294">
        <v>80</v>
      </c>
      <c r="K629" s="294"/>
      <c r="L629" s="294">
        <v>100</v>
      </c>
      <c r="M629" s="294"/>
      <c r="N629" s="294"/>
      <c r="O629" s="294"/>
      <c r="P629" s="294"/>
      <c r="Q629" s="294"/>
      <c r="R629" s="294"/>
      <c r="S629" s="294"/>
      <c r="T629" s="294"/>
      <c r="U629" s="294"/>
      <c r="V629" s="294"/>
      <c r="W629" s="294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  <c r="BA629" s="286"/>
      <c r="BB629" s="286"/>
      <c r="BC629" s="286"/>
    </row>
    <row r="630" spans="1:55" s="285" customFormat="1" ht="13.5" customHeight="1">
      <c r="A630" s="297"/>
      <c r="B630" s="296">
        <v>43679</v>
      </c>
      <c r="C630" s="295" t="s">
        <v>38</v>
      </c>
      <c r="D630" s="294">
        <v>255</v>
      </c>
      <c r="E630" s="294"/>
      <c r="F630" s="294"/>
      <c r="G630" s="294">
        <v>50</v>
      </c>
      <c r="H630" s="294"/>
      <c r="I630" s="294"/>
      <c r="J630" s="294">
        <v>80</v>
      </c>
      <c r="K630" s="294"/>
      <c r="L630" s="294">
        <v>125</v>
      </c>
      <c r="M630" s="294"/>
      <c r="N630" s="294"/>
      <c r="O630" s="294"/>
      <c r="P630" s="294"/>
      <c r="Q630" s="294"/>
      <c r="R630" s="294"/>
      <c r="S630" s="294"/>
      <c r="T630" s="294"/>
      <c r="U630" s="294"/>
      <c r="V630" s="294"/>
      <c r="W630" s="294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  <c r="BA630" s="286"/>
      <c r="BB630" s="286"/>
      <c r="BC630" s="286"/>
    </row>
    <row r="631" spans="1:55" s="285" customFormat="1" ht="13.5" customHeight="1">
      <c r="A631" s="297"/>
      <c r="B631" s="296">
        <v>43680</v>
      </c>
      <c r="C631" s="295" t="s">
        <v>124</v>
      </c>
      <c r="D631" s="294">
        <v>152.85</v>
      </c>
      <c r="E631" s="294"/>
      <c r="F631" s="294"/>
      <c r="G631" s="294"/>
      <c r="H631" s="294">
        <v>152.85</v>
      </c>
      <c r="I631" s="294"/>
      <c r="J631" s="294"/>
      <c r="K631" s="294"/>
      <c r="L631" s="294"/>
      <c r="M631" s="294"/>
      <c r="N631" s="294"/>
      <c r="O631" s="294"/>
      <c r="P631" s="294"/>
      <c r="Q631" s="294"/>
      <c r="R631" s="294"/>
      <c r="S631" s="294"/>
      <c r="T631" s="294"/>
      <c r="U631" s="294"/>
      <c r="V631" s="294"/>
      <c r="W631" s="294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  <c r="BA631" s="286"/>
      <c r="BB631" s="286"/>
      <c r="BC631" s="286"/>
    </row>
    <row r="632" spans="1:55" s="285" customFormat="1" ht="13.5" customHeight="1">
      <c r="A632" s="297"/>
      <c r="B632" s="296">
        <v>43680</v>
      </c>
      <c r="C632" s="295" t="s">
        <v>458</v>
      </c>
      <c r="D632" s="294">
        <v>245</v>
      </c>
      <c r="E632" s="294"/>
      <c r="F632" s="294"/>
      <c r="G632" s="294">
        <v>215</v>
      </c>
      <c r="H632" s="294"/>
      <c r="I632" s="294"/>
      <c r="J632" s="294"/>
      <c r="K632" s="294"/>
      <c r="L632" s="294">
        <v>30</v>
      </c>
      <c r="M632" s="294"/>
      <c r="N632" s="294"/>
      <c r="O632" s="294"/>
      <c r="P632" s="294"/>
      <c r="Q632" s="294"/>
      <c r="R632" s="294"/>
      <c r="S632" s="294"/>
      <c r="T632" s="294"/>
      <c r="U632" s="294"/>
      <c r="V632" s="294"/>
      <c r="W632" s="294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  <c r="BA632" s="286"/>
      <c r="BB632" s="286"/>
      <c r="BC632" s="286"/>
    </row>
    <row r="633" spans="1:55" s="285" customFormat="1" ht="13.5" customHeight="1">
      <c r="A633" s="297"/>
      <c r="B633" s="296">
        <v>43680</v>
      </c>
      <c r="C633" s="295" t="s">
        <v>162</v>
      </c>
      <c r="D633" s="294">
        <v>257</v>
      </c>
      <c r="E633" s="294"/>
      <c r="F633" s="294">
        <v>98</v>
      </c>
      <c r="G633" s="294"/>
      <c r="H633" s="294"/>
      <c r="I633" s="294"/>
      <c r="J633" s="294"/>
      <c r="K633" s="294"/>
      <c r="L633" s="294"/>
      <c r="M633" s="294"/>
      <c r="N633" s="294"/>
      <c r="O633" s="294">
        <v>159</v>
      </c>
      <c r="P633" s="294"/>
      <c r="Q633" s="294"/>
      <c r="R633" s="294"/>
      <c r="S633" s="294"/>
      <c r="T633" s="294"/>
      <c r="U633" s="294"/>
      <c r="V633" s="294"/>
      <c r="W633" s="294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  <c r="BA633" s="286"/>
      <c r="BB633" s="286"/>
      <c r="BC633" s="286"/>
    </row>
    <row r="634" spans="1:55" s="285" customFormat="1" ht="13.5" customHeight="1">
      <c r="A634" s="297"/>
      <c r="B634" s="296">
        <v>43682</v>
      </c>
      <c r="C634" s="295" t="s">
        <v>20</v>
      </c>
      <c r="D634" s="294">
        <f>'[5]2019gl'!$C$79</f>
        <v>182.48</v>
      </c>
      <c r="E634" s="294">
        <f>D634</f>
        <v>182.48</v>
      </c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  <c r="T634" s="294"/>
      <c r="U634" s="294"/>
      <c r="V634" s="294"/>
      <c r="W634" s="294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</row>
    <row r="635" spans="1:55" s="285" customFormat="1" ht="13.5" customHeight="1">
      <c r="A635" s="297"/>
      <c r="B635" s="296">
        <v>43682</v>
      </c>
      <c r="C635" s="295" t="s">
        <v>458</v>
      </c>
      <c r="D635" s="294">
        <v>132</v>
      </c>
      <c r="E635" s="294"/>
      <c r="F635" s="294"/>
      <c r="G635" s="294">
        <v>52</v>
      </c>
      <c r="H635" s="294"/>
      <c r="I635" s="294"/>
      <c r="J635" s="294">
        <v>80</v>
      </c>
      <c r="K635" s="294"/>
      <c r="L635" s="294"/>
      <c r="M635" s="294"/>
      <c r="N635" s="294"/>
      <c r="O635" s="294"/>
      <c r="P635" s="294"/>
      <c r="Q635" s="294"/>
      <c r="R635" s="294"/>
      <c r="S635" s="294"/>
      <c r="T635" s="294"/>
      <c r="U635" s="294"/>
      <c r="V635" s="294"/>
      <c r="W635" s="294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  <c r="BA635" s="286"/>
      <c r="BB635" s="286"/>
      <c r="BC635" s="286"/>
    </row>
    <row r="636" spans="1:55" s="285" customFormat="1" ht="13.5" customHeight="1">
      <c r="A636" s="297"/>
      <c r="B636" s="296">
        <v>43682</v>
      </c>
      <c r="C636" s="295" t="s">
        <v>459</v>
      </c>
      <c r="D636" s="294">
        <v>68.45</v>
      </c>
      <c r="E636" s="294"/>
      <c r="F636" s="294">
        <v>68.45</v>
      </c>
      <c r="G636" s="294"/>
      <c r="H636" s="294"/>
      <c r="I636" s="294"/>
      <c r="J636" s="294"/>
      <c r="K636" s="294"/>
      <c r="L636" s="294"/>
      <c r="M636" s="294"/>
      <c r="N636" s="294"/>
      <c r="O636" s="294"/>
      <c r="P636" s="294"/>
      <c r="Q636" s="294"/>
      <c r="R636" s="294"/>
      <c r="S636" s="294"/>
      <c r="T636" s="294"/>
      <c r="U636" s="294"/>
      <c r="V636" s="294"/>
      <c r="W636" s="294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  <c r="BA636" s="286"/>
      <c r="BB636" s="286"/>
      <c r="BC636" s="286"/>
    </row>
    <row r="637" spans="1:55" s="285" customFormat="1" ht="13.5" customHeight="1">
      <c r="A637" s="297"/>
      <c r="B637" s="296">
        <v>43684</v>
      </c>
      <c r="C637" s="295" t="s">
        <v>458</v>
      </c>
      <c r="D637" s="294">
        <v>54.45</v>
      </c>
      <c r="E637" s="294"/>
      <c r="F637" s="294"/>
      <c r="G637" s="294">
        <v>54.45</v>
      </c>
      <c r="H637" s="294"/>
      <c r="I637" s="294"/>
      <c r="J637" s="294"/>
      <c r="K637" s="294"/>
      <c r="L637" s="294"/>
      <c r="M637" s="294"/>
      <c r="N637" s="294"/>
      <c r="O637" s="294"/>
      <c r="P637" s="294"/>
      <c r="Q637" s="294"/>
      <c r="R637" s="294"/>
      <c r="S637" s="294"/>
      <c r="T637" s="294"/>
      <c r="U637" s="294"/>
      <c r="V637" s="294"/>
      <c r="W637" s="294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  <c r="BA637" s="286"/>
      <c r="BB637" s="286"/>
      <c r="BC637" s="286"/>
    </row>
    <row r="638" spans="1:55" s="285" customFormat="1" ht="13.5" customHeight="1">
      <c r="A638" s="297"/>
      <c r="B638" s="296">
        <v>43685</v>
      </c>
      <c r="C638" s="295" t="s">
        <v>154</v>
      </c>
      <c r="D638" s="294">
        <v>1000</v>
      </c>
      <c r="E638" s="294"/>
      <c r="F638" s="294"/>
      <c r="G638" s="294"/>
      <c r="H638" s="294"/>
      <c r="I638" s="294"/>
      <c r="J638" s="294"/>
      <c r="K638" s="294"/>
      <c r="L638" s="294"/>
      <c r="M638" s="294"/>
      <c r="N638" s="294"/>
      <c r="O638" s="294">
        <v>1000</v>
      </c>
      <c r="P638" s="294"/>
      <c r="Q638" s="294"/>
      <c r="R638" s="294"/>
      <c r="S638" s="294"/>
      <c r="T638" s="294"/>
      <c r="U638" s="294"/>
      <c r="V638" s="294"/>
      <c r="W638" s="294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  <c r="BA638" s="286"/>
      <c r="BB638" s="286"/>
      <c r="BC638" s="286"/>
    </row>
    <row r="639" spans="1:55" s="285" customFormat="1" ht="13.5" customHeight="1">
      <c r="A639" s="297"/>
      <c r="B639" s="296">
        <v>43685</v>
      </c>
      <c r="C639" s="295" t="s">
        <v>123</v>
      </c>
      <c r="D639" s="294">
        <v>40</v>
      </c>
      <c r="E639" s="294"/>
      <c r="F639" s="294"/>
      <c r="G639" s="294">
        <v>40</v>
      </c>
      <c r="H639" s="294"/>
      <c r="I639" s="294"/>
      <c r="J639" s="294"/>
      <c r="K639" s="294"/>
      <c r="L639" s="294"/>
      <c r="M639" s="294"/>
      <c r="N639" s="294"/>
      <c r="O639" s="294"/>
      <c r="P639" s="294"/>
      <c r="Q639" s="294"/>
      <c r="R639" s="294"/>
      <c r="S639" s="294"/>
      <c r="T639" s="294"/>
      <c r="U639" s="294"/>
      <c r="V639" s="294"/>
      <c r="W639" s="294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  <c r="BA639" s="286"/>
      <c r="BB639" s="286"/>
      <c r="BC639" s="286"/>
    </row>
    <row r="640" spans="1:55" s="285" customFormat="1" ht="13.5" customHeight="1">
      <c r="A640" s="297"/>
      <c r="B640" s="296">
        <v>43685</v>
      </c>
      <c r="C640" s="295" t="s">
        <v>39</v>
      </c>
      <c r="D640" s="294">
        <v>121.66</v>
      </c>
      <c r="E640" s="294"/>
      <c r="F640" s="294">
        <v>88</v>
      </c>
      <c r="G640" s="294">
        <v>33.659999999999997</v>
      </c>
      <c r="H640" s="294"/>
      <c r="I640" s="294"/>
      <c r="J640" s="294"/>
      <c r="K640" s="294"/>
      <c r="L640" s="294"/>
      <c r="M640" s="294"/>
      <c r="N640" s="294"/>
      <c r="O640" s="294"/>
      <c r="P640" s="294"/>
      <c r="Q640" s="294"/>
      <c r="R640" s="294"/>
      <c r="S640" s="294"/>
      <c r="T640" s="294"/>
      <c r="U640" s="294"/>
      <c r="V640" s="294"/>
      <c r="W640" s="294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  <c r="BA640" s="286"/>
      <c r="BB640" s="286"/>
      <c r="BC640" s="286"/>
    </row>
    <row r="641" spans="1:55" s="285" customFormat="1" ht="13.5" customHeight="1">
      <c r="A641" s="297"/>
      <c r="B641" s="296">
        <v>43686</v>
      </c>
      <c r="C641" s="295" t="s">
        <v>194</v>
      </c>
      <c r="D641" s="294">
        <v>399</v>
      </c>
      <c r="E641" s="294"/>
      <c r="F641" s="294"/>
      <c r="G641" s="294"/>
      <c r="H641" s="294"/>
      <c r="I641" s="294"/>
      <c r="J641" s="294"/>
      <c r="K641" s="294"/>
      <c r="L641" s="294"/>
      <c r="M641" s="294"/>
      <c r="N641" s="294"/>
      <c r="O641" s="294">
        <v>399</v>
      </c>
      <c r="P641" s="294"/>
      <c r="Q641" s="294"/>
      <c r="R641" s="294"/>
      <c r="S641" s="294"/>
      <c r="T641" s="294"/>
      <c r="U641" s="294"/>
      <c r="V641" s="294"/>
      <c r="W641" s="294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  <c r="BA641" s="286"/>
      <c r="BB641" s="286"/>
      <c r="BC641" s="286"/>
    </row>
    <row r="642" spans="1:55" s="285" customFormat="1" ht="13.5" customHeight="1">
      <c r="A642" s="297"/>
      <c r="B642" s="296">
        <v>43686</v>
      </c>
      <c r="C642" s="295" t="s">
        <v>451</v>
      </c>
      <c r="D642" s="294">
        <v>54.3</v>
      </c>
      <c r="E642" s="294"/>
      <c r="F642" s="294"/>
      <c r="G642" s="294">
        <v>45.8</v>
      </c>
      <c r="H642" s="294"/>
      <c r="I642" s="294"/>
      <c r="J642" s="294"/>
      <c r="K642" s="294"/>
      <c r="L642" s="294">
        <v>8.5</v>
      </c>
      <c r="M642" s="294"/>
      <c r="N642" s="294"/>
      <c r="O642" s="294"/>
      <c r="P642" s="294"/>
      <c r="Q642" s="294"/>
      <c r="R642" s="294"/>
      <c r="S642" s="294"/>
      <c r="T642" s="294"/>
      <c r="U642" s="294"/>
      <c r="V642" s="294"/>
      <c r="W642" s="294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  <c r="BA642" s="286"/>
      <c r="BB642" s="286"/>
      <c r="BC642" s="286"/>
    </row>
    <row r="643" spans="1:55" s="285" customFormat="1" ht="13.5" customHeight="1">
      <c r="A643" s="297"/>
      <c r="B643" s="296">
        <v>43686</v>
      </c>
      <c r="C643" s="295" t="s">
        <v>379</v>
      </c>
      <c r="D643" s="294">
        <v>450</v>
      </c>
      <c r="E643" s="294"/>
      <c r="F643" s="294"/>
      <c r="G643" s="294"/>
      <c r="H643" s="294"/>
      <c r="I643" s="294"/>
      <c r="J643" s="294"/>
      <c r="K643" s="294"/>
      <c r="L643" s="294"/>
      <c r="M643" s="294"/>
      <c r="N643" s="294"/>
      <c r="O643" s="294"/>
      <c r="P643" s="294"/>
      <c r="Q643" s="294"/>
      <c r="R643" s="294"/>
      <c r="S643" s="294"/>
      <c r="T643" s="294">
        <f>D643</f>
        <v>450</v>
      </c>
      <c r="U643" s="294"/>
      <c r="V643" s="294"/>
      <c r="W643" s="294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  <c r="BA643" s="286"/>
      <c r="BB643" s="286"/>
      <c r="BC643" s="286"/>
    </row>
    <row r="644" spans="1:55" s="285" customFormat="1" ht="13.5" customHeight="1">
      <c r="A644" s="297"/>
      <c r="B644" s="296">
        <v>43686</v>
      </c>
      <c r="C644" s="295" t="s">
        <v>451</v>
      </c>
      <c r="D644" s="294">
        <v>77</v>
      </c>
      <c r="E644" s="294"/>
      <c r="F644" s="294"/>
      <c r="G644" s="294">
        <v>77</v>
      </c>
      <c r="H644" s="294"/>
      <c r="I644" s="294"/>
      <c r="J644" s="294"/>
      <c r="K644" s="294"/>
      <c r="L644" s="294"/>
      <c r="M644" s="294"/>
      <c r="N644" s="294"/>
      <c r="O644" s="294"/>
      <c r="P644" s="294"/>
      <c r="Q644" s="294"/>
      <c r="R644" s="294"/>
      <c r="S644" s="294"/>
      <c r="T644" s="294"/>
      <c r="U644" s="294"/>
      <c r="V644" s="294"/>
      <c r="W644" s="294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  <c r="BA644" s="286"/>
      <c r="BB644" s="286"/>
      <c r="BC644" s="286"/>
    </row>
    <row r="645" spans="1:55" s="285" customFormat="1" ht="13.5" customHeight="1">
      <c r="A645" s="297"/>
      <c r="B645" s="296">
        <v>43686</v>
      </c>
      <c r="C645" s="295" t="s">
        <v>216</v>
      </c>
      <c r="D645" s="294">
        <v>347.85</v>
      </c>
      <c r="E645" s="294"/>
      <c r="F645" s="294">
        <v>217.85</v>
      </c>
      <c r="G645" s="294"/>
      <c r="H645" s="294"/>
      <c r="I645" s="294"/>
      <c r="J645" s="294"/>
      <c r="K645" s="294"/>
      <c r="L645" s="294"/>
      <c r="M645" s="294"/>
      <c r="N645" s="294"/>
      <c r="O645" s="294">
        <v>130</v>
      </c>
      <c r="P645" s="294"/>
      <c r="Q645" s="294"/>
      <c r="R645" s="294"/>
      <c r="S645" s="294"/>
      <c r="T645" s="294"/>
      <c r="U645" s="294"/>
      <c r="V645" s="294"/>
      <c r="W645" s="294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  <c r="BA645" s="286"/>
      <c r="BB645" s="286"/>
      <c r="BC645" s="286"/>
    </row>
    <row r="646" spans="1:55" s="285" customFormat="1" ht="13.5" customHeight="1">
      <c r="A646" s="297"/>
      <c r="B646" s="296">
        <v>43687</v>
      </c>
      <c r="C646" s="295" t="s">
        <v>451</v>
      </c>
      <c r="D646" s="294">
        <v>66</v>
      </c>
      <c r="E646" s="294"/>
      <c r="F646" s="294"/>
      <c r="G646" s="294">
        <v>66</v>
      </c>
      <c r="H646" s="294"/>
      <c r="I646" s="294"/>
      <c r="J646" s="294"/>
      <c r="K646" s="294"/>
      <c r="L646" s="294"/>
      <c r="M646" s="294"/>
      <c r="N646" s="294"/>
      <c r="O646" s="294"/>
      <c r="P646" s="294"/>
      <c r="Q646" s="294"/>
      <c r="R646" s="294"/>
      <c r="S646" s="294"/>
      <c r="T646" s="294"/>
      <c r="U646" s="294"/>
      <c r="V646" s="294"/>
      <c r="W646" s="294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  <c r="BA646" s="286"/>
      <c r="BB646" s="286"/>
      <c r="BC646" s="286"/>
    </row>
    <row r="647" spans="1:55" s="285" customFormat="1" ht="13.5" customHeight="1">
      <c r="A647" s="297"/>
      <c r="B647" s="296">
        <v>43688</v>
      </c>
      <c r="C647" s="295" t="s">
        <v>457</v>
      </c>
      <c r="D647" s="294">
        <v>228</v>
      </c>
      <c r="E647" s="294"/>
      <c r="F647" s="294"/>
      <c r="G647" s="294"/>
      <c r="H647" s="294"/>
      <c r="I647" s="294"/>
      <c r="J647" s="294"/>
      <c r="K647" s="294"/>
      <c r="L647" s="294"/>
      <c r="M647" s="294"/>
      <c r="N647" s="294"/>
      <c r="O647" s="294"/>
      <c r="P647" s="294"/>
      <c r="Q647" s="294"/>
      <c r="R647" s="294"/>
      <c r="S647" s="294"/>
      <c r="T647" s="294"/>
      <c r="U647" s="294">
        <v>228</v>
      </c>
      <c r="V647" s="294"/>
      <c r="W647" s="294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  <c r="BA647" s="286"/>
      <c r="BB647" s="286"/>
      <c r="BC647" s="286"/>
    </row>
    <row r="648" spans="1:55" s="285" customFormat="1" ht="13.5" customHeight="1">
      <c r="A648" s="297"/>
      <c r="B648" s="296">
        <v>43689</v>
      </c>
      <c r="C648" s="295" t="s">
        <v>451</v>
      </c>
      <c r="D648" s="294">
        <v>42</v>
      </c>
      <c r="E648" s="294"/>
      <c r="F648" s="294"/>
      <c r="G648" s="294">
        <v>42</v>
      </c>
      <c r="H648" s="294"/>
      <c r="I648" s="294"/>
      <c r="J648" s="294"/>
      <c r="K648" s="294"/>
      <c r="L648" s="294"/>
      <c r="M648" s="294"/>
      <c r="N648" s="294"/>
      <c r="O648" s="294"/>
      <c r="P648" s="294"/>
      <c r="Q648" s="294"/>
      <c r="R648" s="294"/>
      <c r="S648" s="294"/>
      <c r="T648" s="294"/>
      <c r="U648" s="294"/>
      <c r="V648" s="294"/>
      <c r="W648" s="294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  <c r="BA648" s="286"/>
      <c r="BB648" s="286"/>
      <c r="BC648" s="286"/>
    </row>
    <row r="649" spans="1:55" s="285" customFormat="1" ht="13.5" customHeight="1">
      <c r="A649" s="297"/>
      <c r="B649" s="296">
        <v>43689</v>
      </c>
      <c r="C649" s="295" t="s">
        <v>456</v>
      </c>
      <c r="D649" s="294">
        <v>199</v>
      </c>
      <c r="E649" s="294"/>
      <c r="F649" s="294">
        <v>199</v>
      </c>
      <c r="G649" s="294"/>
      <c r="H649" s="294"/>
      <c r="I649" s="294"/>
      <c r="J649" s="294"/>
      <c r="K649" s="294"/>
      <c r="L649" s="294"/>
      <c r="M649" s="294"/>
      <c r="N649" s="294"/>
      <c r="O649" s="294"/>
      <c r="P649" s="294"/>
      <c r="Q649" s="294"/>
      <c r="R649" s="294"/>
      <c r="S649" s="294"/>
      <c r="T649" s="294"/>
      <c r="U649" s="294"/>
      <c r="V649" s="294"/>
      <c r="W649" s="294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  <c r="BA649" s="286"/>
      <c r="BB649" s="286"/>
      <c r="BC649" s="286"/>
    </row>
    <row r="650" spans="1:55" s="285" customFormat="1" ht="13.5" customHeight="1">
      <c r="A650" s="297"/>
      <c r="B650" s="296">
        <v>43688</v>
      </c>
      <c r="C650" s="295" t="s">
        <v>186</v>
      </c>
      <c r="D650" s="294">
        <v>-100</v>
      </c>
      <c r="E650" s="294"/>
      <c r="F650" s="294"/>
      <c r="G650" s="294"/>
      <c r="H650" s="294"/>
      <c r="I650" s="294"/>
      <c r="J650" s="294"/>
      <c r="K650" s="294"/>
      <c r="L650" s="294"/>
      <c r="M650" s="294"/>
      <c r="N650" s="294"/>
      <c r="O650" s="294"/>
      <c r="P650" s="294"/>
      <c r="Q650" s="294">
        <v>-100</v>
      </c>
      <c r="R650" s="294"/>
      <c r="S650" s="294"/>
      <c r="T650" s="294"/>
      <c r="U650" s="294"/>
      <c r="V650" s="294"/>
      <c r="W650" s="294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  <c r="BA650" s="286"/>
      <c r="BB650" s="286"/>
      <c r="BC650" s="286"/>
    </row>
    <row r="651" spans="1:55" s="285" customFormat="1" ht="13.5" customHeight="1">
      <c r="A651" s="297"/>
      <c r="B651" s="296">
        <v>43690</v>
      </c>
      <c r="C651" s="295" t="s">
        <v>124</v>
      </c>
      <c r="D651" s="294">
        <v>249.1</v>
      </c>
      <c r="E651" s="294"/>
      <c r="F651" s="294"/>
      <c r="G651" s="294"/>
      <c r="H651" s="294">
        <v>249.1</v>
      </c>
      <c r="I651" s="294"/>
      <c r="J651" s="294"/>
      <c r="K651" s="294"/>
      <c r="L651" s="294"/>
      <c r="M651" s="294"/>
      <c r="N651" s="294"/>
      <c r="O651" s="294"/>
      <c r="P651" s="294"/>
      <c r="Q651" s="294"/>
      <c r="R651" s="294"/>
      <c r="S651" s="294"/>
      <c r="T651" s="294"/>
      <c r="U651" s="294"/>
      <c r="V651" s="294"/>
      <c r="W651" s="294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  <c r="BA651" s="286"/>
      <c r="BB651" s="286"/>
      <c r="BC651" s="286"/>
    </row>
    <row r="652" spans="1:55" s="285" customFormat="1" ht="13.5" customHeight="1">
      <c r="A652" s="297"/>
      <c r="B652" s="296">
        <v>43690</v>
      </c>
      <c r="C652" s="295" t="s">
        <v>451</v>
      </c>
      <c r="D652" s="294">
        <v>59.4</v>
      </c>
      <c r="E652" s="294"/>
      <c r="F652" s="294"/>
      <c r="G652" s="294">
        <v>59.4</v>
      </c>
      <c r="H652" s="294"/>
      <c r="I652" s="294"/>
      <c r="J652" s="294"/>
      <c r="K652" s="294"/>
      <c r="L652" s="294"/>
      <c r="M652" s="294"/>
      <c r="N652" s="294"/>
      <c r="O652" s="294"/>
      <c r="P652" s="294"/>
      <c r="Q652" s="294"/>
      <c r="R652" s="294"/>
      <c r="S652" s="294"/>
      <c r="T652" s="294"/>
      <c r="U652" s="294"/>
      <c r="V652" s="294"/>
      <c r="W652" s="294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  <c r="BA652" s="286"/>
      <c r="BB652" s="286"/>
      <c r="BC652" s="286"/>
    </row>
    <row r="653" spans="1:55" s="285" customFormat="1" ht="13.5" customHeight="1">
      <c r="A653" s="297"/>
      <c r="B653" s="296">
        <v>43690</v>
      </c>
      <c r="C653" s="295" t="s">
        <v>162</v>
      </c>
      <c r="D653" s="294">
        <v>35</v>
      </c>
      <c r="E653" s="294"/>
      <c r="F653" s="294">
        <v>35</v>
      </c>
      <c r="G653" s="294"/>
      <c r="H653" s="294"/>
      <c r="I653" s="294"/>
      <c r="J653" s="294"/>
      <c r="K653" s="294"/>
      <c r="L653" s="294"/>
      <c r="M653" s="294"/>
      <c r="N653" s="294"/>
      <c r="O653" s="294"/>
      <c r="P653" s="294"/>
      <c r="Q653" s="294"/>
      <c r="R653" s="294"/>
      <c r="S653" s="294"/>
      <c r="T653" s="294"/>
      <c r="U653" s="294"/>
      <c r="V653" s="294"/>
      <c r="W653" s="294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  <c r="BA653" s="286"/>
      <c r="BB653" s="286"/>
      <c r="BC653" s="286"/>
    </row>
    <row r="654" spans="1:55" s="285" customFormat="1" ht="13.5" customHeight="1">
      <c r="A654" s="297"/>
      <c r="B654" s="296">
        <v>43690</v>
      </c>
      <c r="C654" s="295" t="s">
        <v>455</v>
      </c>
      <c r="D654" s="294">
        <v>178</v>
      </c>
      <c r="E654" s="294"/>
      <c r="F654" s="294"/>
      <c r="G654" s="294"/>
      <c r="H654" s="294"/>
      <c r="I654" s="294"/>
      <c r="J654" s="294"/>
      <c r="K654" s="294"/>
      <c r="L654" s="294"/>
      <c r="M654" s="294"/>
      <c r="N654" s="294"/>
      <c r="O654" s="294"/>
      <c r="P654" s="294"/>
      <c r="Q654" s="294"/>
      <c r="R654" s="294"/>
      <c r="S654" s="294"/>
      <c r="T654" s="294"/>
      <c r="U654" s="294">
        <v>178</v>
      </c>
      <c r="V654" s="294"/>
      <c r="W654" s="294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  <c r="BA654" s="286"/>
      <c r="BB654" s="286"/>
      <c r="BC654" s="286"/>
    </row>
    <row r="655" spans="1:55" s="285" customFormat="1" ht="13.5" customHeight="1">
      <c r="A655" s="297"/>
      <c r="B655" s="296">
        <v>43691</v>
      </c>
      <c r="C655" s="295" t="s">
        <v>167</v>
      </c>
      <c r="D655" s="294">
        <v>280</v>
      </c>
      <c r="E655" s="294"/>
      <c r="F655" s="294">
        <v>280</v>
      </c>
      <c r="G655" s="294"/>
      <c r="H655" s="294"/>
      <c r="I655" s="294"/>
      <c r="J655" s="294"/>
      <c r="K655" s="294"/>
      <c r="L655" s="294"/>
      <c r="M655" s="294"/>
      <c r="N655" s="294"/>
      <c r="O655" s="294"/>
      <c r="P655" s="294"/>
      <c r="Q655" s="294"/>
      <c r="R655" s="294"/>
      <c r="S655" s="294"/>
      <c r="T655" s="294"/>
      <c r="U655" s="294"/>
      <c r="V655" s="294"/>
      <c r="W655" s="294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  <c r="BA655" s="286"/>
      <c r="BB655" s="286"/>
      <c r="BC655" s="286"/>
    </row>
    <row r="656" spans="1:55" s="285" customFormat="1" ht="13.5" customHeight="1">
      <c r="A656" s="297"/>
      <c r="B656" s="296">
        <v>43691</v>
      </c>
      <c r="C656" s="295" t="s">
        <v>454</v>
      </c>
      <c r="D656" s="294">
        <v>15</v>
      </c>
      <c r="E656" s="294"/>
      <c r="F656" s="294">
        <v>15</v>
      </c>
      <c r="G656" s="294"/>
      <c r="H656" s="294"/>
      <c r="I656" s="294"/>
      <c r="J656" s="294"/>
      <c r="K656" s="294"/>
      <c r="L656" s="294"/>
      <c r="M656" s="294"/>
      <c r="N656" s="294"/>
      <c r="O656" s="294"/>
      <c r="P656" s="294"/>
      <c r="Q656" s="294"/>
      <c r="R656" s="294"/>
      <c r="S656" s="294"/>
      <c r="T656" s="294"/>
      <c r="U656" s="294"/>
      <c r="V656" s="294"/>
      <c r="W656" s="294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  <c r="BA656" s="286"/>
      <c r="BB656" s="286"/>
      <c r="BC656" s="286"/>
    </row>
    <row r="657" spans="1:55" s="285" customFormat="1" ht="13.5" customHeight="1">
      <c r="A657" s="297"/>
      <c r="B657" s="296">
        <v>43692</v>
      </c>
      <c r="C657" s="295" t="s">
        <v>40</v>
      </c>
      <c r="D657" s="294">
        <v>71</v>
      </c>
      <c r="E657" s="294"/>
      <c r="F657" s="294"/>
      <c r="G657" s="294">
        <v>33</v>
      </c>
      <c r="H657" s="294"/>
      <c r="I657" s="294"/>
      <c r="J657" s="294"/>
      <c r="K657" s="294"/>
      <c r="L657" s="294">
        <v>38</v>
      </c>
      <c r="M657" s="294"/>
      <c r="N657" s="294"/>
      <c r="O657" s="294"/>
      <c r="P657" s="294"/>
      <c r="Q657" s="294"/>
      <c r="R657" s="294"/>
      <c r="S657" s="294"/>
      <c r="T657" s="294"/>
      <c r="U657" s="294"/>
      <c r="V657" s="294"/>
      <c r="W657" s="294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  <c r="BA657" s="286"/>
      <c r="BB657" s="286"/>
      <c r="BC657" s="286"/>
    </row>
    <row r="658" spans="1:55" s="285" customFormat="1" ht="13.5" customHeight="1">
      <c r="A658" s="297"/>
      <c r="B658" s="296">
        <v>43692</v>
      </c>
      <c r="C658" s="295" t="s">
        <v>38</v>
      </c>
      <c r="D658" s="294">
        <v>81.5</v>
      </c>
      <c r="E658" s="294"/>
      <c r="F658" s="294"/>
      <c r="G658" s="294">
        <v>16.5</v>
      </c>
      <c r="H658" s="294"/>
      <c r="I658" s="294"/>
      <c r="J658" s="294"/>
      <c r="K658" s="294"/>
      <c r="L658" s="294">
        <v>65</v>
      </c>
      <c r="M658" s="294"/>
      <c r="N658" s="294"/>
      <c r="O658" s="294"/>
      <c r="P658" s="294"/>
      <c r="Q658" s="294"/>
      <c r="R658" s="294"/>
      <c r="S658" s="294"/>
      <c r="T658" s="294"/>
      <c r="U658" s="294"/>
      <c r="V658" s="294"/>
      <c r="W658" s="294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  <c r="BA658" s="286"/>
      <c r="BB658" s="286"/>
      <c r="BC658" s="286"/>
    </row>
    <row r="659" spans="1:55" s="285" customFormat="1" ht="13.5" customHeight="1">
      <c r="A659" s="297"/>
      <c r="B659" s="296">
        <v>43693</v>
      </c>
      <c r="C659" s="295" t="s">
        <v>451</v>
      </c>
      <c r="D659" s="294">
        <v>126</v>
      </c>
      <c r="E659" s="294"/>
      <c r="F659" s="294"/>
      <c r="G659" s="294">
        <v>126</v>
      </c>
      <c r="H659" s="294"/>
      <c r="I659" s="294"/>
      <c r="J659" s="294"/>
      <c r="K659" s="294"/>
      <c r="L659" s="294"/>
      <c r="M659" s="294"/>
      <c r="N659" s="294"/>
      <c r="O659" s="294"/>
      <c r="P659" s="294"/>
      <c r="Q659" s="294"/>
      <c r="R659" s="294"/>
      <c r="S659" s="294"/>
      <c r="T659" s="294"/>
      <c r="U659" s="294"/>
      <c r="V659" s="294"/>
      <c r="W659" s="294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  <c r="BA659" s="286"/>
      <c r="BB659" s="286"/>
      <c r="BC659" s="286"/>
    </row>
    <row r="660" spans="1:55" s="285" customFormat="1" ht="13.5" customHeight="1">
      <c r="A660" s="297"/>
      <c r="B660" s="296">
        <v>43693</v>
      </c>
      <c r="C660" s="295" t="s">
        <v>186</v>
      </c>
      <c r="D660" s="294">
        <v>60</v>
      </c>
      <c r="E660" s="294"/>
      <c r="F660" s="294"/>
      <c r="G660" s="294"/>
      <c r="H660" s="294"/>
      <c r="I660" s="294"/>
      <c r="J660" s="294"/>
      <c r="K660" s="294"/>
      <c r="L660" s="294"/>
      <c r="M660" s="294"/>
      <c r="N660" s="294"/>
      <c r="O660" s="294"/>
      <c r="P660" s="294"/>
      <c r="Q660" s="294">
        <v>60</v>
      </c>
      <c r="R660" s="294"/>
      <c r="S660" s="294"/>
      <c r="T660" s="294"/>
      <c r="U660" s="294"/>
      <c r="V660" s="294"/>
      <c r="W660" s="294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  <c r="BA660" s="286"/>
      <c r="BB660" s="286"/>
      <c r="BC660" s="286"/>
    </row>
    <row r="661" spans="1:55" s="285" customFormat="1" ht="13.5" customHeight="1">
      <c r="A661" s="297"/>
      <c r="B661" s="296">
        <v>43694</v>
      </c>
      <c r="C661" s="295" t="s">
        <v>38</v>
      </c>
      <c r="D661" s="294">
        <v>120</v>
      </c>
      <c r="E661" s="294"/>
      <c r="F661" s="294"/>
      <c r="G661" s="294">
        <v>80</v>
      </c>
      <c r="H661" s="294"/>
      <c r="I661" s="294"/>
      <c r="J661" s="294"/>
      <c r="K661" s="294"/>
      <c r="L661" s="294">
        <v>40</v>
      </c>
      <c r="M661" s="294"/>
      <c r="N661" s="294"/>
      <c r="O661" s="294"/>
      <c r="P661" s="294"/>
      <c r="Q661" s="294"/>
      <c r="R661" s="294"/>
      <c r="S661" s="294"/>
      <c r="T661" s="294"/>
      <c r="U661" s="294"/>
      <c r="V661" s="294"/>
      <c r="W661" s="294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  <c r="BA661" s="286"/>
      <c r="BB661" s="286"/>
      <c r="BC661" s="286"/>
    </row>
    <row r="662" spans="1:55" s="285" customFormat="1" ht="13.5" customHeight="1">
      <c r="A662" s="297"/>
      <c r="B662" s="296">
        <v>43694</v>
      </c>
      <c r="C662" s="295" t="s">
        <v>451</v>
      </c>
      <c r="D662" s="294">
        <v>50</v>
      </c>
      <c r="E662" s="294"/>
      <c r="F662" s="294"/>
      <c r="G662" s="294">
        <v>50</v>
      </c>
      <c r="H662" s="294"/>
      <c r="I662" s="294"/>
      <c r="J662" s="294"/>
      <c r="K662" s="294"/>
      <c r="L662" s="294"/>
      <c r="M662" s="294"/>
      <c r="N662" s="294"/>
      <c r="O662" s="294"/>
      <c r="P662" s="294"/>
      <c r="Q662" s="294"/>
      <c r="R662" s="294"/>
      <c r="S662" s="294"/>
      <c r="T662" s="294"/>
      <c r="U662" s="294"/>
      <c r="V662" s="294"/>
      <c r="W662" s="294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  <c r="BA662" s="286"/>
      <c r="BB662" s="286"/>
      <c r="BC662" s="286"/>
    </row>
    <row r="663" spans="1:55" s="285" customFormat="1" ht="13.5" customHeight="1">
      <c r="A663" s="297"/>
      <c r="B663" s="296">
        <v>43694</v>
      </c>
      <c r="C663" s="295" t="s">
        <v>57</v>
      </c>
      <c r="D663" s="294">
        <v>400</v>
      </c>
      <c r="E663" s="294"/>
      <c r="F663" s="294"/>
      <c r="G663" s="294"/>
      <c r="H663" s="294"/>
      <c r="I663" s="294"/>
      <c r="J663" s="294"/>
      <c r="K663" s="294"/>
      <c r="L663" s="294"/>
      <c r="M663" s="294"/>
      <c r="N663" s="294"/>
      <c r="O663" s="294"/>
      <c r="P663" s="294"/>
      <c r="Q663" s="294"/>
      <c r="R663" s="294"/>
      <c r="S663" s="294"/>
      <c r="T663" s="294"/>
      <c r="U663" s="294"/>
      <c r="V663" s="294"/>
      <c r="W663" s="294">
        <v>400</v>
      </c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  <c r="BA663" s="286"/>
      <c r="BB663" s="286"/>
      <c r="BC663" s="286"/>
    </row>
    <row r="664" spans="1:55" s="285" customFormat="1" ht="13.5" customHeight="1">
      <c r="A664" s="297"/>
      <c r="B664" s="296">
        <v>43696</v>
      </c>
      <c r="C664" s="295" t="s">
        <v>451</v>
      </c>
      <c r="D664" s="294">
        <v>78.45</v>
      </c>
      <c r="E664" s="294"/>
      <c r="F664" s="294"/>
      <c r="G664" s="294">
        <v>78.45</v>
      </c>
      <c r="H664" s="294"/>
      <c r="I664" s="294"/>
      <c r="J664" s="294"/>
      <c r="K664" s="294"/>
      <c r="L664" s="294"/>
      <c r="M664" s="294"/>
      <c r="N664" s="294"/>
      <c r="O664" s="294"/>
      <c r="P664" s="294"/>
      <c r="Q664" s="294"/>
      <c r="R664" s="294"/>
      <c r="S664" s="294"/>
      <c r="T664" s="294"/>
      <c r="U664" s="294"/>
      <c r="V664" s="294"/>
      <c r="W664" s="294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  <c r="BA664" s="286"/>
      <c r="BB664" s="286"/>
      <c r="BC664" s="286"/>
    </row>
    <row r="665" spans="1:55" s="285" customFormat="1" ht="13.5" customHeight="1">
      <c r="A665" s="297"/>
      <c r="B665" s="296">
        <v>43698</v>
      </c>
      <c r="C665" s="295" t="s">
        <v>451</v>
      </c>
      <c r="D665" s="294">
        <v>11.5</v>
      </c>
      <c r="E665" s="294"/>
      <c r="F665" s="294"/>
      <c r="G665" s="294">
        <v>11.5</v>
      </c>
      <c r="H665" s="294"/>
      <c r="I665" s="294"/>
      <c r="J665" s="294"/>
      <c r="K665" s="294"/>
      <c r="L665" s="294"/>
      <c r="M665" s="294"/>
      <c r="N665" s="294"/>
      <c r="O665" s="294"/>
      <c r="P665" s="294"/>
      <c r="Q665" s="294"/>
      <c r="R665" s="294"/>
      <c r="S665" s="294"/>
      <c r="T665" s="294"/>
      <c r="U665" s="294"/>
      <c r="V665" s="294"/>
      <c r="W665" s="294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  <c r="BA665" s="286"/>
      <c r="BB665" s="286"/>
      <c r="BC665" s="286"/>
    </row>
    <row r="666" spans="1:55" s="285" customFormat="1" ht="13.5" customHeight="1">
      <c r="A666" s="297"/>
      <c r="B666" s="296">
        <v>43698</v>
      </c>
      <c r="C666" s="295" t="s">
        <v>40</v>
      </c>
      <c r="D666" s="294">
        <v>118</v>
      </c>
      <c r="E666" s="294"/>
      <c r="F666" s="294"/>
      <c r="G666" s="294"/>
      <c r="H666" s="294"/>
      <c r="I666" s="294"/>
      <c r="J666" s="294">
        <v>80</v>
      </c>
      <c r="K666" s="294"/>
      <c r="L666" s="294">
        <v>38</v>
      </c>
      <c r="M666" s="294"/>
      <c r="N666" s="294"/>
      <c r="O666" s="294"/>
      <c r="P666" s="294"/>
      <c r="Q666" s="294"/>
      <c r="R666" s="294"/>
      <c r="S666" s="294"/>
      <c r="T666" s="294"/>
      <c r="U666" s="294"/>
      <c r="V666" s="294"/>
      <c r="W666" s="294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  <c r="BA666" s="286"/>
      <c r="BB666" s="286"/>
      <c r="BC666" s="286"/>
    </row>
    <row r="667" spans="1:55" s="285" customFormat="1" ht="13.5" customHeight="1">
      <c r="A667" s="297"/>
      <c r="B667" s="296">
        <v>43699</v>
      </c>
      <c r="C667" s="295" t="s">
        <v>451</v>
      </c>
      <c r="D667" s="294">
        <v>25.5</v>
      </c>
      <c r="E667" s="294"/>
      <c r="F667" s="294"/>
      <c r="G667" s="294">
        <v>25.5</v>
      </c>
      <c r="H667" s="294"/>
      <c r="I667" s="294"/>
      <c r="J667" s="294"/>
      <c r="K667" s="294"/>
      <c r="L667" s="294"/>
      <c r="M667" s="294"/>
      <c r="N667" s="294"/>
      <c r="O667" s="294"/>
      <c r="P667" s="294"/>
      <c r="Q667" s="294"/>
      <c r="R667" s="294"/>
      <c r="S667" s="294"/>
      <c r="T667" s="294"/>
      <c r="U667" s="294"/>
      <c r="V667" s="294"/>
      <c r="W667" s="294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  <c r="BA667" s="286"/>
      <c r="BB667" s="286"/>
      <c r="BC667" s="286"/>
    </row>
    <row r="668" spans="1:55" s="285" customFormat="1" ht="13.5" customHeight="1">
      <c r="A668" s="297"/>
      <c r="B668" s="296">
        <v>43701</v>
      </c>
      <c r="C668" s="295" t="s">
        <v>451</v>
      </c>
      <c r="D668" s="294">
        <v>79.5</v>
      </c>
      <c r="E668" s="294"/>
      <c r="F668" s="294"/>
      <c r="G668" s="294">
        <v>79.5</v>
      </c>
      <c r="H668" s="294"/>
      <c r="I668" s="294"/>
      <c r="J668" s="294"/>
      <c r="K668" s="294"/>
      <c r="L668" s="294"/>
      <c r="M668" s="294"/>
      <c r="N668" s="294"/>
      <c r="O668" s="294"/>
      <c r="P668" s="294"/>
      <c r="Q668" s="294"/>
      <c r="R668" s="294"/>
      <c r="S668" s="294"/>
      <c r="T668" s="294"/>
      <c r="U668" s="294"/>
      <c r="V668" s="294"/>
      <c r="W668" s="294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  <c r="BA668" s="286"/>
      <c r="BB668" s="286"/>
      <c r="BC668" s="286"/>
    </row>
    <row r="669" spans="1:55" s="285" customFormat="1" ht="13.5" customHeight="1">
      <c r="A669" s="297"/>
      <c r="B669" s="296">
        <v>43702</v>
      </c>
      <c r="C669" s="295" t="s">
        <v>451</v>
      </c>
      <c r="D669" s="294">
        <v>20</v>
      </c>
      <c r="E669" s="294"/>
      <c r="F669" s="294"/>
      <c r="G669" s="294">
        <v>20</v>
      </c>
      <c r="H669" s="294"/>
      <c r="I669" s="294"/>
      <c r="J669" s="294"/>
      <c r="K669" s="294"/>
      <c r="L669" s="294"/>
      <c r="M669" s="294"/>
      <c r="N669" s="294"/>
      <c r="O669" s="294"/>
      <c r="P669" s="294"/>
      <c r="Q669" s="294"/>
      <c r="R669" s="294"/>
      <c r="S669" s="294"/>
      <c r="T669" s="294"/>
      <c r="U669" s="294"/>
      <c r="V669" s="294"/>
      <c r="W669" s="294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  <c r="BA669" s="286"/>
      <c r="BB669" s="286"/>
      <c r="BC669" s="286"/>
    </row>
    <row r="670" spans="1:55" s="285" customFormat="1" ht="13.5" customHeight="1">
      <c r="A670" s="297"/>
      <c r="B670" s="296">
        <v>43703</v>
      </c>
      <c r="C670" s="295" t="s">
        <v>451</v>
      </c>
      <c r="D670" s="294">
        <v>110.5</v>
      </c>
      <c r="E670" s="294"/>
      <c r="F670" s="294"/>
      <c r="G670" s="294">
        <v>90.5</v>
      </c>
      <c r="H670" s="294"/>
      <c r="I670" s="294"/>
      <c r="J670" s="294"/>
      <c r="K670" s="294"/>
      <c r="L670" s="294">
        <v>20</v>
      </c>
      <c r="M670" s="294"/>
      <c r="N670" s="294"/>
      <c r="O670" s="294"/>
      <c r="P670" s="294"/>
      <c r="Q670" s="294"/>
      <c r="R670" s="294"/>
      <c r="S670" s="294"/>
      <c r="T670" s="294"/>
      <c r="U670" s="294"/>
      <c r="V670" s="294"/>
      <c r="W670" s="294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  <c r="BA670" s="286"/>
      <c r="BB670" s="286"/>
      <c r="BC670" s="286"/>
    </row>
    <row r="671" spans="1:55" s="285" customFormat="1" ht="13.5" customHeight="1">
      <c r="A671" s="297"/>
      <c r="B671" s="296">
        <v>43704</v>
      </c>
      <c r="C671" s="295" t="s">
        <v>451</v>
      </c>
      <c r="D671" s="294">
        <v>36</v>
      </c>
      <c r="E671" s="294"/>
      <c r="F671" s="294"/>
      <c r="G671" s="294">
        <v>26</v>
      </c>
      <c r="H671" s="294"/>
      <c r="I671" s="294"/>
      <c r="J671" s="294"/>
      <c r="K671" s="294"/>
      <c r="L671" s="294">
        <v>10</v>
      </c>
      <c r="M671" s="294"/>
      <c r="N671" s="294"/>
      <c r="O671" s="294"/>
      <c r="P671" s="294"/>
      <c r="Q671" s="294"/>
      <c r="R671" s="294"/>
      <c r="S671" s="294"/>
      <c r="T671" s="294"/>
      <c r="U671" s="294"/>
      <c r="V671" s="294"/>
      <c r="W671" s="294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  <c r="BA671" s="286"/>
      <c r="BB671" s="286"/>
      <c r="BC671" s="286"/>
    </row>
    <row r="672" spans="1:55" s="285" customFormat="1" ht="13.5" customHeight="1">
      <c r="A672" s="297"/>
      <c r="B672" s="296">
        <v>43705</v>
      </c>
      <c r="C672" s="295" t="s">
        <v>451</v>
      </c>
      <c r="D672" s="294">
        <v>115</v>
      </c>
      <c r="E672" s="294"/>
      <c r="F672" s="294"/>
      <c r="G672" s="294">
        <v>35</v>
      </c>
      <c r="H672" s="294"/>
      <c r="I672" s="294"/>
      <c r="J672" s="294">
        <v>80</v>
      </c>
      <c r="K672" s="294"/>
      <c r="L672" s="294"/>
      <c r="M672" s="294"/>
      <c r="N672" s="294"/>
      <c r="O672" s="294"/>
      <c r="P672" s="294"/>
      <c r="Q672" s="294"/>
      <c r="R672" s="294"/>
      <c r="S672" s="294"/>
      <c r="T672" s="294"/>
      <c r="U672" s="294"/>
      <c r="V672" s="294"/>
      <c r="W672" s="294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  <c r="BA672" s="286"/>
      <c r="BB672" s="286"/>
      <c r="BC672" s="286"/>
    </row>
    <row r="673" spans="1:57" s="285" customFormat="1" ht="13.5" customHeight="1">
      <c r="A673" s="297"/>
      <c r="B673" s="296">
        <v>43705</v>
      </c>
      <c r="C673" s="295" t="s">
        <v>124</v>
      </c>
      <c r="D673" s="294">
        <v>15.5</v>
      </c>
      <c r="E673" s="294"/>
      <c r="F673" s="294"/>
      <c r="G673" s="294"/>
      <c r="H673" s="294">
        <v>15.5</v>
      </c>
      <c r="I673" s="294"/>
      <c r="J673" s="294"/>
      <c r="K673" s="294"/>
      <c r="L673" s="294"/>
      <c r="M673" s="294"/>
      <c r="N673" s="294"/>
      <c r="O673" s="294"/>
      <c r="P673" s="294"/>
      <c r="Q673" s="294"/>
      <c r="R673" s="294"/>
      <c r="S673" s="294"/>
      <c r="T673" s="294"/>
      <c r="U673" s="294"/>
      <c r="V673" s="294"/>
      <c r="W673" s="294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  <c r="BA673" s="286"/>
      <c r="BB673" s="286"/>
      <c r="BC673" s="286"/>
    </row>
    <row r="674" spans="1:57" s="285" customFormat="1" ht="13.5" customHeight="1">
      <c r="A674" s="297"/>
      <c r="B674" s="296">
        <v>43706</v>
      </c>
      <c r="C674" s="295" t="s">
        <v>451</v>
      </c>
      <c r="D674" s="294">
        <v>16</v>
      </c>
      <c r="E674" s="294"/>
      <c r="F674" s="294"/>
      <c r="G674" s="294">
        <v>16</v>
      </c>
      <c r="H674" s="294"/>
      <c r="I674" s="294"/>
      <c r="J674" s="294"/>
      <c r="K674" s="294"/>
      <c r="L674" s="294"/>
      <c r="M674" s="294"/>
      <c r="N674" s="294"/>
      <c r="O674" s="294"/>
      <c r="P674" s="294"/>
      <c r="Q674" s="294"/>
      <c r="R674" s="294"/>
      <c r="S674" s="294"/>
      <c r="T674" s="294"/>
      <c r="U674" s="294"/>
      <c r="V674" s="294"/>
      <c r="W674" s="294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  <c r="BA674" s="286"/>
      <c r="BB674" s="286"/>
      <c r="BC674" s="286"/>
    </row>
    <row r="675" spans="1:57" s="285" customFormat="1" ht="13.5" customHeight="1">
      <c r="A675" s="297"/>
      <c r="B675" s="296">
        <v>43706</v>
      </c>
      <c r="C675" s="295" t="s">
        <v>40</v>
      </c>
      <c r="D675" s="294">
        <v>38</v>
      </c>
      <c r="E675" s="294"/>
      <c r="F675" s="294"/>
      <c r="G675" s="294"/>
      <c r="H675" s="294"/>
      <c r="I675" s="294"/>
      <c r="J675" s="294"/>
      <c r="K675" s="294"/>
      <c r="L675" s="294">
        <v>38</v>
      </c>
      <c r="M675" s="294"/>
      <c r="N675" s="294"/>
      <c r="O675" s="294"/>
      <c r="P675" s="294"/>
      <c r="Q675" s="294"/>
      <c r="R675" s="294"/>
      <c r="S675" s="294"/>
      <c r="T675" s="294"/>
      <c r="U675" s="294"/>
      <c r="V675" s="294"/>
      <c r="W675" s="294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  <c r="BA675" s="286"/>
      <c r="BB675" s="286"/>
      <c r="BC675" s="286"/>
    </row>
    <row r="676" spans="1:57" s="285" customFormat="1" ht="12" customHeight="1">
      <c r="A676" s="289"/>
      <c r="B676" s="288" t="str">
        <f>B608</f>
        <v>august</v>
      </c>
      <c r="C676" s="287" t="s">
        <v>36</v>
      </c>
      <c r="D676" s="287">
        <f t="shared" ref="D676:V676" si="16">SUM(D677:D677)</f>
        <v>0</v>
      </c>
      <c r="E676" s="287">
        <f t="shared" si="16"/>
        <v>0</v>
      </c>
      <c r="F676" s="287">
        <f t="shared" si="16"/>
        <v>0</v>
      </c>
      <c r="G676" s="287">
        <f t="shared" si="16"/>
        <v>0</v>
      </c>
      <c r="H676" s="287">
        <f t="shared" si="16"/>
        <v>0</v>
      </c>
      <c r="I676" s="287">
        <f t="shared" si="16"/>
        <v>0</v>
      </c>
      <c r="J676" s="287">
        <f t="shared" si="16"/>
        <v>0</v>
      </c>
      <c r="K676" s="287">
        <f t="shared" si="16"/>
        <v>0</v>
      </c>
      <c r="L676" s="287">
        <f t="shared" si="16"/>
        <v>0</v>
      </c>
      <c r="M676" s="287">
        <f t="shared" si="16"/>
        <v>0</v>
      </c>
      <c r="N676" s="287">
        <f t="shared" si="16"/>
        <v>0</v>
      </c>
      <c r="O676" s="287">
        <f t="shared" si="16"/>
        <v>0</v>
      </c>
      <c r="P676" s="287">
        <f t="shared" si="16"/>
        <v>0</v>
      </c>
      <c r="Q676" s="287">
        <f t="shared" si="16"/>
        <v>0</v>
      </c>
      <c r="R676" s="287">
        <f t="shared" si="16"/>
        <v>0</v>
      </c>
      <c r="S676" s="287">
        <f t="shared" si="16"/>
        <v>0</v>
      </c>
      <c r="T676" s="287">
        <f t="shared" si="16"/>
        <v>0</v>
      </c>
      <c r="U676" s="287">
        <f t="shared" si="16"/>
        <v>0</v>
      </c>
      <c r="V676" s="287">
        <f t="shared" si="16"/>
        <v>0</v>
      </c>
      <c r="W676" s="287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</row>
    <row r="677" spans="1:57" s="302" customFormat="1" ht="13.8">
      <c r="A677" s="306"/>
      <c r="B677" s="305"/>
      <c r="C677" s="304"/>
      <c r="D677" s="304"/>
      <c r="E677" s="303"/>
      <c r="F677" s="303"/>
      <c r="G677" s="303"/>
      <c r="H677" s="303"/>
      <c r="I677" s="303"/>
      <c r="J677" s="303"/>
      <c r="K677" s="303"/>
      <c r="L677" s="303"/>
      <c r="M677" s="303"/>
      <c r="N677" s="303"/>
      <c r="O677" s="303"/>
      <c r="P677" s="303"/>
      <c r="Q677" s="303"/>
      <c r="R677" s="303"/>
      <c r="S677" s="303"/>
      <c r="T677" s="303"/>
      <c r="U677" s="303"/>
      <c r="V677" s="303"/>
      <c r="W677" s="303"/>
    </row>
    <row r="678" spans="1:57" s="290" customFormat="1" ht="13.5" customHeight="1">
      <c r="A678" s="293"/>
      <c r="B678" s="3023" t="str">
        <f>K1</f>
        <v>september</v>
      </c>
      <c r="C678" s="3024"/>
      <c r="D678" s="292" t="e">
        <f t="shared" ref="D678:V678" si="17">SUM(D679:D746)</f>
        <v>#REF!</v>
      </c>
      <c r="E678" s="292">
        <f t="shared" si="17"/>
        <v>2011.74</v>
      </c>
      <c r="F678" s="292">
        <f t="shared" si="17"/>
        <v>316</v>
      </c>
      <c r="G678" s="292">
        <f t="shared" si="17"/>
        <v>1453.65</v>
      </c>
      <c r="H678" s="292">
        <f t="shared" si="17"/>
        <v>745.2</v>
      </c>
      <c r="I678" s="292">
        <f t="shared" si="17"/>
        <v>10.5</v>
      </c>
      <c r="J678" s="292">
        <f t="shared" si="17"/>
        <v>360</v>
      </c>
      <c r="K678" s="292">
        <f t="shared" si="17"/>
        <v>93.5</v>
      </c>
      <c r="L678" s="292">
        <f t="shared" si="17"/>
        <v>278.25</v>
      </c>
      <c r="M678" s="292">
        <f t="shared" si="17"/>
        <v>9717</v>
      </c>
      <c r="N678" s="292">
        <f t="shared" si="17"/>
        <v>260.85000000000002</v>
      </c>
      <c r="O678" s="292">
        <f t="shared" si="17"/>
        <v>3343.31</v>
      </c>
      <c r="P678" s="292">
        <f t="shared" si="17"/>
        <v>505</v>
      </c>
      <c r="Q678" s="292">
        <f t="shared" si="17"/>
        <v>281</v>
      </c>
      <c r="R678" s="292">
        <f t="shared" si="17"/>
        <v>0</v>
      </c>
      <c r="S678" s="292">
        <f t="shared" si="17"/>
        <v>0</v>
      </c>
      <c r="T678" s="292">
        <f t="shared" si="17"/>
        <v>0</v>
      </c>
      <c r="U678" s="292">
        <f t="shared" si="17"/>
        <v>-400</v>
      </c>
      <c r="V678" s="292" t="e">
        <f t="shared" si="17"/>
        <v>#REF!</v>
      </c>
      <c r="W678" s="292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</row>
    <row r="679" spans="1:57" s="285" customFormat="1" ht="13.5" customHeight="1">
      <c r="A679" s="297"/>
      <c r="B679" s="296">
        <v>43707</v>
      </c>
      <c r="C679" s="295" t="s">
        <v>35</v>
      </c>
      <c r="D679" s="294">
        <v>-11306</v>
      </c>
      <c r="E679" s="294"/>
      <c r="F679" s="294"/>
      <c r="G679" s="294"/>
      <c r="H679" s="294"/>
      <c r="I679" s="294"/>
      <c r="J679" s="294"/>
      <c r="K679" s="294"/>
      <c r="L679" s="294"/>
      <c r="M679" s="294"/>
      <c r="N679" s="294"/>
      <c r="O679" s="294"/>
      <c r="P679" s="294"/>
      <c r="Q679" s="294"/>
      <c r="R679" s="294"/>
      <c r="S679" s="294"/>
      <c r="T679" s="294"/>
      <c r="U679" s="294"/>
      <c r="V679" s="294"/>
      <c r="W679" s="294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  <c r="BA679" s="286"/>
      <c r="BB679" s="286"/>
      <c r="BC679" s="286"/>
    </row>
    <row r="680" spans="1:57" s="285" customFormat="1" ht="13.5" customHeight="1">
      <c r="A680" s="297"/>
      <c r="B680" s="296">
        <v>43707</v>
      </c>
      <c r="C680" s="295" t="s">
        <v>34</v>
      </c>
      <c r="D680" s="294">
        <v>-7315</v>
      </c>
      <c r="E680" s="294"/>
      <c r="F680" s="294"/>
      <c r="G680" s="294"/>
      <c r="H680" s="294"/>
      <c r="I680" s="294"/>
      <c r="J680" s="294"/>
      <c r="K680" s="294"/>
      <c r="L680" s="294"/>
      <c r="M680" s="294"/>
      <c r="N680" s="294"/>
      <c r="O680" s="294"/>
      <c r="P680" s="294"/>
      <c r="Q680" s="294"/>
      <c r="R680" s="294"/>
      <c r="S680" s="294"/>
      <c r="T680" s="294"/>
      <c r="U680" s="294"/>
      <c r="V680" s="294"/>
      <c r="W680" s="294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  <c r="BA680" s="286"/>
      <c r="BB680" s="286"/>
      <c r="BC680" s="286"/>
    </row>
    <row r="681" spans="1:57" s="285" customFormat="1" ht="13.5" customHeight="1">
      <c r="A681" s="297"/>
      <c r="B681" s="296">
        <v>43707</v>
      </c>
      <c r="C681" s="295" t="s">
        <v>33</v>
      </c>
      <c r="D681" s="294">
        <v>-205</v>
      </c>
      <c r="E681" s="294"/>
      <c r="F681" s="294"/>
      <c r="G681" s="294"/>
      <c r="H681" s="294"/>
      <c r="I681" s="294"/>
      <c r="J681" s="294"/>
      <c r="K681" s="294"/>
      <c r="L681" s="294"/>
      <c r="M681" s="294"/>
      <c r="N681" s="294"/>
      <c r="O681" s="294"/>
      <c r="P681" s="294"/>
      <c r="Q681" s="294"/>
      <c r="R681" s="294"/>
      <c r="S681" s="294"/>
      <c r="T681" s="294"/>
      <c r="U681" s="294"/>
      <c r="V681" s="294"/>
      <c r="W681" s="294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  <c r="BA681" s="286"/>
      <c r="BB681" s="286"/>
      <c r="BC681" s="286"/>
    </row>
    <row r="682" spans="1:57" s="285" customFormat="1" ht="13.5" customHeight="1">
      <c r="A682" s="297"/>
      <c r="B682" s="296">
        <v>43707</v>
      </c>
      <c r="C682" s="295" t="s">
        <v>21</v>
      </c>
      <c r="D682" s="294">
        <v>176</v>
      </c>
      <c r="E682" s="294"/>
      <c r="F682" s="294"/>
      <c r="G682" s="294"/>
      <c r="H682" s="294"/>
      <c r="I682" s="294"/>
      <c r="J682" s="294"/>
      <c r="K682" s="294"/>
      <c r="L682" s="294"/>
      <c r="M682" s="294"/>
      <c r="N682" s="294"/>
      <c r="O682" s="294"/>
      <c r="P682" s="294">
        <f>D682</f>
        <v>176</v>
      </c>
      <c r="Q682" s="294"/>
      <c r="R682" s="294"/>
      <c r="S682" s="294"/>
      <c r="T682" s="294"/>
      <c r="U682" s="294"/>
      <c r="V682" s="294"/>
      <c r="W682" s="294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  <c r="BA682" s="286"/>
      <c r="BB682" s="286"/>
      <c r="BC682" s="286"/>
    </row>
    <row r="683" spans="1:57" s="285" customFormat="1" ht="13.5" customHeight="1">
      <c r="A683" s="297"/>
      <c r="B683" s="296">
        <v>43707</v>
      </c>
      <c r="C683" s="295" t="s">
        <v>40</v>
      </c>
      <c r="D683" s="294">
        <v>137</v>
      </c>
      <c r="E683" s="294"/>
      <c r="F683" s="294"/>
      <c r="G683" s="294"/>
      <c r="H683" s="294"/>
      <c r="I683" s="294"/>
      <c r="J683" s="294">
        <v>80</v>
      </c>
      <c r="K683" s="294"/>
      <c r="L683" s="294">
        <v>57</v>
      </c>
      <c r="M683" s="294"/>
      <c r="N683" s="294"/>
      <c r="O683" s="294"/>
      <c r="P683" s="294"/>
      <c r="Q683" s="294"/>
      <c r="R683" s="294"/>
      <c r="S683" s="294"/>
      <c r="T683" s="294"/>
      <c r="U683" s="294"/>
      <c r="V683" s="294"/>
      <c r="W683" s="294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  <c r="BA683" s="286"/>
      <c r="BB683" s="286"/>
      <c r="BC683" s="286"/>
    </row>
    <row r="684" spans="1:57" s="285" customFormat="1" ht="13.5" customHeight="1">
      <c r="A684" s="297"/>
      <c r="B684" s="296">
        <v>43707</v>
      </c>
      <c r="C684" s="295" t="s">
        <v>124</v>
      </c>
      <c r="D684" s="294">
        <v>289.89999999999998</v>
      </c>
      <c r="E684" s="294"/>
      <c r="F684" s="294"/>
      <c r="G684" s="294"/>
      <c r="H684" s="294">
        <v>289.89999999999998</v>
      </c>
      <c r="I684" s="294"/>
      <c r="J684" s="294"/>
      <c r="K684" s="294"/>
      <c r="L684" s="294"/>
      <c r="M684" s="294"/>
      <c r="N684" s="294"/>
      <c r="O684" s="294"/>
      <c r="P684" s="294"/>
      <c r="Q684" s="294"/>
      <c r="R684" s="294"/>
      <c r="S684" s="294"/>
      <c r="T684" s="294"/>
      <c r="U684" s="294"/>
      <c r="V684" s="294"/>
      <c r="W684" s="294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  <c r="BA684" s="286"/>
      <c r="BB684" s="286"/>
      <c r="BC684" s="286"/>
    </row>
    <row r="685" spans="1:57" s="285" customFormat="1" ht="13.5" customHeight="1">
      <c r="A685" s="297"/>
      <c r="B685" s="296">
        <v>43707</v>
      </c>
      <c r="C685" s="295" t="s">
        <v>451</v>
      </c>
      <c r="D685" s="294">
        <v>250.5</v>
      </c>
      <c r="E685" s="294"/>
      <c r="F685" s="294">
        <v>149</v>
      </c>
      <c r="G685" s="294">
        <v>91.5</v>
      </c>
      <c r="H685" s="294"/>
      <c r="I685" s="294"/>
      <c r="J685" s="294"/>
      <c r="K685" s="294"/>
      <c r="L685" s="294">
        <v>10</v>
      </c>
      <c r="M685" s="294"/>
      <c r="N685" s="294"/>
      <c r="O685" s="294"/>
      <c r="P685" s="294"/>
      <c r="Q685" s="294"/>
      <c r="R685" s="294"/>
      <c r="S685" s="294"/>
      <c r="T685" s="294"/>
      <c r="U685" s="294"/>
      <c r="V685" s="294"/>
      <c r="W685" s="294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  <c r="BA685" s="286"/>
      <c r="BB685" s="286"/>
      <c r="BC685" s="286"/>
    </row>
    <row r="686" spans="1:57" s="285" customFormat="1" ht="13.5" customHeight="1">
      <c r="A686" s="297"/>
      <c r="B686" s="296">
        <v>43707</v>
      </c>
      <c r="C686" s="295" t="s">
        <v>39</v>
      </c>
      <c r="D686" s="294">
        <v>123.5</v>
      </c>
      <c r="E686" s="294"/>
      <c r="F686" s="294"/>
      <c r="G686" s="294">
        <v>123.5</v>
      </c>
      <c r="H686" s="294"/>
      <c r="I686" s="294"/>
      <c r="J686" s="294"/>
      <c r="K686" s="294"/>
      <c r="L686" s="294"/>
      <c r="M686" s="294"/>
      <c r="N686" s="294"/>
      <c r="O686" s="294"/>
      <c r="P686" s="294"/>
      <c r="Q686" s="294"/>
      <c r="R686" s="294"/>
      <c r="S686" s="294"/>
      <c r="T686" s="294"/>
      <c r="U686" s="294"/>
      <c r="V686" s="294"/>
      <c r="W686" s="294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  <c r="BA686" s="286"/>
      <c r="BB686" s="286"/>
      <c r="BC686" s="286"/>
    </row>
    <row r="687" spans="1:57" s="285" customFormat="1" ht="13.5" customHeight="1">
      <c r="A687" s="297"/>
      <c r="B687" s="296">
        <v>43707</v>
      </c>
      <c r="C687" s="295" t="s">
        <v>124</v>
      </c>
      <c r="D687" s="294">
        <v>18.55</v>
      </c>
      <c r="E687" s="294"/>
      <c r="F687" s="294"/>
      <c r="G687" s="294"/>
      <c r="H687" s="294">
        <v>18.55</v>
      </c>
      <c r="I687" s="294"/>
      <c r="J687" s="294"/>
      <c r="K687" s="294"/>
      <c r="L687" s="294"/>
      <c r="M687" s="294"/>
      <c r="N687" s="294"/>
      <c r="O687" s="294"/>
      <c r="P687" s="294"/>
      <c r="Q687" s="294"/>
      <c r="R687" s="294"/>
      <c r="S687" s="294"/>
      <c r="T687" s="294"/>
      <c r="U687" s="294"/>
      <c r="V687" s="294"/>
      <c r="W687" s="294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  <c r="BA687" s="286"/>
      <c r="BB687" s="286"/>
      <c r="BC687" s="286"/>
    </row>
    <row r="688" spans="1:57" s="285" customFormat="1" ht="13.5" customHeight="1">
      <c r="A688" s="297"/>
      <c r="B688" s="296">
        <v>43707</v>
      </c>
      <c r="C688" s="295" t="s">
        <v>451</v>
      </c>
      <c r="D688" s="294">
        <v>60</v>
      </c>
      <c r="E688" s="294"/>
      <c r="F688" s="294"/>
      <c r="G688" s="294">
        <v>50</v>
      </c>
      <c r="H688" s="294"/>
      <c r="I688" s="294"/>
      <c r="J688" s="294"/>
      <c r="K688" s="294"/>
      <c r="L688" s="294">
        <v>10</v>
      </c>
      <c r="M688" s="294"/>
      <c r="N688" s="294"/>
      <c r="O688" s="294"/>
      <c r="P688" s="294"/>
      <c r="Q688" s="294"/>
      <c r="R688" s="294"/>
      <c r="S688" s="294"/>
      <c r="T688" s="294"/>
      <c r="U688" s="294"/>
      <c r="V688" s="294"/>
      <c r="W688" s="294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  <c r="BA688" s="286"/>
      <c r="BB688" s="286"/>
      <c r="BC688" s="286"/>
    </row>
    <row r="689" spans="1:55" s="285" customFormat="1" ht="13.5" customHeight="1">
      <c r="A689" s="297"/>
      <c r="B689" s="296">
        <v>43707</v>
      </c>
      <c r="C689" s="295" t="s">
        <v>40</v>
      </c>
      <c r="D689" s="294">
        <v>61</v>
      </c>
      <c r="E689" s="294"/>
      <c r="F689" s="294"/>
      <c r="G689" s="294">
        <v>30</v>
      </c>
      <c r="H689" s="294"/>
      <c r="I689" s="294"/>
      <c r="J689" s="294"/>
      <c r="K689" s="294"/>
      <c r="L689" s="294">
        <v>31</v>
      </c>
      <c r="M689" s="294"/>
      <c r="N689" s="294"/>
      <c r="O689" s="294"/>
      <c r="P689" s="294"/>
      <c r="Q689" s="294"/>
      <c r="R689" s="294"/>
      <c r="S689" s="294"/>
      <c r="T689" s="294"/>
      <c r="U689" s="294"/>
      <c r="V689" s="294"/>
      <c r="W689" s="294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  <c r="BA689" s="286"/>
      <c r="BB689" s="286"/>
      <c r="BC689" s="286"/>
    </row>
    <row r="690" spans="1:55" s="285" customFormat="1" ht="13.5" customHeight="1">
      <c r="A690" s="297"/>
      <c r="B690" s="296">
        <v>43708</v>
      </c>
      <c r="C690" s="295" t="s">
        <v>124</v>
      </c>
      <c r="D690" s="294">
        <v>287.25</v>
      </c>
      <c r="E690" s="294"/>
      <c r="F690" s="294"/>
      <c r="G690" s="294"/>
      <c r="H690" s="294">
        <v>287.25</v>
      </c>
      <c r="I690" s="294"/>
      <c r="J690" s="294"/>
      <c r="K690" s="294"/>
      <c r="L690" s="294"/>
      <c r="M690" s="294"/>
      <c r="N690" s="294"/>
      <c r="O690" s="294"/>
      <c r="P690" s="294"/>
      <c r="Q690" s="294"/>
      <c r="R690" s="294"/>
      <c r="S690" s="294"/>
      <c r="T690" s="294"/>
      <c r="U690" s="294"/>
      <c r="V690" s="294"/>
      <c r="W690" s="294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  <c r="BA690" s="286"/>
      <c r="BB690" s="286"/>
      <c r="BC690" s="286"/>
    </row>
    <row r="691" spans="1:55" s="285" customFormat="1" ht="13.5" customHeight="1">
      <c r="A691" s="297"/>
      <c r="B691" s="296">
        <v>43708</v>
      </c>
      <c r="C691" s="295" t="s">
        <v>451</v>
      </c>
      <c r="D691" s="294">
        <v>24</v>
      </c>
      <c r="E691" s="294"/>
      <c r="F691" s="294"/>
      <c r="G691" s="294">
        <v>24</v>
      </c>
      <c r="H691" s="294"/>
      <c r="I691" s="294"/>
      <c r="J691" s="294"/>
      <c r="K691" s="294"/>
      <c r="L691" s="294"/>
      <c r="M691" s="294"/>
      <c r="N691" s="294"/>
      <c r="O691" s="294"/>
      <c r="P691" s="294"/>
      <c r="Q691" s="294"/>
      <c r="R691" s="294"/>
      <c r="S691" s="294"/>
      <c r="T691" s="294"/>
      <c r="U691" s="294"/>
      <c r="V691" s="294"/>
      <c r="W691" s="294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  <c r="BA691" s="286"/>
      <c r="BB691" s="286"/>
      <c r="BC691" s="286"/>
    </row>
    <row r="692" spans="1:55" s="285" customFormat="1" ht="13.5" customHeight="1">
      <c r="A692" s="297"/>
      <c r="B692" s="296">
        <v>43708</v>
      </c>
      <c r="C692" s="295" t="s">
        <v>40</v>
      </c>
      <c r="D692" s="294">
        <v>76</v>
      </c>
      <c r="E692" s="294"/>
      <c r="F692" s="294"/>
      <c r="G692" s="294"/>
      <c r="H692" s="294"/>
      <c r="I692" s="294"/>
      <c r="J692" s="294"/>
      <c r="K692" s="294"/>
      <c r="L692" s="294">
        <v>76</v>
      </c>
      <c r="M692" s="294"/>
      <c r="N692" s="294"/>
      <c r="O692" s="294"/>
      <c r="P692" s="294"/>
      <c r="Q692" s="294"/>
      <c r="R692" s="294"/>
      <c r="S692" s="294"/>
      <c r="T692" s="294"/>
      <c r="U692" s="294"/>
      <c r="V692" s="294"/>
      <c r="W692" s="294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  <c r="BA692" s="286"/>
      <c r="BB692" s="286"/>
      <c r="BC692" s="286"/>
    </row>
    <row r="693" spans="1:55" s="285" customFormat="1" ht="13.5" customHeight="1">
      <c r="A693" s="297"/>
      <c r="B693" s="296">
        <v>43709</v>
      </c>
      <c r="C693" s="295" t="s">
        <v>230</v>
      </c>
      <c r="D693" s="294">
        <v>64</v>
      </c>
      <c r="E693" s="294"/>
      <c r="F693" s="294"/>
      <c r="G693" s="294"/>
      <c r="H693" s="294"/>
      <c r="I693" s="294"/>
      <c r="J693" s="294"/>
      <c r="K693" s="294"/>
      <c r="L693" s="294"/>
      <c r="M693" s="294"/>
      <c r="N693" s="294"/>
      <c r="O693" s="294"/>
      <c r="P693" s="294">
        <f>D693</f>
        <v>64</v>
      </c>
      <c r="Q693" s="294"/>
      <c r="R693" s="294"/>
      <c r="S693" s="294"/>
      <c r="T693" s="294"/>
      <c r="U693" s="294"/>
      <c r="V693" s="294"/>
      <c r="W693" s="294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  <c r="BA693" s="286"/>
      <c r="BB693" s="286"/>
      <c r="BC693" s="286"/>
    </row>
    <row r="694" spans="1:55" s="285" customFormat="1" ht="13.5" customHeight="1">
      <c r="A694" s="297"/>
      <c r="B694" s="296">
        <v>43710</v>
      </c>
      <c r="C694" s="295" t="s">
        <v>31</v>
      </c>
      <c r="D694" s="294">
        <v>-1147</v>
      </c>
      <c r="E694" s="294"/>
      <c r="F694" s="294"/>
      <c r="G694" s="294"/>
      <c r="H694" s="294"/>
      <c r="I694" s="294"/>
      <c r="J694" s="294"/>
      <c r="K694" s="294"/>
      <c r="L694" s="294"/>
      <c r="M694" s="294"/>
      <c r="N694" s="294"/>
      <c r="O694" s="294"/>
      <c r="P694" s="294"/>
      <c r="Q694" s="294"/>
      <c r="R694" s="294"/>
      <c r="S694" s="294"/>
      <c r="T694" s="294"/>
      <c r="U694" s="294"/>
      <c r="V694" s="294"/>
      <c r="W694" s="294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  <c r="BA694" s="286"/>
      <c r="BB694" s="286"/>
      <c r="BC694" s="286"/>
    </row>
    <row r="695" spans="1:55" s="285" customFormat="1" ht="13.5" customHeight="1">
      <c r="A695" s="297"/>
      <c r="B695" s="296">
        <v>43710</v>
      </c>
      <c r="C695" s="295" t="s">
        <v>30</v>
      </c>
      <c r="D695" s="294">
        <v>9717</v>
      </c>
      <c r="E695" s="294"/>
      <c r="F695" s="294"/>
      <c r="G695" s="294"/>
      <c r="H695" s="294"/>
      <c r="I695" s="294"/>
      <c r="J695" s="294"/>
      <c r="K695" s="294"/>
      <c r="L695" s="294"/>
      <c r="M695" s="294">
        <f>D695</f>
        <v>9717</v>
      </c>
      <c r="N695" s="294"/>
      <c r="O695" s="294"/>
      <c r="P695" s="294"/>
      <c r="Q695" s="294"/>
      <c r="R695" s="294"/>
      <c r="S695" s="294"/>
      <c r="T695" s="294"/>
      <c r="U695" s="294"/>
      <c r="V695" s="294"/>
      <c r="W695" s="294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  <c r="BA695" s="286"/>
      <c r="BB695" s="286"/>
      <c r="BC695" s="286"/>
    </row>
    <row r="696" spans="1:55" s="285" customFormat="1" ht="13.5" customHeight="1">
      <c r="A696" s="297"/>
      <c r="B696" s="296">
        <v>43710</v>
      </c>
      <c r="C696" s="295" t="s">
        <v>265</v>
      </c>
      <c r="D696" s="294">
        <v>602.4</v>
      </c>
      <c r="E696" s="294">
        <f>D696</f>
        <v>602.4</v>
      </c>
      <c r="F696" s="294"/>
      <c r="G696" s="294"/>
      <c r="H696" s="294"/>
      <c r="I696" s="294"/>
      <c r="J696" s="294"/>
      <c r="K696" s="294"/>
      <c r="L696" s="294"/>
      <c r="M696" s="294"/>
      <c r="N696" s="294"/>
      <c r="O696" s="294"/>
      <c r="P696" s="294"/>
      <c r="Q696" s="294"/>
      <c r="R696" s="294"/>
      <c r="S696" s="294"/>
      <c r="T696" s="294"/>
      <c r="U696" s="294"/>
      <c r="V696" s="294"/>
      <c r="W696" s="294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  <c r="BA696" s="286"/>
      <c r="BB696" s="286"/>
      <c r="BC696" s="286"/>
    </row>
    <row r="697" spans="1:55" s="285" customFormat="1" ht="13.5" customHeight="1">
      <c r="A697" s="297"/>
      <c r="B697" s="296">
        <v>43710</v>
      </c>
      <c r="C697" s="295" t="s">
        <v>264</v>
      </c>
      <c r="D697" s="294">
        <v>490</v>
      </c>
      <c r="E697" s="294">
        <f>D697</f>
        <v>490</v>
      </c>
      <c r="F697" s="294"/>
      <c r="G697" s="294"/>
      <c r="H697" s="294"/>
      <c r="I697" s="294"/>
      <c r="J697" s="294"/>
      <c r="K697" s="294"/>
      <c r="L697" s="294"/>
      <c r="M697" s="294"/>
      <c r="N697" s="294"/>
      <c r="O697" s="294"/>
      <c r="P697" s="294"/>
      <c r="Q697" s="294"/>
      <c r="R697" s="294"/>
      <c r="S697" s="294"/>
      <c r="T697" s="294"/>
      <c r="U697" s="294"/>
      <c r="V697" s="294"/>
      <c r="W697" s="294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  <c r="BA697" s="286"/>
      <c r="BB697" s="286"/>
      <c r="BC697" s="286"/>
    </row>
    <row r="698" spans="1:55" s="285" customFormat="1" ht="13.5" customHeight="1">
      <c r="A698" s="297"/>
      <c r="B698" s="296">
        <v>43710</v>
      </c>
      <c r="C698" s="295" t="s">
        <v>182</v>
      </c>
      <c r="D698" s="294">
        <v>284</v>
      </c>
      <c r="E698" s="294">
        <f>D698</f>
        <v>284</v>
      </c>
      <c r="F698" s="294"/>
      <c r="G698" s="294"/>
      <c r="H698" s="294"/>
      <c r="I698" s="294"/>
      <c r="J698" s="294"/>
      <c r="K698" s="294"/>
      <c r="L698" s="294"/>
      <c r="M698" s="294"/>
      <c r="N698" s="294"/>
      <c r="O698" s="294"/>
      <c r="P698" s="294"/>
      <c r="Q698" s="294"/>
      <c r="R698" s="294"/>
      <c r="S698" s="294"/>
      <c r="T698" s="294"/>
      <c r="U698" s="294"/>
      <c r="V698" s="294"/>
      <c r="W698" s="294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  <c r="BA698" s="286"/>
      <c r="BB698" s="286"/>
      <c r="BC698" s="286"/>
    </row>
    <row r="699" spans="1:55" s="285" customFormat="1" ht="13.5" customHeight="1">
      <c r="A699" s="297"/>
      <c r="B699" s="296">
        <v>43710</v>
      </c>
      <c r="C699" s="295" t="s">
        <v>183</v>
      </c>
      <c r="D699" s="294">
        <v>458.75</v>
      </c>
      <c r="E699" s="294">
        <f>D699</f>
        <v>458.75</v>
      </c>
      <c r="F699" s="294"/>
      <c r="G699" s="294"/>
      <c r="H699" s="294"/>
      <c r="I699" s="294"/>
      <c r="J699" s="294"/>
      <c r="K699" s="294"/>
      <c r="L699" s="294"/>
      <c r="M699" s="294"/>
      <c r="N699" s="294"/>
      <c r="O699" s="294"/>
      <c r="P699" s="294"/>
      <c r="Q699" s="294"/>
      <c r="R699" s="294"/>
      <c r="S699" s="294"/>
      <c r="T699" s="294"/>
      <c r="U699" s="294"/>
      <c r="V699" s="294"/>
      <c r="W699" s="294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  <c r="BA699" s="286"/>
      <c r="BB699" s="286"/>
      <c r="BC699" s="286"/>
    </row>
    <row r="700" spans="1:55" s="285" customFormat="1" ht="13.5" customHeight="1">
      <c r="A700" s="297"/>
      <c r="B700" s="296">
        <v>43710</v>
      </c>
      <c r="C700" s="295" t="s">
        <v>363</v>
      </c>
      <c r="D700" s="294">
        <v>798.31</v>
      </c>
      <c r="E700" s="294"/>
      <c r="F700" s="294"/>
      <c r="G700" s="294"/>
      <c r="H700" s="294"/>
      <c r="I700" s="294"/>
      <c r="J700" s="294"/>
      <c r="K700" s="294"/>
      <c r="L700" s="294"/>
      <c r="M700" s="294"/>
      <c r="N700" s="294"/>
      <c r="O700" s="294">
        <f>D700</f>
        <v>798.31</v>
      </c>
      <c r="P700" s="294"/>
      <c r="Q700" s="294"/>
      <c r="R700" s="294"/>
      <c r="S700" s="294"/>
      <c r="T700" s="294"/>
      <c r="U700" s="294"/>
      <c r="V700" s="294"/>
      <c r="W700" s="294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  <c r="BA700" s="286"/>
      <c r="BB700" s="286"/>
      <c r="BC700" s="286"/>
    </row>
    <row r="701" spans="1:55" s="285" customFormat="1" ht="13.5" customHeight="1">
      <c r="A701" s="297"/>
      <c r="B701" s="296">
        <v>43710</v>
      </c>
      <c r="C701" s="295" t="s">
        <v>381</v>
      </c>
      <c r="D701" s="294" t="e">
        <f>#REF!</f>
        <v>#REF!</v>
      </c>
      <c r="E701" s="294"/>
      <c r="F701" s="294"/>
      <c r="G701" s="294"/>
      <c r="H701" s="294"/>
      <c r="I701" s="294"/>
      <c r="J701" s="294"/>
      <c r="K701" s="294"/>
      <c r="L701" s="294"/>
      <c r="M701" s="294"/>
      <c r="N701" s="294"/>
      <c r="O701" s="294"/>
      <c r="P701" s="294"/>
      <c r="Q701" s="294"/>
      <c r="R701" s="294"/>
      <c r="S701" s="294"/>
      <c r="T701" s="294"/>
      <c r="U701" s="294"/>
      <c r="V701" s="294" t="e">
        <f>D701</f>
        <v>#REF!</v>
      </c>
      <c r="W701" s="294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  <c r="BA701" s="286"/>
      <c r="BB701" s="286"/>
      <c r="BC701" s="286"/>
    </row>
    <row r="702" spans="1:55" s="285" customFormat="1" ht="13.5" customHeight="1">
      <c r="A702" s="297"/>
      <c r="B702" s="296">
        <v>43709</v>
      </c>
      <c r="C702" s="295" t="s">
        <v>22</v>
      </c>
      <c r="D702" s="294">
        <v>89</v>
      </c>
      <c r="E702" s="294"/>
      <c r="F702" s="294"/>
      <c r="G702" s="294"/>
      <c r="H702" s="294"/>
      <c r="I702" s="294"/>
      <c r="J702" s="294"/>
      <c r="K702" s="294"/>
      <c r="L702" s="294"/>
      <c r="M702" s="294"/>
      <c r="N702" s="294"/>
      <c r="O702" s="294"/>
      <c r="P702" s="294">
        <f>D702</f>
        <v>89</v>
      </c>
      <c r="Q702" s="294"/>
      <c r="R702" s="294"/>
      <c r="S702" s="294"/>
      <c r="T702" s="294"/>
      <c r="U702" s="294"/>
      <c r="V702" s="294"/>
      <c r="W702" s="294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  <c r="BA702" s="286"/>
      <c r="BB702" s="286"/>
      <c r="BC702" s="286"/>
    </row>
    <row r="703" spans="1:55" s="285" customFormat="1" ht="13.5" customHeight="1">
      <c r="A703" s="297"/>
      <c r="B703" s="296">
        <v>43710</v>
      </c>
      <c r="C703" s="295" t="s">
        <v>21</v>
      </c>
      <c r="D703" s="294">
        <v>176</v>
      </c>
      <c r="E703" s="294"/>
      <c r="F703" s="294"/>
      <c r="G703" s="294"/>
      <c r="H703" s="294"/>
      <c r="I703" s="294"/>
      <c r="J703" s="294"/>
      <c r="K703" s="294"/>
      <c r="L703" s="294"/>
      <c r="M703" s="294"/>
      <c r="N703" s="294"/>
      <c r="O703" s="294"/>
      <c r="P703" s="294">
        <f>D703</f>
        <v>176</v>
      </c>
      <c r="Q703" s="294"/>
      <c r="R703" s="294"/>
      <c r="S703" s="294"/>
      <c r="T703" s="294"/>
      <c r="U703" s="294"/>
      <c r="V703" s="294"/>
      <c r="W703" s="294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  <c r="BA703" s="286"/>
      <c r="BB703" s="286"/>
      <c r="BC703" s="286"/>
    </row>
    <row r="704" spans="1:55" s="285" customFormat="1" ht="13.5" customHeight="1">
      <c r="A704" s="297"/>
      <c r="B704" s="296">
        <v>43710</v>
      </c>
      <c r="C704" s="295" t="s">
        <v>186</v>
      </c>
      <c r="D704" s="294">
        <v>200</v>
      </c>
      <c r="E704" s="294"/>
      <c r="F704" s="294"/>
      <c r="G704" s="294"/>
      <c r="H704" s="294"/>
      <c r="I704" s="294"/>
      <c r="J704" s="294"/>
      <c r="K704" s="294"/>
      <c r="L704" s="294"/>
      <c r="M704" s="294"/>
      <c r="N704" s="294"/>
      <c r="O704" s="294"/>
      <c r="P704" s="294"/>
      <c r="Q704" s="294">
        <f>D704</f>
        <v>200</v>
      </c>
      <c r="R704" s="294"/>
      <c r="S704" s="294"/>
      <c r="T704" s="294"/>
      <c r="U704" s="294"/>
      <c r="V704" s="294"/>
      <c r="W704" s="294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  <c r="BA704" s="286"/>
      <c r="BB704" s="286"/>
      <c r="BC704" s="286"/>
    </row>
    <row r="705" spans="1:55" s="285" customFormat="1" ht="13.5" customHeight="1">
      <c r="A705" s="297"/>
      <c r="B705" s="296">
        <v>43710</v>
      </c>
      <c r="C705" s="295" t="s">
        <v>125</v>
      </c>
      <c r="D705" s="294">
        <v>81</v>
      </c>
      <c r="E705" s="294"/>
      <c r="F705" s="294"/>
      <c r="G705" s="294"/>
      <c r="H705" s="294"/>
      <c r="I705" s="294"/>
      <c r="J705" s="294"/>
      <c r="K705" s="294"/>
      <c r="L705" s="294"/>
      <c r="M705" s="294"/>
      <c r="N705" s="294"/>
      <c r="O705" s="294"/>
      <c r="P705" s="294"/>
      <c r="Q705" s="294">
        <f>D705</f>
        <v>81</v>
      </c>
      <c r="R705" s="294"/>
      <c r="S705" s="294"/>
      <c r="T705" s="294"/>
      <c r="U705" s="294"/>
      <c r="V705" s="294"/>
      <c r="W705" s="294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  <c r="BA705" s="286"/>
      <c r="BB705" s="286"/>
      <c r="BC705" s="286"/>
    </row>
    <row r="706" spans="1:55" s="285" customFormat="1" ht="13.5" customHeight="1">
      <c r="A706" s="297"/>
      <c r="B706" s="296">
        <v>43711</v>
      </c>
      <c r="C706" s="295" t="s">
        <v>124</v>
      </c>
      <c r="D706" s="294">
        <v>79.75</v>
      </c>
      <c r="E706" s="294"/>
      <c r="F706" s="294"/>
      <c r="G706" s="294"/>
      <c r="H706" s="294">
        <v>79.75</v>
      </c>
      <c r="I706" s="294"/>
      <c r="J706" s="294"/>
      <c r="K706" s="294"/>
      <c r="L706" s="294"/>
      <c r="M706" s="294"/>
      <c r="N706" s="294"/>
      <c r="O706" s="294"/>
      <c r="P706" s="294"/>
      <c r="Q706" s="294"/>
      <c r="R706" s="294"/>
      <c r="S706" s="294"/>
      <c r="T706" s="294"/>
      <c r="U706" s="294"/>
      <c r="V706" s="294"/>
      <c r="W706" s="294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  <c r="BA706" s="286"/>
      <c r="BB706" s="286"/>
      <c r="BC706" s="286"/>
    </row>
    <row r="707" spans="1:55" s="285" customFormat="1" ht="13.5" customHeight="1">
      <c r="A707" s="297"/>
      <c r="B707" s="296">
        <v>43711</v>
      </c>
      <c r="C707" s="295" t="s">
        <v>124</v>
      </c>
      <c r="D707" s="294">
        <v>1.3</v>
      </c>
      <c r="E707" s="294"/>
      <c r="F707" s="294"/>
      <c r="G707" s="294"/>
      <c r="H707" s="294">
        <v>1.3</v>
      </c>
      <c r="I707" s="294"/>
      <c r="J707" s="294"/>
      <c r="K707" s="294"/>
      <c r="L707" s="294"/>
      <c r="M707" s="294"/>
      <c r="N707" s="294"/>
      <c r="O707" s="294"/>
      <c r="P707" s="294"/>
      <c r="Q707" s="294"/>
      <c r="R707" s="294"/>
      <c r="S707" s="294"/>
      <c r="T707" s="294"/>
      <c r="U707" s="294"/>
      <c r="V707" s="294"/>
      <c r="W707" s="294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  <c r="BA707" s="286"/>
      <c r="BB707" s="286"/>
      <c r="BC707" s="286"/>
    </row>
    <row r="708" spans="1:55" s="285" customFormat="1" ht="13.5" customHeight="1">
      <c r="A708" s="297"/>
      <c r="B708" s="296">
        <v>43711</v>
      </c>
      <c r="C708" s="295" t="s">
        <v>124</v>
      </c>
      <c r="D708" s="294">
        <v>0</v>
      </c>
      <c r="E708" s="294"/>
      <c r="F708" s="294"/>
      <c r="G708" s="294"/>
      <c r="H708" s="294">
        <v>0</v>
      </c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  <c r="T708" s="294"/>
      <c r="U708" s="294"/>
      <c r="V708" s="294"/>
      <c r="W708" s="294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  <c r="BA708" s="286"/>
      <c r="BB708" s="286"/>
      <c r="BC708" s="286"/>
    </row>
    <row r="709" spans="1:55" s="285" customFormat="1" ht="13.5" customHeight="1">
      <c r="A709" s="297"/>
      <c r="B709" s="296">
        <v>43711</v>
      </c>
      <c r="C709" s="295" t="s">
        <v>451</v>
      </c>
      <c r="D709" s="294">
        <v>56.4</v>
      </c>
      <c r="E709" s="294"/>
      <c r="F709" s="294"/>
      <c r="G709" s="294">
        <v>41.4</v>
      </c>
      <c r="H709" s="294"/>
      <c r="I709" s="294"/>
      <c r="J709" s="294"/>
      <c r="K709" s="294"/>
      <c r="L709" s="294">
        <v>15</v>
      </c>
      <c r="M709" s="294"/>
      <c r="N709" s="294"/>
      <c r="O709" s="294"/>
      <c r="P709" s="294"/>
      <c r="Q709" s="294"/>
      <c r="R709" s="294"/>
      <c r="S709" s="294"/>
      <c r="T709" s="294"/>
      <c r="U709" s="294"/>
      <c r="V709" s="294"/>
      <c r="W709" s="294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  <c r="BA709" s="286"/>
      <c r="BB709" s="286"/>
      <c r="BC709" s="286"/>
    </row>
    <row r="710" spans="1:55" s="285" customFormat="1" ht="13.5" customHeight="1">
      <c r="A710" s="297"/>
      <c r="B710" s="296">
        <v>43711</v>
      </c>
      <c r="C710" s="295" t="s">
        <v>192</v>
      </c>
      <c r="D710" s="294">
        <v>110</v>
      </c>
      <c r="E710" s="294"/>
      <c r="F710" s="294"/>
      <c r="G710" s="294">
        <v>110</v>
      </c>
      <c r="H710" s="294"/>
      <c r="I710" s="294"/>
      <c r="J710" s="294"/>
      <c r="K710" s="294"/>
      <c r="L710" s="294"/>
      <c r="M710" s="294"/>
      <c r="N710" s="294"/>
      <c r="O710" s="294"/>
      <c r="P710" s="294"/>
      <c r="Q710" s="294"/>
      <c r="R710" s="294"/>
      <c r="S710" s="294"/>
      <c r="T710" s="294"/>
      <c r="U710" s="294"/>
      <c r="V710" s="294"/>
      <c r="W710" s="294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  <c r="BA710" s="286"/>
      <c r="BB710" s="286"/>
      <c r="BC710" s="286"/>
    </row>
    <row r="711" spans="1:55" s="285" customFormat="1" ht="13.5" customHeight="1">
      <c r="A711" s="297"/>
      <c r="B711" s="296">
        <v>43711</v>
      </c>
      <c r="C711" s="295" t="s">
        <v>40</v>
      </c>
      <c r="D711" s="294">
        <v>25.5</v>
      </c>
      <c r="E711" s="294"/>
      <c r="F711" s="294"/>
      <c r="G711" s="294">
        <v>25.5</v>
      </c>
      <c r="H711" s="294"/>
      <c r="I711" s="294"/>
      <c r="J711" s="294"/>
      <c r="K711" s="294"/>
      <c r="L711" s="294"/>
      <c r="M711" s="294"/>
      <c r="N711" s="294"/>
      <c r="O711" s="294"/>
      <c r="P711" s="294"/>
      <c r="Q711" s="294"/>
      <c r="R711" s="294"/>
      <c r="S711" s="294"/>
      <c r="T711" s="294"/>
      <c r="U711" s="294"/>
      <c r="V711" s="294"/>
      <c r="W711" s="294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  <c r="BA711" s="286"/>
      <c r="BB711" s="286"/>
      <c r="BC711" s="286"/>
    </row>
    <row r="712" spans="1:55" s="285" customFormat="1" ht="13.5" customHeight="1">
      <c r="A712" s="297"/>
      <c r="B712" s="296">
        <v>43713</v>
      </c>
      <c r="C712" s="295" t="s">
        <v>20</v>
      </c>
      <c r="D712" s="294">
        <v>176.59</v>
      </c>
      <c r="E712" s="294">
        <f>D712</f>
        <v>176.59</v>
      </c>
      <c r="F712" s="294"/>
      <c r="G712" s="294"/>
      <c r="H712" s="294"/>
      <c r="I712" s="294"/>
      <c r="J712" s="294"/>
      <c r="K712" s="294"/>
      <c r="L712" s="294"/>
      <c r="M712" s="294"/>
      <c r="N712" s="294"/>
      <c r="O712" s="294"/>
      <c r="P712" s="294"/>
      <c r="Q712" s="294"/>
      <c r="R712" s="294"/>
      <c r="S712" s="294"/>
      <c r="T712" s="294"/>
      <c r="U712" s="294"/>
      <c r="V712" s="294"/>
      <c r="W712" s="294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  <c r="BA712" s="286"/>
      <c r="BB712" s="286"/>
      <c r="BC712" s="286"/>
    </row>
    <row r="713" spans="1:55" s="285" customFormat="1" ht="13.5" customHeight="1">
      <c r="A713" s="297"/>
      <c r="B713" s="296">
        <v>43713</v>
      </c>
      <c r="C713" s="295" t="s">
        <v>40</v>
      </c>
      <c r="D713" s="294">
        <v>71.2</v>
      </c>
      <c r="E713" s="294"/>
      <c r="F713" s="294"/>
      <c r="G713" s="294">
        <v>71.2</v>
      </c>
      <c r="H713" s="294"/>
      <c r="I713" s="294"/>
      <c r="J713" s="294"/>
      <c r="K713" s="294"/>
      <c r="L713" s="294"/>
      <c r="M713" s="294"/>
      <c r="N713" s="294"/>
      <c r="O713" s="294"/>
      <c r="P713" s="294"/>
      <c r="Q713" s="294"/>
      <c r="R713" s="294"/>
      <c r="S713" s="294"/>
      <c r="T713" s="294"/>
      <c r="U713" s="294"/>
      <c r="V713" s="294"/>
      <c r="W713" s="294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  <c r="BA713" s="286"/>
      <c r="BB713" s="286"/>
      <c r="BC713" s="286"/>
    </row>
    <row r="714" spans="1:55" s="285" customFormat="1" ht="13.5" customHeight="1">
      <c r="A714" s="297"/>
      <c r="B714" s="296">
        <v>43713</v>
      </c>
      <c r="C714" s="295" t="s">
        <v>40</v>
      </c>
      <c r="D714" s="294">
        <v>24</v>
      </c>
      <c r="E714" s="294"/>
      <c r="F714" s="294"/>
      <c r="G714" s="294">
        <v>24</v>
      </c>
      <c r="H714" s="294"/>
      <c r="I714" s="294"/>
      <c r="J714" s="294"/>
      <c r="K714" s="294"/>
      <c r="L714" s="294"/>
      <c r="M714" s="294"/>
      <c r="N714" s="294"/>
      <c r="O714" s="294"/>
      <c r="P714" s="294"/>
      <c r="Q714" s="294"/>
      <c r="R714" s="294"/>
      <c r="S714" s="294"/>
      <c r="T714" s="294"/>
      <c r="U714" s="294"/>
      <c r="V714" s="294"/>
      <c r="W714" s="294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  <c r="BA714" s="286"/>
      <c r="BB714" s="286"/>
      <c r="BC714" s="286"/>
    </row>
    <row r="715" spans="1:55" s="285" customFormat="1" ht="13.5" customHeight="1">
      <c r="A715" s="297"/>
      <c r="B715" s="296">
        <v>43713</v>
      </c>
      <c r="C715" s="295" t="s">
        <v>451</v>
      </c>
      <c r="D715" s="294">
        <v>63.9</v>
      </c>
      <c r="E715" s="294"/>
      <c r="F715" s="294"/>
      <c r="G715" s="294">
        <v>63.9</v>
      </c>
      <c r="H715" s="294"/>
      <c r="I715" s="294"/>
      <c r="J715" s="294"/>
      <c r="K715" s="294"/>
      <c r="L715" s="294"/>
      <c r="M715" s="294"/>
      <c r="N715" s="294"/>
      <c r="O715" s="294"/>
      <c r="P715" s="294"/>
      <c r="Q715" s="294"/>
      <c r="R715" s="294"/>
      <c r="S715" s="294"/>
      <c r="T715" s="294"/>
      <c r="U715" s="294"/>
      <c r="V715" s="294"/>
      <c r="W715" s="294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  <c r="BA715" s="286"/>
      <c r="BB715" s="286"/>
      <c r="BC715" s="286"/>
    </row>
    <row r="716" spans="1:55" s="285" customFormat="1" ht="13.5" customHeight="1">
      <c r="A716" s="297"/>
      <c r="B716" s="296">
        <v>43713</v>
      </c>
      <c r="C716" s="295" t="s">
        <v>451</v>
      </c>
      <c r="D716" s="294">
        <v>0</v>
      </c>
      <c r="E716" s="294"/>
      <c r="F716" s="294"/>
      <c r="G716" s="294"/>
      <c r="H716" s="294">
        <v>0</v>
      </c>
      <c r="I716" s="294"/>
      <c r="J716" s="294"/>
      <c r="K716" s="294"/>
      <c r="L716" s="294">
        <v>15</v>
      </c>
      <c r="M716" s="294"/>
      <c r="N716" s="294"/>
      <c r="O716" s="294"/>
      <c r="P716" s="294"/>
      <c r="Q716" s="294"/>
      <c r="R716" s="294"/>
      <c r="S716" s="294"/>
      <c r="T716" s="294"/>
      <c r="U716" s="294"/>
      <c r="V716" s="294"/>
      <c r="W716" s="294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  <c r="BA716" s="286"/>
      <c r="BB716" s="286"/>
      <c r="BC716" s="286"/>
    </row>
    <row r="717" spans="1:55" s="285" customFormat="1" ht="13.5" customHeight="1">
      <c r="A717" s="297"/>
      <c r="B717" s="296">
        <v>43714</v>
      </c>
      <c r="C717" s="295" t="s">
        <v>283</v>
      </c>
      <c r="D717" s="294">
        <v>2545</v>
      </c>
      <c r="E717" s="294"/>
      <c r="F717" s="294"/>
      <c r="G717" s="294"/>
      <c r="H717" s="294"/>
      <c r="I717" s="294"/>
      <c r="J717" s="294"/>
      <c r="K717" s="294"/>
      <c r="L717" s="294"/>
      <c r="M717" s="294"/>
      <c r="N717" s="294"/>
      <c r="O717" s="294">
        <f>D717</f>
        <v>2545</v>
      </c>
      <c r="P717" s="294"/>
      <c r="Q717" s="294"/>
      <c r="R717" s="294"/>
      <c r="S717" s="294"/>
      <c r="T717" s="294"/>
      <c r="U717" s="294"/>
      <c r="V717" s="294"/>
      <c r="W717" s="294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</row>
    <row r="718" spans="1:55" s="285" customFormat="1" ht="13.5" customHeight="1">
      <c r="A718" s="297"/>
      <c r="B718" s="296">
        <v>43714</v>
      </c>
      <c r="C718" s="295" t="s">
        <v>192</v>
      </c>
      <c r="D718" s="294">
        <v>167</v>
      </c>
      <c r="E718" s="294"/>
      <c r="F718" s="294">
        <v>167</v>
      </c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94"/>
      <c r="U718" s="294"/>
      <c r="V718" s="294"/>
      <c r="W718" s="294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  <c r="BA718" s="286"/>
      <c r="BB718" s="286"/>
      <c r="BC718" s="286"/>
    </row>
    <row r="719" spans="1:55" s="285" customFormat="1" ht="13.5" customHeight="1">
      <c r="A719" s="297"/>
      <c r="B719" s="296">
        <v>43715</v>
      </c>
      <c r="C719" s="295" t="s">
        <v>451</v>
      </c>
      <c r="D719" s="294">
        <v>128.44999999999999</v>
      </c>
      <c r="E719" s="294"/>
      <c r="F719" s="294"/>
      <c r="G719" s="294">
        <v>48.65</v>
      </c>
      <c r="H719" s="294"/>
      <c r="I719" s="294"/>
      <c r="J719" s="294">
        <v>80</v>
      </c>
      <c r="K719" s="294"/>
      <c r="L719" s="294"/>
      <c r="M719" s="294"/>
      <c r="N719" s="294"/>
      <c r="O719" s="294"/>
      <c r="P719" s="294"/>
      <c r="Q719" s="294"/>
      <c r="R719" s="294"/>
      <c r="S719" s="294"/>
      <c r="T719" s="294"/>
      <c r="U719" s="294"/>
      <c r="V719" s="294"/>
      <c r="W719" s="294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  <c r="BA719" s="286"/>
      <c r="BB719" s="286"/>
      <c r="BC719" s="286"/>
    </row>
    <row r="720" spans="1:55" s="285" customFormat="1" ht="13.5" customHeight="1">
      <c r="A720" s="297"/>
      <c r="B720" s="296">
        <v>43715</v>
      </c>
      <c r="C720" s="295" t="s">
        <v>38</v>
      </c>
      <c r="D720" s="294">
        <v>66</v>
      </c>
      <c r="E720" s="294"/>
      <c r="F720" s="294"/>
      <c r="G720" s="294">
        <v>66</v>
      </c>
      <c r="H720" s="294"/>
      <c r="I720" s="294"/>
      <c r="J720" s="294"/>
      <c r="K720" s="294"/>
      <c r="L720" s="294"/>
      <c r="M720" s="294"/>
      <c r="N720" s="294"/>
      <c r="O720" s="294"/>
      <c r="P720" s="294"/>
      <c r="Q720" s="294"/>
      <c r="R720" s="294"/>
      <c r="S720" s="294"/>
      <c r="T720" s="294"/>
      <c r="U720" s="294"/>
      <c r="V720" s="294"/>
      <c r="W720" s="294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  <c r="BA720" s="286"/>
      <c r="BB720" s="286"/>
      <c r="BC720" s="286"/>
    </row>
    <row r="721" spans="1:55" s="285" customFormat="1" ht="13.5" customHeight="1">
      <c r="A721" s="297"/>
      <c r="B721" s="296">
        <v>43717</v>
      </c>
      <c r="C721" s="295" t="s">
        <v>451</v>
      </c>
      <c r="D721" s="294">
        <v>79.5</v>
      </c>
      <c r="E721" s="294"/>
      <c r="F721" s="294"/>
      <c r="G721" s="294">
        <v>54</v>
      </c>
      <c r="H721" s="294"/>
      <c r="I721" s="294"/>
      <c r="J721" s="294"/>
      <c r="K721" s="294">
        <v>25.5</v>
      </c>
      <c r="L721" s="294"/>
      <c r="M721" s="294"/>
      <c r="N721" s="294"/>
      <c r="O721" s="294"/>
      <c r="P721" s="294"/>
      <c r="Q721" s="294"/>
      <c r="R721" s="294"/>
      <c r="S721" s="294"/>
      <c r="T721" s="294"/>
      <c r="U721" s="294"/>
      <c r="V721" s="294"/>
      <c r="W721" s="294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  <c r="BA721" s="286"/>
      <c r="BB721" s="286"/>
      <c r="BC721" s="286"/>
    </row>
    <row r="722" spans="1:55" s="285" customFormat="1" ht="13.5" customHeight="1">
      <c r="A722" s="297"/>
      <c r="B722" s="296">
        <v>43718</v>
      </c>
      <c r="C722" s="295" t="s">
        <v>451</v>
      </c>
      <c r="D722" s="294">
        <v>36</v>
      </c>
      <c r="E722" s="294"/>
      <c r="F722" s="294"/>
      <c r="G722" s="294">
        <v>16</v>
      </c>
      <c r="H722" s="294"/>
      <c r="I722" s="294"/>
      <c r="J722" s="294"/>
      <c r="K722" s="294"/>
      <c r="L722" s="294">
        <v>20</v>
      </c>
      <c r="M722" s="294"/>
      <c r="N722" s="294"/>
      <c r="O722" s="294"/>
      <c r="P722" s="294"/>
      <c r="Q722" s="294"/>
      <c r="R722" s="294"/>
      <c r="S722" s="294"/>
      <c r="T722" s="294"/>
      <c r="U722" s="294"/>
      <c r="V722" s="294"/>
      <c r="W722" s="294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  <c r="BA722" s="286"/>
      <c r="BB722" s="286"/>
      <c r="BC722" s="286"/>
    </row>
    <row r="723" spans="1:55" s="285" customFormat="1" ht="13.5" customHeight="1">
      <c r="A723" s="297"/>
      <c r="B723" s="296">
        <v>10.9</v>
      </c>
      <c r="C723" s="295" t="s">
        <v>124</v>
      </c>
      <c r="D723" s="294">
        <v>0</v>
      </c>
      <c r="E723" s="294"/>
      <c r="F723" s="294"/>
      <c r="G723" s="294"/>
      <c r="H723" s="294">
        <v>0</v>
      </c>
      <c r="I723" s="294"/>
      <c r="J723" s="294"/>
      <c r="K723" s="294"/>
      <c r="L723" s="294">
        <v>15</v>
      </c>
      <c r="M723" s="294"/>
      <c r="N723" s="294"/>
      <c r="O723" s="294"/>
      <c r="P723" s="294"/>
      <c r="Q723" s="294"/>
      <c r="R723" s="294"/>
      <c r="S723" s="294"/>
      <c r="T723" s="294"/>
      <c r="U723" s="294"/>
      <c r="V723" s="294"/>
      <c r="W723" s="294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  <c r="BA723" s="286"/>
      <c r="BB723" s="286"/>
      <c r="BC723" s="286"/>
    </row>
    <row r="724" spans="1:55" s="285" customFormat="1" ht="13.5" customHeight="1">
      <c r="A724" s="297"/>
      <c r="B724" s="296">
        <v>43719</v>
      </c>
      <c r="C724" s="295" t="s">
        <v>124</v>
      </c>
      <c r="D724" s="294">
        <v>62.25</v>
      </c>
      <c r="E724" s="294"/>
      <c r="F724" s="294"/>
      <c r="G724" s="294"/>
      <c r="H724" s="294">
        <v>62.25</v>
      </c>
      <c r="I724" s="294"/>
      <c r="J724" s="294"/>
      <c r="K724" s="294"/>
      <c r="L724" s="294"/>
      <c r="M724" s="294"/>
      <c r="N724" s="294"/>
      <c r="O724" s="294"/>
      <c r="P724" s="294"/>
      <c r="Q724" s="294"/>
      <c r="R724" s="294"/>
      <c r="S724" s="294"/>
      <c r="T724" s="294"/>
      <c r="U724" s="294"/>
      <c r="V724" s="294"/>
      <c r="W724" s="294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  <c r="BA724" s="286"/>
      <c r="BB724" s="286"/>
      <c r="BC724" s="286"/>
    </row>
    <row r="725" spans="1:55" s="285" customFormat="1" ht="13.5" customHeight="1">
      <c r="A725" s="297"/>
      <c r="B725" s="296">
        <v>43719</v>
      </c>
      <c r="C725" s="295" t="s">
        <v>38</v>
      </c>
      <c r="D725" s="294">
        <v>48</v>
      </c>
      <c r="E725" s="294"/>
      <c r="F725" s="294"/>
      <c r="G725" s="294">
        <v>48</v>
      </c>
      <c r="H725" s="294"/>
      <c r="I725" s="294"/>
      <c r="J725" s="294"/>
      <c r="K725" s="294"/>
      <c r="L725" s="294"/>
      <c r="M725" s="294"/>
      <c r="N725" s="294"/>
      <c r="O725" s="294"/>
      <c r="P725" s="294"/>
      <c r="Q725" s="294"/>
      <c r="R725" s="294"/>
      <c r="S725" s="294"/>
      <c r="T725" s="294"/>
      <c r="U725" s="294"/>
      <c r="V725" s="294"/>
      <c r="W725" s="294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  <c r="BA725" s="286"/>
      <c r="BB725" s="286"/>
      <c r="BC725" s="286"/>
    </row>
    <row r="726" spans="1:55" s="285" customFormat="1" ht="13.5" customHeight="1">
      <c r="A726" s="297"/>
      <c r="B726" s="296">
        <v>43720</v>
      </c>
      <c r="C726" s="295" t="s">
        <v>41</v>
      </c>
      <c r="D726" s="294">
        <v>45</v>
      </c>
      <c r="E726" s="294"/>
      <c r="F726" s="294"/>
      <c r="G726" s="294">
        <v>45</v>
      </c>
      <c r="H726" s="294"/>
      <c r="I726" s="294"/>
      <c r="J726" s="294"/>
      <c r="K726" s="294"/>
      <c r="L726" s="294"/>
      <c r="M726" s="294"/>
      <c r="N726" s="294"/>
      <c r="O726" s="294"/>
      <c r="P726" s="294"/>
      <c r="Q726" s="294"/>
      <c r="R726" s="294"/>
      <c r="S726" s="294"/>
      <c r="T726" s="294"/>
      <c r="U726" s="294"/>
      <c r="V726" s="294"/>
      <c r="W726" s="294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  <c r="BA726" s="286"/>
      <c r="BB726" s="286"/>
      <c r="BC726" s="286"/>
    </row>
    <row r="727" spans="1:55" s="285" customFormat="1" ht="13.5" customHeight="1">
      <c r="A727" s="297"/>
      <c r="B727" s="296">
        <v>43720</v>
      </c>
      <c r="C727" s="295" t="s">
        <v>124</v>
      </c>
      <c r="D727" s="294">
        <v>3.1</v>
      </c>
      <c r="E727" s="294"/>
      <c r="F727" s="294"/>
      <c r="G727" s="294"/>
      <c r="H727" s="294">
        <v>3.1</v>
      </c>
      <c r="I727" s="294"/>
      <c r="J727" s="294"/>
      <c r="K727" s="294"/>
      <c r="L727" s="294"/>
      <c r="M727" s="294"/>
      <c r="N727" s="294"/>
      <c r="O727" s="294"/>
      <c r="P727" s="294"/>
      <c r="Q727" s="294"/>
      <c r="R727" s="294"/>
      <c r="S727" s="294"/>
      <c r="T727" s="294"/>
      <c r="U727" s="294"/>
      <c r="V727" s="294"/>
      <c r="W727" s="294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  <c r="BA727" s="286"/>
      <c r="BB727" s="286"/>
      <c r="BC727" s="286"/>
    </row>
    <row r="728" spans="1:55" s="285" customFormat="1" ht="13.5" customHeight="1">
      <c r="A728" s="297"/>
      <c r="B728" s="296">
        <v>43720</v>
      </c>
      <c r="C728" s="295" t="s">
        <v>124</v>
      </c>
      <c r="D728" s="294">
        <v>3.1</v>
      </c>
      <c r="E728" s="294"/>
      <c r="F728" s="294"/>
      <c r="G728" s="294"/>
      <c r="H728" s="294">
        <v>3.1</v>
      </c>
      <c r="I728" s="294"/>
      <c r="J728" s="294"/>
      <c r="K728" s="294"/>
      <c r="L728" s="294"/>
      <c r="M728" s="294"/>
      <c r="N728" s="294"/>
      <c r="O728" s="294"/>
      <c r="P728" s="294"/>
      <c r="Q728" s="294"/>
      <c r="R728" s="294"/>
      <c r="S728" s="294"/>
      <c r="T728" s="294"/>
      <c r="U728" s="294"/>
      <c r="V728" s="294"/>
      <c r="W728" s="294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  <c r="BA728" s="286"/>
      <c r="BB728" s="286"/>
      <c r="BC728" s="286"/>
    </row>
    <row r="729" spans="1:55" s="285" customFormat="1" ht="13.5" customHeight="1">
      <c r="A729" s="297"/>
      <c r="B729" s="296">
        <v>43720</v>
      </c>
      <c r="C729" s="295" t="s">
        <v>451</v>
      </c>
      <c r="D729" s="294">
        <v>25</v>
      </c>
      <c r="E729" s="294"/>
      <c r="F729" s="294"/>
      <c r="G729" s="294">
        <v>25</v>
      </c>
      <c r="H729" s="294"/>
      <c r="I729" s="294"/>
      <c r="J729" s="294"/>
      <c r="K729" s="294"/>
      <c r="L729" s="294"/>
      <c r="M729" s="294"/>
      <c r="N729" s="294"/>
      <c r="O729" s="294"/>
      <c r="P729" s="294"/>
      <c r="Q729" s="294"/>
      <c r="R729" s="294"/>
      <c r="S729" s="294"/>
      <c r="T729" s="294"/>
      <c r="U729" s="294"/>
      <c r="V729" s="294"/>
      <c r="W729" s="294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  <c r="BA729" s="286"/>
      <c r="BB729" s="286"/>
      <c r="BC729" s="286"/>
    </row>
    <row r="730" spans="1:55" s="285" customFormat="1" ht="13.5" customHeight="1">
      <c r="A730" s="297"/>
      <c r="B730" s="296">
        <v>43720</v>
      </c>
      <c r="C730" s="295" t="s">
        <v>451</v>
      </c>
      <c r="D730" s="294">
        <v>80</v>
      </c>
      <c r="E730" s="294"/>
      <c r="F730" s="294"/>
      <c r="G730" s="294"/>
      <c r="H730" s="294"/>
      <c r="I730" s="294"/>
      <c r="J730" s="294">
        <v>80</v>
      </c>
      <c r="K730" s="294"/>
      <c r="L730" s="294"/>
      <c r="M730" s="294"/>
      <c r="N730" s="294"/>
      <c r="O730" s="294"/>
      <c r="P730" s="294"/>
      <c r="Q730" s="294"/>
      <c r="R730" s="294"/>
      <c r="S730" s="294"/>
      <c r="T730" s="294"/>
      <c r="U730" s="294"/>
      <c r="V730" s="294"/>
      <c r="W730" s="294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  <c r="BA730" s="286"/>
      <c r="BB730" s="286"/>
      <c r="BC730" s="286"/>
    </row>
    <row r="731" spans="1:55" s="285" customFormat="1" ht="13.5" customHeight="1">
      <c r="A731" s="297"/>
      <c r="B731" s="296">
        <v>43722</v>
      </c>
      <c r="C731" s="295" t="s">
        <v>451</v>
      </c>
      <c r="D731" s="294">
        <v>94.25</v>
      </c>
      <c r="E731" s="294"/>
      <c r="F731" s="294"/>
      <c r="G731" s="294">
        <v>60.25</v>
      </c>
      <c r="H731" s="294"/>
      <c r="I731" s="294"/>
      <c r="J731" s="294"/>
      <c r="K731" s="294">
        <v>25.5</v>
      </c>
      <c r="L731" s="294">
        <v>8.5</v>
      </c>
      <c r="M731" s="294"/>
      <c r="N731" s="294"/>
      <c r="O731" s="294"/>
      <c r="P731" s="294"/>
      <c r="Q731" s="294"/>
      <c r="R731" s="294"/>
      <c r="S731" s="294"/>
      <c r="T731" s="294"/>
      <c r="U731" s="294"/>
      <c r="V731" s="294"/>
      <c r="W731" s="294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  <c r="BA731" s="286"/>
      <c r="BB731" s="286"/>
      <c r="BC731" s="286"/>
    </row>
    <row r="732" spans="1:55" s="285" customFormat="1" ht="13.5" customHeight="1">
      <c r="A732" s="297"/>
      <c r="B732" s="296">
        <v>43723</v>
      </c>
      <c r="C732" s="295" t="s">
        <v>242</v>
      </c>
      <c r="D732" s="294">
        <v>-400</v>
      </c>
      <c r="E732" s="294"/>
      <c r="F732" s="294"/>
      <c r="G732" s="294"/>
      <c r="H732" s="294"/>
      <c r="I732" s="294"/>
      <c r="J732" s="294"/>
      <c r="K732" s="294"/>
      <c r="L732" s="294"/>
      <c r="M732" s="294"/>
      <c r="N732" s="294"/>
      <c r="O732" s="294"/>
      <c r="P732" s="294"/>
      <c r="Q732" s="294"/>
      <c r="R732" s="294"/>
      <c r="S732" s="294"/>
      <c r="T732" s="294"/>
      <c r="U732" s="294">
        <v>-400</v>
      </c>
      <c r="V732" s="294"/>
      <c r="W732" s="294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  <c r="BA732" s="286"/>
      <c r="BB732" s="286"/>
      <c r="BC732" s="286"/>
    </row>
    <row r="733" spans="1:55" s="285" customFormat="1" ht="13.5" customHeight="1">
      <c r="A733" s="297"/>
      <c r="B733" s="296">
        <v>43724</v>
      </c>
      <c r="C733" s="295" t="s">
        <v>451</v>
      </c>
      <c r="D733" s="294">
        <v>104</v>
      </c>
      <c r="E733" s="294"/>
      <c r="F733" s="294"/>
      <c r="G733" s="294">
        <v>79.5</v>
      </c>
      <c r="H733" s="294"/>
      <c r="I733" s="294"/>
      <c r="J733" s="294"/>
      <c r="K733" s="294">
        <v>25.5</v>
      </c>
      <c r="L733" s="294"/>
      <c r="M733" s="294"/>
      <c r="N733" s="294"/>
      <c r="O733" s="294"/>
      <c r="P733" s="294"/>
      <c r="Q733" s="294"/>
      <c r="R733" s="294"/>
      <c r="S733" s="294"/>
      <c r="T733" s="294"/>
      <c r="U733" s="294"/>
      <c r="V733" s="294"/>
      <c r="W733" s="294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  <c r="BA733" s="286"/>
      <c r="BB733" s="286"/>
      <c r="BC733" s="286"/>
    </row>
    <row r="734" spans="1:55" s="285" customFormat="1" ht="13.5" customHeight="1">
      <c r="A734" s="297"/>
      <c r="B734" s="296">
        <v>16.899999999999999</v>
      </c>
      <c r="C734" s="295" t="s">
        <v>451</v>
      </c>
      <c r="D734" s="294">
        <v>51</v>
      </c>
      <c r="E734" s="294"/>
      <c r="F734" s="294"/>
      <c r="G734" s="294">
        <v>51</v>
      </c>
      <c r="H734" s="294"/>
      <c r="I734" s="294"/>
      <c r="J734" s="294"/>
      <c r="K734" s="294"/>
      <c r="L734" s="294"/>
      <c r="M734" s="294"/>
      <c r="N734" s="294"/>
      <c r="O734" s="294"/>
      <c r="P734" s="294"/>
      <c r="Q734" s="294"/>
      <c r="R734" s="294"/>
      <c r="S734" s="294"/>
      <c r="T734" s="294"/>
      <c r="U734" s="294"/>
      <c r="V734" s="294"/>
      <c r="W734" s="294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  <c r="BA734" s="286"/>
      <c r="BB734" s="286"/>
      <c r="BC734" s="286"/>
    </row>
    <row r="735" spans="1:55" s="285" customFormat="1" ht="13.5" customHeight="1">
      <c r="A735" s="297"/>
      <c r="B735" s="296">
        <v>43725</v>
      </c>
      <c r="C735" s="295" t="s">
        <v>40</v>
      </c>
      <c r="D735" s="294">
        <v>28</v>
      </c>
      <c r="E735" s="294"/>
      <c r="F735" s="294"/>
      <c r="G735" s="294">
        <v>28</v>
      </c>
      <c r="H735" s="294"/>
      <c r="I735" s="294"/>
      <c r="J735" s="294"/>
      <c r="K735" s="294"/>
      <c r="L735" s="294"/>
      <c r="M735" s="294"/>
      <c r="N735" s="294"/>
      <c r="O735" s="294"/>
      <c r="P735" s="294"/>
      <c r="Q735" s="294"/>
      <c r="R735" s="294"/>
      <c r="S735" s="294"/>
      <c r="T735" s="294"/>
      <c r="U735" s="294"/>
      <c r="V735" s="294"/>
      <c r="W735" s="294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  <c r="BA735" s="286"/>
      <c r="BB735" s="286"/>
      <c r="BC735" s="286"/>
    </row>
    <row r="736" spans="1:55" s="285" customFormat="1" ht="13.5" customHeight="1">
      <c r="A736" s="297"/>
      <c r="B736" s="296">
        <v>43726</v>
      </c>
      <c r="C736" s="295" t="s">
        <v>41</v>
      </c>
      <c r="D736" s="294">
        <v>88</v>
      </c>
      <c r="E736" s="294"/>
      <c r="F736" s="294"/>
      <c r="G736" s="294">
        <v>88</v>
      </c>
      <c r="H736" s="294"/>
      <c r="I736" s="294"/>
      <c r="J736" s="294"/>
      <c r="K736" s="294"/>
      <c r="L736" s="294"/>
      <c r="M736" s="294"/>
      <c r="N736" s="294"/>
      <c r="O736" s="294"/>
      <c r="P736" s="294"/>
      <c r="Q736" s="294"/>
      <c r="R736" s="294"/>
      <c r="S736" s="294"/>
      <c r="T736" s="294"/>
      <c r="U736" s="294"/>
      <c r="V736" s="294"/>
      <c r="W736" s="294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  <c r="BA736" s="286"/>
      <c r="BB736" s="286"/>
      <c r="BC736" s="286"/>
    </row>
    <row r="737" spans="1:57" s="285" customFormat="1" ht="13.5" customHeight="1">
      <c r="A737" s="297"/>
      <c r="B737" s="296">
        <v>43728</v>
      </c>
      <c r="C737" s="295" t="s">
        <v>40</v>
      </c>
      <c r="D737" s="294">
        <v>94.5</v>
      </c>
      <c r="E737" s="294"/>
      <c r="F737" s="294"/>
      <c r="G737" s="294">
        <v>14.5</v>
      </c>
      <c r="H737" s="294"/>
      <c r="I737" s="294"/>
      <c r="J737" s="294">
        <v>80</v>
      </c>
      <c r="K737" s="294"/>
      <c r="L737" s="294"/>
      <c r="M737" s="294"/>
      <c r="N737" s="294"/>
      <c r="O737" s="294"/>
      <c r="P737" s="294"/>
      <c r="Q737" s="294"/>
      <c r="R737" s="294"/>
      <c r="S737" s="294"/>
      <c r="T737" s="294"/>
      <c r="U737" s="294"/>
      <c r="V737" s="294"/>
      <c r="W737" s="294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  <c r="BA737" s="286"/>
      <c r="BB737" s="286"/>
      <c r="BC737" s="286"/>
    </row>
    <row r="738" spans="1:57" s="285" customFormat="1" ht="13.5" customHeight="1">
      <c r="A738" s="297"/>
      <c r="B738" s="296">
        <v>43730</v>
      </c>
      <c r="C738" s="295" t="s">
        <v>39</v>
      </c>
      <c r="D738" s="294">
        <v>42</v>
      </c>
      <c r="E738" s="294"/>
      <c r="F738" s="294"/>
      <c r="G738" s="294">
        <v>42</v>
      </c>
      <c r="H738" s="294"/>
      <c r="I738" s="294"/>
      <c r="J738" s="294"/>
      <c r="K738" s="294"/>
      <c r="L738" s="294"/>
      <c r="M738" s="294"/>
      <c r="N738" s="294"/>
      <c r="O738" s="294"/>
      <c r="P738" s="294"/>
      <c r="Q738" s="294"/>
      <c r="R738" s="294"/>
      <c r="S738" s="294"/>
      <c r="T738" s="294"/>
      <c r="U738" s="294"/>
      <c r="V738" s="294"/>
      <c r="W738" s="294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  <c r="BA738" s="286"/>
      <c r="BB738" s="286"/>
      <c r="BC738" s="286"/>
    </row>
    <row r="739" spans="1:57" s="285" customFormat="1" ht="13.5" customHeight="1">
      <c r="A739" s="297"/>
      <c r="B739" s="296">
        <v>43730</v>
      </c>
      <c r="C739" s="295" t="s">
        <v>451</v>
      </c>
      <c r="D739" s="294">
        <v>19</v>
      </c>
      <c r="E739" s="294"/>
      <c r="F739" s="294"/>
      <c r="G739" s="294">
        <v>19</v>
      </c>
      <c r="H739" s="294"/>
      <c r="I739" s="294"/>
      <c r="J739" s="294"/>
      <c r="K739" s="294"/>
      <c r="L739" s="294"/>
      <c r="M739" s="294"/>
      <c r="N739" s="294"/>
      <c r="O739" s="294"/>
      <c r="P739" s="294"/>
      <c r="Q739" s="294"/>
      <c r="R739" s="294"/>
      <c r="S739" s="294"/>
      <c r="T739" s="294"/>
      <c r="U739" s="294"/>
      <c r="V739" s="294"/>
      <c r="W739" s="294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  <c r="BA739" s="286"/>
      <c r="BB739" s="286"/>
      <c r="BC739" s="286"/>
    </row>
    <row r="740" spans="1:57" s="285" customFormat="1" ht="13.5" customHeight="1">
      <c r="A740" s="297"/>
      <c r="B740" s="296">
        <v>43730</v>
      </c>
      <c r="C740" s="295" t="s">
        <v>162</v>
      </c>
      <c r="D740" s="294">
        <v>151.35</v>
      </c>
      <c r="E740" s="294"/>
      <c r="F740" s="294"/>
      <c r="G740" s="294"/>
      <c r="H740" s="294"/>
      <c r="I740" s="294"/>
      <c r="J740" s="294"/>
      <c r="K740" s="294"/>
      <c r="L740" s="294"/>
      <c r="M740" s="294"/>
      <c r="N740" s="294">
        <v>151.35</v>
      </c>
      <c r="O740" s="294"/>
      <c r="P740" s="294"/>
      <c r="Q740" s="294"/>
      <c r="R740" s="294"/>
      <c r="S740" s="294"/>
      <c r="T740" s="294"/>
      <c r="U740" s="294"/>
      <c r="V740" s="294"/>
      <c r="W740" s="294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  <c r="BA740" s="286"/>
      <c r="BB740" s="286"/>
      <c r="BC740" s="286"/>
    </row>
    <row r="741" spans="1:57" s="285" customFormat="1" ht="13.5" customHeight="1">
      <c r="A741" s="297"/>
      <c r="B741" s="296">
        <v>43731</v>
      </c>
      <c r="C741" s="295" t="s">
        <v>451</v>
      </c>
      <c r="D741" s="294">
        <v>68</v>
      </c>
      <c r="E741" s="294"/>
      <c r="F741" s="294"/>
      <c r="G741" s="294">
        <v>51</v>
      </c>
      <c r="H741" s="294"/>
      <c r="I741" s="294"/>
      <c r="J741" s="294"/>
      <c r="K741" s="294">
        <v>17</v>
      </c>
      <c r="L741" s="294"/>
      <c r="M741" s="294"/>
      <c r="N741" s="294"/>
      <c r="O741" s="294"/>
      <c r="P741" s="294"/>
      <c r="Q741" s="294"/>
      <c r="R741" s="294"/>
      <c r="S741" s="294"/>
      <c r="T741" s="294"/>
      <c r="U741" s="294"/>
      <c r="V741" s="294"/>
      <c r="W741" s="294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  <c r="BA741" s="286"/>
      <c r="BB741" s="286"/>
      <c r="BC741" s="286"/>
    </row>
    <row r="742" spans="1:57" s="285" customFormat="1" ht="13.5" customHeight="1">
      <c r="A742" s="297"/>
      <c r="B742" s="296">
        <v>43731</v>
      </c>
      <c r="C742" s="295" t="s">
        <v>124</v>
      </c>
      <c r="D742" s="294">
        <v>10.5</v>
      </c>
      <c r="E742" s="294"/>
      <c r="F742" s="294"/>
      <c r="G742" s="294"/>
      <c r="H742" s="294"/>
      <c r="I742" s="294">
        <v>10.5</v>
      </c>
      <c r="J742" s="294"/>
      <c r="K742" s="294"/>
      <c r="L742" s="294"/>
      <c r="M742" s="294"/>
      <c r="N742" s="294"/>
      <c r="O742" s="294"/>
      <c r="P742" s="294"/>
      <c r="Q742" s="294"/>
      <c r="R742" s="294"/>
      <c r="S742" s="294"/>
      <c r="T742" s="294"/>
      <c r="U742" s="294"/>
      <c r="V742" s="294"/>
      <c r="W742" s="294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  <c r="BA742" s="286"/>
      <c r="BB742" s="286"/>
      <c r="BC742" s="286"/>
    </row>
    <row r="743" spans="1:57" s="285" customFormat="1" ht="13.5" customHeight="1">
      <c r="A743" s="297"/>
      <c r="B743" s="296">
        <v>43731</v>
      </c>
      <c r="C743" s="295" t="s">
        <v>162</v>
      </c>
      <c r="D743" s="294">
        <v>109.5</v>
      </c>
      <c r="E743" s="294"/>
      <c r="F743" s="294"/>
      <c r="G743" s="294"/>
      <c r="H743" s="294"/>
      <c r="I743" s="294"/>
      <c r="J743" s="294"/>
      <c r="K743" s="294"/>
      <c r="L743" s="294"/>
      <c r="M743" s="294"/>
      <c r="N743" s="294">
        <v>109.5</v>
      </c>
      <c r="O743" s="294"/>
      <c r="P743" s="294"/>
      <c r="Q743" s="294"/>
      <c r="R743" s="294"/>
      <c r="S743" s="294"/>
      <c r="T743" s="294"/>
      <c r="U743" s="294"/>
      <c r="V743" s="294"/>
      <c r="W743" s="294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  <c r="BA743" s="286"/>
      <c r="BB743" s="286"/>
      <c r="BC743" s="286"/>
    </row>
    <row r="744" spans="1:57" s="285" customFormat="1" ht="13.5" customHeight="1">
      <c r="A744" s="297"/>
      <c r="B744" s="296">
        <v>43732</v>
      </c>
      <c r="C744" s="295" t="s">
        <v>192</v>
      </c>
      <c r="D744" s="294">
        <v>50</v>
      </c>
      <c r="E744" s="294"/>
      <c r="F744" s="294"/>
      <c r="G744" s="294">
        <v>50</v>
      </c>
      <c r="H744" s="294"/>
      <c r="I744" s="294"/>
      <c r="J744" s="294"/>
      <c r="K744" s="294"/>
      <c r="L744" s="294"/>
      <c r="M744" s="294"/>
      <c r="N744" s="294"/>
      <c r="O744" s="294"/>
      <c r="P744" s="294"/>
      <c r="Q744" s="294"/>
      <c r="R744" s="294"/>
      <c r="S744" s="294"/>
      <c r="T744" s="294"/>
      <c r="U744" s="294"/>
      <c r="V744" s="294"/>
      <c r="W744" s="294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  <c r="BA744" s="286"/>
      <c r="BB744" s="286"/>
      <c r="BC744" s="286"/>
    </row>
    <row r="745" spans="1:57" s="285" customFormat="1" ht="13.5" customHeight="1">
      <c r="A745" s="297"/>
      <c r="B745" s="296">
        <v>43733</v>
      </c>
      <c r="C745" s="295" t="s">
        <v>40</v>
      </c>
      <c r="D745" s="294">
        <v>52</v>
      </c>
      <c r="E745" s="294"/>
      <c r="F745" s="294"/>
      <c r="G745" s="294"/>
      <c r="H745" s="294"/>
      <c r="I745" s="294"/>
      <c r="J745" s="294">
        <v>40</v>
      </c>
      <c r="K745" s="294"/>
      <c r="L745" s="294">
        <v>12</v>
      </c>
      <c r="M745" s="294"/>
      <c r="N745" s="294"/>
      <c r="O745" s="294"/>
      <c r="P745" s="294"/>
      <c r="Q745" s="294"/>
      <c r="R745" s="294"/>
      <c r="S745" s="294"/>
      <c r="T745" s="294"/>
      <c r="U745" s="294"/>
      <c r="V745" s="294"/>
      <c r="W745" s="294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  <c r="BA745" s="286"/>
      <c r="BB745" s="286"/>
      <c r="BC745" s="286"/>
    </row>
    <row r="746" spans="1:57" s="285" customFormat="1" ht="13.5" customHeight="1">
      <c r="A746" s="297"/>
      <c r="B746" s="296">
        <v>43735</v>
      </c>
      <c r="C746" s="295" t="s">
        <v>451</v>
      </c>
      <c r="D746" s="294">
        <v>21.5</v>
      </c>
      <c r="E746" s="294"/>
      <c r="F746" s="294"/>
      <c r="G746" s="294">
        <v>12.75</v>
      </c>
      <c r="H746" s="294"/>
      <c r="I746" s="294"/>
      <c r="J746" s="294"/>
      <c r="K746" s="294"/>
      <c r="L746" s="294">
        <v>8.75</v>
      </c>
      <c r="M746" s="294"/>
      <c r="N746" s="294"/>
      <c r="O746" s="294"/>
      <c r="P746" s="294"/>
      <c r="Q746" s="294"/>
      <c r="R746" s="294"/>
      <c r="S746" s="294"/>
      <c r="T746" s="294"/>
      <c r="U746" s="294"/>
      <c r="V746" s="294"/>
      <c r="W746" s="294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  <c r="BA746" s="286"/>
      <c r="BB746" s="286"/>
      <c r="BC746" s="286"/>
    </row>
    <row r="747" spans="1:57" s="285" customFormat="1" ht="12" customHeight="1">
      <c r="A747" s="289"/>
      <c r="B747" s="288" t="str">
        <f>B678</f>
        <v>september</v>
      </c>
      <c r="C747" s="287" t="s">
        <v>36</v>
      </c>
      <c r="D747" s="287">
        <f t="shared" ref="D747:W747" si="18">SUM(D748:D748)</f>
        <v>0</v>
      </c>
      <c r="E747" s="287">
        <f t="shared" si="18"/>
        <v>0</v>
      </c>
      <c r="F747" s="287">
        <f t="shared" si="18"/>
        <v>0</v>
      </c>
      <c r="G747" s="287">
        <f t="shared" si="18"/>
        <v>0</v>
      </c>
      <c r="H747" s="287">
        <f t="shared" si="18"/>
        <v>0</v>
      </c>
      <c r="I747" s="287">
        <f t="shared" si="18"/>
        <v>0</v>
      </c>
      <c r="J747" s="287">
        <f t="shared" si="18"/>
        <v>0</v>
      </c>
      <c r="K747" s="287">
        <f t="shared" si="18"/>
        <v>0</v>
      </c>
      <c r="L747" s="287">
        <f t="shared" si="18"/>
        <v>0</v>
      </c>
      <c r="M747" s="287">
        <f t="shared" si="18"/>
        <v>0</v>
      </c>
      <c r="N747" s="287">
        <f t="shared" si="18"/>
        <v>0</v>
      </c>
      <c r="O747" s="287">
        <f t="shared" si="18"/>
        <v>0</v>
      </c>
      <c r="P747" s="287">
        <f t="shared" si="18"/>
        <v>0</v>
      </c>
      <c r="Q747" s="287">
        <f t="shared" si="18"/>
        <v>0</v>
      </c>
      <c r="R747" s="287">
        <f t="shared" si="18"/>
        <v>0</v>
      </c>
      <c r="S747" s="287">
        <f t="shared" si="18"/>
        <v>0</v>
      </c>
      <c r="T747" s="287">
        <f t="shared" si="18"/>
        <v>0</v>
      </c>
      <c r="U747" s="287">
        <f t="shared" si="18"/>
        <v>0</v>
      </c>
      <c r="V747" s="287">
        <f t="shared" si="18"/>
        <v>0</v>
      </c>
      <c r="W747" s="287">
        <f t="shared" si="18"/>
        <v>0</v>
      </c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  <c r="BA747" s="286"/>
      <c r="BB747" s="286"/>
      <c r="BC747" s="286"/>
      <c r="BD747" s="286"/>
      <c r="BE747" s="286"/>
    </row>
    <row r="748" spans="1:57" s="302" customFormat="1" ht="13.8">
      <c r="A748" s="306"/>
      <c r="B748" s="305"/>
      <c r="C748" s="304" t="s">
        <v>15</v>
      </c>
      <c r="D748" s="304"/>
      <c r="E748" s="303"/>
      <c r="F748" s="303"/>
      <c r="G748" s="303">
        <f>D748</f>
        <v>0</v>
      </c>
      <c r="H748" s="303"/>
      <c r="I748" s="303"/>
      <c r="J748" s="303"/>
      <c r="K748" s="303"/>
      <c r="L748" s="303"/>
      <c r="M748" s="303"/>
      <c r="N748" s="303"/>
      <c r="O748" s="303"/>
      <c r="P748" s="303"/>
      <c r="Q748" s="303"/>
      <c r="R748" s="303"/>
      <c r="S748" s="303"/>
      <c r="T748" s="303"/>
      <c r="U748" s="303"/>
      <c r="V748" s="303"/>
      <c r="W748" s="303"/>
    </row>
    <row r="749" spans="1:57" s="290" customFormat="1" ht="13.5" customHeight="1">
      <c r="A749" s="293"/>
      <c r="B749" s="3023" t="str">
        <f>L1</f>
        <v>oktober</v>
      </c>
      <c r="C749" s="3024"/>
      <c r="D749" s="292" t="e">
        <f t="shared" ref="D749:W749" si="19">SUM(D750:D807)</f>
        <v>#REF!</v>
      </c>
      <c r="E749" s="292">
        <f t="shared" si="19"/>
        <v>2353.2000000000003</v>
      </c>
      <c r="F749" s="292">
        <f t="shared" si="19"/>
        <v>1460.4</v>
      </c>
      <c r="G749" s="292">
        <f t="shared" si="19"/>
        <v>1823.88</v>
      </c>
      <c r="H749" s="292">
        <f t="shared" si="19"/>
        <v>0</v>
      </c>
      <c r="I749" s="292">
        <f t="shared" si="19"/>
        <v>0</v>
      </c>
      <c r="J749" s="292">
        <f t="shared" si="19"/>
        <v>488</v>
      </c>
      <c r="K749" s="292">
        <f t="shared" si="19"/>
        <v>99.45</v>
      </c>
      <c r="L749" s="292">
        <f t="shared" si="19"/>
        <v>63.7</v>
      </c>
      <c r="M749" s="292">
        <f t="shared" si="19"/>
        <v>9717</v>
      </c>
      <c r="N749" s="292">
        <f t="shared" si="19"/>
        <v>412.15</v>
      </c>
      <c r="O749" s="292" t="e">
        <f t="shared" si="19"/>
        <v>#REF!</v>
      </c>
      <c r="P749" s="292">
        <f t="shared" si="19"/>
        <v>153</v>
      </c>
      <c r="Q749" s="292">
        <f t="shared" si="19"/>
        <v>393</v>
      </c>
      <c r="R749" s="292">
        <f t="shared" si="19"/>
        <v>0</v>
      </c>
      <c r="S749" s="292">
        <f t="shared" si="19"/>
        <v>0</v>
      </c>
      <c r="T749" s="292">
        <f t="shared" si="19"/>
        <v>0</v>
      </c>
      <c r="U749" s="292">
        <f t="shared" si="19"/>
        <v>-32</v>
      </c>
      <c r="V749" s="292" t="e">
        <f t="shared" si="19"/>
        <v>#REF!</v>
      </c>
      <c r="W749" s="292">
        <f t="shared" si="19"/>
        <v>1000</v>
      </c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</row>
    <row r="750" spans="1:57" s="285" customFormat="1" ht="13.5" customHeight="1">
      <c r="A750" s="297"/>
      <c r="B750" s="296">
        <v>43738</v>
      </c>
      <c r="C750" s="295" t="s">
        <v>34</v>
      </c>
      <c r="D750" s="294">
        <v>-7315</v>
      </c>
      <c r="E750" s="294"/>
      <c r="F750" s="294"/>
      <c r="G750" s="294"/>
      <c r="H750" s="294"/>
      <c r="I750" s="294"/>
      <c r="J750" s="294"/>
      <c r="K750" s="294"/>
      <c r="L750" s="294"/>
      <c r="M750" s="294"/>
      <c r="N750" s="294"/>
      <c r="O750" s="294"/>
      <c r="P750" s="294"/>
      <c r="Q750" s="294"/>
      <c r="R750" s="294"/>
      <c r="S750" s="294"/>
      <c r="T750" s="294"/>
      <c r="U750" s="294"/>
      <c r="V750" s="294"/>
      <c r="W750" s="294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  <c r="BA750" s="286"/>
      <c r="BB750" s="286"/>
      <c r="BC750" s="286"/>
    </row>
    <row r="751" spans="1:57" s="285" customFormat="1" ht="13.5" customHeight="1">
      <c r="A751" s="297"/>
      <c r="B751" s="296">
        <v>43738</v>
      </c>
      <c r="C751" s="295" t="s">
        <v>33</v>
      </c>
      <c r="D751" s="294">
        <v>-205</v>
      </c>
      <c r="E751" s="294"/>
      <c r="F751" s="294"/>
      <c r="G751" s="294"/>
      <c r="H751" s="294"/>
      <c r="I751" s="294"/>
      <c r="J751" s="294"/>
      <c r="K751" s="294"/>
      <c r="L751" s="294"/>
      <c r="M751" s="294"/>
      <c r="N751" s="294"/>
      <c r="O751" s="294"/>
      <c r="P751" s="294"/>
      <c r="Q751" s="294"/>
      <c r="R751" s="294"/>
      <c r="S751" s="294"/>
      <c r="T751" s="294"/>
      <c r="U751" s="294"/>
      <c r="V751" s="294"/>
      <c r="W751" s="294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  <c r="BA751" s="286"/>
      <c r="BB751" s="286"/>
      <c r="BC751" s="286"/>
    </row>
    <row r="752" spans="1:57" s="285" customFormat="1" ht="13.5" customHeight="1">
      <c r="A752" s="297"/>
      <c r="B752" s="296">
        <v>43738</v>
      </c>
      <c r="C752" s="295" t="s">
        <v>35</v>
      </c>
      <c r="D752" s="294">
        <v>-11306</v>
      </c>
      <c r="E752" s="294"/>
      <c r="F752" s="294"/>
      <c r="G752" s="294"/>
      <c r="H752" s="294"/>
      <c r="I752" s="294"/>
      <c r="J752" s="294"/>
      <c r="K752" s="294"/>
      <c r="L752" s="294"/>
      <c r="M752" s="294"/>
      <c r="N752" s="294"/>
      <c r="O752" s="294"/>
      <c r="P752" s="294"/>
      <c r="Q752" s="294"/>
      <c r="R752" s="294"/>
      <c r="S752" s="294"/>
      <c r="T752" s="294"/>
      <c r="U752" s="294"/>
      <c r="V752" s="294"/>
      <c r="W752" s="294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  <c r="BA752" s="286"/>
      <c r="BB752" s="286"/>
      <c r="BC752" s="286"/>
    </row>
    <row r="753" spans="1:55" s="285" customFormat="1" ht="13.5" customHeight="1">
      <c r="A753" s="297"/>
      <c r="B753" s="296">
        <v>43738</v>
      </c>
      <c r="C753" s="295" t="s">
        <v>453</v>
      </c>
      <c r="D753" s="294">
        <v>268</v>
      </c>
      <c r="E753" s="294"/>
      <c r="F753" s="294"/>
      <c r="G753" s="294"/>
      <c r="H753" s="294"/>
      <c r="I753" s="294"/>
      <c r="J753" s="294"/>
      <c r="K753" s="294"/>
      <c r="L753" s="294"/>
      <c r="M753" s="294"/>
      <c r="N753" s="294"/>
      <c r="O753" s="294"/>
      <c r="P753" s="294"/>
      <c r="Q753" s="294"/>
      <c r="R753" s="294"/>
      <c r="S753" s="294"/>
      <c r="T753" s="294"/>
      <c r="U753" s="294">
        <v>268</v>
      </c>
      <c r="V753" s="294"/>
      <c r="W753" s="294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  <c r="BA753" s="286"/>
      <c r="BB753" s="286"/>
      <c r="BC753" s="286"/>
    </row>
    <row r="754" spans="1:55" s="285" customFormat="1" ht="13.5" customHeight="1">
      <c r="A754" s="297"/>
      <c r="B754" s="296">
        <v>43738</v>
      </c>
      <c r="C754" s="295" t="s">
        <v>41</v>
      </c>
      <c r="D754" s="294">
        <v>20</v>
      </c>
      <c r="E754" s="294"/>
      <c r="F754" s="294">
        <v>20</v>
      </c>
      <c r="G754" s="294"/>
      <c r="H754" s="294"/>
      <c r="I754" s="294"/>
      <c r="J754" s="294"/>
      <c r="K754" s="294"/>
      <c r="L754" s="294"/>
      <c r="M754" s="294"/>
      <c r="N754" s="294"/>
      <c r="O754" s="294"/>
      <c r="P754" s="294"/>
      <c r="Q754" s="294"/>
      <c r="R754" s="294"/>
      <c r="S754" s="294"/>
      <c r="T754" s="294"/>
      <c r="U754" s="294"/>
      <c r="V754" s="294"/>
      <c r="W754" s="294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  <c r="BA754" s="286"/>
      <c r="BB754" s="286"/>
      <c r="BC754" s="286"/>
    </row>
    <row r="755" spans="1:55" s="285" customFormat="1" ht="13.5" customHeight="1">
      <c r="A755" s="297"/>
      <c r="B755" s="296">
        <v>43738</v>
      </c>
      <c r="C755" s="295" t="s">
        <v>451</v>
      </c>
      <c r="D755" s="294">
        <v>330</v>
      </c>
      <c r="E755" s="294"/>
      <c r="F755" s="294"/>
      <c r="G755" s="294">
        <v>241.5</v>
      </c>
      <c r="H755" s="294"/>
      <c r="I755" s="294"/>
      <c r="J755" s="294">
        <v>80</v>
      </c>
      <c r="K755" s="294">
        <v>8.5</v>
      </c>
      <c r="L755" s="294"/>
      <c r="M755" s="294"/>
      <c r="N755" s="294"/>
      <c r="O755" s="294"/>
      <c r="P755" s="294"/>
      <c r="Q755" s="294"/>
      <c r="R755" s="294"/>
      <c r="S755" s="294"/>
      <c r="T755" s="294"/>
      <c r="U755" s="294"/>
      <c r="V755" s="294"/>
      <c r="W755" s="294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  <c r="BA755" s="286"/>
      <c r="BB755" s="286"/>
      <c r="BC755" s="286"/>
    </row>
    <row r="756" spans="1:55" s="285" customFormat="1" ht="13.5" customHeight="1">
      <c r="A756" s="297"/>
      <c r="B756" s="296">
        <v>43738</v>
      </c>
      <c r="C756" s="295" t="s">
        <v>39</v>
      </c>
      <c r="D756" s="294">
        <v>103.05</v>
      </c>
      <c r="E756" s="294"/>
      <c r="F756" s="294"/>
      <c r="G756" s="294">
        <v>103.5</v>
      </c>
      <c r="H756" s="294"/>
      <c r="I756" s="294"/>
      <c r="J756" s="294"/>
      <c r="K756" s="294"/>
      <c r="L756" s="294"/>
      <c r="M756" s="294"/>
      <c r="N756" s="294"/>
      <c r="O756" s="294"/>
      <c r="P756" s="294"/>
      <c r="Q756" s="294"/>
      <c r="R756" s="294"/>
      <c r="S756" s="294"/>
      <c r="T756" s="294"/>
      <c r="U756" s="294"/>
      <c r="V756" s="294"/>
      <c r="W756" s="294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  <c r="BA756" s="286"/>
      <c r="BB756" s="286"/>
      <c r="BC756" s="286"/>
    </row>
    <row r="757" spans="1:55" s="285" customFormat="1" ht="13.5" customHeight="1">
      <c r="A757" s="297"/>
      <c r="B757" s="296">
        <v>43738</v>
      </c>
      <c r="C757" s="295" t="s">
        <v>40</v>
      </c>
      <c r="D757" s="294">
        <v>55.4</v>
      </c>
      <c r="E757" s="294"/>
      <c r="F757" s="294"/>
      <c r="G757" s="294">
        <v>45.45</v>
      </c>
      <c r="H757" s="294"/>
      <c r="I757" s="294"/>
      <c r="J757" s="294"/>
      <c r="K757" s="294">
        <v>9.9499999999999993</v>
      </c>
      <c r="L757" s="294"/>
      <c r="M757" s="294"/>
      <c r="N757" s="294"/>
      <c r="O757" s="294"/>
      <c r="P757" s="294"/>
      <c r="Q757" s="294"/>
      <c r="R757" s="294"/>
      <c r="S757" s="294"/>
      <c r="T757" s="294"/>
      <c r="U757" s="294"/>
      <c r="V757" s="294"/>
      <c r="W757" s="294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  <c r="BA757" s="286"/>
      <c r="BB757" s="286"/>
      <c r="BC757" s="286"/>
    </row>
    <row r="758" spans="1:55" s="285" customFormat="1" ht="13.5" customHeight="1">
      <c r="A758" s="297"/>
      <c r="B758" s="296">
        <v>43738</v>
      </c>
      <c r="C758" s="295" t="s">
        <v>451</v>
      </c>
      <c r="D758" s="294">
        <v>222.4</v>
      </c>
      <c r="E758" s="294"/>
      <c r="F758" s="294"/>
      <c r="G758" s="294">
        <v>212.4</v>
      </c>
      <c r="H758" s="294"/>
      <c r="I758" s="294"/>
      <c r="J758" s="294"/>
      <c r="K758" s="294"/>
      <c r="L758" s="294">
        <v>10</v>
      </c>
      <c r="M758" s="294"/>
      <c r="N758" s="294"/>
      <c r="O758" s="294"/>
      <c r="P758" s="294"/>
      <c r="Q758" s="294"/>
      <c r="R758" s="294"/>
      <c r="S758" s="294"/>
      <c r="T758" s="294"/>
      <c r="U758" s="294"/>
      <c r="V758" s="294"/>
      <c r="W758" s="294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</row>
    <row r="759" spans="1:55" s="285" customFormat="1" ht="13.5" customHeight="1">
      <c r="A759" s="297"/>
      <c r="B759" s="296">
        <v>43738</v>
      </c>
      <c r="C759" s="295" t="s">
        <v>162</v>
      </c>
      <c r="D759" s="294">
        <v>215.05</v>
      </c>
      <c r="E759" s="294"/>
      <c r="F759" s="294"/>
      <c r="G759" s="294"/>
      <c r="H759" s="294"/>
      <c r="I759" s="294"/>
      <c r="J759" s="294"/>
      <c r="K759" s="294"/>
      <c r="L759" s="294"/>
      <c r="M759" s="294"/>
      <c r="N759" s="294">
        <v>215.05</v>
      </c>
      <c r="O759" s="294"/>
      <c r="P759" s="294"/>
      <c r="Q759" s="294"/>
      <c r="R759" s="294"/>
      <c r="S759" s="294"/>
      <c r="T759" s="294"/>
      <c r="U759" s="294"/>
      <c r="V759" s="294"/>
      <c r="W759" s="294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  <c r="BA759" s="286"/>
      <c r="BB759" s="286"/>
      <c r="BC759" s="286"/>
    </row>
    <row r="760" spans="1:55" s="285" customFormat="1" ht="13.5" customHeight="1">
      <c r="A760" s="297"/>
      <c r="B760" s="296">
        <v>43739</v>
      </c>
      <c r="C760" s="295" t="s">
        <v>31</v>
      </c>
      <c r="D760" s="294">
        <v>-1147</v>
      </c>
      <c r="E760" s="294"/>
      <c r="F760" s="294"/>
      <c r="G760" s="294"/>
      <c r="H760" s="294"/>
      <c r="I760" s="294"/>
      <c r="J760" s="294"/>
      <c r="K760" s="294"/>
      <c r="L760" s="294"/>
      <c r="M760" s="294"/>
      <c r="N760" s="294"/>
      <c r="O760" s="294"/>
      <c r="P760" s="294"/>
      <c r="Q760" s="294"/>
      <c r="R760" s="294"/>
      <c r="S760" s="294"/>
      <c r="T760" s="294"/>
      <c r="U760" s="294"/>
      <c r="V760" s="294"/>
      <c r="W760" s="294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  <c r="BA760" s="286"/>
      <c r="BB760" s="286"/>
      <c r="BC760" s="286"/>
    </row>
    <row r="761" spans="1:55" s="285" customFormat="1" ht="13.5" customHeight="1">
      <c r="A761" s="297"/>
      <c r="B761" s="296">
        <v>43739</v>
      </c>
      <c r="C761" s="295" t="s">
        <v>30</v>
      </c>
      <c r="D761" s="294">
        <v>9717</v>
      </c>
      <c r="E761" s="294"/>
      <c r="F761" s="294"/>
      <c r="G761" s="294"/>
      <c r="H761" s="294"/>
      <c r="I761" s="294"/>
      <c r="J761" s="294"/>
      <c r="K761" s="294"/>
      <c r="L761" s="294"/>
      <c r="M761" s="294">
        <f>D761</f>
        <v>9717</v>
      </c>
      <c r="N761" s="294"/>
      <c r="O761" s="294"/>
      <c r="P761" s="294"/>
      <c r="Q761" s="294"/>
      <c r="R761" s="294"/>
      <c r="S761" s="294"/>
      <c r="T761" s="294"/>
      <c r="U761" s="294"/>
      <c r="V761" s="294"/>
      <c r="W761" s="294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  <c r="BA761" s="286"/>
      <c r="BB761" s="286"/>
      <c r="BC761" s="286"/>
    </row>
    <row r="762" spans="1:55" s="285" customFormat="1" ht="13.5" customHeight="1">
      <c r="A762" s="297"/>
      <c r="B762" s="296">
        <v>43739</v>
      </c>
      <c r="C762" s="295" t="s">
        <v>452</v>
      </c>
      <c r="D762" s="294">
        <v>335.57</v>
      </c>
      <c r="E762" s="294">
        <v>335.57</v>
      </c>
      <c r="F762" s="294"/>
      <c r="G762" s="294"/>
      <c r="H762" s="294"/>
      <c r="I762" s="294"/>
      <c r="J762" s="294"/>
      <c r="K762" s="294"/>
      <c r="L762" s="294"/>
      <c r="M762" s="294"/>
      <c r="N762" s="294"/>
      <c r="O762" s="294"/>
      <c r="P762" s="294"/>
      <c r="Q762" s="294"/>
      <c r="R762" s="294"/>
      <c r="S762" s="294"/>
      <c r="T762" s="294"/>
      <c r="U762" s="294"/>
      <c r="V762" s="294"/>
      <c r="W762" s="294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  <c r="BA762" s="286"/>
      <c r="BB762" s="286"/>
      <c r="BC762" s="286"/>
    </row>
    <row r="763" spans="1:55" s="285" customFormat="1" ht="13.5" customHeight="1">
      <c r="A763" s="297"/>
      <c r="B763" s="296">
        <v>43770</v>
      </c>
      <c r="C763" s="295" t="s">
        <v>125</v>
      </c>
      <c r="D763" s="294">
        <v>81</v>
      </c>
      <c r="E763" s="294"/>
      <c r="F763" s="294"/>
      <c r="G763" s="294"/>
      <c r="H763" s="294"/>
      <c r="I763" s="294"/>
      <c r="J763" s="294"/>
      <c r="K763" s="294"/>
      <c r="L763" s="294"/>
      <c r="M763" s="294"/>
      <c r="N763" s="294"/>
      <c r="O763" s="294"/>
      <c r="P763" s="294"/>
      <c r="Q763" s="294">
        <v>43</v>
      </c>
      <c r="R763" s="294"/>
      <c r="S763" s="294"/>
      <c r="T763" s="294"/>
      <c r="U763" s="294"/>
      <c r="V763" s="294"/>
      <c r="W763" s="294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  <c r="BA763" s="286"/>
      <c r="BB763" s="286"/>
      <c r="BC763" s="286"/>
    </row>
    <row r="764" spans="1:55" s="285" customFormat="1" ht="13.5" customHeight="1">
      <c r="A764" s="297"/>
      <c r="B764" s="296">
        <v>43739</v>
      </c>
      <c r="C764" s="295" t="s">
        <v>265</v>
      </c>
      <c r="D764" s="294">
        <v>602.4</v>
      </c>
      <c r="E764" s="294">
        <v>602.4</v>
      </c>
      <c r="F764" s="294"/>
      <c r="G764" s="294"/>
      <c r="H764" s="294"/>
      <c r="I764" s="294"/>
      <c r="J764" s="294"/>
      <c r="K764" s="294"/>
      <c r="L764" s="294"/>
      <c r="M764" s="294"/>
      <c r="N764" s="294"/>
      <c r="O764" s="294"/>
      <c r="P764" s="294"/>
      <c r="Q764" s="294"/>
      <c r="R764" s="294"/>
      <c r="S764" s="294"/>
      <c r="T764" s="294"/>
      <c r="U764" s="294"/>
      <c r="V764" s="294"/>
      <c r="W764" s="294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  <c r="BA764" s="286"/>
      <c r="BB764" s="286"/>
      <c r="BC764" s="286"/>
    </row>
    <row r="765" spans="1:55" s="285" customFormat="1" ht="13.5" customHeight="1">
      <c r="A765" s="297"/>
      <c r="B765" s="296">
        <v>43739</v>
      </c>
      <c r="C765" s="295" t="s">
        <v>239</v>
      </c>
      <c r="D765" s="294">
        <v>150</v>
      </c>
      <c r="E765" s="294"/>
      <c r="F765" s="294"/>
      <c r="G765" s="294"/>
      <c r="H765" s="294"/>
      <c r="I765" s="294"/>
      <c r="J765" s="294"/>
      <c r="K765" s="294"/>
      <c r="L765" s="294"/>
      <c r="M765" s="294"/>
      <c r="N765" s="294"/>
      <c r="O765" s="294"/>
      <c r="P765" s="294"/>
      <c r="Q765" s="294">
        <f>D765</f>
        <v>150</v>
      </c>
      <c r="R765" s="294"/>
      <c r="S765" s="294"/>
      <c r="T765" s="294"/>
      <c r="U765" s="294"/>
      <c r="V765" s="294"/>
      <c r="W765" s="294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  <c r="BA765" s="286"/>
      <c r="BB765" s="286"/>
      <c r="BC765" s="286"/>
    </row>
    <row r="766" spans="1:55" s="285" customFormat="1" ht="13.5" customHeight="1">
      <c r="A766" s="297"/>
      <c r="B766" s="296">
        <v>43739</v>
      </c>
      <c r="C766" s="295" t="s">
        <v>186</v>
      </c>
      <c r="D766" s="294">
        <v>200</v>
      </c>
      <c r="E766" s="294"/>
      <c r="F766" s="294"/>
      <c r="G766" s="294"/>
      <c r="H766" s="294"/>
      <c r="I766" s="294"/>
      <c r="J766" s="294"/>
      <c r="K766" s="294"/>
      <c r="L766" s="294"/>
      <c r="M766" s="294"/>
      <c r="N766" s="294"/>
      <c r="O766" s="294"/>
      <c r="P766" s="294"/>
      <c r="Q766" s="294">
        <v>200</v>
      </c>
      <c r="R766" s="294"/>
      <c r="S766" s="294"/>
      <c r="T766" s="294"/>
      <c r="U766" s="294"/>
      <c r="V766" s="294"/>
      <c r="W766" s="294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  <c r="BA766" s="286"/>
      <c r="BB766" s="286"/>
      <c r="BC766" s="286"/>
    </row>
    <row r="767" spans="1:55" s="285" customFormat="1" ht="13.5" customHeight="1">
      <c r="A767" s="297"/>
      <c r="B767" s="296">
        <v>43739</v>
      </c>
      <c r="C767" s="295" t="s">
        <v>363</v>
      </c>
      <c r="D767" s="294" t="e">
        <f>#REF!</f>
        <v>#REF!</v>
      </c>
      <c r="E767" s="294"/>
      <c r="F767" s="294"/>
      <c r="G767" s="294"/>
      <c r="H767" s="294"/>
      <c r="I767" s="294"/>
      <c r="J767" s="294"/>
      <c r="K767" s="294"/>
      <c r="L767" s="294"/>
      <c r="M767" s="294"/>
      <c r="N767" s="294"/>
      <c r="O767" s="294" t="e">
        <f>D767</f>
        <v>#REF!</v>
      </c>
      <c r="P767" s="294"/>
      <c r="Q767" s="294"/>
      <c r="R767" s="294"/>
      <c r="S767" s="294"/>
      <c r="T767" s="294"/>
      <c r="U767" s="294"/>
      <c r="V767" s="294"/>
      <c r="W767" s="294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  <c r="BA767" s="286"/>
      <c r="BB767" s="286"/>
      <c r="BC767" s="286"/>
    </row>
    <row r="768" spans="1:55" s="285" customFormat="1" ht="13.5" customHeight="1">
      <c r="A768" s="297"/>
      <c r="B768" s="296">
        <v>43739</v>
      </c>
      <c r="C768" s="295" t="s">
        <v>381</v>
      </c>
      <c r="D768" s="294" t="e">
        <f>#REF!</f>
        <v>#REF!</v>
      </c>
      <c r="E768" s="294"/>
      <c r="F768" s="294"/>
      <c r="G768" s="294"/>
      <c r="H768" s="294"/>
      <c r="I768" s="294"/>
      <c r="J768" s="294"/>
      <c r="K768" s="294"/>
      <c r="L768" s="294"/>
      <c r="M768" s="294"/>
      <c r="N768" s="294"/>
      <c r="O768" s="294"/>
      <c r="P768" s="294"/>
      <c r="Q768" s="294"/>
      <c r="R768" s="294"/>
      <c r="S768" s="294"/>
      <c r="T768" s="294"/>
      <c r="U768" s="294"/>
      <c r="V768" s="294" t="e">
        <f>D768</f>
        <v>#REF!</v>
      </c>
      <c r="W768" s="294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  <c r="BA768" s="286"/>
      <c r="BB768" s="286"/>
      <c r="BC768" s="286"/>
    </row>
    <row r="769" spans="1:55" s="285" customFormat="1" ht="13.5" customHeight="1">
      <c r="A769" s="297"/>
      <c r="B769" s="296">
        <v>43739</v>
      </c>
      <c r="C769" s="295" t="s">
        <v>264</v>
      </c>
      <c r="D769" s="294">
        <v>490</v>
      </c>
      <c r="E769" s="294">
        <v>490</v>
      </c>
      <c r="F769" s="294"/>
      <c r="G769" s="294"/>
      <c r="H769" s="294"/>
      <c r="I769" s="294"/>
      <c r="J769" s="294"/>
      <c r="K769" s="294"/>
      <c r="L769" s="294"/>
      <c r="M769" s="294"/>
      <c r="N769" s="294"/>
      <c r="O769" s="294"/>
      <c r="P769" s="294"/>
      <c r="Q769" s="294"/>
      <c r="R769" s="294"/>
      <c r="S769" s="294"/>
      <c r="T769" s="294"/>
      <c r="U769" s="294"/>
      <c r="V769" s="294"/>
      <c r="W769" s="294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  <c r="BA769" s="286"/>
      <c r="BB769" s="286"/>
      <c r="BC769" s="286"/>
    </row>
    <row r="770" spans="1:55" s="285" customFormat="1" ht="13.5" customHeight="1">
      <c r="A770" s="297"/>
      <c r="B770" s="296">
        <v>43739</v>
      </c>
      <c r="C770" s="295" t="s">
        <v>183</v>
      </c>
      <c r="D770" s="294">
        <v>458.75</v>
      </c>
      <c r="E770" s="294">
        <v>458.75</v>
      </c>
      <c r="F770" s="294"/>
      <c r="G770" s="294"/>
      <c r="H770" s="294"/>
      <c r="I770" s="294"/>
      <c r="J770" s="294"/>
      <c r="K770" s="294"/>
      <c r="L770" s="294"/>
      <c r="M770" s="294"/>
      <c r="N770" s="294"/>
      <c r="O770" s="294"/>
      <c r="P770" s="294"/>
      <c r="Q770" s="294"/>
      <c r="R770" s="294"/>
      <c r="S770" s="294"/>
      <c r="T770" s="294"/>
      <c r="U770" s="294"/>
      <c r="V770" s="294"/>
      <c r="W770" s="294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  <c r="BA770" s="286"/>
      <c r="BB770" s="286"/>
      <c r="BC770" s="286"/>
    </row>
    <row r="771" spans="1:55" s="285" customFormat="1" ht="13.5" customHeight="1">
      <c r="A771" s="297"/>
      <c r="B771" s="296">
        <v>43739</v>
      </c>
      <c r="C771" s="295" t="s">
        <v>182</v>
      </c>
      <c r="D771" s="294">
        <v>284</v>
      </c>
      <c r="E771" s="294">
        <v>284</v>
      </c>
      <c r="F771" s="294"/>
      <c r="G771" s="294"/>
      <c r="H771" s="294"/>
      <c r="I771" s="294"/>
      <c r="J771" s="294"/>
      <c r="K771" s="294"/>
      <c r="L771" s="294"/>
      <c r="M771" s="294"/>
      <c r="N771" s="294"/>
      <c r="O771" s="294"/>
      <c r="P771" s="294"/>
      <c r="Q771" s="294"/>
      <c r="R771" s="294"/>
      <c r="S771" s="294"/>
      <c r="T771" s="294"/>
      <c r="U771" s="294"/>
      <c r="V771" s="294"/>
      <c r="W771" s="294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  <c r="BA771" s="286"/>
      <c r="BB771" s="286"/>
      <c r="BC771" s="286"/>
    </row>
    <row r="772" spans="1:55" s="285" customFormat="1" ht="13.5" customHeight="1">
      <c r="A772" s="297"/>
      <c r="B772" s="296">
        <v>43739</v>
      </c>
      <c r="C772" s="295" t="s">
        <v>230</v>
      </c>
      <c r="D772" s="294">
        <v>64</v>
      </c>
      <c r="E772" s="294"/>
      <c r="F772" s="294"/>
      <c r="G772" s="294"/>
      <c r="H772" s="294"/>
      <c r="I772" s="294"/>
      <c r="J772" s="294"/>
      <c r="K772" s="294"/>
      <c r="L772" s="294"/>
      <c r="M772" s="294"/>
      <c r="N772" s="294"/>
      <c r="O772" s="294"/>
      <c r="P772" s="294">
        <f>D772</f>
        <v>64</v>
      </c>
      <c r="Q772" s="294"/>
      <c r="R772" s="294"/>
      <c r="S772" s="294"/>
      <c r="T772" s="294"/>
      <c r="U772" s="294"/>
      <c r="V772" s="294"/>
      <c r="W772" s="294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  <c r="BA772" s="286"/>
      <c r="BB772" s="286"/>
      <c r="BC772" s="286"/>
    </row>
    <row r="773" spans="1:55" s="285" customFormat="1" ht="13.5" customHeight="1">
      <c r="A773" s="297"/>
      <c r="B773" s="296">
        <v>43739</v>
      </c>
      <c r="C773" s="295" t="s">
        <v>162</v>
      </c>
      <c r="D773" s="294">
        <v>197.1</v>
      </c>
      <c r="E773" s="294"/>
      <c r="F773" s="294"/>
      <c r="G773" s="294"/>
      <c r="H773" s="294"/>
      <c r="I773" s="294"/>
      <c r="J773" s="294"/>
      <c r="K773" s="294"/>
      <c r="L773" s="294"/>
      <c r="M773" s="294"/>
      <c r="N773" s="294">
        <v>197.1</v>
      </c>
      <c r="O773" s="294"/>
      <c r="P773" s="294"/>
      <c r="Q773" s="294"/>
      <c r="R773" s="294"/>
      <c r="S773" s="294"/>
      <c r="T773" s="294"/>
      <c r="U773" s="294"/>
      <c r="V773" s="294"/>
      <c r="W773" s="294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  <c r="BA773" s="286"/>
      <c r="BB773" s="286"/>
      <c r="BC773" s="286"/>
    </row>
    <row r="774" spans="1:55" s="285" customFormat="1" ht="13.5" customHeight="1">
      <c r="A774" s="297"/>
      <c r="B774" s="296">
        <v>43739</v>
      </c>
      <c r="C774" s="295" t="s">
        <v>451</v>
      </c>
      <c r="D774" s="294">
        <v>181.15</v>
      </c>
      <c r="E774" s="294"/>
      <c r="F774" s="294"/>
      <c r="G774" s="294">
        <v>181.1</v>
      </c>
      <c r="H774" s="294"/>
      <c r="I774" s="294"/>
      <c r="J774" s="294"/>
      <c r="K774" s="294"/>
      <c r="L774" s="294"/>
      <c r="M774" s="294"/>
      <c r="N774" s="294"/>
      <c r="O774" s="294"/>
      <c r="P774" s="294"/>
      <c r="Q774" s="294"/>
      <c r="R774" s="294"/>
      <c r="S774" s="294"/>
      <c r="T774" s="294"/>
      <c r="U774" s="294"/>
      <c r="V774" s="294"/>
      <c r="W774" s="294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  <c r="BA774" s="286"/>
      <c r="BB774" s="286"/>
      <c r="BC774" s="286"/>
    </row>
    <row r="775" spans="1:55" s="285" customFormat="1" ht="13.5" customHeight="1">
      <c r="A775" s="297"/>
      <c r="B775" s="296">
        <v>43739</v>
      </c>
      <c r="C775" s="295" t="s">
        <v>22</v>
      </c>
      <c r="D775" s="294">
        <v>89</v>
      </c>
      <c r="E775" s="294"/>
      <c r="F775" s="294"/>
      <c r="G775" s="294"/>
      <c r="H775" s="294"/>
      <c r="I775" s="294"/>
      <c r="J775" s="294"/>
      <c r="K775" s="294"/>
      <c r="L775" s="294"/>
      <c r="M775" s="294"/>
      <c r="N775" s="294"/>
      <c r="O775" s="294"/>
      <c r="P775" s="294">
        <f>D775</f>
        <v>89</v>
      </c>
      <c r="Q775" s="294"/>
      <c r="R775" s="294"/>
      <c r="S775" s="294"/>
      <c r="T775" s="294"/>
      <c r="U775" s="294"/>
      <c r="V775" s="294"/>
      <c r="W775" s="294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  <c r="BA775" s="286"/>
      <c r="BB775" s="286"/>
      <c r="BC775" s="286"/>
    </row>
    <row r="776" spans="1:55" s="285" customFormat="1" ht="13.5" customHeight="1">
      <c r="A776" s="297"/>
      <c r="B776" s="296">
        <v>43740</v>
      </c>
      <c r="C776" s="295" t="s">
        <v>167</v>
      </c>
      <c r="D776" s="294">
        <v>750</v>
      </c>
      <c r="E776" s="294"/>
      <c r="F776" s="294">
        <f>D776</f>
        <v>750</v>
      </c>
      <c r="G776" s="294"/>
      <c r="H776" s="294"/>
      <c r="I776" s="294"/>
      <c r="J776" s="294"/>
      <c r="K776" s="294"/>
      <c r="L776" s="294"/>
      <c r="M776" s="294"/>
      <c r="N776" s="294"/>
      <c r="O776" s="294"/>
      <c r="P776" s="294"/>
      <c r="Q776" s="294"/>
      <c r="R776" s="294"/>
      <c r="S776" s="294"/>
      <c r="T776" s="294"/>
      <c r="U776" s="294"/>
      <c r="V776" s="294"/>
      <c r="W776" s="294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  <c r="BA776" s="286"/>
      <c r="BB776" s="286"/>
      <c r="BC776" s="286"/>
    </row>
    <row r="777" spans="1:55" s="285" customFormat="1" ht="13.5" customHeight="1">
      <c r="A777" s="297"/>
      <c r="B777" s="296">
        <v>43740</v>
      </c>
      <c r="C777" s="295" t="s">
        <v>39</v>
      </c>
      <c r="D777" s="294">
        <v>82.1</v>
      </c>
      <c r="E777" s="294"/>
      <c r="F777" s="294"/>
      <c r="G777" s="294">
        <v>82.1</v>
      </c>
      <c r="H777" s="294"/>
      <c r="I777" s="294"/>
      <c r="J777" s="294"/>
      <c r="K777" s="294"/>
      <c r="L777" s="294"/>
      <c r="M777" s="294"/>
      <c r="N777" s="294"/>
      <c r="O777" s="294"/>
      <c r="P777" s="294"/>
      <c r="Q777" s="294"/>
      <c r="R777" s="294"/>
      <c r="S777" s="294"/>
      <c r="T777" s="294"/>
      <c r="U777" s="294"/>
      <c r="V777" s="294"/>
      <c r="W777" s="294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  <c r="BA777" s="286"/>
      <c r="BB777" s="286"/>
      <c r="BC777" s="286"/>
    </row>
    <row r="778" spans="1:55" s="285" customFormat="1" ht="13.5" customHeight="1">
      <c r="A778" s="297"/>
      <c r="B778" s="296">
        <v>43740</v>
      </c>
      <c r="C778" s="295" t="s">
        <v>40</v>
      </c>
      <c r="D778" s="294">
        <v>80</v>
      </c>
      <c r="E778" s="294"/>
      <c r="F778" s="294"/>
      <c r="G778" s="294"/>
      <c r="H778" s="294"/>
      <c r="I778" s="294"/>
      <c r="J778" s="294">
        <v>80</v>
      </c>
      <c r="K778" s="294"/>
      <c r="L778" s="294"/>
      <c r="M778" s="294"/>
      <c r="N778" s="294"/>
      <c r="O778" s="294"/>
      <c r="P778" s="294"/>
      <c r="Q778" s="294"/>
      <c r="R778" s="294"/>
      <c r="S778" s="294"/>
      <c r="T778" s="294"/>
      <c r="U778" s="294"/>
      <c r="V778" s="294"/>
      <c r="W778" s="294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  <c r="BA778" s="286"/>
      <c r="BB778" s="286"/>
      <c r="BC778" s="286"/>
    </row>
    <row r="779" spans="1:55" s="285" customFormat="1" ht="13.5" customHeight="1">
      <c r="A779" s="297"/>
      <c r="B779" s="296">
        <v>43740</v>
      </c>
      <c r="C779" s="295" t="s">
        <v>57</v>
      </c>
      <c r="D779" s="294">
        <v>1000</v>
      </c>
      <c r="E779" s="294"/>
      <c r="F779" s="294"/>
      <c r="G779" s="294"/>
      <c r="H779" s="294"/>
      <c r="I779" s="294"/>
      <c r="J779" s="294"/>
      <c r="K779" s="294"/>
      <c r="L779" s="294"/>
      <c r="M779" s="294"/>
      <c r="N779" s="294"/>
      <c r="O779" s="294"/>
      <c r="P779" s="294"/>
      <c r="Q779" s="294"/>
      <c r="R779" s="294"/>
      <c r="S779" s="294"/>
      <c r="T779" s="294"/>
      <c r="U779" s="294"/>
      <c r="V779" s="294"/>
      <c r="W779" s="294">
        <v>1000</v>
      </c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  <c r="BA779" s="286"/>
      <c r="BB779" s="286"/>
      <c r="BC779" s="286"/>
    </row>
    <row r="780" spans="1:55" s="285" customFormat="1" ht="13.5" customHeight="1">
      <c r="A780" s="297"/>
      <c r="B780" s="296">
        <v>43740</v>
      </c>
      <c r="C780" s="295" t="s">
        <v>397</v>
      </c>
      <c r="D780" s="294">
        <v>239.4</v>
      </c>
      <c r="E780" s="294"/>
      <c r="F780" s="294">
        <v>239.4</v>
      </c>
      <c r="G780" s="294"/>
      <c r="H780" s="294"/>
      <c r="I780" s="294"/>
      <c r="J780" s="294"/>
      <c r="K780" s="294"/>
      <c r="L780" s="294"/>
      <c r="M780" s="294"/>
      <c r="N780" s="294"/>
      <c r="O780" s="294"/>
      <c r="P780" s="294"/>
      <c r="Q780" s="294"/>
      <c r="R780" s="294"/>
      <c r="S780" s="294"/>
      <c r="T780" s="294"/>
      <c r="U780" s="294"/>
      <c r="V780" s="294"/>
      <c r="W780" s="294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  <c r="BA780" s="286"/>
      <c r="BB780" s="286"/>
      <c r="BC780" s="286"/>
    </row>
    <row r="781" spans="1:55" s="285" customFormat="1" ht="13.5" customHeight="1">
      <c r="A781" s="297"/>
      <c r="B781" s="296">
        <v>43740</v>
      </c>
      <c r="C781" s="295" t="s">
        <v>451</v>
      </c>
      <c r="D781" s="294">
        <v>38.380000000000003</v>
      </c>
      <c r="E781" s="294"/>
      <c r="F781" s="294"/>
      <c r="G781" s="294">
        <v>38.380000000000003</v>
      </c>
      <c r="H781" s="294"/>
      <c r="I781" s="294"/>
      <c r="J781" s="294"/>
      <c r="K781" s="294"/>
      <c r="L781" s="294"/>
      <c r="M781" s="294"/>
      <c r="N781" s="294"/>
      <c r="O781" s="294"/>
      <c r="P781" s="294"/>
      <c r="Q781" s="294"/>
      <c r="R781" s="294"/>
      <c r="S781" s="294"/>
      <c r="T781" s="294"/>
      <c r="U781" s="294"/>
      <c r="V781" s="294"/>
      <c r="W781" s="294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  <c r="BA781" s="286"/>
      <c r="BB781" s="286"/>
      <c r="BC781" s="286"/>
    </row>
    <row r="782" spans="1:55" s="285" customFormat="1" ht="13.5" customHeight="1">
      <c r="A782" s="297"/>
      <c r="B782" s="296">
        <v>43741</v>
      </c>
      <c r="C782" s="295" t="s">
        <v>334</v>
      </c>
      <c r="D782" s="294">
        <v>187</v>
      </c>
      <c r="E782" s="294"/>
      <c r="F782" s="294">
        <v>187</v>
      </c>
      <c r="G782" s="294"/>
      <c r="H782" s="294"/>
      <c r="I782" s="294"/>
      <c r="J782" s="294"/>
      <c r="K782" s="294"/>
      <c r="L782" s="294"/>
      <c r="M782" s="294"/>
      <c r="N782" s="294"/>
      <c r="O782" s="294"/>
      <c r="P782" s="294"/>
      <c r="Q782" s="294"/>
      <c r="R782" s="294"/>
      <c r="S782" s="294"/>
      <c r="T782" s="294"/>
      <c r="U782" s="294"/>
      <c r="V782" s="294"/>
      <c r="W782" s="294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  <c r="BA782" s="286"/>
      <c r="BB782" s="286"/>
      <c r="BC782" s="286"/>
    </row>
    <row r="783" spans="1:55" s="285" customFormat="1" ht="13.5" customHeight="1">
      <c r="A783" s="297"/>
      <c r="B783" s="296">
        <v>43745</v>
      </c>
      <c r="C783" s="295" t="s">
        <v>20</v>
      </c>
      <c r="D783" s="294">
        <f>'[5]2019gl'!$C$79</f>
        <v>182.48</v>
      </c>
      <c r="E783" s="294">
        <f>D783</f>
        <v>182.48</v>
      </c>
      <c r="F783" s="294"/>
      <c r="G783" s="294"/>
      <c r="H783" s="294"/>
      <c r="I783" s="294"/>
      <c r="J783" s="294"/>
      <c r="K783" s="294"/>
      <c r="L783" s="294"/>
      <c r="M783" s="294"/>
      <c r="N783" s="294"/>
      <c r="O783" s="294"/>
      <c r="P783" s="294"/>
      <c r="Q783" s="294"/>
      <c r="R783" s="294"/>
      <c r="S783" s="294"/>
      <c r="T783" s="294"/>
      <c r="U783" s="294"/>
      <c r="V783" s="294"/>
      <c r="W783" s="294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  <c r="BA783" s="286"/>
      <c r="BB783" s="286"/>
      <c r="BC783" s="286"/>
    </row>
    <row r="784" spans="1:55" s="285" customFormat="1" ht="13.5" customHeight="1">
      <c r="A784" s="297"/>
      <c r="B784" s="296">
        <v>43745</v>
      </c>
      <c r="C784" s="295" t="s">
        <v>451</v>
      </c>
      <c r="D784" s="294">
        <v>190.35</v>
      </c>
      <c r="E784" s="294"/>
      <c r="F784" s="294"/>
      <c r="G784" s="294">
        <v>82.85</v>
      </c>
      <c r="H784" s="294"/>
      <c r="I784" s="294"/>
      <c r="J784" s="294">
        <v>82</v>
      </c>
      <c r="K784" s="294">
        <v>25.5</v>
      </c>
      <c r="L784" s="294"/>
      <c r="M784" s="294"/>
      <c r="N784" s="294"/>
      <c r="O784" s="294"/>
      <c r="P784" s="294"/>
      <c r="Q784" s="294"/>
      <c r="R784" s="294"/>
      <c r="S784" s="294"/>
      <c r="T784" s="294"/>
      <c r="U784" s="294"/>
      <c r="V784" s="294"/>
      <c r="W784" s="294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  <c r="BA784" s="286"/>
      <c r="BB784" s="286"/>
      <c r="BC784" s="286"/>
    </row>
    <row r="785" spans="1:55" s="285" customFormat="1" ht="13.5" customHeight="1">
      <c r="A785" s="297"/>
      <c r="B785" s="296">
        <v>43746</v>
      </c>
      <c r="C785" s="295" t="s">
        <v>451</v>
      </c>
      <c r="D785" s="294">
        <v>85.65</v>
      </c>
      <c r="E785" s="294"/>
      <c r="F785" s="294"/>
      <c r="G785" s="294">
        <v>61.95</v>
      </c>
      <c r="H785" s="294"/>
      <c r="I785" s="294"/>
      <c r="J785" s="294"/>
      <c r="K785" s="294"/>
      <c r="L785" s="294">
        <v>23.7</v>
      </c>
      <c r="M785" s="294"/>
      <c r="N785" s="294"/>
      <c r="O785" s="294"/>
      <c r="P785" s="294"/>
      <c r="Q785" s="294"/>
      <c r="R785" s="294"/>
      <c r="S785" s="294"/>
      <c r="T785" s="294"/>
      <c r="U785" s="294"/>
      <c r="V785" s="294"/>
      <c r="W785" s="294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  <c r="BA785" s="286"/>
      <c r="BB785" s="286"/>
      <c r="BC785" s="286"/>
    </row>
    <row r="786" spans="1:55" s="285" customFormat="1" ht="13.5" customHeight="1">
      <c r="A786" s="297"/>
      <c r="B786" s="296">
        <v>43748</v>
      </c>
      <c r="C786" s="295" t="s">
        <v>451</v>
      </c>
      <c r="D786" s="294">
        <v>95</v>
      </c>
      <c r="E786" s="294"/>
      <c r="F786" s="294"/>
      <c r="G786" s="294">
        <v>82.5</v>
      </c>
      <c r="H786" s="294"/>
      <c r="I786" s="294"/>
      <c r="J786" s="294"/>
      <c r="K786" s="294">
        <v>12.75</v>
      </c>
      <c r="L786" s="294"/>
      <c r="M786" s="294"/>
      <c r="N786" s="294"/>
      <c r="O786" s="294"/>
      <c r="P786" s="294"/>
      <c r="Q786" s="294"/>
      <c r="R786" s="294"/>
      <c r="S786" s="294"/>
      <c r="T786" s="294"/>
      <c r="U786" s="294"/>
      <c r="V786" s="294"/>
      <c r="W786" s="294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  <c r="BA786" s="286"/>
      <c r="BB786" s="286"/>
      <c r="BC786" s="286"/>
    </row>
    <row r="787" spans="1:55" s="285" customFormat="1" ht="13.5" customHeight="1">
      <c r="A787" s="297"/>
      <c r="B787" s="296">
        <v>43748</v>
      </c>
      <c r="C787" s="295" t="s">
        <v>162</v>
      </c>
      <c r="D787" s="294">
        <v>70</v>
      </c>
      <c r="E787" s="294"/>
      <c r="F787" s="294">
        <v>70</v>
      </c>
      <c r="G787" s="294"/>
      <c r="H787" s="294"/>
      <c r="I787" s="294"/>
      <c r="J787" s="294"/>
      <c r="K787" s="294"/>
      <c r="L787" s="294"/>
      <c r="M787" s="294"/>
      <c r="N787" s="294"/>
      <c r="O787" s="294"/>
      <c r="P787" s="294"/>
      <c r="Q787" s="294"/>
      <c r="R787" s="294"/>
      <c r="S787" s="294"/>
      <c r="T787" s="294"/>
      <c r="U787" s="294"/>
      <c r="V787" s="294"/>
      <c r="W787" s="294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  <c r="BA787" s="286"/>
      <c r="BB787" s="286"/>
      <c r="BC787" s="286"/>
    </row>
    <row r="788" spans="1:55" s="285" customFormat="1" ht="13.5" customHeight="1">
      <c r="A788" s="297"/>
      <c r="B788" s="296">
        <v>43748</v>
      </c>
      <c r="C788" s="295" t="s">
        <v>40</v>
      </c>
      <c r="D788" s="294">
        <v>48.95</v>
      </c>
      <c r="E788" s="294"/>
      <c r="F788" s="294">
        <v>5</v>
      </c>
      <c r="G788" s="294">
        <v>23.95</v>
      </c>
      <c r="H788" s="294"/>
      <c r="I788" s="294"/>
      <c r="J788" s="294"/>
      <c r="K788" s="294"/>
      <c r="L788" s="294">
        <v>20</v>
      </c>
      <c r="M788" s="294"/>
      <c r="N788" s="294"/>
      <c r="O788" s="294"/>
      <c r="P788" s="294"/>
      <c r="Q788" s="294"/>
      <c r="R788" s="294"/>
      <c r="S788" s="294"/>
      <c r="T788" s="294"/>
      <c r="U788" s="294"/>
      <c r="V788" s="294"/>
      <c r="W788" s="294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  <c r="BA788" s="286"/>
      <c r="BB788" s="286"/>
      <c r="BC788" s="286"/>
    </row>
    <row r="789" spans="1:55" s="285" customFormat="1" ht="13.5" customHeight="1">
      <c r="A789" s="297"/>
      <c r="B789" s="296">
        <v>43748</v>
      </c>
      <c r="C789" s="295" t="s">
        <v>143</v>
      </c>
      <c r="D789" s="294">
        <v>200</v>
      </c>
      <c r="E789" s="294"/>
      <c r="F789" s="294">
        <v>100</v>
      </c>
      <c r="G789" s="294"/>
      <c r="H789" s="294"/>
      <c r="I789" s="294"/>
      <c r="J789" s="294"/>
      <c r="K789" s="294"/>
      <c r="L789" s="294"/>
      <c r="M789" s="294"/>
      <c r="N789" s="294"/>
      <c r="O789" s="294"/>
      <c r="P789" s="294"/>
      <c r="Q789" s="294"/>
      <c r="R789" s="294"/>
      <c r="S789" s="294"/>
      <c r="T789" s="294"/>
      <c r="U789" s="294"/>
      <c r="V789" s="294"/>
      <c r="W789" s="294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  <c r="BA789" s="286"/>
      <c r="BB789" s="286"/>
      <c r="BC789" s="286"/>
    </row>
    <row r="790" spans="1:55" s="285" customFormat="1" ht="13.5" customHeight="1">
      <c r="A790" s="297"/>
      <c r="B790" s="296">
        <v>43749</v>
      </c>
      <c r="C790" s="295" t="s">
        <v>451</v>
      </c>
      <c r="D790" s="294">
        <v>98.6</v>
      </c>
      <c r="E790" s="294"/>
      <c r="F790" s="294"/>
      <c r="G790" s="294">
        <v>98.6</v>
      </c>
      <c r="H790" s="294"/>
      <c r="I790" s="294"/>
      <c r="J790" s="294"/>
      <c r="K790" s="294"/>
      <c r="L790" s="294"/>
      <c r="M790" s="294"/>
      <c r="N790" s="294"/>
      <c r="O790" s="294"/>
      <c r="P790" s="294"/>
      <c r="Q790" s="294"/>
      <c r="R790" s="294"/>
      <c r="S790" s="294"/>
      <c r="T790" s="294"/>
      <c r="U790" s="294"/>
      <c r="V790" s="294"/>
      <c r="W790" s="294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  <c r="BA790" s="286"/>
      <c r="BB790" s="286"/>
      <c r="BC790" s="286"/>
    </row>
    <row r="791" spans="1:55" s="285" customFormat="1" ht="13.5" customHeight="1">
      <c r="A791" s="297"/>
      <c r="B791" s="296">
        <v>43752</v>
      </c>
      <c r="C791" s="295" t="s">
        <v>451</v>
      </c>
      <c r="D791" s="294">
        <v>111.4</v>
      </c>
      <c r="E791" s="294"/>
      <c r="F791" s="294"/>
      <c r="G791" s="294">
        <v>29.4</v>
      </c>
      <c r="H791" s="294"/>
      <c r="I791" s="294"/>
      <c r="J791" s="294">
        <v>82</v>
      </c>
      <c r="K791" s="294"/>
      <c r="L791" s="294"/>
      <c r="M791" s="294"/>
      <c r="N791" s="294"/>
      <c r="O791" s="294"/>
      <c r="P791" s="294"/>
      <c r="Q791" s="294"/>
      <c r="R791" s="294"/>
      <c r="S791" s="294"/>
      <c r="T791" s="294"/>
      <c r="U791" s="294"/>
      <c r="V791" s="294"/>
      <c r="W791" s="294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  <c r="BA791" s="286"/>
      <c r="BB791" s="286"/>
      <c r="BC791" s="286"/>
    </row>
    <row r="792" spans="1:55" s="285" customFormat="1" ht="13.5" customHeight="1">
      <c r="A792" s="297"/>
      <c r="B792" s="296">
        <v>43753</v>
      </c>
      <c r="C792" s="295" t="s">
        <v>39</v>
      </c>
      <c r="D792" s="294">
        <v>26.25</v>
      </c>
      <c r="E792" s="294"/>
      <c r="F792" s="294"/>
      <c r="G792" s="294">
        <v>26.25</v>
      </c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294"/>
      <c r="S792" s="294"/>
      <c r="T792" s="294"/>
      <c r="U792" s="294"/>
      <c r="V792" s="294"/>
      <c r="W792" s="294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  <c r="BA792" s="286"/>
      <c r="BB792" s="286"/>
      <c r="BC792" s="286"/>
    </row>
    <row r="793" spans="1:55" s="285" customFormat="1" ht="13.5" customHeight="1">
      <c r="A793" s="297"/>
      <c r="B793" s="296">
        <v>43754</v>
      </c>
      <c r="C793" s="295" t="s">
        <v>451</v>
      </c>
      <c r="D793" s="294">
        <v>102.75</v>
      </c>
      <c r="E793" s="294"/>
      <c r="F793" s="294"/>
      <c r="G793" s="294">
        <v>49</v>
      </c>
      <c r="H793" s="294"/>
      <c r="I793" s="294"/>
      <c r="J793" s="294">
        <v>41</v>
      </c>
      <c r="K793" s="294">
        <v>12.75</v>
      </c>
      <c r="L793" s="294"/>
      <c r="M793" s="294"/>
      <c r="N793" s="294"/>
      <c r="O793" s="294"/>
      <c r="P793" s="294"/>
      <c r="Q793" s="294"/>
      <c r="R793" s="294"/>
      <c r="S793" s="294"/>
      <c r="T793" s="294"/>
      <c r="U793" s="294"/>
      <c r="V793" s="294"/>
      <c r="W793" s="294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  <c r="BA793" s="286"/>
      <c r="BB793" s="286"/>
      <c r="BC793" s="286"/>
    </row>
    <row r="794" spans="1:55" s="285" customFormat="1" ht="13.5" customHeight="1">
      <c r="A794" s="297"/>
      <c r="B794" s="296">
        <v>43754</v>
      </c>
      <c r="C794" s="295" t="s">
        <v>39</v>
      </c>
      <c r="D794" s="294">
        <v>44.5</v>
      </c>
      <c r="E794" s="294"/>
      <c r="F794" s="294"/>
      <c r="G794" s="294">
        <v>44.5</v>
      </c>
      <c r="H794" s="294"/>
      <c r="I794" s="294"/>
      <c r="J794" s="294"/>
      <c r="K794" s="294"/>
      <c r="L794" s="294"/>
      <c r="M794" s="294"/>
      <c r="N794" s="294"/>
      <c r="O794" s="294"/>
      <c r="P794" s="294"/>
      <c r="Q794" s="294"/>
      <c r="R794" s="294"/>
      <c r="S794" s="294"/>
      <c r="T794" s="294"/>
      <c r="U794" s="294"/>
      <c r="V794" s="294"/>
      <c r="W794" s="294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  <c r="BA794" s="286"/>
      <c r="BB794" s="286"/>
      <c r="BC794" s="286"/>
    </row>
    <row r="795" spans="1:55" s="285" customFormat="1" ht="13.5" customHeight="1">
      <c r="A795" s="297"/>
      <c r="B795" s="296">
        <v>43756</v>
      </c>
      <c r="C795" s="295" t="s">
        <v>242</v>
      </c>
      <c r="D795" s="294">
        <v>-300</v>
      </c>
      <c r="E795" s="294"/>
      <c r="F795" s="294"/>
      <c r="G795" s="294"/>
      <c r="H795" s="294"/>
      <c r="I795" s="294"/>
      <c r="J795" s="294"/>
      <c r="K795" s="294"/>
      <c r="L795" s="294"/>
      <c r="M795" s="294"/>
      <c r="N795" s="294"/>
      <c r="O795" s="294"/>
      <c r="P795" s="294"/>
      <c r="Q795" s="294"/>
      <c r="R795" s="294"/>
      <c r="S795" s="294"/>
      <c r="T795" s="294"/>
      <c r="U795" s="294">
        <v>-300</v>
      </c>
      <c r="V795" s="294"/>
      <c r="W795" s="294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  <c r="BA795" s="286"/>
      <c r="BB795" s="286"/>
      <c r="BC795" s="286"/>
    </row>
    <row r="796" spans="1:55" s="285" customFormat="1" ht="13.5" customHeight="1">
      <c r="A796" s="297"/>
      <c r="B796" s="296">
        <v>43756</v>
      </c>
      <c r="C796" s="295" t="s">
        <v>40</v>
      </c>
      <c r="D796" s="294">
        <v>142.19999999999999</v>
      </c>
      <c r="E796" s="294"/>
      <c r="F796" s="294">
        <v>89</v>
      </c>
      <c r="G796" s="294">
        <v>53.2</v>
      </c>
      <c r="H796" s="294"/>
      <c r="I796" s="294"/>
      <c r="J796" s="294"/>
      <c r="K796" s="294"/>
      <c r="L796" s="294"/>
      <c r="M796" s="294"/>
      <c r="N796" s="294"/>
      <c r="O796" s="294"/>
      <c r="P796" s="294"/>
      <c r="Q796" s="294"/>
      <c r="R796" s="294"/>
      <c r="S796" s="294"/>
      <c r="T796" s="294"/>
      <c r="U796" s="294"/>
      <c r="V796" s="294"/>
      <c r="W796" s="294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  <c r="BA796" s="286"/>
      <c r="BB796" s="286"/>
      <c r="BC796" s="286"/>
    </row>
    <row r="797" spans="1:55" s="285" customFormat="1" ht="13.5" customHeight="1">
      <c r="A797" s="297"/>
      <c r="B797" s="296">
        <v>43757</v>
      </c>
      <c r="C797" s="295" t="s">
        <v>451</v>
      </c>
      <c r="D797" s="294">
        <v>147</v>
      </c>
      <c r="E797" s="294"/>
      <c r="F797" s="294"/>
      <c r="G797" s="294">
        <v>65</v>
      </c>
      <c r="H797" s="294"/>
      <c r="I797" s="294"/>
      <c r="J797" s="294">
        <v>82</v>
      </c>
      <c r="K797" s="294"/>
      <c r="L797" s="294"/>
      <c r="M797" s="294"/>
      <c r="N797" s="294"/>
      <c r="O797" s="294"/>
      <c r="P797" s="294"/>
      <c r="Q797" s="294"/>
      <c r="R797" s="294"/>
      <c r="S797" s="294"/>
      <c r="T797" s="294"/>
      <c r="U797" s="294"/>
      <c r="V797" s="294"/>
      <c r="W797" s="294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  <c r="BA797" s="286"/>
      <c r="BB797" s="286"/>
      <c r="BC797" s="286"/>
    </row>
    <row r="798" spans="1:55" s="285" customFormat="1" ht="13.5" customHeight="1">
      <c r="A798" s="297"/>
      <c r="B798" s="296">
        <v>43757</v>
      </c>
      <c r="C798" s="295" t="s">
        <v>38</v>
      </c>
      <c r="D798" s="294">
        <v>40</v>
      </c>
      <c r="E798" s="294"/>
      <c r="F798" s="294"/>
      <c r="G798" s="294">
        <v>40</v>
      </c>
      <c r="H798" s="294"/>
      <c r="I798" s="294"/>
      <c r="J798" s="294"/>
      <c r="K798" s="294"/>
      <c r="L798" s="294"/>
      <c r="M798" s="294"/>
      <c r="N798" s="294"/>
      <c r="O798" s="294"/>
      <c r="P798" s="294"/>
      <c r="Q798" s="294"/>
      <c r="R798" s="294"/>
      <c r="S798" s="294"/>
      <c r="T798" s="294"/>
      <c r="U798" s="294"/>
      <c r="V798" s="294"/>
      <c r="W798" s="294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  <c r="BA798" s="286"/>
      <c r="BB798" s="286"/>
      <c r="BC798" s="286"/>
    </row>
    <row r="799" spans="1:55" s="285" customFormat="1" ht="13.5" customHeight="1">
      <c r="A799" s="297"/>
      <c r="B799" s="296">
        <v>43759</v>
      </c>
      <c r="C799" s="295" t="s">
        <v>40</v>
      </c>
      <c r="D799" s="294">
        <v>59.6</v>
      </c>
      <c r="E799" s="294"/>
      <c r="F799" s="294"/>
      <c r="G799" s="294">
        <v>49.6</v>
      </c>
      <c r="H799" s="294"/>
      <c r="I799" s="294"/>
      <c r="J799" s="294"/>
      <c r="K799" s="294"/>
      <c r="L799" s="294">
        <v>10</v>
      </c>
      <c r="M799" s="294"/>
      <c r="N799" s="294"/>
      <c r="O799" s="294"/>
      <c r="P799" s="294"/>
      <c r="Q799" s="294"/>
      <c r="R799" s="294"/>
      <c r="S799" s="294"/>
      <c r="T799" s="294"/>
      <c r="U799" s="294"/>
      <c r="V799" s="294"/>
      <c r="W799" s="294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</row>
    <row r="800" spans="1:55" s="285" customFormat="1" ht="13.5" customHeight="1">
      <c r="A800" s="297"/>
      <c r="B800" s="296">
        <v>43759</v>
      </c>
      <c r="C800" s="295" t="s">
        <v>40</v>
      </c>
      <c r="D800" s="294">
        <v>19.649999999999999</v>
      </c>
      <c r="E800" s="294"/>
      <c r="F800" s="294"/>
      <c r="G800" s="294">
        <v>19.649999999999999</v>
      </c>
      <c r="H800" s="294"/>
      <c r="I800" s="294"/>
      <c r="J800" s="294"/>
      <c r="K800" s="294"/>
      <c r="L800" s="294"/>
      <c r="M800" s="294"/>
      <c r="N800" s="294"/>
      <c r="O800" s="294"/>
      <c r="P800" s="294"/>
      <c r="Q800" s="294"/>
      <c r="R800" s="294"/>
      <c r="S800" s="294"/>
      <c r="T800" s="294"/>
      <c r="U800" s="294"/>
      <c r="V800" s="294"/>
      <c r="W800" s="294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  <c r="BA800" s="286"/>
      <c r="BB800" s="286"/>
      <c r="BC800" s="286"/>
    </row>
    <row r="801" spans="1:57" s="285" customFormat="1" ht="13.5" customHeight="1">
      <c r="A801" s="297"/>
      <c r="B801" s="296">
        <v>43760</v>
      </c>
      <c r="C801" s="295" t="s">
        <v>39</v>
      </c>
      <c r="D801" s="294">
        <v>79</v>
      </c>
      <c r="E801" s="294"/>
      <c r="F801" s="294"/>
      <c r="G801" s="294">
        <v>79</v>
      </c>
      <c r="H801" s="294"/>
      <c r="I801" s="294"/>
      <c r="J801" s="294"/>
      <c r="K801" s="294"/>
      <c r="L801" s="294"/>
      <c r="M801" s="294"/>
      <c r="N801" s="294"/>
      <c r="O801" s="294"/>
      <c r="P801" s="294"/>
      <c r="Q801" s="294"/>
      <c r="R801" s="294"/>
      <c r="S801" s="294"/>
      <c r="T801" s="294"/>
      <c r="U801" s="294"/>
      <c r="V801" s="294"/>
      <c r="W801" s="294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  <c r="BA801" s="286"/>
      <c r="BB801" s="286"/>
      <c r="BC801" s="286"/>
    </row>
    <row r="802" spans="1:57" s="285" customFormat="1" ht="13.5" customHeight="1">
      <c r="A802" s="297"/>
      <c r="B802" s="296">
        <v>43762</v>
      </c>
      <c r="C802" s="295" t="s">
        <v>38</v>
      </c>
      <c r="D802" s="294">
        <v>32</v>
      </c>
      <c r="E802" s="294"/>
      <c r="F802" s="294"/>
      <c r="G802" s="294">
        <v>32</v>
      </c>
      <c r="H802" s="294"/>
      <c r="I802" s="294"/>
      <c r="J802" s="294"/>
      <c r="K802" s="294"/>
      <c r="L802" s="294"/>
      <c r="M802" s="294"/>
      <c r="N802" s="294"/>
      <c r="O802" s="294"/>
      <c r="P802" s="294"/>
      <c r="Q802" s="294"/>
      <c r="R802" s="294"/>
      <c r="S802" s="294"/>
      <c r="T802" s="294"/>
      <c r="U802" s="294"/>
      <c r="V802" s="294"/>
      <c r="W802" s="294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  <c r="BA802" s="286"/>
      <c r="BB802" s="286"/>
      <c r="BC802" s="286"/>
    </row>
    <row r="803" spans="1:57" s="285" customFormat="1" ht="13.5" customHeight="1">
      <c r="A803" s="297"/>
      <c r="B803" s="296">
        <v>43762</v>
      </c>
      <c r="C803" s="295" t="s">
        <v>40</v>
      </c>
      <c r="D803" s="294">
        <v>27</v>
      </c>
      <c r="E803" s="294"/>
      <c r="F803" s="294"/>
      <c r="G803" s="294">
        <v>27</v>
      </c>
      <c r="H803" s="294"/>
      <c r="I803" s="294"/>
      <c r="J803" s="294"/>
      <c r="K803" s="294"/>
      <c r="L803" s="294"/>
      <c r="M803" s="294"/>
      <c r="N803" s="294"/>
      <c r="O803" s="294"/>
      <c r="P803" s="294"/>
      <c r="Q803" s="294"/>
      <c r="R803" s="294"/>
      <c r="S803" s="294"/>
      <c r="T803" s="294"/>
      <c r="U803" s="294"/>
      <c r="V803" s="294"/>
      <c r="W803" s="294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  <c r="BA803" s="286"/>
      <c r="BB803" s="286"/>
      <c r="BC803" s="286"/>
    </row>
    <row r="804" spans="1:57" s="285" customFormat="1" ht="13.5" customHeight="1">
      <c r="A804" s="297"/>
      <c r="B804" s="296">
        <v>43764</v>
      </c>
      <c r="C804" s="295" t="s">
        <v>451</v>
      </c>
      <c r="D804" s="294">
        <v>55</v>
      </c>
      <c r="E804" s="294"/>
      <c r="F804" s="294"/>
      <c r="G804" s="294">
        <v>55</v>
      </c>
      <c r="H804" s="294"/>
      <c r="I804" s="294"/>
      <c r="J804" s="294"/>
      <c r="K804" s="294"/>
      <c r="L804" s="294"/>
      <c r="M804" s="294"/>
      <c r="N804" s="294"/>
      <c r="O804" s="294"/>
      <c r="P804" s="294"/>
      <c r="Q804" s="294"/>
      <c r="R804" s="294"/>
      <c r="S804" s="294"/>
      <c r="T804" s="294"/>
      <c r="U804" s="294"/>
      <c r="V804" s="294"/>
      <c r="W804" s="294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  <c r="BA804" s="286"/>
      <c r="BB804" s="286"/>
      <c r="BC804" s="286"/>
    </row>
    <row r="805" spans="1:57" s="285" customFormat="1" ht="13.5" customHeight="1">
      <c r="A805" s="297"/>
      <c r="B805" s="296">
        <v>43768</v>
      </c>
      <c r="C805" s="295" t="s">
        <v>451</v>
      </c>
      <c r="D805" s="294">
        <v>71</v>
      </c>
      <c r="E805" s="294"/>
      <c r="F805" s="294"/>
      <c r="G805" s="294"/>
      <c r="H805" s="294"/>
      <c r="I805" s="294"/>
      <c r="J805" s="294">
        <v>41</v>
      </c>
      <c r="K805" s="294">
        <v>30</v>
      </c>
      <c r="L805" s="294"/>
      <c r="M805" s="294"/>
      <c r="N805" s="294"/>
      <c r="O805" s="294"/>
      <c r="P805" s="294"/>
      <c r="Q805" s="294"/>
      <c r="R805" s="294"/>
      <c r="S805" s="294"/>
      <c r="T805" s="294"/>
      <c r="U805" s="294"/>
      <c r="V805" s="294"/>
      <c r="W805" s="294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  <c r="BA805" s="286"/>
      <c r="BB805" s="286"/>
      <c r="BC805" s="286"/>
    </row>
    <row r="806" spans="1:57" s="285" customFormat="1" ht="13.5" customHeight="1">
      <c r="A806" s="297"/>
      <c r="B806" s="296">
        <v>43768</v>
      </c>
      <c r="C806" s="295" t="s">
        <v>40</v>
      </c>
      <c r="D806" s="294">
        <v>10</v>
      </c>
      <c r="E806" s="294"/>
      <c r="F806" s="294"/>
      <c r="G806" s="294"/>
      <c r="H806" s="294"/>
      <c r="I806" s="294"/>
      <c r="J806" s="294"/>
      <c r="K806" s="294"/>
      <c r="L806" s="294"/>
      <c r="M806" s="294"/>
      <c r="N806" s="294"/>
      <c r="O806" s="294"/>
      <c r="P806" s="294"/>
      <c r="Q806" s="294"/>
      <c r="R806" s="294"/>
      <c r="S806" s="294"/>
      <c r="T806" s="294"/>
      <c r="U806" s="294"/>
      <c r="V806" s="294"/>
      <c r="W806" s="294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  <c r="BA806" s="286"/>
      <c r="BB806" s="286"/>
      <c r="BC806" s="286"/>
    </row>
    <row r="807" spans="1:57" s="285" customFormat="1" ht="13.5" customHeight="1">
      <c r="A807" s="297"/>
      <c r="B807" s="296"/>
      <c r="C807" s="295"/>
      <c r="D807" s="294"/>
      <c r="E807" s="294"/>
      <c r="F807" s="294"/>
      <c r="G807" s="294"/>
      <c r="H807" s="294"/>
      <c r="I807" s="294"/>
      <c r="J807" s="294"/>
      <c r="K807" s="294"/>
      <c r="L807" s="294"/>
      <c r="M807" s="294"/>
      <c r="N807" s="294"/>
      <c r="O807" s="294"/>
      <c r="P807" s="294"/>
      <c r="Q807" s="294"/>
      <c r="R807" s="294"/>
      <c r="S807" s="294"/>
      <c r="T807" s="294"/>
      <c r="U807" s="294"/>
      <c r="V807" s="294"/>
      <c r="W807" s="294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  <c r="BA807" s="286"/>
      <c r="BB807" s="286"/>
      <c r="BC807" s="286"/>
    </row>
    <row r="808" spans="1:57" s="285" customFormat="1" ht="12" customHeight="1">
      <c r="A808" s="289"/>
      <c r="B808" s="288" t="str">
        <f>B749</f>
        <v>oktober</v>
      </c>
      <c r="C808" s="287" t="s">
        <v>36</v>
      </c>
      <c r="D808" s="287">
        <f t="shared" ref="D808:V808" si="20">SUM(D809:D809)</f>
        <v>0</v>
      </c>
      <c r="E808" s="287">
        <f t="shared" si="20"/>
        <v>0</v>
      </c>
      <c r="F808" s="287">
        <f t="shared" si="20"/>
        <v>0</v>
      </c>
      <c r="G808" s="287">
        <f t="shared" si="20"/>
        <v>0</v>
      </c>
      <c r="H808" s="287">
        <f t="shared" si="20"/>
        <v>0</v>
      </c>
      <c r="I808" s="287">
        <f t="shared" si="20"/>
        <v>0</v>
      </c>
      <c r="J808" s="287">
        <f t="shared" si="20"/>
        <v>0</v>
      </c>
      <c r="K808" s="287">
        <f t="shared" si="20"/>
        <v>0</v>
      </c>
      <c r="L808" s="287">
        <f t="shared" si="20"/>
        <v>0</v>
      </c>
      <c r="M808" s="287">
        <f t="shared" si="20"/>
        <v>0</v>
      </c>
      <c r="N808" s="287">
        <f t="shared" si="20"/>
        <v>0</v>
      </c>
      <c r="O808" s="287">
        <f t="shared" si="20"/>
        <v>0</v>
      </c>
      <c r="P808" s="287">
        <f t="shared" si="20"/>
        <v>0</v>
      </c>
      <c r="Q808" s="287">
        <f t="shared" si="20"/>
        <v>0</v>
      </c>
      <c r="R808" s="287">
        <f t="shared" si="20"/>
        <v>0</v>
      </c>
      <c r="S808" s="287">
        <f t="shared" si="20"/>
        <v>0</v>
      </c>
      <c r="T808" s="287">
        <f t="shared" si="20"/>
        <v>0</v>
      </c>
      <c r="U808" s="287">
        <f t="shared" si="20"/>
        <v>0</v>
      </c>
      <c r="V808" s="287">
        <f t="shared" si="20"/>
        <v>0</v>
      </c>
      <c r="W808" s="287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  <c r="BA808" s="286"/>
      <c r="BB808" s="286"/>
      <c r="BC808" s="286"/>
      <c r="BD808" s="286"/>
      <c r="BE808" s="286"/>
    </row>
    <row r="809" spans="1:57" s="302" customFormat="1" ht="13.8">
      <c r="A809" s="306"/>
      <c r="B809" s="305"/>
      <c r="C809" s="304"/>
      <c r="D809" s="304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O809" s="303"/>
      <c r="P809" s="303"/>
      <c r="Q809" s="303"/>
      <c r="R809" s="303"/>
      <c r="S809" s="303"/>
      <c r="T809" s="303"/>
      <c r="U809" s="303"/>
      <c r="V809" s="303"/>
      <c r="W809" s="303"/>
    </row>
    <row r="810" spans="1:57" s="299" customFormat="1" ht="13.5" customHeight="1">
      <c r="A810" s="301"/>
      <c r="B810" s="2948" t="s">
        <v>113</v>
      </c>
      <c r="C810" s="3003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00"/>
      <c r="Y810" s="300"/>
      <c r="Z810" s="300"/>
      <c r="AA810" s="300"/>
      <c r="AB810" s="300"/>
      <c r="AC810" s="300"/>
      <c r="AD810" s="300"/>
      <c r="AE810" s="300"/>
      <c r="AF810" s="300"/>
      <c r="AG810" s="300"/>
      <c r="AH810" s="300"/>
      <c r="AI810" s="300"/>
      <c r="AJ810" s="300"/>
      <c r="AK810" s="300"/>
      <c r="AL810" s="300"/>
      <c r="AM810" s="300"/>
      <c r="AN810" s="300"/>
      <c r="AO810" s="300"/>
      <c r="AP810" s="300"/>
      <c r="AQ810" s="300"/>
      <c r="AR810" s="300"/>
      <c r="AS810" s="300"/>
      <c r="AT810" s="300"/>
      <c r="AU810" s="300"/>
      <c r="AV810" s="300"/>
      <c r="AW810" s="300"/>
      <c r="AX810" s="300"/>
      <c r="AY810" s="300"/>
      <c r="AZ810" s="300"/>
      <c r="BA810" s="300"/>
      <c r="BB810" s="300"/>
      <c r="BC810" s="300"/>
    </row>
    <row r="811" spans="1:57" s="285" customFormat="1" ht="13.5" customHeight="1">
      <c r="A811" s="297"/>
      <c r="B811" s="296">
        <v>43769</v>
      </c>
      <c r="C811" s="295" t="s">
        <v>35</v>
      </c>
      <c r="D811" s="294">
        <v>-11306</v>
      </c>
      <c r="E811" s="294"/>
      <c r="F811" s="294"/>
      <c r="G811" s="294"/>
      <c r="H811" s="294"/>
      <c r="I811" s="294"/>
      <c r="J811" s="294"/>
      <c r="K811" s="294"/>
      <c r="L811" s="294"/>
      <c r="M811" s="294"/>
      <c r="N811" s="294"/>
      <c r="O811" s="294"/>
      <c r="P811" s="294"/>
      <c r="Q811" s="294"/>
      <c r="R811" s="294"/>
      <c r="S811" s="294"/>
      <c r="T811" s="294"/>
      <c r="U811" s="294"/>
      <c r="V811" s="294"/>
      <c r="W811" s="294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  <c r="BA811" s="286"/>
      <c r="BB811" s="286"/>
      <c r="BC811" s="286"/>
    </row>
    <row r="812" spans="1:57" s="285" customFormat="1" ht="13.5" customHeight="1">
      <c r="A812" s="297"/>
      <c r="B812" s="296">
        <v>43769</v>
      </c>
      <c r="C812" s="295" t="s">
        <v>34</v>
      </c>
      <c r="D812" s="294">
        <v>-7315</v>
      </c>
      <c r="E812" s="294"/>
      <c r="F812" s="294"/>
      <c r="G812" s="294"/>
      <c r="H812" s="294"/>
      <c r="I812" s="294"/>
      <c r="J812" s="294"/>
      <c r="K812" s="294"/>
      <c r="L812" s="294"/>
      <c r="M812" s="294"/>
      <c r="N812" s="294"/>
      <c r="O812" s="294"/>
      <c r="P812" s="294"/>
      <c r="Q812" s="294"/>
      <c r="R812" s="294"/>
      <c r="S812" s="294"/>
      <c r="T812" s="294"/>
      <c r="U812" s="294"/>
      <c r="V812" s="294"/>
      <c r="W812" s="294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  <c r="BA812" s="286"/>
      <c r="BB812" s="286"/>
      <c r="BC812" s="286"/>
    </row>
    <row r="813" spans="1:57" s="285" customFormat="1" ht="13.5" customHeight="1">
      <c r="A813" s="297"/>
      <c r="B813" s="296">
        <v>43769</v>
      </c>
      <c r="C813" s="295" t="s">
        <v>33</v>
      </c>
      <c r="D813" s="294">
        <v>-205</v>
      </c>
      <c r="E813" s="294"/>
      <c r="F813" s="294"/>
      <c r="G813" s="294"/>
      <c r="H813" s="294"/>
      <c r="I813" s="294"/>
      <c r="J813" s="294"/>
      <c r="K813" s="294"/>
      <c r="L813" s="294"/>
      <c r="M813" s="294"/>
      <c r="N813" s="294"/>
      <c r="O813" s="294"/>
      <c r="P813" s="294"/>
      <c r="Q813" s="294"/>
      <c r="R813" s="294"/>
      <c r="S813" s="294"/>
      <c r="T813" s="294"/>
      <c r="U813" s="294"/>
      <c r="V813" s="294"/>
      <c r="W813" s="294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  <c r="BA813" s="286"/>
      <c r="BB813" s="286"/>
      <c r="BC813" s="286"/>
    </row>
    <row r="814" spans="1:57" s="285" customFormat="1" ht="13.5" customHeight="1">
      <c r="A814" s="297"/>
      <c r="B814" s="296">
        <v>43769</v>
      </c>
      <c r="C814" s="295" t="s">
        <v>21</v>
      </c>
      <c r="D814" s="294">
        <v>169</v>
      </c>
      <c r="E814" s="294"/>
      <c r="F814" s="294"/>
      <c r="G814" s="294"/>
      <c r="H814" s="294"/>
      <c r="I814" s="294"/>
      <c r="J814" s="294"/>
      <c r="K814" s="294"/>
      <c r="L814" s="294"/>
      <c r="M814" s="294"/>
      <c r="N814" s="294"/>
      <c r="O814" s="294"/>
      <c r="P814" s="294">
        <f>D814</f>
        <v>169</v>
      </c>
      <c r="Q814" s="294"/>
      <c r="R814" s="294"/>
      <c r="S814" s="294"/>
      <c r="T814" s="294"/>
      <c r="U814" s="294"/>
      <c r="V814" s="294"/>
      <c r="W814" s="294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  <c r="BA814" s="286"/>
      <c r="BB814" s="286"/>
      <c r="BC814" s="286"/>
    </row>
    <row r="815" spans="1:57" s="285" customFormat="1" ht="13.5" customHeight="1">
      <c r="A815" s="297"/>
      <c r="B815" s="296">
        <v>43769</v>
      </c>
      <c r="C815" s="295" t="s">
        <v>40</v>
      </c>
      <c r="D815" s="294">
        <v>309</v>
      </c>
      <c r="E815" s="294"/>
      <c r="F815" s="294"/>
      <c r="G815" s="294">
        <f>309-41</f>
        <v>268</v>
      </c>
      <c r="H815" s="294"/>
      <c r="I815" s="294"/>
      <c r="J815" s="294">
        <v>41</v>
      </c>
      <c r="K815" s="294"/>
      <c r="L815" s="294"/>
      <c r="M815" s="294"/>
      <c r="N815" s="294"/>
      <c r="O815" s="294"/>
      <c r="P815" s="294"/>
      <c r="Q815" s="294"/>
      <c r="R815" s="294"/>
      <c r="S815" s="294"/>
      <c r="T815" s="294"/>
      <c r="U815" s="294"/>
      <c r="V815" s="294"/>
      <c r="W815" s="294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  <c r="BA815" s="286"/>
      <c r="BB815" s="286"/>
      <c r="BC815" s="286"/>
    </row>
    <row r="816" spans="1:57" s="285" customFormat="1" ht="13.5" customHeight="1">
      <c r="A816" s="297"/>
      <c r="B816" s="296">
        <v>43769</v>
      </c>
      <c r="C816" s="295" t="s">
        <v>42</v>
      </c>
      <c r="D816" s="294">
        <v>618.38</v>
      </c>
      <c r="E816" s="294"/>
      <c r="F816" s="294">
        <v>245</v>
      </c>
      <c r="G816" s="294">
        <f>25+8.95+10+8.95+40+21.95+9.98+27.5+15+8.95+19.75+24.95+8.45</f>
        <v>229.42999999999998</v>
      </c>
      <c r="H816" s="294"/>
      <c r="I816" s="294"/>
      <c r="J816" s="294"/>
      <c r="K816" s="294">
        <v>60</v>
      </c>
      <c r="L816" s="294">
        <f>59+10+14.95</f>
        <v>83.95</v>
      </c>
      <c r="M816" s="294"/>
      <c r="N816" s="294"/>
      <c r="O816" s="294"/>
      <c r="P816" s="294"/>
      <c r="Q816" s="294"/>
      <c r="R816" s="294"/>
      <c r="S816" s="294"/>
      <c r="T816" s="294"/>
      <c r="U816" s="294"/>
      <c r="V816" s="294"/>
      <c r="W816" s="294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  <c r="BA816" s="286"/>
      <c r="BB816" s="286"/>
      <c r="BC816" s="286"/>
    </row>
    <row r="817" spans="1:55" s="285" customFormat="1" ht="13.5" customHeight="1">
      <c r="A817" s="297"/>
      <c r="B817" s="296">
        <v>43769</v>
      </c>
      <c r="C817" s="295" t="s">
        <v>42</v>
      </c>
      <c r="D817" s="294">
        <v>574.85</v>
      </c>
      <c r="E817" s="294"/>
      <c r="F817" s="294">
        <v>98</v>
      </c>
      <c r="G817" s="294">
        <f>33+18+6+8.95+10+22</f>
        <v>97.95</v>
      </c>
      <c r="H817" s="294"/>
      <c r="I817" s="294"/>
      <c r="J817" s="294">
        <v>82</v>
      </c>
      <c r="K817" s="294">
        <v>60</v>
      </c>
      <c r="L817" s="294">
        <f>40+20+30+25+15+18+33.9+27.5+27.5</f>
        <v>236.9</v>
      </c>
      <c r="M817" s="294"/>
      <c r="N817" s="294"/>
      <c r="O817" s="294"/>
      <c r="P817" s="294"/>
      <c r="Q817" s="294"/>
      <c r="R817" s="294"/>
      <c r="S817" s="294"/>
      <c r="T817" s="294"/>
      <c r="U817" s="294"/>
      <c r="V817" s="294"/>
      <c r="W817" s="294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  <c r="BA817" s="286"/>
      <c r="BB817" s="286"/>
      <c r="BC817" s="286"/>
    </row>
    <row r="818" spans="1:55" s="285" customFormat="1" ht="13.5" customHeight="1">
      <c r="A818" s="297"/>
      <c r="B818" s="296">
        <v>43769</v>
      </c>
      <c r="C818" s="295" t="s">
        <v>42</v>
      </c>
      <c r="D818" s="294">
        <v>142</v>
      </c>
      <c r="E818" s="294"/>
      <c r="F818" s="294"/>
      <c r="G818" s="294"/>
      <c r="H818" s="294"/>
      <c r="I818" s="294"/>
      <c r="J818" s="294">
        <v>82</v>
      </c>
      <c r="K818" s="294">
        <v>60</v>
      </c>
      <c r="L818" s="294"/>
      <c r="M818" s="294"/>
      <c r="N818" s="294"/>
      <c r="O818" s="294"/>
      <c r="P818" s="294"/>
      <c r="Q818" s="294"/>
      <c r="R818" s="294"/>
      <c r="S818" s="294"/>
      <c r="T818" s="294"/>
      <c r="U818" s="294"/>
      <c r="V818" s="294"/>
      <c r="W818" s="294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  <c r="BA818" s="286"/>
      <c r="BB818" s="286"/>
      <c r="BC818" s="286"/>
    </row>
    <row r="819" spans="1:55" s="285" customFormat="1" ht="13.5" customHeight="1">
      <c r="A819" s="297"/>
      <c r="B819" s="296">
        <v>43769</v>
      </c>
      <c r="C819" s="295" t="s">
        <v>39</v>
      </c>
      <c r="D819" s="294">
        <f>175</f>
        <v>175</v>
      </c>
      <c r="E819" s="294"/>
      <c r="F819" s="294"/>
      <c r="G819" s="294">
        <v>93</v>
      </c>
      <c r="H819" s="294"/>
      <c r="I819" s="294"/>
      <c r="J819" s="294">
        <v>82</v>
      </c>
      <c r="K819" s="294"/>
      <c r="L819" s="294"/>
      <c r="M819" s="294"/>
      <c r="N819" s="294"/>
      <c r="O819" s="294"/>
      <c r="P819" s="294"/>
      <c r="Q819" s="294"/>
      <c r="R819" s="294"/>
      <c r="S819" s="294"/>
      <c r="T819" s="294"/>
      <c r="U819" s="294"/>
      <c r="V819" s="294"/>
      <c r="W819" s="294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  <c r="BA819" s="286"/>
      <c r="BB819" s="286"/>
      <c r="BC819" s="286"/>
    </row>
    <row r="820" spans="1:55" s="285" customFormat="1" ht="13.5" customHeight="1">
      <c r="A820" s="297"/>
      <c r="B820" s="296">
        <v>43769</v>
      </c>
      <c r="C820" s="295" t="s">
        <v>124</v>
      </c>
      <c r="D820" s="294">
        <v>17</v>
      </c>
      <c r="E820" s="294"/>
      <c r="F820" s="294"/>
      <c r="G820" s="294"/>
      <c r="H820" s="294"/>
      <c r="I820" s="294">
        <v>17</v>
      </c>
      <c r="J820" s="294"/>
      <c r="K820" s="294"/>
      <c r="L820" s="294"/>
      <c r="M820" s="294"/>
      <c r="N820" s="294"/>
      <c r="O820" s="294"/>
      <c r="P820" s="294"/>
      <c r="Q820" s="294"/>
      <c r="R820" s="294"/>
      <c r="S820" s="294"/>
      <c r="T820" s="294"/>
      <c r="U820" s="294"/>
      <c r="V820" s="294"/>
      <c r="W820" s="294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  <c r="BA820" s="286"/>
      <c r="BB820" s="286"/>
      <c r="BC820" s="286"/>
    </row>
    <row r="821" spans="1:55" s="285" customFormat="1" ht="13.5" customHeight="1">
      <c r="A821" s="297"/>
      <c r="B821" s="296">
        <v>43769</v>
      </c>
      <c r="C821" s="295" t="s">
        <v>41</v>
      </c>
      <c r="D821" s="294">
        <v>63</v>
      </c>
      <c r="E821" s="294"/>
      <c r="F821" s="294"/>
      <c r="G821" s="294">
        <v>63</v>
      </c>
      <c r="H821" s="294"/>
      <c r="I821" s="294"/>
      <c r="J821" s="294"/>
      <c r="K821" s="294"/>
      <c r="L821" s="294"/>
      <c r="M821" s="294"/>
      <c r="N821" s="294"/>
      <c r="O821" s="294"/>
      <c r="P821" s="294"/>
      <c r="Q821" s="294"/>
      <c r="R821" s="294"/>
      <c r="S821" s="294"/>
      <c r="T821" s="294"/>
      <c r="U821" s="294"/>
      <c r="V821" s="294"/>
      <c r="W821" s="294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  <c r="BA821" s="286"/>
      <c r="BB821" s="286"/>
      <c r="BC821" s="286"/>
    </row>
    <row r="822" spans="1:55" s="285" customFormat="1" ht="13.5" customHeight="1">
      <c r="A822" s="297"/>
      <c r="B822" s="296">
        <v>43769</v>
      </c>
      <c r="C822" s="295" t="s">
        <v>42</v>
      </c>
      <c r="D822" s="294">
        <v>129</v>
      </c>
      <c r="E822" s="294"/>
      <c r="F822" s="294"/>
      <c r="G822" s="294">
        <v>129</v>
      </c>
      <c r="H822" s="294"/>
      <c r="I822" s="294"/>
      <c r="J822" s="294"/>
      <c r="K822" s="294"/>
      <c r="L822" s="294"/>
      <c r="M822" s="294"/>
      <c r="N822" s="294"/>
      <c r="O822" s="294"/>
      <c r="P822" s="294"/>
      <c r="Q822" s="294"/>
      <c r="R822" s="294"/>
      <c r="S822" s="294"/>
      <c r="T822" s="294"/>
      <c r="U822" s="294"/>
      <c r="V822" s="294"/>
      <c r="W822" s="294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  <c r="BA822" s="286"/>
      <c r="BB822" s="286"/>
      <c r="BC822" s="286"/>
    </row>
    <row r="823" spans="1:55" s="285" customFormat="1" ht="13.5" customHeight="1">
      <c r="A823" s="297"/>
      <c r="B823" s="296">
        <v>43769</v>
      </c>
      <c r="C823" s="295" t="s">
        <v>162</v>
      </c>
      <c r="D823" s="294">
        <v>240</v>
      </c>
      <c r="E823" s="294"/>
      <c r="F823" s="294"/>
      <c r="G823" s="294"/>
      <c r="H823" s="294"/>
      <c r="I823" s="294"/>
      <c r="J823" s="294"/>
      <c r="K823" s="294"/>
      <c r="L823" s="294"/>
      <c r="M823" s="294"/>
      <c r="N823" s="294">
        <v>240</v>
      </c>
      <c r="O823" s="294"/>
      <c r="P823" s="294"/>
      <c r="Q823" s="294"/>
      <c r="R823" s="294"/>
      <c r="S823" s="294"/>
      <c r="T823" s="294"/>
      <c r="U823" s="294"/>
      <c r="V823" s="294"/>
      <c r="W823" s="294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  <c r="BA823" s="286"/>
      <c r="BB823" s="286"/>
      <c r="BC823" s="286"/>
    </row>
    <row r="824" spans="1:55" s="285" customFormat="1" ht="13.5" customHeight="1">
      <c r="A824" s="297"/>
      <c r="B824" s="296">
        <v>43769</v>
      </c>
      <c r="C824" s="295" t="s">
        <v>123</v>
      </c>
      <c r="D824" s="294">
        <v>150.85</v>
      </c>
      <c r="E824" s="294"/>
      <c r="F824" s="294"/>
      <c r="G824" s="294">
        <v>114.9</v>
      </c>
      <c r="H824" s="294"/>
      <c r="I824" s="294"/>
      <c r="J824" s="294"/>
      <c r="K824" s="294"/>
      <c r="L824" s="294">
        <v>35.950000000000003</v>
      </c>
      <c r="M824" s="294"/>
      <c r="N824" s="294"/>
      <c r="O824" s="294"/>
      <c r="P824" s="294"/>
      <c r="Q824" s="294"/>
      <c r="R824" s="294"/>
      <c r="S824" s="294"/>
      <c r="T824" s="294"/>
      <c r="U824" s="294"/>
      <c r="V824" s="294"/>
      <c r="W824" s="294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  <c r="BA824" s="286"/>
      <c r="BB824" s="286"/>
      <c r="BC824" s="286"/>
    </row>
    <row r="825" spans="1:55" s="285" customFormat="1" ht="13.5" customHeight="1">
      <c r="A825" s="297"/>
      <c r="B825" s="296">
        <v>43769</v>
      </c>
      <c r="C825" s="295" t="s">
        <v>402</v>
      </c>
      <c r="D825" s="294">
        <v>285</v>
      </c>
      <c r="E825" s="294"/>
      <c r="F825" s="294"/>
      <c r="G825" s="294"/>
      <c r="H825" s="294"/>
      <c r="I825" s="294"/>
      <c r="J825" s="294"/>
      <c r="K825" s="294"/>
      <c r="L825" s="294"/>
      <c r="M825" s="294"/>
      <c r="N825" s="294"/>
      <c r="O825" s="294"/>
      <c r="P825" s="294"/>
      <c r="Q825" s="294"/>
      <c r="R825" s="294"/>
      <c r="S825" s="294"/>
      <c r="T825" s="294"/>
      <c r="U825" s="294">
        <v>285</v>
      </c>
      <c r="V825" s="294"/>
      <c r="W825" s="294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  <c r="BA825" s="286"/>
      <c r="BB825" s="286"/>
      <c r="BC825" s="286"/>
    </row>
    <row r="826" spans="1:55" s="285" customFormat="1" ht="13.5" customHeight="1">
      <c r="A826" s="297"/>
      <c r="B826" s="296">
        <v>43770</v>
      </c>
      <c r="C826" s="295" t="s">
        <v>31</v>
      </c>
      <c r="D826" s="294">
        <v>-1276</v>
      </c>
      <c r="E826" s="294"/>
      <c r="F826" s="294"/>
      <c r="G826" s="294"/>
      <c r="H826" s="294"/>
      <c r="I826" s="294"/>
      <c r="J826" s="294"/>
      <c r="K826" s="294"/>
      <c r="L826" s="294"/>
      <c r="M826" s="294"/>
      <c r="N826" s="294"/>
      <c r="O826" s="294"/>
      <c r="P826" s="294"/>
      <c r="Q826" s="294"/>
      <c r="R826" s="294"/>
      <c r="S826" s="294"/>
      <c r="T826" s="294"/>
      <c r="U826" s="294"/>
      <c r="V826" s="294"/>
      <c r="W826" s="294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  <c r="BA826" s="286"/>
      <c r="BB826" s="286"/>
      <c r="BC826" s="286"/>
    </row>
    <row r="827" spans="1:55" s="285" customFormat="1" ht="13.5" customHeight="1">
      <c r="A827" s="297"/>
      <c r="B827" s="296">
        <v>43770</v>
      </c>
      <c r="C827" s="295" t="s">
        <v>30</v>
      </c>
      <c r="D827" s="294">
        <v>4857</v>
      </c>
      <c r="E827" s="294"/>
      <c r="F827" s="294"/>
      <c r="G827" s="294"/>
      <c r="H827" s="294"/>
      <c r="I827" s="294"/>
      <c r="J827" s="294"/>
      <c r="K827" s="294"/>
      <c r="L827" s="294"/>
      <c r="M827" s="294">
        <v>4857</v>
      </c>
      <c r="N827" s="294"/>
      <c r="O827" s="294"/>
      <c r="P827" s="294"/>
      <c r="Q827" s="294"/>
      <c r="R827" s="294"/>
      <c r="S827" s="294"/>
      <c r="T827" s="294"/>
      <c r="U827" s="294"/>
      <c r="V827" s="294"/>
      <c r="W827" s="294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  <c r="BA827" s="286"/>
      <c r="BB827" s="286"/>
      <c r="BC827" s="286"/>
    </row>
    <row r="828" spans="1:55" s="285" customFormat="1" ht="13.5" customHeight="1">
      <c r="A828" s="297"/>
      <c r="B828" s="296">
        <v>43770</v>
      </c>
      <c r="C828" s="295" t="s">
        <v>265</v>
      </c>
      <c r="D828" s="294">
        <v>602.4</v>
      </c>
      <c r="E828" s="294">
        <v>602.4</v>
      </c>
      <c r="F828" s="294"/>
      <c r="G828" s="294"/>
      <c r="H828" s="294"/>
      <c r="I828" s="294"/>
      <c r="J828" s="294"/>
      <c r="K828" s="294"/>
      <c r="L828" s="294"/>
      <c r="M828" s="294"/>
      <c r="N828" s="294"/>
      <c r="O828" s="294"/>
      <c r="P828" s="294"/>
      <c r="Q828" s="294"/>
      <c r="R828" s="294"/>
      <c r="S828" s="294"/>
      <c r="T828" s="294"/>
      <c r="U828" s="294"/>
      <c r="V828" s="294"/>
      <c r="W828" s="294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  <c r="BA828" s="286"/>
      <c r="BB828" s="286"/>
      <c r="BC828" s="286"/>
    </row>
    <row r="829" spans="1:55" s="285" customFormat="1" ht="13.5" customHeight="1">
      <c r="A829" s="297"/>
      <c r="B829" s="296">
        <v>43770</v>
      </c>
      <c r="C829" s="295" t="s">
        <v>265</v>
      </c>
      <c r="D829" s="294">
        <v>490</v>
      </c>
      <c r="E829" s="294">
        <v>490</v>
      </c>
      <c r="F829" s="294"/>
      <c r="G829" s="294"/>
      <c r="H829" s="294"/>
      <c r="I829" s="294"/>
      <c r="J829" s="294"/>
      <c r="K829" s="294"/>
      <c r="L829" s="294"/>
      <c r="M829" s="294"/>
      <c r="N829" s="294"/>
      <c r="O829" s="294"/>
      <c r="P829" s="294"/>
      <c r="Q829" s="294"/>
      <c r="R829" s="294"/>
      <c r="S829" s="294"/>
      <c r="T829" s="294"/>
      <c r="U829" s="294"/>
      <c r="V829" s="294"/>
      <c r="W829" s="294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  <c r="BA829" s="286"/>
      <c r="BB829" s="286"/>
      <c r="BC829" s="286"/>
    </row>
    <row r="830" spans="1:55" s="285" customFormat="1" ht="13.5" customHeight="1">
      <c r="A830" s="297"/>
      <c r="B830" s="296">
        <v>43770</v>
      </c>
      <c r="C830" s="295" t="s">
        <v>182</v>
      </c>
      <c r="D830" s="294">
        <v>284</v>
      </c>
      <c r="E830" s="294">
        <v>284</v>
      </c>
      <c r="F830" s="294"/>
      <c r="G830" s="294"/>
      <c r="H830" s="294"/>
      <c r="I830" s="294"/>
      <c r="J830" s="294"/>
      <c r="K830" s="294"/>
      <c r="L830" s="294"/>
      <c r="M830" s="294"/>
      <c r="N830" s="294"/>
      <c r="O830" s="294"/>
      <c r="P830" s="294"/>
      <c r="Q830" s="294"/>
      <c r="R830" s="294"/>
      <c r="S830" s="294"/>
      <c r="T830" s="294"/>
      <c r="U830" s="294"/>
      <c r="V830" s="294"/>
      <c r="W830" s="294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  <c r="BA830" s="286"/>
      <c r="BB830" s="286"/>
      <c r="BC830" s="286"/>
    </row>
    <row r="831" spans="1:55" s="285" customFormat="1" ht="13.5" customHeight="1">
      <c r="A831" s="297"/>
      <c r="B831" s="296">
        <v>43770</v>
      </c>
      <c r="C831" s="295" t="s">
        <v>183</v>
      </c>
      <c r="D831" s="294">
        <v>458.75</v>
      </c>
      <c r="E831" s="294">
        <v>458.75</v>
      </c>
      <c r="F831" s="294"/>
      <c r="G831" s="294"/>
      <c r="H831" s="294"/>
      <c r="I831" s="294"/>
      <c r="J831" s="294"/>
      <c r="K831" s="294"/>
      <c r="L831" s="294"/>
      <c r="M831" s="294"/>
      <c r="N831" s="294"/>
      <c r="O831" s="294"/>
      <c r="P831" s="294"/>
      <c r="Q831" s="294"/>
      <c r="R831" s="294"/>
      <c r="S831" s="294"/>
      <c r="T831" s="294"/>
      <c r="U831" s="294"/>
      <c r="V831" s="294"/>
      <c r="W831" s="294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  <c r="BA831" s="286"/>
      <c r="BB831" s="286"/>
      <c r="BC831" s="286"/>
    </row>
    <row r="832" spans="1:55" s="285" customFormat="1" ht="13.5" customHeight="1">
      <c r="A832" s="297"/>
      <c r="B832" s="296">
        <v>43770</v>
      </c>
      <c r="C832" s="295" t="s">
        <v>363</v>
      </c>
      <c r="D832" s="294">
        <v>303.27999999999997</v>
      </c>
      <c r="E832" s="294"/>
      <c r="F832" s="294"/>
      <c r="G832" s="294"/>
      <c r="H832" s="294"/>
      <c r="I832" s="294"/>
      <c r="J832" s="294"/>
      <c r="K832" s="294"/>
      <c r="L832" s="294"/>
      <c r="M832" s="294"/>
      <c r="N832" s="294"/>
      <c r="O832" s="294">
        <v>303.27999999999997</v>
      </c>
      <c r="P832" s="294"/>
      <c r="Q832" s="294"/>
      <c r="R832" s="294"/>
      <c r="S832" s="294"/>
      <c r="T832" s="294"/>
      <c r="U832" s="294"/>
      <c r="V832" s="294"/>
      <c r="W832" s="294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  <c r="BA832" s="286"/>
      <c r="BB832" s="286"/>
      <c r="BC832" s="286"/>
    </row>
    <row r="833" spans="1:55" s="285" customFormat="1" ht="13.5" customHeight="1">
      <c r="A833" s="297"/>
      <c r="B833" s="296">
        <v>43770</v>
      </c>
      <c r="C833" s="295" t="s">
        <v>381</v>
      </c>
      <c r="D833" s="294">
        <v>1234.07</v>
      </c>
      <c r="E833" s="294"/>
      <c r="F833" s="294"/>
      <c r="G833" s="294"/>
      <c r="H833" s="294"/>
      <c r="I833" s="294"/>
      <c r="J833" s="294"/>
      <c r="K833" s="294"/>
      <c r="L833" s="294"/>
      <c r="M833" s="294"/>
      <c r="N833" s="294"/>
      <c r="O833" s="294"/>
      <c r="P833" s="294"/>
      <c r="Q833" s="294"/>
      <c r="R833" s="294"/>
      <c r="S833" s="294"/>
      <c r="T833" s="294"/>
      <c r="U833" s="294"/>
      <c r="V833" s="294">
        <v>1234.07</v>
      </c>
      <c r="W833" s="294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  <c r="BA833" s="286"/>
      <c r="BB833" s="286"/>
      <c r="BC833" s="286"/>
    </row>
    <row r="834" spans="1:55" s="285" customFormat="1" ht="13.5" customHeight="1">
      <c r="A834" s="297"/>
      <c r="B834" s="296">
        <v>43770</v>
      </c>
      <c r="C834" s="295" t="s">
        <v>125</v>
      </c>
      <c r="D834" s="294">
        <v>81</v>
      </c>
      <c r="E834" s="294"/>
      <c r="F834" s="294"/>
      <c r="G834" s="294"/>
      <c r="H834" s="294"/>
      <c r="I834" s="294"/>
      <c r="J834" s="294"/>
      <c r="K834" s="294"/>
      <c r="L834" s="294"/>
      <c r="M834" s="294"/>
      <c r="N834" s="294"/>
      <c r="O834" s="294"/>
      <c r="P834" s="294"/>
      <c r="Q834" s="294">
        <v>43</v>
      </c>
      <c r="R834" s="294"/>
      <c r="S834" s="294"/>
      <c r="T834" s="294"/>
      <c r="U834" s="294"/>
      <c r="V834" s="294"/>
      <c r="W834" s="294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  <c r="BA834" s="286"/>
      <c r="BB834" s="286"/>
      <c r="BC834" s="286"/>
    </row>
    <row r="835" spans="1:55" s="285" customFormat="1" ht="13.5" customHeight="1">
      <c r="A835" s="297"/>
      <c r="B835" s="296">
        <v>43770</v>
      </c>
      <c r="C835" s="295" t="s">
        <v>186</v>
      </c>
      <c r="D835" s="294">
        <v>250</v>
      </c>
      <c r="E835" s="294"/>
      <c r="F835" s="294"/>
      <c r="G835" s="294"/>
      <c r="H835" s="294"/>
      <c r="I835" s="294"/>
      <c r="J835" s="294"/>
      <c r="K835" s="294"/>
      <c r="L835" s="294"/>
      <c r="M835" s="294"/>
      <c r="N835" s="294"/>
      <c r="O835" s="294"/>
      <c r="P835" s="294"/>
      <c r="Q835" s="294">
        <v>250</v>
      </c>
      <c r="R835" s="294"/>
      <c r="S835" s="294"/>
      <c r="T835" s="294"/>
      <c r="U835" s="294"/>
      <c r="V835" s="294"/>
      <c r="W835" s="294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  <c r="BA835" s="286"/>
      <c r="BB835" s="286"/>
      <c r="BC835" s="286"/>
    </row>
    <row r="836" spans="1:55" s="285" customFormat="1" ht="13.5" customHeight="1">
      <c r="A836" s="297"/>
      <c r="B836" s="296">
        <v>43770</v>
      </c>
      <c r="C836" s="295" t="s">
        <v>230</v>
      </c>
      <c r="D836" s="294">
        <v>64</v>
      </c>
      <c r="E836" s="294"/>
      <c r="F836" s="294"/>
      <c r="G836" s="294"/>
      <c r="H836" s="294"/>
      <c r="I836" s="294"/>
      <c r="J836" s="294"/>
      <c r="K836" s="294"/>
      <c r="L836" s="294"/>
      <c r="M836" s="294"/>
      <c r="N836" s="294"/>
      <c r="O836" s="294"/>
      <c r="P836" s="294">
        <v>64</v>
      </c>
      <c r="Q836" s="294"/>
      <c r="R836" s="294"/>
      <c r="S836" s="294"/>
      <c r="T836" s="294"/>
      <c r="U836" s="294"/>
      <c r="V836" s="294"/>
      <c r="W836" s="294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  <c r="BA836" s="286"/>
      <c r="BB836" s="286"/>
      <c r="BC836" s="286"/>
    </row>
    <row r="837" spans="1:55" s="285" customFormat="1" ht="13.5" customHeight="1">
      <c r="A837" s="297"/>
      <c r="B837" s="296">
        <v>43770</v>
      </c>
      <c r="C837" s="295" t="s">
        <v>42</v>
      </c>
      <c r="D837" s="294">
        <v>230</v>
      </c>
      <c r="E837" s="294"/>
      <c r="F837" s="294"/>
      <c r="G837" s="294">
        <v>110</v>
      </c>
      <c r="H837" s="294"/>
      <c r="I837" s="294"/>
      <c r="J837" s="294"/>
      <c r="K837" s="294">
        <v>120</v>
      </c>
      <c r="L837" s="294"/>
      <c r="M837" s="294"/>
      <c r="N837" s="294"/>
      <c r="O837" s="294"/>
      <c r="P837" s="294"/>
      <c r="Q837" s="294"/>
      <c r="R837" s="294"/>
      <c r="S837" s="294"/>
      <c r="T837" s="294"/>
      <c r="U837" s="294"/>
      <c r="V837" s="294"/>
      <c r="W837" s="294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  <c r="BA837" s="286"/>
      <c r="BB837" s="286"/>
      <c r="BC837" s="286"/>
    </row>
    <row r="838" spans="1:55" s="285" customFormat="1" ht="13.5" customHeight="1">
      <c r="A838" s="297"/>
      <c r="B838" s="296">
        <v>43770</v>
      </c>
      <c r="C838" s="295" t="s">
        <v>40</v>
      </c>
      <c r="D838" s="294">
        <v>93.9</v>
      </c>
      <c r="E838" s="294"/>
      <c r="F838" s="294"/>
      <c r="G838" s="294">
        <v>83.95</v>
      </c>
      <c r="H838" s="294"/>
      <c r="I838" s="294"/>
      <c r="J838" s="294"/>
      <c r="K838" s="294">
        <v>9.9499999999999993</v>
      </c>
      <c r="L838" s="294"/>
      <c r="M838" s="294"/>
      <c r="N838" s="294"/>
      <c r="O838" s="294"/>
      <c r="P838" s="294"/>
      <c r="Q838" s="294"/>
      <c r="R838" s="294"/>
      <c r="S838" s="294"/>
      <c r="T838" s="294"/>
      <c r="U838" s="294"/>
      <c r="V838" s="294"/>
      <c r="W838" s="294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  <c r="BA838" s="286"/>
      <c r="BB838" s="286"/>
      <c r="BC838" s="286"/>
    </row>
    <row r="839" spans="1:55" s="285" customFormat="1" ht="13.5" customHeight="1">
      <c r="A839" s="297"/>
      <c r="B839" s="296">
        <v>43770</v>
      </c>
      <c r="C839" s="295" t="s">
        <v>162</v>
      </c>
      <c r="D839" s="294">
        <v>650</v>
      </c>
      <c r="E839" s="294"/>
      <c r="F839" s="294">
        <v>50</v>
      </c>
      <c r="G839" s="294"/>
      <c r="H839" s="294"/>
      <c r="I839" s="294"/>
      <c r="J839" s="294"/>
      <c r="K839" s="294"/>
      <c r="L839" s="294"/>
      <c r="M839" s="294"/>
      <c r="N839" s="294">
        <v>600</v>
      </c>
      <c r="O839" s="294"/>
      <c r="P839" s="294"/>
      <c r="Q839" s="294"/>
      <c r="R839" s="294"/>
      <c r="S839" s="294"/>
      <c r="T839" s="294"/>
      <c r="U839" s="294"/>
      <c r="V839" s="294"/>
      <c r="W839" s="294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  <c r="BA839" s="286"/>
      <c r="BB839" s="286"/>
      <c r="BC839" s="286"/>
    </row>
    <row r="840" spans="1:55" s="285" customFormat="1" ht="13.5" customHeight="1">
      <c r="A840" s="297"/>
      <c r="B840" s="296">
        <v>43770</v>
      </c>
      <c r="C840" s="295" t="s">
        <v>22</v>
      </c>
      <c r="D840" s="294">
        <v>89</v>
      </c>
      <c r="E840" s="294"/>
      <c r="F840" s="294"/>
      <c r="G840" s="294"/>
      <c r="H840" s="294"/>
      <c r="I840" s="294"/>
      <c r="J840" s="294"/>
      <c r="K840" s="294"/>
      <c r="L840" s="294"/>
      <c r="M840" s="294"/>
      <c r="N840" s="294"/>
      <c r="O840" s="294"/>
      <c r="P840" s="294">
        <v>89</v>
      </c>
      <c r="Q840" s="294"/>
      <c r="R840" s="294"/>
      <c r="S840" s="294"/>
      <c r="T840" s="294"/>
      <c r="U840" s="294"/>
      <c r="V840" s="294"/>
      <c r="W840" s="294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  <c r="BA840" s="286"/>
      <c r="BB840" s="286"/>
      <c r="BC840" s="286"/>
    </row>
    <row r="841" spans="1:55" s="285" customFormat="1" ht="13.5" customHeight="1">
      <c r="A841" s="297"/>
      <c r="B841" s="296">
        <v>43770</v>
      </c>
      <c r="C841" s="295" t="s">
        <v>450</v>
      </c>
      <c r="D841" s="294">
        <v>285.5</v>
      </c>
      <c r="E841" s="294"/>
      <c r="F841" s="294"/>
      <c r="G841" s="294"/>
      <c r="H841" s="294"/>
      <c r="I841" s="294"/>
      <c r="J841" s="294"/>
      <c r="K841" s="294">
        <v>285.5</v>
      </c>
      <c r="L841" s="294"/>
      <c r="M841" s="294"/>
      <c r="N841" s="294"/>
      <c r="O841" s="294"/>
      <c r="P841" s="294"/>
      <c r="Q841" s="294"/>
      <c r="R841" s="294"/>
      <c r="S841" s="294"/>
      <c r="T841" s="294"/>
      <c r="U841" s="294"/>
      <c r="V841" s="294"/>
      <c r="W841" s="294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</row>
    <row r="842" spans="1:55" s="285" customFormat="1" ht="13.5" customHeight="1">
      <c r="A842" s="297"/>
      <c r="B842" s="296">
        <v>43770</v>
      </c>
      <c r="C842" s="295" t="s">
        <v>21</v>
      </c>
      <c r="D842" s="294">
        <v>176</v>
      </c>
      <c r="E842" s="294"/>
      <c r="F842" s="294"/>
      <c r="G842" s="294"/>
      <c r="H842" s="294"/>
      <c r="I842" s="294"/>
      <c r="J842" s="294"/>
      <c r="K842" s="294"/>
      <c r="L842" s="294"/>
      <c r="M842" s="294"/>
      <c r="N842" s="294"/>
      <c r="O842" s="294"/>
      <c r="P842" s="294">
        <v>176</v>
      </c>
      <c r="Q842" s="294"/>
      <c r="R842" s="294"/>
      <c r="S842" s="294"/>
      <c r="T842" s="294"/>
      <c r="U842" s="294"/>
      <c r="V842" s="294"/>
      <c r="W842" s="294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  <c r="BA842" s="286"/>
      <c r="BB842" s="286"/>
      <c r="BC842" s="286"/>
    </row>
    <row r="843" spans="1:55" s="285" customFormat="1" ht="13.5" customHeight="1">
      <c r="A843" s="297"/>
      <c r="B843" s="296">
        <v>43771</v>
      </c>
      <c r="C843" s="295" t="s">
        <v>196</v>
      </c>
      <c r="D843" s="294">
        <v>99</v>
      </c>
      <c r="E843" s="294"/>
      <c r="F843" s="294"/>
      <c r="G843" s="294"/>
      <c r="H843" s="294"/>
      <c r="I843" s="294"/>
      <c r="J843" s="294"/>
      <c r="K843" s="294"/>
      <c r="L843" s="294"/>
      <c r="M843" s="294"/>
      <c r="N843" s="294"/>
      <c r="O843" s="294"/>
      <c r="P843" s="294"/>
      <c r="Q843" s="294">
        <v>99</v>
      </c>
      <c r="R843" s="294"/>
      <c r="S843" s="294"/>
      <c r="T843" s="294"/>
      <c r="U843" s="294"/>
      <c r="V843" s="294"/>
      <c r="W843" s="294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  <c r="BA843" s="286"/>
      <c r="BB843" s="286"/>
      <c r="BC843" s="286"/>
    </row>
    <row r="844" spans="1:55" s="285" customFormat="1" ht="13.5" customHeight="1">
      <c r="A844" s="297"/>
      <c r="B844" s="296">
        <v>43771</v>
      </c>
      <c r="C844" s="295" t="s">
        <v>42</v>
      </c>
      <c r="D844" s="294">
        <v>204</v>
      </c>
      <c r="E844" s="294"/>
      <c r="F844" s="294"/>
      <c r="G844" s="294">
        <v>204</v>
      </c>
      <c r="H844" s="294"/>
      <c r="I844" s="294"/>
      <c r="J844" s="294"/>
      <c r="K844" s="294"/>
      <c r="L844" s="294"/>
      <c r="M844" s="294"/>
      <c r="N844" s="294"/>
      <c r="O844" s="294"/>
      <c r="P844" s="294"/>
      <c r="Q844" s="294"/>
      <c r="R844" s="294"/>
      <c r="S844" s="294"/>
      <c r="T844" s="294"/>
      <c r="U844" s="294"/>
      <c r="V844" s="294"/>
      <c r="W844" s="294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  <c r="BA844" s="286"/>
      <c r="BB844" s="286"/>
      <c r="BC844" s="286"/>
    </row>
    <row r="845" spans="1:55" s="285" customFormat="1" ht="13.5" customHeight="1">
      <c r="A845" s="297"/>
      <c r="B845" s="296">
        <v>43772</v>
      </c>
      <c r="C845" s="295" t="s">
        <v>42</v>
      </c>
      <c r="D845" s="294">
        <v>302</v>
      </c>
      <c r="E845" s="294"/>
      <c r="F845" s="294"/>
      <c r="G845" s="294">
        <v>302</v>
      </c>
      <c r="H845" s="294"/>
      <c r="I845" s="294"/>
      <c r="J845" s="294"/>
      <c r="K845" s="294"/>
      <c r="L845" s="294"/>
      <c r="M845" s="294"/>
      <c r="N845" s="294"/>
      <c r="O845" s="294"/>
      <c r="P845" s="294"/>
      <c r="Q845" s="294"/>
      <c r="R845" s="294"/>
      <c r="S845" s="294"/>
      <c r="T845" s="294"/>
      <c r="U845" s="294"/>
      <c r="V845" s="294"/>
      <c r="W845" s="294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  <c r="BA845" s="286"/>
      <c r="BB845" s="286"/>
      <c r="BC845" s="286"/>
    </row>
    <row r="846" spans="1:55" s="285" customFormat="1" ht="13.5" customHeight="1">
      <c r="A846" s="297"/>
      <c r="B846" s="296">
        <v>43772</v>
      </c>
      <c r="C846" s="295" t="s">
        <v>40</v>
      </c>
      <c r="D846" s="294">
        <v>53</v>
      </c>
      <c r="E846" s="294"/>
      <c r="F846" s="294"/>
      <c r="G846" s="294">
        <v>53</v>
      </c>
      <c r="H846" s="294"/>
      <c r="I846" s="294"/>
      <c r="J846" s="294"/>
      <c r="K846" s="294"/>
      <c r="L846" s="294"/>
      <c r="M846" s="294"/>
      <c r="N846" s="294"/>
      <c r="O846" s="294"/>
      <c r="P846" s="294"/>
      <c r="Q846" s="294"/>
      <c r="R846" s="294"/>
      <c r="S846" s="294"/>
      <c r="T846" s="294"/>
      <c r="U846" s="294"/>
      <c r="V846" s="294"/>
      <c r="W846" s="294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  <c r="BA846" s="286"/>
      <c r="BB846" s="286"/>
      <c r="BC846" s="286"/>
    </row>
    <row r="847" spans="1:55" s="285" customFormat="1" ht="13.5" customHeight="1">
      <c r="A847" s="297"/>
      <c r="B847" s="296">
        <v>43772</v>
      </c>
      <c r="C847" s="295" t="s">
        <v>447</v>
      </c>
      <c r="D847" s="294">
        <v>300</v>
      </c>
      <c r="E847" s="294"/>
      <c r="F847" s="294">
        <v>300</v>
      </c>
      <c r="G847" s="294"/>
      <c r="H847" s="294"/>
      <c r="I847" s="294"/>
      <c r="J847" s="294"/>
      <c r="K847" s="294"/>
      <c r="L847" s="294"/>
      <c r="M847" s="294"/>
      <c r="N847" s="294"/>
      <c r="O847" s="294"/>
      <c r="P847" s="294"/>
      <c r="Q847" s="294"/>
      <c r="R847" s="294"/>
      <c r="S847" s="294"/>
      <c r="T847" s="294"/>
      <c r="U847" s="294"/>
      <c r="V847" s="294"/>
      <c r="W847" s="294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  <c r="BA847" s="286"/>
      <c r="BB847" s="286"/>
      <c r="BC847" s="286"/>
    </row>
    <row r="848" spans="1:55" s="285" customFormat="1" ht="13.5" customHeight="1">
      <c r="A848" s="297"/>
      <c r="B848" s="296">
        <v>43772</v>
      </c>
      <c r="C848" s="295" t="s">
        <v>449</v>
      </c>
      <c r="D848" s="294">
        <v>20</v>
      </c>
      <c r="E848" s="294"/>
      <c r="F848" s="294">
        <v>20</v>
      </c>
      <c r="G848" s="294"/>
      <c r="H848" s="294"/>
      <c r="I848" s="294"/>
      <c r="J848" s="294"/>
      <c r="K848" s="294"/>
      <c r="L848" s="294"/>
      <c r="M848" s="294"/>
      <c r="N848" s="294"/>
      <c r="O848" s="294"/>
      <c r="P848" s="294"/>
      <c r="Q848" s="294"/>
      <c r="R848" s="294"/>
      <c r="S848" s="294"/>
      <c r="T848" s="294"/>
      <c r="U848" s="294"/>
      <c r="V848" s="294"/>
      <c r="W848" s="294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  <c r="BA848" s="286"/>
      <c r="BB848" s="286"/>
      <c r="BC848" s="286"/>
    </row>
    <row r="849" spans="1:55" s="285" customFormat="1" ht="13.5" customHeight="1">
      <c r="A849" s="297"/>
      <c r="B849" s="296">
        <v>43772</v>
      </c>
      <c r="C849" s="295" t="s">
        <v>39</v>
      </c>
      <c r="D849" s="294">
        <v>209</v>
      </c>
      <c r="E849" s="294"/>
      <c r="F849" s="294">
        <v>89</v>
      </c>
      <c r="G849" s="294">
        <v>120</v>
      </c>
      <c r="H849" s="294"/>
      <c r="I849" s="294"/>
      <c r="J849" s="294"/>
      <c r="K849" s="294"/>
      <c r="L849" s="294"/>
      <c r="M849" s="294"/>
      <c r="N849" s="294"/>
      <c r="O849" s="294"/>
      <c r="P849" s="294"/>
      <c r="Q849" s="294"/>
      <c r="R849" s="294"/>
      <c r="S849" s="294"/>
      <c r="T849" s="294"/>
      <c r="U849" s="294"/>
      <c r="V849" s="294"/>
      <c r="W849" s="294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  <c r="BA849" s="286"/>
      <c r="BB849" s="286"/>
      <c r="BC849" s="286"/>
    </row>
    <row r="850" spans="1:55" s="285" customFormat="1" ht="13.5" customHeight="1">
      <c r="A850" s="297"/>
      <c r="B850" s="296">
        <v>43773</v>
      </c>
      <c r="C850" s="295" t="s">
        <v>39</v>
      </c>
      <c r="D850" s="294">
        <v>89</v>
      </c>
      <c r="E850" s="294"/>
      <c r="F850" s="294">
        <v>89</v>
      </c>
      <c r="G850" s="294"/>
      <c r="H850" s="294"/>
      <c r="I850" s="294"/>
      <c r="J850" s="294"/>
      <c r="K850" s="294"/>
      <c r="L850" s="294"/>
      <c r="M850" s="294"/>
      <c r="N850" s="294"/>
      <c r="O850" s="294"/>
      <c r="P850" s="294"/>
      <c r="Q850" s="294"/>
      <c r="R850" s="294"/>
      <c r="S850" s="294"/>
      <c r="T850" s="294"/>
      <c r="U850" s="294"/>
      <c r="V850" s="294"/>
      <c r="W850" s="294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  <c r="BA850" s="286"/>
      <c r="BB850" s="286"/>
      <c r="BC850" s="286"/>
    </row>
    <row r="851" spans="1:55" s="285" customFormat="1" ht="13.5" customHeight="1">
      <c r="A851" s="297"/>
      <c r="B851" s="296">
        <v>43773</v>
      </c>
      <c r="C851" s="295" t="s">
        <v>40</v>
      </c>
      <c r="D851" s="294">
        <v>37</v>
      </c>
      <c r="E851" s="294"/>
      <c r="F851" s="294"/>
      <c r="G851" s="294">
        <v>37</v>
      </c>
      <c r="H851" s="294"/>
      <c r="I851" s="294"/>
      <c r="J851" s="294"/>
      <c r="K851" s="294"/>
      <c r="L851" s="294"/>
      <c r="M851" s="294"/>
      <c r="N851" s="294"/>
      <c r="O851" s="294"/>
      <c r="P851" s="294"/>
      <c r="Q851" s="294"/>
      <c r="R851" s="294"/>
      <c r="S851" s="294"/>
      <c r="T851" s="294"/>
      <c r="U851" s="294"/>
      <c r="V851" s="294"/>
      <c r="W851" s="294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  <c r="BA851" s="286"/>
      <c r="BB851" s="286"/>
      <c r="BC851" s="286"/>
    </row>
    <row r="852" spans="1:55" s="285" customFormat="1" ht="13.5" customHeight="1">
      <c r="A852" s="297"/>
      <c r="B852" s="296">
        <v>43773</v>
      </c>
      <c r="C852" s="295" t="s">
        <v>124</v>
      </c>
      <c r="D852" s="294">
        <v>35.549999999999997</v>
      </c>
      <c r="E852" s="294"/>
      <c r="F852" s="294"/>
      <c r="G852" s="294"/>
      <c r="H852" s="294"/>
      <c r="I852" s="294">
        <v>35.549999999999997</v>
      </c>
      <c r="J852" s="294"/>
      <c r="K852" s="294"/>
      <c r="L852" s="294"/>
      <c r="M852" s="294"/>
      <c r="N852" s="294"/>
      <c r="O852" s="294"/>
      <c r="P852" s="294"/>
      <c r="Q852" s="294"/>
      <c r="R852" s="294"/>
      <c r="S852" s="294"/>
      <c r="T852" s="294"/>
      <c r="U852" s="294"/>
      <c r="V852" s="294"/>
      <c r="W852" s="294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  <c r="BA852" s="286"/>
      <c r="BB852" s="286"/>
      <c r="BC852" s="286"/>
    </row>
    <row r="853" spans="1:55" s="285" customFormat="1" ht="13.5" customHeight="1">
      <c r="A853" s="297"/>
      <c r="B853" s="296">
        <v>43774</v>
      </c>
      <c r="C853" s="295" t="s">
        <v>162</v>
      </c>
      <c r="D853" s="294">
        <v>280</v>
      </c>
      <c r="E853" s="294"/>
      <c r="F853" s="294">
        <v>20</v>
      </c>
      <c r="G853" s="294"/>
      <c r="H853" s="294"/>
      <c r="I853" s="294"/>
      <c r="J853" s="294"/>
      <c r="K853" s="294"/>
      <c r="L853" s="294"/>
      <c r="M853" s="294"/>
      <c r="N853" s="294">
        <v>260</v>
      </c>
      <c r="O853" s="294"/>
      <c r="P853" s="294"/>
      <c r="Q853" s="294"/>
      <c r="R853" s="294"/>
      <c r="S853" s="294"/>
      <c r="T853" s="294"/>
      <c r="U853" s="294"/>
      <c r="V853" s="294"/>
      <c r="W853" s="294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  <c r="BA853" s="286"/>
      <c r="BB853" s="286"/>
      <c r="BC853" s="286"/>
    </row>
    <row r="854" spans="1:55" s="285" customFormat="1" ht="13.5" customHeight="1">
      <c r="A854" s="297"/>
      <c r="B854" s="296">
        <v>43774</v>
      </c>
      <c r="C854" s="295" t="s">
        <v>20</v>
      </c>
      <c r="D854" s="294">
        <v>183.59</v>
      </c>
      <c r="E854" s="294">
        <v>183.59</v>
      </c>
      <c r="F854" s="294"/>
      <c r="G854" s="294"/>
      <c r="H854" s="294"/>
      <c r="I854" s="294"/>
      <c r="J854" s="294"/>
      <c r="K854" s="294"/>
      <c r="L854" s="294"/>
      <c r="M854" s="294"/>
      <c r="N854" s="294"/>
      <c r="O854" s="294"/>
      <c r="P854" s="294"/>
      <c r="Q854" s="294"/>
      <c r="R854" s="294"/>
      <c r="S854" s="294"/>
      <c r="T854" s="294"/>
      <c r="U854" s="294"/>
      <c r="V854" s="294"/>
      <c r="W854" s="294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  <c r="BA854" s="286"/>
      <c r="BB854" s="286"/>
      <c r="BC854" s="286"/>
    </row>
    <row r="855" spans="1:55" s="285" customFormat="1" ht="13.5" customHeight="1">
      <c r="A855" s="297"/>
      <c r="B855" s="296">
        <v>43774</v>
      </c>
      <c r="C855" s="295" t="s">
        <v>124</v>
      </c>
      <c r="D855" s="294">
        <v>81.5</v>
      </c>
      <c r="E855" s="294"/>
      <c r="F855" s="294"/>
      <c r="G855" s="294"/>
      <c r="H855" s="294">
        <v>81.5</v>
      </c>
      <c r="I855" s="294"/>
      <c r="J855" s="294"/>
      <c r="K855" s="294"/>
      <c r="L855" s="294"/>
      <c r="M855" s="294"/>
      <c r="N855" s="294"/>
      <c r="O855" s="294"/>
      <c r="P855" s="294"/>
      <c r="Q855" s="294"/>
      <c r="R855" s="294"/>
      <c r="S855" s="294"/>
      <c r="T855" s="294"/>
      <c r="U855" s="294"/>
      <c r="V855" s="294"/>
      <c r="W855" s="294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  <c r="BA855" s="286"/>
      <c r="BB855" s="286"/>
      <c r="BC855" s="286"/>
    </row>
    <row r="856" spans="1:55" s="285" customFormat="1" ht="13.5" customHeight="1">
      <c r="A856" s="297"/>
      <c r="B856" s="296">
        <v>43774</v>
      </c>
      <c r="C856" s="295" t="s">
        <v>40</v>
      </c>
      <c r="D856" s="294">
        <v>88.75</v>
      </c>
      <c r="E856" s="294"/>
      <c r="F856" s="294"/>
      <c r="G856" s="294">
        <v>88.75</v>
      </c>
      <c r="H856" s="294"/>
      <c r="I856" s="294"/>
      <c r="J856" s="294"/>
      <c r="K856" s="294"/>
      <c r="L856" s="294"/>
      <c r="M856" s="294"/>
      <c r="N856" s="294"/>
      <c r="O856" s="294"/>
      <c r="P856" s="294"/>
      <c r="Q856" s="294"/>
      <c r="R856" s="294"/>
      <c r="S856" s="294"/>
      <c r="T856" s="294"/>
      <c r="U856" s="294"/>
      <c r="V856" s="294"/>
      <c r="W856" s="294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  <c r="BA856" s="286"/>
      <c r="BB856" s="286"/>
      <c r="BC856" s="286"/>
    </row>
    <row r="857" spans="1:55" s="285" customFormat="1" ht="13.5" customHeight="1">
      <c r="A857" s="297"/>
      <c r="B857" s="296">
        <v>43775</v>
      </c>
      <c r="C857" s="295" t="s">
        <v>124</v>
      </c>
      <c r="D857" s="294">
        <v>192.65</v>
      </c>
      <c r="E857" s="294"/>
      <c r="F857" s="294"/>
      <c r="G857" s="294"/>
      <c r="H857" s="294">
        <v>192.65</v>
      </c>
      <c r="I857" s="294"/>
      <c r="J857" s="294"/>
      <c r="K857" s="294"/>
      <c r="L857" s="294"/>
      <c r="M857" s="294"/>
      <c r="N857" s="294"/>
      <c r="O857" s="294"/>
      <c r="P857" s="294"/>
      <c r="Q857" s="294"/>
      <c r="R857" s="294"/>
      <c r="S857" s="294"/>
      <c r="T857" s="294"/>
      <c r="U857" s="294"/>
      <c r="V857" s="294"/>
      <c r="W857" s="294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  <c r="BA857" s="286"/>
      <c r="BB857" s="286"/>
      <c r="BC857" s="286"/>
    </row>
    <row r="858" spans="1:55" s="285" customFormat="1" ht="13.5" customHeight="1">
      <c r="A858" s="297"/>
      <c r="B858" s="296">
        <v>43775</v>
      </c>
      <c r="C858" s="295" t="s">
        <v>42</v>
      </c>
      <c r="D858" s="294">
        <v>123</v>
      </c>
      <c r="E858" s="294"/>
      <c r="F858" s="294"/>
      <c r="G858" s="294"/>
      <c r="H858" s="294"/>
      <c r="I858" s="294"/>
      <c r="J858" s="294">
        <v>123</v>
      </c>
      <c r="K858" s="294"/>
      <c r="L858" s="294"/>
      <c r="M858" s="294"/>
      <c r="N858" s="294"/>
      <c r="O858" s="294"/>
      <c r="P858" s="294"/>
      <c r="Q858" s="294"/>
      <c r="R858" s="294"/>
      <c r="S858" s="294"/>
      <c r="T858" s="294"/>
      <c r="U858" s="294"/>
      <c r="V858" s="294"/>
      <c r="W858" s="294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  <c r="BA858" s="286"/>
      <c r="BB858" s="286"/>
      <c r="BC858" s="286"/>
    </row>
    <row r="859" spans="1:55" s="285" customFormat="1" ht="13.5" customHeight="1">
      <c r="A859" s="297"/>
      <c r="B859" s="296">
        <v>43775</v>
      </c>
      <c r="C859" s="295" t="s">
        <v>41</v>
      </c>
      <c r="D859" s="294">
        <v>20</v>
      </c>
      <c r="E859" s="294"/>
      <c r="F859" s="294"/>
      <c r="G859" s="294">
        <v>20</v>
      </c>
      <c r="H859" s="294"/>
      <c r="I859" s="294"/>
      <c r="J859" s="294"/>
      <c r="K859" s="294"/>
      <c r="L859" s="294"/>
      <c r="M859" s="294"/>
      <c r="N859" s="294"/>
      <c r="O859" s="294"/>
      <c r="P859" s="294"/>
      <c r="Q859" s="294"/>
      <c r="R859" s="294"/>
      <c r="S859" s="294"/>
      <c r="T859" s="294"/>
      <c r="U859" s="294"/>
      <c r="V859" s="294"/>
      <c r="W859" s="294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  <c r="BA859" s="286"/>
      <c r="BB859" s="286"/>
      <c r="BC859" s="286"/>
    </row>
    <row r="860" spans="1:55" s="285" customFormat="1" ht="13.5" customHeight="1">
      <c r="A860" s="297"/>
      <c r="B860" s="296">
        <v>43776</v>
      </c>
      <c r="C860" s="295" t="s">
        <v>123</v>
      </c>
      <c r="D860" s="294">
        <v>280</v>
      </c>
      <c r="E860" s="294"/>
      <c r="F860" s="294"/>
      <c r="G860" s="294"/>
      <c r="H860" s="294"/>
      <c r="I860" s="294"/>
      <c r="J860" s="294"/>
      <c r="K860" s="294"/>
      <c r="L860" s="294">
        <v>280</v>
      </c>
      <c r="M860" s="294"/>
      <c r="N860" s="294"/>
      <c r="O860" s="294"/>
      <c r="P860" s="294"/>
      <c r="Q860" s="294"/>
      <c r="R860" s="294"/>
      <c r="S860" s="294"/>
      <c r="T860" s="294"/>
      <c r="U860" s="294"/>
      <c r="V860" s="294"/>
      <c r="W860" s="294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  <c r="BA860" s="286"/>
      <c r="BB860" s="286"/>
      <c r="BC860" s="286"/>
    </row>
    <row r="861" spans="1:55" s="285" customFormat="1" ht="13.5" customHeight="1">
      <c r="A861" s="297"/>
      <c r="B861" s="296">
        <v>43776</v>
      </c>
      <c r="C861" s="295" t="s">
        <v>222</v>
      </c>
      <c r="D861" s="294">
        <v>39</v>
      </c>
      <c r="E861" s="294"/>
      <c r="F861" s="294"/>
      <c r="G861" s="294"/>
      <c r="H861" s="294"/>
      <c r="I861" s="294"/>
      <c r="J861" s="294"/>
      <c r="K861" s="294"/>
      <c r="L861" s="294"/>
      <c r="M861" s="294"/>
      <c r="N861" s="294"/>
      <c r="O861" s="294">
        <v>39</v>
      </c>
      <c r="P861" s="294"/>
      <c r="Q861" s="294"/>
      <c r="R861" s="294"/>
      <c r="S861" s="294"/>
      <c r="T861" s="294"/>
      <c r="U861" s="294"/>
      <c r="V861" s="294"/>
      <c r="W861" s="294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  <c r="BA861" s="286"/>
      <c r="BB861" s="286"/>
      <c r="BC861" s="286"/>
    </row>
    <row r="862" spans="1:55" s="285" customFormat="1" ht="13.5" customHeight="1">
      <c r="A862" s="297"/>
      <c r="B862" s="296">
        <v>43776</v>
      </c>
      <c r="C862" s="295" t="s">
        <v>41</v>
      </c>
      <c r="D862" s="294">
        <v>69</v>
      </c>
      <c r="E862" s="294"/>
      <c r="F862" s="294"/>
      <c r="G862" s="294">
        <v>57</v>
      </c>
      <c r="H862" s="294"/>
      <c r="I862" s="294"/>
      <c r="J862" s="294"/>
      <c r="K862" s="294"/>
      <c r="L862" s="294">
        <v>12</v>
      </c>
      <c r="M862" s="294"/>
      <c r="N862" s="294"/>
      <c r="O862" s="294"/>
      <c r="P862" s="294"/>
      <c r="Q862" s="294"/>
      <c r="R862" s="294"/>
      <c r="S862" s="294"/>
      <c r="T862" s="294"/>
      <c r="U862" s="294"/>
      <c r="V862" s="294"/>
      <c r="W862" s="294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  <c r="BA862" s="286"/>
      <c r="BB862" s="286"/>
      <c r="BC862" s="286"/>
    </row>
    <row r="863" spans="1:55" s="285" customFormat="1" ht="13.5" customHeight="1">
      <c r="A863" s="297"/>
      <c r="B863" s="296">
        <v>43776</v>
      </c>
      <c r="C863" s="295" t="s">
        <v>40</v>
      </c>
      <c r="D863" s="294">
        <v>27.5</v>
      </c>
      <c r="E863" s="294"/>
      <c r="F863" s="294"/>
      <c r="G863" s="294">
        <v>27.5</v>
      </c>
      <c r="H863" s="294"/>
      <c r="I863" s="294"/>
      <c r="J863" s="294"/>
      <c r="K863" s="294"/>
      <c r="L863" s="294"/>
      <c r="M863" s="294"/>
      <c r="N863" s="294"/>
      <c r="O863" s="294"/>
      <c r="P863" s="294"/>
      <c r="Q863" s="294"/>
      <c r="R863" s="294"/>
      <c r="S863" s="294"/>
      <c r="T863" s="294"/>
      <c r="U863" s="294"/>
      <c r="V863" s="294"/>
      <c r="W863" s="294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  <c r="BA863" s="286"/>
      <c r="BB863" s="286"/>
      <c r="BC863" s="286"/>
    </row>
    <row r="864" spans="1:55" s="285" customFormat="1" ht="13.5" customHeight="1">
      <c r="A864" s="297"/>
      <c r="B864" s="296">
        <v>43776</v>
      </c>
      <c r="C864" s="295" t="s">
        <v>39</v>
      </c>
      <c r="D864" s="294">
        <v>45</v>
      </c>
      <c r="E864" s="294"/>
      <c r="F864" s="294"/>
      <c r="G864" s="294">
        <v>15</v>
      </c>
      <c r="H864" s="294"/>
      <c r="I864" s="294"/>
      <c r="J864" s="294"/>
      <c r="K864" s="294"/>
      <c r="L864" s="294">
        <v>30</v>
      </c>
      <c r="M864" s="294"/>
      <c r="N864" s="294"/>
      <c r="O864" s="294"/>
      <c r="P864" s="294"/>
      <c r="Q864" s="294"/>
      <c r="R864" s="294"/>
      <c r="S864" s="294"/>
      <c r="T864" s="294"/>
      <c r="U864" s="294"/>
      <c r="V864" s="294"/>
      <c r="W864" s="294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  <c r="BA864" s="286"/>
      <c r="BB864" s="286"/>
      <c r="BC864" s="286"/>
    </row>
    <row r="865" spans="1:55" s="285" customFormat="1" ht="13.5" customHeight="1">
      <c r="A865" s="297"/>
      <c r="B865" s="296">
        <v>43776</v>
      </c>
      <c r="C865" s="295" t="s">
        <v>42</v>
      </c>
      <c r="D865" s="294">
        <v>90</v>
      </c>
      <c r="E865" s="294"/>
      <c r="F865" s="294"/>
      <c r="G865" s="294">
        <v>90</v>
      </c>
      <c r="H865" s="294"/>
      <c r="I865" s="294"/>
      <c r="J865" s="294"/>
      <c r="K865" s="294"/>
      <c r="L865" s="294"/>
      <c r="M865" s="294"/>
      <c r="N865" s="294"/>
      <c r="O865" s="294"/>
      <c r="P865" s="294"/>
      <c r="Q865" s="294"/>
      <c r="R865" s="294"/>
      <c r="S865" s="294"/>
      <c r="T865" s="294"/>
      <c r="U865" s="294"/>
      <c r="V865" s="294"/>
      <c r="W865" s="294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  <c r="BA865" s="286"/>
      <c r="BB865" s="286"/>
      <c r="BC865" s="286"/>
    </row>
    <row r="866" spans="1:55" s="285" customFormat="1" ht="13.5" customHeight="1">
      <c r="A866" s="297"/>
      <c r="B866" s="296">
        <v>43776</v>
      </c>
      <c r="C866" s="295" t="s">
        <v>42</v>
      </c>
      <c r="D866" s="294">
        <v>29.91</v>
      </c>
      <c r="E866" s="294"/>
      <c r="F866" s="294"/>
      <c r="G866" s="294">
        <v>29.91</v>
      </c>
      <c r="H866" s="294"/>
      <c r="I866" s="294"/>
      <c r="J866" s="294"/>
      <c r="K866" s="294"/>
      <c r="L866" s="294"/>
      <c r="M866" s="294"/>
      <c r="N866" s="294"/>
      <c r="O866" s="294"/>
      <c r="P866" s="294"/>
      <c r="Q866" s="294"/>
      <c r="R866" s="294"/>
      <c r="S866" s="294"/>
      <c r="T866" s="294"/>
      <c r="U866" s="294"/>
      <c r="V866" s="294"/>
      <c r="W866" s="294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  <c r="BA866" s="286"/>
      <c r="BB866" s="286"/>
      <c r="BC866" s="286"/>
    </row>
    <row r="867" spans="1:55" s="285" customFormat="1" ht="13.5" customHeight="1">
      <c r="A867" s="297"/>
      <c r="B867" s="296">
        <v>43776</v>
      </c>
      <c r="C867" s="295" t="s">
        <v>229</v>
      </c>
      <c r="D867" s="294">
        <v>219.45</v>
      </c>
      <c r="E867" s="294"/>
      <c r="F867" s="294">
        <v>219.15</v>
      </c>
      <c r="G867" s="294"/>
      <c r="H867" s="294"/>
      <c r="I867" s="294"/>
      <c r="J867" s="294"/>
      <c r="K867" s="294"/>
      <c r="L867" s="294"/>
      <c r="M867" s="294"/>
      <c r="N867" s="294"/>
      <c r="O867" s="294"/>
      <c r="P867" s="294"/>
      <c r="Q867" s="294"/>
      <c r="R867" s="294"/>
      <c r="S867" s="294"/>
      <c r="T867" s="294"/>
      <c r="U867" s="294"/>
      <c r="V867" s="294"/>
      <c r="W867" s="294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  <c r="BA867" s="286"/>
      <c r="BB867" s="286"/>
      <c r="BC867" s="286"/>
    </row>
    <row r="868" spans="1:55" s="285" customFormat="1" ht="13.5" customHeight="1">
      <c r="A868" s="297"/>
      <c r="B868" s="296">
        <v>43777</v>
      </c>
      <c r="C868" s="295" t="s">
        <v>216</v>
      </c>
      <c r="D868" s="294">
        <v>20</v>
      </c>
      <c r="E868" s="294"/>
      <c r="F868" s="294">
        <v>20</v>
      </c>
      <c r="G868" s="294"/>
      <c r="H868" s="294"/>
      <c r="I868" s="294"/>
      <c r="J868" s="294"/>
      <c r="K868" s="294"/>
      <c r="L868" s="294"/>
      <c r="M868" s="294"/>
      <c r="N868" s="294"/>
      <c r="O868" s="294"/>
      <c r="P868" s="294"/>
      <c r="Q868" s="294"/>
      <c r="R868" s="294"/>
      <c r="S868" s="294"/>
      <c r="T868" s="294"/>
      <c r="U868" s="294"/>
      <c r="V868" s="294"/>
      <c r="W868" s="294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  <c r="BA868" s="286"/>
      <c r="BB868" s="286"/>
      <c r="BC868" s="286"/>
    </row>
    <row r="869" spans="1:55" s="285" customFormat="1" ht="13.5" customHeight="1">
      <c r="A869" s="297"/>
      <c r="B869" s="296">
        <v>43777</v>
      </c>
      <c r="C869" s="295" t="s">
        <v>162</v>
      </c>
      <c r="D869" s="294">
        <v>240</v>
      </c>
      <c r="E869" s="294"/>
      <c r="F869" s="294"/>
      <c r="G869" s="294"/>
      <c r="H869" s="294"/>
      <c r="I869" s="294"/>
      <c r="J869" s="294"/>
      <c r="K869" s="294"/>
      <c r="L869" s="294"/>
      <c r="M869" s="294"/>
      <c r="N869" s="294">
        <v>240</v>
      </c>
      <c r="O869" s="294"/>
      <c r="P869" s="294"/>
      <c r="Q869" s="294"/>
      <c r="R869" s="294"/>
      <c r="S869" s="294"/>
      <c r="T869" s="294"/>
      <c r="U869" s="294"/>
      <c r="V869" s="294"/>
      <c r="W869" s="294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  <c r="BA869" s="286"/>
      <c r="BB869" s="286"/>
      <c r="BC869" s="286"/>
    </row>
    <row r="870" spans="1:55" s="285" customFormat="1" ht="13.5" customHeight="1">
      <c r="A870" s="297"/>
      <c r="B870" s="296">
        <v>43777</v>
      </c>
      <c r="C870" s="295" t="s">
        <v>186</v>
      </c>
      <c r="D870" s="294">
        <v>50</v>
      </c>
      <c r="E870" s="294"/>
      <c r="F870" s="294"/>
      <c r="G870" s="294"/>
      <c r="H870" s="294"/>
      <c r="I870" s="294"/>
      <c r="J870" s="294"/>
      <c r="K870" s="294"/>
      <c r="L870" s="294"/>
      <c r="M870" s="294"/>
      <c r="N870" s="294"/>
      <c r="O870" s="294"/>
      <c r="P870" s="294"/>
      <c r="Q870" s="294">
        <v>50</v>
      </c>
      <c r="R870" s="294"/>
      <c r="S870" s="294"/>
      <c r="T870" s="294"/>
      <c r="U870" s="294"/>
      <c r="V870" s="294"/>
      <c r="W870" s="294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  <c r="BA870" s="286"/>
      <c r="BB870" s="286"/>
      <c r="BC870" s="286"/>
    </row>
    <row r="871" spans="1:55" s="285" customFormat="1" ht="13.5" customHeight="1">
      <c r="A871" s="297"/>
      <c r="B871" s="296">
        <v>43777</v>
      </c>
      <c r="C871" s="295" t="s">
        <v>448</v>
      </c>
      <c r="D871" s="294">
        <v>58.75</v>
      </c>
      <c r="E871" s="294"/>
      <c r="F871" s="294"/>
      <c r="G871" s="294"/>
      <c r="H871" s="294"/>
      <c r="I871" s="294"/>
      <c r="J871" s="294"/>
      <c r="K871" s="294"/>
      <c r="L871" s="294"/>
      <c r="M871" s="294"/>
      <c r="N871" s="294"/>
      <c r="O871" s="294"/>
      <c r="P871" s="294"/>
      <c r="Q871" s="294"/>
      <c r="R871" s="294"/>
      <c r="S871" s="294"/>
      <c r="T871" s="294"/>
      <c r="U871" s="294">
        <v>58.75</v>
      </c>
      <c r="V871" s="294"/>
      <c r="W871" s="294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  <c r="BA871" s="286"/>
      <c r="BB871" s="286"/>
      <c r="BC871" s="286"/>
    </row>
    <row r="872" spans="1:55" s="285" customFormat="1" ht="13.5" customHeight="1">
      <c r="A872" s="297"/>
      <c r="B872" s="296">
        <v>43778</v>
      </c>
      <c r="C872" s="295" t="s">
        <v>162</v>
      </c>
      <c r="D872" s="294">
        <v>500</v>
      </c>
      <c r="E872" s="294"/>
      <c r="F872" s="294"/>
      <c r="G872" s="294"/>
      <c r="H872" s="294"/>
      <c r="I872" s="294"/>
      <c r="J872" s="294"/>
      <c r="K872" s="294"/>
      <c r="L872" s="294"/>
      <c r="M872" s="294"/>
      <c r="N872" s="294">
        <v>500</v>
      </c>
      <c r="O872" s="294"/>
      <c r="P872" s="294"/>
      <c r="Q872" s="294"/>
      <c r="R872" s="294"/>
      <c r="S872" s="294"/>
      <c r="T872" s="294"/>
      <c r="U872" s="294"/>
      <c r="V872" s="294"/>
      <c r="W872" s="294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  <c r="BA872" s="286"/>
      <c r="BB872" s="286"/>
      <c r="BC872" s="286"/>
    </row>
    <row r="873" spans="1:55" s="285" customFormat="1" ht="13.5" customHeight="1">
      <c r="A873" s="297"/>
      <c r="B873" s="296">
        <v>43780</v>
      </c>
      <c r="C873" s="295" t="s">
        <v>40</v>
      </c>
      <c r="D873" s="294">
        <v>52.2</v>
      </c>
      <c r="E873" s="294"/>
      <c r="F873" s="294"/>
      <c r="G873" s="294">
        <v>52.2</v>
      </c>
      <c r="H873" s="294"/>
      <c r="I873" s="294"/>
      <c r="J873" s="294"/>
      <c r="K873" s="294"/>
      <c r="L873" s="294"/>
      <c r="M873" s="294"/>
      <c r="N873" s="294"/>
      <c r="O873" s="294"/>
      <c r="P873" s="294"/>
      <c r="Q873" s="294"/>
      <c r="R873" s="294"/>
      <c r="S873" s="294"/>
      <c r="T873" s="294"/>
      <c r="U873" s="294"/>
      <c r="V873" s="294"/>
      <c r="W873" s="294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  <c r="BA873" s="286"/>
      <c r="BB873" s="286"/>
      <c r="BC873" s="286"/>
    </row>
    <row r="874" spans="1:55" s="285" customFormat="1" ht="13.5" customHeight="1">
      <c r="A874" s="297"/>
      <c r="B874" s="296">
        <v>43780</v>
      </c>
      <c r="C874" s="295" t="s">
        <v>42</v>
      </c>
      <c r="D874" s="294">
        <v>43</v>
      </c>
      <c r="E874" s="294"/>
      <c r="F874" s="294"/>
      <c r="G874" s="294">
        <v>43</v>
      </c>
      <c r="H874" s="294"/>
      <c r="I874" s="294"/>
      <c r="J874" s="294"/>
      <c r="K874" s="294"/>
      <c r="L874" s="294"/>
      <c r="M874" s="294"/>
      <c r="N874" s="294"/>
      <c r="O874" s="294"/>
      <c r="P874" s="294"/>
      <c r="Q874" s="294"/>
      <c r="R874" s="294"/>
      <c r="S874" s="294"/>
      <c r="T874" s="294"/>
      <c r="U874" s="294"/>
      <c r="V874" s="294"/>
      <c r="W874" s="294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  <c r="BA874" s="286"/>
      <c r="BB874" s="286"/>
      <c r="BC874" s="286"/>
    </row>
    <row r="875" spans="1:55" s="285" customFormat="1" ht="13.5" customHeight="1">
      <c r="A875" s="297"/>
      <c r="B875" s="296">
        <v>43781</v>
      </c>
      <c r="C875" s="295" t="s">
        <v>42</v>
      </c>
      <c r="D875" s="294">
        <v>67.5</v>
      </c>
      <c r="E875" s="294"/>
      <c r="F875" s="294"/>
      <c r="G875" s="294">
        <v>67.5</v>
      </c>
      <c r="H875" s="294"/>
      <c r="I875" s="294"/>
      <c r="J875" s="294"/>
      <c r="K875" s="294"/>
      <c r="L875" s="294"/>
      <c r="M875" s="294"/>
      <c r="N875" s="294"/>
      <c r="O875" s="294"/>
      <c r="P875" s="294"/>
      <c r="Q875" s="294"/>
      <c r="R875" s="294"/>
      <c r="S875" s="294"/>
      <c r="T875" s="294"/>
      <c r="U875" s="294"/>
      <c r="V875" s="294"/>
      <c r="W875" s="294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  <c r="BA875" s="286"/>
      <c r="BB875" s="286"/>
      <c r="BC875" s="286"/>
    </row>
    <row r="876" spans="1:55" s="285" customFormat="1" ht="13.5" customHeight="1">
      <c r="A876" s="297"/>
      <c r="B876" s="296">
        <v>43785</v>
      </c>
      <c r="C876" s="295" t="s">
        <v>42</v>
      </c>
      <c r="D876" s="294">
        <v>78</v>
      </c>
      <c r="E876" s="294"/>
      <c r="F876" s="294"/>
      <c r="G876" s="294">
        <v>78</v>
      </c>
      <c r="H876" s="294"/>
      <c r="I876" s="294"/>
      <c r="J876" s="294"/>
      <c r="K876" s="294"/>
      <c r="L876" s="294"/>
      <c r="M876" s="294"/>
      <c r="N876" s="294"/>
      <c r="O876" s="294"/>
      <c r="P876" s="294"/>
      <c r="Q876" s="294"/>
      <c r="R876" s="294"/>
      <c r="S876" s="294"/>
      <c r="T876" s="294"/>
      <c r="U876" s="294"/>
      <c r="V876" s="294"/>
      <c r="W876" s="294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  <c r="BA876" s="286"/>
      <c r="BB876" s="286"/>
      <c r="BC876" s="286"/>
    </row>
    <row r="877" spans="1:55" s="285" customFormat="1" ht="13.5" customHeight="1">
      <c r="A877" s="297"/>
      <c r="B877" s="296">
        <v>43785</v>
      </c>
      <c r="C877" s="295" t="s">
        <v>447</v>
      </c>
      <c r="D877" s="294">
        <v>500</v>
      </c>
      <c r="E877" s="294"/>
      <c r="F877" s="294">
        <v>420</v>
      </c>
      <c r="G877" s="294"/>
      <c r="H877" s="294"/>
      <c r="I877" s="294"/>
      <c r="J877" s="294"/>
      <c r="K877" s="294"/>
      <c r="L877" s="294"/>
      <c r="M877" s="294"/>
      <c r="N877" s="294"/>
      <c r="O877" s="294"/>
      <c r="P877" s="294"/>
      <c r="Q877" s="294"/>
      <c r="R877" s="294"/>
      <c r="S877" s="294"/>
      <c r="T877" s="294"/>
      <c r="U877" s="294"/>
      <c r="V877" s="294"/>
      <c r="W877" s="294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  <c r="BA877" s="286"/>
      <c r="BB877" s="286"/>
      <c r="BC877" s="286"/>
    </row>
    <row r="878" spans="1:55" s="285" customFormat="1" ht="13.5" customHeight="1">
      <c r="A878" s="297"/>
      <c r="B878" s="296">
        <v>43787</v>
      </c>
      <c r="C878" s="295" t="s">
        <v>39</v>
      </c>
      <c r="D878" s="294">
        <v>162</v>
      </c>
      <c r="E878" s="294"/>
      <c r="F878" s="294">
        <v>35</v>
      </c>
      <c r="G878" s="294">
        <v>127</v>
      </c>
      <c r="H878" s="294"/>
      <c r="I878" s="294"/>
      <c r="J878" s="294"/>
      <c r="K878" s="294"/>
      <c r="L878" s="294"/>
      <c r="M878" s="294"/>
      <c r="N878" s="294"/>
      <c r="O878" s="294"/>
      <c r="P878" s="294"/>
      <c r="Q878" s="294"/>
      <c r="R878" s="294"/>
      <c r="S878" s="294"/>
      <c r="T878" s="294"/>
      <c r="U878" s="294"/>
      <c r="V878" s="294"/>
      <c r="W878" s="294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  <c r="BA878" s="286"/>
      <c r="BB878" s="286"/>
      <c r="BC878" s="286"/>
    </row>
    <row r="879" spans="1:55" s="285" customFormat="1" ht="13.5" customHeight="1">
      <c r="A879" s="297"/>
      <c r="B879" s="296">
        <v>43788</v>
      </c>
      <c r="C879" s="295" t="s">
        <v>40</v>
      </c>
      <c r="D879" s="294">
        <v>33.9</v>
      </c>
      <c r="E879" s="294"/>
      <c r="F879" s="294"/>
      <c r="G879" s="294">
        <v>33.9</v>
      </c>
      <c r="H879" s="294"/>
      <c r="I879" s="294"/>
      <c r="J879" s="294"/>
      <c r="K879" s="294"/>
      <c r="L879" s="294"/>
      <c r="M879" s="294"/>
      <c r="N879" s="294"/>
      <c r="O879" s="294"/>
      <c r="P879" s="294"/>
      <c r="Q879" s="294"/>
      <c r="R879" s="294"/>
      <c r="S879" s="294"/>
      <c r="T879" s="294"/>
      <c r="U879" s="294"/>
      <c r="V879" s="294"/>
      <c r="W879" s="294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  <c r="BA879" s="286"/>
      <c r="BB879" s="286"/>
      <c r="BC879" s="286"/>
    </row>
    <row r="880" spans="1:55" s="285" customFormat="1" ht="13.5" customHeight="1">
      <c r="A880" s="297"/>
      <c r="B880" s="296">
        <v>43789</v>
      </c>
      <c r="C880" s="295" t="s">
        <v>42</v>
      </c>
      <c r="D880" s="294">
        <v>73</v>
      </c>
      <c r="E880" s="294"/>
      <c r="F880" s="294"/>
      <c r="G880" s="294">
        <v>73</v>
      </c>
      <c r="H880" s="294"/>
      <c r="I880" s="294"/>
      <c r="J880" s="294"/>
      <c r="K880" s="294"/>
      <c r="L880" s="294"/>
      <c r="M880" s="294"/>
      <c r="N880" s="294"/>
      <c r="O880" s="294"/>
      <c r="P880" s="294"/>
      <c r="Q880" s="294"/>
      <c r="R880" s="294"/>
      <c r="S880" s="294"/>
      <c r="T880" s="294"/>
      <c r="U880" s="294"/>
      <c r="V880" s="294"/>
      <c r="W880" s="294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  <c r="BA880" s="286"/>
      <c r="BB880" s="286"/>
      <c r="BC880" s="286"/>
    </row>
    <row r="881" spans="1:55" s="285" customFormat="1" ht="13.5" customHeight="1">
      <c r="A881" s="297"/>
      <c r="B881" s="296">
        <v>43790</v>
      </c>
      <c r="C881" s="295" t="s">
        <v>446</v>
      </c>
      <c r="D881" s="294">
        <v>60</v>
      </c>
      <c r="E881" s="294"/>
      <c r="F881" s="294">
        <v>60</v>
      </c>
      <c r="G881" s="294"/>
      <c r="H881" s="294"/>
      <c r="I881" s="294"/>
      <c r="J881" s="294"/>
      <c r="K881" s="294"/>
      <c r="L881" s="294"/>
      <c r="M881" s="294"/>
      <c r="N881" s="294"/>
      <c r="O881" s="294"/>
      <c r="P881" s="294"/>
      <c r="Q881" s="294"/>
      <c r="R881" s="294"/>
      <c r="S881" s="294"/>
      <c r="T881" s="294"/>
      <c r="U881" s="294"/>
      <c r="V881" s="294"/>
      <c r="W881" s="294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  <c r="BA881" s="286"/>
      <c r="BB881" s="286"/>
      <c r="BC881" s="286"/>
    </row>
    <row r="882" spans="1:55" s="285" customFormat="1" ht="13.5" customHeight="1">
      <c r="A882" s="297"/>
      <c r="B882" s="296">
        <v>43790</v>
      </c>
      <c r="C882" s="295" t="s">
        <v>186</v>
      </c>
      <c r="D882" s="294">
        <v>60</v>
      </c>
      <c r="E882" s="294"/>
      <c r="F882" s="294"/>
      <c r="G882" s="294"/>
      <c r="H882" s="294"/>
      <c r="I882" s="294"/>
      <c r="J882" s="294"/>
      <c r="K882" s="294"/>
      <c r="L882" s="294"/>
      <c r="M882" s="294"/>
      <c r="N882" s="294"/>
      <c r="O882" s="294"/>
      <c r="P882" s="294"/>
      <c r="Q882" s="294">
        <v>60</v>
      </c>
      <c r="R882" s="294"/>
      <c r="S882" s="294"/>
      <c r="T882" s="294"/>
      <c r="U882" s="294"/>
      <c r="V882" s="294"/>
      <c r="W882" s="294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  <c r="BA882" s="286"/>
      <c r="BB882" s="286"/>
      <c r="BC882" s="286"/>
    </row>
    <row r="883" spans="1:55" s="285" customFormat="1" ht="13.5" customHeight="1">
      <c r="A883" s="297"/>
      <c r="B883" s="296">
        <v>43791</v>
      </c>
      <c r="C883" s="295" t="s">
        <v>40</v>
      </c>
      <c r="D883" s="294">
        <v>94.6</v>
      </c>
      <c r="E883" s="294"/>
      <c r="F883" s="294"/>
      <c r="G883" s="294">
        <v>94.6</v>
      </c>
      <c r="H883" s="294"/>
      <c r="I883" s="294"/>
      <c r="J883" s="294"/>
      <c r="K883" s="294"/>
      <c r="L883" s="294"/>
      <c r="M883" s="294"/>
      <c r="N883" s="294"/>
      <c r="O883" s="294"/>
      <c r="P883" s="294"/>
      <c r="Q883" s="294"/>
      <c r="R883" s="294"/>
      <c r="S883" s="294"/>
      <c r="T883" s="294"/>
      <c r="U883" s="294"/>
      <c r="V883" s="294"/>
      <c r="W883" s="294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</row>
    <row r="884" spans="1:55" s="285" customFormat="1" ht="13.5" customHeight="1">
      <c r="A884" s="297"/>
      <c r="B884" s="296">
        <v>43791</v>
      </c>
      <c r="C884" s="295">
        <v>217.37</v>
      </c>
      <c r="D884" s="294">
        <v>53.4</v>
      </c>
      <c r="E884" s="294"/>
      <c r="F884" s="294"/>
      <c r="G884" s="294">
        <v>53.4</v>
      </c>
      <c r="H884" s="294"/>
      <c r="I884" s="294"/>
      <c r="J884" s="294"/>
      <c r="K884" s="294"/>
      <c r="L884" s="294"/>
      <c r="M884" s="294"/>
      <c r="N884" s="294"/>
      <c r="O884" s="294"/>
      <c r="P884" s="294"/>
      <c r="Q884" s="294"/>
      <c r="R884" s="294"/>
      <c r="S884" s="294"/>
      <c r="T884" s="294"/>
      <c r="U884" s="294"/>
      <c r="V884" s="294"/>
      <c r="W884" s="294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  <c r="BA884" s="286"/>
      <c r="BB884" s="286"/>
      <c r="BC884" s="286"/>
    </row>
    <row r="885" spans="1:55" s="285" customFormat="1" ht="13.5" customHeight="1">
      <c r="A885" s="297"/>
      <c r="B885" s="296">
        <v>43791</v>
      </c>
      <c r="C885" s="295" t="s">
        <v>124</v>
      </c>
      <c r="D885" s="294">
        <v>224</v>
      </c>
      <c r="E885" s="294"/>
      <c r="F885" s="294"/>
      <c r="G885" s="294"/>
      <c r="H885" s="294">
        <v>224</v>
      </c>
      <c r="I885" s="294"/>
      <c r="J885" s="294"/>
      <c r="K885" s="294"/>
      <c r="L885" s="294"/>
      <c r="M885" s="294"/>
      <c r="N885" s="294"/>
      <c r="O885" s="294"/>
      <c r="P885" s="294"/>
      <c r="Q885" s="294"/>
      <c r="R885" s="294"/>
      <c r="S885" s="294"/>
      <c r="T885" s="294"/>
      <c r="U885" s="294"/>
      <c r="V885" s="294"/>
      <c r="W885" s="294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  <c r="BA885" s="286"/>
      <c r="BB885" s="286"/>
      <c r="BC885" s="286"/>
    </row>
    <row r="886" spans="1:55" s="285" customFormat="1" ht="13.5" customHeight="1">
      <c r="A886" s="297"/>
      <c r="B886" s="296">
        <v>43791</v>
      </c>
      <c r="C886" s="295" t="s">
        <v>445</v>
      </c>
      <c r="D886" s="294">
        <v>25</v>
      </c>
      <c r="E886" s="294"/>
      <c r="F886" s="294">
        <v>25</v>
      </c>
      <c r="G886" s="294"/>
      <c r="H886" s="294"/>
      <c r="I886" s="294"/>
      <c r="J886" s="294"/>
      <c r="K886" s="294"/>
      <c r="L886" s="294"/>
      <c r="M886" s="294"/>
      <c r="N886" s="294"/>
      <c r="O886" s="294"/>
      <c r="P886" s="294"/>
      <c r="Q886" s="294"/>
      <c r="R886" s="294"/>
      <c r="S886" s="294"/>
      <c r="T886" s="294"/>
      <c r="U886" s="294"/>
      <c r="V886" s="294"/>
      <c r="W886" s="294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  <c r="BA886" s="286"/>
      <c r="BB886" s="286"/>
      <c r="BC886" s="286"/>
    </row>
    <row r="887" spans="1:55" s="285" customFormat="1" ht="13.5" customHeight="1">
      <c r="A887" s="297"/>
      <c r="B887" s="296">
        <v>43793</v>
      </c>
      <c r="C887" s="295" t="s">
        <v>42</v>
      </c>
      <c r="D887" s="294">
        <v>56</v>
      </c>
      <c r="E887" s="294"/>
      <c r="F887" s="294"/>
      <c r="G887" s="294">
        <v>56</v>
      </c>
      <c r="H887" s="294"/>
      <c r="I887" s="294"/>
      <c r="J887" s="294"/>
      <c r="K887" s="294"/>
      <c r="L887" s="294"/>
      <c r="M887" s="294"/>
      <c r="N887" s="294"/>
      <c r="O887" s="294"/>
      <c r="P887" s="294"/>
      <c r="Q887" s="294"/>
      <c r="R887" s="294"/>
      <c r="S887" s="294"/>
      <c r="T887" s="294"/>
      <c r="U887" s="294"/>
      <c r="V887" s="294"/>
      <c r="W887" s="294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  <c r="BA887" s="286"/>
      <c r="BB887" s="286"/>
      <c r="BC887" s="286"/>
    </row>
    <row r="888" spans="1:55" s="285" customFormat="1" ht="13.5" customHeight="1">
      <c r="A888" s="297"/>
      <c r="B888" s="296">
        <v>43794</v>
      </c>
      <c r="C888" s="295" t="s">
        <v>40</v>
      </c>
      <c r="D888" s="294">
        <v>37</v>
      </c>
      <c r="E888" s="294"/>
      <c r="F888" s="294"/>
      <c r="G888" s="294">
        <v>37</v>
      </c>
      <c r="H888" s="294"/>
      <c r="I888" s="294"/>
      <c r="J888" s="294"/>
      <c r="K888" s="294"/>
      <c r="L888" s="294"/>
      <c r="M888" s="294"/>
      <c r="N888" s="294"/>
      <c r="O888" s="294"/>
      <c r="P888" s="294"/>
      <c r="Q888" s="294"/>
      <c r="R888" s="294"/>
      <c r="S888" s="294"/>
      <c r="T888" s="294"/>
      <c r="U888" s="294"/>
      <c r="V888" s="294"/>
      <c r="W888" s="294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  <c r="BA888" s="286"/>
      <c r="BB888" s="286"/>
      <c r="BC888" s="286"/>
    </row>
    <row r="889" spans="1:55" s="285" customFormat="1" ht="13.5" customHeight="1">
      <c r="A889" s="297"/>
      <c r="B889" s="296">
        <v>43794</v>
      </c>
      <c r="C889" s="295" t="s">
        <v>42</v>
      </c>
      <c r="D889" s="294">
        <v>56</v>
      </c>
      <c r="E889" s="294"/>
      <c r="F889" s="294"/>
      <c r="G889" s="294">
        <v>56</v>
      </c>
      <c r="H889" s="294"/>
      <c r="I889" s="294"/>
      <c r="J889" s="294"/>
      <c r="K889" s="294"/>
      <c r="L889" s="294"/>
      <c r="M889" s="294"/>
      <c r="N889" s="294"/>
      <c r="O889" s="294"/>
      <c r="P889" s="294"/>
      <c r="Q889" s="294"/>
      <c r="R889" s="294"/>
      <c r="S889" s="294"/>
      <c r="T889" s="294"/>
      <c r="U889" s="294"/>
      <c r="V889" s="294"/>
      <c r="W889" s="294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  <c r="BA889" s="286"/>
      <c r="BB889" s="286"/>
      <c r="BC889" s="286"/>
    </row>
    <row r="890" spans="1:55" s="285" customFormat="1" ht="13.5" customHeight="1">
      <c r="A890" s="297"/>
      <c r="B890" s="296">
        <v>43796</v>
      </c>
      <c r="C890" s="295" t="s">
        <v>444</v>
      </c>
      <c r="D890" s="294">
        <v>49</v>
      </c>
      <c r="E890" s="294"/>
      <c r="F890" s="294">
        <v>49</v>
      </c>
      <c r="G890" s="294"/>
      <c r="H890" s="294"/>
      <c r="I890" s="294"/>
      <c r="J890" s="294"/>
      <c r="K890" s="294"/>
      <c r="L890" s="294"/>
      <c r="M890" s="294"/>
      <c r="N890" s="294"/>
      <c r="O890" s="294"/>
      <c r="P890" s="294"/>
      <c r="Q890" s="294"/>
      <c r="R890" s="294"/>
      <c r="S890" s="294"/>
      <c r="T890" s="294"/>
      <c r="U890" s="294"/>
      <c r="V890" s="294"/>
      <c r="W890" s="294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  <c r="BA890" s="286"/>
      <c r="BB890" s="286"/>
      <c r="BC890" s="286"/>
    </row>
    <row r="891" spans="1:55" s="285" customFormat="1" ht="13.5" customHeight="1">
      <c r="A891" s="297"/>
      <c r="B891" s="296">
        <v>43796</v>
      </c>
      <c r="C891" s="295" t="s">
        <v>443</v>
      </c>
      <c r="D891" s="294">
        <v>89</v>
      </c>
      <c r="E891" s="294"/>
      <c r="F891" s="294">
        <v>89</v>
      </c>
      <c r="G891" s="294"/>
      <c r="H891" s="294"/>
      <c r="I891" s="294"/>
      <c r="J891" s="294"/>
      <c r="K891" s="294"/>
      <c r="L891" s="294"/>
      <c r="M891" s="294"/>
      <c r="N891" s="294"/>
      <c r="O891" s="294"/>
      <c r="P891" s="294"/>
      <c r="Q891" s="294"/>
      <c r="R891" s="294"/>
      <c r="S891" s="294"/>
      <c r="T891" s="294"/>
      <c r="U891" s="294"/>
      <c r="V891" s="294"/>
      <c r="W891" s="294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  <c r="BA891" s="286"/>
      <c r="BB891" s="286"/>
      <c r="BC891" s="286"/>
    </row>
    <row r="892" spans="1:55" s="285" customFormat="1" ht="13.5" customHeight="1">
      <c r="A892" s="297"/>
      <c r="B892" s="296">
        <v>43796</v>
      </c>
      <c r="C892" s="295" t="s">
        <v>216</v>
      </c>
      <c r="D892" s="294">
        <v>455.35</v>
      </c>
      <c r="E892" s="294"/>
      <c r="F892" s="294">
        <v>99</v>
      </c>
      <c r="G892" s="294">
        <v>56.35</v>
      </c>
      <c r="H892" s="294"/>
      <c r="I892" s="294"/>
      <c r="J892" s="294"/>
      <c r="K892" s="294"/>
      <c r="L892" s="294">
        <v>100</v>
      </c>
      <c r="M892" s="294"/>
      <c r="N892" s="294">
        <v>200</v>
      </c>
      <c r="O892" s="294"/>
      <c r="P892" s="294"/>
      <c r="Q892" s="294"/>
      <c r="R892" s="294"/>
      <c r="S892" s="294"/>
      <c r="T892" s="294"/>
      <c r="U892" s="294"/>
      <c r="V892" s="294"/>
      <c r="W892" s="294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  <c r="BA892" s="286"/>
      <c r="BB892" s="286"/>
      <c r="BC892" s="286"/>
    </row>
    <row r="893" spans="1:55" s="285" customFormat="1" ht="13.5" customHeight="1">
      <c r="A893" s="297"/>
      <c r="B893" s="296">
        <v>43796</v>
      </c>
      <c r="C893" s="295" t="s">
        <v>39</v>
      </c>
      <c r="D893" s="294">
        <v>98</v>
      </c>
      <c r="E893" s="294"/>
      <c r="F893" s="294"/>
      <c r="G893" s="294">
        <v>98</v>
      </c>
      <c r="H893" s="294"/>
      <c r="I893" s="294"/>
      <c r="J893" s="294"/>
      <c r="K893" s="294"/>
      <c r="L893" s="294"/>
      <c r="M893" s="294"/>
      <c r="N893" s="294"/>
      <c r="O893" s="294"/>
      <c r="P893" s="294"/>
      <c r="Q893" s="294"/>
      <c r="R893" s="294"/>
      <c r="S893" s="294"/>
      <c r="T893" s="294"/>
      <c r="U893" s="294"/>
      <c r="V893" s="294"/>
      <c r="W893" s="294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  <c r="BA893" s="286"/>
      <c r="BB893" s="286"/>
      <c r="BC893" s="286"/>
    </row>
    <row r="894" spans="1:55" s="285" customFormat="1" ht="13.5" customHeight="1">
      <c r="A894" s="297"/>
      <c r="B894" s="296">
        <v>43797</v>
      </c>
      <c r="C894" s="295" t="s">
        <v>42</v>
      </c>
      <c r="D894" s="294">
        <v>136</v>
      </c>
      <c r="E894" s="294"/>
      <c r="F894" s="294"/>
      <c r="G894" s="294">
        <v>136</v>
      </c>
      <c r="H894" s="294"/>
      <c r="I894" s="294"/>
      <c r="J894" s="294"/>
      <c r="K894" s="294"/>
      <c r="L894" s="294"/>
      <c r="M894" s="294"/>
      <c r="N894" s="294"/>
      <c r="O894" s="294"/>
      <c r="P894" s="294"/>
      <c r="Q894" s="294"/>
      <c r="R894" s="294"/>
      <c r="S894" s="294"/>
      <c r="T894" s="294"/>
      <c r="U894" s="294"/>
      <c r="V894" s="294"/>
      <c r="W894" s="294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  <c r="BA894" s="286"/>
      <c r="BB894" s="286"/>
      <c r="BC894" s="286"/>
    </row>
    <row r="895" spans="1:55" s="285" customFormat="1" ht="13.5" customHeight="1">
      <c r="A895" s="297"/>
      <c r="B895" s="296">
        <v>43797</v>
      </c>
      <c r="C895" s="295" t="s">
        <v>39</v>
      </c>
      <c r="D895" s="294">
        <v>99</v>
      </c>
      <c r="E895" s="294"/>
      <c r="F895" s="294">
        <v>99</v>
      </c>
      <c r="G895" s="294"/>
      <c r="H895" s="294"/>
      <c r="I895" s="294"/>
      <c r="J895" s="294"/>
      <c r="K895" s="294"/>
      <c r="L895" s="294"/>
      <c r="M895" s="294"/>
      <c r="N895" s="294"/>
      <c r="O895" s="294"/>
      <c r="P895" s="294"/>
      <c r="Q895" s="294"/>
      <c r="R895" s="294"/>
      <c r="S895" s="294"/>
      <c r="T895" s="294"/>
      <c r="U895" s="294"/>
      <c r="V895" s="294"/>
      <c r="W895" s="294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  <c r="BA895" s="286"/>
      <c r="BB895" s="286"/>
      <c r="BC895" s="286"/>
    </row>
    <row r="896" spans="1:55" s="285" customFormat="1" ht="13.5" customHeight="1">
      <c r="A896" s="297"/>
      <c r="B896" s="296"/>
      <c r="C896" s="295" t="s">
        <v>428</v>
      </c>
      <c r="D896" s="294">
        <v>119.52</v>
      </c>
      <c r="E896" s="294"/>
      <c r="F896" s="294">
        <v>119.52</v>
      </c>
      <c r="G896" s="294"/>
      <c r="H896" s="294"/>
      <c r="I896" s="294"/>
      <c r="J896" s="294"/>
      <c r="K896" s="294"/>
      <c r="L896" s="294"/>
      <c r="M896" s="294"/>
      <c r="N896" s="294"/>
      <c r="O896" s="294"/>
      <c r="P896" s="294"/>
      <c r="Q896" s="294"/>
      <c r="R896" s="294"/>
      <c r="S896" s="294"/>
      <c r="T896" s="294"/>
      <c r="U896" s="294"/>
      <c r="V896" s="294"/>
      <c r="W896" s="294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  <c r="BA896" s="286"/>
      <c r="BB896" s="286"/>
      <c r="BC896" s="286"/>
    </row>
    <row r="897" spans="1:57" s="290" customFormat="1" ht="13.5" customHeight="1">
      <c r="A897" s="293"/>
      <c r="B897" s="3023" t="str">
        <f>M1</f>
        <v>november</v>
      </c>
      <c r="C897" s="3024"/>
      <c r="D897" s="292">
        <f t="shared" ref="D897:W897" si="21">SUM(D811:D896)</f>
        <v>-371.89999999999907</v>
      </c>
      <c r="E897" s="292">
        <f t="shared" si="21"/>
        <v>2018.74</v>
      </c>
      <c r="F897" s="292">
        <f t="shared" si="21"/>
        <v>2145.67</v>
      </c>
      <c r="G897" s="292">
        <f t="shared" si="21"/>
        <v>3295.3399999999997</v>
      </c>
      <c r="H897" s="292">
        <f t="shared" si="21"/>
        <v>498.15</v>
      </c>
      <c r="I897" s="292">
        <f t="shared" si="21"/>
        <v>52.55</v>
      </c>
      <c r="J897" s="292">
        <f t="shared" si="21"/>
        <v>410</v>
      </c>
      <c r="K897" s="292">
        <f t="shared" si="21"/>
        <v>595.45000000000005</v>
      </c>
      <c r="L897" s="292">
        <f t="shared" si="21"/>
        <v>778.8</v>
      </c>
      <c r="M897" s="292">
        <f t="shared" si="21"/>
        <v>4857</v>
      </c>
      <c r="N897" s="292">
        <f t="shared" si="21"/>
        <v>2040</v>
      </c>
      <c r="O897" s="292">
        <f t="shared" si="21"/>
        <v>342.28</v>
      </c>
      <c r="P897" s="292">
        <f t="shared" si="21"/>
        <v>498</v>
      </c>
      <c r="Q897" s="292">
        <f t="shared" si="21"/>
        <v>502</v>
      </c>
      <c r="R897" s="292">
        <f t="shared" si="21"/>
        <v>0</v>
      </c>
      <c r="S897" s="292">
        <f t="shared" si="21"/>
        <v>0</v>
      </c>
      <c r="T897" s="292">
        <f t="shared" si="21"/>
        <v>0</v>
      </c>
      <c r="U897" s="292">
        <f t="shared" si="21"/>
        <v>343.75</v>
      </c>
      <c r="V897" s="292">
        <f t="shared" si="21"/>
        <v>1234.07</v>
      </c>
      <c r="W897" s="292">
        <f t="shared" si="21"/>
        <v>0</v>
      </c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</row>
    <row r="898" spans="1:57" s="285" customFormat="1" ht="12" customHeight="1">
      <c r="A898" s="289"/>
      <c r="B898" s="288" t="str">
        <f>B897</f>
        <v>november</v>
      </c>
      <c r="C898" s="287" t="s">
        <v>36</v>
      </c>
      <c r="D898" s="287">
        <f t="shared" ref="D898:W898" si="22">SUM(D899:D900)</f>
        <v>0</v>
      </c>
      <c r="E898" s="287">
        <f t="shared" si="22"/>
        <v>0</v>
      </c>
      <c r="F898" s="287">
        <f t="shared" si="22"/>
        <v>0</v>
      </c>
      <c r="G898" s="287">
        <f t="shared" si="22"/>
        <v>0</v>
      </c>
      <c r="H898" s="287">
        <f t="shared" si="22"/>
        <v>0</v>
      </c>
      <c r="I898" s="287">
        <f t="shared" si="22"/>
        <v>0</v>
      </c>
      <c r="J898" s="287">
        <f t="shared" si="22"/>
        <v>0</v>
      </c>
      <c r="K898" s="287">
        <f t="shared" si="22"/>
        <v>0</v>
      </c>
      <c r="L898" s="287">
        <f t="shared" si="22"/>
        <v>0</v>
      </c>
      <c r="M898" s="287">
        <f t="shared" si="22"/>
        <v>0</v>
      </c>
      <c r="N898" s="287">
        <f t="shared" si="22"/>
        <v>0</v>
      </c>
      <c r="O898" s="287">
        <f t="shared" si="22"/>
        <v>0</v>
      </c>
      <c r="P898" s="287">
        <f t="shared" si="22"/>
        <v>0</v>
      </c>
      <c r="Q898" s="287">
        <f t="shared" si="22"/>
        <v>0</v>
      </c>
      <c r="R898" s="287">
        <f t="shared" si="22"/>
        <v>0</v>
      </c>
      <c r="S898" s="287">
        <f t="shared" si="22"/>
        <v>0</v>
      </c>
      <c r="T898" s="287">
        <f t="shared" si="22"/>
        <v>0</v>
      </c>
      <c r="U898" s="287">
        <f t="shared" si="22"/>
        <v>0</v>
      </c>
      <c r="V898" s="287">
        <f t="shared" si="22"/>
        <v>0</v>
      </c>
      <c r="W898" s="287">
        <f t="shared" si="22"/>
        <v>0</v>
      </c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  <c r="BA898" s="286"/>
      <c r="BB898" s="286"/>
      <c r="BC898" s="286"/>
      <c r="BD898" s="286"/>
      <c r="BE898" s="286"/>
    </row>
    <row r="899" spans="1:57" s="285" customFormat="1" ht="12" customHeight="1">
      <c r="A899" s="289"/>
      <c r="B899" s="288"/>
      <c r="C899" s="287"/>
      <c r="D899" s="287"/>
      <c r="E899" s="287"/>
      <c r="F899" s="287"/>
      <c r="G899" s="287"/>
      <c r="H899" s="287"/>
      <c r="I899" s="287"/>
      <c r="J899" s="287"/>
      <c r="K899" s="287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  <c r="BA899" s="286"/>
      <c r="BB899" s="286"/>
      <c r="BC899" s="286"/>
      <c r="BD899" s="286"/>
      <c r="BE899" s="286"/>
    </row>
    <row r="900" spans="1:57" s="302" customFormat="1" ht="13.8">
      <c r="A900" s="306"/>
      <c r="B900" s="305"/>
      <c r="C900" s="304" t="s">
        <v>15</v>
      </c>
      <c r="D900" s="304"/>
      <c r="E900" s="303"/>
      <c r="F900" s="303"/>
      <c r="G900" s="303">
        <f>D900</f>
        <v>0</v>
      </c>
      <c r="H900" s="303"/>
      <c r="I900" s="303"/>
      <c r="J900" s="303"/>
      <c r="K900" s="303"/>
      <c r="L900" s="303"/>
      <c r="M900" s="303"/>
      <c r="N900" s="303"/>
      <c r="O900" s="303"/>
      <c r="P900" s="303"/>
      <c r="Q900" s="303"/>
      <c r="R900" s="303"/>
      <c r="S900" s="303"/>
      <c r="T900" s="303"/>
      <c r="U900" s="303"/>
      <c r="V900" s="303"/>
      <c r="W900" s="303"/>
    </row>
    <row r="901" spans="1:57" s="299" customFormat="1" ht="13.5" customHeight="1">
      <c r="A901" s="301"/>
      <c r="B901" s="2948" t="s">
        <v>112</v>
      </c>
      <c r="C901" s="3003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00"/>
      <c r="Y901" s="300"/>
      <c r="Z901" s="300"/>
      <c r="AA901" s="300"/>
      <c r="AB901" s="300"/>
      <c r="AC901" s="300"/>
      <c r="AD901" s="300"/>
      <c r="AE901" s="300"/>
      <c r="AF901" s="300"/>
      <c r="AG901" s="300"/>
      <c r="AH901" s="300"/>
      <c r="AI901" s="300"/>
      <c r="AJ901" s="300"/>
      <c r="AK901" s="300"/>
      <c r="AL901" s="300"/>
      <c r="AM901" s="300"/>
      <c r="AN901" s="300"/>
      <c r="AO901" s="300"/>
      <c r="AP901" s="300"/>
      <c r="AQ901" s="300"/>
      <c r="AR901" s="300"/>
      <c r="AS901" s="300"/>
      <c r="AT901" s="300"/>
      <c r="AU901" s="300"/>
      <c r="AV901" s="300"/>
      <c r="AW901" s="300"/>
      <c r="AX901" s="300"/>
      <c r="AY901" s="300"/>
      <c r="AZ901" s="300"/>
      <c r="BA901" s="300"/>
      <c r="BB901" s="300"/>
      <c r="BC901" s="300"/>
    </row>
    <row r="902" spans="1:57" s="285" customFormat="1" ht="13.5" customHeight="1">
      <c r="A902" s="297"/>
      <c r="B902" s="296">
        <v>43798</v>
      </c>
      <c r="C902" s="295" t="s">
        <v>35</v>
      </c>
      <c r="D902" s="294">
        <v>-10830</v>
      </c>
      <c r="E902" s="294"/>
      <c r="F902" s="294"/>
      <c r="G902" s="294"/>
      <c r="H902" s="294"/>
      <c r="I902" s="294"/>
      <c r="J902" s="294"/>
      <c r="K902" s="294"/>
      <c r="L902" s="294"/>
      <c r="M902" s="294"/>
      <c r="N902" s="294"/>
      <c r="O902" s="294"/>
      <c r="P902" s="294"/>
      <c r="Q902" s="294"/>
      <c r="R902" s="294"/>
      <c r="S902" s="294"/>
      <c r="T902" s="294"/>
      <c r="U902" s="294"/>
      <c r="V902" s="294"/>
      <c r="W902" s="294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  <c r="BA902" s="286"/>
      <c r="BB902" s="286"/>
      <c r="BC902" s="286"/>
    </row>
    <row r="903" spans="1:57" s="285" customFormat="1" ht="13.5" customHeight="1">
      <c r="A903" s="297"/>
      <c r="B903" s="296">
        <v>43798</v>
      </c>
      <c r="C903" s="295" t="s">
        <v>34</v>
      </c>
      <c r="D903" s="294">
        <v>-7315</v>
      </c>
      <c r="E903" s="294"/>
      <c r="F903" s="294"/>
      <c r="G903" s="294"/>
      <c r="H903" s="294"/>
      <c r="I903" s="294"/>
      <c r="J903" s="294"/>
      <c r="K903" s="294"/>
      <c r="L903" s="294"/>
      <c r="M903" s="294"/>
      <c r="N903" s="294"/>
      <c r="O903" s="294"/>
      <c r="P903" s="294"/>
      <c r="Q903" s="294"/>
      <c r="R903" s="294"/>
      <c r="S903" s="294"/>
      <c r="T903" s="294"/>
      <c r="U903" s="294"/>
      <c r="V903" s="294"/>
      <c r="W903" s="294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  <c r="BA903" s="286"/>
      <c r="BB903" s="286"/>
      <c r="BC903" s="286"/>
    </row>
    <row r="904" spans="1:57" s="285" customFormat="1" ht="13.5" customHeight="1">
      <c r="A904" s="297"/>
      <c r="B904" s="296">
        <v>43798</v>
      </c>
      <c r="C904" s="295" t="s">
        <v>33</v>
      </c>
      <c r="D904" s="294">
        <v>-205</v>
      </c>
      <c r="E904" s="294"/>
      <c r="F904" s="294"/>
      <c r="G904" s="294"/>
      <c r="H904" s="294"/>
      <c r="I904" s="294"/>
      <c r="J904" s="294"/>
      <c r="K904" s="294"/>
      <c r="L904" s="294"/>
      <c r="M904" s="294"/>
      <c r="N904" s="294"/>
      <c r="O904" s="294"/>
      <c r="P904" s="294"/>
      <c r="Q904" s="294"/>
      <c r="R904" s="294"/>
      <c r="S904" s="294"/>
      <c r="T904" s="294"/>
      <c r="U904" s="294"/>
      <c r="V904" s="294"/>
      <c r="W904" s="294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  <c r="BA904" s="286"/>
      <c r="BB904" s="286"/>
      <c r="BC904" s="286"/>
    </row>
    <row r="905" spans="1:57" s="285" customFormat="1" ht="13.5" customHeight="1">
      <c r="A905" s="297"/>
      <c r="B905" s="296">
        <v>43798</v>
      </c>
      <c r="C905" s="295" t="s">
        <v>40</v>
      </c>
      <c r="D905" s="294">
        <v>64.75</v>
      </c>
      <c r="E905" s="294"/>
      <c r="F905" s="294"/>
      <c r="G905" s="294">
        <v>64.75</v>
      </c>
      <c r="H905" s="294"/>
      <c r="I905" s="294"/>
      <c r="J905" s="294"/>
      <c r="K905" s="294"/>
      <c r="L905" s="294"/>
      <c r="M905" s="294"/>
      <c r="N905" s="294"/>
      <c r="O905" s="294"/>
      <c r="P905" s="294"/>
      <c r="Q905" s="294"/>
      <c r="R905" s="294"/>
      <c r="S905" s="294"/>
      <c r="T905" s="294"/>
      <c r="U905" s="294"/>
      <c r="V905" s="294"/>
      <c r="W905" s="294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  <c r="BA905" s="286"/>
      <c r="BB905" s="286"/>
      <c r="BC905" s="286"/>
    </row>
    <row r="906" spans="1:57" s="285" customFormat="1" ht="13.5" customHeight="1">
      <c r="A906" s="297"/>
      <c r="B906" s="296">
        <v>43798</v>
      </c>
      <c r="C906" s="295" t="s">
        <v>42</v>
      </c>
      <c r="D906" s="294">
        <v>160.85</v>
      </c>
      <c r="E906" s="294"/>
      <c r="F906" s="294"/>
      <c r="G906" s="294">
        <v>103.85</v>
      </c>
      <c r="H906" s="294"/>
      <c r="I906" s="294"/>
      <c r="J906" s="294">
        <v>82</v>
      </c>
      <c r="K906" s="294"/>
      <c r="L906" s="294">
        <v>25</v>
      </c>
      <c r="M906" s="294"/>
      <c r="N906" s="294"/>
      <c r="O906" s="294"/>
      <c r="P906" s="294"/>
      <c r="Q906" s="294"/>
      <c r="R906" s="294"/>
      <c r="S906" s="294"/>
      <c r="T906" s="294"/>
      <c r="U906" s="294"/>
      <c r="V906" s="294"/>
      <c r="W906" s="294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  <c r="BA906" s="286"/>
      <c r="BB906" s="286"/>
      <c r="BC906" s="286"/>
    </row>
    <row r="907" spans="1:57" s="285" customFormat="1" ht="13.5" customHeight="1">
      <c r="A907" s="297"/>
      <c r="B907" s="296">
        <v>43798</v>
      </c>
      <c r="C907" s="295" t="s">
        <v>216</v>
      </c>
      <c r="D907" s="294">
        <v>200</v>
      </c>
      <c r="E907" s="294"/>
      <c r="F907" s="294"/>
      <c r="G907" s="294"/>
      <c r="H907" s="294"/>
      <c r="I907" s="294"/>
      <c r="J907" s="294"/>
      <c r="K907" s="294"/>
      <c r="L907" s="294"/>
      <c r="M907" s="294"/>
      <c r="N907" s="294">
        <v>200</v>
      </c>
      <c r="O907" s="294"/>
      <c r="P907" s="294"/>
      <c r="Q907" s="294"/>
      <c r="R907" s="294"/>
      <c r="S907" s="294"/>
      <c r="T907" s="294"/>
      <c r="U907" s="294"/>
      <c r="V907" s="294"/>
      <c r="W907" s="294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  <c r="BA907" s="286"/>
      <c r="BB907" s="286"/>
      <c r="BC907" s="286"/>
    </row>
    <row r="908" spans="1:57" s="285" customFormat="1" ht="13.5" customHeight="1">
      <c r="A908" s="297"/>
      <c r="B908" s="296">
        <v>43798</v>
      </c>
      <c r="C908" s="295" t="s">
        <v>42</v>
      </c>
      <c r="D908" s="294">
        <v>267.5</v>
      </c>
      <c r="E908" s="294"/>
      <c r="F908" s="294"/>
      <c r="G908" s="294">
        <v>187.5</v>
      </c>
      <c r="H908" s="294"/>
      <c r="I908" s="294"/>
      <c r="J908" s="294"/>
      <c r="K908" s="294"/>
      <c r="L908" s="294">
        <v>80</v>
      </c>
      <c r="M908" s="294"/>
      <c r="N908" s="294"/>
      <c r="O908" s="294"/>
      <c r="P908" s="294"/>
      <c r="Q908" s="294"/>
      <c r="R908" s="294"/>
      <c r="S908" s="294"/>
      <c r="T908" s="294"/>
      <c r="U908" s="294"/>
      <c r="V908" s="294"/>
      <c r="W908" s="294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  <c r="BA908" s="286"/>
      <c r="BB908" s="286"/>
      <c r="BC908" s="286"/>
    </row>
    <row r="909" spans="1:57" s="285" customFormat="1" ht="13.5" customHeight="1">
      <c r="A909" s="297"/>
      <c r="B909" s="296">
        <v>43799</v>
      </c>
      <c r="C909" s="295" t="s">
        <v>57</v>
      </c>
      <c r="D909" s="294">
        <v>1000</v>
      </c>
      <c r="E909" s="294"/>
      <c r="F909" s="294"/>
      <c r="G909" s="294"/>
      <c r="H909" s="294"/>
      <c r="I909" s="294"/>
      <c r="J909" s="294"/>
      <c r="K909" s="294"/>
      <c r="L909" s="294"/>
      <c r="M909" s="294"/>
      <c r="N909" s="294"/>
      <c r="O909" s="294"/>
      <c r="P909" s="294"/>
      <c r="Q909" s="294"/>
      <c r="R909" s="294"/>
      <c r="S909" s="294"/>
      <c r="T909" s="294"/>
      <c r="U909" s="294"/>
      <c r="V909" s="294"/>
      <c r="W909" s="294">
        <v>1000</v>
      </c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  <c r="BA909" s="286"/>
      <c r="BB909" s="286"/>
      <c r="BC909" s="286"/>
    </row>
    <row r="910" spans="1:57" s="285" customFormat="1" ht="13.5" customHeight="1">
      <c r="A910" s="297"/>
      <c r="B910" s="296">
        <v>43799</v>
      </c>
      <c r="C910" s="295" t="s">
        <v>216</v>
      </c>
      <c r="D910" s="294">
        <v>408</v>
      </c>
      <c r="E910" s="294"/>
      <c r="F910" s="294">
        <v>108</v>
      </c>
      <c r="G910" s="294"/>
      <c r="H910" s="294"/>
      <c r="I910" s="294"/>
      <c r="J910" s="294"/>
      <c r="K910" s="294"/>
      <c r="L910" s="294"/>
      <c r="M910" s="294"/>
      <c r="N910" s="294">
        <v>300</v>
      </c>
      <c r="O910" s="294"/>
      <c r="P910" s="294"/>
      <c r="Q910" s="294"/>
      <c r="R910" s="294"/>
      <c r="S910" s="294"/>
      <c r="T910" s="294"/>
      <c r="U910" s="294"/>
      <c r="V910" s="294"/>
      <c r="W910" s="294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  <c r="BA910" s="286"/>
      <c r="BB910" s="286"/>
      <c r="BC910" s="286"/>
    </row>
    <row r="911" spans="1:57" s="285" customFormat="1" ht="13.5" customHeight="1">
      <c r="A911" s="297"/>
      <c r="B911" s="296">
        <v>43799</v>
      </c>
      <c r="C911" s="295" t="s">
        <v>41</v>
      </c>
      <c r="D911" s="294">
        <v>257</v>
      </c>
      <c r="E911" s="294"/>
      <c r="F911" s="294">
        <v>99</v>
      </c>
      <c r="G911" s="294">
        <v>158</v>
      </c>
      <c r="H911" s="294"/>
      <c r="I911" s="294"/>
      <c r="J911" s="294"/>
      <c r="K911" s="294"/>
      <c r="L911" s="294"/>
      <c r="M911" s="294"/>
      <c r="N911" s="294"/>
      <c r="O911" s="294"/>
      <c r="P911" s="294"/>
      <c r="Q911" s="294"/>
      <c r="R911" s="294"/>
      <c r="S911" s="294"/>
      <c r="T911" s="294"/>
      <c r="U911" s="294"/>
      <c r="V911" s="294"/>
      <c r="W911" s="294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  <c r="BA911" s="286"/>
      <c r="BB911" s="286"/>
      <c r="BC911" s="286"/>
    </row>
    <row r="912" spans="1:57" s="285" customFormat="1" ht="13.5" customHeight="1">
      <c r="A912" s="297"/>
      <c r="B912" s="296">
        <v>43799</v>
      </c>
      <c r="C912" s="295" t="s">
        <v>40</v>
      </c>
      <c r="D912" s="294">
        <v>426</v>
      </c>
      <c r="E912" s="294"/>
      <c r="F912" s="294"/>
      <c r="G912" s="294">
        <v>16</v>
      </c>
      <c r="H912" s="294"/>
      <c r="I912" s="294"/>
      <c r="J912" s="294">
        <v>410</v>
      </c>
      <c r="K912" s="294"/>
      <c r="L912" s="294"/>
      <c r="M912" s="294"/>
      <c r="N912" s="294"/>
      <c r="O912" s="294"/>
      <c r="P912" s="294"/>
      <c r="Q912" s="294"/>
      <c r="R912" s="294"/>
      <c r="S912" s="294"/>
      <c r="T912" s="294"/>
      <c r="U912" s="294"/>
      <c r="V912" s="294"/>
      <c r="W912" s="294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  <c r="BA912" s="286"/>
      <c r="BB912" s="286"/>
      <c r="BC912" s="286"/>
    </row>
    <row r="913" spans="1:55" s="285" customFormat="1" ht="13.5" customHeight="1">
      <c r="A913" s="297"/>
      <c r="B913" s="296">
        <v>43800</v>
      </c>
      <c r="C913" s="295" t="s">
        <v>126</v>
      </c>
      <c r="D913" s="294">
        <v>38</v>
      </c>
      <c r="E913" s="294"/>
      <c r="F913" s="294"/>
      <c r="G913" s="294"/>
      <c r="H913" s="294"/>
      <c r="I913" s="294"/>
      <c r="J913" s="294"/>
      <c r="K913" s="294"/>
      <c r="L913" s="294"/>
      <c r="M913" s="294"/>
      <c r="N913" s="294"/>
      <c r="O913" s="294"/>
      <c r="P913" s="294"/>
      <c r="Q913" s="294">
        <v>38</v>
      </c>
      <c r="R913" s="294"/>
      <c r="S913" s="294"/>
      <c r="T913" s="294"/>
      <c r="U913" s="294"/>
      <c r="V913" s="294"/>
      <c r="W913" s="294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  <c r="BA913" s="286"/>
      <c r="BB913" s="286"/>
      <c r="BC913" s="286"/>
    </row>
    <row r="914" spans="1:55" s="285" customFormat="1" ht="13.5" customHeight="1">
      <c r="A914" s="297"/>
      <c r="B914" s="296">
        <v>43800</v>
      </c>
      <c r="C914" s="295" t="s">
        <v>22</v>
      </c>
      <c r="D914" s="294">
        <v>89</v>
      </c>
      <c r="E914" s="294"/>
      <c r="F914" s="294"/>
      <c r="G914" s="294"/>
      <c r="H914" s="294"/>
      <c r="I914" s="294"/>
      <c r="J914" s="294"/>
      <c r="K914" s="294"/>
      <c r="L914" s="294"/>
      <c r="M914" s="294"/>
      <c r="N914" s="294"/>
      <c r="O914" s="294"/>
      <c r="P914" s="294">
        <f>D914</f>
        <v>89</v>
      </c>
      <c r="Q914" s="294"/>
      <c r="R914" s="294"/>
      <c r="S914" s="294"/>
      <c r="T914" s="294"/>
      <c r="U914" s="294"/>
      <c r="V914" s="294"/>
      <c r="W914" s="294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  <c r="BA914" s="286"/>
      <c r="BB914" s="286"/>
      <c r="BC914" s="286"/>
    </row>
    <row r="915" spans="1:55" s="285" customFormat="1" ht="13.5" customHeight="1">
      <c r="A915" s="297"/>
      <c r="B915" s="296">
        <v>43800</v>
      </c>
      <c r="C915" s="295" t="s">
        <v>230</v>
      </c>
      <c r="D915" s="294">
        <v>64</v>
      </c>
      <c r="E915" s="294"/>
      <c r="F915" s="294"/>
      <c r="G915" s="294"/>
      <c r="H915" s="294"/>
      <c r="I915" s="294"/>
      <c r="J915" s="294"/>
      <c r="K915" s="294"/>
      <c r="L915" s="294"/>
      <c r="M915" s="294"/>
      <c r="N915" s="294"/>
      <c r="O915" s="294"/>
      <c r="P915" s="294">
        <f>D915</f>
        <v>64</v>
      </c>
      <c r="Q915" s="294"/>
      <c r="R915" s="294"/>
      <c r="S915" s="294"/>
      <c r="T915" s="294"/>
      <c r="U915" s="294"/>
      <c r="V915" s="294"/>
      <c r="W915" s="294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  <c r="BA915" s="286"/>
      <c r="BB915" s="286"/>
      <c r="BC915" s="286"/>
    </row>
    <row r="916" spans="1:55" s="285" customFormat="1" ht="13.5" customHeight="1">
      <c r="A916" s="297"/>
      <c r="B916" s="296">
        <v>43800</v>
      </c>
      <c r="C916" s="295" t="s">
        <v>42</v>
      </c>
      <c r="D916" s="294">
        <v>133.69999999999999</v>
      </c>
      <c r="E916" s="294"/>
      <c r="F916" s="294"/>
      <c r="G916" s="294">
        <v>108.7</v>
      </c>
      <c r="H916" s="294"/>
      <c r="I916" s="294"/>
      <c r="J916" s="294"/>
      <c r="K916" s="294"/>
      <c r="L916" s="294">
        <v>25</v>
      </c>
      <c r="M916" s="294"/>
      <c r="N916" s="294"/>
      <c r="O916" s="294"/>
      <c r="P916" s="294"/>
      <c r="Q916" s="294"/>
      <c r="R916" s="294"/>
      <c r="S916" s="294"/>
      <c r="T916" s="294"/>
      <c r="U916" s="294"/>
      <c r="V916" s="294"/>
      <c r="W916" s="294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  <c r="BA916" s="286"/>
      <c r="BB916" s="286"/>
      <c r="BC916" s="286"/>
    </row>
    <row r="917" spans="1:55" s="285" customFormat="1" ht="13.5" customHeight="1">
      <c r="A917" s="297"/>
      <c r="B917" s="296">
        <v>43800</v>
      </c>
      <c r="C917" s="295" t="s">
        <v>216</v>
      </c>
      <c r="D917" s="294">
        <v>299</v>
      </c>
      <c r="E917" s="294"/>
      <c r="F917" s="294">
        <v>99</v>
      </c>
      <c r="G917" s="294"/>
      <c r="H917" s="294"/>
      <c r="I917" s="294"/>
      <c r="J917" s="294"/>
      <c r="K917" s="294"/>
      <c r="L917" s="294"/>
      <c r="M917" s="294"/>
      <c r="N917" s="294">
        <v>200</v>
      </c>
      <c r="O917" s="294"/>
      <c r="P917" s="294"/>
      <c r="Q917" s="294"/>
      <c r="R917" s="294"/>
      <c r="S917" s="294"/>
      <c r="T917" s="294"/>
      <c r="U917" s="294"/>
      <c r="V917" s="294"/>
      <c r="W917" s="294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  <c r="BA917" s="286"/>
      <c r="BB917" s="286"/>
      <c r="BC917" s="286"/>
    </row>
    <row r="918" spans="1:55" s="285" customFormat="1" ht="13.5" customHeight="1">
      <c r="A918" s="297"/>
      <c r="B918" s="296">
        <v>43801</v>
      </c>
      <c r="C918" s="295" t="s">
        <v>31</v>
      </c>
      <c r="D918" s="294">
        <v>-1147</v>
      </c>
      <c r="E918" s="294"/>
      <c r="F918" s="294"/>
      <c r="G918" s="294"/>
      <c r="H918" s="294"/>
      <c r="I918" s="294"/>
      <c r="J918" s="294"/>
      <c r="K918" s="294"/>
      <c r="L918" s="294"/>
      <c r="M918" s="294"/>
      <c r="N918" s="294"/>
      <c r="O918" s="294"/>
      <c r="P918" s="294"/>
      <c r="Q918" s="294"/>
      <c r="R918" s="294"/>
      <c r="S918" s="294"/>
      <c r="T918" s="294"/>
      <c r="U918" s="294"/>
      <c r="V918" s="294"/>
      <c r="W918" s="294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  <c r="BA918" s="286"/>
      <c r="BB918" s="286"/>
      <c r="BC918" s="286"/>
    </row>
    <row r="919" spans="1:55" s="285" customFormat="1" ht="13.5" customHeight="1">
      <c r="A919" s="297"/>
      <c r="B919" s="296">
        <v>43801</v>
      </c>
      <c r="C919" s="295" t="s">
        <v>182</v>
      </c>
      <c r="D919" s="294">
        <f>'[5]2019gl'!$C$69</f>
        <v>284</v>
      </c>
      <c r="E919" s="294">
        <f>D919</f>
        <v>284</v>
      </c>
      <c r="F919" s="294"/>
      <c r="G919" s="294"/>
      <c r="H919" s="294"/>
      <c r="I919" s="294"/>
      <c r="J919" s="294"/>
      <c r="K919" s="294"/>
      <c r="L919" s="294"/>
      <c r="M919" s="294"/>
      <c r="N919" s="294"/>
      <c r="O919" s="294"/>
      <c r="P919" s="294"/>
      <c r="Q919" s="294"/>
      <c r="R919" s="294"/>
      <c r="S919" s="294"/>
      <c r="T919" s="294"/>
      <c r="U919" s="294"/>
      <c r="V919" s="294"/>
      <c r="W919" s="294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  <c r="BA919" s="286"/>
      <c r="BB919" s="286"/>
      <c r="BC919" s="286"/>
    </row>
    <row r="920" spans="1:55" s="285" customFormat="1" ht="13.5" customHeight="1">
      <c r="A920" s="297"/>
      <c r="B920" s="296">
        <v>43801</v>
      </c>
      <c r="C920" s="295" t="s">
        <v>183</v>
      </c>
      <c r="D920" s="294">
        <f>'[5]2019gl'!$C$72</f>
        <v>458.75</v>
      </c>
      <c r="E920" s="294">
        <f>D920</f>
        <v>458.75</v>
      </c>
      <c r="F920" s="294"/>
      <c r="G920" s="294"/>
      <c r="H920" s="294"/>
      <c r="I920" s="294"/>
      <c r="J920" s="294"/>
      <c r="K920" s="294"/>
      <c r="L920" s="294"/>
      <c r="M920" s="294"/>
      <c r="N920" s="294"/>
      <c r="O920" s="294"/>
      <c r="P920" s="294"/>
      <c r="Q920" s="294"/>
      <c r="R920" s="294"/>
      <c r="S920" s="294"/>
      <c r="T920" s="294"/>
      <c r="U920" s="294"/>
      <c r="V920" s="294"/>
      <c r="W920" s="294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  <c r="BA920" s="286"/>
      <c r="BB920" s="286"/>
      <c r="BC920" s="286"/>
    </row>
    <row r="921" spans="1:55" s="285" customFormat="1" ht="13.5" customHeight="1">
      <c r="A921" s="297"/>
      <c r="B921" s="296">
        <v>43801</v>
      </c>
      <c r="C921" s="295" t="s">
        <v>264</v>
      </c>
      <c r="D921" s="294">
        <v>490</v>
      </c>
      <c r="E921" s="294">
        <f>D921</f>
        <v>490</v>
      </c>
      <c r="F921" s="294"/>
      <c r="G921" s="294"/>
      <c r="H921" s="294"/>
      <c r="I921" s="294"/>
      <c r="J921" s="294"/>
      <c r="K921" s="294"/>
      <c r="L921" s="294"/>
      <c r="M921" s="294"/>
      <c r="N921" s="294"/>
      <c r="O921" s="294"/>
      <c r="P921" s="294"/>
      <c r="Q921" s="294"/>
      <c r="R921" s="294"/>
      <c r="S921" s="294"/>
      <c r="T921" s="294"/>
      <c r="U921" s="294"/>
      <c r="V921" s="294"/>
      <c r="W921" s="294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  <c r="BA921" s="286"/>
      <c r="BB921" s="286"/>
      <c r="BC921" s="286"/>
    </row>
    <row r="922" spans="1:55" s="285" customFormat="1" ht="13.5" customHeight="1">
      <c r="A922" s="297"/>
      <c r="B922" s="296">
        <v>43801</v>
      </c>
      <c r="C922" s="295" t="s">
        <v>186</v>
      </c>
      <c r="D922" s="294">
        <v>180</v>
      </c>
      <c r="E922" s="294"/>
      <c r="F922" s="294"/>
      <c r="G922" s="294"/>
      <c r="H922" s="294"/>
      <c r="I922" s="294"/>
      <c r="J922" s="294"/>
      <c r="K922" s="294"/>
      <c r="L922" s="294"/>
      <c r="M922" s="294"/>
      <c r="N922" s="294"/>
      <c r="O922" s="294"/>
      <c r="P922" s="294"/>
      <c r="Q922" s="294">
        <f>D922</f>
        <v>180</v>
      </c>
      <c r="R922" s="294"/>
      <c r="S922" s="294"/>
      <c r="T922" s="294"/>
      <c r="U922" s="294"/>
      <c r="V922" s="294"/>
      <c r="W922" s="294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  <c r="BA922" s="286"/>
      <c r="BB922" s="286"/>
      <c r="BC922" s="286"/>
    </row>
    <row r="923" spans="1:55" s="285" customFormat="1" ht="13.5" customHeight="1">
      <c r="A923" s="297"/>
      <c r="B923" s="296">
        <v>43801</v>
      </c>
      <c r="C923" s="295" t="s">
        <v>186</v>
      </c>
      <c r="D923" s="294">
        <v>200</v>
      </c>
      <c r="E923" s="294"/>
      <c r="F923" s="294"/>
      <c r="G923" s="294"/>
      <c r="H923" s="294"/>
      <c r="I923" s="294"/>
      <c r="J923" s="294"/>
      <c r="K923" s="294"/>
      <c r="L923" s="294"/>
      <c r="M923" s="294"/>
      <c r="N923" s="294"/>
      <c r="O923" s="294"/>
      <c r="P923" s="294"/>
      <c r="Q923" s="294">
        <f>D923</f>
        <v>200</v>
      </c>
      <c r="R923" s="294"/>
      <c r="S923" s="294"/>
      <c r="T923" s="294"/>
      <c r="U923" s="294"/>
      <c r="V923" s="294"/>
      <c r="W923" s="294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  <c r="BA923" s="286"/>
      <c r="BB923" s="286"/>
      <c r="BC923" s="286"/>
    </row>
    <row r="924" spans="1:55" s="285" customFormat="1" ht="13.5" customHeight="1">
      <c r="A924" s="297"/>
      <c r="B924" s="296">
        <v>43801</v>
      </c>
      <c r="C924" s="295" t="s">
        <v>363</v>
      </c>
      <c r="D924" s="294">
        <v>557.57000000000005</v>
      </c>
      <c r="E924" s="294"/>
      <c r="F924" s="294"/>
      <c r="G924" s="294"/>
      <c r="H924" s="294"/>
      <c r="I924" s="294"/>
      <c r="J924" s="294"/>
      <c r="K924" s="294"/>
      <c r="L924" s="294"/>
      <c r="M924" s="294"/>
      <c r="N924" s="294"/>
      <c r="O924" s="294">
        <v>557.57000000000005</v>
      </c>
      <c r="P924" s="294"/>
      <c r="Q924" s="294"/>
      <c r="R924" s="294"/>
      <c r="S924" s="294"/>
      <c r="T924" s="294"/>
      <c r="U924" s="294"/>
      <c r="V924" s="294"/>
      <c r="W924" s="294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</row>
    <row r="925" spans="1:55" s="285" customFormat="1" ht="13.5" customHeight="1">
      <c r="A925" s="297"/>
      <c r="B925" s="296">
        <v>43801</v>
      </c>
      <c r="C925" s="295" t="s">
        <v>265</v>
      </c>
      <c r="D925" s="294">
        <f>'[5]2019gl'!$C$67</f>
        <v>602.4</v>
      </c>
      <c r="E925" s="294">
        <f>D925</f>
        <v>602.4</v>
      </c>
      <c r="F925" s="294"/>
      <c r="G925" s="294"/>
      <c r="H925" s="294"/>
      <c r="I925" s="294"/>
      <c r="J925" s="294"/>
      <c r="K925" s="294"/>
      <c r="L925" s="294"/>
      <c r="M925" s="294"/>
      <c r="N925" s="294"/>
      <c r="O925" s="294"/>
      <c r="P925" s="294"/>
      <c r="Q925" s="294"/>
      <c r="R925" s="294"/>
      <c r="S925" s="294"/>
      <c r="T925" s="294"/>
      <c r="U925" s="294"/>
      <c r="V925" s="294"/>
      <c r="W925" s="294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  <c r="BA925" s="286"/>
      <c r="BB925" s="286"/>
      <c r="BC925" s="286"/>
    </row>
    <row r="926" spans="1:55" s="285" customFormat="1" ht="13.5" customHeight="1">
      <c r="A926" s="297"/>
      <c r="B926" s="296">
        <v>43801</v>
      </c>
      <c r="C926" s="295" t="s">
        <v>125</v>
      </c>
      <c r="D926" s="294">
        <v>81</v>
      </c>
      <c r="E926" s="294"/>
      <c r="F926" s="294"/>
      <c r="G926" s="294"/>
      <c r="H926" s="294"/>
      <c r="I926" s="294"/>
      <c r="J926" s="294"/>
      <c r="K926" s="294"/>
      <c r="L926" s="294"/>
      <c r="M926" s="294"/>
      <c r="N926" s="294"/>
      <c r="O926" s="294"/>
      <c r="P926" s="294"/>
      <c r="Q926" s="294">
        <f>D926</f>
        <v>81</v>
      </c>
      <c r="R926" s="294"/>
      <c r="S926" s="294"/>
      <c r="T926" s="294"/>
      <c r="U926" s="294"/>
      <c r="V926" s="294"/>
      <c r="W926" s="294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  <c r="BA926" s="286"/>
      <c r="BB926" s="286"/>
      <c r="BC926" s="286"/>
    </row>
    <row r="927" spans="1:55" s="285" customFormat="1" ht="13.5" customHeight="1">
      <c r="A927" s="297"/>
      <c r="B927" s="296">
        <v>43801</v>
      </c>
      <c r="C927" s="295" t="s">
        <v>21</v>
      </c>
      <c r="D927" s="294">
        <v>176</v>
      </c>
      <c r="E927" s="294"/>
      <c r="F927" s="294"/>
      <c r="G927" s="294"/>
      <c r="H927" s="294"/>
      <c r="I927" s="294"/>
      <c r="J927" s="294"/>
      <c r="K927" s="294"/>
      <c r="L927" s="294"/>
      <c r="M927" s="294"/>
      <c r="N927" s="294"/>
      <c r="O927" s="294"/>
      <c r="P927" s="294">
        <f>D927</f>
        <v>176</v>
      </c>
      <c r="Q927" s="294"/>
      <c r="R927" s="294"/>
      <c r="S927" s="294"/>
      <c r="T927" s="294"/>
      <c r="U927" s="294"/>
      <c r="V927" s="294"/>
      <c r="W927" s="294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  <c r="BA927" s="286"/>
      <c r="BB927" s="286"/>
      <c r="BC927" s="286"/>
    </row>
    <row r="928" spans="1:55" s="285" customFormat="1" ht="13.5" customHeight="1">
      <c r="A928" s="297"/>
      <c r="B928" s="296">
        <v>43801</v>
      </c>
      <c r="C928" s="295" t="s">
        <v>216</v>
      </c>
      <c r="D928" s="294">
        <v>120</v>
      </c>
      <c r="E928" s="294"/>
      <c r="F928" s="294"/>
      <c r="G928" s="294"/>
      <c r="H928" s="294"/>
      <c r="I928" s="294"/>
      <c r="J928" s="294"/>
      <c r="K928" s="294"/>
      <c r="L928" s="294"/>
      <c r="M928" s="294"/>
      <c r="N928" s="294">
        <v>120</v>
      </c>
      <c r="O928" s="294"/>
      <c r="P928" s="294"/>
      <c r="Q928" s="294"/>
      <c r="R928" s="294"/>
      <c r="S928" s="294"/>
      <c r="T928" s="294"/>
      <c r="U928" s="294"/>
      <c r="V928" s="294"/>
      <c r="W928" s="294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  <c r="BA928" s="286"/>
      <c r="BB928" s="286"/>
      <c r="BC928" s="286"/>
    </row>
    <row r="929" spans="1:55" s="285" customFormat="1" ht="13.5" customHeight="1">
      <c r="A929" s="297"/>
      <c r="B929" s="296">
        <v>43801</v>
      </c>
      <c r="C929" s="295" t="s">
        <v>39</v>
      </c>
      <c r="D929" s="294">
        <v>74</v>
      </c>
      <c r="E929" s="294"/>
      <c r="F929" s="294"/>
      <c r="G929" s="294">
        <v>74</v>
      </c>
      <c r="H929" s="294"/>
      <c r="I929" s="294"/>
      <c r="J929" s="294"/>
      <c r="K929" s="294"/>
      <c r="L929" s="294"/>
      <c r="M929" s="294"/>
      <c r="N929" s="294"/>
      <c r="O929" s="294"/>
      <c r="P929" s="294"/>
      <c r="Q929" s="294"/>
      <c r="R929" s="294"/>
      <c r="S929" s="294"/>
      <c r="T929" s="294"/>
      <c r="U929" s="294"/>
      <c r="V929" s="294"/>
      <c r="W929" s="294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  <c r="BA929" s="286"/>
      <c r="BB929" s="286"/>
      <c r="BC929" s="286"/>
    </row>
    <row r="930" spans="1:55" s="285" customFormat="1" ht="13.5" customHeight="1">
      <c r="A930" s="297"/>
      <c r="B930" s="296">
        <v>43802</v>
      </c>
      <c r="C930" s="295" t="s">
        <v>42</v>
      </c>
      <c r="D930" s="294">
        <v>1012.83</v>
      </c>
      <c r="E930" s="294"/>
      <c r="F930" s="294"/>
      <c r="G930" s="294">
        <v>152.83000000000001</v>
      </c>
      <c r="H930" s="294"/>
      <c r="I930" s="294"/>
      <c r="J930" s="294">
        <v>820</v>
      </c>
      <c r="K930" s="294"/>
      <c r="L930" s="294">
        <v>40</v>
      </c>
      <c r="M930" s="294"/>
      <c r="N930" s="294"/>
      <c r="O930" s="294"/>
      <c r="P930" s="294"/>
      <c r="Q930" s="294"/>
      <c r="R930" s="294"/>
      <c r="S930" s="294"/>
      <c r="T930" s="294"/>
      <c r="U930" s="294"/>
      <c r="V930" s="294"/>
      <c r="W930" s="294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  <c r="BA930" s="286"/>
      <c r="BB930" s="286"/>
      <c r="BC930" s="286"/>
    </row>
    <row r="931" spans="1:55" s="285" customFormat="1" ht="13.5" customHeight="1">
      <c r="A931" s="297"/>
      <c r="B931" s="296">
        <v>43802</v>
      </c>
      <c r="C931" s="295" t="s">
        <v>40</v>
      </c>
      <c r="D931" s="294">
        <v>67.2</v>
      </c>
      <c r="E931" s="294"/>
      <c r="F931" s="294"/>
      <c r="G931" s="294">
        <v>21.7</v>
      </c>
      <c r="H931" s="294"/>
      <c r="I931" s="294"/>
      <c r="J931" s="294"/>
      <c r="K931" s="294"/>
      <c r="L931" s="294">
        <v>45.5</v>
      </c>
      <c r="M931" s="294"/>
      <c r="N931" s="294"/>
      <c r="O931" s="294"/>
      <c r="P931" s="294"/>
      <c r="Q931" s="294"/>
      <c r="R931" s="294"/>
      <c r="S931" s="294"/>
      <c r="T931" s="294"/>
      <c r="U931" s="294"/>
      <c r="V931" s="294"/>
      <c r="W931" s="294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  <c r="BA931" s="286"/>
      <c r="BB931" s="286"/>
      <c r="BC931" s="286"/>
    </row>
    <row r="932" spans="1:55" s="285" customFormat="1" ht="13.5" customHeight="1">
      <c r="A932" s="297"/>
      <c r="B932" s="296">
        <v>43802</v>
      </c>
      <c r="C932" s="295" t="s">
        <v>196</v>
      </c>
      <c r="D932" s="294">
        <v>112</v>
      </c>
      <c r="E932" s="294"/>
      <c r="F932" s="294"/>
      <c r="G932" s="294"/>
      <c r="H932" s="294"/>
      <c r="I932" s="294"/>
      <c r="J932" s="294"/>
      <c r="K932" s="294"/>
      <c r="L932" s="294"/>
      <c r="M932" s="294"/>
      <c r="N932" s="294"/>
      <c r="O932" s="294"/>
      <c r="P932" s="294"/>
      <c r="Q932" s="294">
        <v>112</v>
      </c>
      <c r="R932" s="294"/>
      <c r="S932" s="294"/>
      <c r="T932" s="294"/>
      <c r="U932" s="294"/>
      <c r="V932" s="294"/>
      <c r="W932" s="294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  <c r="BA932" s="286"/>
      <c r="BB932" s="286"/>
      <c r="BC932" s="286"/>
    </row>
    <row r="933" spans="1:55" s="285" customFormat="1" ht="13.5" customHeight="1">
      <c r="A933" s="297"/>
      <c r="B933" s="296">
        <v>43803</v>
      </c>
      <c r="C933" s="295" t="s">
        <v>124</v>
      </c>
      <c r="D933" s="294">
        <v>521</v>
      </c>
      <c r="E933" s="294"/>
      <c r="F933" s="294"/>
      <c r="G933" s="294"/>
      <c r="H933" s="294">
        <v>521</v>
      </c>
      <c r="I933" s="294"/>
      <c r="J933" s="294"/>
      <c r="K933" s="294"/>
      <c r="L933" s="294"/>
      <c r="M933" s="294"/>
      <c r="N933" s="294"/>
      <c r="O933" s="294"/>
      <c r="P933" s="294"/>
      <c r="Q933" s="294"/>
      <c r="R933" s="294"/>
      <c r="S933" s="294"/>
      <c r="T933" s="294"/>
      <c r="U933" s="294"/>
      <c r="V933" s="294"/>
      <c r="W933" s="294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  <c r="BA933" s="286"/>
      <c r="BB933" s="286"/>
      <c r="BC933" s="286"/>
    </row>
    <row r="934" spans="1:55" s="285" customFormat="1" ht="13.5" customHeight="1">
      <c r="A934" s="297"/>
      <c r="B934" s="296">
        <v>43803</v>
      </c>
      <c r="C934" s="295" t="s">
        <v>41</v>
      </c>
      <c r="D934" s="294">
        <v>70</v>
      </c>
      <c r="E934" s="294"/>
      <c r="F934" s="294">
        <v>20</v>
      </c>
      <c r="G934" s="294">
        <v>50</v>
      </c>
      <c r="H934" s="294"/>
      <c r="I934" s="294"/>
      <c r="J934" s="294"/>
      <c r="K934" s="294"/>
      <c r="L934" s="294"/>
      <c r="M934" s="294"/>
      <c r="N934" s="294"/>
      <c r="O934" s="294"/>
      <c r="P934" s="294"/>
      <c r="Q934" s="294"/>
      <c r="R934" s="294"/>
      <c r="S934" s="294"/>
      <c r="T934" s="294"/>
      <c r="U934" s="294"/>
      <c r="V934" s="294"/>
      <c r="W934" s="294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  <c r="BA934" s="286"/>
      <c r="BB934" s="286"/>
      <c r="BC934" s="286"/>
    </row>
    <row r="935" spans="1:55" s="285" customFormat="1" ht="13.5" customHeight="1">
      <c r="A935" s="297"/>
      <c r="B935" s="296">
        <v>43803</v>
      </c>
      <c r="C935" s="295" t="s">
        <v>42</v>
      </c>
      <c r="D935" s="294">
        <v>63.75</v>
      </c>
      <c r="E935" s="294"/>
      <c r="F935" s="294"/>
      <c r="G935" s="294">
        <v>63.75</v>
      </c>
      <c r="H935" s="294"/>
      <c r="I935" s="294"/>
      <c r="J935" s="294"/>
      <c r="K935" s="294"/>
      <c r="L935" s="294"/>
      <c r="M935" s="294"/>
      <c r="N935" s="294"/>
      <c r="O935" s="294"/>
      <c r="P935" s="294"/>
      <c r="Q935" s="294"/>
      <c r="R935" s="294"/>
      <c r="S935" s="294"/>
      <c r="T935" s="294"/>
      <c r="U935" s="294"/>
      <c r="V935" s="294"/>
      <c r="W935" s="294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  <c r="BA935" s="286"/>
      <c r="BB935" s="286"/>
      <c r="BC935" s="286"/>
    </row>
    <row r="936" spans="1:55" s="285" customFormat="1" ht="13.5" customHeight="1">
      <c r="A936" s="297"/>
      <c r="B936" s="296">
        <v>43804</v>
      </c>
      <c r="C936" s="295" t="s">
        <v>20</v>
      </c>
      <c r="D936" s="294">
        <v>189.48</v>
      </c>
      <c r="E936" s="294">
        <f>D936</f>
        <v>189.48</v>
      </c>
      <c r="F936" s="294"/>
      <c r="G936" s="294"/>
      <c r="H936" s="294"/>
      <c r="I936" s="294"/>
      <c r="J936" s="294"/>
      <c r="K936" s="294"/>
      <c r="L936" s="294"/>
      <c r="M936" s="294"/>
      <c r="N936" s="294"/>
      <c r="O936" s="294"/>
      <c r="P936" s="294"/>
      <c r="Q936" s="294"/>
      <c r="R936" s="294"/>
      <c r="S936" s="294"/>
      <c r="T936" s="294"/>
      <c r="U936" s="294"/>
      <c r="V936" s="294"/>
      <c r="W936" s="294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  <c r="BA936" s="286"/>
      <c r="BB936" s="286"/>
      <c r="BC936" s="286"/>
    </row>
    <row r="937" spans="1:55" s="285" customFormat="1" ht="13.5" customHeight="1">
      <c r="A937" s="297"/>
      <c r="B937" s="296">
        <v>43804</v>
      </c>
      <c r="C937" s="295" t="s">
        <v>124</v>
      </c>
      <c r="D937" s="294">
        <v>21.45</v>
      </c>
      <c r="E937" s="294"/>
      <c r="F937" s="294"/>
      <c r="G937" s="294"/>
      <c r="H937" s="294"/>
      <c r="I937" s="294">
        <v>21.45</v>
      </c>
      <c r="J937" s="294"/>
      <c r="K937" s="294"/>
      <c r="L937" s="294"/>
      <c r="M937" s="294"/>
      <c r="N937" s="294"/>
      <c r="O937" s="294"/>
      <c r="P937" s="294"/>
      <c r="Q937" s="294"/>
      <c r="R937" s="294"/>
      <c r="S937" s="294"/>
      <c r="T937" s="294"/>
      <c r="U937" s="294"/>
      <c r="V937" s="294"/>
      <c r="W937" s="294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  <c r="BA937" s="286"/>
      <c r="BB937" s="286"/>
      <c r="BC937" s="286"/>
    </row>
    <row r="938" spans="1:55" s="285" customFormat="1" ht="13.5" customHeight="1">
      <c r="A938" s="297"/>
      <c r="B938" s="296">
        <v>43804</v>
      </c>
      <c r="C938" s="295" t="s">
        <v>42</v>
      </c>
      <c r="D938" s="294">
        <v>74.599999999999994</v>
      </c>
      <c r="E938" s="294"/>
      <c r="F938" s="294"/>
      <c r="G938" s="294">
        <v>74.599999999999994</v>
      </c>
      <c r="H938" s="294"/>
      <c r="I938" s="294"/>
      <c r="J938" s="294"/>
      <c r="K938" s="294"/>
      <c r="L938" s="294"/>
      <c r="M938" s="294"/>
      <c r="N938" s="294"/>
      <c r="O938" s="294"/>
      <c r="P938" s="294"/>
      <c r="Q938" s="294"/>
      <c r="R938" s="294"/>
      <c r="S938" s="294"/>
      <c r="T938" s="294"/>
      <c r="U938" s="294"/>
      <c r="V938" s="294"/>
      <c r="W938" s="294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  <c r="BA938" s="286"/>
      <c r="BB938" s="286"/>
      <c r="BC938" s="286"/>
    </row>
    <row r="939" spans="1:55" s="285" customFormat="1" ht="13.5" customHeight="1">
      <c r="A939" s="297"/>
      <c r="B939" s="296">
        <v>43804</v>
      </c>
      <c r="C939" s="295" t="s">
        <v>41</v>
      </c>
      <c r="D939" s="294">
        <v>60</v>
      </c>
      <c r="E939" s="294"/>
      <c r="F939" s="294"/>
      <c r="G939" s="294">
        <v>60</v>
      </c>
      <c r="H939" s="294"/>
      <c r="I939" s="294"/>
      <c r="J939" s="294"/>
      <c r="K939" s="294"/>
      <c r="L939" s="294"/>
      <c r="M939" s="294"/>
      <c r="N939" s="294"/>
      <c r="O939" s="294"/>
      <c r="P939" s="294"/>
      <c r="Q939" s="294"/>
      <c r="R939" s="294"/>
      <c r="S939" s="294"/>
      <c r="T939" s="294"/>
      <c r="U939" s="294"/>
      <c r="V939" s="294"/>
      <c r="W939" s="294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  <c r="BA939" s="286"/>
      <c r="BB939" s="286"/>
      <c r="BC939" s="286"/>
    </row>
    <row r="940" spans="1:55" s="285" customFormat="1" ht="13.5" customHeight="1">
      <c r="A940" s="297"/>
      <c r="B940" s="296">
        <v>43804</v>
      </c>
      <c r="C940" s="295" t="s">
        <v>39</v>
      </c>
      <c r="D940" s="294">
        <v>112</v>
      </c>
      <c r="E940" s="294"/>
      <c r="F940" s="294">
        <v>59</v>
      </c>
      <c r="G940" s="294">
        <v>53</v>
      </c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  <c r="T940" s="294"/>
      <c r="U940" s="294"/>
      <c r="V940" s="294"/>
      <c r="W940" s="294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  <c r="BA940" s="286"/>
      <c r="BB940" s="286"/>
      <c r="BC940" s="286"/>
    </row>
    <row r="941" spans="1:55" s="285" customFormat="1" ht="13.5" customHeight="1">
      <c r="A941" s="297"/>
      <c r="B941" s="296">
        <v>43805</v>
      </c>
      <c r="C941" s="295" t="s">
        <v>442</v>
      </c>
      <c r="D941" s="294">
        <v>150</v>
      </c>
      <c r="E941" s="294"/>
      <c r="F941" s="294"/>
      <c r="G941" s="294"/>
      <c r="H941" s="294">
        <v>150</v>
      </c>
      <c r="I941" s="294"/>
      <c r="J941" s="294"/>
      <c r="K941" s="294"/>
      <c r="L941" s="294"/>
      <c r="M941" s="294"/>
      <c r="N941" s="294"/>
      <c r="O941" s="294"/>
      <c r="P941" s="294"/>
      <c r="Q941" s="294"/>
      <c r="R941" s="294"/>
      <c r="S941" s="294"/>
      <c r="T941" s="294"/>
      <c r="U941" s="294"/>
      <c r="V941" s="294"/>
      <c r="W941" s="294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  <c r="BA941" s="286"/>
      <c r="BB941" s="286"/>
      <c r="BC941" s="286"/>
    </row>
    <row r="942" spans="1:55" s="285" customFormat="1" ht="13.5" customHeight="1">
      <c r="A942" s="297"/>
      <c r="B942" s="296">
        <v>43805</v>
      </c>
      <c r="C942" s="295" t="s">
        <v>192</v>
      </c>
      <c r="D942" s="294">
        <v>49</v>
      </c>
      <c r="E942" s="294"/>
      <c r="F942" s="294">
        <v>49</v>
      </c>
      <c r="G942" s="294"/>
      <c r="H942" s="294"/>
      <c r="I942" s="294"/>
      <c r="J942" s="294"/>
      <c r="K942" s="294"/>
      <c r="L942" s="294"/>
      <c r="M942" s="294"/>
      <c r="N942" s="294"/>
      <c r="O942" s="294"/>
      <c r="P942" s="294"/>
      <c r="Q942" s="294"/>
      <c r="R942" s="294"/>
      <c r="S942" s="294"/>
      <c r="T942" s="294"/>
      <c r="U942" s="294"/>
      <c r="V942" s="294"/>
      <c r="W942" s="294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  <c r="BA942" s="286"/>
      <c r="BB942" s="286"/>
      <c r="BC942" s="286"/>
    </row>
    <row r="943" spans="1:55" s="285" customFormat="1" ht="13.5" customHeight="1">
      <c r="A943" s="297"/>
      <c r="B943" s="296">
        <v>43806</v>
      </c>
      <c r="C943" s="295" t="s">
        <v>441</v>
      </c>
      <c r="D943" s="294">
        <v>40</v>
      </c>
      <c r="E943" s="294"/>
      <c r="F943" s="294">
        <v>40</v>
      </c>
      <c r="G943" s="294"/>
      <c r="H943" s="294"/>
      <c r="I943" s="294"/>
      <c r="J943" s="294"/>
      <c r="K943" s="294"/>
      <c r="L943" s="294"/>
      <c r="M943" s="294"/>
      <c r="N943" s="294"/>
      <c r="O943" s="294"/>
      <c r="P943" s="294"/>
      <c r="Q943" s="294"/>
      <c r="R943" s="294"/>
      <c r="S943" s="294"/>
      <c r="T943" s="294"/>
      <c r="U943" s="294"/>
      <c r="V943" s="294"/>
      <c r="W943" s="294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  <c r="BA943" s="286"/>
      <c r="BB943" s="286"/>
      <c r="BC943" s="286"/>
    </row>
    <row r="944" spans="1:55" s="285" customFormat="1" ht="13.5" customHeight="1">
      <c r="A944" s="297"/>
      <c r="B944" s="296">
        <v>43806</v>
      </c>
      <c r="C944" s="295" t="s">
        <v>391</v>
      </c>
      <c r="D944" s="294">
        <v>80</v>
      </c>
      <c r="E944" s="294"/>
      <c r="F944" s="294">
        <v>80</v>
      </c>
      <c r="G944" s="294"/>
      <c r="H944" s="294"/>
      <c r="I944" s="294"/>
      <c r="J944" s="294"/>
      <c r="K944" s="294"/>
      <c r="L944" s="294"/>
      <c r="M944" s="294"/>
      <c r="N944" s="294"/>
      <c r="O944" s="294"/>
      <c r="P944" s="294"/>
      <c r="Q944" s="294"/>
      <c r="R944" s="294"/>
      <c r="S944" s="294"/>
      <c r="T944" s="294"/>
      <c r="U944" s="294"/>
      <c r="V944" s="294"/>
      <c r="W944" s="294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  <c r="BA944" s="286"/>
      <c r="BB944" s="286"/>
      <c r="BC944" s="286"/>
    </row>
    <row r="945" spans="1:55" s="285" customFormat="1" ht="13.5" customHeight="1">
      <c r="A945" s="297"/>
      <c r="B945" s="296">
        <v>43806</v>
      </c>
      <c r="C945" s="295" t="s">
        <v>41</v>
      </c>
      <c r="D945" s="294">
        <v>84</v>
      </c>
      <c r="E945" s="294"/>
      <c r="F945" s="294"/>
      <c r="G945" s="294">
        <v>84</v>
      </c>
      <c r="H945" s="294"/>
      <c r="I945" s="294"/>
      <c r="J945" s="294"/>
      <c r="K945" s="294"/>
      <c r="L945" s="294"/>
      <c r="M945" s="294"/>
      <c r="N945" s="294"/>
      <c r="O945" s="294"/>
      <c r="P945" s="294"/>
      <c r="Q945" s="294"/>
      <c r="R945" s="294"/>
      <c r="S945" s="294"/>
      <c r="T945" s="294"/>
      <c r="U945" s="294"/>
      <c r="V945" s="294"/>
      <c r="W945" s="294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  <c r="BA945" s="286"/>
      <c r="BB945" s="286"/>
      <c r="BC945" s="286"/>
    </row>
    <row r="946" spans="1:55" s="285" customFormat="1" ht="13.5" customHeight="1">
      <c r="A946" s="297"/>
      <c r="B946" s="296">
        <v>43806</v>
      </c>
      <c r="C946" s="295" t="s">
        <v>42</v>
      </c>
      <c r="D946" s="294">
        <v>93.75</v>
      </c>
      <c r="E946" s="294"/>
      <c r="F946" s="294">
        <v>29</v>
      </c>
      <c r="G946" s="294">
        <v>64.75</v>
      </c>
      <c r="H946" s="294"/>
      <c r="I946" s="294"/>
      <c r="J946" s="294"/>
      <c r="K946" s="294"/>
      <c r="L946" s="294"/>
      <c r="M946" s="294"/>
      <c r="N946" s="294"/>
      <c r="O946" s="294"/>
      <c r="P946" s="294"/>
      <c r="Q946" s="294"/>
      <c r="R946" s="294"/>
      <c r="S946" s="294"/>
      <c r="T946" s="294"/>
      <c r="U946" s="294"/>
      <c r="V946" s="294"/>
      <c r="W946" s="294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  <c r="BA946" s="286"/>
      <c r="BB946" s="286"/>
      <c r="BC946" s="286"/>
    </row>
    <row r="947" spans="1:55" s="285" customFormat="1" ht="13.5" customHeight="1">
      <c r="A947" s="297"/>
      <c r="B947" s="296">
        <v>43807</v>
      </c>
      <c r="C947" s="295" t="s">
        <v>12</v>
      </c>
      <c r="D947" s="294">
        <v>349</v>
      </c>
      <c r="E947" s="294"/>
      <c r="F947" s="294"/>
      <c r="G947" s="294"/>
      <c r="H947" s="294"/>
      <c r="I947" s="294"/>
      <c r="J947" s="294"/>
      <c r="K947" s="294"/>
      <c r="L947" s="294"/>
      <c r="M947" s="294"/>
      <c r="N947" s="294"/>
      <c r="O947" s="294"/>
      <c r="P947" s="294"/>
      <c r="Q947" s="294"/>
      <c r="R947" s="294"/>
      <c r="S947" s="294"/>
      <c r="T947" s="294">
        <v>349</v>
      </c>
      <c r="U947" s="294"/>
      <c r="V947" s="294"/>
      <c r="W947" s="294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  <c r="BA947" s="286"/>
      <c r="BB947" s="286"/>
      <c r="BC947" s="286"/>
    </row>
    <row r="948" spans="1:55" s="285" customFormat="1" ht="13.5" customHeight="1">
      <c r="A948" s="297"/>
      <c r="B948" s="296">
        <v>43807</v>
      </c>
      <c r="C948" s="295" t="s">
        <v>440</v>
      </c>
      <c r="D948" s="294">
        <v>55</v>
      </c>
      <c r="E948" s="294"/>
      <c r="F948" s="294">
        <v>555</v>
      </c>
      <c r="G948" s="294"/>
      <c r="H948" s="294"/>
      <c r="I948" s="294"/>
      <c r="J948" s="294"/>
      <c r="K948" s="294"/>
      <c r="L948" s="294"/>
      <c r="M948" s="294"/>
      <c r="N948" s="294"/>
      <c r="O948" s="294"/>
      <c r="P948" s="294"/>
      <c r="Q948" s="294"/>
      <c r="R948" s="294"/>
      <c r="S948" s="294"/>
      <c r="T948" s="294"/>
      <c r="U948" s="294"/>
      <c r="V948" s="294"/>
      <c r="W948" s="294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  <c r="BA948" s="286"/>
      <c r="BB948" s="286"/>
      <c r="BC948" s="286"/>
    </row>
    <row r="949" spans="1:55" s="285" customFormat="1" ht="13.5" customHeight="1">
      <c r="A949" s="297"/>
      <c r="B949" s="296">
        <v>43807</v>
      </c>
      <c r="C949" s="295" t="s">
        <v>439</v>
      </c>
      <c r="D949" s="294">
        <v>114</v>
      </c>
      <c r="E949" s="294"/>
      <c r="F949" s="294">
        <v>114</v>
      </c>
      <c r="G949" s="294"/>
      <c r="H949" s="294"/>
      <c r="I949" s="294"/>
      <c r="J949" s="294"/>
      <c r="K949" s="294"/>
      <c r="L949" s="294"/>
      <c r="M949" s="294"/>
      <c r="N949" s="294"/>
      <c r="O949" s="294"/>
      <c r="P949" s="294"/>
      <c r="Q949" s="294"/>
      <c r="R949" s="294"/>
      <c r="S949" s="294"/>
      <c r="T949" s="294"/>
      <c r="U949" s="294"/>
      <c r="V949" s="294"/>
      <c r="W949" s="294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  <c r="BA949" s="286"/>
      <c r="BB949" s="286"/>
      <c r="BC949" s="286"/>
    </row>
    <row r="950" spans="1:55" s="285" customFormat="1" ht="13.5" customHeight="1">
      <c r="A950" s="297"/>
      <c r="B950" s="296">
        <v>43808</v>
      </c>
      <c r="C950" s="295" t="s">
        <v>42</v>
      </c>
      <c r="D950" s="294">
        <v>89</v>
      </c>
      <c r="E950" s="294"/>
      <c r="F950" s="294"/>
      <c r="G950" s="294">
        <v>89</v>
      </c>
      <c r="H950" s="294"/>
      <c r="I950" s="294"/>
      <c r="J950" s="294"/>
      <c r="K950" s="294"/>
      <c r="L950" s="294"/>
      <c r="M950" s="294"/>
      <c r="N950" s="294"/>
      <c r="O950" s="294"/>
      <c r="P950" s="294"/>
      <c r="Q950" s="294"/>
      <c r="R950" s="294"/>
      <c r="S950" s="294"/>
      <c r="T950" s="294"/>
      <c r="U950" s="294"/>
      <c r="V950" s="294"/>
      <c r="W950" s="294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  <c r="BA950" s="286"/>
      <c r="BB950" s="286"/>
      <c r="BC950" s="286"/>
    </row>
    <row r="951" spans="1:55" s="285" customFormat="1" ht="13.5" customHeight="1">
      <c r="A951" s="297"/>
      <c r="B951" s="296">
        <v>43808</v>
      </c>
      <c r="C951" s="295" t="s">
        <v>162</v>
      </c>
      <c r="D951" s="294">
        <v>499</v>
      </c>
      <c r="E951" s="294"/>
      <c r="F951" s="294"/>
      <c r="G951" s="294"/>
      <c r="H951" s="294"/>
      <c r="I951" s="294"/>
      <c r="J951" s="294"/>
      <c r="K951" s="294"/>
      <c r="L951" s="294"/>
      <c r="M951" s="294"/>
      <c r="N951" s="294"/>
      <c r="O951" s="294">
        <v>499</v>
      </c>
      <c r="P951" s="294"/>
      <c r="Q951" s="294"/>
      <c r="R951" s="294"/>
      <c r="S951" s="294"/>
      <c r="T951" s="294"/>
      <c r="U951" s="294"/>
      <c r="V951" s="294"/>
      <c r="W951" s="294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  <c r="BA951" s="286"/>
      <c r="BB951" s="286"/>
      <c r="BC951" s="286"/>
    </row>
    <row r="952" spans="1:55" s="285" customFormat="1" ht="13.5" customHeight="1">
      <c r="A952" s="297"/>
      <c r="B952" s="296">
        <v>43809</v>
      </c>
      <c r="C952" s="295" t="s">
        <v>438</v>
      </c>
      <c r="D952" s="294">
        <v>25</v>
      </c>
      <c r="E952" s="294"/>
      <c r="F952" s="294"/>
      <c r="G952" s="294"/>
      <c r="H952" s="294"/>
      <c r="I952" s="294"/>
      <c r="J952" s="294"/>
      <c r="K952" s="294"/>
      <c r="L952" s="294"/>
      <c r="M952" s="294"/>
      <c r="N952" s="294"/>
      <c r="O952" s="294"/>
      <c r="P952" s="294">
        <v>25</v>
      </c>
      <c r="Q952" s="294"/>
      <c r="R952" s="294"/>
      <c r="S952" s="294"/>
      <c r="T952" s="294"/>
      <c r="U952" s="294"/>
      <c r="V952" s="294"/>
      <c r="W952" s="294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  <c r="BA952" s="286"/>
      <c r="BB952" s="286"/>
      <c r="BC952" s="286"/>
    </row>
    <row r="953" spans="1:55" s="285" customFormat="1" ht="13.5" customHeight="1">
      <c r="A953" s="297"/>
      <c r="B953" s="296">
        <v>43810</v>
      </c>
      <c r="C953" s="295" t="s">
        <v>437</v>
      </c>
      <c r="D953" s="294">
        <v>506.23</v>
      </c>
      <c r="E953" s="294"/>
      <c r="F953" s="294"/>
      <c r="G953" s="294"/>
      <c r="H953" s="294"/>
      <c r="I953" s="294"/>
      <c r="J953" s="294"/>
      <c r="K953" s="294"/>
      <c r="L953" s="294"/>
      <c r="M953" s="294"/>
      <c r="N953" s="294"/>
      <c r="O953" s="294">
        <v>506.23</v>
      </c>
      <c r="P953" s="294"/>
      <c r="Q953" s="294"/>
      <c r="R953" s="294"/>
      <c r="S953" s="294"/>
      <c r="T953" s="294"/>
      <c r="U953" s="294"/>
      <c r="V953" s="294"/>
      <c r="W953" s="294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  <c r="BA953" s="286"/>
      <c r="BB953" s="286"/>
      <c r="BC953" s="286"/>
    </row>
    <row r="954" spans="1:55" s="285" customFormat="1" ht="13.5" customHeight="1">
      <c r="A954" s="297"/>
      <c r="B954" s="296">
        <v>43812</v>
      </c>
      <c r="C954" s="295" t="s">
        <v>42</v>
      </c>
      <c r="D954" s="294">
        <v>144.22</v>
      </c>
      <c r="E954" s="294"/>
      <c r="F954" s="294"/>
      <c r="G954" s="294">
        <v>103.22</v>
      </c>
      <c r="H954" s="294"/>
      <c r="I954" s="294"/>
      <c r="J954" s="294"/>
      <c r="K954" s="294"/>
      <c r="L954" s="294">
        <v>41</v>
      </c>
      <c r="M954" s="294"/>
      <c r="N954" s="294"/>
      <c r="O954" s="294"/>
      <c r="P954" s="294"/>
      <c r="Q954" s="294"/>
      <c r="R954" s="294"/>
      <c r="S954" s="294"/>
      <c r="T954" s="294"/>
      <c r="U954" s="294"/>
      <c r="V954" s="294"/>
      <c r="W954" s="294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  <c r="BA954" s="286"/>
      <c r="BB954" s="286"/>
      <c r="BC954" s="286"/>
    </row>
    <row r="955" spans="1:55" s="285" customFormat="1" ht="13.5" customHeight="1">
      <c r="A955" s="297"/>
      <c r="B955" s="296">
        <v>43812</v>
      </c>
      <c r="C955" s="295" t="s">
        <v>11</v>
      </c>
      <c r="D955" s="294">
        <v>337.46</v>
      </c>
      <c r="E955" s="294"/>
      <c r="F955" s="294"/>
      <c r="G955" s="294"/>
      <c r="H955" s="294"/>
      <c r="I955" s="294"/>
      <c r="J955" s="294"/>
      <c r="K955" s="294"/>
      <c r="L955" s="294"/>
      <c r="M955" s="294"/>
      <c r="N955" s="294"/>
      <c r="O955" s="294"/>
      <c r="P955" s="294"/>
      <c r="Q955" s="294"/>
      <c r="R955" s="294"/>
      <c r="S955" s="294"/>
      <c r="T955" s="294">
        <f>D955</f>
        <v>337.46</v>
      </c>
      <c r="U955" s="294"/>
      <c r="V955" s="294"/>
      <c r="W955" s="294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  <c r="BA955" s="286"/>
      <c r="BB955" s="286"/>
      <c r="BC955" s="286"/>
    </row>
    <row r="956" spans="1:55" s="285" customFormat="1" ht="13.5" customHeight="1">
      <c r="A956" s="297"/>
      <c r="B956" s="296">
        <v>43812</v>
      </c>
      <c r="C956" s="295" t="s">
        <v>178</v>
      </c>
      <c r="D956" s="294">
        <v>386.95</v>
      </c>
      <c r="E956" s="294"/>
      <c r="F956" s="294"/>
      <c r="G956" s="294"/>
      <c r="H956" s="294"/>
      <c r="I956" s="294"/>
      <c r="J956" s="294"/>
      <c r="K956" s="294"/>
      <c r="L956" s="294"/>
      <c r="M956" s="294"/>
      <c r="N956" s="294"/>
      <c r="O956" s="294"/>
      <c r="P956" s="294"/>
      <c r="Q956" s="294"/>
      <c r="R956" s="294"/>
      <c r="S956" s="294"/>
      <c r="T956" s="294">
        <f>D956</f>
        <v>386.95</v>
      </c>
      <c r="U956" s="294"/>
      <c r="V956" s="294"/>
      <c r="W956" s="294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  <c r="BA956" s="286"/>
      <c r="BB956" s="286"/>
      <c r="BC956" s="286"/>
    </row>
    <row r="957" spans="1:55" s="285" customFormat="1" ht="13.5" customHeight="1">
      <c r="A957" s="297"/>
      <c r="B957" s="296">
        <v>43812</v>
      </c>
      <c r="C957" s="295" t="s">
        <v>397</v>
      </c>
      <c r="D957" s="294">
        <v>19.95</v>
      </c>
      <c r="E957" s="294"/>
      <c r="F957" s="294">
        <v>19.95</v>
      </c>
      <c r="G957" s="294"/>
      <c r="H957" s="294"/>
      <c r="I957" s="294"/>
      <c r="J957" s="294"/>
      <c r="K957" s="294"/>
      <c r="L957" s="294"/>
      <c r="M957" s="294"/>
      <c r="N957" s="294"/>
      <c r="O957" s="294"/>
      <c r="P957" s="294"/>
      <c r="Q957" s="294"/>
      <c r="R957" s="294"/>
      <c r="S957" s="294"/>
      <c r="T957" s="294"/>
      <c r="U957" s="294"/>
      <c r="V957" s="294"/>
      <c r="W957" s="294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  <c r="BA957" s="286"/>
      <c r="BB957" s="286"/>
      <c r="BC957" s="286"/>
    </row>
    <row r="958" spans="1:55" s="285" customFormat="1" ht="13.5" customHeight="1">
      <c r="A958" s="297"/>
      <c r="B958" s="296">
        <v>43812</v>
      </c>
      <c r="C958" s="295" t="s">
        <v>42</v>
      </c>
      <c r="D958" s="294">
        <v>89.81</v>
      </c>
      <c r="E958" s="294"/>
      <c r="F958" s="294"/>
      <c r="G958" s="294">
        <v>89.81</v>
      </c>
      <c r="H958" s="294"/>
      <c r="I958" s="294"/>
      <c r="J958" s="294"/>
      <c r="K958" s="294"/>
      <c r="L958" s="294"/>
      <c r="M958" s="294"/>
      <c r="N958" s="294"/>
      <c r="O958" s="294"/>
      <c r="P958" s="294"/>
      <c r="Q958" s="294"/>
      <c r="R958" s="294"/>
      <c r="S958" s="294"/>
      <c r="T958" s="294"/>
      <c r="U958" s="294"/>
      <c r="V958" s="294"/>
      <c r="W958" s="294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  <c r="BA958" s="286"/>
      <c r="BB958" s="286"/>
      <c r="BC958" s="286"/>
    </row>
    <row r="959" spans="1:55" s="285" customFormat="1" ht="13.5" customHeight="1">
      <c r="A959" s="297"/>
      <c r="B959" s="296">
        <v>43813</v>
      </c>
      <c r="C959" s="298" t="s">
        <v>436</v>
      </c>
      <c r="D959" s="294">
        <v>19</v>
      </c>
      <c r="E959" s="294"/>
      <c r="F959" s="294"/>
      <c r="G959" s="294"/>
      <c r="H959" s="294"/>
      <c r="I959" s="294"/>
      <c r="J959" s="294"/>
      <c r="K959" s="294"/>
      <c r="L959" s="294"/>
      <c r="M959" s="294"/>
      <c r="N959" s="294"/>
      <c r="O959" s="294"/>
      <c r="P959" s="294">
        <v>19</v>
      </c>
      <c r="Q959" s="294"/>
      <c r="R959" s="294"/>
      <c r="S959" s="294"/>
      <c r="T959" s="294"/>
      <c r="U959" s="294"/>
      <c r="V959" s="294"/>
      <c r="W959" s="294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  <c r="BA959" s="286"/>
      <c r="BB959" s="286"/>
      <c r="BC959" s="286"/>
    </row>
    <row r="960" spans="1:55" s="285" customFormat="1" ht="13.5" customHeight="1">
      <c r="A960" s="297"/>
      <c r="B960" s="296">
        <v>43813</v>
      </c>
      <c r="C960" s="295" t="s">
        <v>42</v>
      </c>
      <c r="D960" s="294">
        <v>87.49</v>
      </c>
      <c r="E960" s="294"/>
      <c r="F960" s="294"/>
      <c r="G960" s="294">
        <v>57.49</v>
      </c>
      <c r="H960" s="294"/>
      <c r="I960" s="294"/>
      <c r="J960" s="294"/>
      <c r="K960" s="294"/>
      <c r="L960" s="294">
        <v>30</v>
      </c>
      <c r="M960" s="294"/>
      <c r="N960" s="294"/>
      <c r="O960" s="294"/>
      <c r="P960" s="294"/>
      <c r="Q960" s="294"/>
      <c r="R960" s="294"/>
      <c r="S960" s="294"/>
      <c r="T960" s="294"/>
      <c r="U960" s="294"/>
      <c r="V960" s="294"/>
      <c r="W960" s="294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  <c r="BA960" s="286"/>
      <c r="BB960" s="286"/>
      <c r="BC960" s="286"/>
    </row>
    <row r="961" spans="1:55" s="285" customFormat="1" ht="13.5" customHeight="1">
      <c r="A961" s="297"/>
      <c r="B961" s="296">
        <v>43814</v>
      </c>
      <c r="C961" s="295" t="s">
        <v>218</v>
      </c>
      <c r="D961" s="294">
        <v>68</v>
      </c>
      <c r="E961" s="294"/>
      <c r="F961" s="294">
        <v>68</v>
      </c>
      <c r="G961" s="294"/>
      <c r="H961" s="294"/>
      <c r="I961" s="294"/>
      <c r="J961" s="294"/>
      <c r="K961" s="294"/>
      <c r="L961" s="294"/>
      <c r="M961" s="294"/>
      <c r="N961" s="294"/>
      <c r="O961" s="294"/>
      <c r="P961" s="294"/>
      <c r="Q961" s="294"/>
      <c r="R961" s="294"/>
      <c r="S961" s="294"/>
      <c r="T961" s="294"/>
      <c r="U961" s="294"/>
      <c r="V961" s="294"/>
      <c r="W961" s="294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  <c r="BA961" s="286"/>
      <c r="BB961" s="286"/>
      <c r="BC961" s="286"/>
    </row>
    <row r="962" spans="1:55" s="285" customFormat="1" ht="13.5" customHeight="1">
      <c r="A962" s="297"/>
      <c r="B962" s="296">
        <v>43814</v>
      </c>
      <c r="C962" s="295" t="s">
        <v>435</v>
      </c>
      <c r="D962" s="294">
        <v>80</v>
      </c>
      <c r="E962" s="294"/>
      <c r="F962" s="294">
        <v>80</v>
      </c>
      <c r="G962" s="294"/>
      <c r="H962" s="294"/>
      <c r="I962" s="294"/>
      <c r="J962" s="294"/>
      <c r="K962" s="294"/>
      <c r="L962" s="294"/>
      <c r="M962" s="294"/>
      <c r="N962" s="294"/>
      <c r="O962" s="294"/>
      <c r="P962" s="294"/>
      <c r="Q962" s="294"/>
      <c r="R962" s="294"/>
      <c r="S962" s="294"/>
      <c r="T962" s="294"/>
      <c r="U962" s="294"/>
      <c r="V962" s="294"/>
      <c r="W962" s="294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  <c r="BA962" s="286"/>
      <c r="BB962" s="286"/>
      <c r="BC962" s="286"/>
    </row>
    <row r="963" spans="1:55" s="285" customFormat="1" ht="13.5" customHeight="1">
      <c r="A963" s="297"/>
      <c r="B963" s="296">
        <v>43814</v>
      </c>
      <c r="C963" s="295" t="s">
        <v>307</v>
      </c>
      <c r="D963" s="294"/>
      <c r="E963" s="294"/>
      <c r="F963" s="294"/>
      <c r="G963" s="294"/>
      <c r="H963" s="294"/>
      <c r="I963" s="294"/>
      <c r="J963" s="294"/>
      <c r="K963" s="294"/>
      <c r="L963" s="294"/>
      <c r="M963" s="294"/>
      <c r="N963" s="294"/>
      <c r="O963" s="294"/>
      <c r="P963" s="294"/>
      <c r="Q963" s="294"/>
      <c r="R963" s="294"/>
      <c r="S963" s="294"/>
      <c r="T963" s="294"/>
      <c r="U963" s="294"/>
      <c r="V963" s="294"/>
      <c r="W963" s="294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  <c r="BA963" s="286"/>
      <c r="BB963" s="286"/>
      <c r="BC963" s="286"/>
    </row>
    <row r="964" spans="1:55" s="285" customFormat="1" ht="13.5" customHeight="1">
      <c r="A964" s="297"/>
      <c r="B964" s="296">
        <v>43814</v>
      </c>
      <c r="C964" s="295" t="s">
        <v>211</v>
      </c>
      <c r="D964" s="294">
        <v>267</v>
      </c>
      <c r="E964" s="294"/>
      <c r="F964" s="294">
        <v>267</v>
      </c>
      <c r="G964" s="294"/>
      <c r="H964" s="294"/>
      <c r="I964" s="294"/>
      <c r="J964" s="294"/>
      <c r="K964" s="294"/>
      <c r="L964" s="294"/>
      <c r="M964" s="294"/>
      <c r="N964" s="294"/>
      <c r="O964" s="294"/>
      <c r="P964" s="294"/>
      <c r="Q964" s="294"/>
      <c r="R964" s="294"/>
      <c r="S964" s="294"/>
      <c r="T964" s="294"/>
      <c r="U964" s="294"/>
      <c r="V964" s="294"/>
      <c r="W964" s="294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  <c r="BA964" s="286"/>
      <c r="BB964" s="286"/>
      <c r="BC964" s="286"/>
    </row>
    <row r="965" spans="1:55" s="285" customFormat="1" ht="13.5" customHeight="1">
      <c r="A965" s="297"/>
      <c r="B965" s="296">
        <v>43815</v>
      </c>
      <c r="C965" s="295" t="s">
        <v>42</v>
      </c>
      <c r="D965" s="294">
        <v>198.15</v>
      </c>
      <c r="E965" s="294"/>
      <c r="F965" s="294"/>
      <c r="G965" s="294">
        <v>198.15</v>
      </c>
      <c r="H965" s="294"/>
      <c r="I965" s="294"/>
      <c r="J965" s="294"/>
      <c r="K965" s="294"/>
      <c r="L965" s="294"/>
      <c r="M965" s="294"/>
      <c r="N965" s="294"/>
      <c r="O965" s="294"/>
      <c r="P965" s="294"/>
      <c r="Q965" s="294"/>
      <c r="R965" s="294"/>
      <c r="S965" s="294"/>
      <c r="T965" s="294"/>
      <c r="U965" s="294"/>
      <c r="V965" s="294"/>
      <c r="W965" s="294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  <c r="BA965" s="286"/>
      <c r="BB965" s="286"/>
      <c r="BC965" s="286"/>
    </row>
    <row r="966" spans="1:55" s="285" customFormat="1" ht="13.5" customHeight="1">
      <c r="A966" s="297"/>
      <c r="B966" s="296">
        <v>43816</v>
      </c>
      <c r="C966" s="295" t="s">
        <v>42</v>
      </c>
      <c r="D966" s="294">
        <v>125.95</v>
      </c>
      <c r="E966" s="294"/>
      <c r="F966" s="294"/>
      <c r="G966" s="294">
        <v>105.95</v>
      </c>
      <c r="H966" s="294"/>
      <c r="I966" s="294"/>
      <c r="J966" s="294"/>
      <c r="K966" s="294"/>
      <c r="L966" s="294">
        <v>20</v>
      </c>
      <c r="M966" s="294"/>
      <c r="N966" s="294"/>
      <c r="O966" s="294"/>
      <c r="P966" s="294"/>
      <c r="Q966" s="294"/>
      <c r="R966" s="294"/>
      <c r="S966" s="294"/>
      <c r="T966" s="294"/>
      <c r="U966" s="294"/>
      <c r="V966" s="294"/>
      <c r="W966" s="294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</row>
    <row r="967" spans="1:55" s="285" customFormat="1" ht="13.5" customHeight="1">
      <c r="A967" s="297"/>
      <c r="B967" s="296">
        <v>43816</v>
      </c>
      <c r="C967" s="295" t="s">
        <v>124</v>
      </c>
      <c r="D967" s="294">
        <v>370.15</v>
      </c>
      <c r="E967" s="294"/>
      <c r="F967" s="294"/>
      <c r="G967" s="294"/>
      <c r="H967" s="294">
        <v>346.35</v>
      </c>
      <c r="I967" s="294">
        <v>23.8</v>
      </c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94"/>
      <c r="U967" s="294"/>
      <c r="V967" s="294"/>
      <c r="W967" s="294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  <c r="BA967" s="286"/>
      <c r="BB967" s="286"/>
      <c r="BC967" s="286"/>
    </row>
    <row r="968" spans="1:55" s="285" customFormat="1" ht="13.5" customHeight="1">
      <c r="A968" s="297"/>
      <c r="B968" s="296">
        <v>43816</v>
      </c>
      <c r="C968" s="295" t="s">
        <v>42</v>
      </c>
      <c r="D968" s="294">
        <v>35</v>
      </c>
      <c r="E968" s="294"/>
      <c r="F968" s="294"/>
      <c r="G968" s="294">
        <v>20</v>
      </c>
      <c r="H968" s="294"/>
      <c r="I968" s="294"/>
      <c r="J968" s="294"/>
      <c r="K968" s="294"/>
      <c r="L968" s="294">
        <v>15</v>
      </c>
      <c r="M968" s="294"/>
      <c r="N968" s="294"/>
      <c r="O968" s="294"/>
      <c r="P968" s="294"/>
      <c r="Q968" s="294"/>
      <c r="R968" s="294"/>
      <c r="S968" s="294"/>
      <c r="T968" s="294"/>
      <c r="U968" s="294"/>
      <c r="V968" s="294"/>
      <c r="W968" s="294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  <c r="BA968" s="286"/>
      <c r="BB968" s="286"/>
      <c r="BC968" s="286"/>
    </row>
    <row r="969" spans="1:55" s="285" customFormat="1" ht="13.5" customHeight="1">
      <c r="A969" s="297"/>
      <c r="B969" s="296">
        <v>43817</v>
      </c>
      <c r="C969" s="295" t="s">
        <v>42</v>
      </c>
      <c r="D969" s="294">
        <v>64.900000000000006</v>
      </c>
      <c r="E969" s="294"/>
      <c r="F969" s="294"/>
      <c r="G969" s="294">
        <v>33</v>
      </c>
      <c r="H969" s="294"/>
      <c r="I969" s="294"/>
      <c r="J969" s="294"/>
      <c r="K969" s="294"/>
      <c r="L969" s="294">
        <v>31.9</v>
      </c>
      <c r="M969" s="294"/>
      <c r="N969" s="294"/>
      <c r="O969" s="294"/>
      <c r="P969" s="294"/>
      <c r="Q969" s="294"/>
      <c r="R969" s="294"/>
      <c r="S969" s="294"/>
      <c r="T969" s="294"/>
      <c r="U969" s="294"/>
      <c r="V969" s="294"/>
      <c r="W969" s="294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  <c r="BA969" s="286"/>
      <c r="BB969" s="286"/>
      <c r="BC969" s="286"/>
    </row>
    <row r="970" spans="1:55" s="285" customFormat="1" ht="13.5" customHeight="1">
      <c r="A970" s="297"/>
      <c r="B970" s="296">
        <v>43817</v>
      </c>
      <c r="C970" s="295" t="s">
        <v>9</v>
      </c>
      <c r="D970" s="294">
        <v>400</v>
      </c>
      <c r="E970" s="294"/>
      <c r="F970" s="294"/>
      <c r="G970" s="294"/>
      <c r="H970" s="294"/>
      <c r="I970" s="294"/>
      <c r="J970" s="294"/>
      <c r="K970" s="294"/>
      <c r="L970" s="294"/>
      <c r="M970" s="294"/>
      <c r="N970" s="294"/>
      <c r="O970" s="294"/>
      <c r="P970" s="294"/>
      <c r="Q970" s="294"/>
      <c r="R970" s="294"/>
      <c r="S970" s="294"/>
      <c r="T970" s="294">
        <f>D970</f>
        <v>400</v>
      </c>
      <c r="U970" s="294"/>
      <c r="V970" s="294"/>
      <c r="W970" s="294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  <c r="BA970" s="286"/>
      <c r="BB970" s="286"/>
      <c r="BC970" s="286"/>
    </row>
    <row r="971" spans="1:55" s="285" customFormat="1" ht="13.5" customHeight="1">
      <c r="A971" s="297"/>
      <c r="B971" s="296">
        <v>43817</v>
      </c>
      <c r="C971" s="295" t="s">
        <v>10</v>
      </c>
      <c r="D971" s="294">
        <v>399</v>
      </c>
      <c r="E971" s="294"/>
      <c r="F971" s="294"/>
      <c r="G971" s="294"/>
      <c r="H971" s="294"/>
      <c r="I971" s="294"/>
      <c r="J971" s="294"/>
      <c r="K971" s="294"/>
      <c r="L971" s="294"/>
      <c r="M971" s="294"/>
      <c r="N971" s="294"/>
      <c r="O971" s="294"/>
      <c r="P971" s="294"/>
      <c r="Q971" s="294"/>
      <c r="R971" s="294"/>
      <c r="S971" s="294"/>
      <c r="T971" s="294">
        <f>D971</f>
        <v>399</v>
      </c>
      <c r="U971" s="294"/>
      <c r="V971" s="294"/>
      <c r="W971" s="294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  <c r="BA971" s="286"/>
      <c r="BB971" s="286"/>
      <c r="BC971" s="286"/>
    </row>
    <row r="972" spans="1:55" s="285" customFormat="1" ht="13.5" customHeight="1">
      <c r="A972" s="297"/>
      <c r="B972" s="296">
        <v>43817</v>
      </c>
      <c r="C972" s="295" t="s">
        <v>7</v>
      </c>
      <c r="D972" s="294">
        <v>405</v>
      </c>
      <c r="E972" s="294"/>
      <c r="F972" s="294"/>
      <c r="G972" s="294"/>
      <c r="H972" s="294"/>
      <c r="I972" s="294"/>
      <c r="J972" s="294"/>
      <c r="K972" s="294"/>
      <c r="L972" s="294"/>
      <c r="M972" s="294"/>
      <c r="N972" s="294"/>
      <c r="O972" s="294"/>
      <c r="P972" s="294"/>
      <c r="Q972" s="294"/>
      <c r="R972" s="294"/>
      <c r="S972" s="294"/>
      <c r="T972" s="294">
        <f>D972</f>
        <v>405</v>
      </c>
      <c r="U972" s="294"/>
      <c r="V972" s="294"/>
      <c r="W972" s="294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  <c r="BA972" s="286"/>
      <c r="BB972" s="286"/>
      <c r="BC972" s="286"/>
    </row>
    <row r="973" spans="1:55" s="285" customFormat="1" ht="13.5" customHeight="1">
      <c r="A973" s="297"/>
      <c r="B973" s="296">
        <v>43818</v>
      </c>
      <c r="C973" s="295" t="s">
        <v>434</v>
      </c>
      <c r="D973" s="294">
        <v>25</v>
      </c>
      <c r="E973" s="294"/>
      <c r="F973" s="294">
        <v>25</v>
      </c>
      <c r="G973" s="294"/>
      <c r="H973" s="294"/>
      <c r="I973" s="294"/>
      <c r="J973" s="294"/>
      <c r="K973" s="294"/>
      <c r="L973" s="294"/>
      <c r="M973" s="294"/>
      <c r="N973" s="294"/>
      <c r="O973" s="294"/>
      <c r="P973" s="294"/>
      <c r="Q973" s="294"/>
      <c r="R973" s="294"/>
      <c r="S973" s="294"/>
      <c r="T973" s="294"/>
      <c r="U973" s="294"/>
      <c r="V973" s="294"/>
      <c r="W973" s="294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  <c r="BA973" s="286"/>
      <c r="BB973" s="286"/>
      <c r="BC973" s="286"/>
    </row>
    <row r="974" spans="1:55" s="285" customFormat="1" ht="13.5" customHeight="1">
      <c r="A974" s="297"/>
      <c r="B974" s="296">
        <v>43818</v>
      </c>
      <c r="C974" s="295" t="s">
        <v>40</v>
      </c>
      <c r="D974" s="294">
        <v>12</v>
      </c>
      <c r="E974" s="294"/>
      <c r="F974" s="294"/>
      <c r="G974" s="294">
        <v>12</v>
      </c>
      <c r="H974" s="294"/>
      <c r="I974" s="294"/>
      <c r="J974" s="294"/>
      <c r="K974" s="294"/>
      <c r="L974" s="294"/>
      <c r="M974" s="294"/>
      <c r="N974" s="294"/>
      <c r="O974" s="294"/>
      <c r="P974" s="294"/>
      <c r="Q974" s="294"/>
      <c r="R974" s="294"/>
      <c r="S974" s="294"/>
      <c r="T974" s="294"/>
      <c r="U974" s="294"/>
      <c r="V974" s="294"/>
      <c r="W974" s="294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  <c r="BA974" s="286"/>
      <c r="BB974" s="286"/>
      <c r="BC974" s="286"/>
    </row>
    <row r="975" spans="1:55" s="285" customFormat="1" ht="13.5" customHeight="1">
      <c r="A975" s="297"/>
      <c r="B975" s="296">
        <v>43818</v>
      </c>
      <c r="C975" s="295" t="s">
        <v>368</v>
      </c>
      <c r="D975" s="294">
        <v>150</v>
      </c>
      <c r="E975" s="294"/>
      <c r="F975" s="294">
        <v>150</v>
      </c>
      <c r="G975" s="294"/>
      <c r="H975" s="294"/>
      <c r="I975" s="294"/>
      <c r="J975" s="294"/>
      <c r="K975" s="294"/>
      <c r="L975" s="294"/>
      <c r="M975" s="294"/>
      <c r="N975" s="294"/>
      <c r="O975" s="294"/>
      <c r="P975" s="294"/>
      <c r="Q975" s="294"/>
      <c r="R975" s="294"/>
      <c r="S975" s="294"/>
      <c r="T975" s="294"/>
      <c r="U975" s="294"/>
      <c r="V975" s="294"/>
      <c r="W975" s="294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  <c r="BA975" s="286"/>
      <c r="BB975" s="286"/>
      <c r="BC975" s="286"/>
    </row>
    <row r="976" spans="1:55" s="285" customFormat="1" ht="13.5" customHeight="1">
      <c r="A976" s="297"/>
      <c r="B976" s="296">
        <v>43818</v>
      </c>
      <c r="C976" s="295" t="s">
        <v>433</v>
      </c>
      <c r="D976" s="294">
        <v>200</v>
      </c>
      <c r="E976" s="294"/>
      <c r="F976" s="294">
        <v>200</v>
      </c>
      <c r="G976" s="294"/>
      <c r="H976" s="294"/>
      <c r="I976" s="294"/>
      <c r="J976" s="294"/>
      <c r="K976" s="294"/>
      <c r="L976" s="294"/>
      <c r="M976" s="294"/>
      <c r="N976" s="294"/>
      <c r="O976" s="294"/>
      <c r="P976" s="294"/>
      <c r="Q976" s="294"/>
      <c r="R976" s="294"/>
      <c r="S976" s="294"/>
      <c r="T976" s="294"/>
      <c r="U976" s="294"/>
      <c r="V976" s="294"/>
      <c r="W976" s="294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  <c r="BA976" s="286"/>
      <c r="BB976" s="286"/>
      <c r="BC976" s="286"/>
    </row>
    <row r="977" spans="1:55" s="285" customFormat="1" ht="13.5" customHeight="1">
      <c r="A977" s="297"/>
      <c r="B977" s="296">
        <v>43819</v>
      </c>
      <c r="C977" s="295" t="s">
        <v>154</v>
      </c>
      <c r="D977" s="294">
        <v>300</v>
      </c>
      <c r="E977" s="294"/>
      <c r="F977" s="294"/>
      <c r="G977" s="294"/>
      <c r="H977" s="294"/>
      <c r="I977" s="294"/>
      <c r="J977" s="294"/>
      <c r="K977" s="294"/>
      <c r="L977" s="294"/>
      <c r="M977" s="294"/>
      <c r="N977" s="294"/>
      <c r="O977" s="294">
        <v>300</v>
      </c>
      <c r="P977" s="294"/>
      <c r="Q977" s="294"/>
      <c r="R977" s="294"/>
      <c r="S977" s="294"/>
      <c r="T977" s="294"/>
      <c r="U977" s="294"/>
      <c r="V977" s="294"/>
      <c r="W977" s="294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  <c r="BA977" s="286"/>
      <c r="BB977" s="286"/>
      <c r="BC977" s="286"/>
    </row>
    <row r="978" spans="1:55" s="285" customFormat="1" ht="13.5" customHeight="1">
      <c r="A978" s="297"/>
      <c r="B978" s="296">
        <v>43819</v>
      </c>
      <c r="C978" s="295" t="s">
        <v>42</v>
      </c>
      <c r="D978" s="294">
        <v>58</v>
      </c>
      <c r="E978" s="294"/>
      <c r="F978" s="294"/>
      <c r="G978" s="294">
        <v>58</v>
      </c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294"/>
      <c r="V978" s="294"/>
      <c r="W978" s="294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  <c r="BA978" s="286"/>
      <c r="BB978" s="286"/>
      <c r="BC978" s="286"/>
    </row>
    <row r="979" spans="1:55" s="285" customFormat="1" ht="13.5" customHeight="1">
      <c r="A979" s="297"/>
      <c r="B979" s="296">
        <v>43819</v>
      </c>
      <c r="C979" s="295" t="s">
        <v>242</v>
      </c>
      <c r="D979" s="294">
        <v>-200</v>
      </c>
      <c r="E979" s="294"/>
      <c r="F979" s="294">
        <v>-200</v>
      </c>
      <c r="G979" s="294"/>
      <c r="H979" s="294"/>
      <c r="I979" s="294"/>
      <c r="J979" s="294"/>
      <c r="K979" s="294"/>
      <c r="L979" s="294"/>
      <c r="M979" s="294"/>
      <c r="N979" s="294"/>
      <c r="O979" s="294"/>
      <c r="P979" s="294"/>
      <c r="Q979" s="294"/>
      <c r="R979" s="294"/>
      <c r="S979" s="294"/>
      <c r="T979" s="294"/>
      <c r="U979" s="294"/>
      <c r="V979" s="294"/>
      <c r="W979" s="294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  <c r="BA979" s="286"/>
      <c r="BB979" s="286"/>
      <c r="BC979" s="286"/>
    </row>
    <row r="980" spans="1:55" s="285" customFormat="1" ht="13.5" customHeight="1">
      <c r="A980" s="297"/>
      <c r="B980" s="296">
        <v>43820</v>
      </c>
      <c r="C980" s="295" t="s">
        <v>8</v>
      </c>
      <c r="D980" s="294">
        <v>404</v>
      </c>
      <c r="E980" s="294"/>
      <c r="F980" s="294"/>
      <c r="G980" s="294"/>
      <c r="H980" s="294"/>
      <c r="I980" s="294"/>
      <c r="J980" s="294"/>
      <c r="K980" s="294"/>
      <c r="L980" s="294"/>
      <c r="M980" s="294"/>
      <c r="N980" s="294"/>
      <c r="O980" s="294"/>
      <c r="P980" s="294"/>
      <c r="Q980" s="294"/>
      <c r="R980" s="294"/>
      <c r="S980" s="294"/>
      <c r="T980" s="294">
        <f>D980</f>
        <v>404</v>
      </c>
      <c r="U980" s="294"/>
      <c r="V980" s="294"/>
      <c r="W980" s="294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  <c r="BA980" s="286"/>
      <c r="BB980" s="286"/>
      <c r="BC980" s="286"/>
    </row>
    <row r="981" spans="1:55" s="285" customFormat="1" ht="13.5" customHeight="1">
      <c r="A981" s="297"/>
      <c r="B981" s="296">
        <v>43820</v>
      </c>
      <c r="C981" s="295" t="s">
        <v>48</v>
      </c>
      <c r="D981" s="294">
        <v>220</v>
      </c>
      <c r="E981" s="294"/>
      <c r="F981" s="294"/>
      <c r="G981" s="294"/>
      <c r="H981" s="294"/>
      <c r="I981" s="294"/>
      <c r="J981" s="294"/>
      <c r="K981" s="294"/>
      <c r="L981" s="294"/>
      <c r="M981" s="294"/>
      <c r="N981" s="294">
        <v>220</v>
      </c>
      <c r="O981" s="294"/>
      <c r="P981" s="294"/>
      <c r="Q981" s="294"/>
      <c r="R981" s="294"/>
      <c r="S981" s="294"/>
      <c r="T981" s="294"/>
      <c r="U981" s="294"/>
      <c r="V981" s="294"/>
      <c r="W981" s="294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  <c r="BA981" s="286"/>
      <c r="BB981" s="286"/>
      <c r="BC981" s="286"/>
    </row>
    <row r="982" spans="1:55" s="285" customFormat="1" ht="13.5" customHeight="1">
      <c r="A982" s="297"/>
      <c r="B982" s="296">
        <v>43820</v>
      </c>
      <c r="C982" s="295" t="s">
        <v>432</v>
      </c>
      <c r="D982" s="294">
        <v>29</v>
      </c>
      <c r="E982" s="294"/>
      <c r="F982" s="294"/>
      <c r="G982" s="294">
        <v>29</v>
      </c>
      <c r="H982" s="294"/>
      <c r="I982" s="294"/>
      <c r="J982" s="294"/>
      <c r="K982" s="294"/>
      <c r="L982" s="294"/>
      <c r="M982" s="294"/>
      <c r="N982" s="294"/>
      <c r="O982" s="294"/>
      <c r="P982" s="294"/>
      <c r="Q982" s="294"/>
      <c r="R982" s="294"/>
      <c r="S982" s="294"/>
      <c r="T982" s="294"/>
      <c r="U982" s="294"/>
      <c r="V982" s="294"/>
      <c r="W982" s="294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  <c r="BA982" s="286"/>
      <c r="BB982" s="286"/>
      <c r="BC982" s="286"/>
    </row>
    <row r="983" spans="1:55" s="285" customFormat="1" ht="13.5" customHeight="1">
      <c r="A983" s="297"/>
      <c r="B983" s="296">
        <v>43820</v>
      </c>
      <c r="C983" s="295" t="s">
        <v>42</v>
      </c>
      <c r="D983" s="294">
        <v>98</v>
      </c>
      <c r="E983" s="294"/>
      <c r="F983" s="294"/>
      <c r="G983" s="294">
        <v>98</v>
      </c>
      <c r="H983" s="294"/>
      <c r="I983" s="294"/>
      <c r="J983" s="294"/>
      <c r="K983" s="294"/>
      <c r="L983" s="294"/>
      <c r="M983" s="294"/>
      <c r="N983" s="294"/>
      <c r="O983" s="294"/>
      <c r="P983" s="294"/>
      <c r="Q983" s="294"/>
      <c r="R983" s="294"/>
      <c r="S983" s="294"/>
      <c r="T983" s="294"/>
      <c r="U983" s="294"/>
      <c r="V983" s="294"/>
      <c r="W983" s="294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  <c r="BA983" s="286"/>
      <c r="BB983" s="286"/>
      <c r="BC983" s="286"/>
    </row>
    <row r="984" spans="1:55" s="285" customFormat="1" ht="13.5" customHeight="1">
      <c r="A984" s="297"/>
      <c r="B984" s="296">
        <v>43820</v>
      </c>
      <c r="C984" s="295" t="s">
        <v>13</v>
      </c>
      <c r="D984" s="294">
        <v>400</v>
      </c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>
        <f>D984</f>
        <v>400</v>
      </c>
      <c r="U984" s="294"/>
      <c r="V984" s="294"/>
      <c r="W984" s="294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  <c r="BA984" s="286"/>
      <c r="BB984" s="286"/>
      <c r="BC984" s="286"/>
    </row>
    <row r="985" spans="1:55" s="285" customFormat="1" ht="13.5" customHeight="1">
      <c r="A985" s="297"/>
      <c r="B985" s="296">
        <v>43820</v>
      </c>
      <c r="C985" s="295" t="s">
        <v>431</v>
      </c>
      <c r="D985" s="294">
        <v>300</v>
      </c>
      <c r="E985" s="294"/>
      <c r="F985" s="294"/>
      <c r="G985" s="294"/>
      <c r="H985" s="294"/>
      <c r="I985" s="294"/>
      <c r="J985" s="294"/>
      <c r="K985" s="294"/>
      <c r="L985" s="294"/>
      <c r="M985" s="294"/>
      <c r="N985" s="294"/>
      <c r="O985" s="294"/>
      <c r="P985" s="294"/>
      <c r="Q985" s="294"/>
      <c r="R985" s="294"/>
      <c r="S985" s="294"/>
      <c r="T985" s="294">
        <f>D985</f>
        <v>300</v>
      </c>
      <c r="U985" s="294"/>
      <c r="V985" s="294"/>
      <c r="W985" s="294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  <c r="BA985" s="286"/>
      <c r="BB985" s="286"/>
      <c r="BC985" s="286"/>
    </row>
    <row r="986" spans="1:55" s="285" customFormat="1" ht="13.5" customHeight="1">
      <c r="A986" s="297"/>
      <c r="B986" s="296">
        <v>43820</v>
      </c>
      <c r="C986" s="295" t="s">
        <v>42</v>
      </c>
      <c r="D986" s="294">
        <v>27</v>
      </c>
      <c r="E986" s="294"/>
      <c r="F986" s="294"/>
      <c r="G986" s="294">
        <v>27</v>
      </c>
      <c r="H986" s="294"/>
      <c r="I986" s="294"/>
      <c r="J986" s="294"/>
      <c r="K986" s="294"/>
      <c r="L986" s="294"/>
      <c r="M986" s="294"/>
      <c r="N986" s="294"/>
      <c r="O986" s="294"/>
      <c r="P986" s="294"/>
      <c r="Q986" s="294"/>
      <c r="R986" s="294"/>
      <c r="S986" s="294"/>
      <c r="T986" s="294"/>
      <c r="U986" s="294"/>
      <c r="V986" s="294"/>
      <c r="W986" s="294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  <c r="BA986" s="286"/>
      <c r="BB986" s="286"/>
      <c r="BC986" s="286"/>
    </row>
    <row r="987" spans="1:55" s="285" customFormat="1" ht="13.5" customHeight="1">
      <c r="A987" s="297"/>
      <c r="B987" s="296">
        <v>43821</v>
      </c>
      <c r="C987" s="295" t="s">
        <v>42</v>
      </c>
      <c r="D987" s="294">
        <v>146</v>
      </c>
      <c r="E987" s="294"/>
      <c r="F987" s="294"/>
      <c r="G987" s="294">
        <v>146</v>
      </c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294"/>
      <c r="V987" s="294"/>
      <c r="W987" s="294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  <c r="BA987" s="286"/>
      <c r="BB987" s="286"/>
      <c r="BC987" s="286"/>
    </row>
    <row r="988" spans="1:55" s="285" customFormat="1" ht="13.5" customHeight="1">
      <c r="A988" s="297"/>
      <c r="B988" s="296">
        <v>43821</v>
      </c>
      <c r="C988" s="295" t="s">
        <v>39</v>
      </c>
      <c r="D988" s="294">
        <v>158.69999999999999</v>
      </c>
      <c r="E988" s="294"/>
      <c r="F988" s="294"/>
      <c r="G988" s="294">
        <v>158.69999999999999</v>
      </c>
      <c r="H988" s="294"/>
      <c r="I988" s="294"/>
      <c r="J988" s="294"/>
      <c r="K988" s="294"/>
      <c r="L988" s="294"/>
      <c r="M988" s="294"/>
      <c r="N988" s="294"/>
      <c r="O988" s="294"/>
      <c r="P988" s="294"/>
      <c r="Q988" s="294"/>
      <c r="R988" s="294"/>
      <c r="S988" s="294"/>
      <c r="T988" s="294"/>
      <c r="U988" s="294"/>
      <c r="V988" s="294"/>
      <c r="W988" s="294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  <c r="BA988" s="286"/>
      <c r="BB988" s="286"/>
      <c r="BC988" s="286"/>
    </row>
    <row r="989" spans="1:55" s="285" customFormat="1" ht="13.5" customHeight="1">
      <c r="A989" s="297"/>
      <c r="B989" s="296">
        <v>43821</v>
      </c>
      <c r="C989" s="295" t="s">
        <v>58</v>
      </c>
      <c r="D989" s="294">
        <v>1000</v>
      </c>
      <c r="E989" s="294"/>
      <c r="F989" s="294"/>
      <c r="G989" s="294"/>
      <c r="H989" s="294"/>
      <c r="I989" s="294"/>
      <c r="J989" s="294"/>
      <c r="K989" s="294"/>
      <c r="L989" s="294"/>
      <c r="M989" s="294"/>
      <c r="N989" s="294"/>
      <c r="O989" s="294"/>
      <c r="P989" s="294"/>
      <c r="Q989" s="294"/>
      <c r="R989" s="294"/>
      <c r="S989" s="294"/>
      <c r="T989" s="294"/>
      <c r="U989" s="294"/>
      <c r="V989" s="294">
        <v>1000</v>
      </c>
      <c r="W989" s="294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  <c r="BA989" s="286"/>
      <c r="BB989" s="286"/>
      <c r="BC989" s="286"/>
    </row>
    <row r="990" spans="1:55" s="285" customFormat="1" ht="13.5" customHeight="1">
      <c r="A990" s="297"/>
      <c r="B990" s="296">
        <v>43822</v>
      </c>
      <c r="C990" s="295" t="s">
        <v>430</v>
      </c>
      <c r="D990" s="294">
        <v>100</v>
      </c>
      <c r="E990" s="294"/>
      <c r="F990" s="294">
        <v>100</v>
      </c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294"/>
      <c r="V990" s="294"/>
      <c r="W990" s="294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  <c r="BA990" s="286"/>
      <c r="BB990" s="286"/>
      <c r="BC990" s="286"/>
    </row>
    <row r="991" spans="1:55" s="285" customFormat="1" ht="13.5" customHeight="1">
      <c r="A991" s="297"/>
      <c r="B991" s="296">
        <v>43822</v>
      </c>
      <c r="C991" s="295" t="s">
        <v>42</v>
      </c>
      <c r="D991" s="294">
        <v>30</v>
      </c>
      <c r="E991" s="294"/>
      <c r="F991" s="294"/>
      <c r="G991" s="294">
        <v>10</v>
      </c>
      <c r="H991" s="294"/>
      <c r="I991" s="294"/>
      <c r="J991" s="294"/>
      <c r="K991" s="294"/>
      <c r="L991" s="294">
        <v>20</v>
      </c>
      <c r="M991" s="294"/>
      <c r="N991" s="294"/>
      <c r="O991" s="294"/>
      <c r="P991" s="294"/>
      <c r="Q991" s="294"/>
      <c r="R991" s="294"/>
      <c r="S991" s="294"/>
      <c r="T991" s="294"/>
      <c r="U991" s="294"/>
      <c r="V991" s="294"/>
      <c r="W991" s="294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  <c r="BA991" s="286"/>
      <c r="BB991" s="286"/>
      <c r="BC991" s="286"/>
    </row>
    <row r="992" spans="1:55" s="285" customFormat="1" ht="13.5" customHeight="1">
      <c r="A992" s="297"/>
      <c r="B992" s="296">
        <v>43823</v>
      </c>
      <c r="C992" s="295" t="s">
        <v>40</v>
      </c>
      <c r="D992" s="294">
        <v>33.5</v>
      </c>
      <c r="E992" s="294"/>
      <c r="F992" s="294"/>
      <c r="G992" s="294">
        <v>33.5</v>
      </c>
      <c r="H992" s="294"/>
      <c r="I992" s="294"/>
      <c r="J992" s="294"/>
      <c r="K992" s="294"/>
      <c r="L992" s="294"/>
      <c r="M992" s="294"/>
      <c r="N992" s="294"/>
      <c r="O992" s="294"/>
      <c r="P992" s="294"/>
      <c r="Q992" s="294"/>
      <c r="R992" s="294"/>
      <c r="S992" s="294"/>
      <c r="T992" s="294"/>
      <c r="U992" s="294"/>
      <c r="V992" s="294"/>
      <c r="W992" s="294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  <c r="BA992" s="286"/>
      <c r="BB992" s="286"/>
      <c r="BC992" s="286"/>
    </row>
    <row r="993" spans="1:57" s="285" customFormat="1" ht="13.5" customHeight="1">
      <c r="A993" s="297"/>
      <c r="B993" s="296">
        <v>43823</v>
      </c>
      <c r="C993" s="295" t="s">
        <v>429</v>
      </c>
      <c r="D993" s="294">
        <v>26</v>
      </c>
      <c r="E993" s="294"/>
      <c r="F993" s="294"/>
      <c r="G993" s="294">
        <v>26</v>
      </c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294"/>
      <c r="V993" s="294"/>
      <c r="W993" s="294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  <c r="BA993" s="286"/>
      <c r="BB993" s="286"/>
      <c r="BC993" s="286"/>
    </row>
    <row r="994" spans="1:57" s="285" customFormat="1" ht="13.5" customHeight="1">
      <c r="A994" s="297"/>
      <c r="B994" s="296">
        <v>43823</v>
      </c>
      <c r="C994" s="295" t="s">
        <v>42</v>
      </c>
      <c r="D994" s="294">
        <v>73</v>
      </c>
      <c r="E994" s="294"/>
      <c r="F994" s="294">
        <v>40</v>
      </c>
      <c r="G994" s="294">
        <v>13</v>
      </c>
      <c r="H994" s="294"/>
      <c r="I994" s="294"/>
      <c r="J994" s="294"/>
      <c r="K994" s="294"/>
      <c r="L994" s="294">
        <v>20</v>
      </c>
      <c r="M994" s="294"/>
      <c r="N994" s="294"/>
      <c r="O994" s="294"/>
      <c r="P994" s="294"/>
      <c r="Q994" s="294"/>
      <c r="R994" s="294"/>
      <c r="S994" s="294"/>
      <c r="T994" s="294"/>
      <c r="U994" s="294"/>
      <c r="V994" s="294"/>
      <c r="W994" s="294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  <c r="BA994" s="286"/>
      <c r="BB994" s="286"/>
      <c r="BC994" s="286"/>
    </row>
    <row r="995" spans="1:57" s="285" customFormat="1" ht="13.5" customHeight="1">
      <c r="A995" s="297"/>
      <c r="B995" s="296">
        <v>43826</v>
      </c>
      <c r="C995" s="295" t="s">
        <v>42</v>
      </c>
      <c r="D995" s="294">
        <v>33</v>
      </c>
      <c r="E995" s="294"/>
      <c r="F995" s="294"/>
      <c r="G995" s="294">
        <v>33</v>
      </c>
      <c r="H995" s="294"/>
      <c r="I995" s="294"/>
      <c r="J995" s="294"/>
      <c r="K995" s="294"/>
      <c r="L995" s="294"/>
      <c r="M995" s="294"/>
      <c r="N995" s="294"/>
      <c r="O995" s="294"/>
      <c r="P995" s="294"/>
      <c r="Q995" s="294"/>
      <c r="R995" s="294"/>
      <c r="S995" s="294"/>
      <c r="T995" s="294"/>
      <c r="U995" s="294"/>
      <c r="V995" s="294"/>
      <c r="W995" s="294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  <c r="BA995" s="286"/>
      <c r="BB995" s="286"/>
      <c r="BC995" s="286"/>
    </row>
    <row r="996" spans="1:57" s="285" customFormat="1" ht="13.5" customHeight="1">
      <c r="A996" s="297"/>
      <c r="B996" s="296">
        <v>43828</v>
      </c>
      <c r="C996" s="295" t="s">
        <v>40</v>
      </c>
      <c r="D996" s="294">
        <v>32.299999999999997</v>
      </c>
      <c r="E996" s="294"/>
      <c r="F996" s="294"/>
      <c r="G996" s="294">
        <v>32.299999999999997</v>
      </c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294"/>
      <c r="V996" s="294"/>
      <c r="W996" s="294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  <c r="BA996" s="286"/>
      <c r="BB996" s="286"/>
      <c r="BC996" s="286"/>
    </row>
    <row r="997" spans="1:57" s="285" customFormat="1" ht="13.5" customHeight="1">
      <c r="A997" s="297"/>
      <c r="B997" s="296"/>
      <c r="C997" s="295"/>
      <c r="D997" s="294"/>
      <c r="E997" s="294"/>
      <c r="F997" s="294"/>
      <c r="G997" s="294"/>
      <c r="H997" s="294"/>
      <c r="I997" s="294"/>
      <c r="J997" s="294"/>
      <c r="K997" s="294"/>
      <c r="L997" s="294"/>
      <c r="M997" s="294"/>
      <c r="N997" s="294"/>
      <c r="O997" s="294"/>
      <c r="P997" s="294"/>
      <c r="Q997" s="294"/>
      <c r="R997" s="294"/>
      <c r="S997" s="294"/>
      <c r="T997" s="294"/>
      <c r="U997" s="294"/>
      <c r="V997" s="294"/>
      <c r="W997" s="294"/>
      <c r="X997" s="286"/>
      <c r="Y997" s="286"/>
      <c r="Z997" s="286"/>
      <c r="AA997" s="286"/>
      <c r="AB997" s="286"/>
      <c r="AC997" s="286"/>
      <c r="AD997" s="286"/>
      <c r="AE997" s="286"/>
      <c r="AF997" s="286"/>
      <c r="AG997" s="286"/>
      <c r="AH997" s="286"/>
      <c r="AI997" s="286"/>
      <c r="AJ997" s="286"/>
      <c r="AK997" s="286"/>
      <c r="AL997" s="286"/>
      <c r="AM997" s="286"/>
      <c r="AN997" s="286"/>
      <c r="AO997" s="286"/>
      <c r="AP997" s="286"/>
      <c r="AQ997" s="286"/>
      <c r="AR997" s="286"/>
      <c r="AS997" s="286"/>
      <c r="AT997" s="286"/>
      <c r="AU997" s="286"/>
      <c r="AV997" s="286"/>
      <c r="AW997" s="286"/>
      <c r="AX997" s="286"/>
      <c r="AY997" s="286"/>
      <c r="AZ997" s="286"/>
      <c r="BA997" s="286"/>
      <c r="BB997" s="286"/>
      <c r="BC997" s="286"/>
    </row>
    <row r="998" spans="1:57" s="285" customFormat="1" ht="13.5" customHeight="1">
      <c r="A998" s="297"/>
      <c r="B998" s="296"/>
      <c r="C998" s="295"/>
      <c r="D998" s="294"/>
      <c r="E998" s="294"/>
      <c r="F998" s="294"/>
      <c r="G998" s="294"/>
      <c r="H998" s="294"/>
      <c r="I998" s="294"/>
      <c r="J998" s="294"/>
      <c r="K998" s="294"/>
      <c r="L998" s="294"/>
      <c r="M998" s="294"/>
      <c r="N998" s="294"/>
      <c r="O998" s="294"/>
      <c r="P998" s="294"/>
      <c r="Q998" s="294"/>
      <c r="R998" s="294"/>
      <c r="S998" s="294"/>
      <c r="T998" s="294"/>
      <c r="U998" s="294"/>
      <c r="V998" s="294"/>
      <c r="W998" s="294"/>
      <c r="X998" s="286"/>
      <c r="Y998" s="286"/>
      <c r="Z998" s="286"/>
      <c r="AA998" s="286"/>
      <c r="AB998" s="286"/>
      <c r="AC998" s="286"/>
      <c r="AD998" s="286"/>
      <c r="AE998" s="286"/>
      <c r="AF998" s="286"/>
      <c r="AG998" s="286"/>
      <c r="AH998" s="286"/>
      <c r="AI998" s="286"/>
      <c r="AJ998" s="286"/>
      <c r="AK998" s="286"/>
      <c r="AL998" s="286"/>
      <c r="AM998" s="286"/>
      <c r="AN998" s="286"/>
      <c r="AO998" s="286"/>
      <c r="AP998" s="286"/>
      <c r="AQ998" s="286"/>
      <c r="AR998" s="286"/>
      <c r="AS998" s="286"/>
      <c r="AT998" s="286"/>
      <c r="AU998" s="286"/>
      <c r="AV998" s="286"/>
      <c r="AW998" s="286"/>
      <c r="AX998" s="286"/>
      <c r="AY998" s="286"/>
      <c r="AZ998" s="286"/>
      <c r="BA998" s="286"/>
      <c r="BB998" s="286"/>
      <c r="BC998" s="286"/>
    </row>
    <row r="999" spans="1:57" s="285" customFormat="1" ht="13.5" customHeight="1">
      <c r="A999" s="297"/>
      <c r="B999" s="296"/>
      <c r="C999" s="295"/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294"/>
      <c r="V999" s="294"/>
      <c r="W999" s="294"/>
      <c r="X999" s="286"/>
      <c r="Y999" s="286"/>
      <c r="Z999" s="286"/>
      <c r="AA999" s="286"/>
      <c r="AB999" s="286"/>
      <c r="AC999" s="286"/>
      <c r="AD999" s="286"/>
      <c r="AE999" s="286"/>
      <c r="AF999" s="286"/>
      <c r="AG999" s="286"/>
      <c r="AH999" s="286"/>
      <c r="AI999" s="286"/>
      <c r="AJ999" s="286"/>
      <c r="AK999" s="286"/>
      <c r="AL999" s="286"/>
      <c r="AM999" s="286"/>
      <c r="AN999" s="286"/>
      <c r="AO999" s="286"/>
      <c r="AP999" s="286"/>
      <c r="AQ999" s="286"/>
      <c r="AR999" s="286"/>
      <c r="AS999" s="286"/>
      <c r="AT999" s="286"/>
      <c r="AU999" s="286"/>
      <c r="AV999" s="286"/>
      <c r="AW999" s="286"/>
      <c r="AX999" s="286"/>
      <c r="AY999" s="286"/>
      <c r="AZ999" s="286"/>
      <c r="BA999" s="286"/>
      <c r="BB999" s="286"/>
      <c r="BC999" s="286"/>
    </row>
    <row r="1000" spans="1:57" s="285" customFormat="1" ht="13.5" customHeight="1">
      <c r="A1000" s="297"/>
      <c r="B1000" s="296"/>
      <c r="C1000" s="295"/>
      <c r="D1000" s="294"/>
      <c r="E1000" s="294"/>
      <c r="F1000" s="294"/>
      <c r="G1000" s="294"/>
      <c r="H1000" s="294"/>
      <c r="I1000" s="294"/>
      <c r="J1000" s="294"/>
      <c r="K1000" s="294"/>
      <c r="L1000" s="294"/>
      <c r="M1000" s="294"/>
      <c r="N1000" s="294"/>
      <c r="O1000" s="294"/>
      <c r="P1000" s="294"/>
      <c r="Q1000" s="294"/>
      <c r="R1000" s="294"/>
      <c r="S1000" s="294"/>
      <c r="T1000" s="294"/>
      <c r="U1000" s="294"/>
      <c r="V1000" s="294"/>
      <c r="W1000" s="294"/>
      <c r="X1000" s="286"/>
      <c r="Y1000" s="286"/>
      <c r="Z1000" s="286"/>
      <c r="AA1000" s="286"/>
      <c r="AB1000" s="286"/>
      <c r="AC1000" s="286"/>
      <c r="AD1000" s="286"/>
      <c r="AE1000" s="286"/>
      <c r="AF1000" s="286"/>
      <c r="AG1000" s="286"/>
      <c r="AH1000" s="286"/>
      <c r="AI1000" s="286"/>
      <c r="AJ1000" s="286"/>
      <c r="AK1000" s="286"/>
      <c r="AL1000" s="286"/>
      <c r="AM1000" s="286"/>
      <c r="AN1000" s="286"/>
      <c r="AO1000" s="286"/>
      <c r="AP1000" s="286"/>
      <c r="AQ1000" s="286"/>
      <c r="AR1000" s="286"/>
      <c r="AS1000" s="286"/>
      <c r="AT1000" s="286"/>
      <c r="AU1000" s="286"/>
      <c r="AV1000" s="286"/>
      <c r="AW1000" s="286"/>
      <c r="AX1000" s="286"/>
      <c r="AY1000" s="286"/>
      <c r="AZ1000" s="286"/>
      <c r="BA1000" s="286"/>
      <c r="BB1000" s="286"/>
      <c r="BC1000" s="286"/>
    </row>
    <row r="1001" spans="1:57" s="285" customFormat="1" ht="13.5" customHeight="1">
      <c r="A1001" s="297"/>
      <c r="B1001" s="296"/>
      <c r="C1001" s="295" t="s">
        <v>428</v>
      </c>
      <c r="D1001" s="294"/>
      <c r="E1001" s="294"/>
      <c r="F1001" s="294"/>
      <c r="G1001" s="294"/>
      <c r="H1001" s="294"/>
      <c r="I1001" s="294"/>
      <c r="J1001" s="294"/>
      <c r="K1001" s="294"/>
      <c r="L1001" s="294"/>
      <c r="M1001" s="294"/>
      <c r="N1001" s="294"/>
      <c r="O1001" s="294"/>
      <c r="P1001" s="294"/>
      <c r="Q1001" s="294"/>
      <c r="R1001" s="294"/>
      <c r="S1001" s="294"/>
      <c r="T1001" s="294"/>
      <c r="U1001" s="294"/>
      <c r="V1001" s="294"/>
      <c r="W1001" s="294"/>
      <c r="X1001" s="286"/>
      <c r="Y1001" s="286"/>
      <c r="Z1001" s="286"/>
      <c r="AA1001" s="286"/>
      <c r="AB1001" s="286"/>
      <c r="AC1001" s="286"/>
      <c r="AD1001" s="286"/>
      <c r="AE1001" s="286"/>
      <c r="AF1001" s="286"/>
      <c r="AG1001" s="286"/>
      <c r="AH1001" s="286"/>
      <c r="AI1001" s="286"/>
      <c r="AJ1001" s="286"/>
      <c r="AK1001" s="286"/>
      <c r="AL1001" s="286"/>
      <c r="AM1001" s="286"/>
      <c r="AN1001" s="286"/>
      <c r="AO1001" s="286"/>
      <c r="AP1001" s="286"/>
      <c r="AQ1001" s="286"/>
      <c r="AR1001" s="286"/>
      <c r="AS1001" s="286"/>
      <c r="AT1001" s="286"/>
      <c r="AU1001" s="286"/>
      <c r="AV1001" s="286"/>
      <c r="AW1001" s="286"/>
      <c r="AX1001" s="286"/>
      <c r="AY1001" s="286"/>
      <c r="AZ1001" s="286"/>
      <c r="BA1001" s="286"/>
      <c r="BB1001" s="286"/>
      <c r="BC1001" s="286"/>
    </row>
    <row r="1002" spans="1:57" s="290" customFormat="1" ht="13.5" customHeight="1">
      <c r="A1002" s="293"/>
      <c r="B1002" s="3023" t="str">
        <f>N1</f>
        <v>december</v>
      </c>
      <c r="C1002" s="3024"/>
      <c r="D1002" s="292">
        <f t="shared" ref="D1002:W1002" si="23">SUM(D902:D1001)</f>
        <v>-1273.6600000000028</v>
      </c>
      <c r="E1002" s="292">
        <f t="shared" si="23"/>
        <v>2024.63</v>
      </c>
      <c r="F1002" s="292">
        <f t="shared" si="23"/>
        <v>2001.9499999999998</v>
      </c>
      <c r="G1002" s="292">
        <f t="shared" si="23"/>
        <v>2710.55</v>
      </c>
      <c r="H1002" s="292">
        <f t="shared" si="23"/>
        <v>1017.35</v>
      </c>
      <c r="I1002" s="292">
        <f t="shared" si="23"/>
        <v>45.25</v>
      </c>
      <c r="J1002" s="292">
        <f t="shared" si="23"/>
        <v>1312</v>
      </c>
      <c r="K1002" s="292">
        <f t="shared" si="23"/>
        <v>0</v>
      </c>
      <c r="L1002" s="292">
        <f t="shared" si="23"/>
        <v>393.4</v>
      </c>
      <c r="M1002" s="292">
        <f t="shared" si="23"/>
        <v>0</v>
      </c>
      <c r="N1002" s="292">
        <f t="shared" si="23"/>
        <v>1040</v>
      </c>
      <c r="O1002" s="292">
        <f t="shared" si="23"/>
        <v>1862.8000000000002</v>
      </c>
      <c r="P1002" s="292">
        <f t="shared" si="23"/>
        <v>373</v>
      </c>
      <c r="Q1002" s="292">
        <f t="shared" si="23"/>
        <v>611</v>
      </c>
      <c r="R1002" s="292">
        <f t="shared" si="23"/>
        <v>0</v>
      </c>
      <c r="S1002" s="292">
        <f t="shared" si="23"/>
        <v>0</v>
      </c>
      <c r="T1002" s="292">
        <f t="shared" si="23"/>
        <v>3381.41</v>
      </c>
      <c r="U1002" s="292">
        <f t="shared" si="23"/>
        <v>0</v>
      </c>
      <c r="V1002" s="292">
        <f t="shared" si="23"/>
        <v>1000</v>
      </c>
      <c r="W1002" s="292">
        <f t="shared" si="23"/>
        <v>1000</v>
      </c>
      <c r="X1002" s="291"/>
      <c r="Y1002" s="291"/>
      <c r="Z1002" s="291"/>
      <c r="AA1002" s="291"/>
      <c r="AB1002" s="291"/>
      <c r="AC1002" s="291"/>
      <c r="AD1002" s="291"/>
      <c r="AE1002" s="291"/>
      <c r="AF1002" s="291"/>
      <c r="AG1002" s="291"/>
      <c r="AH1002" s="291"/>
      <c r="AI1002" s="291"/>
      <c r="AJ1002" s="291"/>
      <c r="AK1002" s="291"/>
      <c r="AL1002" s="291"/>
      <c r="AM1002" s="291"/>
      <c r="AN1002" s="291"/>
      <c r="AO1002" s="291"/>
      <c r="AP1002" s="291"/>
      <c r="AQ1002" s="291"/>
      <c r="AR1002" s="291"/>
      <c r="AS1002" s="291"/>
      <c r="AT1002" s="291"/>
      <c r="AU1002" s="291"/>
      <c r="AV1002" s="291"/>
      <c r="AW1002" s="291"/>
      <c r="AX1002" s="291"/>
      <c r="AY1002" s="291"/>
      <c r="AZ1002" s="291"/>
      <c r="BA1002" s="291"/>
      <c r="BB1002" s="291"/>
      <c r="BC1002" s="291"/>
    </row>
    <row r="1003" spans="1:57" s="285" customFormat="1" ht="12" customHeight="1">
      <c r="A1003" s="289"/>
      <c r="B1003" s="288" t="str">
        <f>B1002</f>
        <v>december</v>
      </c>
      <c r="C1003" s="287" t="s">
        <v>36</v>
      </c>
      <c r="D1003" s="287">
        <f t="shared" ref="D1003:W1003" si="24">SUM(D1004:D1004)</f>
        <v>0</v>
      </c>
      <c r="E1003" s="287">
        <f t="shared" si="24"/>
        <v>0</v>
      </c>
      <c r="F1003" s="287">
        <f t="shared" si="24"/>
        <v>0</v>
      </c>
      <c r="G1003" s="287">
        <f t="shared" si="24"/>
        <v>0</v>
      </c>
      <c r="H1003" s="287">
        <f t="shared" si="24"/>
        <v>0</v>
      </c>
      <c r="I1003" s="287">
        <f t="shared" si="24"/>
        <v>0</v>
      </c>
      <c r="J1003" s="287">
        <f t="shared" si="24"/>
        <v>0</v>
      </c>
      <c r="K1003" s="287">
        <f t="shared" si="24"/>
        <v>0</v>
      </c>
      <c r="L1003" s="287">
        <f t="shared" si="24"/>
        <v>0</v>
      </c>
      <c r="M1003" s="287">
        <f t="shared" si="24"/>
        <v>0</v>
      </c>
      <c r="N1003" s="287">
        <f t="shared" si="24"/>
        <v>0</v>
      </c>
      <c r="O1003" s="287">
        <f t="shared" si="24"/>
        <v>0</v>
      </c>
      <c r="P1003" s="287">
        <f t="shared" si="24"/>
        <v>0</v>
      </c>
      <c r="Q1003" s="287">
        <f t="shared" si="24"/>
        <v>0</v>
      </c>
      <c r="R1003" s="287">
        <f t="shared" si="24"/>
        <v>0</v>
      </c>
      <c r="S1003" s="287">
        <f t="shared" si="24"/>
        <v>0</v>
      </c>
      <c r="T1003" s="287">
        <f t="shared" si="24"/>
        <v>0</v>
      </c>
      <c r="U1003" s="287">
        <f t="shared" si="24"/>
        <v>0</v>
      </c>
      <c r="V1003" s="287">
        <f t="shared" si="24"/>
        <v>0</v>
      </c>
      <c r="W1003" s="287">
        <f t="shared" si="24"/>
        <v>0</v>
      </c>
      <c r="X1003" s="286"/>
      <c r="Y1003" s="286"/>
      <c r="Z1003" s="286"/>
      <c r="AA1003" s="286"/>
      <c r="AB1003" s="286"/>
      <c r="AC1003" s="286"/>
      <c r="AD1003" s="286"/>
      <c r="AE1003" s="286"/>
      <c r="AF1003" s="286"/>
      <c r="AG1003" s="286"/>
      <c r="AH1003" s="286"/>
      <c r="AI1003" s="286"/>
      <c r="AJ1003" s="286"/>
      <c r="AK1003" s="286"/>
      <c r="AL1003" s="286"/>
      <c r="AM1003" s="286"/>
      <c r="AN1003" s="286"/>
      <c r="AO1003" s="286"/>
      <c r="AP1003" s="286"/>
      <c r="AQ1003" s="286"/>
      <c r="AR1003" s="286"/>
      <c r="AS1003" s="286"/>
      <c r="AT1003" s="286"/>
      <c r="AU1003" s="286"/>
      <c r="AV1003" s="286"/>
      <c r="AW1003" s="286"/>
      <c r="AX1003" s="286"/>
      <c r="AY1003" s="286"/>
      <c r="AZ1003" s="286"/>
      <c r="BA1003" s="286"/>
      <c r="BB1003" s="286"/>
      <c r="BC1003" s="286"/>
      <c r="BD1003" s="286"/>
      <c r="BE1003" s="286"/>
    </row>
    <row r="1004" spans="1:57" s="285" customFormat="1" ht="12" customHeight="1">
      <c r="A1004" s="289"/>
      <c r="B1004" s="288"/>
      <c r="C1004" s="287"/>
      <c r="D1004" s="287"/>
      <c r="E1004" s="287"/>
      <c r="F1004" s="287"/>
      <c r="G1004" s="287"/>
      <c r="H1004" s="287"/>
      <c r="I1004" s="287"/>
      <c r="J1004" s="287"/>
      <c r="K1004" s="287"/>
      <c r="L1004" s="287"/>
      <c r="M1004" s="287"/>
      <c r="N1004" s="287"/>
      <c r="O1004" s="287"/>
      <c r="P1004" s="287"/>
      <c r="Q1004" s="287"/>
      <c r="R1004" s="287"/>
      <c r="S1004" s="287"/>
      <c r="T1004" s="287"/>
      <c r="U1004" s="287"/>
      <c r="V1004" s="287"/>
      <c r="W1004" s="287"/>
      <c r="X1004" s="286"/>
      <c r="Y1004" s="286"/>
      <c r="Z1004" s="286"/>
      <c r="AA1004" s="286"/>
      <c r="AB1004" s="286"/>
      <c r="AC1004" s="286"/>
      <c r="AD1004" s="286"/>
      <c r="AE1004" s="286"/>
      <c r="AF1004" s="286"/>
      <c r="AG1004" s="286"/>
      <c r="AH1004" s="286"/>
      <c r="AI1004" s="286"/>
      <c r="AJ1004" s="286"/>
      <c r="AK1004" s="286"/>
      <c r="AL1004" s="286"/>
      <c r="AM1004" s="286"/>
      <c r="AN1004" s="286"/>
      <c r="AO1004" s="286"/>
      <c r="AP1004" s="286"/>
      <c r="AQ1004" s="286"/>
      <c r="AR1004" s="286"/>
      <c r="AS1004" s="286"/>
      <c r="AT1004" s="286"/>
      <c r="AU1004" s="286"/>
      <c r="AV1004" s="286"/>
      <c r="AW1004" s="286"/>
      <c r="AX1004" s="286"/>
      <c r="AY1004" s="286"/>
      <c r="AZ1004" s="286"/>
      <c r="BA1004" s="286"/>
      <c r="BB1004" s="286"/>
      <c r="BC1004" s="286"/>
      <c r="BD1004" s="286"/>
      <c r="BE1004" s="286"/>
    </row>
    <row r="1005" spans="1:57" ht="13.8">
      <c r="B1005" s="236" t="s">
        <v>33</v>
      </c>
      <c r="C1005" s="234">
        <v>205</v>
      </c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43"/>
    </row>
    <row r="1006" spans="1:57" ht="13.8">
      <c r="B1006" s="236" t="s">
        <v>6</v>
      </c>
      <c r="C1006" s="234">
        <v>9780</v>
      </c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13"/>
    </row>
    <row r="1007" spans="1:57" ht="13.8">
      <c r="B1007" s="236" t="s">
        <v>2</v>
      </c>
      <c r="C1007" s="234">
        <v>3458</v>
      </c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13"/>
    </row>
    <row r="1008" spans="1:57" ht="13.8">
      <c r="B1008" s="236" t="s">
        <v>1</v>
      </c>
      <c r="C1008" s="234">
        <f>(C1006-C1007)*0.39</f>
        <v>2465.58</v>
      </c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13"/>
    </row>
    <row r="1009" spans="1:23" ht="14.4" thickBot="1">
      <c r="B1009" s="242" t="s">
        <v>5</v>
      </c>
      <c r="C1009" s="241">
        <v>7315</v>
      </c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3"/>
    </row>
    <row r="1010" spans="1:23" ht="13.8">
      <c r="B1010" s="236" t="s">
        <v>4</v>
      </c>
      <c r="C1010" s="234">
        <f>C1015</f>
        <v>11306</v>
      </c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13"/>
    </row>
    <row r="1011" spans="1:23" ht="13.8">
      <c r="B1011" s="236" t="s">
        <v>3</v>
      </c>
      <c r="C1011" s="234">
        <v>16044</v>
      </c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13"/>
    </row>
    <row r="1012" spans="1:23" ht="13.8">
      <c r="B1012" s="236" t="s">
        <v>2</v>
      </c>
      <c r="C1012" s="234">
        <v>4042</v>
      </c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13"/>
    </row>
    <row r="1013" spans="1:23" ht="13.8">
      <c r="B1013" s="236" t="s">
        <v>1</v>
      </c>
      <c r="C1013" s="234">
        <v>4644</v>
      </c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13"/>
    </row>
    <row r="1014" spans="1:23" ht="13.8">
      <c r="B1014" s="236" t="s">
        <v>1</v>
      </c>
      <c r="C1014" s="234">
        <v>94</v>
      </c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13"/>
    </row>
    <row r="1015" spans="1:23" ht="14.4" thickBot="1">
      <c r="B1015" s="242" t="s">
        <v>0</v>
      </c>
      <c r="C1015" s="241">
        <f>C1011-C1013-C1014</f>
        <v>11306</v>
      </c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3"/>
    </row>
    <row r="1016" spans="1:23" ht="13.8">
      <c r="B1016" s="236" t="s">
        <v>265</v>
      </c>
      <c r="C1016" s="234">
        <f>443.16+125.24+34</f>
        <v>602.4</v>
      </c>
      <c r="D1016" s="234">
        <v>7939.64</v>
      </c>
      <c r="E1016" s="234"/>
      <c r="F1016" s="234"/>
      <c r="G1016" s="234"/>
      <c r="H1016" s="234"/>
      <c r="I1016" s="234"/>
      <c r="J1016" s="234"/>
      <c r="K1016" s="234"/>
      <c r="L1016" s="234">
        <v>4078.93</v>
      </c>
      <c r="M1016" s="234">
        <f>L$1016-M$1018</f>
        <v>3570.7350067999996</v>
      </c>
      <c r="N1016" s="234">
        <f>M$1016-N$1018</f>
        <v>3055.0390555003678</v>
      </c>
      <c r="O1016" s="234">
        <f>N$1016-O$1018</f>
        <v>2531.7314319595534</v>
      </c>
      <c r="P1016" s="13"/>
      <c r="Q1016" s="274">
        <v>1.4760000000000001E-2</v>
      </c>
    </row>
    <row r="1017" spans="1:23" s="277" customFormat="1" ht="13.8">
      <c r="B1017" s="284"/>
      <c r="C1017" s="283"/>
      <c r="D1017" s="282"/>
      <c r="E1017" s="282"/>
      <c r="F1017" s="282"/>
      <c r="G1017" s="282"/>
      <c r="H1017" s="282"/>
      <c r="I1017" s="282"/>
      <c r="J1017" s="282"/>
      <c r="K1017" s="282"/>
      <c r="L1017" s="282"/>
      <c r="M1017" s="282">
        <f>L1016*$Q$1016+34</f>
        <v>94.205006800000007</v>
      </c>
      <c r="N1017" s="282">
        <f>M1016*$Q$1016+34</f>
        <v>86.704048700367991</v>
      </c>
      <c r="O1017" s="282">
        <f>N1016*$Q$1016+34</f>
        <v>79.092376459185431</v>
      </c>
      <c r="P1017" s="278"/>
    </row>
    <row r="1018" spans="1:23" s="277" customFormat="1" ht="13.8">
      <c r="B1018" s="281"/>
      <c r="C1018" s="280"/>
      <c r="D1018" s="279"/>
      <c r="E1018" s="279"/>
      <c r="F1018" s="279"/>
      <c r="G1018" s="279"/>
      <c r="H1018" s="279"/>
      <c r="I1018" s="279"/>
      <c r="J1018" s="279"/>
      <c r="K1018" s="279"/>
      <c r="L1018" s="279"/>
      <c r="M1018" s="279">
        <f>602.4-M1017</f>
        <v>508.1949932</v>
      </c>
      <c r="N1018" s="279">
        <f>602.4-N1017</f>
        <v>515.69595129963204</v>
      </c>
      <c r="O1018" s="279">
        <f>602.4-O1017</f>
        <v>523.30762354081457</v>
      </c>
      <c r="P1018" s="278"/>
    </row>
    <row r="1019" spans="1:23" ht="13.8">
      <c r="B1019" s="236" t="s">
        <v>264</v>
      </c>
      <c r="C1019" s="234">
        <f>490+33</f>
        <v>523</v>
      </c>
      <c r="D1019" s="234">
        <v>7615.21</v>
      </c>
      <c r="E1019" s="234"/>
      <c r="F1019" s="234"/>
      <c r="G1019" s="234"/>
      <c r="H1019" s="234"/>
      <c r="I1019" s="234"/>
      <c r="J1019" s="234"/>
      <c r="K1019" s="234"/>
      <c r="L1019" s="234">
        <v>5617.23</v>
      </c>
      <c r="M1019" s="234">
        <f>L$1019-(490-(L$1019*$Q$1019)+33)</f>
        <v>5175.1499616940991</v>
      </c>
      <c r="N1019" s="234">
        <f>M$1019-(490-(M$1019*$Q$1019)+33)</f>
        <v>4726.7014642427766</v>
      </c>
      <c r="O1019" s="234">
        <f>N$1019-(490-(N$1019*$Q$1019)+33)</f>
        <v>4271.7927657251748</v>
      </c>
      <c r="P1019" s="13"/>
      <c r="Q1019" s="274">
        <v>1.4405670000000001E-2</v>
      </c>
    </row>
    <row r="1020" spans="1:23" s="277" customFormat="1" ht="13.8">
      <c r="B1020" s="284"/>
      <c r="C1020" s="283"/>
      <c r="D1020" s="282"/>
      <c r="E1020" s="282"/>
      <c r="F1020" s="282"/>
      <c r="G1020" s="282"/>
      <c r="H1020" s="282"/>
      <c r="I1020" s="282"/>
      <c r="J1020" s="282"/>
      <c r="K1020" s="282"/>
      <c r="L1020" s="282"/>
      <c r="M1020" s="282">
        <f>(L1019*$Q$1019)+33</f>
        <v>113.9199616941</v>
      </c>
      <c r="N1020" s="282">
        <f>M1019*$Q$1019+33</f>
        <v>107.55150254867783</v>
      </c>
      <c r="O1020" s="282">
        <f>N1019*$Q$1019+33</f>
        <v>101.09130148239824</v>
      </c>
      <c r="P1020" s="278"/>
    </row>
    <row r="1021" spans="1:23" s="277" customFormat="1" ht="13.8">
      <c r="B1021" s="281"/>
      <c r="C1021" s="280"/>
      <c r="D1021" s="279"/>
      <c r="E1021" s="279"/>
      <c r="F1021" s="279"/>
      <c r="G1021" s="279"/>
      <c r="H1021" s="279"/>
      <c r="I1021" s="279"/>
      <c r="J1021" s="279"/>
      <c r="K1021" s="279"/>
      <c r="L1021" s="279"/>
      <c r="M1021" s="279">
        <f>490-M1020</f>
        <v>376.08003830590002</v>
      </c>
      <c r="N1021" s="279">
        <f>490-N1020</f>
        <v>382.44849745132217</v>
      </c>
      <c r="O1021" s="279">
        <f>490-O1020</f>
        <v>388.90869851760175</v>
      </c>
      <c r="P1021" s="278"/>
    </row>
    <row r="1022" spans="1:23" ht="13.8">
      <c r="A1022" s="273"/>
      <c r="B1022" s="236" t="s">
        <v>182</v>
      </c>
      <c r="C1022" s="234">
        <v>284</v>
      </c>
      <c r="D1022" s="234">
        <v>6456.8</v>
      </c>
      <c r="E1022" s="234">
        <v>6318.71</v>
      </c>
      <c r="F1022" s="234"/>
      <c r="G1022" s="234"/>
      <c r="H1022" s="234"/>
      <c r="I1022" s="234"/>
      <c r="J1022" s="234"/>
      <c r="K1022" s="234"/>
      <c r="N1022" s="234">
        <v>5112.49</v>
      </c>
      <c r="O1022" s="234">
        <f>N1022-264</f>
        <v>4848.49</v>
      </c>
      <c r="P1022" s="13"/>
      <c r="Q1022" s="273"/>
      <c r="R1022" s="273"/>
      <c r="S1022" s="273"/>
      <c r="T1022" s="273"/>
      <c r="U1022" s="273"/>
      <c r="V1022" s="273"/>
      <c r="W1022" s="273"/>
    </row>
    <row r="1023" spans="1:23" ht="13.8">
      <c r="A1023" s="273"/>
      <c r="B1023" s="110" t="s">
        <v>296</v>
      </c>
      <c r="C1023" s="109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4"/>
      <c r="P1023" s="13"/>
      <c r="Q1023" s="273"/>
      <c r="R1023" s="273"/>
      <c r="S1023" s="273"/>
      <c r="T1023" s="273"/>
      <c r="U1023" s="273"/>
      <c r="V1023" s="273"/>
      <c r="W1023" s="273"/>
    </row>
    <row r="1024" spans="1:23" ht="13.8">
      <c r="A1024" s="273"/>
      <c r="B1024" s="110" t="s">
        <v>296</v>
      </c>
      <c r="C1024" s="109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4"/>
      <c r="P1024" s="13"/>
      <c r="Q1024" s="273"/>
      <c r="R1024" s="273"/>
      <c r="S1024" s="273"/>
      <c r="T1024" s="273"/>
      <c r="U1024" s="273"/>
      <c r="V1024" s="273"/>
      <c r="W1024" s="273"/>
    </row>
    <row r="1025" spans="1:23" ht="13.8">
      <c r="A1025" s="273"/>
      <c r="B1025" s="110" t="s">
        <v>295</v>
      </c>
      <c r="C1025" s="109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4"/>
      <c r="P1025" s="13"/>
      <c r="Q1025" s="273"/>
      <c r="R1025" s="273"/>
      <c r="S1025" s="273"/>
      <c r="T1025" s="273"/>
      <c r="U1025" s="273"/>
      <c r="V1025" s="273"/>
      <c r="W1025" s="273"/>
    </row>
    <row r="1026" spans="1:23" ht="13.8">
      <c r="A1026" s="273"/>
      <c r="B1026" s="110" t="s">
        <v>294</v>
      </c>
      <c r="C1026" s="109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4"/>
      <c r="P1026" s="13"/>
      <c r="Q1026" s="273"/>
      <c r="R1026" s="273"/>
      <c r="S1026" s="273"/>
      <c r="T1026" s="273"/>
      <c r="U1026" s="273"/>
      <c r="V1026" s="273"/>
      <c r="W1026" s="273"/>
    </row>
    <row r="1027" spans="1:23" ht="13.8">
      <c r="A1027" s="273"/>
      <c r="B1027" s="110" t="s">
        <v>293</v>
      </c>
      <c r="C1027" s="109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4"/>
      <c r="P1027" s="13"/>
      <c r="Q1027" s="273"/>
      <c r="R1027" s="273"/>
      <c r="S1027" s="273"/>
      <c r="T1027" s="273"/>
      <c r="U1027" s="273"/>
      <c r="V1027" s="273"/>
      <c r="W1027" s="273"/>
    </row>
    <row r="1028" spans="1:23" ht="13.8">
      <c r="A1028" s="273"/>
      <c r="B1028" s="110" t="s">
        <v>292</v>
      </c>
      <c r="C1028" s="109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4"/>
      <c r="P1028" s="13"/>
      <c r="Q1028" s="273"/>
      <c r="R1028" s="273"/>
      <c r="S1028" s="273"/>
      <c r="T1028" s="273"/>
      <c r="U1028" s="273"/>
      <c r="V1028" s="273"/>
      <c r="W1028" s="273"/>
    </row>
    <row r="1029" spans="1:23" ht="13.8">
      <c r="A1029" s="273"/>
      <c r="B1029" s="110" t="s">
        <v>291</v>
      </c>
      <c r="C1029" s="109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4"/>
      <c r="P1029" s="13"/>
      <c r="Q1029" s="273"/>
      <c r="R1029" s="273"/>
      <c r="S1029" s="273"/>
      <c r="T1029" s="273"/>
      <c r="U1029" s="273"/>
      <c r="V1029" s="273"/>
      <c r="W1029" s="273"/>
    </row>
  </sheetData>
  <sheetProtection sheet="1" objects="1" scenarios="1" formatCells="0" formatColumns="0" formatRows="0" insertColumns="0" insertRows="0" insertHyperlinks="0" deleteColumns="0" deleteRows="0" sort="0" autoFilter="0" pivotTables="0"/>
  <mergeCells count="52">
    <mergeCell ref="O40:P40"/>
    <mergeCell ref="O41:P42"/>
    <mergeCell ref="Q41:Q42"/>
    <mergeCell ref="B527:C527"/>
    <mergeCell ref="B458:C458"/>
    <mergeCell ref="B375:C375"/>
    <mergeCell ref="B291:C291"/>
    <mergeCell ref="B226:C226"/>
    <mergeCell ref="B145:C145"/>
    <mergeCell ref="V41:V42"/>
    <mergeCell ref="W41:W42"/>
    <mergeCell ref="U41:U42"/>
    <mergeCell ref="T41:T42"/>
    <mergeCell ref="R41:R42"/>
    <mergeCell ref="S41:S42"/>
    <mergeCell ref="B1002:C1002"/>
    <mergeCell ref="B897:C897"/>
    <mergeCell ref="B608:C608"/>
    <mergeCell ref="B678:C678"/>
    <mergeCell ref="B749:C749"/>
    <mergeCell ref="B810:C810"/>
    <mergeCell ref="B901:C901"/>
    <mergeCell ref="R21:S21"/>
    <mergeCell ref="R26:S26"/>
    <mergeCell ref="R28:S28"/>
    <mergeCell ref="R27:S27"/>
    <mergeCell ref="R23:S23"/>
    <mergeCell ref="R24:S24"/>
    <mergeCell ref="R25:S25"/>
    <mergeCell ref="R22:S22"/>
    <mergeCell ref="R20:S20"/>
    <mergeCell ref="O9:P9"/>
    <mergeCell ref="R10:S10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  <mergeCell ref="R38:S38"/>
    <mergeCell ref="R34:S34"/>
    <mergeCell ref="R35:S35"/>
    <mergeCell ref="R37:S37"/>
    <mergeCell ref="R29:S29"/>
    <mergeCell ref="R30:S30"/>
    <mergeCell ref="R31:S31"/>
    <mergeCell ref="R33:S33"/>
    <mergeCell ref="R36:S36"/>
    <mergeCell ref="R32:S3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FD285"/>
  <sheetViews>
    <sheetView workbookViewId="0">
      <pane ySplit="14" topLeftCell="A138" activePane="bottomLeft" state="frozen"/>
      <selection activeCell="EZ40" sqref="EZ40"/>
      <selection pane="bottomLeft" activeCell="EZ40" sqref="EZ40"/>
    </sheetView>
  </sheetViews>
  <sheetFormatPr defaultColWidth="9.109375" defaultRowHeight="12" customHeight="1"/>
  <cols>
    <col min="1" max="1" width="11.109375" style="445" customWidth="1"/>
    <col min="2" max="2" width="2.88671875" style="445" customWidth="1"/>
    <col min="3" max="3" width="15.6640625" style="444" customWidth="1"/>
    <col min="4" max="4" width="12.33203125" style="443" customWidth="1"/>
    <col min="5" max="5" width="11.6640625" style="443" customWidth="1"/>
    <col min="6" max="6" width="11.44140625" style="443" customWidth="1"/>
    <col min="7" max="7" width="11.6640625" style="443" customWidth="1"/>
    <col min="8" max="8" width="11.6640625" style="441" customWidth="1"/>
    <col min="9" max="11" width="11.5546875" style="441" customWidth="1"/>
    <col min="12" max="13" width="11.5546875" style="442" customWidth="1"/>
    <col min="14" max="14" width="11.5546875" style="440" customWidth="1"/>
    <col min="15" max="18" width="11.5546875" style="441" customWidth="1"/>
    <col min="19" max="23" width="11.6640625" style="441" customWidth="1"/>
    <col min="24" max="31" width="9.109375" style="440"/>
    <col min="32" max="32" width="3.6640625" style="440" customWidth="1"/>
    <col min="33" max="202" width="9.109375" style="440"/>
    <col min="203" max="16384" width="9.109375" style="439"/>
  </cols>
  <sheetData>
    <row r="1" spans="1:16384" s="521" customFormat="1" ht="12" customHeight="1">
      <c r="A1" s="3034"/>
      <c r="B1" s="3034"/>
      <c r="C1" s="3034"/>
      <c r="D1" s="525" t="s">
        <v>600</v>
      </c>
      <c r="E1" s="528" t="s">
        <v>566</v>
      </c>
      <c r="F1" s="525" t="s">
        <v>599</v>
      </c>
      <c r="G1" s="527" t="s">
        <v>562</v>
      </c>
      <c r="H1" s="523" t="s">
        <v>424</v>
      </c>
      <c r="I1" s="523" t="s">
        <v>423</v>
      </c>
      <c r="J1" s="523" t="s">
        <v>598</v>
      </c>
      <c r="K1" s="526" t="s">
        <v>111</v>
      </c>
      <c r="L1" s="525" t="s">
        <v>420</v>
      </c>
      <c r="M1" s="525" t="s">
        <v>419</v>
      </c>
      <c r="N1" s="525" t="s">
        <v>128</v>
      </c>
      <c r="O1" s="524"/>
      <c r="P1" s="523" t="s">
        <v>597</v>
      </c>
      <c r="Q1" s="523"/>
      <c r="R1" s="523"/>
      <c r="S1" s="523"/>
      <c r="T1" s="523"/>
      <c r="U1" s="523"/>
      <c r="V1" s="523"/>
      <c r="W1" s="523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2"/>
      <c r="DC1" s="522"/>
      <c r="DD1" s="522"/>
      <c r="DE1" s="522"/>
      <c r="DF1" s="522"/>
      <c r="DG1" s="522"/>
      <c r="DH1" s="522"/>
      <c r="DI1" s="522"/>
      <c r="DJ1" s="522"/>
      <c r="DK1" s="522"/>
      <c r="DL1" s="522"/>
      <c r="DM1" s="522"/>
      <c r="DN1" s="522"/>
      <c r="DO1" s="522"/>
      <c r="DP1" s="522"/>
      <c r="DQ1" s="522"/>
      <c r="DR1" s="522"/>
      <c r="DS1" s="522"/>
      <c r="DT1" s="522"/>
      <c r="DU1" s="522"/>
      <c r="DV1" s="522"/>
      <c r="DW1" s="522"/>
      <c r="DX1" s="522"/>
      <c r="DY1" s="522"/>
      <c r="DZ1" s="522"/>
      <c r="EA1" s="522"/>
      <c r="EB1" s="522"/>
      <c r="EC1" s="522"/>
      <c r="ED1" s="522"/>
      <c r="EE1" s="522"/>
      <c r="EF1" s="522"/>
      <c r="EG1" s="522"/>
      <c r="EH1" s="522"/>
      <c r="EI1" s="522"/>
      <c r="EJ1" s="522"/>
      <c r="EK1" s="522"/>
      <c r="EL1" s="522"/>
      <c r="EM1" s="522"/>
      <c r="EN1" s="522"/>
      <c r="EO1" s="522"/>
      <c r="EP1" s="522"/>
      <c r="EQ1" s="522"/>
      <c r="ER1" s="522"/>
      <c r="ES1" s="522"/>
      <c r="ET1" s="522"/>
      <c r="EU1" s="522"/>
      <c r="EV1" s="522"/>
      <c r="EW1" s="522"/>
      <c r="EX1" s="522"/>
      <c r="EY1" s="522"/>
      <c r="EZ1" s="522"/>
      <c r="FA1" s="522"/>
      <c r="FB1" s="522"/>
      <c r="FC1" s="522"/>
      <c r="FD1" s="522"/>
      <c r="FE1" s="522"/>
      <c r="FF1" s="522"/>
      <c r="FG1" s="522"/>
      <c r="FH1" s="522"/>
      <c r="FI1" s="522"/>
      <c r="FJ1" s="522"/>
      <c r="FK1" s="522"/>
      <c r="FL1" s="522"/>
      <c r="FM1" s="522"/>
      <c r="FN1" s="522"/>
      <c r="FO1" s="522"/>
      <c r="FP1" s="522"/>
      <c r="FQ1" s="522"/>
      <c r="FR1" s="522"/>
      <c r="FS1" s="522"/>
      <c r="FT1" s="522"/>
      <c r="FU1" s="522"/>
      <c r="FV1" s="522"/>
      <c r="FW1" s="522"/>
      <c r="FX1" s="522"/>
      <c r="FY1" s="522"/>
      <c r="FZ1" s="522"/>
      <c r="GA1" s="522"/>
      <c r="GB1" s="522"/>
      <c r="GC1" s="522"/>
      <c r="GD1" s="522"/>
      <c r="GE1" s="522"/>
      <c r="GF1" s="522"/>
      <c r="GG1" s="522"/>
      <c r="GH1" s="522"/>
      <c r="GI1" s="522"/>
      <c r="GJ1" s="522"/>
      <c r="GK1" s="522"/>
      <c r="GL1" s="522"/>
      <c r="GM1" s="522"/>
      <c r="GN1" s="522"/>
      <c r="GO1" s="522"/>
      <c r="GP1" s="522"/>
      <c r="GQ1" s="522"/>
      <c r="GR1" s="522"/>
      <c r="GS1" s="522"/>
      <c r="GT1" s="522"/>
    </row>
    <row r="2" spans="1:16384" s="468" customFormat="1" ht="12" customHeight="1">
      <c r="A2" s="3035"/>
      <c r="B2" s="3035"/>
      <c r="C2" s="3035"/>
      <c r="D2" s="520" t="e">
        <f>SUM(D3:D14)</f>
        <v>#REF!</v>
      </c>
      <c r="E2" s="520">
        <f>SUM(E3:E14)</f>
        <v>255738</v>
      </c>
      <c r="F2" s="519" t="e">
        <f>SUM(F3:F14)</f>
        <v>#REF!</v>
      </c>
      <c r="G2" s="517"/>
      <c r="H2" s="517"/>
      <c r="I2" s="517"/>
      <c r="J2" s="517"/>
      <c r="K2" s="517"/>
      <c r="L2" s="517"/>
      <c r="M2" s="517"/>
      <c r="N2" s="517"/>
      <c r="O2" s="518">
        <f>DAY(A2)</f>
        <v>0</v>
      </c>
      <c r="P2" s="518">
        <f>MONTH(A2)</f>
        <v>1</v>
      </c>
      <c r="Q2" s="518">
        <f>YEAR(A2)</f>
        <v>1900</v>
      </c>
      <c r="R2" s="517"/>
      <c r="S2" s="517"/>
      <c r="T2" s="517"/>
      <c r="U2" s="517"/>
      <c r="V2" s="517"/>
      <c r="W2" s="517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/>
      <c r="AR2" s="469"/>
      <c r="AS2" s="469"/>
      <c r="AT2" s="469"/>
      <c r="AU2" s="469"/>
      <c r="AV2" s="469"/>
      <c r="AW2" s="469"/>
      <c r="AX2" s="469"/>
      <c r="AY2" s="469"/>
      <c r="AZ2" s="469"/>
      <c r="BA2" s="469"/>
      <c r="BB2" s="469"/>
      <c r="BC2" s="469"/>
      <c r="BD2" s="469"/>
      <c r="BE2" s="469"/>
      <c r="BF2" s="469"/>
      <c r="BG2" s="469"/>
      <c r="BH2" s="469"/>
      <c r="BI2" s="469"/>
      <c r="BJ2" s="469"/>
      <c r="BK2" s="469"/>
      <c r="BL2" s="469"/>
      <c r="BM2" s="469"/>
      <c r="BN2" s="469"/>
      <c r="BO2" s="469"/>
      <c r="BP2" s="469"/>
      <c r="BQ2" s="469"/>
      <c r="BR2" s="469"/>
      <c r="BS2" s="469"/>
      <c r="BT2" s="469"/>
      <c r="BU2" s="469"/>
      <c r="BV2" s="469"/>
      <c r="BW2" s="469"/>
      <c r="BX2" s="469"/>
      <c r="BY2" s="469"/>
      <c r="BZ2" s="469"/>
      <c r="CA2" s="469"/>
      <c r="CB2" s="469"/>
      <c r="CC2" s="469"/>
      <c r="CD2" s="469"/>
      <c r="CE2" s="469"/>
      <c r="CF2" s="469"/>
      <c r="CG2" s="469"/>
      <c r="CH2" s="469"/>
      <c r="CI2" s="469"/>
      <c r="CJ2" s="469"/>
      <c r="CK2" s="469"/>
      <c r="CL2" s="469"/>
      <c r="CM2" s="469"/>
      <c r="CN2" s="469"/>
      <c r="CO2" s="469"/>
      <c r="CP2" s="469"/>
      <c r="CQ2" s="469"/>
      <c r="CR2" s="469"/>
      <c r="CS2" s="469"/>
      <c r="CT2" s="469"/>
      <c r="CU2" s="469"/>
      <c r="CV2" s="469"/>
      <c r="CW2" s="469"/>
      <c r="CX2" s="469"/>
      <c r="CY2" s="469"/>
      <c r="CZ2" s="469"/>
      <c r="DA2" s="469"/>
      <c r="DB2" s="469"/>
      <c r="DC2" s="469"/>
      <c r="DD2" s="469"/>
      <c r="DE2" s="469"/>
      <c r="DF2" s="469"/>
      <c r="DG2" s="469"/>
      <c r="DH2" s="469"/>
      <c r="DI2" s="469"/>
      <c r="DJ2" s="469"/>
      <c r="DK2" s="469"/>
      <c r="DL2" s="469"/>
      <c r="DM2" s="469"/>
      <c r="DN2" s="469"/>
      <c r="DO2" s="469"/>
      <c r="DP2" s="469"/>
      <c r="DQ2" s="469"/>
      <c r="DR2" s="469"/>
      <c r="DS2" s="469"/>
      <c r="DT2" s="469"/>
      <c r="DU2" s="469"/>
      <c r="DV2" s="469"/>
      <c r="DW2" s="469"/>
      <c r="DX2" s="469"/>
      <c r="DY2" s="469"/>
      <c r="DZ2" s="469"/>
      <c r="EA2" s="469"/>
      <c r="EB2" s="469"/>
      <c r="EC2" s="469"/>
      <c r="ED2" s="469"/>
      <c r="EE2" s="469"/>
      <c r="EF2" s="469"/>
      <c r="EG2" s="469"/>
      <c r="EH2" s="469"/>
      <c r="EI2" s="469"/>
      <c r="EJ2" s="469"/>
      <c r="EK2" s="469"/>
      <c r="EL2" s="469"/>
      <c r="EM2" s="469"/>
      <c r="EN2" s="469"/>
      <c r="EO2" s="469"/>
      <c r="EP2" s="469"/>
      <c r="EQ2" s="469"/>
      <c r="ER2" s="469"/>
      <c r="ES2" s="469"/>
      <c r="ET2" s="469"/>
      <c r="EU2" s="469"/>
      <c r="EV2" s="469"/>
      <c r="EW2" s="469"/>
      <c r="EX2" s="469"/>
      <c r="EY2" s="469"/>
      <c r="EZ2" s="469"/>
      <c r="FA2" s="469"/>
      <c r="FB2" s="469"/>
      <c r="FC2" s="469"/>
      <c r="FD2" s="469"/>
      <c r="FE2" s="469"/>
      <c r="FF2" s="469"/>
      <c r="FG2" s="469"/>
      <c r="FH2" s="469"/>
      <c r="FI2" s="469"/>
      <c r="FJ2" s="469"/>
      <c r="FK2" s="469"/>
      <c r="FL2" s="469"/>
      <c r="FM2" s="469"/>
      <c r="FN2" s="469"/>
      <c r="FO2" s="469"/>
      <c r="FP2" s="469"/>
      <c r="FQ2" s="469"/>
      <c r="FR2" s="469"/>
      <c r="FS2" s="469"/>
      <c r="FT2" s="469"/>
      <c r="FU2" s="469"/>
      <c r="FV2" s="469"/>
      <c r="FW2" s="469"/>
      <c r="FX2" s="469"/>
      <c r="FY2" s="469"/>
      <c r="FZ2" s="469"/>
      <c r="GA2" s="469"/>
      <c r="GB2" s="469"/>
      <c r="GC2" s="469"/>
      <c r="GD2" s="469"/>
      <c r="GE2" s="469"/>
      <c r="GF2" s="469"/>
      <c r="GG2" s="469"/>
      <c r="GH2" s="469"/>
      <c r="GI2" s="469"/>
      <c r="GJ2" s="469"/>
      <c r="GK2" s="469"/>
      <c r="GL2" s="469"/>
      <c r="GM2" s="469"/>
      <c r="GN2" s="469"/>
      <c r="GO2" s="469"/>
      <c r="GP2" s="469"/>
      <c r="GQ2" s="469"/>
      <c r="GR2" s="469"/>
      <c r="GS2" s="469"/>
      <c r="GT2" s="469"/>
    </row>
    <row r="3" spans="1:16384" s="440" customFormat="1" ht="12" customHeight="1">
      <c r="A3" s="516" t="str">
        <f>A15</f>
        <v>JANUAR</v>
      </c>
      <c r="B3" s="516"/>
      <c r="C3" s="516"/>
      <c r="D3" s="501">
        <f>H15</f>
        <v>20782.039999999997</v>
      </c>
      <c r="E3" s="501">
        <f>I15</f>
        <v>20647</v>
      </c>
      <c r="F3" s="515">
        <f t="shared" ref="F3:F14" si="0">E3-D3</f>
        <v>-135.03999999999724</v>
      </c>
      <c r="G3" s="514"/>
      <c r="H3" s="498" t="s">
        <v>596</v>
      </c>
      <c r="I3" s="498" t="s">
        <v>4</v>
      </c>
      <c r="J3" s="498" t="s">
        <v>464</v>
      </c>
      <c r="K3" s="466" t="s">
        <v>125</v>
      </c>
      <c r="L3" s="466"/>
      <c r="M3" s="497"/>
      <c r="N3" s="496"/>
      <c r="O3" s="498" t="s">
        <v>591</v>
      </c>
      <c r="P3" s="498"/>
      <c r="Q3" s="498"/>
      <c r="R3" s="466"/>
      <c r="S3" s="466"/>
      <c r="T3" s="497"/>
      <c r="U3" s="496"/>
      <c r="V3" s="498"/>
      <c r="W3" s="498"/>
      <c r="X3" s="498"/>
      <c r="Y3" s="466"/>
      <c r="Z3" s="466"/>
      <c r="AA3" s="497"/>
      <c r="AB3" s="496"/>
      <c r="AC3" s="498"/>
      <c r="AD3" s="498"/>
      <c r="AE3" s="498"/>
      <c r="AF3" s="466"/>
      <c r="AG3" s="466"/>
      <c r="AH3" s="497"/>
      <c r="AI3" s="496"/>
      <c r="AJ3" s="498"/>
      <c r="AK3" s="498"/>
      <c r="AL3" s="498"/>
      <c r="AM3" s="466"/>
      <c r="AN3" s="466"/>
      <c r="AO3" s="497"/>
      <c r="AP3" s="496"/>
      <c r="AQ3" s="498"/>
      <c r="AR3" s="498"/>
      <c r="AS3" s="498"/>
      <c r="AT3" s="466"/>
      <c r="AU3" s="466"/>
      <c r="AV3" s="497"/>
      <c r="AW3" s="496"/>
      <c r="AX3" s="498"/>
      <c r="AY3" s="498"/>
      <c r="AZ3" s="498"/>
      <c r="BA3" s="466"/>
      <c r="BB3" s="466"/>
      <c r="BC3" s="497"/>
      <c r="BD3" s="496"/>
      <c r="BE3" s="498"/>
      <c r="BF3" s="498"/>
      <c r="BG3" s="498"/>
      <c r="BH3" s="466"/>
      <c r="BI3" s="466"/>
      <c r="BJ3" s="497"/>
      <c r="BK3" s="496"/>
      <c r="BL3" s="498"/>
      <c r="BM3" s="498"/>
      <c r="BN3" s="498"/>
      <c r="BO3" s="466"/>
      <c r="BP3" s="466"/>
      <c r="BQ3" s="497"/>
      <c r="BR3" s="496"/>
      <c r="BS3" s="498"/>
      <c r="BT3" s="498"/>
      <c r="BU3" s="498"/>
      <c r="BV3" s="466"/>
      <c r="BW3" s="466"/>
      <c r="BX3" s="497"/>
      <c r="BY3" s="496"/>
      <c r="BZ3" s="498"/>
      <c r="CA3" s="498"/>
      <c r="CB3" s="498"/>
      <c r="CC3" s="466"/>
      <c r="CD3" s="466"/>
      <c r="CE3" s="497"/>
      <c r="CF3" s="496"/>
      <c r="CG3" s="498"/>
      <c r="CH3" s="498"/>
      <c r="CI3" s="498"/>
      <c r="CJ3" s="466"/>
      <c r="CK3" s="466"/>
      <c r="CL3" s="497"/>
      <c r="CM3" s="496"/>
      <c r="CN3" s="498"/>
      <c r="CO3" s="498"/>
      <c r="CP3" s="498"/>
      <c r="CQ3" s="466"/>
      <c r="CR3" s="466"/>
      <c r="CS3" s="497"/>
      <c r="CT3" s="496"/>
      <c r="CU3" s="498"/>
      <c r="CV3" s="498"/>
      <c r="CW3" s="498"/>
      <c r="CX3" s="466"/>
      <c r="CY3" s="466"/>
      <c r="CZ3" s="497"/>
      <c r="DA3" s="496"/>
      <c r="DB3" s="498"/>
      <c r="DC3" s="498"/>
      <c r="DD3" s="498"/>
      <c r="DE3" s="466"/>
      <c r="DF3" s="466"/>
      <c r="DG3" s="497"/>
      <c r="DH3" s="496"/>
      <c r="DI3" s="498"/>
      <c r="DJ3" s="498"/>
      <c r="DK3" s="498"/>
      <c r="DL3" s="466"/>
      <c r="DM3" s="466"/>
      <c r="DN3" s="497"/>
      <c r="DO3" s="496"/>
      <c r="DP3" s="498"/>
      <c r="DQ3" s="498"/>
      <c r="DR3" s="498"/>
      <c r="DS3" s="466"/>
      <c r="DT3" s="466"/>
      <c r="DU3" s="497"/>
      <c r="DV3" s="496"/>
      <c r="DW3" s="498"/>
      <c r="DX3" s="498"/>
      <c r="DY3" s="498"/>
      <c r="DZ3" s="466"/>
      <c r="EA3" s="466"/>
      <c r="EB3" s="497"/>
      <c r="EC3" s="496"/>
      <c r="ED3" s="498"/>
      <c r="EE3" s="498"/>
      <c r="EF3" s="498"/>
      <c r="EG3" s="466"/>
      <c r="EH3" s="466"/>
      <c r="EI3" s="497"/>
      <c r="EJ3" s="496"/>
      <c r="EK3" s="498"/>
      <c r="EL3" s="498"/>
      <c r="EM3" s="498"/>
      <c r="EN3" s="466"/>
      <c r="EO3" s="466"/>
      <c r="EP3" s="497"/>
      <c r="EQ3" s="496"/>
      <c r="ER3" s="498"/>
      <c r="ES3" s="498"/>
      <c r="ET3" s="498"/>
      <c r="EU3" s="466"/>
      <c r="EV3" s="466"/>
      <c r="EW3" s="497"/>
      <c r="EX3" s="496"/>
      <c r="EY3" s="498"/>
      <c r="EZ3" s="498"/>
      <c r="FA3" s="498"/>
      <c r="FB3" s="466"/>
      <c r="FC3" s="466"/>
      <c r="FD3" s="497"/>
      <c r="FE3" s="496"/>
      <c r="FF3" s="498"/>
      <c r="FG3" s="498"/>
      <c r="FH3" s="498"/>
      <c r="FI3" s="466"/>
      <c r="FJ3" s="466"/>
      <c r="FK3" s="497"/>
      <c r="FL3" s="496"/>
      <c r="FM3" s="498"/>
      <c r="FN3" s="498"/>
      <c r="FO3" s="498"/>
      <c r="FP3" s="466"/>
      <c r="FQ3" s="466"/>
      <c r="FR3" s="497"/>
      <c r="FS3" s="496"/>
      <c r="FT3" s="498"/>
      <c r="FU3" s="498"/>
      <c r="FV3" s="498"/>
      <c r="FW3" s="466"/>
      <c r="FX3" s="466"/>
      <c r="FY3" s="497"/>
      <c r="FZ3" s="496"/>
      <c r="GA3" s="498"/>
      <c r="GB3" s="498"/>
      <c r="GC3" s="498"/>
      <c r="GD3" s="466"/>
      <c r="GE3" s="466"/>
      <c r="GF3" s="497"/>
      <c r="GG3" s="496"/>
      <c r="GH3" s="498"/>
      <c r="GI3" s="498"/>
      <c r="GJ3" s="498"/>
      <c r="GK3" s="466"/>
      <c r="GL3" s="466"/>
      <c r="GM3" s="497"/>
      <c r="GN3" s="496"/>
      <c r="GO3" s="498"/>
      <c r="GP3" s="498"/>
      <c r="GQ3" s="498"/>
      <c r="GR3" s="466"/>
      <c r="GS3" s="466"/>
      <c r="GT3" s="497"/>
      <c r="GU3" s="496"/>
      <c r="GV3" s="498"/>
      <c r="GW3" s="498"/>
      <c r="GX3" s="498"/>
      <c r="GY3" s="466"/>
      <c r="GZ3" s="466"/>
      <c r="HA3" s="497"/>
      <c r="HB3" s="496"/>
      <c r="HC3" s="498"/>
      <c r="HD3" s="498"/>
      <c r="HE3" s="498"/>
      <c r="HF3" s="466"/>
      <c r="HG3" s="466"/>
      <c r="HH3" s="497"/>
      <c r="HI3" s="496"/>
      <c r="HJ3" s="498"/>
      <c r="HK3" s="498"/>
      <c r="HL3" s="498"/>
      <c r="HM3" s="466"/>
      <c r="HN3" s="466"/>
      <c r="HO3" s="497"/>
      <c r="HP3" s="496"/>
      <c r="HQ3" s="498"/>
      <c r="HR3" s="498"/>
      <c r="HS3" s="498"/>
      <c r="HT3" s="466"/>
      <c r="HU3" s="466"/>
      <c r="HV3" s="497"/>
      <c r="HW3" s="496"/>
      <c r="HX3" s="498"/>
      <c r="HY3" s="498"/>
      <c r="HZ3" s="498"/>
      <c r="IA3" s="466"/>
      <c r="IB3" s="466"/>
      <c r="IC3" s="497"/>
      <c r="ID3" s="496"/>
      <c r="IE3" s="498"/>
      <c r="IF3" s="498"/>
      <c r="IG3" s="498"/>
      <c r="IH3" s="466"/>
      <c r="II3" s="466"/>
      <c r="IJ3" s="497"/>
      <c r="IK3" s="496"/>
      <c r="IL3" s="498"/>
      <c r="IM3" s="498"/>
      <c r="IN3" s="498"/>
      <c r="IO3" s="466"/>
      <c r="IP3" s="466"/>
      <c r="IQ3" s="497"/>
      <c r="IR3" s="496"/>
      <c r="IS3" s="498"/>
      <c r="IT3" s="498"/>
      <c r="IU3" s="498"/>
      <c r="IV3" s="466"/>
      <c r="IW3" s="466"/>
      <c r="IX3" s="497"/>
      <c r="IY3" s="496"/>
      <c r="IZ3" s="498"/>
      <c r="JA3" s="498"/>
      <c r="JB3" s="498"/>
      <c r="JC3" s="466"/>
      <c r="JD3" s="466"/>
      <c r="JE3" s="497"/>
      <c r="JF3" s="496"/>
      <c r="JG3" s="498"/>
      <c r="JH3" s="498"/>
      <c r="JI3" s="498"/>
      <c r="JJ3" s="466"/>
      <c r="JK3" s="466"/>
      <c r="JL3" s="497"/>
      <c r="JM3" s="496"/>
      <c r="JN3" s="498"/>
      <c r="JO3" s="498"/>
      <c r="JP3" s="498"/>
      <c r="JQ3" s="466"/>
      <c r="JR3" s="466"/>
      <c r="JS3" s="497"/>
      <c r="JT3" s="496"/>
      <c r="JU3" s="498"/>
      <c r="JV3" s="498"/>
      <c r="JW3" s="498"/>
      <c r="JX3" s="466"/>
      <c r="JY3" s="466"/>
      <c r="JZ3" s="497"/>
      <c r="KA3" s="496"/>
      <c r="KB3" s="498"/>
      <c r="KC3" s="498"/>
      <c r="KD3" s="498"/>
      <c r="KE3" s="466"/>
      <c r="KF3" s="466"/>
      <c r="KG3" s="497"/>
      <c r="KH3" s="496"/>
      <c r="KI3" s="498"/>
      <c r="KJ3" s="498"/>
      <c r="KK3" s="498"/>
      <c r="KL3" s="466"/>
      <c r="KM3" s="466"/>
      <c r="KN3" s="497"/>
      <c r="KO3" s="496"/>
      <c r="KP3" s="498"/>
      <c r="KQ3" s="498"/>
      <c r="KR3" s="498"/>
      <c r="KS3" s="466"/>
      <c r="KT3" s="466"/>
      <c r="KU3" s="497"/>
      <c r="KV3" s="496"/>
      <c r="KW3" s="498"/>
      <c r="KX3" s="498"/>
      <c r="KY3" s="498"/>
      <c r="KZ3" s="466"/>
      <c r="LA3" s="466"/>
      <c r="LB3" s="497"/>
      <c r="LC3" s="496"/>
      <c r="LD3" s="498"/>
      <c r="LE3" s="498"/>
      <c r="LF3" s="498"/>
      <c r="LG3" s="466"/>
      <c r="LH3" s="466"/>
      <c r="LI3" s="497"/>
      <c r="LJ3" s="496"/>
      <c r="LK3" s="498"/>
      <c r="LL3" s="498"/>
      <c r="LM3" s="498"/>
      <c r="LN3" s="466"/>
      <c r="LO3" s="466"/>
      <c r="LP3" s="497"/>
      <c r="LQ3" s="496"/>
      <c r="LR3" s="498"/>
      <c r="LS3" s="498"/>
      <c r="LT3" s="498"/>
      <c r="LU3" s="466"/>
      <c r="LV3" s="466"/>
      <c r="LW3" s="497"/>
      <c r="LX3" s="496"/>
      <c r="LY3" s="498"/>
      <c r="LZ3" s="498"/>
      <c r="MA3" s="498"/>
      <c r="MB3" s="466"/>
      <c r="MC3" s="466"/>
      <c r="MD3" s="497"/>
      <c r="ME3" s="496"/>
      <c r="MF3" s="498"/>
      <c r="MG3" s="498"/>
      <c r="MH3" s="498"/>
      <c r="MI3" s="466"/>
      <c r="MJ3" s="466"/>
      <c r="MK3" s="497"/>
      <c r="ML3" s="496"/>
      <c r="MM3" s="498"/>
      <c r="MN3" s="498"/>
      <c r="MO3" s="498"/>
      <c r="MP3" s="466"/>
      <c r="MQ3" s="466"/>
      <c r="MR3" s="497"/>
      <c r="MS3" s="496"/>
      <c r="MT3" s="498"/>
      <c r="MU3" s="498"/>
      <c r="MV3" s="498"/>
      <c r="MW3" s="466"/>
      <c r="MX3" s="466"/>
      <c r="MY3" s="497"/>
      <c r="MZ3" s="496"/>
      <c r="NA3" s="498"/>
      <c r="NB3" s="498"/>
      <c r="NC3" s="498"/>
      <c r="ND3" s="466"/>
      <c r="NE3" s="466"/>
      <c r="NF3" s="497"/>
      <c r="NG3" s="496"/>
      <c r="NH3" s="498"/>
      <c r="NI3" s="498"/>
      <c r="NJ3" s="498"/>
      <c r="NK3" s="466"/>
      <c r="NL3" s="466"/>
      <c r="NM3" s="497"/>
      <c r="NN3" s="496"/>
      <c r="NO3" s="498"/>
      <c r="NP3" s="498"/>
      <c r="NQ3" s="498"/>
      <c r="NR3" s="466"/>
      <c r="NS3" s="466"/>
      <c r="NT3" s="497"/>
      <c r="NU3" s="496"/>
      <c r="NV3" s="498"/>
      <c r="NW3" s="498"/>
      <c r="NX3" s="498"/>
      <c r="NY3" s="466"/>
      <c r="NZ3" s="466"/>
      <c r="OA3" s="497"/>
      <c r="OB3" s="496"/>
      <c r="OC3" s="498"/>
      <c r="OD3" s="498"/>
      <c r="OE3" s="498"/>
      <c r="OF3" s="466"/>
      <c r="OG3" s="466"/>
      <c r="OH3" s="497"/>
      <c r="OI3" s="496"/>
      <c r="OJ3" s="498"/>
      <c r="OK3" s="498"/>
      <c r="OL3" s="498"/>
      <c r="OM3" s="466"/>
      <c r="ON3" s="466"/>
      <c r="OO3" s="497"/>
      <c r="OP3" s="496"/>
      <c r="OQ3" s="498"/>
      <c r="OR3" s="498"/>
      <c r="OS3" s="498"/>
      <c r="OT3" s="466"/>
      <c r="OU3" s="466"/>
      <c r="OV3" s="497"/>
      <c r="OW3" s="496"/>
      <c r="OX3" s="498"/>
      <c r="OY3" s="498"/>
      <c r="OZ3" s="498"/>
      <c r="PA3" s="466"/>
      <c r="PB3" s="466"/>
      <c r="PC3" s="497"/>
      <c r="PD3" s="496"/>
      <c r="PE3" s="498"/>
      <c r="PF3" s="498"/>
      <c r="PG3" s="498"/>
      <c r="PH3" s="466"/>
      <c r="PI3" s="466"/>
      <c r="PJ3" s="497"/>
      <c r="PK3" s="496"/>
      <c r="PL3" s="498"/>
      <c r="PM3" s="498"/>
      <c r="PN3" s="498"/>
      <c r="PO3" s="466"/>
      <c r="PP3" s="466"/>
      <c r="PQ3" s="497"/>
      <c r="PR3" s="496"/>
      <c r="PS3" s="498"/>
      <c r="PT3" s="498"/>
      <c r="PU3" s="498"/>
      <c r="PV3" s="466"/>
      <c r="PW3" s="466"/>
      <c r="PX3" s="497"/>
      <c r="PY3" s="496"/>
      <c r="PZ3" s="498"/>
      <c r="QA3" s="498"/>
      <c r="QB3" s="498"/>
      <c r="QC3" s="466"/>
      <c r="QD3" s="466"/>
      <c r="QE3" s="497"/>
      <c r="QF3" s="496"/>
      <c r="QG3" s="498"/>
      <c r="QH3" s="498"/>
      <c r="QI3" s="498"/>
      <c r="QJ3" s="466"/>
      <c r="QK3" s="466"/>
      <c r="QL3" s="497"/>
      <c r="QM3" s="496"/>
      <c r="QN3" s="498"/>
      <c r="QO3" s="498"/>
      <c r="QP3" s="498"/>
      <c r="QQ3" s="466"/>
      <c r="QR3" s="466"/>
      <c r="QS3" s="497"/>
      <c r="QT3" s="496"/>
      <c r="QU3" s="498"/>
      <c r="QV3" s="498"/>
      <c r="QW3" s="498"/>
      <c r="QX3" s="466"/>
      <c r="QY3" s="466"/>
      <c r="QZ3" s="497"/>
      <c r="RA3" s="496"/>
      <c r="RB3" s="498"/>
      <c r="RC3" s="498"/>
      <c r="RD3" s="498"/>
      <c r="RE3" s="466"/>
      <c r="RF3" s="466"/>
      <c r="RG3" s="497"/>
      <c r="RH3" s="496"/>
      <c r="RI3" s="498"/>
      <c r="RJ3" s="498"/>
      <c r="RK3" s="498"/>
      <c r="RL3" s="466"/>
      <c r="RM3" s="466"/>
      <c r="RN3" s="497"/>
      <c r="RO3" s="496"/>
      <c r="RP3" s="498"/>
      <c r="RQ3" s="498"/>
      <c r="RR3" s="498"/>
      <c r="RS3" s="466"/>
      <c r="RT3" s="466"/>
      <c r="RU3" s="497"/>
      <c r="RV3" s="496"/>
      <c r="RW3" s="498"/>
      <c r="RX3" s="498"/>
      <c r="RY3" s="498"/>
      <c r="RZ3" s="466"/>
      <c r="SA3" s="466"/>
      <c r="SB3" s="497"/>
      <c r="SC3" s="496"/>
      <c r="SD3" s="498"/>
      <c r="SE3" s="498"/>
      <c r="SF3" s="498"/>
      <c r="SG3" s="466"/>
      <c r="SH3" s="466"/>
      <c r="SI3" s="497"/>
      <c r="SJ3" s="496"/>
      <c r="SK3" s="498"/>
      <c r="SL3" s="498"/>
      <c r="SM3" s="498"/>
      <c r="SN3" s="466"/>
      <c r="SO3" s="466"/>
      <c r="SP3" s="497"/>
      <c r="SQ3" s="496"/>
      <c r="SR3" s="498"/>
      <c r="SS3" s="498"/>
      <c r="ST3" s="498"/>
      <c r="SU3" s="466"/>
      <c r="SV3" s="466"/>
      <c r="SW3" s="497"/>
      <c r="SX3" s="496"/>
      <c r="SY3" s="498"/>
      <c r="SZ3" s="498"/>
      <c r="TA3" s="498"/>
      <c r="TB3" s="466"/>
      <c r="TC3" s="466"/>
      <c r="TD3" s="497"/>
      <c r="TE3" s="496"/>
      <c r="TF3" s="498"/>
      <c r="TG3" s="498"/>
      <c r="TH3" s="498"/>
      <c r="TI3" s="466"/>
      <c r="TJ3" s="466"/>
      <c r="TK3" s="497"/>
      <c r="TL3" s="496"/>
      <c r="TM3" s="498"/>
      <c r="TN3" s="498"/>
      <c r="TO3" s="498"/>
      <c r="TP3" s="466"/>
      <c r="TQ3" s="466"/>
      <c r="TR3" s="497"/>
      <c r="TS3" s="496"/>
      <c r="TT3" s="498"/>
      <c r="TU3" s="498"/>
      <c r="TV3" s="498"/>
      <c r="TW3" s="466"/>
      <c r="TX3" s="466"/>
      <c r="TY3" s="497"/>
      <c r="TZ3" s="496"/>
      <c r="UA3" s="498"/>
      <c r="UB3" s="498"/>
      <c r="UC3" s="498"/>
      <c r="UD3" s="466"/>
      <c r="UE3" s="466"/>
      <c r="UF3" s="497"/>
      <c r="UG3" s="496"/>
      <c r="UH3" s="498"/>
      <c r="UI3" s="498"/>
      <c r="UJ3" s="498"/>
      <c r="UK3" s="466"/>
      <c r="UL3" s="466"/>
      <c r="UM3" s="497"/>
      <c r="UN3" s="496"/>
      <c r="UO3" s="498"/>
      <c r="UP3" s="498"/>
      <c r="UQ3" s="498"/>
      <c r="UR3" s="466"/>
      <c r="US3" s="466"/>
      <c r="UT3" s="497"/>
      <c r="UU3" s="496"/>
      <c r="UV3" s="498"/>
      <c r="UW3" s="498"/>
      <c r="UX3" s="498"/>
      <c r="UY3" s="466"/>
      <c r="UZ3" s="466"/>
      <c r="VA3" s="497"/>
      <c r="VB3" s="496"/>
      <c r="VC3" s="498"/>
      <c r="VD3" s="498"/>
      <c r="VE3" s="498"/>
      <c r="VF3" s="466"/>
      <c r="VG3" s="466"/>
      <c r="VH3" s="497"/>
      <c r="VI3" s="496"/>
      <c r="VJ3" s="498"/>
      <c r="VK3" s="498"/>
      <c r="VL3" s="498"/>
      <c r="VM3" s="466"/>
      <c r="VN3" s="466"/>
      <c r="VO3" s="497"/>
      <c r="VP3" s="496"/>
      <c r="VQ3" s="498"/>
      <c r="VR3" s="498"/>
      <c r="VS3" s="498"/>
      <c r="VT3" s="466"/>
      <c r="VU3" s="466"/>
      <c r="VV3" s="497"/>
      <c r="VW3" s="496"/>
      <c r="VX3" s="498"/>
      <c r="VY3" s="498"/>
      <c r="VZ3" s="498"/>
      <c r="WA3" s="466"/>
      <c r="WB3" s="466"/>
      <c r="WC3" s="497"/>
      <c r="WD3" s="496"/>
      <c r="WE3" s="498"/>
      <c r="WF3" s="498"/>
      <c r="WG3" s="498"/>
      <c r="WH3" s="466"/>
      <c r="WI3" s="466"/>
      <c r="WJ3" s="497"/>
      <c r="WK3" s="496"/>
      <c r="WL3" s="498"/>
      <c r="WM3" s="498"/>
      <c r="WN3" s="498"/>
      <c r="WO3" s="466"/>
      <c r="WP3" s="466"/>
      <c r="WQ3" s="497"/>
      <c r="WR3" s="496"/>
      <c r="WS3" s="498"/>
      <c r="WT3" s="498"/>
      <c r="WU3" s="498"/>
      <c r="WV3" s="466"/>
      <c r="WW3" s="466"/>
      <c r="WX3" s="497"/>
      <c r="WY3" s="496"/>
      <c r="WZ3" s="498"/>
      <c r="XA3" s="498"/>
      <c r="XB3" s="498"/>
      <c r="XC3" s="466"/>
      <c r="XD3" s="466"/>
      <c r="XE3" s="497"/>
      <c r="XF3" s="496"/>
      <c r="XG3" s="498"/>
      <c r="XH3" s="498"/>
      <c r="XI3" s="498"/>
      <c r="XJ3" s="466"/>
      <c r="XK3" s="466"/>
      <c r="XL3" s="497"/>
      <c r="XM3" s="496"/>
      <c r="XN3" s="498"/>
      <c r="XO3" s="498"/>
      <c r="XP3" s="498"/>
      <c r="XQ3" s="466"/>
      <c r="XR3" s="466"/>
      <c r="XS3" s="497"/>
      <c r="XT3" s="496"/>
      <c r="XU3" s="498"/>
      <c r="XV3" s="498"/>
      <c r="XW3" s="498"/>
      <c r="XX3" s="466"/>
      <c r="XY3" s="466"/>
      <c r="XZ3" s="497"/>
      <c r="YA3" s="496"/>
      <c r="YB3" s="498"/>
      <c r="YC3" s="498"/>
      <c r="YD3" s="498"/>
      <c r="YE3" s="466"/>
      <c r="YF3" s="466"/>
      <c r="YG3" s="497"/>
      <c r="YH3" s="496"/>
      <c r="YI3" s="498"/>
      <c r="YJ3" s="498"/>
      <c r="YK3" s="498"/>
      <c r="YL3" s="466"/>
      <c r="YM3" s="466"/>
      <c r="YN3" s="497"/>
      <c r="YO3" s="496"/>
      <c r="YP3" s="498"/>
      <c r="YQ3" s="498"/>
      <c r="YR3" s="498"/>
      <c r="YS3" s="466"/>
      <c r="YT3" s="466"/>
      <c r="YU3" s="497"/>
      <c r="YV3" s="496"/>
      <c r="YW3" s="498"/>
      <c r="YX3" s="498"/>
      <c r="YY3" s="498"/>
      <c r="YZ3" s="466"/>
      <c r="ZA3" s="466"/>
      <c r="ZB3" s="497"/>
      <c r="ZC3" s="496"/>
      <c r="ZD3" s="498"/>
      <c r="ZE3" s="498"/>
      <c r="ZF3" s="498"/>
      <c r="ZG3" s="466"/>
      <c r="ZH3" s="466"/>
      <c r="ZI3" s="497"/>
      <c r="ZJ3" s="496"/>
      <c r="ZK3" s="498"/>
      <c r="ZL3" s="498"/>
      <c r="ZM3" s="498"/>
      <c r="ZN3" s="466"/>
      <c r="ZO3" s="466"/>
      <c r="ZP3" s="497"/>
      <c r="ZQ3" s="496"/>
      <c r="ZR3" s="498"/>
      <c r="ZS3" s="498"/>
      <c r="ZT3" s="498"/>
      <c r="ZU3" s="466"/>
      <c r="ZV3" s="466"/>
      <c r="ZW3" s="497"/>
      <c r="ZX3" s="496"/>
      <c r="ZY3" s="498"/>
      <c r="ZZ3" s="498"/>
      <c r="AAA3" s="498"/>
      <c r="AAB3" s="466"/>
      <c r="AAC3" s="466"/>
      <c r="AAD3" s="497"/>
      <c r="AAE3" s="496"/>
      <c r="AAF3" s="498"/>
      <c r="AAG3" s="498"/>
      <c r="AAH3" s="498"/>
      <c r="AAI3" s="466"/>
      <c r="AAJ3" s="466"/>
      <c r="AAK3" s="497"/>
      <c r="AAL3" s="496"/>
      <c r="AAM3" s="498"/>
      <c r="AAN3" s="498"/>
      <c r="AAO3" s="498"/>
      <c r="AAP3" s="466"/>
      <c r="AAQ3" s="466"/>
      <c r="AAR3" s="497"/>
      <c r="AAS3" s="496"/>
      <c r="AAT3" s="498"/>
      <c r="AAU3" s="498"/>
      <c r="AAV3" s="498"/>
      <c r="AAW3" s="466"/>
      <c r="AAX3" s="466"/>
      <c r="AAY3" s="497"/>
      <c r="AAZ3" s="496"/>
      <c r="ABA3" s="498"/>
      <c r="ABB3" s="498"/>
      <c r="ABC3" s="498"/>
      <c r="ABD3" s="466"/>
      <c r="ABE3" s="466"/>
      <c r="ABF3" s="497"/>
      <c r="ABG3" s="496"/>
      <c r="ABH3" s="498"/>
      <c r="ABI3" s="498"/>
      <c r="ABJ3" s="498"/>
      <c r="ABK3" s="466"/>
      <c r="ABL3" s="466"/>
      <c r="ABM3" s="497"/>
      <c r="ABN3" s="496"/>
      <c r="ABO3" s="498"/>
      <c r="ABP3" s="498"/>
      <c r="ABQ3" s="498"/>
      <c r="ABR3" s="466"/>
      <c r="ABS3" s="466"/>
      <c r="ABT3" s="497"/>
      <c r="ABU3" s="496"/>
      <c r="ABV3" s="498"/>
      <c r="ABW3" s="498"/>
      <c r="ABX3" s="498"/>
      <c r="ABY3" s="466"/>
      <c r="ABZ3" s="466"/>
      <c r="ACA3" s="497"/>
      <c r="ACB3" s="496"/>
      <c r="ACC3" s="498"/>
      <c r="ACD3" s="498"/>
      <c r="ACE3" s="498"/>
      <c r="ACF3" s="466"/>
      <c r="ACG3" s="466"/>
      <c r="ACH3" s="497"/>
      <c r="ACI3" s="496"/>
      <c r="ACJ3" s="498"/>
      <c r="ACK3" s="498"/>
      <c r="ACL3" s="498"/>
      <c r="ACM3" s="466"/>
      <c r="ACN3" s="466"/>
      <c r="ACO3" s="497"/>
      <c r="ACP3" s="496"/>
      <c r="ACQ3" s="498"/>
      <c r="ACR3" s="498"/>
      <c r="ACS3" s="498"/>
      <c r="ACT3" s="466"/>
      <c r="ACU3" s="466"/>
      <c r="ACV3" s="497"/>
      <c r="ACW3" s="496"/>
      <c r="ACX3" s="498"/>
      <c r="ACY3" s="498"/>
      <c r="ACZ3" s="498"/>
      <c r="ADA3" s="466"/>
      <c r="ADB3" s="466"/>
      <c r="ADC3" s="497"/>
      <c r="ADD3" s="496"/>
      <c r="ADE3" s="498"/>
      <c r="ADF3" s="498"/>
      <c r="ADG3" s="498"/>
      <c r="ADH3" s="466"/>
      <c r="ADI3" s="466"/>
      <c r="ADJ3" s="497"/>
      <c r="ADK3" s="496"/>
      <c r="ADL3" s="498"/>
      <c r="ADM3" s="498"/>
      <c r="ADN3" s="498"/>
      <c r="ADO3" s="466"/>
      <c r="ADP3" s="466"/>
      <c r="ADQ3" s="497"/>
      <c r="ADR3" s="496"/>
      <c r="ADS3" s="498"/>
      <c r="ADT3" s="498"/>
      <c r="ADU3" s="498"/>
      <c r="ADV3" s="466"/>
      <c r="ADW3" s="466"/>
      <c r="ADX3" s="497"/>
      <c r="ADY3" s="496"/>
      <c r="ADZ3" s="498"/>
      <c r="AEA3" s="498"/>
      <c r="AEB3" s="498"/>
      <c r="AEC3" s="466"/>
      <c r="AED3" s="466"/>
      <c r="AEE3" s="497"/>
      <c r="AEF3" s="496"/>
      <c r="AEG3" s="498"/>
      <c r="AEH3" s="498"/>
      <c r="AEI3" s="498"/>
      <c r="AEJ3" s="466"/>
      <c r="AEK3" s="466"/>
      <c r="AEL3" s="497"/>
      <c r="AEM3" s="496"/>
      <c r="AEN3" s="498"/>
      <c r="AEO3" s="498"/>
      <c r="AEP3" s="498"/>
      <c r="AEQ3" s="466"/>
      <c r="AER3" s="466"/>
      <c r="AES3" s="497"/>
      <c r="AET3" s="496"/>
      <c r="AEU3" s="498"/>
      <c r="AEV3" s="498"/>
      <c r="AEW3" s="498"/>
      <c r="AEX3" s="466"/>
      <c r="AEY3" s="466"/>
      <c r="AEZ3" s="497"/>
      <c r="AFA3" s="496"/>
      <c r="AFB3" s="498"/>
      <c r="AFC3" s="498"/>
      <c r="AFD3" s="498"/>
      <c r="AFE3" s="466"/>
      <c r="AFF3" s="466"/>
      <c r="AFG3" s="497"/>
      <c r="AFH3" s="496"/>
      <c r="AFI3" s="498"/>
      <c r="AFJ3" s="498"/>
      <c r="AFK3" s="498"/>
      <c r="AFL3" s="466"/>
      <c r="AFM3" s="466"/>
      <c r="AFN3" s="497"/>
      <c r="AFO3" s="496"/>
      <c r="AFP3" s="498"/>
      <c r="AFQ3" s="498"/>
      <c r="AFR3" s="498"/>
      <c r="AFS3" s="466"/>
      <c r="AFT3" s="466"/>
      <c r="AFU3" s="497"/>
      <c r="AFV3" s="496"/>
      <c r="AFW3" s="498"/>
      <c r="AFX3" s="498"/>
      <c r="AFY3" s="498"/>
      <c r="AFZ3" s="466"/>
      <c r="AGA3" s="466"/>
      <c r="AGB3" s="497"/>
      <c r="AGC3" s="496"/>
      <c r="AGD3" s="498"/>
      <c r="AGE3" s="498"/>
      <c r="AGF3" s="498"/>
      <c r="AGG3" s="466"/>
      <c r="AGH3" s="466"/>
      <c r="AGI3" s="497"/>
      <c r="AGJ3" s="496"/>
      <c r="AGK3" s="498"/>
      <c r="AGL3" s="498"/>
      <c r="AGM3" s="498"/>
      <c r="AGN3" s="466"/>
      <c r="AGO3" s="466"/>
      <c r="AGP3" s="497"/>
      <c r="AGQ3" s="496"/>
      <c r="AGR3" s="498"/>
      <c r="AGS3" s="498"/>
      <c r="AGT3" s="498"/>
      <c r="AGU3" s="466"/>
      <c r="AGV3" s="466"/>
      <c r="AGW3" s="497"/>
      <c r="AGX3" s="496"/>
      <c r="AGY3" s="498"/>
      <c r="AGZ3" s="498"/>
      <c r="AHA3" s="498"/>
      <c r="AHB3" s="466"/>
      <c r="AHC3" s="466"/>
      <c r="AHD3" s="497"/>
      <c r="AHE3" s="496"/>
      <c r="AHF3" s="498"/>
      <c r="AHG3" s="498"/>
      <c r="AHH3" s="498"/>
      <c r="AHI3" s="466"/>
      <c r="AHJ3" s="466"/>
      <c r="AHK3" s="497"/>
      <c r="AHL3" s="496"/>
      <c r="AHM3" s="498"/>
      <c r="AHN3" s="498"/>
      <c r="AHO3" s="498"/>
      <c r="AHP3" s="466"/>
      <c r="AHQ3" s="466"/>
      <c r="AHR3" s="497"/>
      <c r="AHS3" s="496"/>
      <c r="AHT3" s="498"/>
      <c r="AHU3" s="498"/>
      <c r="AHV3" s="498"/>
      <c r="AHW3" s="466"/>
      <c r="AHX3" s="466"/>
      <c r="AHY3" s="497"/>
      <c r="AHZ3" s="496"/>
      <c r="AIA3" s="498"/>
      <c r="AIB3" s="498"/>
      <c r="AIC3" s="498"/>
      <c r="AID3" s="466"/>
      <c r="AIE3" s="466"/>
      <c r="AIF3" s="497"/>
      <c r="AIG3" s="496"/>
      <c r="AIH3" s="498"/>
      <c r="AII3" s="498"/>
      <c r="AIJ3" s="498"/>
      <c r="AIK3" s="466"/>
      <c r="AIL3" s="466"/>
      <c r="AIM3" s="497"/>
      <c r="AIN3" s="496"/>
      <c r="AIO3" s="498"/>
      <c r="AIP3" s="498"/>
      <c r="AIQ3" s="498"/>
      <c r="AIR3" s="466"/>
      <c r="AIS3" s="466"/>
      <c r="AIT3" s="497"/>
      <c r="AIU3" s="496"/>
      <c r="AIV3" s="498"/>
      <c r="AIW3" s="498"/>
      <c r="AIX3" s="498"/>
      <c r="AIY3" s="466"/>
      <c r="AIZ3" s="466"/>
      <c r="AJA3" s="497"/>
      <c r="AJB3" s="496"/>
      <c r="AJC3" s="498"/>
      <c r="AJD3" s="498"/>
      <c r="AJE3" s="498"/>
      <c r="AJF3" s="466"/>
      <c r="AJG3" s="466"/>
      <c r="AJH3" s="497"/>
      <c r="AJI3" s="496"/>
      <c r="AJJ3" s="498"/>
      <c r="AJK3" s="498"/>
      <c r="AJL3" s="498"/>
      <c r="AJM3" s="466"/>
      <c r="AJN3" s="466"/>
      <c r="AJO3" s="497"/>
      <c r="AJP3" s="496"/>
      <c r="AJQ3" s="498"/>
      <c r="AJR3" s="498"/>
      <c r="AJS3" s="498"/>
      <c r="AJT3" s="466"/>
      <c r="AJU3" s="466"/>
      <c r="AJV3" s="497"/>
      <c r="AJW3" s="496"/>
      <c r="AJX3" s="498"/>
      <c r="AJY3" s="498"/>
      <c r="AJZ3" s="498"/>
      <c r="AKA3" s="466"/>
      <c r="AKB3" s="466"/>
      <c r="AKC3" s="497"/>
      <c r="AKD3" s="496"/>
      <c r="AKE3" s="498"/>
      <c r="AKF3" s="498"/>
      <c r="AKG3" s="498"/>
      <c r="AKH3" s="466"/>
      <c r="AKI3" s="466"/>
      <c r="AKJ3" s="497"/>
      <c r="AKK3" s="496"/>
      <c r="AKL3" s="498"/>
      <c r="AKM3" s="498"/>
      <c r="AKN3" s="498"/>
      <c r="AKO3" s="466"/>
      <c r="AKP3" s="466"/>
      <c r="AKQ3" s="497"/>
      <c r="AKR3" s="496"/>
      <c r="AKS3" s="498"/>
      <c r="AKT3" s="498"/>
      <c r="AKU3" s="498"/>
      <c r="AKV3" s="466"/>
      <c r="AKW3" s="466"/>
      <c r="AKX3" s="497"/>
      <c r="AKY3" s="496"/>
      <c r="AKZ3" s="498"/>
      <c r="ALA3" s="498"/>
      <c r="ALB3" s="498"/>
      <c r="ALC3" s="466"/>
      <c r="ALD3" s="466"/>
      <c r="ALE3" s="497"/>
      <c r="ALF3" s="496"/>
      <c r="ALG3" s="498"/>
      <c r="ALH3" s="498"/>
      <c r="ALI3" s="498"/>
      <c r="ALJ3" s="466"/>
      <c r="ALK3" s="466"/>
      <c r="ALL3" s="497"/>
      <c r="ALM3" s="496"/>
      <c r="ALN3" s="498"/>
      <c r="ALO3" s="498"/>
      <c r="ALP3" s="498"/>
      <c r="ALQ3" s="466"/>
      <c r="ALR3" s="466"/>
      <c r="ALS3" s="497"/>
      <c r="ALT3" s="496"/>
      <c r="ALU3" s="498"/>
      <c r="ALV3" s="498"/>
      <c r="ALW3" s="498"/>
      <c r="ALX3" s="466"/>
      <c r="ALY3" s="466"/>
      <c r="ALZ3" s="497"/>
      <c r="AMA3" s="496"/>
      <c r="AMB3" s="498"/>
      <c r="AMC3" s="498"/>
      <c r="AMD3" s="498"/>
      <c r="AME3" s="466"/>
      <c r="AMF3" s="466"/>
      <c r="AMG3" s="497"/>
      <c r="AMH3" s="496"/>
      <c r="AMI3" s="498"/>
      <c r="AMJ3" s="498"/>
      <c r="AMK3" s="498"/>
      <c r="AML3" s="466"/>
      <c r="AMM3" s="466"/>
      <c r="AMN3" s="497"/>
      <c r="AMO3" s="496"/>
      <c r="AMP3" s="498"/>
      <c r="AMQ3" s="498"/>
      <c r="AMR3" s="498"/>
      <c r="AMS3" s="466"/>
      <c r="AMT3" s="466"/>
      <c r="AMU3" s="497"/>
      <c r="AMV3" s="496"/>
      <c r="AMW3" s="498"/>
      <c r="AMX3" s="498"/>
      <c r="AMY3" s="498"/>
      <c r="AMZ3" s="466"/>
      <c r="ANA3" s="466"/>
      <c r="ANB3" s="497"/>
      <c r="ANC3" s="496"/>
      <c r="AND3" s="498"/>
      <c r="ANE3" s="498"/>
      <c r="ANF3" s="498"/>
      <c r="ANG3" s="466"/>
      <c r="ANH3" s="466"/>
      <c r="ANI3" s="497"/>
      <c r="ANJ3" s="496"/>
      <c r="ANK3" s="498"/>
      <c r="ANL3" s="498"/>
      <c r="ANM3" s="498"/>
      <c r="ANN3" s="466"/>
      <c r="ANO3" s="466"/>
      <c r="ANP3" s="497"/>
      <c r="ANQ3" s="496"/>
      <c r="ANR3" s="498"/>
      <c r="ANS3" s="498"/>
      <c r="ANT3" s="498"/>
      <c r="ANU3" s="466"/>
      <c r="ANV3" s="466"/>
      <c r="ANW3" s="497"/>
      <c r="ANX3" s="496"/>
      <c r="ANY3" s="498"/>
      <c r="ANZ3" s="498"/>
      <c r="AOA3" s="498"/>
      <c r="AOB3" s="466"/>
      <c r="AOC3" s="466"/>
      <c r="AOD3" s="497"/>
      <c r="AOE3" s="496"/>
      <c r="AOF3" s="498"/>
      <c r="AOG3" s="498"/>
      <c r="AOH3" s="498"/>
      <c r="AOI3" s="466"/>
      <c r="AOJ3" s="466"/>
      <c r="AOK3" s="497"/>
      <c r="AOL3" s="496"/>
      <c r="AOM3" s="498"/>
      <c r="AON3" s="498"/>
      <c r="AOO3" s="498"/>
      <c r="AOP3" s="466"/>
      <c r="AOQ3" s="466"/>
      <c r="AOR3" s="497"/>
      <c r="AOS3" s="496"/>
      <c r="AOT3" s="498"/>
      <c r="AOU3" s="498"/>
      <c r="AOV3" s="498"/>
      <c r="AOW3" s="466"/>
      <c r="AOX3" s="466"/>
      <c r="AOY3" s="497"/>
      <c r="AOZ3" s="496"/>
      <c r="APA3" s="498"/>
      <c r="APB3" s="498"/>
      <c r="APC3" s="498"/>
      <c r="APD3" s="466"/>
      <c r="APE3" s="466"/>
      <c r="APF3" s="497"/>
      <c r="APG3" s="496"/>
      <c r="APH3" s="498"/>
      <c r="API3" s="498"/>
      <c r="APJ3" s="498"/>
      <c r="APK3" s="466"/>
      <c r="APL3" s="466"/>
      <c r="APM3" s="497"/>
      <c r="APN3" s="496"/>
      <c r="APO3" s="498"/>
      <c r="APP3" s="498"/>
      <c r="APQ3" s="498"/>
      <c r="APR3" s="466"/>
      <c r="APS3" s="466"/>
      <c r="APT3" s="497"/>
      <c r="APU3" s="496"/>
      <c r="APV3" s="498"/>
      <c r="APW3" s="498"/>
      <c r="APX3" s="498"/>
      <c r="APY3" s="466"/>
      <c r="APZ3" s="466"/>
      <c r="AQA3" s="497"/>
      <c r="AQB3" s="496"/>
      <c r="AQC3" s="498"/>
      <c r="AQD3" s="498"/>
      <c r="AQE3" s="498"/>
      <c r="AQF3" s="466"/>
      <c r="AQG3" s="466"/>
      <c r="AQH3" s="497"/>
      <c r="AQI3" s="496"/>
      <c r="AQJ3" s="498"/>
      <c r="AQK3" s="498"/>
      <c r="AQL3" s="498"/>
      <c r="AQM3" s="466"/>
      <c r="AQN3" s="466"/>
      <c r="AQO3" s="497"/>
      <c r="AQP3" s="496"/>
      <c r="AQQ3" s="498"/>
      <c r="AQR3" s="498"/>
      <c r="AQS3" s="498"/>
      <c r="AQT3" s="466"/>
      <c r="AQU3" s="466"/>
      <c r="AQV3" s="497"/>
      <c r="AQW3" s="496"/>
      <c r="AQX3" s="498"/>
      <c r="AQY3" s="498"/>
      <c r="AQZ3" s="498"/>
      <c r="ARA3" s="466"/>
      <c r="ARB3" s="466"/>
      <c r="ARC3" s="497"/>
      <c r="ARD3" s="496"/>
      <c r="ARE3" s="498"/>
      <c r="ARF3" s="498"/>
      <c r="ARG3" s="498"/>
      <c r="ARH3" s="466"/>
      <c r="ARI3" s="466"/>
      <c r="ARJ3" s="497"/>
      <c r="ARK3" s="496"/>
      <c r="ARL3" s="498"/>
      <c r="ARM3" s="498"/>
      <c r="ARN3" s="498"/>
      <c r="ARO3" s="466"/>
      <c r="ARP3" s="466"/>
      <c r="ARQ3" s="497"/>
      <c r="ARR3" s="496"/>
      <c r="ARS3" s="498"/>
      <c r="ART3" s="498"/>
      <c r="ARU3" s="498"/>
      <c r="ARV3" s="466"/>
      <c r="ARW3" s="466"/>
      <c r="ARX3" s="497"/>
      <c r="ARY3" s="496"/>
      <c r="ARZ3" s="498"/>
      <c r="ASA3" s="498"/>
      <c r="ASB3" s="498"/>
      <c r="ASC3" s="466"/>
      <c r="ASD3" s="466"/>
      <c r="ASE3" s="497"/>
      <c r="ASF3" s="496"/>
      <c r="ASG3" s="498"/>
      <c r="ASH3" s="498"/>
      <c r="ASI3" s="498"/>
      <c r="ASJ3" s="466"/>
      <c r="ASK3" s="466"/>
      <c r="ASL3" s="497"/>
      <c r="ASM3" s="496"/>
      <c r="ASN3" s="498"/>
      <c r="ASO3" s="498"/>
      <c r="ASP3" s="498"/>
      <c r="ASQ3" s="466"/>
      <c r="ASR3" s="466"/>
      <c r="ASS3" s="497"/>
      <c r="AST3" s="496"/>
      <c r="ASU3" s="498"/>
      <c r="ASV3" s="498"/>
      <c r="ASW3" s="498"/>
      <c r="ASX3" s="466"/>
      <c r="ASY3" s="466"/>
      <c r="ASZ3" s="497"/>
      <c r="ATA3" s="496"/>
      <c r="ATB3" s="498"/>
      <c r="ATC3" s="498"/>
      <c r="ATD3" s="498"/>
      <c r="ATE3" s="466"/>
      <c r="ATF3" s="466"/>
      <c r="ATG3" s="497"/>
      <c r="ATH3" s="496"/>
      <c r="ATI3" s="498"/>
      <c r="ATJ3" s="498"/>
      <c r="ATK3" s="498"/>
      <c r="ATL3" s="466"/>
      <c r="ATM3" s="466"/>
      <c r="ATN3" s="497"/>
      <c r="ATO3" s="496"/>
      <c r="ATP3" s="498"/>
      <c r="ATQ3" s="498"/>
      <c r="ATR3" s="498"/>
      <c r="ATS3" s="466"/>
      <c r="ATT3" s="466"/>
      <c r="ATU3" s="497"/>
      <c r="ATV3" s="496"/>
      <c r="ATW3" s="498"/>
      <c r="ATX3" s="498"/>
      <c r="ATY3" s="498"/>
      <c r="ATZ3" s="466"/>
      <c r="AUA3" s="466"/>
      <c r="AUB3" s="497"/>
      <c r="AUC3" s="496"/>
      <c r="AUD3" s="498"/>
      <c r="AUE3" s="498"/>
      <c r="AUF3" s="498"/>
      <c r="AUG3" s="466"/>
      <c r="AUH3" s="466"/>
      <c r="AUI3" s="497"/>
      <c r="AUJ3" s="496"/>
      <c r="AUK3" s="498"/>
      <c r="AUL3" s="498"/>
      <c r="AUM3" s="498"/>
      <c r="AUN3" s="466"/>
      <c r="AUO3" s="466"/>
      <c r="AUP3" s="497"/>
      <c r="AUQ3" s="496"/>
      <c r="AUR3" s="498"/>
      <c r="AUS3" s="498"/>
      <c r="AUT3" s="498"/>
      <c r="AUU3" s="466"/>
      <c r="AUV3" s="466"/>
      <c r="AUW3" s="497"/>
      <c r="AUX3" s="496"/>
      <c r="AUY3" s="498"/>
      <c r="AUZ3" s="498"/>
      <c r="AVA3" s="498"/>
      <c r="AVB3" s="466"/>
      <c r="AVC3" s="466"/>
      <c r="AVD3" s="497"/>
      <c r="AVE3" s="496"/>
      <c r="AVF3" s="498"/>
      <c r="AVG3" s="498"/>
      <c r="AVH3" s="498"/>
      <c r="AVI3" s="466"/>
      <c r="AVJ3" s="466"/>
      <c r="AVK3" s="497"/>
      <c r="AVL3" s="496"/>
      <c r="AVM3" s="498"/>
      <c r="AVN3" s="498"/>
      <c r="AVO3" s="498"/>
      <c r="AVP3" s="466"/>
      <c r="AVQ3" s="466"/>
      <c r="AVR3" s="497"/>
      <c r="AVS3" s="496"/>
      <c r="AVT3" s="498"/>
      <c r="AVU3" s="498"/>
      <c r="AVV3" s="498"/>
      <c r="AVW3" s="466"/>
      <c r="AVX3" s="466"/>
      <c r="AVY3" s="497"/>
      <c r="AVZ3" s="496"/>
      <c r="AWA3" s="498"/>
      <c r="AWB3" s="498"/>
      <c r="AWC3" s="498"/>
      <c r="AWD3" s="466"/>
      <c r="AWE3" s="466"/>
      <c r="AWF3" s="497"/>
      <c r="AWG3" s="496"/>
      <c r="AWH3" s="498"/>
      <c r="AWI3" s="498"/>
      <c r="AWJ3" s="498"/>
      <c r="AWK3" s="466"/>
      <c r="AWL3" s="466"/>
      <c r="AWM3" s="497"/>
      <c r="AWN3" s="496"/>
      <c r="AWO3" s="498"/>
      <c r="AWP3" s="498"/>
      <c r="AWQ3" s="498"/>
      <c r="AWR3" s="466"/>
      <c r="AWS3" s="466"/>
      <c r="AWT3" s="497"/>
      <c r="AWU3" s="496"/>
      <c r="AWV3" s="498"/>
      <c r="AWW3" s="498"/>
      <c r="AWX3" s="498"/>
      <c r="AWY3" s="466"/>
      <c r="AWZ3" s="466"/>
      <c r="AXA3" s="497"/>
      <c r="AXB3" s="496"/>
      <c r="AXC3" s="498"/>
      <c r="AXD3" s="498"/>
      <c r="AXE3" s="498"/>
      <c r="AXF3" s="466"/>
      <c r="AXG3" s="466"/>
      <c r="AXH3" s="497"/>
      <c r="AXI3" s="496"/>
      <c r="AXJ3" s="498"/>
      <c r="AXK3" s="498"/>
      <c r="AXL3" s="498"/>
      <c r="AXM3" s="466"/>
      <c r="AXN3" s="466"/>
      <c r="AXO3" s="497"/>
      <c r="AXP3" s="496"/>
      <c r="AXQ3" s="498"/>
      <c r="AXR3" s="498"/>
      <c r="AXS3" s="498"/>
      <c r="AXT3" s="466"/>
      <c r="AXU3" s="466"/>
      <c r="AXV3" s="497"/>
      <c r="AXW3" s="496"/>
      <c r="AXX3" s="498"/>
      <c r="AXY3" s="498"/>
      <c r="AXZ3" s="498"/>
      <c r="AYA3" s="466"/>
      <c r="AYB3" s="466"/>
      <c r="AYC3" s="497"/>
      <c r="AYD3" s="496"/>
      <c r="AYE3" s="498"/>
      <c r="AYF3" s="498"/>
      <c r="AYG3" s="498"/>
      <c r="AYH3" s="466"/>
      <c r="AYI3" s="466"/>
      <c r="AYJ3" s="497"/>
      <c r="AYK3" s="496"/>
      <c r="AYL3" s="498"/>
      <c r="AYM3" s="498"/>
      <c r="AYN3" s="498"/>
      <c r="AYO3" s="466"/>
      <c r="AYP3" s="466"/>
      <c r="AYQ3" s="497"/>
      <c r="AYR3" s="496"/>
      <c r="AYS3" s="498"/>
      <c r="AYT3" s="498"/>
      <c r="AYU3" s="498"/>
      <c r="AYV3" s="466"/>
      <c r="AYW3" s="466"/>
      <c r="AYX3" s="497"/>
      <c r="AYY3" s="496"/>
      <c r="AYZ3" s="498"/>
      <c r="AZA3" s="498"/>
      <c r="AZB3" s="498"/>
      <c r="AZC3" s="466"/>
      <c r="AZD3" s="466"/>
      <c r="AZE3" s="497"/>
      <c r="AZF3" s="496"/>
      <c r="AZG3" s="498"/>
      <c r="AZH3" s="498"/>
      <c r="AZI3" s="498"/>
      <c r="AZJ3" s="466"/>
      <c r="AZK3" s="466"/>
      <c r="AZL3" s="497"/>
      <c r="AZM3" s="496"/>
      <c r="AZN3" s="498"/>
      <c r="AZO3" s="498"/>
      <c r="AZP3" s="498"/>
      <c r="AZQ3" s="466"/>
      <c r="AZR3" s="466"/>
      <c r="AZS3" s="497"/>
      <c r="AZT3" s="496"/>
      <c r="AZU3" s="498"/>
      <c r="AZV3" s="498"/>
      <c r="AZW3" s="498"/>
      <c r="AZX3" s="466"/>
      <c r="AZY3" s="466"/>
      <c r="AZZ3" s="497"/>
      <c r="BAA3" s="496"/>
      <c r="BAB3" s="498"/>
      <c r="BAC3" s="498"/>
      <c r="BAD3" s="498"/>
      <c r="BAE3" s="466"/>
      <c r="BAF3" s="466"/>
      <c r="BAG3" s="497"/>
      <c r="BAH3" s="496"/>
      <c r="BAI3" s="498"/>
      <c r="BAJ3" s="498"/>
      <c r="BAK3" s="498"/>
      <c r="BAL3" s="466"/>
      <c r="BAM3" s="466"/>
      <c r="BAN3" s="497"/>
      <c r="BAO3" s="496"/>
      <c r="BAP3" s="498"/>
      <c r="BAQ3" s="498"/>
      <c r="BAR3" s="498"/>
      <c r="BAS3" s="466"/>
      <c r="BAT3" s="466"/>
      <c r="BAU3" s="497"/>
      <c r="BAV3" s="496"/>
      <c r="BAW3" s="498"/>
      <c r="BAX3" s="498"/>
      <c r="BAY3" s="498"/>
      <c r="BAZ3" s="466"/>
      <c r="BBA3" s="466"/>
      <c r="BBB3" s="497"/>
      <c r="BBC3" s="496"/>
      <c r="BBD3" s="498"/>
      <c r="BBE3" s="498"/>
      <c r="BBF3" s="498"/>
      <c r="BBG3" s="466"/>
      <c r="BBH3" s="466"/>
      <c r="BBI3" s="497"/>
      <c r="BBJ3" s="496"/>
      <c r="BBK3" s="498"/>
      <c r="BBL3" s="498"/>
      <c r="BBM3" s="498"/>
      <c r="BBN3" s="466"/>
      <c r="BBO3" s="466"/>
      <c r="BBP3" s="497"/>
      <c r="BBQ3" s="496"/>
      <c r="BBR3" s="498"/>
      <c r="BBS3" s="498"/>
      <c r="BBT3" s="498"/>
      <c r="BBU3" s="466"/>
      <c r="BBV3" s="466"/>
      <c r="BBW3" s="497"/>
      <c r="BBX3" s="496"/>
      <c r="BBY3" s="498"/>
      <c r="BBZ3" s="498"/>
      <c r="BCA3" s="498"/>
      <c r="BCB3" s="466"/>
      <c r="BCC3" s="466"/>
      <c r="BCD3" s="497"/>
      <c r="BCE3" s="496"/>
      <c r="BCF3" s="498"/>
      <c r="BCG3" s="498"/>
      <c r="BCH3" s="498"/>
      <c r="BCI3" s="466"/>
      <c r="BCJ3" s="466"/>
      <c r="BCK3" s="497"/>
      <c r="BCL3" s="496"/>
      <c r="BCM3" s="498"/>
      <c r="BCN3" s="498"/>
      <c r="BCO3" s="498"/>
      <c r="BCP3" s="466"/>
      <c r="BCQ3" s="466"/>
      <c r="BCR3" s="497"/>
      <c r="BCS3" s="496"/>
      <c r="BCT3" s="498"/>
      <c r="BCU3" s="498"/>
      <c r="BCV3" s="498"/>
      <c r="BCW3" s="466"/>
      <c r="BCX3" s="466"/>
      <c r="BCY3" s="497"/>
      <c r="BCZ3" s="496"/>
      <c r="BDA3" s="498"/>
      <c r="BDB3" s="498"/>
      <c r="BDC3" s="498"/>
      <c r="BDD3" s="466"/>
      <c r="BDE3" s="466"/>
      <c r="BDF3" s="497"/>
      <c r="BDG3" s="496"/>
      <c r="BDH3" s="498"/>
      <c r="BDI3" s="498"/>
      <c r="BDJ3" s="498"/>
      <c r="BDK3" s="466"/>
      <c r="BDL3" s="466"/>
      <c r="BDM3" s="497"/>
      <c r="BDN3" s="496"/>
      <c r="BDO3" s="498"/>
      <c r="BDP3" s="498"/>
      <c r="BDQ3" s="498"/>
      <c r="BDR3" s="466"/>
      <c r="BDS3" s="466"/>
      <c r="BDT3" s="497"/>
      <c r="BDU3" s="496"/>
      <c r="BDV3" s="498"/>
      <c r="BDW3" s="498"/>
      <c r="BDX3" s="498"/>
      <c r="BDY3" s="466"/>
      <c r="BDZ3" s="466"/>
      <c r="BEA3" s="497"/>
      <c r="BEB3" s="496"/>
      <c r="BEC3" s="498"/>
      <c r="BED3" s="498"/>
      <c r="BEE3" s="498"/>
      <c r="BEF3" s="466"/>
      <c r="BEG3" s="466"/>
      <c r="BEH3" s="497"/>
      <c r="BEI3" s="496"/>
      <c r="BEJ3" s="498"/>
      <c r="BEK3" s="498"/>
      <c r="BEL3" s="498"/>
      <c r="BEM3" s="466"/>
      <c r="BEN3" s="466"/>
      <c r="BEO3" s="497"/>
      <c r="BEP3" s="496"/>
      <c r="BEQ3" s="498"/>
      <c r="BER3" s="498"/>
      <c r="BES3" s="498"/>
      <c r="BET3" s="466"/>
      <c r="BEU3" s="466"/>
      <c r="BEV3" s="497"/>
      <c r="BEW3" s="496"/>
      <c r="BEX3" s="498"/>
      <c r="BEY3" s="498"/>
      <c r="BEZ3" s="498"/>
      <c r="BFA3" s="466"/>
      <c r="BFB3" s="466"/>
      <c r="BFC3" s="497"/>
      <c r="BFD3" s="496"/>
      <c r="BFE3" s="498"/>
      <c r="BFF3" s="498"/>
      <c r="BFG3" s="498"/>
      <c r="BFH3" s="466"/>
      <c r="BFI3" s="466"/>
      <c r="BFJ3" s="497"/>
      <c r="BFK3" s="496"/>
      <c r="BFL3" s="498"/>
      <c r="BFM3" s="498"/>
      <c r="BFN3" s="498"/>
      <c r="BFO3" s="466"/>
      <c r="BFP3" s="466"/>
      <c r="BFQ3" s="497"/>
      <c r="BFR3" s="496"/>
      <c r="BFS3" s="498"/>
      <c r="BFT3" s="498"/>
      <c r="BFU3" s="498"/>
      <c r="BFV3" s="466"/>
      <c r="BFW3" s="466"/>
      <c r="BFX3" s="497"/>
      <c r="BFY3" s="496"/>
      <c r="BFZ3" s="498"/>
      <c r="BGA3" s="498"/>
      <c r="BGB3" s="498"/>
      <c r="BGC3" s="466"/>
      <c r="BGD3" s="466"/>
      <c r="BGE3" s="497"/>
      <c r="BGF3" s="496"/>
      <c r="BGG3" s="498"/>
      <c r="BGH3" s="498"/>
      <c r="BGI3" s="498"/>
      <c r="BGJ3" s="466"/>
      <c r="BGK3" s="466"/>
      <c r="BGL3" s="497"/>
      <c r="BGM3" s="496"/>
      <c r="BGN3" s="498"/>
      <c r="BGO3" s="498"/>
      <c r="BGP3" s="498"/>
      <c r="BGQ3" s="466"/>
      <c r="BGR3" s="466"/>
      <c r="BGS3" s="497"/>
      <c r="BGT3" s="496"/>
      <c r="BGU3" s="498"/>
      <c r="BGV3" s="498"/>
      <c r="BGW3" s="498"/>
      <c r="BGX3" s="466"/>
      <c r="BGY3" s="466"/>
      <c r="BGZ3" s="497"/>
      <c r="BHA3" s="496"/>
      <c r="BHB3" s="498"/>
      <c r="BHC3" s="498"/>
      <c r="BHD3" s="498"/>
      <c r="BHE3" s="466"/>
      <c r="BHF3" s="466"/>
      <c r="BHG3" s="497"/>
      <c r="BHH3" s="496"/>
      <c r="BHI3" s="498"/>
      <c r="BHJ3" s="498"/>
      <c r="BHK3" s="498"/>
      <c r="BHL3" s="466"/>
      <c r="BHM3" s="466"/>
      <c r="BHN3" s="497"/>
      <c r="BHO3" s="496"/>
      <c r="BHP3" s="498"/>
      <c r="BHQ3" s="498"/>
      <c r="BHR3" s="498"/>
      <c r="BHS3" s="466"/>
      <c r="BHT3" s="466"/>
      <c r="BHU3" s="497"/>
      <c r="BHV3" s="496"/>
      <c r="BHW3" s="498"/>
      <c r="BHX3" s="498"/>
      <c r="BHY3" s="498"/>
      <c r="BHZ3" s="466"/>
      <c r="BIA3" s="466"/>
      <c r="BIB3" s="497"/>
      <c r="BIC3" s="496"/>
      <c r="BID3" s="498"/>
      <c r="BIE3" s="498"/>
      <c r="BIF3" s="498"/>
      <c r="BIG3" s="466"/>
      <c r="BIH3" s="466"/>
      <c r="BII3" s="497"/>
      <c r="BIJ3" s="496"/>
      <c r="BIK3" s="498"/>
      <c r="BIL3" s="498"/>
      <c r="BIM3" s="498"/>
      <c r="BIN3" s="466"/>
      <c r="BIO3" s="466"/>
      <c r="BIP3" s="497"/>
      <c r="BIQ3" s="496"/>
      <c r="BIR3" s="498"/>
      <c r="BIS3" s="498"/>
      <c r="BIT3" s="498"/>
      <c r="BIU3" s="466"/>
      <c r="BIV3" s="466"/>
      <c r="BIW3" s="497"/>
      <c r="BIX3" s="496"/>
      <c r="BIY3" s="498"/>
      <c r="BIZ3" s="498"/>
      <c r="BJA3" s="498"/>
      <c r="BJB3" s="466"/>
      <c r="BJC3" s="466"/>
      <c r="BJD3" s="497"/>
      <c r="BJE3" s="496"/>
      <c r="BJF3" s="498"/>
      <c r="BJG3" s="498"/>
      <c r="BJH3" s="498"/>
      <c r="BJI3" s="466"/>
      <c r="BJJ3" s="466"/>
      <c r="BJK3" s="497"/>
      <c r="BJL3" s="496"/>
      <c r="BJM3" s="498"/>
      <c r="BJN3" s="498"/>
      <c r="BJO3" s="498"/>
      <c r="BJP3" s="466"/>
      <c r="BJQ3" s="466"/>
      <c r="BJR3" s="497"/>
      <c r="BJS3" s="496"/>
      <c r="BJT3" s="498"/>
      <c r="BJU3" s="498"/>
      <c r="BJV3" s="498"/>
      <c r="BJW3" s="466"/>
      <c r="BJX3" s="466"/>
      <c r="BJY3" s="497"/>
      <c r="BJZ3" s="496"/>
      <c r="BKA3" s="498"/>
      <c r="BKB3" s="498"/>
      <c r="BKC3" s="498"/>
      <c r="BKD3" s="466"/>
      <c r="BKE3" s="466"/>
      <c r="BKF3" s="497"/>
      <c r="BKG3" s="496"/>
      <c r="BKH3" s="498"/>
      <c r="BKI3" s="498"/>
      <c r="BKJ3" s="498"/>
      <c r="BKK3" s="466"/>
      <c r="BKL3" s="466"/>
      <c r="BKM3" s="497"/>
      <c r="BKN3" s="496"/>
      <c r="BKO3" s="498"/>
      <c r="BKP3" s="498"/>
      <c r="BKQ3" s="498"/>
      <c r="BKR3" s="466"/>
      <c r="BKS3" s="466"/>
      <c r="BKT3" s="497"/>
      <c r="BKU3" s="496"/>
      <c r="BKV3" s="498"/>
      <c r="BKW3" s="498"/>
      <c r="BKX3" s="498"/>
      <c r="BKY3" s="466"/>
      <c r="BKZ3" s="466"/>
      <c r="BLA3" s="497"/>
      <c r="BLB3" s="496"/>
      <c r="BLC3" s="498"/>
      <c r="BLD3" s="498"/>
      <c r="BLE3" s="498"/>
      <c r="BLF3" s="466"/>
      <c r="BLG3" s="466"/>
      <c r="BLH3" s="497"/>
      <c r="BLI3" s="496"/>
      <c r="BLJ3" s="498"/>
      <c r="BLK3" s="498"/>
      <c r="BLL3" s="498"/>
      <c r="BLM3" s="466"/>
      <c r="BLN3" s="466"/>
      <c r="BLO3" s="497"/>
      <c r="BLP3" s="496"/>
      <c r="BLQ3" s="498"/>
      <c r="BLR3" s="498"/>
      <c r="BLS3" s="498"/>
      <c r="BLT3" s="466"/>
      <c r="BLU3" s="466"/>
      <c r="BLV3" s="497"/>
      <c r="BLW3" s="496"/>
      <c r="BLX3" s="498"/>
      <c r="BLY3" s="498"/>
      <c r="BLZ3" s="498"/>
      <c r="BMA3" s="466"/>
      <c r="BMB3" s="466"/>
      <c r="BMC3" s="497"/>
      <c r="BMD3" s="496"/>
      <c r="BME3" s="498"/>
      <c r="BMF3" s="498"/>
      <c r="BMG3" s="498"/>
      <c r="BMH3" s="466"/>
      <c r="BMI3" s="466"/>
      <c r="BMJ3" s="497"/>
      <c r="BMK3" s="496"/>
      <c r="BML3" s="498"/>
      <c r="BMM3" s="498"/>
      <c r="BMN3" s="498"/>
      <c r="BMO3" s="466"/>
      <c r="BMP3" s="466"/>
      <c r="BMQ3" s="497"/>
      <c r="BMR3" s="496"/>
      <c r="BMS3" s="498"/>
      <c r="BMT3" s="498"/>
      <c r="BMU3" s="498"/>
      <c r="BMV3" s="466"/>
      <c r="BMW3" s="466"/>
      <c r="BMX3" s="497"/>
      <c r="BMY3" s="496"/>
      <c r="BMZ3" s="498"/>
      <c r="BNA3" s="498"/>
      <c r="BNB3" s="498"/>
      <c r="BNC3" s="466"/>
      <c r="BND3" s="466"/>
      <c r="BNE3" s="497"/>
      <c r="BNF3" s="496"/>
      <c r="BNG3" s="498"/>
      <c r="BNH3" s="498"/>
      <c r="BNI3" s="498"/>
      <c r="BNJ3" s="466"/>
      <c r="BNK3" s="466"/>
      <c r="BNL3" s="497"/>
      <c r="BNM3" s="496"/>
      <c r="BNN3" s="498"/>
      <c r="BNO3" s="498"/>
      <c r="BNP3" s="498"/>
      <c r="BNQ3" s="466"/>
      <c r="BNR3" s="466"/>
      <c r="BNS3" s="497"/>
      <c r="BNT3" s="496"/>
      <c r="BNU3" s="498"/>
      <c r="BNV3" s="498"/>
      <c r="BNW3" s="498"/>
      <c r="BNX3" s="466"/>
      <c r="BNY3" s="466"/>
      <c r="BNZ3" s="497"/>
      <c r="BOA3" s="496"/>
      <c r="BOB3" s="498"/>
      <c r="BOC3" s="498"/>
      <c r="BOD3" s="498"/>
      <c r="BOE3" s="466"/>
      <c r="BOF3" s="466"/>
      <c r="BOG3" s="497"/>
      <c r="BOH3" s="496"/>
      <c r="BOI3" s="498"/>
      <c r="BOJ3" s="498"/>
      <c r="BOK3" s="498"/>
      <c r="BOL3" s="466"/>
      <c r="BOM3" s="466"/>
      <c r="BON3" s="497"/>
      <c r="BOO3" s="496"/>
      <c r="BOP3" s="498"/>
      <c r="BOQ3" s="498"/>
      <c r="BOR3" s="498"/>
      <c r="BOS3" s="466"/>
      <c r="BOT3" s="466"/>
      <c r="BOU3" s="497"/>
      <c r="BOV3" s="496"/>
      <c r="BOW3" s="498"/>
      <c r="BOX3" s="498"/>
      <c r="BOY3" s="498"/>
      <c r="BOZ3" s="466"/>
      <c r="BPA3" s="466"/>
      <c r="BPB3" s="497"/>
      <c r="BPC3" s="496"/>
      <c r="BPD3" s="498"/>
      <c r="BPE3" s="498"/>
      <c r="BPF3" s="498"/>
      <c r="BPG3" s="466"/>
      <c r="BPH3" s="466"/>
      <c r="BPI3" s="497"/>
      <c r="BPJ3" s="496"/>
      <c r="BPK3" s="498"/>
      <c r="BPL3" s="498"/>
      <c r="BPM3" s="498"/>
      <c r="BPN3" s="466"/>
      <c r="BPO3" s="466"/>
      <c r="BPP3" s="497"/>
      <c r="BPQ3" s="496"/>
      <c r="BPR3" s="498"/>
      <c r="BPS3" s="498"/>
      <c r="BPT3" s="498"/>
      <c r="BPU3" s="466"/>
      <c r="BPV3" s="466"/>
      <c r="BPW3" s="497"/>
      <c r="BPX3" s="496"/>
      <c r="BPY3" s="498"/>
      <c r="BPZ3" s="498"/>
      <c r="BQA3" s="498"/>
      <c r="BQB3" s="466"/>
      <c r="BQC3" s="466"/>
      <c r="BQD3" s="497"/>
      <c r="BQE3" s="496"/>
      <c r="BQF3" s="498"/>
      <c r="BQG3" s="498"/>
      <c r="BQH3" s="498"/>
      <c r="BQI3" s="466"/>
      <c r="BQJ3" s="466"/>
      <c r="BQK3" s="497"/>
      <c r="BQL3" s="496"/>
      <c r="BQM3" s="498"/>
      <c r="BQN3" s="498"/>
      <c r="BQO3" s="498"/>
      <c r="BQP3" s="466"/>
      <c r="BQQ3" s="466"/>
      <c r="BQR3" s="497"/>
      <c r="BQS3" s="496"/>
      <c r="BQT3" s="498"/>
      <c r="BQU3" s="498"/>
      <c r="BQV3" s="498"/>
      <c r="BQW3" s="466"/>
      <c r="BQX3" s="466"/>
      <c r="BQY3" s="497"/>
      <c r="BQZ3" s="496"/>
      <c r="BRA3" s="498"/>
      <c r="BRB3" s="498"/>
      <c r="BRC3" s="498"/>
      <c r="BRD3" s="466"/>
      <c r="BRE3" s="466"/>
      <c r="BRF3" s="497"/>
      <c r="BRG3" s="496"/>
      <c r="BRH3" s="498"/>
      <c r="BRI3" s="498"/>
      <c r="BRJ3" s="498"/>
      <c r="BRK3" s="466"/>
      <c r="BRL3" s="466"/>
      <c r="BRM3" s="497"/>
      <c r="BRN3" s="496"/>
      <c r="BRO3" s="498"/>
      <c r="BRP3" s="498"/>
      <c r="BRQ3" s="498"/>
      <c r="BRR3" s="466"/>
      <c r="BRS3" s="466"/>
      <c r="BRT3" s="497"/>
      <c r="BRU3" s="496"/>
      <c r="BRV3" s="498"/>
      <c r="BRW3" s="498"/>
      <c r="BRX3" s="498"/>
      <c r="BRY3" s="466"/>
      <c r="BRZ3" s="466"/>
      <c r="BSA3" s="497"/>
      <c r="BSB3" s="496"/>
      <c r="BSC3" s="498"/>
      <c r="BSD3" s="498"/>
      <c r="BSE3" s="498"/>
      <c r="BSF3" s="466"/>
      <c r="BSG3" s="466"/>
      <c r="BSH3" s="497"/>
      <c r="BSI3" s="496"/>
      <c r="BSJ3" s="498"/>
      <c r="BSK3" s="498"/>
      <c r="BSL3" s="498"/>
      <c r="BSM3" s="466"/>
      <c r="BSN3" s="466"/>
      <c r="BSO3" s="497"/>
      <c r="BSP3" s="496"/>
      <c r="BSQ3" s="498"/>
      <c r="BSR3" s="498"/>
      <c r="BSS3" s="498"/>
      <c r="BST3" s="466"/>
      <c r="BSU3" s="466"/>
      <c r="BSV3" s="497"/>
      <c r="BSW3" s="496"/>
      <c r="BSX3" s="498"/>
      <c r="BSY3" s="498"/>
      <c r="BSZ3" s="498"/>
      <c r="BTA3" s="466"/>
      <c r="BTB3" s="466"/>
      <c r="BTC3" s="497"/>
      <c r="BTD3" s="496"/>
      <c r="BTE3" s="498"/>
      <c r="BTF3" s="498"/>
      <c r="BTG3" s="498"/>
      <c r="BTH3" s="466"/>
      <c r="BTI3" s="466"/>
      <c r="BTJ3" s="497"/>
      <c r="BTK3" s="496"/>
      <c r="BTL3" s="498"/>
      <c r="BTM3" s="498"/>
      <c r="BTN3" s="498"/>
      <c r="BTO3" s="466"/>
      <c r="BTP3" s="466"/>
      <c r="BTQ3" s="497"/>
      <c r="BTR3" s="496"/>
      <c r="BTS3" s="498"/>
      <c r="BTT3" s="498"/>
      <c r="BTU3" s="498"/>
      <c r="BTV3" s="466"/>
      <c r="BTW3" s="466"/>
      <c r="BTX3" s="497"/>
      <c r="BTY3" s="496"/>
      <c r="BTZ3" s="498"/>
      <c r="BUA3" s="498"/>
      <c r="BUB3" s="498"/>
      <c r="BUC3" s="466"/>
      <c r="BUD3" s="466"/>
      <c r="BUE3" s="497"/>
      <c r="BUF3" s="496"/>
      <c r="BUG3" s="498"/>
      <c r="BUH3" s="498"/>
      <c r="BUI3" s="498"/>
      <c r="BUJ3" s="466"/>
      <c r="BUK3" s="466"/>
      <c r="BUL3" s="497"/>
      <c r="BUM3" s="496"/>
      <c r="BUN3" s="498"/>
      <c r="BUO3" s="498"/>
      <c r="BUP3" s="498"/>
      <c r="BUQ3" s="466"/>
      <c r="BUR3" s="466"/>
      <c r="BUS3" s="497"/>
      <c r="BUT3" s="496"/>
      <c r="BUU3" s="498"/>
      <c r="BUV3" s="498"/>
      <c r="BUW3" s="498"/>
      <c r="BUX3" s="466"/>
      <c r="BUY3" s="466"/>
      <c r="BUZ3" s="497"/>
      <c r="BVA3" s="496"/>
      <c r="BVB3" s="498"/>
      <c r="BVC3" s="498"/>
      <c r="BVD3" s="498"/>
      <c r="BVE3" s="466"/>
      <c r="BVF3" s="466"/>
      <c r="BVG3" s="497"/>
      <c r="BVH3" s="496"/>
      <c r="BVI3" s="498"/>
      <c r="BVJ3" s="498"/>
      <c r="BVK3" s="498"/>
      <c r="BVL3" s="466"/>
      <c r="BVM3" s="466"/>
      <c r="BVN3" s="497"/>
      <c r="BVO3" s="496"/>
      <c r="BVP3" s="498"/>
      <c r="BVQ3" s="498"/>
      <c r="BVR3" s="498"/>
      <c r="BVS3" s="466"/>
      <c r="BVT3" s="466"/>
      <c r="BVU3" s="497"/>
      <c r="BVV3" s="496"/>
      <c r="BVW3" s="498"/>
      <c r="BVX3" s="498"/>
      <c r="BVY3" s="498"/>
      <c r="BVZ3" s="466"/>
      <c r="BWA3" s="466"/>
      <c r="BWB3" s="497"/>
      <c r="BWC3" s="496"/>
      <c r="BWD3" s="498"/>
      <c r="BWE3" s="498"/>
      <c r="BWF3" s="498"/>
      <c r="BWG3" s="466"/>
      <c r="BWH3" s="466"/>
      <c r="BWI3" s="497"/>
      <c r="BWJ3" s="496"/>
      <c r="BWK3" s="498"/>
      <c r="BWL3" s="498"/>
      <c r="BWM3" s="498"/>
      <c r="BWN3" s="466"/>
      <c r="BWO3" s="466"/>
      <c r="BWP3" s="497"/>
      <c r="BWQ3" s="496"/>
      <c r="BWR3" s="498"/>
      <c r="BWS3" s="498"/>
      <c r="BWT3" s="498"/>
      <c r="BWU3" s="466"/>
      <c r="BWV3" s="466"/>
      <c r="BWW3" s="497"/>
      <c r="BWX3" s="496"/>
      <c r="BWY3" s="498"/>
      <c r="BWZ3" s="498"/>
      <c r="BXA3" s="498"/>
      <c r="BXB3" s="466"/>
      <c r="BXC3" s="466"/>
      <c r="BXD3" s="497"/>
      <c r="BXE3" s="496"/>
      <c r="BXF3" s="498"/>
      <c r="BXG3" s="498"/>
      <c r="BXH3" s="498"/>
      <c r="BXI3" s="466"/>
      <c r="BXJ3" s="466"/>
      <c r="BXK3" s="497"/>
      <c r="BXL3" s="496"/>
      <c r="BXM3" s="498"/>
      <c r="BXN3" s="498"/>
      <c r="BXO3" s="498"/>
      <c r="BXP3" s="466"/>
      <c r="BXQ3" s="466"/>
      <c r="BXR3" s="497"/>
      <c r="BXS3" s="496"/>
      <c r="BXT3" s="498"/>
      <c r="BXU3" s="498"/>
      <c r="BXV3" s="498"/>
      <c r="BXW3" s="466"/>
      <c r="BXX3" s="466"/>
      <c r="BXY3" s="497"/>
      <c r="BXZ3" s="496"/>
      <c r="BYA3" s="498"/>
      <c r="BYB3" s="498"/>
      <c r="BYC3" s="498"/>
      <c r="BYD3" s="466"/>
      <c r="BYE3" s="466"/>
      <c r="BYF3" s="497"/>
      <c r="BYG3" s="496"/>
      <c r="BYH3" s="498"/>
      <c r="BYI3" s="498"/>
      <c r="BYJ3" s="498"/>
      <c r="BYK3" s="466"/>
      <c r="BYL3" s="466"/>
      <c r="BYM3" s="497"/>
      <c r="BYN3" s="496"/>
      <c r="BYO3" s="498"/>
      <c r="BYP3" s="498"/>
      <c r="BYQ3" s="498"/>
      <c r="BYR3" s="466"/>
      <c r="BYS3" s="466"/>
      <c r="BYT3" s="497"/>
      <c r="BYU3" s="496"/>
      <c r="BYV3" s="498"/>
      <c r="BYW3" s="498"/>
      <c r="BYX3" s="498"/>
      <c r="BYY3" s="466"/>
      <c r="BYZ3" s="466"/>
      <c r="BZA3" s="497"/>
      <c r="BZB3" s="496"/>
      <c r="BZC3" s="498"/>
      <c r="BZD3" s="498"/>
      <c r="BZE3" s="498"/>
      <c r="BZF3" s="466"/>
      <c r="BZG3" s="466"/>
      <c r="BZH3" s="497"/>
      <c r="BZI3" s="496"/>
      <c r="BZJ3" s="498"/>
      <c r="BZK3" s="498"/>
      <c r="BZL3" s="498"/>
      <c r="BZM3" s="466"/>
      <c r="BZN3" s="466"/>
      <c r="BZO3" s="497"/>
      <c r="BZP3" s="496"/>
      <c r="BZQ3" s="498"/>
      <c r="BZR3" s="498"/>
      <c r="BZS3" s="498"/>
      <c r="BZT3" s="466"/>
      <c r="BZU3" s="466"/>
      <c r="BZV3" s="497"/>
      <c r="BZW3" s="496"/>
      <c r="BZX3" s="498"/>
      <c r="BZY3" s="498"/>
      <c r="BZZ3" s="498"/>
      <c r="CAA3" s="466"/>
      <c r="CAB3" s="466"/>
      <c r="CAC3" s="497"/>
      <c r="CAD3" s="496"/>
      <c r="CAE3" s="498"/>
      <c r="CAF3" s="498"/>
      <c r="CAG3" s="498"/>
      <c r="CAH3" s="466"/>
      <c r="CAI3" s="466"/>
      <c r="CAJ3" s="497"/>
      <c r="CAK3" s="496"/>
      <c r="CAL3" s="498"/>
      <c r="CAM3" s="498"/>
      <c r="CAN3" s="498"/>
      <c r="CAO3" s="466"/>
      <c r="CAP3" s="466"/>
      <c r="CAQ3" s="497"/>
      <c r="CAR3" s="496"/>
      <c r="CAS3" s="498"/>
      <c r="CAT3" s="498"/>
      <c r="CAU3" s="498"/>
      <c r="CAV3" s="466"/>
      <c r="CAW3" s="466"/>
      <c r="CAX3" s="497"/>
      <c r="CAY3" s="496"/>
      <c r="CAZ3" s="498"/>
      <c r="CBA3" s="498"/>
      <c r="CBB3" s="498"/>
      <c r="CBC3" s="466"/>
      <c r="CBD3" s="466"/>
      <c r="CBE3" s="497"/>
      <c r="CBF3" s="496"/>
      <c r="CBG3" s="498"/>
      <c r="CBH3" s="498"/>
      <c r="CBI3" s="498"/>
      <c r="CBJ3" s="466"/>
      <c r="CBK3" s="466"/>
      <c r="CBL3" s="497"/>
      <c r="CBM3" s="496"/>
      <c r="CBN3" s="498"/>
      <c r="CBO3" s="498"/>
      <c r="CBP3" s="498"/>
      <c r="CBQ3" s="466"/>
      <c r="CBR3" s="466"/>
      <c r="CBS3" s="497"/>
      <c r="CBT3" s="496"/>
      <c r="CBU3" s="498"/>
      <c r="CBV3" s="498"/>
      <c r="CBW3" s="498"/>
      <c r="CBX3" s="466"/>
      <c r="CBY3" s="466"/>
      <c r="CBZ3" s="497"/>
      <c r="CCA3" s="496"/>
      <c r="CCB3" s="498"/>
      <c r="CCC3" s="498"/>
      <c r="CCD3" s="498"/>
      <c r="CCE3" s="466"/>
      <c r="CCF3" s="466"/>
      <c r="CCG3" s="497"/>
      <c r="CCH3" s="496"/>
      <c r="CCI3" s="498"/>
      <c r="CCJ3" s="498"/>
      <c r="CCK3" s="498"/>
      <c r="CCL3" s="466"/>
      <c r="CCM3" s="466"/>
      <c r="CCN3" s="497"/>
      <c r="CCO3" s="496"/>
      <c r="CCP3" s="498"/>
      <c r="CCQ3" s="498"/>
      <c r="CCR3" s="498"/>
      <c r="CCS3" s="466"/>
      <c r="CCT3" s="466"/>
      <c r="CCU3" s="497"/>
      <c r="CCV3" s="496"/>
      <c r="CCW3" s="498"/>
      <c r="CCX3" s="498"/>
      <c r="CCY3" s="498"/>
      <c r="CCZ3" s="466"/>
      <c r="CDA3" s="466"/>
      <c r="CDB3" s="497"/>
      <c r="CDC3" s="496"/>
      <c r="CDD3" s="498"/>
      <c r="CDE3" s="498"/>
      <c r="CDF3" s="498"/>
      <c r="CDG3" s="466"/>
      <c r="CDH3" s="466"/>
      <c r="CDI3" s="497"/>
      <c r="CDJ3" s="496"/>
      <c r="CDK3" s="498"/>
      <c r="CDL3" s="498"/>
      <c r="CDM3" s="498"/>
      <c r="CDN3" s="466"/>
      <c r="CDO3" s="466"/>
      <c r="CDP3" s="497"/>
      <c r="CDQ3" s="496"/>
      <c r="CDR3" s="498"/>
      <c r="CDS3" s="498"/>
      <c r="CDT3" s="498"/>
      <c r="CDU3" s="466"/>
      <c r="CDV3" s="466"/>
      <c r="CDW3" s="497"/>
      <c r="CDX3" s="496"/>
      <c r="CDY3" s="498"/>
      <c r="CDZ3" s="498"/>
      <c r="CEA3" s="498"/>
      <c r="CEB3" s="466"/>
      <c r="CEC3" s="466"/>
      <c r="CED3" s="497"/>
      <c r="CEE3" s="496"/>
      <c r="CEF3" s="498"/>
      <c r="CEG3" s="498"/>
      <c r="CEH3" s="498"/>
      <c r="CEI3" s="466"/>
      <c r="CEJ3" s="466"/>
      <c r="CEK3" s="497"/>
      <c r="CEL3" s="496"/>
      <c r="CEM3" s="498"/>
      <c r="CEN3" s="498"/>
      <c r="CEO3" s="498"/>
      <c r="CEP3" s="466"/>
      <c r="CEQ3" s="466"/>
      <c r="CER3" s="497"/>
      <c r="CES3" s="496"/>
      <c r="CET3" s="498"/>
      <c r="CEU3" s="498"/>
      <c r="CEV3" s="498"/>
      <c r="CEW3" s="466"/>
      <c r="CEX3" s="466"/>
      <c r="CEY3" s="497"/>
      <c r="CEZ3" s="496"/>
      <c r="CFA3" s="498"/>
      <c r="CFB3" s="498"/>
      <c r="CFC3" s="498"/>
      <c r="CFD3" s="466"/>
      <c r="CFE3" s="466"/>
      <c r="CFF3" s="497"/>
      <c r="CFG3" s="496"/>
      <c r="CFH3" s="498"/>
      <c r="CFI3" s="498"/>
      <c r="CFJ3" s="498"/>
      <c r="CFK3" s="466"/>
      <c r="CFL3" s="466"/>
      <c r="CFM3" s="497"/>
      <c r="CFN3" s="496"/>
      <c r="CFO3" s="498"/>
      <c r="CFP3" s="498"/>
      <c r="CFQ3" s="498"/>
      <c r="CFR3" s="466"/>
      <c r="CFS3" s="466"/>
      <c r="CFT3" s="497"/>
      <c r="CFU3" s="496"/>
      <c r="CFV3" s="498"/>
      <c r="CFW3" s="498"/>
      <c r="CFX3" s="498"/>
      <c r="CFY3" s="466"/>
      <c r="CFZ3" s="466"/>
      <c r="CGA3" s="497"/>
      <c r="CGB3" s="496"/>
      <c r="CGC3" s="498"/>
      <c r="CGD3" s="498"/>
      <c r="CGE3" s="498"/>
      <c r="CGF3" s="466"/>
      <c r="CGG3" s="466"/>
      <c r="CGH3" s="497"/>
      <c r="CGI3" s="496"/>
      <c r="CGJ3" s="498"/>
      <c r="CGK3" s="498"/>
      <c r="CGL3" s="498"/>
      <c r="CGM3" s="466"/>
      <c r="CGN3" s="466"/>
      <c r="CGO3" s="497"/>
      <c r="CGP3" s="496"/>
      <c r="CGQ3" s="498"/>
      <c r="CGR3" s="498"/>
      <c r="CGS3" s="498"/>
      <c r="CGT3" s="466"/>
      <c r="CGU3" s="466"/>
      <c r="CGV3" s="497"/>
      <c r="CGW3" s="496"/>
      <c r="CGX3" s="498"/>
      <c r="CGY3" s="498"/>
      <c r="CGZ3" s="498"/>
      <c r="CHA3" s="466"/>
      <c r="CHB3" s="466"/>
      <c r="CHC3" s="497"/>
      <c r="CHD3" s="496"/>
      <c r="CHE3" s="498"/>
      <c r="CHF3" s="498"/>
      <c r="CHG3" s="498"/>
      <c r="CHH3" s="466"/>
      <c r="CHI3" s="466"/>
      <c r="CHJ3" s="497"/>
      <c r="CHK3" s="496"/>
      <c r="CHL3" s="498"/>
      <c r="CHM3" s="498"/>
      <c r="CHN3" s="498"/>
      <c r="CHO3" s="466"/>
      <c r="CHP3" s="466"/>
      <c r="CHQ3" s="497"/>
      <c r="CHR3" s="496"/>
      <c r="CHS3" s="498"/>
      <c r="CHT3" s="498"/>
      <c r="CHU3" s="498"/>
      <c r="CHV3" s="466"/>
      <c r="CHW3" s="466"/>
      <c r="CHX3" s="497"/>
      <c r="CHY3" s="496"/>
      <c r="CHZ3" s="498"/>
      <c r="CIA3" s="498"/>
      <c r="CIB3" s="498"/>
      <c r="CIC3" s="466"/>
      <c r="CID3" s="466"/>
      <c r="CIE3" s="497"/>
      <c r="CIF3" s="496"/>
      <c r="CIG3" s="498"/>
      <c r="CIH3" s="498"/>
      <c r="CII3" s="498"/>
      <c r="CIJ3" s="466"/>
      <c r="CIK3" s="466"/>
      <c r="CIL3" s="497"/>
      <c r="CIM3" s="496"/>
      <c r="CIN3" s="498"/>
      <c r="CIO3" s="498"/>
      <c r="CIP3" s="498"/>
      <c r="CIQ3" s="466"/>
      <c r="CIR3" s="466"/>
      <c r="CIS3" s="497"/>
      <c r="CIT3" s="496"/>
      <c r="CIU3" s="498"/>
      <c r="CIV3" s="498"/>
      <c r="CIW3" s="498"/>
      <c r="CIX3" s="466"/>
      <c r="CIY3" s="466"/>
      <c r="CIZ3" s="497"/>
      <c r="CJA3" s="496"/>
      <c r="CJB3" s="498"/>
      <c r="CJC3" s="498"/>
      <c r="CJD3" s="498"/>
      <c r="CJE3" s="466"/>
      <c r="CJF3" s="466"/>
      <c r="CJG3" s="497"/>
      <c r="CJH3" s="496"/>
      <c r="CJI3" s="498"/>
      <c r="CJJ3" s="498"/>
      <c r="CJK3" s="498"/>
      <c r="CJL3" s="466"/>
      <c r="CJM3" s="466"/>
      <c r="CJN3" s="497"/>
      <c r="CJO3" s="496"/>
      <c r="CJP3" s="498"/>
      <c r="CJQ3" s="498"/>
      <c r="CJR3" s="498"/>
      <c r="CJS3" s="466"/>
      <c r="CJT3" s="466"/>
      <c r="CJU3" s="497"/>
      <c r="CJV3" s="496"/>
      <c r="CJW3" s="498"/>
      <c r="CJX3" s="498"/>
      <c r="CJY3" s="498"/>
      <c r="CJZ3" s="466"/>
      <c r="CKA3" s="466"/>
      <c r="CKB3" s="497"/>
      <c r="CKC3" s="496"/>
      <c r="CKD3" s="498"/>
      <c r="CKE3" s="498"/>
      <c r="CKF3" s="498"/>
      <c r="CKG3" s="466"/>
      <c r="CKH3" s="466"/>
      <c r="CKI3" s="497"/>
      <c r="CKJ3" s="496"/>
      <c r="CKK3" s="498"/>
      <c r="CKL3" s="498"/>
      <c r="CKM3" s="498"/>
      <c r="CKN3" s="466"/>
      <c r="CKO3" s="466"/>
      <c r="CKP3" s="497"/>
      <c r="CKQ3" s="496"/>
      <c r="CKR3" s="498"/>
      <c r="CKS3" s="498"/>
      <c r="CKT3" s="498"/>
      <c r="CKU3" s="466"/>
      <c r="CKV3" s="466"/>
      <c r="CKW3" s="497"/>
      <c r="CKX3" s="496"/>
      <c r="CKY3" s="498"/>
      <c r="CKZ3" s="498"/>
      <c r="CLA3" s="498"/>
      <c r="CLB3" s="466"/>
      <c r="CLC3" s="466"/>
      <c r="CLD3" s="497"/>
      <c r="CLE3" s="496"/>
      <c r="CLF3" s="498"/>
      <c r="CLG3" s="498"/>
      <c r="CLH3" s="498"/>
      <c r="CLI3" s="466"/>
      <c r="CLJ3" s="466"/>
      <c r="CLK3" s="497"/>
      <c r="CLL3" s="496"/>
      <c r="CLM3" s="498"/>
      <c r="CLN3" s="498"/>
      <c r="CLO3" s="498"/>
      <c r="CLP3" s="466"/>
      <c r="CLQ3" s="466"/>
      <c r="CLR3" s="497"/>
      <c r="CLS3" s="496"/>
      <c r="CLT3" s="498"/>
      <c r="CLU3" s="498"/>
      <c r="CLV3" s="498"/>
      <c r="CLW3" s="466"/>
      <c r="CLX3" s="466"/>
      <c r="CLY3" s="497"/>
      <c r="CLZ3" s="496"/>
      <c r="CMA3" s="498"/>
      <c r="CMB3" s="498"/>
      <c r="CMC3" s="498"/>
      <c r="CMD3" s="466"/>
      <c r="CME3" s="466"/>
      <c r="CMF3" s="497"/>
      <c r="CMG3" s="496"/>
      <c r="CMH3" s="498"/>
      <c r="CMI3" s="498"/>
      <c r="CMJ3" s="498"/>
      <c r="CMK3" s="466"/>
      <c r="CML3" s="466"/>
      <c r="CMM3" s="497"/>
      <c r="CMN3" s="496"/>
      <c r="CMO3" s="498"/>
      <c r="CMP3" s="498"/>
      <c r="CMQ3" s="498"/>
      <c r="CMR3" s="466"/>
      <c r="CMS3" s="466"/>
      <c r="CMT3" s="497"/>
      <c r="CMU3" s="496"/>
      <c r="CMV3" s="498"/>
      <c r="CMW3" s="498"/>
      <c r="CMX3" s="498"/>
      <c r="CMY3" s="466"/>
      <c r="CMZ3" s="466"/>
      <c r="CNA3" s="497"/>
      <c r="CNB3" s="496"/>
      <c r="CNC3" s="498"/>
      <c r="CND3" s="498"/>
      <c r="CNE3" s="498"/>
      <c r="CNF3" s="466"/>
      <c r="CNG3" s="466"/>
      <c r="CNH3" s="497"/>
      <c r="CNI3" s="496"/>
      <c r="CNJ3" s="498"/>
      <c r="CNK3" s="498"/>
      <c r="CNL3" s="498"/>
      <c r="CNM3" s="466"/>
      <c r="CNN3" s="466"/>
      <c r="CNO3" s="497"/>
      <c r="CNP3" s="496"/>
      <c r="CNQ3" s="498"/>
      <c r="CNR3" s="498"/>
      <c r="CNS3" s="498"/>
      <c r="CNT3" s="466"/>
      <c r="CNU3" s="466"/>
      <c r="CNV3" s="497"/>
      <c r="CNW3" s="496"/>
      <c r="CNX3" s="498"/>
      <c r="CNY3" s="498"/>
      <c r="CNZ3" s="498"/>
      <c r="COA3" s="466"/>
      <c r="COB3" s="466"/>
      <c r="COC3" s="497"/>
      <c r="COD3" s="496"/>
      <c r="COE3" s="498"/>
      <c r="COF3" s="498"/>
      <c r="COG3" s="498"/>
      <c r="COH3" s="466"/>
      <c r="COI3" s="466"/>
      <c r="COJ3" s="497"/>
      <c r="COK3" s="496"/>
      <c r="COL3" s="498"/>
      <c r="COM3" s="498"/>
      <c r="CON3" s="498"/>
      <c r="COO3" s="466"/>
      <c r="COP3" s="466"/>
      <c r="COQ3" s="497"/>
      <c r="COR3" s="496"/>
      <c r="COS3" s="498"/>
      <c r="COT3" s="498"/>
      <c r="COU3" s="498"/>
      <c r="COV3" s="466"/>
      <c r="COW3" s="466"/>
      <c r="COX3" s="497"/>
      <c r="COY3" s="496"/>
      <c r="COZ3" s="498"/>
      <c r="CPA3" s="498"/>
      <c r="CPB3" s="498"/>
      <c r="CPC3" s="466"/>
      <c r="CPD3" s="466"/>
      <c r="CPE3" s="497"/>
      <c r="CPF3" s="496"/>
      <c r="CPG3" s="498"/>
      <c r="CPH3" s="498"/>
      <c r="CPI3" s="498"/>
      <c r="CPJ3" s="466"/>
      <c r="CPK3" s="466"/>
      <c r="CPL3" s="497"/>
      <c r="CPM3" s="496"/>
      <c r="CPN3" s="498"/>
      <c r="CPO3" s="498"/>
      <c r="CPP3" s="498"/>
      <c r="CPQ3" s="466"/>
      <c r="CPR3" s="466"/>
      <c r="CPS3" s="497"/>
      <c r="CPT3" s="496"/>
      <c r="CPU3" s="498"/>
      <c r="CPV3" s="498"/>
      <c r="CPW3" s="498"/>
      <c r="CPX3" s="466"/>
      <c r="CPY3" s="466"/>
      <c r="CPZ3" s="497"/>
      <c r="CQA3" s="496"/>
      <c r="CQB3" s="498"/>
      <c r="CQC3" s="498"/>
      <c r="CQD3" s="498"/>
      <c r="CQE3" s="466"/>
      <c r="CQF3" s="466"/>
      <c r="CQG3" s="497"/>
      <c r="CQH3" s="496"/>
      <c r="CQI3" s="498"/>
      <c r="CQJ3" s="498"/>
      <c r="CQK3" s="498"/>
      <c r="CQL3" s="466"/>
      <c r="CQM3" s="466"/>
      <c r="CQN3" s="497"/>
      <c r="CQO3" s="496"/>
      <c r="CQP3" s="498"/>
      <c r="CQQ3" s="498"/>
      <c r="CQR3" s="498"/>
      <c r="CQS3" s="466"/>
      <c r="CQT3" s="466"/>
      <c r="CQU3" s="497"/>
      <c r="CQV3" s="496"/>
      <c r="CQW3" s="498"/>
      <c r="CQX3" s="498"/>
      <c r="CQY3" s="498"/>
      <c r="CQZ3" s="466"/>
      <c r="CRA3" s="466"/>
      <c r="CRB3" s="497"/>
      <c r="CRC3" s="496"/>
      <c r="CRD3" s="498"/>
      <c r="CRE3" s="498"/>
      <c r="CRF3" s="498"/>
      <c r="CRG3" s="466"/>
      <c r="CRH3" s="466"/>
      <c r="CRI3" s="497"/>
      <c r="CRJ3" s="496"/>
      <c r="CRK3" s="498"/>
      <c r="CRL3" s="498"/>
      <c r="CRM3" s="498"/>
      <c r="CRN3" s="466"/>
      <c r="CRO3" s="466"/>
      <c r="CRP3" s="497"/>
      <c r="CRQ3" s="496"/>
      <c r="CRR3" s="498"/>
      <c r="CRS3" s="498"/>
      <c r="CRT3" s="498"/>
      <c r="CRU3" s="466"/>
      <c r="CRV3" s="466"/>
      <c r="CRW3" s="497"/>
      <c r="CRX3" s="496"/>
      <c r="CRY3" s="498"/>
      <c r="CRZ3" s="498"/>
      <c r="CSA3" s="498"/>
      <c r="CSB3" s="466"/>
      <c r="CSC3" s="466"/>
      <c r="CSD3" s="497"/>
      <c r="CSE3" s="496"/>
      <c r="CSF3" s="498"/>
      <c r="CSG3" s="498"/>
      <c r="CSH3" s="498"/>
      <c r="CSI3" s="466"/>
      <c r="CSJ3" s="466"/>
      <c r="CSK3" s="497"/>
      <c r="CSL3" s="496"/>
      <c r="CSM3" s="498"/>
      <c r="CSN3" s="498"/>
      <c r="CSO3" s="498"/>
      <c r="CSP3" s="466"/>
      <c r="CSQ3" s="466"/>
      <c r="CSR3" s="497"/>
      <c r="CSS3" s="496"/>
      <c r="CST3" s="498"/>
      <c r="CSU3" s="498"/>
      <c r="CSV3" s="498"/>
      <c r="CSW3" s="466"/>
      <c r="CSX3" s="466"/>
      <c r="CSY3" s="497"/>
      <c r="CSZ3" s="496"/>
      <c r="CTA3" s="498"/>
      <c r="CTB3" s="498"/>
      <c r="CTC3" s="498"/>
      <c r="CTD3" s="466"/>
      <c r="CTE3" s="466"/>
      <c r="CTF3" s="497"/>
      <c r="CTG3" s="496"/>
      <c r="CTH3" s="498"/>
      <c r="CTI3" s="498"/>
      <c r="CTJ3" s="498"/>
      <c r="CTK3" s="466"/>
      <c r="CTL3" s="466"/>
      <c r="CTM3" s="497"/>
      <c r="CTN3" s="496"/>
      <c r="CTO3" s="498"/>
      <c r="CTP3" s="498"/>
      <c r="CTQ3" s="498"/>
      <c r="CTR3" s="466"/>
      <c r="CTS3" s="466"/>
      <c r="CTT3" s="497"/>
      <c r="CTU3" s="496"/>
      <c r="CTV3" s="498"/>
      <c r="CTW3" s="498"/>
      <c r="CTX3" s="498"/>
      <c r="CTY3" s="466"/>
      <c r="CTZ3" s="466"/>
      <c r="CUA3" s="497"/>
      <c r="CUB3" s="496"/>
      <c r="CUC3" s="498"/>
      <c r="CUD3" s="498"/>
      <c r="CUE3" s="498"/>
      <c r="CUF3" s="466"/>
      <c r="CUG3" s="466"/>
      <c r="CUH3" s="497"/>
      <c r="CUI3" s="496"/>
      <c r="CUJ3" s="498"/>
      <c r="CUK3" s="498"/>
      <c r="CUL3" s="498"/>
      <c r="CUM3" s="466"/>
      <c r="CUN3" s="466"/>
      <c r="CUO3" s="497"/>
      <c r="CUP3" s="496"/>
      <c r="CUQ3" s="498"/>
      <c r="CUR3" s="498"/>
      <c r="CUS3" s="498"/>
      <c r="CUT3" s="466"/>
      <c r="CUU3" s="466"/>
      <c r="CUV3" s="497"/>
      <c r="CUW3" s="496"/>
      <c r="CUX3" s="498"/>
      <c r="CUY3" s="498"/>
      <c r="CUZ3" s="498"/>
      <c r="CVA3" s="466"/>
      <c r="CVB3" s="466"/>
      <c r="CVC3" s="497"/>
      <c r="CVD3" s="496"/>
      <c r="CVE3" s="498"/>
      <c r="CVF3" s="498"/>
      <c r="CVG3" s="498"/>
      <c r="CVH3" s="466"/>
      <c r="CVI3" s="466"/>
      <c r="CVJ3" s="497"/>
      <c r="CVK3" s="496"/>
      <c r="CVL3" s="498"/>
      <c r="CVM3" s="498"/>
      <c r="CVN3" s="498"/>
      <c r="CVO3" s="466"/>
      <c r="CVP3" s="466"/>
      <c r="CVQ3" s="497"/>
      <c r="CVR3" s="496"/>
      <c r="CVS3" s="498"/>
      <c r="CVT3" s="498"/>
      <c r="CVU3" s="498"/>
      <c r="CVV3" s="466"/>
      <c r="CVW3" s="466"/>
      <c r="CVX3" s="497"/>
      <c r="CVY3" s="496"/>
      <c r="CVZ3" s="498"/>
      <c r="CWA3" s="498"/>
      <c r="CWB3" s="498"/>
      <c r="CWC3" s="466"/>
      <c r="CWD3" s="466"/>
      <c r="CWE3" s="497"/>
      <c r="CWF3" s="496"/>
      <c r="CWG3" s="498"/>
      <c r="CWH3" s="498"/>
      <c r="CWI3" s="498"/>
      <c r="CWJ3" s="466"/>
      <c r="CWK3" s="466"/>
      <c r="CWL3" s="497"/>
      <c r="CWM3" s="496"/>
      <c r="CWN3" s="498"/>
      <c r="CWO3" s="498"/>
      <c r="CWP3" s="498"/>
      <c r="CWQ3" s="466"/>
      <c r="CWR3" s="466"/>
      <c r="CWS3" s="497"/>
      <c r="CWT3" s="496"/>
      <c r="CWU3" s="498"/>
      <c r="CWV3" s="498"/>
      <c r="CWW3" s="498"/>
      <c r="CWX3" s="466"/>
      <c r="CWY3" s="466"/>
      <c r="CWZ3" s="497"/>
      <c r="CXA3" s="496"/>
      <c r="CXB3" s="498"/>
      <c r="CXC3" s="498"/>
      <c r="CXD3" s="498"/>
      <c r="CXE3" s="466"/>
      <c r="CXF3" s="466"/>
      <c r="CXG3" s="497"/>
      <c r="CXH3" s="496"/>
      <c r="CXI3" s="498"/>
      <c r="CXJ3" s="498"/>
      <c r="CXK3" s="498"/>
      <c r="CXL3" s="466"/>
      <c r="CXM3" s="466"/>
      <c r="CXN3" s="497"/>
      <c r="CXO3" s="496"/>
      <c r="CXP3" s="498"/>
      <c r="CXQ3" s="498"/>
      <c r="CXR3" s="498"/>
      <c r="CXS3" s="466"/>
      <c r="CXT3" s="466"/>
      <c r="CXU3" s="497"/>
      <c r="CXV3" s="496"/>
      <c r="CXW3" s="498"/>
      <c r="CXX3" s="498"/>
      <c r="CXY3" s="498"/>
      <c r="CXZ3" s="466"/>
      <c r="CYA3" s="466"/>
      <c r="CYB3" s="497"/>
      <c r="CYC3" s="496"/>
      <c r="CYD3" s="498"/>
      <c r="CYE3" s="498"/>
      <c r="CYF3" s="498"/>
      <c r="CYG3" s="466"/>
      <c r="CYH3" s="466"/>
      <c r="CYI3" s="497"/>
      <c r="CYJ3" s="496"/>
      <c r="CYK3" s="498"/>
      <c r="CYL3" s="498"/>
      <c r="CYM3" s="498"/>
      <c r="CYN3" s="466"/>
      <c r="CYO3" s="466"/>
      <c r="CYP3" s="497"/>
      <c r="CYQ3" s="496"/>
      <c r="CYR3" s="498"/>
      <c r="CYS3" s="498"/>
      <c r="CYT3" s="498"/>
      <c r="CYU3" s="466"/>
      <c r="CYV3" s="466"/>
      <c r="CYW3" s="497"/>
      <c r="CYX3" s="496"/>
      <c r="CYY3" s="498"/>
      <c r="CYZ3" s="498"/>
      <c r="CZA3" s="498"/>
      <c r="CZB3" s="466"/>
      <c r="CZC3" s="466"/>
      <c r="CZD3" s="497"/>
      <c r="CZE3" s="496"/>
      <c r="CZF3" s="498"/>
      <c r="CZG3" s="498"/>
      <c r="CZH3" s="498"/>
      <c r="CZI3" s="466"/>
      <c r="CZJ3" s="466"/>
      <c r="CZK3" s="497"/>
      <c r="CZL3" s="496"/>
      <c r="CZM3" s="498"/>
      <c r="CZN3" s="498"/>
      <c r="CZO3" s="498"/>
      <c r="CZP3" s="466"/>
      <c r="CZQ3" s="466"/>
      <c r="CZR3" s="497"/>
      <c r="CZS3" s="496"/>
      <c r="CZT3" s="498"/>
      <c r="CZU3" s="498"/>
      <c r="CZV3" s="498"/>
      <c r="CZW3" s="466"/>
      <c r="CZX3" s="466"/>
      <c r="CZY3" s="497"/>
      <c r="CZZ3" s="496"/>
      <c r="DAA3" s="498"/>
      <c r="DAB3" s="498"/>
      <c r="DAC3" s="498"/>
      <c r="DAD3" s="466"/>
      <c r="DAE3" s="466"/>
      <c r="DAF3" s="497"/>
      <c r="DAG3" s="496"/>
      <c r="DAH3" s="498"/>
      <c r="DAI3" s="498"/>
      <c r="DAJ3" s="498"/>
      <c r="DAK3" s="466"/>
      <c r="DAL3" s="466"/>
      <c r="DAM3" s="497"/>
      <c r="DAN3" s="496"/>
      <c r="DAO3" s="498"/>
      <c r="DAP3" s="498"/>
      <c r="DAQ3" s="498"/>
      <c r="DAR3" s="466"/>
      <c r="DAS3" s="466"/>
      <c r="DAT3" s="497"/>
      <c r="DAU3" s="496"/>
      <c r="DAV3" s="498"/>
      <c r="DAW3" s="498"/>
      <c r="DAX3" s="498"/>
      <c r="DAY3" s="466"/>
      <c r="DAZ3" s="466"/>
      <c r="DBA3" s="497"/>
      <c r="DBB3" s="496"/>
      <c r="DBC3" s="498"/>
      <c r="DBD3" s="498"/>
      <c r="DBE3" s="498"/>
      <c r="DBF3" s="466"/>
      <c r="DBG3" s="466"/>
      <c r="DBH3" s="497"/>
      <c r="DBI3" s="496"/>
      <c r="DBJ3" s="498"/>
      <c r="DBK3" s="498"/>
      <c r="DBL3" s="498"/>
      <c r="DBM3" s="466"/>
      <c r="DBN3" s="466"/>
      <c r="DBO3" s="497"/>
      <c r="DBP3" s="496"/>
      <c r="DBQ3" s="498"/>
      <c r="DBR3" s="498"/>
      <c r="DBS3" s="498"/>
      <c r="DBT3" s="466"/>
      <c r="DBU3" s="466"/>
      <c r="DBV3" s="497"/>
      <c r="DBW3" s="496"/>
      <c r="DBX3" s="498"/>
      <c r="DBY3" s="498"/>
      <c r="DBZ3" s="498"/>
      <c r="DCA3" s="466"/>
      <c r="DCB3" s="466"/>
      <c r="DCC3" s="497"/>
      <c r="DCD3" s="496"/>
      <c r="DCE3" s="498"/>
      <c r="DCF3" s="498"/>
      <c r="DCG3" s="498"/>
      <c r="DCH3" s="466"/>
      <c r="DCI3" s="466"/>
      <c r="DCJ3" s="497"/>
      <c r="DCK3" s="496"/>
      <c r="DCL3" s="498"/>
      <c r="DCM3" s="498"/>
      <c r="DCN3" s="498"/>
      <c r="DCO3" s="466"/>
      <c r="DCP3" s="466"/>
      <c r="DCQ3" s="497"/>
      <c r="DCR3" s="496"/>
      <c r="DCS3" s="498"/>
      <c r="DCT3" s="498"/>
      <c r="DCU3" s="498"/>
      <c r="DCV3" s="466"/>
      <c r="DCW3" s="466"/>
      <c r="DCX3" s="497"/>
      <c r="DCY3" s="496"/>
      <c r="DCZ3" s="498"/>
      <c r="DDA3" s="498"/>
      <c r="DDB3" s="498"/>
      <c r="DDC3" s="466"/>
      <c r="DDD3" s="466"/>
      <c r="DDE3" s="497"/>
      <c r="DDF3" s="496"/>
      <c r="DDG3" s="498"/>
      <c r="DDH3" s="498"/>
      <c r="DDI3" s="498"/>
      <c r="DDJ3" s="466"/>
      <c r="DDK3" s="466"/>
      <c r="DDL3" s="497"/>
      <c r="DDM3" s="496"/>
      <c r="DDN3" s="498"/>
      <c r="DDO3" s="498"/>
      <c r="DDP3" s="498"/>
      <c r="DDQ3" s="466"/>
      <c r="DDR3" s="466"/>
      <c r="DDS3" s="497"/>
      <c r="DDT3" s="496"/>
      <c r="DDU3" s="498"/>
      <c r="DDV3" s="498"/>
      <c r="DDW3" s="498"/>
      <c r="DDX3" s="466"/>
      <c r="DDY3" s="466"/>
      <c r="DDZ3" s="497"/>
      <c r="DEA3" s="496"/>
      <c r="DEB3" s="498"/>
      <c r="DEC3" s="498"/>
      <c r="DED3" s="498"/>
      <c r="DEE3" s="466"/>
      <c r="DEF3" s="466"/>
      <c r="DEG3" s="497"/>
      <c r="DEH3" s="496"/>
      <c r="DEI3" s="498"/>
      <c r="DEJ3" s="498"/>
      <c r="DEK3" s="498"/>
      <c r="DEL3" s="466"/>
      <c r="DEM3" s="466"/>
      <c r="DEN3" s="497"/>
      <c r="DEO3" s="496"/>
      <c r="DEP3" s="498"/>
      <c r="DEQ3" s="498"/>
      <c r="DER3" s="498"/>
      <c r="DES3" s="466"/>
      <c r="DET3" s="466"/>
      <c r="DEU3" s="497"/>
      <c r="DEV3" s="496"/>
      <c r="DEW3" s="498"/>
      <c r="DEX3" s="498"/>
      <c r="DEY3" s="498"/>
      <c r="DEZ3" s="466"/>
      <c r="DFA3" s="466"/>
      <c r="DFB3" s="497"/>
      <c r="DFC3" s="496"/>
      <c r="DFD3" s="498"/>
      <c r="DFE3" s="498"/>
      <c r="DFF3" s="498"/>
      <c r="DFG3" s="466"/>
      <c r="DFH3" s="466"/>
      <c r="DFI3" s="497"/>
      <c r="DFJ3" s="496"/>
      <c r="DFK3" s="498"/>
      <c r="DFL3" s="498"/>
      <c r="DFM3" s="498"/>
      <c r="DFN3" s="466"/>
      <c r="DFO3" s="466"/>
      <c r="DFP3" s="497"/>
      <c r="DFQ3" s="496"/>
      <c r="DFR3" s="498"/>
      <c r="DFS3" s="498"/>
      <c r="DFT3" s="498"/>
      <c r="DFU3" s="466"/>
      <c r="DFV3" s="466"/>
      <c r="DFW3" s="497"/>
      <c r="DFX3" s="496"/>
      <c r="DFY3" s="498"/>
      <c r="DFZ3" s="498"/>
      <c r="DGA3" s="498"/>
      <c r="DGB3" s="466"/>
      <c r="DGC3" s="466"/>
      <c r="DGD3" s="497"/>
      <c r="DGE3" s="496"/>
      <c r="DGF3" s="498"/>
      <c r="DGG3" s="498"/>
      <c r="DGH3" s="498"/>
      <c r="DGI3" s="466"/>
      <c r="DGJ3" s="466"/>
      <c r="DGK3" s="497"/>
      <c r="DGL3" s="496"/>
      <c r="DGM3" s="498"/>
      <c r="DGN3" s="498"/>
      <c r="DGO3" s="498"/>
      <c r="DGP3" s="466"/>
      <c r="DGQ3" s="466"/>
      <c r="DGR3" s="497"/>
      <c r="DGS3" s="496"/>
      <c r="DGT3" s="498"/>
      <c r="DGU3" s="498"/>
      <c r="DGV3" s="498"/>
      <c r="DGW3" s="466"/>
      <c r="DGX3" s="466"/>
      <c r="DGY3" s="497"/>
      <c r="DGZ3" s="496"/>
      <c r="DHA3" s="498"/>
      <c r="DHB3" s="498"/>
      <c r="DHC3" s="498"/>
      <c r="DHD3" s="466"/>
      <c r="DHE3" s="466"/>
      <c r="DHF3" s="497"/>
      <c r="DHG3" s="496"/>
      <c r="DHH3" s="498"/>
      <c r="DHI3" s="498"/>
      <c r="DHJ3" s="498"/>
      <c r="DHK3" s="466"/>
      <c r="DHL3" s="466"/>
      <c r="DHM3" s="497"/>
      <c r="DHN3" s="496"/>
      <c r="DHO3" s="498"/>
      <c r="DHP3" s="498"/>
      <c r="DHQ3" s="498"/>
      <c r="DHR3" s="466"/>
      <c r="DHS3" s="466"/>
      <c r="DHT3" s="497"/>
      <c r="DHU3" s="496"/>
      <c r="DHV3" s="498"/>
      <c r="DHW3" s="498"/>
      <c r="DHX3" s="498"/>
      <c r="DHY3" s="466"/>
      <c r="DHZ3" s="466"/>
      <c r="DIA3" s="497"/>
      <c r="DIB3" s="496"/>
      <c r="DIC3" s="498"/>
      <c r="DID3" s="498"/>
      <c r="DIE3" s="498"/>
      <c r="DIF3" s="466"/>
      <c r="DIG3" s="466"/>
      <c r="DIH3" s="497"/>
      <c r="DII3" s="496"/>
      <c r="DIJ3" s="498"/>
      <c r="DIK3" s="498"/>
      <c r="DIL3" s="498"/>
      <c r="DIM3" s="466"/>
      <c r="DIN3" s="466"/>
      <c r="DIO3" s="497"/>
      <c r="DIP3" s="496"/>
      <c r="DIQ3" s="498"/>
      <c r="DIR3" s="498"/>
      <c r="DIS3" s="498"/>
      <c r="DIT3" s="466"/>
      <c r="DIU3" s="466"/>
      <c r="DIV3" s="497"/>
      <c r="DIW3" s="496"/>
      <c r="DIX3" s="498"/>
      <c r="DIY3" s="498"/>
      <c r="DIZ3" s="498"/>
      <c r="DJA3" s="466"/>
      <c r="DJB3" s="466"/>
      <c r="DJC3" s="497"/>
      <c r="DJD3" s="496"/>
      <c r="DJE3" s="498"/>
      <c r="DJF3" s="498"/>
      <c r="DJG3" s="498"/>
      <c r="DJH3" s="466"/>
      <c r="DJI3" s="466"/>
      <c r="DJJ3" s="497"/>
      <c r="DJK3" s="496"/>
      <c r="DJL3" s="498"/>
      <c r="DJM3" s="498"/>
      <c r="DJN3" s="498"/>
      <c r="DJO3" s="466"/>
      <c r="DJP3" s="466"/>
      <c r="DJQ3" s="497"/>
      <c r="DJR3" s="496"/>
      <c r="DJS3" s="498"/>
      <c r="DJT3" s="498"/>
      <c r="DJU3" s="498"/>
      <c r="DJV3" s="466"/>
      <c r="DJW3" s="466"/>
      <c r="DJX3" s="497"/>
      <c r="DJY3" s="496"/>
      <c r="DJZ3" s="498"/>
      <c r="DKA3" s="498"/>
      <c r="DKB3" s="498"/>
      <c r="DKC3" s="466"/>
      <c r="DKD3" s="466"/>
      <c r="DKE3" s="497"/>
      <c r="DKF3" s="496"/>
      <c r="DKG3" s="498"/>
      <c r="DKH3" s="498"/>
      <c r="DKI3" s="498"/>
      <c r="DKJ3" s="466"/>
      <c r="DKK3" s="466"/>
      <c r="DKL3" s="497"/>
      <c r="DKM3" s="496"/>
      <c r="DKN3" s="498"/>
      <c r="DKO3" s="498"/>
      <c r="DKP3" s="498"/>
      <c r="DKQ3" s="466"/>
      <c r="DKR3" s="466"/>
      <c r="DKS3" s="497"/>
      <c r="DKT3" s="496"/>
      <c r="DKU3" s="498"/>
      <c r="DKV3" s="498"/>
      <c r="DKW3" s="498"/>
      <c r="DKX3" s="466"/>
      <c r="DKY3" s="466"/>
      <c r="DKZ3" s="497"/>
      <c r="DLA3" s="496"/>
      <c r="DLB3" s="498"/>
      <c r="DLC3" s="498"/>
      <c r="DLD3" s="498"/>
      <c r="DLE3" s="466"/>
      <c r="DLF3" s="466"/>
      <c r="DLG3" s="497"/>
      <c r="DLH3" s="496"/>
      <c r="DLI3" s="498"/>
      <c r="DLJ3" s="498"/>
      <c r="DLK3" s="498"/>
      <c r="DLL3" s="466"/>
      <c r="DLM3" s="466"/>
      <c r="DLN3" s="497"/>
      <c r="DLO3" s="496"/>
      <c r="DLP3" s="498"/>
      <c r="DLQ3" s="498"/>
      <c r="DLR3" s="498"/>
      <c r="DLS3" s="466"/>
      <c r="DLT3" s="466"/>
      <c r="DLU3" s="497"/>
      <c r="DLV3" s="496"/>
      <c r="DLW3" s="498"/>
      <c r="DLX3" s="498"/>
      <c r="DLY3" s="498"/>
      <c r="DLZ3" s="466"/>
      <c r="DMA3" s="466"/>
      <c r="DMB3" s="497"/>
      <c r="DMC3" s="496"/>
      <c r="DMD3" s="498"/>
      <c r="DME3" s="498"/>
      <c r="DMF3" s="498"/>
      <c r="DMG3" s="466"/>
      <c r="DMH3" s="466"/>
      <c r="DMI3" s="497"/>
      <c r="DMJ3" s="496"/>
      <c r="DMK3" s="498"/>
      <c r="DML3" s="498"/>
      <c r="DMM3" s="498"/>
      <c r="DMN3" s="466"/>
      <c r="DMO3" s="466"/>
      <c r="DMP3" s="497"/>
      <c r="DMQ3" s="496"/>
      <c r="DMR3" s="498"/>
      <c r="DMS3" s="498"/>
      <c r="DMT3" s="498"/>
      <c r="DMU3" s="466"/>
      <c r="DMV3" s="466"/>
      <c r="DMW3" s="497"/>
      <c r="DMX3" s="496"/>
      <c r="DMY3" s="498"/>
      <c r="DMZ3" s="498"/>
      <c r="DNA3" s="498"/>
      <c r="DNB3" s="466"/>
      <c r="DNC3" s="466"/>
      <c r="DND3" s="497"/>
      <c r="DNE3" s="496"/>
      <c r="DNF3" s="498"/>
      <c r="DNG3" s="498"/>
      <c r="DNH3" s="498"/>
      <c r="DNI3" s="466"/>
      <c r="DNJ3" s="466"/>
      <c r="DNK3" s="497"/>
      <c r="DNL3" s="496"/>
      <c r="DNM3" s="498"/>
      <c r="DNN3" s="498"/>
      <c r="DNO3" s="498"/>
      <c r="DNP3" s="466"/>
      <c r="DNQ3" s="466"/>
      <c r="DNR3" s="497"/>
      <c r="DNS3" s="496"/>
      <c r="DNT3" s="498"/>
      <c r="DNU3" s="498"/>
      <c r="DNV3" s="498"/>
      <c r="DNW3" s="466"/>
      <c r="DNX3" s="466"/>
      <c r="DNY3" s="497"/>
      <c r="DNZ3" s="496"/>
      <c r="DOA3" s="498"/>
      <c r="DOB3" s="498"/>
      <c r="DOC3" s="498"/>
      <c r="DOD3" s="466"/>
      <c r="DOE3" s="466"/>
      <c r="DOF3" s="497"/>
      <c r="DOG3" s="496"/>
      <c r="DOH3" s="498"/>
      <c r="DOI3" s="498"/>
      <c r="DOJ3" s="498"/>
      <c r="DOK3" s="466"/>
      <c r="DOL3" s="466"/>
      <c r="DOM3" s="497"/>
      <c r="DON3" s="496"/>
      <c r="DOO3" s="498"/>
      <c r="DOP3" s="498"/>
      <c r="DOQ3" s="498"/>
      <c r="DOR3" s="466"/>
      <c r="DOS3" s="466"/>
      <c r="DOT3" s="497"/>
      <c r="DOU3" s="496"/>
      <c r="DOV3" s="498"/>
      <c r="DOW3" s="498"/>
      <c r="DOX3" s="498"/>
      <c r="DOY3" s="466"/>
      <c r="DOZ3" s="466"/>
      <c r="DPA3" s="497"/>
      <c r="DPB3" s="496"/>
      <c r="DPC3" s="498"/>
      <c r="DPD3" s="498"/>
      <c r="DPE3" s="498"/>
      <c r="DPF3" s="466"/>
      <c r="DPG3" s="466"/>
      <c r="DPH3" s="497"/>
      <c r="DPI3" s="496"/>
      <c r="DPJ3" s="498"/>
      <c r="DPK3" s="498"/>
      <c r="DPL3" s="498"/>
      <c r="DPM3" s="466"/>
      <c r="DPN3" s="466"/>
      <c r="DPO3" s="497"/>
      <c r="DPP3" s="496"/>
      <c r="DPQ3" s="498"/>
      <c r="DPR3" s="498"/>
      <c r="DPS3" s="498"/>
      <c r="DPT3" s="466"/>
      <c r="DPU3" s="466"/>
      <c r="DPV3" s="497"/>
      <c r="DPW3" s="496"/>
      <c r="DPX3" s="498"/>
      <c r="DPY3" s="498"/>
      <c r="DPZ3" s="498"/>
      <c r="DQA3" s="466"/>
      <c r="DQB3" s="466"/>
      <c r="DQC3" s="497"/>
      <c r="DQD3" s="496"/>
      <c r="DQE3" s="498"/>
      <c r="DQF3" s="498"/>
      <c r="DQG3" s="498"/>
      <c r="DQH3" s="466"/>
      <c r="DQI3" s="466"/>
      <c r="DQJ3" s="497"/>
      <c r="DQK3" s="496"/>
      <c r="DQL3" s="498"/>
      <c r="DQM3" s="498"/>
      <c r="DQN3" s="498"/>
      <c r="DQO3" s="466"/>
      <c r="DQP3" s="466"/>
      <c r="DQQ3" s="497"/>
      <c r="DQR3" s="496"/>
      <c r="DQS3" s="498"/>
      <c r="DQT3" s="498"/>
      <c r="DQU3" s="498"/>
      <c r="DQV3" s="466"/>
      <c r="DQW3" s="466"/>
      <c r="DQX3" s="497"/>
      <c r="DQY3" s="496"/>
      <c r="DQZ3" s="498"/>
      <c r="DRA3" s="498"/>
      <c r="DRB3" s="498"/>
      <c r="DRC3" s="466"/>
      <c r="DRD3" s="466"/>
      <c r="DRE3" s="497"/>
      <c r="DRF3" s="496"/>
      <c r="DRG3" s="498"/>
      <c r="DRH3" s="498"/>
      <c r="DRI3" s="498"/>
      <c r="DRJ3" s="466"/>
      <c r="DRK3" s="466"/>
      <c r="DRL3" s="497"/>
      <c r="DRM3" s="496"/>
      <c r="DRN3" s="498"/>
      <c r="DRO3" s="498"/>
      <c r="DRP3" s="498"/>
      <c r="DRQ3" s="466"/>
      <c r="DRR3" s="466"/>
      <c r="DRS3" s="497"/>
      <c r="DRT3" s="496"/>
      <c r="DRU3" s="498"/>
      <c r="DRV3" s="498"/>
      <c r="DRW3" s="498"/>
      <c r="DRX3" s="466"/>
      <c r="DRY3" s="466"/>
      <c r="DRZ3" s="497"/>
      <c r="DSA3" s="496"/>
      <c r="DSB3" s="498"/>
      <c r="DSC3" s="498"/>
      <c r="DSD3" s="498"/>
      <c r="DSE3" s="466"/>
      <c r="DSF3" s="466"/>
      <c r="DSG3" s="497"/>
      <c r="DSH3" s="496"/>
      <c r="DSI3" s="498"/>
      <c r="DSJ3" s="498"/>
      <c r="DSK3" s="498"/>
      <c r="DSL3" s="466"/>
      <c r="DSM3" s="466"/>
      <c r="DSN3" s="497"/>
      <c r="DSO3" s="496"/>
      <c r="DSP3" s="498"/>
      <c r="DSQ3" s="498"/>
      <c r="DSR3" s="498"/>
      <c r="DSS3" s="466"/>
      <c r="DST3" s="466"/>
      <c r="DSU3" s="497"/>
      <c r="DSV3" s="496"/>
      <c r="DSW3" s="498"/>
      <c r="DSX3" s="498"/>
      <c r="DSY3" s="498"/>
      <c r="DSZ3" s="466"/>
      <c r="DTA3" s="466"/>
      <c r="DTB3" s="497"/>
      <c r="DTC3" s="496"/>
      <c r="DTD3" s="498"/>
      <c r="DTE3" s="498"/>
      <c r="DTF3" s="498"/>
      <c r="DTG3" s="466"/>
      <c r="DTH3" s="466"/>
      <c r="DTI3" s="497"/>
      <c r="DTJ3" s="496"/>
      <c r="DTK3" s="498"/>
      <c r="DTL3" s="498"/>
      <c r="DTM3" s="498"/>
      <c r="DTN3" s="466"/>
      <c r="DTO3" s="466"/>
      <c r="DTP3" s="497"/>
      <c r="DTQ3" s="496"/>
      <c r="DTR3" s="498"/>
      <c r="DTS3" s="498"/>
      <c r="DTT3" s="498"/>
      <c r="DTU3" s="466"/>
      <c r="DTV3" s="466"/>
      <c r="DTW3" s="497"/>
      <c r="DTX3" s="496"/>
      <c r="DTY3" s="498"/>
      <c r="DTZ3" s="498"/>
      <c r="DUA3" s="498"/>
      <c r="DUB3" s="466"/>
      <c r="DUC3" s="466"/>
      <c r="DUD3" s="497"/>
      <c r="DUE3" s="496"/>
      <c r="DUF3" s="498"/>
      <c r="DUG3" s="498"/>
      <c r="DUH3" s="498"/>
      <c r="DUI3" s="466"/>
      <c r="DUJ3" s="466"/>
      <c r="DUK3" s="497"/>
      <c r="DUL3" s="496"/>
      <c r="DUM3" s="498"/>
      <c r="DUN3" s="498"/>
      <c r="DUO3" s="498"/>
      <c r="DUP3" s="466"/>
      <c r="DUQ3" s="466"/>
      <c r="DUR3" s="497"/>
      <c r="DUS3" s="496"/>
      <c r="DUT3" s="498"/>
      <c r="DUU3" s="498"/>
      <c r="DUV3" s="498"/>
      <c r="DUW3" s="466"/>
      <c r="DUX3" s="466"/>
      <c r="DUY3" s="497"/>
      <c r="DUZ3" s="496"/>
      <c r="DVA3" s="498"/>
      <c r="DVB3" s="498"/>
      <c r="DVC3" s="498"/>
      <c r="DVD3" s="466"/>
      <c r="DVE3" s="466"/>
      <c r="DVF3" s="497"/>
      <c r="DVG3" s="496"/>
      <c r="DVH3" s="498"/>
      <c r="DVI3" s="498"/>
      <c r="DVJ3" s="498"/>
      <c r="DVK3" s="466"/>
      <c r="DVL3" s="466"/>
      <c r="DVM3" s="497"/>
      <c r="DVN3" s="496"/>
      <c r="DVO3" s="498"/>
      <c r="DVP3" s="498"/>
      <c r="DVQ3" s="498"/>
      <c r="DVR3" s="466"/>
      <c r="DVS3" s="466"/>
      <c r="DVT3" s="497"/>
      <c r="DVU3" s="496"/>
      <c r="DVV3" s="498"/>
      <c r="DVW3" s="498"/>
      <c r="DVX3" s="498"/>
      <c r="DVY3" s="466"/>
      <c r="DVZ3" s="466"/>
      <c r="DWA3" s="497"/>
      <c r="DWB3" s="496"/>
      <c r="DWC3" s="498"/>
      <c r="DWD3" s="498"/>
      <c r="DWE3" s="498"/>
      <c r="DWF3" s="466"/>
      <c r="DWG3" s="466"/>
      <c r="DWH3" s="497"/>
      <c r="DWI3" s="496"/>
      <c r="DWJ3" s="498"/>
      <c r="DWK3" s="498"/>
      <c r="DWL3" s="498"/>
      <c r="DWM3" s="466"/>
      <c r="DWN3" s="466"/>
      <c r="DWO3" s="497"/>
      <c r="DWP3" s="496"/>
      <c r="DWQ3" s="498"/>
      <c r="DWR3" s="498"/>
      <c r="DWS3" s="498"/>
      <c r="DWT3" s="466"/>
      <c r="DWU3" s="466"/>
      <c r="DWV3" s="497"/>
      <c r="DWW3" s="496"/>
      <c r="DWX3" s="498"/>
      <c r="DWY3" s="498"/>
      <c r="DWZ3" s="498"/>
      <c r="DXA3" s="466"/>
      <c r="DXB3" s="466"/>
      <c r="DXC3" s="497"/>
      <c r="DXD3" s="496"/>
      <c r="DXE3" s="498"/>
      <c r="DXF3" s="498"/>
      <c r="DXG3" s="498"/>
      <c r="DXH3" s="466"/>
      <c r="DXI3" s="466"/>
      <c r="DXJ3" s="497"/>
      <c r="DXK3" s="496"/>
      <c r="DXL3" s="498"/>
      <c r="DXM3" s="498"/>
      <c r="DXN3" s="498"/>
      <c r="DXO3" s="466"/>
      <c r="DXP3" s="466"/>
      <c r="DXQ3" s="497"/>
      <c r="DXR3" s="496"/>
      <c r="DXS3" s="498"/>
      <c r="DXT3" s="498"/>
      <c r="DXU3" s="498"/>
      <c r="DXV3" s="466"/>
      <c r="DXW3" s="466"/>
      <c r="DXX3" s="497"/>
      <c r="DXY3" s="496"/>
      <c r="DXZ3" s="498"/>
      <c r="DYA3" s="498"/>
      <c r="DYB3" s="498"/>
      <c r="DYC3" s="466"/>
      <c r="DYD3" s="466"/>
      <c r="DYE3" s="497"/>
      <c r="DYF3" s="496"/>
      <c r="DYG3" s="498"/>
      <c r="DYH3" s="498"/>
      <c r="DYI3" s="498"/>
      <c r="DYJ3" s="466"/>
      <c r="DYK3" s="466"/>
      <c r="DYL3" s="497"/>
      <c r="DYM3" s="496"/>
      <c r="DYN3" s="498"/>
      <c r="DYO3" s="498"/>
      <c r="DYP3" s="498"/>
      <c r="DYQ3" s="466"/>
      <c r="DYR3" s="466"/>
      <c r="DYS3" s="497"/>
      <c r="DYT3" s="496"/>
      <c r="DYU3" s="498"/>
      <c r="DYV3" s="498"/>
      <c r="DYW3" s="498"/>
      <c r="DYX3" s="466"/>
      <c r="DYY3" s="466"/>
      <c r="DYZ3" s="497"/>
      <c r="DZA3" s="496"/>
      <c r="DZB3" s="498"/>
      <c r="DZC3" s="498"/>
      <c r="DZD3" s="498"/>
      <c r="DZE3" s="466"/>
      <c r="DZF3" s="466"/>
      <c r="DZG3" s="497"/>
      <c r="DZH3" s="496"/>
      <c r="DZI3" s="498"/>
      <c r="DZJ3" s="498"/>
      <c r="DZK3" s="498"/>
      <c r="DZL3" s="466"/>
      <c r="DZM3" s="466"/>
      <c r="DZN3" s="497"/>
      <c r="DZO3" s="496"/>
      <c r="DZP3" s="498"/>
      <c r="DZQ3" s="498"/>
      <c r="DZR3" s="498"/>
      <c r="DZS3" s="466"/>
      <c r="DZT3" s="466"/>
      <c r="DZU3" s="497"/>
      <c r="DZV3" s="496"/>
      <c r="DZW3" s="498"/>
      <c r="DZX3" s="498"/>
      <c r="DZY3" s="498"/>
      <c r="DZZ3" s="466"/>
      <c r="EAA3" s="466"/>
      <c r="EAB3" s="497"/>
      <c r="EAC3" s="496"/>
      <c r="EAD3" s="498"/>
      <c r="EAE3" s="498"/>
      <c r="EAF3" s="498"/>
      <c r="EAG3" s="466"/>
      <c r="EAH3" s="466"/>
      <c r="EAI3" s="497"/>
      <c r="EAJ3" s="496"/>
      <c r="EAK3" s="498"/>
      <c r="EAL3" s="498"/>
      <c r="EAM3" s="498"/>
      <c r="EAN3" s="466"/>
      <c r="EAO3" s="466"/>
      <c r="EAP3" s="497"/>
      <c r="EAQ3" s="496"/>
      <c r="EAR3" s="498"/>
      <c r="EAS3" s="498"/>
      <c r="EAT3" s="498"/>
      <c r="EAU3" s="466"/>
      <c r="EAV3" s="466"/>
      <c r="EAW3" s="497"/>
      <c r="EAX3" s="496"/>
      <c r="EAY3" s="498"/>
      <c r="EAZ3" s="498"/>
      <c r="EBA3" s="498"/>
      <c r="EBB3" s="466"/>
      <c r="EBC3" s="466"/>
      <c r="EBD3" s="497"/>
      <c r="EBE3" s="496"/>
      <c r="EBF3" s="498"/>
      <c r="EBG3" s="498"/>
      <c r="EBH3" s="498"/>
      <c r="EBI3" s="466"/>
      <c r="EBJ3" s="466"/>
      <c r="EBK3" s="497"/>
      <c r="EBL3" s="496"/>
      <c r="EBM3" s="498"/>
      <c r="EBN3" s="498"/>
      <c r="EBO3" s="498"/>
      <c r="EBP3" s="466"/>
      <c r="EBQ3" s="466"/>
      <c r="EBR3" s="497"/>
      <c r="EBS3" s="496"/>
      <c r="EBT3" s="498"/>
      <c r="EBU3" s="498"/>
      <c r="EBV3" s="498"/>
      <c r="EBW3" s="466"/>
      <c r="EBX3" s="466"/>
      <c r="EBY3" s="497"/>
      <c r="EBZ3" s="496"/>
      <c r="ECA3" s="498"/>
      <c r="ECB3" s="498"/>
      <c r="ECC3" s="498"/>
      <c r="ECD3" s="466"/>
      <c r="ECE3" s="466"/>
      <c r="ECF3" s="497"/>
      <c r="ECG3" s="496"/>
      <c r="ECH3" s="498"/>
      <c r="ECI3" s="498"/>
      <c r="ECJ3" s="498"/>
      <c r="ECK3" s="466"/>
      <c r="ECL3" s="466"/>
      <c r="ECM3" s="497"/>
      <c r="ECN3" s="496"/>
      <c r="ECO3" s="498"/>
      <c r="ECP3" s="498"/>
      <c r="ECQ3" s="498"/>
      <c r="ECR3" s="466"/>
      <c r="ECS3" s="466"/>
      <c r="ECT3" s="497"/>
      <c r="ECU3" s="496"/>
      <c r="ECV3" s="498"/>
      <c r="ECW3" s="498"/>
      <c r="ECX3" s="498"/>
      <c r="ECY3" s="466"/>
      <c r="ECZ3" s="466"/>
      <c r="EDA3" s="497"/>
      <c r="EDB3" s="496"/>
      <c r="EDC3" s="498"/>
      <c r="EDD3" s="498"/>
      <c r="EDE3" s="498"/>
      <c r="EDF3" s="466"/>
      <c r="EDG3" s="466"/>
      <c r="EDH3" s="497"/>
      <c r="EDI3" s="496"/>
      <c r="EDJ3" s="498"/>
      <c r="EDK3" s="498"/>
      <c r="EDL3" s="498"/>
      <c r="EDM3" s="466"/>
      <c r="EDN3" s="466"/>
      <c r="EDO3" s="497"/>
      <c r="EDP3" s="496"/>
      <c r="EDQ3" s="498"/>
      <c r="EDR3" s="498"/>
      <c r="EDS3" s="498"/>
      <c r="EDT3" s="466"/>
      <c r="EDU3" s="466"/>
      <c r="EDV3" s="497"/>
      <c r="EDW3" s="496"/>
      <c r="EDX3" s="498"/>
      <c r="EDY3" s="498"/>
      <c r="EDZ3" s="498"/>
      <c r="EEA3" s="466"/>
      <c r="EEB3" s="466"/>
      <c r="EEC3" s="497"/>
      <c r="EED3" s="496"/>
      <c r="EEE3" s="498"/>
      <c r="EEF3" s="498"/>
      <c r="EEG3" s="498"/>
      <c r="EEH3" s="466"/>
      <c r="EEI3" s="466"/>
      <c r="EEJ3" s="497"/>
      <c r="EEK3" s="496"/>
      <c r="EEL3" s="498"/>
      <c r="EEM3" s="498"/>
      <c r="EEN3" s="498"/>
      <c r="EEO3" s="466"/>
      <c r="EEP3" s="466"/>
      <c r="EEQ3" s="497"/>
      <c r="EER3" s="496"/>
      <c r="EES3" s="498"/>
      <c r="EET3" s="498"/>
      <c r="EEU3" s="498"/>
      <c r="EEV3" s="466"/>
      <c r="EEW3" s="466"/>
      <c r="EEX3" s="497"/>
      <c r="EEY3" s="496"/>
      <c r="EEZ3" s="498"/>
      <c r="EFA3" s="498"/>
      <c r="EFB3" s="498"/>
      <c r="EFC3" s="466"/>
      <c r="EFD3" s="466"/>
      <c r="EFE3" s="497"/>
      <c r="EFF3" s="496"/>
      <c r="EFG3" s="498"/>
      <c r="EFH3" s="498"/>
      <c r="EFI3" s="498"/>
      <c r="EFJ3" s="466"/>
      <c r="EFK3" s="466"/>
      <c r="EFL3" s="497"/>
      <c r="EFM3" s="496"/>
      <c r="EFN3" s="498"/>
      <c r="EFO3" s="498"/>
      <c r="EFP3" s="498"/>
      <c r="EFQ3" s="466"/>
      <c r="EFR3" s="466"/>
      <c r="EFS3" s="497"/>
      <c r="EFT3" s="496"/>
      <c r="EFU3" s="498"/>
      <c r="EFV3" s="498"/>
      <c r="EFW3" s="498"/>
      <c r="EFX3" s="466"/>
      <c r="EFY3" s="466"/>
      <c r="EFZ3" s="497"/>
      <c r="EGA3" s="496"/>
      <c r="EGB3" s="498"/>
      <c r="EGC3" s="498"/>
      <c r="EGD3" s="498"/>
      <c r="EGE3" s="466"/>
      <c r="EGF3" s="466"/>
      <c r="EGG3" s="497"/>
      <c r="EGH3" s="496"/>
      <c r="EGI3" s="498"/>
      <c r="EGJ3" s="498"/>
      <c r="EGK3" s="498"/>
      <c r="EGL3" s="466"/>
      <c r="EGM3" s="466"/>
      <c r="EGN3" s="497"/>
      <c r="EGO3" s="496"/>
      <c r="EGP3" s="498"/>
      <c r="EGQ3" s="498"/>
      <c r="EGR3" s="498"/>
      <c r="EGS3" s="466"/>
      <c r="EGT3" s="466"/>
      <c r="EGU3" s="497"/>
      <c r="EGV3" s="496"/>
      <c r="EGW3" s="498"/>
      <c r="EGX3" s="498"/>
      <c r="EGY3" s="498"/>
      <c r="EGZ3" s="466"/>
      <c r="EHA3" s="466"/>
      <c r="EHB3" s="497"/>
      <c r="EHC3" s="496"/>
      <c r="EHD3" s="498"/>
      <c r="EHE3" s="498"/>
      <c r="EHF3" s="498"/>
      <c r="EHG3" s="466"/>
      <c r="EHH3" s="466"/>
      <c r="EHI3" s="497"/>
      <c r="EHJ3" s="496"/>
      <c r="EHK3" s="498"/>
      <c r="EHL3" s="498"/>
      <c r="EHM3" s="498"/>
      <c r="EHN3" s="466"/>
      <c r="EHO3" s="466"/>
      <c r="EHP3" s="497"/>
      <c r="EHQ3" s="496"/>
      <c r="EHR3" s="498"/>
      <c r="EHS3" s="498"/>
      <c r="EHT3" s="498"/>
      <c r="EHU3" s="466"/>
      <c r="EHV3" s="466"/>
      <c r="EHW3" s="497"/>
      <c r="EHX3" s="496"/>
      <c r="EHY3" s="498"/>
      <c r="EHZ3" s="498"/>
      <c r="EIA3" s="498"/>
      <c r="EIB3" s="466"/>
      <c r="EIC3" s="466"/>
      <c r="EID3" s="497"/>
      <c r="EIE3" s="496"/>
      <c r="EIF3" s="498"/>
      <c r="EIG3" s="498"/>
      <c r="EIH3" s="498"/>
      <c r="EII3" s="466"/>
      <c r="EIJ3" s="466"/>
      <c r="EIK3" s="497"/>
      <c r="EIL3" s="496"/>
      <c r="EIM3" s="498"/>
      <c r="EIN3" s="498"/>
      <c r="EIO3" s="498"/>
      <c r="EIP3" s="466"/>
      <c r="EIQ3" s="466"/>
      <c r="EIR3" s="497"/>
      <c r="EIS3" s="496"/>
      <c r="EIT3" s="498"/>
      <c r="EIU3" s="498"/>
      <c r="EIV3" s="498"/>
      <c r="EIW3" s="466"/>
      <c r="EIX3" s="466"/>
      <c r="EIY3" s="497"/>
      <c r="EIZ3" s="496"/>
      <c r="EJA3" s="498"/>
      <c r="EJB3" s="498"/>
      <c r="EJC3" s="498"/>
      <c r="EJD3" s="466"/>
      <c r="EJE3" s="466"/>
      <c r="EJF3" s="497"/>
      <c r="EJG3" s="496"/>
      <c r="EJH3" s="498"/>
      <c r="EJI3" s="498"/>
      <c r="EJJ3" s="498"/>
      <c r="EJK3" s="466"/>
      <c r="EJL3" s="466"/>
      <c r="EJM3" s="497"/>
      <c r="EJN3" s="496"/>
      <c r="EJO3" s="498"/>
      <c r="EJP3" s="498"/>
      <c r="EJQ3" s="498"/>
      <c r="EJR3" s="466"/>
      <c r="EJS3" s="466"/>
      <c r="EJT3" s="497"/>
      <c r="EJU3" s="496"/>
      <c r="EJV3" s="498"/>
      <c r="EJW3" s="498"/>
      <c r="EJX3" s="498"/>
      <c r="EJY3" s="466"/>
      <c r="EJZ3" s="466"/>
      <c r="EKA3" s="497"/>
      <c r="EKB3" s="496"/>
      <c r="EKC3" s="498"/>
      <c r="EKD3" s="498"/>
      <c r="EKE3" s="498"/>
      <c r="EKF3" s="466"/>
      <c r="EKG3" s="466"/>
      <c r="EKH3" s="497"/>
      <c r="EKI3" s="496"/>
      <c r="EKJ3" s="498"/>
      <c r="EKK3" s="498"/>
      <c r="EKL3" s="498"/>
      <c r="EKM3" s="466"/>
      <c r="EKN3" s="466"/>
      <c r="EKO3" s="497"/>
      <c r="EKP3" s="496"/>
      <c r="EKQ3" s="498"/>
      <c r="EKR3" s="498"/>
      <c r="EKS3" s="498"/>
      <c r="EKT3" s="466"/>
      <c r="EKU3" s="466"/>
      <c r="EKV3" s="497"/>
      <c r="EKW3" s="496"/>
      <c r="EKX3" s="498"/>
      <c r="EKY3" s="498"/>
      <c r="EKZ3" s="498"/>
      <c r="ELA3" s="466"/>
      <c r="ELB3" s="466"/>
      <c r="ELC3" s="497"/>
      <c r="ELD3" s="496"/>
      <c r="ELE3" s="498"/>
      <c r="ELF3" s="498"/>
      <c r="ELG3" s="498"/>
      <c r="ELH3" s="466"/>
      <c r="ELI3" s="466"/>
      <c r="ELJ3" s="497"/>
      <c r="ELK3" s="496"/>
      <c r="ELL3" s="498"/>
      <c r="ELM3" s="498"/>
      <c r="ELN3" s="498"/>
      <c r="ELO3" s="466"/>
      <c r="ELP3" s="466"/>
      <c r="ELQ3" s="497"/>
      <c r="ELR3" s="496"/>
      <c r="ELS3" s="498"/>
      <c r="ELT3" s="498"/>
      <c r="ELU3" s="498"/>
      <c r="ELV3" s="466"/>
      <c r="ELW3" s="466"/>
      <c r="ELX3" s="497"/>
      <c r="ELY3" s="496"/>
      <c r="ELZ3" s="498"/>
      <c r="EMA3" s="498"/>
      <c r="EMB3" s="498"/>
      <c r="EMC3" s="466"/>
      <c r="EMD3" s="466"/>
      <c r="EME3" s="497"/>
      <c r="EMF3" s="496"/>
      <c r="EMG3" s="498"/>
      <c r="EMH3" s="498"/>
      <c r="EMI3" s="498"/>
      <c r="EMJ3" s="466"/>
      <c r="EMK3" s="466"/>
      <c r="EML3" s="497"/>
      <c r="EMM3" s="496"/>
      <c r="EMN3" s="498"/>
      <c r="EMO3" s="498"/>
      <c r="EMP3" s="498"/>
      <c r="EMQ3" s="466"/>
      <c r="EMR3" s="466"/>
      <c r="EMS3" s="497"/>
      <c r="EMT3" s="496"/>
      <c r="EMU3" s="498"/>
      <c r="EMV3" s="498"/>
      <c r="EMW3" s="498"/>
      <c r="EMX3" s="466"/>
      <c r="EMY3" s="466"/>
      <c r="EMZ3" s="497"/>
      <c r="ENA3" s="496"/>
      <c r="ENB3" s="498"/>
      <c r="ENC3" s="498"/>
      <c r="END3" s="498"/>
      <c r="ENE3" s="466"/>
      <c r="ENF3" s="466"/>
      <c r="ENG3" s="497"/>
      <c r="ENH3" s="496"/>
      <c r="ENI3" s="498"/>
      <c r="ENJ3" s="498"/>
      <c r="ENK3" s="498"/>
      <c r="ENL3" s="466"/>
      <c r="ENM3" s="466"/>
      <c r="ENN3" s="497"/>
      <c r="ENO3" s="496"/>
      <c r="ENP3" s="498"/>
      <c r="ENQ3" s="498"/>
      <c r="ENR3" s="498"/>
      <c r="ENS3" s="466"/>
      <c r="ENT3" s="466"/>
      <c r="ENU3" s="497"/>
      <c r="ENV3" s="496"/>
      <c r="ENW3" s="498"/>
      <c r="ENX3" s="498"/>
      <c r="ENY3" s="498"/>
      <c r="ENZ3" s="466"/>
      <c r="EOA3" s="466"/>
      <c r="EOB3" s="497"/>
      <c r="EOC3" s="496"/>
      <c r="EOD3" s="498"/>
      <c r="EOE3" s="498"/>
      <c r="EOF3" s="498"/>
      <c r="EOG3" s="466"/>
      <c r="EOH3" s="466"/>
      <c r="EOI3" s="497"/>
      <c r="EOJ3" s="496"/>
      <c r="EOK3" s="498"/>
      <c r="EOL3" s="498"/>
      <c r="EOM3" s="498"/>
      <c r="EON3" s="466"/>
      <c r="EOO3" s="466"/>
      <c r="EOP3" s="497"/>
      <c r="EOQ3" s="496"/>
      <c r="EOR3" s="498"/>
      <c r="EOS3" s="498"/>
      <c r="EOT3" s="498"/>
      <c r="EOU3" s="466"/>
      <c r="EOV3" s="466"/>
      <c r="EOW3" s="497"/>
      <c r="EOX3" s="496"/>
      <c r="EOY3" s="498"/>
      <c r="EOZ3" s="498"/>
      <c r="EPA3" s="498"/>
      <c r="EPB3" s="466"/>
      <c r="EPC3" s="466"/>
      <c r="EPD3" s="497"/>
      <c r="EPE3" s="496"/>
      <c r="EPF3" s="498"/>
      <c r="EPG3" s="498"/>
      <c r="EPH3" s="498"/>
      <c r="EPI3" s="466"/>
      <c r="EPJ3" s="466"/>
      <c r="EPK3" s="497"/>
      <c r="EPL3" s="496"/>
      <c r="EPM3" s="498"/>
      <c r="EPN3" s="498"/>
      <c r="EPO3" s="498"/>
      <c r="EPP3" s="466"/>
      <c r="EPQ3" s="466"/>
      <c r="EPR3" s="497"/>
      <c r="EPS3" s="496"/>
      <c r="EPT3" s="498"/>
      <c r="EPU3" s="498"/>
      <c r="EPV3" s="498"/>
      <c r="EPW3" s="466"/>
      <c r="EPX3" s="466"/>
      <c r="EPY3" s="497"/>
      <c r="EPZ3" s="496"/>
      <c r="EQA3" s="498"/>
      <c r="EQB3" s="498"/>
      <c r="EQC3" s="498"/>
      <c r="EQD3" s="466"/>
      <c r="EQE3" s="466"/>
      <c r="EQF3" s="497"/>
      <c r="EQG3" s="496"/>
      <c r="EQH3" s="498"/>
      <c r="EQI3" s="498"/>
      <c r="EQJ3" s="498"/>
      <c r="EQK3" s="466"/>
      <c r="EQL3" s="466"/>
      <c r="EQM3" s="497"/>
      <c r="EQN3" s="496"/>
      <c r="EQO3" s="498"/>
      <c r="EQP3" s="498"/>
      <c r="EQQ3" s="498"/>
      <c r="EQR3" s="466"/>
      <c r="EQS3" s="466"/>
      <c r="EQT3" s="497"/>
      <c r="EQU3" s="496"/>
      <c r="EQV3" s="498"/>
      <c r="EQW3" s="498"/>
      <c r="EQX3" s="498"/>
      <c r="EQY3" s="466"/>
      <c r="EQZ3" s="466"/>
      <c r="ERA3" s="497"/>
      <c r="ERB3" s="496"/>
      <c r="ERC3" s="498"/>
      <c r="ERD3" s="498"/>
      <c r="ERE3" s="498"/>
      <c r="ERF3" s="466"/>
      <c r="ERG3" s="466"/>
      <c r="ERH3" s="497"/>
      <c r="ERI3" s="496"/>
      <c r="ERJ3" s="498"/>
      <c r="ERK3" s="498"/>
      <c r="ERL3" s="498"/>
      <c r="ERM3" s="466"/>
      <c r="ERN3" s="466"/>
      <c r="ERO3" s="497"/>
      <c r="ERP3" s="496"/>
      <c r="ERQ3" s="498"/>
      <c r="ERR3" s="498"/>
      <c r="ERS3" s="498"/>
      <c r="ERT3" s="466"/>
      <c r="ERU3" s="466"/>
      <c r="ERV3" s="497"/>
      <c r="ERW3" s="496"/>
      <c r="ERX3" s="498"/>
      <c r="ERY3" s="498"/>
      <c r="ERZ3" s="498"/>
      <c r="ESA3" s="466"/>
      <c r="ESB3" s="466"/>
      <c r="ESC3" s="497"/>
      <c r="ESD3" s="496"/>
      <c r="ESE3" s="498"/>
      <c r="ESF3" s="498"/>
      <c r="ESG3" s="498"/>
      <c r="ESH3" s="466"/>
      <c r="ESI3" s="466"/>
      <c r="ESJ3" s="497"/>
      <c r="ESK3" s="496"/>
      <c r="ESL3" s="498"/>
      <c r="ESM3" s="498"/>
      <c r="ESN3" s="498"/>
      <c r="ESO3" s="466"/>
      <c r="ESP3" s="466"/>
      <c r="ESQ3" s="497"/>
      <c r="ESR3" s="496"/>
      <c r="ESS3" s="498"/>
      <c r="EST3" s="498"/>
      <c r="ESU3" s="498"/>
      <c r="ESV3" s="466"/>
      <c r="ESW3" s="466"/>
      <c r="ESX3" s="497"/>
      <c r="ESY3" s="496"/>
      <c r="ESZ3" s="498"/>
      <c r="ETA3" s="498"/>
      <c r="ETB3" s="498"/>
      <c r="ETC3" s="466"/>
      <c r="ETD3" s="466"/>
      <c r="ETE3" s="497"/>
      <c r="ETF3" s="496"/>
      <c r="ETG3" s="498"/>
      <c r="ETH3" s="498"/>
      <c r="ETI3" s="498"/>
      <c r="ETJ3" s="466"/>
      <c r="ETK3" s="466"/>
      <c r="ETL3" s="497"/>
      <c r="ETM3" s="496"/>
      <c r="ETN3" s="498"/>
      <c r="ETO3" s="498"/>
      <c r="ETP3" s="498"/>
      <c r="ETQ3" s="466"/>
      <c r="ETR3" s="466"/>
      <c r="ETS3" s="497"/>
      <c r="ETT3" s="496"/>
      <c r="ETU3" s="498"/>
      <c r="ETV3" s="498"/>
      <c r="ETW3" s="498"/>
      <c r="ETX3" s="466"/>
      <c r="ETY3" s="466"/>
      <c r="ETZ3" s="497"/>
      <c r="EUA3" s="496"/>
      <c r="EUB3" s="498"/>
      <c r="EUC3" s="498"/>
      <c r="EUD3" s="498"/>
      <c r="EUE3" s="466"/>
      <c r="EUF3" s="466"/>
      <c r="EUG3" s="497"/>
      <c r="EUH3" s="496"/>
      <c r="EUI3" s="498"/>
      <c r="EUJ3" s="498"/>
      <c r="EUK3" s="498"/>
      <c r="EUL3" s="466"/>
      <c r="EUM3" s="466"/>
      <c r="EUN3" s="497"/>
      <c r="EUO3" s="496"/>
      <c r="EUP3" s="498"/>
      <c r="EUQ3" s="498"/>
      <c r="EUR3" s="498"/>
      <c r="EUS3" s="466"/>
      <c r="EUT3" s="466"/>
      <c r="EUU3" s="497"/>
      <c r="EUV3" s="496"/>
      <c r="EUW3" s="498"/>
      <c r="EUX3" s="498"/>
      <c r="EUY3" s="498"/>
      <c r="EUZ3" s="466"/>
      <c r="EVA3" s="466"/>
      <c r="EVB3" s="497"/>
      <c r="EVC3" s="496"/>
      <c r="EVD3" s="498"/>
      <c r="EVE3" s="498"/>
      <c r="EVF3" s="498"/>
      <c r="EVG3" s="466"/>
      <c r="EVH3" s="466"/>
      <c r="EVI3" s="497"/>
      <c r="EVJ3" s="496"/>
      <c r="EVK3" s="498"/>
      <c r="EVL3" s="498"/>
      <c r="EVM3" s="498"/>
      <c r="EVN3" s="466"/>
      <c r="EVO3" s="466"/>
      <c r="EVP3" s="497"/>
      <c r="EVQ3" s="496"/>
      <c r="EVR3" s="498"/>
      <c r="EVS3" s="498"/>
      <c r="EVT3" s="498"/>
      <c r="EVU3" s="466"/>
      <c r="EVV3" s="466"/>
      <c r="EVW3" s="497"/>
      <c r="EVX3" s="496"/>
      <c r="EVY3" s="498"/>
      <c r="EVZ3" s="498"/>
      <c r="EWA3" s="498"/>
      <c r="EWB3" s="466"/>
      <c r="EWC3" s="466"/>
      <c r="EWD3" s="497"/>
      <c r="EWE3" s="496"/>
      <c r="EWF3" s="498"/>
      <c r="EWG3" s="498"/>
      <c r="EWH3" s="498"/>
      <c r="EWI3" s="466"/>
      <c r="EWJ3" s="466"/>
      <c r="EWK3" s="497"/>
      <c r="EWL3" s="496"/>
      <c r="EWM3" s="498"/>
      <c r="EWN3" s="498"/>
      <c r="EWO3" s="498"/>
      <c r="EWP3" s="466"/>
      <c r="EWQ3" s="466"/>
      <c r="EWR3" s="497"/>
      <c r="EWS3" s="496"/>
      <c r="EWT3" s="498"/>
      <c r="EWU3" s="498"/>
      <c r="EWV3" s="498"/>
      <c r="EWW3" s="466"/>
      <c r="EWX3" s="466"/>
      <c r="EWY3" s="497"/>
      <c r="EWZ3" s="496"/>
      <c r="EXA3" s="498"/>
      <c r="EXB3" s="498"/>
      <c r="EXC3" s="498"/>
      <c r="EXD3" s="466"/>
      <c r="EXE3" s="466"/>
      <c r="EXF3" s="497"/>
      <c r="EXG3" s="496"/>
      <c r="EXH3" s="498"/>
      <c r="EXI3" s="498"/>
      <c r="EXJ3" s="498"/>
      <c r="EXK3" s="466"/>
      <c r="EXL3" s="466"/>
      <c r="EXM3" s="497"/>
      <c r="EXN3" s="496"/>
      <c r="EXO3" s="498"/>
      <c r="EXP3" s="498"/>
      <c r="EXQ3" s="498"/>
      <c r="EXR3" s="466"/>
      <c r="EXS3" s="466"/>
      <c r="EXT3" s="497"/>
      <c r="EXU3" s="496"/>
      <c r="EXV3" s="498"/>
      <c r="EXW3" s="498"/>
      <c r="EXX3" s="498"/>
      <c r="EXY3" s="466"/>
      <c r="EXZ3" s="466"/>
      <c r="EYA3" s="497"/>
      <c r="EYB3" s="496"/>
      <c r="EYC3" s="498"/>
      <c r="EYD3" s="498"/>
      <c r="EYE3" s="498"/>
      <c r="EYF3" s="466"/>
      <c r="EYG3" s="466"/>
      <c r="EYH3" s="497"/>
      <c r="EYI3" s="496"/>
      <c r="EYJ3" s="498"/>
      <c r="EYK3" s="498"/>
      <c r="EYL3" s="498"/>
      <c r="EYM3" s="466"/>
      <c r="EYN3" s="466"/>
      <c r="EYO3" s="497"/>
      <c r="EYP3" s="496"/>
      <c r="EYQ3" s="498"/>
      <c r="EYR3" s="498"/>
      <c r="EYS3" s="498"/>
      <c r="EYT3" s="466"/>
      <c r="EYU3" s="466"/>
      <c r="EYV3" s="497"/>
      <c r="EYW3" s="496"/>
      <c r="EYX3" s="498"/>
      <c r="EYY3" s="498"/>
      <c r="EYZ3" s="498"/>
      <c r="EZA3" s="466"/>
      <c r="EZB3" s="466"/>
      <c r="EZC3" s="497"/>
      <c r="EZD3" s="496"/>
      <c r="EZE3" s="498"/>
      <c r="EZF3" s="498"/>
      <c r="EZG3" s="498"/>
      <c r="EZH3" s="466"/>
      <c r="EZI3" s="466"/>
      <c r="EZJ3" s="497"/>
      <c r="EZK3" s="496"/>
      <c r="EZL3" s="498"/>
      <c r="EZM3" s="498"/>
      <c r="EZN3" s="498"/>
      <c r="EZO3" s="466"/>
      <c r="EZP3" s="466"/>
      <c r="EZQ3" s="497"/>
      <c r="EZR3" s="496"/>
      <c r="EZS3" s="498"/>
      <c r="EZT3" s="498"/>
      <c r="EZU3" s="498"/>
      <c r="EZV3" s="466"/>
      <c r="EZW3" s="466"/>
      <c r="EZX3" s="497"/>
      <c r="EZY3" s="496"/>
      <c r="EZZ3" s="498"/>
      <c r="FAA3" s="498"/>
      <c r="FAB3" s="498"/>
      <c r="FAC3" s="466"/>
      <c r="FAD3" s="466"/>
      <c r="FAE3" s="497"/>
      <c r="FAF3" s="496"/>
      <c r="FAG3" s="498"/>
      <c r="FAH3" s="498"/>
      <c r="FAI3" s="498"/>
      <c r="FAJ3" s="466"/>
      <c r="FAK3" s="466"/>
      <c r="FAL3" s="497"/>
      <c r="FAM3" s="496"/>
      <c r="FAN3" s="498"/>
      <c r="FAO3" s="498"/>
      <c r="FAP3" s="498"/>
      <c r="FAQ3" s="466"/>
      <c r="FAR3" s="466"/>
      <c r="FAS3" s="497"/>
      <c r="FAT3" s="496"/>
      <c r="FAU3" s="498"/>
      <c r="FAV3" s="498"/>
      <c r="FAW3" s="498"/>
      <c r="FAX3" s="466"/>
      <c r="FAY3" s="466"/>
      <c r="FAZ3" s="497"/>
      <c r="FBA3" s="496"/>
      <c r="FBB3" s="498"/>
      <c r="FBC3" s="498"/>
      <c r="FBD3" s="498"/>
      <c r="FBE3" s="466"/>
      <c r="FBF3" s="466"/>
      <c r="FBG3" s="497"/>
      <c r="FBH3" s="496"/>
      <c r="FBI3" s="498"/>
      <c r="FBJ3" s="498"/>
      <c r="FBK3" s="498"/>
      <c r="FBL3" s="466"/>
      <c r="FBM3" s="466"/>
      <c r="FBN3" s="497"/>
      <c r="FBO3" s="496"/>
      <c r="FBP3" s="498"/>
      <c r="FBQ3" s="498"/>
      <c r="FBR3" s="498"/>
      <c r="FBS3" s="466"/>
      <c r="FBT3" s="466"/>
      <c r="FBU3" s="497"/>
      <c r="FBV3" s="496"/>
      <c r="FBW3" s="498"/>
      <c r="FBX3" s="498"/>
      <c r="FBY3" s="498"/>
      <c r="FBZ3" s="466"/>
      <c r="FCA3" s="466"/>
      <c r="FCB3" s="497"/>
      <c r="FCC3" s="496"/>
      <c r="FCD3" s="498"/>
      <c r="FCE3" s="498"/>
      <c r="FCF3" s="498"/>
      <c r="FCG3" s="466"/>
      <c r="FCH3" s="466"/>
      <c r="FCI3" s="497"/>
      <c r="FCJ3" s="496"/>
      <c r="FCK3" s="498"/>
      <c r="FCL3" s="498"/>
      <c r="FCM3" s="498"/>
      <c r="FCN3" s="466"/>
      <c r="FCO3" s="466"/>
      <c r="FCP3" s="497"/>
      <c r="FCQ3" s="496"/>
      <c r="FCR3" s="498"/>
      <c r="FCS3" s="498"/>
      <c r="FCT3" s="498"/>
      <c r="FCU3" s="466"/>
      <c r="FCV3" s="466"/>
      <c r="FCW3" s="497"/>
      <c r="FCX3" s="496"/>
      <c r="FCY3" s="498"/>
      <c r="FCZ3" s="498"/>
      <c r="FDA3" s="498"/>
      <c r="FDB3" s="466"/>
      <c r="FDC3" s="466"/>
      <c r="FDD3" s="497"/>
      <c r="FDE3" s="496"/>
      <c r="FDF3" s="498"/>
      <c r="FDG3" s="498"/>
      <c r="FDH3" s="498"/>
      <c r="FDI3" s="466"/>
      <c r="FDJ3" s="466"/>
      <c r="FDK3" s="497"/>
      <c r="FDL3" s="496"/>
      <c r="FDM3" s="498"/>
      <c r="FDN3" s="498"/>
      <c r="FDO3" s="498"/>
      <c r="FDP3" s="466"/>
      <c r="FDQ3" s="466"/>
      <c r="FDR3" s="497"/>
      <c r="FDS3" s="496"/>
      <c r="FDT3" s="498"/>
      <c r="FDU3" s="498"/>
      <c r="FDV3" s="498"/>
      <c r="FDW3" s="466"/>
      <c r="FDX3" s="466"/>
      <c r="FDY3" s="497"/>
      <c r="FDZ3" s="496"/>
      <c r="FEA3" s="498"/>
      <c r="FEB3" s="498"/>
      <c r="FEC3" s="498"/>
      <c r="FED3" s="466"/>
      <c r="FEE3" s="466"/>
      <c r="FEF3" s="497"/>
      <c r="FEG3" s="496"/>
      <c r="FEH3" s="498"/>
      <c r="FEI3" s="498"/>
      <c r="FEJ3" s="498"/>
      <c r="FEK3" s="466"/>
      <c r="FEL3" s="466"/>
      <c r="FEM3" s="497"/>
      <c r="FEN3" s="496"/>
      <c r="FEO3" s="498"/>
      <c r="FEP3" s="498"/>
      <c r="FEQ3" s="498"/>
      <c r="FER3" s="466"/>
      <c r="FES3" s="466"/>
      <c r="FET3" s="497"/>
      <c r="FEU3" s="496"/>
      <c r="FEV3" s="498"/>
      <c r="FEW3" s="498"/>
      <c r="FEX3" s="498"/>
      <c r="FEY3" s="466"/>
      <c r="FEZ3" s="466"/>
      <c r="FFA3" s="497"/>
      <c r="FFB3" s="496"/>
      <c r="FFC3" s="498"/>
      <c r="FFD3" s="498"/>
      <c r="FFE3" s="498"/>
      <c r="FFF3" s="466"/>
      <c r="FFG3" s="466"/>
      <c r="FFH3" s="497"/>
      <c r="FFI3" s="496"/>
      <c r="FFJ3" s="498"/>
      <c r="FFK3" s="498"/>
      <c r="FFL3" s="498"/>
      <c r="FFM3" s="466"/>
      <c r="FFN3" s="466"/>
      <c r="FFO3" s="497"/>
      <c r="FFP3" s="496"/>
      <c r="FFQ3" s="498"/>
      <c r="FFR3" s="498"/>
      <c r="FFS3" s="498"/>
      <c r="FFT3" s="466"/>
      <c r="FFU3" s="466"/>
      <c r="FFV3" s="497"/>
      <c r="FFW3" s="496"/>
      <c r="FFX3" s="498"/>
      <c r="FFY3" s="498"/>
      <c r="FFZ3" s="498"/>
      <c r="FGA3" s="466"/>
      <c r="FGB3" s="466"/>
      <c r="FGC3" s="497"/>
      <c r="FGD3" s="496"/>
      <c r="FGE3" s="498"/>
      <c r="FGF3" s="498"/>
      <c r="FGG3" s="498"/>
      <c r="FGH3" s="466"/>
      <c r="FGI3" s="466"/>
      <c r="FGJ3" s="497"/>
      <c r="FGK3" s="496"/>
      <c r="FGL3" s="498"/>
      <c r="FGM3" s="498"/>
      <c r="FGN3" s="498"/>
      <c r="FGO3" s="466"/>
      <c r="FGP3" s="466"/>
      <c r="FGQ3" s="497"/>
      <c r="FGR3" s="496"/>
      <c r="FGS3" s="498"/>
      <c r="FGT3" s="498"/>
      <c r="FGU3" s="498"/>
      <c r="FGV3" s="466"/>
      <c r="FGW3" s="466"/>
      <c r="FGX3" s="497"/>
      <c r="FGY3" s="496"/>
      <c r="FGZ3" s="498"/>
      <c r="FHA3" s="498"/>
      <c r="FHB3" s="498"/>
      <c r="FHC3" s="466"/>
      <c r="FHD3" s="466"/>
      <c r="FHE3" s="497"/>
      <c r="FHF3" s="496"/>
      <c r="FHG3" s="498"/>
      <c r="FHH3" s="498"/>
      <c r="FHI3" s="498"/>
      <c r="FHJ3" s="466"/>
      <c r="FHK3" s="466"/>
      <c r="FHL3" s="497"/>
      <c r="FHM3" s="496"/>
      <c r="FHN3" s="498"/>
      <c r="FHO3" s="498"/>
      <c r="FHP3" s="498"/>
      <c r="FHQ3" s="466"/>
      <c r="FHR3" s="466"/>
      <c r="FHS3" s="497"/>
      <c r="FHT3" s="496"/>
      <c r="FHU3" s="498"/>
      <c r="FHV3" s="498"/>
      <c r="FHW3" s="498"/>
      <c r="FHX3" s="466"/>
      <c r="FHY3" s="466"/>
      <c r="FHZ3" s="497"/>
      <c r="FIA3" s="496"/>
      <c r="FIB3" s="498"/>
      <c r="FIC3" s="498"/>
      <c r="FID3" s="498"/>
      <c r="FIE3" s="466"/>
      <c r="FIF3" s="466"/>
      <c r="FIG3" s="497"/>
      <c r="FIH3" s="496"/>
      <c r="FII3" s="498"/>
      <c r="FIJ3" s="498"/>
      <c r="FIK3" s="498"/>
      <c r="FIL3" s="466"/>
      <c r="FIM3" s="466"/>
      <c r="FIN3" s="497"/>
      <c r="FIO3" s="496"/>
      <c r="FIP3" s="498"/>
      <c r="FIQ3" s="498"/>
      <c r="FIR3" s="498"/>
      <c r="FIS3" s="466"/>
      <c r="FIT3" s="466"/>
      <c r="FIU3" s="497"/>
      <c r="FIV3" s="496"/>
      <c r="FIW3" s="498"/>
      <c r="FIX3" s="498"/>
      <c r="FIY3" s="498"/>
      <c r="FIZ3" s="466"/>
      <c r="FJA3" s="466"/>
      <c r="FJB3" s="497"/>
      <c r="FJC3" s="496"/>
      <c r="FJD3" s="498"/>
      <c r="FJE3" s="498"/>
      <c r="FJF3" s="498"/>
      <c r="FJG3" s="466"/>
      <c r="FJH3" s="466"/>
      <c r="FJI3" s="497"/>
      <c r="FJJ3" s="496"/>
      <c r="FJK3" s="498"/>
      <c r="FJL3" s="498"/>
      <c r="FJM3" s="498"/>
      <c r="FJN3" s="466"/>
      <c r="FJO3" s="466"/>
      <c r="FJP3" s="497"/>
      <c r="FJQ3" s="496"/>
      <c r="FJR3" s="498"/>
      <c r="FJS3" s="498"/>
      <c r="FJT3" s="498"/>
      <c r="FJU3" s="466"/>
      <c r="FJV3" s="466"/>
      <c r="FJW3" s="497"/>
      <c r="FJX3" s="496"/>
      <c r="FJY3" s="498"/>
      <c r="FJZ3" s="498"/>
      <c r="FKA3" s="498"/>
      <c r="FKB3" s="466"/>
      <c r="FKC3" s="466"/>
      <c r="FKD3" s="497"/>
      <c r="FKE3" s="496"/>
      <c r="FKF3" s="498"/>
      <c r="FKG3" s="498"/>
      <c r="FKH3" s="498"/>
      <c r="FKI3" s="466"/>
      <c r="FKJ3" s="466"/>
      <c r="FKK3" s="497"/>
      <c r="FKL3" s="496"/>
      <c r="FKM3" s="498"/>
      <c r="FKN3" s="498"/>
      <c r="FKO3" s="498"/>
      <c r="FKP3" s="466"/>
      <c r="FKQ3" s="466"/>
      <c r="FKR3" s="497"/>
      <c r="FKS3" s="496"/>
      <c r="FKT3" s="498"/>
      <c r="FKU3" s="498"/>
      <c r="FKV3" s="498"/>
      <c r="FKW3" s="466"/>
      <c r="FKX3" s="466"/>
      <c r="FKY3" s="497"/>
      <c r="FKZ3" s="496"/>
      <c r="FLA3" s="498"/>
      <c r="FLB3" s="498"/>
      <c r="FLC3" s="498"/>
      <c r="FLD3" s="466"/>
      <c r="FLE3" s="466"/>
      <c r="FLF3" s="497"/>
      <c r="FLG3" s="496"/>
      <c r="FLH3" s="498"/>
      <c r="FLI3" s="498"/>
      <c r="FLJ3" s="498"/>
      <c r="FLK3" s="466"/>
      <c r="FLL3" s="466"/>
      <c r="FLM3" s="497"/>
      <c r="FLN3" s="496"/>
      <c r="FLO3" s="498"/>
      <c r="FLP3" s="498"/>
      <c r="FLQ3" s="498"/>
      <c r="FLR3" s="466"/>
      <c r="FLS3" s="466"/>
      <c r="FLT3" s="497"/>
      <c r="FLU3" s="496"/>
      <c r="FLV3" s="498"/>
      <c r="FLW3" s="498"/>
      <c r="FLX3" s="498"/>
      <c r="FLY3" s="466"/>
      <c r="FLZ3" s="466"/>
      <c r="FMA3" s="497"/>
      <c r="FMB3" s="496"/>
      <c r="FMC3" s="498"/>
      <c r="FMD3" s="498"/>
      <c r="FME3" s="498"/>
      <c r="FMF3" s="466"/>
      <c r="FMG3" s="466"/>
      <c r="FMH3" s="497"/>
      <c r="FMI3" s="496"/>
      <c r="FMJ3" s="498"/>
      <c r="FMK3" s="498"/>
      <c r="FML3" s="498"/>
      <c r="FMM3" s="466"/>
      <c r="FMN3" s="466"/>
      <c r="FMO3" s="497"/>
      <c r="FMP3" s="496"/>
      <c r="FMQ3" s="498"/>
      <c r="FMR3" s="498"/>
      <c r="FMS3" s="498"/>
      <c r="FMT3" s="466"/>
      <c r="FMU3" s="466"/>
      <c r="FMV3" s="497"/>
      <c r="FMW3" s="496"/>
      <c r="FMX3" s="498"/>
      <c r="FMY3" s="498"/>
      <c r="FMZ3" s="498"/>
      <c r="FNA3" s="466"/>
      <c r="FNB3" s="466"/>
      <c r="FNC3" s="497"/>
      <c r="FND3" s="496"/>
      <c r="FNE3" s="498"/>
      <c r="FNF3" s="498"/>
      <c r="FNG3" s="498"/>
      <c r="FNH3" s="466"/>
      <c r="FNI3" s="466"/>
      <c r="FNJ3" s="497"/>
      <c r="FNK3" s="496"/>
      <c r="FNL3" s="498"/>
      <c r="FNM3" s="498"/>
      <c r="FNN3" s="498"/>
      <c r="FNO3" s="466"/>
      <c r="FNP3" s="466"/>
      <c r="FNQ3" s="497"/>
      <c r="FNR3" s="496"/>
      <c r="FNS3" s="498"/>
      <c r="FNT3" s="498"/>
      <c r="FNU3" s="498"/>
      <c r="FNV3" s="466"/>
      <c r="FNW3" s="466"/>
      <c r="FNX3" s="497"/>
      <c r="FNY3" s="496"/>
      <c r="FNZ3" s="498"/>
      <c r="FOA3" s="498"/>
      <c r="FOB3" s="498"/>
      <c r="FOC3" s="466"/>
      <c r="FOD3" s="466"/>
      <c r="FOE3" s="497"/>
      <c r="FOF3" s="496"/>
      <c r="FOG3" s="498"/>
      <c r="FOH3" s="498"/>
      <c r="FOI3" s="498"/>
      <c r="FOJ3" s="466"/>
      <c r="FOK3" s="466"/>
      <c r="FOL3" s="497"/>
      <c r="FOM3" s="496"/>
      <c r="FON3" s="498"/>
      <c r="FOO3" s="498"/>
      <c r="FOP3" s="498"/>
      <c r="FOQ3" s="466"/>
      <c r="FOR3" s="466"/>
      <c r="FOS3" s="497"/>
      <c r="FOT3" s="496"/>
      <c r="FOU3" s="498"/>
      <c r="FOV3" s="498"/>
      <c r="FOW3" s="498"/>
      <c r="FOX3" s="466"/>
      <c r="FOY3" s="466"/>
      <c r="FOZ3" s="497"/>
      <c r="FPA3" s="496"/>
      <c r="FPB3" s="498"/>
      <c r="FPC3" s="498"/>
      <c r="FPD3" s="498"/>
      <c r="FPE3" s="466"/>
      <c r="FPF3" s="466"/>
      <c r="FPG3" s="497"/>
      <c r="FPH3" s="496"/>
      <c r="FPI3" s="498"/>
      <c r="FPJ3" s="498"/>
      <c r="FPK3" s="498"/>
      <c r="FPL3" s="466"/>
      <c r="FPM3" s="466"/>
      <c r="FPN3" s="497"/>
      <c r="FPO3" s="496"/>
      <c r="FPP3" s="498"/>
      <c r="FPQ3" s="498"/>
      <c r="FPR3" s="498"/>
      <c r="FPS3" s="466"/>
      <c r="FPT3" s="466"/>
      <c r="FPU3" s="497"/>
      <c r="FPV3" s="496"/>
      <c r="FPW3" s="498"/>
      <c r="FPX3" s="498"/>
      <c r="FPY3" s="498"/>
      <c r="FPZ3" s="466"/>
      <c r="FQA3" s="466"/>
      <c r="FQB3" s="497"/>
      <c r="FQC3" s="496"/>
      <c r="FQD3" s="498"/>
      <c r="FQE3" s="498"/>
      <c r="FQF3" s="498"/>
      <c r="FQG3" s="466"/>
      <c r="FQH3" s="466"/>
      <c r="FQI3" s="497"/>
      <c r="FQJ3" s="496"/>
      <c r="FQK3" s="498"/>
      <c r="FQL3" s="498"/>
      <c r="FQM3" s="498"/>
      <c r="FQN3" s="466"/>
      <c r="FQO3" s="466"/>
      <c r="FQP3" s="497"/>
      <c r="FQQ3" s="496"/>
      <c r="FQR3" s="498"/>
      <c r="FQS3" s="498"/>
      <c r="FQT3" s="498"/>
      <c r="FQU3" s="466"/>
      <c r="FQV3" s="466"/>
      <c r="FQW3" s="497"/>
      <c r="FQX3" s="496"/>
      <c r="FQY3" s="498"/>
      <c r="FQZ3" s="498"/>
      <c r="FRA3" s="498"/>
      <c r="FRB3" s="466"/>
      <c r="FRC3" s="466"/>
      <c r="FRD3" s="497"/>
      <c r="FRE3" s="496"/>
      <c r="FRF3" s="498"/>
      <c r="FRG3" s="498"/>
      <c r="FRH3" s="498"/>
      <c r="FRI3" s="466"/>
      <c r="FRJ3" s="466"/>
      <c r="FRK3" s="497"/>
      <c r="FRL3" s="496"/>
      <c r="FRM3" s="498"/>
      <c r="FRN3" s="498"/>
      <c r="FRO3" s="498"/>
      <c r="FRP3" s="466"/>
      <c r="FRQ3" s="466"/>
      <c r="FRR3" s="497"/>
      <c r="FRS3" s="496"/>
      <c r="FRT3" s="498"/>
      <c r="FRU3" s="498"/>
      <c r="FRV3" s="498"/>
      <c r="FRW3" s="466"/>
      <c r="FRX3" s="466"/>
      <c r="FRY3" s="497"/>
      <c r="FRZ3" s="496"/>
      <c r="FSA3" s="498"/>
      <c r="FSB3" s="498"/>
      <c r="FSC3" s="498"/>
      <c r="FSD3" s="466"/>
      <c r="FSE3" s="466"/>
      <c r="FSF3" s="497"/>
      <c r="FSG3" s="496"/>
      <c r="FSH3" s="498"/>
      <c r="FSI3" s="498"/>
      <c r="FSJ3" s="498"/>
      <c r="FSK3" s="466"/>
      <c r="FSL3" s="466"/>
      <c r="FSM3" s="497"/>
      <c r="FSN3" s="496"/>
      <c r="FSO3" s="498"/>
      <c r="FSP3" s="498"/>
      <c r="FSQ3" s="498"/>
      <c r="FSR3" s="466"/>
      <c r="FSS3" s="466"/>
      <c r="FST3" s="497"/>
      <c r="FSU3" s="496"/>
      <c r="FSV3" s="498"/>
      <c r="FSW3" s="498"/>
      <c r="FSX3" s="498"/>
      <c r="FSY3" s="466"/>
      <c r="FSZ3" s="466"/>
      <c r="FTA3" s="497"/>
      <c r="FTB3" s="496"/>
      <c r="FTC3" s="498"/>
      <c r="FTD3" s="498"/>
      <c r="FTE3" s="498"/>
      <c r="FTF3" s="466"/>
      <c r="FTG3" s="466"/>
      <c r="FTH3" s="497"/>
      <c r="FTI3" s="496"/>
      <c r="FTJ3" s="498"/>
      <c r="FTK3" s="498"/>
      <c r="FTL3" s="498"/>
      <c r="FTM3" s="466"/>
      <c r="FTN3" s="466"/>
      <c r="FTO3" s="497"/>
      <c r="FTP3" s="496"/>
      <c r="FTQ3" s="498"/>
      <c r="FTR3" s="498"/>
      <c r="FTS3" s="498"/>
      <c r="FTT3" s="466"/>
      <c r="FTU3" s="466"/>
      <c r="FTV3" s="497"/>
      <c r="FTW3" s="496"/>
      <c r="FTX3" s="498"/>
      <c r="FTY3" s="498"/>
      <c r="FTZ3" s="498"/>
      <c r="FUA3" s="466"/>
      <c r="FUB3" s="466"/>
      <c r="FUC3" s="497"/>
      <c r="FUD3" s="496"/>
      <c r="FUE3" s="498"/>
      <c r="FUF3" s="498"/>
      <c r="FUG3" s="498"/>
      <c r="FUH3" s="466"/>
      <c r="FUI3" s="466"/>
      <c r="FUJ3" s="497"/>
      <c r="FUK3" s="496"/>
      <c r="FUL3" s="498"/>
      <c r="FUM3" s="498"/>
      <c r="FUN3" s="498"/>
      <c r="FUO3" s="466"/>
      <c r="FUP3" s="466"/>
      <c r="FUQ3" s="497"/>
      <c r="FUR3" s="496"/>
      <c r="FUS3" s="498"/>
      <c r="FUT3" s="498"/>
      <c r="FUU3" s="498"/>
      <c r="FUV3" s="466"/>
      <c r="FUW3" s="466"/>
      <c r="FUX3" s="497"/>
      <c r="FUY3" s="496"/>
      <c r="FUZ3" s="498"/>
      <c r="FVA3" s="498"/>
      <c r="FVB3" s="498"/>
      <c r="FVC3" s="466"/>
      <c r="FVD3" s="466"/>
      <c r="FVE3" s="497"/>
      <c r="FVF3" s="496"/>
      <c r="FVG3" s="498"/>
      <c r="FVH3" s="498"/>
      <c r="FVI3" s="498"/>
      <c r="FVJ3" s="466"/>
      <c r="FVK3" s="466"/>
      <c r="FVL3" s="497"/>
      <c r="FVM3" s="496"/>
      <c r="FVN3" s="498"/>
      <c r="FVO3" s="498"/>
      <c r="FVP3" s="498"/>
      <c r="FVQ3" s="466"/>
      <c r="FVR3" s="466"/>
      <c r="FVS3" s="497"/>
      <c r="FVT3" s="496"/>
      <c r="FVU3" s="498"/>
      <c r="FVV3" s="498"/>
      <c r="FVW3" s="498"/>
      <c r="FVX3" s="466"/>
      <c r="FVY3" s="466"/>
      <c r="FVZ3" s="497"/>
      <c r="FWA3" s="496"/>
      <c r="FWB3" s="498"/>
      <c r="FWC3" s="498"/>
      <c r="FWD3" s="498"/>
      <c r="FWE3" s="466"/>
      <c r="FWF3" s="466"/>
      <c r="FWG3" s="497"/>
      <c r="FWH3" s="496"/>
      <c r="FWI3" s="498"/>
      <c r="FWJ3" s="498"/>
      <c r="FWK3" s="498"/>
      <c r="FWL3" s="466"/>
      <c r="FWM3" s="466"/>
      <c r="FWN3" s="497"/>
      <c r="FWO3" s="496"/>
      <c r="FWP3" s="498"/>
      <c r="FWQ3" s="498"/>
      <c r="FWR3" s="498"/>
      <c r="FWS3" s="466"/>
      <c r="FWT3" s="466"/>
      <c r="FWU3" s="497"/>
      <c r="FWV3" s="496"/>
      <c r="FWW3" s="498"/>
      <c r="FWX3" s="498"/>
      <c r="FWY3" s="498"/>
      <c r="FWZ3" s="466"/>
      <c r="FXA3" s="466"/>
      <c r="FXB3" s="497"/>
      <c r="FXC3" s="496"/>
      <c r="FXD3" s="498"/>
      <c r="FXE3" s="498"/>
      <c r="FXF3" s="498"/>
      <c r="FXG3" s="466"/>
      <c r="FXH3" s="466"/>
      <c r="FXI3" s="497"/>
      <c r="FXJ3" s="496"/>
      <c r="FXK3" s="498"/>
      <c r="FXL3" s="498"/>
      <c r="FXM3" s="498"/>
      <c r="FXN3" s="466"/>
      <c r="FXO3" s="466"/>
      <c r="FXP3" s="497"/>
      <c r="FXQ3" s="496"/>
      <c r="FXR3" s="498"/>
      <c r="FXS3" s="498"/>
      <c r="FXT3" s="498"/>
      <c r="FXU3" s="466"/>
      <c r="FXV3" s="466"/>
      <c r="FXW3" s="497"/>
      <c r="FXX3" s="496"/>
      <c r="FXY3" s="498"/>
      <c r="FXZ3" s="498"/>
      <c r="FYA3" s="498"/>
      <c r="FYB3" s="466"/>
      <c r="FYC3" s="466"/>
      <c r="FYD3" s="497"/>
      <c r="FYE3" s="496"/>
      <c r="FYF3" s="498"/>
      <c r="FYG3" s="498"/>
      <c r="FYH3" s="498"/>
      <c r="FYI3" s="466"/>
      <c r="FYJ3" s="466"/>
      <c r="FYK3" s="497"/>
      <c r="FYL3" s="496"/>
      <c r="FYM3" s="498"/>
      <c r="FYN3" s="498"/>
      <c r="FYO3" s="498"/>
      <c r="FYP3" s="466"/>
      <c r="FYQ3" s="466"/>
      <c r="FYR3" s="497"/>
      <c r="FYS3" s="496"/>
      <c r="FYT3" s="498"/>
      <c r="FYU3" s="498"/>
      <c r="FYV3" s="498"/>
      <c r="FYW3" s="466"/>
      <c r="FYX3" s="466"/>
      <c r="FYY3" s="497"/>
      <c r="FYZ3" s="496"/>
      <c r="FZA3" s="498"/>
      <c r="FZB3" s="498"/>
      <c r="FZC3" s="498"/>
      <c r="FZD3" s="466"/>
      <c r="FZE3" s="466"/>
      <c r="FZF3" s="497"/>
      <c r="FZG3" s="496"/>
      <c r="FZH3" s="498"/>
      <c r="FZI3" s="498"/>
      <c r="FZJ3" s="498"/>
      <c r="FZK3" s="466"/>
      <c r="FZL3" s="466"/>
      <c r="FZM3" s="497"/>
      <c r="FZN3" s="496"/>
      <c r="FZO3" s="498"/>
      <c r="FZP3" s="498"/>
      <c r="FZQ3" s="498"/>
      <c r="FZR3" s="466"/>
      <c r="FZS3" s="466"/>
      <c r="FZT3" s="497"/>
      <c r="FZU3" s="496"/>
      <c r="FZV3" s="498"/>
      <c r="FZW3" s="498"/>
      <c r="FZX3" s="498"/>
      <c r="FZY3" s="466"/>
      <c r="FZZ3" s="466"/>
      <c r="GAA3" s="497"/>
      <c r="GAB3" s="496"/>
      <c r="GAC3" s="498"/>
      <c r="GAD3" s="498"/>
      <c r="GAE3" s="498"/>
      <c r="GAF3" s="466"/>
      <c r="GAG3" s="466"/>
      <c r="GAH3" s="497"/>
      <c r="GAI3" s="496"/>
      <c r="GAJ3" s="498"/>
      <c r="GAK3" s="498"/>
      <c r="GAL3" s="498"/>
      <c r="GAM3" s="466"/>
      <c r="GAN3" s="466"/>
      <c r="GAO3" s="497"/>
      <c r="GAP3" s="496"/>
      <c r="GAQ3" s="498"/>
      <c r="GAR3" s="498"/>
      <c r="GAS3" s="498"/>
      <c r="GAT3" s="466"/>
      <c r="GAU3" s="466"/>
      <c r="GAV3" s="497"/>
      <c r="GAW3" s="496"/>
      <c r="GAX3" s="498"/>
      <c r="GAY3" s="498"/>
      <c r="GAZ3" s="498"/>
      <c r="GBA3" s="466"/>
      <c r="GBB3" s="466"/>
      <c r="GBC3" s="497"/>
      <c r="GBD3" s="496"/>
      <c r="GBE3" s="498"/>
      <c r="GBF3" s="498"/>
      <c r="GBG3" s="498"/>
      <c r="GBH3" s="466"/>
      <c r="GBI3" s="466"/>
      <c r="GBJ3" s="497"/>
      <c r="GBK3" s="496"/>
      <c r="GBL3" s="498"/>
      <c r="GBM3" s="498"/>
      <c r="GBN3" s="498"/>
      <c r="GBO3" s="466"/>
      <c r="GBP3" s="466"/>
      <c r="GBQ3" s="497"/>
      <c r="GBR3" s="496"/>
      <c r="GBS3" s="498"/>
      <c r="GBT3" s="498"/>
      <c r="GBU3" s="498"/>
      <c r="GBV3" s="466"/>
      <c r="GBW3" s="466"/>
      <c r="GBX3" s="497"/>
      <c r="GBY3" s="496"/>
      <c r="GBZ3" s="498"/>
      <c r="GCA3" s="498"/>
      <c r="GCB3" s="498"/>
      <c r="GCC3" s="466"/>
      <c r="GCD3" s="466"/>
      <c r="GCE3" s="497"/>
      <c r="GCF3" s="496"/>
      <c r="GCG3" s="498"/>
      <c r="GCH3" s="498"/>
      <c r="GCI3" s="498"/>
      <c r="GCJ3" s="466"/>
      <c r="GCK3" s="466"/>
      <c r="GCL3" s="497"/>
      <c r="GCM3" s="496"/>
      <c r="GCN3" s="498"/>
      <c r="GCO3" s="498"/>
      <c r="GCP3" s="498"/>
      <c r="GCQ3" s="466"/>
      <c r="GCR3" s="466"/>
      <c r="GCS3" s="497"/>
      <c r="GCT3" s="496"/>
      <c r="GCU3" s="498"/>
      <c r="GCV3" s="498"/>
      <c r="GCW3" s="498"/>
      <c r="GCX3" s="466"/>
      <c r="GCY3" s="466"/>
      <c r="GCZ3" s="497"/>
      <c r="GDA3" s="496"/>
      <c r="GDB3" s="498"/>
      <c r="GDC3" s="498"/>
      <c r="GDD3" s="498"/>
      <c r="GDE3" s="466"/>
      <c r="GDF3" s="466"/>
      <c r="GDG3" s="497"/>
      <c r="GDH3" s="496"/>
      <c r="GDI3" s="498"/>
      <c r="GDJ3" s="498"/>
      <c r="GDK3" s="498"/>
      <c r="GDL3" s="466"/>
      <c r="GDM3" s="466"/>
      <c r="GDN3" s="497"/>
      <c r="GDO3" s="496"/>
      <c r="GDP3" s="498"/>
      <c r="GDQ3" s="498"/>
      <c r="GDR3" s="498"/>
      <c r="GDS3" s="466"/>
      <c r="GDT3" s="466"/>
      <c r="GDU3" s="497"/>
      <c r="GDV3" s="496"/>
      <c r="GDW3" s="498"/>
      <c r="GDX3" s="498"/>
      <c r="GDY3" s="498"/>
      <c r="GDZ3" s="466"/>
      <c r="GEA3" s="466"/>
      <c r="GEB3" s="497"/>
      <c r="GEC3" s="496"/>
      <c r="GED3" s="498"/>
      <c r="GEE3" s="498"/>
      <c r="GEF3" s="498"/>
      <c r="GEG3" s="466"/>
      <c r="GEH3" s="466"/>
      <c r="GEI3" s="497"/>
      <c r="GEJ3" s="496"/>
      <c r="GEK3" s="498"/>
      <c r="GEL3" s="498"/>
      <c r="GEM3" s="498"/>
      <c r="GEN3" s="466"/>
      <c r="GEO3" s="466"/>
      <c r="GEP3" s="497"/>
      <c r="GEQ3" s="496"/>
      <c r="GER3" s="498"/>
      <c r="GES3" s="498"/>
      <c r="GET3" s="498"/>
      <c r="GEU3" s="466"/>
      <c r="GEV3" s="466"/>
      <c r="GEW3" s="497"/>
      <c r="GEX3" s="496"/>
      <c r="GEY3" s="498"/>
      <c r="GEZ3" s="498"/>
      <c r="GFA3" s="498"/>
      <c r="GFB3" s="466"/>
      <c r="GFC3" s="466"/>
      <c r="GFD3" s="497"/>
      <c r="GFE3" s="496"/>
      <c r="GFF3" s="498"/>
      <c r="GFG3" s="498"/>
      <c r="GFH3" s="498"/>
      <c r="GFI3" s="466"/>
      <c r="GFJ3" s="466"/>
      <c r="GFK3" s="497"/>
      <c r="GFL3" s="496"/>
      <c r="GFM3" s="498"/>
      <c r="GFN3" s="498"/>
      <c r="GFO3" s="498"/>
      <c r="GFP3" s="466"/>
      <c r="GFQ3" s="466"/>
      <c r="GFR3" s="497"/>
      <c r="GFS3" s="496"/>
      <c r="GFT3" s="498"/>
      <c r="GFU3" s="498"/>
      <c r="GFV3" s="498"/>
      <c r="GFW3" s="466"/>
      <c r="GFX3" s="466"/>
      <c r="GFY3" s="497"/>
      <c r="GFZ3" s="496"/>
      <c r="GGA3" s="498"/>
      <c r="GGB3" s="498"/>
      <c r="GGC3" s="498"/>
      <c r="GGD3" s="466"/>
      <c r="GGE3" s="466"/>
      <c r="GGF3" s="497"/>
      <c r="GGG3" s="496"/>
      <c r="GGH3" s="498"/>
      <c r="GGI3" s="498"/>
      <c r="GGJ3" s="498"/>
      <c r="GGK3" s="466"/>
      <c r="GGL3" s="466"/>
      <c r="GGM3" s="497"/>
      <c r="GGN3" s="496"/>
      <c r="GGO3" s="498"/>
      <c r="GGP3" s="498"/>
      <c r="GGQ3" s="498"/>
      <c r="GGR3" s="466"/>
      <c r="GGS3" s="466"/>
      <c r="GGT3" s="497"/>
      <c r="GGU3" s="496"/>
      <c r="GGV3" s="498"/>
      <c r="GGW3" s="498"/>
      <c r="GGX3" s="498"/>
      <c r="GGY3" s="466"/>
      <c r="GGZ3" s="466"/>
      <c r="GHA3" s="497"/>
      <c r="GHB3" s="496"/>
      <c r="GHC3" s="498"/>
      <c r="GHD3" s="498"/>
      <c r="GHE3" s="498"/>
      <c r="GHF3" s="466"/>
      <c r="GHG3" s="466"/>
      <c r="GHH3" s="497"/>
      <c r="GHI3" s="496"/>
      <c r="GHJ3" s="498"/>
      <c r="GHK3" s="498"/>
      <c r="GHL3" s="498"/>
      <c r="GHM3" s="466"/>
      <c r="GHN3" s="466"/>
      <c r="GHO3" s="497"/>
      <c r="GHP3" s="496"/>
      <c r="GHQ3" s="498"/>
      <c r="GHR3" s="498"/>
      <c r="GHS3" s="498"/>
      <c r="GHT3" s="466"/>
      <c r="GHU3" s="466"/>
      <c r="GHV3" s="497"/>
      <c r="GHW3" s="496"/>
      <c r="GHX3" s="498"/>
      <c r="GHY3" s="498"/>
      <c r="GHZ3" s="498"/>
      <c r="GIA3" s="466"/>
      <c r="GIB3" s="466"/>
      <c r="GIC3" s="497"/>
      <c r="GID3" s="496"/>
      <c r="GIE3" s="498"/>
      <c r="GIF3" s="498"/>
      <c r="GIG3" s="498"/>
      <c r="GIH3" s="466"/>
      <c r="GII3" s="466"/>
      <c r="GIJ3" s="497"/>
      <c r="GIK3" s="496"/>
      <c r="GIL3" s="498"/>
      <c r="GIM3" s="498"/>
      <c r="GIN3" s="498"/>
      <c r="GIO3" s="466"/>
      <c r="GIP3" s="466"/>
      <c r="GIQ3" s="497"/>
      <c r="GIR3" s="496"/>
      <c r="GIS3" s="498"/>
      <c r="GIT3" s="498"/>
      <c r="GIU3" s="498"/>
      <c r="GIV3" s="466"/>
      <c r="GIW3" s="466"/>
      <c r="GIX3" s="497"/>
      <c r="GIY3" s="496"/>
      <c r="GIZ3" s="498"/>
      <c r="GJA3" s="498"/>
      <c r="GJB3" s="498"/>
      <c r="GJC3" s="466"/>
      <c r="GJD3" s="466"/>
      <c r="GJE3" s="497"/>
      <c r="GJF3" s="496"/>
      <c r="GJG3" s="498"/>
      <c r="GJH3" s="498"/>
      <c r="GJI3" s="498"/>
      <c r="GJJ3" s="466"/>
      <c r="GJK3" s="466"/>
      <c r="GJL3" s="497"/>
      <c r="GJM3" s="496"/>
      <c r="GJN3" s="498"/>
      <c r="GJO3" s="498"/>
      <c r="GJP3" s="498"/>
      <c r="GJQ3" s="466"/>
      <c r="GJR3" s="466"/>
      <c r="GJS3" s="497"/>
      <c r="GJT3" s="496"/>
      <c r="GJU3" s="498"/>
      <c r="GJV3" s="498"/>
      <c r="GJW3" s="498"/>
      <c r="GJX3" s="466"/>
      <c r="GJY3" s="466"/>
      <c r="GJZ3" s="497"/>
      <c r="GKA3" s="496"/>
      <c r="GKB3" s="498"/>
      <c r="GKC3" s="498"/>
      <c r="GKD3" s="498"/>
      <c r="GKE3" s="466"/>
      <c r="GKF3" s="466"/>
      <c r="GKG3" s="497"/>
      <c r="GKH3" s="496"/>
      <c r="GKI3" s="498"/>
      <c r="GKJ3" s="498"/>
      <c r="GKK3" s="498"/>
      <c r="GKL3" s="466"/>
      <c r="GKM3" s="466"/>
      <c r="GKN3" s="497"/>
      <c r="GKO3" s="496"/>
      <c r="GKP3" s="498"/>
      <c r="GKQ3" s="498"/>
      <c r="GKR3" s="498"/>
      <c r="GKS3" s="466"/>
      <c r="GKT3" s="466"/>
      <c r="GKU3" s="497"/>
      <c r="GKV3" s="496"/>
      <c r="GKW3" s="498"/>
      <c r="GKX3" s="498"/>
      <c r="GKY3" s="498"/>
      <c r="GKZ3" s="466"/>
      <c r="GLA3" s="466"/>
      <c r="GLB3" s="497"/>
      <c r="GLC3" s="496"/>
      <c r="GLD3" s="498"/>
      <c r="GLE3" s="498"/>
      <c r="GLF3" s="498"/>
      <c r="GLG3" s="466"/>
      <c r="GLH3" s="466"/>
      <c r="GLI3" s="497"/>
      <c r="GLJ3" s="496"/>
      <c r="GLK3" s="498"/>
      <c r="GLL3" s="498"/>
      <c r="GLM3" s="498"/>
      <c r="GLN3" s="466"/>
      <c r="GLO3" s="466"/>
      <c r="GLP3" s="497"/>
      <c r="GLQ3" s="496"/>
      <c r="GLR3" s="498"/>
      <c r="GLS3" s="498"/>
      <c r="GLT3" s="498"/>
      <c r="GLU3" s="466"/>
      <c r="GLV3" s="466"/>
      <c r="GLW3" s="497"/>
      <c r="GLX3" s="496"/>
      <c r="GLY3" s="498"/>
      <c r="GLZ3" s="498"/>
      <c r="GMA3" s="498"/>
      <c r="GMB3" s="466"/>
      <c r="GMC3" s="466"/>
      <c r="GMD3" s="497"/>
      <c r="GME3" s="496"/>
      <c r="GMF3" s="498"/>
      <c r="GMG3" s="498"/>
      <c r="GMH3" s="498"/>
      <c r="GMI3" s="466"/>
      <c r="GMJ3" s="466"/>
      <c r="GMK3" s="497"/>
      <c r="GML3" s="496"/>
      <c r="GMM3" s="498"/>
      <c r="GMN3" s="498"/>
      <c r="GMO3" s="498"/>
      <c r="GMP3" s="466"/>
      <c r="GMQ3" s="466"/>
      <c r="GMR3" s="497"/>
      <c r="GMS3" s="496"/>
      <c r="GMT3" s="498"/>
      <c r="GMU3" s="498"/>
      <c r="GMV3" s="498"/>
      <c r="GMW3" s="466"/>
      <c r="GMX3" s="466"/>
      <c r="GMY3" s="497"/>
      <c r="GMZ3" s="496"/>
      <c r="GNA3" s="498"/>
      <c r="GNB3" s="498"/>
      <c r="GNC3" s="498"/>
      <c r="GND3" s="466"/>
      <c r="GNE3" s="466"/>
      <c r="GNF3" s="497"/>
      <c r="GNG3" s="496"/>
      <c r="GNH3" s="498"/>
      <c r="GNI3" s="498"/>
      <c r="GNJ3" s="498"/>
      <c r="GNK3" s="466"/>
      <c r="GNL3" s="466"/>
      <c r="GNM3" s="497"/>
      <c r="GNN3" s="496"/>
      <c r="GNO3" s="498"/>
      <c r="GNP3" s="498"/>
      <c r="GNQ3" s="498"/>
      <c r="GNR3" s="466"/>
      <c r="GNS3" s="466"/>
      <c r="GNT3" s="497"/>
      <c r="GNU3" s="496"/>
      <c r="GNV3" s="498"/>
      <c r="GNW3" s="498"/>
      <c r="GNX3" s="498"/>
      <c r="GNY3" s="466"/>
      <c r="GNZ3" s="466"/>
      <c r="GOA3" s="497"/>
      <c r="GOB3" s="496"/>
      <c r="GOC3" s="498"/>
      <c r="GOD3" s="498"/>
      <c r="GOE3" s="498"/>
      <c r="GOF3" s="466"/>
      <c r="GOG3" s="466"/>
      <c r="GOH3" s="497"/>
      <c r="GOI3" s="496"/>
      <c r="GOJ3" s="498"/>
      <c r="GOK3" s="498"/>
      <c r="GOL3" s="498"/>
      <c r="GOM3" s="466"/>
      <c r="GON3" s="466"/>
      <c r="GOO3" s="497"/>
      <c r="GOP3" s="496"/>
      <c r="GOQ3" s="498"/>
      <c r="GOR3" s="498"/>
      <c r="GOS3" s="498"/>
      <c r="GOT3" s="466"/>
      <c r="GOU3" s="466"/>
      <c r="GOV3" s="497"/>
      <c r="GOW3" s="496"/>
      <c r="GOX3" s="498"/>
      <c r="GOY3" s="498"/>
      <c r="GOZ3" s="498"/>
      <c r="GPA3" s="466"/>
      <c r="GPB3" s="466"/>
      <c r="GPC3" s="497"/>
      <c r="GPD3" s="496"/>
      <c r="GPE3" s="498"/>
      <c r="GPF3" s="498"/>
      <c r="GPG3" s="498"/>
      <c r="GPH3" s="466"/>
      <c r="GPI3" s="466"/>
      <c r="GPJ3" s="497"/>
      <c r="GPK3" s="496"/>
      <c r="GPL3" s="498"/>
      <c r="GPM3" s="498"/>
      <c r="GPN3" s="498"/>
      <c r="GPO3" s="466"/>
      <c r="GPP3" s="466"/>
      <c r="GPQ3" s="497"/>
      <c r="GPR3" s="496"/>
      <c r="GPS3" s="498"/>
      <c r="GPT3" s="498"/>
      <c r="GPU3" s="498"/>
      <c r="GPV3" s="466"/>
      <c r="GPW3" s="466"/>
      <c r="GPX3" s="497"/>
      <c r="GPY3" s="496"/>
      <c r="GPZ3" s="498"/>
      <c r="GQA3" s="498"/>
      <c r="GQB3" s="498"/>
      <c r="GQC3" s="466"/>
      <c r="GQD3" s="466"/>
      <c r="GQE3" s="497"/>
      <c r="GQF3" s="496"/>
      <c r="GQG3" s="498"/>
      <c r="GQH3" s="498"/>
      <c r="GQI3" s="498"/>
      <c r="GQJ3" s="466"/>
      <c r="GQK3" s="466"/>
      <c r="GQL3" s="497"/>
      <c r="GQM3" s="496"/>
      <c r="GQN3" s="498"/>
      <c r="GQO3" s="498"/>
      <c r="GQP3" s="498"/>
      <c r="GQQ3" s="466"/>
      <c r="GQR3" s="466"/>
      <c r="GQS3" s="497"/>
      <c r="GQT3" s="496"/>
      <c r="GQU3" s="498"/>
      <c r="GQV3" s="498"/>
      <c r="GQW3" s="498"/>
      <c r="GQX3" s="466"/>
      <c r="GQY3" s="466"/>
      <c r="GQZ3" s="497"/>
      <c r="GRA3" s="496"/>
      <c r="GRB3" s="498"/>
      <c r="GRC3" s="498"/>
      <c r="GRD3" s="498"/>
      <c r="GRE3" s="466"/>
      <c r="GRF3" s="466"/>
      <c r="GRG3" s="497"/>
      <c r="GRH3" s="496"/>
      <c r="GRI3" s="498"/>
      <c r="GRJ3" s="498"/>
      <c r="GRK3" s="498"/>
      <c r="GRL3" s="466"/>
      <c r="GRM3" s="466"/>
      <c r="GRN3" s="497"/>
      <c r="GRO3" s="496"/>
      <c r="GRP3" s="498"/>
      <c r="GRQ3" s="498"/>
      <c r="GRR3" s="498"/>
      <c r="GRS3" s="466"/>
      <c r="GRT3" s="466"/>
      <c r="GRU3" s="497"/>
      <c r="GRV3" s="496"/>
      <c r="GRW3" s="498"/>
      <c r="GRX3" s="498"/>
      <c r="GRY3" s="498"/>
      <c r="GRZ3" s="466"/>
      <c r="GSA3" s="466"/>
      <c r="GSB3" s="497"/>
      <c r="GSC3" s="496"/>
      <c r="GSD3" s="498"/>
      <c r="GSE3" s="498"/>
      <c r="GSF3" s="498"/>
      <c r="GSG3" s="466"/>
      <c r="GSH3" s="466"/>
      <c r="GSI3" s="497"/>
      <c r="GSJ3" s="496"/>
      <c r="GSK3" s="498"/>
      <c r="GSL3" s="498"/>
      <c r="GSM3" s="498"/>
      <c r="GSN3" s="466"/>
      <c r="GSO3" s="466"/>
      <c r="GSP3" s="497"/>
      <c r="GSQ3" s="496"/>
      <c r="GSR3" s="498"/>
      <c r="GSS3" s="498"/>
      <c r="GST3" s="498"/>
      <c r="GSU3" s="466"/>
      <c r="GSV3" s="466"/>
      <c r="GSW3" s="497"/>
      <c r="GSX3" s="496"/>
      <c r="GSY3" s="498"/>
      <c r="GSZ3" s="498"/>
      <c r="GTA3" s="498"/>
      <c r="GTB3" s="466"/>
      <c r="GTC3" s="466"/>
      <c r="GTD3" s="497"/>
      <c r="GTE3" s="496"/>
      <c r="GTF3" s="498"/>
      <c r="GTG3" s="498"/>
      <c r="GTH3" s="498"/>
      <c r="GTI3" s="466"/>
      <c r="GTJ3" s="466"/>
      <c r="GTK3" s="497"/>
      <c r="GTL3" s="496"/>
      <c r="GTM3" s="498"/>
      <c r="GTN3" s="498"/>
      <c r="GTO3" s="498"/>
      <c r="GTP3" s="466"/>
      <c r="GTQ3" s="466"/>
      <c r="GTR3" s="497"/>
      <c r="GTS3" s="496"/>
      <c r="GTT3" s="498"/>
      <c r="GTU3" s="498"/>
      <c r="GTV3" s="498"/>
      <c r="GTW3" s="466"/>
      <c r="GTX3" s="466"/>
      <c r="GTY3" s="497"/>
      <c r="GTZ3" s="496"/>
      <c r="GUA3" s="498"/>
      <c r="GUB3" s="498"/>
      <c r="GUC3" s="498"/>
      <c r="GUD3" s="466"/>
      <c r="GUE3" s="466"/>
      <c r="GUF3" s="497"/>
      <c r="GUG3" s="496"/>
      <c r="GUH3" s="498"/>
      <c r="GUI3" s="498"/>
      <c r="GUJ3" s="498"/>
      <c r="GUK3" s="466"/>
      <c r="GUL3" s="466"/>
      <c r="GUM3" s="497"/>
      <c r="GUN3" s="496"/>
      <c r="GUO3" s="498"/>
      <c r="GUP3" s="498"/>
      <c r="GUQ3" s="498"/>
      <c r="GUR3" s="466"/>
      <c r="GUS3" s="466"/>
      <c r="GUT3" s="497"/>
      <c r="GUU3" s="496"/>
      <c r="GUV3" s="498"/>
      <c r="GUW3" s="498"/>
      <c r="GUX3" s="498"/>
      <c r="GUY3" s="466"/>
      <c r="GUZ3" s="466"/>
      <c r="GVA3" s="497"/>
      <c r="GVB3" s="496"/>
      <c r="GVC3" s="498"/>
      <c r="GVD3" s="498"/>
      <c r="GVE3" s="498"/>
      <c r="GVF3" s="466"/>
      <c r="GVG3" s="466"/>
      <c r="GVH3" s="497"/>
      <c r="GVI3" s="496"/>
      <c r="GVJ3" s="498"/>
      <c r="GVK3" s="498"/>
      <c r="GVL3" s="498"/>
      <c r="GVM3" s="466"/>
      <c r="GVN3" s="466"/>
      <c r="GVO3" s="497"/>
      <c r="GVP3" s="496"/>
      <c r="GVQ3" s="498"/>
      <c r="GVR3" s="498"/>
      <c r="GVS3" s="498"/>
      <c r="GVT3" s="466"/>
      <c r="GVU3" s="466"/>
      <c r="GVV3" s="497"/>
      <c r="GVW3" s="496"/>
      <c r="GVX3" s="498"/>
      <c r="GVY3" s="498"/>
      <c r="GVZ3" s="498"/>
      <c r="GWA3" s="466"/>
      <c r="GWB3" s="466"/>
      <c r="GWC3" s="497"/>
      <c r="GWD3" s="496"/>
      <c r="GWE3" s="498"/>
      <c r="GWF3" s="498"/>
      <c r="GWG3" s="498"/>
      <c r="GWH3" s="466"/>
      <c r="GWI3" s="466"/>
      <c r="GWJ3" s="497"/>
      <c r="GWK3" s="496"/>
      <c r="GWL3" s="498"/>
      <c r="GWM3" s="498"/>
      <c r="GWN3" s="498"/>
      <c r="GWO3" s="466"/>
      <c r="GWP3" s="466"/>
      <c r="GWQ3" s="497"/>
      <c r="GWR3" s="496"/>
      <c r="GWS3" s="498"/>
      <c r="GWT3" s="498"/>
      <c r="GWU3" s="498"/>
      <c r="GWV3" s="466"/>
      <c r="GWW3" s="466"/>
      <c r="GWX3" s="497"/>
      <c r="GWY3" s="496"/>
      <c r="GWZ3" s="498"/>
      <c r="GXA3" s="498"/>
      <c r="GXB3" s="498"/>
      <c r="GXC3" s="466"/>
      <c r="GXD3" s="466"/>
      <c r="GXE3" s="497"/>
      <c r="GXF3" s="496"/>
      <c r="GXG3" s="498"/>
      <c r="GXH3" s="498"/>
      <c r="GXI3" s="498"/>
      <c r="GXJ3" s="466"/>
      <c r="GXK3" s="466"/>
      <c r="GXL3" s="497"/>
      <c r="GXM3" s="496"/>
      <c r="GXN3" s="498"/>
      <c r="GXO3" s="498"/>
      <c r="GXP3" s="498"/>
      <c r="GXQ3" s="466"/>
      <c r="GXR3" s="466"/>
      <c r="GXS3" s="497"/>
      <c r="GXT3" s="496"/>
      <c r="GXU3" s="498"/>
      <c r="GXV3" s="498"/>
      <c r="GXW3" s="498"/>
      <c r="GXX3" s="466"/>
      <c r="GXY3" s="466"/>
      <c r="GXZ3" s="497"/>
      <c r="GYA3" s="496"/>
      <c r="GYB3" s="498"/>
      <c r="GYC3" s="498"/>
      <c r="GYD3" s="498"/>
      <c r="GYE3" s="466"/>
      <c r="GYF3" s="466"/>
      <c r="GYG3" s="497"/>
      <c r="GYH3" s="496"/>
      <c r="GYI3" s="498"/>
      <c r="GYJ3" s="498"/>
      <c r="GYK3" s="498"/>
      <c r="GYL3" s="466"/>
      <c r="GYM3" s="466"/>
      <c r="GYN3" s="497"/>
      <c r="GYO3" s="496"/>
      <c r="GYP3" s="498"/>
      <c r="GYQ3" s="498"/>
      <c r="GYR3" s="498"/>
      <c r="GYS3" s="466"/>
      <c r="GYT3" s="466"/>
      <c r="GYU3" s="497"/>
      <c r="GYV3" s="496"/>
      <c r="GYW3" s="498"/>
      <c r="GYX3" s="498"/>
      <c r="GYY3" s="498"/>
      <c r="GYZ3" s="466"/>
      <c r="GZA3" s="466"/>
      <c r="GZB3" s="497"/>
      <c r="GZC3" s="496"/>
      <c r="GZD3" s="498"/>
      <c r="GZE3" s="498"/>
      <c r="GZF3" s="498"/>
      <c r="GZG3" s="466"/>
      <c r="GZH3" s="466"/>
      <c r="GZI3" s="497"/>
      <c r="GZJ3" s="496"/>
      <c r="GZK3" s="498"/>
      <c r="GZL3" s="498"/>
      <c r="GZM3" s="498"/>
      <c r="GZN3" s="466"/>
      <c r="GZO3" s="466"/>
      <c r="GZP3" s="497"/>
      <c r="GZQ3" s="496"/>
      <c r="GZR3" s="498"/>
      <c r="GZS3" s="498"/>
      <c r="GZT3" s="498"/>
      <c r="GZU3" s="466"/>
      <c r="GZV3" s="466"/>
      <c r="GZW3" s="497"/>
      <c r="GZX3" s="496"/>
      <c r="GZY3" s="498"/>
      <c r="GZZ3" s="498"/>
      <c r="HAA3" s="498"/>
      <c r="HAB3" s="466"/>
      <c r="HAC3" s="466"/>
      <c r="HAD3" s="497"/>
      <c r="HAE3" s="496"/>
      <c r="HAF3" s="498"/>
      <c r="HAG3" s="498"/>
      <c r="HAH3" s="498"/>
      <c r="HAI3" s="466"/>
      <c r="HAJ3" s="466"/>
      <c r="HAK3" s="497"/>
      <c r="HAL3" s="496"/>
      <c r="HAM3" s="498"/>
      <c r="HAN3" s="498"/>
      <c r="HAO3" s="498"/>
      <c r="HAP3" s="466"/>
      <c r="HAQ3" s="466"/>
      <c r="HAR3" s="497"/>
      <c r="HAS3" s="496"/>
      <c r="HAT3" s="498"/>
      <c r="HAU3" s="498"/>
      <c r="HAV3" s="498"/>
      <c r="HAW3" s="466"/>
      <c r="HAX3" s="466"/>
      <c r="HAY3" s="497"/>
      <c r="HAZ3" s="496"/>
      <c r="HBA3" s="498"/>
      <c r="HBB3" s="498"/>
      <c r="HBC3" s="498"/>
      <c r="HBD3" s="466"/>
      <c r="HBE3" s="466"/>
      <c r="HBF3" s="497"/>
      <c r="HBG3" s="496"/>
      <c r="HBH3" s="498"/>
      <c r="HBI3" s="498"/>
      <c r="HBJ3" s="498"/>
      <c r="HBK3" s="466"/>
      <c r="HBL3" s="466"/>
      <c r="HBM3" s="497"/>
      <c r="HBN3" s="496"/>
      <c r="HBO3" s="498"/>
      <c r="HBP3" s="498"/>
      <c r="HBQ3" s="498"/>
      <c r="HBR3" s="466"/>
      <c r="HBS3" s="466"/>
      <c r="HBT3" s="497"/>
      <c r="HBU3" s="496"/>
      <c r="HBV3" s="498"/>
      <c r="HBW3" s="498"/>
      <c r="HBX3" s="498"/>
      <c r="HBY3" s="466"/>
      <c r="HBZ3" s="466"/>
      <c r="HCA3" s="497"/>
      <c r="HCB3" s="496"/>
      <c r="HCC3" s="498"/>
      <c r="HCD3" s="498"/>
      <c r="HCE3" s="498"/>
      <c r="HCF3" s="466"/>
      <c r="HCG3" s="466"/>
      <c r="HCH3" s="497"/>
      <c r="HCI3" s="496"/>
      <c r="HCJ3" s="498"/>
      <c r="HCK3" s="498"/>
      <c r="HCL3" s="498"/>
      <c r="HCM3" s="466"/>
      <c r="HCN3" s="466"/>
      <c r="HCO3" s="497"/>
      <c r="HCP3" s="496"/>
      <c r="HCQ3" s="498"/>
      <c r="HCR3" s="498"/>
      <c r="HCS3" s="498"/>
      <c r="HCT3" s="466"/>
      <c r="HCU3" s="466"/>
      <c r="HCV3" s="497"/>
      <c r="HCW3" s="496"/>
      <c r="HCX3" s="498"/>
      <c r="HCY3" s="498"/>
      <c r="HCZ3" s="498"/>
      <c r="HDA3" s="466"/>
      <c r="HDB3" s="466"/>
      <c r="HDC3" s="497"/>
      <c r="HDD3" s="496"/>
      <c r="HDE3" s="498"/>
      <c r="HDF3" s="498"/>
      <c r="HDG3" s="498"/>
      <c r="HDH3" s="466"/>
      <c r="HDI3" s="466"/>
      <c r="HDJ3" s="497"/>
      <c r="HDK3" s="496"/>
      <c r="HDL3" s="498"/>
      <c r="HDM3" s="498"/>
      <c r="HDN3" s="498"/>
      <c r="HDO3" s="466"/>
      <c r="HDP3" s="466"/>
      <c r="HDQ3" s="497"/>
      <c r="HDR3" s="496"/>
      <c r="HDS3" s="498"/>
      <c r="HDT3" s="498"/>
      <c r="HDU3" s="498"/>
      <c r="HDV3" s="466"/>
      <c r="HDW3" s="466"/>
      <c r="HDX3" s="497"/>
      <c r="HDY3" s="496"/>
      <c r="HDZ3" s="498"/>
      <c r="HEA3" s="498"/>
      <c r="HEB3" s="498"/>
      <c r="HEC3" s="466"/>
      <c r="HED3" s="466"/>
      <c r="HEE3" s="497"/>
      <c r="HEF3" s="496"/>
      <c r="HEG3" s="498"/>
      <c r="HEH3" s="498"/>
      <c r="HEI3" s="498"/>
      <c r="HEJ3" s="466"/>
      <c r="HEK3" s="466"/>
      <c r="HEL3" s="497"/>
      <c r="HEM3" s="496"/>
      <c r="HEN3" s="498"/>
      <c r="HEO3" s="498"/>
      <c r="HEP3" s="498"/>
      <c r="HEQ3" s="466"/>
      <c r="HER3" s="466"/>
      <c r="HES3" s="497"/>
      <c r="HET3" s="496"/>
      <c r="HEU3" s="498"/>
      <c r="HEV3" s="498"/>
      <c r="HEW3" s="498"/>
      <c r="HEX3" s="466"/>
      <c r="HEY3" s="466"/>
      <c r="HEZ3" s="497"/>
      <c r="HFA3" s="496"/>
      <c r="HFB3" s="498"/>
      <c r="HFC3" s="498"/>
      <c r="HFD3" s="498"/>
      <c r="HFE3" s="466"/>
      <c r="HFF3" s="466"/>
      <c r="HFG3" s="497"/>
      <c r="HFH3" s="496"/>
      <c r="HFI3" s="498"/>
      <c r="HFJ3" s="498"/>
      <c r="HFK3" s="498"/>
      <c r="HFL3" s="466"/>
      <c r="HFM3" s="466"/>
      <c r="HFN3" s="497"/>
      <c r="HFO3" s="496"/>
      <c r="HFP3" s="498"/>
      <c r="HFQ3" s="498"/>
      <c r="HFR3" s="498"/>
      <c r="HFS3" s="466"/>
      <c r="HFT3" s="466"/>
      <c r="HFU3" s="497"/>
      <c r="HFV3" s="496"/>
      <c r="HFW3" s="498"/>
      <c r="HFX3" s="498"/>
      <c r="HFY3" s="498"/>
      <c r="HFZ3" s="466"/>
      <c r="HGA3" s="466"/>
      <c r="HGB3" s="497"/>
      <c r="HGC3" s="496"/>
      <c r="HGD3" s="498"/>
      <c r="HGE3" s="498"/>
      <c r="HGF3" s="498"/>
      <c r="HGG3" s="466"/>
      <c r="HGH3" s="466"/>
      <c r="HGI3" s="497"/>
      <c r="HGJ3" s="496"/>
      <c r="HGK3" s="498"/>
      <c r="HGL3" s="498"/>
      <c r="HGM3" s="498"/>
      <c r="HGN3" s="466"/>
      <c r="HGO3" s="466"/>
      <c r="HGP3" s="497"/>
      <c r="HGQ3" s="496"/>
      <c r="HGR3" s="498"/>
      <c r="HGS3" s="498"/>
      <c r="HGT3" s="498"/>
      <c r="HGU3" s="466"/>
      <c r="HGV3" s="466"/>
      <c r="HGW3" s="497"/>
      <c r="HGX3" s="496"/>
      <c r="HGY3" s="498"/>
      <c r="HGZ3" s="498"/>
      <c r="HHA3" s="498"/>
      <c r="HHB3" s="466"/>
      <c r="HHC3" s="466"/>
      <c r="HHD3" s="497"/>
      <c r="HHE3" s="496"/>
      <c r="HHF3" s="498"/>
      <c r="HHG3" s="498"/>
      <c r="HHH3" s="498"/>
      <c r="HHI3" s="466"/>
      <c r="HHJ3" s="466"/>
      <c r="HHK3" s="497"/>
      <c r="HHL3" s="496"/>
      <c r="HHM3" s="498"/>
      <c r="HHN3" s="498"/>
      <c r="HHO3" s="498"/>
      <c r="HHP3" s="466"/>
      <c r="HHQ3" s="466"/>
      <c r="HHR3" s="497"/>
      <c r="HHS3" s="496"/>
      <c r="HHT3" s="498"/>
      <c r="HHU3" s="498"/>
      <c r="HHV3" s="498"/>
      <c r="HHW3" s="466"/>
      <c r="HHX3" s="466"/>
      <c r="HHY3" s="497"/>
      <c r="HHZ3" s="496"/>
      <c r="HIA3" s="498"/>
      <c r="HIB3" s="498"/>
      <c r="HIC3" s="498"/>
      <c r="HID3" s="466"/>
      <c r="HIE3" s="466"/>
      <c r="HIF3" s="497"/>
      <c r="HIG3" s="496"/>
      <c r="HIH3" s="498"/>
      <c r="HII3" s="498"/>
      <c r="HIJ3" s="498"/>
      <c r="HIK3" s="466"/>
      <c r="HIL3" s="466"/>
      <c r="HIM3" s="497"/>
      <c r="HIN3" s="496"/>
      <c r="HIO3" s="498"/>
      <c r="HIP3" s="498"/>
      <c r="HIQ3" s="498"/>
      <c r="HIR3" s="466"/>
      <c r="HIS3" s="466"/>
      <c r="HIT3" s="497"/>
      <c r="HIU3" s="496"/>
      <c r="HIV3" s="498"/>
      <c r="HIW3" s="498"/>
      <c r="HIX3" s="498"/>
      <c r="HIY3" s="466"/>
      <c r="HIZ3" s="466"/>
      <c r="HJA3" s="497"/>
      <c r="HJB3" s="496"/>
      <c r="HJC3" s="498"/>
      <c r="HJD3" s="498"/>
      <c r="HJE3" s="498"/>
      <c r="HJF3" s="466"/>
      <c r="HJG3" s="466"/>
      <c r="HJH3" s="497"/>
      <c r="HJI3" s="496"/>
      <c r="HJJ3" s="498"/>
      <c r="HJK3" s="498"/>
      <c r="HJL3" s="498"/>
      <c r="HJM3" s="466"/>
      <c r="HJN3" s="466"/>
      <c r="HJO3" s="497"/>
      <c r="HJP3" s="496"/>
      <c r="HJQ3" s="498"/>
      <c r="HJR3" s="498"/>
      <c r="HJS3" s="498"/>
      <c r="HJT3" s="466"/>
      <c r="HJU3" s="466"/>
      <c r="HJV3" s="497"/>
      <c r="HJW3" s="496"/>
      <c r="HJX3" s="498"/>
      <c r="HJY3" s="498"/>
      <c r="HJZ3" s="498"/>
      <c r="HKA3" s="466"/>
      <c r="HKB3" s="466"/>
      <c r="HKC3" s="497"/>
      <c r="HKD3" s="496"/>
      <c r="HKE3" s="498"/>
      <c r="HKF3" s="498"/>
      <c r="HKG3" s="498"/>
      <c r="HKH3" s="466"/>
      <c r="HKI3" s="466"/>
      <c r="HKJ3" s="497"/>
      <c r="HKK3" s="496"/>
      <c r="HKL3" s="498"/>
      <c r="HKM3" s="498"/>
      <c r="HKN3" s="498"/>
      <c r="HKO3" s="466"/>
      <c r="HKP3" s="466"/>
      <c r="HKQ3" s="497"/>
      <c r="HKR3" s="496"/>
      <c r="HKS3" s="498"/>
      <c r="HKT3" s="498"/>
      <c r="HKU3" s="498"/>
      <c r="HKV3" s="466"/>
      <c r="HKW3" s="466"/>
      <c r="HKX3" s="497"/>
      <c r="HKY3" s="496"/>
      <c r="HKZ3" s="498"/>
      <c r="HLA3" s="498"/>
      <c r="HLB3" s="498"/>
      <c r="HLC3" s="466"/>
      <c r="HLD3" s="466"/>
      <c r="HLE3" s="497"/>
      <c r="HLF3" s="496"/>
      <c r="HLG3" s="498"/>
      <c r="HLH3" s="498"/>
      <c r="HLI3" s="498"/>
      <c r="HLJ3" s="466"/>
      <c r="HLK3" s="466"/>
      <c r="HLL3" s="497"/>
      <c r="HLM3" s="496"/>
      <c r="HLN3" s="498"/>
      <c r="HLO3" s="498"/>
      <c r="HLP3" s="498"/>
      <c r="HLQ3" s="466"/>
      <c r="HLR3" s="466"/>
      <c r="HLS3" s="497"/>
      <c r="HLT3" s="496"/>
      <c r="HLU3" s="498"/>
      <c r="HLV3" s="498"/>
      <c r="HLW3" s="498"/>
      <c r="HLX3" s="466"/>
      <c r="HLY3" s="466"/>
      <c r="HLZ3" s="497"/>
      <c r="HMA3" s="496"/>
      <c r="HMB3" s="498"/>
      <c r="HMC3" s="498"/>
      <c r="HMD3" s="498"/>
      <c r="HME3" s="466"/>
      <c r="HMF3" s="466"/>
      <c r="HMG3" s="497"/>
      <c r="HMH3" s="496"/>
      <c r="HMI3" s="498"/>
      <c r="HMJ3" s="498"/>
      <c r="HMK3" s="498"/>
      <c r="HML3" s="466"/>
      <c r="HMM3" s="466"/>
      <c r="HMN3" s="497"/>
      <c r="HMO3" s="496"/>
      <c r="HMP3" s="498"/>
      <c r="HMQ3" s="498"/>
      <c r="HMR3" s="498"/>
      <c r="HMS3" s="466"/>
      <c r="HMT3" s="466"/>
      <c r="HMU3" s="497"/>
      <c r="HMV3" s="496"/>
      <c r="HMW3" s="498"/>
      <c r="HMX3" s="498"/>
      <c r="HMY3" s="498"/>
      <c r="HMZ3" s="466"/>
      <c r="HNA3" s="466"/>
      <c r="HNB3" s="497"/>
      <c r="HNC3" s="496"/>
      <c r="HND3" s="498"/>
      <c r="HNE3" s="498"/>
      <c r="HNF3" s="498"/>
      <c r="HNG3" s="466"/>
      <c r="HNH3" s="466"/>
      <c r="HNI3" s="497"/>
      <c r="HNJ3" s="496"/>
      <c r="HNK3" s="498"/>
      <c r="HNL3" s="498"/>
      <c r="HNM3" s="498"/>
      <c r="HNN3" s="466"/>
      <c r="HNO3" s="466"/>
      <c r="HNP3" s="497"/>
      <c r="HNQ3" s="496"/>
      <c r="HNR3" s="498"/>
      <c r="HNS3" s="498"/>
      <c r="HNT3" s="498"/>
      <c r="HNU3" s="466"/>
      <c r="HNV3" s="466"/>
      <c r="HNW3" s="497"/>
      <c r="HNX3" s="496"/>
      <c r="HNY3" s="498"/>
      <c r="HNZ3" s="498"/>
      <c r="HOA3" s="498"/>
      <c r="HOB3" s="466"/>
      <c r="HOC3" s="466"/>
      <c r="HOD3" s="497"/>
      <c r="HOE3" s="496"/>
      <c r="HOF3" s="498"/>
      <c r="HOG3" s="498"/>
      <c r="HOH3" s="498"/>
      <c r="HOI3" s="466"/>
      <c r="HOJ3" s="466"/>
      <c r="HOK3" s="497"/>
      <c r="HOL3" s="496"/>
      <c r="HOM3" s="498"/>
      <c r="HON3" s="498"/>
      <c r="HOO3" s="498"/>
      <c r="HOP3" s="466"/>
      <c r="HOQ3" s="466"/>
      <c r="HOR3" s="497"/>
      <c r="HOS3" s="496"/>
      <c r="HOT3" s="498"/>
      <c r="HOU3" s="498"/>
      <c r="HOV3" s="498"/>
      <c r="HOW3" s="466"/>
      <c r="HOX3" s="466"/>
      <c r="HOY3" s="497"/>
      <c r="HOZ3" s="496"/>
      <c r="HPA3" s="498"/>
      <c r="HPB3" s="498"/>
      <c r="HPC3" s="498"/>
      <c r="HPD3" s="466"/>
      <c r="HPE3" s="466"/>
      <c r="HPF3" s="497"/>
      <c r="HPG3" s="496"/>
      <c r="HPH3" s="498"/>
      <c r="HPI3" s="498"/>
      <c r="HPJ3" s="498"/>
      <c r="HPK3" s="466"/>
      <c r="HPL3" s="466"/>
      <c r="HPM3" s="497"/>
      <c r="HPN3" s="496"/>
      <c r="HPO3" s="498"/>
      <c r="HPP3" s="498"/>
      <c r="HPQ3" s="498"/>
      <c r="HPR3" s="466"/>
      <c r="HPS3" s="466"/>
      <c r="HPT3" s="497"/>
      <c r="HPU3" s="496"/>
      <c r="HPV3" s="498"/>
      <c r="HPW3" s="498"/>
      <c r="HPX3" s="498"/>
      <c r="HPY3" s="466"/>
      <c r="HPZ3" s="466"/>
      <c r="HQA3" s="497"/>
      <c r="HQB3" s="496"/>
      <c r="HQC3" s="498"/>
      <c r="HQD3" s="498"/>
      <c r="HQE3" s="498"/>
      <c r="HQF3" s="466"/>
      <c r="HQG3" s="466"/>
      <c r="HQH3" s="497"/>
      <c r="HQI3" s="496"/>
      <c r="HQJ3" s="498"/>
      <c r="HQK3" s="498"/>
      <c r="HQL3" s="498"/>
      <c r="HQM3" s="466"/>
      <c r="HQN3" s="466"/>
      <c r="HQO3" s="497"/>
      <c r="HQP3" s="496"/>
      <c r="HQQ3" s="498"/>
      <c r="HQR3" s="498"/>
      <c r="HQS3" s="498"/>
      <c r="HQT3" s="466"/>
      <c r="HQU3" s="466"/>
      <c r="HQV3" s="497"/>
      <c r="HQW3" s="496"/>
      <c r="HQX3" s="498"/>
      <c r="HQY3" s="498"/>
      <c r="HQZ3" s="498"/>
      <c r="HRA3" s="466"/>
      <c r="HRB3" s="466"/>
      <c r="HRC3" s="497"/>
      <c r="HRD3" s="496"/>
      <c r="HRE3" s="498"/>
      <c r="HRF3" s="498"/>
      <c r="HRG3" s="498"/>
      <c r="HRH3" s="466"/>
      <c r="HRI3" s="466"/>
      <c r="HRJ3" s="497"/>
      <c r="HRK3" s="496"/>
      <c r="HRL3" s="498"/>
      <c r="HRM3" s="498"/>
      <c r="HRN3" s="498"/>
      <c r="HRO3" s="466"/>
      <c r="HRP3" s="466"/>
      <c r="HRQ3" s="497"/>
      <c r="HRR3" s="496"/>
      <c r="HRS3" s="498"/>
      <c r="HRT3" s="498"/>
      <c r="HRU3" s="498"/>
      <c r="HRV3" s="466"/>
      <c r="HRW3" s="466"/>
      <c r="HRX3" s="497"/>
      <c r="HRY3" s="496"/>
      <c r="HRZ3" s="498"/>
      <c r="HSA3" s="498"/>
      <c r="HSB3" s="498"/>
      <c r="HSC3" s="466"/>
      <c r="HSD3" s="466"/>
      <c r="HSE3" s="497"/>
      <c r="HSF3" s="496"/>
      <c r="HSG3" s="498"/>
      <c r="HSH3" s="498"/>
      <c r="HSI3" s="498"/>
      <c r="HSJ3" s="466"/>
      <c r="HSK3" s="466"/>
      <c r="HSL3" s="497"/>
      <c r="HSM3" s="496"/>
      <c r="HSN3" s="498"/>
      <c r="HSO3" s="498"/>
      <c r="HSP3" s="498"/>
      <c r="HSQ3" s="466"/>
      <c r="HSR3" s="466"/>
      <c r="HSS3" s="497"/>
      <c r="HST3" s="496"/>
      <c r="HSU3" s="498"/>
      <c r="HSV3" s="498"/>
      <c r="HSW3" s="498"/>
      <c r="HSX3" s="466"/>
      <c r="HSY3" s="466"/>
      <c r="HSZ3" s="497"/>
      <c r="HTA3" s="496"/>
      <c r="HTB3" s="498"/>
      <c r="HTC3" s="498"/>
      <c r="HTD3" s="498"/>
      <c r="HTE3" s="466"/>
      <c r="HTF3" s="466"/>
      <c r="HTG3" s="497"/>
      <c r="HTH3" s="496"/>
      <c r="HTI3" s="498"/>
      <c r="HTJ3" s="498"/>
      <c r="HTK3" s="498"/>
      <c r="HTL3" s="466"/>
      <c r="HTM3" s="466"/>
      <c r="HTN3" s="497"/>
      <c r="HTO3" s="496"/>
      <c r="HTP3" s="498"/>
      <c r="HTQ3" s="498"/>
      <c r="HTR3" s="498"/>
      <c r="HTS3" s="466"/>
      <c r="HTT3" s="466"/>
      <c r="HTU3" s="497"/>
      <c r="HTV3" s="496"/>
      <c r="HTW3" s="498"/>
      <c r="HTX3" s="498"/>
      <c r="HTY3" s="498"/>
      <c r="HTZ3" s="466"/>
      <c r="HUA3" s="466"/>
      <c r="HUB3" s="497"/>
      <c r="HUC3" s="496"/>
      <c r="HUD3" s="498"/>
      <c r="HUE3" s="498"/>
      <c r="HUF3" s="498"/>
      <c r="HUG3" s="466"/>
      <c r="HUH3" s="466"/>
      <c r="HUI3" s="497"/>
      <c r="HUJ3" s="496"/>
      <c r="HUK3" s="498"/>
      <c r="HUL3" s="498"/>
      <c r="HUM3" s="498"/>
      <c r="HUN3" s="466"/>
      <c r="HUO3" s="466"/>
      <c r="HUP3" s="497"/>
      <c r="HUQ3" s="496"/>
      <c r="HUR3" s="498"/>
      <c r="HUS3" s="498"/>
      <c r="HUT3" s="498"/>
      <c r="HUU3" s="466"/>
      <c r="HUV3" s="466"/>
      <c r="HUW3" s="497"/>
      <c r="HUX3" s="496"/>
      <c r="HUY3" s="498"/>
      <c r="HUZ3" s="498"/>
      <c r="HVA3" s="498"/>
      <c r="HVB3" s="466"/>
      <c r="HVC3" s="466"/>
      <c r="HVD3" s="497"/>
      <c r="HVE3" s="496"/>
      <c r="HVF3" s="498"/>
      <c r="HVG3" s="498"/>
      <c r="HVH3" s="498"/>
      <c r="HVI3" s="466"/>
      <c r="HVJ3" s="466"/>
      <c r="HVK3" s="497"/>
      <c r="HVL3" s="496"/>
      <c r="HVM3" s="498"/>
      <c r="HVN3" s="498"/>
      <c r="HVO3" s="498"/>
      <c r="HVP3" s="466"/>
      <c r="HVQ3" s="466"/>
      <c r="HVR3" s="497"/>
      <c r="HVS3" s="496"/>
      <c r="HVT3" s="498"/>
      <c r="HVU3" s="498"/>
      <c r="HVV3" s="498"/>
      <c r="HVW3" s="466"/>
      <c r="HVX3" s="466"/>
      <c r="HVY3" s="497"/>
      <c r="HVZ3" s="496"/>
      <c r="HWA3" s="498"/>
      <c r="HWB3" s="498"/>
      <c r="HWC3" s="498"/>
      <c r="HWD3" s="466"/>
      <c r="HWE3" s="466"/>
      <c r="HWF3" s="497"/>
      <c r="HWG3" s="496"/>
      <c r="HWH3" s="498"/>
      <c r="HWI3" s="498"/>
      <c r="HWJ3" s="498"/>
      <c r="HWK3" s="466"/>
      <c r="HWL3" s="466"/>
      <c r="HWM3" s="497"/>
      <c r="HWN3" s="496"/>
      <c r="HWO3" s="498"/>
      <c r="HWP3" s="498"/>
      <c r="HWQ3" s="498"/>
      <c r="HWR3" s="466"/>
      <c r="HWS3" s="466"/>
      <c r="HWT3" s="497"/>
      <c r="HWU3" s="496"/>
      <c r="HWV3" s="498"/>
      <c r="HWW3" s="498"/>
      <c r="HWX3" s="498"/>
      <c r="HWY3" s="466"/>
      <c r="HWZ3" s="466"/>
      <c r="HXA3" s="497"/>
      <c r="HXB3" s="496"/>
      <c r="HXC3" s="498"/>
      <c r="HXD3" s="498"/>
      <c r="HXE3" s="498"/>
      <c r="HXF3" s="466"/>
      <c r="HXG3" s="466"/>
      <c r="HXH3" s="497"/>
      <c r="HXI3" s="496"/>
      <c r="HXJ3" s="498"/>
      <c r="HXK3" s="498"/>
      <c r="HXL3" s="498"/>
      <c r="HXM3" s="466"/>
      <c r="HXN3" s="466"/>
      <c r="HXO3" s="497"/>
      <c r="HXP3" s="496"/>
      <c r="HXQ3" s="498"/>
      <c r="HXR3" s="498"/>
      <c r="HXS3" s="498"/>
      <c r="HXT3" s="466"/>
      <c r="HXU3" s="466"/>
      <c r="HXV3" s="497"/>
      <c r="HXW3" s="496"/>
      <c r="HXX3" s="498"/>
      <c r="HXY3" s="498"/>
      <c r="HXZ3" s="498"/>
      <c r="HYA3" s="466"/>
      <c r="HYB3" s="466"/>
      <c r="HYC3" s="497"/>
      <c r="HYD3" s="496"/>
      <c r="HYE3" s="498"/>
      <c r="HYF3" s="498"/>
      <c r="HYG3" s="498"/>
      <c r="HYH3" s="466"/>
      <c r="HYI3" s="466"/>
      <c r="HYJ3" s="497"/>
      <c r="HYK3" s="496"/>
      <c r="HYL3" s="498"/>
      <c r="HYM3" s="498"/>
      <c r="HYN3" s="498"/>
      <c r="HYO3" s="466"/>
      <c r="HYP3" s="466"/>
      <c r="HYQ3" s="497"/>
      <c r="HYR3" s="496"/>
      <c r="HYS3" s="498"/>
      <c r="HYT3" s="498"/>
      <c r="HYU3" s="498"/>
      <c r="HYV3" s="466"/>
      <c r="HYW3" s="466"/>
      <c r="HYX3" s="497"/>
      <c r="HYY3" s="496"/>
      <c r="HYZ3" s="498"/>
      <c r="HZA3" s="498"/>
      <c r="HZB3" s="498"/>
      <c r="HZC3" s="466"/>
      <c r="HZD3" s="466"/>
      <c r="HZE3" s="497"/>
      <c r="HZF3" s="496"/>
      <c r="HZG3" s="498"/>
      <c r="HZH3" s="498"/>
      <c r="HZI3" s="498"/>
      <c r="HZJ3" s="466"/>
      <c r="HZK3" s="466"/>
      <c r="HZL3" s="497"/>
      <c r="HZM3" s="496"/>
      <c r="HZN3" s="498"/>
      <c r="HZO3" s="498"/>
      <c r="HZP3" s="498"/>
      <c r="HZQ3" s="466"/>
      <c r="HZR3" s="466"/>
      <c r="HZS3" s="497"/>
      <c r="HZT3" s="496"/>
      <c r="HZU3" s="498"/>
      <c r="HZV3" s="498"/>
      <c r="HZW3" s="498"/>
      <c r="HZX3" s="466"/>
      <c r="HZY3" s="466"/>
      <c r="HZZ3" s="497"/>
      <c r="IAA3" s="496"/>
      <c r="IAB3" s="498"/>
      <c r="IAC3" s="498"/>
      <c r="IAD3" s="498"/>
      <c r="IAE3" s="466"/>
      <c r="IAF3" s="466"/>
      <c r="IAG3" s="497"/>
      <c r="IAH3" s="496"/>
      <c r="IAI3" s="498"/>
      <c r="IAJ3" s="498"/>
      <c r="IAK3" s="498"/>
      <c r="IAL3" s="466"/>
      <c r="IAM3" s="466"/>
      <c r="IAN3" s="497"/>
      <c r="IAO3" s="496"/>
      <c r="IAP3" s="498"/>
      <c r="IAQ3" s="498"/>
      <c r="IAR3" s="498"/>
      <c r="IAS3" s="466"/>
      <c r="IAT3" s="466"/>
      <c r="IAU3" s="497"/>
      <c r="IAV3" s="496"/>
      <c r="IAW3" s="498"/>
      <c r="IAX3" s="498"/>
      <c r="IAY3" s="498"/>
      <c r="IAZ3" s="466"/>
      <c r="IBA3" s="466"/>
      <c r="IBB3" s="497"/>
      <c r="IBC3" s="496"/>
      <c r="IBD3" s="498"/>
      <c r="IBE3" s="498"/>
      <c r="IBF3" s="498"/>
      <c r="IBG3" s="466"/>
      <c r="IBH3" s="466"/>
      <c r="IBI3" s="497"/>
      <c r="IBJ3" s="496"/>
      <c r="IBK3" s="498"/>
      <c r="IBL3" s="498"/>
      <c r="IBM3" s="498"/>
      <c r="IBN3" s="466"/>
      <c r="IBO3" s="466"/>
      <c r="IBP3" s="497"/>
      <c r="IBQ3" s="496"/>
      <c r="IBR3" s="498"/>
      <c r="IBS3" s="498"/>
      <c r="IBT3" s="498"/>
      <c r="IBU3" s="466"/>
      <c r="IBV3" s="466"/>
      <c r="IBW3" s="497"/>
      <c r="IBX3" s="496"/>
      <c r="IBY3" s="498"/>
      <c r="IBZ3" s="498"/>
      <c r="ICA3" s="498"/>
      <c r="ICB3" s="466"/>
      <c r="ICC3" s="466"/>
      <c r="ICD3" s="497"/>
      <c r="ICE3" s="496"/>
      <c r="ICF3" s="498"/>
      <c r="ICG3" s="498"/>
      <c r="ICH3" s="498"/>
      <c r="ICI3" s="466"/>
      <c r="ICJ3" s="466"/>
      <c r="ICK3" s="497"/>
      <c r="ICL3" s="496"/>
      <c r="ICM3" s="498"/>
      <c r="ICN3" s="498"/>
      <c r="ICO3" s="498"/>
      <c r="ICP3" s="466"/>
      <c r="ICQ3" s="466"/>
      <c r="ICR3" s="497"/>
      <c r="ICS3" s="496"/>
      <c r="ICT3" s="498"/>
      <c r="ICU3" s="498"/>
      <c r="ICV3" s="498"/>
      <c r="ICW3" s="466"/>
      <c r="ICX3" s="466"/>
      <c r="ICY3" s="497"/>
      <c r="ICZ3" s="496"/>
      <c r="IDA3" s="498"/>
      <c r="IDB3" s="498"/>
      <c r="IDC3" s="498"/>
      <c r="IDD3" s="466"/>
      <c r="IDE3" s="466"/>
      <c r="IDF3" s="497"/>
      <c r="IDG3" s="496"/>
      <c r="IDH3" s="498"/>
      <c r="IDI3" s="498"/>
      <c r="IDJ3" s="498"/>
      <c r="IDK3" s="466"/>
      <c r="IDL3" s="466"/>
      <c r="IDM3" s="497"/>
      <c r="IDN3" s="496"/>
      <c r="IDO3" s="498"/>
      <c r="IDP3" s="498"/>
      <c r="IDQ3" s="498"/>
      <c r="IDR3" s="466"/>
      <c r="IDS3" s="466"/>
      <c r="IDT3" s="497"/>
      <c r="IDU3" s="496"/>
      <c r="IDV3" s="498"/>
      <c r="IDW3" s="498"/>
      <c r="IDX3" s="498"/>
      <c r="IDY3" s="466"/>
      <c r="IDZ3" s="466"/>
      <c r="IEA3" s="497"/>
      <c r="IEB3" s="496"/>
      <c r="IEC3" s="498"/>
      <c r="IED3" s="498"/>
      <c r="IEE3" s="498"/>
      <c r="IEF3" s="466"/>
      <c r="IEG3" s="466"/>
      <c r="IEH3" s="497"/>
      <c r="IEI3" s="496"/>
      <c r="IEJ3" s="498"/>
      <c r="IEK3" s="498"/>
      <c r="IEL3" s="498"/>
      <c r="IEM3" s="466"/>
      <c r="IEN3" s="466"/>
      <c r="IEO3" s="497"/>
      <c r="IEP3" s="496"/>
      <c r="IEQ3" s="498"/>
      <c r="IER3" s="498"/>
      <c r="IES3" s="498"/>
      <c r="IET3" s="466"/>
      <c r="IEU3" s="466"/>
      <c r="IEV3" s="497"/>
      <c r="IEW3" s="496"/>
      <c r="IEX3" s="498"/>
      <c r="IEY3" s="498"/>
      <c r="IEZ3" s="498"/>
      <c r="IFA3" s="466"/>
      <c r="IFB3" s="466"/>
      <c r="IFC3" s="497"/>
      <c r="IFD3" s="496"/>
      <c r="IFE3" s="498"/>
      <c r="IFF3" s="498"/>
      <c r="IFG3" s="498"/>
      <c r="IFH3" s="466"/>
      <c r="IFI3" s="466"/>
      <c r="IFJ3" s="497"/>
      <c r="IFK3" s="496"/>
      <c r="IFL3" s="498"/>
      <c r="IFM3" s="498"/>
      <c r="IFN3" s="498"/>
      <c r="IFO3" s="466"/>
      <c r="IFP3" s="466"/>
      <c r="IFQ3" s="497"/>
      <c r="IFR3" s="496"/>
      <c r="IFS3" s="498"/>
      <c r="IFT3" s="498"/>
      <c r="IFU3" s="498"/>
      <c r="IFV3" s="466"/>
      <c r="IFW3" s="466"/>
      <c r="IFX3" s="497"/>
      <c r="IFY3" s="496"/>
      <c r="IFZ3" s="498"/>
      <c r="IGA3" s="498"/>
      <c r="IGB3" s="498"/>
      <c r="IGC3" s="466"/>
      <c r="IGD3" s="466"/>
      <c r="IGE3" s="497"/>
      <c r="IGF3" s="496"/>
      <c r="IGG3" s="498"/>
      <c r="IGH3" s="498"/>
      <c r="IGI3" s="498"/>
      <c r="IGJ3" s="466"/>
      <c r="IGK3" s="466"/>
      <c r="IGL3" s="497"/>
      <c r="IGM3" s="496"/>
      <c r="IGN3" s="498"/>
      <c r="IGO3" s="498"/>
      <c r="IGP3" s="498"/>
      <c r="IGQ3" s="466"/>
      <c r="IGR3" s="466"/>
      <c r="IGS3" s="497"/>
      <c r="IGT3" s="496"/>
      <c r="IGU3" s="498"/>
      <c r="IGV3" s="498"/>
      <c r="IGW3" s="498"/>
      <c r="IGX3" s="466"/>
      <c r="IGY3" s="466"/>
      <c r="IGZ3" s="497"/>
      <c r="IHA3" s="496"/>
      <c r="IHB3" s="498"/>
      <c r="IHC3" s="498"/>
      <c r="IHD3" s="498"/>
      <c r="IHE3" s="466"/>
      <c r="IHF3" s="466"/>
      <c r="IHG3" s="497"/>
      <c r="IHH3" s="496"/>
      <c r="IHI3" s="498"/>
      <c r="IHJ3" s="498"/>
      <c r="IHK3" s="498"/>
      <c r="IHL3" s="466"/>
      <c r="IHM3" s="466"/>
      <c r="IHN3" s="497"/>
      <c r="IHO3" s="496"/>
      <c r="IHP3" s="498"/>
      <c r="IHQ3" s="498"/>
      <c r="IHR3" s="498"/>
      <c r="IHS3" s="466"/>
      <c r="IHT3" s="466"/>
      <c r="IHU3" s="497"/>
      <c r="IHV3" s="496"/>
      <c r="IHW3" s="498"/>
      <c r="IHX3" s="498"/>
      <c r="IHY3" s="498"/>
      <c r="IHZ3" s="466"/>
      <c r="IIA3" s="466"/>
      <c r="IIB3" s="497"/>
      <c r="IIC3" s="496"/>
      <c r="IID3" s="498"/>
      <c r="IIE3" s="498"/>
      <c r="IIF3" s="498"/>
      <c r="IIG3" s="466"/>
      <c r="IIH3" s="466"/>
      <c r="III3" s="497"/>
      <c r="IIJ3" s="496"/>
      <c r="IIK3" s="498"/>
      <c r="IIL3" s="498"/>
      <c r="IIM3" s="498"/>
      <c r="IIN3" s="466"/>
      <c r="IIO3" s="466"/>
      <c r="IIP3" s="497"/>
      <c r="IIQ3" s="496"/>
      <c r="IIR3" s="498"/>
      <c r="IIS3" s="498"/>
      <c r="IIT3" s="498"/>
      <c r="IIU3" s="466"/>
      <c r="IIV3" s="466"/>
      <c r="IIW3" s="497"/>
      <c r="IIX3" s="496"/>
      <c r="IIY3" s="498"/>
      <c r="IIZ3" s="498"/>
      <c r="IJA3" s="498"/>
      <c r="IJB3" s="466"/>
      <c r="IJC3" s="466"/>
      <c r="IJD3" s="497"/>
      <c r="IJE3" s="496"/>
      <c r="IJF3" s="498"/>
      <c r="IJG3" s="498"/>
      <c r="IJH3" s="498"/>
      <c r="IJI3" s="466"/>
      <c r="IJJ3" s="466"/>
      <c r="IJK3" s="497"/>
      <c r="IJL3" s="496"/>
      <c r="IJM3" s="498"/>
      <c r="IJN3" s="498"/>
      <c r="IJO3" s="498"/>
      <c r="IJP3" s="466"/>
      <c r="IJQ3" s="466"/>
      <c r="IJR3" s="497"/>
      <c r="IJS3" s="496"/>
      <c r="IJT3" s="498"/>
      <c r="IJU3" s="498"/>
      <c r="IJV3" s="498"/>
      <c r="IJW3" s="466"/>
      <c r="IJX3" s="466"/>
      <c r="IJY3" s="497"/>
      <c r="IJZ3" s="496"/>
      <c r="IKA3" s="498"/>
      <c r="IKB3" s="498"/>
      <c r="IKC3" s="498"/>
      <c r="IKD3" s="466"/>
      <c r="IKE3" s="466"/>
      <c r="IKF3" s="497"/>
      <c r="IKG3" s="496"/>
      <c r="IKH3" s="498"/>
      <c r="IKI3" s="498"/>
      <c r="IKJ3" s="498"/>
      <c r="IKK3" s="466"/>
      <c r="IKL3" s="466"/>
      <c r="IKM3" s="497"/>
      <c r="IKN3" s="496"/>
      <c r="IKO3" s="498"/>
      <c r="IKP3" s="498"/>
      <c r="IKQ3" s="498"/>
      <c r="IKR3" s="466"/>
      <c r="IKS3" s="466"/>
      <c r="IKT3" s="497"/>
      <c r="IKU3" s="496"/>
      <c r="IKV3" s="498"/>
      <c r="IKW3" s="498"/>
      <c r="IKX3" s="498"/>
      <c r="IKY3" s="466"/>
      <c r="IKZ3" s="466"/>
      <c r="ILA3" s="497"/>
      <c r="ILB3" s="496"/>
      <c r="ILC3" s="498"/>
      <c r="ILD3" s="498"/>
      <c r="ILE3" s="498"/>
      <c r="ILF3" s="466"/>
      <c r="ILG3" s="466"/>
      <c r="ILH3" s="497"/>
      <c r="ILI3" s="496"/>
      <c r="ILJ3" s="498"/>
      <c r="ILK3" s="498"/>
      <c r="ILL3" s="498"/>
      <c r="ILM3" s="466"/>
      <c r="ILN3" s="466"/>
      <c r="ILO3" s="497"/>
      <c r="ILP3" s="496"/>
      <c r="ILQ3" s="498"/>
      <c r="ILR3" s="498"/>
      <c r="ILS3" s="498"/>
      <c r="ILT3" s="466"/>
      <c r="ILU3" s="466"/>
      <c r="ILV3" s="497"/>
      <c r="ILW3" s="496"/>
      <c r="ILX3" s="498"/>
      <c r="ILY3" s="498"/>
      <c r="ILZ3" s="498"/>
      <c r="IMA3" s="466"/>
      <c r="IMB3" s="466"/>
      <c r="IMC3" s="497"/>
      <c r="IMD3" s="496"/>
      <c r="IME3" s="498"/>
      <c r="IMF3" s="498"/>
      <c r="IMG3" s="498"/>
      <c r="IMH3" s="466"/>
      <c r="IMI3" s="466"/>
      <c r="IMJ3" s="497"/>
      <c r="IMK3" s="496"/>
      <c r="IML3" s="498"/>
      <c r="IMM3" s="498"/>
      <c r="IMN3" s="498"/>
      <c r="IMO3" s="466"/>
      <c r="IMP3" s="466"/>
      <c r="IMQ3" s="497"/>
      <c r="IMR3" s="496"/>
      <c r="IMS3" s="498"/>
      <c r="IMT3" s="498"/>
      <c r="IMU3" s="498"/>
      <c r="IMV3" s="466"/>
      <c r="IMW3" s="466"/>
      <c r="IMX3" s="497"/>
      <c r="IMY3" s="496"/>
      <c r="IMZ3" s="498"/>
      <c r="INA3" s="498"/>
      <c r="INB3" s="498"/>
      <c r="INC3" s="466"/>
      <c r="IND3" s="466"/>
      <c r="INE3" s="497"/>
      <c r="INF3" s="496"/>
      <c r="ING3" s="498"/>
      <c r="INH3" s="498"/>
      <c r="INI3" s="498"/>
      <c r="INJ3" s="466"/>
      <c r="INK3" s="466"/>
      <c r="INL3" s="497"/>
      <c r="INM3" s="496"/>
      <c r="INN3" s="498"/>
      <c r="INO3" s="498"/>
      <c r="INP3" s="498"/>
      <c r="INQ3" s="466"/>
      <c r="INR3" s="466"/>
      <c r="INS3" s="497"/>
      <c r="INT3" s="496"/>
      <c r="INU3" s="498"/>
      <c r="INV3" s="498"/>
      <c r="INW3" s="498"/>
      <c r="INX3" s="466"/>
      <c r="INY3" s="466"/>
      <c r="INZ3" s="497"/>
      <c r="IOA3" s="496"/>
      <c r="IOB3" s="498"/>
      <c r="IOC3" s="498"/>
      <c r="IOD3" s="498"/>
      <c r="IOE3" s="466"/>
      <c r="IOF3" s="466"/>
      <c r="IOG3" s="497"/>
      <c r="IOH3" s="496"/>
      <c r="IOI3" s="498"/>
      <c r="IOJ3" s="498"/>
      <c r="IOK3" s="498"/>
      <c r="IOL3" s="466"/>
      <c r="IOM3" s="466"/>
      <c r="ION3" s="497"/>
      <c r="IOO3" s="496"/>
      <c r="IOP3" s="498"/>
      <c r="IOQ3" s="498"/>
      <c r="IOR3" s="498"/>
      <c r="IOS3" s="466"/>
      <c r="IOT3" s="466"/>
      <c r="IOU3" s="497"/>
      <c r="IOV3" s="496"/>
      <c r="IOW3" s="498"/>
      <c r="IOX3" s="498"/>
      <c r="IOY3" s="498"/>
      <c r="IOZ3" s="466"/>
      <c r="IPA3" s="466"/>
      <c r="IPB3" s="497"/>
      <c r="IPC3" s="496"/>
      <c r="IPD3" s="498"/>
      <c r="IPE3" s="498"/>
      <c r="IPF3" s="498"/>
      <c r="IPG3" s="466"/>
      <c r="IPH3" s="466"/>
      <c r="IPI3" s="497"/>
      <c r="IPJ3" s="496"/>
      <c r="IPK3" s="498"/>
      <c r="IPL3" s="498"/>
      <c r="IPM3" s="498"/>
      <c r="IPN3" s="466"/>
      <c r="IPO3" s="466"/>
      <c r="IPP3" s="497"/>
      <c r="IPQ3" s="496"/>
      <c r="IPR3" s="498"/>
      <c r="IPS3" s="498"/>
      <c r="IPT3" s="498"/>
      <c r="IPU3" s="466"/>
      <c r="IPV3" s="466"/>
      <c r="IPW3" s="497"/>
      <c r="IPX3" s="496"/>
      <c r="IPY3" s="498"/>
      <c r="IPZ3" s="498"/>
      <c r="IQA3" s="498"/>
      <c r="IQB3" s="466"/>
      <c r="IQC3" s="466"/>
      <c r="IQD3" s="497"/>
      <c r="IQE3" s="496"/>
      <c r="IQF3" s="498"/>
      <c r="IQG3" s="498"/>
      <c r="IQH3" s="498"/>
      <c r="IQI3" s="466"/>
      <c r="IQJ3" s="466"/>
      <c r="IQK3" s="497"/>
      <c r="IQL3" s="496"/>
      <c r="IQM3" s="498"/>
      <c r="IQN3" s="498"/>
      <c r="IQO3" s="498"/>
      <c r="IQP3" s="466"/>
      <c r="IQQ3" s="466"/>
      <c r="IQR3" s="497"/>
      <c r="IQS3" s="496"/>
      <c r="IQT3" s="498"/>
      <c r="IQU3" s="498"/>
      <c r="IQV3" s="498"/>
      <c r="IQW3" s="466"/>
      <c r="IQX3" s="466"/>
      <c r="IQY3" s="497"/>
      <c r="IQZ3" s="496"/>
      <c r="IRA3" s="498"/>
      <c r="IRB3" s="498"/>
      <c r="IRC3" s="498"/>
      <c r="IRD3" s="466"/>
      <c r="IRE3" s="466"/>
      <c r="IRF3" s="497"/>
      <c r="IRG3" s="496"/>
      <c r="IRH3" s="498"/>
      <c r="IRI3" s="498"/>
      <c r="IRJ3" s="498"/>
      <c r="IRK3" s="466"/>
      <c r="IRL3" s="466"/>
      <c r="IRM3" s="497"/>
      <c r="IRN3" s="496"/>
      <c r="IRO3" s="498"/>
      <c r="IRP3" s="498"/>
      <c r="IRQ3" s="498"/>
      <c r="IRR3" s="466"/>
      <c r="IRS3" s="466"/>
      <c r="IRT3" s="497"/>
      <c r="IRU3" s="496"/>
      <c r="IRV3" s="498"/>
      <c r="IRW3" s="498"/>
      <c r="IRX3" s="498"/>
      <c r="IRY3" s="466"/>
      <c r="IRZ3" s="466"/>
      <c r="ISA3" s="497"/>
      <c r="ISB3" s="496"/>
      <c r="ISC3" s="498"/>
      <c r="ISD3" s="498"/>
      <c r="ISE3" s="498"/>
      <c r="ISF3" s="466"/>
      <c r="ISG3" s="466"/>
      <c r="ISH3" s="497"/>
      <c r="ISI3" s="496"/>
      <c r="ISJ3" s="498"/>
      <c r="ISK3" s="498"/>
      <c r="ISL3" s="498"/>
      <c r="ISM3" s="466"/>
      <c r="ISN3" s="466"/>
      <c r="ISO3" s="497"/>
      <c r="ISP3" s="496"/>
      <c r="ISQ3" s="498"/>
      <c r="ISR3" s="498"/>
      <c r="ISS3" s="498"/>
      <c r="IST3" s="466"/>
      <c r="ISU3" s="466"/>
      <c r="ISV3" s="497"/>
      <c r="ISW3" s="496"/>
      <c r="ISX3" s="498"/>
      <c r="ISY3" s="498"/>
      <c r="ISZ3" s="498"/>
      <c r="ITA3" s="466"/>
      <c r="ITB3" s="466"/>
      <c r="ITC3" s="497"/>
      <c r="ITD3" s="496"/>
      <c r="ITE3" s="498"/>
      <c r="ITF3" s="498"/>
      <c r="ITG3" s="498"/>
      <c r="ITH3" s="466"/>
      <c r="ITI3" s="466"/>
      <c r="ITJ3" s="497"/>
      <c r="ITK3" s="496"/>
      <c r="ITL3" s="498"/>
      <c r="ITM3" s="498"/>
      <c r="ITN3" s="498"/>
      <c r="ITO3" s="466"/>
      <c r="ITP3" s="466"/>
      <c r="ITQ3" s="497"/>
      <c r="ITR3" s="496"/>
      <c r="ITS3" s="498"/>
      <c r="ITT3" s="498"/>
      <c r="ITU3" s="498"/>
      <c r="ITV3" s="466"/>
      <c r="ITW3" s="466"/>
      <c r="ITX3" s="497"/>
      <c r="ITY3" s="496"/>
      <c r="ITZ3" s="498"/>
      <c r="IUA3" s="498"/>
      <c r="IUB3" s="498"/>
      <c r="IUC3" s="466"/>
      <c r="IUD3" s="466"/>
      <c r="IUE3" s="497"/>
      <c r="IUF3" s="496"/>
      <c r="IUG3" s="498"/>
      <c r="IUH3" s="498"/>
      <c r="IUI3" s="498"/>
      <c r="IUJ3" s="466"/>
      <c r="IUK3" s="466"/>
      <c r="IUL3" s="497"/>
      <c r="IUM3" s="496"/>
      <c r="IUN3" s="498"/>
      <c r="IUO3" s="498"/>
      <c r="IUP3" s="498"/>
      <c r="IUQ3" s="466"/>
      <c r="IUR3" s="466"/>
      <c r="IUS3" s="497"/>
      <c r="IUT3" s="496"/>
      <c r="IUU3" s="498"/>
      <c r="IUV3" s="498"/>
      <c r="IUW3" s="498"/>
      <c r="IUX3" s="466"/>
      <c r="IUY3" s="466"/>
      <c r="IUZ3" s="497"/>
      <c r="IVA3" s="496"/>
      <c r="IVB3" s="498"/>
      <c r="IVC3" s="498"/>
      <c r="IVD3" s="498"/>
      <c r="IVE3" s="466"/>
      <c r="IVF3" s="466"/>
      <c r="IVG3" s="497"/>
      <c r="IVH3" s="496"/>
      <c r="IVI3" s="498"/>
      <c r="IVJ3" s="498"/>
      <c r="IVK3" s="498"/>
      <c r="IVL3" s="466"/>
      <c r="IVM3" s="466"/>
      <c r="IVN3" s="497"/>
      <c r="IVO3" s="496"/>
      <c r="IVP3" s="498"/>
      <c r="IVQ3" s="498"/>
      <c r="IVR3" s="498"/>
      <c r="IVS3" s="466"/>
      <c r="IVT3" s="466"/>
      <c r="IVU3" s="497"/>
      <c r="IVV3" s="496"/>
      <c r="IVW3" s="498"/>
      <c r="IVX3" s="498"/>
      <c r="IVY3" s="498"/>
      <c r="IVZ3" s="466"/>
      <c r="IWA3" s="466"/>
      <c r="IWB3" s="497"/>
      <c r="IWC3" s="496"/>
      <c r="IWD3" s="498"/>
      <c r="IWE3" s="498"/>
      <c r="IWF3" s="498"/>
      <c r="IWG3" s="466"/>
      <c r="IWH3" s="466"/>
      <c r="IWI3" s="497"/>
      <c r="IWJ3" s="496"/>
      <c r="IWK3" s="498"/>
      <c r="IWL3" s="498"/>
      <c r="IWM3" s="498"/>
      <c r="IWN3" s="466"/>
      <c r="IWO3" s="466"/>
      <c r="IWP3" s="497"/>
      <c r="IWQ3" s="496"/>
      <c r="IWR3" s="498"/>
      <c r="IWS3" s="498"/>
      <c r="IWT3" s="498"/>
      <c r="IWU3" s="466"/>
      <c r="IWV3" s="466"/>
      <c r="IWW3" s="497"/>
      <c r="IWX3" s="496"/>
      <c r="IWY3" s="498"/>
      <c r="IWZ3" s="498"/>
      <c r="IXA3" s="498"/>
      <c r="IXB3" s="466"/>
      <c r="IXC3" s="466"/>
      <c r="IXD3" s="497"/>
      <c r="IXE3" s="496"/>
      <c r="IXF3" s="498"/>
      <c r="IXG3" s="498"/>
      <c r="IXH3" s="498"/>
      <c r="IXI3" s="466"/>
      <c r="IXJ3" s="466"/>
      <c r="IXK3" s="497"/>
      <c r="IXL3" s="496"/>
      <c r="IXM3" s="498"/>
      <c r="IXN3" s="498"/>
      <c r="IXO3" s="498"/>
      <c r="IXP3" s="466"/>
      <c r="IXQ3" s="466"/>
      <c r="IXR3" s="497"/>
      <c r="IXS3" s="496"/>
      <c r="IXT3" s="498"/>
      <c r="IXU3" s="498"/>
      <c r="IXV3" s="498"/>
      <c r="IXW3" s="466"/>
      <c r="IXX3" s="466"/>
      <c r="IXY3" s="497"/>
      <c r="IXZ3" s="496"/>
      <c r="IYA3" s="498"/>
      <c r="IYB3" s="498"/>
      <c r="IYC3" s="498"/>
      <c r="IYD3" s="466"/>
      <c r="IYE3" s="466"/>
      <c r="IYF3" s="497"/>
      <c r="IYG3" s="496"/>
      <c r="IYH3" s="498"/>
      <c r="IYI3" s="498"/>
      <c r="IYJ3" s="498"/>
      <c r="IYK3" s="466"/>
      <c r="IYL3" s="466"/>
      <c r="IYM3" s="497"/>
      <c r="IYN3" s="496"/>
      <c r="IYO3" s="498"/>
      <c r="IYP3" s="498"/>
      <c r="IYQ3" s="498"/>
      <c r="IYR3" s="466"/>
      <c r="IYS3" s="466"/>
      <c r="IYT3" s="497"/>
      <c r="IYU3" s="496"/>
      <c r="IYV3" s="498"/>
      <c r="IYW3" s="498"/>
      <c r="IYX3" s="498"/>
      <c r="IYY3" s="466"/>
      <c r="IYZ3" s="466"/>
      <c r="IZA3" s="497"/>
      <c r="IZB3" s="496"/>
      <c r="IZC3" s="498"/>
      <c r="IZD3" s="498"/>
      <c r="IZE3" s="498"/>
      <c r="IZF3" s="466"/>
      <c r="IZG3" s="466"/>
      <c r="IZH3" s="497"/>
      <c r="IZI3" s="496"/>
      <c r="IZJ3" s="498"/>
      <c r="IZK3" s="498"/>
      <c r="IZL3" s="498"/>
      <c r="IZM3" s="466"/>
      <c r="IZN3" s="466"/>
      <c r="IZO3" s="497"/>
      <c r="IZP3" s="496"/>
      <c r="IZQ3" s="498"/>
      <c r="IZR3" s="498"/>
      <c r="IZS3" s="498"/>
      <c r="IZT3" s="466"/>
      <c r="IZU3" s="466"/>
      <c r="IZV3" s="497"/>
      <c r="IZW3" s="496"/>
      <c r="IZX3" s="498"/>
      <c r="IZY3" s="498"/>
      <c r="IZZ3" s="498"/>
      <c r="JAA3" s="466"/>
      <c r="JAB3" s="466"/>
      <c r="JAC3" s="497"/>
      <c r="JAD3" s="496"/>
      <c r="JAE3" s="498"/>
      <c r="JAF3" s="498"/>
      <c r="JAG3" s="498"/>
      <c r="JAH3" s="466"/>
      <c r="JAI3" s="466"/>
      <c r="JAJ3" s="497"/>
      <c r="JAK3" s="496"/>
      <c r="JAL3" s="498"/>
      <c r="JAM3" s="498"/>
      <c r="JAN3" s="498"/>
      <c r="JAO3" s="466"/>
      <c r="JAP3" s="466"/>
      <c r="JAQ3" s="497"/>
      <c r="JAR3" s="496"/>
      <c r="JAS3" s="498"/>
      <c r="JAT3" s="498"/>
      <c r="JAU3" s="498"/>
      <c r="JAV3" s="466"/>
      <c r="JAW3" s="466"/>
      <c r="JAX3" s="497"/>
      <c r="JAY3" s="496"/>
      <c r="JAZ3" s="498"/>
      <c r="JBA3" s="498"/>
      <c r="JBB3" s="498"/>
      <c r="JBC3" s="466"/>
      <c r="JBD3" s="466"/>
      <c r="JBE3" s="497"/>
      <c r="JBF3" s="496"/>
      <c r="JBG3" s="498"/>
      <c r="JBH3" s="498"/>
      <c r="JBI3" s="498"/>
      <c r="JBJ3" s="466"/>
      <c r="JBK3" s="466"/>
      <c r="JBL3" s="497"/>
      <c r="JBM3" s="496"/>
      <c r="JBN3" s="498"/>
      <c r="JBO3" s="498"/>
      <c r="JBP3" s="498"/>
      <c r="JBQ3" s="466"/>
      <c r="JBR3" s="466"/>
      <c r="JBS3" s="497"/>
      <c r="JBT3" s="496"/>
      <c r="JBU3" s="498"/>
      <c r="JBV3" s="498"/>
      <c r="JBW3" s="498"/>
      <c r="JBX3" s="466"/>
      <c r="JBY3" s="466"/>
      <c r="JBZ3" s="497"/>
      <c r="JCA3" s="496"/>
      <c r="JCB3" s="498"/>
      <c r="JCC3" s="498"/>
      <c r="JCD3" s="498"/>
      <c r="JCE3" s="466"/>
      <c r="JCF3" s="466"/>
      <c r="JCG3" s="497"/>
      <c r="JCH3" s="496"/>
      <c r="JCI3" s="498"/>
      <c r="JCJ3" s="498"/>
      <c r="JCK3" s="498"/>
      <c r="JCL3" s="466"/>
      <c r="JCM3" s="466"/>
      <c r="JCN3" s="497"/>
      <c r="JCO3" s="496"/>
      <c r="JCP3" s="498"/>
      <c r="JCQ3" s="498"/>
      <c r="JCR3" s="498"/>
      <c r="JCS3" s="466"/>
      <c r="JCT3" s="466"/>
      <c r="JCU3" s="497"/>
      <c r="JCV3" s="496"/>
      <c r="JCW3" s="498"/>
      <c r="JCX3" s="498"/>
      <c r="JCY3" s="498"/>
      <c r="JCZ3" s="466"/>
      <c r="JDA3" s="466"/>
      <c r="JDB3" s="497"/>
      <c r="JDC3" s="496"/>
      <c r="JDD3" s="498"/>
      <c r="JDE3" s="498"/>
      <c r="JDF3" s="498"/>
      <c r="JDG3" s="466"/>
      <c r="JDH3" s="466"/>
      <c r="JDI3" s="497"/>
      <c r="JDJ3" s="496"/>
      <c r="JDK3" s="498"/>
      <c r="JDL3" s="498"/>
      <c r="JDM3" s="498"/>
      <c r="JDN3" s="466"/>
      <c r="JDO3" s="466"/>
      <c r="JDP3" s="497"/>
      <c r="JDQ3" s="496"/>
      <c r="JDR3" s="498"/>
      <c r="JDS3" s="498"/>
      <c r="JDT3" s="498"/>
      <c r="JDU3" s="466"/>
      <c r="JDV3" s="466"/>
      <c r="JDW3" s="497"/>
      <c r="JDX3" s="496"/>
      <c r="JDY3" s="498"/>
      <c r="JDZ3" s="498"/>
      <c r="JEA3" s="498"/>
      <c r="JEB3" s="466"/>
      <c r="JEC3" s="466"/>
      <c r="JED3" s="497"/>
      <c r="JEE3" s="496"/>
      <c r="JEF3" s="498"/>
      <c r="JEG3" s="498"/>
      <c r="JEH3" s="498"/>
      <c r="JEI3" s="466"/>
      <c r="JEJ3" s="466"/>
      <c r="JEK3" s="497"/>
      <c r="JEL3" s="496"/>
      <c r="JEM3" s="498"/>
      <c r="JEN3" s="498"/>
      <c r="JEO3" s="498"/>
      <c r="JEP3" s="466"/>
      <c r="JEQ3" s="466"/>
      <c r="JER3" s="497"/>
      <c r="JES3" s="496"/>
      <c r="JET3" s="498"/>
      <c r="JEU3" s="498"/>
      <c r="JEV3" s="498"/>
      <c r="JEW3" s="466"/>
      <c r="JEX3" s="466"/>
      <c r="JEY3" s="497"/>
      <c r="JEZ3" s="496"/>
      <c r="JFA3" s="498"/>
      <c r="JFB3" s="498"/>
      <c r="JFC3" s="498"/>
      <c r="JFD3" s="466"/>
      <c r="JFE3" s="466"/>
      <c r="JFF3" s="497"/>
      <c r="JFG3" s="496"/>
      <c r="JFH3" s="498"/>
      <c r="JFI3" s="498"/>
      <c r="JFJ3" s="498"/>
      <c r="JFK3" s="466"/>
      <c r="JFL3" s="466"/>
      <c r="JFM3" s="497"/>
      <c r="JFN3" s="496"/>
      <c r="JFO3" s="498"/>
      <c r="JFP3" s="498"/>
      <c r="JFQ3" s="498"/>
      <c r="JFR3" s="466"/>
      <c r="JFS3" s="466"/>
      <c r="JFT3" s="497"/>
      <c r="JFU3" s="496"/>
      <c r="JFV3" s="498"/>
      <c r="JFW3" s="498"/>
      <c r="JFX3" s="498"/>
      <c r="JFY3" s="466"/>
      <c r="JFZ3" s="466"/>
      <c r="JGA3" s="497"/>
      <c r="JGB3" s="496"/>
      <c r="JGC3" s="498"/>
      <c r="JGD3" s="498"/>
      <c r="JGE3" s="498"/>
      <c r="JGF3" s="466"/>
      <c r="JGG3" s="466"/>
      <c r="JGH3" s="497"/>
      <c r="JGI3" s="496"/>
      <c r="JGJ3" s="498"/>
      <c r="JGK3" s="498"/>
      <c r="JGL3" s="498"/>
      <c r="JGM3" s="466"/>
      <c r="JGN3" s="466"/>
      <c r="JGO3" s="497"/>
      <c r="JGP3" s="496"/>
      <c r="JGQ3" s="498"/>
      <c r="JGR3" s="498"/>
      <c r="JGS3" s="498"/>
      <c r="JGT3" s="466"/>
      <c r="JGU3" s="466"/>
      <c r="JGV3" s="497"/>
      <c r="JGW3" s="496"/>
      <c r="JGX3" s="498"/>
      <c r="JGY3" s="498"/>
      <c r="JGZ3" s="498"/>
      <c r="JHA3" s="466"/>
      <c r="JHB3" s="466"/>
      <c r="JHC3" s="497"/>
      <c r="JHD3" s="496"/>
      <c r="JHE3" s="498"/>
      <c r="JHF3" s="498"/>
      <c r="JHG3" s="498"/>
      <c r="JHH3" s="466"/>
      <c r="JHI3" s="466"/>
      <c r="JHJ3" s="497"/>
      <c r="JHK3" s="496"/>
      <c r="JHL3" s="498"/>
      <c r="JHM3" s="498"/>
      <c r="JHN3" s="498"/>
      <c r="JHO3" s="466"/>
      <c r="JHP3" s="466"/>
      <c r="JHQ3" s="497"/>
      <c r="JHR3" s="496"/>
      <c r="JHS3" s="498"/>
      <c r="JHT3" s="498"/>
      <c r="JHU3" s="498"/>
      <c r="JHV3" s="466"/>
      <c r="JHW3" s="466"/>
      <c r="JHX3" s="497"/>
      <c r="JHY3" s="496"/>
      <c r="JHZ3" s="498"/>
      <c r="JIA3" s="498"/>
      <c r="JIB3" s="498"/>
      <c r="JIC3" s="466"/>
      <c r="JID3" s="466"/>
      <c r="JIE3" s="497"/>
      <c r="JIF3" s="496"/>
      <c r="JIG3" s="498"/>
      <c r="JIH3" s="498"/>
      <c r="JII3" s="498"/>
      <c r="JIJ3" s="466"/>
      <c r="JIK3" s="466"/>
      <c r="JIL3" s="497"/>
      <c r="JIM3" s="496"/>
      <c r="JIN3" s="498"/>
      <c r="JIO3" s="498"/>
      <c r="JIP3" s="498"/>
      <c r="JIQ3" s="466"/>
      <c r="JIR3" s="466"/>
      <c r="JIS3" s="497"/>
      <c r="JIT3" s="496"/>
      <c r="JIU3" s="498"/>
      <c r="JIV3" s="498"/>
      <c r="JIW3" s="498"/>
      <c r="JIX3" s="466"/>
      <c r="JIY3" s="466"/>
      <c r="JIZ3" s="497"/>
      <c r="JJA3" s="496"/>
      <c r="JJB3" s="498"/>
      <c r="JJC3" s="498"/>
      <c r="JJD3" s="498"/>
      <c r="JJE3" s="466"/>
      <c r="JJF3" s="466"/>
      <c r="JJG3" s="497"/>
      <c r="JJH3" s="496"/>
      <c r="JJI3" s="498"/>
      <c r="JJJ3" s="498"/>
      <c r="JJK3" s="498"/>
      <c r="JJL3" s="466"/>
      <c r="JJM3" s="466"/>
      <c r="JJN3" s="497"/>
      <c r="JJO3" s="496"/>
      <c r="JJP3" s="498"/>
      <c r="JJQ3" s="498"/>
      <c r="JJR3" s="498"/>
      <c r="JJS3" s="466"/>
      <c r="JJT3" s="466"/>
      <c r="JJU3" s="497"/>
      <c r="JJV3" s="496"/>
      <c r="JJW3" s="498"/>
      <c r="JJX3" s="498"/>
      <c r="JJY3" s="498"/>
      <c r="JJZ3" s="466"/>
      <c r="JKA3" s="466"/>
      <c r="JKB3" s="497"/>
      <c r="JKC3" s="496"/>
      <c r="JKD3" s="498"/>
      <c r="JKE3" s="498"/>
      <c r="JKF3" s="498"/>
      <c r="JKG3" s="466"/>
      <c r="JKH3" s="466"/>
      <c r="JKI3" s="497"/>
      <c r="JKJ3" s="496"/>
      <c r="JKK3" s="498"/>
      <c r="JKL3" s="498"/>
      <c r="JKM3" s="498"/>
      <c r="JKN3" s="466"/>
      <c r="JKO3" s="466"/>
      <c r="JKP3" s="497"/>
      <c r="JKQ3" s="496"/>
      <c r="JKR3" s="498"/>
      <c r="JKS3" s="498"/>
      <c r="JKT3" s="498"/>
      <c r="JKU3" s="466"/>
      <c r="JKV3" s="466"/>
      <c r="JKW3" s="497"/>
      <c r="JKX3" s="496"/>
      <c r="JKY3" s="498"/>
      <c r="JKZ3" s="498"/>
      <c r="JLA3" s="498"/>
      <c r="JLB3" s="466"/>
      <c r="JLC3" s="466"/>
      <c r="JLD3" s="497"/>
      <c r="JLE3" s="496"/>
      <c r="JLF3" s="498"/>
      <c r="JLG3" s="498"/>
      <c r="JLH3" s="498"/>
      <c r="JLI3" s="466"/>
      <c r="JLJ3" s="466"/>
      <c r="JLK3" s="497"/>
      <c r="JLL3" s="496"/>
      <c r="JLM3" s="498"/>
      <c r="JLN3" s="498"/>
      <c r="JLO3" s="498"/>
      <c r="JLP3" s="466"/>
      <c r="JLQ3" s="466"/>
      <c r="JLR3" s="497"/>
      <c r="JLS3" s="496"/>
      <c r="JLT3" s="498"/>
      <c r="JLU3" s="498"/>
      <c r="JLV3" s="498"/>
      <c r="JLW3" s="466"/>
      <c r="JLX3" s="466"/>
      <c r="JLY3" s="497"/>
      <c r="JLZ3" s="496"/>
      <c r="JMA3" s="498"/>
      <c r="JMB3" s="498"/>
      <c r="JMC3" s="498"/>
      <c r="JMD3" s="466"/>
      <c r="JME3" s="466"/>
      <c r="JMF3" s="497"/>
      <c r="JMG3" s="496"/>
      <c r="JMH3" s="498"/>
      <c r="JMI3" s="498"/>
      <c r="JMJ3" s="498"/>
      <c r="JMK3" s="466"/>
      <c r="JML3" s="466"/>
      <c r="JMM3" s="497"/>
      <c r="JMN3" s="496"/>
      <c r="JMO3" s="498"/>
      <c r="JMP3" s="498"/>
      <c r="JMQ3" s="498"/>
      <c r="JMR3" s="466"/>
      <c r="JMS3" s="466"/>
      <c r="JMT3" s="497"/>
      <c r="JMU3" s="496"/>
      <c r="JMV3" s="498"/>
      <c r="JMW3" s="498"/>
      <c r="JMX3" s="498"/>
      <c r="JMY3" s="466"/>
      <c r="JMZ3" s="466"/>
      <c r="JNA3" s="497"/>
      <c r="JNB3" s="496"/>
      <c r="JNC3" s="498"/>
      <c r="JND3" s="498"/>
      <c r="JNE3" s="498"/>
      <c r="JNF3" s="466"/>
      <c r="JNG3" s="466"/>
      <c r="JNH3" s="497"/>
      <c r="JNI3" s="496"/>
      <c r="JNJ3" s="498"/>
      <c r="JNK3" s="498"/>
      <c r="JNL3" s="498"/>
      <c r="JNM3" s="466"/>
      <c r="JNN3" s="466"/>
      <c r="JNO3" s="497"/>
      <c r="JNP3" s="496"/>
      <c r="JNQ3" s="498"/>
      <c r="JNR3" s="498"/>
      <c r="JNS3" s="498"/>
      <c r="JNT3" s="466"/>
      <c r="JNU3" s="466"/>
      <c r="JNV3" s="497"/>
      <c r="JNW3" s="496"/>
      <c r="JNX3" s="498"/>
      <c r="JNY3" s="498"/>
      <c r="JNZ3" s="498"/>
      <c r="JOA3" s="466"/>
      <c r="JOB3" s="466"/>
      <c r="JOC3" s="497"/>
      <c r="JOD3" s="496"/>
      <c r="JOE3" s="498"/>
      <c r="JOF3" s="498"/>
      <c r="JOG3" s="498"/>
      <c r="JOH3" s="466"/>
      <c r="JOI3" s="466"/>
      <c r="JOJ3" s="497"/>
      <c r="JOK3" s="496"/>
      <c r="JOL3" s="498"/>
      <c r="JOM3" s="498"/>
      <c r="JON3" s="498"/>
      <c r="JOO3" s="466"/>
      <c r="JOP3" s="466"/>
      <c r="JOQ3" s="497"/>
      <c r="JOR3" s="496"/>
      <c r="JOS3" s="498"/>
      <c r="JOT3" s="498"/>
      <c r="JOU3" s="498"/>
      <c r="JOV3" s="466"/>
      <c r="JOW3" s="466"/>
      <c r="JOX3" s="497"/>
      <c r="JOY3" s="496"/>
      <c r="JOZ3" s="498"/>
      <c r="JPA3" s="498"/>
      <c r="JPB3" s="498"/>
      <c r="JPC3" s="466"/>
      <c r="JPD3" s="466"/>
      <c r="JPE3" s="497"/>
      <c r="JPF3" s="496"/>
      <c r="JPG3" s="498"/>
      <c r="JPH3" s="498"/>
      <c r="JPI3" s="498"/>
      <c r="JPJ3" s="466"/>
      <c r="JPK3" s="466"/>
      <c r="JPL3" s="497"/>
      <c r="JPM3" s="496"/>
      <c r="JPN3" s="498"/>
      <c r="JPO3" s="498"/>
      <c r="JPP3" s="498"/>
      <c r="JPQ3" s="466"/>
      <c r="JPR3" s="466"/>
      <c r="JPS3" s="497"/>
      <c r="JPT3" s="496"/>
      <c r="JPU3" s="498"/>
      <c r="JPV3" s="498"/>
      <c r="JPW3" s="498"/>
      <c r="JPX3" s="466"/>
      <c r="JPY3" s="466"/>
      <c r="JPZ3" s="497"/>
      <c r="JQA3" s="496"/>
      <c r="JQB3" s="498"/>
      <c r="JQC3" s="498"/>
      <c r="JQD3" s="498"/>
      <c r="JQE3" s="466"/>
      <c r="JQF3" s="466"/>
      <c r="JQG3" s="497"/>
      <c r="JQH3" s="496"/>
      <c r="JQI3" s="498"/>
      <c r="JQJ3" s="498"/>
      <c r="JQK3" s="498"/>
      <c r="JQL3" s="466"/>
      <c r="JQM3" s="466"/>
      <c r="JQN3" s="497"/>
      <c r="JQO3" s="496"/>
      <c r="JQP3" s="498"/>
      <c r="JQQ3" s="498"/>
      <c r="JQR3" s="498"/>
      <c r="JQS3" s="466"/>
      <c r="JQT3" s="466"/>
      <c r="JQU3" s="497"/>
      <c r="JQV3" s="496"/>
      <c r="JQW3" s="498"/>
      <c r="JQX3" s="498"/>
      <c r="JQY3" s="498"/>
      <c r="JQZ3" s="466"/>
      <c r="JRA3" s="466"/>
      <c r="JRB3" s="497"/>
      <c r="JRC3" s="496"/>
      <c r="JRD3" s="498"/>
      <c r="JRE3" s="498"/>
      <c r="JRF3" s="498"/>
      <c r="JRG3" s="466"/>
      <c r="JRH3" s="466"/>
      <c r="JRI3" s="497"/>
      <c r="JRJ3" s="496"/>
      <c r="JRK3" s="498"/>
      <c r="JRL3" s="498"/>
      <c r="JRM3" s="498"/>
      <c r="JRN3" s="466"/>
      <c r="JRO3" s="466"/>
      <c r="JRP3" s="497"/>
      <c r="JRQ3" s="496"/>
      <c r="JRR3" s="498"/>
      <c r="JRS3" s="498"/>
      <c r="JRT3" s="498"/>
      <c r="JRU3" s="466"/>
      <c r="JRV3" s="466"/>
      <c r="JRW3" s="497"/>
      <c r="JRX3" s="496"/>
      <c r="JRY3" s="498"/>
      <c r="JRZ3" s="498"/>
      <c r="JSA3" s="498"/>
      <c r="JSB3" s="466"/>
      <c r="JSC3" s="466"/>
      <c r="JSD3" s="497"/>
      <c r="JSE3" s="496"/>
      <c r="JSF3" s="498"/>
      <c r="JSG3" s="498"/>
      <c r="JSH3" s="498"/>
      <c r="JSI3" s="466"/>
      <c r="JSJ3" s="466"/>
      <c r="JSK3" s="497"/>
      <c r="JSL3" s="496"/>
      <c r="JSM3" s="498"/>
      <c r="JSN3" s="498"/>
      <c r="JSO3" s="498"/>
      <c r="JSP3" s="466"/>
      <c r="JSQ3" s="466"/>
      <c r="JSR3" s="497"/>
      <c r="JSS3" s="496"/>
      <c r="JST3" s="498"/>
      <c r="JSU3" s="498"/>
      <c r="JSV3" s="498"/>
      <c r="JSW3" s="466"/>
      <c r="JSX3" s="466"/>
      <c r="JSY3" s="497"/>
      <c r="JSZ3" s="496"/>
      <c r="JTA3" s="498"/>
      <c r="JTB3" s="498"/>
      <c r="JTC3" s="498"/>
      <c r="JTD3" s="466"/>
      <c r="JTE3" s="466"/>
      <c r="JTF3" s="497"/>
      <c r="JTG3" s="496"/>
      <c r="JTH3" s="498"/>
      <c r="JTI3" s="498"/>
      <c r="JTJ3" s="498"/>
      <c r="JTK3" s="466"/>
      <c r="JTL3" s="466"/>
      <c r="JTM3" s="497"/>
      <c r="JTN3" s="496"/>
      <c r="JTO3" s="498"/>
      <c r="JTP3" s="498"/>
      <c r="JTQ3" s="498"/>
      <c r="JTR3" s="466"/>
      <c r="JTS3" s="466"/>
      <c r="JTT3" s="497"/>
      <c r="JTU3" s="496"/>
      <c r="JTV3" s="498"/>
      <c r="JTW3" s="498"/>
      <c r="JTX3" s="498"/>
      <c r="JTY3" s="466"/>
      <c r="JTZ3" s="466"/>
      <c r="JUA3" s="497"/>
      <c r="JUB3" s="496"/>
      <c r="JUC3" s="498"/>
      <c r="JUD3" s="498"/>
      <c r="JUE3" s="498"/>
      <c r="JUF3" s="466"/>
      <c r="JUG3" s="466"/>
      <c r="JUH3" s="497"/>
      <c r="JUI3" s="496"/>
      <c r="JUJ3" s="498"/>
      <c r="JUK3" s="498"/>
      <c r="JUL3" s="498"/>
      <c r="JUM3" s="466"/>
      <c r="JUN3" s="466"/>
      <c r="JUO3" s="497"/>
      <c r="JUP3" s="496"/>
      <c r="JUQ3" s="498"/>
      <c r="JUR3" s="498"/>
      <c r="JUS3" s="498"/>
      <c r="JUT3" s="466"/>
      <c r="JUU3" s="466"/>
      <c r="JUV3" s="497"/>
      <c r="JUW3" s="496"/>
      <c r="JUX3" s="498"/>
      <c r="JUY3" s="498"/>
      <c r="JUZ3" s="498"/>
      <c r="JVA3" s="466"/>
      <c r="JVB3" s="466"/>
      <c r="JVC3" s="497"/>
      <c r="JVD3" s="496"/>
      <c r="JVE3" s="498"/>
      <c r="JVF3" s="498"/>
      <c r="JVG3" s="498"/>
      <c r="JVH3" s="466"/>
      <c r="JVI3" s="466"/>
      <c r="JVJ3" s="497"/>
      <c r="JVK3" s="496"/>
      <c r="JVL3" s="498"/>
      <c r="JVM3" s="498"/>
      <c r="JVN3" s="498"/>
      <c r="JVO3" s="466"/>
      <c r="JVP3" s="466"/>
      <c r="JVQ3" s="497"/>
      <c r="JVR3" s="496"/>
      <c r="JVS3" s="498"/>
      <c r="JVT3" s="498"/>
      <c r="JVU3" s="498"/>
      <c r="JVV3" s="466"/>
      <c r="JVW3" s="466"/>
      <c r="JVX3" s="497"/>
      <c r="JVY3" s="496"/>
      <c r="JVZ3" s="498"/>
      <c r="JWA3" s="498"/>
      <c r="JWB3" s="498"/>
      <c r="JWC3" s="466"/>
      <c r="JWD3" s="466"/>
      <c r="JWE3" s="497"/>
      <c r="JWF3" s="496"/>
      <c r="JWG3" s="498"/>
      <c r="JWH3" s="498"/>
      <c r="JWI3" s="498"/>
      <c r="JWJ3" s="466"/>
      <c r="JWK3" s="466"/>
      <c r="JWL3" s="497"/>
      <c r="JWM3" s="496"/>
      <c r="JWN3" s="498"/>
      <c r="JWO3" s="498"/>
      <c r="JWP3" s="498"/>
      <c r="JWQ3" s="466"/>
      <c r="JWR3" s="466"/>
      <c r="JWS3" s="497"/>
      <c r="JWT3" s="496"/>
      <c r="JWU3" s="498"/>
      <c r="JWV3" s="498"/>
      <c r="JWW3" s="498"/>
      <c r="JWX3" s="466"/>
      <c r="JWY3" s="466"/>
      <c r="JWZ3" s="497"/>
      <c r="JXA3" s="496"/>
      <c r="JXB3" s="498"/>
      <c r="JXC3" s="498"/>
      <c r="JXD3" s="498"/>
      <c r="JXE3" s="466"/>
      <c r="JXF3" s="466"/>
      <c r="JXG3" s="497"/>
      <c r="JXH3" s="496"/>
      <c r="JXI3" s="498"/>
      <c r="JXJ3" s="498"/>
      <c r="JXK3" s="498"/>
      <c r="JXL3" s="466"/>
      <c r="JXM3" s="466"/>
      <c r="JXN3" s="497"/>
      <c r="JXO3" s="496"/>
      <c r="JXP3" s="498"/>
      <c r="JXQ3" s="498"/>
      <c r="JXR3" s="498"/>
      <c r="JXS3" s="466"/>
      <c r="JXT3" s="466"/>
      <c r="JXU3" s="497"/>
      <c r="JXV3" s="496"/>
      <c r="JXW3" s="498"/>
      <c r="JXX3" s="498"/>
      <c r="JXY3" s="498"/>
      <c r="JXZ3" s="466"/>
      <c r="JYA3" s="466"/>
      <c r="JYB3" s="497"/>
      <c r="JYC3" s="496"/>
      <c r="JYD3" s="498"/>
      <c r="JYE3" s="498"/>
      <c r="JYF3" s="498"/>
      <c r="JYG3" s="466"/>
      <c r="JYH3" s="466"/>
      <c r="JYI3" s="497"/>
      <c r="JYJ3" s="496"/>
      <c r="JYK3" s="498"/>
      <c r="JYL3" s="498"/>
      <c r="JYM3" s="498"/>
      <c r="JYN3" s="466"/>
      <c r="JYO3" s="466"/>
      <c r="JYP3" s="497"/>
      <c r="JYQ3" s="496"/>
      <c r="JYR3" s="498"/>
      <c r="JYS3" s="498"/>
      <c r="JYT3" s="498"/>
      <c r="JYU3" s="466"/>
      <c r="JYV3" s="466"/>
      <c r="JYW3" s="497"/>
      <c r="JYX3" s="496"/>
      <c r="JYY3" s="498"/>
      <c r="JYZ3" s="498"/>
      <c r="JZA3" s="498"/>
      <c r="JZB3" s="466"/>
      <c r="JZC3" s="466"/>
      <c r="JZD3" s="497"/>
      <c r="JZE3" s="496"/>
      <c r="JZF3" s="498"/>
      <c r="JZG3" s="498"/>
      <c r="JZH3" s="498"/>
      <c r="JZI3" s="466"/>
      <c r="JZJ3" s="466"/>
      <c r="JZK3" s="497"/>
      <c r="JZL3" s="496"/>
      <c r="JZM3" s="498"/>
      <c r="JZN3" s="498"/>
      <c r="JZO3" s="498"/>
      <c r="JZP3" s="466"/>
      <c r="JZQ3" s="466"/>
      <c r="JZR3" s="497"/>
      <c r="JZS3" s="496"/>
      <c r="JZT3" s="498"/>
      <c r="JZU3" s="498"/>
      <c r="JZV3" s="498"/>
      <c r="JZW3" s="466"/>
      <c r="JZX3" s="466"/>
      <c r="JZY3" s="497"/>
      <c r="JZZ3" s="496"/>
      <c r="KAA3" s="498"/>
      <c r="KAB3" s="498"/>
      <c r="KAC3" s="498"/>
      <c r="KAD3" s="466"/>
      <c r="KAE3" s="466"/>
      <c r="KAF3" s="497"/>
      <c r="KAG3" s="496"/>
      <c r="KAH3" s="498"/>
      <c r="KAI3" s="498"/>
      <c r="KAJ3" s="498"/>
      <c r="KAK3" s="466"/>
      <c r="KAL3" s="466"/>
      <c r="KAM3" s="497"/>
      <c r="KAN3" s="496"/>
      <c r="KAO3" s="498"/>
      <c r="KAP3" s="498"/>
      <c r="KAQ3" s="498"/>
      <c r="KAR3" s="466"/>
      <c r="KAS3" s="466"/>
      <c r="KAT3" s="497"/>
      <c r="KAU3" s="496"/>
      <c r="KAV3" s="498"/>
      <c r="KAW3" s="498"/>
      <c r="KAX3" s="498"/>
      <c r="KAY3" s="466"/>
      <c r="KAZ3" s="466"/>
      <c r="KBA3" s="497"/>
      <c r="KBB3" s="496"/>
      <c r="KBC3" s="498"/>
      <c r="KBD3" s="498"/>
      <c r="KBE3" s="498"/>
      <c r="KBF3" s="466"/>
      <c r="KBG3" s="466"/>
      <c r="KBH3" s="497"/>
      <c r="KBI3" s="496"/>
      <c r="KBJ3" s="498"/>
      <c r="KBK3" s="498"/>
      <c r="KBL3" s="498"/>
      <c r="KBM3" s="466"/>
      <c r="KBN3" s="466"/>
      <c r="KBO3" s="497"/>
      <c r="KBP3" s="496"/>
      <c r="KBQ3" s="498"/>
      <c r="KBR3" s="498"/>
      <c r="KBS3" s="498"/>
      <c r="KBT3" s="466"/>
      <c r="KBU3" s="466"/>
      <c r="KBV3" s="497"/>
      <c r="KBW3" s="496"/>
      <c r="KBX3" s="498"/>
      <c r="KBY3" s="498"/>
      <c r="KBZ3" s="498"/>
      <c r="KCA3" s="466"/>
      <c r="KCB3" s="466"/>
      <c r="KCC3" s="497"/>
      <c r="KCD3" s="496"/>
      <c r="KCE3" s="498"/>
      <c r="KCF3" s="498"/>
      <c r="KCG3" s="498"/>
      <c r="KCH3" s="466"/>
      <c r="KCI3" s="466"/>
      <c r="KCJ3" s="497"/>
      <c r="KCK3" s="496"/>
      <c r="KCL3" s="498"/>
      <c r="KCM3" s="498"/>
      <c r="KCN3" s="498"/>
      <c r="KCO3" s="466"/>
      <c r="KCP3" s="466"/>
      <c r="KCQ3" s="497"/>
      <c r="KCR3" s="496"/>
      <c r="KCS3" s="498"/>
      <c r="KCT3" s="498"/>
      <c r="KCU3" s="498"/>
      <c r="KCV3" s="466"/>
      <c r="KCW3" s="466"/>
      <c r="KCX3" s="497"/>
      <c r="KCY3" s="496"/>
      <c r="KCZ3" s="498"/>
      <c r="KDA3" s="498"/>
      <c r="KDB3" s="498"/>
      <c r="KDC3" s="466"/>
      <c r="KDD3" s="466"/>
      <c r="KDE3" s="497"/>
      <c r="KDF3" s="496"/>
      <c r="KDG3" s="498"/>
      <c r="KDH3" s="498"/>
      <c r="KDI3" s="498"/>
      <c r="KDJ3" s="466"/>
      <c r="KDK3" s="466"/>
      <c r="KDL3" s="497"/>
      <c r="KDM3" s="496"/>
      <c r="KDN3" s="498"/>
      <c r="KDO3" s="498"/>
      <c r="KDP3" s="498"/>
      <c r="KDQ3" s="466"/>
      <c r="KDR3" s="466"/>
      <c r="KDS3" s="497"/>
      <c r="KDT3" s="496"/>
      <c r="KDU3" s="498"/>
      <c r="KDV3" s="498"/>
      <c r="KDW3" s="498"/>
      <c r="KDX3" s="466"/>
      <c r="KDY3" s="466"/>
      <c r="KDZ3" s="497"/>
      <c r="KEA3" s="496"/>
      <c r="KEB3" s="498"/>
      <c r="KEC3" s="498"/>
      <c r="KED3" s="498"/>
      <c r="KEE3" s="466"/>
      <c r="KEF3" s="466"/>
      <c r="KEG3" s="497"/>
      <c r="KEH3" s="496"/>
      <c r="KEI3" s="498"/>
      <c r="KEJ3" s="498"/>
      <c r="KEK3" s="498"/>
      <c r="KEL3" s="466"/>
      <c r="KEM3" s="466"/>
      <c r="KEN3" s="497"/>
      <c r="KEO3" s="496"/>
      <c r="KEP3" s="498"/>
      <c r="KEQ3" s="498"/>
      <c r="KER3" s="498"/>
      <c r="KES3" s="466"/>
      <c r="KET3" s="466"/>
      <c r="KEU3" s="497"/>
      <c r="KEV3" s="496"/>
      <c r="KEW3" s="498"/>
      <c r="KEX3" s="498"/>
      <c r="KEY3" s="498"/>
      <c r="KEZ3" s="466"/>
      <c r="KFA3" s="466"/>
      <c r="KFB3" s="497"/>
      <c r="KFC3" s="496"/>
      <c r="KFD3" s="498"/>
      <c r="KFE3" s="498"/>
      <c r="KFF3" s="498"/>
      <c r="KFG3" s="466"/>
      <c r="KFH3" s="466"/>
      <c r="KFI3" s="497"/>
      <c r="KFJ3" s="496"/>
      <c r="KFK3" s="498"/>
      <c r="KFL3" s="498"/>
      <c r="KFM3" s="498"/>
      <c r="KFN3" s="466"/>
      <c r="KFO3" s="466"/>
      <c r="KFP3" s="497"/>
      <c r="KFQ3" s="496"/>
      <c r="KFR3" s="498"/>
      <c r="KFS3" s="498"/>
      <c r="KFT3" s="498"/>
      <c r="KFU3" s="466"/>
      <c r="KFV3" s="466"/>
      <c r="KFW3" s="497"/>
      <c r="KFX3" s="496"/>
      <c r="KFY3" s="498"/>
      <c r="KFZ3" s="498"/>
      <c r="KGA3" s="498"/>
      <c r="KGB3" s="466"/>
      <c r="KGC3" s="466"/>
      <c r="KGD3" s="497"/>
      <c r="KGE3" s="496"/>
      <c r="KGF3" s="498"/>
      <c r="KGG3" s="498"/>
      <c r="KGH3" s="498"/>
      <c r="KGI3" s="466"/>
      <c r="KGJ3" s="466"/>
      <c r="KGK3" s="497"/>
      <c r="KGL3" s="496"/>
      <c r="KGM3" s="498"/>
      <c r="KGN3" s="498"/>
      <c r="KGO3" s="498"/>
      <c r="KGP3" s="466"/>
      <c r="KGQ3" s="466"/>
      <c r="KGR3" s="497"/>
      <c r="KGS3" s="496"/>
      <c r="KGT3" s="498"/>
      <c r="KGU3" s="498"/>
      <c r="KGV3" s="498"/>
      <c r="KGW3" s="466"/>
      <c r="KGX3" s="466"/>
      <c r="KGY3" s="497"/>
      <c r="KGZ3" s="496"/>
      <c r="KHA3" s="498"/>
      <c r="KHB3" s="498"/>
      <c r="KHC3" s="498"/>
      <c r="KHD3" s="466"/>
      <c r="KHE3" s="466"/>
      <c r="KHF3" s="497"/>
      <c r="KHG3" s="496"/>
      <c r="KHH3" s="498"/>
      <c r="KHI3" s="498"/>
      <c r="KHJ3" s="498"/>
      <c r="KHK3" s="466"/>
      <c r="KHL3" s="466"/>
      <c r="KHM3" s="497"/>
      <c r="KHN3" s="496"/>
      <c r="KHO3" s="498"/>
      <c r="KHP3" s="498"/>
      <c r="KHQ3" s="498"/>
      <c r="KHR3" s="466"/>
      <c r="KHS3" s="466"/>
      <c r="KHT3" s="497"/>
      <c r="KHU3" s="496"/>
      <c r="KHV3" s="498"/>
      <c r="KHW3" s="498"/>
      <c r="KHX3" s="498"/>
      <c r="KHY3" s="466"/>
      <c r="KHZ3" s="466"/>
      <c r="KIA3" s="497"/>
      <c r="KIB3" s="496"/>
      <c r="KIC3" s="498"/>
      <c r="KID3" s="498"/>
      <c r="KIE3" s="498"/>
      <c r="KIF3" s="466"/>
      <c r="KIG3" s="466"/>
      <c r="KIH3" s="497"/>
      <c r="KII3" s="496"/>
      <c r="KIJ3" s="498"/>
      <c r="KIK3" s="498"/>
      <c r="KIL3" s="498"/>
      <c r="KIM3" s="466"/>
      <c r="KIN3" s="466"/>
      <c r="KIO3" s="497"/>
      <c r="KIP3" s="496"/>
      <c r="KIQ3" s="498"/>
      <c r="KIR3" s="498"/>
      <c r="KIS3" s="498"/>
      <c r="KIT3" s="466"/>
      <c r="KIU3" s="466"/>
      <c r="KIV3" s="497"/>
      <c r="KIW3" s="496"/>
      <c r="KIX3" s="498"/>
      <c r="KIY3" s="498"/>
      <c r="KIZ3" s="498"/>
      <c r="KJA3" s="466"/>
      <c r="KJB3" s="466"/>
      <c r="KJC3" s="497"/>
      <c r="KJD3" s="496"/>
      <c r="KJE3" s="498"/>
      <c r="KJF3" s="498"/>
      <c r="KJG3" s="498"/>
      <c r="KJH3" s="466"/>
      <c r="KJI3" s="466"/>
      <c r="KJJ3" s="497"/>
      <c r="KJK3" s="496"/>
      <c r="KJL3" s="498"/>
      <c r="KJM3" s="498"/>
      <c r="KJN3" s="498"/>
      <c r="KJO3" s="466"/>
      <c r="KJP3" s="466"/>
      <c r="KJQ3" s="497"/>
      <c r="KJR3" s="496"/>
      <c r="KJS3" s="498"/>
      <c r="KJT3" s="498"/>
      <c r="KJU3" s="498"/>
      <c r="KJV3" s="466"/>
      <c r="KJW3" s="466"/>
      <c r="KJX3" s="497"/>
      <c r="KJY3" s="496"/>
      <c r="KJZ3" s="498"/>
      <c r="KKA3" s="498"/>
      <c r="KKB3" s="498"/>
      <c r="KKC3" s="466"/>
      <c r="KKD3" s="466"/>
      <c r="KKE3" s="497"/>
      <c r="KKF3" s="496"/>
      <c r="KKG3" s="498"/>
      <c r="KKH3" s="498"/>
      <c r="KKI3" s="498"/>
      <c r="KKJ3" s="466"/>
      <c r="KKK3" s="466"/>
      <c r="KKL3" s="497"/>
      <c r="KKM3" s="496"/>
      <c r="KKN3" s="498"/>
      <c r="KKO3" s="498"/>
      <c r="KKP3" s="498"/>
      <c r="KKQ3" s="466"/>
      <c r="KKR3" s="466"/>
      <c r="KKS3" s="497"/>
      <c r="KKT3" s="496"/>
      <c r="KKU3" s="498"/>
      <c r="KKV3" s="498"/>
      <c r="KKW3" s="498"/>
      <c r="KKX3" s="466"/>
      <c r="KKY3" s="466"/>
      <c r="KKZ3" s="497"/>
      <c r="KLA3" s="496"/>
      <c r="KLB3" s="498"/>
      <c r="KLC3" s="498"/>
      <c r="KLD3" s="498"/>
      <c r="KLE3" s="466"/>
      <c r="KLF3" s="466"/>
      <c r="KLG3" s="497"/>
      <c r="KLH3" s="496"/>
      <c r="KLI3" s="498"/>
      <c r="KLJ3" s="498"/>
      <c r="KLK3" s="498"/>
      <c r="KLL3" s="466"/>
      <c r="KLM3" s="466"/>
      <c r="KLN3" s="497"/>
      <c r="KLO3" s="496"/>
      <c r="KLP3" s="498"/>
      <c r="KLQ3" s="498"/>
      <c r="KLR3" s="498"/>
      <c r="KLS3" s="466"/>
      <c r="KLT3" s="466"/>
      <c r="KLU3" s="497"/>
      <c r="KLV3" s="496"/>
      <c r="KLW3" s="498"/>
      <c r="KLX3" s="498"/>
      <c r="KLY3" s="498"/>
      <c r="KLZ3" s="466"/>
      <c r="KMA3" s="466"/>
      <c r="KMB3" s="497"/>
      <c r="KMC3" s="496"/>
      <c r="KMD3" s="498"/>
      <c r="KME3" s="498"/>
      <c r="KMF3" s="498"/>
      <c r="KMG3" s="466"/>
      <c r="KMH3" s="466"/>
      <c r="KMI3" s="497"/>
      <c r="KMJ3" s="496"/>
      <c r="KMK3" s="498"/>
      <c r="KML3" s="498"/>
      <c r="KMM3" s="498"/>
      <c r="KMN3" s="466"/>
      <c r="KMO3" s="466"/>
      <c r="KMP3" s="497"/>
      <c r="KMQ3" s="496"/>
      <c r="KMR3" s="498"/>
      <c r="KMS3" s="498"/>
      <c r="KMT3" s="498"/>
      <c r="KMU3" s="466"/>
      <c r="KMV3" s="466"/>
      <c r="KMW3" s="497"/>
      <c r="KMX3" s="496"/>
      <c r="KMY3" s="498"/>
      <c r="KMZ3" s="498"/>
      <c r="KNA3" s="498"/>
      <c r="KNB3" s="466"/>
      <c r="KNC3" s="466"/>
      <c r="KND3" s="497"/>
      <c r="KNE3" s="496"/>
      <c r="KNF3" s="498"/>
      <c r="KNG3" s="498"/>
      <c r="KNH3" s="498"/>
      <c r="KNI3" s="466"/>
      <c r="KNJ3" s="466"/>
      <c r="KNK3" s="497"/>
      <c r="KNL3" s="496"/>
      <c r="KNM3" s="498"/>
      <c r="KNN3" s="498"/>
      <c r="KNO3" s="498"/>
      <c r="KNP3" s="466"/>
      <c r="KNQ3" s="466"/>
      <c r="KNR3" s="497"/>
      <c r="KNS3" s="496"/>
      <c r="KNT3" s="498"/>
      <c r="KNU3" s="498"/>
      <c r="KNV3" s="498"/>
      <c r="KNW3" s="466"/>
      <c r="KNX3" s="466"/>
      <c r="KNY3" s="497"/>
      <c r="KNZ3" s="496"/>
      <c r="KOA3" s="498"/>
      <c r="KOB3" s="498"/>
      <c r="KOC3" s="498"/>
      <c r="KOD3" s="466"/>
      <c r="KOE3" s="466"/>
      <c r="KOF3" s="497"/>
      <c r="KOG3" s="496"/>
      <c r="KOH3" s="498"/>
      <c r="KOI3" s="498"/>
      <c r="KOJ3" s="498"/>
      <c r="KOK3" s="466"/>
      <c r="KOL3" s="466"/>
      <c r="KOM3" s="497"/>
      <c r="KON3" s="496"/>
      <c r="KOO3" s="498"/>
      <c r="KOP3" s="498"/>
      <c r="KOQ3" s="498"/>
      <c r="KOR3" s="466"/>
      <c r="KOS3" s="466"/>
      <c r="KOT3" s="497"/>
      <c r="KOU3" s="496"/>
      <c r="KOV3" s="498"/>
      <c r="KOW3" s="498"/>
      <c r="KOX3" s="498"/>
      <c r="KOY3" s="466"/>
      <c r="KOZ3" s="466"/>
      <c r="KPA3" s="497"/>
      <c r="KPB3" s="496"/>
      <c r="KPC3" s="498"/>
      <c r="KPD3" s="498"/>
      <c r="KPE3" s="498"/>
      <c r="KPF3" s="466"/>
      <c r="KPG3" s="466"/>
      <c r="KPH3" s="497"/>
      <c r="KPI3" s="496"/>
      <c r="KPJ3" s="498"/>
      <c r="KPK3" s="498"/>
      <c r="KPL3" s="498"/>
      <c r="KPM3" s="466"/>
      <c r="KPN3" s="466"/>
      <c r="KPO3" s="497"/>
      <c r="KPP3" s="496"/>
      <c r="KPQ3" s="498"/>
      <c r="KPR3" s="498"/>
      <c r="KPS3" s="498"/>
      <c r="KPT3" s="466"/>
      <c r="KPU3" s="466"/>
      <c r="KPV3" s="497"/>
      <c r="KPW3" s="496"/>
      <c r="KPX3" s="498"/>
      <c r="KPY3" s="498"/>
      <c r="KPZ3" s="498"/>
      <c r="KQA3" s="466"/>
      <c r="KQB3" s="466"/>
      <c r="KQC3" s="497"/>
      <c r="KQD3" s="496"/>
      <c r="KQE3" s="498"/>
      <c r="KQF3" s="498"/>
      <c r="KQG3" s="498"/>
      <c r="KQH3" s="466"/>
      <c r="KQI3" s="466"/>
      <c r="KQJ3" s="497"/>
      <c r="KQK3" s="496"/>
      <c r="KQL3" s="498"/>
      <c r="KQM3" s="498"/>
      <c r="KQN3" s="498"/>
      <c r="KQO3" s="466"/>
      <c r="KQP3" s="466"/>
      <c r="KQQ3" s="497"/>
      <c r="KQR3" s="496"/>
      <c r="KQS3" s="498"/>
      <c r="KQT3" s="498"/>
      <c r="KQU3" s="498"/>
      <c r="KQV3" s="466"/>
      <c r="KQW3" s="466"/>
      <c r="KQX3" s="497"/>
      <c r="KQY3" s="496"/>
      <c r="KQZ3" s="498"/>
      <c r="KRA3" s="498"/>
      <c r="KRB3" s="498"/>
      <c r="KRC3" s="466"/>
      <c r="KRD3" s="466"/>
      <c r="KRE3" s="497"/>
      <c r="KRF3" s="496"/>
      <c r="KRG3" s="498"/>
      <c r="KRH3" s="498"/>
      <c r="KRI3" s="498"/>
      <c r="KRJ3" s="466"/>
      <c r="KRK3" s="466"/>
      <c r="KRL3" s="497"/>
      <c r="KRM3" s="496"/>
      <c r="KRN3" s="498"/>
      <c r="KRO3" s="498"/>
      <c r="KRP3" s="498"/>
      <c r="KRQ3" s="466"/>
      <c r="KRR3" s="466"/>
      <c r="KRS3" s="497"/>
      <c r="KRT3" s="496"/>
      <c r="KRU3" s="498"/>
      <c r="KRV3" s="498"/>
      <c r="KRW3" s="498"/>
      <c r="KRX3" s="466"/>
      <c r="KRY3" s="466"/>
      <c r="KRZ3" s="497"/>
      <c r="KSA3" s="496"/>
      <c r="KSB3" s="498"/>
      <c r="KSC3" s="498"/>
      <c r="KSD3" s="498"/>
      <c r="KSE3" s="466"/>
      <c r="KSF3" s="466"/>
      <c r="KSG3" s="497"/>
      <c r="KSH3" s="496"/>
      <c r="KSI3" s="498"/>
      <c r="KSJ3" s="498"/>
      <c r="KSK3" s="498"/>
      <c r="KSL3" s="466"/>
      <c r="KSM3" s="466"/>
      <c r="KSN3" s="497"/>
      <c r="KSO3" s="496"/>
      <c r="KSP3" s="498"/>
      <c r="KSQ3" s="498"/>
      <c r="KSR3" s="498"/>
      <c r="KSS3" s="466"/>
      <c r="KST3" s="466"/>
      <c r="KSU3" s="497"/>
      <c r="KSV3" s="496"/>
      <c r="KSW3" s="498"/>
      <c r="KSX3" s="498"/>
      <c r="KSY3" s="498"/>
      <c r="KSZ3" s="466"/>
      <c r="KTA3" s="466"/>
      <c r="KTB3" s="497"/>
      <c r="KTC3" s="496"/>
      <c r="KTD3" s="498"/>
      <c r="KTE3" s="498"/>
      <c r="KTF3" s="498"/>
      <c r="KTG3" s="466"/>
      <c r="KTH3" s="466"/>
      <c r="KTI3" s="497"/>
      <c r="KTJ3" s="496"/>
      <c r="KTK3" s="498"/>
      <c r="KTL3" s="498"/>
      <c r="KTM3" s="498"/>
      <c r="KTN3" s="466"/>
      <c r="KTO3" s="466"/>
      <c r="KTP3" s="497"/>
      <c r="KTQ3" s="496"/>
      <c r="KTR3" s="498"/>
      <c r="KTS3" s="498"/>
      <c r="KTT3" s="498"/>
      <c r="KTU3" s="466"/>
      <c r="KTV3" s="466"/>
      <c r="KTW3" s="497"/>
      <c r="KTX3" s="496"/>
      <c r="KTY3" s="498"/>
      <c r="KTZ3" s="498"/>
      <c r="KUA3" s="498"/>
      <c r="KUB3" s="466"/>
      <c r="KUC3" s="466"/>
      <c r="KUD3" s="497"/>
      <c r="KUE3" s="496"/>
      <c r="KUF3" s="498"/>
      <c r="KUG3" s="498"/>
      <c r="KUH3" s="498"/>
      <c r="KUI3" s="466"/>
      <c r="KUJ3" s="466"/>
      <c r="KUK3" s="497"/>
      <c r="KUL3" s="496"/>
      <c r="KUM3" s="498"/>
      <c r="KUN3" s="498"/>
      <c r="KUO3" s="498"/>
      <c r="KUP3" s="466"/>
      <c r="KUQ3" s="466"/>
      <c r="KUR3" s="497"/>
      <c r="KUS3" s="496"/>
      <c r="KUT3" s="498"/>
      <c r="KUU3" s="498"/>
      <c r="KUV3" s="498"/>
      <c r="KUW3" s="466"/>
      <c r="KUX3" s="466"/>
      <c r="KUY3" s="497"/>
      <c r="KUZ3" s="496"/>
      <c r="KVA3" s="498"/>
      <c r="KVB3" s="498"/>
      <c r="KVC3" s="498"/>
      <c r="KVD3" s="466"/>
      <c r="KVE3" s="466"/>
      <c r="KVF3" s="497"/>
      <c r="KVG3" s="496"/>
      <c r="KVH3" s="498"/>
      <c r="KVI3" s="498"/>
      <c r="KVJ3" s="498"/>
      <c r="KVK3" s="466"/>
      <c r="KVL3" s="466"/>
      <c r="KVM3" s="497"/>
      <c r="KVN3" s="496"/>
      <c r="KVO3" s="498"/>
      <c r="KVP3" s="498"/>
      <c r="KVQ3" s="498"/>
      <c r="KVR3" s="466"/>
      <c r="KVS3" s="466"/>
      <c r="KVT3" s="497"/>
      <c r="KVU3" s="496"/>
      <c r="KVV3" s="498"/>
      <c r="KVW3" s="498"/>
      <c r="KVX3" s="498"/>
      <c r="KVY3" s="466"/>
      <c r="KVZ3" s="466"/>
      <c r="KWA3" s="497"/>
      <c r="KWB3" s="496"/>
      <c r="KWC3" s="498"/>
      <c r="KWD3" s="498"/>
      <c r="KWE3" s="498"/>
      <c r="KWF3" s="466"/>
      <c r="KWG3" s="466"/>
      <c r="KWH3" s="497"/>
      <c r="KWI3" s="496"/>
      <c r="KWJ3" s="498"/>
      <c r="KWK3" s="498"/>
      <c r="KWL3" s="498"/>
      <c r="KWM3" s="466"/>
      <c r="KWN3" s="466"/>
      <c r="KWO3" s="497"/>
      <c r="KWP3" s="496"/>
      <c r="KWQ3" s="498"/>
      <c r="KWR3" s="498"/>
      <c r="KWS3" s="498"/>
      <c r="KWT3" s="466"/>
      <c r="KWU3" s="466"/>
      <c r="KWV3" s="497"/>
      <c r="KWW3" s="496"/>
      <c r="KWX3" s="498"/>
      <c r="KWY3" s="498"/>
      <c r="KWZ3" s="498"/>
      <c r="KXA3" s="466"/>
      <c r="KXB3" s="466"/>
      <c r="KXC3" s="497"/>
      <c r="KXD3" s="496"/>
      <c r="KXE3" s="498"/>
      <c r="KXF3" s="498"/>
      <c r="KXG3" s="498"/>
      <c r="KXH3" s="466"/>
      <c r="KXI3" s="466"/>
      <c r="KXJ3" s="497"/>
      <c r="KXK3" s="496"/>
      <c r="KXL3" s="498"/>
      <c r="KXM3" s="498"/>
      <c r="KXN3" s="498"/>
      <c r="KXO3" s="466"/>
      <c r="KXP3" s="466"/>
      <c r="KXQ3" s="497"/>
      <c r="KXR3" s="496"/>
      <c r="KXS3" s="498"/>
      <c r="KXT3" s="498"/>
      <c r="KXU3" s="498"/>
      <c r="KXV3" s="466"/>
      <c r="KXW3" s="466"/>
      <c r="KXX3" s="497"/>
      <c r="KXY3" s="496"/>
      <c r="KXZ3" s="498"/>
      <c r="KYA3" s="498"/>
      <c r="KYB3" s="498"/>
      <c r="KYC3" s="466"/>
      <c r="KYD3" s="466"/>
      <c r="KYE3" s="497"/>
      <c r="KYF3" s="496"/>
      <c r="KYG3" s="498"/>
      <c r="KYH3" s="498"/>
      <c r="KYI3" s="498"/>
      <c r="KYJ3" s="466"/>
      <c r="KYK3" s="466"/>
      <c r="KYL3" s="497"/>
      <c r="KYM3" s="496"/>
      <c r="KYN3" s="498"/>
      <c r="KYO3" s="498"/>
      <c r="KYP3" s="498"/>
      <c r="KYQ3" s="466"/>
      <c r="KYR3" s="466"/>
      <c r="KYS3" s="497"/>
      <c r="KYT3" s="496"/>
      <c r="KYU3" s="498"/>
      <c r="KYV3" s="498"/>
      <c r="KYW3" s="498"/>
      <c r="KYX3" s="466"/>
      <c r="KYY3" s="466"/>
      <c r="KYZ3" s="497"/>
      <c r="KZA3" s="496"/>
      <c r="KZB3" s="498"/>
      <c r="KZC3" s="498"/>
      <c r="KZD3" s="498"/>
      <c r="KZE3" s="466"/>
      <c r="KZF3" s="466"/>
      <c r="KZG3" s="497"/>
      <c r="KZH3" s="496"/>
      <c r="KZI3" s="498"/>
      <c r="KZJ3" s="498"/>
      <c r="KZK3" s="498"/>
      <c r="KZL3" s="466"/>
      <c r="KZM3" s="466"/>
      <c r="KZN3" s="497"/>
      <c r="KZO3" s="496"/>
      <c r="KZP3" s="498"/>
      <c r="KZQ3" s="498"/>
      <c r="KZR3" s="498"/>
      <c r="KZS3" s="466"/>
      <c r="KZT3" s="466"/>
      <c r="KZU3" s="497"/>
      <c r="KZV3" s="496"/>
      <c r="KZW3" s="498"/>
      <c r="KZX3" s="498"/>
      <c r="KZY3" s="498"/>
      <c r="KZZ3" s="466"/>
      <c r="LAA3" s="466"/>
      <c r="LAB3" s="497"/>
      <c r="LAC3" s="496"/>
      <c r="LAD3" s="498"/>
      <c r="LAE3" s="498"/>
      <c r="LAF3" s="498"/>
      <c r="LAG3" s="466"/>
      <c r="LAH3" s="466"/>
      <c r="LAI3" s="497"/>
      <c r="LAJ3" s="496"/>
      <c r="LAK3" s="498"/>
      <c r="LAL3" s="498"/>
      <c r="LAM3" s="498"/>
      <c r="LAN3" s="466"/>
      <c r="LAO3" s="466"/>
      <c r="LAP3" s="497"/>
      <c r="LAQ3" s="496"/>
      <c r="LAR3" s="498"/>
      <c r="LAS3" s="498"/>
      <c r="LAT3" s="498"/>
      <c r="LAU3" s="466"/>
      <c r="LAV3" s="466"/>
      <c r="LAW3" s="497"/>
      <c r="LAX3" s="496"/>
      <c r="LAY3" s="498"/>
      <c r="LAZ3" s="498"/>
      <c r="LBA3" s="498"/>
      <c r="LBB3" s="466"/>
      <c r="LBC3" s="466"/>
      <c r="LBD3" s="497"/>
      <c r="LBE3" s="496"/>
      <c r="LBF3" s="498"/>
      <c r="LBG3" s="498"/>
      <c r="LBH3" s="498"/>
      <c r="LBI3" s="466"/>
      <c r="LBJ3" s="466"/>
      <c r="LBK3" s="497"/>
      <c r="LBL3" s="496"/>
      <c r="LBM3" s="498"/>
      <c r="LBN3" s="498"/>
      <c r="LBO3" s="498"/>
      <c r="LBP3" s="466"/>
      <c r="LBQ3" s="466"/>
      <c r="LBR3" s="497"/>
      <c r="LBS3" s="496"/>
      <c r="LBT3" s="498"/>
      <c r="LBU3" s="498"/>
      <c r="LBV3" s="498"/>
      <c r="LBW3" s="466"/>
      <c r="LBX3" s="466"/>
      <c r="LBY3" s="497"/>
      <c r="LBZ3" s="496"/>
      <c r="LCA3" s="498"/>
      <c r="LCB3" s="498"/>
      <c r="LCC3" s="498"/>
      <c r="LCD3" s="466"/>
      <c r="LCE3" s="466"/>
      <c r="LCF3" s="497"/>
      <c r="LCG3" s="496"/>
      <c r="LCH3" s="498"/>
      <c r="LCI3" s="498"/>
      <c r="LCJ3" s="498"/>
      <c r="LCK3" s="466"/>
      <c r="LCL3" s="466"/>
      <c r="LCM3" s="497"/>
      <c r="LCN3" s="496"/>
      <c r="LCO3" s="498"/>
      <c r="LCP3" s="498"/>
      <c r="LCQ3" s="498"/>
      <c r="LCR3" s="466"/>
      <c r="LCS3" s="466"/>
      <c r="LCT3" s="497"/>
      <c r="LCU3" s="496"/>
      <c r="LCV3" s="498"/>
      <c r="LCW3" s="498"/>
      <c r="LCX3" s="498"/>
      <c r="LCY3" s="466"/>
      <c r="LCZ3" s="466"/>
      <c r="LDA3" s="497"/>
      <c r="LDB3" s="496"/>
      <c r="LDC3" s="498"/>
      <c r="LDD3" s="498"/>
      <c r="LDE3" s="498"/>
      <c r="LDF3" s="466"/>
      <c r="LDG3" s="466"/>
      <c r="LDH3" s="497"/>
      <c r="LDI3" s="496"/>
      <c r="LDJ3" s="498"/>
      <c r="LDK3" s="498"/>
      <c r="LDL3" s="498"/>
      <c r="LDM3" s="466"/>
      <c r="LDN3" s="466"/>
      <c r="LDO3" s="497"/>
      <c r="LDP3" s="496"/>
      <c r="LDQ3" s="498"/>
      <c r="LDR3" s="498"/>
      <c r="LDS3" s="498"/>
      <c r="LDT3" s="466"/>
      <c r="LDU3" s="466"/>
      <c r="LDV3" s="497"/>
      <c r="LDW3" s="496"/>
      <c r="LDX3" s="498"/>
      <c r="LDY3" s="498"/>
      <c r="LDZ3" s="498"/>
      <c r="LEA3" s="466"/>
      <c r="LEB3" s="466"/>
      <c r="LEC3" s="497"/>
      <c r="LED3" s="496"/>
      <c r="LEE3" s="498"/>
      <c r="LEF3" s="498"/>
      <c r="LEG3" s="498"/>
      <c r="LEH3" s="466"/>
      <c r="LEI3" s="466"/>
      <c r="LEJ3" s="497"/>
      <c r="LEK3" s="496"/>
      <c r="LEL3" s="498"/>
      <c r="LEM3" s="498"/>
      <c r="LEN3" s="498"/>
      <c r="LEO3" s="466"/>
      <c r="LEP3" s="466"/>
      <c r="LEQ3" s="497"/>
      <c r="LER3" s="496"/>
      <c r="LES3" s="498"/>
      <c r="LET3" s="498"/>
      <c r="LEU3" s="498"/>
      <c r="LEV3" s="466"/>
      <c r="LEW3" s="466"/>
      <c r="LEX3" s="497"/>
      <c r="LEY3" s="496"/>
      <c r="LEZ3" s="498"/>
      <c r="LFA3" s="498"/>
      <c r="LFB3" s="498"/>
      <c r="LFC3" s="466"/>
      <c r="LFD3" s="466"/>
      <c r="LFE3" s="497"/>
      <c r="LFF3" s="496"/>
      <c r="LFG3" s="498"/>
      <c r="LFH3" s="498"/>
      <c r="LFI3" s="498"/>
      <c r="LFJ3" s="466"/>
      <c r="LFK3" s="466"/>
      <c r="LFL3" s="497"/>
      <c r="LFM3" s="496"/>
      <c r="LFN3" s="498"/>
      <c r="LFO3" s="498"/>
      <c r="LFP3" s="498"/>
      <c r="LFQ3" s="466"/>
      <c r="LFR3" s="466"/>
      <c r="LFS3" s="497"/>
      <c r="LFT3" s="496"/>
      <c r="LFU3" s="498"/>
      <c r="LFV3" s="498"/>
      <c r="LFW3" s="498"/>
      <c r="LFX3" s="466"/>
      <c r="LFY3" s="466"/>
      <c r="LFZ3" s="497"/>
      <c r="LGA3" s="496"/>
      <c r="LGB3" s="498"/>
      <c r="LGC3" s="498"/>
      <c r="LGD3" s="498"/>
      <c r="LGE3" s="466"/>
      <c r="LGF3" s="466"/>
      <c r="LGG3" s="497"/>
      <c r="LGH3" s="496"/>
      <c r="LGI3" s="498"/>
      <c r="LGJ3" s="498"/>
      <c r="LGK3" s="498"/>
      <c r="LGL3" s="466"/>
      <c r="LGM3" s="466"/>
      <c r="LGN3" s="497"/>
      <c r="LGO3" s="496"/>
      <c r="LGP3" s="498"/>
      <c r="LGQ3" s="498"/>
      <c r="LGR3" s="498"/>
      <c r="LGS3" s="466"/>
      <c r="LGT3" s="466"/>
      <c r="LGU3" s="497"/>
      <c r="LGV3" s="496"/>
      <c r="LGW3" s="498"/>
      <c r="LGX3" s="498"/>
      <c r="LGY3" s="498"/>
      <c r="LGZ3" s="466"/>
      <c r="LHA3" s="466"/>
      <c r="LHB3" s="497"/>
      <c r="LHC3" s="496"/>
      <c r="LHD3" s="498"/>
      <c r="LHE3" s="498"/>
      <c r="LHF3" s="498"/>
      <c r="LHG3" s="466"/>
      <c r="LHH3" s="466"/>
      <c r="LHI3" s="497"/>
      <c r="LHJ3" s="496"/>
      <c r="LHK3" s="498"/>
      <c r="LHL3" s="498"/>
      <c r="LHM3" s="498"/>
      <c r="LHN3" s="466"/>
      <c r="LHO3" s="466"/>
      <c r="LHP3" s="497"/>
      <c r="LHQ3" s="496"/>
      <c r="LHR3" s="498"/>
      <c r="LHS3" s="498"/>
      <c r="LHT3" s="498"/>
      <c r="LHU3" s="466"/>
      <c r="LHV3" s="466"/>
      <c r="LHW3" s="497"/>
      <c r="LHX3" s="496"/>
      <c r="LHY3" s="498"/>
      <c r="LHZ3" s="498"/>
      <c r="LIA3" s="498"/>
      <c r="LIB3" s="466"/>
      <c r="LIC3" s="466"/>
      <c r="LID3" s="497"/>
      <c r="LIE3" s="496"/>
      <c r="LIF3" s="498"/>
      <c r="LIG3" s="498"/>
      <c r="LIH3" s="498"/>
      <c r="LII3" s="466"/>
      <c r="LIJ3" s="466"/>
      <c r="LIK3" s="497"/>
      <c r="LIL3" s="496"/>
      <c r="LIM3" s="498"/>
      <c r="LIN3" s="498"/>
      <c r="LIO3" s="498"/>
      <c r="LIP3" s="466"/>
      <c r="LIQ3" s="466"/>
      <c r="LIR3" s="497"/>
      <c r="LIS3" s="496"/>
      <c r="LIT3" s="498"/>
      <c r="LIU3" s="498"/>
      <c r="LIV3" s="498"/>
      <c r="LIW3" s="466"/>
      <c r="LIX3" s="466"/>
      <c r="LIY3" s="497"/>
      <c r="LIZ3" s="496"/>
      <c r="LJA3" s="498"/>
      <c r="LJB3" s="498"/>
      <c r="LJC3" s="498"/>
      <c r="LJD3" s="466"/>
      <c r="LJE3" s="466"/>
      <c r="LJF3" s="497"/>
      <c r="LJG3" s="496"/>
      <c r="LJH3" s="498"/>
      <c r="LJI3" s="498"/>
      <c r="LJJ3" s="498"/>
      <c r="LJK3" s="466"/>
      <c r="LJL3" s="466"/>
      <c r="LJM3" s="497"/>
      <c r="LJN3" s="496"/>
      <c r="LJO3" s="498"/>
      <c r="LJP3" s="498"/>
      <c r="LJQ3" s="498"/>
      <c r="LJR3" s="466"/>
      <c r="LJS3" s="466"/>
      <c r="LJT3" s="497"/>
      <c r="LJU3" s="496"/>
      <c r="LJV3" s="498"/>
      <c r="LJW3" s="498"/>
      <c r="LJX3" s="498"/>
      <c r="LJY3" s="466"/>
      <c r="LJZ3" s="466"/>
      <c r="LKA3" s="497"/>
      <c r="LKB3" s="496"/>
      <c r="LKC3" s="498"/>
      <c r="LKD3" s="498"/>
      <c r="LKE3" s="498"/>
      <c r="LKF3" s="466"/>
      <c r="LKG3" s="466"/>
      <c r="LKH3" s="497"/>
      <c r="LKI3" s="496"/>
      <c r="LKJ3" s="498"/>
      <c r="LKK3" s="498"/>
      <c r="LKL3" s="498"/>
      <c r="LKM3" s="466"/>
      <c r="LKN3" s="466"/>
      <c r="LKO3" s="497"/>
      <c r="LKP3" s="496"/>
      <c r="LKQ3" s="498"/>
      <c r="LKR3" s="498"/>
      <c r="LKS3" s="498"/>
      <c r="LKT3" s="466"/>
      <c r="LKU3" s="466"/>
      <c r="LKV3" s="497"/>
      <c r="LKW3" s="496"/>
      <c r="LKX3" s="498"/>
      <c r="LKY3" s="498"/>
      <c r="LKZ3" s="498"/>
      <c r="LLA3" s="466"/>
      <c r="LLB3" s="466"/>
      <c r="LLC3" s="497"/>
      <c r="LLD3" s="496"/>
      <c r="LLE3" s="498"/>
      <c r="LLF3" s="498"/>
      <c r="LLG3" s="498"/>
      <c r="LLH3" s="466"/>
      <c r="LLI3" s="466"/>
      <c r="LLJ3" s="497"/>
      <c r="LLK3" s="496"/>
      <c r="LLL3" s="498"/>
      <c r="LLM3" s="498"/>
      <c r="LLN3" s="498"/>
      <c r="LLO3" s="466"/>
      <c r="LLP3" s="466"/>
      <c r="LLQ3" s="497"/>
      <c r="LLR3" s="496"/>
      <c r="LLS3" s="498"/>
      <c r="LLT3" s="498"/>
      <c r="LLU3" s="498"/>
      <c r="LLV3" s="466"/>
      <c r="LLW3" s="466"/>
      <c r="LLX3" s="497"/>
      <c r="LLY3" s="496"/>
      <c r="LLZ3" s="498"/>
      <c r="LMA3" s="498"/>
      <c r="LMB3" s="498"/>
      <c r="LMC3" s="466"/>
      <c r="LMD3" s="466"/>
      <c r="LME3" s="497"/>
      <c r="LMF3" s="496"/>
      <c r="LMG3" s="498"/>
      <c r="LMH3" s="498"/>
      <c r="LMI3" s="498"/>
      <c r="LMJ3" s="466"/>
      <c r="LMK3" s="466"/>
      <c r="LML3" s="497"/>
      <c r="LMM3" s="496"/>
      <c r="LMN3" s="498"/>
      <c r="LMO3" s="498"/>
      <c r="LMP3" s="498"/>
      <c r="LMQ3" s="466"/>
      <c r="LMR3" s="466"/>
      <c r="LMS3" s="497"/>
      <c r="LMT3" s="496"/>
      <c r="LMU3" s="498"/>
      <c r="LMV3" s="498"/>
      <c r="LMW3" s="498"/>
      <c r="LMX3" s="466"/>
      <c r="LMY3" s="466"/>
      <c r="LMZ3" s="497"/>
      <c r="LNA3" s="496"/>
      <c r="LNB3" s="498"/>
      <c r="LNC3" s="498"/>
      <c r="LND3" s="498"/>
      <c r="LNE3" s="466"/>
      <c r="LNF3" s="466"/>
      <c r="LNG3" s="497"/>
      <c r="LNH3" s="496"/>
      <c r="LNI3" s="498"/>
      <c r="LNJ3" s="498"/>
      <c r="LNK3" s="498"/>
      <c r="LNL3" s="466"/>
      <c r="LNM3" s="466"/>
      <c r="LNN3" s="497"/>
      <c r="LNO3" s="496"/>
      <c r="LNP3" s="498"/>
      <c r="LNQ3" s="498"/>
      <c r="LNR3" s="498"/>
      <c r="LNS3" s="466"/>
      <c r="LNT3" s="466"/>
      <c r="LNU3" s="497"/>
      <c r="LNV3" s="496"/>
      <c r="LNW3" s="498"/>
      <c r="LNX3" s="498"/>
      <c r="LNY3" s="498"/>
      <c r="LNZ3" s="466"/>
      <c r="LOA3" s="466"/>
      <c r="LOB3" s="497"/>
      <c r="LOC3" s="496"/>
      <c r="LOD3" s="498"/>
      <c r="LOE3" s="498"/>
      <c r="LOF3" s="498"/>
      <c r="LOG3" s="466"/>
      <c r="LOH3" s="466"/>
      <c r="LOI3" s="497"/>
      <c r="LOJ3" s="496"/>
      <c r="LOK3" s="498"/>
      <c r="LOL3" s="498"/>
      <c r="LOM3" s="498"/>
      <c r="LON3" s="466"/>
      <c r="LOO3" s="466"/>
      <c r="LOP3" s="497"/>
      <c r="LOQ3" s="496"/>
      <c r="LOR3" s="498"/>
      <c r="LOS3" s="498"/>
      <c r="LOT3" s="498"/>
      <c r="LOU3" s="466"/>
      <c r="LOV3" s="466"/>
      <c r="LOW3" s="497"/>
      <c r="LOX3" s="496"/>
      <c r="LOY3" s="498"/>
      <c r="LOZ3" s="498"/>
      <c r="LPA3" s="498"/>
      <c r="LPB3" s="466"/>
      <c r="LPC3" s="466"/>
      <c r="LPD3" s="497"/>
      <c r="LPE3" s="496"/>
      <c r="LPF3" s="498"/>
      <c r="LPG3" s="498"/>
      <c r="LPH3" s="498"/>
      <c r="LPI3" s="466"/>
      <c r="LPJ3" s="466"/>
      <c r="LPK3" s="497"/>
      <c r="LPL3" s="496"/>
      <c r="LPM3" s="498"/>
      <c r="LPN3" s="498"/>
      <c r="LPO3" s="498"/>
      <c r="LPP3" s="466"/>
      <c r="LPQ3" s="466"/>
      <c r="LPR3" s="497"/>
      <c r="LPS3" s="496"/>
      <c r="LPT3" s="498"/>
      <c r="LPU3" s="498"/>
      <c r="LPV3" s="498"/>
      <c r="LPW3" s="466"/>
      <c r="LPX3" s="466"/>
      <c r="LPY3" s="497"/>
      <c r="LPZ3" s="496"/>
      <c r="LQA3" s="498"/>
      <c r="LQB3" s="498"/>
      <c r="LQC3" s="498"/>
      <c r="LQD3" s="466"/>
      <c r="LQE3" s="466"/>
      <c r="LQF3" s="497"/>
      <c r="LQG3" s="496"/>
      <c r="LQH3" s="498"/>
      <c r="LQI3" s="498"/>
      <c r="LQJ3" s="498"/>
      <c r="LQK3" s="466"/>
      <c r="LQL3" s="466"/>
      <c r="LQM3" s="497"/>
      <c r="LQN3" s="496"/>
      <c r="LQO3" s="498"/>
      <c r="LQP3" s="498"/>
      <c r="LQQ3" s="498"/>
      <c r="LQR3" s="466"/>
      <c r="LQS3" s="466"/>
      <c r="LQT3" s="497"/>
      <c r="LQU3" s="496"/>
      <c r="LQV3" s="498"/>
      <c r="LQW3" s="498"/>
      <c r="LQX3" s="498"/>
      <c r="LQY3" s="466"/>
      <c r="LQZ3" s="466"/>
      <c r="LRA3" s="497"/>
      <c r="LRB3" s="496"/>
      <c r="LRC3" s="498"/>
      <c r="LRD3" s="498"/>
      <c r="LRE3" s="498"/>
      <c r="LRF3" s="466"/>
      <c r="LRG3" s="466"/>
      <c r="LRH3" s="497"/>
      <c r="LRI3" s="496"/>
      <c r="LRJ3" s="498"/>
      <c r="LRK3" s="498"/>
      <c r="LRL3" s="498"/>
      <c r="LRM3" s="466"/>
      <c r="LRN3" s="466"/>
      <c r="LRO3" s="497"/>
      <c r="LRP3" s="496"/>
      <c r="LRQ3" s="498"/>
      <c r="LRR3" s="498"/>
      <c r="LRS3" s="498"/>
      <c r="LRT3" s="466"/>
      <c r="LRU3" s="466"/>
      <c r="LRV3" s="497"/>
      <c r="LRW3" s="496"/>
      <c r="LRX3" s="498"/>
      <c r="LRY3" s="498"/>
      <c r="LRZ3" s="498"/>
      <c r="LSA3" s="466"/>
      <c r="LSB3" s="466"/>
      <c r="LSC3" s="497"/>
      <c r="LSD3" s="496"/>
      <c r="LSE3" s="498"/>
      <c r="LSF3" s="498"/>
      <c r="LSG3" s="498"/>
      <c r="LSH3" s="466"/>
      <c r="LSI3" s="466"/>
      <c r="LSJ3" s="497"/>
      <c r="LSK3" s="496"/>
      <c r="LSL3" s="498"/>
      <c r="LSM3" s="498"/>
      <c r="LSN3" s="498"/>
      <c r="LSO3" s="466"/>
      <c r="LSP3" s="466"/>
      <c r="LSQ3" s="497"/>
      <c r="LSR3" s="496"/>
      <c r="LSS3" s="498"/>
      <c r="LST3" s="498"/>
      <c r="LSU3" s="498"/>
      <c r="LSV3" s="466"/>
      <c r="LSW3" s="466"/>
      <c r="LSX3" s="497"/>
      <c r="LSY3" s="496"/>
      <c r="LSZ3" s="498"/>
      <c r="LTA3" s="498"/>
      <c r="LTB3" s="498"/>
      <c r="LTC3" s="466"/>
      <c r="LTD3" s="466"/>
      <c r="LTE3" s="497"/>
      <c r="LTF3" s="496"/>
      <c r="LTG3" s="498"/>
      <c r="LTH3" s="498"/>
      <c r="LTI3" s="498"/>
      <c r="LTJ3" s="466"/>
      <c r="LTK3" s="466"/>
      <c r="LTL3" s="497"/>
      <c r="LTM3" s="496"/>
      <c r="LTN3" s="498"/>
      <c r="LTO3" s="498"/>
      <c r="LTP3" s="498"/>
      <c r="LTQ3" s="466"/>
      <c r="LTR3" s="466"/>
      <c r="LTS3" s="497"/>
      <c r="LTT3" s="496"/>
      <c r="LTU3" s="498"/>
      <c r="LTV3" s="498"/>
      <c r="LTW3" s="498"/>
      <c r="LTX3" s="466"/>
      <c r="LTY3" s="466"/>
      <c r="LTZ3" s="497"/>
      <c r="LUA3" s="496"/>
      <c r="LUB3" s="498"/>
      <c r="LUC3" s="498"/>
      <c r="LUD3" s="498"/>
      <c r="LUE3" s="466"/>
      <c r="LUF3" s="466"/>
      <c r="LUG3" s="497"/>
      <c r="LUH3" s="496"/>
      <c r="LUI3" s="498"/>
      <c r="LUJ3" s="498"/>
      <c r="LUK3" s="498"/>
      <c r="LUL3" s="466"/>
      <c r="LUM3" s="466"/>
      <c r="LUN3" s="497"/>
      <c r="LUO3" s="496"/>
      <c r="LUP3" s="498"/>
      <c r="LUQ3" s="498"/>
      <c r="LUR3" s="498"/>
      <c r="LUS3" s="466"/>
      <c r="LUT3" s="466"/>
      <c r="LUU3" s="497"/>
      <c r="LUV3" s="496"/>
      <c r="LUW3" s="498"/>
      <c r="LUX3" s="498"/>
      <c r="LUY3" s="498"/>
      <c r="LUZ3" s="466"/>
      <c r="LVA3" s="466"/>
      <c r="LVB3" s="497"/>
      <c r="LVC3" s="496"/>
      <c r="LVD3" s="498"/>
      <c r="LVE3" s="498"/>
      <c r="LVF3" s="498"/>
      <c r="LVG3" s="466"/>
      <c r="LVH3" s="466"/>
      <c r="LVI3" s="497"/>
      <c r="LVJ3" s="496"/>
      <c r="LVK3" s="498"/>
      <c r="LVL3" s="498"/>
      <c r="LVM3" s="498"/>
      <c r="LVN3" s="466"/>
      <c r="LVO3" s="466"/>
      <c r="LVP3" s="497"/>
      <c r="LVQ3" s="496"/>
      <c r="LVR3" s="498"/>
      <c r="LVS3" s="498"/>
      <c r="LVT3" s="498"/>
      <c r="LVU3" s="466"/>
      <c r="LVV3" s="466"/>
      <c r="LVW3" s="497"/>
      <c r="LVX3" s="496"/>
      <c r="LVY3" s="498"/>
      <c r="LVZ3" s="498"/>
      <c r="LWA3" s="498"/>
      <c r="LWB3" s="466"/>
      <c r="LWC3" s="466"/>
      <c r="LWD3" s="497"/>
      <c r="LWE3" s="496"/>
      <c r="LWF3" s="498"/>
      <c r="LWG3" s="498"/>
      <c r="LWH3" s="498"/>
      <c r="LWI3" s="466"/>
      <c r="LWJ3" s="466"/>
      <c r="LWK3" s="497"/>
      <c r="LWL3" s="496"/>
      <c r="LWM3" s="498"/>
      <c r="LWN3" s="498"/>
      <c r="LWO3" s="498"/>
      <c r="LWP3" s="466"/>
      <c r="LWQ3" s="466"/>
      <c r="LWR3" s="497"/>
      <c r="LWS3" s="496"/>
      <c r="LWT3" s="498"/>
      <c r="LWU3" s="498"/>
      <c r="LWV3" s="498"/>
      <c r="LWW3" s="466"/>
      <c r="LWX3" s="466"/>
      <c r="LWY3" s="497"/>
      <c r="LWZ3" s="496"/>
      <c r="LXA3" s="498"/>
      <c r="LXB3" s="498"/>
      <c r="LXC3" s="498"/>
      <c r="LXD3" s="466"/>
      <c r="LXE3" s="466"/>
      <c r="LXF3" s="497"/>
      <c r="LXG3" s="496"/>
      <c r="LXH3" s="498"/>
      <c r="LXI3" s="498"/>
      <c r="LXJ3" s="498"/>
      <c r="LXK3" s="466"/>
      <c r="LXL3" s="466"/>
      <c r="LXM3" s="497"/>
      <c r="LXN3" s="496"/>
      <c r="LXO3" s="498"/>
      <c r="LXP3" s="498"/>
      <c r="LXQ3" s="498"/>
      <c r="LXR3" s="466"/>
      <c r="LXS3" s="466"/>
      <c r="LXT3" s="497"/>
      <c r="LXU3" s="496"/>
      <c r="LXV3" s="498"/>
      <c r="LXW3" s="498"/>
      <c r="LXX3" s="498"/>
      <c r="LXY3" s="466"/>
      <c r="LXZ3" s="466"/>
      <c r="LYA3" s="497"/>
      <c r="LYB3" s="496"/>
      <c r="LYC3" s="498"/>
      <c r="LYD3" s="498"/>
      <c r="LYE3" s="498"/>
      <c r="LYF3" s="466"/>
      <c r="LYG3" s="466"/>
      <c r="LYH3" s="497"/>
      <c r="LYI3" s="496"/>
      <c r="LYJ3" s="498"/>
      <c r="LYK3" s="498"/>
      <c r="LYL3" s="498"/>
      <c r="LYM3" s="466"/>
      <c r="LYN3" s="466"/>
      <c r="LYO3" s="497"/>
      <c r="LYP3" s="496"/>
      <c r="LYQ3" s="498"/>
      <c r="LYR3" s="498"/>
      <c r="LYS3" s="498"/>
      <c r="LYT3" s="466"/>
      <c r="LYU3" s="466"/>
      <c r="LYV3" s="497"/>
      <c r="LYW3" s="496"/>
      <c r="LYX3" s="498"/>
      <c r="LYY3" s="498"/>
      <c r="LYZ3" s="498"/>
      <c r="LZA3" s="466"/>
      <c r="LZB3" s="466"/>
      <c r="LZC3" s="497"/>
      <c r="LZD3" s="496"/>
      <c r="LZE3" s="498"/>
      <c r="LZF3" s="498"/>
      <c r="LZG3" s="498"/>
      <c r="LZH3" s="466"/>
      <c r="LZI3" s="466"/>
      <c r="LZJ3" s="497"/>
      <c r="LZK3" s="496"/>
      <c r="LZL3" s="498"/>
      <c r="LZM3" s="498"/>
      <c r="LZN3" s="498"/>
      <c r="LZO3" s="466"/>
      <c r="LZP3" s="466"/>
      <c r="LZQ3" s="497"/>
      <c r="LZR3" s="496"/>
      <c r="LZS3" s="498"/>
      <c r="LZT3" s="498"/>
      <c r="LZU3" s="498"/>
      <c r="LZV3" s="466"/>
      <c r="LZW3" s="466"/>
      <c r="LZX3" s="497"/>
      <c r="LZY3" s="496"/>
      <c r="LZZ3" s="498"/>
      <c r="MAA3" s="498"/>
      <c r="MAB3" s="498"/>
      <c r="MAC3" s="466"/>
      <c r="MAD3" s="466"/>
      <c r="MAE3" s="497"/>
      <c r="MAF3" s="496"/>
      <c r="MAG3" s="498"/>
      <c r="MAH3" s="498"/>
      <c r="MAI3" s="498"/>
      <c r="MAJ3" s="466"/>
      <c r="MAK3" s="466"/>
      <c r="MAL3" s="497"/>
      <c r="MAM3" s="496"/>
      <c r="MAN3" s="498"/>
      <c r="MAO3" s="498"/>
      <c r="MAP3" s="498"/>
      <c r="MAQ3" s="466"/>
      <c r="MAR3" s="466"/>
      <c r="MAS3" s="497"/>
      <c r="MAT3" s="496"/>
      <c r="MAU3" s="498"/>
      <c r="MAV3" s="498"/>
      <c r="MAW3" s="498"/>
      <c r="MAX3" s="466"/>
      <c r="MAY3" s="466"/>
      <c r="MAZ3" s="497"/>
      <c r="MBA3" s="496"/>
      <c r="MBB3" s="498"/>
      <c r="MBC3" s="498"/>
      <c r="MBD3" s="498"/>
      <c r="MBE3" s="466"/>
      <c r="MBF3" s="466"/>
      <c r="MBG3" s="497"/>
      <c r="MBH3" s="496"/>
      <c r="MBI3" s="498"/>
      <c r="MBJ3" s="498"/>
      <c r="MBK3" s="498"/>
      <c r="MBL3" s="466"/>
      <c r="MBM3" s="466"/>
      <c r="MBN3" s="497"/>
      <c r="MBO3" s="496"/>
      <c r="MBP3" s="498"/>
      <c r="MBQ3" s="498"/>
      <c r="MBR3" s="498"/>
      <c r="MBS3" s="466"/>
      <c r="MBT3" s="466"/>
      <c r="MBU3" s="497"/>
      <c r="MBV3" s="496"/>
      <c r="MBW3" s="498"/>
      <c r="MBX3" s="498"/>
      <c r="MBY3" s="498"/>
      <c r="MBZ3" s="466"/>
      <c r="MCA3" s="466"/>
      <c r="MCB3" s="497"/>
      <c r="MCC3" s="496"/>
      <c r="MCD3" s="498"/>
      <c r="MCE3" s="498"/>
      <c r="MCF3" s="498"/>
      <c r="MCG3" s="466"/>
      <c r="MCH3" s="466"/>
      <c r="MCI3" s="497"/>
      <c r="MCJ3" s="496"/>
      <c r="MCK3" s="498"/>
      <c r="MCL3" s="498"/>
      <c r="MCM3" s="498"/>
      <c r="MCN3" s="466"/>
      <c r="MCO3" s="466"/>
      <c r="MCP3" s="497"/>
      <c r="MCQ3" s="496"/>
      <c r="MCR3" s="498"/>
      <c r="MCS3" s="498"/>
      <c r="MCT3" s="498"/>
      <c r="MCU3" s="466"/>
      <c r="MCV3" s="466"/>
      <c r="MCW3" s="497"/>
      <c r="MCX3" s="496"/>
      <c r="MCY3" s="498"/>
      <c r="MCZ3" s="498"/>
      <c r="MDA3" s="498"/>
      <c r="MDB3" s="466"/>
      <c r="MDC3" s="466"/>
      <c r="MDD3" s="497"/>
      <c r="MDE3" s="496"/>
      <c r="MDF3" s="498"/>
      <c r="MDG3" s="498"/>
      <c r="MDH3" s="498"/>
      <c r="MDI3" s="466"/>
      <c r="MDJ3" s="466"/>
      <c r="MDK3" s="497"/>
      <c r="MDL3" s="496"/>
      <c r="MDM3" s="498"/>
      <c r="MDN3" s="498"/>
      <c r="MDO3" s="498"/>
      <c r="MDP3" s="466"/>
      <c r="MDQ3" s="466"/>
      <c r="MDR3" s="497"/>
      <c r="MDS3" s="496"/>
      <c r="MDT3" s="498"/>
      <c r="MDU3" s="498"/>
      <c r="MDV3" s="498"/>
      <c r="MDW3" s="466"/>
      <c r="MDX3" s="466"/>
      <c r="MDY3" s="497"/>
      <c r="MDZ3" s="496"/>
      <c r="MEA3" s="498"/>
      <c r="MEB3" s="498"/>
      <c r="MEC3" s="498"/>
      <c r="MED3" s="466"/>
      <c r="MEE3" s="466"/>
      <c r="MEF3" s="497"/>
      <c r="MEG3" s="496"/>
      <c r="MEH3" s="498"/>
      <c r="MEI3" s="498"/>
      <c r="MEJ3" s="498"/>
      <c r="MEK3" s="466"/>
      <c r="MEL3" s="466"/>
      <c r="MEM3" s="497"/>
      <c r="MEN3" s="496"/>
      <c r="MEO3" s="498"/>
      <c r="MEP3" s="498"/>
      <c r="MEQ3" s="498"/>
      <c r="MER3" s="466"/>
      <c r="MES3" s="466"/>
      <c r="MET3" s="497"/>
      <c r="MEU3" s="496"/>
      <c r="MEV3" s="498"/>
      <c r="MEW3" s="498"/>
      <c r="MEX3" s="498"/>
      <c r="MEY3" s="466"/>
      <c r="MEZ3" s="466"/>
      <c r="MFA3" s="497"/>
      <c r="MFB3" s="496"/>
      <c r="MFC3" s="498"/>
      <c r="MFD3" s="498"/>
      <c r="MFE3" s="498"/>
      <c r="MFF3" s="466"/>
      <c r="MFG3" s="466"/>
      <c r="MFH3" s="497"/>
      <c r="MFI3" s="496"/>
      <c r="MFJ3" s="498"/>
      <c r="MFK3" s="498"/>
      <c r="MFL3" s="498"/>
      <c r="MFM3" s="466"/>
      <c r="MFN3" s="466"/>
      <c r="MFO3" s="497"/>
      <c r="MFP3" s="496"/>
      <c r="MFQ3" s="498"/>
      <c r="MFR3" s="498"/>
      <c r="MFS3" s="498"/>
      <c r="MFT3" s="466"/>
      <c r="MFU3" s="466"/>
      <c r="MFV3" s="497"/>
      <c r="MFW3" s="496"/>
      <c r="MFX3" s="498"/>
      <c r="MFY3" s="498"/>
      <c r="MFZ3" s="498"/>
      <c r="MGA3" s="466"/>
      <c r="MGB3" s="466"/>
      <c r="MGC3" s="497"/>
      <c r="MGD3" s="496"/>
      <c r="MGE3" s="498"/>
      <c r="MGF3" s="498"/>
      <c r="MGG3" s="498"/>
      <c r="MGH3" s="466"/>
      <c r="MGI3" s="466"/>
      <c r="MGJ3" s="497"/>
      <c r="MGK3" s="496"/>
      <c r="MGL3" s="498"/>
      <c r="MGM3" s="498"/>
      <c r="MGN3" s="498"/>
      <c r="MGO3" s="466"/>
      <c r="MGP3" s="466"/>
      <c r="MGQ3" s="497"/>
      <c r="MGR3" s="496"/>
      <c r="MGS3" s="498"/>
      <c r="MGT3" s="498"/>
      <c r="MGU3" s="498"/>
      <c r="MGV3" s="466"/>
      <c r="MGW3" s="466"/>
      <c r="MGX3" s="497"/>
      <c r="MGY3" s="496"/>
      <c r="MGZ3" s="498"/>
      <c r="MHA3" s="498"/>
      <c r="MHB3" s="498"/>
      <c r="MHC3" s="466"/>
      <c r="MHD3" s="466"/>
      <c r="MHE3" s="497"/>
      <c r="MHF3" s="496"/>
      <c r="MHG3" s="498"/>
      <c r="MHH3" s="498"/>
      <c r="MHI3" s="498"/>
      <c r="MHJ3" s="466"/>
      <c r="MHK3" s="466"/>
      <c r="MHL3" s="497"/>
      <c r="MHM3" s="496"/>
      <c r="MHN3" s="498"/>
      <c r="MHO3" s="498"/>
      <c r="MHP3" s="498"/>
      <c r="MHQ3" s="466"/>
      <c r="MHR3" s="466"/>
      <c r="MHS3" s="497"/>
      <c r="MHT3" s="496"/>
      <c r="MHU3" s="498"/>
      <c r="MHV3" s="498"/>
      <c r="MHW3" s="498"/>
      <c r="MHX3" s="466"/>
      <c r="MHY3" s="466"/>
      <c r="MHZ3" s="497"/>
      <c r="MIA3" s="496"/>
      <c r="MIB3" s="498"/>
      <c r="MIC3" s="498"/>
      <c r="MID3" s="498"/>
      <c r="MIE3" s="466"/>
      <c r="MIF3" s="466"/>
      <c r="MIG3" s="497"/>
      <c r="MIH3" s="496"/>
      <c r="MII3" s="498"/>
      <c r="MIJ3" s="498"/>
      <c r="MIK3" s="498"/>
      <c r="MIL3" s="466"/>
      <c r="MIM3" s="466"/>
      <c r="MIN3" s="497"/>
      <c r="MIO3" s="496"/>
      <c r="MIP3" s="498"/>
      <c r="MIQ3" s="498"/>
      <c r="MIR3" s="498"/>
      <c r="MIS3" s="466"/>
      <c r="MIT3" s="466"/>
      <c r="MIU3" s="497"/>
      <c r="MIV3" s="496"/>
      <c r="MIW3" s="498"/>
      <c r="MIX3" s="498"/>
      <c r="MIY3" s="498"/>
      <c r="MIZ3" s="466"/>
      <c r="MJA3" s="466"/>
      <c r="MJB3" s="497"/>
      <c r="MJC3" s="496"/>
      <c r="MJD3" s="498"/>
      <c r="MJE3" s="498"/>
      <c r="MJF3" s="498"/>
      <c r="MJG3" s="466"/>
      <c r="MJH3" s="466"/>
      <c r="MJI3" s="497"/>
      <c r="MJJ3" s="496"/>
      <c r="MJK3" s="498"/>
      <c r="MJL3" s="498"/>
      <c r="MJM3" s="498"/>
      <c r="MJN3" s="466"/>
      <c r="MJO3" s="466"/>
      <c r="MJP3" s="497"/>
      <c r="MJQ3" s="496"/>
      <c r="MJR3" s="498"/>
      <c r="MJS3" s="498"/>
      <c r="MJT3" s="498"/>
      <c r="MJU3" s="466"/>
      <c r="MJV3" s="466"/>
      <c r="MJW3" s="497"/>
      <c r="MJX3" s="496"/>
      <c r="MJY3" s="498"/>
      <c r="MJZ3" s="498"/>
      <c r="MKA3" s="498"/>
      <c r="MKB3" s="466"/>
      <c r="MKC3" s="466"/>
      <c r="MKD3" s="497"/>
      <c r="MKE3" s="496"/>
      <c r="MKF3" s="498"/>
      <c r="MKG3" s="498"/>
      <c r="MKH3" s="498"/>
      <c r="MKI3" s="466"/>
      <c r="MKJ3" s="466"/>
      <c r="MKK3" s="497"/>
      <c r="MKL3" s="496"/>
      <c r="MKM3" s="498"/>
      <c r="MKN3" s="498"/>
      <c r="MKO3" s="498"/>
      <c r="MKP3" s="466"/>
      <c r="MKQ3" s="466"/>
      <c r="MKR3" s="497"/>
      <c r="MKS3" s="496"/>
      <c r="MKT3" s="498"/>
      <c r="MKU3" s="498"/>
      <c r="MKV3" s="498"/>
      <c r="MKW3" s="466"/>
      <c r="MKX3" s="466"/>
      <c r="MKY3" s="497"/>
      <c r="MKZ3" s="496"/>
      <c r="MLA3" s="498"/>
      <c r="MLB3" s="498"/>
      <c r="MLC3" s="498"/>
      <c r="MLD3" s="466"/>
      <c r="MLE3" s="466"/>
      <c r="MLF3" s="497"/>
      <c r="MLG3" s="496"/>
      <c r="MLH3" s="498"/>
      <c r="MLI3" s="498"/>
      <c r="MLJ3" s="498"/>
      <c r="MLK3" s="466"/>
      <c r="MLL3" s="466"/>
      <c r="MLM3" s="497"/>
      <c r="MLN3" s="496"/>
      <c r="MLO3" s="498"/>
      <c r="MLP3" s="498"/>
      <c r="MLQ3" s="498"/>
      <c r="MLR3" s="466"/>
      <c r="MLS3" s="466"/>
      <c r="MLT3" s="497"/>
      <c r="MLU3" s="496"/>
      <c r="MLV3" s="498"/>
      <c r="MLW3" s="498"/>
      <c r="MLX3" s="498"/>
      <c r="MLY3" s="466"/>
      <c r="MLZ3" s="466"/>
      <c r="MMA3" s="497"/>
      <c r="MMB3" s="496"/>
      <c r="MMC3" s="498"/>
      <c r="MMD3" s="498"/>
      <c r="MME3" s="498"/>
      <c r="MMF3" s="466"/>
      <c r="MMG3" s="466"/>
      <c r="MMH3" s="497"/>
      <c r="MMI3" s="496"/>
      <c r="MMJ3" s="498"/>
      <c r="MMK3" s="498"/>
      <c r="MML3" s="498"/>
      <c r="MMM3" s="466"/>
      <c r="MMN3" s="466"/>
      <c r="MMO3" s="497"/>
      <c r="MMP3" s="496"/>
      <c r="MMQ3" s="498"/>
      <c r="MMR3" s="498"/>
      <c r="MMS3" s="498"/>
      <c r="MMT3" s="466"/>
      <c r="MMU3" s="466"/>
      <c r="MMV3" s="497"/>
      <c r="MMW3" s="496"/>
      <c r="MMX3" s="498"/>
      <c r="MMY3" s="498"/>
      <c r="MMZ3" s="498"/>
      <c r="MNA3" s="466"/>
      <c r="MNB3" s="466"/>
      <c r="MNC3" s="497"/>
      <c r="MND3" s="496"/>
      <c r="MNE3" s="498"/>
      <c r="MNF3" s="498"/>
      <c r="MNG3" s="498"/>
      <c r="MNH3" s="466"/>
      <c r="MNI3" s="466"/>
      <c r="MNJ3" s="497"/>
      <c r="MNK3" s="496"/>
      <c r="MNL3" s="498"/>
      <c r="MNM3" s="498"/>
      <c r="MNN3" s="498"/>
      <c r="MNO3" s="466"/>
      <c r="MNP3" s="466"/>
      <c r="MNQ3" s="497"/>
      <c r="MNR3" s="496"/>
      <c r="MNS3" s="498"/>
      <c r="MNT3" s="498"/>
      <c r="MNU3" s="498"/>
      <c r="MNV3" s="466"/>
      <c r="MNW3" s="466"/>
      <c r="MNX3" s="497"/>
      <c r="MNY3" s="496"/>
      <c r="MNZ3" s="498"/>
      <c r="MOA3" s="498"/>
      <c r="MOB3" s="498"/>
      <c r="MOC3" s="466"/>
      <c r="MOD3" s="466"/>
      <c r="MOE3" s="497"/>
      <c r="MOF3" s="496"/>
      <c r="MOG3" s="498"/>
      <c r="MOH3" s="498"/>
      <c r="MOI3" s="498"/>
      <c r="MOJ3" s="466"/>
      <c r="MOK3" s="466"/>
      <c r="MOL3" s="497"/>
      <c r="MOM3" s="496"/>
      <c r="MON3" s="498"/>
      <c r="MOO3" s="498"/>
      <c r="MOP3" s="498"/>
      <c r="MOQ3" s="466"/>
      <c r="MOR3" s="466"/>
      <c r="MOS3" s="497"/>
      <c r="MOT3" s="496"/>
      <c r="MOU3" s="498"/>
      <c r="MOV3" s="498"/>
      <c r="MOW3" s="498"/>
      <c r="MOX3" s="466"/>
      <c r="MOY3" s="466"/>
      <c r="MOZ3" s="497"/>
      <c r="MPA3" s="496"/>
      <c r="MPB3" s="498"/>
      <c r="MPC3" s="498"/>
      <c r="MPD3" s="498"/>
      <c r="MPE3" s="466"/>
      <c r="MPF3" s="466"/>
      <c r="MPG3" s="497"/>
      <c r="MPH3" s="496"/>
      <c r="MPI3" s="498"/>
      <c r="MPJ3" s="498"/>
      <c r="MPK3" s="498"/>
      <c r="MPL3" s="466"/>
      <c r="MPM3" s="466"/>
      <c r="MPN3" s="497"/>
      <c r="MPO3" s="496"/>
      <c r="MPP3" s="498"/>
      <c r="MPQ3" s="498"/>
      <c r="MPR3" s="498"/>
      <c r="MPS3" s="466"/>
      <c r="MPT3" s="466"/>
      <c r="MPU3" s="497"/>
      <c r="MPV3" s="496"/>
      <c r="MPW3" s="498"/>
      <c r="MPX3" s="498"/>
      <c r="MPY3" s="498"/>
      <c r="MPZ3" s="466"/>
      <c r="MQA3" s="466"/>
      <c r="MQB3" s="497"/>
      <c r="MQC3" s="496"/>
      <c r="MQD3" s="498"/>
      <c r="MQE3" s="498"/>
      <c r="MQF3" s="498"/>
      <c r="MQG3" s="466"/>
      <c r="MQH3" s="466"/>
      <c r="MQI3" s="497"/>
      <c r="MQJ3" s="496"/>
      <c r="MQK3" s="498"/>
      <c r="MQL3" s="498"/>
      <c r="MQM3" s="498"/>
      <c r="MQN3" s="466"/>
      <c r="MQO3" s="466"/>
      <c r="MQP3" s="497"/>
      <c r="MQQ3" s="496"/>
      <c r="MQR3" s="498"/>
      <c r="MQS3" s="498"/>
      <c r="MQT3" s="498"/>
      <c r="MQU3" s="466"/>
      <c r="MQV3" s="466"/>
      <c r="MQW3" s="497"/>
      <c r="MQX3" s="496"/>
      <c r="MQY3" s="498"/>
      <c r="MQZ3" s="498"/>
      <c r="MRA3" s="498"/>
      <c r="MRB3" s="466"/>
      <c r="MRC3" s="466"/>
      <c r="MRD3" s="497"/>
      <c r="MRE3" s="496"/>
      <c r="MRF3" s="498"/>
      <c r="MRG3" s="498"/>
      <c r="MRH3" s="498"/>
      <c r="MRI3" s="466"/>
      <c r="MRJ3" s="466"/>
      <c r="MRK3" s="497"/>
      <c r="MRL3" s="496"/>
      <c r="MRM3" s="498"/>
      <c r="MRN3" s="498"/>
      <c r="MRO3" s="498"/>
      <c r="MRP3" s="466"/>
      <c r="MRQ3" s="466"/>
      <c r="MRR3" s="497"/>
      <c r="MRS3" s="496"/>
      <c r="MRT3" s="498"/>
      <c r="MRU3" s="498"/>
      <c r="MRV3" s="498"/>
      <c r="MRW3" s="466"/>
      <c r="MRX3" s="466"/>
      <c r="MRY3" s="497"/>
      <c r="MRZ3" s="496"/>
      <c r="MSA3" s="498"/>
      <c r="MSB3" s="498"/>
      <c r="MSC3" s="498"/>
      <c r="MSD3" s="466"/>
      <c r="MSE3" s="466"/>
      <c r="MSF3" s="497"/>
      <c r="MSG3" s="496"/>
      <c r="MSH3" s="498"/>
      <c r="MSI3" s="498"/>
      <c r="MSJ3" s="498"/>
      <c r="MSK3" s="466"/>
      <c r="MSL3" s="466"/>
      <c r="MSM3" s="497"/>
      <c r="MSN3" s="496"/>
      <c r="MSO3" s="498"/>
      <c r="MSP3" s="498"/>
      <c r="MSQ3" s="498"/>
      <c r="MSR3" s="466"/>
      <c r="MSS3" s="466"/>
      <c r="MST3" s="497"/>
      <c r="MSU3" s="496"/>
      <c r="MSV3" s="498"/>
      <c r="MSW3" s="498"/>
      <c r="MSX3" s="498"/>
      <c r="MSY3" s="466"/>
      <c r="MSZ3" s="466"/>
      <c r="MTA3" s="497"/>
      <c r="MTB3" s="496"/>
      <c r="MTC3" s="498"/>
      <c r="MTD3" s="498"/>
      <c r="MTE3" s="498"/>
      <c r="MTF3" s="466"/>
      <c r="MTG3" s="466"/>
      <c r="MTH3" s="497"/>
      <c r="MTI3" s="496"/>
      <c r="MTJ3" s="498"/>
      <c r="MTK3" s="498"/>
      <c r="MTL3" s="498"/>
      <c r="MTM3" s="466"/>
      <c r="MTN3" s="466"/>
      <c r="MTO3" s="497"/>
      <c r="MTP3" s="496"/>
      <c r="MTQ3" s="498"/>
      <c r="MTR3" s="498"/>
      <c r="MTS3" s="498"/>
      <c r="MTT3" s="466"/>
      <c r="MTU3" s="466"/>
      <c r="MTV3" s="497"/>
      <c r="MTW3" s="496"/>
      <c r="MTX3" s="498"/>
      <c r="MTY3" s="498"/>
      <c r="MTZ3" s="498"/>
      <c r="MUA3" s="466"/>
      <c r="MUB3" s="466"/>
      <c r="MUC3" s="497"/>
      <c r="MUD3" s="496"/>
      <c r="MUE3" s="498"/>
      <c r="MUF3" s="498"/>
      <c r="MUG3" s="498"/>
      <c r="MUH3" s="466"/>
      <c r="MUI3" s="466"/>
      <c r="MUJ3" s="497"/>
      <c r="MUK3" s="496"/>
      <c r="MUL3" s="498"/>
      <c r="MUM3" s="498"/>
      <c r="MUN3" s="498"/>
      <c r="MUO3" s="466"/>
      <c r="MUP3" s="466"/>
      <c r="MUQ3" s="497"/>
      <c r="MUR3" s="496"/>
      <c r="MUS3" s="498"/>
      <c r="MUT3" s="498"/>
      <c r="MUU3" s="498"/>
      <c r="MUV3" s="466"/>
      <c r="MUW3" s="466"/>
      <c r="MUX3" s="497"/>
      <c r="MUY3" s="496"/>
      <c r="MUZ3" s="498"/>
      <c r="MVA3" s="498"/>
      <c r="MVB3" s="498"/>
      <c r="MVC3" s="466"/>
      <c r="MVD3" s="466"/>
      <c r="MVE3" s="497"/>
      <c r="MVF3" s="496"/>
      <c r="MVG3" s="498"/>
      <c r="MVH3" s="498"/>
      <c r="MVI3" s="498"/>
      <c r="MVJ3" s="466"/>
      <c r="MVK3" s="466"/>
      <c r="MVL3" s="497"/>
      <c r="MVM3" s="496"/>
      <c r="MVN3" s="498"/>
      <c r="MVO3" s="498"/>
      <c r="MVP3" s="498"/>
      <c r="MVQ3" s="466"/>
      <c r="MVR3" s="466"/>
      <c r="MVS3" s="497"/>
      <c r="MVT3" s="496"/>
      <c r="MVU3" s="498"/>
      <c r="MVV3" s="498"/>
      <c r="MVW3" s="498"/>
      <c r="MVX3" s="466"/>
      <c r="MVY3" s="466"/>
      <c r="MVZ3" s="497"/>
      <c r="MWA3" s="496"/>
      <c r="MWB3" s="498"/>
      <c r="MWC3" s="498"/>
      <c r="MWD3" s="498"/>
      <c r="MWE3" s="466"/>
      <c r="MWF3" s="466"/>
      <c r="MWG3" s="497"/>
      <c r="MWH3" s="496"/>
      <c r="MWI3" s="498"/>
      <c r="MWJ3" s="498"/>
      <c r="MWK3" s="498"/>
      <c r="MWL3" s="466"/>
      <c r="MWM3" s="466"/>
      <c r="MWN3" s="497"/>
      <c r="MWO3" s="496"/>
      <c r="MWP3" s="498"/>
      <c r="MWQ3" s="498"/>
      <c r="MWR3" s="498"/>
      <c r="MWS3" s="466"/>
      <c r="MWT3" s="466"/>
      <c r="MWU3" s="497"/>
      <c r="MWV3" s="496"/>
      <c r="MWW3" s="498"/>
      <c r="MWX3" s="498"/>
      <c r="MWY3" s="498"/>
      <c r="MWZ3" s="466"/>
      <c r="MXA3" s="466"/>
      <c r="MXB3" s="497"/>
      <c r="MXC3" s="496"/>
      <c r="MXD3" s="498"/>
      <c r="MXE3" s="498"/>
      <c r="MXF3" s="498"/>
      <c r="MXG3" s="466"/>
      <c r="MXH3" s="466"/>
      <c r="MXI3" s="497"/>
      <c r="MXJ3" s="496"/>
      <c r="MXK3" s="498"/>
      <c r="MXL3" s="498"/>
      <c r="MXM3" s="498"/>
      <c r="MXN3" s="466"/>
      <c r="MXO3" s="466"/>
      <c r="MXP3" s="497"/>
      <c r="MXQ3" s="496"/>
      <c r="MXR3" s="498"/>
      <c r="MXS3" s="498"/>
      <c r="MXT3" s="498"/>
      <c r="MXU3" s="466"/>
      <c r="MXV3" s="466"/>
      <c r="MXW3" s="497"/>
      <c r="MXX3" s="496"/>
      <c r="MXY3" s="498"/>
      <c r="MXZ3" s="498"/>
      <c r="MYA3" s="498"/>
      <c r="MYB3" s="466"/>
      <c r="MYC3" s="466"/>
      <c r="MYD3" s="497"/>
      <c r="MYE3" s="496"/>
      <c r="MYF3" s="498"/>
      <c r="MYG3" s="498"/>
      <c r="MYH3" s="498"/>
      <c r="MYI3" s="466"/>
      <c r="MYJ3" s="466"/>
      <c r="MYK3" s="497"/>
      <c r="MYL3" s="496"/>
      <c r="MYM3" s="498"/>
      <c r="MYN3" s="498"/>
      <c r="MYO3" s="498"/>
      <c r="MYP3" s="466"/>
      <c r="MYQ3" s="466"/>
      <c r="MYR3" s="497"/>
      <c r="MYS3" s="496"/>
      <c r="MYT3" s="498"/>
      <c r="MYU3" s="498"/>
      <c r="MYV3" s="498"/>
      <c r="MYW3" s="466"/>
      <c r="MYX3" s="466"/>
      <c r="MYY3" s="497"/>
      <c r="MYZ3" s="496"/>
      <c r="MZA3" s="498"/>
      <c r="MZB3" s="498"/>
      <c r="MZC3" s="498"/>
      <c r="MZD3" s="466"/>
      <c r="MZE3" s="466"/>
      <c r="MZF3" s="497"/>
      <c r="MZG3" s="496"/>
      <c r="MZH3" s="498"/>
      <c r="MZI3" s="498"/>
      <c r="MZJ3" s="498"/>
      <c r="MZK3" s="466"/>
      <c r="MZL3" s="466"/>
      <c r="MZM3" s="497"/>
      <c r="MZN3" s="496"/>
      <c r="MZO3" s="498"/>
      <c r="MZP3" s="498"/>
      <c r="MZQ3" s="498"/>
      <c r="MZR3" s="466"/>
      <c r="MZS3" s="466"/>
      <c r="MZT3" s="497"/>
      <c r="MZU3" s="496"/>
      <c r="MZV3" s="498"/>
      <c r="MZW3" s="498"/>
      <c r="MZX3" s="498"/>
      <c r="MZY3" s="466"/>
      <c r="MZZ3" s="466"/>
      <c r="NAA3" s="497"/>
      <c r="NAB3" s="496"/>
      <c r="NAC3" s="498"/>
      <c r="NAD3" s="498"/>
      <c r="NAE3" s="498"/>
      <c r="NAF3" s="466"/>
      <c r="NAG3" s="466"/>
      <c r="NAH3" s="497"/>
      <c r="NAI3" s="496"/>
      <c r="NAJ3" s="498"/>
      <c r="NAK3" s="498"/>
      <c r="NAL3" s="498"/>
      <c r="NAM3" s="466"/>
      <c r="NAN3" s="466"/>
      <c r="NAO3" s="497"/>
      <c r="NAP3" s="496"/>
      <c r="NAQ3" s="498"/>
      <c r="NAR3" s="498"/>
      <c r="NAS3" s="498"/>
      <c r="NAT3" s="466"/>
      <c r="NAU3" s="466"/>
      <c r="NAV3" s="497"/>
      <c r="NAW3" s="496"/>
      <c r="NAX3" s="498"/>
      <c r="NAY3" s="498"/>
      <c r="NAZ3" s="498"/>
      <c r="NBA3" s="466"/>
      <c r="NBB3" s="466"/>
      <c r="NBC3" s="497"/>
      <c r="NBD3" s="496"/>
      <c r="NBE3" s="498"/>
      <c r="NBF3" s="498"/>
      <c r="NBG3" s="498"/>
      <c r="NBH3" s="466"/>
      <c r="NBI3" s="466"/>
      <c r="NBJ3" s="497"/>
      <c r="NBK3" s="496"/>
      <c r="NBL3" s="498"/>
      <c r="NBM3" s="498"/>
      <c r="NBN3" s="498"/>
      <c r="NBO3" s="466"/>
      <c r="NBP3" s="466"/>
      <c r="NBQ3" s="497"/>
      <c r="NBR3" s="496"/>
      <c r="NBS3" s="498"/>
      <c r="NBT3" s="498"/>
      <c r="NBU3" s="498"/>
      <c r="NBV3" s="466"/>
      <c r="NBW3" s="466"/>
      <c r="NBX3" s="497"/>
      <c r="NBY3" s="496"/>
      <c r="NBZ3" s="498"/>
      <c r="NCA3" s="498"/>
      <c r="NCB3" s="498"/>
      <c r="NCC3" s="466"/>
      <c r="NCD3" s="466"/>
      <c r="NCE3" s="497"/>
      <c r="NCF3" s="496"/>
      <c r="NCG3" s="498"/>
      <c r="NCH3" s="498"/>
      <c r="NCI3" s="498"/>
      <c r="NCJ3" s="466"/>
      <c r="NCK3" s="466"/>
      <c r="NCL3" s="497"/>
      <c r="NCM3" s="496"/>
      <c r="NCN3" s="498"/>
      <c r="NCO3" s="498"/>
      <c r="NCP3" s="498"/>
      <c r="NCQ3" s="466"/>
      <c r="NCR3" s="466"/>
      <c r="NCS3" s="497"/>
      <c r="NCT3" s="496"/>
      <c r="NCU3" s="498"/>
      <c r="NCV3" s="498"/>
      <c r="NCW3" s="498"/>
      <c r="NCX3" s="466"/>
      <c r="NCY3" s="466"/>
      <c r="NCZ3" s="497"/>
      <c r="NDA3" s="496"/>
      <c r="NDB3" s="498"/>
      <c r="NDC3" s="498"/>
      <c r="NDD3" s="498"/>
      <c r="NDE3" s="466"/>
      <c r="NDF3" s="466"/>
      <c r="NDG3" s="497"/>
      <c r="NDH3" s="496"/>
      <c r="NDI3" s="498"/>
      <c r="NDJ3" s="498"/>
      <c r="NDK3" s="498"/>
      <c r="NDL3" s="466"/>
      <c r="NDM3" s="466"/>
      <c r="NDN3" s="497"/>
      <c r="NDO3" s="496"/>
      <c r="NDP3" s="498"/>
      <c r="NDQ3" s="498"/>
      <c r="NDR3" s="498"/>
      <c r="NDS3" s="466"/>
      <c r="NDT3" s="466"/>
      <c r="NDU3" s="497"/>
      <c r="NDV3" s="496"/>
      <c r="NDW3" s="498"/>
      <c r="NDX3" s="498"/>
      <c r="NDY3" s="498"/>
      <c r="NDZ3" s="466"/>
      <c r="NEA3" s="466"/>
      <c r="NEB3" s="497"/>
      <c r="NEC3" s="496"/>
      <c r="NED3" s="498"/>
      <c r="NEE3" s="498"/>
      <c r="NEF3" s="498"/>
      <c r="NEG3" s="466"/>
      <c r="NEH3" s="466"/>
      <c r="NEI3" s="497"/>
      <c r="NEJ3" s="496"/>
      <c r="NEK3" s="498"/>
      <c r="NEL3" s="498"/>
      <c r="NEM3" s="498"/>
      <c r="NEN3" s="466"/>
      <c r="NEO3" s="466"/>
      <c r="NEP3" s="497"/>
      <c r="NEQ3" s="496"/>
      <c r="NER3" s="498"/>
      <c r="NES3" s="498"/>
      <c r="NET3" s="498"/>
      <c r="NEU3" s="466"/>
      <c r="NEV3" s="466"/>
      <c r="NEW3" s="497"/>
      <c r="NEX3" s="496"/>
      <c r="NEY3" s="498"/>
      <c r="NEZ3" s="498"/>
      <c r="NFA3" s="498"/>
      <c r="NFB3" s="466"/>
      <c r="NFC3" s="466"/>
      <c r="NFD3" s="497"/>
      <c r="NFE3" s="496"/>
      <c r="NFF3" s="498"/>
      <c r="NFG3" s="498"/>
      <c r="NFH3" s="498"/>
      <c r="NFI3" s="466"/>
      <c r="NFJ3" s="466"/>
      <c r="NFK3" s="497"/>
      <c r="NFL3" s="496"/>
      <c r="NFM3" s="498"/>
      <c r="NFN3" s="498"/>
      <c r="NFO3" s="498"/>
      <c r="NFP3" s="466"/>
      <c r="NFQ3" s="466"/>
      <c r="NFR3" s="497"/>
      <c r="NFS3" s="496"/>
      <c r="NFT3" s="498"/>
      <c r="NFU3" s="498"/>
      <c r="NFV3" s="498"/>
      <c r="NFW3" s="466"/>
      <c r="NFX3" s="466"/>
      <c r="NFY3" s="497"/>
      <c r="NFZ3" s="496"/>
      <c r="NGA3" s="498"/>
      <c r="NGB3" s="498"/>
      <c r="NGC3" s="498"/>
      <c r="NGD3" s="466"/>
      <c r="NGE3" s="466"/>
      <c r="NGF3" s="497"/>
      <c r="NGG3" s="496"/>
      <c r="NGH3" s="498"/>
      <c r="NGI3" s="498"/>
      <c r="NGJ3" s="498"/>
      <c r="NGK3" s="466"/>
      <c r="NGL3" s="466"/>
      <c r="NGM3" s="497"/>
      <c r="NGN3" s="496"/>
      <c r="NGO3" s="498"/>
      <c r="NGP3" s="498"/>
      <c r="NGQ3" s="498"/>
      <c r="NGR3" s="466"/>
      <c r="NGS3" s="466"/>
      <c r="NGT3" s="497"/>
      <c r="NGU3" s="496"/>
      <c r="NGV3" s="498"/>
      <c r="NGW3" s="498"/>
      <c r="NGX3" s="498"/>
      <c r="NGY3" s="466"/>
      <c r="NGZ3" s="466"/>
      <c r="NHA3" s="497"/>
      <c r="NHB3" s="496"/>
      <c r="NHC3" s="498"/>
      <c r="NHD3" s="498"/>
      <c r="NHE3" s="498"/>
      <c r="NHF3" s="466"/>
      <c r="NHG3" s="466"/>
      <c r="NHH3" s="497"/>
      <c r="NHI3" s="496"/>
      <c r="NHJ3" s="498"/>
      <c r="NHK3" s="498"/>
      <c r="NHL3" s="498"/>
      <c r="NHM3" s="466"/>
      <c r="NHN3" s="466"/>
      <c r="NHO3" s="497"/>
      <c r="NHP3" s="496"/>
      <c r="NHQ3" s="498"/>
      <c r="NHR3" s="498"/>
      <c r="NHS3" s="498"/>
      <c r="NHT3" s="466"/>
      <c r="NHU3" s="466"/>
      <c r="NHV3" s="497"/>
      <c r="NHW3" s="496"/>
      <c r="NHX3" s="498"/>
      <c r="NHY3" s="498"/>
      <c r="NHZ3" s="498"/>
      <c r="NIA3" s="466"/>
      <c r="NIB3" s="466"/>
      <c r="NIC3" s="497"/>
      <c r="NID3" s="496"/>
      <c r="NIE3" s="498"/>
      <c r="NIF3" s="498"/>
      <c r="NIG3" s="498"/>
      <c r="NIH3" s="466"/>
      <c r="NII3" s="466"/>
      <c r="NIJ3" s="497"/>
      <c r="NIK3" s="496"/>
      <c r="NIL3" s="498"/>
      <c r="NIM3" s="498"/>
      <c r="NIN3" s="498"/>
      <c r="NIO3" s="466"/>
      <c r="NIP3" s="466"/>
      <c r="NIQ3" s="497"/>
      <c r="NIR3" s="496"/>
      <c r="NIS3" s="498"/>
      <c r="NIT3" s="498"/>
      <c r="NIU3" s="498"/>
      <c r="NIV3" s="466"/>
      <c r="NIW3" s="466"/>
      <c r="NIX3" s="497"/>
      <c r="NIY3" s="496"/>
      <c r="NIZ3" s="498"/>
      <c r="NJA3" s="498"/>
      <c r="NJB3" s="498"/>
      <c r="NJC3" s="466"/>
      <c r="NJD3" s="466"/>
      <c r="NJE3" s="497"/>
      <c r="NJF3" s="496"/>
      <c r="NJG3" s="498"/>
      <c r="NJH3" s="498"/>
      <c r="NJI3" s="498"/>
      <c r="NJJ3" s="466"/>
      <c r="NJK3" s="466"/>
      <c r="NJL3" s="497"/>
      <c r="NJM3" s="496"/>
      <c r="NJN3" s="498"/>
      <c r="NJO3" s="498"/>
      <c r="NJP3" s="498"/>
      <c r="NJQ3" s="466"/>
      <c r="NJR3" s="466"/>
      <c r="NJS3" s="497"/>
      <c r="NJT3" s="496"/>
      <c r="NJU3" s="498"/>
      <c r="NJV3" s="498"/>
      <c r="NJW3" s="498"/>
      <c r="NJX3" s="466"/>
      <c r="NJY3" s="466"/>
      <c r="NJZ3" s="497"/>
      <c r="NKA3" s="496"/>
      <c r="NKB3" s="498"/>
      <c r="NKC3" s="498"/>
      <c r="NKD3" s="498"/>
      <c r="NKE3" s="466"/>
      <c r="NKF3" s="466"/>
      <c r="NKG3" s="497"/>
      <c r="NKH3" s="496"/>
      <c r="NKI3" s="498"/>
      <c r="NKJ3" s="498"/>
      <c r="NKK3" s="498"/>
      <c r="NKL3" s="466"/>
      <c r="NKM3" s="466"/>
      <c r="NKN3" s="497"/>
      <c r="NKO3" s="496"/>
      <c r="NKP3" s="498"/>
      <c r="NKQ3" s="498"/>
      <c r="NKR3" s="498"/>
      <c r="NKS3" s="466"/>
      <c r="NKT3" s="466"/>
      <c r="NKU3" s="497"/>
      <c r="NKV3" s="496"/>
      <c r="NKW3" s="498"/>
      <c r="NKX3" s="498"/>
      <c r="NKY3" s="498"/>
      <c r="NKZ3" s="466"/>
      <c r="NLA3" s="466"/>
      <c r="NLB3" s="497"/>
      <c r="NLC3" s="496"/>
      <c r="NLD3" s="498"/>
      <c r="NLE3" s="498"/>
      <c r="NLF3" s="498"/>
      <c r="NLG3" s="466"/>
      <c r="NLH3" s="466"/>
      <c r="NLI3" s="497"/>
      <c r="NLJ3" s="496"/>
      <c r="NLK3" s="498"/>
      <c r="NLL3" s="498"/>
      <c r="NLM3" s="498"/>
      <c r="NLN3" s="466"/>
      <c r="NLO3" s="466"/>
      <c r="NLP3" s="497"/>
      <c r="NLQ3" s="496"/>
      <c r="NLR3" s="498"/>
      <c r="NLS3" s="498"/>
      <c r="NLT3" s="498"/>
      <c r="NLU3" s="466"/>
      <c r="NLV3" s="466"/>
      <c r="NLW3" s="497"/>
      <c r="NLX3" s="496"/>
      <c r="NLY3" s="498"/>
      <c r="NLZ3" s="498"/>
      <c r="NMA3" s="498"/>
      <c r="NMB3" s="466"/>
      <c r="NMC3" s="466"/>
      <c r="NMD3" s="497"/>
      <c r="NME3" s="496"/>
      <c r="NMF3" s="498"/>
      <c r="NMG3" s="498"/>
      <c r="NMH3" s="498"/>
      <c r="NMI3" s="466"/>
      <c r="NMJ3" s="466"/>
      <c r="NMK3" s="497"/>
      <c r="NML3" s="496"/>
      <c r="NMM3" s="498"/>
      <c r="NMN3" s="498"/>
      <c r="NMO3" s="498"/>
      <c r="NMP3" s="466"/>
      <c r="NMQ3" s="466"/>
      <c r="NMR3" s="497"/>
      <c r="NMS3" s="496"/>
      <c r="NMT3" s="498"/>
      <c r="NMU3" s="498"/>
      <c r="NMV3" s="498"/>
      <c r="NMW3" s="466"/>
      <c r="NMX3" s="466"/>
      <c r="NMY3" s="497"/>
      <c r="NMZ3" s="496"/>
      <c r="NNA3" s="498"/>
      <c r="NNB3" s="498"/>
      <c r="NNC3" s="498"/>
      <c r="NND3" s="466"/>
      <c r="NNE3" s="466"/>
      <c r="NNF3" s="497"/>
      <c r="NNG3" s="496"/>
      <c r="NNH3" s="498"/>
      <c r="NNI3" s="498"/>
      <c r="NNJ3" s="498"/>
      <c r="NNK3" s="466"/>
      <c r="NNL3" s="466"/>
      <c r="NNM3" s="497"/>
      <c r="NNN3" s="496"/>
      <c r="NNO3" s="498"/>
      <c r="NNP3" s="498"/>
      <c r="NNQ3" s="498"/>
      <c r="NNR3" s="466"/>
      <c r="NNS3" s="466"/>
      <c r="NNT3" s="497"/>
      <c r="NNU3" s="496"/>
      <c r="NNV3" s="498"/>
      <c r="NNW3" s="498"/>
      <c r="NNX3" s="498"/>
      <c r="NNY3" s="466"/>
      <c r="NNZ3" s="466"/>
      <c r="NOA3" s="497"/>
      <c r="NOB3" s="496"/>
      <c r="NOC3" s="498"/>
      <c r="NOD3" s="498"/>
      <c r="NOE3" s="498"/>
      <c r="NOF3" s="466"/>
      <c r="NOG3" s="466"/>
      <c r="NOH3" s="497"/>
      <c r="NOI3" s="496"/>
      <c r="NOJ3" s="498"/>
      <c r="NOK3" s="498"/>
      <c r="NOL3" s="498"/>
      <c r="NOM3" s="466"/>
      <c r="NON3" s="466"/>
      <c r="NOO3" s="497"/>
      <c r="NOP3" s="496"/>
      <c r="NOQ3" s="498"/>
      <c r="NOR3" s="498"/>
      <c r="NOS3" s="498"/>
      <c r="NOT3" s="466"/>
      <c r="NOU3" s="466"/>
      <c r="NOV3" s="497"/>
      <c r="NOW3" s="496"/>
      <c r="NOX3" s="498"/>
      <c r="NOY3" s="498"/>
      <c r="NOZ3" s="498"/>
      <c r="NPA3" s="466"/>
      <c r="NPB3" s="466"/>
      <c r="NPC3" s="497"/>
      <c r="NPD3" s="496"/>
      <c r="NPE3" s="498"/>
      <c r="NPF3" s="498"/>
      <c r="NPG3" s="498"/>
      <c r="NPH3" s="466"/>
      <c r="NPI3" s="466"/>
      <c r="NPJ3" s="497"/>
      <c r="NPK3" s="496"/>
      <c r="NPL3" s="498"/>
      <c r="NPM3" s="498"/>
      <c r="NPN3" s="498"/>
      <c r="NPO3" s="466"/>
      <c r="NPP3" s="466"/>
      <c r="NPQ3" s="497"/>
      <c r="NPR3" s="496"/>
      <c r="NPS3" s="498"/>
      <c r="NPT3" s="498"/>
      <c r="NPU3" s="498"/>
      <c r="NPV3" s="466"/>
      <c r="NPW3" s="466"/>
      <c r="NPX3" s="497"/>
      <c r="NPY3" s="496"/>
      <c r="NPZ3" s="498"/>
      <c r="NQA3" s="498"/>
      <c r="NQB3" s="498"/>
      <c r="NQC3" s="466"/>
      <c r="NQD3" s="466"/>
      <c r="NQE3" s="497"/>
      <c r="NQF3" s="496"/>
      <c r="NQG3" s="498"/>
      <c r="NQH3" s="498"/>
      <c r="NQI3" s="498"/>
      <c r="NQJ3" s="466"/>
      <c r="NQK3" s="466"/>
      <c r="NQL3" s="497"/>
      <c r="NQM3" s="496"/>
      <c r="NQN3" s="498"/>
      <c r="NQO3" s="498"/>
      <c r="NQP3" s="498"/>
      <c r="NQQ3" s="466"/>
      <c r="NQR3" s="466"/>
      <c r="NQS3" s="497"/>
      <c r="NQT3" s="496"/>
      <c r="NQU3" s="498"/>
      <c r="NQV3" s="498"/>
      <c r="NQW3" s="498"/>
      <c r="NQX3" s="466"/>
      <c r="NQY3" s="466"/>
      <c r="NQZ3" s="497"/>
      <c r="NRA3" s="496"/>
      <c r="NRB3" s="498"/>
      <c r="NRC3" s="498"/>
      <c r="NRD3" s="498"/>
      <c r="NRE3" s="466"/>
      <c r="NRF3" s="466"/>
      <c r="NRG3" s="497"/>
      <c r="NRH3" s="496"/>
      <c r="NRI3" s="498"/>
      <c r="NRJ3" s="498"/>
      <c r="NRK3" s="498"/>
      <c r="NRL3" s="466"/>
      <c r="NRM3" s="466"/>
      <c r="NRN3" s="497"/>
      <c r="NRO3" s="496"/>
      <c r="NRP3" s="498"/>
      <c r="NRQ3" s="498"/>
      <c r="NRR3" s="498"/>
      <c r="NRS3" s="466"/>
      <c r="NRT3" s="466"/>
      <c r="NRU3" s="497"/>
      <c r="NRV3" s="496"/>
      <c r="NRW3" s="498"/>
      <c r="NRX3" s="498"/>
      <c r="NRY3" s="498"/>
      <c r="NRZ3" s="466"/>
      <c r="NSA3" s="466"/>
      <c r="NSB3" s="497"/>
      <c r="NSC3" s="496"/>
      <c r="NSD3" s="498"/>
      <c r="NSE3" s="498"/>
      <c r="NSF3" s="498"/>
      <c r="NSG3" s="466"/>
      <c r="NSH3" s="466"/>
      <c r="NSI3" s="497"/>
      <c r="NSJ3" s="496"/>
      <c r="NSK3" s="498"/>
      <c r="NSL3" s="498"/>
      <c r="NSM3" s="498"/>
      <c r="NSN3" s="466"/>
      <c r="NSO3" s="466"/>
      <c r="NSP3" s="497"/>
      <c r="NSQ3" s="496"/>
      <c r="NSR3" s="498"/>
      <c r="NSS3" s="498"/>
      <c r="NST3" s="498"/>
      <c r="NSU3" s="466"/>
      <c r="NSV3" s="466"/>
      <c r="NSW3" s="497"/>
      <c r="NSX3" s="496"/>
      <c r="NSY3" s="498"/>
      <c r="NSZ3" s="498"/>
      <c r="NTA3" s="498"/>
      <c r="NTB3" s="466"/>
      <c r="NTC3" s="466"/>
      <c r="NTD3" s="497"/>
      <c r="NTE3" s="496"/>
      <c r="NTF3" s="498"/>
      <c r="NTG3" s="498"/>
      <c r="NTH3" s="498"/>
      <c r="NTI3" s="466"/>
      <c r="NTJ3" s="466"/>
      <c r="NTK3" s="497"/>
      <c r="NTL3" s="496"/>
      <c r="NTM3" s="498"/>
      <c r="NTN3" s="498"/>
      <c r="NTO3" s="498"/>
      <c r="NTP3" s="466"/>
      <c r="NTQ3" s="466"/>
      <c r="NTR3" s="497"/>
      <c r="NTS3" s="496"/>
      <c r="NTT3" s="498"/>
      <c r="NTU3" s="498"/>
      <c r="NTV3" s="498"/>
      <c r="NTW3" s="466"/>
      <c r="NTX3" s="466"/>
      <c r="NTY3" s="497"/>
      <c r="NTZ3" s="496"/>
      <c r="NUA3" s="498"/>
      <c r="NUB3" s="498"/>
      <c r="NUC3" s="498"/>
      <c r="NUD3" s="466"/>
      <c r="NUE3" s="466"/>
      <c r="NUF3" s="497"/>
      <c r="NUG3" s="496"/>
      <c r="NUH3" s="498"/>
      <c r="NUI3" s="498"/>
      <c r="NUJ3" s="498"/>
      <c r="NUK3" s="466"/>
      <c r="NUL3" s="466"/>
      <c r="NUM3" s="497"/>
      <c r="NUN3" s="496"/>
      <c r="NUO3" s="498"/>
      <c r="NUP3" s="498"/>
      <c r="NUQ3" s="498"/>
      <c r="NUR3" s="466"/>
      <c r="NUS3" s="466"/>
      <c r="NUT3" s="497"/>
      <c r="NUU3" s="496"/>
      <c r="NUV3" s="498"/>
      <c r="NUW3" s="498"/>
      <c r="NUX3" s="498"/>
      <c r="NUY3" s="466"/>
      <c r="NUZ3" s="466"/>
      <c r="NVA3" s="497"/>
      <c r="NVB3" s="496"/>
      <c r="NVC3" s="498"/>
      <c r="NVD3" s="498"/>
      <c r="NVE3" s="498"/>
      <c r="NVF3" s="466"/>
      <c r="NVG3" s="466"/>
      <c r="NVH3" s="497"/>
      <c r="NVI3" s="496"/>
      <c r="NVJ3" s="498"/>
      <c r="NVK3" s="498"/>
      <c r="NVL3" s="498"/>
      <c r="NVM3" s="466"/>
      <c r="NVN3" s="466"/>
      <c r="NVO3" s="497"/>
      <c r="NVP3" s="496"/>
      <c r="NVQ3" s="498"/>
      <c r="NVR3" s="498"/>
      <c r="NVS3" s="498"/>
      <c r="NVT3" s="466"/>
      <c r="NVU3" s="466"/>
      <c r="NVV3" s="497"/>
      <c r="NVW3" s="496"/>
      <c r="NVX3" s="498"/>
      <c r="NVY3" s="498"/>
      <c r="NVZ3" s="498"/>
      <c r="NWA3" s="466"/>
      <c r="NWB3" s="466"/>
      <c r="NWC3" s="497"/>
      <c r="NWD3" s="496"/>
      <c r="NWE3" s="498"/>
      <c r="NWF3" s="498"/>
      <c r="NWG3" s="498"/>
      <c r="NWH3" s="466"/>
      <c r="NWI3" s="466"/>
      <c r="NWJ3" s="497"/>
      <c r="NWK3" s="496"/>
      <c r="NWL3" s="498"/>
      <c r="NWM3" s="498"/>
      <c r="NWN3" s="498"/>
      <c r="NWO3" s="466"/>
      <c r="NWP3" s="466"/>
      <c r="NWQ3" s="497"/>
      <c r="NWR3" s="496"/>
      <c r="NWS3" s="498"/>
      <c r="NWT3" s="498"/>
      <c r="NWU3" s="498"/>
      <c r="NWV3" s="466"/>
      <c r="NWW3" s="466"/>
      <c r="NWX3" s="497"/>
      <c r="NWY3" s="496"/>
      <c r="NWZ3" s="498"/>
      <c r="NXA3" s="498"/>
      <c r="NXB3" s="498"/>
      <c r="NXC3" s="466"/>
      <c r="NXD3" s="466"/>
      <c r="NXE3" s="497"/>
      <c r="NXF3" s="496"/>
      <c r="NXG3" s="498"/>
      <c r="NXH3" s="498"/>
      <c r="NXI3" s="498"/>
      <c r="NXJ3" s="466"/>
      <c r="NXK3" s="466"/>
      <c r="NXL3" s="497"/>
      <c r="NXM3" s="496"/>
      <c r="NXN3" s="498"/>
      <c r="NXO3" s="498"/>
      <c r="NXP3" s="498"/>
      <c r="NXQ3" s="466"/>
      <c r="NXR3" s="466"/>
      <c r="NXS3" s="497"/>
      <c r="NXT3" s="496"/>
      <c r="NXU3" s="498"/>
      <c r="NXV3" s="498"/>
      <c r="NXW3" s="498"/>
      <c r="NXX3" s="466"/>
      <c r="NXY3" s="466"/>
      <c r="NXZ3" s="497"/>
      <c r="NYA3" s="496"/>
      <c r="NYB3" s="498"/>
      <c r="NYC3" s="498"/>
      <c r="NYD3" s="498"/>
      <c r="NYE3" s="466"/>
      <c r="NYF3" s="466"/>
      <c r="NYG3" s="497"/>
      <c r="NYH3" s="496"/>
      <c r="NYI3" s="498"/>
      <c r="NYJ3" s="498"/>
      <c r="NYK3" s="498"/>
      <c r="NYL3" s="466"/>
      <c r="NYM3" s="466"/>
      <c r="NYN3" s="497"/>
      <c r="NYO3" s="496"/>
      <c r="NYP3" s="498"/>
      <c r="NYQ3" s="498"/>
      <c r="NYR3" s="498"/>
      <c r="NYS3" s="466"/>
      <c r="NYT3" s="466"/>
      <c r="NYU3" s="497"/>
      <c r="NYV3" s="496"/>
      <c r="NYW3" s="498"/>
      <c r="NYX3" s="498"/>
      <c r="NYY3" s="498"/>
      <c r="NYZ3" s="466"/>
      <c r="NZA3" s="466"/>
      <c r="NZB3" s="497"/>
      <c r="NZC3" s="496"/>
      <c r="NZD3" s="498"/>
      <c r="NZE3" s="498"/>
      <c r="NZF3" s="498"/>
      <c r="NZG3" s="466"/>
      <c r="NZH3" s="466"/>
      <c r="NZI3" s="497"/>
      <c r="NZJ3" s="496"/>
      <c r="NZK3" s="498"/>
      <c r="NZL3" s="498"/>
      <c r="NZM3" s="498"/>
      <c r="NZN3" s="466"/>
      <c r="NZO3" s="466"/>
      <c r="NZP3" s="497"/>
      <c r="NZQ3" s="496"/>
      <c r="NZR3" s="498"/>
      <c r="NZS3" s="498"/>
      <c r="NZT3" s="498"/>
      <c r="NZU3" s="466"/>
      <c r="NZV3" s="466"/>
      <c r="NZW3" s="497"/>
      <c r="NZX3" s="496"/>
      <c r="NZY3" s="498"/>
      <c r="NZZ3" s="498"/>
      <c r="OAA3" s="498"/>
      <c r="OAB3" s="466"/>
      <c r="OAC3" s="466"/>
      <c r="OAD3" s="497"/>
      <c r="OAE3" s="496"/>
      <c r="OAF3" s="498"/>
      <c r="OAG3" s="498"/>
      <c r="OAH3" s="498"/>
      <c r="OAI3" s="466"/>
      <c r="OAJ3" s="466"/>
      <c r="OAK3" s="497"/>
      <c r="OAL3" s="496"/>
      <c r="OAM3" s="498"/>
      <c r="OAN3" s="498"/>
      <c r="OAO3" s="498"/>
      <c r="OAP3" s="466"/>
      <c r="OAQ3" s="466"/>
      <c r="OAR3" s="497"/>
      <c r="OAS3" s="496"/>
      <c r="OAT3" s="498"/>
      <c r="OAU3" s="498"/>
      <c r="OAV3" s="498"/>
      <c r="OAW3" s="466"/>
      <c r="OAX3" s="466"/>
      <c r="OAY3" s="497"/>
      <c r="OAZ3" s="496"/>
      <c r="OBA3" s="498"/>
      <c r="OBB3" s="498"/>
      <c r="OBC3" s="498"/>
      <c r="OBD3" s="466"/>
      <c r="OBE3" s="466"/>
      <c r="OBF3" s="497"/>
      <c r="OBG3" s="496"/>
      <c r="OBH3" s="498"/>
      <c r="OBI3" s="498"/>
      <c r="OBJ3" s="498"/>
      <c r="OBK3" s="466"/>
      <c r="OBL3" s="466"/>
      <c r="OBM3" s="497"/>
      <c r="OBN3" s="496"/>
      <c r="OBO3" s="498"/>
      <c r="OBP3" s="498"/>
      <c r="OBQ3" s="498"/>
      <c r="OBR3" s="466"/>
      <c r="OBS3" s="466"/>
      <c r="OBT3" s="497"/>
      <c r="OBU3" s="496"/>
      <c r="OBV3" s="498"/>
      <c r="OBW3" s="498"/>
      <c r="OBX3" s="498"/>
      <c r="OBY3" s="466"/>
      <c r="OBZ3" s="466"/>
      <c r="OCA3" s="497"/>
      <c r="OCB3" s="496"/>
      <c r="OCC3" s="498"/>
      <c r="OCD3" s="498"/>
      <c r="OCE3" s="498"/>
      <c r="OCF3" s="466"/>
      <c r="OCG3" s="466"/>
      <c r="OCH3" s="497"/>
      <c r="OCI3" s="496"/>
      <c r="OCJ3" s="498"/>
      <c r="OCK3" s="498"/>
      <c r="OCL3" s="498"/>
      <c r="OCM3" s="466"/>
      <c r="OCN3" s="466"/>
      <c r="OCO3" s="497"/>
      <c r="OCP3" s="496"/>
      <c r="OCQ3" s="498"/>
      <c r="OCR3" s="498"/>
      <c r="OCS3" s="498"/>
      <c r="OCT3" s="466"/>
      <c r="OCU3" s="466"/>
      <c r="OCV3" s="497"/>
      <c r="OCW3" s="496"/>
      <c r="OCX3" s="498"/>
      <c r="OCY3" s="498"/>
      <c r="OCZ3" s="498"/>
      <c r="ODA3" s="466"/>
      <c r="ODB3" s="466"/>
      <c r="ODC3" s="497"/>
      <c r="ODD3" s="496"/>
      <c r="ODE3" s="498"/>
      <c r="ODF3" s="498"/>
      <c r="ODG3" s="498"/>
      <c r="ODH3" s="466"/>
      <c r="ODI3" s="466"/>
      <c r="ODJ3" s="497"/>
      <c r="ODK3" s="496"/>
      <c r="ODL3" s="498"/>
      <c r="ODM3" s="498"/>
      <c r="ODN3" s="498"/>
      <c r="ODO3" s="466"/>
      <c r="ODP3" s="466"/>
      <c r="ODQ3" s="497"/>
      <c r="ODR3" s="496"/>
      <c r="ODS3" s="498"/>
      <c r="ODT3" s="498"/>
      <c r="ODU3" s="498"/>
      <c r="ODV3" s="466"/>
      <c r="ODW3" s="466"/>
      <c r="ODX3" s="497"/>
      <c r="ODY3" s="496"/>
      <c r="ODZ3" s="498"/>
      <c r="OEA3" s="498"/>
      <c r="OEB3" s="498"/>
      <c r="OEC3" s="466"/>
      <c r="OED3" s="466"/>
      <c r="OEE3" s="497"/>
      <c r="OEF3" s="496"/>
      <c r="OEG3" s="498"/>
      <c r="OEH3" s="498"/>
      <c r="OEI3" s="498"/>
      <c r="OEJ3" s="466"/>
      <c r="OEK3" s="466"/>
      <c r="OEL3" s="497"/>
      <c r="OEM3" s="496"/>
      <c r="OEN3" s="498"/>
      <c r="OEO3" s="498"/>
      <c r="OEP3" s="498"/>
      <c r="OEQ3" s="466"/>
      <c r="OER3" s="466"/>
      <c r="OES3" s="497"/>
      <c r="OET3" s="496"/>
      <c r="OEU3" s="498"/>
      <c r="OEV3" s="498"/>
      <c r="OEW3" s="498"/>
      <c r="OEX3" s="466"/>
      <c r="OEY3" s="466"/>
      <c r="OEZ3" s="497"/>
      <c r="OFA3" s="496"/>
      <c r="OFB3" s="498"/>
      <c r="OFC3" s="498"/>
      <c r="OFD3" s="498"/>
      <c r="OFE3" s="466"/>
      <c r="OFF3" s="466"/>
      <c r="OFG3" s="497"/>
      <c r="OFH3" s="496"/>
      <c r="OFI3" s="498"/>
      <c r="OFJ3" s="498"/>
      <c r="OFK3" s="498"/>
      <c r="OFL3" s="466"/>
      <c r="OFM3" s="466"/>
      <c r="OFN3" s="497"/>
      <c r="OFO3" s="496"/>
      <c r="OFP3" s="498"/>
      <c r="OFQ3" s="498"/>
      <c r="OFR3" s="498"/>
      <c r="OFS3" s="466"/>
      <c r="OFT3" s="466"/>
      <c r="OFU3" s="497"/>
      <c r="OFV3" s="496"/>
      <c r="OFW3" s="498"/>
      <c r="OFX3" s="498"/>
      <c r="OFY3" s="498"/>
      <c r="OFZ3" s="466"/>
      <c r="OGA3" s="466"/>
      <c r="OGB3" s="497"/>
      <c r="OGC3" s="496"/>
      <c r="OGD3" s="498"/>
      <c r="OGE3" s="498"/>
      <c r="OGF3" s="498"/>
      <c r="OGG3" s="466"/>
      <c r="OGH3" s="466"/>
      <c r="OGI3" s="497"/>
      <c r="OGJ3" s="496"/>
      <c r="OGK3" s="498"/>
      <c r="OGL3" s="498"/>
      <c r="OGM3" s="498"/>
      <c r="OGN3" s="466"/>
      <c r="OGO3" s="466"/>
      <c r="OGP3" s="497"/>
      <c r="OGQ3" s="496"/>
      <c r="OGR3" s="498"/>
      <c r="OGS3" s="498"/>
      <c r="OGT3" s="498"/>
      <c r="OGU3" s="466"/>
      <c r="OGV3" s="466"/>
      <c r="OGW3" s="497"/>
      <c r="OGX3" s="496"/>
      <c r="OGY3" s="498"/>
      <c r="OGZ3" s="498"/>
      <c r="OHA3" s="498"/>
      <c r="OHB3" s="466"/>
      <c r="OHC3" s="466"/>
      <c r="OHD3" s="497"/>
      <c r="OHE3" s="496"/>
      <c r="OHF3" s="498"/>
      <c r="OHG3" s="498"/>
      <c r="OHH3" s="498"/>
      <c r="OHI3" s="466"/>
      <c r="OHJ3" s="466"/>
      <c r="OHK3" s="497"/>
      <c r="OHL3" s="496"/>
      <c r="OHM3" s="498"/>
      <c r="OHN3" s="498"/>
      <c r="OHO3" s="498"/>
      <c r="OHP3" s="466"/>
      <c r="OHQ3" s="466"/>
      <c r="OHR3" s="497"/>
      <c r="OHS3" s="496"/>
      <c r="OHT3" s="498"/>
      <c r="OHU3" s="498"/>
      <c r="OHV3" s="498"/>
      <c r="OHW3" s="466"/>
      <c r="OHX3" s="466"/>
      <c r="OHY3" s="497"/>
      <c r="OHZ3" s="496"/>
      <c r="OIA3" s="498"/>
      <c r="OIB3" s="498"/>
      <c r="OIC3" s="498"/>
      <c r="OID3" s="466"/>
      <c r="OIE3" s="466"/>
      <c r="OIF3" s="497"/>
      <c r="OIG3" s="496"/>
      <c r="OIH3" s="498"/>
      <c r="OII3" s="498"/>
      <c r="OIJ3" s="498"/>
      <c r="OIK3" s="466"/>
      <c r="OIL3" s="466"/>
      <c r="OIM3" s="497"/>
      <c r="OIN3" s="496"/>
      <c r="OIO3" s="498"/>
      <c r="OIP3" s="498"/>
      <c r="OIQ3" s="498"/>
      <c r="OIR3" s="466"/>
      <c r="OIS3" s="466"/>
      <c r="OIT3" s="497"/>
      <c r="OIU3" s="496"/>
      <c r="OIV3" s="498"/>
      <c r="OIW3" s="498"/>
      <c r="OIX3" s="498"/>
      <c r="OIY3" s="466"/>
      <c r="OIZ3" s="466"/>
      <c r="OJA3" s="497"/>
      <c r="OJB3" s="496"/>
      <c r="OJC3" s="498"/>
      <c r="OJD3" s="498"/>
      <c r="OJE3" s="498"/>
      <c r="OJF3" s="466"/>
      <c r="OJG3" s="466"/>
      <c r="OJH3" s="497"/>
      <c r="OJI3" s="496"/>
      <c r="OJJ3" s="498"/>
      <c r="OJK3" s="498"/>
      <c r="OJL3" s="498"/>
      <c r="OJM3" s="466"/>
      <c r="OJN3" s="466"/>
      <c r="OJO3" s="497"/>
      <c r="OJP3" s="496"/>
      <c r="OJQ3" s="498"/>
      <c r="OJR3" s="498"/>
      <c r="OJS3" s="498"/>
      <c r="OJT3" s="466"/>
      <c r="OJU3" s="466"/>
      <c r="OJV3" s="497"/>
      <c r="OJW3" s="496"/>
      <c r="OJX3" s="498"/>
      <c r="OJY3" s="498"/>
      <c r="OJZ3" s="498"/>
      <c r="OKA3" s="466"/>
      <c r="OKB3" s="466"/>
      <c r="OKC3" s="497"/>
      <c r="OKD3" s="496"/>
      <c r="OKE3" s="498"/>
      <c r="OKF3" s="498"/>
      <c r="OKG3" s="498"/>
      <c r="OKH3" s="466"/>
      <c r="OKI3" s="466"/>
      <c r="OKJ3" s="497"/>
      <c r="OKK3" s="496"/>
      <c r="OKL3" s="498"/>
      <c r="OKM3" s="498"/>
      <c r="OKN3" s="498"/>
      <c r="OKO3" s="466"/>
      <c r="OKP3" s="466"/>
      <c r="OKQ3" s="497"/>
      <c r="OKR3" s="496"/>
      <c r="OKS3" s="498"/>
      <c r="OKT3" s="498"/>
      <c r="OKU3" s="498"/>
      <c r="OKV3" s="466"/>
      <c r="OKW3" s="466"/>
      <c r="OKX3" s="497"/>
      <c r="OKY3" s="496"/>
      <c r="OKZ3" s="498"/>
      <c r="OLA3" s="498"/>
      <c r="OLB3" s="498"/>
      <c r="OLC3" s="466"/>
      <c r="OLD3" s="466"/>
      <c r="OLE3" s="497"/>
      <c r="OLF3" s="496"/>
      <c r="OLG3" s="498"/>
      <c r="OLH3" s="498"/>
      <c r="OLI3" s="498"/>
      <c r="OLJ3" s="466"/>
      <c r="OLK3" s="466"/>
      <c r="OLL3" s="497"/>
      <c r="OLM3" s="496"/>
      <c r="OLN3" s="498"/>
      <c r="OLO3" s="498"/>
      <c r="OLP3" s="498"/>
      <c r="OLQ3" s="466"/>
      <c r="OLR3" s="466"/>
      <c r="OLS3" s="497"/>
      <c r="OLT3" s="496"/>
      <c r="OLU3" s="498"/>
      <c r="OLV3" s="498"/>
      <c r="OLW3" s="498"/>
      <c r="OLX3" s="466"/>
      <c r="OLY3" s="466"/>
      <c r="OLZ3" s="497"/>
      <c r="OMA3" s="496"/>
      <c r="OMB3" s="498"/>
      <c r="OMC3" s="498"/>
      <c r="OMD3" s="498"/>
      <c r="OME3" s="466"/>
      <c r="OMF3" s="466"/>
      <c r="OMG3" s="497"/>
      <c r="OMH3" s="496"/>
      <c r="OMI3" s="498"/>
      <c r="OMJ3" s="498"/>
      <c r="OMK3" s="498"/>
      <c r="OML3" s="466"/>
      <c r="OMM3" s="466"/>
      <c r="OMN3" s="497"/>
      <c r="OMO3" s="496"/>
      <c r="OMP3" s="498"/>
      <c r="OMQ3" s="498"/>
      <c r="OMR3" s="498"/>
      <c r="OMS3" s="466"/>
      <c r="OMT3" s="466"/>
      <c r="OMU3" s="497"/>
      <c r="OMV3" s="496"/>
      <c r="OMW3" s="498"/>
      <c r="OMX3" s="498"/>
      <c r="OMY3" s="498"/>
      <c r="OMZ3" s="466"/>
      <c r="ONA3" s="466"/>
      <c r="ONB3" s="497"/>
      <c r="ONC3" s="496"/>
      <c r="OND3" s="498"/>
      <c r="ONE3" s="498"/>
      <c r="ONF3" s="498"/>
      <c r="ONG3" s="466"/>
      <c r="ONH3" s="466"/>
      <c r="ONI3" s="497"/>
      <c r="ONJ3" s="496"/>
      <c r="ONK3" s="498"/>
      <c r="ONL3" s="498"/>
      <c r="ONM3" s="498"/>
      <c r="ONN3" s="466"/>
      <c r="ONO3" s="466"/>
      <c r="ONP3" s="497"/>
      <c r="ONQ3" s="496"/>
      <c r="ONR3" s="498"/>
      <c r="ONS3" s="498"/>
      <c r="ONT3" s="498"/>
      <c r="ONU3" s="466"/>
      <c r="ONV3" s="466"/>
      <c r="ONW3" s="497"/>
      <c r="ONX3" s="496"/>
      <c r="ONY3" s="498"/>
      <c r="ONZ3" s="498"/>
      <c r="OOA3" s="498"/>
      <c r="OOB3" s="466"/>
      <c r="OOC3" s="466"/>
      <c r="OOD3" s="497"/>
      <c r="OOE3" s="496"/>
      <c r="OOF3" s="498"/>
      <c r="OOG3" s="498"/>
      <c r="OOH3" s="498"/>
      <c r="OOI3" s="466"/>
      <c r="OOJ3" s="466"/>
      <c r="OOK3" s="497"/>
      <c r="OOL3" s="496"/>
      <c r="OOM3" s="498"/>
      <c r="OON3" s="498"/>
      <c r="OOO3" s="498"/>
      <c r="OOP3" s="466"/>
      <c r="OOQ3" s="466"/>
      <c r="OOR3" s="497"/>
      <c r="OOS3" s="496"/>
      <c r="OOT3" s="498"/>
      <c r="OOU3" s="498"/>
      <c r="OOV3" s="498"/>
      <c r="OOW3" s="466"/>
      <c r="OOX3" s="466"/>
      <c r="OOY3" s="497"/>
      <c r="OOZ3" s="496"/>
      <c r="OPA3" s="498"/>
      <c r="OPB3" s="498"/>
      <c r="OPC3" s="498"/>
      <c r="OPD3" s="466"/>
      <c r="OPE3" s="466"/>
      <c r="OPF3" s="497"/>
      <c r="OPG3" s="496"/>
      <c r="OPH3" s="498"/>
      <c r="OPI3" s="498"/>
      <c r="OPJ3" s="498"/>
      <c r="OPK3" s="466"/>
      <c r="OPL3" s="466"/>
      <c r="OPM3" s="497"/>
      <c r="OPN3" s="496"/>
      <c r="OPO3" s="498"/>
      <c r="OPP3" s="498"/>
      <c r="OPQ3" s="498"/>
      <c r="OPR3" s="466"/>
      <c r="OPS3" s="466"/>
      <c r="OPT3" s="497"/>
      <c r="OPU3" s="496"/>
      <c r="OPV3" s="498"/>
      <c r="OPW3" s="498"/>
      <c r="OPX3" s="498"/>
      <c r="OPY3" s="466"/>
      <c r="OPZ3" s="466"/>
      <c r="OQA3" s="497"/>
      <c r="OQB3" s="496"/>
      <c r="OQC3" s="498"/>
      <c r="OQD3" s="498"/>
      <c r="OQE3" s="498"/>
      <c r="OQF3" s="466"/>
      <c r="OQG3" s="466"/>
      <c r="OQH3" s="497"/>
      <c r="OQI3" s="496"/>
      <c r="OQJ3" s="498"/>
      <c r="OQK3" s="498"/>
      <c r="OQL3" s="498"/>
      <c r="OQM3" s="466"/>
      <c r="OQN3" s="466"/>
      <c r="OQO3" s="497"/>
      <c r="OQP3" s="496"/>
      <c r="OQQ3" s="498"/>
      <c r="OQR3" s="498"/>
      <c r="OQS3" s="498"/>
      <c r="OQT3" s="466"/>
      <c r="OQU3" s="466"/>
      <c r="OQV3" s="497"/>
      <c r="OQW3" s="496"/>
      <c r="OQX3" s="498"/>
      <c r="OQY3" s="498"/>
      <c r="OQZ3" s="498"/>
      <c r="ORA3" s="466"/>
      <c r="ORB3" s="466"/>
      <c r="ORC3" s="497"/>
      <c r="ORD3" s="496"/>
      <c r="ORE3" s="498"/>
      <c r="ORF3" s="498"/>
      <c r="ORG3" s="498"/>
      <c r="ORH3" s="466"/>
      <c r="ORI3" s="466"/>
      <c r="ORJ3" s="497"/>
      <c r="ORK3" s="496"/>
      <c r="ORL3" s="498"/>
      <c r="ORM3" s="498"/>
      <c r="ORN3" s="498"/>
      <c r="ORO3" s="466"/>
      <c r="ORP3" s="466"/>
      <c r="ORQ3" s="497"/>
      <c r="ORR3" s="496"/>
      <c r="ORS3" s="498"/>
      <c r="ORT3" s="498"/>
      <c r="ORU3" s="498"/>
      <c r="ORV3" s="466"/>
      <c r="ORW3" s="466"/>
      <c r="ORX3" s="497"/>
      <c r="ORY3" s="496"/>
      <c r="ORZ3" s="498"/>
      <c r="OSA3" s="498"/>
      <c r="OSB3" s="498"/>
      <c r="OSC3" s="466"/>
      <c r="OSD3" s="466"/>
      <c r="OSE3" s="497"/>
      <c r="OSF3" s="496"/>
      <c r="OSG3" s="498"/>
      <c r="OSH3" s="498"/>
      <c r="OSI3" s="498"/>
      <c r="OSJ3" s="466"/>
      <c r="OSK3" s="466"/>
      <c r="OSL3" s="497"/>
      <c r="OSM3" s="496"/>
      <c r="OSN3" s="498"/>
      <c r="OSO3" s="498"/>
      <c r="OSP3" s="498"/>
      <c r="OSQ3" s="466"/>
      <c r="OSR3" s="466"/>
      <c r="OSS3" s="497"/>
      <c r="OST3" s="496"/>
      <c r="OSU3" s="498"/>
      <c r="OSV3" s="498"/>
      <c r="OSW3" s="498"/>
      <c r="OSX3" s="466"/>
      <c r="OSY3" s="466"/>
      <c r="OSZ3" s="497"/>
      <c r="OTA3" s="496"/>
      <c r="OTB3" s="498"/>
      <c r="OTC3" s="498"/>
      <c r="OTD3" s="498"/>
      <c r="OTE3" s="466"/>
      <c r="OTF3" s="466"/>
      <c r="OTG3" s="497"/>
      <c r="OTH3" s="496"/>
      <c r="OTI3" s="498"/>
      <c r="OTJ3" s="498"/>
      <c r="OTK3" s="498"/>
      <c r="OTL3" s="466"/>
      <c r="OTM3" s="466"/>
      <c r="OTN3" s="497"/>
      <c r="OTO3" s="496"/>
      <c r="OTP3" s="498"/>
      <c r="OTQ3" s="498"/>
      <c r="OTR3" s="498"/>
      <c r="OTS3" s="466"/>
      <c r="OTT3" s="466"/>
      <c r="OTU3" s="497"/>
      <c r="OTV3" s="496"/>
      <c r="OTW3" s="498"/>
      <c r="OTX3" s="498"/>
      <c r="OTY3" s="498"/>
      <c r="OTZ3" s="466"/>
      <c r="OUA3" s="466"/>
      <c r="OUB3" s="497"/>
      <c r="OUC3" s="496"/>
      <c r="OUD3" s="498"/>
      <c r="OUE3" s="498"/>
      <c r="OUF3" s="498"/>
      <c r="OUG3" s="466"/>
      <c r="OUH3" s="466"/>
      <c r="OUI3" s="497"/>
      <c r="OUJ3" s="496"/>
      <c r="OUK3" s="498"/>
      <c r="OUL3" s="498"/>
      <c r="OUM3" s="498"/>
      <c r="OUN3" s="466"/>
      <c r="OUO3" s="466"/>
      <c r="OUP3" s="497"/>
      <c r="OUQ3" s="496"/>
      <c r="OUR3" s="498"/>
      <c r="OUS3" s="498"/>
      <c r="OUT3" s="498"/>
      <c r="OUU3" s="466"/>
      <c r="OUV3" s="466"/>
      <c r="OUW3" s="497"/>
      <c r="OUX3" s="496"/>
      <c r="OUY3" s="498"/>
      <c r="OUZ3" s="498"/>
      <c r="OVA3" s="498"/>
      <c r="OVB3" s="466"/>
      <c r="OVC3" s="466"/>
      <c r="OVD3" s="497"/>
      <c r="OVE3" s="496"/>
      <c r="OVF3" s="498"/>
      <c r="OVG3" s="498"/>
      <c r="OVH3" s="498"/>
      <c r="OVI3" s="466"/>
      <c r="OVJ3" s="466"/>
      <c r="OVK3" s="497"/>
      <c r="OVL3" s="496"/>
      <c r="OVM3" s="498"/>
      <c r="OVN3" s="498"/>
      <c r="OVO3" s="498"/>
      <c r="OVP3" s="466"/>
      <c r="OVQ3" s="466"/>
      <c r="OVR3" s="497"/>
      <c r="OVS3" s="496"/>
      <c r="OVT3" s="498"/>
      <c r="OVU3" s="498"/>
      <c r="OVV3" s="498"/>
      <c r="OVW3" s="466"/>
      <c r="OVX3" s="466"/>
      <c r="OVY3" s="497"/>
      <c r="OVZ3" s="496"/>
      <c r="OWA3" s="498"/>
      <c r="OWB3" s="498"/>
      <c r="OWC3" s="498"/>
      <c r="OWD3" s="466"/>
      <c r="OWE3" s="466"/>
      <c r="OWF3" s="497"/>
      <c r="OWG3" s="496"/>
      <c r="OWH3" s="498"/>
      <c r="OWI3" s="498"/>
      <c r="OWJ3" s="498"/>
      <c r="OWK3" s="466"/>
      <c r="OWL3" s="466"/>
      <c r="OWM3" s="497"/>
      <c r="OWN3" s="496"/>
      <c r="OWO3" s="498"/>
      <c r="OWP3" s="498"/>
      <c r="OWQ3" s="498"/>
      <c r="OWR3" s="466"/>
      <c r="OWS3" s="466"/>
      <c r="OWT3" s="497"/>
      <c r="OWU3" s="496"/>
      <c r="OWV3" s="498"/>
      <c r="OWW3" s="498"/>
      <c r="OWX3" s="498"/>
      <c r="OWY3" s="466"/>
      <c r="OWZ3" s="466"/>
      <c r="OXA3" s="497"/>
      <c r="OXB3" s="496"/>
      <c r="OXC3" s="498"/>
      <c r="OXD3" s="498"/>
      <c r="OXE3" s="498"/>
      <c r="OXF3" s="466"/>
      <c r="OXG3" s="466"/>
      <c r="OXH3" s="497"/>
      <c r="OXI3" s="496"/>
      <c r="OXJ3" s="498"/>
      <c r="OXK3" s="498"/>
      <c r="OXL3" s="498"/>
      <c r="OXM3" s="466"/>
      <c r="OXN3" s="466"/>
      <c r="OXO3" s="497"/>
      <c r="OXP3" s="496"/>
      <c r="OXQ3" s="498"/>
      <c r="OXR3" s="498"/>
      <c r="OXS3" s="498"/>
      <c r="OXT3" s="466"/>
      <c r="OXU3" s="466"/>
      <c r="OXV3" s="497"/>
      <c r="OXW3" s="496"/>
      <c r="OXX3" s="498"/>
      <c r="OXY3" s="498"/>
      <c r="OXZ3" s="498"/>
      <c r="OYA3" s="466"/>
      <c r="OYB3" s="466"/>
      <c r="OYC3" s="497"/>
      <c r="OYD3" s="496"/>
      <c r="OYE3" s="498"/>
      <c r="OYF3" s="498"/>
      <c r="OYG3" s="498"/>
      <c r="OYH3" s="466"/>
      <c r="OYI3" s="466"/>
      <c r="OYJ3" s="497"/>
      <c r="OYK3" s="496"/>
      <c r="OYL3" s="498"/>
      <c r="OYM3" s="498"/>
      <c r="OYN3" s="498"/>
      <c r="OYO3" s="466"/>
      <c r="OYP3" s="466"/>
      <c r="OYQ3" s="497"/>
      <c r="OYR3" s="496"/>
      <c r="OYS3" s="498"/>
      <c r="OYT3" s="498"/>
      <c r="OYU3" s="498"/>
      <c r="OYV3" s="466"/>
      <c r="OYW3" s="466"/>
      <c r="OYX3" s="497"/>
      <c r="OYY3" s="496"/>
      <c r="OYZ3" s="498"/>
      <c r="OZA3" s="498"/>
      <c r="OZB3" s="498"/>
      <c r="OZC3" s="466"/>
      <c r="OZD3" s="466"/>
      <c r="OZE3" s="497"/>
      <c r="OZF3" s="496"/>
      <c r="OZG3" s="498"/>
      <c r="OZH3" s="498"/>
      <c r="OZI3" s="498"/>
      <c r="OZJ3" s="466"/>
      <c r="OZK3" s="466"/>
      <c r="OZL3" s="497"/>
      <c r="OZM3" s="496"/>
      <c r="OZN3" s="498"/>
      <c r="OZO3" s="498"/>
      <c r="OZP3" s="498"/>
      <c r="OZQ3" s="466"/>
      <c r="OZR3" s="466"/>
      <c r="OZS3" s="497"/>
      <c r="OZT3" s="496"/>
      <c r="OZU3" s="498"/>
      <c r="OZV3" s="498"/>
      <c r="OZW3" s="498"/>
      <c r="OZX3" s="466"/>
      <c r="OZY3" s="466"/>
      <c r="OZZ3" s="497"/>
      <c r="PAA3" s="496"/>
      <c r="PAB3" s="498"/>
      <c r="PAC3" s="498"/>
      <c r="PAD3" s="498"/>
      <c r="PAE3" s="466"/>
      <c r="PAF3" s="466"/>
      <c r="PAG3" s="497"/>
      <c r="PAH3" s="496"/>
      <c r="PAI3" s="498"/>
      <c r="PAJ3" s="498"/>
      <c r="PAK3" s="498"/>
      <c r="PAL3" s="466"/>
      <c r="PAM3" s="466"/>
      <c r="PAN3" s="497"/>
      <c r="PAO3" s="496"/>
      <c r="PAP3" s="498"/>
      <c r="PAQ3" s="498"/>
      <c r="PAR3" s="498"/>
      <c r="PAS3" s="466"/>
      <c r="PAT3" s="466"/>
      <c r="PAU3" s="497"/>
      <c r="PAV3" s="496"/>
      <c r="PAW3" s="498"/>
      <c r="PAX3" s="498"/>
      <c r="PAY3" s="498"/>
      <c r="PAZ3" s="466"/>
      <c r="PBA3" s="466"/>
      <c r="PBB3" s="497"/>
      <c r="PBC3" s="496"/>
      <c r="PBD3" s="498"/>
      <c r="PBE3" s="498"/>
      <c r="PBF3" s="498"/>
      <c r="PBG3" s="466"/>
      <c r="PBH3" s="466"/>
      <c r="PBI3" s="497"/>
      <c r="PBJ3" s="496"/>
      <c r="PBK3" s="498"/>
      <c r="PBL3" s="498"/>
      <c r="PBM3" s="498"/>
      <c r="PBN3" s="466"/>
      <c r="PBO3" s="466"/>
      <c r="PBP3" s="497"/>
      <c r="PBQ3" s="496"/>
      <c r="PBR3" s="498"/>
      <c r="PBS3" s="498"/>
      <c r="PBT3" s="498"/>
      <c r="PBU3" s="466"/>
      <c r="PBV3" s="466"/>
      <c r="PBW3" s="497"/>
      <c r="PBX3" s="496"/>
      <c r="PBY3" s="498"/>
      <c r="PBZ3" s="498"/>
      <c r="PCA3" s="498"/>
      <c r="PCB3" s="466"/>
      <c r="PCC3" s="466"/>
      <c r="PCD3" s="497"/>
      <c r="PCE3" s="496"/>
      <c r="PCF3" s="498"/>
      <c r="PCG3" s="498"/>
      <c r="PCH3" s="498"/>
      <c r="PCI3" s="466"/>
      <c r="PCJ3" s="466"/>
      <c r="PCK3" s="497"/>
      <c r="PCL3" s="496"/>
      <c r="PCM3" s="498"/>
      <c r="PCN3" s="498"/>
      <c r="PCO3" s="498"/>
      <c r="PCP3" s="466"/>
      <c r="PCQ3" s="466"/>
      <c r="PCR3" s="497"/>
      <c r="PCS3" s="496"/>
      <c r="PCT3" s="498"/>
      <c r="PCU3" s="498"/>
      <c r="PCV3" s="498"/>
      <c r="PCW3" s="466"/>
      <c r="PCX3" s="466"/>
      <c r="PCY3" s="497"/>
      <c r="PCZ3" s="496"/>
      <c r="PDA3" s="498"/>
      <c r="PDB3" s="498"/>
      <c r="PDC3" s="498"/>
      <c r="PDD3" s="466"/>
      <c r="PDE3" s="466"/>
      <c r="PDF3" s="497"/>
      <c r="PDG3" s="496"/>
      <c r="PDH3" s="498"/>
      <c r="PDI3" s="498"/>
      <c r="PDJ3" s="498"/>
      <c r="PDK3" s="466"/>
      <c r="PDL3" s="466"/>
      <c r="PDM3" s="497"/>
      <c r="PDN3" s="496"/>
      <c r="PDO3" s="498"/>
      <c r="PDP3" s="498"/>
      <c r="PDQ3" s="498"/>
      <c r="PDR3" s="466"/>
      <c r="PDS3" s="466"/>
      <c r="PDT3" s="497"/>
      <c r="PDU3" s="496"/>
      <c r="PDV3" s="498"/>
      <c r="PDW3" s="498"/>
      <c r="PDX3" s="498"/>
      <c r="PDY3" s="466"/>
      <c r="PDZ3" s="466"/>
      <c r="PEA3" s="497"/>
      <c r="PEB3" s="496"/>
      <c r="PEC3" s="498"/>
      <c r="PED3" s="498"/>
      <c r="PEE3" s="498"/>
      <c r="PEF3" s="466"/>
      <c r="PEG3" s="466"/>
      <c r="PEH3" s="497"/>
      <c r="PEI3" s="496"/>
      <c r="PEJ3" s="498"/>
      <c r="PEK3" s="498"/>
      <c r="PEL3" s="498"/>
      <c r="PEM3" s="466"/>
      <c r="PEN3" s="466"/>
      <c r="PEO3" s="497"/>
      <c r="PEP3" s="496"/>
      <c r="PEQ3" s="498"/>
      <c r="PER3" s="498"/>
      <c r="PES3" s="498"/>
      <c r="PET3" s="466"/>
      <c r="PEU3" s="466"/>
      <c r="PEV3" s="497"/>
      <c r="PEW3" s="496"/>
      <c r="PEX3" s="498"/>
      <c r="PEY3" s="498"/>
      <c r="PEZ3" s="498"/>
      <c r="PFA3" s="466"/>
      <c r="PFB3" s="466"/>
      <c r="PFC3" s="497"/>
      <c r="PFD3" s="496"/>
      <c r="PFE3" s="498"/>
      <c r="PFF3" s="498"/>
      <c r="PFG3" s="498"/>
      <c r="PFH3" s="466"/>
      <c r="PFI3" s="466"/>
      <c r="PFJ3" s="497"/>
      <c r="PFK3" s="496"/>
      <c r="PFL3" s="498"/>
      <c r="PFM3" s="498"/>
      <c r="PFN3" s="498"/>
      <c r="PFO3" s="466"/>
      <c r="PFP3" s="466"/>
      <c r="PFQ3" s="497"/>
      <c r="PFR3" s="496"/>
      <c r="PFS3" s="498"/>
      <c r="PFT3" s="498"/>
      <c r="PFU3" s="498"/>
      <c r="PFV3" s="466"/>
      <c r="PFW3" s="466"/>
      <c r="PFX3" s="497"/>
      <c r="PFY3" s="496"/>
      <c r="PFZ3" s="498"/>
      <c r="PGA3" s="498"/>
      <c r="PGB3" s="498"/>
      <c r="PGC3" s="466"/>
      <c r="PGD3" s="466"/>
      <c r="PGE3" s="497"/>
      <c r="PGF3" s="496"/>
      <c r="PGG3" s="498"/>
      <c r="PGH3" s="498"/>
      <c r="PGI3" s="498"/>
      <c r="PGJ3" s="466"/>
      <c r="PGK3" s="466"/>
      <c r="PGL3" s="497"/>
      <c r="PGM3" s="496"/>
      <c r="PGN3" s="498"/>
      <c r="PGO3" s="498"/>
      <c r="PGP3" s="498"/>
      <c r="PGQ3" s="466"/>
      <c r="PGR3" s="466"/>
      <c r="PGS3" s="497"/>
      <c r="PGT3" s="496"/>
      <c r="PGU3" s="498"/>
      <c r="PGV3" s="498"/>
      <c r="PGW3" s="498"/>
      <c r="PGX3" s="466"/>
      <c r="PGY3" s="466"/>
      <c r="PGZ3" s="497"/>
      <c r="PHA3" s="496"/>
      <c r="PHB3" s="498"/>
      <c r="PHC3" s="498"/>
      <c r="PHD3" s="498"/>
      <c r="PHE3" s="466"/>
      <c r="PHF3" s="466"/>
      <c r="PHG3" s="497"/>
      <c r="PHH3" s="496"/>
      <c r="PHI3" s="498"/>
      <c r="PHJ3" s="498"/>
      <c r="PHK3" s="498"/>
      <c r="PHL3" s="466"/>
      <c r="PHM3" s="466"/>
      <c r="PHN3" s="497"/>
      <c r="PHO3" s="496"/>
      <c r="PHP3" s="498"/>
      <c r="PHQ3" s="498"/>
      <c r="PHR3" s="498"/>
      <c r="PHS3" s="466"/>
      <c r="PHT3" s="466"/>
      <c r="PHU3" s="497"/>
      <c r="PHV3" s="496"/>
      <c r="PHW3" s="498"/>
      <c r="PHX3" s="498"/>
      <c r="PHY3" s="498"/>
      <c r="PHZ3" s="466"/>
      <c r="PIA3" s="466"/>
      <c r="PIB3" s="497"/>
      <c r="PIC3" s="496"/>
      <c r="PID3" s="498"/>
      <c r="PIE3" s="498"/>
      <c r="PIF3" s="498"/>
      <c r="PIG3" s="466"/>
      <c r="PIH3" s="466"/>
      <c r="PII3" s="497"/>
      <c r="PIJ3" s="496"/>
      <c r="PIK3" s="498"/>
      <c r="PIL3" s="498"/>
      <c r="PIM3" s="498"/>
      <c r="PIN3" s="466"/>
      <c r="PIO3" s="466"/>
      <c r="PIP3" s="497"/>
      <c r="PIQ3" s="496"/>
      <c r="PIR3" s="498"/>
      <c r="PIS3" s="498"/>
      <c r="PIT3" s="498"/>
      <c r="PIU3" s="466"/>
      <c r="PIV3" s="466"/>
      <c r="PIW3" s="497"/>
      <c r="PIX3" s="496"/>
      <c r="PIY3" s="498"/>
      <c r="PIZ3" s="498"/>
      <c r="PJA3" s="498"/>
      <c r="PJB3" s="466"/>
      <c r="PJC3" s="466"/>
      <c r="PJD3" s="497"/>
      <c r="PJE3" s="496"/>
      <c r="PJF3" s="498"/>
      <c r="PJG3" s="498"/>
      <c r="PJH3" s="498"/>
      <c r="PJI3" s="466"/>
      <c r="PJJ3" s="466"/>
      <c r="PJK3" s="497"/>
      <c r="PJL3" s="496"/>
      <c r="PJM3" s="498"/>
      <c r="PJN3" s="498"/>
      <c r="PJO3" s="498"/>
      <c r="PJP3" s="466"/>
      <c r="PJQ3" s="466"/>
      <c r="PJR3" s="497"/>
      <c r="PJS3" s="496"/>
      <c r="PJT3" s="498"/>
      <c r="PJU3" s="498"/>
      <c r="PJV3" s="498"/>
      <c r="PJW3" s="466"/>
      <c r="PJX3" s="466"/>
      <c r="PJY3" s="497"/>
      <c r="PJZ3" s="496"/>
      <c r="PKA3" s="498"/>
      <c r="PKB3" s="498"/>
      <c r="PKC3" s="498"/>
      <c r="PKD3" s="466"/>
      <c r="PKE3" s="466"/>
      <c r="PKF3" s="497"/>
      <c r="PKG3" s="496"/>
      <c r="PKH3" s="498"/>
      <c r="PKI3" s="498"/>
      <c r="PKJ3" s="498"/>
      <c r="PKK3" s="466"/>
      <c r="PKL3" s="466"/>
      <c r="PKM3" s="497"/>
      <c r="PKN3" s="496"/>
      <c r="PKO3" s="498"/>
      <c r="PKP3" s="498"/>
      <c r="PKQ3" s="498"/>
      <c r="PKR3" s="466"/>
      <c r="PKS3" s="466"/>
      <c r="PKT3" s="497"/>
      <c r="PKU3" s="496"/>
      <c r="PKV3" s="498"/>
      <c r="PKW3" s="498"/>
      <c r="PKX3" s="498"/>
      <c r="PKY3" s="466"/>
      <c r="PKZ3" s="466"/>
      <c r="PLA3" s="497"/>
      <c r="PLB3" s="496"/>
      <c r="PLC3" s="498"/>
      <c r="PLD3" s="498"/>
      <c r="PLE3" s="498"/>
      <c r="PLF3" s="466"/>
      <c r="PLG3" s="466"/>
      <c r="PLH3" s="497"/>
      <c r="PLI3" s="496"/>
      <c r="PLJ3" s="498"/>
      <c r="PLK3" s="498"/>
      <c r="PLL3" s="498"/>
      <c r="PLM3" s="466"/>
      <c r="PLN3" s="466"/>
      <c r="PLO3" s="497"/>
      <c r="PLP3" s="496"/>
      <c r="PLQ3" s="498"/>
      <c r="PLR3" s="498"/>
      <c r="PLS3" s="498"/>
      <c r="PLT3" s="466"/>
      <c r="PLU3" s="466"/>
      <c r="PLV3" s="497"/>
      <c r="PLW3" s="496"/>
      <c r="PLX3" s="498"/>
      <c r="PLY3" s="498"/>
      <c r="PLZ3" s="498"/>
      <c r="PMA3" s="466"/>
      <c r="PMB3" s="466"/>
      <c r="PMC3" s="497"/>
      <c r="PMD3" s="496"/>
      <c r="PME3" s="498"/>
      <c r="PMF3" s="498"/>
      <c r="PMG3" s="498"/>
      <c r="PMH3" s="466"/>
      <c r="PMI3" s="466"/>
      <c r="PMJ3" s="497"/>
      <c r="PMK3" s="496"/>
      <c r="PML3" s="498"/>
      <c r="PMM3" s="498"/>
      <c r="PMN3" s="498"/>
      <c r="PMO3" s="466"/>
      <c r="PMP3" s="466"/>
      <c r="PMQ3" s="497"/>
      <c r="PMR3" s="496"/>
      <c r="PMS3" s="498"/>
      <c r="PMT3" s="498"/>
      <c r="PMU3" s="498"/>
      <c r="PMV3" s="466"/>
      <c r="PMW3" s="466"/>
      <c r="PMX3" s="497"/>
      <c r="PMY3" s="496"/>
      <c r="PMZ3" s="498"/>
      <c r="PNA3" s="498"/>
      <c r="PNB3" s="498"/>
      <c r="PNC3" s="466"/>
      <c r="PND3" s="466"/>
      <c r="PNE3" s="497"/>
      <c r="PNF3" s="496"/>
      <c r="PNG3" s="498"/>
      <c r="PNH3" s="498"/>
      <c r="PNI3" s="498"/>
      <c r="PNJ3" s="466"/>
      <c r="PNK3" s="466"/>
      <c r="PNL3" s="497"/>
      <c r="PNM3" s="496"/>
      <c r="PNN3" s="498"/>
      <c r="PNO3" s="498"/>
      <c r="PNP3" s="498"/>
      <c r="PNQ3" s="466"/>
      <c r="PNR3" s="466"/>
      <c r="PNS3" s="497"/>
      <c r="PNT3" s="496"/>
      <c r="PNU3" s="498"/>
      <c r="PNV3" s="498"/>
      <c r="PNW3" s="498"/>
      <c r="PNX3" s="466"/>
      <c r="PNY3" s="466"/>
      <c r="PNZ3" s="497"/>
      <c r="POA3" s="496"/>
      <c r="POB3" s="498"/>
      <c r="POC3" s="498"/>
      <c r="POD3" s="498"/>
      <c r="POE3" s="466"/>
      <c r="POF3" s="466"/>
      <c r="POG3" s="497"/>
      <c r="POH3" s="496"/>
      <c r="POI3" s="498"/>
      <c r="POJ3" s="498"/>
      <c r="POK3" s="498"/>
      <c r="POL3" s="466"/>
      <c r="POM3" s="466"/>
      <c r="PON3" s="497"/>
      <c r="POO3" s="496"/>
      <c r="POP3" s="498"/>
      <c r="POQ3" s="498"/>
      <c r="POR3" s="498"/>
      <c r="POS3" s="466"/>
      <c r="POT3" s="466"/>
      <c r="POU3" s="497"/>
      <c r="POV3" s="496"/>
      <c r="POW3" s="498"/>
      <c r="POX3" s="498"/>
      <c r="POY3" s="498"/>
      <c r="POZ3" s="466"/>
      <c r="PPA3" s="466"/>
      <c r="PPB3" s="497"/>
      <c r="PPC3" s="496"/>
      <c r="PPD3" s="498"/>
      <c r="PPE3" s="498"/>
      <c r="PPF3" s="498"/>
      <c r="PPG3" s="466"/>
      <c r="PPH3" s="466"/>
      <c r="PPI3" s="497"/>
      <c r="PPJ3" s="496"/>
      <c r="PPK3" s="498"/>
      <c r="PPL3" s="498"/>
      <c r="PPM3" s="498"/>
      <c r="PPN3" s="466"/>
      <c r="PPO3" s="466"/>
      <c r="PPP3" s="497"/>
      <c r="PPQ3" s="496"/>
      <c r="PPR3" s="498"/>
      <c r="PPS3" s="498"/>
      <c r="PPT3" s="498"/>
      <c r="PPU3" s="466"/>
      <c r="PPV3" s="466"/>
      <c r="PPW3" s="497"/>
      <c r="PPX3" s="496"/>
      <c r="PPY3" s="498"/>
      <c r="PPZ3" s="498"/>
      <c r="PQA3" s="498"/>
      <c r="PQB3" s="466"/>
      <c r="PQC3" s="466"/>
      <c r="PQD3" s="497"/>
      <c r="PQE3" s="496"/>
      <c r="PQF3" s="498"/>
      <c r="PQG3" s="498"/>
      <c r="PQH3" s="498"/>
      <c r="PQI3" s="466"/>
      <c r="PQJ3" s="466"/>
      <c r="PQK3" s="497"/>
      <c r="PQL3" s="496"/>
      <c r="PQM3" s="498"/>
      <c r="PQN3" s="498"/>
      <c r="PQO3" s="498"/>
      <c r="PQP3" s="466"/>
      <c r="PQQ3" s="466"/>
      <c r="PQR3" s="497"/>
      <c r="PQS3" s="496"/>
      <c r="PQT3" s="498"/>
      <c r="PQU3" s="498"/>
      <c r="PQV3" s="498"/>
      <c r="PQW3" s="466"/>
      <c r="PQX3" s="466"/>
      <c r="PQY3" s="497"/>
      <c r="PQZ3" s="496"/>
      <c r="PRA3" s="498"/>
      <c r="PRB3" s="498"/>
      <c r="PRC3" s="498"/>
      <c r="PRD3" s="466"/>
      <c r="PRE3" s="466"/>
      <c r="PRF3" s="497"/>
      <c r="PRG3" s="496"/>
      <c r="PRH3" s="498"/>
      <c r="PRI3" s="498"/>
      <c r="PRJ3" s="498"/>
      <c r="PRK3" s="466"/>
      <c r="PRL3" s="466"/>
      <c r="PRM3" s="497"/>
      <c r="PRN3" s="496"/>
      <c r="PRO3" s="498"/>
      <c r="PRP3" s="498"/>
      <c r="PRQ3" s="498"/>
      <c r="PRR3" s="466"/>
      <c r="PRS3" s="466"/>
      <c r="PRT3" s="497"/>
      <c r="PRU3" s="496"/>
      <c r="PRV3" s="498"/>
      <c r="PRW3" s="498"/>
      <c r="PRX3" s="498"/>
      <c r="PRY3" s="466"/>
      <c r="PRZ3" s="466"/>
      <c r="PSA3" s="497"/>
      <c r="PSB3" s="496"/>
      <c r="PSC3" s="498"/>
      <c r="PSD3" s="498"/>
      <c r="PSE3" s="498"/>
      <c r="PSF3" s="466"/>
      <c r="PSG3" s="466"/>
      <c r="PSH3" s="497"/>
      <c r="PSI3" s="496"/>
      <c r="PSJ3" s="498"/>
      <c r="PSK3" s="498"/>
      <c r="PSL3" s="498"/>
      <c r="PSM3" s="466"/>
      <c r="PSN3" s="466"/>
      <c r="PSO3" s="497"/>
      <c r="PSP3" s="496"/>
      <c r="PSQ3" s="498"/>
      <c r="PSR3" s="498"/>
      <c r="PSS3" s="498"/>
      <c r="PST3" s="466"/>
      <c r="PSU3" s="466"/>
      <c r="PSV3" s="497"/>
      <c r="PSW3" s="496"/>
      <c r="PSX3" s="498"/>
      <c r="PSY3" s="498"/>
      <c r="PSZ3" s="498"/>
      <c r="PTA3" s="466"/>
      <c r="PTB3" s="466"/>
      <c r="PTC3" s="497"/>
      <c r="PTD3" s="496"/>
      <c r="PTE3" s="498"/>
      <c r="PTF3" s="498"/>
      <c r="PTG3" s="498"/>
      <c r="PTH3" s="466"/>
      <c r="PTI3" s="466"/>
      <c r="PTJ3" s="497"/>
      <c r="PTK3" s="496"/>
      <c r="PTL3" s="498"/>
      <c r="PTM3" s="498"/>
      <c r="PTN3" s="498"/>
      <c r="PTO3" s="466"/>
      <c r="PTP3" s="466"/>
      <c r="PTQ3" s="497"/>
      <c r="PTR3" s="496"/>
      <c r="PTS3" s="498"/>
      <c r="PTT3" s="498"/>
      <c r="PTU3" s="498"/>
      <c r="PTV3" s="466"/>
      <c r="PTW3" s="466"/>
      <c r="PTX3" s="497"/>
      <c r="PTY3" s="496"/>
      <c r="PTZ3" s="498"/>
      <c r="PUA3" s="498"/>
      <c r="PUB3" s="498"/>
      <c r="PUC3" s="466"/>
      <c r="PUD3" s="466"/>
      <c r="PUE3" s="497"/>
      <c r="PUF3" s="496"/>
      <c r="PUG3" s="498"/>
      <c r="PUH3" s="498"/>
      <c r="PUI3" s="498"/>
      <c r="PUJ3" s="466"/>
      <c r="PUK3" s="466"/>
      <c r="PUL3" s="497"/>
      <c r="PUM3" s="496"/>
      <c r="PUN3" s="498"/>
      <c r="PUO3" s="498"/>
      <c r="PUP3" s="498"/>
      <c r="PUQ3" s="466"/>
      <c r="PUR3" s="466"/>
      <c r="PUS3" s="497"/>
      <c r="PUT3" s="496"/>
      <c r="PUU3" s="498"/>
      <c r="PUV3" s="498"/>
      <c r="PUW3" s="498"/>
      <c r="PUX3" s="466"/>
      <c r="PUY3" s="466"/>
      <c r="PUZ3" s="497"/>
      <c r="PVA3" s="496"/>
      <c r="PVB3" s="498"/>
      <c r="PVC3" s="498"/>
      <c r="PVD3" s="498"/>
      <c r="PVE3" s="466"/>
      <c r="PVF3" s="466"/>
      <c r="PVG3" s="497"/>
      <c r="PVH3" s="496"/>
      <c r="PVI3" s="498"/>
      <c r="PVJ3" s="498"/>
      <c r="PVK3" s="498"/>
      <c r="PVL3" s="466"/>
      <c r="PVM3" s="466"/>
      <c r="PVN3" s="497"/>
      <c r="PVO3" s="496"/>
      <c r="PVP3" s="498"/>
      <c r="PVQ3" s="498"/>
      <c r="PVR3" s="498"/>
      <c r="PVS3" s="466"/>
      <c r="PVT3" s="466"/>
      <c r="PVU3" s="497"/>
      <c r="PVV3" s="496"/>
      <c r="PVW3" s="498"/>
      <c r="PVX3" s="498"/>
      <c r="PVY3" s="498"/>
      <c r="PVZ3" s="466"/>
      <c r="PWA3" s="466"/>
      <c r="PWB3" s="497"/>
      <c r="PWC3" s="496"/>
      <c r="PWD3" s="498"/>
      <c r="PWE3" s="498"/>
      <c r="PWF3" s="498"/>
      <c r="PWG3" s="466"/>
      <c r="PWH3" s="466"/>
      <c r="PWI3" s="497"/>
      <c r="PWJ3" s="496"/>
      <c r="PWK3" s="498"/>
      <c r="PWL3" s="498"/>
      <c r="PWM3" s="498"/>
      <c r="PWN3" s="466"/>
      <c r="PWO3" s="466"/>
      <c r="PWP3" s="497"/>
      <c r="PWQ3" s="496"/>
      <c r="PWR3" s="498"/>
      <c r="PWS3" s="498"/>
      <c r="PWT3" s="498"/>
      <c r="PWU3" s="466"/>
      <c r="PWV3" s="466"/>
      <c r="PWW3" s="497"/>
      <c r="PWX3" s="496"/>
      <c r="PWY3" s="498"/>
      <c r="PWZ3" s="498"/>
      <c r="PXA3" s="498"/>
      <c r="PXB3" s="466"/>
      <c r="PXC3" s="466"/>
      <c r="PXD3" s="497"/>
      <c r="PXE3" s="496"/>
      <c r="PXF3" s="498"/>
      <c r="PXG3" s="498"/>
      <c r="PXH3" s="498"/>
      <c r="PXI3" s="466"/>
      <c r="PXJ3" s="466"/>
      <c r="PXK3" s="497"/>
      <c r="PXL3" s="496"/>
      <c r="PXM3" s="498"/>
      <c r="PXN3" s="498"/>
      <c r="PXO3" s="498"/>
      <c r="PXP3" s="466"/>
      <c r="PXQ3" s="466"/>
      <c r="PXR3" s="497"/>
      <c r="PXS3" s="496"/>
      <c r="PXT3" s="498"/>
      <c r="PXU3" s="498"/>
      <c r="PXV3" s="498"/>
      <c r="PXW3" s="466"/>
      <c r="PXX3" s="466"/>
      <c r="PXY3" s="497"/>
      <c r="PXZ3" s="496"/>
      <c r="PYA3" s="498"/>
      <c r="PYB3" s="498"/>
      <c r="PYC3" s="498"/>
      <c r="PYD3" s="466"/>
      <c r="PYE3" s="466"/>
      <c r="PYF3" s="497"/>
      <c r="PYG3" s="496"/>
      <c r="PYH3" s="498"/>
      <c r="PYI3" s="498"/>
      <c r="PYJ3" s="498"/>
      <c r="PYK3" s="466"/>
      <c r="PYL3" s="466"/>
      <c r="PYM3" s="497"/>
      <c r="PYN3" s="496"/>
      <c r="PYO3" s="498"/>
      <c r="PYP3" s="498"/>
      <c r="PYQ3" s="498"/>
      <c r="PYR3" s="466"/>
      <c r="PYS3" s="466"/>
      <c r="PYT3" s="497"/>
      <c r="PYU3" s="496"/>
      <c r="PYV3" s="498"/>
      <c r="PYW3" s="498"/>
      <c r="PYX3" s="498"/>
      <c r="PYY3" s="466"/>
      <c r="PYZ3" s="466"/>
      <c r="PZA3" s="497"/>
      <c r="PZB3" s="496"/>
      <c r="PZC3" s="498"/>
      <c r="PZD3" s="498"/>
      <c r="PZE3" s="498"/>
      <c r="PZF3" s="466"/>
      <c r="PZG3" s="466"/>
      <c r="PZH3" s="497"/>
      <c r="PZI3" s="496"/>
      <c r="PZJ3" s="498"/>
      <c r="PZK3" s="498"/>
      <c r="PZL3" s="498"/>
      <c r="PZM3" s="466"/>
      <c r="PZN3" s="466"/>
      <c r="PZO3" s="497"/>
      <c r="PZP3" s="496"/>
      <c r="PZQ3" s="498"/>
      <c r="PZR3" s="498"/>
      <c r="PZS3" s="498"/>
      <c r="PZT3" s="466"/>
      <c r="PZU3" s="466"/>
      <c r="PZV3" s="497"/>
      <c r="PZW3" s="496"/>
      <c r="PZX3" s="498"/>
      <c r="PZY3" s="498"/>
      <c r="PZZ3" s="498"/>
      <c r="QAA3" s="466"/>
      <c r="QAB3" s="466"/>
      <c r="QAC3" s="497"/>
      <c r="QAD3" s="496"/>
      <c r="QAE3" s="498"/>
      <c r="QAF3" s="498"/>
      <c r="QAG3" s="498"/>
      <c r="QAH3" s="466"/>
      <c r="QAI3" s="466"/>
      <c r="QAJ3" s="497"/>
      <c r="QAK3" s="496"/>
      <c r="QAL3" s="498"/>
      <c r="QAM3" s="498"/>
      <c r="QAN3" s="498"/>
      <c r="QAO3" s="466"/>
      <c r="QAP3" s="466"/>
      <c r="QAQ3" s="497"/>
      <c r="QAR3" s="496"/>
      <c r="QAS3" s="498"/>
      <c r="QAT3" s="498"/>
      <c r="QAU3" s="498"/>
      <c r="QAV3" s="466"/>
      <c r="QAW3" s="466"/>
      <c r="QAX3" s="497"/>
      <c r="QAY3" s="496"/>
      <c r="QAZ3" s="498"/>
      <c r="QBA3" s="498"/>
      <c r="QBB3" s="498"/>
      <c r="QBC3" s="466"/>
      <c r="QBD3" s="466"/>
      <c r="QBE3" s="497"/>
      <c r="QBF3" s="496"/>
      <c r="QBG3" s="498"/>
      <c r="QBH3" s="498"/>
      <c r="QBI3" s="498"/>
      <c r="QBJ3" s="466"/>
      <c r="QBK3" s="466"/>
      <c r="QBL3" s="497"/>
      <c r="QBM3" s="496"/>
      <c r="QBN3" s="498"/>
      <c r="QBO3" s="498"/>
      <c r="QBP3" s="498"/>
      <c r="QBQ3" s="466"/>
      <c r="QBR3" s="466"/>
      <c r="QBS3" s="497"/>
      <c r="QBT3" s="496"/>
      <c r="QBU3" s="498"/>
      <c r="QBV3" s="498"/>
      <c r="QBW3" s="498"/>
      <c r="QBX3" s="466"/>
      <c r="QBY3" s="466"/>
      <c r="QBZ3" s="497"/>
      <c r="QCA3" s="496"/>
      <c r="QCB3" s="498"/>
      <c r="QCC3" s="498"/>
      <c r="QCD3" s="498"/>
      <c r="QCE3" s="466"/>
      <c r="QCF3" s="466"/>
      <c r="QCG3" s="497"/>
      <c r="QCH3" s="496"/>
      <c r="QCI3" s="498"/>
      <c r="QCJ3" s="498"/>
      <c r="QCK3" s="498"/>
      <c r="QCL3" s="466"/>
      <c r="QCM3" s="466"/>
      <c r="QCN3" s="497"/>
      <c r="QCO3" s="496"/>
      <c r="QCP3" s="498"/>
      <c r="QCQ3" s="498"/>
      <c r="QCR3" s="498"/>
      <c r="QCS3" s="466"/>
      <c r="QCT3" s="466"/>
      <c r="QCU3" s="497"/>
      <c r="QCV3" s="496"/>
      <c r="QCW3" s="498"/>
      <c r="QCX3" s="498"/>
      <c r="QCY3" s="498"/>
      <c r="QCZ3" s="466"/>
      <c r="QDA3" s="466"/>
      <c r="QDB3" s="497"/>
      <c r="QDC3" s="496"/>
      <c r="QDD3" s="498"/>
      <c r="QDE3" s="498"/>
      <c r="QDF3" s="498"/>
      <c r="QDG3" s="466"/>
      <c r="QDH3" s="466"/>
      <c r="QDI3" s="497"/>
      <c r="QDJ3" s="496"/>
      <c r="QDK3" s="498"/>
      <c r="QDL3" s="498"/>
      <c r="QDM3" s="498"/>
      <c r="QDN3" s="466"/>
      <c r="QDO3" s="466"/>
      <c r="QDP3" s="497"/>
      <c r="QDQ3" s="496"/>
      <c r="QDR3" s="498"/>
      <c r="QDS3" s="498"/>
      <c r="QDT3" s="498"/>
      <c r="QDU3" s="466"/>
      <c r="QDV3" s="466"/>
      <c r="QDW3" s="497"/>
      <c r="QDX3" s="496"/>
      <c r="QDY3" s="498"/>
      <c r="QDZ3" s="498"/>
      <c r="QEA3" s="498"/>
      <c r="QEB3" s="466"/>
      <c r="QEC3" s="466"/>
      <c r="QED3" s="497"/>
      <c r="QEE3" s="496"/>
      <c r="QEF3" s="498"/>
      <c r="QEG3" s="498"/>
      <c r="QEH3" s="498"/>
      <c r="QEI3" s="466"/>
      <c r="QEJ3" s="466"/>
      <c r="QEK3" s="497"/>
      <c r="QEL3" s="496"/>
      <c r="QEM3" s="498"/>
      <c r="QEN3" s="498"/>
      <c r="QEO3" s="498"/>
      <c r="QEP3" s="466"/>
      <c r="QEQ3" s="466"/>
      <c r="QER3" s="497"/>
      <c r="QES3" s="496"/>
      <c r="QET3" s="498"/>
      <c r="QEU3" s="498"/>
      <c r="QEV3" s="498"/>
      <c r="QEW3" s="466"/>
      <c r="QEX3" s="466"/>
      <c r="QEY3" s="497"/>
      <c r="QEZ3" s="496"/>
      <c r="QFA3" s="498"/>
      <c r="QFB3" s="498"/>
      <c r="QFC3" s="498"/>
      <c r="QFD3" s="466"/>
      <c r="QFE3" s="466"/>
      <c r="QFF3" s="497"/>
      <c r="QFG3" s="496"/>
      <c r="QFH3" s="498"/>
      <c r="QFI3" s="498"/>
      <c r="QFJ3" s="498"/>
      <c r="QFK3" s="466"/>
      <c r="QFL3" s="466"/>
      <c r="QFM3" s="497"/>
      <c r="QFN3" s="496"/>
      <c r="QFO3" s="498"/>
      <c r="QFP3" s="498"/>
      <c r="QFQ3" s="498"/>
      <c r="QFR3" s="466"/>
      <c r="QFS3" s="466"/>
      <c r="QFT3" s="497"/>
      <c r="QFU3" s="496"/>
      <c r="QFV3" s="498"/>
      <c r="QFW3" s="498"/>
      <c r="QFX3" s="498"/>
      <c r="QFY3" s="466"/>
      <c r="QFZ3" s="466"/>
      <c r="QGA3" s="497"/>
      <c r="QGB3" s="496"/>
      <c r="QGC3" s="498"/>
      <c r="QGD3" s="498"/>
      <c r="QGE3" s="498"/>
      <c r="QGF3" s="466"/>
      <c r="QGG3" s="466"/>
      <c r="QGH3" s="497"/>
      <c r="QGI3" s="496"/>
      <c r="QGJ3" s="498"/>
      <c r="QGK3" s="498"/>
      <c r="QGL3" s="498"/>
      <c r="QGM3" s="466"/>
      <c r="QGN3" s="466"/>
      <c r="QGO3" s="497"/>
      <c r="QGP3" s="496"/>
      <c r="QGQ3" s="498"/>
      <c r="QGR3" s="498"/>
      <c r="QGS3" s="498"/>
      <c r="QGT3" s="466"/>
      <c r="QGU3" s="466"/>
      <c r="QGV3" s="497"/>
      <c r="QGW3" s="496"/>
      <c r="QGX3" s="498"/>
      <c r="QGY3" s="498"/>
      <c r="QGZ3" s="498"/>
      <c r="QHA3" s="466"/>
      <c r="QHB3" s="466"/>
      <c r="QHC3" s="497"/>
      <c r="QHD3" s="496"/>
      <c r="QHE3" s="498"/>
      <c r="QHF3" s="498"/>
      <c r="QHG3" s="498"/>
      <c r="QHH3" s="466"/>
      <c r="QHI3" s="466"/>
      <c r="QHJ3" s="497"/>
      <c r="QHK3" s="496"/>
      <c r="QHL3" s="498"/>
      <c r="QHM3" s="498"/>
      <c r="QHN3" s="498"/>
      <c r="QHO3" s="466"/>
      <c r="QHP3" s="466"/>
      <c r="QHQ3" s="497"/>
      <c r="QHR3" s="496"/>
      <c r="QHS3" s="498"/>
      <c r="QHT3" s="498"/>
      <c r="QHU3" s="498"/>
      <c r="QHV3" s="466"/>
      <c r="QHW3" s="466"/>
      <c r="QHX3" s="497"/>
      <c r="QHY3" s="496"/>
      <c r="QHZ3" s="498"/>
      <c r="QIA3" s="498"/>
      <c r="QIB3" s="498"/>
      <c r="QIC3" s="466"/>
      <c r="QID3" s="466"/>
      <c r="QIE3" s="497"/>
      <c r="QIF3" s="496"/>
      <c r="QIG3" s="498"/>
      <c r="QIH3" s="498"/>
      <c r="QII3" s="498"/>
      <c r="QIJ3" s="466"/>
      <c r="QIK3" s="466"/>
      <c r="QIL3" s="497"/>
      <c r="QIM3" s="496"/>
      <c r="QIN3" s="498"/>
      <c r="QIO3" s="498"/>
      <c r="QIP3" s="498"/>
      <c r="QIQ3" s="466"/>
      <c r="QIR3" s="466"/>
      <c r="QIS3" s="497"/>
      <c r="QIT3" s="496"/>
      <c r="QIU3" s="498"/>
      <c r="QIV3" s="498"/>
      <c r="QIW3" s="498"/>
      <c r="QIX3" s="466"/>
      <c r="QIY3" s="466"/>
      <c r="QIZ3" s="497"/>
      <c r="QJA3" s="496"/>
      <c r="QJB3" s="498"/>
      <c r="QJC3" s="498"/>
      <c r="QJD3" s="498"/>
      <c r="QJE3" s="466"/>
      <c r="QJF3" s="466"/>
      <c r="QJG3" s="497"/>
      <c r="QJH3" s="496"/>
      <c r="QJI3" s="498"/>
      <c r="QJJ3" s="498"/>
      <c r="QJK3" s="498"/>
      <c r="QJL3" s="466"/>
      <c r="QJM3" s="466"/>
      <c r="QJN3" s="497"/>
      <c r="QJO3" s="496"/>
      <c r="QJP3" s="498"/>
      <c r="QJQ3" s="498"/>
      <c r="QJR3" s="498"/>
      <c r="QJS3" s="466"/>
      <c r="QJT3" s="466"/>
      <c r="QJU3" s="497"/>
      <c r="QJV3" s="496"/>
      <c r="QJW3" s="498"/>
      <c r="QJX3" s="498"/>
      <c r="QJY3" s="498"/>
      <c r="QJZ3" s="466"/>
      <c r="QKA3" s="466"/>
      <c r="QKB3" s="497"/>
      <c r="QKC3" s="496"/>
      <c r="QKD3" s="498"/>
      <c r="QKE3" s="498"/>
      <c r="QKF3" s="498"/>
      <c r="QKG3" s="466"/>
      <c r="QKH3" s="466"/>
      <c r="QKI3" s="497"/>
      <c r="QKJ3" s="496"/>
      <c r="QKK3" s="498"/>
      <c r="QKL3" s="498"/>
      <c r="QKM3" s="498"/>
      <c r="QKN3" s="466"/>
      <c r="QKO3" s="466"/>
      <c r="QKP3" s="497"/>
      <c r="QKQ3" s="496"/>
      <c r="QKR3" s="498"/>
      <c r="QKS3" s="498"/>
      <c r="QKT3" s="498"/>
      <c r="QKU3" s="466"/>
      <c r="QKV3" s="466"/>
      <c r="QKW3" s="497"/>
      <c r="QKX3" s="496"/>
      <c r="QKY3" s="498"/>
      <c r="QKZ3" s="498"/>
      <c r="QLA3" s="498"/>
      <c r="QLB3" s="466"/>
      <c r="QLC3" s="466"/>
      <c r="QLD3" s="497"/>
      <c r="QLE3" s="496"/>
      <c r="QLF3" s="498"/>
      <c r="QLG3" s="498"/>
      <c r="QLH3" s="498"/>
      <c r="QLI3" s="466"/>
      <c r="QLJ3" s="466"/>
      <c r="QLK3" s="497"/>
      <c r="QLL3" s="496"/>
      <c r="QLM3" s="498"/>
      <c r="QLN3" s="498"/>
      <c r="QLO3" s="498"/>
      <c r="QLP3" s="466"/>
      <c r="QLQ3" s="466"/>
      <c r="QLR3" s="497"/>
      <c r="QLS3" s="496"/>
      <c r="QLT3" s="498"/>
      <c r="QLU3" s="498"/>
      <c r="QLV3" s="498"/>
      <c r="QLW3" s="466"/>
      <c r="QLX3" s="466"/>
      <c r="QLY3" s="497"/>
      <c r="QLZ3" s="496"/>
      <c r="QMA3" s="498"/>
      <c r="QMB3" s="498"/>
      <c r="QMC3" s="498"/>
      <c r="QMD3" s="466"/>
      <c r="QME3" s="466"/>
      <c r="QMF3" s="497"/>
      <c r="QMG3" s="496"/>
      <c r="QMH3" s="498"/>
      <c r="QMI3" s="498"/>
      <c r="QMJ3" s="498"/>
      <c r="QMK3" s="466"/>
      <c r="QML3" s="466"/>
      <c r="QMM3" s="497"/>
      <c r="QMN3" s="496"/>
      <c r="QMO3" s="498"/>
      <c r="QMP3" s="498"/>
      <c r="QMQ3" s="498"/>
      <c r="QMR3" s="466"/>
      <c r="QMS3" s="466"/>
      <c r="QMT3" s="497"/>
      <c r="QMU3" s="496"/>
      <c r="QMV3" s="498"/>
      <c r="QMW3" s="498"/>
      <c r="QMX3" s="498"/>
      <c r="QMY3" s="466"/>
      <c r="QMZ3" s="466"/>
      <c r="QNA3" s="497"/>
      <c r="QNB3" s="496"/>
      <c r="QNC3" s="498"/>
      <c r="QND3" s="498"/>
      <c r="QNE3" s="498"/>
      <c r="QNF3" s="466"/>
      <c r="QNG3" s="466"/>
      <c r="QNH3" s="497"/>
      <c r="QNI3" s="496"/>
      <c r="QNJ3" s="498"/>
      <c r="QNK3" s="498"/>
      <c r="QNL3" s="498"/>
      <c r="QNM3" s="466"/>
      <c r="QNN3" s="466"/>
      <c r="QNO3" s="497"/>
      <c r="QNP3" s="496"/>
      <c r="QNQ3" s="498"/>
      <c r="QNR3" s="498"/>
      <c r="QNS3" s="498"/>
      <c r="QNT3" s="466"/>
      <c r="QNU3" s="466"/>
      <c r="QNV3" s="497"/>
      <c r="QNW3" s="496"/>
      <c r="QNX3" s="498"/>
      <c r="QNY3" s="498"/>
      <c r="QNZ3" s="498"/>
      <c r="QOA3" s="466"/>
      <c r="QOB3" s="466"/>
      <c r="QOC3" s="497"/>
      <c r="QOD3" s="496"/>
      <c r="QOE3" s="498"/>
      <c r="QOF3" s="498"/>
      <c r="QOG3" s="498"/>
      <c r="QOH3" s="466"/>
      <c r="QOI3" s="466"/>
      <c r="QOJ3" s="497"/>
      <c r="QOK3" s="496"/>
      <c r="QOL3" s="498"/>
      <c r="QOM3" s="498"/>
      <c r="QON3" s="498"/>
      <c r="QOO3" s="466"/>
      <c r="QOP3" s="466"/>
      <c r="QOQ3" s="497"/>
      <c r="QOR3" s="496"/>
      <c r="QOS3" s="498"/>
      <c r="QOT3" s="498"/>
      <c r="QOU3" s="498"/>
      <c r="QOV3" s="466"/>
      <c r="QOW3" s="466"/>
      <c r="QOX3" s="497"/>
      <c r="QOY3" s="496"/>
      <c r="QOZ3" s="498"/>
      <c r="QPA3" s="498"/>
      <c r="QPB3" s="498"/>
      <c r="QPC3" s="466"/>
      <c r="QPD3" s="466"/>
      <c r="QPE3" s="497"/>
      <c r="QPF3" s="496"/>
      <c r="QPG3" s="498"/>
      <c r="QPH3" s="498"/>
      <c r="QPI3" s="498"/>
      <c r="QPJ3" s="466"/>
      <c r="QPK3" s="466"/>
      <c r="QPL3" s="497"/>
      <c r="QPM3" s="496"/>
      <c r="QPN3" s="498"/>
      <c r="QPO3" s="498"/>
      <c r="QPP3" s="498"/>
      <c r="QPQ3" s="466"/>
      <c r="QPR3" s="466"/>
      <c r="QPS3" s="497"/>
      <c r="QPT3" s="496"/>
      <c r="QPU3" s="498"/>
      <c r="QPV3" s="498"/>
      <c r="QPW3" s="498"/>
      <c r="QPX3" s="466"/>
      <c r="QPY3" s="466"/>
      <c r="QPZ3" s="497"/>
      <c r="QQA3" s="496"/>
      <c r="QQB3" s="498"/>
      <c r="QQC3" s="498"/>
      <c r="QQD3" s="498"/>
      <c r="QQE3" s="466"/>
      <c r="QQF3" s="466"/>
      <c r="QQG3" s="497"/>
      <c r="QQH3" s="496"/>
      <c r="QQI3" s="498"/>
      <c r="QQJ3" s="498"/>
      <c r="QQK3" s="498"/>
      <c r="QQL3" s="466"/>
      <c r="QQM3" s="466"/>
      <c r="QQN3" s="497"/>
      <c r="QQO3" s="496"/>
      <c r="QQP3" s="498"/>
      <c r="QQQ3" s="498"/>
      <c r="QQR3" s="498"/>
      <c r="QQS3" s="466"/>
      <c r="QQT3" s="466"/>
      <c r="QQU3" s="497"/>
      <c r="QQV3" s="496"/>
      <c r="QQW3" s="498"/>
      <c r="QQX3" s="498"/>
      <c r="QQY3" s="498"/>
      <c r="QQZ3" s="466"/>
      <c r="QRA3" s="466"/>
      <c r="QRB3" s="497"/>
      <c r="QRC3" s="496"/>
      <c r="QRD3" s="498"/>
      <c r="QRE3" s="498"/>
      <c r="QRF3" s="498"/>
      <c r="QRG3" s="466"/>
      <c r="QRH3" s="466"/>
      <c r="QRI3" s="497"/>
      <c r="QRJ3" s="496"/>
      <c r="QRK3" s="498"/>
      <c r="QRL3" s="498"/>
      <c r="QRM3" s="498"/>
      <c r="QRN3" s="466"/>
      <c r="QRO3" s="466"/>
      <c r="QRP3" s="497"/>
      <c r="QRQ3" s="496"/>
      <c r="QRR3" s="498"/>
      <c r="QRS3" s="498"/>
      <c r="QRT3" s="498"/>
      <c r="QRU3" s="466"/>
      <c r="QRV3" s="466"/>
      <c r="QRW3" s="497"/>
      <c r="QRX3" s="496"/>
      <c r="QRY3" s="498"/>
      <c r="QRZ3" s="498"/>
      <c r="QSA3" s="498"/>
      <c r="QSB3" s="466"/>
      <c r="QSC3" s="466"/>
      <c r="QSD3" s="497"/>
      <c r="QSE3" s="496"/>
      <c r="QSF3" s="498"/>
      <c r="QSG3" s="498"/>
      <c r="QSH3" s="498"/>
      <c r="QSI3" s="466"/>
      <c r="QSJ3" s="466"/>
      <c r="QSK3" s="497"/>
      <c r="QSL3" s="496"/>
      <c r="QSM3" s="498"/>
      <c r="QSN3" s="498"/>
      <c r="QSO3" s="498"/>
      <c r="QSP3" s="466"/>
      <c r="QSQ3" s="466"/>
      <c r="QSR3" s="497"/>
      <c r="QSS3" s="496"/>
      <c r="QST3" s="498"/>
      <c r="QSU3" s="498"/>
      <c r="QSV3" s="498"/>
      <c r="QSW3" s="466"/>
      <c r="QSX3" s="466"/>
      <c r="QSY3" s="497"/>
      <c r="QSZ3" s="496"/>
      <c r="QTA3" s="498"/>
      <c r="QTB3" s="498"/>
      <c r="QTC3" s="498"/>
      <c r="QTD3" s="466"/>
      <c r="QTE3" s="466"/>
      <c r="QTF3" s="497"/>
      <c r="QTG3" s="496"/>
      <c r="QTH3" s="498"/>
      <c r="QTI3" s="498"/>
      <c r="QTJ3" s="498"/>
      <c r="QTK3" s="466"/>
      <c r="QTL3" s="466"/>
      <c r="QTM3" s="497"/>
      <c r="QTN3" s="496"/>
      <c r="QTO3" s="498"/>
      <c r="QTP3" s="498"/>
      <c r="QTQ3" s="498"/>
      <c r="QTR3" s="466"/>
      <c r="QTS3" s="466"/>
      <c r="QTT3" s="497"/>
      <c r="QTU3" s="496"/>
      <c r="QTV3" s="498"/>
      <c r="QTW3" s="498"/>
      <c r="QTX3" s="498"/>
      <c r="QTY3" s="466"/>
      <c r="QTZ3" s="466"/>
      <c r="QUA3" s="497"/>
      <c r="QUB3" s="496"/>
      <c r="QUC3" s="498"/>
      <c r="QUD3" s="498"/>
      <c r="QUE3" s="498"/>
      <c r="QUF3" s="466"/>
      <c r="QUG3" s="466"/>
      <c r="QUH3" s="497"/>
      <c r="QUI3" s="496"/>
      <c r="QUJ3" s="498"/>
      <c r="QUK3" s="498"/>
      <c r="QUL3" s="498"/>
      <c r="QUM3" s="466"/>
      <c r="QUN3" s="466"/>
      <c r="QUO3" s="497"/>
      <c r="QUP3" s="496"/>
      <c r="QUQ3" s="498"/>
      <c r="QUR3" s="498"/>
      <c r="QUS3" s="498"/>
      <c r="QUT3" s="466"/>
      <c r="QUU3" s="466"/>
      <c r="QUV3" s="497"/>
      <c r="QUW3" s="496"/>
      <c r="QUX3" s="498"/>
      <c r="QUY3" s="498"/>
      <c r="QUZ3" s="498"/>
      <c r="QVA3" s="466"/>
      <c r="QVB3" s="466"/>
      <c r="QVC3" s="497"/>
      <c r="QVD3" s="496"/>
      <c r="QVE3" s="498"/>
      <c r="QVF3" s="498"/>
      <c r="QVG3" s="498"/>
      <c r="QVH3" s="466"/>
      <c r="QVI3" s="466"/>
      <c r="QVJ3" s="497"/>
      <c r="QVK3" s="496"/>
      <c r="QVL3" s="498"/>
      <c r="QVM3" s="498"/>
      <c r="QVN3" s="498"/>
      <c r="QVO3" s="466"/>
      <c r="QVP3" s="466"/>
      <c r="QVQ3" s="497"/>
      <c r="QVR3" s="496"/>
      <c r="QVS3" s="498"/>
      <c r="QVT3" s="498"/>
      <c r="QVU3" s="498"/>
      <c r="QVV3" s="466"/>
      <c r="QVW3" s="466"/>
      <c r="QVX3" s="497"/>
      <c r="QVY3" s="496"/>
      <c r="QVZ3" s="498"/>
      <c r="QWA3" s="498"/>
      <c r="QWB3" s="498"/>
      <c r="QWC3" s="466"/>
      <c r="QWD3" s="466"/>
      <c r="QWE3" s="497"/>
      <c r="QWF3" s="496"/>
      <c r="QWG3" s="498"/>
      <c r="QWH3" s="498"/>
      <c r="QWI3" s="498"/>
      <c r="QWJ3" s="466"/>
      <c r="QWK3" s="466"/>
      <c r="QWL3" s="497"/>
      <c r="QWM3" s="496"/>
      <c r="QWN3" s="498"/>
      <c r="QWO3" s="498"/>
      <c r="QWP3" s="498"/>
      <c r="QWQ3" s="466"/>
      <c r="QWR3" s="466"/>
      <c r="QWS3" s="497"/>
      <c r="QWT3" s="496"/>
      <c r="QWU3" s="498"/>
      <c r="QWV3" s="498"/>
      <c r="QWW3" s="498"/>
      <c r="QWX3" s="466"/>
      <c r="QWY3" s="466"/>
      <c r="QWZ3" s="497"/>
      <c r="QXA3" s="496"/>
      <c r="QXB3" s="498"/>
      <c r="QXC3" s="498"/>
      <c r="QXD3" s="498"/>
      <c r="QXE3" s="466"/>
      <c r="QXF3" s="466"/>
      <c r="QXG3" s="497"/>
      <c r="QXH3" s="496"/>
      <c r="QXI3" s="498"/>
      <c r="QXJ3" s="498"/>
      <c r="QXK3" s="498"/>
      <c r="QXL3" s="466"/>
      <c r="QXM3" s="466"/>
      <c r="QXN3" s="497"/>
      <c r="QXO3" s="496"/>
      <c r="QXP3" s="498"/>
      <c r="QXQ3" s="498"/>
      <c r="QXR3" s="498"/>
      <c r="QXS3" s="466"/>
      <c r="QXT3" s="466"/>
      <c r="QXU3" s="497"/>
      <c r="QXV3" s="496"/>
      <c r="QXW3" s="498"/>
      <c r="QXX3" s="498"/>
      <c r="QXY3" s="498"/>
      <c r="QXZ3" s="466"/>
      <c r="QYA3" s="466"/>
      <c r="QYB3" s="497"/>
      <c r="QYC3" s="496"/>
      <c r="QYD3" s="498"/>
      <c r="QYE3" s="498"/>
      <c r="QYF3" s="498"/>
      <c r="QYG3" s="466"/>
      <c r="QYH3" s="466"/>
      <c r="QYI3" s="497"/>
      <c r="QYJ3" s="496"/>
      <c r="QYK3" s="498"/>
      <c r="QYL3" s="498"/>
      <c r="QYM3" s="498"/>
      <c r="QYN3" s="466"/>
      <c r="QYO3" s="466"/>
      <c r="QYP3" s="497"/>
      <c r="QYQ3" s="496"/>
      <c r="QYR3" s="498"/>
      <c r="QYS3" s="498"/>
      <c r="QYT3" s="498"/>
      <c r="QYU3" s="466"/>
      <c r="QYV3" s="466"/>
      <c r="QYW3" s="497"/>
      <c r="QYX3" s="496"/>
      <c r="QYY3" s="498"/>
      <c r="QYZ3" s="498"/>
      <c r="QZA3" s="498"/>
      <c r="QZB3" s="466"/>
      <c r="QZC3" s="466"/>
      <c r="QZD3" s="497"/>
      <c r="QZE3" s="496"/>
      <c r="QZF3" s="498"/>
      <c r="QZG3" s="498"/>
      <c r="QZH3" s="498"/>
      <c r="QZI3" s="466"/>
      <c r="QZJ3" s="466"/>
      <c r="QZK3" s="497"/>
      <c r="QZL3" s="496"/>
      <c r="QZM3" s="498"/>
      <c r="QZN3" s="498"/>
      <c r="QZO3" s="498"/>
      <c r="QZP3" s="466"/>
      <c r="QZQ3" s="466"/>
      <c r="QZR3" s="497"/>
      <c r="QZS3" s="496"/>
      <c r="QZT3" s="498"/>
      <c r="QZU3" s="498"/>
      <c r="QZV3" s="498"/>
      <c r="QZW3" s="466"/>
      <c r="QZX3" s="466"/>
      <c r="QZY3" s="497"/>
      <c r="QZZ3" s="496"/>
      <c r="RAA3" s="498"/>
      <c r="RAB3" s="498"/>
      <c r="RAC3" s="498"/>
      <c r="RAD3" s="466"/>
      <c r="RAE3" s="466"/>
      <c r="RAF3" s="497"/>
      <c r="RAG3" s="496"/>
      <c r="RAH3" s="498"/>
      <c r="RAI3" s="498"/>
      <c r="RAJ3" s="498"/>
      <c r="RAK3" s="466"/>
      <c r="RAL3" s="466"/>
      <c r="RAM3" s="497"/>
      <c r="RAN3" s="496"/>
      <c r="RAO3" s="498"/>
      <c r="RAP3" s="498"/>
      <c r="RAQ3" s="498"/>
      <c r="RAR3" s="466"/>
      <c r="RAS3" s="466"/>
      <c r="RAT3" s="497"/>
      <c r="RAU3" s="496"/>
      <c r="RAV3" s="498"/>
      <c r="RAW3" s="498"/>
      <c r="RAX3" s="498"/>
      <c r="RAY3" s="466"/>
      <c r="RAZ3" s="466"/>
      <c r="RBA3" s="497"/>
      <c r="RBB3" s="496"/>
      <c r="RBC3" s="498"/>
      <c r="RBD3" s="498"/>
      <c r="RBE3" s="498"/>
      <c r="RBF3" s="466"/>
      <c r="RBG3" s="466"/>
      <c r="RBH3" s="497"/>
      <c r="RBI3" s="496"/>
      <c r="RBJ3" s="498"/>
      <c r="RBK3" s="498"/>
      <c r="RBL3" s="498"/>
      <c r="RBM3" s="466"/>
      <c r="RBN3" s="466"/>
      <c r="RBO3" s="497"/>
      <c r="RBP3" s="496"/>
      <c r="RBQ3" s="498"/>
      <c r="RBR3" s="498"/>
      <c r="RBS3" s="498"/>
      <c r="RBT3" s="466"/>
      <c r="RBU3" s="466"/>
      <c r="RBV3" s="497"/>
      <c r="RBW3" s="496"/>
      <c r="RBX3" s="498"/>
      <c r="RBY3" s="498"/>
      <c r="RBZ3" s="498"/>
      <c r="RCA3" s="466"/>
      <c r="RCB3" s="466"/>
      <c r="RCC3" s="497"/>
      <c r="RCD3" s="496"/>
      <c r="RCE3" s="498"/>
      <c r="RCF3" s="498"/>
      <c r="RCG3" s="498"/>
      <c r="RCH3" s="466"/>
      <c r="RCI3" s="466"/>
      <c r="RCJ3" s="497"/>
      <c r="RCK3" s="496"/>
      <c r="RCL3" s="498"/>
      <c r="RCM3" s="498"/>
      <c r="RCN3" s="498"/>
      <c r="RCO3" s="466"/>
      <c r="RCP3" s="466"/>
      <c r="RCQ3" s="497"/>
      <c r="RCR3" s="496"/>
      <c r="RCS3" s="498"/>
      <c r="RCT3" s="498"/>
      <c r="RCU3" s="498"/>
      <c r="RCV3" s="466"/>
      <c r="RCW3" s="466"/>
      <c r="RCX3" s="497"/>
      <c r="RCY3" s="496"/>
      <c r="RCZ3" s="498"/>
      <c r="RDA3" s="498"/>
      <c r="RDB3" s="498"/>
      <c r="RDC3" s="466"/>
      <c r="RDD3" s="466"/>
      <c r="RDE3" s="497"/>
      <c r="RDF3" s="496"/>
      <c r="RDG3" s="498"/>
      <c r="RDH3" s="498"/>
      <c r="RDI3" s="498"/>
      <c r="RDJ3" s="466"/>
      <c r="RDK3" s="466"/>
      <c r="RDL3" s="497"/>
      <c r="RDM3" s="496"/>
      <c r="RDN3" s="498"/>
      <c r="RDO3" s="498"/>
      <c r="RDP3" s="498"/>
      <c r="RDQ3" s="466"/>
      <c r="RDR3" s="466"/>
      <c r="RDS3" s="497"/>
      <c r="RDT3" s="496"/>
      <c r="RDU3" s="498"/>
      <c r="RDV3" s="498"/>
      <c r="RDW3" s="498"/>
      <c r="RDX3" s="466"/>
      <c r="RDY3" s="466"/>
      <c r="RDZ3" s="497"/>
      <c r="REA3" s="496"/>
      <c r="REB3" s="498"/>
      <c r="REC3" s="498"/>
      <c r="RED3" s="498"/>
      <c r="REE3" s="466"/>
      <c r="REF3" s="466"/>
      <c r="REG3" s="497"/>
      <c r="REH3" s="496"/>
      <c r="REI3" s="498"/>
      <c r="REJ3" s="498"/>
      <c r="REK3" s="498"/>
      <c r="REL3" s="466"/>
      <c r="REM3" s="466"/>
      <c r="REN3" s="497"/>
      <c r="REO3" s="496"/>
      <c r="REP3" s="498"/>
      <c r="REQ3" s="498"/>
      <c r="RER3" s="498"/>
      <c r="RES3" s="466"/>
      <c r="RET3" s="466"/>
      <c r="REU3" s="497"/>
      <c r="REV3" s="496"/>
      <c r="REW3" s="498"/>
      <c r="REX3" s="498"/>
      <c r="REY3" s="498"/>
      <c r="REZ3" s="466"/>
      <c r="RFA3" s="466"/>
      <c r="RFB3" s="497"/>
      <c r="RFC3" s="496"/>
      <c r="RFD3" s="498"/>
      <c r="RFE3" s="498"/>
      <c r="RFF3" s="498"/>
      <c r="RFG3" s="466"/>
      <c r="RFH3" s="466"/>
      <c r="RFI3" s="497"/>
      <c r="RFJ3" s="496"/>
      <c r="RFK3" s="498"/>
      <c r="RFL3" s="498"/>
      <c r="RFM3" s="498"/>
      <c r="RFN3" s="466"/>
      <c r="RFO3" s="466"/>
      <c r="RFP3" s="497"/>
      <c r="RFQ3" s="496"/>
      <c r="RFR3" s="498"/>
      <c r="RFS3" s="498"/>
      <c r="RFT3" s="498"/>
      <c r="RFU3" s="466"/>
      <c r="RFV3" s="466"/>
      <c r="RFW3" s="497"/>
      <c r="RFX3" s="496"/>
      <c r="RFY3" s="498"/>
      <c r="RFZ3" s="498"/>
      <c r="RGA3" s="498"/>
      <c r="RGB3" s="466"/>
      <c r="RGC3" s="466"/>
      <c r="RGD3" s="497"/>
      <c r="RGE3" s="496"/>
      <c r="RGF3" s="498"/>
      <c r="RGG3" s="498"/>
      <c r="RGH3" s="498"/>
      <c r="RGI3" s="466"/>
      <c r="RGJ3" s="466"/>
      <c r="RGK3" s="497"/>
      <c r="RGL3" s="496"/>
      <c r="RGM3" s="498"/>
      <c r="RGN3" s="498"/>
      <c r="RGO3" s="498"/>
      <c r="RGP3" s="466"/>
      <c r="RGQ3" s="466"/>
      <c r="RGR3" s="497"/>
      <c r="RGS3" s="496"/>
      <c r="RGT3" s="498"/>
      <c r="RGU3" s="498"/>
      <c r="RGV3" s="498"/>
      <c r="RGW3" s="466"/>
      <c r="RGX3" s="466"/>
      <c r="RGY3" s="497"/>
      <c r="RGZ3" s="496"/>
      <c r="RHA3" s="498"/>
      <c r="RHB3" s="498"/>
      <c r="RHC3" s="498"/>
      <c r="RHD3" s="466"/>
      <c r="RHE3" s="466"/>
      <c r="RHF3" s="497"/>
      <c r="RHG3" s="496"/>
      <c r="RHH3" s="498"/>
      <c r="RHI3" s="498"/>
      <c r="RHJ3" s="498"/>
      <c r="RHK3" s="466"/>
      <c r="RHL3" s="466"/>
      <c r="RHM3" s="497"/>
      <c r="RHN3" s="496"/>
      <c r="RHO3" s="498"/>
      <c r="RHP3" s="498"/>
      <c r="RHQ3" s="498"/>
      <c r="RHR3" s="466"/>
      <c r="RHS3" s="466"/>
      <c r="RHT3" s="497"/>
      <c r="RHU3" s="496"/>
      <c r="RHV3" s="498"/>
      <c r="RHW3" s="498"/>
      <c r="RHX3" s="498"/>
      <c r="RHY3" s="466"/>
      <c r="RHZ3" s="466"/>
      <c r="RIA3" s="497"/>
      <c r="RIB3" s="496"/>
      <c r="RIC3" s="498"/>
      <c r="RID3" s="498"/>
      <c r="RIE3" s="498"/>
      <c r="RIF3" s="466"/>
      <c r="RIG3" s="466"/>
      <c r="RIH3" s="497"/>
      <c r="RII3" s="496"/>
      <c r="RIJ3" s="498"/>
      <c r="RIK3" s="498"/>
      <c r="RIL3" s="498"/>
      <c r="RIM3" s="466"/>
      <c r="RIN3" s="466"/>
      <c r="RIO3" s="497"/>
      <c r="RIP3" s="496"/>
      <c r="RIQ3" s="498"/>
      <c r="RIR3" s="498"/>
      <c r="RIS3" s="498"/>
      <c r="RIT3" s="466"/>
      <c r="RIU3" s="466"/>
      <c r="RIV3" s="497"/>
      <c r="RIW3" s="496"/>
      <c r="RIX3" s="498"/>
      <c r="RIY3" s="498"/>
      <c r="RIZ3" s="498"/>
      <c r="RJA3" s="466"/>
      <c r="RJB3" s="466"/>
      <c r="RJC3" s="497"/>
      <c r="RJD3" s="496"/>
      <c r="RJE3" s="498"/>
      <c r="RJF3" s="498"/>
      <c r="RJG3" s="498"/>
      <c r="RJH3" s="466"/>
      <c r="RJI3" s="466"/>
      <c r="RJJ3" s="497"/>
      <c r="RJK3" s="496"/>
      <c r="RJL3" s="498"/>
      <c r="RJM3" s="498"/>
      <c r="RJN3" s="498"/>
      <c r="RJO3" s="466"/>
      <c r="RJP3" s="466"/>
      <c r="RJQ3" s="497"/>
      <c r="RJR3" s="496"/>
      <c r="RJS3" s="498"/>
      <c r="RJT3" s="498"/>
      <c r="RJU3" s="498"/>
      <c r="RJV3" s="466"/>
      <c r="RJW3" s="466"/>
      <c r="RJX3" s="497"/>
      <c r="RJY3" s="496"/>
      <c r="RJZ3" s="498"/>
      <c r="RKA3" s="498"/>
      <c r="RKB3" s="498"/>
      <c r="RKC3" s="466"/>
      <c r="RKD3" s="466"/>
      <c r="RKE3" s="497"/>
      <c r="RKF3" s="496"/>
      <c r="RKG3" s="498"/>
      <c r="RKH3" s="498"/>
      <c r="RKI3" s="498"/>
      <c r="RKJ3" s="466"/>
      <c r="RKK3" s="466"/>
      <c r="RKL3" s="497"/>
      <c r="RKM3" s="496"/>
      <c r="RKN3" s="498"/>
      <c r="RKO3" s="498"/>
      <c r="RKP3" s="498"/>
      <c r="RKQ3" s="466"/>
      <c r="RKR3" s="466"/>
      <c r="RKS3" s="497"/>
      <c r="RKT3" s="496"/>
      <c r="RKU3" s="498"/>
      <c r="RKV3" s="498"/>
      <c r="RKW3" s="498"/>
      <c r="RKX3" s="466"/>
      <c r="RKY3" s="466"/>
      <c r="RKZ3" s="497"/>
      <c r="RLA3" s="496"/>
      <c r="RLB3" s="498"/>
      <c r="RLC3" s="498"/>
      <c r="RLD3" s="498"/>
      <c r="RLE3" s="466"/>
      <c r="RLF3" s="466"/>
      <c r="RLG3" s="497"/>
      <c r="RLH3" s="496"/>
      <c r="RLI3" s="498"/>
      <c r="RLJ3" s="498"/>
      <c r="RLK3" s="498"/>
      <c r="RLL3" s="466"/>
      <c r="RLM3" s="466"/>
      <c r="RLN3" s="497"/>
      <c r="RLO3" s="496"/>
      <c r="RLP3" s="498"/>
      <c r="RLQ3" s="498"/>
      <c r="RLR3" s="498"/>
      <c r="RLS3" s="466"/>
      <c r="RLT3" s="466"/>
      <c r="RLU3" s="497"/>
      <c r="RLV3" s="496"/>
      <c r="RLW3" s="498"/>
      <c r="RLX3" s="498"/>
      <c r="RLY3" s="498"/>
      <c r="RLZ3" s="466"/>
      <c r="RMA3" s="466"/>
      <c r="RMB3" s="497"/>
      <c r="RMC3" s="496"/>
      <c r="RMD3" s="498"/>
      <c r="RME3" s="498"/>
      <c r="RMF3" s="498"/>
      <c r="RMG3" s="466"/>
      <c r="RMH3" s="466"/>
      <c r="RMI3" s="497"/>
      <c r="RMJ3" s="496"/>
      <c r="RMK3" s="498"/>
      <c r="RML3" s="498"/>
      <c r="RMM3" s="498"/>
      <c r="RMN3" s="466"/>
      <c r="RMO3" s="466"/>
      <c r="RMP3" s="497"/>
      <c r="RMQ3" s="496"/>
      <c r="RMR3" s="498"/>
      <c r="RMS3" s="498"/>
      <c r="RMT3" s="498"/>
      <c r="RMU3" s="466"/>
      <c r="RMV3" s="466"/>
      <c r="RMW3" s="497"/>
      <c r="RMX3" s="496"/>
      <c r="RMY3" s="498"/>
      <c r="RMZ3" s="498"/>
      <c r="RNA3" s="498"/>
      <c r="RNB3" s="466"/>
      <c r="RNC3" s="466"/>
      <c r="RND3" s="497"/>
      <c r="RNE3" s="496"/>
      <c r="RNF3" s="498"/>
      <c r="RNG3" s="498"/>
      <c r="RNH3" s="498"/>
      <c r="RNI3" s="466"/>
      <c r="RNJ3" s="466"/>
      <c r="RNK3" s="497"/>
      <c r="RNL3" s="496"/>
      <c r="RNM3" s="498"/>
      <c r="RNN3" s="498"/>
      <c r="RNO3" s="498"/>
      <c r="RNP3" s="466"/>
      <c r="RNQ3" s="466"/>
      <c r="RNR3" s="497"/>
      <c r="RNS3" s="496"/>
      <c r="RNT3" s="498"/>
      <c r="RNU3" s="498"/>
      <c r="RNV3" s="498"/>
      <c r="RNW3" s="466"/>
      <c r="RNX3" s="466"/>
      <c r="RNY3" s="497"/>
      <c r="RNZ3" s="496"/>
      <c r="ROA3" s="498"/>
      <c r="ROB3" s="498"/>
      <c r="ROC3" s="498"/>
      <c r="ROD3" s="466"/>
      <c r="ROE3" s="466"/>
      <c r="ROF3" s="497"/>
      <c r="ROG3" s="496"/>
      <c r="ROH3" s="498"/>
      <c r="ROI3" s="498"/>
      <c r="ROJ3" s="498"/>
      <c r="ROK3" s="466"/>
      <c r="ROL3" s="466"/>
      <c r="ROM3" s="497"/>
      <c r="RON3" s="496"/>
      <c r="ROO3" s="498"/>
      <c r="ROP3" s="498"/>
      <c r="ROQ3" s="498"/>
      <c r="ROR3" s="466"/>
      <c r="ROS3" s="466"/>
      <c r="ROT3" s="497"/>
      <c r="ROU3" s="496"/>
      <c r="ROV3" s="498"/>
      <c r="ROW3" s="498"/>
      <c r="ROX3" s="498"/>
      <c r="ROY3" s="466"/>
      <c r="ROZ3" s="466"/>
      <c r="RPA3" s="497"/>
      <c r="RPB3" s="496"/>
      <c r="RPC3" s="498"/>
      <c r="RPD3" s="498"/>
      <c r="RPE3" s="498"/>
      <c r="RPF3" s="466"/>
      <c r="RPG3" s="466"/>
      <c r="RPH3" s="497"/>
      <c r="RPI3" s="496"/>
      <c r="RPJ3" s="498"/>
      <c r="RPK3" s="498"/>
      <c r="RPL3" s="498"/>
      <c r="RPM3" s="466"/>
      <c r="RPN3" s="466"/>
      <c r="RPO3" s="497"/>
      <c r="RPP3" s="496"/>
      <c r="RPQ3" s="498"/>
      <c r="RPR3" s="498"/>
      <c r="RPS3" s="498"/>
      <c r="RPT3" s="466"/>
      <c r="RPU3" s="466"/>
      <c r="RPV3" s="497"/>
      <c r="RPW3" s="496"/>
      <c r="RPX3" s="498"/>
      <c r="RPY3" s="498"/>
      <c r="RPZ3" s="498"/>
      <c r="RQA3" s="466"/>
      <c r="RQB3" s="466"/>
      <c r="RQC3" s="497"/>
      <c r="RQD3" s="496"/>
      <c r="RQE3" s="498"/>
      <c r="RQF3" s="498"/>
      <c r="RQG3" s="498"/>
      <c r="RQH3" s="466"/>
      <c r="RQI3" s="466"/>
      <c r="RQJ3" s="497"/>
      <c r="RQK3" s="496"/>
      <c r="RQL3" s="498"/>
      <c r="RQM3" s="498"/>
      <c r="RQN3" s="498"/>
      <c r="RQO3" s="466"/>
      <c r="RQP3" s="466"/>
      <c r="RQQ3" s="497"/>
      <c r="RQR3" s="496"/>
      <c r="RQS3" s="498"/>
      <c r="RQT3" s="498"/>
      <c r="RQU3" s="498"/>
      <c r="RQV3" s="466"/>
      <c r="RQW3" s="466"/>
      <c r="RQX3" s="497"/>
      <c r="RQY3" s="496"/>
      <c r="RQZ3" s="498"/>
      <c r="RRA3" s="498"/>
      <c r="RRB3" s="498"/>
      <c r="RRC3" s="466"/>
      <c r="RRD3" s="466"/>
      <c r="RRE3" s="497"/>
      <c r="RRF3" s="496"/>
      <c r="RRG3" s="498"/>
      <c r="RRH3" s="498"/>
      <c r="RRI3" s="498"/>
      <c r="RRJ3" s="466"/>
      <c r="RRK3" s="466"/>
      <c r="RRL3" s="497"/>
      <c r="RRM3" s="496"/>
      <c r="RRN3" s="498"/>
      <c r="RRO3" s="498"/>
      <c r="RRP3" s="498"/>
      <c r="RRQ3" s="466"/>
      <c r="RRR3" s="466"/>
      <c r="RRS3" s="497"/>
      <c r="RRT3" s="496"/>
      <c r="RRU3" s="498"/>
      <c r="RRV3" s="498"/>
      <c r="RRW3" s="498"/>
      <c r="RRX3" s="466"/>
      <c r="RRY3" s="466"/>
      <c r="RRZ3" s="497"/>
      <c r="RSA3" s="496"/>
      <c r="RSB3" s="498"/>
      <c r="RSC3" s="498"/>
      <c r="RSD3" s="498"/>
      <c r="RSE3" s="466"/>
      <c r="RSF3" s="466"/>
      <c r="RSG3" s="497"/>
      <c r="RSH3" s="496"/>
      <c r="RSI3" s="498"/>
      <c r="RSJ3" s="498"/>
      <c r="RSK3" s="498"/>
      <c r="RSL3" s="466"/>
      <c r="RSM3" s="466"/>
      <c r="RSN3" s="497"/>
      <c r="RSO3" s="496"/>
      <c r="RSP3" s="498"/>
      <c r="RSQ3" s="498"/>
      <c r="RSR3" s="498"/>
      <c r="RSS3" s="466"/>
      <c r="RST3" s="466"/>
      <c r="RSU3" s="497"/>
      <c r="RSV3" s="496"/>
      <c r="RSW3" s="498"/>
      <c r="RSX3" s="498"/>
      <c r="RSY3" s="498"/>
      <c r="RSZ3" s="466"/>
      <c r="RTA3" s="466"/>
      <c r="RTB3" s="497"/>
      <c r="RTC3" s="496"/>
      <c r="RTD3" s="498"/>
      <c r="RTE3" s="498"/>
      <c r="RTF3" s="498"/>
      <c r="RTG3" s="466"/>
      <c r="RTH3" s="466"/>
      <c r="RTI3" s="497"/>
      <c r="RTJ3" s="496"/>
      <c r="RTK3" s="498"/>
      <c r="RTL3" s="498"/>
      <c r="RTM3" s="498"/>
      <c r="RTN3" s="466"/>
      <c r="RTO3" s="466"/>
      <c r="RTP3" s="497"/>
      <c r="RTQ3" s="496"/>
      <c r="RTR3" s="498"/>
      <c r="RTS3" s="498"/>
      <c r="RTT3" s="498"/>
      <c r="RTU3" s="466"/>
      <c r="RTV3" s="466"/>
      <c r="RTW3" s="497"/>
      <c r="RTX3" s="496"/>
      <c r="RTY3" s="498"/>
      <c r="RTZ3" s="498"/>
      <c r="RUA3" s="498"/>
      <c r="RUB3" s="466"/>
      <c r="RUC3" s="466"/>
      <c r="RUD3" s="497"/>
      <c r="RUE3" s="496"/>
      <c r="RUF3" s="498"/>
      <c r="RUG3" s="498"/>
      <c r="RUH3" s="498"/>
      <c r="RUI3" s="466"/>
      <c r="RUJ3" s="466"/>
      <c r="RUK3" s="497"/>
      <c r="RUL3" s="496"/>
      <c r="RUM3" s="498"/>
      <c r="RUN3" s="498"/>
      <c r="RUO3" s="498"/>
      <c r="RUP3" s="466"/>
      <c r="RUQ3" s="466"/>
      <c r="RUR3" s="497"/>
      <c r="RUS3" s="496"/>
      <c r="RUT3" s="498"/>
      <c r="RUU3" s="498"/>
      <c r="RUV3" s="498"/>
      <c r="RUW3" s="466"/>
      <c r="RUX3" s="466"/>
      <c r="RUY3" s="497"/>
      <c r="RUZ3" s="496"/>
      <c r="RVA3" s="498"/>
      <c r="RVB3" s="498"/>
      <c r="RVC3" s="498"/>
      <c r="RVD3" s="466"/>
      <c r="RVE3" s="466"/>
      <c r="RVF3" s="497"/>
      <c r="RVG3" s="496"/>
      <c r="RVH3" s="498"/>
      <c r="RVI3" s="498"/>
      <c r="RVJ3" s="498"/>
      <c r="RVK3" s="466"/>
      <c r="RVL3" s="466"/>
      <c r="RVM3" s="497"/>
      <c r="RVN3" s="496"/>
      <c r="RVO3" s="498"/>
      <c r="RVP3" s="498"/>
      <c r="RVQ3" s="498"/>
      <c r="RVR3" s="466"/>
      <c r="RVS3" s="466"/>
      <c r="RVT3" s="497"/>
      <c r="RVU3" s="496"/>
      <c r="RVV3" s="498"/>
      <c r="RVW3" s="498"/>
      <c r="RVX3" s="498"/>
      <c r="RVY3" s="466"/>
      <c r="RVZ3" s="466"/>
      <c r="RWA3" s="497"/>
      <c r="RWB3" s="496"/>
      <c r="RWC3" s="498"/>
      <c r="RWD3" s="498"/>
      <c r="RWE3" s="498"/>
      <c r="RWF3" s="466"/>
      <c r="RWG3" s="466"/>
      <c r="RWH3" s="497"/>
      <c r="RWI3" s="496"/>
      <c r="RWJ3" s="498"/>
      <c r="RWK3" s="498"/>
      <c r="RWL3" s="498"/>
      <c r="RWM3" s="466"/>
      <c r="RWN3" s="466"/>
      <c r="RWO3" s="497"/>
      <c r="RWP3" s="496"/>
      <c r="RWQ3" s="498"/>
      <c r="RWR3" s="498"/>
      <c r="RWS3" s="498"/>
      <c r="RWT3" s="466"/>
      <c r="RWU3" s="466"/>
      <c r="RWV3" s="497"/>
      <c r="RWW3" s="496"/>
      <c r="RWX3" s="498"/>
      <c r="RWY3" s="498"/>
      <c r="RWZ3" s="498"/>
      <c r="RXA3" s="466"/>
      <c r="RXB3" s="466"/>
      <c r="RXC3" s="497"/>
      <c r="RXD3" s="496"/>
      <c r="RXE3" s="498"/>
      <c r="RXF3" s="498"/>
      <c r="RXG3" s="498"/>
      <c r="RXH3" s="466"/>
      <c r="RXI3" s="466"/>
      <c r="RXJ3" s="497"/>
      <c r="RXK3" s="496"/>
      <c r="RXL3" s="498"/>
      <c r="RXM3" s="498"/>
      <c r="RXN3" s="498"/>
      <c r="RXO3" s="466"/>
      <c r="RXP3" s="466"/>
      <c r="RXQ3" s="497"/>
      <c r="RXR3" s="496"/>
      <c r="RXS3" s="498"/>
      <c r="RXT3" s="498"/>
      <c r="RXU3" s="498"/>
      <c r="RXV3" s="466"/>
      <c r="RXW3" s="466"/>
      <c r="RXX3" s="497"/>
      <c r="RXY3" s="496"/>
      <c r="RXZ3" s="498"/>
      <c r="RYA3" s="498"/>
      <c r="RYB3" s="498"/>
      <c r="RYC3" s="466"/>
      <c r="RYD3" s="466"/>
      <c r="RYE3" s="497"/>
      <c r="RYF3" s="496"/>
      <c r="RYG3" s="498"/>
      <c r="RYH3" s="498"/>
      <c r="RYI3" s="498"/>
      <c r="RYJ3" s="466"/>
      <c r="RYK3" s="466"/>
      <c r="RYL3" s="497"/>
      <c r="RYM3" s="496"/>
      <c r="RYN3" s="498"/>
      <c r="RYO3" s="498"/>
      <c r="RYP3" s="498"/>
      <c r="RYQ3" s="466"/>
      <c r="RYR3" s="466"/>
      <c r="RYS3" s="497"/>
      <c r="RYT3" s="496"/>
      <c r="RYU3" s="498"/>
      <c r="RYV3" s="498"/>
      <c r="RYW3" s="498"/>
      <c r="RYX3" s="466"/>
      <c r="RYY3" s="466"/>
      <c r="RYZ3" s="497"/>
      <c r="RZA3" s="496"/>
      <c r="RZB3" s="498"/>
      <c r="RZC3" s="498"/>
      <c r="RZD3" s="498"/>
      <c r="RZE3" s="466"/>
      <c r="RZF3" s="466"/>
      <c r="RZG3" s="497"/>
      <c r="RZH3" s="496"/>
      <c r="RZI3" s="498"/>
      <c r="RZJ3" s="498"/>
      <c r="RZK3" s="498"/>
      <c r="RZL3" s="466"/>
      <c r="RZM3" s="466"/>
      <c r="RZN3" s="497"/>
      <c r="RZO3" s="496"/>
      <c r="RZP3" s="498"/>
      <c r="RZQ3" s="498"/>
      <c r="RZR3" s="498"/>
      <c r="RZS3" s="466"/>
      <c r="RZT3" s="466"/>
      <c r="RZU3" s="497"/>
      <c r="RZV3" s="496"/>
      <c r="RZW3" s="498"/>
      <c r="RZX3" s="498"/>
      <c r="RZY3" s="498"/>
      <c r="RZZ3" s="466"/>
      <c r="SAA3" s="466"/>
      <c r="SAB3" s="497"/>
      <c r="SAC3" s="496"/>
      <c r="SAD3" s="498"/>
      <c r="SAE3" s="498"/>
      <c r="SAF3" s="498"/>
      <c r="SAG3" s="466"/>
      <c r="SAH3" s="466"/>
      <c r="SAI3" s="497"/>
      <c r="SAJ3" s="496"/>
      <c r="SAK3" s="498"/>
      <c r="SAL3" s="498"/>
      <c r="SAM3" s="498"/>
      <c r="SAN3" s="466"/>
      <c r="SAO3" s="466"/>
      <c r="SAP3" s="497"/>
      <c r="SAQ3" s="496"/>
      <c r="SAR3" s="498"/>
      <c r="SAS3" s="498"/>
      <c r="SAT3" s="498"/>
      <c r="SAU3" s="466"/>
      <c r="SAV3" s="466"/>
      <c r="SAW3" s="497"/>
      <c r="SAX3" s="496"/>
      <c r="SAY3" s="498"/>
      <c r="SAZ3" s="498"/>
      <c r="SBA3" s="498"/>
      <c r="SBB3" s="466"/>
      <c r="SBC3" s="466"/>
      <c r="SBD3" s="497"/>
      <c r="SBE3" s="496"/>
      <c r="SBF3" s="498"/>
      <c r="SBG3" s="498"/>
      <c r="SBH3" s="498"/>
      <c r="SBI3" s="466"/>
      <c r="SBJ3" s="466"/>
      <c r="SBK3" s="497"/>
      <c r="SBL3" s="496"/>
      <c r="SBM3" s="498"/>
      <c r="SBN3" s="498"/>
      <c r="SBO3" s="498"/>
      <c r="SBP3" s="466"/>
      <c r="SBQ3" s="466"/>
      <c r="SBR3" s="497"/>
      <c r="SBS3" s="496"/>
      <c r="SBT3" s="498"/>
      <c r="SBU3" s="498"/>
      <c r="SBV3" s="498"/>
      <c r="SBW3" s="466"/>
      <c r="SBX3" s="466"/>
      <c r="SBY3" s="497"/>
      <c r="SBZ3" s="496"/>
      <c r="SCA3" s="498"/>
      <c r="SCB3" s="498"/>
      <c r="SCC3" s="498"/>
      <c r="SCD3" s="466"/>
      <c r="SCE3" s="466"/>
      <c r="SCF3" s="497"/>
      <c r="SCG3" s="496"/>
      <c r="SCH3" s="498"/>
      <c r="SCI3" s="498"/>
      <c r="SCJ3" s="498"/>
      <c r="SCK3" s="466"/>
      <c r="SCL3" s="466"/>
      <c r="SCM3" s="497"/>
      <c r="SCN3" s="496"/>
      <c r="SCO3" s="498"/>
      <c r="SCP3" s="498"/>
      <c r="SCQ3" s="498"/>
      <c r="SCR3" s="466"/>
      <c r="SCS3" s="466"/>
      <c r="SCT3" s="497"/>
      <c r="SCU3" s="496"/>
      <c r="SCV3" s="498"/>
      <c r="SCW3" s="498"/>
      <c r="SCX3" s="498"/>
      <c r="SCY3" s="466"/>
      <c r="SCZ3" s="466"/>
      <c r="SDA3" s="497"/>
      <c r="SDB3" s="496"/>
      <c r="SDC3" s="498"/>
      <c r="SDD3" s="498"/>
      <c r="SDE3" s="498"/>
      <c r="SDF3" s="466"/>
      <c r="SDG3" s="466"/>
      <c r="SDH3" s="497"/>
      <c r="SDI3" s="496"/>
      <c r="SDJ3" s="498"/>
      <c r="SDK3" s="498"/>
      <c r="SDL3" s="498"/>
      <c r="SDM3" s="466"/>
      <c r="SDN3" s="466"/>
      <c r="SDO3" s="497"/>
      <c r="SDP3" s="496"/>
      <c r="SDQ3" s="498"/>
      <c r="SDR3" s="498"/>
      <c r="SDS3" s="498"/>
      <c r="SDT3" s="466"/>
      <c r="SDU3" s="466"/>
      <c r="SDV3" s="497"/>
      <c r="SDW3" s="496"/>
      <c r="SDX3" s="498"/>
      <c r="SDY3" s="498"/>
      <c r="SDZ3" s="498"/>
      <c r="SEA3" s="466"/>
      <c r="SEB3" s="466"/>
      <c r="SEC3" s="497"/>
      <c r="SED3" s="496"/>
      <c r="SEE3" s="498"/>
      <c r="SEF3" s="498"/>
      <c r="SEG3" s="498"/>
      <c r="SEH3" s="466"/>
      <c r="SEI3" s="466"/>
      <c r="SEJ3" s="497"/>
      <c r="SEK3" s="496"/>
      <c r="SEL3" s="498"/>
      <c r="SEM3" s="498"/>
      <c r="SEN3" s="498"/>
      <c r="SEO3" s="466"/>
      <c r="SEP3" s="466"/>
      <c r="SEQ3" s="497"/>
      <c r="SER3" s="496"/>
      <c r="SES3" s="498"/>
      <c r="SET3" s="498"/>
      <c r="SEU3" s="498"/>
      <c r="SEV3" s="466"/>
      <c r="SEW3" s="466"/>
      <c r="SEX3" s="497"/>
      <c r="SEY3" s="496"/>
      <c r="SEZ3" s="498"/>
      <c r="SFA3" s="498"/>
      <c r="SFB3" s="498"/>
      <c r="SFC3" s="466"/>
      <c r="SFD3" s="466"/>
      <c r="SFE3" s="497"/>
      <c r="SFF3" s="496"/>
      <c r="SFG3" s="498"/>
      <c r="SFH3" s="498"/>
      <c r="SFI3" s="498"/>
      <c r="SFJ3" s="466"/>
      <c r="SFK3" s="466"/>
      <c r="SFL3" s="497"/>
      <c r="SFM3" s="496"/>
      <c r="SFN3" s="498"/>
      <c r="SFO3" s="498"/>
      <c r="SFP3" s="498"/>
      <c r="SFQ3" s="466"/>
      <c r="SFR3" s="466"/>
      <c r="SFS3" s="497"/>
      <c r="SFT3" s="496"/>
      <c r="SFU3" s="498"/>
      <c r="SFV3" s="498"/>
      <c r="SFW3" s="498"/>
      <c r="SFX3" s="466"/>
      <c r="SFY3" s="466"/>
      <c r="SFZ3" s="497"/>
      <c r="SGA3" s="496"/>
      <c r="SGB3" s="498"/>
      <c r="SGC3" s="498"/>
      <c r="SGD3" s="498"/>
      <c r="SGE3" s="466"/>
      <c r="SGF3" s="466"/>
      <c r="SGG3" s="497"/>
      <c r="SGH3" s="496"/>
      <c r="SGI3" s="498"/>
      <c r="SGJ3" s="498"/>
      <c r="SGK3" s="498"/>
      <c r="SGL3" s="466"/>
      <c r="SGM3" s="466"/>
      <c r="SGN3" s="497"/>
      <c r="SGO3" s="496"/>
      <c r="SGP3" s="498"/>
      <c r="SGQ3" s="498"/>
      <c r="SGR3" s="498"/>
      <c r="SGS3" s="466"/>
      <c r="SGT3" s="466"/>
      <c r="SGU3" s="497"/>
      <c r="SGV3" s="496"/>
      <c r="SGW3" s="498"/>
      <c r="SGX3" s="498"/>
      <c r="SGY3" s="498"/>
      <c r="SGZ3" s="466"/>
      <c r="SHA3" s="466"/>
      <c r="SHB3" s="497"/>
      <c r="SHC3" s="496"/>
      <c r="SHD3" s="498"/>
      <c r="SHE3" s="498"/>
      <c r="SHF3" s="498"/>
      <c r="SHG3" s="466"/>
      <c r="SHH3" s="466"/>
      <c r="SHI3" s="497"/>
      <c r="SHJ3" s="496"/>
      <c r="SHK3" s="498"/>
      <c r="SHL3" s="498"/>
      <c r="SHM3" s="498"/>
      <c r="SHN3" s="466"/>
      <c r="SHO3" s="466"/>
      <c r="SHP3" s="497"/>
      <c r="SHQ3" s="496"/>
      <c r="SHR3" s="498"/>
      <c r="SHS3" s="498"/>
      <c r="SHT3" s="498"/>
      <c r="SHU3" s="466"/>
      <c r="SHV3" s="466"/>
      <c r="SHW3" s="497"/>
      <c r="SHX3" s="496"/>
      <c r="SHY3" s="498"/>
      <c r="SHZ3" s="498"/>
      <c r="SIA3" s="498"/>
      <c r="SIB3" s="466"/>
      <c r="SIC3" s="466"/>
      <c r="SID3" s="497"/>
      <c r="SIE3" s="496"/>
      <c r="SIF3" s="498"/>
      <c r="SIG3" s="498"/>
      <c r="SIH3" s="498"/>
      <c r="SII3" s="466"/>
      <c r="SIJ3" s="466"/>
      <c r="SIK3" s="497"/>
      <c r="SIL3" s="496"/>
      <c r="SIM3" s="498"/>
      <c r="SIN3" s="498"/>
      <c r="SIO3" s="498"/>
      <c r="SIP3" s="466"/>
      <c r="SIQ3" s="466"/>
      <c r="SIR3" s="497"/>
      <c r="SIS3" s="496"/>
      <c r="SIT3" s="498"/>
      <c r="SIU3" s="498"/>
      <c r="SIV3" s="498"/>
      <c r="SIW3" s="466"/>
      <c r="SIX3" s="466"/>
      <c r="SIY3" s="497"/>
      <c r="SIZ3" s="496"/>
      <c r="SJA3" s="498"/>
      <c r="SJB3" s="498"/>
      <c r="SJC3" s="498"/>
      <c r="SJD3" s="466"/>
      <c r="SJE3" s="466"/>
      <c r="SJF3" s="497"/>
      <c r="SJG3" s="496"/>
      <c r="SJH3" s="498"/>
      <c r="SJI3" s="498"/>
      <c r="SJJ3" s="498"/>
      <c r="SJK3" s="466"/>
      <c r="SJL3" s="466"/>
      <c r="SJM3" s="497"/>
      <c r="SJN3" s="496"/>
      <c r="SJO3" s="498"/>
      <c r="SJP3" s="498"/>
      <c r="SJQ3" s="498"/>
      <c r="SJR3" s="466"/>
      <c r="SJS3" s="466"/>
      <c r="SJT3" s="497"/>
      <c r="SJU3" s="496"/>
      <c r="SJV3" s="498"/>
      <c r="SJW3" s="498"/>
      <c r="SJX3" s="498"/>
      <c r="SJY3" s="466"/>
      <c r="SJZ3" s="466"/>
      <c r="SKA3" s="497"/>
      <c r="SKB3" s="496"/>
      <c r="SKC3" s="498"/>
      <c r="SKD3" s="498"/>
      <c r="SKE3" s="498"/>
      <c r="SKF3" s="466"/>
      <c r="SKG3" s="466"/>
      <c r="SKH3" s="497"/>
      <c r="SKI3" s="496"/>
      <c r="SKJ3" s="498"/>
      <c r="SKK3" s="498"/>
      <c r="SKL3" s="498"/>
      <c r="SKM3" s="466"/>
      <c r="SKN3" s="466"/>
      <c r="SKO3" s="497"/>
      <c r="SKP3" s="496"/>
      <c r="SKQ3" s="498"/>
      <c r="SKR3" s="498"/>
      <c r="SKS3" s="498"/>
      <c r="SKT3" s="466"/>
      <c r="SKU3" s="466"/>
      <c r="SKV3" s="497"/>
      <c r="SKW3" s="496"/>
      <c r="SKX3" s="498"/>
      <c r="SKY3" s="498"/>
      <c r="SKZ3" s="498"/>
      <c r="SLA3" s="466"/>
      <c r="SLB3" s="466"/>
      <c r="SLC3" s="497"/>
      <c r="SLD3" s="496"/>
      <c r="SLE3" s="498"/>
      <c r="SLF3" s="498"/>
      <c r="SLG3" s="498"/>
      <c r="SLH3" s="466"/>
      <c r="SLI3" s="466"/>
      <c r="SLJ3" s="497"/>
      <c r="SLK3" s="496"/>
      <c r="SLL3" s="498"/>
      <c r="SLM3" s="498"/>
      <c r="SLN3" s="498"/>
      <c r="SLO3" s="466"/>
      <c r="SLP3" s="466"/>
      <c r="SLQ3" s="497"/>
      <c r="SLR3" s="496"/>
      <c r="SLS3" s="498"/>
      <c r="SLT3" s="498"/>
      <c r="SLU3" s="498"/>
      <c r="SLV3" s="466"/>
      <c r="SLW3" s="466"/>
      <c r="SLX3" s="497"/>
      <c r="SLY3" s="496"/>
      <c r="SLZ3" s="498"/>
      <c r="SMA3" s="498"/>
      <c r="SMB3" s="498"/>
      <c r="SMC3" s="466"/>
      <c r="SMD3" s="466"/>
      <c r="SME3" s="497"/>
      <c r="SMF3" s="496"/>
      <c r="SMG3" s="498"/>
      <c r="SMH3" s="498"/>
      <c r="SMI3" s="498"/>
      <c r="SMJ3" s="466"/>
      <c r="SMK3" s="466"/>
      <c r="SML3" s="497"/>
      <c r="SMM3" s="496"/>
      <c r="SMN3" s="498"/>
      <c r="SMO3" s="498"/>
      <c r="SMP3" s="498"/>
      <c r="SMQ3" s="466"/>
      <c r="SMR3" s="466"/>
      <c r="SMS3" s="497"/>
      <c r="SMT3" s="496"/>
      <c r="SMU3" s="498"/>
      <c r="SMV3" s="498"/>
      <c r="SMW3" s="498"/>
      <c r="SMX3" s="466"/>
      <c r="SMY3" s="466"/>
      <c r="SMZ3" s="497"/>
      <c r="SNA3" s="496"/>
      <c r="SNB3" s="498"/>
      <c r="SNC3" s="498"/>
      <c r="SND3" s="498"/>
      <c r="SNE3" s="466"/>
      <c r="SNF3" s="466"/>
      <c r="SNG3" s="497"/>
      <c r="SNH3" s="496"/>
      <c r="SNI3" s="498"/>
      <c r="SNJ3" s="498"/>
      <c r="SNK3" s="498"/>
      <c r="SNL3" s="466"/>
      <c r="SNM3" s="466"/>
      <c r="SNN3" s="497"/>
      <c r="SNO3" s="496"/>
      <c r="SNP3" s="498"/>
      <c r="SNQ3" s="498"/>
      <c r="SNR3" s="498"/>
      <c r="SNS3" s="466"/>
      <c r="SNT3" s="466"/>
      <c r="SNU3" s="497"/>
      <c r="SNV3" s="496"/>
      <c r="SNW3" s="498"/>
      <c r="SNX3" s="498"/>
      <c r="SNY3" s="498"/>
      <c r="SNZ3" s="466"/>
      <c r="SOA3" s="466"/>
      <c r="SOB3" s="497"/>
      <c r="SOC3" s="496"/>
      <c r="SOD3" s="498"/>
      <c r="SOE3" s="498"/>
      <c r="SOF3" s="498"/>
      <c r="SOG3" s="466"/>
      <c r="SOH3" s="466"/>
      <c r="SOI3" s="497"/>
      <c r="SOJ3" s="496"/>
      <c r="SOK3" s="498"/>
      <c r="SOL3" s="498"/>
      <c r="SOM3" s="498"/>
      <c r="SON3" s="466"/>
      <c r="SOO3" s="466"/>
      <c r="SOP3" s="497"/>
      <c r="SOQ3" s="496"/>
      <c r="SOR3" s="498"/>
      <c r="SOS3" s="498"/>
      <c r="SOT3" s="498"/>
      <c r="SOU3" s="466"/>
      <c r="SOV3" s="466"/>
      <c r="SOW3" s="497"/>
      <c r="SOX3" s="496"/>
      <c r="SOY3" s="498"/>
      <c r="SOZ3" s="498"/>
      <c r="SPA3" s="498"/>
      <c r="SPB3" s="466"/>
      <c r="SPC3" s="466"/>
      <c r="SPD3" s="497"/>
      <c r="SPE3" s="496"/>
      <c r="SPF3" s="498"/>
      <c r="SPG3" s="498"/>
      <c r="SPH3" s="498"/>
      <c r="SPI3" s="466"/>
      <c r="SPJ3" s="466"/>
      <c r="SPK3" s="497"/>
      <c r="SPL3" s="496"/>
      <c r="SPM3" s="498"/>
      <c r="SPN3" s="498"/>
      <c r="SPO3" s="498"/>
      <c r="SPP3" s="466"/>
      <c r="SPQ3" s="466"/>
      <c r="SPR3" s="497"/>
      <c r="SPS3" s="496"/>
      <c r="SPT3" s="498"/>
      <c r="SPU3" s="498"/>
      <c r="SPV3" s="498"/>
      <c r="SPW3" s="466"/>
      <c r="SPX3" s="466"/>
      <c r="SPY3" s="497"/>
      <c r="SPZ3" s="496"/>
      <c r="SQA3" s="498"/>
      <c r="SQB3" s="498"/>
      <c r="SQC3" s="498"/>
      <c r="SQD3" s="466"/>
      <c r="SQE3" s="466"/>
      <c r="SQF3" s="497"/>
      <c r="SQG3" s="496"/>
      <c r="SQH3" s="498"/>
      <c r="SQI3" s="498"/>
      <c r="SQJ3" s="498"/>
      <c r="SQK3" s="466"/>
      <c r="SQL3" s="466"/>
      <c r="SQM3" s="497"/>
      <c r="SQN3" s="496"/>
      <c r="SQO3" s="498"/>
      <c r="SQP3" s="498"/>
      <c r="SQQ3" s="498"/>
      <c r="SQR3" s="466"/>
      <c r="SQS3" s="466"/>
      <c r="SQT3" s="497"/>
      <c r="SQU3" s="496"/>
      <c r="SQV3" s="498"/>
      <c r="SQW3" s="498"/>
      <c r="SQX3" s="498"/>
      <c r="SQY3" s="466"/>
      <c r="SQZ3" s="466"/>
      <c r="SRA3" s="497"/>
      <c r="SRB3" s="496"/>
      <c r="SRC3" s="498"/>
      <c r="SRD3" s="498"/>
      <c r="SRE3" s="498"/>
      <c r="SRF3" s="466"/>
      <c r="SRG3" s="466"/>
      <c r="SRH3" s="497"/>
      <c r="SRI3" s="496"/>
      <c r="SRJ3" s="498"/>
      <c r="SRK3" s="498"/>
      <c r="SRL3" s="498"/>
      <c r="SRM3" s="466"/>
      <c r="SRN3" s="466"/>
      <c r="SRO3" s="497"/>
      <c r="SRP3" s="496"/>
      <c r="SRQ3" s="498"/>
      <c r="SRR3" s="498"/>
      <c r="SRS3" s="498"/>
      <c r="SRT3" s="466"/>
      <c r="SRU3" s="466"/>
      <c r="SRV3" s="497"/>
      <c r="SRW3" s="496"/>
      <c r="SRX3" s="498"/>
      <c r="SRY3" s="498"/>
      <c r="SRZ3" s="498"/>
      <c r="SSA3" s="466"/>
      <c r="SSB3" s="466"/>
      <c r="SSC3" s="497"/>
      <c r="SSD3" s="496"/>
      <c r="SSE3" s="498"/>
      <c r="SSF3" s="498"/>
      <c r="SSG3" s="498"/>
      <c r="SSH3" s="466"/>
      <c r="SSI3" s="466"/>
      <c r="SSJ3" s="497"/>
      <c r="SSK3" s="496"/>
      <c r="SSL3" s="498"/>
      <c r="SSM3" s="498"/>
      <c r="SSN3" s="498"/>
      <c r="SSO3" s="466"/>
      <c r="SSP3" s="466"/>
      <c r="SSQ3" s="497"/>
      <c r="SSR3" s="496"/>
      <c r="SSS3" s="498"/>
      <c r="SST3" s="498"/>
      <c r="SSU3" s="498"/>
      <c r="SSV3" s="466"/>
      <c r="SSW3" s="466"/>
      <c r="SSX3" s="497"/>
      <c r="SSY3" s="496"/>
      <c r="SSZ3" s="498"/>
      <c r="STA3" s="498"/>
      <c r="STB3" s="498"/>
      <c r="STC3" s="466"/>
      <c r="STD3" s="466"/>
      <c r="STE3" s="497"/>
      <c r="STF3" s="496"/>
      <c r="STG3" s="498"/>
      <c r="STH3" s="498"/>
      <c r="STI3" s="498"/>
      <c r="STJ3" s="466"/>
      <c r="STK3" s="466"/>
      <c r="STL3" s="497"/>
      <c r="STM3" s="496"/>
      <c r="STN3" s="498"/>
      <c r="STO3" s="498"/>
      <c r="STP3" s="498"/>
      <c r="STQ3" s="466"/>
      <c r="STR3" s="466"/>
      <c r="STS3" s="497"/>
      <c r="STT3" s="496"/>
      <c r="STU3" s="498"/>
      <c r="STV3" s="498"/>
      <c r="STW3" s="498"/>
      <c r="STX3" s="466"/>
      <c r="STY3" s="466"/>
      <c r="STZ3" s="497"/>
      <c r="SUA3" s="496"/>
      <c r="SUB3" s="498"/>
      <c r="SUC3" s="498"/>
      <c r="SUD3" s="498"/>
      <c r="SUE3" s="466"/>
      <c r="SUF3" s="466"/>
      <c r="SUG3" s="497"/>
      <c r="SUH3" s="496"/>
      <c r="SUI3" s="498"/>
      <c r="SUJ3" s="498"/>
      <c r="SUK3" s="498"/>
      <c r="SUL3" s="466"/>
      <c r="SUM3" s="466"/>
      <c r="SUN3" s="497"/>
      <c r="SUO3" s="496"/>
      <c r="SUP3" s="498"/>
      <c r="SUQ3" s="498"/>
      <c r="SUR3" s="498"/>
      <c r="SUS3" s="466"/>
      <c r="SUT3" s="466"/>
      <c r="SUU3" s="497"/>
      <c r="SUV3" s="496"/>
      <c r="SUW3" s="498"/>
      <c r="SUX3" s="498"/>
      <c r="SUY3" s="498"/>
      <c r="SUZ3" s="466"/>
      <c r="SVA3" s="466"/>
      <c r="SVB3" s="497"/>
      <c r="SVC3" s="496"/>
      <c r="SVD3" s="498"/>
      <c r="SVE3" s="498"/>
      <c r="SVF3" s="498"/>
      <c r="SVG3" s="466"/>
      <c r="SVH3" s="466"/>
      <c r="SVI3" s="497"/>
      <c r="SVJ3" s="496"/>
      <c r="SVK3" s="498"/>
      <c r="SVL3" s="498"/>
      <c r="SVM3" s="498"/>
      <c r="SVN3" s="466"/>
      <c r="SVO3" s="466"/>
      <c r="SVP3" s="497"/>
      <c r="SVQ3" s="496"/>
      <c r="SVR3" s="498"/>
      <c r="SVS3" s="498"/>
      <c r="SVT3" s="498"/>
      <c r="SVU3" s="466"/>
      <c r="SVV3" s="466"/>
      <c r="SVW3" s="497"/>
      <c r="SVX3" s="496"/>
      <c r="SVY3" s="498"/>
      <c r="SVZ3" s="498"/>
      <c r="SWA3" s="498"/>
      <c r="SWB3" s="466"/>
      <c r="SWC3" s="466"/>
      <c r="SWD3" s="497"/>
      <c r="SWE3" s="496"/>
      <c r="SWF3" s="498"/>
      <c r="SWG3" s="498"/>
      <c r="SWH3" s="498"/>
      <c r="SWI3" s="466"/>
      <c r="SWJ3" s="466"/>
      <c r="SWK3" s="497"/>
      <c r="SWL3" s="496"/>
      <c r="SWM3" s="498"/>
      <c r="SWN3" s="498"/>
      <c r="SWO3" s="498"/>
      <c r="SWP3" s="466"/>
      <c r="SWQ3" s="466"/>
      <c r="SWR3" s="497"/>
      <c r="SWS3" s="496"/>
      <c r="SWT3" s="498"/>
      <c r="SWU3" s="498"/>
      <c r="SWV3" s="498"/>
      <c r="SWW3" s="466"/>
      <c r="SWX3" s="466"/>
      <c r="SWY3" s="497"/>
      <c r="SWZ3" s="496"/>
      <c r="SXA3" s="498"/>
      <c r="SXB3" s="498"/>
      <c r="SXC3" s="498"/>
      <c r="SXD3" s="466"/>
      <c r="SXE3" s="466"/>
      <c r="SXF3" s="497"/>
      <c r="SXG3" s="496"/>
      <c r="SXH3" s="498"/>
      <c r="SXI3" s="498"/>
      <c r="SXJ3" s="498"/>
      <c r="SXK3" s="466"/>
      <c r="SXL3" s="466"/>
      <c r="SXM3" s="497"/>
      <c r="SXN3" s="496"/>
      <c r="SXO3" s="498"/>
      <c r="SXP3" s="498"/>
      <c r="SXQ3" s="498"/>
      <c r="SXR3" s="466"/>
      <c r="SXS3" s="466"/>
      <c r="SXT3" s="497"/>
      <c r="SXU3" s="496"/>
      <c r="SXV3" s="498"/>
      <c r="SXW3" s="498"/>
      <c r="SXX3" s="498"/>
      <c r="SXY3" s="466"/>
      <c r="SXZ3" s="466"/>
      <c r="SYA3" s="497"/>
      <c r="SYB3" s="496"/>
      <c r="SYC3" s="498"/>
      <c r="SYD3" s="498"/>
      <c r="SYE3" s="498"/>
      <c r="SYF3" s="466"/>
      <c r="SYG3" s="466"/>
      <c r="SYH3" s="497"/>
      <c r="SYI3" s="496"/>
      <c r="SYJ3" s="498"/>
      <c r="SYK3" s="498"/>
      <c r="SYL3" s="498"/>
      <c r="SYM3" s="466"/>
      <c r="SYN3" s="466"/>
      <c r="SYO3" s="497"/>
      <c r="SYP3" s="496"/>
      <c r="SYQ3" s="498"/>
      <c r="SYR3" s="498"/>
      <c r="SYS3" s="498"/>
      <c r="SYT3" s="466"/>
      <c r="SYU3" s="466"/>
      <c r="SYV3" s="497"/>
      <c r="SYW3" s="496"/>
      <c r="SYX3" s="498"/>
      <c r="SYY3" s="498"/>
      <c r="SYZ3" s="498"/>
      <c r="SZA3" s="466"/>
      <c r="SZB3" s="466"/>
      <c r="SZC3" s="497"/>
      <c r="SZD3" s="496"/>
      <c r="SZE3" s="498"/>
      <c r="SZF3" s="498"/>
      <c r="SZG3" s="498"/>
      <c r="SZH3" s="466"/>
      <c r="SZI3" s="466"/>
      <c r="SZJ3" s="497"/>
      <c r="SZK3" s="496"/>
      <c r="SZL3" s="498"/>
      <c r="SZM3" s="498"/>
      <c r="SZN3" s="498"/>
      <c r="SZO3" s="466"/>
      <c r="SZP3" s="466"/>
      <c r="SZQ3" s="497"/>
      <c r="SZR3" s="496"/>
      <c r="SZS3" s="498"/>
      <c r="SZT3" s="498"/>
      <c r="SZU3" s="498"/>
      <c r="SZV3" s="466"/>
      <c r="SZW3" s="466"/>
      <c r="SZX3" s="497"/>
      <c r="SZY3" s="496"/>
      <c r="SZZ3" s="498"/>
      <c r="TAA3" s="498"/>
      <c r="TAB3" s="498"/>
      <c r="TAC3" s="466"/>
      <c r="TAD3" s="466"/>
      <c r="TAE3" s="497"/>
      <c r="TAF3" s="496"/>
      <c r="TAG3" s="498"/>
      <c r="TAH3" s="498"/>
      <c r="TAI3" s="498"/>
      <c r="TAJ3" s="466"/>
      <c r="TAK3" s="466"/>
      <c r="TAL3" s="497"/>
      <c r="TAM3" s="496"/>
      <c r="TAN3" s="498"/>
      <c r="TAO3" s="498"/>
      <c r="TAP3" s="498"/>
      <c r="TAQ3" s="466"/>
      <c r="TAR3" s="466"/>
      <c r="TAS3" s="497"/>
      <c r="TAT3" s="496"/>
      <c r="TAU3" s="498"/>
      <c r="TAV3" s="498"/>
      <c r="TAW3" s="498"/>
      <c r="TAX3" s="466"/>
      <c r="TAY3" s="466"/>
      <c r="TAZ3" s="497"/>
      <c r="TBA3" s="496"/>
      <c r="TBB3" s="498"/>
      <c r="TBC3" s="498"/>
      <c r="TBD3" s="498"/>
      <c r="TBE3" s="466"/>
      <c r="TBF3" s="466"/>
      <c r="TBG3" s="497"/>
      <c r="TBH3" s="496"/>
      <c r="TBI3" s="498"/>
      <c r="TBJ3" s="498"/>
      <c r="TBK3" s="498"/>
      <c r="TBL3" s="466"/>
      <c r="TBM3" s="466"/>
      <c r="TBN3" s="497"/>
      <c r="TBO3" s="496"/>
      <c r="TBP3" s="498"/>
      <c r="TBQ3" s="498"/>
      <c r="TBR3" s="498"/>
      <c r="TBS3" s="466"/>
      <c r="TBT3" s="466"/>
      <c r="TBU3" s="497"/>
      <c r="TBV3" s="496"/>
      <c r="TBW3" s="498"/>
      <c r="TBX3" s="498"/>
      <c r="TBY3" s="498"/>
      <c r="TBZ3" s="466"/>
      <c r="TCA3" s="466"/>
      <c r="TCB3" s="497"/>
      <c r="TCC3" s="496"/>
      <c r="TCD3" s="498"/>
      <c r="TCE3" s="498"/>
      <c r="TCF3" s="498"/>
      <c r="TCG3" s="466"/>
      <c r="TCH3" s="466"/>
      <c r="TCI3" s="497"/>
      <c r="TCJ3" s="496"/>
      <c r="TCK3" s="498"/>
      <c r="TCL3" s="498"/>
      <c r="TCM3" s="498"/>
      <c r="TCN3" s="466"/>
      <c r="TCO3" s="466"/>
      <c r="TCP3" s="497"/>
      <c r="TCQ3" s="496"/>
      <c r="TCR3" s="498"/>
      <c r="TCS3" s="498"/>
      <c r="TCT3" s="498"/>
      <c r="TCU3" s="466"/>
      <c r="TCV3" s="466"/>
      <c r="TCW3" s="497"/>
      <c r="TCX3" s="496"/>
      <c r="TCY3" s="498"/>
      <c r="TCZ3" s="498"/>
      <c r="TDA3" s="498"/>
      <c r="TDB3" s="466"/>
      <c r="TDC3" s="466"/>
      <c r="TDD3" s="497"/>
      <c r="TDE3" s="496"/>
      <c r="TDF3" s="498"/>
      <c r="TDG3" s="498"/>
      <c r="TDH3" s="498"/>
      <c r="TDI3" s="466"/>
      <c r="TDJ3" s="466"/>
      <c r="TDK3" s="497"/>
      <c r="TDL3" s="496"/>
      <c r="TDM3" s="498"/>
      <c r="TDN3" s="498"/>
      <c r="TDO3" s="498"/>
      <c r="TDP3" s="466"/>
      <c r="TDQ3" s="466"/>
      <c r="TDR3" s="497"/>
      <c r="TDS3" s="496"/>
      <c r="TDT3" s="498"/>
      <c r="TDU3" s="498"/>
      <c r="TDV3" s="498"/>
      <c r="TDW3" s="466"/>
      <c r="TDX3" s="466"/>
      <c r="TDY3" s="497"/>
      <c r="TDZ3" s="496"/>
      <c r="TEA3" s="498"/>
      <c r="TEB3" s="498"/>
      <c r="TEC3" s="498"/>
      <c r="TED3" s="466"/>
      <c r="TEE3" s="466"/>
      <c r="TEF3" s="497"/>
      <c r="TEG3" s="496"/>
      <c r="TEH3" s="498"/>
      <c r="TEI3" s="498"/>
      <c r="TEJ3" s="498"/>
      <c r="TEK3" s="466"/>
      <c r="TEL3" s="466"/>
      <c r="TEM3" s="497"/>
      <c r="TEN3" s="496"/>
      <c r="TEO3" s="498"/>
      <c r="TEP3" s="498"/>
      <c r="TEQ3" s="498"/>
      <c r="TER3" s="466"/>
      <c r="TES3" s="466"/>
      <c r="TET3" s="497"/>
      <c r="TEU3" s="496"/>
      <c r="TEV3" s="498"/>
      <c r="TEW3" s="498"/>
      <c r="TEX3" s="498"/>
      <c r="TEY3" s="466"/>
      <c r="TEZ3" s="466"/>
      <c r="TFA3" s="497"/>
      <c r="TFB3" s="496"/>
      <c r="TFC3" s="498"/>
      <c r="TFD3" s="498"/>
      <c r="TFE3" s="498"/>
      <c r="TFF3" s="466"/>
      <c r="TFG3" s="466"/>
      <c r="TFH3" s="497"/>
      <c r="TFI3" s="496"/>
      <c r="TFJ3" s="498"/>
      <c r="TFK3" s="498"/>
      <c r="TFL3" s="498"/>
      <c r="TFM3" s="466"/>
      <c r="TFN3" s="466"/>
      <c r="TFO3" s="497"/>
      <c r="TFP3" s="496"/>
      <c r="TFQ3" s="498"/>
      <c r="TFR3" s="498"/>
      <c r="TFS3" s="498"/>
      <c r="TFT3" s="466"/>
      <c r="TFU3" s="466"/>
      <c r="TFV3" s="497"/>
      <c r="TFW3" s="496"/>
      <c r="TFX3" s="498"/>
      <c r="TFY3" s="498"/>
      <c r="TFZ3" s="498"/>
      <c r="TGA3" s="466"/>
      <c r="TGB3" s="466"/>
      <c r="TGC3" s="497"/>
      <c r="TGD3" s="496"/>
      <c r="TGE3" s="498"/>
      <c r="TGF3" s="498"/>
      <c r="TGG3" s="498"/>
      <c r="TGH3" s="466"/>
      <c r="TGI3" s="466"/>
      <c r="TGJ3" s="497"/>
      <c r="TGK3" s="496"/>
      <c r="TGL3" s="498"/>
      <c r="TGM3" s="498"/>
      <c r="TGN3" s="498"/>
      <c r="TGO3" s="466"/>
      <c r="TGP3" s="466"/>
      <c r="TGQ3" s="497"/>
      <c r="TGR3" s="496"/>
      <c r="TGS3" s="498"/>
      <c r="TGT3" s="498"/>
      <c r="TGU3" s="498"/>
      <c r="TGV3" s="466"/>
      <c r="TGW3" s="466"/>
      <c r="TGX3" s="497"/>
      <c r="TGY3" s="496"/>
      <c r="TGZ3" s="498"/>
      <c r="THA3" s="498"/>
      <c r="THB3" s="498"/>
      <c r="THC3" s="466"/>
      <c r="THD3" s="466"/>
      <c r="THE3" s="497"/>
      <c r="THF3" s="496"/>
      <c r="THG3" s="498"/>
      <c r="THH3" s="498"/>
      <c r="THI3" s="498"/>
      <c r="THJ3" s="466"/>
      <c r="THK3" s="466"/>
      <c r="THL3" s="497"/>
      <c r="THM3" s="496"/>
      <c r="THN3" s="498"/>
      <c r="THO3" s="498"/>
      <c r="THP3" s="498"/>
      <c r="THQ3" s="466"/>
      <c r="THR3" s="466"/>
      <c r="THS3" s="497"/>
      <c r="THT3" s="496"/>
      <c r="THU3" s="498"/>
      <c r="THV3" s="498"/>
      <c r="THW3" s="498"/>
      <c r="THX3" s="466"/>
      <c r="THY3" s="466"/>
      <c r="THZ3" s="497"/>
      <c r="TIA3" s="496"/>
      <c r="TIB3" s="498"/>
      <c r="TIC3" s="498"/>
      <c r="TID3" s="498"/>
      <c r="TIE3" s="466"/>
      <c r="TIF3" s="466"/>
      <c r="TIG3" s="497"/>
      <c r="TIH3" s="496"/>
      <c r="TII3" s="498"/>
      <c r="TIJ3" s="498"/>
      <c r="TIK3" s="498"/>
      <c r="TIL3" s="466"/>
      <c r="TIM3" s="466"/>
      <c r="TIN3" s="497"/>
      <c r="TIO3" s="496"/>
      <c r="TIP3" s="498"/>
      <c r="TIQ3" s="498"/>
      <c r="TIR3" s="498"/>
      <c r="TIS3" s="466"/>
      <c r="TIT3" s="466"/>
      <c r="TIU3" s="497"/>
      <c r="TIV3" s="496"/>
      <c r="TIW3" s="498"/>
      <c r="TIX3" s="498"/>
      <c r="TIY3" s="498"/>
      <c r="TIZ3" s="466"/>
      <c r="TJA3" s="466"/>
      <c r="TJB3" s="497"/>
      <c r="TJC3" s="496"/>
      <c r="TJD3" s="498"/>
      <c r="TJE3" s="498"/>
      <c r="TJF3" s="498"/>
      <c r="TJG3" s="466"/>
      <c r="TJH3" s="466"/>
      <c r="TJI3" s="497"/>
      <c r="TJJ3" s="496"/>
      <c r="TJK3" s="498"/>
      <c r="TJL3" s="498"/>
      <c r="TJM3" s="498"/>
      <c r="TJN3" s="466"/>
      <c r="TJO3" s="466"/>
      <c r="TJP3" s="497"/>
      <c r="TJQ3" s="496"/>
      <c r="TJR3" s="498"/>
      <c r="TJS3" s="498"/>
      <c r="TJT3" s="498"/>
      <c r="TJU3" s="466"/>
      <c r="TJV3" s="466"/>
      <c r="TJW3" s="497"/>
      <c r="TJX3" s="496"/>
      <c r="TJY3" s="498"/>
      <c r="TJZ3" s="498"/>
      <c r="TKA3" s="498"/>
      <c r="TKB3" s="466"/>
      <c r="TKC3" s="466"/>
      <c r="TKD3" s="497"/>
      <c r="TKE3" s="496"/>
      <c r="TKF3" s="498"/>
      <c r="TKG3" s="498"/>
      <c r="TKH3" s="498"/>
      <c r="TKI3" s="466"/>
      <c r="TKJ3" s="466"/>
      <c r="TKK3" s="497"/>
      <c r="TKL3" s="496"/>
      <c r="TKM3" s="498"/>
      <c r="TKN3" s="498"/>
      <c r="TKO3" s="498"/>
      <c r="TKP3" s="466"/>
      <c r="TKQ3" s="466"/>
      <c r="TKR3" s="497"/>
      <c r="TKS3" s="496"/>
      <c r="TKT3" s="498"/>
      <c r="TKU3" s="498"/>
      <c r="TKV3" s="498"/>
      <c r="TKW3" s="466"/>
      <c r="TKX3" s="466"/>
      <c r="TKY3" s="497"/>
      <c r="TKZ3" s="496"/>
      <c r="TLA3" s="498"/>
      <c r="TLB3" s="498"/>
      <c r="TLC3" s="498"/>
      <c r="TLD3" s="466"/>
      <c r="TLE3" s="466"/>
      <c r="TLF3" s="497"/>
      <c r="TLG3" s="496"/>
      <c r="TLH3" s="498"/>
      <c r="TLI3" s="498"/>
      <c r="TLJ3" s="498"/>
      <c r="TLK3" s="466"/>
      <c r="TLL3" s="466"/>
      <c r="TLM3" s="497"/>
      <c r="TLN3" s="496"/>
      <c r="TLO3" s="498"/>
      <c r="TLP3" s="498"/>
      <c r="TLQ3" s="498"/>
      <c r="TLR3" s="466"/>
      <c r="TLS3" s="466"/>
      <c r="TLT3" s="497"/>
      <c r="TLU3" s="496"/>
      <c r="TLV3" s="498"/>
      <c r="TLW3" s="498"/>
      <c r="TLX3" s="498"/>
      <c r="TLY3" s="466"/>
      <c r="TLZ3" s="466"/>
      <c r="TMA3" s="497"/>
      <c r="TMB3" s="496"/>
      <c r="TMC3" s="498"/>
      <c r="TMD3" s="498"/>
      <c r="TME3" s="498"/>
      <c r="TMF3" s="466"/>
      <c r="TMG3" s="466"/>
      <c r="TMH3" s="497"/>
      <c r="TMI3" s="496"/>
      <c r="TMJ3" s="498"/>
      <c r="TMK3" s="498"/>
      <c r="TML3" s="498"/>
      <c r="TMM3" s="466"/>
      <c r="TMN3" s="466"/>
      <c r="TMO3" s="497"/>
      <c r="TMP3" s="496"/>
      <c r="TMQ3" s="498"/>
      <c r="TMR3" s="498"/>
      <c r="TMS3" s="498"/>
      <c r="TMT3" s="466"/>
      <c r="TMU3" s="466"/>
      <c r="TMV3" s="497"/>
      <c r="TMW3" s="496"/>
      <c r="TMX3" s="498"/>
      <c r="TMY3" s="498"/>
      <c r="TMZ3" s="498"/>
      <c r="TNA3" s="466"/>
      <c r="TNB3" s="466"/>
      <c r="TNC3" s="497"/>
      <c r="TND3" s="496"/>
      <c r="TNE3" s="498"/>
      <c r="TNF3" s="498"/>
      <c r="TNG3" s="498"/>
      <c r="TNH3" s="466"/>
      <c r="TNI3" s="466"/>
      <c r="TNJ3" s="497"/>
      <c r="TNK3" s="496"/>
      <c r="TNL3" s="498"/>
      <c r="TNM3" s="498"/>
      <c r="TNN3" s="498"/>
      <c r="TNO3" s="466"/>
      <c r="TNP3" s="466"/>
      <c r="TNQ3" s="497"/>
      <c r="TNR3" s="496"/>
      <c r="TNS3" s="498"/>
      <c r="TNT3" s="498"/>
      <c r="TNU3" s="498"/>
      <c r="TNV3" s="466"/>
      <c r="TNW3" s="466"/>
      <c r="TNX3" s="497"/>
      <c r="TNY3" s="496"/>
      <c r="TNZ3" s="498"/>
      <c r="TOA3" s="498"/>
      <c r="TOB3" s="498"/>
      <c r="TOC3" s="466"/>
      <c r="TOD3" s="466"/>
      <c r="TOE3" s="497"/>
      <c r="TOF3" s="496"/>
      <c r="TOG3" s="498"/>
      <c r="TOH3" s="498"/>
      <c r="TOI3" s="498"/>
      <c r="TOJ3" s="466"/>
      <c r="TOK3" s="466"/>
      <c r="TOL3" s="497"/>
      <c r="TOM3" s="496"/>
      <c r="TON3" s="498"/>
      <c r="TOO3" s="498"/>
      <c r="TOP3" s="498"/>
      <c r="TOQ3" s="466"/>
      <c r="TOR3" s="466"/>
      <c r="TOS3" s="497"/>
      <c r="TOT3" s="496"/>
      <c r="TOU3" s="498"/>
      <c r="TOV3" s="498"/>
      <c r="TOW3" s="498"/>
      <c r="TOX3" s="466"/>
      <c r="TOY3" s="466"/>
      <c r="TOZ3" s="497"/>
      <c r="TPA3" s="496"/>
      <c r="TPB3" s="498"/>
      <c r="TPC3" s="498"/>
      <c r="TPD3" s="498"/>
      <c r="TPE3" s="466"/>
      <c r="TPF3" s="466"/>
      <c r="TPG3" s="497"/>
      <c r="TPH3" s="496"/>
      <c r="TPI3" s="498"/>
      <c r="TPJ3" s="498"/>
      <c r="TPK3" s="498"/>
      <c r="TPL3" s="466"/>
      <c r="TPM3" s="466"/>
      <c r="TPN3" s="497"/>
      <c r="TPO3" s="496"/>
      <c r="TPP3" s="498"/>
      <c r="TPQ3" s="498"/>
      <c r="TPR3" s="498"/>
      <c r="TPS3" s="466"/>
      <c r="TPT3" s="466"/>
      <c r="TPU3" s="497"/>
      <c r="TPV3" s="496"/>
      <c r="TPW3" s="498"/>
      <c r="TPX3" s="498"/>
      <c r="TPY3" s="498"/>
      <c r="TPZ3" s="466"/>
      <c r="TQA3" s="466"/>
      <c r="TQB3" s="497"/>
      <c r="TQC3" s="496"/>
      <c r="TQD3" s="498"/>
      <c r="TQE3" s="498"/>
      <c r="TQF3" s="498"/>
      <c r="TQG3" s="466"/>
      <c r="TQH3" s="466"/>
      <c r="TQI3" s="497"/>
      <c r="TQJ3" s="496"/>
      <c r="TQK3" s="498"/>
      <c r="TQL3" s="498"/>
      <c r="TQM3" s="498"/>
      <c r="TQN3" s="466"/>
      <c r="TQO3" s="466"/>
      <c r="TQP3" s="497"/>
      <c r="TQQ3" s="496"/>
      <c r="TQR3" s="498"/>
      <c r="TQS3" s="498"/>
      <c r="TQT3" s="498"/>
      <c r="TQU3" s="466"/>
      <c r="TQV3" s="466"/>
      <c r="TQW3" s="497"/>
      <c r="TQX3" s="496"/>
      <c r="TQY3" s="498"/>
      <c r="TQZ3" s="498"/>
      <c r="TRA3" s="498"/>
      <c r="TRB3" s="466"/>
      <c r="TRC3" s="466"/>
      <c r="TRD3" s="497"/>
      <c r="TRE3" s="496"/>
      <c r="TRF3" s="498"/>
      <c r="TRG3" s="498"/>
      <c r="TRH3" s="498"/>
      <c r="TRI3" s="466"/>
      <c r="TRJ3" s="466"/>
      <c r="TRK3" s="497"/>
      <c r="TRL3" s="496"/>
      <c r="TRM3" s="498"/>
      <c r="TRN3" s="498"/>
      <c r="TRO3" s="498"/>
      <c r="TRP3" s="466"/>
      <c r="TRQ3" s="466"/>
      <c r="TRR3" s="497"/>
      <c r="TRS3" s="496"/>
      <c r="TRT3" s="498"/>
      <c r="TRU3" s="498"/>
      <c r="TRV3" s="498"/>
      <c r="TRW3" s="466"/>
      <c r="TRX3" s="466"/>
      <c r="TRY3" s="497"/>
      <c r="TRZ3" s="496"/>
      <c r="TSA3" s="498"/>
      <c r="TSB3" s="498"/>
      <c r="TSC3" s="498"/>
      <c r="TSD3" s="466"/>
      <c r="TSE3" s="466"/>
      <c r="TSF3" s="497"/>
      <c r="TSG3" s="496"/>
      <c r="TSH3" s="498"/>
      <c r="TSI3" s="498"/>
      <c r="TSJ3" s="498"/>
      <c r="TSK3" s="466"/>
      <c r="TSL3" s="466"/>
      <c r="TSM3" s="497"/>
      <c r="TSN3" s="496"/>
      <c r="TSO3" s="498"/>
      <c r="TSP3" s="498"/>
      <c r="TSQ3" s="498"/>
      <c r="TSR3" s="466"/>
      <c r="TSS3" s="466"/>
      <c r="TST3" s="497"/>
      <c r="TSU3" s="496"/>
      <c r="TSV3" s="498"/>
      <c r="TSW3" s="498"/>
      <c r="TSX3" s="498"/>
      <c r="TSY3" s="466"/>
      <c r="TSZ3" s="466"/>
      <c r="TTA3" s="497"/>
      <c r="TTB3" s="496"/>
      <c r="TTC3" s="498"/>
      <c r="TTD3" s="498"/>
      <c r="TTE3" s="498"/>
      <c r="TTF3" s="466"/>
      <c r="TTG3" s="466"/>
      <c r="TTH3" s="497"/>
      <c r="TTI3" s="496"/>
      <c r="TTJ3" s="498"/>
      <c r="TTK3" s="498"/>
      <c r="TTL3" s="498"/>
      <c r="TTM3" s="466"/>
      <c r="TTN3" s="466"/>
      <c r="TTO3" s="497"/>
      <c r="TTP3" s="496"/>
      <c r="TTQ3" s="498"/>
      <c r="TTR3" s="498"/>
      <c r="TTS3" s="498"/>
      <c r="TTT3" s="466"/>
      <c r="TTU3" s="466"/>
      <c r="TTV3" s="497"/>
      <c r="TTW3" s="496"/>
      <c r="TTX3" s="498"/>
      <c r="TTY3" s="498"/>
      <c r="TTZ3" s="498"/>
      <c r="TUA3" s="466"/>
      <c r="TUB3" s="466"/>
      <c r="TUC3" s="497"/>
      <c r="TUD3" s="496"/>
      <c r="TUE3" s="498"/>
      <c r="TUF3" s="498"/>
      <c r="TUG3" s="498"/>
      <c r="TUH3" s="466"/>
      <c r="TUI3" s="466"/>
      <c r="TUJ3" s="497"/>
      <c r="TUK3" s="496"/>
      <c r="TUL3" s="498"/>
      <c r="TUM3" s="498"/>
      <c r="TUN3" s="498"/>
      <c r="TUO3" s="466"/>
      <c r="TUP3" s="466"/>
      <c r="TUQ3" s="497"/>
      <c r="TUR3" s="496"/>
      <c r="TUS3" s="498"/>
      <c r="TUT3" s="498"/>
      <c r="TUU3" s="498"/>
      <c r="TUV3" s="466"/>
      <c r="TUW3" s="466"/>
      <c r="TUX3" s="497"/>
      <c r="TUY3" s="496"/>
      <c r="TUZ3" s="498"/>
      <c r="TVA3" s="498"/>
      <c r="TVB3" s="498"/>
      <c r="TVC3" s="466"/>
      <c r="TVD3" s="466"/>
      <c r="TVE3" s="497"/>
      <c r="TVF3" s="496"/>
      <c r="TVG3" s="498"/>
      <c r="TVH3" s="498"/>
      <c r="TVI3" s="498"/>
      <c r="TVJ3" s="466"/>
      <c r="TVK3" s="466"/>
      <c r="TVL3" s="497"/>
      <c r="TVM3" s="496"/>
      <c r="TVN3" s="498"/>
      <c r="TVO3" s="498"/>
      <c r="TVP3" s="498"/>
      <c r="TVQ3" s="466"/>
      <c r="TVR3" s="466"/>
      <c r="TVS3" s="497"/>
      <c r="TVT3" s="496"/>
      <c r="TVU3" s="498"/>
      <c r="TVV3" s="498"/>
      <c r="TVW3" s="498"/>
      <c r="TVX3" s="466"/>
      <c r="TVY3" s="466"/>
      <c r="TVZ3" s="497"/>
      <c r="TWA3" s="496"/>
      <c r="TWB3" s="498"/>
      <c r="TWC3" s="498"/>
      <c r="TWD3" s="498"/>
      <c r="TWE3" s="466"/>
      <c r="TWF3" s="466"/>
      <c r="TWG3" s="497"/>
      <c r="TWH3" s="496"/>
      <c r="TWI3" s="498"/>
      <c r="TWJ3" s="498"/>
      <c r="TWK3" s="498"/>
      <c r="TWL3" s="466"/>
      <c r="TWM3" s="466"/>
      <c r="TWN3" s="497"/>
      <c r="TWO3" s="496"/>
      <c r="TWP3" s="498"/>
      <c r="TWQ3" s="498"/>
      <c r="TWR3" s="498"/>
      <c r="TWS3" s="466"/>
      <c r="TWT3" s="466"/>
      <c r="TWU3" s="497"/>
      <c r="TWV3" s="496"/>
      <c r="TWW3" s="498"/>
      <c r="TWX3" s="498"/>
      <c r="TWY3" s="498"/>
      <c r="TWZ3" s="466"/>
      <c r="TXA3" s="466"/>
      <c r="TXB3" s="497"/>
      <c r="TXC3" s="496"/>
      <c r="TXD3" s="498"/>
      <c r="TXE3" s="498"/>
      <c r="TXF3" s="498"/>
      <c r="TXG3" s="466"/>
      <c r="TXH3" s="466"/>
      <c r="TXI3" s="497"/>
      <c r="TXJ3" s="496"/>
      <c r="TXK3" s="498"/>
      <c r="TXL3" s="498"/>
      <c r="TXM3" s="498"/>
      <c r="TXN3" s="466"/>
      <c r="TXO3" s="466"/>
      <c r="TXP3" s="497"/>
      <c r="TXQ3" s="496"/>
      <c r="TXR3" s="498"/>
      <c r="TXS3" s="498"/>
      <c r="TXT3" s="498"/>
      <c r="TXU3" s="466"/>
      <c r="TXV3" s="466"/>
      <c r="TXW3" s="497"/>
      <c r="TXX3" s="496"/>
      <c r="TXY3" s="498"/>
      <c r="TXZ3" s="498"/>
      <c r="TYA3" s="498"/>
      <c r="TYB3" s="466"/>
      <c r="TYC3" s="466"/>
      <c r="TYD3" s="497"/>
      <c r="TYE3" s="496"/>
      <c r="TYF3" s="498"/>
      <c r="TYG3" s="498"/>
      <c r="TYH3" s="498"/>
      <c r="TYI3" s="466"/>
      <c r="TYJ3" s="466"/>
      <c r="TYK3" s="497"/>
      <c r="TYL3" s="496"/>
      <c r="TYM3" s="498"/>
      <c r="TYN3" s="498"/>
      <c r="TYO3" s="498"/>
      <c r="TYP3" s="466"/>
      <c r="TYQ3" s="466"/>
      <c r="TYR3" s="497"/>
      <c r="TYS3" s="496"/>
      <c r="TYT3" s="498"/>
      <c r="TYU3" s="498"/>
      <c r="TYV3" s="498"/>
      <c r="TYW3" s="466"/>
      <c r="TYX3" s="466"/>
      <c r="TYY3" s="497"/>
      <c r="TYZ3" s="496"/>
      <c r="TZA3" s="498"/>
      <c r="TZB3" s="498"/>
      <c r="TZC3" s="498"/>
      <c r="TZD3" s="466"/>
      <c r="TZE3" s="466"/>
      <c r="TZF3" s="497"/>
      <c r="TZG3" s="496"/>
      <c r="TZH3" s="498"/>
      <c r="TZI3" s="498"/>
      <c r="TZJ3" s="498"/>
      <c r="TZK3" s="466"/>
      <c r="TZL3" s="466"/>
      <c r="TZM3" s="497"/>
      <c r="TZN3" s="496"/>
      <c r="TZO3" s="498"/>
      <c r="TZP3" s="498"/>
      <c r="TZQ3" s="498"/>
      <c r="TZR3" s="466"/>
      <c r="TZS3" s="466"/>
      <c r="TZT3" s="497"/>
      <c r="TZU3" s="496"/>
      <c r="TZV3" s="498"/>
      <c r="TZW3" s="498"/>
      <c r="TZX3" s="498"/>
      <c r="TZY3" s="466"/>
      <c r="TZZ3" s="466"/>
      <c r="UAA3" s="497"/>
      <c r="UAB3" s="496"/>
      <c r="UAC3" s="498"/>
      <c r="UAD3" s="498"/>
      <c r="UAE3" s="498"/>
      <c r="UAF3" s="466"/>
      <c r="UAG3" s="466"/>
      <c r="UAH3" s="497"/>
      <c r="UAI3" s="496"/>
      <c r="UAJ3" s="498"/>
      <c r="UAK3" s="498"/>
      <c r="UAL3" s="498"/>
      <c r="UAM3" s="466"/>
      <c r="UAN3" s="466"/>
      <c r="UAO3" s="497"/>
      <c r="UAP3" s="496"/>
      <c r="UAQ3" s="498"/>
      <c r="UAR3" s="498"/>
      <c r="UAS3" s="498"/>
      <c r="UAT3" s="466"/>
      <c r="UAU3" s="466"/>
      <c r="UAV3" s="497"/>
      <c r="UAW3" s="496"/>
      <c r="UAX3" s="498"/>
      <c r="UAY3" s="498"/>
      <c r="UAZ3" s="498"/>
      <c r="UBA3" s="466"/>
      <c r="UBB3" s="466"/>
      <c r="UBC3" s="497"/>
      <c r="UBD3" s="496"/>
      <c r="UBE3" s="498"/>
      <c r="UBF3" s="498"/>
      <c r="UBG3" s="498"/>
      <c r="UBH3" s="466"/>
      <c r="UBI3" s="466"/>
      <c r="UBJ3" s="497"/>
      <c r="UBK3" s="496"/>
      <c r="UBL3" s="498"/>
      <c r="UBM3" s="498"/>
      <c r="UBN3" s="498"/>
      <c r="UBO3" s="466"/>
      <c r="UBP3" s="466"/>
      <c r="UBQ3" s="497"/>
      <c r="UBR3" s="496"/>
      <c r="UBS3" s="498"/>
      <c r="UBT3" s="498"/>
      <c r="UBU3" s="498"/>
      <c r="UBV3" s="466"/>
      <c r="UBW3" s="466"/>
      <c r="UBX3" s="497"/>
      <c r="UBY3" s="496"/>
      <c r="UBZ3" s="498"/>
      <c r="UCA3" s="498"/>
      <c r="UCB3" s="498"/>
      <c r="UCC3" s="466"/>
      <c r="UCD3" s="466"/>
      <c r="UCE3" s="497"/>
      <c r="UCF3" s="496"/>
      <c r="UCG3" s="498"/>
      <c r="UCH3" s="498"/>
      <c r="UCI3" s="498"/>
      <c r="UCJ3" s="466"/>
      <c r="UCK3" s="466"/>
      <c r="UCL3" s="497"/>
      <c r="UCM3" s="496"/>
      <c r="UCN3" s="498"/>
      <c r="UCO3" s="498"/>
      <c r="UCP3" s="498"/>
      <c r="UCQ3" s="466"/>
      <c r="UCR3" s="466"/>
      <c r="UCS3" s="497"/>
      <c r="UCT3" s="496"/>
      <c r="UCU3" s="498"/>
      <c r="UCV3" s="498"/>
      <c r="UCW3" s="498"/>
      <c r="UCX3" s="466"/>
      <c r="UCY3" s="466"/>
      <c r="UCZ3" s="497"/>
      <c r="UDA3" s="496"/>
      <c r="UDB3" s="498"/>
      <c r="UDC3" s="498"/>
      <c r="UDD3" s="498"/>
      <c r="UDE3" s="466"/>
      <c r="UDF3" s="466"/>
      <c r="UDG3" s="497"/>
      <c r="UDH3" s="496"/>
      <c r="UDI3" s="498"/>
      <c r="UDJ3" s="498"/>
      <c r="UDK3" s="498"/>
      <c r="UDL3" s="466"/>
      <c r="UDM3" s="466"/>
      <c r="UDN3" s="497"/>
      <c r="UDO3" s="496"/>
      <c r="UDP3" s="498"/>
      <c r="UDQ3" s="498"/>
      <c r="UDR3" s="498"/>
      <c r="UDS3" s="466"/>
      <c r="UDT3" s="466"/>
      <c r="UDU3" s="497"/>
      <c r="UDV3" s="496"/>
      <c r="UDW3" s="498"/>
      <c r="UDX3" s="498"/>
      <c r="UDY3" s="498"/>
      <c r="UDZ3" s="466"/>
      <c r="UEA3" s="466"/>
      <c r="UEB3" s="497"/>
      <c r="UEC3" s="496"/>
      <c r="UED3" s="498"/>
      <c r="UEE3" s="498"/>
      <c r="UEF3" s="498"/>
      <c r="UEG3" s="466"/>
      <c r="UEH3" s="466"/>
      <c r="UEI3" s="497"/>
      <c r="UEJ3" s="496"/>
      <c r="UEK3" s="498"/>
      <c r="UEL3" s="498"/>
      <c r="UEM3" s="498"/>
      <c r="UEN3" s="466"/>
      <c r="UEO3" s="466"/>
      <c r="UEP3" s="497"/>
      <c r="UEQ3" s="496"/>
      <c r="UER3" s="498"/>
      <c r="UES3" s="498"/>
      <c r="UET3" s="498"/>
      <c r="UEU3" s="466"/>
      <c r="UEV3" s="466"/>
      <c r="UEW3" s="497"/>
      <c r="UEX3" s="496"/>
      <c r="UEY3" s="498"/>
      <c r="UEZ3" s="498"/>
      <c r="UFA3" s="498"/>
      <c r="UFB3" s="466"/>
      <c r="UFC3" s="466"/>
      <c r="UFD3" s="497"/>
      <c r="UFE3" s="496"/>
      <c r="UFF3" s="498"/>
      <c r="UFG3" s="498"/>
      <c r="UFH3" s="498"/>
      <c r="UFI3" s="466"/>
      <c r="UFJ3" s="466"/>
      <c r="UFK3" s="497"/>
      <c r="UFL3" s="496"/>
      <c r="UFM3" s="498"/>
      <c r="UFN3" s="498"/>
      <c r="UFO3" s="498"/>
      <c r="UFP3" s="466"/>
      <c r="UFQ3" s="466"/>
      <c r="UFR3" s="497"/>
      <c r="UFS3" s="496"/>
      <c r="UFT3" s="498"/>
      <c r="UFU3" s="498"/>
      <c r="UFV3" s="498"/>
      <c r="UFW3" s="466"/>
      <c r="UFX3" s="466"/>
      <c r="UFY3" s="497"/>
      <c r="UFZ3" s="496"/>
      <c r="UGA3" s="498"/>
      <c r="UGB3" s="498"/>
      <c r="UGC3" s="498"/>
      <c r="UGD3" s="466"/>
      <c r="UGE3" s="466"/>
      <c r="UGF3" s="497"/>
      <c r="UGG3" s="496"/>
      <c r="UGH3" s="498"/>
      <c r="UGI3" s="498"/>
      <c r="UGJ3" s="498"/>
      <c r="UGK3" s="466"/>
      <c r="UGL3" s="466"/>
      <c r="UGM3" s="497"/>
      <c r="UGN3" s="496"/>
      <c r="UGO3" s="498"/>
      <c r="UGP3" s="498"/>
      <c r="UGQ3" s="498"/>
      <c r="UGR3" s="466"/>
      <c r="UGS3" s="466"/>
      <c r="UGT3" s="497"/>
      <c r="UGU3" s="496"/>
      <c r="UGV3" s="498"/>
      <c r="UGW3" s="498"/>
      <c r="UGX3" s="498"/>
      <c r="UGY3" s="466"/>
      <c r="UGZ3" s="466"/>
      <c r="UHA3" s="497"/>
      <c r="UHB3" s="496"/>
      <c r="UHC3" s="498"/>
      <c r="UHD3" s="498"/>
      <c r="UHE3" s="498"/>
      <c r="UHF3" s="466"/>
      <c r="UHG3" s="466"/>
      <c r="UHH3" s="497"/>
      <c r="UHI3" s="496"/>
      <c r="UHJ3" s="498"/>
      <c r="UHK3" s="498"/>
      <c r="UHL3" s="498"/>
      <c r="UHM3" s="466"/>
      <c r="UHN3" s="466"/>
      <c r="UHO3" s="497"/>
      <c r="UHP3" s="496"/>
      <c r="UHQ3" s="498"/>
      <c r="UHR3" s="498"/>
      <c r="UHS3" s="498"/>
      <c r="UHT3" s="466"/>
      <c r="UHU3" s="466"/>
      <c r="UHV3" s="497"/>
      <c r="UHW3" s="496"/>
      <c r="UHX3" s="498"/>
      <c r="UHY3" s="498"/>
      <c r="UHZ3" s="498"/>
      <c r="UIA3" s="466"/>
      <c r="UIB3" s="466"/>
      <c r="UIC3" s="497"/>
      <c r="UID3" s="496"/>
      <c r="UIE3" s="498"/>
      <c r="UIF3" s="498"/>
      <c r="UIG3" s="498"/>
      <c r="UIH3" s="466"/>
      <c r="UII3" s="466"/>
      <c r="UIJ3" s="497"/>
      <c r="UIK3" s="496"/>
      <c r="UIL3" s="498"/>
      <c r="UIM3" s="498"/>
      <c r="UIN3" s="498"/>
      <c r="UIO3" s="466"/>
      <c r="UIP3" s="466"/>
      <c r="UIQ3" s="497"/>
      <c r="UIR3" s="496"/>
      <c r="UIS3" s="498"/>
      <c r="UIT3" s="498"/>
      <c r="UIU3" s="498"/>
      <c r="UIV3" s="466"/>
      <c r="UIW3" s="466"/>
      <c r="UIX3" s="497"/>
      <c r="UIY3" s="496"/>
      <c r="UIZ3" s="498"/>
      <c r="UJA3" s="498"/>
      <c r="UJB3" s="498"/>
      <c r="UJC3" s="466"/>
      <c r="UJD3" s="466"/>
      <c r="UJE3" s="497"/>
      <c r="UJF3" s="496"/>
      <c r="UJG3" s="498"/>
      <c r="UJH3" s="498"/>
      <c r="UJI3" s="498"/>
      <c r="UJJ3" s="466"/>
      <c r="UJK3" s="466"/>
      <c r="UJL3" s="497"/>
      <c r="UJM3" s="496"/>
      <c r="UJN3" s="498"/>
      <c r="UJO3" s="498"/>
      <c r="UJP3" s="498"/>
      <c r="UJQ3" s="466"/>
      <c r="UJR3" s="466"/>
      <c r="UJS3" s="497"/>
      <c r="UJT3" s="496"/>
      <c r="UJU3" s="498"/>
      <c r="UJV3" s="498"/>
      <c r="UJW3" s="498"/>
      <c r="UJX3" s="466"/>
      <c r="UJY3" s="466"/>
      <c r="UJZ3" s="497"/>
      <c r="UKA3" s="496"/>
      <c r="UKB3" s="498"/>
      <c r="UKC3" s="498"/>
      <c r="UKD3" s="498"/>
      <c r="UKE3" s="466"/>
      <c r="UKF3" s="466"/>
      <c r="UKG3" s="497"/>
      <c r="UKH3" s="496"/>
      <c r="UKI3" s="498"/>
      <c r="UKJ3" s="498"/>
      <c r="UKK3" s="498"/>
      <c r="UKL3" s="466"/>
      <c r="UKM3" s="466"/>
      <c r="UKN3" s="497"/>
      <c r="UKO3" s="496"/>
      <c r="UKP3" s="498"/>
      <c r="UKQ3" s="498"/>
      <c r="UKR3" s="498"/>
      <c r="UKS3" s="466"/>
      <c r="UKT3" s="466"/>
      <c r="UKU3" s="497"/>
      <c r="UKV3" s="496"/>
      <c r="UKW3" s="498"/>
      <c r="UKX3" s="498"/>
      <c r="UKY3" s="498"/>
      <c r="UKZ3" s="466"/>
      <c r="ULA3" s="466"/>
      <c r="ULB3" s="497"/>
      <c r="ULC3" s="496"/>
      <c r="ULD3" s="498"/>
      <c r="ULE3" s="498"/>
      <c r="ULF3" s="498"/>
      <c r="ULG3" s="466"/>
      <c r="ULH3" s="466"/>
      <c r="ULI3" s="497"/>
      <c r="ULJ3" s="496"/>
      <c r="ULK3" s="498"/>
      <c r="ULL3" s="498"/>
      <c r="ULM3" s="498"/>
      <c r="ULN3" s="466"/>
      <c r="ULO3" s="466"/>
      <c r="ULP3" s="497"/>
      <c r="ULQ3" s="496"/>
      <c r="ULR3" s="498"/>
      <c r="ULS3" s="498"/>
      <c r="ULT3" s="498"/>
      <c r="ULU3" s="466"/>
      <c r="ULV3" s="466"/>
      <c r="ULW3" s="497"/>
      <c r="ULX3" s="496"/>
      <c r="ULY3" s="498"/>
      <c r="ULZ3" s="498"/>
      <c r="UMA3" s="498"/>
      <c r="UMB3" s="466"/>
      <c r="UMC3" s="466"/>
      <c r="UMD3" s="497"/>
      <c r="UME3" s="496"/>
      <c r="UMF3" s="498"/>
      <c r="UMG3" s="498"/>
      <c r="UMH3" s="498"/>
      <c r="UMI3" s="466"/>
      <c r="UMJ3" s="466"/>
      <c r="UMK3" s="497"/>
      <c r="UML3" s="496"/>
      <c r="UMM3" s="498"/>
      <c r="UMN3" s="498"/>
      <c r="UMO3" s="498"/>
      <c r="UMP3" s="466"/>
      <c r="UMQ3" s="466"/>
      <c r="UMR3" s="497"/>
      <c r="UMS3" s="496"/>
      <c r="UMT3" s="498"/>
      <c r="UMU3" s="498"/>
      <c r="UMV3" s="498"/>
      <c r="UMW3" s="466"/>
      <c r="UMX3" s="466"/>
      <c r="UMY3" s="497"/>
      <c r="UMZ3" s="496"/>
      <c r="UNA3" s="498"/>
      <c r="UNB3" s="498"/>
      <c r="UNC3" s="498"/>
      <c r="UND3" s="466"/>
      <c r="UNE3" s="466"/>
      <c r="UNF3" s="497"/>
      <c r="UNG3" s="496"/>
      <c r="UNH3" s="498"/>
      <c r="UNI3" s="498"/>
      <c r="UNJ3" s="498"/>
      <c r="UNK3" s="466"/>
      <c r="UNL3" s="466"/>
      <c r="UNM3" s="497"/>
      <c r="UNN3" s="496"/>
      <c r="UNO3" s="498"/>
      <c r="UNP3" s="498"/>
      <c r="UNQ3" s="498"/>
      <c r="UNR3" s="466"/>
      <c r="UNS3" s="466"/>
      <c r="UNT3" s="497"/>
      <c r="UNU3" s="496"/>
      <c r="UNV3" s="498"/>
      <c r="UNW3" s="498"/>
      <c r="UNX3" s="498"/>
      <c r="UNY3" s="466"/>
      <c r="UNZ3" s="466"/>
      <c r="UOA3" s="497"/>
      <c r="UOB3" s="496"/>
      <c r="UOC3" s="498"/>
      <c r="UOD3" s="498"/>
      <c r="UOE3" s="498"/>
      <c r="UOF3" s="466"/>
      <c r="UOG3" s="466"/>
      <c r="UOH3" s="497"/>
      <c r="UOI3" s="496"/>
      <c r="UOJ3" s="498"/>
      <c r="UOK3" s="498"/>
      <c r="UOL3" s="498"/>
      <c r="UOM3" s="466"/>
      <c r="UON3" s="466"/>
      <c r="UOO3" s="497"/>
      <c r="UOP3" s="496"/>
      <c r="UOQ3" s="498"/>
      <c r="UOR3" s="498"/>
      <c r="UOS3" s="498"/>
      <c r="UOT3" s="466"/>
      <c r="UOU3" s="466"/>
      <c r="UOV3" s="497"/>
      <c r="UOW3" s="496"/>
      <c r="UOX3" s="498"/>
      <c r="UOY3" s="498"/>
      <c r="UOZ3" s="498"/>
      <c r="UPA3" s="466"/>
      <c r="UPB3" s="466"/>
      <c r="UPC3" s="497"/>
      <c r="UPD3" s="496"/>
      <c r="UPE3" s="498"/>
      <c r="UPF3" s="498"/>
      <c r="UPG3" s="498"/>
      <c r="UPH3" s="466"/>
      <c r="UPI3" s="466"/>
      <c r="UPJ3" s="497"/>
      <c r="UPK3" s="496"/>
      <c r="UPL3" s="498"/>
      <c r="UPM3" s="498"/>
      <c r="UPN3" s="498"/>
      <c r="UPO3" s="466"/>
      <c r="UPP3" s="466"/>
      <c r="UPQ3" s="497"/>
      <c r="UPR3" s="496"/>
      <c r="UPS3" s="498"/>
      <c r="UPT3" s="498"/>
      <c r="UPU3" s="498"/>
      <c r="UPV3" s="466"/>
      <c r="UPW3" s="466"/>
      <c r="UPX3" s="497"/>
      <c r="UPY3" s="496"/>
      <c r="UPZ3" s="498"/>
      <c r="UQA3" s="498"/>
      <c r="UQB3" s="498"/>
      <c r="UQC3" s="466"/>
      <c r="UQD3" s="466"/>
      <c r="UQE3" s="497"/>
      <c r="UQF3" s="496"/>
      <c r="UQG3" s="498"/>
      <c r="UQH3" s="498"/>
      <c r="UQI3" s="498"/>
      <c r="UQJ3" s="466"/>
      <c r="UQK3" s="466"/>
      <c r="UQL3" s="497"/>
      <c r="UQM3" s="496"/>
      <c r="UQN3" s="498"/>
      <c r="UQO3" s="498"/>
      <c r="UQP3" s="498"/>
      <c r="UQQ3" s="466"/>
      <c r="UQR3" s="466"/>
      <c r="UQS3" s="497"/>
      <c r="UQT3" s="496"/>
      <c r="UQU3" s="498"/>
      <c r="UQV3" s="498"/>
      <c r="UQW3" s="498"/>
      <c r="UQX3" s="466"/>
      <c r="UQY3" s="466"/>
      <c r="UQZ3" s="497"/>
      <c r="URA3" s="496"/>
      <c r="URB3" s="498"/>
      <c r="URC3" s="498"/>
      <c r="URD3" s="498"/>
      <c r="URE3" s="466"/>
      <c r="URF3" s="466"/>
      <c r="URG3" s="497"/>
      <c r="URH3" s="496"/>
      <c r="URI3" s="498"/>
      <c r="URJ3" s="498"/>
      <c r="URK3" s="498"/>
      <c r="URL3" s="466"/>
      <c r="URM3" s="466"/>
      <c r="URN3" s="497"/>
      <c r="URO3" s="496"/>
      <c r="URP3" s="498"/>
      <c r="URQ3" s="498"/>
      <c r="URR3" s="498"/>
      <c r="URS3" s="466"/>
      <c r="URT3" s="466"/>
      <c r="URU3" s="497"/>
      <c r="URV3" s="496"/>
      <c r="URW3" s="498"/>
      <c r="URX3" s="498"/>
      <c r="URY3" s="498"/>
      <c r="URZ3" s="466"/>
      <c r="USA3" s="466"/>
      <c r="USB3" s="497"/>
      <c r="USC3" s="496"/>
      <c r="USD3" s="498"/>
      <c r="USE3" s="498"/>
      <c r="USF3" s="498"/>
      <c r="USG3" s="466"/>
      <c r="USH3" s="466"/>
      <c r="USI3" s="497"/>
      <c r="USJ3" s="496"/>
      <c r="USK3" s="498"/>
      <c r="USL3" s="498"/>
      <c r="USM3" s="498"/>
      <c r="USN3" s="466"/>
      <c r="USO3" s="466"/>
      <c r="USP3" s="497"/>
      <c r="USQ3" s="496"/>
      <c r="USR3" s="498"/>
      <c r="USS3" s="498"/>
      <c r="UST3" s="498"/>
      <c r="USU3" s="466"/>
      <c r="USV3" s="466"/>
      <c r="USW3" s="497"/>
      <c r="USX3" s="496"/>
      <c r="USY3" s="498"/>
      <c r="USZ3" s="498"/>
      <c r="UTA3" s="498"/>
      <c r="UTB3" s="466"/>
      <c r="UTC3" s="466"/>
      <c r="UTD3" s="497"/>
      <c r="UTE3" s="496"/>
      <c r="UTF3" s="498"/>
      <c r="UTG3" s="498"/>
      <c r="UTH3" s="498"/>
      <c r="UTI3" s="466"/>
      <c r="UTJ3" s="466"/>
      <c r="UTK3" s="497"/>
      <c r="UTL3" s="496"/>
      <c r="UTM3" s="498"/>
      <c r="UTN3" s="498"/>
      <c r="UTO3" s="498"/>
      <c r="UTP3" s="466"/>
      <c r="UTQ3" s="466"/>
      <c r="UTR3" s="497"/>
      <c r="UTS3" s="496"/>
      <c r="UTT3" s="498"/>
      <c r="UTU3" s="498"/>
      <c r="UTV3" s="498"/>
      <c r="UTW3" s="466"/>
      <c r="UTX3" s="466"/>
      <c r="UTY3" s="497"/>
      <c r="UTZ3" s="496"/>
      <c r="UUA3" s="498"/>
      <c r="UUB3" s="498"/>
      <c r="UUC3" s="498"/>
      <c r="UUD3" s="466"/>
      <c r="UUE3" s="466"/>
      <c r="UUF3" s="497"/>
      <c r="UUG3" s="496"/>
      <c r="UUH3" s="498"/>
      <c r="UUI3" s="498"/>
      <c r="UUJ3" s="498"/>
      <c r="UUK3" s="466"/>
      <c r="UUL3" s="466"/>
      <c r="UUM3" s="497"/>
      <c r="UUN3" s="496"/>
      <c r="UUO3" s="498"/>
      <c r="UUP3" s="498"/>
      <c r="UUQ3" s="498"/>
      <c r="UUR3" s="466"/>
      <c r="UUS3" s="466"/>
      <c r="UUT3" s="497"/>
      <c r="UUU3" s="496"/>
      <c r="UUV3" s="498"/>
      <c r="UUW3" s="498"/>
      <c r="UUX3" s="498"/>
      <c r="UUY3" s="466"/>
      <c r="UUZ3" s="466"/>
      <c r="UVA3" s="497"/>
      <c r="UVB3" s="496"/>
      <c r="UVC3" s="498"/>
      <c r="UVD3" s="498"/>
      <c r="UVE3" s="498"/>
      <c r="UVF3" s="466"/>
      <c r="UVG3" s="466"/>
      <c r="UVH3" s="497"/>
      <c r="UVI3" s="496"/>
      <c r="UVJ3" s="498"/>
      <c r="UVK3" s="498"/>
      <c r="UVL3" s="498"/>
      <c r="UVM3" s="466"/>
      <c r="UVN3" s="466"/>
      <c r="UVO3" s="497"/>
      <c r="UVP3" s="496"/>
      <c r="UVQ3" s="498"/>
      <c r="UVR3" s="498"/>
      <c r="UVS3" s="498"/>
      <c r="UVT3" s="466"/>
      <c r="UVU3" s="466"/>
      <c r="UVV3" s="497"/>
      <c r="UVW3" s="496"/>
      <c r="UVX3" s="498"/>
      <c r="UVY3" s="498"/>
      <c r="UVZ3" s="498"/>
      <c r="UWA3" s="466"/>
      <c r="UWB3" s="466"/>
      <c r="UWC3" s="497"/>
      <c r="UWD3" s="496"/>
      <c r="UWE3" s="498"/>
      <c r="UWF3" s="498"/>
      <c r="UWG3" s="498"/>
      <c r="UWH3" s="466"/>
      <c r="UWI3" s="466"/>
      <c r="UWJ3" s="497"/>
      <c r="UWK3" s="496"/>
      <c r="UWL3" s="498"/>
      <c r="UWM3" s="498"/>
      <c r="UWN3" s="498"/>
      <c r="UWO3" s="466"/>
      <c r="UWP3" s="466"/>
      <c r="UWQ3" s="497"/>
      <c r="UWR3" s="496"/>
      <c r="UWS3" s="498"/>
      <c r="UWT3" s="498"/>
      <c r="UWU3" s="498"/>
      <c r="UWV3" s="466"/>
      <c r="UWW3" s="466"/>
      <c r="UWX3" s="497"/>
      <c r="UWY3" s="496"/>
      <c r="UWZ3" s="498"/>
      <c r="UXA3" s="498"/>
      <c r="UXB3" s="498"/>
      <c r="UXC3" s="466"/>
      <c r="UXD3" s="466"/>
      <c r="UXE3" s="497"/>
      <c r="UXF3" s="496"/>
      <c r="UXG3" s="498"/>
      <c r="UXH3" s="498"/>
      <c r="UXI3" s="498"/>
      <c r="UXJ3" s="466"/>
      <c r="UXK3" s="466"/>
      <c r="UXL3" s="497"/>
      <c r="UXM3" s="496"/>
      <c r="UXN3" s="498"/>
      <c r="UXO3" s="498"/>
      <c r="UXP3" s="498"/>
      <c r="UXQ3" s="466"/>
      <c r="UXR3" s="466"/>
      <c r="UXS3" s="497"/>
      <c r="UXT3" s="496"/>
      <c r="UXU3" s="498"/>
      <c r="UXV3" s="498"/>
      <c r="UXW3" s="498"/>
      <c r="UXX3" s="466"/>
      <c r="UXY3" s="466"/>
      <c r="UXZ3" s="497"/>
      <c r="UYA3" s="496"/>
      <c r="UYB3" s="498"/>
      <c r="UYC3" s="498"/>
      <c r="UYD3" s="498"/>
      <c r="UYE3" s="466"/>
      <c r="UYF3" s="466"/>
      <c r="UYG3" s="497"/>
      <c r="UYH3" s="496"/>
      <c r="UYI3" s="498"/>
      <c r="UYJ3" s="498"/>
      <c r="UYK3" s="498"/>
      <c r="UYL3" s="466"/>
      <c r="UYM3" s="466"/>
      <c r="UYN3" s="497"/>
      <c r="UYO3" s="496"/>
      <c r="UYP3" s="498"/>
      <c r="UYQ3" s="498"/>
      <c r="UYR3" s="498"/>
      <c r="UYS3" s="466"/>
      <c r="UYT3" s="466"/>
      <c r="UYU3" s="497"/>
      <c r="UYV3" s="496"/>
      <c r="UYW3" s="498"/>
      <c r="UYX3" s="498"/>
      <c r="UYY3" s="498"/>
      <c r="UYZ3" s="466"/>
      <c r="UZA3" s="466"/>
      <c r="UZB3" s="497"/>
      <c r="UZC3" s="496"/>
      <c r="UZD3" s="498"/>
      <c r="UZE3" s="498"/>
      <c r="UZF3" s="498"/>
      <c r="UZG3" s="466"/>
      <c r="UZH3" s="466"/>
      <c r="UZI3" s="497"/>
      <c r="UZJ3" s="496"/>
      <c r="UZK3" s="498"/>
      <c r="UZL3" s="498"/>
      <c r="UZM3" s="498"/>
      <c r="UZN3" s="466"/>
      <c r="UZO3" s="466"/>
      <c r="UZP3" s="497"/>
      <c r="UZQ3" s="496"/>
      <c r="UZR3" s="498"/>
      <c r="UZS3" s="498"/>
      <c r="UZT3" s="498"/>
      <c r="UZU3" s="466"/>
      <c r="UZV3" s="466"/>
      <c r="UZW3" s="497"/>
      <c r="UZX3" s="496"/>
      <c r="UZY3" s="498"/>
      <c r="UZZ3" s="498"/>
      <c r="VAA3" s="498"/>
      <c r="VAB3" s="466"/>
      <c r="VAC3" s="466"/>
      <c r="VAD3" s="497"/>
      <c r="VAE3" s="496"/>
      <c r="VAF3" s="498"/>
      <c r="VAG3" s="498"/>
      <c r="VAH3" s="498"/>
      <c r="VAI3" s="466"/>
      <c r="VAJ3" s="466"/>
      <c r="VAK3" s="497"/>
      <c r="VAL3" s="496"/>
      <c r="VAM3" s="498"/>
      <c r="VAN3" s="498"/>
      <c r="VAO3" s="498"/>
      <c r="VAP3" s="466"/>
      <c r="VAQ3" s="466"/>
      <c r="VAR3" s="497"/>
      <c r="VAS3" s="496"/>
      <c r="VAT3" s="498"/>
      <c r="VAU3" s="498"/>
      <c r="VAV3" s="498"/>
      <c r="VAW3" s="466"/>
      <c r="VAX3" s="466"/>
      <c r="VAY3" s="497"/>
      <c r="VAZ3" s="496"/>
      <c r="VBA3" s="498"/>
      <c r="VBB3" s="498"/>
      <c r="VBC3" s="498"/>
      <c r="VBD3" s="466"/>
      <c r="VBE3" s="466"/>
      <c r="VBF3" s="497"/>
      <c r="VBG3" s="496"/>
      <c r="VBH3" s="498"/>
      <c r="VBI3" s="498"/>
      <c r="VBJ3" s="498"/>
      <c r="VBK3" s="466"/>
      <c r="VBL3" s="466"/>
      <c r="VBM3" s="497"/>
      <c r="VBN3" s="496"/>
      <c r="VBO3" s="498"/>
      <c r="VBP3" s="498"/>
      <c r="VBQ3" s="498"/>
      <c r="VBR3" s="466"/>
      <c r="VBS3" s="466"/>
      <c r="VBT3" s="497"/>
      <c r="VBU3" s="496"/>
      <c r="VBV3" s="498"/>
      <c r="VBW3" s="498"/>
      <c r="VBX3" s="498"/>
      <c r="VBY3" s="466"/>
      <c r="VBZ3" s="466"/>
      <c r="VCA3" s="497"/>
      <c r="VCB3" s="496"/>
      <c r="VCC3" s="498"/>
      <c r="VCD3" s="498"/>
      <c r="VCE3" s="498"/>
      <c r="VCF3" s="466"/>
      <c r="VCG3" s="466"/>
      <c r="VCH3" s="497"/>
      <c r="VCI3" s="496"/>
      <c r="VCJ3" s="498"/>
      <c r="VCK3" s="498"/>
      <c r="VCL3" s="498"/>
      <c r="VCM3" s="466"/>
      <c r="VCN3" s="466"/>
      <c r="VCO3" s="497"/>
      <c r="VCP3" s="496"/>
      <c r="VCQ3" s="498"/>
      <c r="VCR3" s="498"/>
      <c r="VCS3" s="498"/>
      <c r="VCT3" s="466"/>
      <c r="VCU3" s="466"/>
      <c r="VCV3" s="497"/>
      <c r="VCW3" s="496"/>
      <c r="VCX3" s="498"/>
      <c r="VCY3" s="498"/>
      <c r="VCZ3" s="498"/>
      <c r="VDA3" s="466"/>
      <c r="VDB3" s="466"/>
      <c r="VDC3" s="497"/>
      <c r="VDD3" s="496"/>
      <c r="VDE3" s="498"/>
      <c r="VDF3" s="498"/>
      <c r="VDG3" s="498"/>
      <c r="VDH3" s="466"/>
      <c r="VDI3" s="466"/>
      <c r="VDJ3" s="497"/>
      <c r="VDK3" s="496"/>
      <c r="VDL3" s="498"/>
      <c r="VDM3" s="498"/>
      <c r="VDN3" s="498"/>
      <c r="VDO3" s="466"/>
      <c r="VDP3" s="466"/>
      <c r="VDQ3" s="497"/>
      <c r="VDR3" s="496"/>
      <c r="VDS3" s="498"/>
      <c r="VDT3" s="498"/>
      <c r="VDU3" s="498"/>
      <c r="VDV3" s="466"/>
      <c r="VDW3" s="466"/>
      <c r="VDX3" s="497"/>
      <c r="VDY3" s="496"/>
      <c r="VDZ3" s="498"/>
      <c r="VEA3" s="498"/>
      <c r="VEB3" s="498"/>
      <c r="VEC3" s="466"/>
      <c r="VED3" s="466"/>
      <c r="VEE3" s="497"/>
      <c r="VEF3" s="496"/>
      <c r="VEG3" s="498"/>
      <c r="VEH3" s="498"/>
      <c r="VEI3" s="498"/>
      <c r="VEJ3" s="466"/>
      <c r="VEK3" s="466"/>
      <c r="VEL3" s="497"/>
      <c r="VEM3" s="496"/>
      <c r="VEN3" s="498"/>
      <c r="VEO3" s="498"/>
      <c r="VEP3" s="498"/>
      <c r="VEQ3" s="466"/>
      <c r="VER3" s="466"/>
      <c r="VES3" s="497"/>
      <c r="VET3" s="496"/>
      <c r="VEU3" s="498"/>
      <c r="VEV3" s="498"/>
      <c r="VEW3" s="498"/>
      <c r="VEX3" s="466"/>
      <c r="VEY3" s="466"/>
      <c r="VEZ3" s="497"/>
      <c r="VFA3" s="496"/>
      <c r="VFB3" s="498"/>
      <c r="VFC3" s="498"/>
      <c r="VFD3" s="498"/>
      <c r="VFE3" s="466"/>
      <c r="VFF3" s="466"/>
      <c r="VFG3" s="497"/>
      <c r="VFH3" s="496"/>
      <c r="VFI3" s="498"/>
      <c r="VFJ3" s="498"/>
      <c r="VFK3" s="498"/>
      <c r="VFL3" s="466"/>
      <c r="VFM3" s="466"/>
      <c r="VFN3" s="497"/>
      <c r="VFO3" s="496"/>
      <c r="VFP3" s="498"/>
      <c r="VFQ3" s="498"/>
      <c r="VFR3" s="498"/>
      <c r="VFS3" s="466"/>
      <c r="VFT3" s="466"/>
      <c r="VFU3" s="497"/>
      <c r="VFV3" s="496"/>
      <c r="VFW3" s="498"/>
      <c r="VFX3" s="498"/>
      <c r="VFY3" s="498"/>
      <c r="VFZ3" s="466"/>
      <c r="VGA3" s="466"/>
      <c r="VGB3" s="497"/>
      <c r="VGC3" s="496"/>
      <c r="VGD3" s="498"/>
      <c r="VGE3" s="498"/>
      <c r="VGF3" s="498"/>
      <c r="VGG3" s="466"/>
      <c r="VGH3" s="466"/>
      <c r="VGI3" s="497"/>
      <c r="VGJ3" s="496"/>
      <c r="VGK3" s="498"/>
      <c r="VGL3" s="498"/>
      <c r="VGM3" s="498"/>
      <c r="VGN3" s="466"/>
      <c r="VGO3" s="466"/>
      <c r="VGP3" s="497"/>
      <c r="VGQ3" s="496"/>
      <c r="VGR3" s="498"/>
      <c r="VGS3" s="498"/>
      <c r="VGT3" s="498"/>
      <c r="VGU3" s="466"/>
      <c r="VGV3" s="466"/>
      <c r="VGW3" s="497"/>
      <c r="VGX3" s="496"/>
      <c r="VGY3" s="498"/>
      <c r="VGZ3" s="498"/>
      <c r="VHA3" s="498"/>
      <c r="VHB3" s="466"/>
      <c r="VHC3" s="466"/>
      <c r="VHD3" s="497"/>
      <c r="VHE3" s="496"/>
      <c r="VHF3" s="498"/>
      <c r="VHG3" s="498"/>
      <c r="VHH3" s="498"/>
      <c r="VHI3" s="466"/>
      <c r="VHJ3" s="466"/>
      <c r="VHK3" s="497"/>
      <c r="VHL3" s="496"/>
      <c r="VHM3" s="498"/>
      <c r="VHN3" s="498"/>
      <c r="VHO3" s="498"/>
      <c r="VHP3" s="466"/>
      <c r="VHQ3" s="466"/>
      <c r="VHR3" s="497"/>
      <c r="VHS3" s="496"/>
      <c r="VHT3" s="498"/>
      <c r="VHU3" s="498"/>
      <c r="VHV3" s="498"/>
      <c r="VHW3" s="466"/>
      <c r="VHX3" s="466"/>
      <c r="VHY3" s="497"/>
      <c r="VHZ3" s="496"/>
      <c r="VIA3" s="498"/>
      <c r="VIB3" s="498"/>
      <c r="VIC3" s="498"/>
      <c r="VID3" s="466"/>
      <c r="VIE3" s="466"/>
      <c r="VIF3" s="497"/>
      <c r="VIG3" s="496"/>
      <c r="VIH3" s="498"/>
      <c r="VII3" s="498"/>
      <c r="VIJ3" s="498"/>
      <c r="VIK3" s="466"/>
      <c r="VIL3" s="466"/>
      <c r="VIM3" s="497"/>
      <c r="VIN3" s="496"/>
      <c r="VIO3" s="498"/>
      <c r="VIP3" s="498"/>
      <c r="VIQ3" s="498"/>
      <c r="VIR3" s="466"/>
      <c r="VIS3" s="466"/>
      <c r="VIT3" s="497"/>
      <c r="VIU3" s="496"/>
      <c r="VIV3" s="498"/>
      <c r="VIW3" s="498"/>
      <c r="VIX3" s="498"/>
      <c r="VIY3" s="466"/>
      <c r="VIZ3" s="466"/>
      <c r="VJA3" s="497"/>
      <c r="VJB3" s="496"/>
      <c r="VJC3" s="498"/>
      <c r="VJD3" s="498"/>
      <c r="VJE3" s="498"/>
      <c r="VJF3" s="466"/>
      <c r="VJG3" s="466"/>
      <c r="VJH3" s="497"/>
      <c r="VJI3" s="496"/>
      <c r="VJJ3" s="498"/>
      <c r="VJK3" s="498"/>
      <c r="VJL3" s="498"/>
      <c r="VJM3" s="466"/>
      <c r="VJN3" s="466"/>
      <c r="VJO3" s="497"/>
      <c r="VJP3" s="496"/>
      <c r="VJQ3" s="498"/>
      <c r="VJR3" s="498"/>
      <c r="VJS3" s="498"/>
      <c r="VJT3" s="466"/>
      <c r="VJU3" s="466"/>
      <c r="VJV3" s="497"/>
      <c r="VJW3" s="496"/>
      <c r="VJX3" s="498"/>
      <c r="VJY3" s="498"/>
      <c r="VJZ3" s="498"/>
      <c r="VKA3" s="466"/>
      <c r="VKB3" s="466"/>
      <c r="VKC3" s="497"/>
      <c r="VKD3" s="496"/>
      <c r="VKE3" s="498"/>
      <c r="VKF3" s="498"/>
      <c r="VKG3" s="498"/>
      <c r="VKH3" s="466"/>
      <c r="VKI3" s="466"/>
      <c r="VKJ3" s="497"/>
      <c r="VKK3" s="496"/>
      <c r="VKL3" s="498"/>
      <c r="VKM3" s="498"/>
      <c r="VKN3" s="498"/>
      <c r="VKO3" s="466"/>
      <c r="VKP3" s="466"/>
      <c r="VKQ3" s="497"/>
      <c r="VKR3" s="496"/>
      <c r="VKS3" s="498"/>
      <c r="VKT3" s="498"/>
      <c r="VKU3" s="498"/>
      <c r="VKV3" s="466"/>
      <c r="VKW3" s="466"/>
      <c r="VKX3" s="497"/>
      <c r="VKY3" s="496"/>
      <c r="VKZ3" s="498"/>
      <c r="VLA3" s="498"/>
      <c r="VLB3" s="498"/>
      <c r="VLC3" s="466"/>
      <c r="VLD3" s="466"/>
      <c r="VLE3" s="497"/>
      <c r="VLF3" s="496"/>
      <c r="VLG3" s="498"/>
      <c r="VLH3" s="498"/>
      <c r="VLI3" s="498"/>
      <c r="VLJ3" s="466"/>
      <c r="VLK3" s="466"/>
      <c r="VLL3" s="497"/>
      <c r="VLM3" s="496"/>
      <c r="VLN3" s="498"/>
      <c r="VLO3" s="498"/>
      <c r="VLP3" s="498"/>
      <c r="VLQ3" s="466"/>
      <c r="VLR3" s="466"/>
      <c r="VLS3" s="497"/>
      <c r="VLT3" s="496"/>
      <c r="VLU3" s="498"/>
      <c r="VLV3" s="498"/>
      <c r="VLW3" s="498"/>
      <c r="VLX3" s="466"/>
      <c r="VLY3" s="466"/>
      <c r="VLZ3" s="497"/>
      <c r="VMA3" s="496"/>
      <c r="VMB3" s="498"/>
      <c r="VMC3" s="498"/>
      <c r="VMD3" s="498"/>
      <c r="VME3" s="466"/>
      <c r="VMF3" s="466"/>
      <c r="VMG3" s="497"/>
      <c r="VMH3" s="496"/>
      <c r="VMI3" s="498"/>
      <c r="VMJ3" s="498"/>
      <c r="VMK3" s="498"/>
      <c r="VML3" s="466"/>
      <c r="VMM3" s="466"/>
      <c r="VMN3" s="497"/>
      <c r="VMO3" s="496"/>
      <c r="VMP3" s="498"/>
      <c r="VMQ3" s="498"/>
      <c r="VMR3" s="498"/>
      <c r="VMS3" s="466"/>
      <c r="VMT3" s="466"/>
      <c r="VMU3" s="497"/>
      <c r="VMV3" s="496"/>
      <c r="VMW3" s="498"/>
      <c r="VMX3" s="498"/>
      <c r="VMY3" s="498"/>
      <c r="VMZ3" s="466"/>
      <c r="VNA3" s="466"/>
      <c r="VNB3" s="497"/>
      <c r="VNC3" s="496"/>
      <c r="VND3" s="498"/>
      <c r="VNE3" s="498"/>
      <c r="VNF3" s="498"/>
      <c r="VNG3" s="466"/>
      <c r="VNH3" s="466"/>
      <c r="VNI3" s="497"/>
      <c r="VNJ3" s="496"/>
      <c r="VNK3" s="498"/>
      <c r="VNL3" s="498"/>
      <c r="VNM3" s="498"/>
      <c r="VNN3" s="466"/>
      <c r="VNO3" s="466"/>
      <c r="VNP3" s="497"/>
      <c r="VNQ3" s="496"/>
      <c r="VNR3" s="498"/>
      <c r="VNS3" s="498"/>
      <c r="VNT3" s="498"/>
      <c r="VNU3" s="466"/>
      <c r="VNV3" s="466"/>
      <c r="VNW3" s="497"/>
      <c r="VNX3" s="496"/>
      <c r="VNY3" s="498"/>
      <c r="VNZ3" s="498"/>
      <c r="VOA3" s="498"/>
      <c r="VOB3" s="466"/>
      <c r="VOC3" s="466"/>
      <c r="VOD3" s="497"/>
      <c r="VOE3" s="496"/>
      <c r="VOF3" s="498"/>
      <c r="VOG3" s="498"/>
      <c r="VOH3" s="498"/>
      <c r="VOI3" s="466"/>
      <c r="VOJ3" s="466"/>
      <c r="VOK3" s="497"/>
      <c r="VOL3" s="496"/>
      <c r="VOM3" s="498"/>
      <c r="VON3" s="498"/>
      <c r="VOO3" s="498"/>
      <c r="VOP3" s="466"/>
      <c r="VOQ3" s="466"/>
      <c r="VOR3" s="497"/>
      <c r="VOS3" s="496"/>
      <c r="VOT3" s="498"/>
      <c r="VOU3" s="498"/>
      <c r="VOV3" s="498"/>
      <c r="VOW3" s="466"/>
      <c r="VOX3" s="466"/>
      <c r="VOY3" s="497"/>
      <c r="VOZ3" s="496"/>
      <c r="VPA3" s="498"/>
      <c r="VPB3" s="498"/>
      <c r="VPC3" s="498"/>
      <c r="VPD3" s="466"/>
      <c r="VPE3" s="466"/>
      <c r="VPF3" s="497"/>
      <c r="VPG3" s="496"/>
      <c r="VPH3" s="498"/>
      <c r="VPI3" s="498"/>
      <c r="VPJ3" s="498"/>
      <c r="VPK3" s="466"/>
      <c r="VPL3" s="466"/>
      <c r="VPM3" s="497"/>
      <c r="VPN3" s="496"/>
      <c r="VPO3" s="498"/>
      <c r="VPP3" s="498"/>
      <c r="VPQ3" s="498"/>
      <c r="VPR3" s="466"/>
      <c r="VPS3" s="466"/>
      <c r="VPT3" s="497"/>
      <c r="VPU3" s="496"/>
      <c r="VPV3" s="498"/>
      <c r="VPW3" s="498"/>
      <c r="VPX3" s="498"/>
      <c r="VPY3" s="466"/>
      <c r="VPZ3" s="466"/>
      <c r="VQA3" s="497"/>
      <c r="VQB3" s="496"/>
      <c r="VQC3" s="498"/>
      <c r="VQD3" s="498"/>
      <c r="VQE3" s="498"/>
      <c r="VQF3" s="466"/>
      <c r="VQG3" s="466"/>
      <c r="VQH3" s="497"/>
      <c r="VQI3" s="496"/>
      <c r="VQJ3" s="498"/>
      <c r="VQK3" s="498"/>
      <c r="VQL3" s="498"/>
      <c r="VQM3" s="466"/>
      <c r="VQN3" s="466"/>
      <c r="VQO3" s="497"/>
      <c r="VQP3" s="496"/>
      <c r="VQQ3" s="498"/>
      <c r="VQR3" s="498"/>
      <c r="VQS3" s="498"/>
      <c r="VQT3" s="466"/>
      <c r="VQU3" s="466"/>
      <c r="VQV3" s="497"/>
      <c r="VQW3" s="496"/>
      <c r="VQX3" s="498"/>
      <c r="VQY3" s="498"/>
      <c r="VQZ3" s="498"/>
      <c r="VRA3" s="466"/>
      <c r="VRB3" s="466"/>
      <c r="VRC3" s="497"/>
      <c r="VRD3" s="496"/>
      <c r="VRE3" s="498"/>
      <c r="VRF3" s="498"/>
      <c r="VRG3" s="498"/>
      <c r="VRH3" s="466"/>
      <c r="VRI3" s="466"/>
      <c r="VRJ3" s="497"/>
      <c r="VRK3" s="496"/>
      <c r="VRL3" s="498"/>
      <c r="VRM3" s="498"/>
      <c r="VRN3" s="498"/>
      <c r="VRO3" s="466"/>
      <c r="VRP3" s="466"/>
      <c r="VRQ3" s="497"/>
      <c r="VRR3" s="496"/>
      <c r="VRS3" s="498"/>
      <c r="VRT3" s="498"/>
      <c r="VRU3" s="498"/>
      <c r="VRV3" s="466"/>
      <c r="VRW3" s="466"/>
      <c r="VRX3" s="497"/>
      <c r="VRY3" s="496"/>
      <c r="VRZ3" s="498"/>
      <c r="VSA3" s="498"/>
      <c r="VSB3" s="498"/>
      <c r="VSC3" s="466"/>
      <c r="VSD3" s="466"/>
      <c r="VSE3" s="497"/>
      <c r="VSF3" s="496"/>
      <c r="VSG3" s="498"/>
      <c r="VSH3" s="498"/>
      <c r="VSI3" s="498"/>
      <c r="VSJ3" s="466"/>
      <c r="VSK3" s="466"/>
      <c r="VSL3" s="497"/>
      <c r="VSM3" s="496"/>
      <c r="VSN3" s="498"/>
      <c r="VSO3" s="498"/>
      <c r="VSP3" s="498"/>
      <c r="VSQ3" s="466"/>
      <c r="VSR3" s="466"/>
      <c r="VSS3" s="497"/>
      <c r="VST3" s="496"/>
      <c r="VSU3" s="498"/>
      <c r="VSV3" s="498"/>
      <c r="VSW3" s="498"/>
      <c r="VSX3" s="466"/>
      <c r="VSY3" s="466"/>
      <c r="VSZ3" s="497"/>
      <c r="VTA3" s="496"/>
      <c r="VTB3" s="498"/>
      <c r="VTC3" s="498"/>
      <c r="VTD3" s="498"/>
      <c r="VTE3" s="466"/>
      <c r="VTF3" s="466"/>
      <c r="VTG3" s="497"/>
      <c r="VTH3" s="496"/>
      <c r="VTI3" s="498"/>
      <c r="VTJ3" s="498"/>
      <c r="VTK3" s="498"/>
      <c r="VTL3" s="466"/>
      <c r="VTM3" s="466"/>
      <c r="VTN3" s="497"/>
      <c r="VTO3" s="496"/>
      <c r="VTP3" s="498"/>
      <c r="VTQ3" s="498"/>
      <c r="VTR3" s="498"/>
      <c r="VTS3" s="466"/>
      <c r="VTT3" s="466"/>
      <c r="VTU3" s="497"/>
      <c r="VTV3" s="496"/>
      <c r="VTW3" s="498"/>
      <c r="VTX3" s="498"/>
      <c r="VTY3" s="498"/>
      <c r="VTZ3" s="466"/>
      <c r="VUA3" s="466"/>
      <c r="VUB3" s="497"/>
      <c r="VUC3" s="496"/>
      <c r="VUD3" s="498"/>
      <c r="VUE3" s="498"/>
      <c r="VUF3" s="498"/>
      <c r="VUG3" s="466"/>
      <c r="VUH3" s="466"/>
      <c r="VUI3" s="497"/>
      <c r="VUJ3" s="496"/>
      <c r="VUK3" s="498"/>
      <c r="VUL3" s="498"/>
      <c r="VUM3" s="498"/>
      <c r="VUN3" s="466"/>
      <c r="VUO3" s="466"/>
      <c r="VUP3" s="497"/>
      <c r="VUQ3" s="496"/>
      <c r="VUR3" s="498"/>
      <c r="VUS3" s="498"/>
      <c r="VUT3" s="498"/>
      <c r="VUU3" s="466"/>
      <c r="VUV3" s="466"/>
      <c r="VUW3" s="497"/>
      <c r="VUX3" s="496"/>
      <c r="VUY3" s="498"/>
      <c r="VUZ3" s="498"/>
      <c r="VVA3" s="498"/>
      <c r="VVB3" s="466"/>
      <c r="VVC3" s="466"/>
      <c r="VVD3" s="497"/>
      <c r="VVE3" s="496"/>
      <c r="VVF3" s="498"/>
      <c r="VVG3" s="498"/>
      <c r="VVH3" s="498"/>
      <c r="VVI3" s="466"/>
      <c r="VVJ3" s="466"/>
      <c r="VVK3" s="497"/>
      <c r="VVL3" s="496"/>
      <c r="VVM3" s="498"/>
      <c r="VVN3" s="498"/>
      <c r="VVO3" s="498"/>
      <c r="VVP3" s="466"/>
      <c r="VVQ3" s="466"/>
      <c r="VVR3" s="497"/>
      <c r="VVS3" s="496"/>
      <c r="VVT3" s="498"/>
      <c r="VVU3" s="498"/>
      <c r="VVV3" s="498"/>
      <c r="VVW3" s="466"/>
      <c r="VVX3" s="466"/>
      <c r="VVY3" s="497"/>
      <c r="VVZ3" s="496"/>
      <c r="VWA3" s="498"/>
      <c r="VWB3" s="498"/>
      <c r="VWC3" s="498"/>
      <c r="VWD3" s="466"/>
      <c r="VWE3" s="466"/>
      <c r="VWF3" s="497"/>
      <c r="VWG3" s="496"/>
      <c r="VWH3" s="498"/>
      <c r="VWI3" s="498"/>
      <c r="VWJ3" s="498"/>
      <c r="VWK3" s="466"/>
      <c r="VWL3" s="466"/>
      <c r="VWM3" s="497"/>
      <c r="VWN3" s="496"/>
      <c r="VWO3" s="498"/>
      <c r="VWP3" s="498"/>
      <c r="VWQ3" s="498"/>
      <c r="VWR3" s="466"/>
      <c r="VWS3" s="466"/>
      <c r="VWT3" s="497"/>
      <c r="VWU3" s="496"/>
      <c r="VWV3" s="498"/>
      <c r="VWW3" s="498"/>
      <c r="VWX3" s="498"/>
      <c r="VWY3" s="466"/>
      <c r="VWZ3" s="466"/>
      <c r="VXA3" s="497"/>
      <c r="VXB3" s="496"/>
      <c r="VXC3" s="498"/>
      <c r="VXD3" s="498"/>
      <c r="VXE3" s="498"/>
      <c r="VXF3" s="466"/>
      <c r="VXG3" s="466"/>
      <c r="VXH3" s="497"/>
      <c r="VXI3" s="496"/>
      <c r="VXJ3" s="498"/>
      <c r="VXK3" s="498"/>
      <c r="VXL3" s="498"/>
      <c r="VXM3" s="466"/>
      <c r="VXN3" s="466"/>
      <c r="VXO3" s="497"/>
      <c r="VXP3" s="496"/>
      <c r="VXQ3" s="498"/>
      <c r="VXR3" s="498"/>
      <c r="VXS3" s="498"/>
      <c r="VXT3" s="466"/>
      <c r="VXU3" s="466"/>
      <c r="VXV3" s="497"/>
      <c r="VXW3" s="496"/>
      <c r="VXX3" s="498"/>
      <c r="VXY3" s="498"/>
      <c r="VXZ3" s="498"/>
      <c r="VYA3" s="466"/>
      <c r="VYB3" s="466"/>
      <c r="VYC3" s="497"/>
      <c r="VYD3" s="496"/>
      <c r="VYE3" s="498"/>
      <c r="VYF3" s="498"/>
      <c r="VYG3" s="498"/>
      <c r="VYH3" s="466"/>
      <c r="VYI3" s="466"/>
      <c r="VYJ3" s="497"/>
      <c r="VYK3" s="496"/>
      <c r="VYL3" s="498"/>
      <c r="VYM3" s="498"/>
      <c r="VYN3" s="498"/>
      <c r="VYO3" s="466"/>
      <c r="VYP3" s="466"/>
      <c r="VYQ3" s="497"/>
      <c r="VYR3" s="496"/>
      <c r="VYS3" s="498"/>
      <c r="VYT3" s="498"/>
      <c r="VYU3" s="498"/>
      <c r="VYV3" s="466"/>
      <c r="VYW3" s="466"/>
      <c r="VYX3" s="497"/>
      <c r="VYY3" s="496"/>
      <c r="VYZ3" s="498"/>
      <c r="VZA3" s="498"/>
      <c r="VZB3" s="498"/>
      <c r="VZC3" s="466"/>
      <c r="VZD3" s="466"/>
      <c r="VZE3" s="497"/>
      <c r="VZF3" s="496"/>
      <c r="VZG3" s="498"/>
      <c r="VZH3" s="498"/>
      <c r="VZI3" s="498"/>
      <c r="VZJ3" s="466"/>
      <c r="VZK3" s="466"/>
      <c r="VZL3" s="497"/>
      <c r="VZM3" s="496"/>
      <c r="VZN3" s="498"/>
      <c r="VZO3" s="498"/>
      <c r="VZP3" s="498"/>
      <c r="VZQ3" s="466"/>
      <c r="VZR3" s="466"/>
      <c r="VZS3" s="497"/>
      <c r="VZT3" s="496"/>
      <c r="VZU3" s="498"/>
      <c r="VZV3" s="498"/>
      <c r="VZW3" s="498"/>
      <c r="VZX3" s="466"/>
      <c r="VZY3" s="466"/>
      <c r="VZZ3" s="497"/>
      <c r="WAA3" s="496"/>
      <c r="WAB3" s="498"/>
      <c r="WAC3" s="498"/>
      <c r="WAD3" s="498"/>
      <c r="WAE3" s="466"/>
      <c r="WAF3" s="466"/>
      <c r="WAG3" s="497"/>
      <c r="WAH3" s="496"/>
      <c r="WAI3" s="498"/>
      <c r="WAJ3" s="498"/>
      <c r="WAK3" s="498"/>
      <c r="WAL3" s="466"/>
      <c r="WAM3" s="466"/>
      <c r="WAN3" s="497"/>
      <c r="WAO3" s="496"/>
      <c r="WAP3" s="498"/>
      <c r="WAQ3" s="498"/>
      <c r="WAR3" s="498"/>
      <c r="WAS3" s="466"/>
      <c r="WAT3" s="466"/>
      <c r="WAU3" s="497"/>
      <c r="WAV3" s="496"/>
      <c r="WAW3" s="498"/>
      <c r="WAX3" s="498"/>
      <c r="WAY3" s="498"/>
      <c r="WAZ3" s="466"/>
      <c r="WBA3" s="466"/>
      <c r="WBB3" s="497"/>
      <c r="WBC3" s="496"/>
      <c r="WBD3" s="498"/>
      <c r="WBE3" s="498"/>
      <c r="WBF3" s="498"/>
      <c r="WBG3" s="466"/>
      <c r="WBH3" s="466"/>
      <c r="WBI3" s="497"/>
      <c r="WBJ3" s="496"/>
      <c r="WBK3" s="498"/>
      <c r="WBL3" s="498"/>
      <c r="WBM3" s="498"/>
      <c r="WBN3" s="466"/>
      <c r="WBO3" s="466"/>
      <c r="WBP3" s="497"/>
      <c r="WBQ3" s="496"/>
      <c r="WBR3" s="498"/>
      <c r="WBS3" s="498"/>
      <c r="WBT3" s="498"/>
      <c r="WBU3" s="466"/>
      <c r="WBV3" s="466"/>
      <c r="WBW3" s="497"/>
      <c r="WBX3" s="496"/>
      <c r="WBY3" s="498"/>
      <c r="WBZ3" s="498"/>
      <c r="WCA3" s="498"/>
      <c r="WCB3" s="466"/>
      <c r="WCC3" s="466"/>
      <c r="WCD3" s="497"/>
      <c r="WCE3" s="496"/>
      <c r="WCF3" s="498"/>
      <c r="WCG3" s="498"/>
      <c r="WCH3" s="498"/>
      <c r="WCI3" s="466"/>
      <c r="WCJ3" s="466"/>
      <c r="WCK3" s="497"/>
      <c r="WCL3" s="496"/>
      <c r="WCM3" s="498"/>
      <c r="WCN3" s="498"/>
      <c r="WCO3" s="498"/>
      <c r="WCP3" s="466"/>
      <c r="WCQ3" s="466"/>
      <c r="WCR3" s="497"/>
      <c r="WCS3" s="496"/>
      <c r="WCT3" s="498"/>
      <c r="WCU3" s="498"/>
      <c r="WCV3" s="498"/>
      <c r="WCW3" s="466"/>
      <c r="WCX3" s="466"/>
      <c r="WCY3" s="497"/>
      <c r="WCZ3" s="496"/>
      <c r="WDA3" s="498"/>
      <c r="WDB3" s="498"/>
      <c r="WDC3" s="498"/>
      <c r="WDD3" s="466"/>
      <c r="WDE3" s="466"/>
      <c r="WDF3" s="497"/>
      <c r="WDG3" s="496"/>
      <c r="WDH3" s="498"/>
      <c r="WDI3" s="498"/>
      <c r="WDJ3" s="498"/>
      <c r="WDK3" s="466"/>
      <c r="WDL3" s="466"/>
      <c r="WDM3" s="497"/>
      <c r="WDN3" s="496"/>
      <c r="WDO3" s="498"/>
      <c r="WDP3" s="498"/>
      <c r="WDQ3" s="498"/>
      <c r="WDR3" s="466"/>
      <c r="WDS3" s="466"/>
      <c r="WDT3" s="497"/>
      <c r="WDU3" s="496"/>
      <c r="WDV3" s="498"/>
      <c r="WDW3" s="498"/>
      <c r="WDX3" s="498"/>
      <c r="WDY3" s="466"/>
      <c r="WDZ3" s="466"/>
      <c r="WEA3" s="497"/>
      <c r="WEB3" s="496"/>
      <c r="WEC3" s="498"/>
      <c r="WED3" s="498"/>
      <c r="WEE3" s="498"/>
      <c r="WEF3" s="466"/>
      <c r="WEG3" s="466"/>
      <c r="WEH3" s="497"/>
      <c r="WEI3" s="496"/>
      <c r="WEJ3" s="498"/>
      <c r="WEK3" s="498"/>
      <c r="WEL3" s="498"/>
      <c r="WEM3" s="466"/>
      <c r="WEN3" s="466"/>
      <c r="WEO3" s="497"/>
      <c r="WEP3" s="496"/>
      <c r="WEQ3" s="498"/>
      <c r="WER3" s="498"/>
      <c r="WES3" s="498"/>
      <c r="WET3" s="466"/>
      <c r="WEU3" s="466"/>
      <c r="WEV3" s="497"/>
      <c r="WEW3" s="496"/>
      <c r="WEX3" s="498"/>
      <c r="WEY3" s="498"/>
      <c r="WEZ3" s="498"/>
      <c r="WFA3" s="466"/>
      <c r="WFB3" s="466"/>
      <c r="WFC3" s="497"/>
      <c r="WFD3" s="496"/>
      <c r="WFE3" s="498"/>
      <c r="WFF3" s="498"/>
      <c r="WFG3" s="498"/>
      <c r="WFH3" s="466"/>
      <c r="WFI3" s="466"/>
      <c r="WFJ3" s="497"/>
      <c r="WFK3" s="496"/>
      <c r="WFL3" s="498"/>
      <c r="WFM3" s="498"/>
      <c r="WFN3" s="498"/>
      <c r="WFO3" s="466"/>
      <c r="WFP3" s="466"/>
      <c r="WFQ3" s="497"/>
      <c r="WFR3" s="496"/>
      <c r="WFS3" s="498"/>
      <c r="WFT3" s="498"/>
      <c r="WFU3" s="498"/>
      <c r="WFV3" s="466"/>
      <c r="WFW3" s="466"/>
      <c r="WFX3" s="497"/>
      <c r="WFY3" s="496"/>
      <c r="WFZ3" s="498"/>
      <c r="WGA3" s="498"/>
      <c r="WGB3" s="498"/>
      <c r="WGC3" s="466"/>
      <c r="WGD3" s="466"/>
      <c r="WGE3" s="497"/>
      <c r="WGF3" s="496"/>
      <c r="WGG3" s="498"/>
      <c r="WGH3" s="498"/>
      <c r="WGI3" s="498"/>
      <c r="WGJ3" s="466"/>
      <c r="WGK3" s="466"/>
      <c r="WGL3" s="497"/>
      <c r="WGM3" s="496"/>
      <c r="WGN3" s="498"/>
      <c r="WGO3" s="498"/>
      <c r="WGP3" s="498"/>
      <c r="WGQ3" s="466"/>
      <c r="WGR3" s="466"/>
      <c r="WGS3" s="497"/>
      <c r="WGT3" s="496"/>
      <c r="WGU3" s="498"/>
      <c r="WGV3" s="498"/>
      <c r="WGW3" s="498"/>
      <c r="WGX3" s="466"/>
      <c r="WGY3" s="466"/>
      <c r="WGZ3" s="497"/>
      <c r="WHA3" s="496"/>
      <c r="WHB3" s="498"/>
      <c r="WHC3" s="498"/>
      <c r="WHD3" s="498"/>
      <c r="WHE3" s="466"/>
      <c r="WHF3" s="466"/>
      <c r="WHG3" s="497"/>
      <c r="WHH3" s="496"/>
      <c r="WHI3" s="498"/>
      <c r="WHJ3" s="498"/>
      <c r="WHK3" s="498"/>
      <c r="WHL3" s="466"/>
      <c r="WHM3" s="466"/>
      <c r="WHN3" s="497"/>
      <c r="WHO3" s="496"/>
      <c r="WHP3" s="498"/>
      <c r="WHQ3" s="498"/>
      <c r="WHR3" s="498"/>
      <c r="WHS3" s="466"/>
      <c r="WHT3" s="466"/>
      <c r="WHU3" s="497"/>
      <c r="WHV3" s="496"/>
      <c r="WHW3" s="498"/>
      <c r="WHX3" s="498"/>
      <c r="WHY3" s="498"/>
      <c r="WHZ3" s="466"/>
      <c r="WIA3" s="466"/>
      <c r="WIB3" s="497"/>
      <c r="WIC3" s="496"/>
      <c r="WID3" s="498"/>
      <c r="WIE3" s="498"/>
      <c r="WIF3" s="498"/>
      <c r="WIG3" s="466"/>
      <c r="WIH3" s="466"/>
      <c r="WII3" s="497"/>
      <c r="WIJ3" s="496"/>
      <c r="WIK3" s="498"/>
      <c r="WIL3" s="498"/>
      <c r="WIM3" s="498"/>
      <c r="WIN3" s="466"/>
      <c r="WIO3" s="466"/>
      <c r="WIP3" s="497"/>
      <c r="WIQ3" s="496"/>
      <c r="WIR3" s="498"/>
      <c r="WIS3" s="498"/>
      <c r="WIT3" s="498"/>
      <c r="WIU3" s="466"/>
      <c r="WIV3" s="466"/>
      <c r="WIW3" s="497"/>
      <c r="WIX3" s="496"/>
      <c r="WIY3" s="498"/>
      <c r="WIZ3" s="498"/>
      <c r="WJA3" s="498"/>
      <c r="WJB3" s="466"/>
      <c r="WJC3" s="466"/>
      <c r="WJD3" s="497"/>
      <c r="WJE3" s="496"/>
      <c r="WJF3" s="498"/>
      <c r="WJG3" s="498"/>
      <c r="WJH3" s="498"/>
      <c r="WJI3" s="466"/>
      <c r="WJJ3" s="466"/>
      <c r="WJK3" s="497"/>
      <c r="WJL3" s="496"/>
      <c r="WJM3" s="498"/>
      <c r="WJN3" s="498"/>
      <c r="WJO3" s="498"/>
      <c r="WJP3" s="466"/>
      <c r="WJQ3" s="466"/>
      <c r="WJR3" s="497"/>
      <c r="WJS3" s="496"/>
      <c r="WJT3" s="498"/>
      <c r="WJU3" s="498"/>
      <c r="WJV3" s="498"/>
      <c r="WJW3" s="466"/>
      <c r="WJX3" s="466"/>
      <c r="WJY3" s="497"/>
      <c r="WJZ3" s="496"/>
      <c r="WKA3" s="498"/>
      <c r="WKB3" s="498"/>
      <c r="WKC3" s="498"/>
      <c r="WKD3" s="466"/>
      <c r="WKE3" s="466"/>
      <c r="WKF3" s="497"/>
      <c r="WKG3" s="496"/>
      <c r="WKH3" s="498"/>
      <c r="WKI3" s="498"/>
      <c r="WKJ3" s="498"/>
      <c r="WKK3" s="466"/>
      <c r="WKL3" s="466"/>
      <c r="WKM3" s="497"/>
      <c r="WKN3" s="496"/>
      <c r="WKO3" s="498"/>
      <c r="WKP3" s="498"/>
      <c r="WKQ3" s="498"/>
      <c r="WKR3" s="466"/>
      <c r="WKS3" s="466"/>
      <c r="WKT3" s="497"/>
      <c r="WKU3" s="496"/>
      <c r="WKV3" s="498"/>
      <c r="WKW3" s="498"/>
      <c r="WKX3" s="498"/>
      <c r="WKY3" s="466"/>
      <c r="WKZ3" s="466"/>
      <c r="WLA3" s="497"/>
      <c r="WLB3" s="496"/>
      <c r="WLC3" s="498"/>
      <c r="WLD3" s="498"/>
      <c r="WLE3" s="498"/>
      <c r="WLF3" s="466"/>
      <c r="WLG3" s="466"/>
      <c r="WLH3" s="497"/>
      <c r="WLI3" s="496"/>
      <c r="WLJ3" s="498"/>
      <c r="WLK3" s="498"/>
      <c r="WLL3" s="498"/>
      <c r="WLM3" s="466"/>
      <c r="WLN3" s="466"/>
      <c r="WLO3" s="497"/>
      <c r="WLP3" s="496"/>
      <c r="WLQ3" s="498"/>
      <c r="WLR3" s="498"/>
      <c r="WLS3" s="498"/>
      <c r="WLT3" s="466"/>
      <c r="WLU3" s="466"/>
      <c r="WLV3" s="497"/>
      <c r="WLW3" s="496"/>
      <c r="WLX3" s="498"/>
      <c r="WLY3" s="498"/>
      <c r="WLZ3" s="498"/>
      <c r="WMA3" s="466"/>
      <c r="WMB3" s="466"/>
      <c r="WMC3" s="497"/>
      <c r="WMD3" s="496"/>
      <c r="WME3" s="498"/>
      <c r="WMF3" s="498"/>
      <c r="WMG3" s="498"/>
      <c r="WMH3" s="466"/>
      <c r="WMI3" s="466"/>
      <c r="WMJ3" s="497"/>
      <c r="WMK3" s="496"/>
      <c r="WML3" s="498"/>
      <c r="WMM3" s="498"/>
      <c r="WMN3" s="498"/>
      <c r="WMO3" s="466"/>
      <c r="WMP3" s="466"/>
      <c r="WMQ3" s="497"/>
      <c r="WMR3" s="496"/>
      <c r="WMS3" s="498"/>
      <c r="WMT3" s="498"/>
      <c r="WMU3" s="498"/>
      <c r="WMV3" s="466"/>
      <c r="WMW3" s="466"/>
      <c r="WMX3" s="497"/>
      <c r="WMY3" s="496"/>
      <c r="WMZ3" s="498"/>
      <c r="WNA3" s="498"/>
      <c r="WNB3" s="498"/>
      <c r="WNC3" s="466"/>
      <c r="WND3" s="466"/>
      <c r="WNE3" s="497"/>
      <c r="WNF3" s="496"/>
      <c r="WNG3" s="498"/>
      <c r="WNH3" s="498"/>
      <c r="WNI3" s="498"/>
      <c r="WNJ3" s="466"/>
      <c r="WNK3" s="466"/>
      <c r="WNL3" s="497"/>
      <c r="WNM3" s="496"/>
      <c r="WNN3" s="498"/>
      <c r="WNO3" s="498"/>
      <c r="WNP3" s="498"/>
      <c r="WNQ3" s="466"/>
      <c r="WNR3" s="466"/>
      <c r="WNS3" s="497"/>
      <c r="WNT3" s="496"/>
      <c r="WNU3" s="498"/>
      <c r="WNV3" s="498"/>
      <c r="WNW3" s="498"/>
      <c r="WNX3" s="466"/>
      <c r="WNY3" s="466"/>
      <c r="WNZ3" s="497"/>
      <c r="WOA3" s="496"/>
      <c r="WOB3" s="498"/>
      <c r="WOC3" s="498"/>
      <c r="WOD3" s="498"/>
      <c r="WOE3" s="466"/>
      <c r="WOF3" s="466"/>
      <c r="WOG3" s="497"/>
      <c r="WOH3" s="496"/>
      <c r="WOI3" s="498"/>
      <c r="WOJ3" s="498"/>
      <c r="WOK3" s="498"/>
      <c r="WOL3" s="466"/>
      <c r="WOM3" s="466"/>
      <c r="WON3" s="497"/>
      <c r="WOO3" s="496"/>
      <c r="WOP3" s="498"/>
      <c r="WOQ3" s="498"/>
      <c r="WOR3" s="498"/>
      <c r="WOS3" s="466"/>
      <c r="WOT3" s="466"/>
      <c r="WOU3" s="497"/>
      <c r="WOV3" s="496"/>
      <c r="WOW3" s="498"/>
      <c r="WOX3" s="498"/>
      <c r="WOY3" s="498"/>
      <c r="WOZ3" s="466"/>
      <c r="WPA3" s="466"/>
      <c r="WPB3" s="497"/>
      <c r="WPC3" s="496"/>
      <c r="WPD3" s="498"/>
      <c r="WPE3" s="498"/>
      <c r="WPF3" s="498"/>
      <c r="WPG3" s="466"/>
      <c r="WPH3" s="466"/>
      <c r="WPI3" s="497"/>
      <c r="WPJ3" s="496"/>
      <c r="WPK3" s="498"/>
      <c r="WPL3" s="498"/>
      <c r="WPM3" s="498"/>
      <c r="WPN3" s="466"/>
      <c r="WPO3" s="466"/>
      <c r="WPP3" s="497"/>
      <c r="WPQ3" s="496"/>
      <c r="WPR3" s="498"/>
      <c r="WPS3" s="498"/>
      <c r="WPT3" s="498"/>
      <c r="WPU3" s="466"/>
      <c r="WPV3" s="466"/>
      <c r="WPW3" s="497"/>
      <c r="WPX3" s="496"/>
      <c r="WPY3" s="498"/>
      <c r="WPZ3" s="498"/>
      <c r="WQA3" s="498"/>
      <c r="WQB3" s="466"/>
      <c r="WQC3" s="466"/>
      <c r="WQD3" s="497"/>
      <c r="WQE3" s="496"/>
      <c r="WQF3" s="498"/>
      <c r="WQG3" s="498"/>
      <c r="WQH3" s="498"/>
      <c r="WQI3" s="466"/>
      <c r="WQJ3" s="466"/>
      <c r="WQK3" s="497"/>
      <c r="WQL3" s="496"/>
      <c r="WQM3" s="498"/>
      <c r="WQN3" s="498"/>
      <c r="WQO3" s="498"/>
      <c r="WQP3" s="466"/>
      <c r="WQQ3" s="466"/>
      <c r="WQR3" s="497"/>
      <c r="WQS3" s="496"/>
      <c r="WQT3" s="498"/>
      <c r="WQU3" s="498"/>
      <c r="WQV3" s="498"/>
      <c r="WQW3" s="466"/>
      <c r="WQX3" s="466"/>
      <c r="WQY3" s="497"/>
      <c r="WQZ3" s="496"/>
      <c r="WRA3" s="498"/>
      <c r="WRB3" s="498"/>
      <c r="WRC3" s="498"/>
      <c r="WRD3" s="466"/>
      <c r="WRE3" s="466"/>
      <c r="WRF3" s="497"/>
      <c r="WRG3" s="496"/>
      <c r="WRH3" s="498"/>
      <c r="WRI3" s="498"/>
      <c r="WRJ3" s="498"/>
      <c r="WRK3" s="466"/>
      <c r="WRL3" s="466"/>
      <c r="WRM3" s="497"/>
      <c r="WRN3" s="496"/>
      <c r="WRO3" s="498"/>
      <c r="WRP3" s="498"/>
      <c r="WRQ3" s="498"/>
      <c r="WRR3" s="466"/>
      <c r="WRS3" s="466"/>
      <c r="WRT3" s="497"/>
      <c r="WRU3" s="496"/>
      <c r="WRV3" s="498"/>
      <c r="WRW3" s="498"/>
      <c r="WRX3" s="498"/>
      <c r="WRY3" s="466"/>
      <c r="WRZ3" s="466"/>
      <c r="WSA3" s="497"/>
      <c r="WSB3" s="496"/>
      <c r="WSC3" s="498"/>
      <c r="WSD3" s="498"/>
      <c r="WSE3" s="498"/>
      <c r="WSF3" s="466"/>
      <c r="WSG3" s="466"/>
      <c r="WSH3" s="497"/>
      <c r="WSI3" s="496"/>
      <c r="WSJ3" s="498"/>
      <c r="WSK3" s="498"/>
      <c r="WSL3" s="498"/>
      <c r="WSM3" s="466"/>
      <c r="WSN3" s="466"/>
      <c r="WSO3" s="497"/>
      <c r="WSP3" s="496"/>
      <c r="WSQ3" s="498"/>
      <c r="WSR3" s="498"/>
      <c r="WSS3" s="498"/>
      <c r="WST3" s="466"/>
      <c r="WSU3" s="466"/>
      <c r="WSV3" s="497"/>
      <c r="WSW3" s="496"/>
      <c r="WSX3" s="498"/>
      <c r="WSY3" s="498"/>
      <c r="WSZ3" s="498"/>
      <c r="WTA3" s="466"/>
      <c r="WTB3" s="466"/>
      <c r="WTC3" s="497"/>
      <c r="WTD3" s="496"/>
      <c r="WTE3" s="498"/>
      <c r="WTF3" s="498"/>
      <c r="WTG3" s="498"/>
      <c r="WTH3" s="466"/>
      <c r="WTI3" s="466"/>
      <c r="WTJ3" s="497"/>
      <c r="WTK3" s="496"/>
      <c r="WTL3" s="498"/>
      <c r="WTM3" s="498"/>
      <c r="WTN3" s="498"/>
      <c r="WTO3" s="466"/>
      <c r="WTP3" s="466"/>
      <c r="WTQ3" s="497"/>
      <c r="WTR3" s="496"/>
      <c r="WTS3" s="498"/>
      <c r="WTT3" s="498"/>
      <c r="WTU3" s="498"/>
      <c r="WTV3" s="466"/>
      <c r="WTW3" s="466"/>
      <c r="WTX3" s="497"/>
      <c r="WTY3" s="496"/>
      <c r="WTZ3" s="498"/>
      <c r="WUA3" s="498"/>
      <c r="WUB3" s="498"/>
      <c r="WUC3" s="466"/>
      <c r="WUD3" s="466"/>
      <c r="WUE3" s="497"/>
      <c r="WUF3" s="496"/>
      <c r="WUG3" s="498"/>
      <c r="WUH3" s="498"/>
      <c r="WUI3" s="498"/>
      <c r="WUJ3" s="466"/>
      <c r="WUK3" s="466"/>
      <c r="WUL3" s="497"/>
      <c r="WUM3" s="496"/>
      <c r="WUN3" s="498"/>
      <c r="WUO3" s="498"/>
      <c r="WUP3" s="498"/>
      <c r="WUQ3" s="466"/>
      <c r="WUR3" s="466"/>
      <c r="WUS3" s="497"/>
      <c r="WUT3" s="496"/>
      <c r="WUU3" s="498"/>
      <c r="WUV3" s="498"/>
      <c r="WUW3" s="498"/>
      <c r="WUX3" s="466"/>
      <c r="WUY3" s="466"/>
      <c r="WUZ3" s="497"/>
      <c r="WVA3" s="496"/>
      <c r="WVB3" s="498"/>
      <c r="WVC3" s="498"/>
      <c r="WVD3" s="498"/>
      <c r="WVE3" s="466"/>
      <c r="WVF3" s="466"/>
      <c r="WVG3" s="497"/>
      <c r="WVH3" s="496"/>
      <c r="WVI3" s="498"/>
      <c r="WVJ3" s="498"/>
      <c r="WVK3" s="498"/>
      <c r="WVL3" s="466"/>
      <c r="WVM3" s="466"/>
      <c r="WVN3" s="497"/>
      <c r="WVO3" s="496"/>
      <c r="WVP3" s="498"/>
      <c r="WVQ3" s="498"/>
      <c r="WVR3" s="498"/>
      <c r="WVS3" s="466"/>
      <c r="WVT3" s="466"/>
      <c r="WVU3" s="497"/>
      <c r="WVV3" s="496"/>
      <c r="WVW3" s="498"/>
      <c r="WVX3" s="498"/>
      <c r="WVY3" s="498"/>
      <c r="WVZ3" s="466"/>
      <c r="WWA3" s="466"/>
      <c r="WWB3" s="497"/>
      <c r="WWC3" s="496"/>
      <c r="WWD3" s="498"/>
      <c r="WWE3" s="498"/>
      <c r="WWF3" s="498"/>
      <c r="WWG3" s="466"/>
      <c r="WWH3" s="466"/>
      <c r="WWI3" s="497"/>
      <c r="WWJ3" s="496"/>
      <c r="WWK3" s="498"/>
      <c r="WWL3" s="498"/>
      <c r="WWM3" s="498"/>
      <c r="WWN3" s="466"/>
      <c r="WWO3" s="466"/>
      <c r="WWP3" s="497"/>
      <c r="WWQ3" s="496"/>
      <c r="WWR3" s="498"/>
      <c r="WWS3" s="498"/>
      <c r="WWT3" s="498"/>
      <c r="WWU3" s="466"/>
      <c r="WWV3" s="466"/>
      <c r="WWW3" s="497"/>
      <c r="WWX3" s="496"/>
      <c r="WWY3" s="498"/>
      <c r="WWZ3" s="498"/>
      <c r="WXA3" s="498"/>
      <c r="WXB3" s="466"/>
      <c r="WXC3" s="466"/>
      <c r="WXD3" s="497"/>
      <c r="WXE3" s="496"/>
      <c r="WXF3" s="498"/>
      <c r="WXG3" s="498"/>
      <c r="WXH3" s="498"/>
      <c r="WXI3" s="466"/>
      <c r="WXJ3" s="466"/>
      <c r="WXK3" s="497"/>
      <c r="WXL3" s="496"/>
      <c r="WXM3" s="498"/>
      <c r="WXN3" s="498"/>
      <c r="WXO3" s="498"/>
      <c r="WXP3" s="466"/>
      <c r="WXQ3" s="466"/>
      <c r="WXR3" s="497"/>
      <c r="WXS3" s="496"/>
      <c r="WXT3" s="498"/>
      <c r="WXU3" s="498"/>
      <c r="WXV3" s="498"/>
      <c r="WXW3" s="466"/>
      <c r="WXX3" s="466"/>
      <c r="WXY3" s="497"/>
      <c r="WXZ3" s="496"/>
      <c r="WYA3" s="498"/>
      <c r="WYB3" s="498"/>
      <c r="WYC3" s="498"/>
      <c r="WYD3" s="466"/>
      <c r="WYE3" s="466"/>
      <c r="WYF3" s="497"/>
      <c r="WYG3" s="496"/>
      <c r="WYH3" s="498"/>
      <c r="WYI3" s="498"/>
      <c r="WYJ3" s="498"/>
      <c r="WYK3" s="466"/>
      <c r="WYL3" s="466"/>
      <c r="WYM3" s="497"/>
      <c r="WYN3" s="496"/>
      <c r="WYO3" s="498"/>
      <c r="WYP3" s="498"/>
      <c r="WYQ3" s="498"/>
      <c r="WYR3" s="466"/>
      <c r="WYS3" s="466"/>
      <c r="WYT3" s="497"/>
      <c r="WYU3" s="496"/>
      <c r="WYV3" s="498"/>
      <c r="WYW3" s="498"/>
      <c r="WYX3" s="498"/>
      <c r="WYY3" s="466"/>
      <c r="WYZ3" s="466"/>
      <c r="WZA3" s="497"/>
      <c r="WZB3" s="496"/>
      <c r="WZC3" s="498"/>
      <c r="WZD3" s="498"/>
      <c r="WZE3" s="498"/>
      <c r="WZF3" s="466"/>
      <c r="WZG3" s="466"/>
      <c r="WZH3" s="497"/>
      <c r="WZI3" s="496"/>
      <c r="WZJ3" s="498"/>
      <c r="WZK3" s="498"/>
      <c r="WZL3" s="498"/>
      <c r="WZM3" s="466"/>
      <c r="WZN3" s="466"/>
      <c r="WZO3" s="497"/>
      <c r="WZP3" s="496"/>
      <c r="WZQ3" s="498"/>
      <c r="WZR3" s="498"/>
      <c r="WZS3" s="498"/>
      <c r="WZT3" s="466"/>
      <c r="WZU3" s="466"/>
      <c r="WZV3" s="497"/>
      <c r="WZW3" s="496"/>
      <c r="WZX3" s="498"/>
      <c r="WZY3" s="498"/>
      <c r="WZZ3" s="498"/>
      <c r="XAA3" s="466"/>
      <c r="XAB3" s="466"/>
      <c r="XAC3" s="497"/>
      <c r="XAD3" s="496"/>
      <c r="XAE3" s="498"/>
      <c r="XAF3" s="498"/>
      <c r="XAG3" s="498"/>
      <c r="XAH3" s="466"/>
      <c r="XAI3" s="466"/>
      <c r="XAJ3" s="497"/>
      <c r="XAK3" s="496"/>
      <c r="XAL3" s="498"/>
      <c r="XAM3" s="498"/>
      <c r="XAN3" s="498"/>
      <c r="XAO3" s="466"/>
      <c r="XAP3" s="466"/>
      <c r="XAQ3" s="497"/>
      <c r="XAR3" s="496"/>
      <c r="XAS3" s="498"/>
      <c r="XAT3" s="498"/>
      <c r="XAU3" s="498"/>
      <c r="XAV3" s="466"/>
      <c r="XAW3" s="466"/>
      <c r="XAX3" s="497"/>
      <c r="XAY3" s="496"/>
      <c r="XAZ3" s="498"/>
      <c r="XBA3" s="498"/>
      <c r="XBB3" s="498"/>
      <c r="XBC3" s="466"/>
      <c r="XBD3" s="466"/>
      <c r="XBE3" s="497"/>
      <c r="XBF3" s="496"/>
      <c r="XBG3" s="498"/>
      <c r="XBH3" s="498"/>
      <c r="XBI3" s="498"/>
      <c r="XBJ3" s="466"/>
      <c r="XBK3" s="466"/>
      <c r="XBL3" s="497"/>
      <c r="XBM3" s="496"/>
      <c r="XBN3" s="498"/>
      <c r="XBO3" s="498"/>
      <c r="XBP3" s="498"/>
      <c r="XBQ3" s="466"/>
      <c r="XBR3" s="466"/>
      <c r="XBS3" s="497"/>
      <c r="XBT3" s="496"/>
      <c r="XBU3" s="498"/>
      <c r="XBV3" s="498"/>
      <c r="XBW3" s="498"/>
      <c r="XBX3" s="466"/>
      <c r="XBY3" s="466"/>
      <c r="XBZ3" s="497"/>
      <c r="XCA3" s="496"/>
      <c r="XCB3" s="498"/>
      <c r="XCC3" s="498"/>
      <c r="XCD3" s="498"/>
      <c r="XCE3" s="466"/>
      <c r="XCF3" s="466"/>
      <c r="XCG3" s="497"/>
      <c r="XCH3" s="496"/>
      <c r="XCI3" s="498"/>
      <c r="XCJ3" s="498"/>
      <c r="XCK3" s="498"/>
      <c r="XCL3" s="466"/>
      <c r="XCM3" s="466"/>
      <c r="XCN3" s="497"/>
      <c r="XCO3" s="496"/>
      <c r="XCP3" s="498"/>
      <c r="XCQ3" s="498"/>
      <c r="XCR3" s="498"/>
      <c r="XCS3" s="466"/>
      <c r="XCT3" s="466"/>
      <c r="XCU3" s="497"/>
      <c r="XCV3" s="496"/>
      <c r="XCW3" s="498"/>
      <c r="XCX3" s="498"/>
      <c r="XCY3" s="498"/>
      <c r="XCZ3" s="466"/>
      <c r="XDA3" s="466"/>
      <c r="XDB3" s="497"/>
      <c r="XDC3" s="496"/>
      <c r="XDD3" s="498"/>
      <c r="XDE3" s="498"/>
      <c r="XDF3" s="498"/>
      <c r="XDG3" s="466"/>
      <c r="XDH3" s="466"/>
      <c r="XDI3" s="497"/>
      <c r="XDJ3" s="496"/>
      <c r="XDK3" s="498"/>
      <c r="XDL3" s="498"/>
      <c r="XDM3" s="498"/>
      <c r="XDN3" s="466"/>
      <c r="XDO3" s="466"/>
      <c r="XDP3" s="497"/>
      <c r="XDQ3" s="496"/>
      <c r="XDR3" s="498"/>
      <c r="XDS3" s="498"/>
      <c r="XDT3" s="498"/>
      <c r="XDU3" s="466"/>
      <c r="XDV3" s="466"/>
      <c r="XDW3" s="497"/>
      <c r="XDX3" s="496"/>
      <c r="XDY3" s="498"/>
      <c r="XDZ3" s="498"/>
      <c r="XEA3" s="498"/>
      <c r="XEB3" s="466"/>
      <c r="XEC3" s="466"/>
      <c r="XED3" s="497"/>
      <c r="XEE3" s="496"/>
      <c r="XEF3" s="498"/>
      <c r="XEG3" s="498"/>
      <c r="XEH3" s="498"/>
      <c r="XEI3" s="466"/>
      <c r="XEJ3" s="466"/>
      <c r="XEK3" s="497"/>
      <c r="XEL3" s="496"/>
      <c r="XEM3" s="498"/>
      <c r="XEN3" s="498"/>
      <c r="XEO3" s="498"/>
      <c r="XEP3" s="466"/>
      <c r="XEQ3" s="466"/>
      <c r="XER3" s="497"/>
      <c r="XES3" s="496"/>
      <c r="XET3" s="498"/>
      <c r="XEU3" s="498"/>
      <c r="XEV3" s="498"/>
      <c r="XEW3" s="466"/>
      <c r="XEX3" s="466"/>
      <c r="XEY3" s="497"/>
      <c r="XEZ3" s="496"/>
      <c r="XFA3" s="498"/>
      <c r="XFB3" s="498"/>
      <c r="XFC3" s="498"/>
      <c r="XFD3" s="466"/>
    </row>
    <row r="4" spans="1:16384" s="468" customFormat="1" ht="12" customHeight="1">
      <c r="A4" s="498" t="str">
        <f>A36</f>
        <v>FEBRUAR</v>
      </c>
      <c r="B4" s="498"/>
      <c r="C4" s="498"/>
      <c r="D4" s="501">
        <f>H36</f>
        <v>30566.1</v>
      </c>
      <c r="E4" s="501">
        <f>I36</f>
        <v>30916</v>
      </c>
      <c r="F4" s="497">
        <f t="shared" si="0"/>
        <v>349.90000000000146</v>
      </c>
      <c r="G4" s="496"/>
      <c r="H4" s="513">
        <v>6823</v>
      </c>
      <c r="I4" s="513">
        <v>10635</v>
      </c>
      <c r="J4" s="513">
        <v>129</v>
      </c>
      <c r="K4" s="513"/>
      <c r="L4" s="513"/>
      <c r="M4" s="513"/>
      <c r="N4" s="494"/>
      <c r="O4" s="493"/>
      <c r="P4" s="493"/>
      <c r="Q4" s="493"/>
      <c r="R4" s="493"/>
      <c r="S4" s="493"/>
      <c r="T4" s="493"/>
      <c r="U4" s="493"/>
      <c r="V4" s="493"/>
      <c r="W4" s="493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69"/>
      <c r="AI4" s="469"/>
      <c r="AJ4" s="469"/>
      <c r="AK4" s="469"/>
      <c r="AL4" s="469"/>
      <c r="AM4" s="469"/>
      <c r="AN4" s="469"/>
      <c r="AO4" s="469"/>
      <c r="AP4" s="469"/>
      <c r="AQ4" s="469"/>
      <c r="AR4" s="469"/>
      <c r="AS4" s="469"/>
      <c r="AT4" s="469"/>
      <c r="AU4" s="469"/>
      <c r="AV4" s="469"/>
      <c r="AW4" s="469"/>
      <c r="AX4" s="469"/>
      <c r="AY4" s="469"/>
      <c r="AZ4" s="469"/>
      <c r="BA4" s="469"/>
      <c r="BB4" s="469"/>
      <c r="BC4" s="469"/>
      <c r="BD4" s="469"/>
      <c r="BE4" s="469"/>
      <c r="BF4" s="469"/>
      <c r="BG4" s="469"/>
      <c r="BH4" s="469"/>
      <c r="BI4" s="469"/>
      <c r="BJ4" s="469"/>
      <c r="BK4" s="469"/>
      <c r="BL4" s="469"/>
      <c r="BM4" s="469"/>
      <c r="BN4" s="469"/>
      <c r="BO4" s="469"/>
      <c r="BP4" s="469"/>
      <c r="BQ4" s="469"/>
      <c r="BR4" s="469"/>
      <c r="BS4" s="469"/>
      <c r="BT4" s="469"/>
      <c r="BU4" s="469"/>
      <c r="BV4" s="469"/>
      <c r="BW4" s="469"/>
      <c r="BX4" s="469"/>
      <c r="BY4" s="469"/>
      <c r="BZ4" s="469"/>
      <c r="CA4" s="469"/>
      <c r="CB4" s="469"/>
      <c r="CC4" s="469"/>
      <c r="CD4" s="469"/>
      <c r="CE4" s="469"/>
      <c r="CF4" s="469"/>
      <c r="CG4" s="469"/>
      <c r="CH4" s="469"/>
      <c r="CI4" s="469"/>
      <c r="CJ4" s="469"/>
      <c r="CK4" s="469"/>
      <c r="CL4" s="469"/>
      <c r="CM4" s="469"/>
      <c r="CN4" s="469"/>
      <c r="CO4" s="469"/>
      <c r="CP4" s="469"/>
      <c r="CQ4" s="469"/>
      <c r="CR4" s="469"/>
      <c r="CS4" s="469"/>
      <c r="CT4" s="469"/>
      <c r="CU4" s="469"/>
      <c r="CV4" s="469"/>
      <c r="CW4" s="469"/>
      <c r="CX4" s="469"/>
      <c r="CY4" s="469"/>
      <c r="CZ4" s="469"/>
      <c r="DA4" s="469"/>
      <c r="DB4" s="469"/>
      <c r="DC4" s="469"/>
      <c r="DD4" s="469"/>
      <c r="DE4" s="469"/>
      <c r="DF4" s="469"/>
      <c r="DG4" s="469"/>
      <c r="DH4" s="469"/>
      <c r="DI4" s="469"/>
      <c r="DJ4" s="469"/>
      <c r="DK4" s="469"/>
      <c r="DL4" s="469"/>
      <c r="DM4" s="469"/>
      <c r="DN4" s="469"/>
      <c r="DO4" s="469"/>
      <c r="DP4" s="469"/>
      <c r="DQ4" s="469"/>
      <c r="DR4" s="469"/>
      <c r="DS4" s="469"/>
      <c r="DT4" s="469"/>
      <c r="DU4" s="469"/>
      <c r="DV4" s="469"/>
      <c r="DW4" s="469"/>
      <c r="DX4" s="469"/>
      <c r="DY4" s="469"/>
      <c r="DZ4" s="469"/>
      <c r="EA4" s="469"/>
      <c r="EB4" s="469"/>
      <c r="EC4" s="469"/>
      <c r="ED4" s="469"/>
      <c r="EE4" s="469"/>
      <c r="EF4" s="469"/>
      <c r="EG4" s="469"/>
      <c r="EH4" s="469"/>
      <c r="EI4" s="469"/>
      <c r="EJ4" s="469"/>
      <c r="EK4" s="469"/>
      <c r="EL4" s="469"/>
      <c r="EM4" s="469"/>
      <c r="EN4" s="469"/>
      <c r="EO4" s="469"/>
      <c r="EP4" s="469"/>
      <c r="EQ4" s="469"/>
      <c r="ER4" s="469"/>
      <c r="ES4" s="469"/>
      <c r="ET4" s="469"/>
      <c r="EU4" s="469"/>
      <c r="EV4" s="469"/>
      <c r="EW4" s="469"/>
      <c r="EX4" s="469"/>
      <c r="EY4" s="469"/>
      <c r="EZ4" s="469"/>
      <c r="FA4" s="469"/>
      <c r="FB4" s="469"/>
      <c r="FC4" s="469"/>
      <c r="FD4" s="469"/>
      <c r="FE4" s="469"/>
      <c r="FF4" s="469"/>
      <c r="FG4" s="469"/>
      <c r="FH4" s="469"/>
      <c r="FI4" s="469"/>
      <c r="FJ4" s="469"/>
      <c r="FK4" s="469"/>
      <c r="FL4" s="469"/>
      <c r="FM4" s="469"/>
      <c r="FN4" s="469"/>
      <c r="FO4" s="469"/>
      <c r="FP4" s="469"/>
      <c r="FQ4" s="469"/>
      <c r="FR4" s="469"/>
      <c r="FS4" s="469"/>
      <c r="FT4" s="469"/>
      <c r="FU4" s="469"/>
      <c r="FV4" s="469"/>
      <c r="FW4" s="469"/>
      <c r="FX4" s="469"/>
      <c r="FY4" s="469"/>
      <c r="FZ4" s="469"/>
      <c r="GA4" s="469"/>
      <c r="GB4" s="469"/>
      <c r="GC4" s="469"/>
      <c r="GD4" s="469"/>
      <c r="GE4" s="469"/>
      <c r="GF4" s="469"/>
      <c r="GG4" s="469"/>
      <c r="GH4" s="469"/>
      <c r="GI4" s="469"/>
      <c r="GJ4" s="469"/>
      <c r="GK4" s="469"/>
      <c r="GL4" s="469"/>
      <c r="GM4" s="469"/>
      <c r="GN4" s="469"/>
      <c r="GO4" s="469"/>
      <c r="GP4" s="469"/>
      <c r="GQ4" s="469"/>
      <c r="GR4" s="469"/>
      <c r="GS4" s="469"/>
      <c r="GT4" s="469"/>
    </row>
    <row r="5" spans="1:16384" s="504" customFormat="1" ht="12" customHeight="1">
      <c r="A5" s="498" t="s">
        <v>592</v>
      </c>
      <c r="B5" s="498"/>
      <c r="C5" s="498"/>
      <c r="D5" s="501">
        <f>H56</f>
        <v>23156.639999999999</v>
      </c>
      <c r="E5" s="501">
        <f>I56</f>
        <v>20629</v>
      </c>
      <c r="F5" s="497">
        <f t="shared" si="0"/>
        <v>-2527.6399999999994</v>
      </c>
      <c r="G5" s="496"/>
      <c r="H5" s="513">
        <v>205</v>
      </c>
      <c r="I5" s="502"/>
      <c r="J5" s="506"/>
      <c r="K5" s="506"/>
      <c r="L5" s="506"/>
      <c r="M5" s="506"/>
      <c r="N5" s="507"/>
      <c r="O5" s="506"/>
      <c r="P5" s="506"/>
      <c r="Q5" s="506"/>
      <c r="R5" s="506"/>
      <c r="S5" s="506"/>
      <c r="T5" s="506"/>
      <c r="U5" s="506"/>
      <c r="V5" s="506"/>
      <c r="W5" s="506"/>
      <c r="X5" s="505"/>
      <c r="Y5" s="505"/>
      <c r="Z5" s="505"/>
      <c r="AA5" s="505"/>
      <c r="AB5" s="505"/>
      <c r="AC5" s="505"/>
      <c r="AD5" s="505"/>
      <c r="AE5" s="505"/>
      <c r="AF5" s="505"/>
      <c r="AG5" s="505"/>
      <c r="AH5" s="505"/>
      <c r="AI5" s="505"/>
      <c r="AJ5" s="505"/>
      <c r="AK5" s="505"/>
      <c r="AL5" s="505"/>
      <c r="AM5" s="505"/>
      <c r="AN5" s="505"/>
      <c r="AO5" s="505"/>
      <c r="AP5" s="505"/>
      <c r="AQ5" s="505"/>
      <c r="AR5" s="505"/>
      <c r="AS5" s="505"/>
      <c r="AT5" s="505"/>
      <c r="AU5" s="505"/>
      <c r="AV5" s="505"/>
      <c r="AW5" s="505"/>
      <c r="AX5" s="505"/>
      <c r="AY5" s="505"/>
      <c r="AZ5" s="505"/>
      <c r="BA5" s="505"/>
      <c r="BB5" s="505"/>
      <c r="BC5" s="505"/>
      <c r="BD5" s="505"/>
      <c r="BE5" s="505"/>
      <c r="BF5" s="505"/>
      <c r="BG5" s="505"/>
      <c r="BH5" s="505"/>
      <c r="BI5" s="505"/>
      <c r="BJ5" s="505"/>
      <c r="BK5" s="505"/>
      <c r="BL5" s="505"/>
      <c r="BM5" s="505"/>
      <c r="BN5" s="505"/>
      <c r="BO5" s="505"/>
      <c r="BP5" s="505"/>
      <c r="BQ5" s="505"/>
      <c r="BR5" s="505"/>
      <c r="BS5" s="505"/>
      <c r="BT5" s="505"/>
      <c r="BU5" s="505"/>
      <c r="BV5" s="505"/>
      <c r="BW5" s="505"/>
      <c r="BX5" s="505"/>
      <c r="BY5" s="505"/>
      <c r="BZ5" s="505"/>
      <c r="CA5" s="505"/>
      <c r="CB5" s="505"/>
      <c r="CC5" s="505"/>
      <c r="CD5" s="505"/>
      <c r="CE5" s="505"/>
      <c r="CF5" s="505"/>
      <c r="CG5" s="505"/>
      <c r="CH5" s="505"/>
      <c r="CI5" s="505"/>
      <c r="CJ5" s="505"/>
      <c r="CK5" s="505"/>
      <c r="CL5" s="505"/>
      <c r="CM5" s="505"/>
      <c r="CN5" s="505"/>
      <c r="CO5" s="505"/>
      <c r="CP5" s="505"/>
      <c r="CQ5" s="505"/>
      <c r="CR5" s="505"/>
      <c r="CS5" s="505"/>
      <c r="CT5" s="505"/>
      <c r="CU5" s="505"/>
      <c r="CV5" s="505"/>
      <c r="CW5" s="505"/>
      <c r="CX5" s="505"/>
      <c r="CY5" s="505"/>
      <c r="CZ5" s="505"/>
      <c r="DA5" s="505"/>
      <c r="DB5" s="505"/>
      <c r="DC5" s="505"/>
      <c r="DD5" s="505"/>
      <c r="DE5" s="505"/>
      <c r="DF5" s="505"/>
      <c r="DG5" s="505"/>
      <c r="DH5" s="505"/>
      <c r="DI5" s="505"/>
      <c r="DJ5" s="505"/>
      <c r="DK5" s="505"/>
      <c r="DL5" s="505"/>
      <c r="DM5" s="505"/>
      <c r="DN5" s="505"/>
      <c r="DO5" s="505"/>
      <c r="DP5" s="505"/>
      <c r="DQ5" s="505"/>
      <c r="DR5" s="505"/>
      <c r="DS5" s="505"/>
      <c r="DT5" s="505"/>
      <c r="DU5" s="505"/>
      <c r="DV5" s="505"/>
      <c r="DW5" s="505"/>
      <c r="DX5" s="505"/>
      <c r="DY5" s="505"/>
      <c r="DZ5" s="505"/>
      <c r="EA5" s="505"/>
      <c r="EB5" s="505"/>
      <c r="EC5" s="505"/>
      <c r="ED5" s="505"/>
      <c r="EE5" s="505"/>
      <c r="EF5" s="505"/>
      <c r="EG5" s="505"/>
      <c r="EH5" s="505"/>
      <c r="EI5" s="505"/>
      <c r="EJ5" s="505"/>
      <c r="EK5" s="505"/>
      <c r="EL5" s="505"/>
      <c r="EM5" s="505"/>
      <c r="EN5" s="505"/>
      <c r="EO5" s="505"/>
      <c r="EP5" s="505"/>
      <c r="EQ5" s="505"/>
      <c r="ER5" s="505"/>
      <c r="ES5" s="505"/>
      <c r="ET5" s="505"/>
      <c r="EU5" s="505"/>
      <c r="EV5" s="505"/>
      <c r="EW5" s="505"/>
      <c r="EX5" s="505"/>
      <c r="EY5" s="505"/>
      <c r="EZ5" s="505"/>
      <c r="FA5" s="505"/>
      <c r="FB5" s="505"/>
      <c r="FC5" s="505"/>
      <c r="FD5" s="505"/>
      <c r="FE5" s="505"/>
      <c r="FF5" s="505"/>
      <c r="FG5" s="505"/>
      <c r="FH5" s="505"/>
      <c r="FI5" s="505"/>
      <c r="FJ5" s="505"/>
      <c r="FK5" s="505"/>
      <c r="FL5" s="505"/>
      <c r="FM5" s="505"/>
      <c r="FN5" s="505"/>
      <c r="FO5" s="505"/>
      <c r="FP5" s="505"/>
      <c r="FQ5" s="505"/>
      <c r="FR5" s="505"/>
      <c r="FS5" s="505"/>
      <c r="FT5" s="505"/>
      <c r="FU5" s="505"/>
      <c r="FV5" s="505"/>
      <c r="FW5" s="505"/>
      <c r="FX5" s="505"/>
      <c r="FY5" s="505"/>
      <c r="FZ5" s="505"/>
      <c r="GA5" s="505"/>
      <c r="GB5" s="505"/>
      <c r="GC5" s="505"/>
      <c r="GD5" s="505"/>
      <c r="GE5" s="505"/>
      <c r="GF5" s="505"/>
      <c r="GG5" s="505"/>
      <c r="GH5" s="505"/>
      <c r="GI5" s="505"/>
      <c r="GJ5" s="505"/>
      <c r="GK5" s="505"/>
      <c r="GL5" s="505"/>
      <c r="GM5" s="505"/>
      <c r="GN5" s="505"/>
      <c r="GO5" s="505"/>
      <c r="GP5" s="505"/>
      <c r="GQ5" s="505"/>
      <c r="GR5" s="505"/>
      <c r="GS5" s="505"/>
      <c r="GT5" s="505"/>
    </row>
    <row r="6" spans="1:16384" s="504" customFormat="1" ht="12" customHeight="1">
      <c r="A6" s="498" t="s">
        <v>590</v>
      </c>
      <c r="B6" s="498"/>
      <c r="C6" s="498"/>
      <c r="D6" s="501" t="e">
        <f>H77</f>
        <v>#REF!</v>
      </c>
      <c r="E6" s="501">
        <f>I77</f>
        <v>20629</v>
      </c>
      <c r="F6" s="497" t="e">
        <f t="shared" si="0"/>
        <v>#REF!</v>
      </c>
      <c r="G6" s="496"/>
      <c r="H6" s="511" t="s">
        <v>6</v>
      </c>
      <c r="I6" s="511" t="s">
        <v>3</v>
      </c>
      <c r="J6" s="453" t="s">
        <v>363</v>
      </c>
      <c r="K6" s="453" t="s">
        <v>595</v>
      </c>
      <c r="L6" s="506"/>
      <c r="M6" s="506"/>
      <c r="N6" s="507"/>
      <c r="O6" s="506"/>
      <c r="P6" s="506"/>
      <c r="Q6" s="506"/>
      <c r="R6" s="506"/>
      <c r="S6" s="506"/>
      <c r="T6" s="506"/>
      <c r="U6" s="506"/>
      <c r="V6" s="506"/>
      <c r="W6" s="506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505"/>
      <c r="CR6" s="505"/>
      <c r="CS6" s="505"/>
      <c r="CT6" s="505"/>
      <c r="CU6" s="505"/>
      <c r="CV6" s="505"/>
      <c r="CW6" s="505"/>
      <c r="CX6" s="505"/>
      <c r="CY6" s="505"/>
      <c r="CZ6" s="505"/>
      <c r="DA6" s="505"/>
      <c r="DB6" s="505"/>
      <c r="DC6" s="505"/>
      <c r="DD6" s="505"/>
      <c r="DE6" s="505"/>
      <c r="DF6" s="505"/>
      <c r="DG6" s="505"/>
      <c r="DH6" s="505"/>
      <c r="DI6" s="505"/>
      <c r="DJ6" s="505"/>
      <c r="DK6" s="505"/>
      <c r="DL6" s="505"/>
      <c r="DM6" s="505"/>
      <c r="DN6" s="505"/>
      <c r="DO6" s="505"/>
      <c r="DP6" s="505"/>
      <c r="DQ6" s="505"/>
      <c r="DR6" s="505"/>
      <c r="DS6" s="505"/>
      <c r="DT6" s="505"/>
      <c r="DU6" s="505"/>
      <c r="DV6" s="505"/>
      <c r="DW6" s="505"/>
      <c r="DX6" s="505"/>
      <c r="DY6" s="505"/>
      <c r="DZ6" s="505"/>
      <c r="EA6" s="505"/>
      <c r="EB6" s="505"/>
      <c r="EC6" s="505"/>
      <c r="ED6" s="505"/>
      <c r="EE6" s="505"/>
      <c r="EF6" s="505"/>
      <c r="EG6" s="505"/>
      <c r="EH6" s="505"/>
      <c r="EI6" s="505"/>
      <c r="EJ6" s="505"/>
      <c r="EK6" s="505"/>
      <c r="EL6" s="505"/>
      <c r="EM6" s="505"/>
      <c r="EN6" s="505"/>
      <c r="EO6" s="505"/>
      <c r="EP6" s="505"/>
      <c r="EQ6" s="505"/>
      <c r="ER6" s="505"/>
      <c r="ES6" s="505"/>
      <c r="ET6" s="505"/>
      <c r="EU6" s="505"/>
      <c r="EV6" s="505"/>
      <c r="EW6" s="505"/>
      <c r="EX6" s="505"/>
      <c r="EY6" s="505"/>
      <c r="EZ6" s="505"/>
      <c r="FA6" s="505"/>
      <c r="FB6" s="505"/>
      <c r="FC6" s="505"/>
      <c r="FD6" s="505"/>
      <c r="FE6" s="505"/>
      <c r="FF6" s="505"/>
      <c r="FG6" s="505"/>
      <c r="FH6" s="505"/>
      <c r="FI6" s="505"/>
      <c r="FJ6" s="505"/>
      <c r="FK6" s="505"/>
      <c r="FL6" s="505"/>
      <c r="FM6" s="505"/>
      <c r="FN6" s="505"/>
      <c r="FO6" s="505"/>
      <c r="FP6" s="505"/>
      <c r="FQ6" s="505"/>
      <c r="FR6" s="505"/>
      <c r="FS6" s="505"/>
      <c r="FT6" s="505"/>
      <c r="FU6" s="505"/>
      <c r="FV6" s="505"/>
      <c r="FW6" s="505"/>
      <c r="FX6" s="505"/>
      <c r="FY6" s="505"/>
      <c r="FZ6" s="505"/>
      <c r="GA6" s="505"/>
      <c r="GB6" s="505"/>
      <c r="GC6" s="505"/>
      <c r="GD6" s="505"/>
      <c r="GE6" s="505"/>
      <c r="GF6" s="505"/>
      <c r="GG6" s="505"/>
      <c r="GH6" s="505"/>
      <c r="GI6" s="505"/>
      <c r="GJ6" s="505"/>
      <c r="GK6" s="505"/>
      <c r="GL6" s="505"/>
      <c r="GM6" s="505"/>
      <c r="GN6" s="505"/>
      <c r="GO6" s="505"/>
      <c r="GP6" s="505"/>
      <c r="GQ6" s="505"/>
      <c r="GR6" s="505"/>
      <c r="GS6" s="505"/>
      <c r="GT6" s="505"/>
    </row>
    <row r="7" spans="1:16384" s="504" customFormat="1" ht="12" customHeight="1">
      <c r="A7" s="498" t="s">
        <v>588</v>
      </c>
      <c r="B7" s="498"/>
      <c r="C7" s="498"/>
      <c r="D7" s="501">
        <f>H98</f>
        <v>21161.49</v>
      </c>
      <c r="E7" s="501">
        <f>I98</f>
        <v>20629</v>
      </c>
      <c r="F7" s="497">
        <f t="shared" si="0"/>
        <v>-532.4900000000016</v>
      </c>
      <c r="G7" s="496"/>
      <c r="H7" s="512">
        <v>9762</v>
      </c>
      <c r="I7" s="512">
        <v>16044</v>
      </c>
      <c r="J7" s="511">
        <f>J27+J47+J69+J90+J111+J131+J151+J172+J195+F215+F234+F255</f>
        <v>6713.88</v>
      </c>
      <c r="K7" s="511" t="e">
        <f>#REF!</f>
        <v>#REF!</v>
      </c>
      <c r="L7" s="506"/>
      <c r="M7" s="506"/>
      <c r="N7" s="507"/>
      <c r="O7" s="506"/>
      <c r="P7" s="506"/>
      <c r="Q7" s="506"/>
      <c r="R7" s="506"/>
      <c r="S7" s="506"/>
      <c r="T7" s="506"/>
      <c r="U7" s="506"/>
      <c r="V7" s="506"/>
      <c r="W7" s="506"/>
      <c r="X7" s="505"/>
      <c r="Y7" s="505"/>
      <c r="Z7" s="505"/>
      <c r="AA7" s="505"/>
      <c r="AB7" s="505"/>
      <c r="AC7" s="505"/>
      <c r="AD7" s="505"/>
      <c r="AE7" s="505"/>
      <c r="AF7" s="505"/>
      <c r="AG7" s="505"/>
      <c r="AH7" s="505"/>
      <c r="AI7" s="505"/>
      <c r="AJ7" s="505"/>
      <c r="AK7" s="505"/>
      <c r="AL7" s="505"/>
      <c r="AM7" s="505"/>
      <c r="AN7" s="505"/>
      <c r="AO7" s="505"/>
      <c r="AP7" s="505"/>
      <c r="AQ7" s="505"/>
      <c r="AR7" s="505"/>
      <c r="AS7" s="505"/>
      <c r="AT7" s="505"/>
      <c r="AU7" s="505"/>
      <c r="AV7" s="505"/>
      <c r="AW7" s="505"/>
      <c r="AX7" s="505"/>
      <c r="AY7" s="505"/>
      <c r="AZ7" s="505"/>
      <c r="BA7" s="505"/>
      <c r="BB7" s="505"/>
      <c r="BC7" s="505"/>
      <c r="BD7" s="505"/>
      <c r="BE7" s="505"/>
      <c r="BF7" s="505"/>
      <c r="BG7" s="505"/>
      <c r="BH7" s="505"/>
      <c r="BI7" s="505"/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505"/>
      <c r="CR7" s="505"/>
      <c r="CS7" s="505"/>
      <c r="CT7" s="505"/>
      <c r="CU7" s="505"/>
      <c r="CV7" s="505"/>
      <c r="CW7" s="505"/>
      <c r="CX7" s="505"/>
      <c r="CY7" s="505"/>
      <c r="CZ7" s="505"/>
      <c r="DA7" s="505"/>
      <c r="DB7" s="505"/>
      <c r="DC7" s="505"/>
      <c r="DD7" s="505"/>
      <c r="DE7" s="505"/>
      <c r="DF7" s="505"/>
      <c r="DG7" s="505"/>
      <c r="DH7" s="505"/>
      <c r="DI7" s="505"/>
      <c r="DJ7" s="505"/>
      <c r="DK7" s="505"/>
      <c r="DL7" s="505"/>
      <c r="DM7" s="505"/>
      <c r="DN7" s="505"/>
      <c r="DO7" s="505"/>
      <c r="DP7" s="505"/>
      <c r="DQ7" s="505"/>
      <c r="DR7" s="505"/>
      <c r="DS7" s="505"/>
      <c r="DT7" s="505"/>
      <c r="DU7" s="505"/>
      <c r="DV7" s="505"/>
      <c r="DW7" s="505"/>
      <c r="DX7" s="505"/>
      <c r="DY7" s="505"/>
      <c r="DZ7" s="505"/>
      <c r="EA7" s="505"/>
      <c r="EB7" s="505"/>
      <c r="EC7" s="505"/>
      <c r="ED7" s="505"/>
      <c r="EE7" s="505"/>
      <c r="EF7" s="505"/>
      <c r="EG7" s="505"/>
      <c r="EH7" s="505"/>
      <c r="EI7" s="505"/>
      <c r="EJ7" s="505"/>
      <c r="EK7" s="505"/>
      <c r="EL7" s="505"/>
      <c r="EM7" s="505"/>
      <c r="EN7" s="505"/>
      <c r="EO7" s="505"/>
      <c r="EP7" s="505"/>
      <c r="EQ7" s="505"/>
      <c r="ER7" s="505"/>
      <c r="ES7" s="505"/>
      <c r="ET7" s="505"/>
      <c r="EU7" s="505"/>
      <c r="EV7" s="505"/>
      <c r="EW7" s="505"/>
      <c r="EX7" s="505"/>
      <c r="EY7" s="505"/>
      <c r="EZ7" s="505"/>
      <c r="FA7" s="505"/>
      <c r="FB7" s="505"/>
      <c r="FC7" s="505"/>
      <c r="FD7" s="505"/>
      <c r="FE7" s="505"/>
      <c r="FF7" s="505"/>
      <c r="FG7" s="505"/>
      <c r="FH7" s="505"/>
      <c r="FI7" s="505"/>
      <c r="FJ7" s="505"/>
      <c r="FK7" s="505"/>
      <c r="FL7" s="505"/>
      <c r="FM7" s="505"/>
      <c r="FN7" s="505"/>
      <c r="FO7" s="505"/>
      <c r="FP7" s="505"/>
      <c r="FQ7" s="505"/>
      <c r="FR7" s="505"/>
      <c r="FS7" s="505"/>
      <c r="FT7" s="505"/>
      <c r="FU7" s="505"/>
      <c r="FV7" s="505"/>
      <c r="FW7" s="505"/>
      <c r="FX7" s="505"/>
      <c r="FY7" s="505"/>
      <c r="FZ7" s="505"/>
      <c r="GA7" s="505"/>
      <c r="GB7" s="505"/>
      <c r="GC7" s="505"/>
      <c r="GD7" s="505"/>
      <c r="GE7" s="505"/>
      <c r="GF7" s="505"/>
      <c r="GG7" s="505"/>
      <c r="GH7" s="505"/>
      <c r="GI7" s="505"/>
      <c r="GJ7" s="505"/>
      <c r="GK7" s="505"/>
      <c r="GL7" s="505"/>
      <c r="GM7" s="505"/>
      <c r="GN7" s="505"/>
      <c r="GO7" s="505"/>
      <c r="GP7" s="505"/>
      <c r="GQ7" s="505"/>
      <c r="GR7" s="505"/>
      <c r="GS7" s="505"/>
      <c r="GT7" s="505"/>
    </row>
    <row r="8" spans="1:16384" s="504" customFormat="1" ht="12" customHeight="1">
      <c r="A8" s="498" t="s">
        <v>587</v>
      </c>
      <c r="B8" s="498"/>
      <c r="C8" s="498"/>
      <c r="D8" s="501">
        <f>H118</f>
        <v>22582.75</v>
      </c>
      <c r="E8" s="501">
        <f>I118</f>
        <v>20629</v>
      </c>
      <c r="F8" s="497">
        <f t="shared" si="0"/>
        <v>-1953.75</v>
      </c>
      <c r="G8" s="496"/>
      <c r="H8" s="511" t="s">
        <v>2</v>
      </c>
      <c r="I8" s="511" t="s">
        <v>2</v>
      </c>
      <c r="J8" s="502"/>
      <c r="K8" s="510" t="e">
        <f>#REF!</f>
        <v>#REF!</v>
      </c>
      <c r="L8" s="506"/>
      <c r="M8" s="506"/>
      <c r="N8" s="507"/>
      <c r="O8" s="506"/>
      <c r="P8" s="506"/>
      <c r="Q8" s="506"/>
      <c r="R8" s="506"/>
      <c r="S8" s="506"/>
      <c r="T8" s="506"/>
      <c r="U8" s="506"/>
      <c r="V8" s="506"/>
      <c r="W8" s="506"/>
      <c r="X8" s="505"/>
      <c r="Y8" s="505"/>
      <c r="Z8" s="505"/>
      <c r="AA8" s="505"/>
      <c r="AB8" s="505"/>
      <c r="AC8" s="505"/>
      <c r="AD8" s="505"/>
      <c r="AE8" s="505"/>
      <c r="AF8" s="505"/>
      <c r="AG8" s="505"/>
      <c r="AH8" s="505"/>
      <c r="AI8" s="505"/>
      <c r="AJ8" s="505"/>
      <c r="AK8" s="505"/>
      <c r="AL8" s="505"/>
      <c r="AM8" s="505"/>
      <c r="AN8" s="505"/>
      <c r="AO8" s="505"/>
      <c r="AP8" s="505"/>
      <c r="AQ8" s="505"/>
      <c r="AR8" s="505"/>
      <c r="AS8" s="505"/>
      <c r="AT8" s="505"/>
      <c r="AU8" s="505"/>
      <c r="AV8" s="505"/>
      <c r="AW8" s="505"/>
      <c r="AX8" s="505"/>
      <c r="AY8" s="505"/>
      <c r="AZ8" s="505"/>
      <c r="BA8" s="505"/>
      <c r="BB8" s="505"/>
      <c r="BC8" s="505"/>
      <c r="BD8" s="505"/>
      <c r="BE8" s="505"/>
      <c r="BF8" s="505"/>
      <c r="BG8" s="505"/>
      <c r="BH8" s="505"/>
      <c r="BI8" s="505"/>
      <c r="BJ8" s="505"/>
      <c r="BK8" s="505"/>
      <c r="BL8" s="505"/>
      <c r="BM8" s="505"/>
      <c r="BN8" s="505"/>
      <c r="BO8" s="505"/>
      <c r="BP8" s="505"/>
      <c r="BQ8" s="505"/>
      <c r="BR8" s="505"/>
      <c r="BS8" s="505"/>
      <c r="BT8" s="505"/>
      <c r="BU8" s="505"/>
      <c r="BV8" s="505"/>
      <c r="BW8" s="505"/>
      <c r="BX8" s="505"/>
      <c r="BY8" s="505"/>
      <c r="BZ8" s="505"/>
      <c r="CA8" s="505"/>
      <c r="CB8" s="505"/>
      <c r="CC8" s="505"/>
      <c r="CD8" s="505"/>
      <c r="CE8" s="505"/>
      <c r="CF8" s="505"/>
      <c r="CG8" s="505"/>
      <c r="CH8" s="505"/>
      <c r="CI8" s="505"/>
      <c r="CJ8" s="505"/>
      <c r="CK8" s="505"/>
      <c r="CL8" s="505"/>
      <c r="CM8" s="505"/>
      <c r="CN8" s="505"/>
      <c r="CO8" s="505"/>
      <c r="CP8" s="505"/>
      <c r="CQ8" s="505"/>
      <c r="CR8" s="505"/>
      <c r="CS8" s="505"/>
      <c r="CT8" s="505"/>
      <c r="CU8" s="505"/>
      <c r="CV8" s="505"/>
      <c r="CW8" s="505"/>
      <c r="CX8" s="505"/>
      <c r="CY8" s="505"/>
      <c r="CZ8" s="505"/>
      <c r="DA8" s="505"/>
      <c r="DB8" s="505"/>
      <c r="DC8" s="505"/>
      <c r="DD8" s="505"/>
      <c r="DE8" s="505"/>
      <c r="DF8" s="505"/>
      <c r="DG8" s="505"/>
      <c r="DH8" s="505"/>
      <c r="DI8" s="505"/>
      <c r="DJ8" s="505"/>
      <c r="DK8" s="505"/>
      <c r="DL8" s="505"/>
      <c r="DM8" s="505"/>
      <c r="DN8" s="505"/>
      <c r="DO8" s="505"/>
      <c r="DP8" s="505"/>
      <c r="DQ8" s="505"/>
      <c r="DR8" s="505"/>
      <c r="DS8" s="505"/>
      <c r="DT8" s="505"/>
      <c r="DU8" s="505"/>
      <c r="DV8" s="505"/>
      <c r="DW8" s="505"/>
      <c r="DX8" s="505"/>
      <c r="DY8" s="505"/>
      <c r="DZ8" s="505"/>
      <c r="EA8" s="505"/>
      <c r="EB8" s="505"/>
      <c r="EC8" s="505"/>
      <c r="ED8" s="505"/>
      <c r="EE8" s="505"/>
      <c r="EF8" s="505"/>
      <c r="EG8" s="505"/>
      <c r="EH8" s="505"/>
      <c r="EI8" s="505"/>
      <c r="EJ8" s="505"/>
      <c r="EK8" s="505"/>
      <c r="EL8" s="505"/>
      <c r="EM8" s="505"/>
      <c r="EN8" s="505"/>
      <c r="EO8" s="505"/>
      <c r="EP8" s="505"/>
      <c r="EQ8" s="505"/>
      <c r="ER8" s="505"/>
      <c r="ES8" s="505"/>
      <c r="ET8" s="505"/>
      <c r="EU8" s="505"/>
      <c r="EV8" s="505"/>
      <c r="EW8" s="505"/>
      <c r="EX8" s="505"/>
      <c r="EY8" s="505"/>
      <c r="EZ8" s="505"/>
      <c r="FA8" s="505"/>
      <c r="FB8" s="505"/>
      <c r="FC8" s="505"/>
      <c r="FD8" s="505"/>
      <c r="FE8" s="505"/>
      <c r="FF8" s="505"/>
      <c r="FG8" s="505"/>
      <c r="FH8" s="505"/>
      <c r="FI8" s="505"/>
      <c r="FJ8" s="505"/>
      <c r="FK8" s="505"/>
      <c r="FL8" s="505"/>
      <c r="FM8" s="505"/>
      <c r="FN8" s="505"/>
      <c r="FO8" s="505"/>
      <c r="FP8" s="505"/>
      <c r="FQ8" s="505"/>
      <c r="FR8" s="505"/>
      <c r="FS8" s="505"/>
      <c r="FT8" s="505"/>
      <c r="FU8" s="505"/>
      <c r="FV8" s="505"/>
      <c r="FW8" s="505"/>
      <c r="FX8" s="505"/>
      <c r="FY8" s="505"/>
      <c r="FZ8" s="505"/>
      <c r="GA8" s="505"/>
      <c r="GB8" s="505"/>
      <c r="GC8" s="505"/>
      <c r="GD8" s="505"/>
      <c r="GE8" s="505"/>
      <c r="GF8" s="505"/>
      <c r="GG8" s="505"/>
      <c r="GH8" s="505"/>
      <c r="GI8" s="505"/>
      <c r="GJ8" s="505"/>
      <c r="GK8" s="505"/>
      <c r="GL8" s="505"/>
      <c r="GM8" s="505"/>
      <c r="GN8" s="505"/>
      <c r="GO8" s="505"/>
      <c r="GP8" s="505"/>
      <c r="GQ8" s="505"/>
      <c r="GR8" s="505"/>
      <c r="GS8" s="505"/>
      <c r="GT8" s="505"/>
    </row>
    <row r="9" spans="1:16384" s="504" customFormat="1" ht="12" customHeight="1">
      <c r="A9" s="498" t="s">
        <v>586</v>
      </c>
      <c r="B9" s="498"/>
      <c r="C9" s="498"/>
      <c r="D9" s="501">
        <f>H137</f>
        <v>19270.36</v>
      </c>
      <c r="E9" s="501">
        <f>I137</f>
        <v>20629</v>
      </c>
      <c r="F9" s="497">
        <f t="shared" si="0"/>
        <v>1358.6399999999994</v>
      </c>
      <c r="G9" s="496"/>
      <c r="H9" s="502">
        <v>2228</v>
      </c>
      <c r="I9" s="502">
        <v>2176</v>
      </c>
      <c r="J9" s="508"/>
      <c r="K9" s="509" t="e">
        <f>K7+K8</f>
        <v>#REF!</v>
      </c>
      <c r="L9" s="506"/>
      <c r="M9" s="506"/>
      <c r="N9" s="507"/>
      <c r="O9" s="506"/>
      <c r="P9" s="506"/>
      <c r="Q9" s="506"/>
      <c r="R9" s="506"/>
      <c r="S9" s="506"/>
      <c r="T9" s="506"/>
      <c r="U9" s="506"/>
      <c r="V9" s="506"/>
      <c r="W9" s="506"/>
      <c r="X9" s="505"/>
      <c r="Y9" s="505"/>
      <c r="Z9" s="505"/>
      <c r="AA9" s="505"/>
      <c r="AB9" s="505"/>
      <c r="AC9" s="505"/>
      <c r="AD9" s="505"/>
      <c r="AE9" s="505"/>
      <c r="AF9" s="505"/>
      <c r="AG9" s="505"/>
      <c r="AH9" s="505"/>
      <c r="AI9" s="505"/>
      <c r="AJ9" s="505"/>
      <c r="AK9" s="505"/>
      <c r="AL9" s="505"/>
      <c r="AM9" s="505"/>
      <c r="AN9" s="505"/>
      <c r="AO9" s="505"/>
      <c r="AP9" s="505"/>
      <c r="AQ9" s="505"/>
      <c r="AR9" s="505"/>
      <c r="AS9" s="505"/>
      <c r="AT9" s="505"/>
      <c r="AU9" s="505"/>
      <c r="AV9" s="505"/>
      <c r="AW9" s="505"/>
      <c r="AX9" s="505"/>
      <c r="AY9" s="505"/>
      <c r="AZ9" s="505"/>
      <c r="BA9" s="505"/>
      <c r="BB9" s="505"/>
      <c r="BC9" s="505"/>
      <c r="BD9" s="505"/>
      <c r="BE9" s="505"/>
      <c r="BF9" s="505"/>
      <c r="BG9" s="505"/>
      <c r="BH9" s="505"/>
      <c r="BI9" s="505"/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5"/>
      <c r="CI9" s="505"/>
      <c r="CJ9" s="505"/>
      <c r="CK9" s="505"/>
      <c r="CL9" s="505"/>
      <c r="CM9" s="505"/>
      <c r="CN9" s="505"/>
      <c r="CO9" s="505"/>
      <c r="CP9" s="505"/>
      <c r="CQ9" s="505"/>
      <c r="CR9" s="505"/>
      <c r="CS9" s="505"/>
      <c r="CT9" s="505"/>
      <c r="CU9" s="505"/>
      <c r="CV9" s="505"/>
      <c r="CW9" s="505"/>
      <c r="CX9" s="505"/>
      <c r="CY9" s="505"/>
      <c r="CZ9" s="505"/>
      <c r="DA9" s="505"/>
      <c r="DB9" s="505"/>
      <c r="DC9" s="505"/>
      <c r="DD9" s="505"/>
      <c r="DE9" s="505"/>
      <c r="DF9" s="505"/>
      <c r="DG9" s="505"/>
      <c r="DH9" s="505"/>
      <c r="DI9" s="505"/>
      <c r="DJ9" s="505"/>
      <c r="DK9" s="505"/>
      <c r="DL9" s="505"/>
      <c r="DM9" s="505"/>
      <c r="DN9" s="505"/>
      <c r="DO9" s="505"/>
      <c r="DP9" s="505"/>
      <c r="DQ9" s="505"/>
      <c r="DR9" s="505"/>
      <c r="DS9" s="505"/>
      <c r="DT9" s="505"/>
      <c r="DU9" s="505"/>
      <c r="DV9" s="505"/>
      <c r="DW9" s="505"/>
      <c r="DX9" s="505"/>
      <c r="DY9" s="505"/>
      <c r="DZ9" s="505"/>
      <c r="EA9" s="505"/>
      <c r="EB9" s="505"/>
      <c r="EC9" s="505"/>
      <c r="ED9" s="505"/>
      <c r="EE9" s="505"/>
      <c r="EF9" s="505"/>
      <c r="EG9" s="505"/>
      <c r="EH9" s="505"/>
      <c r="EI9" s="505"/>
      <c r="EJ9" s="505"/>
      <c r="EK9" s="505"/>
      <c r="EL9" s="505"/>
      <c r="EM9" s="505"/>
      <c r="EN9" s="505"/>
      <c r="EO9" s="505"/>
      <c r="EP9" s="505"/>
      <c r="EQ9" s="505"/>
      <c r="ER9" s="505"/>
      <c r="ES9" s="505"/>
      <c r="ET9" s="505"/>
      <c r="EU9" s="505"/>
      <c r="EV9" s="505"/>
      <c r="EW9" s="505"/>
      <c r="EX9" s="505"/>
      <c r="EY9" s="505"/>
      <c r="EZ9" s="505"/>
      <c r="FA9" s="505"/>
      <c r="FB9" s="505"/>
      <c r="FC9" s="505"/>
      <c r="FD9" s="505"/>
      <c r="FE9" s="505"/>
      <c r="FF9" s="505"/>
      <c r="FG9" s="505"/>
      <c r="FH9" s="505"/>
      <c r="FI9" s="505"/>
      <c r="FJ9" s="505"/>
      <c r="FK9" s="505"/>
      <c r="FL9" s="505"/>
      <c r="FM9" s="505"/>
      <c r="FN9" s="505"/>
      <c r="FO9" s="505"/>
      <c r="FP9" s="505"/>
      <c r="FQ9" s="505"/>
      <c r="FR9" s="505"/>
      <c r="FS9" s="505"/>
      <c r="FT9" s="505"/>
      <c r="FU9" s="505"/>
      <c r="FV9" s="505"/>
      <c r="FW9" s="505"/>
      <c r="FX9" s="505"/>
      <c r="FY9" s="505"/>
      <c r="FZ9" s="505"/>
      <c r="GA9" s="505"/>
      <c r="GB9" s="505"/>
      <c r="GC9" s="505"/>
      <c r="GD9" s="505"/>
      <c r="GE9" s="505"/>
      <c r="GF9" s="505"/>
      <c r="GG9" s="505"/>
      <c r="GH9" s="505"/>
      <c r="GI9" s="505"/>
      <c r="GJ9" s="505"/>
      <c r="GK9" s="505"/>
      <c r="GL9" s="505"/>
      <c r="GM9" s="505"/>
      <c r="GN9" s="505"/>
      <c r="GO9" s="505"/>
      <c r="GP9" s="505"/>
      <c r="GQ9" s="505"/>
      <c r="GR9" s="505"/>
      <c r="GS9" s="505"/>
      <c r="GT9" s="505"/>
    </row>
    <row r="10" spans="1:16384" s="504" customFormat="1" ht="12" customHeight="1">
      <c r="A10" s="498" t="s">
        <v>584</v>
      </c>
      <c r="B10" s="498"/>
      <c r="C10" s="498"/>
      <c r="D10" s="501">
        <f>H158</f>
        <v>19208.379999999997</v>
      </c>
      <c r="E10" s="501">
        <f>I158</f>
        <v>20629</v>
      </c>
      <c r="F10" s="497">
        <f t="shared" si="0"/>
        <v>1420.6200000000026</v>
      </c>
      <c r="G10" s="496"/>
      <c r="H10" s="503" t="s">
        <v>1</v>
      </c>
      <c r="I10" s="503" t="s">
        <v>1</v>
      </c>
      <c r="J10" s="502"/>
      <c r="K10" s="506"/>
      <c r="L10" s="506"/>
      <c r="M10" s="506"/>
      <c r="N10" s="507"/>
      <c r="O10" s="506"/>
      <c r="P10" s="506"/>
      <c r="Q10" s="506"/>
      <c r="R10" s="506"/>
      <c r="S10" s="506"/>
      <c r="T10" s="506"/>
      <c r="U10" s="506"/>
      <c r="V10" s="506"/>
      <c r="W10" s="506"/>
      <c r="X10" s="505"/>
      <c r="Y10" s="505"/>
      <c r="Z10" s="505"/>
      <c r="AA10" s="505"/>
      <c r="AB10" s="505"/>
      <c r="AC10" s="505"/>
      <c r="AD10" s="505"/>
      <c r="AE10" s="505"/>
      <c r="AF10" s="505"/>
      <c r="AG10" s="505"/>
      <c r="AH10" s="505"/>
      <c r="AI10" s="505"/>
      <c r="AJ10" s="505"/>
      <c r="AK10" s="505"/>
      <c r="AL10" s="505"/>
      <c r="AM10" s="505"/>
      <c r="AN10" s="505"/>
      <c r="AO10" s="505"/>
      <c r="AP10" s="505"/>
      <c r="AQ10" s="505"/>
      <c r="AR10" s="505"/>
      <c r="AS10" s="505"/>
      <c r="AT10" s="505"/>
      <c r="AU10" s="505"/>
      <c r="AV10" s="505"/>
      <c r="AW10" s="505"/>
      <c r="AX10" s="505"/>
      <c r="AY10" s="505"/>
      <c r="AZ10" s="505"/>
      <c r="BA10" s="505"/>
      <c r="BB10" s="505"/>
      <c r="BC10" s="505"/>
      <c r="BD10" s="505"/>
      <c r="BE10" s="505"/>
      <c r="BF10" s="505"/>
      <c r="BG10" s="505"/>
      <c r="BH10" s="505"/>
      <c r="BI10" s="505"/>
      <c r="BJ10" s="505"/>
      <c r="BK10" s="505"/>
      <c r="BL10" s="505"/>
      <c r="BM10" s="505"/>
      <c r="BN10" s="505"/>
      <c r="BO10" s="505"/>
      <c r="BP10" s="505"/>
      <c r="BQ10" s="505"/>
      <c r="BR10" s="505"/>
      <c r="BS10" s="505"/>
      <c r="BT10" s="505"/>
      <c r="BU10" s="505"/>
      <c r="BV10" s="505"/>
      <c r="BW10" s="505"/>
      <c r="BX10" s="505"/>
      <c r="BY10" s="505"/>
      <c r="BZ10" s="505"/>
      <c r="CA10" s="505"/>
      <c r="CB10" s="505"/>
      <c r="CC10" s="505"/>
      <c r="CD10" s="505"/>
      <c r="CE10" s="505"/>
      <c r="CF10" s="505"/>
      <c r="CG10" s="505"/>
      <c r="CH10" s="505"/>
      <c r="CI10" s="505"/>
      <c r="CJ10" s="505"/>
      <c r="CK10" s="505"/>
      <c r="CL10" s="505"/>
      <c r="CM10" s="505"/>
      <c r="CN10" s="505"/>
      <c r="CO10" s="505"/>
      <c r="CP10" s="505"/>
      <c r="CQ10" s="505"/>
      <c r="CR10" s="505"/>
      <c r="CS10" s="505"/>
      <c r="CT10" s="505"/>
      <c r="CU10" s="505"/>
      <c r="CV10" s="505"/>
      <c r="CW10" s="505"/>
      <c r="CX10" s="505"/>
      <c r="CY10" s="505"/>
      <c r="CZ10" s="505"/>
      <c r="DA10" s="505"/>
      <c r="DB10" s="505"/>
      <c r="DC10" s="505"/>
      <c r="DD10" s="505"/>
      <c r="DE10" s="505"/>
      <c r="DF10" s="505"/>
      <c r="DG10" s="505"/>
      <c r="DH10" s="505"/>
      <c r="DI10" s="505"/>
      <c r="DJ10" s="505"/>
      <c r="DK10" s="505"/>
      <c r="DL10" s="505"/>
      <c r="DM10" s="505"/>
      <c r="DN10" s="505"/>
      <c r="DO10" s="505"/>
      <c r="DP10" s="505"/>
      <c r="DQ10" s="505"/>
      <c r="DR10" s="505"/>
      <c r="DS10" s="505"/>
      <c r="DT10" s="505"/>
      <c r="DU10" s="505"/>
      <c r="DV10" s="505"/>
      <c r="DW10" s="505"/>
      <c r="DX10" s="505"/>
      <c r="DY10" s="505"/>
      <c r="DZ10" s="505"/>
      <c r="EA10" s="505"/>
      <c r="EB10" s="505"/>
      <c r="EC10" s="505"/>
      <c r="ED10" s="505"/>
      <c r="EE10" s="505"/>
      <c r="EF10" s="505"/>
      <c r="EG10" s="505"/>
      <c r="EH10" s="505"/>
      <c r="EI10" s="505"/>
      <c r="EJ10" s="505"/>
      <c r="EK10" s="505"/>
      <c r="EL10" s="505"/>
      <c r="EM10" s="505"/>
      <c r="EN10" s="505"/>
      <c r="EO10" s="505"/>
      <c r="EP10" s="505"/>
      <c r="EQ10" s="505"/>
      <c r="ER10" s="505"/>
      <c r="ES10" s="505"/>
      <c r="ET10" s="505"/>
      <c r="EU10" s="505"/>
      <c r="EV10" s="505"/>
      <c r="EW10" s="505"/>
      <c r="EX10" s="505"/>
      <c r="EY10" s="505"/>
      <c r="EZ10" s="505"/>
      <c r="FA10" s="505"/>
      <c r="FB10" s="505"/>
      <c r="FC10" s="505"/>
      <c r="FD10" s="505"/>
      <c r="FE10" s="505"/>
      <c r="FF10" s="505"/>
      <c r="FG10" s="505"/>
      <c r="FH10" s="505"/>
      <c r="FI10" s="505"/>
      <c r="FJ10" s="505"/>
      <c r="FK10" s="505"/>
      <c r="FL10" s="505"/>
      <c r="FM10" s="505"/>
      <c r="FN10" s="505"/>
      <c r="FO10" s="505"/>
      <c r="FP10" s="505"/>
      <c r="FQ10" s="505"/>
      <c r="FR10" s="505"/>
      <c r="FS10" s="505"/>
      <c r="FT10" s="505"/>
      <c r="FU10" s="505"/>
      <c r="FV10" s="505"/>
      <c r="FW10" s="505"/>
      <c r="FX10" s="505"/>
      <c r="FY10" s="505"/>
      <c r="FZ10" s="505"/>
      <c r="GA10" s="505"/>
      <c r="GB10" s="505"/>
      <c r="GC10" s="505"/>
      <c r="GD10" s="505"/>
      <c r="GE10" s="505"/>
      <c r="GF10" s="505"/>
      <c r="GG10" s="505"/>
      <c r="GH10" s="505"/>
      <c r="GI10" s="505"/>
      <c r="GJ10" s="505"/>
      <c r="GK10" s="505"/>
      <c r="GL10" s="505"/>
      <c r="GM10" s="505"/>
      <c r="GN10" s="505"/>
      <c r="GO10" s="505"/>
      <c r="GP10" s="505"/>
      <c r="GQ10" s="505"/>
      <c r="GR10" s="505"/>
      <c r="GS10" s="505"/>
      <c r="GT10" s="505"/>
    </row>
    <row r="11" spans="1:16384" s="504" customFormat="1" ht="12" customHeight="1">
      <c r="A11" s="498" t="s">
        <v>580</v>
      </c>
      <c r="B11" s="498"/>
      <c r="C11" s="498"/>
      <c r="D11" s="501">
        <f>H180</f>
        <v>22545.39</v>
      </c>
      <c r="E11" s="501">
        <f>I180</f>
        <v>20629</v>
      </c>
      <c r="F11" s="497">
        <f t="shared" si="0"/>
        <v>-1916.3899999999994</v>
      </c>
      <c r="G11" s="496"/>
      <c r="H11" s="500">
        <f>(H7-H9)*0.39</f>
        <v>2938.26</v>
      </c>
      <c r="I11" s="500">
        <f>(I7-I9)*0.39</f>
        <v>5408.52</v>
      </c>
      <c r="J11" s="508"/>
      <c r="K11" s="506"/>
      <c r="L11" s="506"/>
      <c r="M11" s="506"/>
      <c r="N11" s="507"/>
      <c r="O11" s="506"/>
      <c r="P11" s="506"/>
      <c r="Q11" s="506"/>
      <c r="R11" s="506"/>
      <c r="S11" s="506"/>
      <c r="T11" s="506"/>
      <c r="U11" s="506"/>
      <c r="V11" s="506"/>
      <c r="W11" s="506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505"/>
      <c r="DH11" s="505"/>
      <c r="DI11" s="505"/>
      <c r="DJ11" s="505"/>
      <c r="DK11" s="505"/>
      <c r="DL11" s="505"/>
      <c r="DM11" s="505"/>
      <c r="DN11" s="505"/>
      <c r="DO11" s="505"/>
      <c r="DP11" s="505"/>
      <c r="DQ11" s="505"/>
      <c r="DR11" s="505"/>
      <c r="DS11" s="505"/>
      <c r="DT11" s="505"/>
      <c r="DU11" s="505"/>
      <c r="DV11" s="505"/>
      <c r="DW11" s="505"/>
      <c r="DX11" s="505"/>
      <c r="DY11" s="505"/>
      <c r="DZ11" s="505"/>
      <c r="EA11" s="505"/>
      <c r="EB11" s="505"/>
      <c r="EC11" s="505"/>
      <c r="ED11" s="505"/>
      <c r="EE11" s="505"/>
      <c r="EF11" s="505"/>
      <c r="EG11" s="505"/>
      <c r="EH11" s="505"/>
      <c r="EI11" s="505"/>
      <c r="EJ11" s="505"/>
      <c r="EK11" s="505"/>
      <c r="EL11" s="505"/>
      <c r="EM11" s="505"/>
      <c r="EN11" s="505"/>
      <c r="EO11" s="505"/>
      <c r="EP11" s="505"/>
      <c r="EQ11" s="505"/>
      <c r="ER11" s="505"/>
      <c r="ES11" s="505"/>
      <c r="ET11" s="505"/>
      <c r="EU11" s="505"/>
      <c r="EV11" s="505"/>
      <c r="EW11" s="505"/>
      <c r="EX11" s="505"/>
      <c r="EY11" s="505"/>
      <c r="EZ11" s="505"/>
      <c r="FA11" s="505"/>
      <c r="FB11" s="505"/>
      <c r="FC11" s="505"/>
      <c r="FD11" s="505"/>
      <c r="FE11" s="505"/>
      <c r="FF11" s="505"/>
      <c r="FG11" s="505"/>
      <c r="FH11" s="505"/>
      <c r="FI11" s="505"/>
      <c r="FJ11" s="505"/>
      <c r="FK11" s="505"/>
      <c r="FL11" s="505"/>
      <c r="FM11" s="505"/>
      <c r="FN11" s="505"/>
      <c r="FO11" s="505"/>
      <c r="FP11" s="505"/>
      <c r="FQ11" s="505"/>
      <c r="FR11" s="505"/>
      <c r="FS11" s="505"/>
      <c r="FT11" s="505"/>
      <c r="FU11" s="505"/>
      <c r="FV11" s="505"/>
      <c r="FW11" s="505"/>
      <c r="FX11" s="505"/>
      <c r="FY11" s="505"/>
      <c r="FZ11" s="505"/>
      <c r="GA11" s="505"/>
      <c r="GB11" s="505"/>
      <c r="GC11" s="505"/>
      <c r="GD11" s="505"/>
      <c r="GE11" s="505"/>
      <c r="GF11" s="505"/>
      <c r="GG11" s="505"/>
      <c r="GH11" s="505"/>
      <c r="GI11" s="505"/>
      <c r="GJ11" s="505"/>
      <c r="GK11" s="505"/>
      <c r="GL11" s="505"/>
      <c r="GM11" s="505"/>
      <c r="GN11" s="505"/>
      <c r="GO11" s="505"/>
      <c r="GP11" s="505"/>
      <c r="GQ11" s="505"/>
      <c r="GR11" s="505"/>
      <c r="GS11" s="505"/>
      <c r="GT11" s="505"/>
    </row>
    <row r="12" spans="1:16384" s="468" customFormat="1" ht="12" customHeight="1">
      <c r="A12" s="498" t="s">
        <v>579</v>
      </c>
      <c r="B12" s="498"/>
      <c r="C12" s="498"/>
      <c r="D12" s="501">
        <f>H201</f>
        <v>15695.07</v>
      </c>
      <c r="E12" s="501">
        <f>I201</f>
        <v>20758</v>
      </c>
      <c r="F12" s="497">
        <f t="shared" si="0"/>
        <v>5062.93</v>
      </c>
      <c r="G12" s="496"/>
      <c r="H12" s="503" t="s">
        <v>41</v>
      </c>
      <c r="I12" s="503" t="s">
        <v>41</v>
      </c>
      <c r="J12" s="502"/>
      <c r="K12" s="493"/>
      <c r="L12" s="493"/>
      <c r="M12" s="493"/>
      <c r="N12" s="494"/>
      <c r="O12" s="493"/>
      <c r="P12" s="493"/>
      <c r="Q12" s="493"/>
      <c r="R12" s="493"/>
      <c r="S12" s="493"/>
      <c r="T12" s="493"/>
      <c r="U12" s="493"/>
      <c r="V12" s="493"/>
      <c r="W12" s="493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469"/>
      <c r="BQ12" s="469"/>
      <c r="BR12" s="469"/>
      <c r="BS12" s="469"/>
      <c r="BT12" s="469"/>
      <c r="BU12" s="469"/>
      <c r="BV12" s="469"/>
      <c r="BW12" s="469"/>
      <c r="BX12" s="469"/>
      <c r="BY12" s="469"/>
      <c r="BZ12" s="469"/>
      <c r="CA12" s="469"/>
      <c r="CB12" s="469"/>
      <c r="CC12" s="469"/>
      <c r="CD12" s="469"/>
      <c r="CE12" s="469"/>
      <c r="CF12" s="469"/>
      <c r="CG12" s="469"/>
      <c r="CH12" s="469"/>
      <c r="CI12" s="469"/>
      <c r="CJ12" s="469"/>
      <c r="CK12" s="469"/>
      <c r="CL12" s="469"/>
      <c r="CM12" s="469"/>
      <c r="CN12" s="469"/>
      <c r="CO12" s="469"/>
      <c r="CP12" s="469"/>
      <c r="CQ12" s="469"/>
      <c r="CR12" s="469"/>
      <c r="CS12" s="469"/>
      <c r="CT12" s="469"/>
      <c r="CU12" s="469"/>
      <c r="CV12" s="469"/>
      <c r="CW12" s="469"/>
      <c r="CX12" s="469"/>
      <c r="CY12" s="469"/>
      <c r="CZ12" s="469"/>
      <c r="DA12" s="469"/>
      <c r="DB12" s="469"/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M12" s="469"/>
      <c r="EN12" s="469"/>
      <c r="EO12" s="469"/>
      <c r="EP12" s="469"/>
      <c r="EQ12" s="469"/>
      <c r="ER12" s="469"/>
      <c r="ES12" s="469"/>
      <c r="ET12" s="469"/>
      <c r="EU12" s="469"/>
      <c r="EV12" s="469"/>
      <c r="EW12" s="469"/>
      <c r="EX12" s="469"/>
      <c r="EY12" s="469"/>
      <c r="EZ12" s="469"/>
      <c r="FA12" s="469"/>
      <c r="FB12" s="469"/>
      <c r="FC12" s="469"/>
      <c r="FD12" s="469"/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69"/>
      <c r="FZ12" s="469"/>
      <c r="GA12" s="469"/>
      <c r="GB12" s="469"/>
      <c r="GC12" s="469"/>
      <c r="GD12" s="469"/>
      <c r="GE12" s="469"/>
      <c r="GF12" s="469"/>
      <c r="GG12" s="469"/>
      <c r="GH12" s="469"/>
      <c r="GI12" s="469"/>
      <c r="GJ12" s="469"/>
      <c r="GK12" s="469"/>
      <c r="GL12" s="469"/>
      <c r="GM12" s="469"/>
      <c r="GN12" s="469"/>
      <c r="GO12" s="469"/>
      <c r="GP12" s="469"/>
      <c r="GQ12" s="469"/>
      <c r="GR12" s="469"/>
      <c r="GS12" s="469"/>
      <c r="GT12" s="469"/>
    </row>
    <row r="13" spans="1:16384" s="468" customFormat="1" ht="12" customHeight="1">
      <c r="A13" s="498" t="s">
        <v>577</v>
      </c>
      <c r="B13" s="498"/>
      <c r="C13" s="498"/>
      <c r="D13" s="501">
        <f>H222</f>
        <v>16383.810000000001</v>
      </c>
      <c r="E13" s="501">
        <f>I222</f>
        <v>19507</v>
      </c>
      <c r="F13" s="497">
        <f t="shared" si="0"/>
        <v>3123.1899999999987</v>
      </c>
      <c r="G13" s="496"/>
      <c r="H13" s="500">
        <f>H7-H11</f>
        <v>6823.74</v>
      </c>
      <c r="I13" s="500">
        <f>I7-I11</f>
        <v>10635.48</v>
      </c>
      <c r="J13" s="499"/>
      <c r="K13" s="493"/>
      <c r="L13" s="493"/>
      <c r="M13" s="493"/>
      <c r="N13" s="494"/>
      <c r="O13" s="493"/>
      <c r="P13" s="493"/>
      <c r="Q13" s="493"/>
      <c r="R13" s="493"/>
      <c r="S13" s="493"/>
      <c r="T13" s="493"/>
      <c r="U13" s="493"/>
      <c r="V13" s="493"/>
      <c r="W13" s="493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69"/>
      <c r="AJ13" s="469"/>
      <c r="AK13" s="469"/>
      <c r="AL13" s="469"/>
      <c r="AM13" s="469"/>
      <c r="AN13" s="469"/>
      <c r="AO13" s="469"/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69"/>
      <c r="BB13" s="469"/>
      <c r="BC13" s="469"/>
      <c r="BD13" s="469"/>
      <c r="BE13" s="469"/>
      <c r="BF13" s="469"/>
      <c r="BG13" s="469"/>
      <c r="BH13" s="469"/>
      <c r="BI13" s="469"/>
      <c r="BJ13" s="469"/>
      <c r="BK13" s="469"/>
      <c r="BL13" s="469"/>
      <c r="BM13" s="469"/>
      <c r="BN13" s="469"/>
      <c r="BO13" s="469"/>
      <c r="BP13" s="469"/>
      <c r="BQ13" s="469"/>
      <c r="BR13" s="469"/>
      <c r="BS13" s="469"/>
      <c r="BT13" s="469"/>
      <c r="BU13" s="469"/>
      <c r="BV13" s="469"/>
      <c r="BW13" s="469"/>
      <c r="BX13" s="469"/>
      <c r="BY13" s="469"/>
      <c r="BZ13" s="469"/>
      <c r="CA13" s="469"/>
      <c r="CB13" s="469"/>
      <c r="CC13" s="469"/>
      <c r="CD13" s="469"/>
      <c r="CE13" s="469"/>
      <c r="CF13" s="469"/>
      <c r="CG13" s="469"/>
      <c r="CH13" s="469"/>
      <c r="CI13" s="469"/>
      <c r="CJ13" s="469"/>
      <c r="CK13" s="469"/>
      <c r="CL13" s="469"/>
      <c r="CM13" s="469"/>
      <c r="CN13" s="469"/>
      <c r="CO13" s="469"/>
      <c r="CP13" s="469"/>
      <c r="CQ13" s="469"/>
      <c r="CR13" s="469"/>
      <c r="CS13" s="469"/>
      <c r="CT13" s="469"/>
      <c r="CU13" s="469"/>
      <c r="CV13" s="469"/>
      <c r="CW13" s="469"/>
      <c r="CX13" s="469"/>
      <c r="CY13" s="469"/>
      <c r="CZ13" s="469"/>
      <c r="DA13" s="469"/>
      <c r="DB13" s="469"/>
      <c r="DC13" s="469"/>
      <c r="DD13" s="469"/>
      <c r="DE13" s="469"/>
      <c r="DF13" s="469"/>
      <c r="DG13" s="469"/>
      <c r="DH13" s="469"/>
      <c r="DI13" s="469"/>
      <c r="DJ13" s="469"/>
      <c r="DK13" s="469"/>
      <c r="DL13" s="469"/>
      <c r="DM13" s="469"/>
      <c r="DN13" s="469"/>
      <c r="DO13" s="469"/>
      <c r="DP13" s="469"/>
      <c r="DQ13" s="469"/>
      <c r="DR13" s="469"/>
      <c r="DS13" s="469"/>
      <c r="DT13" s="469"/>
      <c r="DU13" s="469"/>
      <c r="DV13" s="469"/>
      <c r="DW13" s="469"/>
      <c r="DX13" s="469"/>
      <c r="DY13" s="469"/>
      <c r="DZ13" s="469"/>
      <c r="EA13" s="469"/>
      <c r="EB13" s="469"/>
      <c r="EC13" s="469"/>
      <c r="ED13" s="469"/>
      <c r="EE13" s="469"/>
      <c r="EF13" s="469"/>
      <c r="EG13" s="469"/>
      <c r="EH13" s="469"/>
      <c r="EI13" s="469"/>
      <c r="EJ13" s="469"/>
      <c r="EK13" s="469"/>
      <c r="EL13" s="469"/>
      <c r="EM13" s="469"/>
      <c r="EN13" s="469"/>
      <c r="EO13" s="469"/>
      <c r="EP13" s="469"/>
      <c r="EQ13" s="469"/>
      <c r="ER13" s="469"/>
      <c r="ES13" s="469"/>
      <c r="ET13" s="469"/>
      <c r="EU13" s="469"/>
      <c r="EV13" s="469"/>
      <c r="EW13" s="469"/>
      <c r="EX13" s="469"/>
      <c r="EY13" s="469"/>
      <c r="EZ13" s="469"/>
      <c r="FA13" s="469"/>
      <c r="FB13" s="469"/>
      <c r="FC13" s="469"/>
      <c r="FD13" s="469"/>
      <c r="FE13" s="469"/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69"/>
      <c r="FY13" s="469"/>
      <c r="FZ13" s="469"/>
      <c r="GA13" s="469"/>
      <c r="GB13" s="469"/>
      <c r="GC13" s="469"/>
      <c r="GD13" s="469"/>
      <c r="GE13" s="469"/>
      <c r="GF13" s="469"/>
      <c r="GG13" s="469"/>
      <c r="GH13" s="469"/>
      <c r="GI13" s="469"/>
      <c r="GJ13" s="469"/>
      <c r="GK13" s="469"/>
      <c r="GL13" s="469"/>
      <c r="GM13" s="469"/>
      <c r="GN13" s="469"/>
      <c r="GO13" s="469"/>
      <c r="GP13" s="469"/>
      <c r="GQ13" s="469"/>
      <c r="GR13" s="469"/>
      <c r="GS13" s="469"/>
      <c r="GT13" s="469"/>
    </row>
    <row r="14" spans="1:16384" s="468" customFormat="1" ht="12" customHeight="1">
      <c r="A14" s="498" t="s">
        <v>576</v>
      </c>
      <c r="B14" s="498"/>
      <c r="C14" s="498"/>
      <c r="D14" s="466">
        <f>D241+H241</f>
        <v>20590.93</v>
      </c>
      <c r="E14" s="466">
        <f>E241+I241</f>
        <v>19507</v>
      </c>
      <c r="F14" s="497">
        <f t="shared" si="0"/>
        <v>-1083.9300000000003</v>
      </c>
      <c r="G14" s="496"/>
      <c r="H14" s="495"/>
      <c r="I14" s="495"/>
      <c r="J14" s="493"/>
      <c r="K14" s="493"/>
      <c r="L14" s="493"/>
      <c r="M14" s="493"/>
      <c r="N14" s="494"/>
      <c r="O14" s="493"/>
      <c r="P14" s="493"/>
      <c r="Q14" s="493"/>
      <c r="R14" s="493"/>
      <c r="S14" s="493"/>
      <c r="T14" s="493"/>
      <c r="U14" s="493"/>
      <c r="V14" s="493"/>
      <c r="W14" s="493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69"/>
      <c r="AW14" s="469"/>
      <c r="AX14" s="469"/>
      <c r="AY14" s="469"/>
      <c r="AZ14" s="469"/>
      <c r="BA14" s="469"/>
      <c r="BB14" s="469"/>
      <c r="BC14" s="469"/>
      <c r="BD14" s="469"/>
      <c r="BE14" s="469"/>
      <c r="BF14" s="469"/>
      <c r="BG14" s="469"/>
      <c r="BH14" s="469"/>
      <c r="BI14" s="469"/>
      <c r="BJ14" s="469"/>
      <c r="BK14" s="469"/>
      <c r="BL14" s="469"/>
      <c r="BM14" s="469"/>
      <c r="BN14" s="469"/>
      <c r="BO14" s="469"/>
      <c r="BP14" s="469"/>
      <c r="BQ14" s="469"/>
      <c r="BR14" s="469"/>
      <c r="BS14" s="469"/>
      <c r="BT14" s="469"/>
      <c r="BU14" s="469"/>
      <c r="BV14" s="469"/>
      <c r="BW14" s="469"/>
      <c r="BX14" s="469"/>
      <c r="BY14" s="469"/>
      <c r="BZ14" s="469"/>
      <c r="CA14" s="469"/>
      <c r="CB14" s="469"/>
      <c r="CC14" s="469"/>
      <c r="CD14" s="469"/>
      <c r="CE14" s="469"/>
      <c r="CF14" s="469"/>
      <c r="CG14" s="469"/>
      <c r="CH14" s="469"/>
      <c r="CI14" s="469"/>
      <c r="CJ14" s="469"/>
      <c r="CK14" s="469"/>
      <c r="CL14" s="469"/>
      <c r="CM14" s="469"/>
      <c r="CN14" s="469"/>
      <c r="CO14" s="469"/>
      <c r="CP14" s="469"/>
      <c r="CQ14" s="469"/>
      <c r="CR14" s="469"/>
      <c r="CS14" s="469"/>
      <c r="CT14" s="469"/>
      <c r="CU14" s="469"/>
      <c r="CV14" s="469"/>
      <c r="CW14" s="469"/>
      <c r="CX14" s="469"/>
      <c r="CY14" s="469"/>
      <c r="CZ14" s="469"/>
      <c r="DA14" s="469"/>
      <c r="DB14" s="469"/>
      <c r="DC14" s="469"/>
      <c r="DD14" s="469"/>
      <c r="DE14" s="469"/>
      <c r="DF14" s="469"/>
      <c r="DG14" s="469"/>
      <c r="DH14" s="469"/>
      <c r="DI14" s="469"/>
      <c r="DJ14" s="469"/>
      <c r="DK14" s="469"/>
      <c r="DL14" s="469"/>
      <c r="DM14" s="469"/>
      <c r="DN14" s="469"/>
      <c r="DO14" s="469"/>
      <c r="DP14" s="469"/>
      <c r="DQ14" s="469"/>
      <c r="DR14" s="469"/>
      <c r="DS14" s="469"/>
      <c r="DT14" s="469"/>
      <c r="DU14" s="469"/>
      <c r="DV14" s="469"/>
      <c r="DW14" s="469"/>
      <c r="DX14" s="469"/>
      <c r="DY14" s="469"/>
      <c r="DZ14" s="469"/>
      <c r="EA14" s="469"/>
      <c r="EB14" s="469"/>
      <c r="EC14" s="469"/>
      <c r="ED14" s="469"/>
      <c r="EE14" s="469"/>
      <c r="EF14" s="469"/>
      <c r="EG14" s="469"/>
      <c r="EH14" s="469"/>
      <c r="EI14" s="469"/>
      <c r="EJ14" s="469"/>
      <c r="EK14" s="469"/>
      <c r="EL14" s="469"/>
      <c r="EM14" s="469"/>
      <c r="EN14" s="469"/>
      <c r="EO14" s="469"/>
      <c r="EP14" s="469"/>
      <c r="EQ14" s="469"/>
      <c r="ER14" s="469"/>
      <c r="ES14" s="469"/>
      <c r="ET14" s="469"/>
      <c r="EU14" s="469"/>
      <c r="EV14" s="469"/>
      <c r="EW14" s="469"/>
      <c r="EX14" s="469"/>
      <c r="EY14" s="469"/>
      <c r="EZ14" s="469"/>
      <c r="FA14" s="469"/>
      <c r="FB14" s="469"/>
      <c r="FC14" s="469"/>
      <c r="FD14" s="469"/>
      <c r="FE14" s="469"/>
      <c r="FF14" s="469"/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69"/>
      <c r="FX14" s="469"/>
      <c r="FY14" s="469"/>
      <c r="FZ14" s="469"/>
      <c r="GA14" s="469"/>
      <c r="GB14" s="469"/>
      <c r="GC14" s="469"/>
      <c r="GD14" s="469"/>
      <c r="GE14" s="469"/>
      <c r="GF14" s="469"/>
      <c r="GG14" s="469"/>
      <c r="GH14" s="469"/>
      <c r="GI14" s="469"/>
      <c r="GJ14" s="469"/>
      <c r="GK14" s="469"/>
      <c r="GL14" s="469"/>
      <c r="GM14" s="469"/>
      <c r="GN14" s="469"/>
      <c r="GO14" s="469"/>
      <c r="GP14" s="469"/>
      <c r="GQ14" s="469"/>
      <c r="GR14" s="469"/>
      <c r="GS14" s="469"/>
      <c r="GT14" s="469"/>
    </row>
    <row r="15" spans="1:16384" s="447" customFormat="1" ht="13.8">
      <c r="A15" s="486" t="s">
        <v>594</v>
      </c>
      <c r="B15" s="486"/>
      <c r="C15" s="485"/>
      <c r="D15" s="483" t="e">
        <f>SUM(D16:D35)</f>
        <v>#REF!</v>
      </c>
      <c r="E15" s="483">
        <f>SUM(E16:E35)</f>
        <v>0</v>
      </c>
      <c r="F15" s="483"/>
      <c r="G15" s="484"/>
      <c r="H15" s="483">
        <f>SUM(H16:H35)</f>
        <v>20782.039999999997</v>
      </c>
      <c r="I15" s="483">
        <f>SUM(I16:I35)</f>
        <v>20647</v>
      </c>
      <c r="J15" s="483"/>
      <c r="K15" s="483"/>
      <c r="L15" s="483"/>
      <c r="M15" s="483"/>
      <c r="O15" s="482"/>
      <c r="P15" s="482"/>
      <c r="Q15" s="482"/>
      <c r="R15" s="482"/>
      <c r="S15" s="482"/>
      <c r="T15" s="482"/>
      <c r="U15" s="482"/>
      <c r="V15" s="482"/>
      <c r="W15" s="482"/>
    </row>
    <row r="16" spans="1:16384" s="440" customFormat="1" ht="13.8">
      <c r="A16" s="480">
        <v>43100</v>
      </c>
      <c r="B16" s="480" t="s">
        <v>189</v>
      </c>
      <c r="C16" s="465" t="s">
        <v>574</v>
      </c>
      <c r="D16" s="460"/>
      <c r="E16" s="464"/>
      <c r="F16" s="464"/>
      <c r="G16" s="479"/>
      <c r="H16" s="464"/>
      <c r="I16" s="464">
        <v>11527</v>
      </c>
      <c r="J16" s="464"/>
      <c r="K16" s="464"/>
      <c r="L16" s="464"/>
      <c r="M16" s="464"/>
      <c r="O16" s="464"/>
      <c r="P16" s="464"/>
      <c r="Q16" s="464"/>
      <c r="R16" s="464"/>
      <c r="S16" s="464"/>
      <c r="T16" s="464"/>
      <c r="U16" s="464"/>
      <c r="V16" s="464"/>
      <c r="W16" s="464"/>
    </row>
    <row r="17" spans="1:23" s="440" customFormat="1" ht="13.8">
      <c r="A17" s="480">
        <v>43100</v>
      </c>
      <c r="B17" s="480" t="s">
        <v>189</v>
      </c>
      <c r="C17" s="465" t="s">
        <v>573</v>
      </c>
      <c r="D17" s="464"/>
      <c r="E17" s="464"/>
      <c r="F17" s="464"/>
      <c r="G17" s="479"/>
      <c r="H17" s="464"/>
      <c r="I17" s="464">
        <v>7973</v>
      </c>
      <c r="J17" s="464"/>
      <c r="K17" s="464"/>
      <c r="L17" s="464"/>
      <c r="M17" s="464"/>
      <c r="O17" s="464"/>
      <c r="P17" s="464"/>
      <c r="Q17" s="464"/>
      <c r="R17" s="464"/>
      <c r="S17" s="464"/>
      <c r="T17" s="464"/>
      <c r="U17" s="464"/>
      <c r="V17" s="464"/>
      <c r="W17" s="464"/>
    </row>
    <row r="18" spans="1:23" s="440" customFormat="1" ht="13.8">
      <c r="A18" s="480">
        <v>43102</v>
      </c>
      <c r="B18" s="480" t="s">
        <v>189</v>
      </c>
      <c r="C18" s="465" t="s">
        <v>31</v>
      </c>
      <c r="D18" s="464"/>
      <c r="E18" s="464"/>
      <c r="F18" s="464"/>
      <c r="G18" s="479"/>
      <c r="H18" s="460"/>
      <c r="I18" s="464">
        <v>1147</v>
      </c>
      <c r="J18" s="464"/>
      <c r="K18" s="464"/>
      <c r="L18" s="464"/>
      <c r="M18" s="464"/>
      <c r="O18" s="464"/>
      <c r="P18" s="464"/>
      <c r="Q18" s="464"/>
      <c r="R18" s="464"/>
      <c r="S18" s="464"/>
      <c r="T18" s="464"/>
      <c r="U18" s="464"/>
      <c r="V18" s="464"/>
      <c r="W18" s="464"/>
    </row>
    <row r="19" spans="1:23" s="440" customFormat="1" ht="13.8">
      <c r="A19" s="480">
        <v>43102</v>
      </c>
      <c r="B19" s="480" t="s">
        <v>189</v>
      </c>
      <c r="C19" s="465" t="s">
        <v>30</v>
      </c>
      <c r="F19" s="464"/>
      <c r="G19" s="479"/>
      <c r="H19" s="464">
        <v>7474</v>
      </c>
      <c r="J19" s="464"/>
      <c r="K19" s="464"/>
      <c r="L19" s="464"/>
      <c r="M19" s="464"/>
      <c r="O19" s="464"/>
      <c r="P19" s="464"/>
      <c r="Q19" s="464"/>
      <c r="R19" s="464"/>
      <c r="S19" s="464"/>
      <c r="T19" s="464"/>
      <c r="U19" s="464"/>
      <c r="V19" s="464"/>
      <c r="W19" s="464"/>
    </row>
    <row r="20" spans="1:23" s="440" customFormat="1" ht="13.8">
      <c r="A20" s="480">
        <v>43102</v>
      </c>
      <c r="B20" s="480" t="s">
        <v>572</v>
      </c>
      <c r="C20" s="465" t="s">
        <v>265</v>
      </c>
      <c r="D20" s="464"/>
      <c r="E20" s="464"/>
      <c r="F20" s="464"/>
      <c r="G20" s="479"/>
      <c r="H20" s="464">
        <v>602.4</v>
      </c>
      <c r="I20" s="464"/>
      <c r="J20" s="464"/>
      <c r="K20" s="464"/>
      <c r="L20" s="464"/>
      <c r="M20" s="464"/>
      <c r="O20" s="464"/>
      <c r="P20" s="464"/>
      <c r="Q20" s="464"/>
      <c r="R20" s="464"/>
      <c r="S20" s="464"/>
      <c r="T20" s="464"/>
      <c r="U20" s="464"/>
      <c r="V20" s="464"/>
      <c r="W20" s="464"/>
    </row>
    <row r="21" spans="1:23" s="440" customFormat="1" ht="13.8">
      <c r="A21" s="480">
        <v>43102</v>
      </c>
      <c r="B21" s="480" t="s">
        <v>572</v>
      </c>
      <c r="C21" s="465" t="s">
        <v>264</v>
      </c>
      <c r="D21" s="464"/>
      <c r="E21" s="464"/>
      <c r="F21" s="464"/>
      <c r="G21" s="479"/>
      <c r="H21" s="464">
        <v>523</v>
      </c>
      <c r="I21" s="464"/>
      <c r="J21" s="464"/>
      <c r="K21" s="464"/>
      <c r="L21" s="464"/>
      <c r="M21" s="464"/>
      <c r="O21" s="464"/>
      <c r="P21" s="464"/>
      <c r="Q21" s="464"/>
      <c r="R21" s="464"/>
      <c r="S21" s="464"/>
      <c r="T21" s="464"/>
      <c r="U21" s="464"/>
      <c r="V21" s="464"/>
      <c r="W21" s="464"/>
    </row>
    <row r="22" spans="1:23" s="440" customFormat="1" ht="13.8">
      <c r="A22" s="480">
        <v>43102</v>
      </c>
      <c r="B22" s="480" t="s">
        <v>572</v>
      </c>
      <c r="C22" s="465" t="s">
        <v>182</v>
      </c>
      <c r="D22" s="464"/>
      <c r="E22" s="464"/>
      <c r="F22" s="464"/>
      <c r="G22" s="479"/>
      <c r="H22" s="464">
        <v>279</v>
      </c>
      <c r="I22" s="464"/>
      <c r="J22" s="464"/>
      <c r="K22" s="464"/>
      <c r="L22" s="464"/>
      <c r="M22" s="464"/>
      <c r="O22" s="464" t="s">
        <v>591</v>
      </c>
      <c r="P22" s="464"/>
      <c r="Q22" s="464"/>
      <c r="R22" s="464"/>
      <c r="S22" s="464"/>
      <c r="T22" s="464"/>
      <c r="U22" s="464"/>
      <c r="V22" s="464"/>
      <c r="W22" s="464"/>
    </row>
    <row r="23" spans="1:23" s="440" customFormat="1" ht="13.8">
      <c r="A23" s="480">
        <v>43102</v>
      </c>
      <c r="B23" s="480" t="s">
        <v>572</v>
      </c>
      <c r="C23" s="465" t="s">
        <v>472</v>
      </c>
      <c r="D23" s="464"/>
      <c r="E23" s="464"/>
      <c r="F23" s="464"/>
      <c r="G23" s="479"/>
      <c r="H23" s="464">
        <v>450</v>
      </c>
      <c r="I23" s="464"/>
      <c r="J23" s="464"/>
      <c r="K23" s="464"/>
      <c r="L23" s="464"/>
      <c r="M23" s="464"/>
      <c r="O23" s="464"/>
      <c r="P23" s="464"/>
      <c r="Q23" s="464"/>
      <c r="R23" s="464"/>
      <c r="S23" s="464"/>
      <c r="T23" s="464"/>
      <c r="U23" s="464"/>
      <c r="V23" s="464"/>
      <c r="W23" s="464"/>
    </row>
    <row r="24" spans="1:23" s="440" customFormat="1" ht="13.8">
      <c r="A24" s="480">
        <v>43102</v>
      </c>
      <c r="B24" s="480" t="s">
        <v>572</v>
      </c>
      <c r="C24" s="465" t="s">
        <v>183</v>
      </c>
      <c r="D24" s="464"/>
      <c r="E24" s="464"/>
      <c r="F24" s="464"/>
      <c r="G24" s="479"/>
      <c r="H24" s="464">
        <v>448.75</v>
      </c>
      <c r="I24" s="464"/>
      <c r="J24" s="464"/>
      <c r="K24" s="464"/>
      <c r="L24" s="464"/>
      <c r="M24" s="464"/>
      <c r="O24" s="464"/>
      <c r="P24" s="464"/>
      <c r="Q24" s="464"/>
      <c r="R24" s="464"/>
      <c r="S24" s="464"/>
      <c r="T24" s="464"/>
      <c r="U24" s="464"/>
      <c r="V24" s="464"/>
      <c r="W24" s="464"/>
    </row>
    <row r="25" spans="1:23" s="440" customFormat="1" ht="13.8">
      <c r="A25" s="480">
        <v>43102</v>
      </c>
      <c r="B25" s="480" t="s">
        <v>572</v>
      </c>
      <c r="C25" s="465" t="s">
        <v>214</v>
      </c>
      <c r="D25" s="464"/>
      <c r="E25" s="464"/>
      <c r="F25" s="464"/>
      <c r="G25" s="479"/>
      <c r="H25" s="464">
        <v>180</v>
      </c>
      <c r="I25" s="464"/>
      <c r="J25" s="464"/>
      <c r="K25" s="464"/>
      <c r="L25" s="464"/>
      <c r="M25" s="464"/>
      <c r="O25" s="464"/>
      <c r="P25" s="464"/>
      <c r="Q25" s="464"/>
      <c r="R25" s="464"/>
      <c r="S25" s="464"/>
      <c r="T25" s="464"/>
      <c r="U25" s="464"/>
      <c r="V25" s="464"/>
      <c r="W25" s="464"/>
    </row>
    <row r="26" spans="1:23" s="440" customFormat="1" ht="13.8">
      <c r="A26" s="480">
        <v>43102</v>
      </c>
      <c r="B26" s="480" t="s">
        <v>572</v>
      </c>
      <c r="C26" s="465" t="s">
        <v>100</v>
      </c>
      <c r="D26" s="464"/>
      <c r="E26" s="464"/>
      <c r="F26" s="464"/>
      <c r="G26" s="479"/>
      <c r="H26" s="467"/>
      <c r="I26" s="464"/>
      <c r="J26" s="464"/>
      <c r="K26" s="464"/>
      <c r="L26" s="464"/>
      <c r="M26" s="464"/>
      <c r="O26" s="464"/>
      <c r="P26" s="464"/>
      <c r="Q26" s="464"/>
      <c r="R26" s="464"/>
      <c r="S26" s="464"/>
      <c r="T26" s="464"/>
      <c r="U26" s="464"/>
      <c r="V26" s="464"/>
      <c r="W26" s="464"/>
    </row>
    <row r="27" spans="1:23" s="440" customFormat="1" ht="13.8">
      <c r="A27" s="480">
        <v>43102</v>
      </c>
      <c r="B27" s="480" t="s">
        <v>572</v>
      </c>
      <c r="C27" s="465" t="s">
        <v>306</v>
      </c>
      <c r="D27" s="464"/>
      <c r="E27" s="464"/>
      <c r="F27" s="464"/>
      <c r="G27" s="479"/>
      <c r="H27" s="464">
        <v>1609.16</v>
      </c>
      <c r="J27" s="464">
        <v>602.37</v>
      </c>
      <c r="K27" s="464">
        <v>1001.29</v>
      </c>
      <c r="L27" s="464"/>
      <c r="M27" s="464"/>
      <c r="O27" s="464"/>
      <c r="P27" s="464"/>
      <c r="Q27" s="464"/>
      <c r="R27" s="464"/>
      <c r="S27" s="464"/>
      <c r="T27" s="464"/>
      <c r="U27" s="464"/>
      <c r="V27" s="464"/>
      <c r="W27" s="464"/>
    </row>
    <row r="28" spans="1:23" s="440" customFormat="1" ht="13.8">
      <c r="A28" s="480">
        <v>43102</v>
      </c>
      <c r="B28" s="480" t="s">
        <v>572</v>
      </c>
      <c r="C28" s="465" t="s">
        <v>481</v>
      </c>
      <c r="D28" s="464"/>
      <c r="E28" s="464"/>
      <c r="F28" s="464"/>
      <c r="G28" s="479"/>
      <c r="H28" s="467">
        <v>23.9</v>
      </c>
      <c r="I28" s="464"/>
      <c r="J28" s="464"/>
      <c r="K28" s="464"/>
      <c r="L28" s="464"/>
      <c r="M28" s="464"/>
      <c r="O28" s="464"/>
      <c r="P28" s="464"/>
      <c r="Q28" s="464"/>
      <c r="R28" s="464"/>
      <c r="S28" s="464"/>
      <c r="T28" s="464"/>
      <c r="U28" s="464"/>
      <c r="V28" s="464"/>
      <c r="W28" s="464"/>
    </row>
    <row r="29" spans="1:23" s="440" customFormat="1" ht="13.8">
      <c r="A29" s="480">
        <v>43102</v>
      </c>
      <c r="B29" s="480" t="s">
        <v>572</v>
      </c>
      <c r="C29" s="465" t="s">
        <v>481</v>
      </c>
      <c r="D29" s="492"/>
      <c r="E29" s="492"/>
      <c r="F29" s="464"/>
      <c r="G29" s="479"/>
      <c r="H29" s="467">
        <v>118.65</v>
      </c>
      <c r="I29" s="464"/>
      <c r="J29" s="464"/>
      <c r="K29" s="464"/>
      <c r="L29" s="464"/>
      <c r="M29" s="464"/>
      <c r="O29" s="464"/>
      <c r="P29" s="464"/>
      <c r="Q29" s="464"/>
      <c r="R29" s="464"/>
      <c r="S29" s="464"/>
      <c r="T29" s="464"/>
      <c r="U29" s="464"/>
      <c r="V29" s="464"/>
      <c r="W29" s="464"/>
    </row>
    <row r="30" spans="1:23" s="440" customFormat="1" ht="13.8">
      <c r="A30" s="480">
        <v>43105</v>
      </c>
      <c r="B30" s="480" t="s">
        <v>572</v>
      </c>
      <c r="C30" s="465" t="s">
        <v>20</v>
      </c>
      <c r="D30" s="464"/>
      <c r="E30" s="464"/>
      <c r="F30" s="464"/>
      <c r="G30" s="479"/>
      <c r="H30" s="464">
        <v>239.46</v>
      </c>
      <c r="I30" s="464"/>
      <c r="J30" s="464"/>
      <c r="K30" s="464"/>
      <c r="L30" s="464"/>
      <c r="M30" s="464"/>
      <c r="O30" s="464"/>
      <c r="P30" s="464"/>
      <c r="Q30" s="464"/>
      <c r="R30" s="464"/>
      <c r="S30" s="464"/>
      <c r="T30" s="464"/>
      <c r="U30" s="464"/>
      <c r="V30" s="464"/>
      <c r="W30" s="464"/>
    </row>
    <row r="31" spans="1:23" s="440" customFormat="1" ht="13.8">
      <c r="A31" s="480">
        <v>43105</v>
      </c>
      <c r="B31" s="480" t="s">
        <v>572</v>
      </c>
      <c r="C31" s="465" t="s">
        <v>285</v>
      </c>
      <c r="D31" s="464"/>
      <c r="E31" s="464"/>
      <c r="F31" s="464"/>
      <c r="G31" s="479"/>
      <c r="H31" s="464">
        <v>1629</v>
      </c>
      <c r="I31" s="464"/>
      <c r="J31" s="464"/>
      <c r="K31" s="464"/>
      <c r="L31" s="464"/>
      <c r="M31" s="464"/>
      <c r="O31" s="464"/>
      <c r="P31" s="464"/>
      <c r="Q31" s="464"/>
      <c r="R31" s="464"/>
      <c r="S31" s="464"/>
      <c r="T31" s="464"/>
      <c r="U31" s="464"/>
      <c r="V31" s="464"/>
      <c r="W31" s="464"/>
    </row>
    <row r="32" spans="1:23" s="440" customFormat="1" ht="13.8">
      <c r="A32" s="480">
        <v>43131</v>
      </c>
      <c r="B32" s="480"/>
      <c r="C32" s="465" t="s">
        <v>15</v>
      </c>
      <c r="D32" s="466"/>
      <c r="E32" s="464"/>
      <c r="F32" s="464"/>
      <c r="G32" s="479"/>
      <c r="H32" s="466">
        <f>hush18!C3</f>
        <v>2214.3999999999996</v>
      </c>
      <c r="I32" s="464"/>
      <c r="J32" s="464"/>
      <c r="K32" s="464"/>
      <c r="L32" s="464"/>
      <c r="M32" s="464"/>
      <c r="O32" s="464"/>
      <c r="P32" s="464"/>
      <c r="Q32" s="464"/>
      <c r="R32" s="464"/>
      <c r="S32" s="464"/>
      <c r="T32" s="464"/>
      <c r="U32" s="464"/>
      <c r="V32" s="464"/>
      <c r="W32" s="464"/>
    </row>
    <row r="33" spans="1:23" s="440" customFormat="1" ht="13.8">
      <c r="A33" s="480">
        <v>43131</v>
      </c>
      <c r="B33" s="480"/>
      <c r="C33" s="465" t="s">
        <v>384</v>
      </c>
      <c r="D33" s="466">
        <v>0</v>
      </c>
      <c r="E33" s="464"/>
      <c r="F33" s="464"/>
      <c r="G33" s="479"/>
      <c r="H33" s="466">
        <f>hush18!C4</f>
        <v>138.44999999999999</v>
      </c>
      <c r="I33" s="464"/>
      <c r="J33" s="464"/>
      <c r="K33" s="464"/>
      <c r="L33" s="464"/>
      <c r="M33" s="464"/>
      <c r="O33" s="464"/>
      <c r="P33" s="464"/>
      <c r="Q33" s="464"/>
      <c r="R33" s="464"/>
      <c r="S33" s="464"/>
      <c r="T33" s="464"/>
      <c r="U33" s="464"/>
      <c r="V33" s="464"/>
      <c r="W33" s="464"/>
    </row>
    <row r="34" spans="1:23" s="440" customFormat="1" ht="13.8">
      <c r="A34" s="480">
        <v>43131</v>
      </c>
      <c r="B34" s="480"/>
      <c r="C34" s="465" t="s">
        <v>14</v>
      </c>
      <c r="D34" s="466">
        <f>390-hush18!C5</f>
        <v>0</v>
      </c>
      <c r="E34" s="464"/>
      <c r="F34" s="464"/>
      <c r="G34" s="479"/>
      <c r="H34" s="466"/>
      <c r="I34" s="478"/>
      <c r="J34" s="478"/>
      <c r="K34" s="478"/>
      <c r="L34" s="464"/>
      <c r="M34" s="464"/>
      <c r="O34" s="478"/>
      <c r="P34" s="478"/>
      <c r="Q34" s="478"/>
      <c r="R34" s="478"/>
      <c r="S34" s="478"/>
      <c r="T34" s="478"/>
      <c r="U34" s="478"/>
      <c r="V34" s="478"/>
      <c r="W34" s="478"/>
    </row>
    <row r="35" spans="1:23" s="440" customFormat="1" ht="13.8">
      <c r="A35" s="480">
        <v>43131</v>
      </c>
      <c r="B35" s="477"/>
      <c r="C35" s="462" t="s">
        <v>37</v>
      </c>
      <c r="D35" s="466" t="e">
        <f>'div18'!#REF!</f>
        <v>#REF!</v>
      </c>
      <c r="E35" s="461"/>
      <c r="F35" s="461"/>
      <c r="G35" s="476"/>
      <c r="H35" s="475">
        <f>'div18'!D2</f>
        <v>4851.87</v>
      </c>
      <c r="I35" s="461"/>
      <c r="J35" s="461"/>
      <c r="K35" s="461"/>
      <c r="L35" s="461"/>
      <c r="M35" s="461"/>
      <c r="O35" s="461"/>
      <c r="P35" s="461"/>
      <c r="Q35" s="461"/>
      <c r="R35" s="461"/>
      <c r="S35" s="461"/>
      <c r="T35" s="461"/>
      <c r="U35" s="461"/>
      <c r="V35" s="461"/>
      <c r="W35" s="461"/>
    </row>
    <row r="36" spans="1:23" s="447" customFormat="1" ht="13.8">
      <c r="A36" s="486" t="s">
        <v>593</v>
      </c>
      <c r="B36" s="486"/>
      <c r="C36" s="485"/>
      <c r="D36" s="483" t="e">
        <f>SUM(D37:D55)</f>
        <v>#REF!</v>
      </c>
      <c r="E36" s="483">
        <f>SUM(E37:E55)</f>
        <v>0</v>
      </c>
      <c r="F36" s="483"/>
      <c r="G36" s="484"/>
      <c r="H36" s="483">
        <f>SUM(H37:H55)</f>
        <v>30566.1</v>
      </c>
      <c r="I36" s="483">
        <f>SUM(I37:I55)</f>
        <v>30916</v>
      </c>
      <c r="J36" s="483"/>
      <c r="K36" s="483"/>
      <c r="L36" s="483"/>
      <c r="M36" s="483"/>
      <c r="O36" s="482" t="e">
        <f>MONTH(#REF!)</f>
        <v>#REF!</v>
      </c>
      <c r="P36" s="482"/>
      <c r="Q36" s="482"/>
      <c r="R36" s="482"/>
      <c r="S36" s="482"/>
      <c r="T36" s="482"/>
      <c r="U36" s="482"/>
      <c r="V36" s="482"/>
      <c r="W36" s="482"/>
    </row>
    <row r="37" spans="1:23" s="440" customFormat="1" ht="13.8">
      <c r="A37" s="480">
        <v>43131</v>
      </c>
      <c r="B37" s="480" t="s">
        <v>189</v>
      </c>
      <c r="C37" s="465" t="s">
        <v>574</v>
      </c>
      <c r="D37" s="464"/>
      <c r="E37" s="464"/>
      <c r="F37" s="464"/>
      <c r="G37" s="479"/>
      <c r="H37" s="464"/>
      <c r="I37" s="464">
        <v>11448</v>
      </c>
      <c r="J37" s="464"/>
      <c r="K37" s="464"/>
      <c r="L37" s="464"/>
      <c r="M37" s="464"/>
      <c r="O37" s="464"/>
      <c r="P37" s="464"/>
      <c r="Q37" s="464"/>
      <c r="R37" s="464"/>
      <c r="S37" s="464"/>
      <c r="T37" s="464"/>
      <c r="U37" s="464"/>
      <c r="V37" s="464"/>
      <c r="W37" s="464"/>
    </row>
    <row r="38" spans="1:23" s="440" customFormat="1" ht="13.8">
      <c r="A38" s="480">
        <v>43131</v>
      </c>
      <c r="B38" s="480" t="s">
        <v>189</v>
      </c>
      <c r="C38" s="465" t="s">
        <v>573</v>
      </c>
      <c r="D38" s="464"/>
      <c r="E38" s="464"/>
      <c r="F38" s="464"/>
      <c r="G38" s="479"/>
      <c r="H38" s="464"/>
      <c r="I38" s="464">
        <v>18321</v>
      </c>
      <c r="J38" s="464"/>
      <c r="K38" s="464"/>
      <c r="L38" s="464"/>
      <c r="M38" s="464"/>
      <c r="O38" s="464"/>
      <c r="P38" s="464"/>
      <c r="Q38" s="464"/>
      <c r="R38" s="464"/>
      <c r="S38" s="464"/>
      <c r="T38" s="464"/>
      <c r="U38" s="464"/>
      <c r="V38" s="464"/>
      <c r="W38" s="464"/>
    </row>
    <row r="39" spans="1:23" s="440" customFormat="1" ht="13.8">
      <c r="A39" s="480">
        <v>43132</v>
      </c>
      <c r="B39" s="480" t="s">
        <v>189</v>
      </c>
      <c r="C39" s="465" t="s">
        <v>31</v>
      </c>
      <c r="D39" s="464"/>
      <c r="E39" s="464"/>
      <c r="F39" s="464"/>
      <c r="G39" s="479"/>
      <c r="H39" s="464"/>
      <c r="I39" s="464">
        <v>1147</v>
      </c>
      <c r="J39" s="464"/>
      <c r="K39" s="464"/>
      <c r="L39" s="464"/>
      <c r="M39" s="464"/>
      <c r="O39" s="464"/>
      <c r="P39" s="464"/>
      <c r="Q39" s="464"/>
      <c r="R39" s="464"/>
      <c r="S39" s="464"/>
      <c r="T39" s="464"/>
      <c r="U39" s="464"/>
      <c r="V39" s="464"/>
      <c r="W39" s="464"/>
    </row>
    <row r="40" spans="1:23" s="440" customFormat="1" ht="13.8">
      <c r="A40" s="480">
        <v>43132</v>
      </c>
      <c r="B40" s="480" t="s">
        <v>189</v>
      </c>
      <c r="C40" s="465" t="s">
        <v>30</v>
      </c>
      <c r="D40" s="464"/>
      <c r="E40" s="464"/>
      <c r="F40" s="464"/>
      <c r="G40" s="479"/>
      <c r="H40" s="464">
        <v>14948</v>
      </c>
      <c r="I40" s="464"/>
      <c r="J40" s="464"/>
      <c r="K40" s="464"/>
      <c r="L40" s="464"/>
      <c r="M40" s="464"/>
      <c r="O40" s="464"/>
      <c r="P40" s="464"/>
      <c r="Q40" s="464"/>
      <c r="R40" s="464"/>
      <c r="S40" s="464"/>
      <c r="T40" s="464"/>
      <c r="U40" s="464"/>
      <c r="V40" s="464"/>
      <c r="W40" s="464"/>
    </row>
    <row r="41" spans="1:23" s="440" customFormat="1" ht="13.8">
      <c r="A41" s="480">
        <v>43132</v>
      </c>
      <c r="B41" s="480" t="s">
        <v>572</v>
      </c>
      <c r="C41" s="465" t="s">
        <v>265</v>
      </c>
      <c r="D41" s="464"/>
      <c r="E41" s="464"/>
      <c r="F41" s="464"/>
      <c r="G41" s="479"/>
      <c r="H41" s="464">
        <v>602.4</v>
      </c>
      <c r="I41" s="464"/>
      <c r="J41" s="464"/>
      <c r="K41" s="464"/>
      <c r="L41" s="464"/>
      <c r="M41" s="464"/>
      <c r="O41" s="464"/>
      <c r="P41" s="464"/>
      <c r="Q41" s="464"/>
      <c r="R41" s="464"/>
      <c r="S41" s="464"/>
      <c r="T41" s="464"/>
      <c r="U41" s="464"/>
      <c r="V41" s="464"/>
      <c r="W41" s="464"/>
    </row>
    <row r="42" spans="1:23" s="440" customFormat="1" ht="13.8">
      <c r="A42" s="480">
        <v>43132</v>
      </c>
      <c r="B42" s="480" t="s">
        <v>572</v>
      </c>
      <c r="C42" s="465" t="s">
        <v>264</v>
      </c>
      <c r="D42" s="464"/>
      <c r="E42" s="464"/>
      <c r="F42" s="464"/>
      <c r="G42" s="479"/>
      <c r="H42" s="464">
        <v>523</v>
      </c>
      <c r="I42" s="464"/>
      <c r="J42" s="464"/>
      <c r="K42" s="464"/>
      <c r="L42" s="464"/>
      <c r="M42" s="464"/>
      <c r="O42" s="464"/>
      <c r="P42" s="464"/>
      <c r="Q42" s="464"/>
      <c r="R42" s="464"/>
      <c r="S42" s="464"/>
      <c r="T42" s="464"/>
      <c r="U42" s="464"/>
      <c r="V42" s="464"/>
      <c r="W42" s="464"/>
    </row>
    <row r="43" spans="1:23" s="440" customFormat="1" ht="13.8">
      <c r="A43" s="480">
        <v>43132</v>
      </c>
      <c r="B43" s="480" t="s">
        <v>572</v>
      </c>
      <c r="C43" s="465" t="s">
        <v>182</v>
      </c>
      <c r="D43" s="464"/>
      <c r="E43" s="464"/>
      <c r="F43" s="464"/>
      <c r="G43" s="479"/>
      <c r="H43" s="464">
        <v>279</v>
      </c>
      <c r="I43" s="464"/>
      <c r="J43" s="464"/>
      <c r="K43" s="464"/>
      <c r="L43" s="464"/>
      <c r="M43" s="464"/>
      <c r="O43" s="464"/>
      <c r="P43" s="464"/>
      <c r="Q43" s="464"/>
      <c r="R43" s="464"/>
      <c r="S43" s="464"/>
      <c r="T43" s="464"/>
      <c r="U43" s="464"/>
      <c r="V43" s="464"/>
      <c r="W43" s="464"/>
    </row>
    <row r="44" spans="1:23" s="440" customFormat="1" ht="13.8">
      <c r="A44" s="480">
        <v>43132</v>
      </c>
      <c r="B44" s="480" t="s">
        <v>572</v>
      </c>
      <c r="C44" s="465" t="s">
        <v>472</v>
      </c>
      <c r="D44" s="464"/>
      <c r="E44" s="464"/>
      <c r="F44" s="464"/>
      <c r="G44" s="479"/>
      <c r="H44" s="464">
        <v>450</v>
      </c>
      <c r="I44" s="464"/>
      <c r="J44" s="464"/>
      <c r="K44" s="464"/>
      <c r="L44" s="464"/>
      <c r="M44" s="464"/>
      <c r="O44" s="464"/>
      <c r="P44" s="464"/>
      <c r="Q44" s="464"/>
      <c r="R44" s="464"/>
      <c r="S44" s="464"/>
      <c r="T44" s="464"/>
      <c r="U44" s="464"/>
      <c r="V44" s="464"/>
      <c r="W44" s="464"/>
    </row>
    <row r="45" spans="1:23" s="440" customFormat="1" ht="13.8">
      <c r="A45" s="480">
        <v>43132</v>
      </c>
      <c r="B45" s="480" t="s">
        <v>572</v>
      </c>
      <c r="C45" s="465" t="s">
        <v>183</v>
      </c>
      <c r="D45" s="464"/>
      <c r="E45" s="464"/>
      <c r="F45" s="464"/>
      <c r="G45" s="479"/>
      <c r="H45" s="464">
        <v>448.75</v>
      </c>
      <c r="I45" s="464"/>
      <c r="J45" s="464"/>
      <c r="K45" s="464"/>
      <c r="L45" s="464"/>
      <c r="M45" s="464"/>
      <c r="O45" s="464"/>
      <c r="P45" s="464"/>
      <c r="Q45" s="464"/>
      <c r="R45" s="464"/>
      <c r="S45" s="464"/>
      <c r="T45" s="464"/>
      <c r="U45" s="464"/>
      <c r="V45" s="464"/>
      <c r="W45" s="464"/>
    </row>
    <row r="46" spans="1:23" s="440" customFormat="1" ht="13.8">
      <c r="A46" s="480">
        <v>43132</v>
      </c>
      <c r="B46" s="480" t="s">
        <v>572</v>
      </c>
      <c r="C46" s="465" t="s">
        <v>214</v>
      </c>
      <c r="D46" s="464"/>
      <c r="E46" s="464"/>
      <c r="F46" s="464"/>
      <c r="G46" s="479"/>
      <c r="H46" s="464">
        <v>180</v>
      </c>
      <c r="I46" s="464"/>
      <c r="J46" s="464"/>
      <c r="K46" s="464"/>
      <c r="L46" s="464"/>
      <c r="M46" s="464"/>
      <c r="O46" s="464"/>
      <c r="P46" s="464"/>
      <c r="Q46" s="464"/>
      <c r="R46" s="464"/>
      <c r="S46" s="464"/>
      <c r="T46" s="464"/>
      <c r="U46" s="464"/>
      <c r="V46" s="464"/>
      <c r="W46" s="464"/>
    </row>
    <row r="47" spans="1:23" s="440" customFormat="1" ht="13.8">
      <c r="A47" s="480">
        <v>42979</v>
      </c>
      <c r="B47" s="480" t="s">
        <v>572</v>
      </c>
      <c r="C47" s="465" t="s">
        <v>306</v>
      </c>
      <c r="D47" s="464"/>
      <c r="F47" s="464"/>
      <c r="G47" s="479"/>
      <c r="H47" s="464">
        <v>2069.2399999999998</v>
      </c>
      <c r="J47" s="464">
        <v>1060.69</v>
      </c>
      <c r="K47" s="479">
        <v>1003.05</v>
      </c>
      <c r="L47" s="464"/>
      <c r="M47" s="464"/>
      <c r="O47" s="464"/>
      <c r="P47" s="464"/>
      <c r="Q47" s="464"/>
      <c r="R47" s="464"/>
      <c r="S47" s="464"/>
      <c r="T47" s="464"/>
      <c r="U47" s="464"/>
      <c r="V47" s="464"/>
      <c r="W47" s="464"/>
    </row>
    <row r="48" spans="1:23" s="440" customFormat="1" ht="13.8">
      <c r="A48" s="480">
        <v>43133</v>
      </c>
      <c r="B48" s="480" t="s">
        <v>572</v>
      </c>
      <c r="C48" s="465" t="s">
        <v>481</v>
      </c>
      <c r="D48" s="464"/>
      <c r="E48" s="464"/>
      <c r="F48" s="464"/>
      <c r="G48" s="479"/>
      <c r="H48" s="467">
        <v>22.89</v>
      </c>
      <c r="I48" s="464"/>
      <c r="J48" s="464"/>
      <c r="K48" s="464"/>
      <c r="L48" s="464"/>
      <c r="M48" s="464"/>
      <c r="O48" s="464"/>
      <c r="P48" s="464"/>
      <c r="Q48" s="464"/>
      <c r="R48" s="464"/>
      <c r="S48" s="464"/>
      <c r="T48" s="464"/>
      <c r="U48" s="464"/>
      <c r="V48" s="464"/>
      <c r="W48" s="464"/>
    </row>
    <row r="49" spans="1:23" s="440" customFormat="1" ht="13.8">
      <c r="A49" s="480">
        <v>43133</v>
      </c>
      <c r="B49" s="480" t="s">
        <v>572</v>
      </c>
      <c r="C49" s="465" t="s">
        <v>481</v>
      </c>
      <c r="D49" s="464"/>
      <c r="E49" s="464"/>
      <c r="F49" s="464"/>
      <c r="G49" s="479"/>
      <c r="H49" s="467">
        <v>109.7</v>
      </c>
      <c r="I49" s="464"/>
      <c r="J49" s="464"/>
      <c r="K49" s="464"/>
      <c r="L49" s="464"/>
      <c r="M49" s="464"/>
      <c r="O49" s="464"/>
      <c r="P49" s="464"/>
      <c r="Q49" s="464"/>
      <c r="R49" s="464"/>
      <c r="S49" s="464"/>
      <c r="T49" s="464"/>
      <c r="U49" s="464"/>
      <c r="V49" s="464"/>
      <c r="W49" s="464"/>
    </row>
    <row r="50" spans="1:23" s="440" customFormat="1" ht="13.8">
      <c r="A50" s="480">
        <v>43136</v>
      </c>
      <c r="B50" s="480" t="s">
        <v>572</v>
      </c>
      <c r="C50" s="465" t="s">
        <v>20</v>
      </c>
      <c r="E50" s="464"/>
      <c r="F50" s="464"/>
      <c r="G50" s="479"/>
      <c r="H50" s="464">
        <v>162.09</v>
      </c>
      <c r="I50" s="464"/>
      <c r="J50" s="464"/>
      <c r="K50" s="464"/>
      <c r="L50" s="464"/>
      <c r="M50" s="464"/>
      <c r="O50" s="464"/>
      <c r="P50" s="464"/>
      <c r="Q50" s="464"/>
      <c r="R50" s="464"/>
      <c r="S50" s="464"/>
      <c r="T50" s="464"/>
      <c r="U50" s="464"/>
      <c r="V50" s="464"/>
      <c r="W50" s="464"/>
    </row>
    <row r="51" spans="1:23" s="440" customFormat="1" ht="13.8">
      <c r="A51" s="480">
        <v>43143</v>
      </c>
      <c r="B51" s="480" t="s">
        <v>572</v>
      </c>
      <c r="C51" s="465" t="s">
        <v>99</v>
      </c>
      <c r="D51" s="464"/>
      <c r="E51" s="464"/>
      <c r="F51" s="464"/>
      <c r="G51" s="479"/>
      <c r="H51" s="464">
        <v>1824.85</v>
      </c>
      <c r="I51" s="464"/>
      <c r="J51" s="464"/>
      <c r="K51" s="464"/>
      <c r="L51" s="464"/>
      <c r="M51" s="464"/>
      <c r="O51" s="464"/>
      <c r="P51" s="464"/>
      <c r="Q51" s="464"/>
      <c r="R51" s="464"/>
      <c r="S51" s="464"/>
      <c r="T51" s="464"/>
      <c r="U51" s="464"/>
      <c r="V51" s="464"/>
      <c r="W51" s="464"/>
    </row>
    <row r="52" spans="1:23" s="440" customFormat="1" ht="13.8">
      <c r="A52" s="480">
        <v>43131</v>
      </c>
      <c r="B52" s="480"/>
      <c r="C52" s="465" t="s">
        <v>15</v>
      </c>
      <c r="D52" s="466"/>
      <c r="E52" s="464"/>
      <c r="F52" s="464"/>
      <c r="G52" s="479"/>
      <c r="H52" s="466">
        <f>hush18!D3</f>
        <v>1736.0600000000002</v>
      </c>
      <c r="I52" s="464"/>
      <c r="J52" s="464"/>
      <c r="K52" s="464"/>
      <c r="L52" s="464"/>
      <c r="M52" s="464"/>
      <c r="O52" s="464"/>
      <c r="P52" s="464"/>
      <c r="Q52" s="464"/>
      <c r="R52" s="464"/>
      <c r="S52" s="464"/>
      <c r="T52" s="464"/>
      <c r="U52" s="464"/>
      <c r="V52" s="464"/>
      <c r="W52" s="464"/>
    </row>
    <row r="53" spans="1:23" s="440" customFormat="1" ht="13.8">
      <c r="A53" s="480">
        <v>43131</v>
      </c>
      <c r="B53" s="480"/>
      <c r="C53" s="465" t="s">
        <v>384</v>
      </c>
      <c r="D53" s="466"/>
      <c r="E53" s="464"/>
      <c r="F53" s="464"/>
      <c r="G53" s="479"/>
      <c r="H53" s="466">
        <f>hush18!D4</f>
        <v>67.2</v>
      </c>
      <c r="I53" s="464"/>
      <c r="J53" s="464"/>
      <c r="K53" s="464"/>
      <c r="L53" s="464"/>
      <c r="M53" s="464"/>
      <c r="O53" s="464"/>
      <c r="P53" s="464"/>
      <c r="Q53" s="464"/>
      <c r="R53" s="464"/>
      <c r="S53" s="464"/>
      <c r="T53" s="464"/>
      <c r="U53" s="464"/>
      <c r="V53" s="464"/>
      <c r="W53" s="464"/>
    </row>
    <row r="54" spans="1:23" s="440" customFormat="1" ht="13.8">
      <c r="A54" s="480">
        <v>43131</v>
      </c>
      <c r="B54" s="480"/>
      <c r="C54" s="465" t="s">
        <v>14</v>
      </c>
      <c r="D54" s="466"/>
      <c r="E54" s="464"/>
      <c r="F54" s="464"/>
      <c r="G54" s="479"/>
      <c r="H54" s="466">
        <f>hush18!D5</f>
        <v>390</v>
      </c>
      <c r="I54" s="478"/>
      <c r="J54" s="478"/>
      <c r="K54" s="478"/>
      <c r="L54" s="464"/>
      <c r="M54" s="464"/>
      <c r="O54" s="478"/>
      <c r="P54" s="478"/>
      <c r="Q54" s="478"/>
      <c r="R54" s="478"/>
      <c r="S54" s="478"/>
      <c r="T54" s="478"/>
      <c r="U54" s="478"/>
      <c r="V54" s="478"/>
      <c r="W54" s="478"/>
    </row>
    <row r="55" spans="1:23" s="440" customFormat="1" ht="13.8">
      <c r="A55" s="480">
        <v>43131</v>
      </c>
      <c r="B55" s="477"/>
      <c r="C55" s="462" t="s">
        <v>37</v>
      </c>
      <c r="D55" s="466" t="e">
        <f>'div18'!#REF!</f>
        <v>#REF!</v>
      </c>
      <c r="E55" s="461"/>
      <c r="F55" s="461"/>
      <c r="G55" s="476"/>
      <c r="H55" s="475">
        <f>'div18'!E2</f>
        <v>6752.92</v>
      </c>
      <c r="I55" s="461"/>
      <c r="J55" s="461"/>
      <c r="K55" s="461"/>
      <c r="L55" s="461"/>
      <c r="M55" s="461"/>
      <c r="O55" s="461"/>
      <c r="P55" s="461"/>
      <c r="Q55" s="461"/>
      <c r="R55" s="461"/>
      <c r="S55" s="461"/>
      <c r="T55" s="461"/>
      <c r="U55" s="461"/>
      <c r="V55" s="461"/>
      <c r="W55" s="461"/>
    </row>
    <row r="56" spans="1:23" s="447" customFormat="1" ht="13.8">
      <c r="A56" s="486" t="s">
        <v>592</v>
      </c>
      <c r="B56" s="486"/>
      <c r="C56" s="485"/>
      <c r="D56" s="483" t="e">
        <f>SUM(D57:D76)</f>
        <v>#REF!</v>
      </c>
      <c r="E56" s="483">
        <f>SUM(E57:E76)</f>
        <v>0</v>
      </c>
      <c r="F56" s="483"/>
      <c r="G56" s="484"/>
      <c r="H56" s="483">
        <f>SUM(H57:H76)</f>
        <v>23156.639999999999</v>
      </c>
      <c r="I56" s="483">
        <f>SUM(I57:I76)</f>
        <v>20629</v>
      </c>
      <c r="J56" s="483"/>
      <c r="K56" s="483"/>
      <c r="L56" s="483"/>
      <c r="M56" s="483"/>
      <c r="O56" s="482">
        <f>MONTH(A74)</f>
        <v>3</v>
      </c>
      <c r="P56" s="482"/>
      <c r="Q56" s="482"/>
      <c r="R56" s="482"/>
      <c r="S56" s="482"/>
      <c r="T56" s="482"/>
      <c r="U56" s="482"/>
      <c r="V56" s="482"/>
      <c r="W56" s="482"/>
    </row>
    <row r="57" spans="1:23" s="440" customFormat="1" ht="13.8">
      <c r="A57" s="480">
        <v>42794</v>
      </c>
      <c r="B57" s="488" t="s">
        <v>189</v>
      </c>
      <c r="C57" s="465" t="s">
        <v>574</v>
      </c>
      <c r="D57" s="464"/>
      <c r="E57" s="466"/>
      <c r="F57" s="464"/>
      <c r="G57" s="479"/>
      <c r="H57" s="464"/>
      <c r="I57" s="464">
        <v>11448</v>
      </c>
      <c r="J57" s="464"/>
      <c r="K57" s="464"/>
      <c r="L57" s="464"/>
      <c r="M57" s="464"/>
      <c r="O57" s="464"/>
      <c r="P57" s="464"/>
      <c r="Q57" s="464"/>
      <c r="R57" s="464"/>
      <c r="S57" s="464"/>
      <c r="T57" s="464"/>
      <c r="U57" s="464"/>
      <c r="V57" s="464"/>
      <c r="W57" s="464"/>
    </row>
    <row r="58" spans="1:23" s="440" customFormat="1" ht="13.8">
      <c r="A58" s="480">
        <v>42794</v>
      </c>
      <c r="B58" s="488" t="s">
        <v>189</v>
      </c>
      <c r="C58" s="465" t="s">
        <v>573</v>
      </c>
      <c r="D58" s="464"/>
      <c r="E58" s="466"/>
      <c r="F58" s="464"/>
      <c r="G58" s="479"/>
      <c r="H58" s="464"/>
      <c r="I58" s="464">
        <v>7829</v>
      </c>
      <c r="J58" s="464"/>
      <c r="K58" s="464"/>
      <c r="L58" s="464"/>
      <c r="M58" s="464"/>
      <c r="O58" s="464"/>
      <c r="P58" s="464"/>
      <c r="Q58" s="464"/>
      <c r="R58" s="464"/>
      <c r="S58" s="464"/>
      <c r="T58" s="464"/>
      <c r="U58" s="464"/>
      <c r="V58" s="464"/>
      <c r="W58" s="464"/>
    </row>
    <row r="59" spans="1:23" s="440" customFormat="1" ht="13.8">
      <c r="A59" s="480">
        <v>42794</v>
      </c>
      <c r="B59" s="488" t="s">
        <v>189</v>
      </c>
      <c r="C59" s="465" t="s">
        <v>573</v>
      </c>
      <c r="D59" s="464"/>
      <c r="E59" s="466"/>
      <c r="F59" s="464"/>
      <c r="G59" s="479"/>
      <c r="H59" s="464"/>
      <c r="I59" s="464">
        <v>205</v>
      </c>
      <c r="J59" s="464"/>
      <c r="K59" s="464"/>
      <c r="L59" s="464"/>
      <c r="M59" s="464"/>
      <c r="O59" s="464"/>
      <c r="P59" s="464"/>
      <c r="Q59" s="464"/>
      <c r="R59" s="464"/>
      <c r="S59" s="464"/>
      <c r="T59" s="464"/>
      <c r="U59" s="464"/>
      <c r="V59" s="464"/>
      <c r="W59" s="464"/>
    </row>
    <row r="60" spans="1:23" s="440" customFormat="1" ht="13.8">
      <c r="A60" s="480">
        <v>43160</v>
      </c>
      <c r="B60" s="480" t="s">
        <v>189</v>
      </c>
      <c r="C60" s="465" t="s">
        <v>31</v>
      </c>
      <c r="D60" s="464"/>
      <c r="E60" s="464"/>
      <c r="F60" s="464"/>
      <c r="G60" s="479"/>
      <c r="H60" s="464"/>
      <c r="I60" s="464">
        <v>1147</v>
      </c>
      <c r="J60" s="464"/>
      <c r="K60" s="464"/>
      <c r="L60" s="464"/>
      <c r="M60" s="464"/>
      <c r="O60" s="464"/>
      <c r="P60" s="464"/>
      <c r="Q60" s="464"/>
      <c r="R60" s="464"/>
      <c r="S60" s="464"/>
      <c r="T60" s="464"/>
      <c r="U60" s="464"/>
      <c r="V60" s="464"/>
      <c r="W60" s="464"/>
    </row>
    <row r="61" spans="1:23" s="440" customFormat="1" ht="13.8">
      <c r="A61" s="480">
        <v>43160</v>
      </c>
      <c r="B61" s="480" t="s">
        <v>189</v>
      </c>
      <c r="C61" s="465" t="s">
        <v>30</v>
      </c>
      <c r="D61" s="460"/>
      <c r="E61" s="464"/>
      <c r="F61" s="464"/>
      <c r="G61" s="479"/>
      <c r="H61" s="464">
        <v>7474</v>
      </c>
      <c r="I61" s="464"/>
      <c r="J61" s="464"/>
      <c r="K61" s="464"/>
      <c r="L61" s="464"/>
      <c r="M61" s="464"/>
      <c r="O61" s="464"/>
      <c r="P61" s="464"/>
      <c r="Q61" s="464"/>
      <c r="R61" s="464"/>
      <c r="S61" s="464"/>
      <c r="T61" s="464"/>
      <c r="U61" s="464"/>
      <c r="V61" s="464"/>
      <c r="W61" s="464"/>
    </row>
    <row r="62" spans="1:23" s="440" customFormat="1" ht="13.8">
      <c r="A62" s="480">
        <v>43160</v>
      </c>
      <c r="B62" s="480" t="s">
        <v>572</v>
      </c>
      <c r="C62" s="465" t="s">
        <v>265</v>
      </c>
      <c r="D62" s="464"/>
      <c r="E62" s="464"/>
      <c r="F62" s="464"/>
      <c r="G62" s="479"/>
      <c r="H62" s="464">
        <v>602.4</v>
      </c>
      <c r="I62" s="464"/>
      <c r="J62" s="464">
        <v>12969.43</v>
      </c>
      <c r="K62" s="464">
        <v>12969.43</v>
      </c>
      <c r="L62" s="464"/>
      <c r="M62" s="464"/>
      <c r="O62" s="464"/>
      <c r="P62" s="464"/>
      <c r="Q62" s="464"/>
      <c r="R62" s="464"/>
      <c r="S62" s="464"/>
      <c r="T62" s="464"/>
      <c r="U62" s="464"/>
      <c r="V62" s="464"/>
      <c r="W62" s="464"/>
    </row>
    <row r="63" spans="1:23" s="440" customFormat="1" ht="13.8">
      <c r="A63" s="480">
        <v>43160</v>
      </c>
      <c r="B63" s="480" t="s">
        <v>572</v>
      </c>
      <c r="C63" s="465" t="s">
        <v>264</v>
      </c>
      <c r="D63" s="464"/>
      <c r="E63" s="464"/>
      <c r="F63" s="464"/>
      <c r="G63" s="479"/>
      <c r="H63" s="464">
        <v>523</v>
      </c>
      <c r="I63" s="464"/>
      <c r="J63" s="464">
        <v>7812.13</v>
      </c>
      <c r="K63" s="464">
        <v>7812.13</v>
      </c>
      <c r="L63" s="464"/>
      <c r="M63" s="464"/>
      <c r="O63" s="464"/>
      <c r="P63" s="464"/>
      <c r="Q63" s="464"/>
      <c r="R63" s="464"/>
      <c r="S63" s="464"/>
      <c r="T63" s="464"/>
      <c r="U63" s="464"/>
      <c r="V63" s="464"/>
      <c r="W63" s="464"/>
    </row>
    <row r="64" spans="1:23" s="440" customFormat="1" ht="13.8">
      <c r="A64" s="480">
        <v>43160</v>
      </c>
      <c r="B64" s="480" t="s">
        <v>572</v>
      </c>
      <c r="C64" s="465" t="s">
        <v>182</v>
      </c>
      <c r="D64" s="464"/>
      <c r="E64" s="464"/>
      <c r="F64" s="464"/>
      <c r="G64" s="479"/>
      <c r="H64" s="464">
        <v>279</v>
      </c>
      <c r="I64" s="464"/>
      <c r="J64" s="464">
        <v>7812.13</v>
      </c>
      <c r="K64" s="464">
        <v>7812.13</v>
      </c>
      <c r="L64" s="464"/>
      <c r="M64" s="464"/>
      <c r="O64" s="464" t="s">
        <v>591</v>
      </c>
      <c r="P64" s="464"/>
      <c r="Q64" s="464"/>
      <c r="R64" s="464"/>
      <c r="S64" s="464"/>
      <c r="T64" s="464"/>
      <c r="U64" s="464"/>
      <c r="V64" s="464"/>
      <c r="W64" s="464"/>
    </row>
    <row r="65" spans="1:23" s="440" customFormat="1" ht="13.8">
      <c r="A65" s="480">
        <v>43160</v>
      </c>
      <c r="B65" s="480" t="s">
        <v>572</v>
      </c>
      <c r="C65" s="465" t="s">
        <v>472</v>
      </c>
      <c r="D65" s="464"/>
      <c r="E65" s="464"/>
      <c r="F65" s="464"/>
      <c r="G65" s="479"/>
      <c r="H65" s="464">
        <v>240</v>
      </c>
      <c r="I65" s="464"/>
      <c r="J65" s="464">
        <v>2771.83</v>
      </c>
      <c r="K65" s="464">
        <v>2771.83</v>
      </c>
      <c r="L65" s="464"/>
      <c r="M65" s="464"/>
      <c r="O65" s="464"/>
      <c r="P65" s="464"/>
      <c r="Q65" s="464"/>
      <c r="R65" s="464"/>
      <c r="S65" s="464"/>
      <c r="T65" s="464"/>
      <c r="U65" s="464"/>
      <c r="V65" s="464"/>
      <c r="W65" s="464"/>
    </row>
    <row r="66" spans="1:23" s="440" customFormat="1" ht="13.8">
      <c r="A66" s="480">
        <v>43160</v>
      </c>
      <c r="B66" s="480" t="s">
        <v>572</v>
      </c>
      <c r="C66" s="465" t="s">
        <v>472</v>
      </c>
      <c r="D66" s="464"/>
      <c r="E66" s="464"/>
      <c r="F66" s="464"/>
      <c r="G66" s="479"/>
      <c r="H66" s="464">
        <v>210</v>
      </c>
      <c r="I66" s="464"/>
      <c r="J66" s="464">
        <v>2446.79</v>
      </c>
      <c r="K66" s="464">
        <v>2446.79</v>
      </c>
      <c r="L66" s="464"/>
      <c r="M66" s="464"/>
      <c r="O66" s="464"/>
      <c r="P66" s="464"/>
      <c r="Q66" s="464"/>
      <c r="R66" s="464"/>
      <c r="S66" s="464"/>
      <c r="T66" s="464"/>
      <c r="U66" s="464"/>
      <c r="V66" s="464"/>
      <c r="W66" s="464"/>
    </row>
    <row r="67" spans="1:23" s="440" customFormat="1" ht="13.8">
      <c r="A67" s="480">
        <v>43160</v>
      </c>
      <c r="B67" s="480" t="s">
        <v>572</v>
      </c>
      <c r="C67" s="465" t="s">
        <v>183</v>
      </c>
      <c r="D67" s="464"/>
      <c r="E67" s="464"/>
      <c r="F67" s="464"/>
      <c r="G67" s="479"/>
      <c r="H67" s="464">
        <v>448.75</v>
      </c>
      <c r="I67" s="464"/>
      <c r="J67" s="464"/>
      <c r="K67" s="464"/>
      <c r="L67" s="464"/>
      <c r="M67" s="464"/>
      <c r="O67" s="464"/>
      <c r="P67" s="464"/>
      <c r="Q67" s="464"/>
      <c r="R67" s="464"/>
      <c r="S67" s="464"/>
      <c r="T67" s="464"/>
      <c r="U67" s="464"/>
      <c r="V67" s="464"/>
      <c r="W67" s="464"/>
    </row>
    <row r="68" spans="1:23" s="440" customFormat="1" ht="13.8">
      <c r="A68" s="480">
        <v>43160</v>
      </c>
      <c r="B68" s="480" t="s">
        <v>572</v>
      </c>
      <c r="C68" s="465" t="s">
        <v>214</v>
      </c>
      <c r="D68" s="464"/>
      <c r="E68" s="464"/>
      <c r="F68" s="464"/>
      <c r="G68" s="479"/>
      <c r="H68" s="464">
        <v>225</v>
      </c>
      <c r="I68" s="464"/>
      <c r="J68" s="464"/>
      <c r="K68" s="464"/>
      <c r="L68" s="464"/>
      <c r="M68" s="464"/>
      <c r="O68" s="464"/>
      <c r="P68" s="464"/>
      <c r="Q68" s="464"/>
      <c r="R68" s="464"/>
      <c r="S68" s="464"/>
      <c r="T68" s="464"/>
      <c r="U68" s="464"/>
      <c r="V68" s="464"/>
      <c r="W68" s="464"/>
    </row>
    <row r="69" spans="1:23" s="440" customFormat="1" ht="13.8">
      <c r="A69" s="480">
        <v>43160</v>
      </c>
      <c r="B69" s="480" t="s">
        <v>572</v>
      </c>
      <c r="C69" s="465" t="s">
        <v>306</v>
      </c>
      <c r="D69" s="464"/>
      <c r="F69" s="464"/>
      <c r="G69" s="479"/>
      <c r="H69" s="464">
        <v>2240.61</v>
      </c>
      <c r="J69" s="487">
        <v>1035.42</v>
      </c>
      <c r="K69" s="489">
        <v>1999.69</v>
      </c>
      <c r="L69" s="464"/>
      <c r="M69" s="464"/>
      <c r="O69" s="464"/>
      <c r="P69" s="464"/>
      <c r="Q69" s="464"/>
      <c r="R69" s="464"/>
      <c r="S69" s="464"/>
      <c r="T69" s="464"/>
      <c r="U69" s="464"/>
      <c r="V69" s="464"/>
      <c r="W69" s="464"/>
    </row>
    <row r="70" spans="1:23" s="440" customFormat="1" ht="13.8">
      <c r="A70" s="480">
        <v>43161</v>
      </c>
      <c r="B70" s="480" t="s">
        <v>572</v>
      </c>
      <c r="C70" s="465" t="s">
        <v>481</v>
      </c>
      <c r="D70" s="467"/>
      <c r="E70" s="464"/>
      <c r="F70" s="464"/>
      <c r="G70" s="479"/>
      <c r="H70" s="464">
        <v>21.96</v>
      </c>
      <c r="I70" s="464"/>
      <c r="J70" s="464"/>
      <c r="K70" s="464"/>
      <c r="L70" s="464"/>
      <c r="M70" s="464"/>
      <c r="O70" s="464"/>
      <c r="P70" s="464"/>
      <c r="Q70" s="464"/>
      <c r="R70" s="464"/>
      <c r="S70" s="464"/>
      <c r="T70" s="464"/>
      <c r="U70" s="464"/>
      <c r="V70" s="464"/>
      <c r="W70" s="464"/>
    </row>
    <row r="71" spans="1:23" s="440" customFormat="1" ht="13.8">
      <c r="A71" s="480">
        <v>43161</v>
      </c>
      <c r="B71" s="480" t="s">
        <v>572</v>
      </c>
      <c r="C71" s="465" t="s">
        <v>481</v>
      </c>
      <c r="D71" s="467"/>
      <c r="E71" s="464"/>
      <c r="F71" s="464"/>
      <c r="G71" s="479"/>
      <c r="H71" s="464">
        <v>101.51</v>
      </c>
      <c r="I71" s="464"/>
      <c r="J71" s="464"/>
      <c r="K71" s="464"/>
      <c r="L71" s="464"/>
      <c r="M71" s="464"/>
      <c r="O71" s="464"/>
      <c r="P71" s="464"/>
      <c r="Q71" s="464"/>
      <c r="R71" s="464"/>
      <c r="S71" s="464"/>
      <c r="T71" s="464"/>
      <c r="U71" s="464"/>
      <c r="V71" s="464"/>
      <c r="W71" s="464"/>
    </row>
    <row r="72" spans="1:23" s="440" customFormat="1" ht="13.8">
      <c r="A72" s="480">
        <v>43136</v>
      </c>
      <c r="B72" s="480" t="s">
        <v>572</v>
      </c>
      <c r="C72" s="465" t="s">
        <v>20</v>
      </c>
      <c r="D72" s="467"/>
      <c r="E72" s="464"/>
      <c r="F72" s="464"/>
      <c r="G72" s="479"/>
      <c r="H72" s="464">
        <v>179.46</v>
      </c>
      <c r="I72" s="464"/>
      <c r="J72" s="464"/>
      <c r="K72" s="464"/>
      <c r="L72" s="464"/>
      <c r="M72" s="464"/>
      <c r="O72" s="464"/>
      <c r="P72" s="464"/>
      <c r="Q72" s="464"/>
      <c r="R72" s="464"/>
      <c r="S72" s="464"/>
      <c r="T72" s="464"/>
      <c r="U72" s="464"/>
      <c r="V72" s="464"/>
      <c r="W72" s="464"/>
    </row>
    <row r="73" spans="1:23" s="440" customFormat="1" ht="13.8">
      <c r="A73" s="480">
        <v>43190</v>
      </c>
      <c r="B73" s="480"/>
      <c r="C73" s="465" t="s">
        <v>15</v>
      </c>
      <c r="D73" s="466"/>
      <c r="E73" s="464"/>
      <c r="F73" s="464"/>
      <c r="G73" s="479"/>
      <c r="H73" s="466">
        <f>hush18!E3</f>
        <v>1762.59</v>
      </c>
      <c r="I73" s="464"/>
      <c r="J73" s="464"/>
      <c r="K73" s="464"/>
      <c r="L73" s="464"/>
      <c r="M73" s="464"/>
      <c r="O73" s="464"/>
      <c r="P73" s="464"/>
      <c r="Q73" s="464"/>
      <c r="R73" s="464"/>
      <c r="S73" s="464"/>
      <c r="T73" s="464"/>
      <c r="U73" s="464"/>
      <c r="V73" s="464"/>
      <c r="W73" s="464"/>
    </row>
    <row r="74" spans="1:23" s="440" customFormat="1" ht="13.8">
      <c r="A74" s="480">
        <v>43190</v>
      </c>
      <c r="B74" s="480"/>
      <c r="C74" s="465" t="s">
        <v>384</v>
      </c>
      <c r="D74" s="466"/>
      <c r="E74" s="464"/>
      <c r="F74" s="464"/>
      <c r="G74" s="479"/>
      <c r="H74" s="466">
        <f>hush18!E4</f>
        <v>63.75</v>
      </c>
      <c r="I74" s="464"/>
      <c r="J74" s="464"/>
      <c r="K74" s="464"/>
      <c r="L74" s="464"/>
      <c r="M74" s="464"/>
      <c r="O74" s="464"/>
      <c r="P74" s="464"/>
      <c r="Q74" s="464"/>
      <c r="R74" s="464"/>
      <c r="S74" s="464"/>
      <c r="T74" s="464"/>
      <c r="U74" s="464"/>
      <c r="V74" s="464"/>
      <c r="W74" s="464"/>
    </row>
    <row r="75" spans="1:23" s="440" customFormat="1" ht="13.8">
      <c r="A75" s="480">
        <v>43190</v>
      </c>
      <c r="B75" s="480"/>
      <c r="C75" s="465" t="s">
        <v>14</v>
      </c>
      <c r="D75" s="466">
        <f>117-hush18!E5</f>
        <v>0</v>
      </c>
      <c r="E75" s="464"/>
      <c r="F75" s="464"/>
      <c r="G75" s="479"/>
      <c r="H75" s="466">
        <f>hush18!E5</f>
        <v>117</v>
      </c>
      <c r="I75" s="478"/>
      <c r="J75" s="478"/>
      <c r="K75" s="478"/>
      <c r="L75" s="464"/>
      <c r="M75" s="464"/>
      <c r="O75" s="478"/>
      <c r="P75" s="478"/>
      <c r="Q75" s="478"/>
      <c r="R75" s="478"/>
      <c r="S75" s="478"/>
      <c r="T75" s="478"/>
      <c r="U75" s="478"/>
      <c r="V75" s="478"/>
      <c r="W75" s="478"/>
    </row>
    <row r="76" spans="1:23" s="440" customFormat="1" ht="13.8">
      <c r="A76" s="480">
        <v>43190</v>
      </c>
      <c r="B76" s="477"/>
      <c r="C76" s="462" t="s">
        <v>37</v>
      </c>
      <c r="D76" s="466" t="e">
        <f>'div18'!#REF!</f>
        <v>#REF!</v>
      </c>
      <c r="E76" s="461"/>
      <c r="F76" s="461"/>
      <c r="G76" s="476"/>
      <c r="H76" s="475">
        <f>'div18'!F2</f>
        <v>8667.61</v>
      </c>
      <c r="I76" s="461"/>
      <c r="J76" s="461"/>
      <c r="K76" s="461"/>
      <c r="L76" s="461"/>
      <c r="M76" s="461"/>
      <c r="O76" s="461"/>
      <c r="P76" s="461"/>
      <c r="Q76" s="461"/>
      <c r="R76" s="461"/>
      <c r="S76" s="461"/>
      <c r="T76" s="461"/>
      <c r="U76" s="461"/>
      <c r="V76" s="461"/>
      <c r="W76" s="461"/>
    </row>
    <row r="77" spans="1:23" s="447" customFormat="1" ht="13.8">
      <c r="A77" s="486" t="s">
        <v>590</v>
      </c>
      <c r="B77" s="486"/>
      <c r="C77" s="485"/>
      <c r="D77" s="483">
        <f>SUM(D78:D97)</f>
        <v>0</v>
      </c>
      <c r="E77" s="483">
        <f>SUM(E78:E97)</f>
        <v>0</v>
      </c>
      <c r="F77" s="483"/>
      <c r="G77" s="484"/>
      <c r="H77" s="483" t="e">
        <f>SUM(H78:H97)</f>
        <v>#REF!</v>
      </c>
      <c r="I77" s="483">
        <f>SUM(I78:I97)</f>
        <v>20629</v>
      </c>
      <c r="J77" s="483"/>
      <c r="K77" s="483"/>
      <c r="L77" s="483"/>
      <c r="M77" s="483"/>
      <c r="O77" s="482">
        <f>MONTH(A97)</f>
        <v>4</v>
      </c>
      <c r="P77" s="482"/>
      <c r="Q77" s="482"/>
      <c r="R77" s="482"/>
      <c r="S77" s="482"/>
      <c r="T77" s="482"/>
      <c r="U77" s="482"/>
      <c r="V77" s="482"/>
      <c r="W77" s="482"/>
    </row>
    <row r="78" spans="1:23" s="481" customFormat="1" ht="13.8">
      <c r="A78" s="480">
        <v>43187</v>
      </c>
      <c r="B78" s="480" t="s">
        <v>189</v>
      </c>
      <c r="C78" s="465" t="s">
        <v>574</v>
      </c>
      <c r="D78" s="464"/>
      <c r="E78" s="464"/>
      <c r="F78" s="464"/>
      <c r="G78" s="464"/>
      <c r="H78" s="491"/>
      <c r="I78" s="464">
        <v>11448</v>
      </c>
      <c r="J78" s="464"/>
      <c r="K78" s="464"/>
      <c r="L78" s="464"/>
      <c r="M78" s="464"/>
      <c r="O78" s="464"/>
      <c r="P78" s="464"/>
      <c r="Q78" s="464"/>
      <c r="R78" s="464"/>
      <c r="S78" s="464"/>
      <c r="T78" s="464"/>
      <c r="U78" s="464"/>
      <c r="V78" s="464"/>
      <c r="W78" s="464"/>
    </row>
    <row r="79" spans="1:23" s="481" customFormat="1" ht="13.8">
      <c r="A79" s="480">
        <v>43187</v>
      </c>
      <c r="B79" s="480" t="s">
        <v>189</v>
      </c>
      <c r="C79" s="465" t="s">
        <v>573</v>
      </c>
      <c r="D79" s="464"/>
      <c r="E79" s="464"/>
      <c r="F79" s="464"/>
      <c r="G79" s="464"/>
      <c r="H79" s="491"/>
      <c r="I79" s="464">
        <v>7829</v>
      </c>
      <c r="J79" s="464"/>
      <c r="K79" s="464"/>
      <c r="L79" s="464"/>
      <c r="M79" s="464"/>
      <c r="O79" s="464"/>
      <c r="P79" s="464"/>
      <c r="Q79" s="464"/>
      <c r="R79" s="464"/>
      <c r="S79" s="464"/>
      <c r="T79" s="464"/>
      <c r="U79" s="464"/>
      <c r="V79" s="464"/>
      <c r="W79" s="464"/>
    </row>
    <row r="80" spans="1:23" s="481" customFormat="1" ht="13.8">
      <c r="A80" s="480">
        <v>43187</v>
      </c>
      <c r="B80" s="480" t="s">
        <v>189</v>
      </c>
      <c r="C80" s="465" t="s">
        <v>573</v>
      </c>
      <c r="D80" s="464"/>
      <c r="E80" s="464"/>
      <c r="F80" s="464"/>
      <c r="G80" s="464"/>
      <c r="H80" s="491"/>
      <c r="I80" s="464">
        <v>205</v>
      </c>
      <c r="J80" s="464"/>
      <c r="K80" s="464"/>
      <c r="L80" s="464"/>
      <c r="M80" s="464"/>
      <c r="O80" s="464"/>
      <c r="P80" s="464"/>
      <c r="Q80" s="464"/>
      <c r="R80" s="464"/>
      <c r="S80" s="464"/>
      <c r="T80" s="464"/>
      <c r="U80" s="464"/>
      <c r="V80" s="464"/>
      <c r="W80" s="464"/>
    </row>
    <row r="81" spans="1:23" s="440" customFormat="1" ht="13.8">
      <c r="A81" s="480">
        <v>43193</v>
      </c>
      <c r="B81" s="480" t="s">
        <v>189</v>
      </c>
      <c r="C81" s="465" t="s">
        <v>31</v>
      </c>
      <c r="D81" s="464"/>
      <c r="E81" s="464"/>
      <c r="F81" s="464"/>
      <c r="G81" s="464"/>
      <c r="H81" s="491"/>
      <c r="I81" s="464">
        <v>1147</v>
      </c>
      <c r="J81" s="464"/>
      <c r="K81" s="464"/>
      <c r="L81" s="464"/>
      <c r="M81" s="464"/>
      <c r="O81" s="464"/>
      <c r="P81" s="464"/>
      <c r="Q81" s="464"/>
      <c r="R81" s="464"/>
      <c r="S81" s="464"/>
      <c r="T81" s="464"/>
      <c r="U81" s="464"/>
      <c r="V81" s="464"/>
      <c r="W81" s="464"/>
    </row>
    <row r="82" spans="1:23" s="440" customFormat="1" ht="13.8">
      <c r="A82" s="480">
        <v>43193</v>
      </c>
      <c r="B82" s="480" t="s">
        <v>189</v>
      </c>
      <c r="C82" s="465" t="s">
        <v>30</v>
      </c>
      <c r="D82" s="464"/>
      <c r="E82" s="464"/>
      <c r="F82" s="464"/>
      <c r="G82" s="464"/>
      <c r="H82" s="491">
        <v>7474</v>
      </c>
      <c r="I82" s="464"/>
      <c r="J82" s="464"/>
      <c r="K82" s="464"/>
      <c r="L82" s="464"/>
      <c r="M82" s="464"/>
      <c r="O82" s="464"/>
      <c r="P82" s="464"/>
      <c r="Q82" s="464"/>
      <c r="R82" s="464"/>
      <c r="S82" s="464"/>
      <c r="T82" s="464"/>
      <c r="U82" s="464"/>
      <c r="V82" s="464"/>
      <c r="W82" s="464"/>
    </row>
    <row r="83" spans="1:23" s="440" customFormat="1" ht="13.8">
      <c r="A83" s="480">
        <v>43193</v>
      </c>
      <c r="B83" s="480" t="s">
        <v>572</v>
      </c>
      <c r="C83" s="465" t="s">
        <v>265</v>
      </c>
      <c r="D83" s="464"/>
      <c r="E83" s="464"/>
      <c r="F83" s="464"/>
      <c r="G83" s="464"/>
      <c r="H83" s="491">
        <v>602.4</v>
      </c>
      <c r="I83" s="464"/>
      <c r="J83" s="464">
        <v>12565.86</v>
      </c>
      <c r="K83" s="464">
        <v>12565.86</v>
      </c>
      <c r="L83" s="464"/>
      <c r="M83" s="464"/>
      <c r="O83" s="464"/>
      <c r="P83" s="464"/>
      <c r="Q83" s="464"/>
      <c r="R83" s="464"/>
      <c r="S83" s="464"/>
      <c r="T83" s="464"/>
      <c r="U83" s="464"/>
      <c r="V83" s="464"/>
      <c r="W83" s="464"/>
    </row>
    <row r="84" spans="1:23" s="440" customFormat="1" ht="13.8">
      <c r="A84" s="480">
        <v>43193</v>
      </c>
      <c r="B84" s="480" t="s">
        <v>572</v>
      </c>
      <c r="C84" s="465" t="s">
        <v>264</v>
      </c>
      <c r="D84" s="464"/>
      <c r="E84" s="464"/>
      <c r="F84" s="464"/>
      <c r="G84" s="464"/>
      <c r="H84" s="491">
        <v>523</v>
      </c>
      <c r="I84" s="464"/>
      <c r="J84" s="464">
        <v>11628.29</v>
      </c>
      <c r="K84" s="464">
        <v>11628.29</v>
      </c>
      <c r="L84" s="464"/>
      <c r="M84" s="464"/>
      <c r="O84" s="464"/>
      <c r="P84" s="464"/>
      <c r="Q84" s="464"/>
      <c r="R84" s="464"/>
      <c r="S84" s="464"/>
      <c r="T84" s="464"/>
      <c r="U84" s="464"/>
      <c r="V84" s="464"/>
      <c r="W84" s="464"/>
    </row>
    <row r="85" spans="1:23" s="440" customFormat="1" ht="13.8">
      <c r="A85" s="480">
        <v>43193</v>
      </c>
      <c r="B85" s="480" t="s">
        <v>572</v>
      </c>
      <c r="C85" s="465" t="s">
        <v>182</v>
      </c>
      <c r="D85" s="464"/>
      <c r="E85" s="464"/>
      <c r="F85" s="464"/>
      <c r="G85" s="464"/>
      <c r="H85" s="491">
        <v>279</v>
      </c>
      <c r="I85" s="464"/>
      <c r="J85" s="464">
        <v>7700.49</v>
      </c>
      <c r="K85" s="464">
        <v>7700.49</v>
      </c>
      <c r="L85" s="464"/>
      <c r="M85" s="464"/>
      <c r="O85" s="464"/>
      <c r="P85" s="464"/>
      <c r="Q85" s="464"/>
      <c r="R85" s="464"/>
      <c r="S85" s="464"/>
      <c r="T85" s="464"/>
      <c r="U85" s="464"/>
      <c r="V85" s="464"/>
      <c r="W85" s="464"/>
    </row>
    <row r="86" spans="1:23" s="440" customFormat="1" ht="13.8">
      <c r="A86" s="480">
        <v>43193</v>
      </c>
      <c r="B86" s="480" t="s">
        <v>572</v>
      </c>
      <c r="C86" s="465" t="s">
        <v>472</v>
      </c>
      <c r="D86" s="464"/>
      <c r="E86" s="464"/>
      <c r="F86" s="464"/>
      <c r="G86" s="464"/>
      <c r="H86" s="491">
        <v>240</v>
      </c>
      <c r="I86" s="464"/>
      <c r="J86" s="464"/>
      <c r="K86" s="464"/>
      <c r="L86" s="464"/>
      <c r="M86" s="464"/>
      <c r="O86" s="464"/>
      <c r="P86" s="464"/>
      <c r="Q86" s="464"/>
      <c r="R86" s="464"/>
      <c r="S86" s="464"/>
      <c r="T86" s="464"/>
      <c r="U86" s="464"/>
      <c r="V86" s="464"/>
      <c r="W86" s="464"/>
    </row>
    <row r="87" spans="1:23" s="440" customFormat="1" ht="13.8">
      <c r="A87" s="480">
        <v>43193</v>
      </c>
      <c r="B87" s="480" t="s">
        <v>572</v>
      </c>
      <c r="C87" s="465" t="s">
        <v>472</v>
      </c>
      <c r="D87" s="464"/>
      <c r="E87" s="464"/>
      <c r="F87" s="464"/>
      <c r="G87" s="464"/>
      <c r="H87" s="491">
        <v>210</v>
      </c>
      <c r="I87" s="464"/>
      <c r="J87" s="464"/>
      <c r="K87" s="464"/>
      <c r="L87" s="464"/>
      <c r="M87" s="464"/>
      <c r="O87" s="464"/>
      <c r="P87" s="464"/>
      <c r="Q87" s="464"/>
      <c r="R87" s="464"/>
      <c r="S87" s="464"/>
      <c r="T87" s="464"/>
      <c r="U87" s="464"/>
      <c r="V87" s="464"/>
      <c r="W87" s="464"/>
    </row>
    <row r="88" spans="1:23" s="440" customFormat="1" ht="13.8">
      <c r="A88" s="480">
        <v>43193</v>
      </c>
      <c r="B88" s="480" t="s">
        <v>572</v>
      </c>
      <c r="C88" s="465" t="s">
        <v>183</v>
      </c>
      <c r="D88" s="464"/>
      <c r="E88" s="464"/>
      <c r="F88" s="464"/>
      <c r="G88" s="464"/>
      <c r="H88" s="491">
        <v>448.75</v>
      </c>
      <c r="I88" s="464"/>
      <c r="J88" s="464"/>
      <c r="K88" s="464"/>
      <c r="L88" s="464"/>
      <c r="M88" s="464"/>
      <c r="O88" s="464"/>
      <c r="P88" s="464"/>
      <c r="Q88" s="464"/>
      <c r="R88" s="464"/>
      <c r="S88" s="464"/>
      <c r="T88" s="464"/>
      <c r="U88" s="464"/>
      <c r="V88" s="464"/>
      <c r="W88" s="464"/>
    </row>
    <row r="89" spans="1:23" s="440" customFormat="1" ht="13.8">
      <c r="A89" s="480">
        <v>43193</v>
      </c>
      <c r="B89" s="480" t="s">
        <v>572</v>
      </c>
      <c r="C89" s="465" t="s">
        <v>214</v>
      </c>
      <c r="D89" s="464"/>
      <c r="E89" s="464"/>
      <c r="F89" s="464"/>
      <c r="G89" s="464"/>
      <c r="H89" s="491">
        <v>180</v>
      </c>
      <c r="I89" s="464"/>
      <c r="J89" s="464"/>
      <c r="K89" s="464"/>
      <c r="L89" s="464"/>
      <c r="M89" s="464"/>
      <c r="O89" s="464"/>
      <c r="P89" s="464"/>
      <c r="Q89" s="464"/>
      <c r="R89" s="464"/>
      <c r="S89" s="464"/>
      <c r="T89" s="464"/>
      <c r="U89" s="464"/>
      <c r="V89" s="464"/>
      <c r="W89" s="464"/>
    </row>
    <row r="90" spans="1:23" s="440" customFormat="1" ht="13.8">
      <c r="A90" s="480">
        <v>43193</v>
      </c>
      <c r="B90" s="480" t="s">
        <v>572</v>
      </c>
      <c r="C90" s="465" t="s">
        <v>306</v>
      </c>
      <c r="D90" s="464"/>
      <c r="E90" s="481"/>
      <c r="F90" s="464"/>
      <c r="G90" s="479"/>
      <c r="H90" s="464">
        <v>2525.9499999999998</v>
      </c>
      <c r="J90" s="487">
        <v>720.65</v>
      </c>
      <c r="K90" s="489">
        <v>1799.8</v>
      </c>
      <c r="L90" s="464"/>
      <c r="M90" s="464"/>
      <c r="O90" s="464"/>
      <c r="P90" s="464"/>
      <c r="Q90" s="464"/>
      <c r="R90" s="464"/>
      <c r="S90" s="464"/>
      <c r="T90" s="464"/>
      <c r="U90" s="464"/>
      <c r="V90" s="464"/>
      <c r="W90" s="464"/>
    </row>
    <row r="91" spans="1:23" s="440" customFormat="1" ht="13.8">
      <c r="A91" s="480">
        <v>43193</v>
      </c>
      <c r="B91" s="480" t="s">
        <v>572</v>
      </c>
      <c r="C91" s="465" t="s">
        <v>481</v>
      </c>
      <c r="D91" s="464"/>
      <c r="E91" s="464"/>
      <c r="F91" s="464"/>
      <c r="G91" s="464"/>
      <c r="H91" s="491">
        <v>210.22</v>
      </c>
      <c r="I91" s="464"/>
      <c r="J91" s="464"/>
      <c r="K91" s="464"/>
      <c r="L91" s="464"/>
      <c r="M91" s="464"/>
      <c r="O91" s="464"/>
      <c r="P91" s="464"/>
      <c r="Q91" s="464"/>
      <c r="R91" s="464"/>
      <c r="S91" s="464"/>
      <c r="T91" s="464"/>
      <c r="U91" s="464"/>
      <c r="V91" s="464"/>
      <c r="W91" s="464"/>
    </row>
    <row r="92" spans="1:23" s="440" customFormat="1" ht="13.8">
      <c r="A92" s="480">
        <v>43193</v>
      </c>
      <c r="B92" s="480" t="s">
        <v>589</v>
      </c>
      <c r="C92" s="465" t="s">
        <v>481</v>
      </c>
      <c r="D92" s="464"/>
      <c r="E92" s="464"/>
      <c r="F92" s="464"/>
      <c r="G92" s="464"/>
      <c r="H92" s="491">
        <v>94</v>
      </c>
      <c r="I92" s="464"/>
      <c r="J92" s="464"/>
      <c r="K92" s="464"/>
      <c r="L92" s="464"/>
      <c r="M92" s="464"/>
      <c r="O92" s="464"/>
      <c r="P92" s="464"/>
      <c r="Q92" s="464"/>
      <c r="R92" s="464"/>
      <c r="S92" s="464"/>
      <c r="T92" s="464"/>
      <c r="U92" s="464"/>
      <c r="V92" s="464"/>
      <c r="W92" s="464"/>
    </row>
    <row r="93" spans="1:23" s="440" customFormat="1" ht="13.8">
      <c r="A93" s="480">
        <v>43195</v>
      </c>
      <c r="B93" s="480" t="s">
        <v>572</v>
      </c>
      <c r="C93" s="465" t="s">
        <v>20</v>
      </c>
      <c r="D93" s="464"/>
      <c r="E93" s="464"/>
      <c r="F93" s="464"/>
      <c r="G93" s="479"/>
      <c r="H93" s="464">
        <v>173.67</v>
      </c>
      <c r="I93" s="464"/>
      <c r="J93" s="464"/>
      <c r="K93" s="464"/>
      <c r="L93" s="464"/>
      <c r="M93" s="464"/>
      <c r="O93" s="464"/>
      <c r="P93" s="464"/>
      <c r="Q93" s="464"/>
      <c r="R93" s="464"/>
      <c r="S93" s="464"/>
      <c r="T93" s="464"/>
      <c r="U93" s="464"/>
      <c r="V93" s="464"/>
      <c r="W93" s="464"/>
    </row>
    <row r="94" spans="1:23" s="440" customFormat="1" ht="13.8">
      <c r="A94" s="480">
        <v>43220</v>
      </c>
      <c r="B94" s="480"/>
      <c r="C94" s="465" t="s">
        <v>15</v>
      </c>
      <c r="D94" s="466"/>
      <c r="E94" s="464"/>
      <c r="F94" s="464"/>
      <c r="G94" s="479"/>
      <c r="H94" s="466">
        <f>hush18!F3</f>
        <v>3547.349999999999</v>
      </c>
      <c r="I94" s="464"/>
      <c r="J94" s="464"/>
      <c r="K94" s="464"/>
      <c r="L94" s="464"/>
      <c r="M94" s="464"/>
      <c r="O94" s="464"/>
      <c r="P94" s="464"/>
      <c r="Q94" s="464"/>
      <c r="R94" s="464"/>
      <c r="S94" s="464"/>
      <c r="T94" s="464"/>
      <c r="U94" s="464"/>
      <c r="V94" s="464"/>
      <c r="W94" s="464"/>
    </row>
    <row r="95" spans="1:23" s="440" customFormat="1" ht="13.8">
      <c r="A95" s="480">
        <v>43220</v>
      </c>
      <c r="B95" s="480"/>
      <c r="C95" s="465" t="s">
        <v>384</v>
      </c>
      <c r="D95" s="466"/>
      <c r="E95" s="464"/>
      <c r="F95" s="464"/>
      <c r="G95" s="479"/>
      <c r="H95" s="466">
        <f>hush18!F4</f>
        <v>412.5</v>
      </c>
      <c r="I95" s="464"/>
      <c r="J95" s="464"/>
      <c r="K95" s="464"/>
      <c r="L95" s="464"/>
      <c r="M95" s="464"/>
      <c r="O95" s="464"/>
      <c r="P95" s="464"/>
      <c r="Q95" s="464"/>
      <c r="R95" s="464"/>
      <c r="S95" s="464"/>
      <c r="T95" s="464"/>
      <c r="U95" s="464"/>
      <c r="V95" s="464"/>
      <c r="W95" s="464"/>
    </row>
    <row r="96" spans="1:23" s="440" customFormat="1" ht="13.8">
      <c r="A96" s="480">
        <v>43220</v>
      </c>
      <c r="B96" s="480"/>
      <c r="C96" s="465" t="s">
        <v>14</v>
      </c>
      <c r="D96" s="466"/>
      <c r="E96" s="464"/>
      <c r="F96" s="464"/>
      <c r="G96" s="479"/>
      <c r="H96" s="466">
        <f>hush18!F5</f>
        <v>544</v>
      </c>
      <c r="I96" s="478"/>
      <c r="J96" s="478"/>
      <c r="K96" s="478"/>
      <c r="L96" s="464"/>
      <c r="M96" s="464"/>
      <c r="O96" s="478"/>
      <c r="P96" s="478"/>
      <c r="Q96" s="478"/>
      <c r="R96" s="478"/>
      <c r="S96" s="478"/>
      <c r="T96" s="478"/>
      <c r="U96" s="478"/>
      <c r="V96" s="478"/>
      <c r="W96" s="478"/>
    </row>
    <row r="97" spans="1:23" s="440" customFormat="1" ht="13.8">
      <c r="A97" s="480">
        <v>43220</v>
      </c>
      <c r="B97" s="477"/>
      <c r="C97" s="462" t="s">
        <v>37</v>
      </c>
      <c r="D97" s="466"/>
      <c r="E97" s="461"/>
      <c r="F97" s="461"/>
      <c r="G97" s="476"/>
      <c r="H97" s="475" t="e">
        <f>'div18'!G2</f>
        <v>#REF!</v>
      </c>
      <c r="I97" s="461"/>
      <c r="J97" s="461"/>
      <c r="K97" s="461"/>
      <c r="L97" s="461"/>
      <c r="M97" s="461"/>
      <c r="O97" s="461"/>
      <c r="P97" s="461"/>
      <c r="Q97" s="461"/>
      <c r="R97" s="461"/>
      <c r="S97" s="461"/>
      <c r="T97" s="461"/>
      <c r="U97" s="461"/>
      <c r="V97" s="461"/>
      <c r="W97" s="461"/>
    </row>
    <row r="98" spans="1:23" s="447" customFormat="1" ht="13.8">
      <c r="A98" s="486" t="s">
        <v>588</v>
      </c>
      <c r="B98" s="486"/>
      <c r="C98" s="485"/>
      <c r="D98" s="483">
        <f>SUM(D99:D117)</f>
        <v>0</v>
      </c>
      <c r="E98" s="483">
        <f>SUM(E99:E117)</f>
        <v>0</v>
      </c>
      <c r="F98" s="483"/>
      <c r="G98" s="484"/>
      <c r="H98" s="483">
        <f>SUM(H99:H117)</f>
        <v>21161.49</v>
      </c>
      <c r="I98" s="483">
        <f>SUM(I99:I117)</f>
        <v>20629</v>
      </c>
      <c r="J98" s="483"/>
      <c r="K98" s="483"/>
      <c r="L98" s="483"/>
      <c r="M98" s="483"/>
      <c r="O98" s="482">
        <f>MONTH(A117)</f>
        <v>5</v>
      </c>
      <c r="P98" s="482"/>
      <c r="Q98" s="482"/>
      <c r="R98" s="482"/>
      <c r="S98" s="482"/>
      <c r="T98" s="482"/>
      <c r="U98" s="482"/>
      <c r="V98" s="482"/>
      <c r="W98" s="482"/>
    </row>
    <row r="99" spans="1:23" s="440" customFormat="1" ht="13.8">
      <c r="A99" s="480">
        <v>43220</v>
      </c>
      <c r="B99" s="480" t="s">
        <v>189</v>
      </c>
      <c r="C99" s="465" t="s">
        <v>574</v>
      </c>
      <c r="D99" s="467"/>
      <c r="E99" s="464"/>
      <c r="F99" s="464"/>
      <c r="G99" s="479"/>
      <c r="H99" s="464"/>
      <c r="I99" s="464">
        <v>11448</v>
      </c>
      <c r="J99" s="464"/>
      <c r="K99" s="464"/>
      <c r="L99" s="464"/>
      <c r="M99" s="464"/>
      <c r="O99" s="464"/>
      <c r="P99" s="464"/>
      <c r="Q99" s="464"/>
      <c r="R99" s="464"/>
      <c r="S99" s="464"/>
      <c r="T99" s="464"/>
      <c r="U99" s="464"/>
      <c r="V99" s="464"/>
      <c r="W99" s="464"/>
    </row>
    <row r="100" spans="1:23" s="440" customFormat="1" ht="13.8">
      <c r="A100" s="480">
        <v>43220</v>
      </c>
      <c r="B100" s="480" t="s">
        <v>189</v>
      </c>
      <c r="C100" s="465" t="s">
        <v>573</v>
      </c>
      <c r="D100" s="467"/>
      <c r="E100" s="464"/>
      <c r="F100" s="464"/>
      <c r="G100" s="479"/>
      <c r="H100" s="464"/>
      <c r="I100" s="464">
        <v>7829</v>
      </c>
      <c r="J100" s="464"/>
      <c r="K100" s="464"/>
      <c r="L100" s="464"/>
      <c r="M100" s="464"/>
      <c r="O100" s="464"/>
      <c r="P100" s="464"/>
      <c r="Q100" s="464"/>
      <c r="R100" s="464"/>
      <c r="S100" s="464"/>
      <c r="T100" s="464"/>
      <c r="U100" s="464"/>
      <c r="V100" s="464"/>
      <c r="W100" s="464"/>
    </row>
    <row r="101" spans="1:23" s="440" customFormat="1" ht="13.8">
      <c r="A101" s="480">
        <v>43220</v>
      </c>
      <c r="B101" s="480" t="s">
        <v>189</v>
      </c>
      <c r="C101" s="465" t="s">
        <v>573</v>
      </c>
      <c r="D101" s="467"/>
      <c r="E101" s="464"/>
      <c r="F101" s="464"/>
      <c r="G101" s="479"/>
      <c r="H101" s="464"/>
      <c r="I101" s="464">
        <v>205</v>
      </c>
      <c r="J101" s="464"/>
      <c r="K101" s="464"/>
      <c r="L101" s="464"/>
      <c r="M101" s="464"/>
      <c r="O101" s="464"/>
      <c r="P101" s="464"/>
      <c r="Q101" s="464"/>
      <c r="R101" s="464"/>
      <c r="S101" s="464"/>
      <c r="T101" s="464"/>
      <c r="U101" s="464"/>
      <c r="V101" s="464"/>
      <c r="W101" s="464"/>
    </row>
    <row r="102" spans="1:23" s="440" customFormat="1" ht="13.8">
      <c r="A102" s="480">
        <v>43221</v>
      </c>
      <c r="B102" s="480" t="s">
        <v>189</v>
      </c>
      <c r="C102" s="465" t="s">
        <v>31</v>
      </c>
      <c r="D102" s="467"/>
      <c r="E102" s="464"/>
      <c r="F102" s="464"/>
      <c r="G102" s="479"/>
      <c r="H102" s="464"/>
      <c r="I102" s="464">
        <v>1147</v>
      </c>
      <c r="J102" s="464"/>
      <c r="K102" s="464"/>
      <c r="L102" s="464"/>
      <c r="M102" s="464"/>
      <c r="O102" s="464"/>
      <c r="P102" s="464"/>
      <c r="Q102" s="464"/>
      <c r="R102" s="464"/>
      <c r="S102" s="464"/>
      <c r="T102" s="464"/>
      <c r="U102" s="464"/>
      <c r="V102" s="464"/>
      <c r="W102" s="464"/>
    </row>
    <row r="103" spans="1:23" s="440" customFormat="1" ht="13.8">
      <c r="A103" s="480">
        <v>43221</v>
      </c>
      <c r="B103" s="480" t="s">
        <v>189</v>
      </c>
      <c r="C103" s="465" t="s">
        <v>30</v>
      </c>
      <c r="D103" s="464"/>
      <c r="E103" s="464"/>
      <c r="F103" s="464"/>
      <c r="G103" s="479"/>
      <c r="H103" s="464">
        <v>7474</v>
      </c>
      <c r="I103" s="464"/>
      <c r="J103" s="464"/>
      <c r="K103" s="464"/>
      <c r="L103" s="464"/>
      <c r="M103" s="464"/>
      <c r="O103" s="464"/>
      <c r="P103" s="464"/>
      <c r="Q103" s="464"/>
      <c r="R103" s="464"/>
      <c r="S103" s="464"/>
      <c r="T103" s="464"/>
      <c r="U103" s="464"/>
      <c r="V103" s="464"/>
      <c r="W103" s="464"/>
    </row>
    <row r="104" spans="1:23" s="440" customFormat="1" ht="13.8">
      <c r="A104" s="480">
        <v>43221</v>
      </c>
      <c r="B104" s="480" t="s">
        <v>572</v>
      </c>
      <c r="C104" s="465" t="s">
        <v>265</v>
      </c>
      <c r="D104" s="464"/>
      <c r="E104" s="464"/>
      <c r="F104" s="464"/>
      <c r="G104" s="479"/>
      <c r="H104" s="464">
        <v>602.4</v>
      </c>
      <c r="I104" s="464"/>
      <c r="J104" s="464"/>
      <c r="K104" s="464"/>
      <c r="L104" s="464"/>
      <c r="M104" s="464"/>
      <c r="O104" s="464"/>
      <c r="P104" s="464"/>
      <c r="Q104" s="464"/>
      <c r="R104" s="464"/>
      <c r="S104" s="464"/>
      <c r="T104" s="464"/>
      <c r="U104" s="464"/>
      <c r="V104" s="464"/>
      <c r="W104" s="464"/>
    </row>
    <row r="105" spans="1:23" s="440" customFormat="1" ht="13.8">
      <c r="A105" s="480">
        <v>43221</v>
      </c>
      <c r="B105" s="480" t="s">
        <v>572</v>
      </c>
      <c r="C105" s="465" t="s">
        <v>264</v>
      </c>
      <c r="D105" s="464"/>
      <c r="E105" s="464"/>
      <c r="F105" s="464"/>
      <c r="G105" s="479"/>
      <c r="H105" s="464">
        <v>523</v>
      </c>
      <c r="I105" s="464"/>
      <c r="J105" s="464"/>
      <c r="K105" s="464"/>
      <c r="L105" s="464"/>
      <c r="M105" s="464"/>
      <c r="O105" s="464"/>
      <c r="P105" s="464"/>
      <c r="Q105" s="464"/>
      <c r="R105" s="464"/>
      <c r="S105" s="464"/>
      <c r="T105" s="464"/>
      <c r="U105" s="464"/>
      <c r="V105" s="464"/>
      <c r="W105" s="464"/>
    </row>
    <row r="106" spans="1:23" s="440" customFormat="1" ht="13.8">
      <c r="A106" s="480">
        <v>43221</v>
      </c>
      <c r="B106" s="480" t="s">
        <v>572</v>
      </c>
      <c r="C106" s="465" t="s">
        <v>182</v>
      </c>
      <c r="D106" s="464"/>
      <c r="E106" s="464"/>
      <c r="F106" s="464"/>
      <c r="G106" s="479"/>
      <c r="H106" s="464">
        <v>279</v>
      </c>
      <c r="I106" s="464"/>
      <c r="J106" s="464"/>
      <c r="K106" s="464"/>
      <c r="L106" s="464"/>
      <c r="M106" s="464"/>
      <c r="O106" s="464"/>
      <c r="P106" s="464"/>
      <c r="Q106" s="464"/>
      <c r="R106" s="464"/>
      <c r="S106" s="464"/>
      <c r="T106" s="464"/>
      <c r="U106" s="464"/>
      <c r="V106" s="464"/>
      <c r="W106" s="464"/>
    </row>
    <row r="107" spans="1:23" s="440" customFormat="1" ht="13.8">
      <c r="A107" s="480">
        <v>43221</v>
      </c>
      <c r="B107" s="480" t="s">
        <v>572</v>
      </c>
      <c r="C107" s="465" t="s">
        <v>472</v>
      </c>
      <c r="D107" s="464"/>
      <c r="E107" s="464"/>
      <c r="F107" s="464"/>
      <c r="G107" s="479"/>
      <c r="H107" s="464">
        <v>450</v>
      </c>
      <c r="I107" s="464"/>
      <c r="J107" s="464"/>
      <c r="K107" s="464"/>
      <c r="L107" s="464"/>
      <c r="M107" s="464"/>
      <c r="O107" s="464"/>
      <c r="P107" s="464"/>
      <c r="Q107" s="464"/>
      <c r="R107" s="464"/>
      <c r="S107" s="464"/>
      <c r="T107" s="464"/>
      <c r="U107" s="464"/>
      <c r="V107" s="464"/>
      <c r="W107" s="464"/>
    </row>
    <row r="108" spans="1:23" s="440" customFormat="1" ht="13.8">
      <c r="A108" s="480">
        <v>43221</v>
      </c>
      <c r="B108" s="480" t="s">
        <v>572</v>
      </c>
      <c r="C108" s="465" t="s">
        <v>183</v>
      </c>
      <c r="D108" s="464"/>
      <c r="E108" s="464"/>
      <c r="F108" s="464"/>
      <c r="G108" s="479"/>
      <c r="H108" s="464">
        <v>448.75</v>
      </c>
      <c r="I108" s="464"/>
      <c r="J108" s="464"/>
      <c r="K108" s="464"/>
      <c r="L108" s="464"/>
      <c r="M108" s="464"/>
      <c r="O108" s="464"/>
      <c r="P108" s="464"/>
      <c r="Q108" s="464"/>
      <c r="R108" s="464"/>
      <c r="S108" s="464"/>
      <c r="T108" s="464"/>
      <c r="U108" s="464"/>
      <c r="V108" s="464"/>
      <c r="W108" s="464"/>
    </row>
    <row r="109" spans="1:23" s="440" customFormat="1" ht="13.8">
      <c r="A109" s="480">
        <v>43221</v>
      </c>
      <c r="B109" s="480" t="s">
        <v>572</v>
      </c>
      <c r="C109" s="465" t="s">
        <v>214</v>
      </c>
      <c r="D109" s="464"/>
      <c r="E109" s="464"/>
      <c r="F109" s="464"/>
      <c r="G109" s="479"/>
      <c r="H109" s="464">
        <v>225</v>
      </c>
      <c r="I109" s="464"/>
      <c r="J109" s="464"/>
      <c r="K109" s="464"/>
      <c r="L109" s="464"/>
      <c r="M109" s="464"/>
      <c r="O109" s="464"/>
      <c r="P109" s="464"/>
      <c r="Q109" s="464"/>
      <c r="R109" s="464"/>
      <c r="S109" s="464"/>
      <c r="T109" s="464"/>
      <c r="U109" s="464"/>
      <c r="V109" s="464"/>
      <c r="W109" s="464"/>
    </row>
    <row r="110" spans="1:23" s="440" customFormat="1" ht="13.8">
      <c r="A110" s="480">
        <v>43221</v>
      </c>
      <c r="B110" s="480" t="s">
        <v>572</v>
      </c>
      <c r="C110" s="465" t="s">
        <v>125</v>
      </c>
      <c r="D110" s="464"/>
      <c r="E110" s="464"/>
      <c r="F110" s="464"/>
      <c r="G110" s="479"/>
      <c r="H110" s="464">
        <v>43</v>
      </c>
      <c r="I110" s="464"/>
      <c r="J110" s="464"/>
      <c r="K110" s="464"/>
      <c r="L110" s="464"/>
      <c r="M110" s="464"/>
      <c r="O110" s="464"/>
      <c r="P110" s="464"/>
      <c r="Q110" s="464"/>
      <c r="R110" s="464"/>
      <c r="S110" s="464"/>
      <c r="T110" s="464"/>
      <c r="U110" s="464"/>
      <c r="V110" s="464"/>
      <c r="W110" s="464"/>
    </row>
    <row r="111" spans="1:23" s="440" customFormat="1" ht="13.8">
      <c r="A111" s="480">
        <v>43221</v>
      </c>
      <c r="B111" s="480" t="s">
        <v>572</v>
      </c>
      <c r="C111" s="465" t="s">
        <v>306</v>
      </c>
      <c r="D111" s="464"/>
      <c r="F111" s="464"/>
      <c r="G111" s="479"/>
      <c r="H111" s="464">
        <v>2333.0500000000002</v>
      </c>
      <c r="J111" s="487">
        <v>527.02</v>
      </c>
      <c r="K111" s="489">
        <v>1800.53</v>
      </c>
      <c r="L111" s="464"/>
      <c r="M111" s="464"/>
      <c r="O111" s="464"/>
      <c r="P111" s="464"/>
      <c r="Q111" s="464"/>
      <c r="R111" s="464"/>
      <c r="S111" s="464"/>
      <c r="T111" s="464"/>
      <c r="U111" s="464"/>
      <c r="V111" s="464"/>
      <c r="W111" s="464"/>
    </row>
    <row r="112" spans="1:23" s="440" customFormat="1" ht="13.8">
      <c r="A112" s="480">
        <v>43221</v>
      </c>
      <c r="B112" s="480" t="s">
        <v>572</v>
      </c>
      <c r="C112" s="465" t="s">
        <v>481</v>
      </c>
      <c r="D112" s="467"/>
      <c r="E112" s="464"/>
      <c r="F112" s="464"/>
      <c r="G112" s="479"/>
      <c r="H112" s="464">
        <v>94</v>
      </c>
      <c r="I112" s="464"/>
      <c r="J112" s="464"/>
      <c r="K112" s="464"/>
      <c r="L112" s="464"/>
      <c r="M112" s="464"/>
      <c r="O112" s="464"/>
      <c r="P112" s="464"/>
      <c r="Q112" s="464"/>
      <c r="R112" s="464"/>
      <c r="S112" s="464"/>
      <c r="T112" s="464"/>
      <c r="U112" s="464"/>
      <c r="V112" s="464"/>
      <c r="W112" s="464"/>
    </row>
    <row r="113" spans="1:23" s="440" customFormat="1" ht="13.8">
      <c r="A113" s="480">
        <v>43227</v>
      </c>
      <c r="B113" s="480" t="s">
        <v>572</v>
      </c>
      <c r="C113" s="465" t="s">
        <v>20</v>
      </c>
      <c r="D113" s="467"/>
      <c r="E113" s="464"/>
      <c r="F113" s="464"/>
      <c r="G113" s="479"/>
      <c r="H113" s="464">
        <v>179.46</v>
      </c>
      <c r="I113" s="464"/>
      <c r="J113" s="464"/>
      <c r="K113" s="464"/>
      <c r="L113" s="464"/>
      <c r="M113" s="464"/>
      <c r="O113" s="464"/>
      <c r="P113" s="464"/>
      <c r="Q113" s="464"/>
      <c r="R113" s="464"/>
      <c r="S113" s="464"/>
      <c r="T113" s="464"/>
      <c r="U113" s="464"/>
      <c r="V113" s="464"/>
      <c r="W113" s="464"/>
    </row>
    <row r="114" spans="1:23" s="440" customFormat="1" ht="13.8">
      <c r="A114" s="480">
        <v>43251</v>
      </c>
      <c r="B114" s="480"/>
      <c r="C114" s="465" t="s">
        <v>15</v>
      </c>
      <c r="D114" s="466"/>
      <c r="E114" s="464"/>
      <c r="F114" s="464"/>
      <c r="G114" s="479"/>
      <c r="H114" s="466">
        <f>hush18!G3</f>
        <v>2408.13</v>
      </c>
      <c r="I114" s="464"/>
      <c r="J114" s="464"/>
      <c r="K114" s="464"/>
      <c r="L114" s="464"/>
      <c r="M114" s="464"/>
      <c r="O114" s="464"/>
      <c r="P114" s="464"/>
      <c r="Q114" s="464"/>
      <c r="R114" s="464"/>
      <c r="S114" s="464"/>
      <c r="T114" s="464"/>
      <c r="U114" s="464"/>
      <c r="V114" s="464"/>
      <c r="W114" s="464"/>
    </row>
    <row r="115" spans="1:23" s="440" customFormat="1" ht="13.8">
      <c r="A115" s="480">
        <v>43251</v>
      </c>
      <c r="B115" s="480"/>
      <c r="C115" s="465" t="s">
        <v>384</v>
      </c>
      <c r="D115" s="466"/>
      <c r="E115" s="464"/>
      <c r="F115" s="464"/>
      <c r="G115" s="479"/>
      <c r="H115" s="466">
        <f>hush18!G4</f>
        <v>0</v>
      </c>
      <c r="I115" s="464"/>
      <c r="J115" s="464"/>
      <c r="K115" s="464"/>
      <c r="L115" s="464"/>
      <c r="M115" s="464"/>
      <c r="O115" s="464"/>
      <c r="P115" s="464"/>
      <c r="Q115" s="464"/>
      <c r="R115" s="464"/>
      <c r="S115" s="464"/>
      <c r="T115" s="464"/>
      <c r="U115" s="464"/>
      <c r="V115" s="464"/>
      <c r="W115" s="464"/>
    </row>
    <row r="116" spans="1:23" s="440" customFormat="1" ht="13.8">
      <c r="A116" s="480">
        <v>43251</v>
      </c>
      <c r="B116" s="480"/>
      <c r="C116" s="465" t="s">
        <v>14</v>
      </c>
      <c r="D116" s="466"/>
      <c r="E116" s="464"/>
      <c r="F116" s="464"/>
      <c r="G116" s="479"/>
      <c r="H116" s="466">
        <f>hush18!G5</f>
        <v>234</v>
      </c>
      <c r="I116" s="478"/>
      <c r="J116" s="478"/>
      <c r="K116" s="478"/>
      <c r="L116" s="464"/>
      <c r="M116" s="464"/>
      <c r="O116" s="478"/>
      <c r="P116" s="478"/>
      <c r="Q116" s="478"/>
      <c r="R116" s="478"/>
      <c r="S116" s="478"/>
      <c r="T116" s="478"/>
      <c r="U116" s="478"/>
      <c r="V116" s="478"/>
      <c r="W116" s="478"/>
    </row>
    <row r="117" spans="1:23" s="440" customFormat="1" ht="13.8">
      <c r="A117" s="480">
        <v>43251</v>
      </c>
      <c r="B117" s="477"/>
      <c r="C117" s="462" t="s">
        <v>37</v>
      </c>
      <c r="D117" s="466"/>
      <c r="E117" s="461"/>
      <c r="F117" s="461"/>
      <c r="G117" s="476"/>
      <c r="H117" s="475">
        <f>'div18'!H2</f>
        <v>5867.7</v>
      </c>
      <c r="I117" s="461"/>
      <c r="J117" s="461"/>
      <c r="K117" s="461"/>
      <c r="L117" s="461"/>
      <c r="M117" s="461"/>
      <c r="O117" s="461"/>
      <c r="P117" s="461"/>
      <c r="Q117" s="461"/>
      <c r="R117" s="461"/>
      <c r="S117" s="461"/>
      <c r="T117" s="461"/>
      <c r="U117" s="461"/>
      <c r="V117" s="461"/>
      <c r="W117" s="461"/>
    </row>
    <row r="118" spans="1:23" s="447" customFormat="1" ht="13.8">
      <c r="A118" s="486" t="s">
        <v>587</v>
      </c>
      <c r="B118" s="486"/>
      <c r="C118" s="485"/>
      <c r="D118" s="483">
        <f>SUM(D119:D136)</f>
        <v>0</v>
      </c>
      <c r="E118" s="483">
        <f>SUM(E119:E136)</f>
        <v>0</v>
      </c>
      <c r="F118" s="483"/>
      <c r="G118" s="484"/>
      <c r="H118" s="483">
        <f>SUM(H119:H136)</f>
        <v>22582.75</v>
      </c>
      <c r="I118" s="483">
        <f>SUM(I119:I136)</f>
        <v>20629</v>
      </c>
      <c r="J118" s="483"/>
      <c r="K118" s="483"/>
      <c r="L118" s="483"/>
      <c r="M118" s="483"/>
      <c r="O118" s="482" t="e">
        <f>MONTH(#REF!)</f>
        <v>#REF!</v>
      </c>
      <c r="P118" s="482"/>
      <c r="Q118" s="482"/>
      <c r="R118" s="482"/>
      <c r="S118" s="482"/>
      <c r="T118" s="482"/>
      <c r="U118" s="482"/>
      <c r="V118" s="482"/>
      <c r="W118" s="482"/>
    </row>
    <row r="119" spans="1:23" s="440" customFormat="1" ht="13.8">
      <c r="A119" s="480">
        <v>43251</v>
      </c>
      <c r="B119" s="480" t="s">
        <v>189</v>
      </c>
      <c r="C119" s="465" t="s">
        <v>574</v>
      </c>
      <c r="D119" s="464"/>
      <c r="E119" s="464"/>
      <c r="F119" s="464"/>
      <c r="G119" s="479"/>
      <c r="H119" s="464"/>
      <c r="I119" s="464">
        <v>11448</v>
      </c>
      <c r="J119" s="464"/>
      <c r="K119" s="464"/>
      <c r="L119" s="464"/>
      <c r="M119" s="464"/>
      <c r="O119" s="464"/>
      <c r="P119" s="464"/>
      <c r="Q119" s="464"/>
      <c r="R119" s="464"/>
      <c r="S119" s="464"/>
      <c r="T119" s="464"/>
      <c r="U119" s="464"/>
      <c r="V119" s="464"/>
      <c r="W119" s="464"/>
    </row>
    <row r="120" spans="1:23" s="440" customFormat="1" ht="13.8">
      <c r="A120" s="480">
        <v>43251</v>
      </c>
      <c r="B120" s="480" t="s">
        <v>189</v>
      </c>
      <c r="C120" s="465" t="s">
        <v>573</v>
      </c>
      <c r="D120" s="464"/>
      <c r="E120" s="464"/>
      <c r="F120" s="464"/>
      <c r="G120" s="479"/>
      <c r="H120" s="464"/>
      <c r="I120" s="464">
        <v>7829</v>
      </c>
      <c r="J120" s="464"/>
      <c r="K120" s="464"/>
      <c r="L120" s="464"/>
      <c r="M120" s="464"/>
      <c r="O120" s="464"/>
      <c r="P120" s="464"/>
      <c r="Q120" s="464"/>
      <c r="R120" s="464"/>
      <c r="S120" s="464"/>
      <c r="T120" s="464"/>
      <c r="U120" s="464"/>
      <c r="V120" s="464"/>
      <c r="W120" s="464"/>
    </row>
    <row r="121" spans="1:23" s="440" customFormat="1" ht="13.8">
      <c r="A121" s="480">
        <v>43251</v>
      </c>
      <c r="B121" s="480" t="s">
        <v>189</v>
      </c>
      <c r="C121" s="465" t="s">
        <v>573</v>
      </c>
      <c r="D121" s="464"/>
      <c r="E121" s="464"/>
      <c r="F121" s="464"/>
      <c r="G121" s="479"/>
      <c r="H121" s="464"/>
      <c r="I121" s="464">
        <v>205</v>
      </c>
      <c r="J121" s="464"/>
      <c r="K121" s="464"/>
      <c r="L121" s="464"/>
      <c r="M121" s="464"/>
      <c r="O121" s="464"/>
      <c r="P121" s="464"/>
      <c r="Q121" s="464"/>
      <c r="R121" s="464"/>
      <c r="S121" s="464"/>
      <c r="T121" s="464"/>
      <c r="U121" s="464"/>
      <c r="V121" s="464"/>
      <c r="W121" s="464"/>
    </row>
    <row r="122" spans="1:23" s="481" customFormat="1" ht="13.8">
      <c r="A122" s="480">
        <v>43252</v>
      </c>
      <c r="B122" s="480" t="s">
        <v>189</v>
      </c>
      <c r="C122" s="465" t="s">
        <v>31</v>
      </c>
      <c r="D122" s="464"/>
      <c r="E122" s="464"/>
      <c r="F122" s="464"/>
      <c r="G122" s="479"/>
      <c r="H122" s="464"/>
      <c r="I122" s="464">
        <v>1147</v>
      </c>
      <c r="J122" s="464"/>
      <c r="K122" s="464"/>
      <c r="L122" s="464"/>
      <c r="M122" s="464"/>
      <c r="O122" s="464"/>
      <c r="P122" s="464"/>
      <c r="Q122" s="464"/>
      <c r="R122" s="464"/>
      <c r="S122" s="464"/>
      <c r="T122" s="464"/>
      <c r="U122" s="464"/>
      <c r="V122" s="464"/>
      <c r="W122" s="464"/>
    </row>
    <row r="123" spans="1:23" s="440" customFormat="1" ht="13.8">
      <c r="A123" s="480">
        <v>43252</v>
      </c>
      <c r="B123" s="480" t="s">
        <v>189</v>
      </c>
      <c r="C123" s="465" t="s">
        <v>30</v>
      </c>
      <c r="D123" s="464"/>
      <c r="E123" s="464"/>
      <c r="F123" s="464"/>
      <c r="G123" s="479"/>
      <c r="H123" s="464">
        <v>7474</v>
      </c>
      <c r="I123" s="464"/>
      <c r="J123" s="464"/>
      <c r="K123" s="464"/>
      <c r="L123" s="464"/>
      <c r="M123" s="464"/>
      <c r="O123" s="464"/>
      <c r="P123" s="464"/>
      <c r="Q123" s="464"/>
      <c r="R123" s="464"/>
      <c r="S123" s="464"/>
      <c r="T123" s="464"/>
      <c r="U123" s="464"/>
      <c r="V123" s="464"/>
      <c r="W123" s="464"/>
    </row>
    <row r="124" spans="1:23" s="440" customFormat="1" ht="13.8">
      <c r="A124" s="480">
        <v>43252</v>
      </c>
      <c r="B124" s="480" t="s">
        <v>572</v>
      </c>
      <c r="C124" s="465" t="s">
        <v>265</v>
      </c>
      <c r="D124" s="464"/>
      <c r="E124" s="464"/>
      <c r="F124" s="464"/>
      <c r="G124" s="479"/>
      <c r="H124" s="464">
        <v>602.4</v>
      </c>
      <c r="I124" s="464"/>
      <c r="J124" s="464">
        <v>11374.75</v>
      </c>
      <c r="K124" s="464"/>
      <c r="L124" s="464"/>
      <c r="M124" s="464"/>
      <c r="O124" s="464"/>
      <c r="P124" s="464"/>
      <c r="Q124" s="464"/>
      <c r="R124" s="464"/>
      <c r="S124" s="464"/>
      <c r="T124" s="464"/>
      <c r="U124" s="464"/>
      <c r="V124" s="464"/>
      <c r="W124" s="464"/>
    </row>
    <row r="125" spans="1:23" s="440" customFormat="1" ht="13.8">
      <c r="A125" s="480">
        <v>43252</v>
      </c>
      <c r="B125" s="480" t="s">
        <v>572</v>
      </c>
      <c r="C125" s="465" t="s">
        <v>264</v>
      </c>
      <c r="D125" s="464"/>
      <c r="E125" s="464"/>
      <c r="F125" s="464"/>
      <c r="G125" s="479"/>
      <c r="H125" s="464">
        <v>523</v>
      </c>
      <c r="I125" s="464"/>
      <c r="J125" s="464">
        <v>10591.49</v>
      </c>
      <c r="K125" s="464"/>
      <c r="L125" s="464"/>
      <c r="M125" s="464"/>
      <c r="O125" s="464"/>
      <c r="P125" s="464"/>
      <c r="Q125" s="464"/>
      <c r="R125" s="464"/>
      <c r="S125" s="464"/>
      <c r="T125" s="464"/>
      <c r="U125" s="464"/>
      <c r="V125" s="464"/>
      <c r="W125" s="464"/>
    </row>
    <row r="126" spans="1:23" s="440" customFormat="1" ht="13.8">
      <c r="A126" s="480">
        <v>43252</v>
      </c>
      <c r="B126" s="480" t="s">
        <v>572</v>
      </c>
      <c r="C126" s="465" t="s">
        <v>182</v>
      </c>
      <c r="D126" s="464"/>
      <c r="E126" s="464"/>
      <c r="F126" s="464"/>
      <c r="G126" s="479"/>
      <c r="H126" s="464">
        <v>279</v>
      </c>
      <c r="I126" s="464"/>
      <c r="J126" s="464">
        <v>7352.25</v>
      </c>
      <c r="K126" s="464"/>
      <c r="L126" s="464"/>
      <c r="M126" s="464"/>
      <c r="O126" s="464"/>
      <c r="P126" s="464"/>
      <c r="Q126" s="464"/>
      <c r="R126" s="464"/>
      <c r="S126" s="464"/>
      <c r="T126" s="464"/>
      <c r="U126" s="464"/>
      <c r="V126" s="464"/>
      <c r="W126" s="464"/>
    </row>
    <row r="127" spans="1:23" s="440" customFormat="1" ht="13.8">
      <c r="A127" s="480">
        <v>43252</v>
      </c>
      <c r="B127" s="480" t="s">
        <v>572</v>
      </c>
      <c r="C127" s="465" t="s">
        <v>472</v>
      </c>
      <c r="D127" s="464"/>
      <c r="E127" s="464"/>
      <c r="F127" s="464"/>
      <c r="G127" s="479"/>
      <c r="H127" s="464">
        <v>240</v>
      </c>
      <c r="I127" s="464"/>
      <c r="J127" s="464">
        <v>2067.77</v>
      </c>
      <c r="K127" s="464"/>
      <c r="L127" s="464"/>
      <c r="M127" s="464"/>
      <c r="O127" s="464"/>
      <c r="P127" s="464"/>
      <c r="Q127" s="464"/>
      <c r="R127" s="464"/>
      <c r="S127" s="464"/>
      <c r="T127" s="464"/>
      <c r="U127" s="464"/>
      <c r="V127" s="464"/>
      <c r="W127" s="464"/>
    </row>
    <row r="128" spans="1:23" s="440" customFormat="1" ht="13.8">
      <c r="A128" s="480">
        <v>43252</v>
      </c>
      <c r="B128" s="480" t="s">
        <v>572</v>
      </c>
      <c r="C128" s="465" t="s">
        <v>472</v>
      </c>
      <c r="D128" s="464"/>
      <c r="E128" s="464"/>
      <c r="F128" s="464"/>
      <c r="G128" s="479"/>
      <c r="H128" s="464">
        <v>210</v>
      </c>
      <c r="I128" s="464"/>
      <c r="J128" s="464">
        <v>1840.18</v>
      </c>
      <c r="K128" s="464"/>
      <c r="L128" s="464"/>
      <c r="M128" s="464"/>
      <c r="O128" s="464"/>
      <c r="P128" s="464"/>
      <c r="Q128" s="464"/>
      <c r="R128" s="464"/>
      <c r="S128" s="464"/>
      <c r="T128" s="464"/>
      <c r="U128" s="464"/>
      <c r="V128" s="464"/>
      <c r="W128" s="464"/>
    </row>
    <row r="129" spans="1:23" s="440" customFormat="1" ht="13.8">
      <c r="A129" s="480">
        <v>43252</v>
      </c>
      <c r="B129" s="480" t="s">
        <v>572</v>
      </c>
      <c r="C129" s="465" t="s">
        <v>183</v>
      </c>
      <c r="D129" s="464"/>
      <c r="E129" s="464"/>
      <c r="F129" s="464"/>
      <c r="G129" s="479"/>
      <c r="H129" s="464">
        <v>448.75</v>
      </c>
      <c r="I129" s="464"/>
      <c r="J129" s="464"/>
      <c r="K129" s="464"/>
      <c r="L129" s="464"/>
      <c r="M129" s="464"/>
      <c r="O129" s="464"/>
      <c r="P129" s="464"/>
      <c r="Q129" s="464"/>
      <c r="R129" s="464"/>
      <c r="S129" s="464"/>
      <c r="T129" s="464"/>
      <c r="U129" s="464"/>
      <c r="V129" s="464"/>
      <c r="W129" s="464"/>
    </row>
    <row r="130" spans="1:23" s="440" customFormat="1" ht="13.8">
      <c r="A130" s="480">
        <v>43252</v>
      </c>
      <c r="B130" s="480" t="s">
        <v>572</v>
      </c>
      <c r="C130" s="465" t="s">
        <v>214</v>
      </c>
      <c r="D130" s="464"/>
      <c r="E130" s="464"/>
      <c r="F130" s="464"/>
      <c r="G130" s="479"/>
      <c r="H130" s="464">
        <v>180</v>
      </c>
      <c r="I130" s="464"/>
      <c r="J130" s="464"/>
      <c r="K130" s="464"/>
      <c r="L130" s="464"/>
      <c r="M130" s="464"/>
      <c r="O130" s="464"/>
      <c r="P130" s="464"/>
      <c r="Q130" s="464"/>
      <c r="R130" s="464"/>
      <c r="S130" s="464"/>
      <c r="T130" s="464"/>
      <c r="U130" s="464"/>
      <c r="V130" s="464"/>
      <c r="W130" s="464"/>
    </row>
    <row r="131" spans="1:23" s="440" customFormat="1" ht="13.8">
      <c r="A131" s="480">
        <v>43252</v>
      </c>
      <c r="B131" s="480" t="s">
        <v>572</v>
      </c>
      <c r="C131" s="465" t="s">
        <v>306</v>
      </c>
      <c r="D131" s="464"/>
      <c r="F131" s="464"/>
      <c r="G131" s="479"/>
      <c r="H131" s="464">
        <v>1056.8</v>
      </c>
      <c r="J131" s="487">
        <v>762.33</v>
      </c>
      <c r="K131" s="489">
        <v>199.97</v>
      </c>
      <c r="L131" s="464"/>
      <c r="M131" s="464"/>
      <c r="O131" s="464"/>
      <c r="P131" s="464"/>
      <c r="Q131" s="464"/>
      <c r="R131" s="464"/>
      <c r="S131" s="464"/>
      <c r="T131" s="464"/>
      <c r="U131" s="464"/>
      <c r="V131" s="464"/>
      <c r="W131" s="464"/>
    </row>
    <row r="132" spans="1:23" s="440" customFormat="1" ht="13.8">
      <c r="A132" s="480">
        <v>43257</v>
      </c>
      <c r="B132" s="480" t="s">
        <v>572</v>
      </c>
      <c r="C132" s="465" t="s">
        <v>20</v>
      </c>
      <c r="D132" s="464"/>
      <c r="F132" s="464"/>
      <c r="G132" s="479"/>
      <c r="H132" s="464">
        <v>173.67</v>
      </c>
      <c r="I132" s="464"/>
      <c r="J132" s="464"/>
      <c r="K132" s="464"/>
      <c r="L132" s="464"/>
      <c r="M132" s="464"/>
      <c r="O132" s="464"/>
      <c r="P132" s="464"/>
      <c r="Q132" s="464"/>
      <c r="R132" s="464"/>
      <c r="S132" s="464"/>
      <c r="T132" s="464"/>
      <c r="U132" s="464"/>
      <c r="V132" s="464"/>
      <c r="W132" s="464"/>
    </row>
    <row r="133" spans="1:23" s="440" customFormat="1" ht="13.8">
      <c r="A133" s="480">
        <v>43281</v>
      </c>
      <c r="B133" s="480"/>
      <c r="C133" s="465" t="s">
        <v>15</v>
      </c>
      <c r="D133" s="466"/>
      <c r="E133" s="464"/>
      <c r="F133" s="464"/>
      <c r="G133" s="479"/>
      <c r="H133" s="466">
        <f>hush18!H2</f>
        <v>4768.2299999999996</v>
      </c>
      <c r="I133" s="464"/>
      <c r="J133" s="464"/>
      <c r="K133" s="464"/>
      <c r="L133" s="464"/>
      <c r="M133" s="464"/>
      <c r="O133" s="464"/>
      <c r="P133" s="464"/>
      <c r="Q133" s="464"/>
      <c r="R133" s="464"/>
      <c r="S133" s="464"/>
      <c r="T133" s="464"/>
      <c r="U133" s="464"/>
      <c r="V133" s="464"/>
      <c r="W133" s="464"/>
    </row>
    <row r="134" spans="1:23" s="440" customFormat="1" ht="13.8">
      <c r="A134" s="480">
        <v>43281</v>
      </c>
      <c r="B134" s="480"/>
      <c r="C134" s="465" t="s">
        <v>384</v>
      </c>
      <c r="D134" s="466"/>
      <c r="E134" s="464"/>
      <c r="F134" s="464"/>
      <c r="G134" s="479"/>
      <c r="H134" s="466">
        <f>hush18!H4</f>
        <v>157.19999999999999</v>
      </c>
      <c r="I134" s="464"/>
      <c r="J134" s="464"/>
      <c r="K134" s="464"/>
      <c r="L134" s="464"/>
      <c r="M134" s="464"/>
      <c r="O134" s="464"/>
      <c r="P134" s="464"/>
      <c r="Q134" s="464"/>
      <c r="R134" s="464"/>
      <c r="S134" s="464"/>
      <c r="T134" s="464"/>
      <c r="U134" s="464"/>
      <c r="V134" s="464"/>
      <c r="W134" s="464"/>
    </row>
    <row r="135" spans="1:23" s="440" customFormat="1" ht="13.8">
      <c r="A135" s="480">
        <v>43281</v>
      </c>
      <c r="B135" s="480"/>
      <c r="C135" s="465" t="s">
        <v>14</v>
      </c>
      <c r="D135" s="466"/>
      <c r="E135" s="464"/>
      <c r="F135" s="464"/>
      <c r="G135" s="479"/>
      <c r="H135" s="466">
        <f>hush18!H5</f>
        <v>620</v>
      </c>
      <c r="I135" s="478"/>
      <c r="J135" s="478"/>
      <c r="K135" s="478"/>
      <c r="L135" s="464"/>
      <c r="M135" s="464"/>
      <c r="O135" s="478"/>
      <c r="P135" s="478"/>
      <c r="Q135" s="478"/>
      <c r="R135" s="478"/>
      <c r="S135" s="478"/>
      <c r="T135" s="478"/>
      <c r="U135" s="478"/>
      <c r="V135" s="478"/>
      <c r="W135" s="478"/>
    </row>
    <row r="136" spans="1:23" s="440" customFormat="1" ht="13.8">
      <c r="A136" s="480">
        <v>43281</v>
      </c>
      <c r="B136" s="480"/>
      <c r="C136" s="465" t="s">
        <v>37</v>
      </c>
      <c r="D136" s="466"/>
      <c r="E136" s="464"/>
      <c r="F136" s="464"/>
      <c r="G136" s="479"/>
      <c r="H136" s="466">
        <f>'div18'!I2</f>
        <v>5849.7</v>
      </c>
      <c r="I136" s="478"/>
      <c r="J136" s="478"/>
      <c r="K136" s="478"/>
      <c r="L136" s="464"/>
      <c r="M136" s="464"/>
      <c r="O136" s="478"/>
      <c r="P136" s="478"/>
      <c r="Q136" s="478"/>
      <c r="R136" s="478"/>
      <c r="S136" s="478"/>
      <c r="T136" s="478"/>
      <c r="U136" s="478"/>
      <c r="V136" s="478"/>
      <c r="W136" s="478"/>
    </row>
    <row r="137" spans="1:23" s="447" customFormat="1" ht="13.8">
      <c r="A137" s="486" t="s">
        <v>586</v>
      </c>
      <c r="B137" s="486"/>
      <c r="C137" s="485"/>
      <c r="D137" s="483">
        <f>SUM(D138:D157)</f>
        <v>0</v>
      </c>
      <c r="E137" s="483">
        <f>SUM(E138:E157)</f>
        <v>0</v>
      </c>
      <c r="F137" s="483"/>
      <c r="G137" s="484"/>
      <c r="H137" s="483">
        <f>SUM(H138:H157)</f>
        <v>19270.36</v>
      </c>
      <c r="I137" s="483">
        <f>SUM(I138:I157)</f>
        <v>20629</v>
      </c>
      <c r="J137" s="483">
        <f>SUM(J138:J157)</f>
        <v>692.83</v>
      </c>
      <c r="K137" s="483">
        <f>SUM(K138:K157)</f>
        <v>3123.77</v>
      </c>
      <c r="L137" s="483">
        <f>SUM(L143:L152)</f>
        <v>0</v>
      </c>
      <c r="M137" s="483"/>
      <c r="O137" s="482">
        <f>MONTH(A155)</f>
        <v>7</v>
      </c>
      <c r="P137" s="482"/>
      <c r="Q137" s="482"/>
      <c r="R137" s="482"/>
      <c r="S137" s="482"/>
      <c r="T137" s="482"/>
      <c r="U137" s="482"/>
      <c r="V137" s="482"/>
      <c r="W137" s="482"/>
    </row>
    <row r="138" spans="1:23" s="440" customFormat="1" ht="13.8">
      <c r="A138" s="480">
        <v>43281</v>
      </c>
      <c r="B138" s="480" t="s">
        <v>189</v>
      </c>
      <c r="C138" s="465" t="s">
        <v>574</v>
      </c>
      <c r="D138" s="464"/>
      <c r="E138" s="464"/>
      <c r="F138" s="464"/>
      <c r="G138" s="479"/>
      <c r="H138" s="464"/>
      <c r="I138" s="464">
        <v>11448</v>
      </c>
      <c r="J138" s="464"/>
      <c r="K138" s="464"/>
      <c r="L138" s="464"/>
      <c r="M138" s="464"/>
      <c r="O138" s="464"/>
      <c r="P138" s="464"/>
      <c r="Q138" s="464"/>
      <c r="R138" s="464"/>
      <c r="S138" s="464"/>
      <c r="T138" s="464"/>
      <c r="U138" s="464"/>
      <c r="V138" s="464"/>
      <c r="W138" s="464"/>
    </row>
    <row r="139" spans="1:23" s="440" customFormat="1" ht="13.8">
      <c r="A139" s="480">
        <v>43281</v>
      </c>
      <c r="B139" s="480" t="s">
        <v>189</v>
      </c>
      <c r="C139" s="465" t="s">
        <v>573</v>
      </c>
      <c r="D139" s="464"/>
      <c r="E139" s="464"/>
      <c r="F139" s="464"/>
      <c r="G139" s="479"/>
      <c r="H139" s="464"/>
      <c r="I139" s="464">
        <v>7829</v>
      </c>
      <c r="J139" s="464"/>
      <c r="K139" s="464"/>
      <c r="L139" s="464"/>
      <c r="M139" s="464"/>
      <c r="O139" s="464"/>
      <c r="P139" s="464"/>
      <c r="Q139" s="464"/>
      <c r="R139" s="464"/>
      <c r="S139" s="464"/>
      <c r="T139" s="464"/>
      <c r="U139" s="464"/>
      <c r="V139" s="464"/>
      <c r="W139" s="464"/>
    </row>
    <row r="140" spans="1:23" s="440" customFormat="1" ht="13.8">
      <c r="A140" s="480">
        <v>43281</v>
      </c>
      <c r="B140" s="480" t="s">
        <v>189</v>
      </c>
      <c r="C140" s="465" t="s">
        <v>573</v>
      </c>
      <c r="D140" s="464"/>
      <c r="E140" s="464"/>
      <c r="F140" s="464"/>
      <c r="G140" s="479"/>
      <c r="H140" s="464"/>
      <c r="I140" s="464">
        <v>205</v>
      </c>
      <c r="J140" s="464"/>
      <c r="K140" s="464"/>
      <c r="L140" s="464"/>
      <c r="M140" s="464"/>
      <c r="O140" s="464"/>
      <c r="P140" s="464"/>
      <c r="Q140" s="464"/>
      <c r="R140" s="464"/>
      <c r="S140" s="464"/>
      <c r="T140" s="464"/>
      <c r="U140" s="464"/>
      <c r="V140" s="464"/>
      <c r="W140" s="464"/>
    </row>
    <row r="141" spans="1:23" s="440" customFormat="1" ht="13.8">
      <c r="A141" s="480">
        <v>43283</v>
      </c>
      <c r="B141" s="480" t="s">
        <v>189</v>
      </c>
      <c r="C141" s="465" t="s">
        <v>31</v>
      </c>
      <c r="D141" s="464"/>
      <c r="E141" s="464"/>
      <c r="F141" s="464"/>
      <c r="G141" s="479"/>
      <c r="H141" s="464"/>
      <c r="I141" s="464">
        <v>1147</v>
      </c>
      <c r="J141" s="464"/>
      <c r="K141" s="464"/>
      <c r="L141" s="464"/>
      <c r="M141" s="464"/>
      <c r="O141" s="464"/>
      <c r="P141" s="464"/>
      <c r="Q141" s="464"/>
      <c r="R141" s="464"/>
      <c r="S141" s="464"/>
      <c r="T141" s="464"/>
      <c r="U141" s="464"/>
      <c r="V141" s="464"/>
      <c r="W141" s="464"/>
    </row>
    <row r="142" spans="1:23" s="440" customFormat="1" ht="13.8">
      <c r="A142" s="480">
        <v>43283</v>
      </c>
      <c r="B142" s="480" t="s">
        <v>189</v>
      </c>
      <c r="C142" s="465" t="s">
        <v>30</v>
      </c>
      <c r="D142" s="464"/>
      <c r="E142" s="464"/>
      <c r="F142" s="464"/>
      <c r="G142" s="479"/>
      <c r="H142" s="464">
        <v>7474</v>
      </c>
      <c r="I142" s="464"/>
      <c r="J142" s="464"/>
      <c r="K142" s="464"/>
      <c r="L142" s="464"/>
      <c r="M142" s="464"/>
      <c r="O142" s="464"/>
      <c r="P142" s="464"/>
      <c r="Q142" s="464"/>
      <c r="R142" s="464"/>
      <c r="S142" s="464"/>
      <c r="T142" s="464"/>
      <c r="U142" s="464"/>
      <c r="V142" s="464"/>
      <c r="W142" s="464"/>
    </row>
    <row r="143" spans="1:23" s="440" customFormat="1" ht="13.8">
      <c r="A143" s="480">
        <v>43283</v>
      </c>
      <c r="B143" s="480" t="s">
        <v>572</v>
      </c>
      <c r="C143" s="465" t="s">
        <v>265</v>
      </c>
      <c r="D143" s="464"/>
      <c r="E143" s="464"/>
      <c r="F143" s="464"/>
      <c r="G143" s="479"/>
      <c r="H143" s="464">
        <v>602.4</v>
      </c>
      <c r="I143" s="464"/>
      <c r="J143" s="464"/>
      <c r="K143" s="464"/>
      <c r="L143" s="464"/>
      <c r="M143" s="464"/>
      <c r="O143" s="464"/>
      <c r="P143" s="464"/>
      <c r="Q143" s="464"/>
      <c r="R143" s="464"/>
      <c r="S143" s="464"/>
      <c r="T143" s="464"/>
      <c r="U143" s="464"/>
      <c r="V143" s="464"/>
      <c r="W143" s="464"/>
    </row>
    <row r="144" spans="1:23" s="440" customFormat="1" ht="13.8">
      <c r="A144" s="480">
        <v>43283</v>
      </c>
      <c r="B144" s="480" t="s">
        <v>572</v>
      </c>
      <c r="C144" s="465" t="s">
        <v>264</v>
      </c>
      <c r="D144" s="464"/>
      <c r="E144" s="464"/>
      <c r="F144" s="464"/>
      <c r="G144" s="479"/>
      <c r="H144" s="464">
        <v>523</v>
      </c>
      <c r="I144" s="464"/>
      <c r="J144" s="464"/>
      <c r="K144" s="464"/>
      <c r="L144" s="464"/>
      <c r="M144" s="464"/>
      <c r="O144" s="464"/>
      <c r="P144" s="464"/>
      <c r="Q144" s="464"/>
      <c r="R144" s="464"/>
      <c r="S144" s="464"/>
      <c r="T144" s="464"/>
      <c r="U144" s="464"/>
      <c r="V144" s="464"/>
      <c r="W144" s="464"/>
    </row>
    <row r="145" spans="1:23" s="440" customFormat="1" ht="13.8">
      <c r="A145" s="480">
        <v>43283</v>
      </c>
      <c r="B145" s="480" t="s">
        <v>572</v>
      </c>
      <c r="C145" s="465" t="s">
        <v>182</v>
      </c>
      <c r="D145" s="464"/>
      <c r="E145" s="464"/>
      <c r="F145" s="464"/>
      <c r="G145" s="479"/>
      <c r="H145" s="464">
        <v>279</v>
      </c>
      <c r="I145" s="464"/>
      <c r="J145" s="464"/>
      <c r="K145" s="464"/>
      <c r="L145" s="464"/>
      <c r="M145" s="464"/>
      <c r="O145" s="464"/>
      <c r="P145" s="464"/>
      <c r="Q145" s="464"/>
      <c r="R145" s="464"/>
      <c r="S145" s="464"/>
      <c r="T145" s="464"/>
      <c r="U145" s="464"/>
      <c r="V145" s="464"/>
      <c r="W145" s="464"/>
    </row>
    <row r="146" spans="1:23" s="440" customFormat="1" ht="13.8">
      <c r="A146" s="480">
        <v>43283</v>
      </c>
      <c r="B146" s="480" t="s">
        <v>572</v>
      </c>
      <c r="C146" s="465" t="s">
        <v>472</v>
      </c>
      <c r="D146" s="464"/>
      <c r="E146" s="464"/>
      <c r="F146" s="464"/>
      <c r="G146" s="479"/>
      <c r="H146" s="464">
        <v>240</v>
      </c>
      <c r="I146" s="464"/>
      <c r="J146" s="464"/>
      <c r="K146" s="464"/>
      <c r="L146" s="464"/>
      <c r="M146" s="464"/>
      <c r="O146" s="464"/>
      <c r="P146" s="464"/>
      <c r="Q146" s="464"/>
      <c r="R146" s="464"/>
      <c r="S146" s="464"/>
      <c r="T146" s="464"/>
      <c r="U146" s="464"/>
      <c r="V146" s="464"/>
      <c r="W146" s="464"/>
    </row>
    <row r="147" spans="1:23" s="440" customFormat="1" ht="13.8">
      <c r="A147" s="480">
        <v>43283</v>
      </c>
      <c r="B147" s="480" t="s">
        <v>572</v>
      </c>
      <c r="C147" s="465" t="s">
        <v>472</v>
      </c>
      <c r="D147" s="464"/>
      <c r="E147" s="464"/>
      <c r="F147" s="464"/>
      <c r="G147" s="479"/>
      <c r="H147" s="464">
        <v>210</v>
      </c>
      <c r="I147" s="464"/>
      <c r="J147" s="464"/>
      <c r="K147" s="464"/>
      <c r="L147" s="464"/>
      <c r="M147" s="464"/>
      <c r="O147" s="464"/>
      <c r="P147" s="464"/>
      <c r="Q147" s="464"/>
      <c r="R147" s="464"/>
      <c r="S147" s="464"/>
      <c r="T147" s="464"/>
      <c r="U147" s="464"/>
      <c r="V147" s="464"/>
      <c r="W147" s="464"/>
    </row>
    <row r="148" spans="1:23" s="440" customFormat="1" ht="13.8">
      <c r="A148" s="480">
        <v>43283</v>
      </c>
      <c r="B148" s="480" t="s">
        <v>572</v>
      </c>
      <c r="C148" s="465" t="s">
        <v>183</v>
      </c>
      <c r="D148" s="464"/>
      <c r="E148" s="464"/>
      <c r="F148" s="464"/>
      <c r="G148" s="479"/>
      <c r="H148" s="464">
        <v>448.75</v>
      </c>
      <c r="I148" s="464"/>
      <c r="J148" s="464"/>
      <c r="K148" s="464"/>
      <c r="L148" s="464"/>
      <c r="M148" s="464"/>
      <c r="O148" s="464"/>
      <c r="P148" s="464"/>
      <c r="Q148" s="464"/>
      <c r="R148" s="464"/>
      <c r="S148" s="464"/>
      <c r="T148" s="464"/>
      <c r="U148" s="464"/>
      <c r="V148" s="464"/>
      <c r="W148" s="464"/>
    </row>
    <row r="149" spans="1:23" s="440" customFormat="1" ht="13.8">
      <c r="A149" s="480">
        <v>43283</v>
      </c>
      <c r="B149" s="480" t="s">
        <v>572</v>
      </c>
      <c r="C149" s="465" t="s">
        <v>125</v>
      </c>
      <c r="D149" s="464"/>
      <c r="E149" s="464"/>
      <c r="F149" s="464"/>
      <c r="G149" s="479"/>
      <c r="H149" s="464">
        <v>43</v>
      </c>
      <c r="I149" s="464"/>
      <c r="J149" s="464"/>
      <c r="K149" s="464"/>
      <c r="L149" s="464"/>
      <c r="M149" s="464"/>
      <c r="O149" s="464"/>
      <c r="P149" s="464"/>
      <c r="Q149" s="464"/>
      <c r="R149" s="464"/>
      <c r="S149" s="464"/>
      <c r="T149" s="464"/>
      <c r="U149" s="464"/>
      <c r="V149" s="464"/>
      <c r="W149" s="464"/>
    </row>
    <row r="150" spans="1:23" s="440" customFormat="1" ht="13.8">
      <c r="A150" s="480">
        <v>43283</v>
      </c>
      <c r="B150" s="480" t="s">
        <v>572</v>
      </c>
      <c r="C150" s="465" t="s">
        <v>128</v>
      </c>
      <c r="D150" s="464"/>
      <c r="E150" s="464"/>
      <c r="F150" s="464"/>
      <c r="G150" s="479"/>
      <c r="H150" s="464">
        <v>180</v>
      </c>
      <c r="I150" s="464"/>
      <c r="J150" s="464"/>
      <c r="K150" s="464"/>
      <c r="L150" s="464"/>
      <c r="M150" s="464"/>
      <c r="O150" s="464"/>
      <c r="P150" s="464"/>
      <c r="Q150" s="464"/>
      <c r="R150" s="464"/>
      <c r="S150" s="464"/>
      <c r="T150" s="464"/>
      <c r="U150" s="464"/>
      <c r="V150" s="464"/>
      <c r="W150" s="464"/>
    </row>
    <row r="151" spans="1:23" s="440" customFormat="1" ht="13.8">
      <c r="A151" s="480">
        <v>43283</v>
      </c>
      <c r="B151" s="480" t="s">
        <v>572</v>
      </c>
      <c r="C151" s="465" t="s">
        <v>306</v>
      </c>
      <c r="D151" s="464"/>
      <c r="E151" s="481"/>
      <c r="F151" s="464"/>
      <c r="G151" s="479"/>
      <c r="H151" s="464">
        <v>3722.1</v>
      </c>
      <c r="J151" s="487">
        <v>692.83</v>
      </c>
      <c r="K151" s="489">
        <v>3123.77</v>
      </c>
      <c r="L151" s="464"/>
      <c r="M151" s="464"/>
      <c r="O151" s="464"/>
      <c r="P151" s="464"/>
      <c r="Q151" s="464"/>
      <c r="R151" s="464"/>
      <c r="S151" s="464"/>
      <c r="T151" s="464"/>
      <c r="U151" s="464"/>
      <c r="V151" s="464"/>
      <c r="W151" s="464"/>
    </row>
    <row r="152" spans="1:23" s="440" customFormat="1" ht="13.8">
      <c r="A152" s="480">
        <v>43290</v>
      </c>
      <c r="B152" s="480" t="s">
        <v>572</v>
      </c>
      <c r="C152" s="465" t="s">
        <v>20</v>
      </c>
      <c r="D152" s="464"/>
      <c r="E152" s="464"/>
      <c r="F152" s="464"/>
      <c r="G152" s="479"/>
      <c r="H152" s="464">
        <v>179.46</v>
      </c>
      <c r="I152" s="464"/>
      <c r="J152" s="464"/>
      <c r="K152" s="464"/>
      <c r="L152" s="464"/>
      <c r="M152" s="464"/>
      <c r="O152" s="464"/>
      <c r="P152" s="464"/>
      <c r="Q152" s="464"/>
      <c r="R152" s="464"/>
      <c r="S152" s="464"/>
      <c r="T152" s="464"/>
      <c r="U152" s="464"/>
      <c r="V152" s="464"/>
      <c r="W152" s="464"/>
    </row>
    <row r="153" spans="1:23" s="440" customFormat="1" ht="13.8">
      <c r="A153" s="480">
        <v>43291</v>
      </c>
      <c r="B153" s="480" t="s">
        <v>572</v>
      </c>
      <c r="C153" s="465" t="s">
        <v>585</v>
      </c>
      <c r="D153" s="464"/>
      <c r="E153" s="464"/>
      <c r="F153" s="464"/>
      <c r="G153" s="479"/>
      <c r="H153" s="464">
        <v>1782.27</v>
      </c>
      <c r="I153" s="464"/>
      <c r="J153" s="464"/>
      <c r="K153" s="464"/>
      <c r="L153" s="464"/>
      <c r="M153" s="464"/>
      <c r="O153" s="464"/>
      <c r="P153" s="464"/>
      <c r="Q153" s="464"/>
      <c r="R153" s="464"/>
      <c r="S153" s="464"/>
      <c r="T153" s="464"/>
      <c r="U153" s="464"/>
      <c r="V153" s="464"/>
      <c r="W153" s="464"/>
    </row>
    <row r="154" spans="1:23" s="440" customFormat="1" ht="13.8">
      <c r="A154" s="480">
        <v>43312</v>
      </c>
      <c r="B154" s="480"/>
      <c r="C154" s="465" t="s">
        <v>15</v>
      </c>
      <c r="D154" s="466"/>
      <c r="E154" s="464"/>
      <c r="F154" s="464"/>
      <c r="G154" s="479"/>
      <c r="H154" s="466">
        <f>hush18!I3</f>
        <v>2580.59</v>
      </c>
      <c r="I154" s="464"/>
      <c r="J154" s="464"/>
      <c r="K154" s="464"/>
      <c r="L154" s="464"/>
      <c r="M154" s="464"/>
      <c r="O154" s="464"/>
      <c r="P154" s="464"/>
      <c r="Q154" s="464"/>
      <c r="R154" s="464"/>
      <c r="S154" s="464"/>
      <c r="T154" s="464"/>
      <c r="U154" s="464"/>
      <c r="V154" s="464"/>
      <c r="W154" s="464"/>
    </row>
    <row r="155" spans="1:23" s="440" customFormat="1" ht="13.8">
      <c r="A155" s="480">
        <v>43312</v>
      </c>
      <c r="B155" s="480"/>
      <c r="C155" s="465" t="s">
        <v>384</v>
      </c>
      <c r="D155" s="466"/>
      <c r="E155" s="464"/>
      <c r="F155" s="464"/>
      <c r="G155" s="479"/>
      <c r="H155" s="466">
        <f>hush18!I4</f>
        <v>129.94999999999999</v>
      </c>
      <c r="I155" s="464"/>
      <c r="J155" s="464"/>
      <c r="K155" s="464"/>
      <c r="L155" s="464"/>
      <c r="M155" s="464"/>
      <c r="O155" s="464"/>
      <c r="P155" s="464"/>
      <c r="Q155" s="464"/>
      <c r="R155" s="464"/>
      <c r="S155" s="464"/>
      <c r="T155" s="464"/>
      <c r="U155" s="464"/>
      <c r="V155" s="464"/>
      <c r="W155" s="464"/>
    </row>
    <row r="156" spans="1:23" s="440" customFormat="1" ht="13.8">
      <c r="A156" s="480">
        <v>43312</v>
      </c>
      <c r="B156" s="480"/>
      <c r="C156" s="465" t="s">
        <v>14</v>
      </c>
      <c r="D156" s="466"/>
      <c r="E156" s="464"/>
      <c r="F156" s="464"/>
      <c r="G156" s="479"/>
      <c r="H156" s="466">
        <f>hush18!I5</f>
        <v>78</v>
      </c>
      <c r="I156" s="478"/>
      <c r="J156" s="478"/>
      <c r="K156" s="478"/>
      <c r="L156" s="464"/>
      <c r="M156" s="464"/>
      <c r="O156" s="478"/>
      <c r="P156" s="478"/>
      <c r="Q156" s="478"/>
      <c r="R156" s="478"/>
      <c r="S156" s="478"/>
      <c r="T156" s="478"/>
      <c r="U156" s="478"/>
      <c r="V156" s="478"/>
      <c r="W156" s="478"/>
    </row>
    <row r="157" spans="1:23" s="440" customFormat="1" ht="13.8">
      <c r="A157" s="480">
        <v>43312</v>
      </c>
      <c r="B157" s="477"/>
      <c r="C157" s="462" t="s">
        <v>37</v>
      </c>
      <c r="D157" s="466"/>
      <c r="E157" s="461"/>
      <c r="F157" s="461"/>
      <c r="G157" s="476"/>
      <c r="H157" s="475">
        <f>'div18'!J2</f>
        <v>797.83999999999992</v>
      </c>
      <c r="I157" s="461"/>
      <c r="J157" s="461"/>
      <c r="K157" s="461"/>
      <c r="L157" s="461"/>
      <c r="M157" s="461"/>
      <c r="O157" s="461"/>
      <c r="P157" s="461"/>
      <c r="Q157" s="461"/>
      <c r="R157" s="461"/>
      <c r="S157" s="461"/>
      <c r="T157" s="461"/>
      <c r="U157" s="461"/>
      <c r="V157" s="461"/>
      <c r="W157" s="461"/>
    </row>
    <row r="158" spans="1:23" s="447" customFormat="1" ht="13.8">
      <c r="A158" s="486" t="s">
        <v>584</v>
      </c>
      <c r="B158" s="486"/>
      <c r="C158" s="485"/>
      <c r="D158" s="483">
        <f>SUM(D159:D179)</f>
        <v>0</v>
      </c>
      <c r="E158" s="483">
        <f>SUM(E159:E179)</f>
        <v>0</v>
      </c>
      <c r="F158" s="483"/>
      <c r="G158" s="484"/>
      <c r="H158" s="483">
        <f>SUM(H159:H179)</f>
        <v>19208.379999999997</v>
      </c>
      <c r="I158" s="483">
        <f>SUM(I159:I179)</f>
        <v>20629</v>
      </c>
      <c r="J158" s="483"/>
      <c r="K158" s="483"/>
      <c r="L158" s="483"/>
      <c r="M158" s="483"/>
      <c r="O158" s="482" t="e">
        <f>MONTH(#REF!)</f>
        <v>#REF!</v>
      </c>
      <c r="P158" s="482"/>
      <c r="Q158" s="482"/>
      <c r="R158" s="482"/>
      <c r="S158" s="482"/>
      <c r="T158" s="482"/>
      <c r="U158" s="482"/>
      <c r="V158" s="482"/>
      <c r="W158" s="482"/>
    </row>
    <row r="159" spans="1:23" s="481" customFormat="1" ht="13.8">
      <c r="A159" s="480">
        <v>43312</v>
      </c>
      <c r="B159" s="480" t="s">
        <v>189</v>
      </c>
      <c r="C159" s="465" t="s">
        <v>574</v>
      </c>
      <c r="D159" s="464"/>
      <c r="E159" s="464"/>
      <c r="F159" s="464"/>
      <c r="G159" s="479"/>
      <c r="H159" s="464"/>
      <c r="I159" s="464">
        <v>11448</v>
      </c>
      <c r="J159" s="464"/>
      <c r="K159" s="464"/>
      <c r="L159" s="464"/>
      <c r="M159" s="464"/>
      <c r="O159" s="464"/>
      <c r="P159" s="464"/>
      <c r="Q159" s="464"/>
      <c r="R159" s="464"/>
      <c r="S159" s="464"/>
      <c r="T159" s="464"/>
      <c r="U159" s="464"/>
      <c r="V159" s="464"/>
      <c r="W159" s="464"/>
    </row>
    <row r="160" spans="1:23" s="481" customFormat="1" ht="13.8">
      <c r="A160" s="480">
        <v>43312</v>
      </c>
      <c r="B160" s="480" t="s">
        <v>189</v>
      </c>
      <c r="C160" s="465" t="s">
        <v>573</v>
      </c>
      <c r="D160" s="464"/>
      <c r="E160" s="464"/>
      <c r="F160" s="464"/>
      <c r="G160" s="479"/>
      <c r="H160" s="464"/>
      <c r="I160" s="464">
        <v>7829</v>
      </c>
      <c r="J160" s="464"/>
      <c r="K160" s="464"/>
      <c r="L160" s="464"/>
      <c r="M160" s="464"/>
      <c r="O160" s="464"/>
      <c r="P160" s="464"/>
      <c r="Q160" s="464"/>
      <c r="R160" s="464"/>
      <c r="S160" s="464"/>
      <c r="T160" s="464"/>
      <c r="U160" s="464"/>
      <c r="V160" s="464"/>
      <c r="W160" s="464"/>
    </row>
    <row r="161" spans="1:23" s="481" customFormat="1" ht="13.8">
      <c r="A161" s="480">
        <v>43312</v>
      </c>
      <c r="B161" s="480" t="s">
        <v>189</v>
      </c>
      <c r="C161" s="465" t="s">
        <v>573</v>
      </c>
      <c r="D161" s="464"/>
      <c r="E161" s="464"/>
      <c r="F161" s="464"/>
      <c r="G161" s="479"/>
      <c r="H161" s="464"/>
      <c r="I161" s="464">
        <v>205</v>
      </c>
      <c r="J161" s="464"/>
      <c r="K161" s="464"/>
      <c r="L161" s="464"/>
      <c r="M161" s="464"/>
      <c r="O161" s="464"/>
      <c r="P161" s="464"/>
      <c r="Q161" s="464"/>
      <c r="R161" s="464"/>
      <c r="S161" s="464"/>
      <c r="T161" s="464"/>
      <c r="U161" s="464"/>
      <c r="V161" s="464"/>
      <c r="W161" s="464"/>
    </row>
    <row r="162" spans="1:23" s="481" customFormat="1" ht="13.8">
      <c r="A162" s="480">
        <v>43313</v>
      </c>
      <c r="B162" s="480" t="s">
        <v>189</v>
      </c>
      <c r="C162" s="465" t="s">
        <v>31</v>
      </c>
      <c r="D162" s="464"/>
      <c r="E162" s="464"/>
      <c r="F162" s="464"/>
      <c r="G162" s="479"/>
      <c r="H162" s="464"/>
      <c r="I162" s="464">
        <v>1147</v>
      </c>
      <c r="J162" s="464"/>
      <c r="K162" s="464"/>
      <c r="L162" s="464"/>
      <c r="M162" s="464"/>
      <c r="O162" s="464"/>
      <c r="P162" s="464"/>
      <c r="Q162" s="464"/>
      <c r="R162" s="464"/>
      <c r="S162" s="464"/>
      <c r="T162" s="464"/>
      <c r="U162" s="464"/>
      <c r="V162" s="464"/>
      <c r="W162" s="464"/>
    </row>
    <row r="163" spans="1:23" s="440" customFormat="1" ht="13.8">
      <c r="A163" s="480">
        <v>43313</v>
      </c>
      <c r="B163" s="480" t="s">
        <v>189</v>
      </c>
      <c r="C163" s="465" t="s">
        <v>30</v>
      </c>
      <c r="D163" s="464"/>
      <c r="E163" s="464"/>
      <c r="F163" s="464"/>
      <c r="G163" s="479"/>
      <c r="H163" s="464">
        <v>7474</v>
      </c>
      <c r="I163" s="464"/>
      <c r="J163" s="464"/>
      <c r="K163" s="464"/>
      <c r="L163" s="464"/>
      <c r="M163" s="464"/>
      <c r="O163" s="464"/>
      <c r="P163" s="464"/>
      <c r="Q163" s="464"/>
      <c r="R163" s="464"/>
      <c r="S163" s="464"/>
      <c r="T163" s="464"/>
      <c r="U163" s="464"/>
      <c r="V163" s="464"/>
      <c r="W163" s="464"/>
    </row>
    <row r="164" spans="1:23" s="440" customFormat="1" ht="13.8">
      <c r="A164" s="480">
        <v>43313</v>
      </c>
      <c r="B164" s="480" t="s">
        <v>572</v>
      </c>
      <c r="C164" s="465" t="s">
        <v>265</v>
      </c>
      <c r="D164" s="464"/>
      <c r="E164" s="464"/>
      <c r="F164" s="464"/>
      <c r="G164" s="479"/>
      <c r="H164" s="464">
        <v>602.4</v>
      </c>
      <c r="I164" s="464"/>
      <c r="J164" s="464"/>
      <c r="K164" s="464"/>
      <c r="L164" s="464"/>
      <c r="M164" s="464"/>
      <c r="O164" s="464"/>
      <c r="P164" s="464"/>
      <c r="Q164" s="464"/>
      <c r="R164" s="464"/>
      <c r="S164" s="464"/>
      <c r="T164" s="464"/>
      <c r="U164" s="464"/>
      <c r="V164" s="464"/>
      <c r="W164" s="464"/>
    </row>
    <row r="165" spans="1:23" s="440" customFormat="1" ht="13.8">
      <c r="A165" s="480">
        <v>43313</v>
      </c>
      <c r="B165" s="480" t="s">
        <v>572</v>
      </c>
      <c r="C165" s="465" t="s">
        <v>264</v>
      </c>
      <c r="D165" s="464"/>
      <c r="E165" s="464"/>
      <c r="F165" s="464"/>
      <c r="G165" s="479"/>
      <c r="H165" s="464">
        <v>523</v>
      </c>
      <c r="I165" s="464"/>
      <c r="J165" s="464"/>
      <c r="K165" s="464"/>
      <c r="L165" s="464"/>
      <c r="M165" s="464"/>
      <c r="O165" s="464"/>
      <c r="P165" s="464"/>
      <c r="Q165" s="464"/>
      <c r="R165" s="464"/>
      <c r="S165" s="464"/>
      <c r="T165" s="464"/>
      <c r="U165" s="464"/>
      <c r="V165" s="464"/>
      <c r="W165" s="464"/>
    </row>
    <row r="166" spans="1:23" s="440" customFormat="1" ht="13.8">
      <c r="A166" s="480">
        <v>43313</v>
      </c>
      <c r="B166" s="480" t="s">
        <v>572</v>
      </c>
      <c r="C166" s="465" t="s">
        <v>182</v>
      </c>
      <c r="D166" s="464"/>
      <c r="E166" s="464"/>
      <c r="F166" s="464"/>
      <c r="G166" s="479"/>
      <c r="H166" s="464">
        <v>279</v>
      </c>
      <c r="I166" s="464"/>
      <c r="J166" s="464"/>
      <c r="K166" s="464"/>
      <c r="L166" s="464"/>
      <c r="M166" s="464"/>
      <c r="O166" s="464"/>
      <c r="P166" s="464"/>
      <c r="Q166" s="464"/>
      <c r="R166" s="464"/>
      <c r="S166" s="464"/>
      <c r="T166" s="464"/>
      <c r="U166" s="464"/>
      <c r="V166" s="464"/>
      <c r="W166" s="464"/>
    </row>
    <row r="167" spans="1:23" s="440" customFormat="1" ht="13.8">
      <c r="A167" s="480">
        <v>43313</v>
      </c>
      <c r="B167" s="480" t="s">
        <v>572</v>
      </c>
      <c r="C167" s="465" t="s">
        <v>472</v>
      </c>
      <c r="D167" s="464"/>
      <c r="E167" s="464"/>
      <c r="F167" s="464"/>
      <c r="G167" s="479"/>
      <c r="H167" s="464">
        <v>240</v>
      </c>
      <c r="I167" s="464"/>
      <c r="J167" s="464"/>
      <c r="K167" s="464"/>
      <c r="L167" s="464"/>
      <c r="M167" s="464"/>
      <c r="O167" s="464"/>
      <c r="P167" s="464"/>
      <c r="Q167" s="464"/>
      <c r="R167" s="464"/>
      <c r="S167" s="464"/>
      <c r="T167" s="464"/>
      <c r="U167" s="464"/>
      <c r="V167" s="464"/>
      <c r="W167" s="464"/>
    </row>
    <row r="168" spans="1:23" s="440" customFormat="1" ht="13.8">
      <c r="A168" s="480">
        <v>43313</v>
      </c>
      <c r="B168" s="480" t="s">
        <v>572</v>
      </c>
      <c r="C168" s="465" t="s">
        <v>472</v>
      </c>
      <c r="D168" s="464"/>
      <c r="E168" s="464"/>
      <c r="F168" s="464"/>
      <c r="G168" s="479"/>
      <c r="H168" s="464">
        <v>210</v>
      </c>
      <c r="I168" s="464"/>
      <c r="J168" s="464"/>
      <c r="K168" s="464"/>
      <c r="L168" s="464"/>
      <c r="M168" s="464"/>
      <c r="O168" s="464"/>
      <c r="P168" s="464"/>
      <c r="Q168" s="464"/>
      <c r="R168" s="464"/>
      <c r="S168" s="464"/>
      <c r="T168" s="464"/>
      <c r="U168" s="464"/>
      <c r="V168" s="464"/>
      <c r="W168" s="464"/>
    </row>
    <row r="169" spans="1:23" s="440" customFormat="1" ht="13.8">
      <c r="A169" s="480">
        <v>43313</v>
      </c>
      <c r="B169" s="480" t="s">
        <v>572</v>
      </c>
      <c r="C169" s="465" t="s">
        <v>183</v>
      </c>
      <c r="D169" s="464"/>
      <c r="E169" s="464"/>
      <c r="F169" s="464"/>
      <c r="G169" s="479"/>
      <c r="H169" s="464">
        <v>448.75</v>
      </c>
      <c r="I169" s="464"/>
      <c r="J169" s="464"/>
      <c r="K169" s="464"/>
      <c r="L169" s="464"/>
      <c r="M169" s="464"/>
      <c r="O169" s="464"/>
      <c r="P169" s="464"/>
      <c r="Q169" s="464"/>
      <c r="R169" s="464"/>
      <c r="S169" s="464"/>
      <c r="T169" s="464"/>
      <c r="U169" s="464"/>
      <c r="V169" s="464"/>
      <c r="W169" s="464"/>
    </row>
    <row r="170" spans="1:23" s="440" customFormat="1" ht="13.8">
      <c r="A170" s="480">
        <v>43313</v>
      </c>
      <c r="B170" s="480" t="s">
        <v>572</v>
      </c>
      <c r="C170" s="465" t="s">
        <v>125</v>
      </c>
      <c r="D170" s="464"/>
      <c r="E170" s="464"/>
      <c r="F170" s="464"/>
      <c r="G170" s="479"/>
      <c r="H170" s="464">
        <v>233</v>
      </c>
      <c r="I170" s="464"/>
      <c r="J170" s="464"/>
      <c r="K170" s="464"/>
      <c r="L170" s="464"/>
      <c r="M170" s="464"/>
      <c r="O170" s="464"/>
      <c r="P170" s="464"/>
      <c r="Q170" s="464"/>
      <c r="R170" s="464"/>
      <c r="S170" s="464"/>
      <c r="T170" s="464"/>
      <c r="U170" s="464"/>
      <c r="V170" s="464"/>
      <c r="W170" s="464"/>
    </row>
    <row r="171" spans="1:23" s="440" customFormat="1" ht="13.8">
      <c r="A171" s="480">
        <v>43315</v>
      </c>
      <c r="B171" s="480" t="s">
        <v>572</v>
      </c>
      <c r="C171" s="465" t="s">
        <v>583</v>
      </c>
      <c r="D171" s="464"/>
      <c r="E171" s="464"/>
      <c r="F171" s="464"/>
      <c r="G171" s="479"/>
      <c r="H171" s="464">
        <v>211</v>
      </c>
      <c r="I171" s="464"/>
      <c r="J171" s="487"/>
      <c r="K171" s="487"/>
      <c r="L171" s="464"/>
      <c r="M171" s="464"/>
      <c r="O171" s="464"/>
      <c r="P171" s="464"/>
      <c r="Q171" s="464"/>
      <c r="R171" s="464"/>
      <c r="S171" s="464"/>
      <c r="T171" s="464"/>
      <c r="U171" s="464"/>
      <c r="V171" s="464"/>
      <c r="W171" s="464"/>
    </row>
    <row r="172" spans="1:23" s="440" customFormat="1" ht="13.8">
      <c r="A172" s="480">
        <v>43313</v>
      </c>
      <c r="B172" s="480" t="s">
        <v>572</v>
      </c>
      <c r="C172" s="465" t="s">
        <v>306</v>
      </c>
      <c r="D172" s="464"/>
      <c r="E172" s="481"/>
      <c r="F172" s="464"/>
      <c r="G172" s="479"/>
      <c r="H172" s="464">
        <v>2505.2199999999998</v>
      </c>
      <c r="J172" s="487">
        <v>733.45</v>
      </c>
      <c r="K172" s="489">
        <v>1764.27</v>
      </c>
      <c r="L172" s="464"/>
      <c r="M172" s="464"/>
      <c r="O172" s="464"/>
      <c r="P172" s="464"/>
      <c r="Q172" s="464"/>
      <c r="R172" s="464"/>
      <c r="S172" s="464"/>
      <c r="T172" s="464"/>
      <c r="U172" s="464"/>
      <c r="V172" s="464"/>
      <c r="W172" s="464"/>
    </row>
    <row r="173" spans="1:23" s="440" customFormat="1" ht="13.8">
      <c r="A173" s="480">
        <v>43318</v>
      </c>
      <c r="B173" s="480" t="s">
        <v>572</v>
      </c>
      <c r="C173" s="465" t="s">
        <v>20</v>
      </c>
      <c r="D173" s="464"/>
      <c r="E173" s="464"/>
      <c r="F173" s="464"/>
      <c r="G173" s="479"/>
      <c r="H173" s="464">
        <v>179.46</v>
      </c>
      <c r="I173" s="464"/>
      <c r="J173" s="464"/>
      <c r="K173" s="464"/>
      <c r="L173" s="464"/>
      <c r="M173" s="464"/>
      <c r="O173" s="464"/>
      <c r="P173" s="464"/>
      <c r="Q173" s="464"/>
      <c r="R173" s="464"/>
      <c r="S173" s="464"/>
      <c r="T173" s="464"/>
      <c r="U173" s="464"/>
      <c r="V173" s="464"/>
      <c r="W173" s="464"/>
    </row>
    <row r="174" spans="1:23" s="440" customFormat="1" ht="13.8">
      <c r="A174" s="480">
        <v>43323</v>
      </c>
      <c r="B174" s="480" t="s">
        <v>189</v>
      </c>
      <c r="C174" s="465" t="s">
        <v>582</v>
      </c>
      <c r="D174" s="464"/>
      <c r="E174" s="464"/>
      <c r="F174" s="464"/>
      <c r="G174" s="479"/>
      <c r="H174" s="464">
        <v>228</v>
      </c>
      <c r="I174" s="464"/>
      <c r="J174" s="464"/>
      <c r="K174" s="464"/>
      <c r="L174" s="464"/>
      <c r="M174" s="464"/>
      <c r="O174" s="464"/>
      <c r="P174" s="464"/>
      <c r="Q174" s="464"/>
      <c r="R174" s="464"/>
      <c r="S174" s="464"/>
      <c r="T174" s="464"/>
      <c r="U174" s="464"/>
      <c r="V174" s="464"/>
      <c r="W174" s="464"/>
    </row>
    <row r="175" spans="1:23" s="440" customFormat="1" ht="13.8">
      <c r="A175" s="480">
        <v>43328</v>
      </c>
      <c r="B175" s="480" t="s">
        <v>189</v>
      </c>
      <c r="C175" s="465" t="s">
        <v>581</v>
      </c>
      <c r="D175" s="464"/>
      <c r="E175" s="464"/>
      <c r="F175" s="464"/>
      <c r="G175" s="479"/>
      <c r="H175" s="464">
        <v>220</v>
      </c>
      <c r="I175" s="464"/>
      <c r="J175" s="464"/>
      <c r="K175" s="464"/>
      <c r="L175" s="464"/>
      <c r="M175" s="464"/>
      <c r="O175" s="464"/>
      <c r="P175" s="464"/>
      <c r="Q175" s="464"/>
      <c r="R175" s="464"/>
      <c r="S175" s="464"/>
      <c r="T175" s="464"/>
      <c r="U175" s="464"/>
      <c r="V175" s="464"/>
      <c r="W175" s="464"/>
    </row>
    <row r="176" spans="1:23" s="440" customFormat="1" ht="13.8">
      <c r="A176" s="480">
        <v>43343</v>
      </c>
      <c r="B176" s="480"/>
      <c r="C176" s="465" t="s">
        <v>15</v>
      </c>
      <c r="D176" s="466"/>
      <c r="E176" s="464"/>
      <c r="F176" s="464"/>
      <c r="G176" s="479"/>
      <c r="H176" s="466">
        <f>hush18!J3</f>
        <v>2385.96</v>
      </c>
      <c r="I176" s="464"/>
      <c r="J176" s="464"/>
      <c r="K176" s="464"/>
      <c r="L176" s="464"/>
      <c r="M176" s="464"/>
      <c r="O176" s="464"/>
      <c r="P176" s="464"/>
      <c r="Q176" s="464"/>
      <c r="R176" s="464"/>
      <c r="S176" s="464"/>
      <c r="T176" s="464"/>
      <c r="U176" s="464"/>
      <c r="V176" s="464"/>
      <c r="W176" s="464"/>
    </row>
    <row r="177" spans="1:23" s="440" customFormat="1" ht="13.8">
      <c r="A177" s="480">
        <v>43343</v>
      </c>
      <c r="B177" s="480"/>
      <c r="C177" s="465" t="s">
        <v>384</v>
      </c>
      <c r="D177" s="466"/>
      <c r="E177" s="464"/>
      <c r="F177" s="464"/>
      <c r="G177" s="479"/>
      <c r="H177" s="466">
        <f>hush18!J4</f>
        <v>197.45</v>
      </c>
      <c r="I177" s="464"/>
      <c r="J177" s="464"/>
      <c r="K177" s="464"/>
      <c r="L177" s="464"/>
      <c r="M177" s="464"/>
      <c r="O177" s="464"/>
      <c r="P177" s="464"/>
      <c r="Q177" s="464"/>
      <c r="R177" s="464"/>
      <c r="S177" s="464"/>
      <c r="T177" s="464"/>
      <c r="U177" s="464"/>
      <c r="V177" s="464"/>
      <c r="W177" s="464"/>
    </row>
    <row r="178" spans="1:23" s="440" customFormat="1" ht="13.8">
      <c r="A178" s="480">
        <v>43343</v>
      </c>
      <c r="B178" s="480"/>
      <c r="C178" s="465" t="s">
        <v>14</v>
      </c>
      <c r="D178" s="466"/>
      <c r="E178" s="464"/>
      <c r="F178" s="464"/>
      <c r="G178" s="479"/>
      <c r="H178" s="466">
        <f>hush18!J5</f>
        <v>390</v>
      </c>
      <c r="I178" s="478"/>
      <c r="J178" s="478"/>
      <c r="K178" s="478"/>
      <c r="L178" s="464"/>
      <c r="M178" s="464"/>
      <c r="O178" s="478"/>
      <c r="P178" s="478"/>
      <c r="Q178" s="478"/>
      <c r="R178" s="478"/>
      <c r="S178" s="478"/>
      <c r="T178" s="478"/>
      <c r="U178" s="478"/>
      <c r="V178" s="478"/>
      <c r="W178" s="478"/>
    </row>
    <row r="179" spans="1:23" s="440" customFormat="1" ht="13.8">
      <c r="A179" s="480">
        <v>43343</v>
      </c>
      <c r="B179" s="477"/>
      <c r="C179" s="462" t="s">
        <v>37</v>
      </c>
      <c r="D179" s="466"/>
      <c r="E179" s="461"/>
      <c r="F179" s="461"/>
      <c r="G179" s="476"/>
      <c r="H179" s="475">
        <f>'div18'!K2</f>
        <v>2881.1399999999994</v>
      </c>
      <c r="I179" s="461"/>
      <c r="J179" s="461"/>
      <c r="K179" s="461"/>
      <c r="L179" s="461"/>
      <c r="M179" s="461"/>
      <c r="O179" s="461"/>
      <c r="P179" s="461"/>
      <c r="Q179" s="461"/>
      <c r="R179" s="461"/>
      <c r="S179" s="461"/>
      <c r="T179" s="461"/>
      <c r="U179" s="461"/>
      <c r="V179" s="461"/>
      <c r="W179" s="461"/>
    </row>
    <row r="180" spans="1:23" s="447" customFormat="1" ht="13.8">
      <c r="A180" s="486" t="s">
        <v>580</v>
      </c>
      <c r="B180" s="486"/>
      <c r="C180" s="485"/>
      <c r="D180" s="483" t="e">
        <f>SUM(D181:D200)</f>
        <v>#REF!</v>
      </c>
      <c r="E180" s="483">
        <f>SUM(E181:E200)</f>
        <v>0</v>
      </c>
      <c r="F180" s="483"/>
      <c r="G180" s="484"/>
      <c r="H180" s="483">
        <f>SUM(H181:H200)</f>
        <v>22545.39</v>
      </c>
      <c r="I180" s="483">
        <f>SUM(I181:I200)</f>
        <v>20629</v>
      </c>
      <c r="J180" s="483"/>
      <c r="K180" s="483"/>
      <c r="L180" s="483"/>
      <c r="M180" s="483"/>
      <c r="O180" s="482"/>
      <c r="P180" s="482"/>
      <c r="Q180" s="482"/>
      <c r="R180" s="482"/>
      <c r="S180" s="482"/>
      <c r="T180" s="482"/>
      <c r="U180" s="482"/>
      <c r="V180" s="482"/>
      <c r="W180" s="482"/>
    </row>
    <row r="181" spans="1:23" s="481" customFormat="1" ht="13.8">
      <c r="A181" s="480">
        <v>43343</v>
      </c>
      <c r="B181" s="480" t="s">
        <v>189</v>
      </c>
      <c r="C181" s="465" t="s">
        <v>574</v>
      </c>
      <c r="D181" s="464"/>
      <c r="E181" s="464"/>
      <c r="F181" s="464"/>
      <c r="G181" s="479"/>
      <c r="H181" s="464"/>
      <c r="I181" s="464">
        <v>11448</v>
      </c>
      <c r="J181" s="464"/>
      <c r="K181" s="464"/>
      <c r="L181" s="464"/>
      <c r="M181" s="464"/>
      <c r="O181" s="464"/>
      <c r="P181" s="464"/>
      <c r="Q181" s="464"/>
      <c r="R181" s="464"/>
      <c r="S181" s="464"/>
      <c r="T181" s="464"/>
      <c r="U181" s="464"/>
      <c r="V181" s="464"/>
      <c r="W181" s="464"/>
    </row>
    <row r="182" spans="1:23" s="481" customFormat="1" ht="13.8">
      <c r="A182" s="480">
        <v>43343</v>
      </c>
      <c r="B182" s="480" t="s">
        <v>189</v>
      </c>
      <c r="C182" s="465" t="s">
        <v>573</v>
      </c>
      <c r="D182" s="464"/>
      <c r="E182" s="464"/>
      <c r="F182" s="464"/>
      <c r="G182" s="479"/>
      <c r="H182" s="464"/>
      <c r="I182" s="464">
        <v>7829</v>
      </c>
      <c r="J182" s="464"/>
      <c r="K182" s="464"/>
      <c r="L182" s="464"/>
      <c r="M182" s="464"/>
      <c r="O182" s="464"/>
      <c r="P182" s="464"/>
      <c r="Q182" s="464"/>
      <c r="R182" s="464"/>
      <c r="S182" s="464"/>
      <c r="T182" s="464"/>
      <c r="U182" s="464"/>
      <c r="V182" s="464"/>
      <c r="W182" s="464"/>
    </row>
    <row r="183" spans="1:23" s="481" customFormat="1" ht="13.8">
      <c r="A183" s="480">
        <v>43343</v>
      </c>
      <c r="B183" s="480" t="s">
        <v>189</v>
      </c>
      <c r="C183" s="465" t="s">
        <v>573</v>
      </c>
      <c r="D183" s="464"/>
      <c r="E183" s="464"/>
      <c r="F183" s="464"/>
      <c r="G183" s="479"/>
      <c r="H183" s="464"/>
      <c r="I183" s="464">
        <v>205</v>
      </c>
      <c r="J183" s="464"/>
      <c r="K183" s="464"/>
      <c r="L183" s="464"/>
      <c r="M183" s="464"/>
      <c r="O183" s="464"/>
      <c r="P183" s="464"/>
      <c r="Q183" s="464"/>
      <c r="R183" s="464"/>
      <c r="S183" s="464"/>
      <c r="T183" s="464"/>
      <c r="U183" s="464"/>
      <c r="V183" s="464"/>
      <c r="W183" s="464"/>
    </row>
    <row r="184" spans="1:23" s="481" customFormat="1" ht="13.8">
      <c r="A184" s="480">
        <v>43346</v>
      </c>
      <c r="B184" s="480" t="s">
        <v>189</v>
      </c>
      <c r="C184" s="465" t="s">
        <v>31</v>
      </c>
      <c r="D184" s="464"/>
      <c r="E184" s="464"/>
      <c r="F184" s="464"/>
      <c r="G184" s="479"/>
      <c r="H184" s="464"/>
      <c r="I184" s="464">
        <v>1147</v>
      </c>
      <c r="J184" s="464"/>
      <c r="K184" s="464"/>
      <c r="L184" s="464"/>
      <c r="M184" s="464"/>
      <c r="O184" s="464"/>
      <c r="P184" s="464"/>
      <c r="Q184" s="464"/>
      <c r="R184" s="464"/>
      <c r="S184" s="464"/>
      <c r="T184" s="464"/>
      <c r="U184" s="464"/>
      <c r="V184" s="464"/>
      <c r="W184" s="464"/>
    </row>
    <row r="185" spans="1:23" s="481" customFormat="1" ht="13.8">
      <c r="A185" s="480">
        <v>43343</v>
      </c>
      <c r="B185" s="480" t="s">
        <v>189</v>
      </c>
      <c r="C185" s="465" t="s">
        <v>283</v>
      </c>
      <c r="D185" s="464"/>
      <c r="E185" s="464"/>
      <c r="F185" s="464"/>
      <c r="G185" s="479"/>
      <c r="H185" s="464">
        <v>2480</v>
      </c>
      <c r="I185" s="464"/>
      <c r="J185" s="464"/>
      <c r="K185" s="464"/>
      <c r="L185" s="464"/>
      <c r="M185" s="464"/>
      <c r="O185" s="464"/>
      <c r="P185" s="464"/>
      <c r="Q185" s="464"/>
      <c r="R185" s="464"/>
      <c r="S185" s="464"/>
      <c r="T185" s="464"/>
      <c r="U185" s="464"/>
      <c r="V185" s="464"/>
      <c r="W185" s="464"/>
    </row>
    <row r="186" spans="1:23" s="481" customFormat="1" ht="13.8">
      <c r="A186" s="480">
        <v>43343</v>
      </c>
      <c r="B186" s="480" t="s">
        <v>189</v>
      </c>
      <c r="C186" s="465" t="s">
        <v>464</v>
      </c>
      <c r="D186" s="464"/>
      <c r="E186" s="464"/>
      <c r="F186" s="464"/>
      <c r="G186" s="479"/>
      <c r="H186" s="464">
        <v>129</v>
      </c>
      <c r="I186" s="464"/>
      <c r="J186" s="464"/>
      <c r="K186" s="464"/>
      <c r="L186" s="464"/>
      <c r="M186" s="464"/>
      <c r="O186" s="464"/>
      <c r="P186" s="464"/>
      <c r="Q186" s="464"/>
      <c r="R186" s="464"/>
      <c r="S186" s="464"/>
      <c r="T186" s="464"/>
      <c r="U186" s="464"/>
      <c r="V186" s="464"/>
      <c r="W186" s="464"/>
    </row>
    <row r="187" spans="1:23" s="440" customFormat="1" ht="13.8">
      <c r="A187" s="480">
        <v>43346</v>
      </c>
      <c r="B187" s="480" t="s">
        <v>189</v>
      </c>
      <c r="C187" s="465" t="s">
        <v>30</v>
      </c>
      <c r="D187" s="464"/>
      <c r="E187" s="464"/>
      <c r="F187" s="464"/>
      <c r="G187" s="479"/>
      <c r="H187" s="464">
        <v>7474</v>
      </c>
      <c r="I187" s="464"/>
      <c r="J187" s="464"/>
      <c r="K187" s="464"/>
      <c r="L187" s="464"/>
      <c r="M187" s="464"/>
      <c r="O187" s="464"/>
      <c r="P187" s="464"/>
      <c r="Q187" s="464"/>
      <c r="R187" s="464"/>
      <c r="S187" s="464"/>
      <c r="T187" s="464"/>
      <c r="U187" s="464"/>
      <c r="V187" s="464"/>
      <c r="W187" s="464"/>
    </row>
    <row r="188" spans="1:23" s="440" customFormat="1" ht="13.8">
      <c r="A188" s="480">
        <v>43346</v>
      </c>
      <c r="B188" s="480" t="s">
        <v>572</v>
      </c>
      <c r="C188" s="465" t="s">
        <v>265</v>
      </c>
      <c r="D188" s="464"/>
      <c r="E188" s="464"/>
      <c r="F188" s="464"/>
      <c r="G188" s="479"/>
      <c r="H188" s="464">
        <v>602.4</v>
      </c>
      <c r="I188" s="464"/>
      <c r="J188" s="464"/>
      <c r="K188" s="464"/>
      <c r="L188" s="464"/>
      <c r="M188" s="464"/>
      <c r="O188" s="464"/>
      <c r="P188" s="464"/>
      <c r="Q188" s="464"/>
      <c r="R188" s="464"/>
      <c r="S188" s="464"/>
      <c r="T188" s="464"/>
      <c r="U188" s="464"/>
      <c r="V188" s="464"/>
      <c r="W188" s="464"/>
    </row>
    <row r="189" spans="1:23" s="440" customFormat="1" ht="13.8">
      <c r="A189" s="480">
        <v>43346</v>
      </c>
      <c r="B189" s="480" t="s">
        <v>572</v>
      </c>
      <c r="C189" s="465" t="s">
        <v>264</v>
      </c>
      <c r="D189" s="464"/>
      <c r="E189" s="464"/>
      <c r="F189" s="464"/>
      <c r="G189" s="479"/>
      <c r="H189" s="464">
        <v>523</v>
      </c>
      <c r="I189" s="464"/>
      <c r="J189" s="464"/>
      <c r="K189" s="464"/>
      <c r="L189" s="464"/>
      <c r="M189" s="464"/>
      <c r="O189" s="464"/>
      <c r="P189" s="464"/>
      <c r="Q189" s="464"/>
      <c r="R189" s="464"/>
      <c r="S189" s="464"/>
      <c r="T189" s="464"/>
      <c r="U189" s="464"/>
      <c r="V189" s="464"/>
      <c r="W189" s="464"/>
    </row>
    <row r="190" spans="1:23" s="440" customFormat="1" ht="13.8">
      <c r="A190" s="480">
        <v>43346</v>
      </c>
      <c r="B190" s="480" t="s">
        <v>572</v>
      </c>
      <c r="C190" s="465" t="s">
        <v>182</v>
      </c>
      <c r="D190" s="464"/>
      <c r="E190" s="464"/>
      <c r="F190" s="464"/>
      <c r="G190" s="479"/>
      <c r="H190" s="464">
        <v>279</v>
      </c>
      <c r="I190" s="464"/>
      <c r="J190" s="464"/>
      <c r="K190" s="464"/>
      <c r="L190" s="464"/>
      <c r="M190" s="464"/>
      <c r="O190" s="464"/>
      <c r="P190" s="464"/>
      <c r="Q190" s="464"/>
      <c r="R190" s="464"/>
      <c r="S190" s="464"/>
      <c r="T190" s="464"/>
      <c r="U190" s="464"/>
      <c r="V190" s="464"/>
      <c r="W190" s="464"/>
    </row>
    <row r="191" spans="1:23" s="440" customFormat="1" ht="13.8">
      <c r="A191" s="480">
        <v>43346</v>
      </c>
      <c r="B191" s="480" t="s">
        <v>572</v>
      </c>
      <c r="C191" s="465" t="s">
        <v>472</v>
      </c>
      <c r="D191" s="464"/>
      <c r="E191" s="464"/>
      <c r="F191" s="464"/>
      <c r="G191" s="479"/>
      <c r="H191" s="464">
        <v>450</v>
      </c>
      <c r="I191" s="464"/>
      <c r="J191" s="464"/>
      <c r="K191" s="464"/>
      <c r="L191" s="464"/>
      <c r="M191" s="464"/>
      <c r="O191" s="464"/>
      <c r="P191" s="464"/>
      <c r="Q191" s="464"/>
      <c r="R191" s="464"/>
      <c r="S191" s="464"/>
      <c r="T191" s="464"/>
      <c r="U191" s="464"/>
      <c r="V191" s="464"/>
      <c r="W191" s="464"/>
    </row>
    <row r="192" spans="1:23" s="440" customFormat="1" ht="13.8">
      <c r="A192" s="480">
        <v>43346</v>
      </c>
      <c r="B192" s="480" t="s">
        <v>572</v>
      </c>
      <c r="C192" s="465" t="s">
        <v>183</v>
      </c>
      <c r="D192" s="464"/>
      <c r="E192" s="464"/>
      <c r="F192" s="464"/>
      <c r="G192" s="479"/>
      <c r="H192" s="464">
        <v>448.75</v>
      </c>
      <c r="I192" s="464"/>
      <c r="J192" s="464"/>
      <c r="K192" s="464"/>
      <c r="L192" s="464"/>
      <c r="M192" s="464"/>
      <c r="O192" s="464"/>
      <c r="P192" s="464"/>
      <c r="Q192" s="464"/>
      <c r="R192" s="464"/>
      <c r="S192" s="464"/>
      <c r="T192" s="464"/>
      <c r="U192" s="464"/>
      <c r="V192" s="464"/>
      <c r="W192" s="464"/>
    </row>
    <row r="193" spans="1:23" s="440" customFormat="1" ht="13.8">
      <c r="A193" s="480">
        <v>43346</v>
      </c>
      <c r="B193" s="480" t="s">
        <v>189</v>
      </c>
      <c r="C193" s="465" t="s">
        <v>481</v>
      </c>
      <c r="D193" s="464"/>
      <c r="E193" s="464"/>
      <c r="F193" s="464"/>
      <c r="G193" s="479"/>
      <c r="H193" s="464">
        <v>73</v>
      </c>
      <c r="I193" s="464"/>
      <c r="J193" s="464"/>
      <c r="K193" s="464"/>
      <c r="L193" s="464"/>
      <c r="M193" s="464"/>
      <c r="O193" s="464"/>
      <c r="P193" s="464"/>
      <c r="Q193" s="464"/>
      <c r="R193" s="464"/>
      <c r="S193" s="464"/>
      <c r="T193" s="464"/>
      <c r="U193" s="464"/>
      <c r="V193" s="464"/>
      <c r="W193" s="464"/>
    </row>
    <row r="194" spans="1:23" s="440" customFormat="1" ht="13.8">
      <c r="A194" s="480">
        <v>43346</v>
      </c>
      <c r="B194" s="480" t="s">
        <v>189</v>
      </c>
      <c r="C194" s="465" t="s">
        <v>100</v>
      </c>
      <c r="D194" s="464"/>
      <c r="E194" s="464"/>
      <c r="F194" s="464"/>
      <c r="G194" s="479"/>
      <c r="H194" s="464">
        <v>760</v>
      </c>
      <c r="I194" s="464"/>
      <c r="J194" s="464"/>
      <c r="K194" s="461"/>
      <c r="L194" s="464"/>
      <c r="M194" s="464"/>
      <c r="O194" s="464"/>
      <c r="P194" s="464"/>
      <c r="Q194" s="464"/>
      <c r="R194" s="464"/>
      <c r="S194" s="464"/>
      <c r="T194" s="464"/>
      <c r="U194" s="464"/>
      <c r="V194" s="464"/>
      <c r="W194" s="464"/>
    </row>
    <row r="195" spans="1:23" s="440" customFormat="1" ht="13.8">
      <c r="A195" s="480">
        <v>43346</v>
      </c>
      <c r="B195" s="480" t="s">
        <v>572</v>
      </c>
      <c r="C195" s="465" t="s">
        <v>306</v>
      </c>
      <c r="D195" s="464"/>
      <c r="E195" s="481"/>
      <c r="F195" s="464"/>
      <c r="G195" s="479"/>
      <c r="H195" s="464">
        <v>3651.12</v>
      </c>
      <c r="I195" s="464"/>
      <c r="J195" s="464">
        <v>579.12</v>
      </c>
      <c r="K195" s="464">
        <v>3066.5</v>
      </c>
      <c r="L195" s="464"/>
      <c r="M195" s="464"/>
      <c r="O195" s="464"/>
      <c r="P195" s="464"/>
      <c r="Q195" s="464"/>
      <c r="R195" s="464"/>
      <c r="S195" s="464"/>
      <c r="T195" s="464"/>
      <c r="U195" s="464"/>
      <c r="V195" s="464"/>
      <c r="W195" s="464"/>
    </row>
    <row r="196" spans="1:23" s="440" customFormat="1" ht="13.8">
      <c r="A196" s="480">
        <v>43349</v>
      </c>
      <c r="B196" s="480" t="s">
        <v>572</v>
      </c>
      <c r="C196" s="465" t="s">
        <v>20</v>
      </c>
      <c r="D196" s="464"/>
      <c r="E196" s="464"/>
      <c r="F196" s="464"/>
      <c r="G196" s="479"/>
      <c r="H196" s="464">
        <v>173.67</v>
      </c>
      <c r="I196" s="464"/>
      <c r="J196" s="464"/>
      <c r="K196" s="490"/>
      <c r="L196" s="464"/>
      <c r="M196" s="464"/>
      <c r="O196" s="464"/>
      <c r="P196" s="464"/>
      <c r="Q196" s="464"/>
      <c r="R196" s="464"/>
      <c r="S196" s="464"/>
      <c r="T196" s="464"/>
      <c r="U196" s="464"/>
      <c r="V196" s="464"/>
      <c r="W196" s="464"/>
    </row>
    <row r="197" spans="1:23" s="440" customFormat="1" ht="13.8">
      <c r="A197" s="480">
        <v>43373</v>
      </c>
      <c r="B197" s="480"/>
      <c r="C197" s="465" t="s">
        <v>15</v>
      </c>
      <c r="D197" s="466"/>
      <c r="E197" s="464"/>
      <c r="F197" s="464"/>
      <c r="G197" s="479"/>
      <c r="H197" s="466">
        <f>hush18!K3</f>
        <v>1822.6399999999999</v>
      </c>
      <c r="I197" s="464"/>
      <c r="J197" s="464"/>
      <c r="K197" s="464"/>
      <c r="L197" s="464"/>
      <c r="M197" s="464"/>
      <c r="O197" s="464"/>
      <c r="P197" s="464"/>
      <c r="Q197" s="464"/>
      <c r="R197" s="464"/>
      <c r="S197" s="464"/>
      <c r="T197" s="464"/>
      <c r="U197" s="464"/>
      <c r="V197" s="464"/>
      <c r="W197" s="464"/>
    </row>
    <row r="198" spans="1:23" s="440" customFormat="1" ht="13.8">
      <c r="A198" s="480">
        <v>43373</v>
      </c>
      <c r="B198" s="480"/>
      <c r="C198" s="465" t="s">
        <v>384</v>
      </c>
      <c r="D198" s="466"/>
      <c r="E198" s="464"/>
      <c r="F198" s="464"/>
      <c r="G198" s="479"/>
      <c r="H198" s="466">
        <f>hush18!K4</f>
        <v>147.94999999999999</v>
      </c>
      <c r="I198" s="464"/>
      <c r="J198" s="464"/>
      <c r="K198" s="464"/>
      <c r="L198" s="464"/>
      <c r="M198" s="464"/>
      <c r="O198" s="464"/>
      <c r="P198" s="464"/>
      <c r="Q198" s="464"/>
      <c r="R198" s="464"/>
      <c r="S198" s="464"/>
      <c r="T198" s="464"/>
      <c r="U198" s="464"/>
      <c r="V198" s="464"/>
      <c r="W198" s="464"/>
    </row>
    <row r="199" spans="1:23" s="440" customFormat="1" ht="13.8">
      <c r="A199" s="480">
        <v>43373</v>
      </c>
      <c r="B199" s="480"/>
      <c r="C199" s="465" t="s">
        <v>14</v>
      </c>
      <c r="D199" s="466"/>
      <c r="E199" s="464"/>
      <c r="F199" s="464"/>
      <c r="G199" s="479"/>
      <c r="H199" s="466">
        <f>hush18!K5</f>
        <v>741</v>
      </c>
      <c r="I199" s="478"/>
      <c r="J199" s="478"/>
      <c r="K199" s="478"/>
      <c r="L199" s="464"/>
      <c r="M199" s="464"/>
      <c r="O199" s="478"/>
      <c r="P199" s="478"/>
      <c r="Q199" s="478"/>
      <c r="R199" s="478"/>
      <c r="S199" s="478"/>
      <c r="T199" s="478"/>
      <c r="U199" s="478"/>
      <c r="V199" s="478"/>
      <c r="W199" s="478"/>
    </row>
    <row r="200" spans="1:23" s="440" customFormat="1" ht="13.8">
      <c r="A200" s="480">
        <v>43373</v>
      </c>
      <c r="B200" s="480"/>
      <c r="C200" s="465" t="s">
        <v>37</v>
      </c>
      <c r="D200" s="466" t="e">
        <f>'div18'!#REF!</f>
        <v>#REF!</v>
      </c>
      <c r="E200" s="464"/>
      <c r="F200" s="464"/>
      <c r="G200" s="479"/>
      <c r="H200" s="466">
        <f>'div18'!L2</f>
        <v>2789.8599999999997</v>
      </c>
      <c r="I200" s="478"/>
      <c r="J200" s="478"/>
      <c r="K200" s="478"/>
      <c r="L200" s="464"/>
      <c r="M200" s="464"/>
      <c r="O200" s="478"/>
      <c r="P200" s="478"/>
      <c r="Q200" s="478"/>
      <c r="R200" s="478"/>
      <c r="S200" s="478"/>
      <c r="T200" s="478"/>
      <c r="U200" s="478"/>
      <c r="V200" s="478"/>
      <c r="W200" s="478"/>
    </row>
    <row r="201" spans="1:23" s="447" customFormat="1" ht="13.8">
      <c r="A201" s="486" t="s">
        <v>579</v>
      </c>
      <c r="B201" s="486"/>
      <c r="C201" s="485"/>
      <c r="D201" s="483" t="e">
        <f>SUM(D202:D221)</f>
        <v>#REF!</v>
      </c>
      <c r="E201" s="483">
        <f>SUM(E202:E221)</f>
        <v>0</v>
      </c>
      <c r="F201" s="483"/>
      <c r="G201" s="484"/>
      <c r="H201" s="483">
        <f>SUM(H202:H221)</f>
        <v>15695.07</v>
      </c>
      <c r="I201" s="483">
        <f>SUM(I202:I220)</f>
        <v>20758</v>
      </c>
      <c r="J201" s="483"/>
      <c r="K201" s="483"/>
      <c r="L201" s="483"/>
      <c r="M201" s="483"/>
      <c r="N201" s="447" t="s">
        <v>575</v>
      </c>
      <c r="O201" s="482">
        <f>MONTH(A221)</f>
        <v>10</v>
      </c>
      <c r="P201" s="482"/>
      <c r="Q201" s="482"/>
      <c r="R201" s="482"/>
      <c r="S201" s="482"/>
      <c r="T201" s="482"/>
      <c r="U201" s="482"/>
      <c r="V201" s="482"/>
      <c r="W201" s="482"/>
    </row>
    <row r="202" spans="1:23" s="440" customFormat="1" ht="13.8">
      <c r="A202" s="480">
        <v>43373</v>
      </c>
      <c r="B202" s="480" t="s">
        <v>189</v>
      </c>
      <c r="C202" s="465" t="s">
        <v>574</v>
      </c>
      <c r="D202" s="464"/>
      <c r="E202" s="487"/>
      <c r="F202" s="464"/>
      <c r="G202" s="479"/>
      <c r="H202" s="464"/>
      <c r="I202" s="464">
        <v>11448</v>
      </c>
      <c r="J202" s="464"/>
      <c r="K202" s="464"/>
      <c r="L202" s="464"/>
      <c r="M202" s="464"/>
      <c r="O202" s="464"/>
      <c r="P202" s="464"/>
      <c r="Q202" s="464"/>
      <c r="R202" s="464"/>
      <c r="S202" s="464"/>
      <c r="T202" s="464"/>
      <c r="U202" s="464"/>
      <c r="V202" s="464"/>
      <c r="W202" s="464"/>
    </row>
    <row r="203" spans="1:23" s="440" customFormat="1" ht="13.8">
      <c r="A203" s="480">
        <v>43373</v>
      </c>
      <c r="B203" s="480" t="s">
        <v>189</v>
      </c>
      <c r="C203" s="465" t="s">
        <v>573</v>
      </c>
      <c r="D203" s="464"/>
      <c r="E203" s="487"/>
      <c r="F203" s="464"/>
      <c r="G203" s="479"/>
      <c r="H203" s="464"/>
      <c r="I203" s="464">
        <v>7829</v>
      </c>
      <c r="J203" s="464"/>
      <c r="K203" s="464"/>
      <c r="L203" s="464"/>
      <c r="M203" s="464"/>
      <c r="O203" s="464"/>
      <c r="P203" s="464"/>
      <c r="Q203" s="464"/>
      <c r="R203" s="464"/>
      <c r="S203" s="464"/>
      <c r="T203" s="464"/>
      <c r="U203" s="464"/>
      <c r="V203" s="464"/>
      <c r="W203" s="464"/>
    </row>
    <row r="204" spans="1:23" s="440" customFormat="1" ht="13.8">
      <c r="A204" s="480">
        <v>43373</v>
      </c>
      <c r="B204" s="480" t="s">
        <v>189</v>
      </c>
      <c r="C204" s="465" t="s">
        <v>573</v>
      </c>
      <c r="D204" s="464"/>
      <c r="E204" s="487"/>
      <c r="F204" s="464"/>
      <c r="G204" s="479"/>
      <c r="H204" s="464"/>
      <c r="I204" s="464">
        <v>205</v>
      </c>
      <c r="J204" s="464"/>
      <c r="K204" s="464"/>
      <c r="L204" s="464"/>
      <c r="M204" s="464"/>
      <c r="O204" s="464"/>
      <c r="P204" s="464"/>
      <c r="Q204" s="464"/>
      <c r="R204" s="464"/>
      <c r="S204" s="464"/>
      <c r="T204" s="464"/>
      <c r="U204" s="464"/>
      <c r="V204" s="464"/>
      <c r="W204" s="464"/>
    </row>
    <row r="205" spans="1:23" s="440" customFormat="1" ht="13.8">
      <c r="A205" s="480">
        <v>43374</v>
      </c>
      <c r="B205" s="480" t="s">
        <v>189</v>
      </c>
      <c r="C205" s="465" t="s">
        <v>31</v>
      </c>
      <c r="D205" s="464"/>
      <c r="E205" s="464"/>
      <c r="F205" s="464"/>
      <c r="G205" s="479"/>
      <c r="H205" s="464"/>
      <c r="I205" s="464">
        <v>1147</v>
      </c>
      <c r="J205" s="464"/>
      <c r="K205" s="464"/>
      <c r="L205" s="464"/>
      <c r="M205" s="464"/>
      <c r="O205" s="464"/>
      <c r="P205" s="464"/>
      <c r="Q205" s="464"/>
      <c r="R205" s="464"/>
      <c r="S205" s="464"/>
      <c r="T205" s="464"/>
      <c r="U205" s="464"/>
      <c r="V205" s="464"/>
      <c r="W205" s="464"/>
    </row>
    <row r="206" spans="1:23" s="440" customFormat="1" ht="13.8">
      <c r="A206" s="480">
        <v>43375</v>
      </c>
      <c r="B206" s="480" t="s">
        <v>189</v>
      </c>
      <c r="C206" s="465" t="s">
        <v>464</v>
      </c>
      <c r="D206" s="464"/>
      <c r="E206" s="464"/>
      <c r="F206" s="464"/>
      <c r="G206" s="479"/>
      <c r="H206" s="464"/>
      <c r="I206" s="464">
        <v>129</v>
      </c>
      <c r="J206" s="464"/>
      <c r="K206" s="464"/>
      <c r="L206" s="464"/>
      <c r="M206" s="464"/>
      <c r="O206" s="464"/>
      <c r="P206" s="464"/>
      <c r="Q206" s="464"/>
      <c r="R206" s="464"/>
      <c r="S206" s="464"/>
      <c r="T206" s="464"/>
      <c r="U206" s="464"/>
      <c r="V206" s="464"/>
      <c r="W206" s="464"/>
    </row>
    <row r="207" spans="1:23" s="481" customFormat="1" ht="13.8">
      <c r="A207" s="480">
        <v>43374</v>
      </c>
      <c r="B207" s="480" t="s">
        <v>189</v>
      </c>
      <c r="C207" s="465" t="s">
        <v>30</v>
      </c>
      <c r="D207" s="464"/>
      <c r="E207" s="464"/>
      <c r="F207" s="464"/>
      <c r="G207" s="479"/>
      <c r="H207" s="464">
        <v>7474</v>
      </c>
      <c r="I207" s="464"/>
      <c r="J207" s="464"/>
      <c r="K207" s="464"/>
      <c r="L207" s="464"/>
      <c r="M207" s="464"/>
      <c r="O207" s="464"/>
      <c r="P207" s="464"/>
      <c r="Q207" s="464"/>
      <c r="R207" s="464"/>
      <c r="S207" s="464"/>
      <c r="T207" s="464"/>
      <c r="U207" s="464"/>
      <c r="V207" s="464"/>
      <c r="W207" s="464"/>
    </row>
    <row r="208" spans="1:23" s="440" customFormat="1" ht="13.8">
      <c r="A208" s="480">
        <v>43374</v>
      </c>
      <c r="B208" s="488" t="s">
        <v>572</v>
      </c>
      <c r="C208" s="465" t="s">
        <v>265</v>
      </c>
      <c r="D208" s="464"/>
      <c r="E208" s="464"/>
      <c r="F208" s="464"/>
      <c r="G208" s="479"/>
      <c r="H208" s="464">
        <v>602.4</v>
      </c>
      <c r="I208" s="464"/>
      <c r="J208" s="464"/>
      <c r="K208" s="464"/>
      <c r="L208" s="464"/>
      <c r="M208" s="464"/>
      <c r="O208" s="464"/>
      <c r="P208" s="464"/>
      <c r="Q208" s="464"/>
      <c r="R208" s="464"/>
      <c r="S208" s="464"/>
      <c r="T208" s="464"/>
      <c r="U208" s="464"/>
      <c r="V208" s="464"/>
      <c r="W208" s="464"/>
    </row>
    <row r="209" spans="1:23" s="440" customFormat="1" ht="13.8">
      <c r="A209" s="480">
        <v>43374</v>
      </c>
      <c r="B209" s="488" t="s">
        <v>572</v>
      </c>
      <c r="C209" s="465" t="s">
        <v>264</v>
      </c>
      <c r="D209" s="464"/>
      <c r="E209" s="464"/>
      <c r="F209" s="464"/>
      <c r="G209" s="479"/>
      <c r="H209" s="464">
        <v>523</v>
      </c>
      <c r="I209" s="464"/>
      <c r="J209" s="464"/>
      <c r="K209" s="464"/>
      <c r="L209" s="464"/>
      <c r="M209" s="464"/>
      <c r="O209" s="464"/>
      <c r="P209" s="464"/>
      <c r="Q209" s="464"/>
      <c r="R209" s="464"/>
      <c r="S209" s="464"/>
      <c r="T209" s="464"/>
      <c r="U209" s="464"/>
      <c r="V209" s="464"/>
      <c r="W209" s="464"/>
    </row>
    <row r="210" spans="1:23" s="440" customFormat="1" ht="13.8">
      <c r="A210" s="480">
        <v>43374</v>
      </c>
      <c r="B210" s="488" t="s">
        <v>572</v>
      </c>
      <c r="C210" s="465" t="s">
        <v>182</v>
      </c>
      <c r="D210" s="464"/>
      <c r="E210" s="464"/>
      <c r="F210" s="464"/>
      <c r="G210" s="479"/>
      <c r="H210" s="464">
        <v>279</v>
      </c>
      <c r="I210" s="464"/>
      <c r="J210" s="464"/>
      <c r="K210" s="464"/>
      <c r="L210" s="464"/>
      <c r="M210" s="464"/>
      <c r="O210" s="464"/>
      <c r="P210" s="464"/>
      <c r="Q210" s="464"/>
      <c r="R210" s="464"/>
      <c r="S210" s="464"/>
      <c r="T210" s="464"/>
      <c r="U210" s="464"/>
      <c r="V210" s="464"/>
      <c r="W210" s="464"/>
    </row>
    <row r="211" spans="1:23" s="440" customFormat="1" ht="13.8">
      <c r="A211" s="480">
        <v>43374</v>
      </c>
      <c r="B211" s="488" t="s">
        <v>572</v>
      </c>
      <c r="C211" s="465" t="s">
        <v>472</v>
      </c>
      <c r="D211" s="464"/>
      <c r="E211" s="464"/>
      <c r="F211" s="464"/>
      <c r="G211" s="479"/>
      <c r="H211" s="464">
        <v>450</v>
      </c>
      <c r="I211" s="464"/>
      <c r="J211" s="464"/>
      <c r="K211" s="464"/>
      <c r="L211" s="464"/>
      <c r="M211" s="464"/>
      <c r="O211" s="464"/>
      <c r="P211" s="464"/>
      <c r="Q211" s="464"/>
      <c r="R211" s="464"/>
      <c r="S211" s="464"/>
      <c r="T211" s="464"/>
      <c r="U211" s="464"/>
      <c r="V211" s="464"/>
      <c r="W211" s="464"/>
    </row>
    <row r="212" spans="1:23" s="440" customFormat="1" ht="13.8">
      <c r="A212" s="480">
        <v>43374</v>
      </c>
      <c r="B212" s="488" t="s">
        <v>572</v>
      </c>
      <c r="C212" s="465" t="s">
        <v>183</v>
      </c>
      <c r="D212" s="464"/>
      <c r="E212" s="464"/>
      <c r="F212" s="464"/>
      <c r="G212" s="479"/>
      <c r="H212" s="464">
        <v>448.75</v>
      </c>
      <c r="I212" s="464"/>
      <c r="J212" s="464"/>
      <c r="K212" s="464"/>
      <c r="L212" s="464"/>
      <c r="M212" s="464"/>
      <c r="O212" s="464"/>
      <c r="P212" s="464"/>
      <c r="Q212" s="464"/>
      <c r="R212" s="464"/>
      <c r="S212" s="464"/>
      <c r="T212" s="464"/>
      <c r="U212" s="464"/>
      <c r="V212" s="464"/>
      <c r="W212" s="464"/>
    </row>
    <row r="213" spans="1:23" s="440" customFormat="1" ht="13.8">
      <c r="A213" s="480">
        <v>43374</v>
      </c>
      <c r="B213" s="488" t="s">
        <v>572</v>
      </c>
      <c r="C213" s="465" t="s">
        <v>481</v>
      </c>
      <c r="D213" s="467"/>
      <c r="E213" s="464"/>
      <c r="F213" s="464"/>
      <c r="G213" s="479"/>
      <c r="H213" s="467">
        <v>73</v>
      </c>
      <c r="I213" s="464"/>
      <c r="J213" s="464"/>
      <c r="K213" s="464"/>
      <c r="L213" s="464"/>
      <c r="M213" s="464"/>
      <c r="O213" s="464"/>
      <c r="P213" s="464"/>
      <c r="Q213" s="464"/>
      <c r="R213" s="464"/>
      <c r="S213" s="464"/>
      <c r="T213" s="464"/>
      <c r="U213" s="464"/>
      <c r="V213" s="464"/>
      <c r="W213" s="464"/>
    </row>
    <row r="214" spans="1:23" s="440" customFormat="1" ht="13.8">
      <c r="A214" s="480">
        <v>43374</v>
      </c>
      <c r="B214" s="488" t="s">
        <v>572</v>
      </c>
      <c r="C214" s="465" t="s">
        <v>100</v>
      </c>
      <c r="D214" s="464"/>
      <c r="E214" s="464"/>
      <c r="F214" s="464"/>
      <c r="G214" s="479"/>
      <c r="H214" s="464">
        <v>760</v>
      </c>
      <c r="I214" s="464"/>
      <c r="J214" s="464"/>
      <c r="K214" s="464"/>
      <c r="L214" s="464"/>
      <c r="M214" s="464"/>
      <c r="O214" s="464"/>
      <c r="P214" s="464"/>
      <c r="Q214" s="464"/>
      <c r="R214" s="464"/>
      <c r="S214" s="464"/>
      <c r="T214" s="464"/>
      <c r="U214" s="464"/>
      <c r="V214" s="464"/>
      <c r="W214" s="464"/>
    </row>
    <row r="215" spans="1:23" s="440" customFormat="1" ht="13.8">
      <c r="A215" s="480">
        <v>43374</v>
      </c>
      <c r="B215" s="488" t="s">
        <v>572</v>
      </c>
      <c r="C215" s="465" t="s">
        <v>306</v>
      </c>
      <c r="D215" s="464"/>
      <c r="F215" s="487"/>
      <c r="G215" s="489"/>
      <c r="H215" s="464">
        <v>2031.07</v>
      </c>
      <c r="J215" s="464">
        <v>783.75</v>
      </c>
      <c r="K215" s="464">
        <v>1241.82</v>
      </c>
      <c r="L215" s="464"/>
      <c r="M215" s="464"/>
      <c r="O215" s="464"/>
      <c r="P215" s="464"/>
      <c r="Q215" s="464"/>
      <c r="R215" s="464"/>
      <c r="S215" s="464"/>
      <c r="T215" s="464"/>
      <c r="U215" s="464"/>
      <c r="V215" s="464"/>
      <c r="W215" s="464"/>
    </row>
    <row r="216" spans="1:23" s="440" customFormat="1" ht="13.8">
      <c r="A216" s="480">
        <v>43374</v>
      </c>
      <c r="B216" s="488" t="s">
        <v>572</v>
      </c>
      <c r="C216" s="465" t="s">
        <v>578</v>
      </c>
      <c r="D216" s="467"/>
      <c r="E216" s="464"/>
      <c r="F216" s="464"/>
      <c r="G216" s="479"/>
      <c r="H216" s="467">
        <v>200</v>
      </c>
      <c r="I216" s="464"/>
      <c r="J216" s="464"/>
      <c r="K216" s="464"/>
      <c r="L216" s="464"/>
      <c r="M216" s="464"/>
      <c r="O216" s="464"/>
      <c r="P216" s="464"/>
      <c r="Q216" s="464"/>
      <c r="R216" s="464"/>
      <c r="S216" s="464"/>
      <c r="T216" s="464"/>
      <c r="U216" s="464"/>
      <c r="V216" s="464"/>
      <c r="W216" s="464"/>
    </row>
    <row r="217" spans="1:23" s="440" customFormat="1" ht="13.8">
      <c r="A217" s="480">
        <v>43378</v>
      </c>
      <c r="B217" s="488" t="s">
        <v>572</v>
      </c>
      <c r="C217" s="465" t="s">
        <v>20</v>
      </c>
      <c r="D217" s="467"/>
      <c r="E217" s="464"/>
      <c r="F217" s="464"/>
      <c r="G217" s="479"/>
      <c r="H217" s="467">
        <v>179.46</v>
      </c>
      <c r="I217" s="464"/>
      <c r="J217" s="464"/>
      <c r="K217" s="464"/>
      <c r="L217" s="464"/>
      <c r="M217" s="464"/>
      <c r="O217" s="464"/>
      <c r="P217" s="464"/>
      <c r="Q217" s="464"/>
      <c r="R217" s="464"/>
      <c r="S217" s="464"/>
      <c r="T217" s="464"/>
      <c r="U217" s="464"/>
      <c r="V217" s="464"/>
      <c r="W217" s="464"/>
    </row>
    <row r="218" spans="1:23" s="440" customFormat="1" ht="13.8">
      <c r="A218" s="480">
        <v>43404</v>
      </c>
      <c r="B218" s="480"/>
      <c r="C218" s="465" t="s">
        <v>15</v>
      </c>
      <c r="D218" s="466"/>
      <c r="E218" s="464"/>
      <c r="F218" s="464"/>
      <c r="G218" s="479"/>
      <c r="H218" s="466">
        <f>hush18!L3</f>
        <v>1141.4399999999998</v>
      </c>
      <c r="I218" s="464"/>
      <c r="J218" s="464"/>
      <c r="K218" s="464"/>
      <c r="L218" s="464"/>
      <c r="M218" s="464"/>
      <c r="O218" s="464"/>
      <c r="P218" s="464"/>
      <c r="Q218" s="464"/>
      <c r="R218" s="464"/>
      <c r="S218" s="464"/>
      <c r="T218" s="464"/>
      <c r="U218" s="464"/>
      <c r="V218" s="464"/>
      <c r="W218" s="464"/>
    </row>
    <row r="219" spans="1:23" s="440" customFormat="1" ht="13.8">
      <c r="A219" s="480">
        <v>43404</v>
      </c>
      <c r="B219" s="480"/>
      <c r="C219" s="465" t="s">
        <v>384</v>
      </c>
      <c r="D219" s="466"/>
      <c r="E219" s="464"/>
      <c r="F219" s="464"/>
      <c r="G219" s="479"/>
      <c r="H219" s="466">
        <f>hush18!L4</f>
        <v>113.95</v>
      </c>
      <c r="I219" s="464"/>
      <c r="J219" s="464"/>
      <c r="K219" s="464"/>
      <c r="L219" s="464"/>
      <c r="M219" s="464"/>
      <c r="O219" s="464"/>
      <c r="P219" s="464"/>
      <c r="Q219" s="464"/>
      <c r="R219" s="464"/>
      <c r="S219" s="464"/>
      <c r="T219" s="464"/>
      <c r="U219" s="464"/>
      <c r="V219" s="464"/>
      <c r="W219" s="464"/>
    </row>
    <row r="220" spans="1:23" s="440" customFormat="1" ht="13.8">
      <c r="A220" s="480">
        <v>43404</v>
      </c>
      <c r="B220" s="480"/>
      <c r="C220" s="465" t="s">
        <v>14</v>
      </c>
      <c r="D220" s="466"/>
      <c r="E220" s="464"/>
      <c r="F220" s="464"/>
      <c r="G220" s="479"/>
      <c r="H220" s="466">
        <f>hush18!L5</f>
        <v>0</v>
      </c>
      <c r="I220" s="464"/>
      <c r="J220" s="464"/>
      <c r="K220" s="464"/>
      <c r="L220" s="464"/>
      <c r="M220" s="464"/>
      <c r="O220" s="464"/>
      <c r="P220" s="464"/>
      <c r="Q220" s="464"/>
      <c r="R220" s="464"/>
      <c r="S220" s="464"/>
      <c r="T220" s="464"/>
      <c r="U220" s="464"/>
      <c r="V220" s="464"/>
      <c r="W220" s="464"/>
    </row>
    <row r="221" spans="1:23" s="440" customFormat="1" ht="13.8">
      <c r="A221" s="480">
        <v>43404</v>
      </c>
      <c r="B221" s="480"/>
      <c r="C221" s="465" t="s">
        <v>37</v>
      </c>
      <c r="D221" s="466" t="e">
        <f>'div18'!#REF!</f>
        <v>#REF!</v>
      </c>
      <c r="E221" s="464"/>
      <c r="F221" s="464"/>
      <c r="G221" s="479"/>
      <c r="H221" s="466">
        <f>'div18'!M2</f>
        <v>1419</v>
      </c>
      <c r="I221" s="464"/>
      <c r="J221" s="464"/>
      <c r="K221" s="464"/>
      <c r="L221" s="464"/>
      <c r="M221" s="464"/>
      <c r="O221" s="464"/>
      <c r="P221" s="464"/>
      <c r="Q221" s="464"/>
      <c r="R221" s="464"/>
      <c r="S221" s="464"/>
      <c r="T221" s="464"/>
      <c r="U221" s="464"/>
      <c r="V221" s="464"/>
      <c r="W221" s="464"/>
    </row>
    <row r="222" spans="1:23" s="447" customFormat="1" ht="13.8">
      <c r="A222" s="486" t="s">
        <v>577</v>
      </c>
      <c r="B222" s="486"/>
      <c r="C222" s="485"/>
      <c r="D222" s="483" t="e">
        <f>SUM(D223:D240)</f>
        <v>#REF!</v>
      </c>
      <c r="E222" s="483">
        <f>SUM(E223:E240)</f>
        <v>0</v>
      </c>
      <c r="F222" s="483"/>
      <c r="G222" s="484"/>
      <c r="H222" s="483">
        <f>SUM(H223:H240)</f>
        <v>16383.810000000001</v>
      </c>
      <c r="I222" s="483">
        <f>SUM(I223:I240)</f>
        <v>19507</v>
      </c>
      <c r="J222" s="483"/>
      <c r="K222" s="483"/>
      <c r="L222" s="483"/>
      <c r="M222" s="483"/>
      <c r="N222" s="447" t="s">
        <v>575</v>
      </c>
      <c r="O222" s="482">
        <f>MONTH(A240)</f>
        <v>11</v>
      </c>
      <c r="P222" s="482"/>
      <c r="Q222" s="482"/>
      <c r="R222" s="482"/>
      <c r="S222" s="482"/>
      <c r="T222" s="482"/>
      <c r="U222" s="482"/>
      <c r="V222" s="482"/>
      <c r="W222" s="482"/>
    </row>
    <row r="223" spans="1:23" s="440" customFormat="1" ht="13.8">
      <c r="A223" s="480">
        <v>43404</v>
      </c>
      <c r="B223" s="480" t="s">
        <v>189</v>
      </c>
      <c r="C223" s="465" t="s">
        <v>574</v>
      </c>
      <c r="D223" s="464"/>
      <c r="E223" s="487"/>
      <c r="F223" s="464"/>
      <c r="G223" s="479"/>
      <c r="H223" s="464"/>
      <c r="I223" s="464">
        <v>11448</v>
      </c>
      <c r="J223" s="464"/>
      <c r="K223" s="464"/>
      <c r="L223" s="464"/>
      <c r="M223" s="464"/>
      <c r="O223" s="464"/>
      <c r="P223" s="464"/>
      <c r="Q223" s="464"/>
      <c r="R223" s="464"/>
      <c r="S223" s="464"/>
      <c r="T223" s="464"/>
      <c r="U223" s="464"/>
      <c r="V223" s="464"/>
      <c r="W223" s="464"/>
    </row>
    <row r="224" spans="1:23" s="440" customFormat="1" ht="13.8">
      <c r="A224" s="480">
        <v>43404</v>
      </c>
      <c r="B224" s="480" t="s">
        <v>189</v>
      </c>
      <c r="C224" s="465" t="s">
        <v>573</v>
      </c>
      <c r="D224" s="464"/>
      <c r="E224" s="487"/>
      <c r="F224" s="464"/>
      <c r="G224" s="479"/>
      <c r="H224" s="464"/>
      <c r="I224" s="464">
        <v>6707</v>
      </c>
      <c r="J224" s="464"/>
      <c r="K224" s="464"/>
      <c r="L224" s="464"/>
      <c r="M224" s="464"/>
      <c r="O224" s="464"/>
      <c r="P224" s="464"/>
      <c r="Q224" s="464"/>
      <c r="R224" s="464"/>
      <c r="S224" s="464"/>
      <c r="T224" s="464"/>
      <c r="U224" s="464"/>
      <c r="V224" s="464"/>
      <c r="W224" s="464"/>
    </row>
    <row r="225" spans="1:23" s="440" customFormat="1" ht="13.8">
      <c r="A225" s="480">
        <v>43404</v>
      </c>
      <c r="B225" s="480" t="s">
        <v>189</v>
      </c>
      <c r="C225" s="465" t="s">
        <v>573</v>
      </c>
      <c r="D225" s="464"/>
      <c r="E225" s="487"/>
      <c r="F225" s="464"/>
      <c r="G225" s="479"/>
      <c r="H225" s="464"/>
      <c r="I225" s="464">
        <v>205</v>
      </c>
      <c r="J225" s="464"/>
      <c r="K225" s="464"/>
      <c r="L225" s="464"/>
      <c r="M225" s="464"/>
      <c r="O225" s="464"/>
      <c r="P225" s="464"/>
      <c r="Q225" s="464"/>
      <c r="R225" s="464"/>
      <c r="S225" s="464"/>
      <c r="T225" s="464"/>
      <c r="U225" s="464"/>
      <c r="V225" s="464"/>
      <c r="W225" s="464"/>
    </row>
    <row r="226" spans="1:23" s="440" customFormat="1" ht="13.8">
      <c r="A226" s="480">
        <v>43405</v>
      </c>
      <c r="B226" s="480" t="s">
        <v>189</v>
      </c>
      <c r="C226" s="465" t="s">
        <v>31</v>
      </c>
      <c r="D226" s="464"/>
      <c r="E226" s="464"/>
      <c r="F226" s="464"/>
      <c r="G226" s="479"/>
      <c r="H226" s="464"/>
      <c r="I226" s="464">
        <v>1147</v>
      </c>
      <c r="J226" s="464"/>
      <c r="K226" s="464"/>
      <c r="L226" s="464"/>
      <c r="M226" s="464"/>
      <c r="O226" s="464"/>
      <c r="P226" s="464"/>
      <c r="Q226" s="464"/>
      <c r="R226" s="464"/>
      <c r="S226" s="464"/>
      <c r="T226" s="464"/>
      <c r="U226" s="464"/>
      <c r="V226" s="464"/>
      <c r="W226" s="464"/>
    </row>
    <row r="227" spans="1:23" s="481" customFormat="1" ht="13.8">
      <c r="A227" s="480">
        <v>43405</v>
      </c>
      <c r="B227" s="480" t="s">
        <v>189</v>
      </c>
      <c r="C227" s="465" t="s">
        <v>30</v>
      </c>
      <c r="D227" s="464"/>
      <c r="E227" s="464"/>
      <c r="F227" s="464"/>
      <c r="G227" s="479"/>
      <c r="H227" s="464">
        <v>0</v>
      </c>
      <c r="I227" s="464"/>
      <c r="J227" s="464"/>
      <c r="K227" s="464"/>
      <c r="L227" s="464"/>
      <c r="M227" s="464"/>
      <c r="O227" s="464"/>
      <c r="P227" s="464"/>
      <c r="Q227" s="464"/>
      <c r="R227" s="464"/>
      <c r="S227" s="464"/>
      <c r="T227" s="464"/>
      <c r="U227" s="464"/>
      <c r="V227" s="464"/>
      <c r="W227" s="464"/>
    </row>
    <row r="228" spans="1:23" s="481" customFormat="1" ht="13.8">
      <c r="A228" s="480">
        <v>43405</v>
      </c>
      <c r="B228" s="480" t="s">
        <v>572</v>
      </c>
      <c r="C228" s="465" t="s">
        <v>265</v>
      </c>
      <c r="D228" s="464"/>
      <c r="E228" s="464"/>
      <c r="F228" s="464"/>
      <c r="G228" s="479"/>
      <c r="H228" s="464">
        <v>602.4</v>
      </c>
      <c r="I228" s="464"/>
      <c r="J228" s="464"/>
      <c r="K228" s="464"/>
      <c r="L228" s="464"/>
      <c r="M228" s="464"/>
      <c r="O228" s="464"/>
      <c r="P228" s="464"/>
      <c r="Q228" s="464"/>
      <c r="R228" s="464"/>
      <c r="S228" s="464"/>
      <c r="T228" s="464"/>
      <c r="U228" s="464"/>
      <c r="V228" s="464"/>
      <c r="W228" s="464"/>
    </row>
    <row r="229" spans="1:23" s="481" customFormat="1" ht="13.8">
      <c r="A229" s="480">
        <v>43405</v>
      </c>
      <c r="B229" s="480" t="s">
        <v>572</v>
      </c>
      <c r="C229" s="465" t="s">
        <v>264</v>
      </c>
      <c r="D229" s="464"/>
      <c r="E229" s="464"/>
      <c r="F229" s="464"/>
      <c r="G229" s="479"/>
      <c r="H229" s="464">
        <v>523</v>
      </c>
      <c r="I229" s="464"/>
      <c r="J229" s="464"/>
      <c r="K229" s="464"/>
      <c r="L229" s="464"/>
      <c r="M229" s="464"/>
      <c r="O229" s="464"/>
      <c r="P229" s="464"/>
      <c r="Q229" s="464"/>
      <c r="R229" s="464"/>
      <c r="S229" s="464"/>
      <c r="T229" s="464"/>
      <c r="U229" s="464"/>
      <c r="V229" s="464"/>
      <c r="W229" s="464"/>
    </row>
    <row r="230" spans="1:23" s="481" customFormat="1" ht="13.8">
      <c r="A230" s="480">
        <v>43405</v>
      </c>
      <c r="B230" s="480" t="s">
        <v>572</v>
      </c>
      <c r="C230" s="465" t="s">
        <v>182</v>
      </c>
      <c r="D230" s="464"/>
      <c r="E230" s="464"/>
      <c r="F230" s="464"/>
      <c r="G230" s="479"/>
      <c r="H230" s="464">
        <v>279</v>
      </c>
      <c r="I230" s="464"/>
      <c r="J230" s="464"/>
      <c r="K230" s="464"/>
      <c r="L230" s="464"/>
      <c r="M230" s="464"/>
      <c r="O230" s="464"/>
      <c r="P230" s="464"/>
      <c r="Q230" s="464"/>
      <c r="R230" s="464"/>
      <c r="S230" s="464"/>
      <c r="T230" s="464"/>
      <c r="U230" s="464"/>
      <c r="V230" s="464"/>
      <c r="W230" s="464"/>
    </row>
    <row r="231" spans="1:23" s="481" customFormat="1" ht="13.8">
      <c r="A231" s="480">
        <v>43405</v>
      </c>
      <c r="B231" s="480" t="s">
        <v>572</v>
      </c>
      <c r="C231" s="465" t="s">
        <v>472</v>
      </c>
      <c r="D231" s="464"/>
      <c r="E231" s="464"/>
      <c r="F231" s="464"/>
      <c r="G231" s="479"/>
      <c r="H231" s="464">
        <v>450</v>
      </c>
      <c r="I231" s="464"/>
      <c r="J231" s="464"/>
      <c r="K231" s="464"/>
      <c r="L231" s="464"/>
      <c r="M231" s="464"/>
      <c r="O231" s="464"/>
      <c r="P231" s="464"/>
      <c r="Q231" s="464"/>
      <c r="R231" s="464"/>
      <c r="S231" s="464"/>
      <c r="T231" s="464"/>
      <c r="U231" s="464"/>
      <c r="V231" s="464"/>
      <c r="W231" s="464"/>
    </row>
    <row r="232" spans="1:23" s="481" customFormat="1" ht="13.8">
      <c r="A232" s="480">
        <v>43405</v>
      </c>
      <c r="B232" s="480" t="s">
        <v>572</v>
      </c>
      <c r="C232" s="465" t="s">
        <v>183</v>
      </c>
      <c r="D232" s="464"/>
      <c r="E232" s="464"/>
      <c r="F232" s="464"/>
      <c r="G232" s="479"/>
      <c r="H232" s="464">
        <v>448.75</v>
      </c>
      <c r="I232" s="464"/>
      <c r="J232" s="464"/>
      <c r="K232" s="464"/>
      <c r="L232" s="464"/>
      <c r="M232" s="464"/>
      <c r="O232" s="464"/>
      <c r="P232" s="464"/>
      <c r="Q232" s="464"/>
      <c r="R232" s="464"/>
      <c r="S232" s="464"/>
      <c r="T232" s="464"/>
      <c r="U232" s="464"/>
      <c r="V232" s="464"/>
      <c r="W232" s="464"/>
    </row>
    <row r="233" spans="1:23" s="481" customFormat="1" ht="13.8">
      <c r="A233" s="480">
        <v>43405</v>
      </c>
      <c r="B233" s="480" t="s">
        <v>572</v>
      </c>
      <c r="C233" s="465" t="s">
        <v>100</v>
      </c>
      <c r="D233" s="464"/>
      <c r="E233" s="464"/>
      <c r="F233" s="464"/>
      <c r="G233" s="479"/>
      <c r="H233" s="464">
        <f>1626.29-760</f>
        <v>866.29</v>
      </c>
      <c r="I233" s="464"/>
      <c r="J233" s="464"/>
      <c r="K233" s="464"/>
      <c r="L233" s="464"/>
      <c r="M233" s="464"/>
      <c r="O233" s="464"/>
      <c r="P233" s="464"/>
      <c r="Q233" s="464"/>
      <c r="R233" s="464"/>
      <c r="S233" s="464"/>
      <c r="T233" s="464"/>
      <c r="U233" s="464"/>
      <c r="V233" s="464"/>
      <c r="W233" s="464"/>
    </row>
    <row r="234" spans="1:23" s="481" customFormat="1" ht="13.8">
      <c r="A234" s="480">
        <v>43405</v>
      </c>
      <c r="B234" s="480" t="s">
        <v>572</v>
      </c>
      <c r="C234" s="465" t="s">
        <v>306</v>
      </c>
      <c r="D234" s="464"/>
      <c r="E234" s="464"/>
      <c r="F234" s="464"/>
      <c r="G234" s="479"/>
      <c r="H234" s="464">
        <v>2049.4</v>
      </c>
      <c r="I234" s="464"/>
      <c r="J234" s="464">
        <v>809.87</v>
      </c>
      <c r="K234" s="464">
        <v>1234.03</v>
      </c>
      <c r="L234" s="464"/>
      <c r="M234" s="464"/>
      <c r="O234" s="464"/>
      <c r="P234" s="464"/>
      <c r="Q234" s="464"/>
      <c r="R234" s="464"/>
      <c r="S234" s="464"/>
      <c r="T234" s="464"/>
      <c r="U234" s="464"/>
      <c r="V234" s="464"/>
      <c r="W234" s="464"/>
    </row>
    <row r="235" spans="1:23" s="481" customFormat="1" ht="13.8">
      <c r="A235" s="480">
        <v>43405</v>
      </c>
      <c r="B235" s="480" t="s">
        <v>572</v>
      </c>
      <c r="C235" s="465" t="s">
        <v>481</v>
      </c>
      <c r="D235" s="464"/>
      <c r="E235" s="464"/>
      <c r="F235" s="464"/>
      <c r="G235" s="479"/>
      <c r="H235" s="464">
        <v>73</v>
      </c>
      <c r="I235" s="464"/>
      <c r="J235" s="464"/>
      <c r="K235" s="464"/>
      <c r="L235" s="464"/>
      <c r="M235" s="464"/>
      <c r="O235" s="464"/>
      <c r="P235" s="464"/>
      <c r="Q235" s="464"/>
      <c r="R235" s="464"/>
      <c r="S235" s="464"/>
      <c r="T235" s="464"/>
      <c r="U235" s="464"/>
      <c r="V235" s="464"/>
      <c r="W235" s="464"/>
    </row>
    <row r="236" spans="1:23" s="481" customFormat="1" ht="13.8">
      <c r="A236" s="480">
        <v>43409</v>
      </c>
      <c r="B236" s="480" t="s">
        <v>572</v>
      </c>
      <c r="C236" s="465" t="s">
        <v>20</v>
      </c>
      <c r="D236" s="464"/>
      <c r="E236" s="464"/>
      <c r="F236" s="464"/>
      <c r="G236" s="479"/>
      <c r="H236" s="464">
        <v>173.67</v>
      </c>
      <c r="I236" s="464"/>
      <c r="J236" s="464"/>
      <c r="K236" s="464"/>
      <c r="L236" s="464"/>
      <c r="M236" s="464"/>
      <c r="O236" s="464"/>
      <c r="P236" s="464"/>
      <c r="Q236" s="464"/>
      <c r="R236" s="464"/>
      <c r="S236" s="464"/>
      <c r="T236" s="464"/>
      <c r="U236" s="464"/>
      <c r="V236" s="464"/>
      <c r="W236" s="464"/>
    </row>
    <row r="237" spans="1:23" s="440" customFormat="1" ht="13.8">
      <c r="A237" s="480">
        <v>43434</v>
      </c>
      <c r="B237" s="480"/>
      <c r="C237" s="465" t="s">
        <v>15</v>
      </c>
      <c r="D237" s="466"/>
      <c r="E237" s="464"/>
      <c r="F237" s="464"/>
      <c r="G237" s="479"/>
      <c r="H237" s="466">
        <f>hush18!M3</f>
        <v>2817.94</v>
      </c>
      <c r="I237" s="464"/>
      <c r="J237" s="464"/>
      <c r="K237" s="464"/>
      <c r="L237" s="464"/>
      <c r="M237" s="464"/>
      <c r="O237" s="464"/>
      <c r="P237" s="464"/>
      <c r="Q237" s="464"/>
      <c r="R237" s="464"/>
      <c r="S237" s="464"/>
      <c r="T237" s="464"/>
      <c r="U237" s="464"/>
      <c r="V237" s="464"/>
      <c r="W237" s="464"/>
    </row>
    <row r="238" spans="1:23" s="440" customFormat="1" ht="13.8">
      <c r="A238" s="480">
        <v>43434</v>
      </c>
      <c r="B238" s="480"/>
      <c r="C238" s="465" t="s">
        <v>384</v>
      </c>
      <c r="D238" s="466"/>
      <c r="E238" s="464"/>
      <c r="F238" s="464"/>
      <c r="G238" s="479"/>
      <c r="H238" s="466">
        <f>hush18!M4</f>
        <v>357.95</v>
      </c>
      <c r="I238" s="464"/>
      <c r="J238" s="464"/>
      <c r="K238" s="464"/>
      <c r="L238" s="464"/>
      <c r="M238" s="464"/>
      <c r="O238" s="464"/>
      <c r="P238" s="464"/>
      <c r="Q238" s="464"/>
      <c r="R238" s="464"/>
      <c r="S238" s="464"/>
      <c r="T238" s="464"/>
      <c r="U238" s="464"/>
      <c r="V238" s="464"/>
      <c r="W238" s="464"/>
    </row>
    <row r="239" spans="1:23" s="440" customFormat="1" ht="13.8">
      <c r="A239" s="480">
        <v>43434</v>
      </c>
      <c r="B239" s="480"/>
      <c r="C239" s="465" t="s">
        <v>14</v>
      </c>
      <c r="D239" s="466"/>
      <c r="E239" s="464"/>
      <c r="F239" s="464"/>
      <c r="G239" s="479"/>
      <c r="H239" s="466">
        <f>hush18!M5</f>
        <v>400</v>
      </c>
      <c r="I239" s="478"/>
      <c r="J239" s="478"/>
      <c r="K239" s="478"/>
      <c r="L239" s="464"/>
      <c r="M239" s="464"/>
      <c r="O239" s="478"/>
      <c r="P239" s="478"/>
      <c r="Q239" s="478"/>
      <c r="R239" s="478"/>
      <c r="S239" s="478"/>
      <c r="T239" s="478"/>
      <c r="U239" s="478"/>
      <c r="V239" s="478"/>
      <c r="W239" s="478"/>
    </row>
    <row r="240" spans="1:23" s="440" customFormat="1" ht="13.8">
      <c r="A240" s="480">
        <v>43434</v>
      </c>
      <c r="B240" s="477"/>
      <c r="C240" s="462" t="s">
        <v>37</v>
      </c>
      <c r="D240" s="466" t="e">
        <f>'div18'!#REF!</f>
        <v>#REF!</v>
      </c>
      <c r="E240" s="461"/>
      <c r="F240" s="461"/>
      <c r="G240" s="476"/>
      <c r="H240" s="475">
        <f>'div18'!N2</f>
        <v>7342.41</v>
      </c>
      <c r="I240" s="461"/>
      <c r="J240" s="461"/>
      <c r="K240" s="461"/>
      <c r="L240" s="461"/>
      <c r="M240" s="461"/>
      <c r="O240" s="461"/>
      <c r="P240" s="461"/>
      <c r="Q240" s="461"/>
      <c r="R240" s="461"/>
      <c r="S240" s="461"/>
      <c r="T240" s="461"/>
      <c r="U240" s="461"/>
      <c r="V240" s="461"/>
      <c r="W240" s="461"/>
    </row>
    <row r="241" spans="1:23" s="447" customFormat="1" ht="13.8">
      <c r="A241" s="486" t="s">
        <v>576</v>
      </c>
      <c r="B241" s="486"/>
      <c r="C241" s="485"/>
      <c r="D241" s="483">
        <f>SUM(D242:D260)</f>
        <v>0</v>
      </c>
      <c r="E241" s="483">
        <f>SUM(E242:E260)</f>
        <v>0</v>
      </c>
      <c r="F241" s="483"/>
      <c r="G241" s="484"/>
      <c r="H241" s="483">
        <f>SUM(H242:H260)</f>
        <v>20590.93</v>
      </c>
      <c r="I241" s="483">
        <f>SUM(I242:I260)</f>
        <v>19507</v>
      </c>
      <c r="J241" s="483"/>
      <c r="K241" s="483"/>
      <c r="L241" s="483"/>
      <c r="M241" s="483"/>
      <c r="N241" s="447" t="s">
        <v>575</v>
      </c>
      <c r="O241" s="482">
        <f>MONTH(A260)</f>
        <v>12</v>
      </c>
      <c r="P241" s="482"/>
      <c r="Q241" s="482"/>
      <c r="R241" s="482"/>
      <c r="S241" s="482"/>
      <c r="T241" s="482"/>
      <c r="U241" s="482"/>
      <c r="V241" s="482"/>
      <c r="W241" s="482"/>
    </row>
    <row r="242" spans="1:23" s="440" customFormat="1" ht="13.8">
      <c r="A242" s="480">
        <v>43434</v>
      </c>
      <c r="B242" s="480" t="s">
        <v>189</v>
      </c>
      <c r="C242" s="465" t="s">
        <v>574</v>
      </c>
      <c r="D242" s="464"/>
      <c r="E242" s="466"/>
      <c r="F242" s="464"/>
      <c r="G242" s="479"/>
      <c r="H242" s="464"/>
      <c r="I242" s="464">
        <v>11448</v>
      </c>
      <c r="J242" s="464"/>
      <c r="K242" s="464"/>
      <c r="L242" s="464"/>
      <c r="M242" s="464"/>
      <c r="O242" s="464"/>
      <c r="P242" s="464"/>
      <c r="Q242" s="464"/>
      <c r="R242" s="464"/>
      <c r="S242" s="464"/>
      <c r="T242" s="464"/>
      <c r="U242" s="464"/>
      <c r="V242" s="464"/>
      <c r="W242" s="464"/>
    </row>
    <row r="243" spans="1:23" s="440" customFormat="1" ht="13.8">
      <c r="A243" s="480">
        <v>43434</v>
      </c>
      <c r="B243" s="480" t="s">
        <v>189</v>
      </c>
      <c r="C243" s="465" t="s">
        <v>573</v>
      </c>
      <c r="D243" s="464"/>
      <c r="E243" s="466"/>
      <c r="F243" s="464"/>
      <c r="G243" s="479"/>
      <c r="H243" s="464"/>
      <c r="I243" s="464">
        <v>6707</v>
      </c>
      <c r="J243" s="464"/>
      <c r="K243" s="464"/>
      <c r="L243" s="464"/>
      <c r="M243" s="464"/>
      <c r="O243" s="464"/>
      <c r="P243" s="464"/>
      <c r="Q243" s="464"/>
      <c r="R243" s="464"/>
      <c r="S243" s="464"/>
      <c r="T243" s="464"/>
      <c r="U243" s="464"/>
      <c r="V243" s="464"/>
      <c r="W243" s="464"/>
    </row>
    <row r="244" spans="1:23" s="440" customFormat="1" ht="13.8">
      <c r="A244" s="480">
        <v>43434</v>
      </c>
      <c r="B244" s="480" t="s">
        <v>189</v>
      </c>
      <c r="C244" s="465" t="s">
        <v>573</v>
      </c>
      <c r="D244" s="464"/>
      <c r="E244" s="466"/>
      <c r="F244" s="464"/>
      <c r="G244" s="479"/>
      <c r="H244" s="464"/>
      <c r="I244" s="464">
        <v>205</v>
      </c>
      <c r="J244" s="464"/>
      <c r="K244" s="464"/>
      <c r="L244" s="464"/>
      <c r="M244" s="464"/>
      <c r="O244" s="464"/>
      <c r="P244" s="464"/>
      <c r="Q244" s="464"/>
      <c r="R244" s="464"/>
      <c r="S244" s="464"/>
      <c r="T244" s="464"/>
      <c r="U244" s="464"/>
      <c r="V244" s="464"/>
      <c r="W244" s="464"/>
    </row>
    <row r="245" spans="1:23" s="440" customFormat="1" ht="13.8">
      <c r="A245" s="480">
        <v>43437</v>
      </c>
      <c r="B245" s="480" t="s">
        <v>189</v>
      </c>
      <c r="C245" s="465" t="s">
        <v>31</v>
      </c>
      <c r="D245" s="464"/>
      <c r="E245" s="464"/>
      <c r="F245" s="464"/>
      <c r="G245" s="479"/>
      <c r="H245" s="464"/>
      <c r="I245" s="464">
        <v>1147</v>
      </c>
      <c r="J245" s="464"/>
      <c r="K245" s="464"/>
      <c r="L245" s="464"/>
      <c r="M245" s="464"/>
      <c r="O245" s="464"/>
      <c r="P245" s="464"/>
      <c r="Q245" s="464"/>
      <c r="R245" s="464"/>
      <c r="S245" s="464"/>
      <c r="T245" s="464"/>
      <c r="U245" s="464"/>
      <c r="V245" s="464"/>
      <c r="W245" s="464"/>
    </row>
    <row r="246" spans="1:23" s="481" customFormat="1" ht="13.8">
      <c r="A246" s="480">
        <v>43437</v>
      </c>
      <c r="B246" s="480" t="s">
        <v>189</v>
      </c>
      <c r="C246" s="465" t="s">
        <v>30</v>
      </c>
      <c r="D246" s="464"/>
      <c r="E246" s="464"/>
      <c r="F246" s="464"/>
      <c r="G246" s="479"/>
      <c r="H246" s="464">
        <v>7474</v>
      </c>
      <c r="I246" s="464"/>
      <c r="J246" s="464"/>
      <c r="K246" s="464"/>
      <c r="L246" s="464"/>
      <c r="M246" s="464"/>
      <c r="O246" s="464"/>
      <c r="P246" s="464"/>
      <c r="Q246" s="464"/>
      <c r="R246" s="464"/>
      <c r="S246" s="464"/>
      <c r="T246" s="464"/>
      <c r="U246" s="464"/>
      <c r="V246" s="464"/>
      <c r="W246" s="464"/>
    </row>
    <row r="247" spans="1:23" s="440" customFormat="1" ht="13.8">
      <c r="A247" s="480">
        <v>43437</v>
      </c>
      <c r="B247" s="480" t="s">
        <v>572</v>
      </c>
      <c r="C247" s="465" t="s">
        <v>265</v>
      </c>
      <c r="D247" s="464"/>
      <c r="E247" s="464"/>
      <c r="F247" s="464"/>
      <c r="G247" s="479"/>
      <c r="H247" s="464">
        <v>602.42999999999995</v>
      </c>
      <c r="I247" s="464"/>
      <c r="J247" s="464">
        <v>8832.7199999999993</v>
      </c>
      <c r="K247" s="464"/>
      <c r="L247" s="464"/>
      <c r="M247" s="464"/>
      <c r="O247" s="464"/>
      <c r="P247" s="464"/>
      <c r="Q247" s="464"/>
      <c r="R247" s="464"/>
      <c r="S247" s="464"/>
      <c r="T247" s="464"/>
      <c r="U247" s="464"/>
      <c r="V247" s="464"/>
      <c r="W247" s="464"/>
    </row>
    <row r="248" spans="1:23" s="440" customFormat="1" ht="13.8">
      <c r="A248" s="480">
        <v>43437</v>
      </c>
      <c r="B248" s="480" t="s">
        <v>572</v>
      </c>
      <c r="C248" s="465" t="s">
        <v>264</v>
      </c>
      <c r="D248" s="464"/>
      <c r="E248" s="464"/>
      <c r="F248" s="464"/>
      <c r="G248" s="479"/>
      <c r="H248" s="464">
        <v>523</v>
      </c>
      <c r="I248" s="464"/>
      <c r="J248" s="464">
        <v>8389.2900000000009</v>
      </c>
      <c r="K248" s="464"/>
      <c r="L248" s="464"/>
      <c r="M248" s="464"/>
      <c r="O248" s="464"/>
      <c r="P248" s="464"/>
      <c r="Q248" s="464"/>
      <c r="R248" s="464"/>
      <c r="S248" s="464"/>
      <c r="T248" s="464"/>
      <c r="U248" s="464"/>
      <c r="V248" s="464"/>
      <c r="W248" s="464"/>
    </row>
    <row r="249" spans="1:23" s="440" customFormat="1" ht="13.8">
      <c r="A249" s="480">
        <v>43437</v>
      </c>
      <c r="B249" s="480" t="s">
        <v>572</v>
      </c>
      <c r="C249" s="465" t="s">
        <v>182</v>
      </c>
      <c r="D249" s="464"/>
      <c r="E249" s="464"/>
      <c r="F249" s="464"/>
      <c r="G249" s="479"/>
      <c r="H249" s="464">
        <v>279</v>
      </c>
      <c r="I249" s="464"/>
      <c r="J249" s="464">
        <v>6592.25</v>
      </c>
      <c r="K249" s="464"/>
      <c r="L249" s="464"/>
      <c r="M249" s="464"/>
      <c r="O249" s="464"/>
      <c r="P249" s="464"/>
      <c r="Q249" s="464"/>
      <c r="R249" s="464"/>
      <c r="S249" s="464"/>
      <c r="T249" s="464"/>
      <c r="U249" s="464"/>
      <c r="V249" s="464"/>
      <c r="W249" s="464"/>
    </row>
    <row r="250" spans="1:23" s="440" customFormat="1" ht="13.8">
      <c r="A250" s="480">
        <v>43437</v>
      </c>
      <c r="B250" s="480" t="s">
        <v>572</v>
      </c>
      <c r="C250" s="465" t="s">
        <v>472</v>
      </c>
      <c r="D250" s="464"/>
      <c r="E250" s="464"/>
      <c r="F250" s="464"/>
      <c r="G250" s="479"/>
      <c r="H250" s="464">
        <v>240</v>
      </c>
      <c r="I250" s="464"/>
      <c r="J250" s="464">
        <v>906.24</v>
      </c>
      <c r="K250" s="464"/>
      <c r="L250" s="464"/>
      <c r="M250" s="464"/>
      <c r="O250" s="464"/>
      <c r="P250" s="464"/>
      <c r="Q250" s="464"/>
      <c r="R250" s="464"/>
      <c r="S250" s="464"/>
      <c r="T250" s="464"/>
      <c r="U250" s="464"/>
      <c r="V250" s="464"/>
      <c r="W250" s="464"/>
    </row>
    <row r="251" spans="1:23" s="440" customFormat="1" ht="13.8">
      <c r="A251" s="480">
        <v>43437</v>
      </c>
      <c r="B251" s="480" t="s">
        <v>572</v>
      </c>
      <c r="C251" s="465" t="s">
        <v>472</v>
      </c>
      <c r="D251" s="464"/>
      <c r="E251" s="464"/>
      <c r="F251" s="464"/>
      <c r="G251" s="479"/>
      <c r="H251" s="464">
        <v>210</v>
      </c>
      <c r="I251" s="464"/>
      <c r="J251" s="464">
        <v>837.7</v>
      </c>
      <c r="K251" s="464"/>
      <c r="L251" s="464"/>
      <c r="M251" s="464"/>
      <c r="O251" s="464"/>
      <c r="P251" s="464"/>
      <c r="Q251" s="464"/>
      <c r="R251" s="464"/>
      <c r="S251" s="464"/>
      <c r="T251" s="464"/>
      <c r="U251" s="464"/>
      <c r="V251" s="464"/>
      <c r="W251" s="464"/>
    </row>
    <row r="252" spans="1:23" s="440" customFormat="1" ht="13.8">
      <c r="A252" s="480">
        <v>43437</v>
      </c>
      <c r="B252" s="480" t="s">
        <v>572</v>
      </c>
      <c r="C252" s="465" t="s">
        <v>183</v>
      </c>
      <c r="D252" s="464"/>
      <c r="E252" s="464"/>
      <c r="F252" s="464"/>
      <c r="G252" s="479"/>
      <c r="H252" s="464">
        <v>448.75</v>
      </c>
      <c r="I252" s="464"/>
      <c r="J252" s="464"/>
      <c r="K252" s="464"/>
      <c r="L252" s="464"/>
      <c r="M252" s="464"/>
      <c r="O252" s="464"/>
      <c r="P252" s="464"/>
      <c r="Q252" s="464"/>
      <c r="R252" s="464"/>
      <c r="S252" s="464"/>
      <c r="T252" s="464"/>
      <c r="U252" s="464"/>
      <c r="V252" s="464"/>
      <c r="W252" s="464"/>
    </row>
    <row r="253" spans="1:23" s="440" customFormat="1" ht="13.8">
      <c r="A253" s="480">
        <v>43437</v>
      </c>
      <c r="B253" s="480" t="s">
        <v>572</v>
      </c>
      <c r="C253" s="465" t="s">
        <v>481</v>
      </c>
      <c r="D253" s="467"/>
      <c r="E253" s="464"/>
      <c r="F253" s="464"/>
      <c r="G253" s="479"/>
      <c r="H253" s="467">
        <v>73</v>
      </c>
      <c r="I253" s="464"/>
      <c r="J253" s="464">
        <v>377.63</v>
      </c>
      <c r="K253" s="464"/>
      <c r="L253" s="464"/>
      <c r="M253" s="464"/>
      <c r="O253" s="464"/>
      <c r="P253" s="464"/>
      <c r="Q253" s="464"/>
      <c r="R253" s="464"/>
      <c r="S253" s="464"/>
      <c r="T253" s="464"/>
      <c r="U253" s="464"/>
      <c r="V253" s="464"/>
      <c r="W253" s="464"/>
    </row>
    <row r="254" spans="1:23" s="440" customFormat="1" ht="13.8">
      <c r="A254" s="480">
        <v>43437</v>
      </c>
      <c r="B254" s="480" t="s">
        <v>572</v>
      </c>
      <c r="C254" s="465" t="s">
        <v>100</v>
      </c>
      <c r="D254" s="464"/>
      <c r="E254" s="464"/>
      <c r="F254" s="464"/>
      <c r="G254" s="479"/>
      <c r="H254" s="464">
        <v>760</v>
      </c>
      <c r="I254" s="464"/>
      <c r="J254" s="464">
        <v>2271.17</v>
      </c>
      <c r="K254" s="464"/>
      <c r="L254" s="464"/>
      <c r="M254" s="464"/>
      <c r="O254" s="464"/>
      <c r="P254" s="464"/>
      <c r="Q254" s="464"/>
      <c r="R254" s="464"/>
      <c r="S254" s="464"/>
      <c r="T254" s="464"/>
      <c r="U254" s="464"/>
      <c r="V254" s="464"/>
      <c r="W254" s="464"/>
    </row>
    <row r="255" spans="1:23" s="440" customFormat="1" ht="13.8">
      <c r="A255" s="480">
        <v>43437</v>
      </c>
      <c r="B255" s="480" t="s">
        <v>572</v>
      </c>
      <c r="C255" s="465" t="s">
        <v>306</v>
      </c>
      <c r="D255" s="464"/>
      <c r="F255" s="464"/>
      <c r="G255" s="479"/>
      <c r="H255" s="464">
        <v>2639.88</v>
      </c>
      <c r="I255" s="464"/>
      <c r="J255" s="464">
        <v>601.72</v>
      </c>
      <c r="K255" s="464">
        <v>2032.66</v>
      </c>
      <c r="L255" s="464"/>
      <c r="M255" s="464"/>
      <c r="O255" s="464"/>
      <c r="P255" s="464"/>
      <c r="Q255" s="464"/>
      <c r="R255" s="464"/>
      <c r="S255" s="464"/>
      <c r="T255" s="464"/>
      <c r="U255" s="464"/>
      <c r="V255" s="464"/>
      <c r="W255" s="464"/>
    </row>
    <row r="256" spans="1:23" s="440" customFormat="1" ht="13.8">
      <c r="A256" s="480">
        <v>43439</v>
      </c>
      <c r="B256" s="480" t="s">
        <v>572</v>
      </c>
      <c r="C256" s="465" t="s">
        <v>20</v>
      </c>
      <c r="D256" s="464"/>
      <c r="E256" s="464"/>
      <c r="F256" s="464"/>
      <c r="G256" s="479"/>
      <c r="H256" s="464">
        <v>179.46</v>
      </c>
      <c r="I256" s="464"/>
      <c r="J256" s="464"/>
      <c r="K256" s="464"/>
      <c r="L256" s="464"/>
      <c r="M256" s="464"/>
      <c r="O256" s="464"/>
      <c r="P256" s="464"/>
      <c r="Q256" s="464"/>
      <c r="R256" s="464"/>
      <c r="S256" s="464"/>
      <c r="T256" s="464"/>
      <c r="U256" s="464"/>
      <c r="V256" s="464"/>
      <c r="W256" s="464"/>
    </row>
    <row r="257" spans="1:202" s="440" customFormat="1" ht="13.8">
      <c r="A257" s="480">
        <v>43465</v>
      </c>
      <c r="B257" s="480"/>
      <c r="C257" s="465" t="s">
        <v>15</v>
      </c>
      <c r="D257" s="466"/>
      <c r="E257" s="464"/>
      <c r="F257" s="464"/>
      <c r="G257" s="479"/>
      <c r="H257" s="466">
        <f>hush18!N3</f>
        <v>1673.13</v>
      </c>
      <c r="I257" s="464"/>
      <c r="J257" s="464"/>
      <c r="K257" s="464"/>
      <c r="L257" s="464"/>
      <c r="M257" s="464"/>
      <c r="O257" s="464"/>
      <c r="P257" s="464"/>
      <c r="Q257" s="464"/>
      <c r="R257" s="464"/>
      <c r="S257" s="464"/>
      <c r="T257" s="464"/>
      <c r="U257" s="464"/>
      <c r="V257" s="464"/>
      <c r="W257" s="464"/>
    </row>
    <row r="258" spans="1:202" s="440" customFormat="1" ht="13.8">
      <c r="A258" s="480">
        <v>43465</v>
      </c>
      <c r="B258" s="480"/>
      <c r="C258" s="465" t="s">
        <v>384</v>
      </c>
      <c r="D258" s="466"/>
      <c r="E258" s="464"/>
      <c r="F258" s="464"/>
      <c r="G258" s="479"/>
      <c r="H258" s="466">
        <f>hush18!N4</f>
        <v>0</v>
      </c>
      <c r="I258" s="464"/>
      <c r="J258" s="464"/>
      <c r="K258" s="464"/>
      <c r="L258" s="464"/>
      <c r="M258" s="464"/>
      <c r="O258" s="464"/>
      <c r="P258" s="464"/>
      <c r="Q258" s="464"/>
      <c r="R258" s="464"/>
      <c r="S258" s="464"/>
      <c r="T258" s="464"/>
      <c r="U258" s="464"/>
      <c r="V258" s="464"/>
      <c r="W258" s="464"/>
    </row>
    <row r="259" spans="1:202" s="440" customFormat="1" ht="13.8">
      <c r="A259" s="480">
        <v>43465</v>
      </c>
      <c r="B259" s="480"/>
      <c r="C259" s="465" t="s">
        <v>14</v>
      </c>
      <c r="D259" s="466">
        <f>320-hush18!N5</f>
        <v>0</v>
      </c>
      <c r="E259" s="464"/>
      <c r="F259" s="464"/>
      <c r="G259" s="479"/>
      <c r="H259" s="466">
        <f>hush18!N5</f>
        <v>320</v>
      </c>
      <c r="I259" s="478"/>
      <c r="J259" s="478"/>
      <c r="K259" s="478"/>
      <c r="L259" s="464"/>
      <c r="M259" s="464"/>
      <c r="O259" s="478"/>
      <c r="P259" s="478"/>
      <c r="Q259" s="478"/>
      <c r="R259" s="478"/>
      <c r="S259" s="478"/>
      <c r="T259" s="478"/>
      <c r="U259" s="478"/>
      <c r="V259" s="478"/>
      <c r="W259" s="478"/>
    </row>
    <row r="260" spans="1:202" s="440" customFormat="1" ht="13.8">
      <c r="A260" s="477">
        <v>43465</v>
      </c>
      <c r="B260" s="477"/>
      <c r="C260" s="462" t="s">
        <v>37</v>
      </c>
      <c r="D260" s="475">
        <f>'div18'!D443</f>
        <v>0</v>
      </c>
      <c r="E260" s="461"/>
      <c r="F260" s="461"/>
      <c r="G260" s="476"/>
      <c r="H260" s="475">
        <f>'div18'!O2</f>
        <v>5168.2800000000007</v>
      </c>
      <c r="I260" s="474"/>
      <c r="J260" s="474"/>
      <c r="K260" s="474"/>
      <c r="L260" s="461"/>
      <c r="M260" s="461"/>
      <c r="O260" s="474"/>
      <c r="P260" s="474"/>
      <c r="Q260" s="474"/>
      <c r="R260" s="474"/>
      <c r="S260" s="474"/>
      <c r="T260" s="474"/>
      <c r="U260" s="474"/>
      <c r="V260" s="474"/>
      <c r="W260" s="474"/>
    </row>
    <row r="261" spans="1:202" s="468" customFormat="1" ht="15" customHeight="1">
      <c r="A261" s="473"/>
      <c r="B261" s="473"/>
      <c r="C261" s="472" t="s">
        <v>571</v>
      </c>
      <c r="D261" s="472" t="s">
        <v>416</v>
      </c>
      <c r="E261" s="472" t="s">
        <v>567</v>
      </c>
      <c r="F261" s="472" t="s">
        <v>122</v>
      </c>
      <c r="G261" s="472" t="s">
        <v>121</v>
      </c>
      <c r="H261" s="471" t="s">
        <v>120</v>
      </c>
      <c r="I261" s="471" t="s">
        <v>119</v>
      </c>
      <c r="J261" s="471" t="s">
        <v>118</v>
      </c>
      <c r="K261" s="471" t="s">
        <v>118</v>
      </c>
      <c r="L261" s="471" t="s">
        <v>44</v>
      </c>
      <c r="M261" s="472" t="s">
        <v>117</v>
      </c>
      <c r="N261" s="472" t="s">
        <v>116</v>
      </c>
      <c r="O261" s="471" t="s">
        <v>115</v>
      </c>
      <c r="P261" s="471" t="s">
        <v>114</v>
      </c>
      <c r="Q261" s="471" t="s">
        <v>113</v>
      </c>
      <c r="R261" s="471" t="s">
        <v>112</v>
      </c>
      <c r="S261" s="470"/>
      <c r="T261" s="470"/>
      <c r="U261" s="470"/>
      <c r="V261" s="470"/>
      <c r="W261" s="470"/>
      <c r="X261" s="469"/>
      <c r="Y261" s="469"/>
      <c r="Z261" s="469"/>
      <c r="AA261" s="469"/>
      <c r="AB261" s="469"/>
      <c r="AC261" s="469"/>
      <c r="AD261" s="469"/>
      <c r="AE261" s="469"/>
      <c r="AF261" s="469"/>
      <c r="AG261" s="469"/>
      <c r="AH261" s="469"/>
      <c r="AI261" s="469"/>
      <c r="AJ261" s="469"/>
      <c r="AK261" s="469"/>
      <c r="AL261" s="469"/>
      <c r="AM261" s="469"/>
      <c r="AN261" s="469"/>
      <c r="AO261" s="469"/>
      <c r="AP261" s="469"/>
      <c r="AQ261" s="469"/>
      <c r="AR261" s="469"/>
      <c r="AS261" s="469"/>
      <c r="AT261" s="469"/>
      <c r="AU261" s="469"/>
      <c r="AV261" s="469"/>
      <c r="AW261" s="469"/>
      <c r="AX261" s="469"/>
      <c r="AY261" s="469"/>
      <c r="AZ261" s="469"/>
      <c r="BA261" s="469"/>
      <c r="BB261" s="469"/>
      <c r="BC261" s="469"/>
      <c r="BD261" s="469"/>
      <c r="BE261" s="469"/>
      <c r="BF261" s="469"/>
      <c r="BG261" s="469"/>
      <c r="BH261" s="469"/>
      <c r="BI261" s="469"/>
      <c r="BJ261" s="469"/>
      <c r="BK261" s="469"/>
      <c r="BL261" s="469"/>
      <c r="BM261" s="469"/>
      <c r="BN261" s="469"/>
      <c r="BO261" s="469"/>
      <c r="BP261" s="469"/>
      <c r="BQ261" s="469"/>
      <c r="BR261" s="469"/>
      <c r="BS261" s="469"/>
      <c r="BT261" s="469"/>
      <c r="BU261" s="469"/>
      <c r="BV261" s="469"/>
      <c r="BW261" s="469"/>
      <c r="BX261" s="469"/>
      <c r="BY261" s="469"/>
      <c r="BZ261" s="469"/>
      <c r="CA261" s="469"/>
      <c r="CB261" s="469"/>
      <c r="CC261" s="469"/>
      <c r="CD261" s="469"/>
      <c r="CE261" s="469"/>
      <c r="CF261" s="469"/>
      <c r="CG261" s="469"/>
      <c r="CH261" s="469"/>
      <c r="CI261" s="469"/>
      <c r="CJ261" s="469"/>
      <c r="CK261" s="469"/>
      <c r="CL261" s="469"/>
      <c r="CM261" s="469"/>
      <c r="CN261" s="469"/>
      <c r="CO261" s="469"/>
      <c r="CP261" s="469"/>
      <c r="CQ261" s="469"/>
      <c r="CR261" s="469"/>
      <c r="CS261" s="469"/>
      <c r="CT261" s="469"/>
      <c r="CU261" s="469"/>
      <c r="CV261" s="469"/>
      <c r="CW261" s="469"/>
      <c r="CX261" s="469"/>
      <c r="CY261" s="469"/>
      <c r="CZ261" s="469"/>
      <c r="DA261" s="469"/>
      <c r="DB261" s="469"/>
      <c r="DC261" s="469"/>
      <c r="DD261" s="469"/>
      <c r="DE261" s="469"/>
      <c r="DF261" s="469"/>
      <c r="DG261" s="469"/>
      <c r="DH261" s="469"/>
      <c r="DI261" s="469"/>
      <c r="DJ261" s="469"/>
      <c r="DK261" s="469"/>
      <c r="DL261" s="469"/>
      <c r="DM261" s="469"/>
      <c r="DN261" s="469"/>
      <c r="DO261" s="469"/>
      <c r="DP261" s="469"/>
      <c r="DQ261" s="469"/>
      <c r="DR261" s="469"/>
      <c r="DS261" s="469"/>
      <c r="DT261" s="469"/>
      <c r="DU261" s="469"/>
      <c r="DV261" s="469"/>
      <c r="DW261" s="469"/>
      <c r="DX261" s="469"/>
      <c r="DY261" s="469"/>
      <c r="DZ261" s="469"/>
      <c r="EA261" s="469"/>
      <c r="EB261" s="469"/>
      <c r="EC261" s="469"/>
      <c r="ED261" s="469"/>
      <c r="EE261" s="469"/>
      <c r="EF261" s="469"/>
      <c r="EG261" s="469"/>
      <c r="EH261" s="469"/>
      <c r="EI261" s="469"/>
      <c r="EJ261" s="469"/>
      <c r="EK261" s="469"/>
      <c r="EL261" s="469"/>
      <c r="EM261" s="469"/>
      <c r="EN261" s="469"/>
      <c r="EO261" s="469"/>
      <c r="EP261" s="469"/>
      <c r="EQ261" s="469"/>
      <c r="ER261" s="469"/>
      <c r="ES261" s="469"/>
      <c r="ET261" s="469"/>
      <c r="EU261" s="469"/>
      <c r="EV261" s="469"/>
      <c r="EW261" s="469"/>
      <c r="EX261" s="469"/>
      <c r="EY261" s="469"/>
      <c r="EZ261" s="469"/>
      <c r="FA261" s="469"/>
      <c r="FB261" s="469"/>
      <c r="FC261" s="469"/>
      <c r="FD261" s="469"/>
      <c r="FE261" s="469"/>
      <c r="FF261" s="469"/>
      <c r="FG261" s="469"/>
      <c r="FH261" s="469"/>
      <c r="FI261" s="469"/>
      <c r="FJ261" s="469"/>
      <c r="FK261" s="469"/>
      <c r="FL261" s="469"/>
      <c r="FM261" s="469"/>
      <c r="FN261" s="469"/>
      <c r="FO261" s="469"/>
      <c r="FP261" s="469"/>
      <c r="FQ261" s="469"/>
      <c r="FR261" s="469"/>
      <c r="FS261" s="469"/>
      <c r="FT261" s="469"/>
      <c r="FU261" s="469"/>
      <c r="FV261" s="469"/>
      <c r="FW261" s="469"/>
      <c r="FX261" s="469"/>
      <c r="FY261" s="469"/>
      <c r="FZ261" s="469"/>
      <c r="GA261" s="469"/>
      <c r="GB261" s="469"/>
      <c r="GC261" s="469"/>
      <c r="GD261" s="469"/>
      <c r="GE261" s="469"/>
      <c r="GF261" s="469"/>
      <c r="GG261" s="469"/>
      <c r="GH261" s="469"/>
      <c r="GI261" s="469"/>
      <c r="GJ261" s="469"/>
      <c r="GK261" s="469"/>
      <c r="GL261" s="469"/>
      <c r="GM261" s="469"/>
      <c r="GN261" s="469"/>
      <c r="GO261" s="469"/>
      <c r="GP261" s="469"/>
      <c r="GQ261" s="469"/>
      <c r="GR261" s="469"/>
      <c r="GS261" s="469"/>
      <c r="GT261" s="469"/>
    </row>
    <row r="262" spans="1:202" ht="12" customHeight="1">
      <c r="C262" s="465" t="s">
        <v>30</v>
      </c>
      <c r="D262" s="460">
        <v>6850</v>
      </c>
      <c r="E262" s="460">
        <f t="shared" ref="E262:E268" si="1">D262*12</f>
        <v>82200</v>
      </c>
      <c r="F262" s="466">
        <f t="shared" ref="F262:R262" si="2">$D$262</f>
        <v>6850</v>
      </c>
      <c r="G262" s="466">
        <f t="shared" si="2"/>
        <v>6850</v>
      </c>
      <c r="H262" s="466">
        <f t="shared" si="2"/>
        <v>6850</v>
      </c>
      <c r="I262" s="466">
        <f t="shared" si="2"/>
        <v>6850</v>
      </c>
      <c r="J262" s="466">
        <f t="shared" si="2"/>
        <v>6850</v>
      </c>
      <c r="K262" s="466">
        <f t="shared" si="2"/>
        <v>6850</v>
      </c>
      <c r="L262" s="466">
        <f t="shared" si="2"/>
        <v>6850</v>
      </c>
      <c r="M262" s="466">
        <f t="shared" si="2"/>
        <v>6850</v>
      </c>
      <c r="N262" s="466">
        <f t="shared" si="2"/>
        <v>6850</v>
      </c>
      <c r="O262" s="466">
        <f t="shared" si="2"/>
        <v>6850</v>
      </c>
      <c r="P262" s="466">
        <f t="shared" si="2"/>
        <v>6850</v>
      </c>
      <c r="Q262" s="466">
        <f t="shared" si="2"/>
        <v>6850</v>
      </c>
      <c r="R262" s="466">
        <f t="shared" si="2"/>
        <v>6850</v>
      </c>
      <c r="S262" s="460"/>
      <c r="T262" s="463">
        <f t="shared" ref="T262:T277" si="3">H263*10</f>
        <v>6024</v>
      </c>
      <c r="U262" s="463">
        <f t="shared" ref="U262:U277" si="4">E263-F263</f>
        <v>6626.4</v>
      </c>
      <c r="V262" s="463">
        <v>7972</v>
      </c>
      <c r="W262" s="463">
        <f>10500+7972</f>
        <v>18472</v>
      </c>
    </row>
    <row r="263" spans="1:202" ht="12" customHeight="1">
      <c r="C263" s="465" t="s">
        <v>265</v>
      </c>
      <c r="D263" s="464">
        <v>602.4</v>
      </c>
      <c r="E263" s="464">
        <f t="shared" si="1"/>
        <v>7228.7999999999993</v>
      </c>
      <c r="F263" s="466">
        <f t="shared" ref="F263:R263" si="5">$D$263</f>
        <v>602.4</v>
      </c>
      <c r="G263" s="466">
        <f t="shared" si="5"/>
        <v>602.4</v>
      </c>
      <c r="H263" s="466">
        <f t="shared" si="5"/>
        <v>602.4</v>
      </c>
      <c r="I263" s="466">
        <f t="shared" si="5"/>
        <v>602.4</v>
      </c>
      <c r="J263" s="466">
        <f t="shared" si="5"/>
        <v>602.4</v>
      </c>
      <c r="K263" s="466">
        <f t="shared" si="5"/>
        <v>602.4</v>
      </c>
      <c r="L263" s="466">
        <f t="shared" si="5"/>
        <v>602.4</v>
      </c>
      <c r="M263" s="466">
        <f t="shared" si="5"/>
        <v>602.4</v>
      </c>
      <c r="N263" s="466">
        <f t="shared" si="5"/>
        <v>602.4</v>
      </c>
      <c r="O263" s="466">
        <f t="shared" si="5"/>
        <v>602.4</v>
      </c>
      <c r="P263" s="466">
        <f t="shared" si="5"/>
        <v>602.4</v>
      </c>
      <c r="Q263" s="466">
        <f t="shared" si="5"/>
        <v>602.4</v>
      </c>
      <c r="R263" s="466">
        <f t="shared" si="5"/>
        <v>602.4</v>
      </c>
      <c r="S263" s="460"/>
      <c r="T263" s="463">
        <f t="shared" si="3"/>
        <v>5230</v>
      </c>
      <c r="U263" s="463">
        <f t="shared" si="4"/>
        <v>5753</v>
      </c>
      <c r="V263" s="463">
        <v>1142</v>
      </c>
      <c r="W263" s="463">
        <v>1142</v>
      </c>
    </row>
    <row r="264" spans="1:202" ht="12" customHeight="1">
      <c r="C264" s="465" t="s">
        <v>264</v>
      </c>
      <c r="D264" s="464">
        <v>523</v>
      </c>
      <c r="E264" s="464">
        <f t="shared" si="1"/>
        <v>6276</v>
      </c>
      <c r="F264" s="466">
        <f t="shared" ref="F264:R264" si="6">$D$264</f>
        <v>523</v>
      </c>
      <c r="G264" s="466">
        <f t="shared" si="6"/>
        <v>523</v>
      </c>
      <c r="H264" s="466">
        <f t="shared" si="6"/>
        <v>523</v>
      </c>
      <c r="I264" s="466">
        <f t="shared" si="6"/>
        <v>523</v>
      </c>
      <c r="J264" s="466">
        <f t="shared" si="6"/>
        <v>523</v>
      </c>
      <c r="K264" s="466">
        <f t="shared" si="6"/>
        <v>523</v>
      </c>
      <c r="L264" s="466">
        <f t="shared" si="6"/>
        <v>523</v>
      </c>
      <c r="M264" s="466">
        <f t="shared" si="6"/>
        <v>523</v>
      </c>
      <c r="N264" s="466">
        <f t="shared" si="6"/>
        <v>523</v>
      </c>
      <c r="O264" s="466">
        <f t="shared" si="6"/>
        <v>523</v>
      </c>
      <c r="P264" s="466">
        <f t="shared" si="6"/>
        <v>523</v>
      </c>
      <c r="Q264" s="466">
        <f t="shared" si="6"/>
        <v>523</v>
      </c>
      <c r="R264" s="466">
        <f t="shared" si="6"/>
        <v>523</v>
      </c>
      <c r="S264" s="460"/>
      <c r="T264" s="463">
        <f t="shared" si="3"/>
        <v>2790</v>
      </c>
      <c r="U264" s="463">
        <f t="shared" si="4"/>
        <v>3069</v>
      </c>
      <c r="V264" s="463"/>
      <c r="W264" s="463"/>
    </row>
    <row r="265" spans="1:202" ht="12" customHeight="1">
      <c r="C265" s="465" t="s">
        <v>182</v>
      </c>
      <c r="D265" s="464">
        <v>279</v>
      </c>
      <c r="E265" s="464">
        <f t="shared" si="1"/>
        <v>3348</v>
      </c>
      <c r="F265" s="466">
        <f t="shared" ref="F265:R265" si="7">$D$265</f>
        <v>279</v>
      </c>
      <c r="G265" s="466">
        <f t="shared" si="7"/>
        <v>279</v>
      </c>
      <c r="H265" s="466">
        <f t="shared" si="7"/>
        <v>279</v>
      </c>
      <c r="I265" s="466">
        <f t="shared" si="7"/>
        <v>279</v>
      </c>
      <c r="J265" s="466">
        <f t="shared" si="7"/>
        <v>279</v>
      </c>
      <c r="K265" s="466">
        <f t="shared" si="7"/>
        <v>279</v>
      </c>
      <c r="L265" s="466">
        <f t="shared" si="7"/>
        <v>279</v>
      </c>
      <c r="M265" s="466">
        <f t="shared" si="7"/>
        <v>279</v>
      </c>
      <c r="N265" s="466">
        <f t="shared" si="7"/>
        <v>279</v>
      </c>
      <c r="O265" s="466">
        <f t="shared" si="7"/>
        <v>279</v>
      </c>
      <c r="P265" s="466">
        <f t="shared" si="7"/>
        <v>279</v>
      </c>
      <c r="Q265" s="466">
        <f t="shared" si="7"/>
        <v>279</v>
      </c>
      <c r="R265" s="466">
        <f t="shared" si="7"/>
        <v>279</v>
      </c>
      <c r="S265" s="460"/>
      <c r="T265" s="463">
        <f t="shared" si="3"/>
        <v>4500</v>
      </c>
      <c r="U265" s="463">
        <f t="shared" si="4"/>
        <v>4950</v>
      </c>
      <c r="V265" s="463"/>
      <c r="W265" s="463"/>
    </row>
    <row r="266" spans="1:202" ht="12" customHeight="1">
      <c r="C266" s="465" t="s">
        <v>472</v>
      </c>
      <c r="D266" s="464">
        <v>450</v>
      </c>
      <c r="E266" s="464">
        <f t="shared" si="1"/>
        <v>5400</v>
      </c>
      <c r="F266" s="466">
        <f t="shared" ref="F266:R266" si="8">$D$266</f>
        <v>450</v>
      </c>
      <c r="G266" s="466">
        <f t="shared" si="8"/>
        <v>450</v>
      </c>
      <c r="H266" s="466">
        <f t="shared" si="8"/>
        <v>450</v>
      </c>
      <c r="I266" s="466">
        <f t="shared" si="8"/>
        <v>450</v>
      </c>
      <c r="J266" s="466">
        <f t="shared" si="8"/>
        <v>450</v>
      </c>
      <c r="K266" s="466">
        <f t="shared" si="8"/>
        <v>450</v>
      </c>
      <c r="L266" s="466">
        <f t="shared" si="8"/>
        <v>450</v>
      </c>
      <c r="M266" s="466">
        <f t="shared" si="8"/>
        <v>450</v>
      </c>
      <c r="N266" s="466">
        <f t="shared" si="8"/>
        <v>450</v>
      </c>
      <c r="O266" s="466">
        <f t="shared" si="8"/>
        <v>450</v>
      </c>
      <c r="P266" s="466">
        <f t="shared" si="8"/>
        <v>450</v>
      </c>
      <c r="Q266" s="466">
        <f t="shared" si="8"/>
        <v>450</v>
      </c>
      <c r="R266" s="466">
        <f t="shared" si="8"/>
        <v>450</v>
      </c>
      <c r="S266" s="460"/>
      <c r="T266" s="463">
        <f t="shared" si="3"/>
        <v>4337.5</v>
      </c>
      <c r="U266" s="463">
        <f t="shared" si="4"/>
        <v>4771.25</v>
      </c>
      <c r="V266" s="463"/>
      <c r="W266" s="463"/>
    </row>
    <row r="267" spans="1:202" ht="12" customHeight="1">
      <c r="C267" s="465" t="s">
        <v>183</v>
      </c>
      <c r="D267" s="464">
        <v>433.75</v>
      </c>
      <c r="E267" s="464">
        <f t="shared" si="1"/>
        <v>5205</v>
      </c>
      <c r="F267" s="466">
        <f t="shared" ref="F267:R267" si="9">$D$267</f>
        <v>433.75</v>
      </c>
      <c r="G267" s="466">
        <f t="shared" si="9"/>
        <v>433.75</v>
      </c>
      <c r="H267" s="466">
        <f t="shared" si="9"/>
        <v>433.75</v>
      </c>
      <c r="I267" s="466">
        <f t="shared" si="9"/>
        <v>433.75</v>
      </c>
      <c r="J267" s="466">
        <f t="shared" si="9"/>
        <v>433.75</v>
      </c>
      <c r="K267" s="466">
        <f t="shared" si="9"/>
        <v>433.75</v>
      </c>
      <c r="L267" s="466">
        <f t="shared" si="9"/>
        <v>433.75</v>
      </c>
      <c r="M267" s="466">
        <f t="shared" si="9"/>
        <v>433.75</v>
      </c>
      <c r="N267" s="466">
        <f t="shared" si="9"/>
        <v>433.75</v>
      </c>
      <c r="O267" s="466">
        <f t="shared" si="9"/>
        <v>433.75</v>
      </c>
      <c r="P267" s="466">
        <f t="shared" si="9"/>
        <v>433.75</v>
      </c>
      <c r="Q267" s="466">
        <f t="shared" si="9"/>
        <v>433.75</v>
      </c>
      <c r="R267" s="466">
        <f t="shared" si="9"/>
        <v>433.75</v>
      </c>
      <c r="S267" s="460"/>
      <c r="T267" s="463">
        <f t="shared" si="3"/>
        <v>1800</v>
      </c>
      <c r="U267" s="463">
        <f t="shared" si="4"/>
        <v>1980</v>
      </c>
      <c r="V267" s="463"/>
      <c r="W267" s="463"/>
    </row>
    <row r="268" spans="1:202" ht="12" customHeight="1">
      <c r="C268" s="465" t="s">
        <v>214</v>
      </c>
      <c r="D268" s="464">
        <v>180</v>
      </c>
      <c r="E268" s="464">
        <f t="shared" si="1"/>
        <v>2160</v>
      </c>
      <c r="F268" s="466">
        <f t="shared" ref="F268:R268" si="10">$D$268</f>
        <v>180</v>
      </c>
      <c r="G268" s="466">
        <f t="shared" si="10"/>
        <v>180</v>
      </c>
      <c r="H268" s="466">
        <f t="shared" si="10"/>
        <v>180</v>
      </c>
      <c r="I268" s="466">
        <f t="shared" si="10"/>
        <v>180</v>
      </c>
      <c r="J268" s="466">
        <f t="shared" si="10"/>
        <v>180</v>
      </c>
      <c r="K268" s="466">
        <f t="shared" si="10"/>
        <v>180</v>
      </c>
      <c r="L268" s="466">
        <f t="shared" si="10"/>
        <v>180</v>
      </c>
      <c r="M268" s="466">
        <f t="shared" si="10"/>
        <v>180</v>
      </c>
      <c r="N268" s="466">
        <f t="shared" si="10"/>
        <v>180</v>
      </c>
      <c r="O268" s="466">
        <f t="shared" si="10"/>
        <v>180</v>
      </c>
      <c r="P268" s="466">
        <f t="shared" si="10"/>
        <v>180</v>
      </c>
      <c r="Q268" s="466">
        <f t="shared" si="10"/>
        <v>180</v>
      </c>
      <c r="R268" s="466">
        <f t="shared" si="10"/>
        <v>180</v>
      </c>
      <c r="S268" s="460"/>
      <c r="T268" s="463">
        <f t="shared" si="3"/>
        <v>0</v>
      </c>
      <c r="U268" s="463">
        <f t="shared" si="4"/>
        <v>4000</v>
      </c>
      <c r="V268" s="463"/>
      <c r="W268" s="463"/>
    </row>
    <row r="269" spans="1:202" ht="12" customHeight="1">
      <c r="C269" s="465" t="s">
        <v>144</v>
      </c>
      <c r="D269" s="464"/>
      <c r="E269" s="464">
        <v>4000</v>
      </c>
      <c r="F269" s="464"/>
      <c r="G269" s="460">
        <v>2000</v>
      </c>
      <c r="H269" s="460"/>
      <c r="I269" s="460"/>
      <c r="J269" s="460"/>
      <c r="K269" s="460"/>
      <c r="L269" s="460"/>
      <c r="M269" s="460"/>
      <c r="N269" s="460">
        <v>2000</v>
      </c>
      <c r="O269" s="460"/>
      <c r="P269" s="460"/>
      <c r="Q269" s="460"/>
      <c r="R269" s="460"/>
      <c r="S269" s="460"/>
      <c r="T269" s="463">
        <f t="shared" si="3"/>
        <v>0</v>
      </c>
      <c r="U269" s="463">
        <f t="shared" si="4"/>
        <v>4400</v>
      </c>
      <c r="V269" s="463"/>
      <c r="W269" s="463"/>
    </row>
    <row r="270" spans="1:202" ht="12" customHeight="1">
      <c r="C270" s="465" t="s">
        <v>100</v>
      </c>
      <c r="D270" s="467"/>
      <c r="E270" s="467">
        <v>4400</v>
      </c>
      <c r="F270" s="467"/>
      <c r="G270" s="460"/>
      <c r="H270" s="460"/>
      <c r="I270" s="460"/>
      <c r="J270" s="460"/>
      <c r="K270" s="460"/>
      <c r="L270" s="460">
        <v>2200</v>
      </c>
      <c r="M270" s="460"/>
      <c r="N270" s="460"/>
      <c r="O270" s="460"/>
      <c r="P270" s="460"/>
      <c r="Q270" s="460"/>
      <c r="R270" s="460">
        <v>2200</v>
      </c>
      <c r="S270" s="460"/>
      <c r="T270" s="463">
        <f t="shared" si="3"/>
        <v>5000</v>
      </c>
      <c r="U270" s="463">
        <f t="shared" si="4"/>
        <v>5500</v>
      </c>
      <c r="V270" s="463"/>
      <c r="W270" s="463"/>
    </row>
    <row r="271" spans="1:202" ht="12" customHeight="1">
      <c r="C271" s="465" t="s">
        <v>306</v>
      </c>
      <c r="D271" s="464">
        <v>500</v>
      </c>
      <c r="E271" s="464">
        <f>D271*12</f>
        <v>6000</v>
      </c>
      <c r="F271" s="464">
        <v>500</v>
      </c>
      <c r="G271" s="464">
        <v>500</v>
      </c>
      <c r="H271" s="464">
        <v>500</v>
      </c>
      <c r="I271" s="464">
        <v>500</v>
      </c>
      <c r="J271" s="464">
        <v>500</v>
      </c>
      <c r="K271" s="464">
        <v>500</v>
      </c>
      <c r="L271" s="464">
        <v>500</v>
      </c>
      <c r="M271" s="464">
        <v>500</v>
      </c>
      <c r="N271" s="464">
        <v>500</v>
      </c>
      <c r="O271" s="464">
        <v>500</v>
      </c>
      <c r="P271" s="464">
        <v>500</v>
      </c>
      <c r="Q271" s="464">
        <v>500</v>
      </c>
      <c r="R271" s="464">
        <v>500</v>
      </c>
      <c r="S271" s="460"/>
      <c r="T271" s="463">
        <f t="shared" si="3"/>
        <v>500</v>
      </c>
      <c r="U271" s="463">
        <f t="shared" si="4"/>
        <v>550</v>
      </c>
      <c r="V271" s="463"/>
      <c r="W271" s="463"/>
    </row>
    <row r="272" spans="1:202" ht="12" customHeight="1">
      <c r="C272" s="465" t="s">
        <v>481</v>
      </c>
      <c r="D272" s="467">
        <v>50</v>
      </c>
      <c r="E272" s="467">
        <f>D272*12</f>
        <v>600</v>
      </c>
      <c r="F272" s="467">
        <v>50</v>
      </c>
      <c r="G272" s="467">
        <v>50</v>
      </c>
      <c r="H272" s="467">
        <v>50</v>
      </c>
      <c r="I272" s="467">
        <v>50</v>
      </c>
      <c r="J272" s="467">
        <v>50</v>
      </c>
      <c r="K272" s="467">
        <v>50</v>
      </c>
      <c r="L272" s="467">
        <v>50</v>
      </c>
      <c r="M272" s="467">
        <v>50</v>
      </c>
      <c r="N272" s="467">
        <v>50</v>
      </c>
      <c r="O272" s="467">
        <v>50</v>
      </c>
      <c r="P272" s="467">
        <v>50</v>
      </c>
      <c r="Q272" s="467">
        <v>50</v>
      </c>
      <c r="R272" s="467">
        <v>50</v>
      </c>
      <c r="S272" s="460"/>
      <c r="T272" s="463">
        <f t="shared" si="3"/>
        <v>1500</v>
      </c>
      <c r="U272" s="463">
        <f t="shared" si="4"/>
        <v>1650</v>
      </c>
      <c r="V272" s="463"/>
      <c r="W272" s="463"/>
    </row>
    <row r="273" spans="1:202" ht="12" customHeight="1">
      <c r="C273" s="465" t="s">
        <v>481</v>
      </c>
      <c r="D273" s="467">
        <v>150</v>
      </c>
      <c r="E273" s="467">
        <f>D273*12</f>
        <v>1800</v>
      </c>
      <c r="F273" s="467">
        <v>150</v>
      </c>
      <c r="G273" s="467">
        <v>150</v>
      </c>
      <c r="H273" s="467">
        <v>150</v>
      </c>
      <c r="I273" s="467">
        <v>150</v>
      </c>
      <c r="J273" s="467">
        <v>150</v>
      </c>
      <c r="K273" s="467">
        <v>150</v>
      </c>
      <c r="L273" s="467">
        <v>150</v>
      </c>
      <c r="M273" s="467">
        <v>150</v>
      </c>
      <c r="N273" s="467">
        <v>150</v>
      </c>
      <c r="O273" s="467">
        <v>150</v>
      </c>
      <c r="P273" s="467">
        <v>150</v>
      </c>
      <c r="Q273" s="467">
        <v>150</v>
      </c>
      <c r="R273" s="467">
        <v>150</v>
      </c>
      <c r="S273" s="460"/>
      <c r="T273" s="463">
        <f t="shared" si="3"/>
        <v>1768</v>
      </c>
      <c r="U273" s="463">
        <f t="shared" si="4"/>
        <v>1944.8000000000004</v>
      </c>
      <c r="V273" s="463"/>
      <c r="W273" s="463"/>
    </row>
    <row r="274" spans="1:202" ht="12" customHeight="1">
      <c r="C274" s="465" t="s">
        <v>20</v>
      </c>
      <c r="D274" s="464">
        <v>176.8</v>
      </c>
      <c r="E274" s="464">
        <f>D274*12</f>
        <v>2121.6000000000004</v>
      </c>
      <c r="F274" s="466">
        <v>176.8</v>
      </c>
      <c r="G274" s="466">
        <v>176.8</v>
      </c>
      <c r="H274" s="466">
        <v>176.8</v>
      </c>
      <c r="I274" s="466">
        <v>176.8</v>
      </c>
      <c r="J274" s="466">
        <v>176.8</v>
      </c>
      <c r="K274" s="466">
        <v>176.8</v>
      </c>
      <c r="L274" s="466">
        <v>176.8</v>
      </c>
      <c r="M274" s="466">
        <v>176.8</v>
      </c>
      <c r="N274" s="466">
        <v>176.8</v>
      </c>
      <c r="O274" s="466">
        <v>176.8</v>
      </c>
      <c r="P274" s="466">
        <v>176.8</v>
      </c>
      <c r="Q274" s="466">
        <v>176.8</v>
      </c>
      <c r="R274" s="466">
        <v>176.8</v>
      </c>
      <c r="S274" s="460"/>
      <c r="T274" s="463">
        <f t="shared" si="3"/>
        <v>0</v>
      </c>
      <c r="U274" s="463">
        <f t="shared" si="4"/>
        <v>0</v>
      </c>
      <c r="V274" s="463"/>
      <c r="W274" s="463"/>
    </row>
    <row r="275" spans="1:202" ht="12" customHeight="1">
      <c r="C275" s="465" t="s">
        <v>285</v>
      </c>
      <c r="D275" s="464"/>
      <c r="E275" s="464">
        <v>1702</v>
      </c>
      <c r="F275" s="460">
        <f>$E$275</f>
        <v>1702</v>
      </c>
      <c r="G275" s="460"/>
      <c r="H275" s="460"/>
      <c r="I275" s="460"/>
      <c r="J275" s="460"/>
      <c r="K275" s="460"/>
      <c r="L275" s="460"/>
      <c r="M275" s="460"/>
      <c r="N275" s="460"/>
      <c r="O275" s="460"/>
      <c r="P275" s="460"/>
      <c r="Q275" s="460"/>
      <c r="R275" s="460"/>
      <c r="S275" s="460"/>
      <c r="T275" s="463">
        <f t="shared" si="3"/>
        <v>0</v>
      </c>
      <c r="U275" s="463">
        <f t="shared" si="4"/>
        <v>4830</v>
      </c>
      <c r="V275" s="463"/>
      <c r="W275" s="463"/>
    </row>
    <row r="276" spans="1:202" ht="12" customHeight="1">
      <c r="C276" s="465" t="s">
        <v>283</v>
      </c>
      <c r="D276" s="464"/>
      <c r="E276" s="464">
        <v>4830</v>
      </c>
      <c r="F276" s="464"/>
      <c r="G276" s="460">
        <v>2415</v>
      </c>
      <c r="H276" s="460"/>
      <c r="I276" s="460"/>
      <c r="J276" s="460"/>
      <c r="K276" s="460"/>
      <c r="L276" s="460"/>
      <c r="M276" s="464"/>
      <c r="N276" s="460">
        <v>2415</v>
      </c>
      <c r="O276" s="460"/>
      <c r="P276" s="460"/>
      <c r="Q276" s="460"/>
      <c r="R276" s="460"/>
      <c r="S276" s="460"/>
      <c r="T276" s="463">
        <f t="shared" si="3"/>
        <v>0</v>
      </c>
      <c r="U276" s="463">
        <f t="shared" si="4"/>
        <v>0</v>
      </c>
      <c r="V276" s="463"/>
      <c r="W276" s="463"/>
    </row>
    <row r="277" spans="1:202" ht="12" customHeight="1">
      <c r="C277" s="465" t="s">
        <v>570</v>
      </c>
      <c r="D277" s="464"/>
      <c r="E277" s="464">
        <v>2272</v>
      </c>
      <c r="F277" s="460">
        <f>$E$277</f>
        <v>2272</v>
      </c>
      <c r="G277" s="460"/>
      <c r="H277" s="460"/>
      <c r="I277" s="460"/>
      <c r="J277" s="460"/>
      <c r="K277" s="460"/>
      <c r="L277" s="460"/>
      <c r="M277" s="460"/>
      <c r="N277" s="460"/>
      <c r="O277" s="460"/>
      <c r="P277" s="460"/>
      <c r="Q277" s="460"/>
      <c r="R277" s="460"/>
      <c r="S277" s="460"/>
      <c r="T277" s="463">
        <f t="shared" si="3"/>
        <v>0</v>
      </c>
      <c r="U277" s="463">
        <f t="shared" si="4"/>
        <v>4120</v>
      </c>
      <c r="V277" s="463"/>
      <c r="W277" s="463"/>
    </row>
    <row r="278" spans="1:202" ht="12" customHeight="1">
      <c r="C278" s="462" t="s">
        <v>569</v>
      </c>
      <c r="D278" s="461"/>
      <c r="E278" s="461">
        <v>4120</v>
      </c>
      <c r="F278" s="461"/>
      <c r="G278" s="460">
        <v>2090</v>
      </c>
      <c r="H278" s="460"/>
      <c r="I278" s="460"/>
      <c r="J278" s="460"/>
      <c r="K278" s="460"/>
      <c r="L278" s="460"/>
      <c r="M278" s="460"/>
      <c r="N278" s="460">
        <v>2090</v>
      </c>
      <c r="O278" s="460"/>
      <c r="P278" s="460"/>
      <c r="Q278" s="460"/>
      <c r="R278" s="460"/>
      <c r="S278" s="460"/>
      <c r="T278" s="459">
        <f>SUM(T261:T277)</f>
        <v>33449.5</v>
      </c>
      <c r="U278" s="459">
        <f>SUM(U261:U277)</f>
        <v>54144.450000000004</v>
      </c>
      <c r="V278" s="459">
        <f>SUM(V261:V263)</f>
        <v>9114</v>
      </c>
      <c r="W278" s="459">
        <f>SUM(W261:W263)</f>
        <v>19614</v>
      </c>
    </row>
    <row r="279" spans="1:202" ht="17.25" customHeight="1">
      <c r="C279" s="457" t="s">
        <v>568</v>
      </c>
      <c r="D279" s="454">
        <f t="shared" ref="D279:R279" si="11">SUM(D262:D278)</f>
        <v>10194.949999999999</v>
      </c>
      <c r="E279" s="456">
        <f t="shared" si="11"/>
        <v>143663.40000000002</v>
      </c>
      <c r="F279" s="454">
        <f t="shared" si="11"/>
        <v>14168.949999999999</v>
      </c>
      <c r="G279" s="454">
        <f t="shared" si="11"/>
        <v>16699.949999999997</v>
      </c>
      <c r="H279" s="454">
        <f t="shared" si="11"/>
        <v>10194.949999999999</v>
      </c>
      <c r="I279" s="454">
        <f t="shared" si="11"/>
        <v>10194.949999999999</v>
      </c>
      <c r="J279" s="454">
        <f t="shared" si="11"/>
        <v>10194.949999999999</v>
      </c>
      <c r="K279" s="454">
        <f t="shared" si="11"/>
        <v>10194.949999999999</v>
      </c>
      <c r="L279" s="454">
        <f t="shared" si="11"/>
        <v>12394.949999999999</v>
      </c>
      <c r="M279" s="454">
        <f t="shared" si="11"/>
        <v>10194.949999999999</v>
      </c>
      <c r="N279" s="454">
        <f t="shared" si="11"/>
        <v>16699.949999999997</v>
      </c>
      <c r="O279" s="454">
        <f t="shared" si="11"/>
        <v>10194.949999999999</v>
      </c>
      <c r="P279" s="454">
        <f t="shared" si="11"/>
        <v>10194.949999999999</v>
      </c>
      <c r="Q279" s="454">
        <f t="shared" si="11"/>
        <v>10194.949999999999</v>
      </c>
      <c r="R279" s="454">
        <f t="shared" si="11"/>
        <v>12394.949999999999</v>
      </c>
      <c r="S279" s="454"/>
      <c r="T279" s="458"/>
      <c r="U279" s="458"/>
      <c r="V279" s="458"/>
      <c r="W279" s="458"/>
    </row>
    <row r="280" spans="1:202" ht="18.75" customHeight="1">
      <c r="C280" s="457" t="s">
        <v>567</v>
      </c>
      <c r="D280" s="454"/>
      <c r="E280" s="454">
        <f>E279</f>
        <v>143663.40000000002</v>
      </c>
      <c r="F280" s="454">
        <f>$F$279</f>
        <v>14168.949999999999</v>
      </c>
      <c r="G280" s="454">
        <f>$G$279</f>
        <v>16699.949999999997</v>
      </c>
      <c r="H280" s="454">
        <f>E280-F280-G280</f>
        <v>112794.50000000003</v>
      </c>
      <c r="I280" s="454"/>
      <c r="J280" s="454"/>
      <c r="K280" s="454"/>
      <c r="L280" s="454"/>
      <c r="M280" s="454"/>
      <c r="N280" s="454"/>
      <c r="O280" s="454"/>
      <c r="P280" s="454"/>
      <c r="Q280" s="454"/>
      <c r="R280" s="454"/>
      <c r="S280" s="454"/>
      <c r="T280" s="456"/>
      <c r="U280" s="456"/>
      <c r="V280" s="456"/>
      <c r="W280" s="456"/>
    </row>
    <row r="281" spans="1:202" s="446" customFormat="1" ht="25.5" customHeight="1">
      <c r="A281" s="450"/>
      <c r="B281" s="450"/>
      <c r="C281" s="3037" t="s">
        <v>566</v>
      </c>
      <c r="D281" s="3037"/>
      <c r="E281" s="3037"/>
      <c r="F281" s="455">
        <f>E3</f>
        <v>20647</v>
      </c>
      <c r="G281" s="455">
        <f>E4</f>
        <v>30916</v>
      </c>
      <c r="H281" s="455">
        <f>E5</f>
        <v>20629</v>
      </c>
      <c r="I281" s="455">
        <f>E6</f>
        <v>20629</v>
      </c>
      <c r="J281" s="455">
        <f>D7</f>
        <v>21161.49</v>
      </c>
      <c r="K281" s="455">
        <f>E7</f>
        <v>20629</v>
      </c>
      <c r="L281" s="455">
        <f>E8</f>
        <v>20629</v>
      </c>
      <c r="M281" s="455">
        <f>E9</f>
        <v>20629</v>
      </c>
      <c r="N281" s="455">
        <f>E10</f>
        <v>20629</v>
      </c>
      <c r="O281" s="455">
        <f>E11</f>
        <v>20629</v>
      </c>
      <c r="P281" s="455">
        <f>E12</f>
        <v>20758</v>
      </c>
      <c r="Q281" s="455">
        <f>E13</f>
        <v>19507</v>
      </c>
      <c r="R281" s="455">
        <f>E14</f>
        <v>19507</v>
      </c>
      <c r="S281" s="448"/>
      <c r="T281" s="448"/>
      <c r="U281" s="448"/>
      <c r="V281" s="448"/>
      <c r="W281" s="448"/>
      <c r="X281" s="447"/>
      <c r="Y281" s="447"/>
      <c r="Z281" s="447"/>
      <c r="AA281" s="447"/>
      <c r="AB281" s="447"/>
      <c r="AC281" s="447"/>
      <c r="AD281" s="447"/>
      <c r="AE281" s="447"/>
      <c r="AF281" s="447"/>
      <c r="AG281" s="447"/>
      <c r="AH281" s="447"/>
      <c r="AI281" s="447"/>
      <c r="AJ281" s="447"/>
      <c r="AK281" s="447"/>
      <c r="AL281" s="447"/>
      <c r="AM281" s="447"/>
      <c r="AN281" s="447"/>
      <c r="AO281" s="447"/>
      <c r="AP281" s="447"/>
      <c r="AQ281" s="447"/>
      <c r="AR281" s="447"/>
      <c r="AS281" s="447"/>
      <c r="AT281" s="447"/>
      <c r="AU281" s="447"/>
      <c r="AV281" s="447"/>
      <c r="AW281" s="447"/>
      <c r="AX281" s="447"/>
      <c r="AY281" s="447"/>
      <c r="AZ281" s="447"/>
      <c r="BA281" s="447"/>
      <c r="BB281" s="447"/>
      <c r="BC281" s="447"/>
      <c r="BD281" s="447"/>
      <c r="BE281" s="447"/>
      <c r="BF281" s="447"/>
      <c r="BG281" s="447"/>
      <c r="BH281" s="447"/>
      <c r="BI281" s="447"/>
      <c r="BJ281" s="447"/>
      <c r="BK281" s="447"/>
      <c r="BL281" s="447"/>
      <c r="BM281" s="447"/>
      <c r="BN281" s="447"/>
      <c r="BO281" s="447"/>
      <c r="BP281" s="447"/>
      <c r="BQ281" s="447"/>
      <c r="BR281" s="447"/>
      <c r="BS281" s="447"/>
      <c r="BT281" s="447"/>
      <c r="BU281" s="447"/>
      <c r="BV281" s="447"/>
      <c r="BW281" s="447"/>
      <c r="BX281" s="447"/>
      <c r="BY281" s="447"/>
      <c r="BZ281" s="447"/>
      <c r="CA281" s="447"/>
      <c r="CB281" s="447"/>
      <c r="CC281" s="447"/>
      <c r="CD281" s="447"/>
      <c r="CE281" s="447"/>
      <c r="CF281" s="447"/>
      <c r="CG281" s="447"/>
      <c r="CH281" s="447"/>
      <c r="CI281" s="447"/>
      <c r="CJ281" s="447"/>
      <c r="CK281" s="447"/>
      <c r="CL281" s="447"/>
      <c r="CM281" s="447"/>
      <c r="CN281" s="447"/>
      <c r="CO281" s="447"/>
      <c r="CP281" s="447"/>
      <c r="CQ281" s="447"/>
      <c r="CR281" s="447"/>
      <c r="CS281" s="447"/>
      <c r="CT281" s="447"/>
      <c r="CU281" s="447"/>
      <c r="CV281" s="447"/>
      <c r="CW281" s="447"/>
      <c r="CX281" s="447"/>
      <c r="CY281" s="447"/>
      <c r="CZ281" s="447"/>
      <c r="DA281" s="447"/>
      <c r="DB281" s="447"/>
      <c r="DC281" s="447"/>
      <c r="DD281" s="447"/>
      <c r="DE281" s="447"/>
      <c r="DF281" s="447"/>
      <c r="DG281" s="447"/>
      <c r="DH281" s="447"/>
      <c r="DI281" s="447"/>
      <c r="DJ281" s="447"/>
      <c r="DK281" s="447"/>
      <c r="DL281" s="447"/>
      <c r="DM281" s="447"/>
      <c r="DN281" s="447"/>
      <c r="DO281" s="447"/>
      <c r="DP281" s="447"/>
      <c r="DQ281" s="447"/>
      <c r="DR281" s="447"/>
      <c r="DS281" s="447"/>
      <c r="DT281" s="447"/>
      <c r="DU281" s="447"/>
      <c r="DV281" s="447"/>
      <c r="DW281" s="447"/>
      <c r="DX281" s="447"/>
      <c r="DY281" s="447"/>
      <c r="DZ281" s="447"/>
      <c r="EA281" s="447"/>
      <c r="EB281" s="447"/>
      <c r="EC281" s="447"/>
      <c r="ED281" s="447"/>
      <c r="EE281" s="447"/>
      <c r="EF281" s="447"/>
      <c r="EG281" s="447"/>
      <c r="EH281" s="447"/>
      <c r="EI281" s="447"/>
      <c r="EJ281" s="447"/>
      <c r="EK281" s="447"/>
      <c r="EL281" s="447"/>
      <c r="EM281" s="447"/>
      <c r="EN281" s="447"/>
      <c r="EO281" s="447"/>
      <c r="EP281" s="447"/>
      <c r="EQ281" s="447"/>
      <c r="ER281" s="447"/>
      <c r="ES281" s="447"/>
      <c r="ET281" s="447"/>
      <c r="EU281" s="447"/>
      <c r="EV281" s="447"/>
      <c r="EW281" s="447"/>
      <c r="EX281" s="447"/>
      <c r="EY281" s="447"/>
      <c r="EZ281" s="447"/>
      <c r="FA281" s="447"/>
      <c r="FB281" s="447"/>
      <c r="FC281" s="447"/>
      <c r="FD281" s="447"/>
      <c r="FE281" s="447"/>
      <c r="FF281" s="447"/>
      <c r="FG281" s="447"/>
      <c r="FH281" s="447"/>
      <c r="FI281" s="447"/>
      <c r="FJ281" s="447"/>
      <c r="FK281" s="447"/>
      <c r="FL281" s="447"/>
      <c r="FM281" s="447"/>
      <c r="FN281" s="447"/>
      <c r="FO281" s="447"/>
      <c r="FP281" s="447"/>
      <c r="FQ281" s="447"/>
      <c r="FR281" s="447"/>
      <c r="FS281" s="447"/>
      <c r="FT281" s="447"/>
      <c r="FU281" s="447"/>
      <c r="FV281" s="447"/>
      <c r="FW281" s="447"/>
      <c r="FX281" s="447"/>
      <c r="FY281" s="447"/>
      <c r="FZ281" s="447"/>
      <c r="GA281" s="447"/>
      <c r="GB281" s="447"/>
      <c r="GC281" s="447"/>
      <c r="GD281" s="447"/>
      <c r="GE281" s="447"/>
      <c r="GF281" s="447"/>
      <c r="GG281" s="447"/>
      <c r="GH281" s="447"/>
      <c r="GI281" s="447"/>
      <c r="GJ281" s="447"/>
      <c r="GK281" s="447"/>
      <c r="GL281" s="447"/>
      <c r="GM281" s="447"/>
      <c r="GN281" s="447"/>
      <c r="GO281" s="447"/>
      <c r="GP281" s="447"/>
      <c r="GQ281" s="447"/>
      <c r="GR281" s="447"/>
      <c r="GS281" s="447"/>
      <c r="GT281" s="447"/>
    </row>
    <row r="282" spans="1:202" ht="12" customHeight="1">
      <c r="C282" s="3038" t="s">
        <v>565</v>
      </c>
      <c r="D282" s="3038"/>
      <c r="E282" s="3038"/>
      <c r="F282" s="454">
        <v>14250</v>
      </c>
      <c r="G282" s="454">
        <v>21350</v>
      </c>
      <c r="H282" s="454">
        <v>10860</v>
      </c>
      <c r="I282" s="453">
        <f t="shared" ref="I282:R282" si="12">$H$282</f>
        <v>10860</v>
      </c>
      <c r="J282" s="453">
        <f t="shared" si="12"/>
        <v>10860</v>
      </c>
      <c r="K282" s="453">
        <f t="shared" si="12"/>
        <v>10860</v>
      </c>
      <c r="L282" s="453">
        <f t="shared" si="12"/>
        <v>10860</v>
      </c>
      <c r="M282" s="453">
        <f t="shared" si="12"/>
        <v>10860</v>
      </c>
      <c r="N282" s="453">
        <f t="shared" si="12"/>
        <v>10860</v>
      </c>
      <c r="O282" s="453">
        <f t="shared" si="12"/>
        <v>10860</v>
      </c>
      <c r="P282" s="453">
        <f t="shared" si="12"/>
        <v>10860</v>
      </c>
      <c r="Q282" s="453">
        <f t="shared" si="12"/>
        <v>10860</v>
      </c>
      <c r="R282" s="453">
        <f t="shared" si="12"/>
        <v>10860</v>
      </c>
      <c r="S282" s="451"/>
      <c r="T282" s="451"/>
      <c r="U282" s="451"/>
      <c r="V282" s="451"/>
      <c r="W282" s="451"/>
    </row>
    <row r="283" spans="1:202" ht="12" customHeight="1">
      <c r="C283" s="3039" t="s">
        <v>564</v>
      </c>
      <c r="D283" s="3039"/>
      <c r="E283" s="3039"/>
      <c r="F283" s="452">
        <f>$F$279</f>
        <v>14168.949999999999</v>
      </c>
      <c r="G283" s="452">
        <f>$G$279</f>
        <v>16699.949999999997</v>
      </c>
      <c r="H283" s="452">
        <f t="shared" ref="H283:R283" si="13">H279</f>
        <v>10194.949999999999</v>
      </c>
      <c r="I283" s="452">
        <f t="shared" si="13"/>
        <v>10194.949999999999</v>
      </c>
      <c r="J283" s="452">
        <f t="shared" si="13"/>
        <v>10194.949999999999</v>
      </c>
      <c r="K283" s="452">
        <f t="shared" si="13"/>
        <v>10194.949999999999</v>
      </c>
      <c r="L283" s="452">
        <f t="shared" si="13"/>
        <v>12394.949999999999</v>
      </c>
      <c r="M283" s="452">
        <f t="shared" si="13"/>
        <v>10194.949999999999</v>
      </c>
      <c r="N283" s="452">
        <f t="shared" si="13"/>
        <v>16699.949999999997</v>
      </c>
      <c r="O283" s="452">
        <f t="shared" si="13"/>
        <v>10194.949999999999</v>
      </c>
      <c r="P283" s="452">
        <f t="shared" si="13"/>
        <v>10194.949999999999</v>
      </c>
      <c r="Q283" s="452">
        <f t="shared" si="13"/>
        <v>10194.949999999999</v>
      </c>
      <c r="R283" s="452">
        <f t="shared" si="13"/>
        <v>12394.949999999999</v>
      </c>
      <c r="S283" s="451"/>
      <c r="T283" s="451"/>
      <c r="U283" s="451"/>
      <c r="V283" s="451"/>
      <c r="W283" s="451"/>
    </row>
    <row r="284" spans="1:202" s="446" customFormat="1" ht="19.5" customHeight="1">
      <c r="A284" s="450"/>
      <c r="B284" s="450"/>
      <c r="C284" s="3037" t="s">
        <v>563</v>
      </c>
      <c r="D284" s="3037"/>
      <c r="E284" s="3037"/>
      <c r="F284" s="449">
        <f>F282-F283</f>
        <v>81.050000000001091</v>
      </c>
      <c r="G284" s="449">
        <f>F284+G282-G283</f>
        <v>4731.1000000000058</v>
      </c>
      <c r="H284" s="449">
        <f>G284+H282-H283</f>
        <v>5396.1500000000069</v>
      </c>
      <c r="I284" s="449">
        <f>H284+I282-I283</f>
        <v>6061.200000000008</v>
      </c>
      <c r="J284" s="449">
        <f>H284+J282-J283</f>
        <v>6061.200000000008</v>
      </c>
      <c r="K284" s="449">
        <f>I284+K282-K283</f>
        <v>6726.2500000000091</v>
      </c>
      <c r="L284" s="449">
        <f t="shared" ref="L284:R284" si="14">K284+L282-L283</f>
        <v>5191.3000000000084</v>
      </c>
      <c r="M284" s="449">
        <f t="shared" si="14"/>
        <v>5856.3500000000095</v>
      </c>
      <c r="N284" s="449">
        <f t="shared" si="14"/>
        <v>16.400000000012369</v>
      </c>
      <c r="O284" s="449">
        <f t="shared" si="14"/>
        <v>681.45000000001346</v>
      </c>
      <c r="P284" s="449">
        <f t="shared" si="14"/>
        <v>1346.5000000000146</v>
      </c>
      <c r="Q284" s="449">
        <f t="shared" si="14"/>
        <v>2011.5500000000156</v>
      </c>
      <c r="R284" s="449">
        <f t="shared" si="14"/>
        <v>476.60000000001673</v>
      </c>
      <c r="S284" s="448"/>
      <c r="T284" s="448"/>
      <c r="U284" s="448"/>
      <c r="V284" s="448"/>
      <c r="W284" s="448"/>
      <c r="X284" s="447"/>
      <c r="Y284" s="447"/>
      <c r="Z284" s="447"/>
      <c r="AA284" s="447"/>
      <c r="AB284" s="447"/>
      <c r="AC284" s="447"/>
      <c r="AD284" s="447"/>
      <c r="AE284" s="447"/>
      <c r="AF284" s="447"/>
      <c r="AG284" s="447"/>
      <c r="AH284" s="447"/>
      <c r="AI284" s="447"/>
      <c r="AJ284" s="447"/>
      <c r="AK284" s="447"/>
      <c r="AL284" s="447"/>
      <c r="AM284" s="447"/>
      <c r="AN284" s="447"/>
      <c r="AO284" s="447"/>
      <c r="AP284" s="447"/>
      <c r="AQ284" s="447"/>
      <c r="AR284" s="447"/>
      <c r="AS284" s="447"/>
      <c r="AT284" s="447"/>
      <c r="AU284" s="447"/>
      <c r="AV284" s="447"/>
      <c r="AW284" s="447"/>
      <c r="AX284" s="447"/>
      <c r="AY284" s="447"/>
      <c r="AZ284" s="447"/>
      <c r="BA284" s="447"/>
      <c r="BB284" s="447"/>
      <c r="BC284" s="447"/>
      <c r="BD284" s="447"/>
      <c r="BE284" s="447"/>
      <c r="BF284" s="447"/>
      <c r="BG284" s="447"/>
      <c r="BH284" s="447"/>
      <c r="BI284" s="447"/>
      <c r="BJ284" s="447"/>
      <c r="BK284" s="447"/>
      <c r="BL284" s="447"/>
      <c r="BM284" s="447"/>
      <c r="BN284" s="447"/>
      <c r="BO284" s="447"/>
      <c r="BP284" s="447"/>
      <c r="BQ284" s="447"/>
      <c r="BR284" s="447"/>
      <c r="BS284" s="447"/>
      <c r="BT284" s="447"/>
      <c r="BU284" s="447"/>
      <c r="BV284" s="447"/>
      <c r="BW284" s="447"/>
      <c r="BX284" s="447"/>
      <c r="BY284" s="447"/>
      <c r="BZ284" s="447"/>
      <c r="CA284" s="447"/>
      <c r="CB284" s="447"/>
      <c r="CC284" s="447"/>
      <c r="CD284" s="447"/>
      <c r="CE284" s="447"/>
      <c r="CF284" s="447"/>
      <c r="CG284" s="447"/>
      <c r="CH284" s="447"/>
      <c r="CI284" s="447"/>
      <c r="CJ284" s="447"/>
      <c r="CK284" s="447"/>
      <c r="CL284" s="447"/>
      <c r="CM284" s="447"/>
      <c r="CN284" s="447"/>
      <c r="CO284" s="447"/>
      <c r="CP284" s="447"/>
      <c r="CQ284" s="447"/>
      <c r="CR284" s="447"/>
      <c r="CS284" s="447"/>
      <c r="CT284" s="447"/>
      <c r="CU284" s="447"/>
      <c r="CV284" s="447"/>
      <c r="CW284" s="447"/>
      <c r="CX284" s="447"/>
      <c r="CY284" s="447"/>
      <c r="CZ284" s="447"/>
      <c r="DA284" s="447"/>
      <c r="DB284" s="447"/>
      <c r="DC284" s="447"/>
      <c r="DD284" s="447"/>
      <c r="DE284" s="447"/>
      <c r="DF284" s="447"/>
      <c r="DG284" s="447"/>
      <c r="DH284" s="447"/>
      <c r="DI284" s="447"/>
      <c r="DJ284" s="447"/>
      <c r="DK284" s="447"/>
      <c r="DL284" s="447"/>
      <c r="DM284" s="447"/>
      <c r="DN284" s="447"/>
      <c r="DO284" s="447"/>
      <c r="DP284" s="447"/>
      <c r="DQ284" s="447"/>
      <c r="DR284" s="447"/>
      <c r="DS284" s="447"/>
      <c r="DT284" s="447"/>
      <c r="DU284" s="447"/>
      <c r="DV284" s="447"/>
      <c r="DW284" s="447"/>
      <c r="DX284" s="447"/>
      <c r="DY284" s="447"/>
      <c r="DZ284" s="447"/>
      <c r="EA284" s="447"/>
      <c r="EB284" s="447"/>
      <c r="EC284" s="447"/>
      <c r="ED284" s="447"/>
      <c r="EE284" s="447"/>
      <c r="EF284" s="447"/>
      <c r="EG284" s="447"/>
      <c r="EH284" s="447"/>
      <c r="EI284" s="447"/>
      <c r="EJ284" s="447"/>
      <c r="EK284" s="447"/>
      <c r="EL284" s="447"/>
      <c r="EM284" s="447"/>
      <c r="EN284" s="447"/>
      <c r="EO284" s="447"/>
      <c r="EP284" s="447"/>
      <c r="EQ284" s="447"/>
      <c r="ER284" s="447"/>
      <c r="ES284" s="447"/>
      <c r="ET284" s="447"/>
      <c r="EU284" s="447"/>
      <c r="EV284" s="447"/>
      <c r="EW284" s="447"/>
      <c r="EX284" s="447"/>
      <c r="EY284" s="447"/>
      <c r="EZ284" s="447"/>
      <c r="FA284" s="447"/>
      <c r="FB284" s="447"/>
      <c r="FC284" s="447"/>
      <c r="FD284" s="447"/>
      <c r="FE284" s="447"/>
      <c r="FF284" s="447"/>
      <c r="FG284" s="447"/>
      <c r="FH284" s="447"/>
      <c r="FI284" s="447"/>
      <c r="FJ284" s="447"/>
      <c r="FK284" s="447"/>
      <c r="FL284" s="447"/>
      <c r="FM284" s="447"/>
      <c r="FN284" s="447"/>
      <c r="FO284" s="447"/>
      <c r="FP284" s="447"/>
      <c r="FQ284" s="447"/>
      <c r="FR284" s="447"/>
      <c r="FS284" s="447"/>
      <c r="FT284" s="447"/>
      <c r="FU284" s="447"/>
      <c r="FV284" s="447"/>
      <c r="FW284" s="447"/>
      <c r="FX284" s="447"/>
      <c r="FY284" s="447"/>
      <c r="FZ284" s="447"/>
      <c r="GA284" s="447"/>
      <c r="GB284" s="447"/>
      <c r="GC284" s="447"/>
      <c r="GD284" s="447"/>
      <c r="GE284" s="447"/>
      <c r="GF284" s="447"/>
      <c r="GG284" s="447"/>
      <c r="GH284" s="447"/>
      <c r="GI284" s="447"/>
      <c r="GJ284" s="447"/>
      <c r="GK284" s="447"/>
      <c r="GL284" s="447"/>
      <c r="GM284" s="447"/>
      <c r="GN284" s="447"/>
      <c r="GO284" s="447"/>
      <c r="GP284" s="447"/>
      <c r="GQ284" s="447"/>
      <c r="GR284" s="447"/>
      <c r="GS284" s="447"/>
      <c r="GT284" s="447"/>
    </row>
    <row r="285" spans="1:202" s="446" customFormat="1" ht="23.25" customHeight="1">
      <c r="A285" s="450"/>
      <c r="B285" s="450"/>
      <c r="C285" s="3036" t="s">
        <v>562</v>
      </c>
      <c r="D285" s="3036"/>
      <c r="E285" s="3036"/>
      <c r="F285" s="449">
        <f t="shared" ref="F285:R285" si="15">F281-F282</f>
        <v>6397</v>
      </c>
      <c r="G285" s="449">
        <f t="shared" si="15"/>
        <v>9566</v>
      </c>
      <c r="H285" s="449">
        <f t="shared" si="15"/>
        <v>9769</v>
      </c>
      <c r="I285" s="449">
        <f t="shared" si="15"/>
        <v>9769</v>
      </c>
      <c r="J285" s="449">
        <f t="shared" si="15"/>
        <v>10301.490000000002</v>
      </c>
      <c r="K285" s="449">
        <f t="shared" si="15"/>
        <v>9769</v>
      </c>
      <c r="L285" s="449">
        <f t="shared" si="15"/>
        <v>9769</v>
      </c>
      <c r="M285" s="449">
        <f t="shared" si="15"/>
        <v>9769</v>
      </c>
      <c r="N285" s="449">
        <f t="shared" si="15"/>
        <v>9769</v>
      </c>
      <c r="O285" s="449">
        <f t="shared" si="15"/>
        <v>9769</v>
      </c>
      <c r="P285" s="449">
        <f t="shared" si="15"/>
        <v>9898</v>
      </c>
      <c r="Q285" s="449">
        <f t="shared" si="15"/>
        <v>8647</v>
      </c>
      <c r="R285" s="449">
        <f t="shared" si="15"/>
        <v>8647</v>
      </c>
      <c r="S285" s="448"/>
      <c r="T285" s="448"/>
      <c r="U285" s="448"/>
      <c r="V285" s="448"/>
      <c r="W285" s="448"/>
      <c r="X285" s="447"/>
      <c r="Y285" s="447"/>
      <c r="Z285" s="447"/>
      <c r="AA285" s="447"/>
      <c r="AB285" s="447"/>
      <c r="AC285" s="447"/>
      <c r="AD285" s="447"/>
      <c r="AE285" s="447"/>
      <c r="AF285" s="447"/>
      <c r="AG285" s="447"/>
      <c r="AH285" s="447"/>
      <c r="AI285" s="447"/>
      <c r="AJ285" s="447"/>
      <c r="AK285" s="447"/>
      <c r="AL285" s="447"/>
      <c r="AM285" s="447"/>
      <c r="AN285" s="447"/>
      <c r="AO285" s="447"/>
      <c r="AP285" s="447"/>
      <c r="AQ285" s="447"/>
      <c r="AR285" s="447"/>
      <c r="AS285" s="447"/>
      <c r="AT285" s="447"/>
      <c r="AU285" s="447"/>
      <c r="AV285" s="447"/>
      <c r="AW285" s="447"/>
      <c r="AX285" s="447"/>
      <c r="AY285" s="447"/>
      <c r="AZ285" s="447"/>
      <c r="BA285" s="447"/>
      <c r="BB285" s="447"/>
      <c r="BC285" s="447"/>
      <c r="BD285" s="447"/>
      <c r="BE285" s="447"/>
      <c r="BF285" s="447"/>
      <c r="BG285" s="447"/>
      <c r="BH285" s="447"/>
      <c r="BI285" s="447"/>
      <c r="BJ285" s="447"/>
      <c r="BK285" s="447"/>
      <c r="BL285" s="447"/>
      <c r="BM285" s="447"/>
      <c r="BN285" s="447"/>
      <c r="BO285" s="447"/>
      <c r="BP285" s="447"/>
      <c r="BQ285" s="447"/>
      <c r="BR285" s="447"/>
      <c r="BS285" s="447"/>
      <c r="BT285" s="447"/>
      <c r="BU285" s="447"/>
      <c r="BV285" s="447"/>
      <c r="BW285" s="447"/>
      <c r="BX285" s="447"/>
      <c r="BY285" s="447"/>
      <c r="BZ285" s="447"/>
      <c r="CA285" s="447"/>
      <c r="CB285" s="447"/>
      <c r="CC285" s="447"/>
      <c r="CD285" s="447"/>
      <c r="CE285" s="447"/>
      <c r="CF285" s="447"/>
      <c r="CG285" s="447"/>
      <c r="CH285" s="447"/>
      <c r="CI285" s="447"/>
      <c r="CJ285" s="447"/>
      <c r="CK285" s="447"/>
      <c r="CL285" s="447"/>
      <c r="CM285" s="447"/>
      <c r="CN285" s="447"/>
      <c r="CO285" s="447"/>
      <c r="CP285" s="447"/>
      <c r="CQ285" s="447"/>
      <c r="CR285" s="447"/>
      <c r="CS285" s="447"/>
      <c r="CT285" s="447"/>
      <c r="CU285" s="447"/>
      <c r="CV285" s="447"/>
      <c r="CW285" s="447"/>
      <c r="CX285" s="447"/>
      <c r="CY285" s="447"/>
      <c r="CZ285" s="447"/>
      <c r="DA285" s="447"/>
      <c r="DB285" s="447"/>
      <c r="DC285" s="447"/>
      <c r="DD285" s="447"/>
      <c r="DE285" s="447"/>
      <c r="DF285" s="447"/>
      <c r="DG285" s="447"/>
      <c r="DH285" s="447"/>
      <c r="DI285" s="447"/>
      <c r="DJ285" s="447"/>
      <c r="DK285" s="447"/>
      <c r="DL285" s="447"/>
      <c r="DM285" s="447"/>
      <c r="DN285" s="447"/>
      <c r="DO285" s="447"/>
      <c r="DP285" s="447"/>
      <c r="DQ285" s="447"/>
      <c r="DR285" s="447"/>
      <c r="DS285" s="447"/>
      <c r="DT285" s="447"/>
      <c r="DU285" s="447"/>
      <c r="DV285" s="447"/>
      <c r="DW285" s="447"/>
      <c r="DX285" s="447"/>
      <c r="DY285" s="447"/>
      <c r="DZ285" s="447"/>
      <c r="EA285" s="447"/>
      <c r="EB285" s="447"/>
      <c r="EC285" s="447"/>
      <c r="ED285" s="447"/>
      <c r="EE285" s="447"/>
      <c r="EF285" s="447"/>
      <c r="EG285" s="447"/>
      <c r="EH285" s="447"/>
      <c r="EI285" s="447"/>
      <c r="EJ285" s="447"/>
      <c r="EK285" s="447"/>
      <c r="EL285" s="447"/>
      <c r="EM285" s="447"/>
      <c r="EN285" s="447"/>
      <c r="EO285" s="447"/>
      <c r="EP285" s="447"/>
      <c r="EQ285" s="447"/>
      <c r="ER285" s="447"/>
      <c r="ES285" s="447"/>
      <c r="ET285" s="447"/>
      <c r="EU285" s="447"/>
      <c r="EV285" s="447"/>
      <c r="EW285" s="447"/>
      <c r="EX285" s="447"/>
      <c r="EY285" s="447"/>
      <c r="EZ285" s="447"/>
      <c r="FA285" s="447"/>
      <c r="FB285" s="447"/>
      <c r="FC285" s="447"/>
      <c r="FD285" s="447"/>
      <c r="FE285" s="447"/>
      <c r="FF285" s="447"/>
      <c r="FG285" s="447"/>
      <c r="FH285" s="447"/>
      <c r="FI285" s="447"/>
      <c r="FJ285" s="447"/>
      <c r="FK285" s="447"/>
      <c r="FL285" s="447"/>
      <c r="FM285" s="447"/>
      <c r="FN285" s="447"/>
      <c r="FO285" s="447"/>
      <c r="FP285" s="447"/>
      <c r="FQ285" s="447"/>
      <c r="FR285" s="447"/>
      <c r="FS285" s="447"/>
      <c r="FT285" s="447"/>
      <c r="FU285" s="447"/>
      <c r="FV285" s="447"/>
      <c r="FW285" s="447"/>
      <c r="FX285" s="447"/>
      <c r="FY285" s="447"/>
      <c r="FZ285" s="447"/>
      <c r="GA285" s="447"/>
      <c r="GB285" s="447"/>
      <c r="GC285" s="447"/>
      <c r="GD285" s="447"/>
      <c r="GE285" s="447"/>
      <c r="GF285" s="447"/>
      <c r="GG285" s="447"/>
      <c r="GH285" s="447"/>
      <c r="GI285" s="447"/>
      <c r="GJ285" s="447"/>
      <c r="GK285" s="447"/>
      <c r="GL285" s="447"/>
      <c r="GM285" s="447"/>
      <c r="GN285" s="447"/>
      <c r="GO285" s="447"/>
      <c r="GP285" s="447"/>
      <c r="GQ285" s="447"/>
      <c r="GR285" s="447"/>
      <c r="GS285" s="447"/>
      <c r="GT285" s="447"/>
    </row>
  </sheetData>
  <mergeCells count="7">
    <mergeCell ref="A1:C1"/>
    <mergeCell ref="A2:C2"/>
    <mergeCell ref="C285:E285"/>
    <mergeCell ref="C281:E281"/>
    <mergeCell ref="C282:E282"/>
    <mergeCell ref="C283:E283"/>
    <mergeCell ref="C284:E28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N78"/>
  <sheetViews>
    <sheetView workbookViewId="0">
      <pane ySplit="1" topLeftCell="A2" activePane="bottomLeft" state="frozen"/>
      <selection activeCell="EZ40" sqref="EZ40"/>
      <selection pane="bottomLeft" activeCell="EZ40" sqref="EZ40"/>
    </sheetView>
  </sheetViews>
  <sheetFormatPr defaultColWidth="9.109375" defaultRowHeight="12" customHeight="1"/>
  <cols>
    <col min="1" max="1" width="2.88671875" style="536" customWidth="1"/>
    <col min="2" max="2" width="15.6640625" style="529" customWidth="1"/>
    <col min="3" max="3" width="12.6640625" style="535" customWidth="1"/>
    <col min="4" max="13" width="12.6640625" style="534" customWidth="1"/>
    <col min="14" max="14" width="12.6640625" style="533" customWidth="1"/>
    <col min="15" max="15" width="1" style="531" customWidth="1"/>
    <col min="16" max="16" width="12.44140625" style="532" customWidth="1"/>
    <col min="17" max="17" width="1" style="531" customWidth="1"/>
    <col min="18" max="18" width="12.44140625" style="532" customWidth="1"/>
    <col min="19" max="19" width="1" style="531" customWidth="1"/>
    <col min="20" max="25" width="9.109375" style="530"/>
    <col min="26" max="26" width="3.6640625" style="530" customWidth="1"/>
    <col min="27" max="196" width="9.109375" style="530"/>
    <col min="197" max="16384" width="9.109375" style="529"/>
  </cols>
  <sheetData>
    <row r="1" spans="1:19" s="550" customFormat="1" ht="19.5" customHeight="1">
      <c r="A1" s="3043" t="s">
        <v>613</v>
      </c>
      <c r="B1" s="3043"/>
      <c r="C1" s="583" t="s">
        <v>94</v>
      </c>
      <c r="D1" s="583" t="s">
        <v>121</v>
      </c>
      <c r="E1" s="583" t="s">
        <v>120</v>
      </c>
      <c r="F1" s="583" t="s">
        <v>119</v>
      </c>
      <c r="G1" s="583" t="s">
        <v>118</v>
      </c>
      <c r="H1" s="583" t="s">
        <v>44</v>
      </c>
      <c r="I1" s="583" t="s">
        <v>117</v>
      </c>
      <c r="J1" s="583" t="s">
        <v>116</v>
      </c>
      <c r="K1" s="583" t="s">
        <v>115</v>
      </c>
      <c r="L1" s="583" t="s">
        <v>114</v>
      </c>
      <c r="M1" s="583" t="s">
        <v>113</v>
      </c>
      <c r="N1" s="583" t="s">
        <v>112</v>
      </c>
      <c r="O1" s="582"/>
      <c r="P1" s="583" t="s">
        <v>567</v>
      </c>
      <c r="Q1" s="582"/>
      <c r="R1" s="583" t="s">
        <v>418</v>
      </c>
      <c r="S1" s="582"/>
    </row>
    <row r="2" spans="1:19" s="550" customFormat="1" ht="16.5" customHeight="1">
      <c r="A2" s="3044" t="s">
        <v>612</v>
      </c>
      <c r="B2" s="3044"/>
      <c r="C2" s="581">
        <v>19507</v>
      </c>
      <c r="D2" s="581">
        <f t="shared" ref="D2:N2" si="0">SUM(D3:D6)</f>
        <v>30916</v>
      </c>
      <c r="E2" s="581">
        <f t="shared" si="0"/>
        <v>20629</v>
      </c>
      <c r="F2" s="581">
        <f t="shared" si="0"/>
        <v>20629</v>
      </c>
      <c r="G2" s="581">
        <f t="shared" si="0"/>
        <v>20629</v>
      </c>
      <c r="H2" s="581">
        <f t="shared" si="0"/>
        <v>20629</v>
      </c>
      <c r="I2" s="581">
        <f t="shared" si="0"/>
        <v>20629</v>
      </c>
      <c r="J2" s="581">
        <f t="shared" si="0"/>
        <v>20629</v>
      </c>
      <c r="K2" s="581">
        <f t="shared" si="0"/>
        <v>20629</v>
      </c>
      <c r="L2" s="581">
        <f t="shared" si="0"/>
        <v>20629</v>
      </c>
      <c r="M2" s="581">
        <f t="shared" si="0"/>
        <v>20629</v>
      </c>
      <c r="N2" s="581">
        <f t="shared" si="0"/>
        <v>20629</v>
      </c>
      <c r="O2" s="560"/>
      <c r="P2" s="558">
        <f t="shared" ref="P2:P26" si="1">SUM(C2:N2)</f>
        <v>256713</v>
      </c>
      <c r="Q2" s="559"/>
      <c r="R2" s="558">
        <f>SUM(C2:N2)/12</f>
        <v>21392.75</v>
      </c>
      <c r="S2" s="557"/>
    </row>
    <row r="3" spans="1:19" s="530" customFormat="1" ht="13.8">
      <c r="A3" s="580" t="s">
        <v>189</v>
      </c>
      <c r="B3" s="579" t="s">
        <v>574</v>
      </c>
      <c r="C3" s="578">
        <v>11527</v>
      </c>
      <c r="D3" s="578">
        <v>11448</v>
      </c>
      <c r="E3" s="578">
        <v>11448</v>
      </c>
      <c r="F3" s="578">
        <v>11448</v>
      </c>
      <c r="G3" s="578">
        <v>11448</v>
      </c>
      <c r="H3" s="578">
        <v>11448</v>
      </c>
      <c r="I3" s="578">
        <v>11448</v>
      </c>
      <c r="J3" s="578">
        <v>11448</v>
      </c>
      <c r="K3" s="578">
        <v>11448</v>
      </c>
      <c r="L3" s="578">
        <v>11448</v>
      </c>
      <c r="M3" s="578">
        <v>11448</v>
      </c>
      <c r="N3" s="578">
        <v>11448</v>
      </c>
      <c r="O3" s="531"/>
      <c r="P3" s="572">
        <f t="shared" si="1"/>
        <v>137455</v>
      </c>
      <c r="Q3" s="531"/>
      <c r="R3" s="572">
        <f t="shared" ref="R3:R26" si="2">AVERAGE(C3:N3)</f>
        <v>11454.583333333334</v>
      </c>
      <c r="S3" s="531"/>
    </row>
    <row r="4" spans="1:19" s="530" customFormat="1" ht="13.8">
      <c r="A4" s="580" t="s">
        <v>189</v>
      </c>
      <c r="B4" s="579" t="s">
        <v>573</v>
      </c>
      <c r="C4" s="578">
        <v>7768</v>
      </c>
      <c r="D4" s="578">
        <v>18116</v>
      </c>
      <c r="E4" s="578">
        <v>7829</v>
      </c>
      <c r="F4" s="578">
        <v>7829</v>
      </c>
      <c r="G4" s="578">
        <v>7829</v>
      </c>
      <c r="H4" s="578">
        <v>7829</v>
      </c>
      <c r="I4" s="578">
        <v>7829</v>
      </c>
      <c r="J4" s="578">
        <v>7829</v>
      </c>
      <c r="K4" s="578">
        <v>7829</v>
      </c>
      <c r="L4" s="578">
        <v>7829</v>
      </c>
      <c r="M4" s="578">
        <v>7829</v>
      </c>
      <c r="N4" s="578">
        <v>7829</v>
      </c>
      <c r="O4" s="531"/>
      <c r="P4" s="572">
        <f t="shared" si="1"/>
        <v>104174</v>
      </c>
      <c r="Q4" s="531"/>
      <c r="R4" s="572">
        <f t="shared" si="2"/>
        <v>8681.1666666666661</v>
      </c>
      <c r="S4" s="531"/>
    </row>
    <row r="5" spans="1:19" s="530" customFormat="1" ht="13.8">
      <c r="A5" s="580" t="s">
        <v>189</v>
      </c>
      <c r="B5" s="579" t="s">
        <v>573</v>
      </c>
      <c r="C5" s="578">
        <v>205</v>
      </c>
      <c r="D5" s="578">
        <v>205</v>
      </c>
      <c r="E5" s="578">
        <v>205</v>
      </c>
      <c r="F5" s="578">
        <v>205</v>
      </c>
      <c r="G5" s="578">
        <v>205</v>
      </c>
      <c r="H5" s="578">
        <v>205</v>
      </c>
      <c r="I5" s="578">
        <v>205</v>
      </c>
      <c r="J5" s="578">
        <v>205</v>
      </c>
      <c r="K5" s="578">
        <v>205</v>
      </c>
      <c r="L5" s="578">
        <v>205</v>
      </c>
      <c r="M5" s="578">
        <v>205</v>
      </c>
      <c r="N5" s="578">
        <v>205</v>
      </c>
      <c r="O5" s="531"/>
      <c r="P5" s="572">
        <f t="shared" si="1"/>
        <v>2460</v>
      </c>
      <c r="Q5" s="531"/>
      <c r="R5" s="572">
        <f t="shared" si="2"/>
        <v>205</v>
      </c>
      <c r="S5" s="531"/>
    </row>
    <row r="6" spans="1:19" s="530" customFormat="1" ht="13.8">
      <c r="A6" s="580" t="s">
        <v>189</v>
      </c>
      <c r="B6" s="579" t="s">
        <v>31</v>
      </c>
      <c r="C6" s="578">
        <v>1147</v>
      </c>
      <c r="D6" s="578">
        <v>1147</v>
      </c>
      <c r="E6" s="578">
        <v>1147</v>
      </c>
      <c r="F6" s="578">
        <v>1147</v>
      </c>
      <c r="G6" s="578">
        <v>1147</v>
      </c>
      <c r="H6" s="578">
        <v>1147</v>
      </c>
      <c r="I6" s="578">
        <v>1147</v>
      </c>
      <c r="J6" s="578">
        <v>1147</v>
      </c>
      <c r="K6" s="578">
        <v>1147</v>
      </c>
      <c r="L6" s="578">
        <v>1147</v>
      </c>
      <c r="M6" s="578">
        <v>1147</v>
      </c>
      <c r="N6" s="578">
        <v>1147</v>
      </c>
      <c r="O6" s="531"/>
      <c r="P6" s="572">
        <f t="shared" si="1"/>
        <v>13764</v>
      </c>
      <c r="Q6" s="531"/>
      <c r="R6" s="572">
        <f t="shared" si="2"/>
        <v>1147</v>
      </c>
      <c r="S6" s="531"/>
    </row>
    <row r="7" spans="1:19" s="550" customFormat="1" ht="16.5" customHeight="1">
      <c r="A7" s="3045" t="s">
        <v>611</v>
      </c>
      <c r="B7" s="3045"/>
      <c r="C7" s="576">
        <v>7183.9</v>
      </c>
      <c r="D7" s="576">
        <f t="shared" ref="D7:N7" si="3">SUM(D8:D26)</f>
        <v>21591.53</v>
      </c>
      <c r="E7" s="576">
        <f t="shared" si="3"/>
        <v>15798.23</v>
      </c>
      <c r="F7" s="576">
        <f t="shared" si="3"/>
        <v>12745.269999999999</v>
      </c>
      <c r="G7" s="576">
        <f t="shared" si="3"/>
        <v>12552.16</v>
      </c>
      <c r="H7" s="576">
        <f t="shared" si="3"/>
        <v>11136.119999999999</v>
      </c>
      <c r="I7" s="576">
        <f t="shared" si="3"/>
        <v>15778.48</v>
      </c>
      <c r="J7" s="576">
        <f t="shared" si="3"/>
        <v>12898.33</v>
      </c>
      <c r="K7" s="576">
        <f t="shared" si="3"/>
        <v>16909.440000000002</v>
      </c>
      <c r="L7" s="576">
        <f t="shared" si="3"/>
        <v>13015.179999999998</v>
      </c>
      <c r="M7" s="576">
        <f t="shared" si="3"/>
        <v>6220.01</v>
      </c>
      <c r="N7" s="576">
        <f t="shared" si="3"/>
        <v>13423.989999999998</v>
      </c>
      <c r="O7" s="560"/>
      <c r="P7" s="558">
        <f t="shared" si="1"/>
        <v>159252.63999999998</v>
      </c>
      <c r="Q7" s="559"/>
      <c r="R7" s="558">
        <f t="shared" si="2"/>
        <v>13271.053333333331</v>
      </c>
      <c r="S7" s="557"/>
    </row>
    <row r="8" spans="1:19" s="530" customFormat="1" ht="13.8">
      <c r="A8" s="575" t="s">
        <v>189</v>
      </c>
      <c r="B8" s="574" t="s">
        <v>30</v>
      </c>
      <c r="C8" s="573">
        <v>7474</v>
      </c>
      <c r="D8" s="573">
        <v>14948</v>
      </c>
      <c r="E8" s="573">
        <v>7474</v>
      </c>
      <c r="F8" s="573">
        <v>7474</v>
      </c>
      <c r="G8" s="573">
        <v>7474</v>
      </c>
      <c r="H8" s="573">
        <v>7474</v>
      </c>
      <c r="I8" s="573">
        <v>7474</v>
      </c>
      <c r="J8" s="573">
        <v>7474</v>
      </c>
      <c r="K8" s="573">
        <v>7474</v>
      </c>
      <c r="L8" s="573">
        <v>7474</v>
      </c>
      <c r="M8" s="573">
        <v>0</v>
      </c>
      <c r="N8" s="573">
        <v>7474</v>
      </c>
      <c r="O8" s="531"/>
      <c r="P8" s="572">
        <f t="shared" si="1"/>
        <v>89688</v>
      </c>
      <c r="Q8" s="531"/>
      <c r="R8" s="572">
        <f t="shared" si="2"/>
        <v>7474</v>
      </c>
      <c r="S8" s="531"/>
    </row>
    <row r="9" spans="1:19" s="530" customFormat="1" ht="13.8">
      <c r="A9" s="575" t="s">
        <v>572</v>
      </c>
      <c r="B9" s="574" t="s">
        <v>265</v>
      </c>
      <c r="C9" s="573">
        <v>602.4</v>
      </c>
      <c r="D9" s="573">
        <v>602.4</v>
      </c>
      <c r="E9" s="573">
        <v>602.4</v>
      </c>
      <c r="F9" s="573">
        <v>602.4</v>
      </c>
      <c r="G9" s="573">
        <v>602.4</v>
      </c>
      <c r="H9" s="573">
        <v>602.4</v>
      </c>
      <c r="I9" s="573">
        <v>602.4</v>
      </c>
      <c r="J9" s="573">
        <v>602.4</v>
      </c>
      <c r="K9" s="573">
        <v>602.4</v>
      </c>
      <c r="L9" s="573">
        <v>602.4</v>
      </c>
      <c r="M9" s="573">
        <v>602.4</v>
      </c>
      <c r="N9" s="573">
        <v>602.4</v>
      </c>
      <c r="O9" s="531"/>
      <c r="P9" s="572">
        <f t="shared" si="1"/>
        <v>7228.7999999999984</v>
      </c>
      <c r="Q9" s="531"/>
      <c r="R9" s="572">
        <f t="shared" si="2"/>
        <v>602.39999999999986</v>
      </c>
      <c r="S9" s="531"/>
    </row>
    <row r="10" spans="1:19" s="530" customFormat="1" ht="13.8">
      <c r="A10" s="575" t="s">
        <v>572</v>
      </c>
      <c r="B10" s="574" t="s">
        <v>264</v>
      </c>
      <c r="C10" s="573">
        <v>523</v>
      </c>
      <c r="D10" s="573">
        <v>523</v>
      </c>
      <c r="E10" s="573">
        <v>523</v>
      </c>
      <c r="F10" s="573">
        <v>523</v>
      </c>
      <c r="G10" s="573">
        <v>523</v>
      </c>
      <c r="H10" s="573">
        <v>523</v>
      </c>
      <c r="I10" s="573">
        <v>523</v>
      </c>
      <c r="J10" s="573">
        <v>523</v>
      </c>
      <c r="K10" s="573">
        <v>523</v>
      </c>
      <c r="L10" s="573">
        <v>523</v>
      </c>
      <c r="M10" s="573">
        <v>523</v>
      </c>
      <c r="N10" s="573">
        <v>523</v>
      </c>
      <c r="O10" s="531"/>
      <c r="P10" s="572">
        <f t="shared" si="1"/>
        <v>6276</v>
      </c>
      <c r="Q10" s="531"/>
      <c r="R10" s="572">
        <f t="shared" si="2"/>
        <v>523</v>
      </c>
      <c r="S10" s="531"/>
    </row>
    <row r="11" spans="1:19" s="530" customFormat="1" ht="13.8">
      <c r="A11" s="575" t="s">
        <v>572</v>
      </c>
      <c r="B11" s="574" t="s">
        <v>182</v>
      </c>
      <c r="C11" s="573">
        <v>279</v>
      </c>
      <c r="D11" s="573">
        <v>279</v>
      </c>
      <c r="E11" s="573">
        <v>279</v>
      </c>
      <c r="F11" s="573">
        <v>279</v>
      </c>
      <c r="G11" s="573">
        <v>279</v>
      </c>
      <c r="H11" s="573">
        <v>279</v>
      </c>
      <c r="I11" s="573">
        <v>279</v>
      </c>
      <c r="J11" s="573">
        <v>279</v>
      </c>
      <c r="K11" s="573">
        <v>279</v>
      </c>
      <c r="L11" s="573">
        <v>279</v>
      </c>
      <c r="M11" s="573">
        <v>279</v>
      </c>
      <c r="N11" s="573">
        <v>279</v>
      </c>
      <c r="O11" s="531"/>
      <c r="P11" s="572">
        <f t="shared" si="1"/>
        <v>3348</v>
      </c>
      <c r="Q11" s="531"/>
      <c r="R11" s="572">
        <f t="shared" si="2"/>
        <v>279</v>
      </c>
      <c r="S11" s="531"/>
    </row>
    <row r="12" spans="1:19" s="530" customFormat="1" ht="13.8">
      <c r="A12" s="575" t="s">
        <v>572</v>
      </c>
      <c r="B12" s="574" t="s">
        <v>472</v>
      </c>
      <c r="C12" s="573">
        <v>240</v>
      </c>
      <c r="D12" s="573">
        <v>240</v>
      </c>
      <c r="E12" s="573">
        <v>240</v>
      </c>
      <c r="F12" s="573">
        <v>240</v>
      </c>
      <c r="G12" s="573">
        <v>240</v>
      </c>
      <c r="H12" s="573">
        <v>240</v>
      </c>
      <c r="I12" s="573">
        <v>240</v>
      </c>
      <c r="J12" s="573">
        <v>240</v>
      </c>
      <c r="K12" s="573">
        <v>240</v>
      </c>
      <c r="L12" s="573">
        <v>240</v>
      </c>
      <c r="M12" s="573">
        <v>240</v>
      </c>
      <c r="N12" s="573">
        <v>240</v>
      </c>
      <c r="O12" s="531"/>
      <c r="P12" s="572">
        <f t="shared" si="1"/>
        <v>2880</v>
      </c>
      <c r="Q12" s="531"/>
      <c r="R12" s="572">
        <f t="shared" si="2"/>
        <v>240</v>
      </c>
      <c r="S12" s="531"/>
    </row>
    <row r="13" spans="1:19" s="530" customFormat="1" ht="13.8">
      <c r="A13" s="575" t="s">
        <v>572</v>
      </c>
      <c r="B13" s="574" t="s">
        <v>472</v>
      </c>
      <c r="C13" s="573">
        <v>210</v>
      </c>
      <c r="D13" s="573">
        <v>210</v>
      </c>
      <c r="E13" s="573">
        <v>210</v>
      </c>
      <c r="F13" s="573">
        <v>210</v>
      </c>
      <c r="G13" s="573">
        <v>210</v>
      </c>
      <c r="H13" s="573">
        <v>210</v>
      </c>
      <c r="I13" s="573">
        <v>210</v>
      </c>
      <c r="J13" s="573">
        <v>210</v>
      </c>
      <c r="K13" s="573">
        <v>210</v>
      </c>
      <c r="L13" s="573">
        <v>210</v>
      </c>
      <c r="M13" s="573">
        <v>210</v>
      </c>
      <c r="N13" s="573">
        <v>210</v>
      </c>
      <c r="O13" s="531"/>
      <c r="P13" s="572">
        <f t="shared" si="1"/>
        <v>2520</v>
      </c>
      <c r="Q13" s="531"/>
      <c r="R13" s="572">
        <f t="shared" si="2"/>
        <v>210</v>
      </c>
      <c r="S13" s="531"/>
    </row>
    <row r="14" spans="1:19" s="530" customFormat="1" ht="13.8">
      <c r="A14" s="575" t="s">
        <v>572</v>
      </c>
      <c r="B14" s="574" t="s">
        <v>183</v>
      </c>
      <c r="C14" s="573">
        <v>448.75</v>
      </c>
      <c r="D14" s="573">
        <v>448.75</v>
      </c>
      <c r="E14" s="573">
        <v>448.75</v>
      </c>
      <c r="F14" s="573">
        <v>448.75</v>
      </c>
      <c r="G14" s="573">
        <v>448.75</v>
      </c>
      <c r="H14" s="573">
        <v>448.75</v>
      </c>
      <c r="I14" s="573">
        <v>448.75</v>
      </c>
      <c r="J14" s="573">
        <v>448.75</v>
      </c>
      <c r="K14" s="573">
        <v>448.75</v>
      </c>
      <c r="L14" s="573">
        <v>448.75</v>
      </c>
      <c r="M14" s="573">
        <v>448.75</v>
      </c>
      <c r="N14" s="573">
        <v>448.75</v>
      </c>
      <c r="O14" s="531">
        <v>448.75</v>
      </c>
      <c r="P14" s="572">
        <f t="shared" si="1"/>
        <v>5385</v>
      </c>
      <c r="Q14" s="531"/>
      <c r="R14" s="572">
        <f t="shared" si="2"/>
        <v>448.75</v>
      </c>
      <c r="S14" s="531"/>
    </row>
    <row r="15" spans="1:19" s="530" customFormat="1" ht="13.8">
      <c r="A15" s="575" t="s">
        <v>572</v>
      </c>
      <c r="B15" s="574" t="s">
        <v>481</v>
      </c>
      <c r="C15" s="573">
        <v>118.65</v>
      </c>
      <c r="D15" s="573">
        <v>109.7</v>
      </c>
      <c r="E15" s="573">
        <v>101.51</v>
      </c>
      <c r="F15" s="573">
        <v>94</v>
      </c>
      <c r="G15" s="573"/>
      <c r="H15" s="573"/>
      <c r="I15" s="573"/>
      <c r="J15" s="573"/>
      <c r="K15" s="573">
        <v>73</v>
      </c>
      <c r="L15" s="573">
        <v>73</v>
      </c>
      <c r="M15" s="573">
        <v>73</v>
      </c>
      <c r="N15" s="573">
        <v>73</v>
      </c>
      <c r="O15" s="531"/>
      <c r="P15" s="572">
        <f t="shared" si="1"/>
        <v>715.86</v>
      </c>
      <c r="Q15" s="531"/>
      <c r="R15" s="572">
        <f t="shared" si="2"/>
        <v>89.482500000000002</v>
      </c>
      <c r="S15" s="531"/>
    </row>
    <row r="16" spans="1:19" s="530" customFormat="1" ht="13.8">
      <c r="A16" s="575" t="s">
        <v>572</v>
      </c>
      <c r="B16" s="574" t="s">
        <v>186</v>
      </c>
      <c r="C16" s="573">
        <v>180</v>
      </c>
      <c r="D16" s="573">
        <v>180</v>
      </c>
      <c r="E16" s="573">
        <v>225</v>
      </c>
      <c r="F16" s="573">
        <v>180</v>
      </c>
      <c r="G16" s="573">
        <v>225</v>
      </c>
      <c r="H16" s="573">
        <v>180</v>
      </c>
      <c r="I16" s="573">
        <v>180</v>
      </c>
      <c r="J16" s="573"/>
      <c r="K16" s="573"/>
      <c r="L16" s="573">
        <v>200</v>
      </c>
      <c r="M16" s="573"/>
      <c r="N16" s="573"/>
      <c r="O16" s="531"/>
      <c r="P16" s="572">
        <f t="shared" si="1"/>
        <v>1550</v>
      </c>
      <c r="Q16" s="531"/>
      <c r="R16" s="572">
        <f t="shared" si="2"/>
        <v>193.75</v>
      </c>
      <c r="S16" s="531"/>
    </row>
    <row r="17" spans="1:19" s="530" customFormat="1" ht="13.8">
      <c r="A17" s="575" t="s">
        <v>572</v>
      </c>
      <c r="B17" s="574" t="s">
        <v>126</v>
      </c>
      <c r="C17" s="573"/>
      <c r="D17" s="573"/>
      <c r="E17" s="573"/>
      <c r="F17" s="573"/>
      <c r="G17" s="573">
        <v>43</v>
      </c>
      <c r="H17" s="573">
        <v>43</v>
      </c>
      <c r="I17" s="573">
        <v>43</v>
      </c>
      <c r="J17" s="573">
        <v>233</v>
      </c>
      <c r="K17" s="573"/>
      <c r="L17" s="573"/>
      <c r="M17" s="573"/>
      <c r="N17" s="573"/>
      <c r="O17" s="531"/>
      <c r="P17" s="572">
        <f t="shared" si="1"/>
        <v>362</v>
      </c>
      <c r="Q17" s="531"/>
      <c r="R17" s="572">
        <f t="shared" si="2"/>
        <v>90.5</v>
      </c>
      <c r="S17" s="531"/>
    </row>
    <row r="18" spans="1:19" s="530" customFormat="1" ht="13.8">
      <c r="A18" s="575" t="s">
        <v>572</v>
      </c>
      <c r="B18" s="574" t="s">
        <v>196</v>
      </c>
      <c r="C18" s="573"/>
      <c r="D18" s="573"/>
      <c r="E18" s="573"/>
      <c r="F18" s="573"/>
      <c r="G18" s="573"/>
      <c r="H18" s="573"/>
      <c r="I18" s="573"/>
      <c r="J18" s="573">
        <v>211</v>
      </c>
      <c r="K18" s="573"/>
      <c r="L18" s="573"/>
      <c r="M18" s="573"/>
      <c r="N18" s="573"/>
      <c r="O18" s="531"/>
      <c r="P18" s="572">
        <f t="shared" si="1"/>
        <v>211</v>
      </c>
      <c r="Q18" s="531"/>
      <c r="R18" s="572">
        <f t="shared" si="2"/>
        <v>211</v>
      </c>
      <c r="S18" s="531"/>
    </row>
    <row r="19" spans="1:19" s="530" customFormat="1" ht="13.8">
      <c r="A19" s="575" t="s">
        <v>572</v>
      </c>
      <c r="B19" s="574" t="s">
        <v>523</v>
      </c>
      <c r="C19" s="573"/>
      <c r="D19" s="573"/>
      <c r="E19" s="573"/>
      <c r="F19" s="573"/>
      <c r="G19" s="573"/>
      <c r="H19" s="573"/>
      <c r="I19" s="573"/>
      <c r="J19" s="573"/>
      <c r="K19" s="573">
        <v>760</v>
      </c>
      <c r="L19" s="573">
        <v>760</v>
      </c>
      <c r="M19" s="573">
        <v>760</v>
      </c>
      <c r="N19" s="573">
        <v>760</v>
      </c>
      <c r="O19" s="531"/>
      <c r="P19" s="572">
        <f t="shared" si="1"/>
        <v>3040</v>
      </c>
      <c r="Q19" s="531"/>
      <c r="R19" s="572">
        <f t="shared" si="2"/>
        <v>760</v>
      </c>
      <c r="S19" s="531"/>
    </row>
    <row r="20" spans="1:19" s="530" customFormat="1" ht="13.8">
      <c r="A20" s="575" t="s">
        <v>572</v>
      </c>
      <c r="B20" s="574" t="s">
        <v>100</v>
      </c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>
        <v>866.29</v>
      </c>
      <c r="N20" s="573"/>
      <c r="O20" s="531"/>
      <c r="P20" s="572">
        <f t="shared" si="1"/>
        <v>866.29</v>
      </c>
      <c r="Q20" s="531"/>
      <c r="R20" s="572">
        <f t="shared" si="2"/>
        <v>866.29</v>
      </c>
      <c r="S20" s="531"/>
    </row>
    <row r="21" spans="1:19" s="530" customFormat="1" ht="13.8">
      <c r="A21" s="575" t="s">
        <v>572</v>
      </c>
      <c r="B21" s="574" t="s">
        <v>306</v>
      </c>
      <c r="C21" s="573">
        <v>602.37</v>
      </c>
      <c r="D21" s="573">
        <v>1060.69</v>
      </c>
      <c r="E21" s="573">
        <v>1035.42</v>
      </c>
      <c r="F21" s="573">
        <v>720.65</v>
      </c>
      <c r="G21" s="573">
        <v>527.02</v>
      </c>
      <c r="H21" s="573">
        <v>762.33</v>
      </c>
      <c r="I21" s="573">
        <v>692.83</v>
      </c>
      <c r="J21" s="573">
        <v>733.45</v>
      </c>
      <c r="K21" s="573">
        <v>579.12</v>
      </c>
      <c r="L21" s="573">
        <v>783.75</v>
      </c>
      <c r="M21" s="573">
        <v>809.87</v>
      </c>
      <c r="N21" s="573">
        <v>601.72</v>
      </c>
      <c r="O21" s="531"/>
      <c r="P21" s="572">
        <f t="shared" si="1"/>
        <v>8909.2199999999993</v>
      </c>
      <c r="Q21" s="531"/>
      <c r="R21" s="572">
        <f t="shared" si="2"/>
        <v>742.43499999999995</v>
      </c>
      <c r="S21" s="531"/>
    </row>
    <row r="22" spans="1:19" s="530" customFormat="1" ht="13.8">
      <c r="A22" s="575" t="s">
        <v>572</v>
      </c>
      <c r="B22" s="574" t="s">
        <v>547</v>
      </c>
      <c r="C22" s="573">
        <v>1001.29</v>
      </c>
      <c r="D22" s="573">
        <v>1003.05</v>
      </c>
      <c r="E22" s="573">
        <v>1999.69</v>
      </c>
      <c r="F22" s="573">
        <v>1799.8</v>
      </c>
      <c r="G22" s="573">
        <v>1800.53</v>
      </c>
      <c r="H22" s="573">
        <v>199.97</v>
      </c>
      <c r="I22" s="573">
        <v>3123.77</v>
      </c>
      <c r="J22" s="573">
        <v>1764.27</v>
      </c>
      <c r="K22" s="573">
        <v>3066.5</v>
      </c>
      <c r="L22" s="573">
        <v>1241.82</v>
      </c>
      <c r="M22" s="573">
        <v>1234.03</v>
      </c>
      <c r="N22" s="573">
        <v>2032.66</v>
      </c>
      <c r="O22" s="531"/>
      <c r="P22" s="572">
        <f t="shared" si="1"/>
        <v>20267.38</v>
      </c>
      <c r="Q22" s="531"/>
      <c r="R22" s="572">
        <f t="shared" si="2"/>
        <v>1688.9483333333335</v>
      </c>
      <c r="S22" s="531"/>
    </row>
    <row r="23" spans="1:19" s="530" customFormat="1" ht="13.8">
      <c r="A23" s="575" t="s">
        <v>572</v>
      </c>
      <c r="B23" s="574" t="s">
        <v>20</v>
      </c>
      <c r="C23" s="573">
        <v>239.46</v>
      </c>
      <c r="D23" s="573">
        <v>162.09</v>
      </c>
      <c r="E23" s="573">
        <v>179.46</v>
      </c>
      <c r="F23" s="573">
        <v>173.67</v>
      </c>
      <c r="G23" s="573">
        <v>179.46</v>
      </c>
      <c r="H23" s="573">
        <v>173.67</v>
      </c>
      <c r="I23" s="573">
        <v>179.46</v>
      </c>
      <c r="J23" s="573">
        <v>179.46</v>
      </c>
      <c r="K23" s="573">
        <v>173.67</v>
      </c>
      <c r="L23" s="573">
        <v>179.46</v>
      </c>
      <c r="M23" s="573">
        <v>173.67</v>
      </c>
      <c r="N23" s="573">
        <v>179.46</v>
      </c>
      <c r="O23" s="531"/>
      <c r="P23" s="572">
        <f t="shared" si="1"/>
        <v>2172.9900000000002</v>
      </c>
      <c r="Q23" s="531"/>
      <c r="R23" s="572">
        <f t="shared" si="2"/>
        <v>181.08250000000001</v>
      </c>
      <c r="S23" s="531"/>
    </row>
    <row r="24" spans="1:19" s="530" customFormat="1" ht="13.8">
      <c r="A24" s="575" t="s">
        <v>572</v>
      </c>
      <c r="B24" s="574" t="s">
        <v>285</v>
      </c>
      <c r="C24" s="573">
        <v>1629</v>
      </c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31"/>
      <c r="P24" s="572">
        <f t="shared" si="1"/>
        <v>1629</v>
      </c>
      <c r="Q24" s="531"/>
      <c r="R24" s="572">
        <f t="shared" si="2"/>
        <v>1629</v>
      </c>
      <c r="S24" s="531"/>
    </row>
    <row r="25" spans="1:19" s="530" customFormat="1" ht="13.8">
      <c r="A25" s="575" t="s">
        <v>189</v>
      </c>
      <c r="B25" s="574" t="s">
        <v>283</v>
      </c>
      <c r="C25" s="573"/>
      <c r="D25" s="573"/>
      <c r="E25" s="573">
        <f>$C$73</f>
        <v>2480</v>
      </c>
      <c r="F25" s="573"/>
      <c r="G25" s="573"/>
      <c r="H25" s="573"/>
      <c r="I25" s="573"/>
      <c r="J25" s="573"/>
      <c r="K25" s="573">
        <v>2480</v>
      </c>
      <c r="L25" s="573"/>
      <c r="M25" s="573"/>
      <c r="N25" s="573"/>
      <c r="O25" s="531"/>
      <c r="P25" s="572">
        <f t="shared" si="1"/>
        <v>4960</v>
      </c>
      <c r="Q25" s="531"/>
      <c r="R25" s="572">
        <f t="shared" si="2"/>
        <v>2480</v>
      </c>
      <c r="S25" s="531"/>
    </row>
    <row r="26" spans="1:19" s="530" customFormat="1" ht="13.8">
      <c r="A26" s="575"/>
      <c r="B26" s="574" t="s">
        <v>99</v>
      </c>
      <c r="C26" s="573"/>
      <c r="D26" s="573">
        <v>1824.85</v>
      </c>
      <c r="E26" s="573"/>
      <c r="F26" s="573"/>
      <c r="G26" s="573"/>
      <c r="H26" s="573"/>
      <c r="I26" s="573">
        <v>1782.27</v>
      </c>
      <c r="J26" s="573"/>
      <c r="K26" s="573"/>
      <c r="L26" s="573"/>
      <c r="M26" s="573"/>
      <c r="N26" s="573"/>
      <c r="O26" s="531"/>
      <c r="P26" s="572">
        <f t="shared" si="1"/>
        <v>3607.12</v>
      </c>
      <c r="Q26" s="531"/>
      <c r="R26" s="572">
        <f t="shared" si="2"/>
        <v>1803.56</v>
      </c>
      <c r="S26" s="531"/>
    </row>
    <row r="27" spans="1:19" s="550" customFormat="1" ht="16.5" customHeight="1">
      <c r="A27" s="3045" t="s">
        <v>610</v>
      </c>
      <c r="B27" s="3045"/>
      <c r="C27" s="576">
        <v>11348.48</v>
      </c>
      <c r="D27" s="576">
        <f t="shared" ref="D27:N27" si="4">SUM(D31:D33)</f>
        <v>1687.2</v>
      </c>
      <c r="E27" s="576">
        <f t="shared" si="4"/>
        <v>783.12</v>
      </c>
      <c r="F27" s="576">
        <f t="shared" si="4"/>
        <v>1279.5</v>
      </c>
      <c r="G27" s="576">
        <f t="shared" si="4"/>
        <v>350</v>
      </c>
      <c r="H27" s="576">
        <f t="shared" si="4"/>
        <v>777.2</v>
      </c>
      <c r="I27" s="576">
        <f t="shared" si="4"/>
        <v>1209.24</v>
      </c>
      <c r="J27" s="576" t="e">
        <f t="shared" si="4"/>
        <v>#REF!</v>
      </c>
      <c r="K27" s="576">
        <f t="shared" si="4"/>
        <v>438.95000000000005</v>
      </c>
      <c r="L27" s="576" t="e">
        <f t="shared" si="4"/>
        <v>#REF!</v>
      </c>
      <c r="M27" s="576" t="e">
        <f t="shared" si="4"/>
        <v>#REF!</v>
      </c>
      <c r="N27" s="576">
        <f t="shared" si="4"/>
        <v>5488.2800000000007</v>
      </c>
      <c r="O27" s="560"/>
      <c r="P27" s="558"/>
      <c r="Q27" s="559"/>
      <c r="R27" s="558"/>
      <c r="S27" s="557"/>
    </row>
    <row r="28" spans="1:19" s="530" customFormat="1" ht="13.8">
      <c r="A28" s="575"/>
      <c r="B28" s="577" t="s">
        <v>15</v>
      </c>
      <c r="C28" s="573">
        <f>hush18!C$3</f>
        <v>2214.3999999999996</v>
      </c>
      <c r="D28" s="573">
        <f>hush18!D$3</f>
        <v>1736.0600000000002</v>
      </c>
      <c r="E28" s="573">
        <f>hush18!E$3</f>
        <v>1762.59</v>
      </c>
      <c r="F28" s="573">
        <f>hush18!F$3</f>
        <v>3547.349999999999</v>
      </c>
      <c r="G28" s="573">
        <f>hush18!G$3</f>
        <v>2408.13</v>
      </c>
      <c r="H28" s="573">
        <f>hush18!H$3</f>
        <v>3155.3800000000006</v>
      </c>
      <c r="I28" s="573">
        <f>hush18!I$3</f>
        <v>2580.59</v>
      </c>
      <c r="J28" s="573">
        <f>hush18!J$3</f>
        <v>2385.96</v>
      </c>
      <c r="K28" s="573">
        <f>hush18!K$3</f>
        <v>1822.6399999999999</v>
      </c>
      <c r="L28" s="573">
        <f>hush18!L$3</f>
        <v>1141.4399999999998</v>
      </c>
      <c r="M28" s="573">
        <f>hush18!M$3</f>
        <v>2817.94</v>
      </c>
      <c r="N28" s="573">
        <f>hush18!N$3</f>
        <v>1673.13</v>
      </c>
      <c r="O28" s="531"/>
      <c r="P28" s="572">
        <f t="shared" ref="P28:P33" si="5">SUM(C28:N28)</f>
        <v>27245.609999999997</v>
      </c>
      <c r="Q28" s="531"/>
      <c r="R28" s="572">
        <f t="shared" ref="R28:R33" si="6">AVERAGE(C28:N28)</f>
        <v>2270.4674999999997</v>
      </c>
      <c r="S28" s="531"/>
    </row>
    <row r="29" spans="1:19" s="530" customFormat="1" ht="13.8">
      <c r="A29" s="575"/>
      <c r="B29" s="574" t="s">
        <v>286</v>
      </c>
      <c r="C29" s="573">
        <f>hush18!C6</f>
        <v>131.94999999999999</v>
      </c>
      <c r="D29" s="573">
        <f>hush18!D6</f>
        <v>707.9</v>
      </c>
      <c r="E29" s="573">
        <f>hush18!E6</f>
        <v>120.5</v>
      </c>
      <c r="F29" s="573">
        <f>hush18!F6</f>
        <v>116.7</v>
      </c>
      <c r="G29" s="573">
        <f>hush18!G6</f>
        <v>395</v>
      </c>
      <c r="H29" s="573">
        <f>hush18!H6</f>
        <v>233</v>
      </c>
      <c r="I29" s="573">
        <f>hush18!I6</f>
        <v>277.89999999999998</v>
      </c>
      <c r="J29" s="573">
        <f>hush18!J6</f>
        <v>82.65</v>
      </c>
      <c r="K29" s="573">
        <f>hush18!K6</f>
        <v>831.15</v>
      </c>
      <c r="L29" s="573">
        <f>hush18!L6</f>
        <v>255.04999999999998</v>
      </c>
      <c r="M29" s="573">
        <f>hush18!M6</f>
        <v>623.54999999999995</v>
      </c>
      <c r="N29" s="573">
        <f>hush18!N6</f>
        <v>225.6</v>
      </c>
      <c r="O29" s="531"/>
      <c r="P29" s="572">
        <f t="shared" si="5"/>
        <v>4000.9500000000003</v>
      </c>
      <c r="Q29" s="531"/>
      <c r="R29" s="572">
        <f t="shared" si="6"/>
        <v>333.41250000000002</v>
      </c>
      <c r="S29" s="531"/>
    </row>
    <row r="30" spans="1:19" s="530" customFormat="1" ht="13.8">
      <c r="A30" s="575"/>
      <c r="B30" s="574" t="s">
        <v>284</v>
      </c>
      <c r="C30" s="573">
        <f>hush18!C7</f>
        <v>570.34999999999991</v>
      </c>
      <c r="D30" s="573">
        <f>hush18!D7</f>
        <v>366.8</v>
      </c>
      <c r="E30" s="573">
        <f>hush18!E7</f>
        <v>94.85</v>
      </c>
      <c r="F30" s="573">
        <f>hush18!F7</f>
        <v>674.50000000000011</v>
      </c>
      <c r="G30" s="573">
        <f>hush18!G7</f>
        <v>352.9</v>
      </c>
      <c r="H30" s="573">
        <f>hush18!H7</f>
        <v>602.65</v>
      </c>
      <c r="I30" s="573">
        <f>hush18!I7</f>
        <v>567.94000000000005</v>
      </c>
      <c r="J30" s="573">
        <f>hush18!J7</f>
        <v>675.35</v>
      </c>
      <c r="K30" s="573">
        <f>hush18!K7</f>
        <v>245</v>
      </c>
      <c r="L30" s="573">
        <f>hush18!L7</f>
        <v>41</v>
      </c>
      <c r="M30" s="573">
        <f>hush18!M7</f>
        <v>653.75</v>
      </c>
      <c r="N30" s="573">
        <f>hush18!N7</f>
        <v>204</v>
      </c>
      <c r="O30" s="531"/>
      <c r="P30" s="572">
        <f t="shared" si="5"/>
        <v>5049.09</v>
      </c>
      <c r="Q30" s="531"/>
      <c r="R30" s="572">
        <f t="shared" si="6"/>
        <v>420.75749999999999</v>
      </c>
      <c r="S30" s="531"/>
    </row>
    <row r="31" spans="1:19" s="530" customFormat="1" ht="13.8">
      <c r="A31" s="575"/>
      <c r="B31" s="574" t="s">
        <v>384</v>
      </c>
      <c r="C31" s="573">
        <f>hush18!C4</f>
        <v>138.44999999999999</v>
      </c>
      <c r="D31" s="573">
        <f>hush18!D4</f>
        <v>67.2</v>
      </c>
      <c r="E31" s="573">
        <f>hush18!E4</f>
        <v>63.75</v>
      </c>
      <c r="F31" s="573">
        <f>hush18!F4</f>
        <v>412.5</v>
      </c>
      <c r="G31" s="573">
        <f>hush18!G4</f>
        <v>0</v>
      </c>
      <c r="H31" s="573">
        <f>hush18!H4</f>
        <v>157.19999999999999</v>
      </c>
      <c r="I31" s="573">
        <f>hush18!I4</f>
        <v>129.94999999999999</v>
      </c>
      <c r="J31" s="573">
        <f>hush18!J4</f>
        <v>197.45</v>
      </c>
      <c r="K31" s="573">
        <f>hush18!K4</f>
        <v>147.94999999999999</v>
      </c>
      <c r="L31" s="573">
        <f>hush18!L4</f>
        <v>113.95</v>
      </c>
      <c r="M31" s="573">
        <f>hush18!M4</f>
        <v>357.95</v>
      </c>
      <c r="N31" s="573">
        <f>hush18!N4</f>
        <v>0</v>
      </c>
      <c r="O31" s="531"/>
      <c r="P31" s="572">
        <f t="shared" si="5"/>
        <v>1786.3500000000001</v>
      </c>
      <c r="Q31" s="531"/>
      <c r="R31" s="572">
        <f t="shared" si="6"/>
        <v>148.86250000000001</v>
      </c>
      <c r="S31" s="531"/>
    </row>
    <row r="32" spans="1:19" s="530" customFormat="1" ht="13.8">
      <c r="A32" s="575"/>
      <c r="B32" s="574" t="s">
        <v>14</v>
      </c>
      <c r="C32" s="573">
        <f>hush18!C5</f>
        <v>390</v>
      </c>
      <c r="D32" s="573">
        <f>hush18!D5</f>
        <v>390</v>
      </c>
      <c r="E32" s="573">
        <f>hush18!E5</f>
        <v>117</v>
      </c>
      <c r="F32" s="573">
        <f>hush18!F5</f>
        <v>544</v>
      </c>
      <c r="G32" s="573">
        <f>hush18!G5</f>
        <v>234</v>
      </c>
      <c r="H32" s="573">
        <f>hush18!H5</f>
        <v>620</v>
      </c>
      <c r="I32" s="573">
        <f>hush18!I5</f>
        <v>78</v>
      </c>
      <c r="J32" s="573">
        <f>hush18!J5</f>
        <v>390</v>
      </c>
      <c r="K32" s="573">
        <f>hush18!K5</f>
        <v>741</v>
      </c>
      <c r="L32" s="573">
        <f>hush18!L5</f>
        <v>0</v>
      </c>
      <c r="M32" s="573">
        <f>hush18!M5</f>
        <v>400</v>
      </c>
      <c r="N32" s="573">
        <f>hush18!N5</f>
        <v>320</v>
      </c>
      <c r="O32" s="531"/>
      <c r="P32" s="572">
        <f t="shared" si="5"/>
        <v>4224</v>
      </c>
      <c r="Q32" s="531"/>
      <c r="R32" s="572">
        <f t="shared" si="6"/>
        <v>352</v>
      </c>
      <c r="S32" s="531"/>
    </row>
    <row r="33" spans="1:20" s="530" customFormat="1" ht="13.8">
      <c r="A33" s="575"/>
      <c r="B33" s="577" t="s">
        <v>37</v>
      </c>
      <c r="C33" s="573">
        <f>'div18'!D$2</f>
        <v>4851.87</v>
      </c>
      <c r="D33" s="573">
        <f>'div18'!D$3</f>
        <v>1230</v>
      </c>
      <c r="E33" s="573">
        <f>'div18'!D$4</f>
        <v>602.37</v>
      </c>
      <c r="F33" s="573">
        <f>'div18'!D$5</f>
        <v>323</v>
      </c>
      <c r="G33" s="573">
        <f>'div18'!D$6</f>
        <v>116</v>
      </c>
      <c r="H33" s="573">
        <f>'div18'!D$7</f>
        <v>0</v>
      </c>
      <c r="I33" s="573">
        <f>'div18'!D$8</f>
        <v>1001.29</v>
      </c>
      <c r="J33" s="573" t="e">
        <f>'div18'!#REF!</f>
        <v>#REF!</v>
      </c>
      <c r="K33" s="573">
        <f>'div18'!D$10</f>
        <v>-450</v>
      </c>
      <c r="L33" s="573" t="e">
        <f>'div18'!#REF!</f>
        <v>#REF!</v>
      </c>
      <c r="M33" s="573" t="e">
        <f>'div18'!#REF!</f>
        <v>#REF!</v>
      </c>
      <c r="N33" s="573">
        <f>'div18'!O2</f>
        <v>5168.2800000000007</v>
      </c>
      <c r="O33" s="531"/>
      <c r="P33" s="572" t="e">
        <f t="shared" si="5"/>
        <v>#REF!</v>
      </c>
      <c r="Q33" s="531"/>
      <c r="R33" s="572" t="e">
        <f t="shared" si="6"/>
        <v>#REF!</v>
      </c>
      <c r="S33" s="531"/>
    </row>
    <row r="34" spans="1:20" s="550" customFormat="1" ht="16.5" customHeight="1">
      <c r="A34" s="3045" t="s">
        <v>609</v>
      </c>
      <c r="B34" s="3045"/>
      <c r="C34" s="576">
        <v>974.62</v>
      </c>
      <c r="D34" s="576">
        <f t="shared" ref="D34:N34" si="7">D2-D7-D27</f>
        <v>7637.2700000000013</v>
      </c>
      <c r="E34" s="576">
        <f t="shared" si="7"/>
        <v>4047.6500000000005</v>
      </c>
      <c r="F34" s="576">
        <f t="shared" si="7"/>
        <v>6604.2300000000014</v>
      </c>
      <c r="G34" s="576">
        <f t="shared" si="7"/>
        <v>7726.84</v>
      </c>
      <c r="H34" s="576">
        <f t="shared" si="7"/>
        <v>8715.68</v>
      </c>
      <c r="I34" s="576">
        <f t="shared" si="7"/>
        <v>3641.2800000000007</v>
      </c>
      <c r="J34" s="576" t="e">
        <f t="shared" si="7"/>
        <v>#REF!</v>
      </c>
      <c r="K34" s="576">
        <f t="shared" si="7"/>
        <v>3280.6099999999979</v>
      </c>
      <c r="L34" s="576" t="e">
        <f t="shared" si="7"/>
        <v>#REF!</v>
      </c>
      <c r="M34" s="576" t="e">
        <f t="shared" si="7"/>
        <v>#REF!</v>
      </c>
      <c r="N34" s="576">
        <f t="shared" si="7"/>
        <v>1716.7300000000014</v>
      </c>
      <c r="O34" s="560"/>
      <c r="P34" s="558"/>
      <c r="Q34" s="559"/>
      <c r="R34" s="558"/>
      <c r="S34" s="557"/>
    </row>
    <row r="35" spans="1:20" s="530" customFormat="1" ht="13.8">
      <c r="A35" s="575"/>
      <c r="B35" s="574" t="s">
        <v>428</v>
      </c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31"/>
      <c r="P35" s="572"/>
      <c r="Q35" s="531"/>
      <c r="R35" s="572"/>
      <c r="S35" s="531"/>
    </row>
    <row r="36" spans="1:20" s="565" customFormat="1" ht="20.25" customHeight="1">
      <c r="A36" s="3040" t="s">
        <v>553</v>
      </c>
      <c r="B36" s="3040"/>
      <c r="C36" s="570">
        <v>0</v>
      </c>
      <c r="D36" s="570">
        <f t="shared" ref="D36:N36" si="8">D34</f>
        <v>7637.2700000000013</v>
      </c>
      <c r="E36" s="570">
        <f t="shared" si="8"/>
        <v>4047.6500000000005</v>
      </c>
      <c r="F36" s="570">
        <f t="shared" si="8"/>
        <v>6604.2300000000014</v>
      </c>
      <c r="G36" s="570">
        <f t="shared" si="8"/>
        <v>7726.84</v>
      </c>
      <c r="H36" s="570">
        <f t="shared" si="8"/>
        <v>8715.68</v>
      </c>
      <c r="I36" s="570">
        <f t="shared" si="8"/>
        <v>3641.2800000000007</v>
      </c>
      <c r="J36" s="570" t="e">
        <f t="shared" si="8"/>
        <v>#REF!</v>
      </c>
      <c r="K36" s="570">
        <f t="shared" si="8"/>
        <v>3280.6099999999979</v>
      </c>
      <c r="L36" s="570" t="e">
        <f t="shared" si="8"/>
        <v>#REF!</v>
      </c>
      <c r="M36" s="570" t="e">
        <f t="shared" si="8"/>
        <v>#REF!</v>
      </c>
      <c r="N36" s="570">
        <f t="shared" si="8"/>
        <v>1716.7300000000014</v>
      </c>
      <c r="O36" s="569"/>
      <c r="P36" s="568"/>
      <c r="Q36" s="567"/>
      <c r="R36" s="568"/>
      <c r="S36" s="567"/>
      <c r="T36" s="566"/>
    </row>
    <row r="37" spans="1:20" s="565" customFormat="1" ht="20.25" customHeight="1">
      <c r="A37" s="3041" t="s">
        <v>608</v>
      </c>
      <c r="B37" s="3041"/>
      <c r="C37" s="571">
        <v>88.05</v>
      </c>
      <c r="D37" s="571">
        <f t="shared" ref="D37:N37" si="9">C37+D36</f>
        <v>7725.3200000000015</v>
      </c>
      <c r="E37" s="571">
        <f t="shared" si="9"/>
        <v>11772.970000000001</v>
      </c>
      <c r="F37" s="571">
        <f t="shared" si="9"/>
        <v>18377.200000000004</v>
      </c>
      <c r="G37" s="571">
        <f t="shared" si="9"/>
        <v>26104.040000000005</v>
      </c>
      <c r="H37" s="571">
        <f t="shared" si="9"/>
        <v>34819.72</v>
      </c>
      <c r="I37" s="571">
        <f t="shared" si="9"/>
        <v>38461</v>
      </c>
      <c r="J37" s="571" t="e">
        <f t="shared" si="9"/>
        <v>#REF!</v>
      </c>
      <c r="K37" s="571" t="e">
        <f t="shared" si="9"/>
        <v>#REF!</v>
      </c>
      <c r="L37" s="571" t="e">
        <f t="shared" si="9"/>
        <v>#REF!</v>
      </c>
      <c r="M37" s="571" t="e">
        <f t="shared" si="9"/>
        <v>#REF!</v>
      </c>
      <c r="N37" s="571" t="e">
        <f t="shared" si="9"/>
        <v>#REF!</v>
      </c>
      <c r="O37" s="569"/>
      <c r="P37" s="568"/>
      <c r="Q37" s="567"/>
      <c r="R37" s="568"/>
      <c r="S37" s="567"/>
      <c r="T37" s="566"/>
    </row>
    <row r="38" spans="1:20" s="565" customFormat="1" ht="20.25" customHeight="1">
      <c r="A38" s="3040" t="s">
        <v>607</v>
      </c>
      <c r="B38" s="3040"/>
      <c r="C38" s="570">
        <f t="shared" ref="C38:O38" si="10">SUM(C39:C42)</f>
        <v>0</v>
      </c>
      <c r="D38" s="570">
        <f t="shared" si="10"/>
        <v>0</v>
      </c>
      <c r="E38" s="570">
        <f t="shared" si="10"/>
        <v>0</v>
      </c>
      <c r="F38" s="570">
        <f t="shared" si="10"/>
        <v>0</v>
      </c>
      <c r="G38" s="570">
        <f t="shared" si="10"/>
        <v>0</v>
      </c>
      <c r="H38" s="570">
        <f t="shared" si="10"/>
        <v>0</v>
      </c>
      <c r="I38" s="570">
        <f t="shared" si="10"/>
        <v>0</v>
      </c>
      <c r="J38" s="570">
        <f t="shared" si="10"/>
        <v>0</v>
      </c>
      <c r="K38" s="570">
        <f t="shared" si="10"/>
        <v>0</v>
      </c>
      <c r="L38" s="570">
        <f t="shared" si="10"/>
        <v>0</v>
      </c>
      <c r="M38" s="570">
        <f t="shared" si="10"/>
        <v>0</v>
      </c>
      <c r="N38" s="570">
        <f t="shared" si="10"/>
        <v>0</v>
      </c>
      <c r="O38" s="569">
        <f t="shared" si="10"/>
        <v>0</v>
      </c>
      <c r="P38" s="568"/>
      <c r="Q38" s="567"/>
      <c r="R38" s="568"/>
      <c r="S38" s="567"/>
      <c r="T38" s="566"/>
    </row>
    <row r="39" spans="1:20" s="550" customFormat="1" ht="13.8">
      <c r="A39" s="554"/>
      <c r="B39" s="553" t="s">
        <v>606</v>
      </c>
      <c r="C39" s="564"/>
      <c r="D39" s="564"/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51"/>
      <c r="P39" s="531"/>
      <c r="Q39" s="551"/>
      <c r="R39" s="531"/>
      <c r="S39" s="551"/>
    </row>
    <row r="40" spans="1:20" s="550" customFormat="1" ht="13.8">
      <c r="A40" s="554"/>
      <c r="B40" s="553" t="s">
        <v>605</v>
      </c>
      <c r="C40" s="563"/>
      <c r="D40" s="563"/>
      <c r="E40" s="563"/>
      <c r="F40" s="563"/>
      <c r="G40" s="563"/>
      <c r="H40" s="563"/>
      <c r="I40" s="563"/>
      <c r="J40" s="563"/>
      <c r="K40" s="563"/>
      <c r="L40" s="563"/>
      <c r="M40" s="563"/>
      <c r="N40" s="563"/>
      <c r="O40" s="551"/>
      <c r="P40" s="531"/>
      <c r="Q40" s="551"/>
      <c r="R40" s="531"/>
      <c r="S40" s="551"/>
    </row>
    <row r="41" spans="1:20" s="550" customFormat="1" ht="13.8">
      <c r="A41" s="554"/>
      <c r="B41" s="553" t="s">
        <v>598</v>
      </c>
      <c r="C41" s="563"/>
      <c r="D41" s="563"/>
      <c r="E41" s="563"/>
      <c r="F41" s="563"/>
      <c r="G41" s="563"/>
      <c r="H41" s="563"/>
      <c r="I41" s="563"/>
      <c r="J41" s="563"/>
      <c r="K41" s="563"/>
      <c r="L41" s="563"/>
      <c r="M41" s="563"/>
      <c r="N41" s="563"/>
      <c r="O41" s="551"/>
      <c r="P41" s="531"/>
      <c r="Q41" s="551"/>
      <c r="R41" s="531"/>
      <c r="S41" s="551"/>
    </row>
    <row r="42" spans="1:20" s="550" customFormat="1" ht="13.8">
      <c r="A42" s="554"/>
      <c r="B42" s="553" t="s">
        <v>419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51"/>
      <c r="P42" s="531"/>
      <c r="Q42" s="551"/>
      <c r="R42" s="531"/>
      <c r="S42" s="551"/>
    </row>
    <row r="43" spans="1:20" s="550" customFormat="1" ht="16.5" customHeight="1">
      <c r="A43" s="3042" t="s">
        <v>604</v>
      </c>
      <c r="B43" s="3042" t="s">
        <v>604</v>
      </c>
      <c r="C43" s="561">
        <v>180</v>
      </c>
      <c r="D43" s="561">
        <f t="shared" ref="D43:M43" si="11">C43+SUM(D44:D45)</f>
        <v>180</v>
      </c>
      <c r="E43" s="561">
        <f t="shared" si="11"/>
        <v>180</v>
      </c>
      <c r="F43" s="561">
        <f t="shared" si="11"/>
        <v>180</v>
      </c>
      <c r="G43" s="561">
        <f t="shared" si="11"/>
        <v>180</v>
      </c>
      <c r="H43" s="561">
        <f t="shared" si="11"/>
        <v>180</v>
      </c>
      <c r="I43" s="561">
        <f t="shared" si="11"/>
        <v>180</v>
      </c>
      <c r="J43" s="561">
        <f t="shared" si="11"/>
        <v>180</v>
      </c>
      <c r="K43" s="561">
        <f t="shared" si="11"/>
        <v>180</v>
      </c>
      <c r="L43" s="561">
        <f t="shared" si="11"/>
        <v>180</v>
      </c>
      <c r="M43" s="561">
        <f t="shared" si="11"/>
        <v>180</v>
      </c>
      <c r="N43" s="561">
        <f>M43+SUM(N44:N45)-200</f>
        <v>-20</v>
      </c>
      <c r="O43" s="560"/>
      <c r="P43" s="558"/>
      <c r="Q43" s="559"/>
      <c r="R43" s="558"/>
      <c r="S43" s="557"/>
    </row>
    <row r="44" spans="1:20" s="550" customFormat="1" ht="13.8">
      <c r="A44" s="554"/>
      <c r="B44" s="553" t="s">
        <v>603</v>
      </c>
      <c r="C44" s="552">
        <v>120</v>
      </c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5"/>
      <c r="O44" s="551"/>
      <c r="P44" s="551"/>
      <c r="Q44" s="551"/>
      <c r="R44" s="551"/>
      <c r="S44" s="551"/>
    </row>
    <row r="45" spans="1:20" s="550" customFormat="1" ht="13.8">
      <c r="A45" s="554"/>
      <c r="B45" s="553" t="s">
        <v>602</v>
      </c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1"/>
      <c r="P45" s="551"/>
      <c r="Q45" s="551"/>
      <c r="R45" s="551"/>
      <c r="S45" s="551"/>
    </row>
    <row r="46" spans="1:20" s="529" customFormat="1" ht="12" customHeight="1">
      <c r="A46" s="540"/>
      <c r="B46" s="549"/>
      <c r="C46" s="548"/>
      <c r="D46" s="547"/>
      <c r="E46" s="547"/>
      <c r="F46" s="547"/>
      <c r="G46" s="547"/>
      <c r="H46" s="547"/>
      <c r="I46" s="547"/>
      <c r="J46" s="547"/>
      <c r="K46" s="547"/>
      <c r="L46" s="547"/>
      <c r="M46" s="547"/>
      <c r="N46" s="546"/>
      <c r="O46" s="531"/>
      <c r="P46" s="545"/>
      <c r="Q46" s="531"/>
      <c r="R46" s="545"/>
      <c r="S46" s="531"/>
      <c r="T46" s="530"/>
    </row>
    <row r="47" spans="1:20" s="529" customFormat="1" ht="12" customHeight="1">
      <c r="A47" s="540"/>
      <c r="B47" s="539" t="s">
        <v>33</v>
      </c>
      <c r="C47" s="538">
        <v>205</v>
      </c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1"/>
      <c r="P47" s="532"/>
      <c r="Q47" s="531"/>
      <c r="R47" s="532"/>
      <c r="S47" s="531"/>
      <c r="T47" s="530"/>
    </row>
    <row r="48" spans="1:20" s="529" customFormat="1" ht="12" customHeight="1">
      <c r="A48" s="540"/>
      <c r="B48" s="539" t="s">
        <v>6</v>
      </c>
      <c r="C48" s="538">
        <v>9762</v>
      </c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1"/>
      <c r="P48" s="532"/>
      <c r="Q48" s="531"/>
      <c r="R48" s="532"/>
      <c r="S48" s="531"/>
      <c r="T48" s="530"/>
    </row>
    <row r="49" spans="1:14" s="529" customFormat="1" ht="12" customHeight="1">
      <c r="A49" s="540"/>
      <c r="B49" s="539" t="s">
        <v>2</v>
      </c>
      <c r="C49" s="538">
        <v>3458</v>
      </c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</row>
    <row r="50" spans="1:14" s="529" customFormat="1" ht="12" customHeight="1">
      <c r="A50" s="540"/>
      <c r="B50" s="539" t="s">
        <v>1</v>
      </c>
      <c r="C50" s="538">
        <f>(C48-C49)*0.39</f>
        <v>2458.56</v>
      </c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</row>
    <row r="51" spans="1:14" s="529" customFormat="1" ht="12" customHeight="1" thickBot="1">
      <c r="A51" s="540"/>
      <c r="B51" s="544" t="s">
        <v>5</v>
      </c>
      <c r="C51" s="543">
        <f>INT(C48-C50)</f>
        <v>7303</v>
      </c>
      <c r="D51" s="542"/>
      <c r="E51" s="542"/>
      <c r="F51" s="542"/>
      <c r="G51" s="542"/>
      <c r="H51" s="542"/>
      <c r="I51" s="542"/>
      <c r="J51" s="542"/>
      <c r="K51" s="542"/>
      <c r="L51" s="542"/>
      <c r="M51" s="542"/>
      <c r="N51" s="542"/>
    </row>
    <row r="52" spans="1:14" s="529" customFormat="1" ht="12" customHeight="1">
      <c r="A52" s="540"/>
      <c r="B52" s="539" t="s">
        <v>4</v>
      </c>
      <c r="C52" s="538">
        <f>C57</f>
        <v>11306</v>
      </c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</row>
    <row r="53" spans="1:14" s="529" customFormat="1" ht="12" customHeight="1">
      <c r="A53" s="540"/>
      <c r="B53" s="539" t="s">
        <v>3</v>
      </c>
      <c r="C53" s="538">
        <v>16044</v>
      </c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</row>
    <row r="54" spans="1:14" s="529" customFormat="1" ht="12" customHeight="1">
      <c r="A54" s="540"/>
      <c r="B54" s="539" t="s">
        <v>2</v>
      </c>
      <c r="C54" s="538">
        <v>4042</v>
      </c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</row>
    <row r="55" spans="1:14" s="529" customFormat="1" ht="12" customHeight="1">
      <c r="A55" s="540"/>
      <c r="B55" s="539" t="s">
        <v>1</v>
      </c>
      <c r="C55" s="538">
        <v>4644</v>
      </c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</row>
    <row r="56" spans="1:14" s="529" customFormat="1" ht="12" customHeight="1">
      <c r="A56" s="540"/>
      <c r="B56" s="539" t="s">
        <v>1</v>
      </c>
      <c r="C56" s="538">
        <v>94</v>
      </c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</row>
    <row r="57" spans="1:14" s="529" customFormat="1" ht="12" customHeight="1" thickBot="1">
      <c r="A57" s="540"/>
      <c r="B57" s="544" t="s">
        <v>0</v>
      </c>
      <c r="C57" s="543">
        <f>C53-C55-C56</f>
        <v>11306</v>
      </c>
      <c r="D57" s="542"/>
      <c r="E57" s="542"/>
      <c r="F57" s="542"/>
      <c r="G57" s="542"/>
      <c r="H57" s="542"/>
      <c r="I57" s="542"/>
      <c r="J57" s="542"/>
      <c r="K57" s="542"/>
      <c r="L57" s="542"/>
      <c r="M57" s="542"/>
      <c r="N57" s="542"/>
    </row>
    <row r="58" spans="1:14" s="529" customFormat="1" ht="12" customHeight="1">
      <c r="A58" s="540"/>
      <c r="B58" s="539" t="s">
        <v>30</v>
      </c>
      <c r="C58" s="538">
        <v>7474</v>
      </c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</row>
    <row r="59" spans="1:14" s="529" customFormat="1" ht="12" customHeight="1">
      <c r="A59" s="540"/>
      <c r="B59" s="539" t="s">
        <v>265</v>
      </c>
      <c r="C59" s="538">
        <f>443.16+125.24+34</f>
        <v>602.4</v>
      </c>
      <c r="D59" s="538">
        <v>7946.4</v>
      </c>
      <c r="E59" s="541">
        <f t="shared" ref="E59:N59" si="12">D59-443.16</f>
        <v>7503.24</v>
      </c>
      <c r="F59" s="541">
        <f t="shared" si="12"/>
        <v>7060.08</v>
      </c>
      <c r="G59" s="541">
        <f t="shared" si="12"/>
        <v>6616.92</v>
      </c>
      <c r="H59" s="541">
        <f t="shared" si="12"/>
        <v>6173.76</v>
      </c>
      <c r="I59" s="541">
        <f t="shared" si="12"/>
        <v>5730.6</v>
      </c>
      <c r="J59" s="541">
        <f t="shared" si="12"/>
        <v>5287.4400000000005</v>
      </c>
      <c r="K59" s="541">
        <f t="shared" si="12"/>
        <v>4844.2800000000007</v>
      </c>
      <c r="L59" s="541">
        <f t="shared" si="12"/>
        <v>4401.1200000000008</v>
      </c>
      <c r="M59" s="541">
        <f t="shared" si="12"/>
        <v>3957.9600000000009</v>
      </c>
      <c r="N59" s="541">
        <f t="shared" si="12"/>
        <v>3514.8000000000011</v>
      </c>
    </row>
    <row r="60" spans="1:14" s="529" customFormat="1" ht="12" customHeight="1">
      <c r="A60" s="540"/>
      <c r="B60" s="539" t="s">
        <v>264</v>
      </c>
      <c r="C60" s="538">
        <f>490+33</f>
        <v>523</v>
      </c>
      <c r="D60" s="538">
        <v>7514.83</v>
      </c>
      <c r="E60" s="541">
        <f t="shared" ref="E60:N60" si="13">D60-490</f>
        <v>7024.83</v>
      </c>
      <c r="F60" s="541">
        <f t="shared" si="13"/>
        <v>6534.83</v>
      </c>
      <c r="G60" s="541">
        <f t="shared" si="13"/>
        <v>6044.83</v>
      </c>
      <c r="H60" s="541">
        <f t="shared" si="13"/>
        <v>5554.83</v>
      </c>
      <c r="I60" s="541">
        <f t="shared" si="13"/>
        <v>5064.83</v>
      </c>
      <c r="J60" s="541">
        <f t="shared" si="13"/>
        <v>4574.83</v>
      </c>
      <c r="K60" s="541">
        <f t="shared" si="13"/>
        <v>4084.83</v>
      </c>
      <c r="L60" s="541">
        <f t="shared" si="13"/>
        <v>3594.83</v>
      </c>
      <c r="M60" s="541">
        <f t="shared" si="13"/>
        <v>3104.83</v>
      </c>
      <c r="N60" s="541">
        <f t="shared" si="13"/>
        <v>2614.83</v>
      </c>
    </row>
    <row r="61" spans="1:14" s="529" customFormat="1" ht="12" customHeight="1">
      <c r="A61" s="540"/>
      <c r="B61" s="539" t="s">
        <v>182</v>
      </c>
      <c r="C61" s="538">
        <v>279</v>
      </c>
      <c r="D61" s="538">
        <v>6456.8</v>
      </c>
      <c r="E61" s="541">
        <f t="shared" ref="E61:N61" si="14">D61-264</f>
        <v>6192.8</v>
      </c>
      <c r="F61" s="541">
        <f t="shared" si="14"/>
        <v>5928.8</v>
      </c>
      <c r="G61" s="541">
        <f t="shared" si="14"/>
        <v>5664.8</v>
      </c>
      <c r="H61" s="541">
        <f t="shared" si="14"/>
        <v>5400.8</v>
      </c>
      <c r="I61" s="541">
        <f t="shared" si="14"/>
        <v>5136.8</v>
      </c>
      <c r="J61" s="541">
        <f t="shared" si="14"/>
        <v>4872.8</v>
      </c>
      <c r="K61" s="541">
        <f t="shared" si="14"/>
        <v>4608.8</v>
      </c>
      <c r="L61" s="541">
        <f t="shared" si="14"/>
        <v>4344.8</v>
      </c>
      <c r="M61" s="541">
        <f t="shared" si="14"/>
        <v>4080.8</v>
      </c>
      <c r="N61" s="541">
        <f t="shared" si="14"/>
        <v>3816.8</v>
      </c>
    </row>
    <row r="62" spans="1:14" s="529" customFormat="1" ht="12" customHeight="1">
      <c r="A62" s="540"/>
      <c r="B62" s="539" t="s">
        <v>472</v>
      </c>
      <c r="C62" s="538">
        <v>240</v>
      </c>
      <c r="D62" s="538">
        <f>696.69</f>
        <v>696.69</v>
      </c>
      <c r="E62" s="541">
        <f>D62-225</f>
        <v>471.69000000000005</v>
      </c>
      <c r="F62" s="541">
        <f>E62-225</f>
        <v>246.69000000000005</v>
      </c>
      <c r="G62" s="541">
        <f>F62-225</f>
        <v>21.690000000000055</v>
      </c>
      <c r="H62" s="538"/>
      <c r="I62" s="538"/>
      <c r="J62" s="538"/>
      <c r="K62" s="538"/>
      <c r="L62" s="538"/>
      <c r="M62" s="538"/>
      <c r="N62" s="538"/>
    </row>
    <row r="63" spans="1:14" s="529" customFormat="1" ht="12" customHeight="1">
      <c r="A63" s="540"/>
      <c r="B63" s="539" t="s">
        <v>472</v>
      </c>
      <c r="C63" s="538">
        <v>210</v>
      </c>
      <c r="D63" s="538">
        <v>659.04</v>
      </c>
      <c r="E63" s="541">
        <f>D63-195</f>
        <v>464.03999999999996</v>
      </c>
      <c r="F63" s="541">
        <f>E63-195</f>
        <v>269.03999999999996</v>
      </c>
      <c r="G63" s="541">
        <f>F63-195</f>
        <v>74.039999999999964</v>
      </c>
      <c r="H63" s="538"/>
      <c r="I63" s="538"/>
      <c r="J63" s="538"/>
      <c r="K63" s="538"/>
      <c r="L63" s="538"/>
      <c r="M63" s="538"/>
      <c r="N63" s="538"/>
    </row>
    <row r="64" spans="1:14" s="529" customFormat="1" ht="12" customHeight="1">
      <c r="A64" s="540"/>
      <c r="B64" s="539" t="s">
        <v>183</v>
      </c>
      <c r="C64" s="538">
        <v>448.75</v>
      </c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</row>
    <row r="65" spans="1:14" s="529" customFormat="1" ht="12" customHeight="1">
      <c r="A65" s="540"/>
      <c r="B65" s="539" t="s">
        <v>481</v>
      </c>
      <c r="C65" s="538">
        <v>73</v>
      </c>
      <c r="D65" s="538">
        <v>243.73</v>
      </c>
      <c r="E65" s="541">
        <f>D65-67</f>
        <v>176.73</v>
      </c>
      <c r="F65" s="541">
        <f>E65-67</f>
        <v>109.72999999999999</v>
      </c>
      <c r="G65" s="541">
        <f>F65-67</f>
        <v>42.72999999999999</v>
      </c>
      <c r="H65" s="538"/>
      <c r="I65" s="538"/>
      <c r="J65" s="538"/>
      <c r="K65" s="538"/>
      <c r="L65" s="538"/>
      <c r="M65" s="538"/>
      <c r="N65" s="538"/>
    </row>
    <row r="66" spans="1:14" s="529" customFormat="1" ht="12" customHeight="1">
      <c r="A66" s="540"/>
      <c r="B66" s="539" t="s">
        <v>186</v>
      </c>
      <c r="C66" s="538">
        <v>200</v>
      </c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</row>
    <row r="67" spans="1:14" s="529" customFormat="1" ht="12" customHeight="1">
      <c r="A67" s="540"/>
      <c r="B67" s="539" t="s">
        <v>126</v>
      </c>
      <c r="C67" s="538">
        <v>195</v>
      </c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</row>
    <row r="68" spans="1:14" s="529" customFormat="1" ht="12" customHeight="1">
      <c r="A68" s="540"/>
      <c r="B68" s="539" t="s">
        <v>601</v>
      </c>
      <c r="C68" s="538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</row>
    <row r="69" spans="1:14" s="529" customFormat="1" ht="12" customHeight="1">
      <c r="A69" s="540"/>
      <c r="B69" s="539" t="s">
        <v>100</v>
      </c>
      <c r="C69" s="538">
        <v>760</v>
      </c>
      <c r="D69" s="537"/>
      <c r="E69" s="537"/>
      <c r="F69" s="537"/>
      <c r="G69" s="537"/>
      <c r="H69" s="537"/>
      <c r="I69" s="537"/>
      <c r="J69" s="537"/>
      <c r="K69" s="537"/>
      <c r="L69" s="537"/>
      <c r="M69" s="537"/>
      <c r="N69" s="537"/>
    </row>
    <row r="70" spans="1:14" s="529" customFormat="1" ht="12" customHeight="1">
      <c r="A70" s="540"/>
      <c r="B70" s="539" t="s">
        <v>306</v>
      </c>
      <c r="C70" s="538">
        <v>750</v>
      </c>
      <c r="D70" s="537"/>
      <c r="E70" s="537"/>
      <c r="F70" s="537"/>
      <c r="G70" s="537"/>
      <c r="H70" s="537"/>
      <c r="I70" s="537"/>
      <c r="J70" s="537"/>
      <c r="K70" s="537"/>
      <c r="L70" s="537"/>
      <c r="M70" s="537"/>
      <c r="N70" s="537"/>
    </row>
    <row r="71" spans="1:14" s="529" customFormat="1" ht="12" customHeight="1">
      <c r="A71" s="540"/>
      <c r="B71" s="539" t="s">
        <v>20</v>
      </c>
      <c r="C71" s="538">
        <v>165</v>
      </c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</row>
    <row r="72" spans="1:14" s="529" customFormat="1" ht="12" customHeight="1">
      <c r="A72" s="540"/>
      <c r="B72" s="539" t="s">
        <v>285</v>
      </c>
      <c r="C72" s="538">
        <v>1699</v>
      </c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</row>
    <row r="73" spans="1:14" s="529" customFormat="1" ht="12" customHeight="1">
      <c r="A73" s="540"/>
      <c r="B73" s="539" t="s">
        <v>283</v>
      </c>
      <c r="C73" s="538">
        <v>2480</v>
      </c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</row>
    <row r="74" spans="1:14" s="529" customFormat="1" ht="12" customHeight="1">
      <c r="A74" s="540"/>
      <c r="B74" s="539" t="s">
        <v>99</v>
      </c>
      <c r="C74" s="538">
        <v>2300</v>
      </c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</row>
    <row r="75" spans="1:14" s="529" customFormat="1" ht="12" customHeight="1">
      <c r="A75" s="540"/>
      <c r="B75" s="539" t="s">
        <v>464</v>
      </c>
      <c r="C75" s="538">
        <v>129</v>
      </c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</row>
    <row r="76" spans="1:14" s="529" customFormat="1" ht="12" customHeight="1">
      <c r="A76" s="540"/>
      <c r="B76" s="539" t="s">
        <v>186</v>
      </c>
      <c r="C76" s="538">
        <v>200</v>
      </c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</row>
    <row r="77" spans="1:14" s="529" customFormat="1" ht="12" customHeight="1">
      <c r="A77" s="540"/>
      <c r="B77" s="539" t="s">
        <v>125</v>
      </c>
      <c r="C77" s="538">
        <v>195</v>
      </c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</row>
    <row r="78" spans="1:14" s="529" customFormat="1" ht="12" customHeight="1">
      <c r="A78" s="540"/>
      <c r="B78" s="539" t="s">
        <v>239</v>
      </c>
      <c r="C78" s="538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</row>
  </sheetData>
  <mergeCells count="9">
    <mergeCell ref="A36:B36"/>
    <mergeCell ref="A37:B37"/>
    <mergeCell ref="A38:B38"/>
    <mergeCell ref="A43:B43"/>
    <mergeCell ref="A1:B1"/>
    <mergeCell ref="A2:B2"/>
    <mergeCell ref="A7:B7"/>
    <mergeCell ref="A27:B27"/>
    <mergeCell ref="A34:B34"/>
  </mergeCells>
  <hyperlinks>
    <hyperlink ref="B28" location="hush18!A1" display="husholdning"/>
    <hyperlink ref="B33" location="'div20'!A1" display="diverse"/>
    <hyperlink ref="D33:N33" location="'div19'!A1" display="'div19'!A1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S304"/>
  <sheetViews>
    <sheetView topLeftCell="EB1" workbookViewId="0">
      <pane ySplit="14" topLeftCell="A15" activePane="bottomLeft" state="frozen"/>
      <selection activeCell="EZ40" sqref="EZ40"/>
      <selection pane="bottomLeft" activeCell="EZ40" sqref="EZ40"/>
    </sheetView>
  </sheetViews>
  <sheetFormatPr defaultColWidth="3.6640625" defaultRowHeight="12" customHeight="1"/>
  <cols>
    <col min="1" max="1" width="12" style="445" customWidth="1"/>
    <col min="2" max="2" width="2.88671875" style="445" customWidth="1"/>
    <col min="3" max="3" width="18.44140625" style="444" customWidth="1"/>
    <col min="4" max="7" width="12.6640625" style="443" customWidth="1"/>
    <col min="8" max="8" width="12.6640625" style="441" customWidth="1"/>
    <col min="9" max="9" width="11.6640625" style="441" customWidth="1"/>
    <col min="10" max="10" width="10.6640625" style="441" customWidth="1"/>
    <col min="11" max="12" width="10.6640625" style="442" customWidth="1"/>
    <col min="13" max="14" width="12" style="440" customWidth="1"/>
    <col min="15" max="15" width="4" style="584" customWidth="1"/>
    <col min="16" max="16" width="4.88671875" style="584" customWidth="1"/>
    <col min="17" max="30" width="3.6640625" style="440"/>
    <col min="31" max="31" width="3.6640625" style="440" customWidth="1"/>
    <col min="32" max="201" width="3.6640625" style="440"/>
    <col min="202" max="16384" width="3.6640625" style="439"/>
  </cols>
  <sheetData>
    <row r="1" spans="1:201" s="521" customFormat="1" ht="12" customHeight="1">
      <c r="A1" s="3034" t="s">
        <v>623</v>
      </c>
      <c r="B1" s="3034"/>
      <c r="C1" s="3034"/>
      <c r="D1" s="528" t="s">
        <v>600</v>
      </c>
      <c r="E1" s="528" t="s">
        <v>566</v>
      </c>
      <c r="F1" s="525"/>
      <c r="G1" s="525" t="s">
        <v>562</v>
      </c>
      <c r="H1" s="647" t="s">
        <v>424</v>
      </c>
      <c r="I1" s="647" t="s">
        <v>423</v>
      </c>
      <c r="J1" s="647" t="s">
        <v>423</v>
      </c>
      <c r="K1" s="647" t="s">
        <v>598</v>
      </c>
      <c r="L1" s="598" t="s">
        <v>420</v>
      </c>
      <c r="M1" s="598" t="s">
        <v>419</v>
      </c>
      <c r="N1" s="598" t="s">
        <v>128</v>
      </c>
      <c r="O1" s="646">
        <f>COUNT($D$3:$D$14)</f>
        <v>11</v>
      </c>
      <c r="P1" s="645" t="s">
        <v>597</v>
      </c>
      <c r="Q1" s="615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522"/>
      <c r="CA1" s="522"/>
      <c r="CB1" s="522"/>
      <c r="CC1" s="522"/>
      <c r="CD1" s="522"/>
      <c r="CE1" s="522"/>
      <c r="CF1" s="522"/>
      <c r="CG1" s="522"/>
      <c r="CH1" s="522"/>
      <c r="CI1" s="522"/>
      <c r="CJ1" s="522"/>
      <c r="CK1" s="522"/>
      <c r="CL1" s="522"/>
      <c r="CM1" s="522"/>
      <c r="CN1" s="522"/>
      <c r="CO1" s="522"/>
      <c r="CP1" s="522"/>
      <c r="CQ1" s="522"/>
      <c r="CR1" s="522"/>
      <c r="CS1" s="522"/>
      <c r="CT1" s="522"/>
      <c r="CU1" s="522"/>
      <c r="CV1" s="522"/>
      <c r="CW1" s="522"/>
      <c r="CX1" s="522"/>
      <c r="CY1" s="522"/>
      <c r="CZ1" s="522"/>
      <c r="DA1" s="522"/>
      <c r="DB1" s="522"/>
      <c r="DC1" s="522"/>
      <c r="DD1" s="522"/>
      <c r="DE1" s="522"/>
      <c r="DF1" s="522"/>
      <c r="DG1" s="522"/>
      <c r="DH1" s="522"/>
      <c r="DI1" s="522"/>
      <c r="DJ1" s="522"/>
      <c r="DK1" s="522"/>
      <c r="DL1" s="522"/>
      <c r="DM1" s="522"/>
      <c r="DN1" s="522"/>
      <c r="DO1" s="522"/>
      <c r="DP1" s="522"/>
      <c r="DQ1" s="522"/>
      <c r="DR1" s="522"/>
      <c r="DS1" s="522"/>
      <c r="DT1" s="522"/>
      <c r="DU1" s="522"/>
      <c r="DV1" s="522"/>
      <c r="DW1" s="522"/>
      <c r="DX1" s="522"/>
      <c r="DY1" s="522"/>
      <c r="DZ1" s="522"/>
      <c r="EA1" s="522"/>
      <c r="EB1" s="522"/>
      <c r="EC1" s="522"/>
      <c r="ED1" s="522"/>
      <c r="EE1" s="522"/>
      <c r="EF1" s="522"/>
      <c r="EG1" s="522"/>
      <c r="EH1" s="522"/>
      <c r="EI1" s="522"/>
      <c r="EJ1" s="522"/>
      <c r="EK1" s="522"/>
      <c r="EL1" s="522"/>
      <c r="EM1" s="522"/>
      <c r="EN1" s="522"/>
      <c r="EO1" s="522"/>
      <c r="EP1" s="522"/>
      <c r="EQ1" s="522"/>
      <c r="ER1" s="522"/>
      <c r="ES1" s="522"/>
      <c r="ET1" s="522"/>
      <c r="EU1" s="522"/>
      <c r="EV1" s="522"/>
      <c r="EW1" s="522"/>
      <c r="EX1" s="522"/>
      <c r="EY1" s="522"/>
      <c r="EZ1" s="522"/>
      <c r="FA1" s="522"/>
      <c r="FB1" s="522"/>
      <c r="FC1" s="522"/>
      <c r="FD1" s="522"/>
      <c r="FE1" s="522"/>
      <c r="FF1" s="522"/>
      <c r="FG1" s="522"/>
      <c r="FH1" s="522"/>
      <c r="FI1" s="522"/>
      <c r="FJ1" s="522"/>
      <c r="FK1" s="522"/>
      <c r="FL1" s="522"/>
      <c r="FM1" s="522"/>
      <c r="FN1" s="522"/>
      <c r="FO1" s="522"/>
      <c r="FP1" s="522"/>
      <c r="FQ1" s="522"/>
      <c r="FR1" s="522"/>
      <c r="FS1" s="522"/>
      <c r="FT1" s="522"/>
      <c r="FU1" s="522"/>
      <c r="FV1" s="522"/>
      <c r="FW1" s="522"/>
      <c r="FX1" s="522"/>
      <c r="FY1" s="522"/>
      <c r="FZ1" s="522"/>
      <c r="GA1" s="522"/>
      <c r="GB1" s="522"/>
      <c r="GC1" s="522"/>
      <c r="GD1" s="522"/>
      <c r="GE1" s="522"/>
      <c r="GF1" s="522"/>
      <c r="GG1" s="522"/>
      <c r="GH1" s="522"/>
      <c r="GI1" s="522"/>
      <c r="GJ1" s="522"/>
      <c r="GK1" s="522"/>
      <c r="GL1" s="522"/>
      <c r="GM1" s="522"/>
      <c r="GN1" s="522"/>
      <c r="GO1" s="522"/>
      <c r="GP1" s="522"/>
      <c r="GQ1" s="522"/>
      <c r="GR1" s="522"/>
      <c r="GS1" s="522"/>
    </row>
    <row r="2" spans="1:201" s="468" customFormat="1" ht="12" customHeight="1">
      <c r="A2" s="3046">
        <f ca="1">TODAY()</f>
        <v>45428</v>
      </c>
      <c r="B2" s="3046"/>
      <c r="C2" s="3046"/>
      <c r="D2" s="520"/>
      <c r="E2" s="520"/>
      <c r="F2" s="644"/>
      <c r="G2" s="644"/>
      <c r="H2" s="643">
        <f>SUM(I2:N2)</f>
        <v>1229.4699999999998</v>
      </c>
      <c r="I2" s="643">
        <f>308.51</f>
        <v>308.51</v>
      </c>
      <c r="J2" s="643">
        <f>0.08</f>
        <v>0.08</v>
      </c>
      <c r="K2" s="642">
        <f>800</f>
        <v>800</v>
      </c>
      <c r="L2" s="643">
        <f>106.88</f>
        <v>106.88</v>
      </c>
      <c r="M2" s="642">
        <v>0</v>
      </c>
      <c r="N2" s="642">
        <f>14</f>
        <v>14</v>
      </c>
      <c r="O2" s="641">
        <f>DAY($A$228)</f>
        <v>1</v>
      </c>
      <c r="P2" s="641">
        <f>MONTH($A$228)</f>
        <v>9</v>
      </c>
      <c r="Q2" s="640">
        <f>YEAR($A$228)</f>
        <v>2017</v>
      </c>
      <c r="R2" s="639" t="s">
        <v>622</v>
      </c>
      <c r="S2" s="440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/>
      <c r="AR2" s="469"/>
      <c r="AS2" s="469"/>
      <c r="AT2" s="469"/>
      <c r="AU2" s="469"/>
      <c r="AV2" s="469"/>
      <c r="AW2" s="469"/>
      <c r="AX2" s="469"/>
      <c r="AY2" s="469"/>
      <c r="AZ2" s="469"/>
      <c r="BA2" s="469"/>
      <c r="BB2" s="469"/>
      <c r="BC2" s="469"/>
      <c r="BD2" s="469"/>
      <c r="BE2" s="469"/>
      <c r="BF2" s="469"/>
      <c r="BG2" s="469"/>
      <c r="BH2" s="469"/>
      <c r="BI2" s="469"/>
      <c r="BJ2" s="469"/>
      <c r="BK2" s="469"/>
      <c r="BL2" s="469"/>
      <c r="BM2" s="469"/>
      <c r="BN2" s="469"/>
      <c r="BO2" s="469"/>
      <c r="BP2" s="469"/>
      <c r="BQ2" s="469"/>
      <c r="BR2" s="469"/>
      <c r="BS2" s="469"/>
      <c r="BT2" s="469"/>
      <c r="BU2" s="469"/>
      <c r="BV2" s="469"/>
      <c r="BW2" s="469"/>
      <c r="BX2" s="469"/>
      <c r="BY2" s="469"/>
      <c r="BZ2" s="469"/>
      <c r="CA2" s="469"/>
      <c r="CB2" s="469"/>
      <c r="CC2" s="469"/>
      <c r="CD2" s="469"/>
      <c r="CE2" s="469"/>
      <c r="CF2" s="469"/>
      <c r="CG2" s="469"/>
      <c r="CH2" s="469"/>
      <c r="CI2" s="469"/>
      <c r="CJ2" s="469"/>
      <c r="CK2" s="469"/>
      <c r="CL2" s="469"/>
      <c r="CM2" s="469"/>
      <c r="CN2" s="469"/>
      <c r="CO2" s="469"/>
      <c r="CP2" s="469"/>
      <c r="CQ2" s="469"/>
      <c r="CR2" s="469"/>
      <c r="CS2" s="469"/>
      <c r="CT2" s="469"/>
      <c r="CU2" s="469"/>
      <c r="CV2" s="469"/>
      <c r="CW2" s="469"/>
      <c r="CX2" s="469"/>
      <c r="CY2" s="469"/>
      <c r="CZ2" s="469"/>
      <c r="DA2" s="469"/>
      <c r="DB2" s="469"/>
      <c r="DC2" s="469"/>
      <c r="DD2" s="469"/>
      <c r="DE2" s="469"/>
      <c r="DF2" s="469"/>
      <c r="DG2" s="469"/>
      <c r="DH2" s="469"/>
      <c r="DI2" s="469"/>
      <c r="DJ2" s="469"/>
      <c r="DK2" s="469"/>
      <c r="DL2" s="469"/>
      <c r="DM2" s="469"/>
      <c r="DN2" s="469"/>
      <c r="DO2" s="469"/>
      <c r="DP2" s="469"/>
      <c r="DQ2" s="469"/>
      <c r="DR2" s="469"/>
      <c r="DS2" s="469"/>
      <c r="DT2" s="469"/>
      <c r="DU2" s="469"/>
      <c r="DV2" s="469"/>
      <c r="DW2" s="469"/>
      <c r="DX2" s="469"/>
      <c r="DY2" s="469"/>
      <c r="DZ2" s="469"/>
      <c r="EA2" s="469"/>
      <c r="EB2" s="469"/>
      <c r="EC2" s="469"/>
      <c r="ED2" s="469"/>
      <c r="EE2" s="469"/>
      <c r="EF2" s="469"/>
      <c r="EG2" s="469"/>
      <c r="EH2" s="469"/>
      <c r="EI2" s="469"/>
      <c r="EJ2" s="469"/>
      <c r="EK2" s="469"/>
      <c r="EL2" s="469"/>
      <c r="EM2" s="469"/>
      <c r="EN2" s="469"/>
      <c r="EO2" s="469"/>
      <c r="EP2" s="469"/>
      <c r="EQ2" s="469"/>
      <c r="ER2" s="469"/>
      <c r="ES2" s="469"/>
      <c r="ET2" s="469"/>
      <c r="EU2" s="469"/>
      <c r="EV2" s="469"/>
      <c r="EW2" s="469"/>
      <c r="EX2" s="469"/>
      <c r="EY2" s="469"/>
      <c r="EZ2" s="469"/>
      <c r="FA2" s="469"/>
      <c r="FB2" s="469"/>
      <c r="FC2" s="469"/>
      <c r="FD2" s="469"/>
      <c r="FE2" s="469"/>
      <c r="FF2" s="469"/>
      <c r="FG2" s="469"/>
      <c r="FH2" s="469"/>
      <c r="FI2" s="469"/>
      <c r="FJ2" s="469"/>
      <c r="FK2" s="469"/>
      <c r="FL2" s="469"/>
      <c r="FM2" s="469"/>
      <c r="FN2" s="469"/>
      <c r="FO2" s="469"/>
      <c r="FP2" s="469"/>
      <c r="FQ2" s="469"/>
      <c r="FR2" s="469"/>
      <c r="FS2" s="469"/>
      <c r="FT2" s="469"/>
      <c r="FU2" s="469"/>
      <c r="FV2" s="469"/>
      <c r="FW2" s="469"/>
      <c r="FX2" s="469"/>
      <c r="FY2" s="469"/>
      <c r="FZ2" s="469"/>
      <c r="GA2" s="469"/>
      <c r="GB2" s="469"/>
      <c r="GC2" s="469"/>
      <c r="GD2" s="469"/>
      <c r="GE2" s="469"/>
      <c r="GF2" s="469"/>
      <c r="GG2" s="469"/>
      <c r="GH2" s="469"/>
      <c r="GI2" s="469"/>
      <c r="GJ2" s="469"/>
      <c r="GK2" s="469"/>
      <c r="GL2" s="469"/>
      <c r="GM2" s="469"/>
      <c r="GN2" s="469"/>
      <c r="GO2" s="469"/>
      <c r="GP2" s="469"/>
      <c r="GQ2" s="469"/>
      <c r="GR2" s="469"/>
      <c r="GS2" s="469"/>
    </row>
    <row r="3" spans="1:201" s="447" customFormat="1" ht="12" customHeight="1">
      <c r="A3" s="638" t="str">
        <f>A15</f>
        <v>JANUAR</v>
      </c>
      <c r="B3" s="637"/>
      <c r="C3" s="637"/>
      <c r="D3" s="636" t="e">
        <f>D15+H15</f>
        <v>#REF!</v>
      </c>
      <c r="E3" s="636">
        <f>E15+I15</f>
        <v>21613.33</v>
      </c>
      <c r="F3" s="635" t="e">
        <f>E3-D3</f>
        <v>#REF!</v>
      </c>
      <c r="G3" s="634"/>
      <c r="H3" s="629"/>
      <c r="I3" s="629"/>
      <c r="J3" s="629" t="s">
        <v>389</v>
      </c>
      <c r="K3" s="633"/>
      <c r="L3" s="633"/>
      <c r="O3" s="632" t="s">
        <v>591</v>
      </c>
      <c r="P3" s="630"/>
      <c r="Q3" s="630"/>
    </row>
    <row r="4" spans="1:201" s="468" customFormat="1" ht="12" customHeight="1">
      <c r="A4" s="631" t="str">
        <f>A42</f>
        <v>FEBRUAR</v>
      </c>
      <c r="B4" s="498"/>
      <c r="C4" s="498"/>
      <c r="D4" s="594">
        <f>D42+H42</f>
        <v>34409.449999999997</v>
      </c>
      <c r="E4" s="594">
        <f>E42+I42</f>
        <v>31123</v>
      </c>
      <c r="F4" s="627">
        <f>E4-D4</f>
        <v>-3286.4499999999971</v>
      </c>
      <c r="G4" s="497"/>
      <c r="H4" s="506"/>
      <c r="I4" s="506"/>
      <c r="J4" s="506"/>
      <c r="K4" s="506"/>
      <c r="L4" s="506"/>
      <c r="M4" s="469"/>
      <c r="N4" s="469"/>
      <c r="O4" s="630"/>
      <c r="P4" s="630"/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69"/>
      <c r="AI4" s="469"/>
      <c r="AJ4" s="469"/>
      <c r="AK4" s="469"/>
      <c r="AL4" s="469"/>
      <c r="AM4" s="469"/>
      <c r="AN4" s="469"/>
      <c r="AO4" s="469"/>
      <c r="AP4" s="469"/>
      <c r="AQ4" s="469"/>
      <c r="AR4" s="469"/>
      <c r="AS4" s="469"/>
      <c r="AT4" s="469"/>
      <c r="AU4" s="469"/>
      <c r="AV4" s="469"/>
      <c r="AW4" s="469"/>
      <c r="AX4" s="469"/>
      <c r="AY4" s="469"/>
      <c r="AZ4" s="469"/>
      <c r="BA4" s="469"/>
      <c r="BB4" s="469"/>
      <c r="BC4" s="469"/>
      <c r="BD4" s="469"/>
      <c r="BE4" s="469"/>
      <c r="BF4" s="469"/>
      <c r="BG4" s="469"/>
      <c r="BH4" s="469"/>
      <c r="BI4" s="469"/>
      <c r="BJ4" s="469"/>
      <c r="BK4" s="469"/>
      <c r="BL4" s="469"/>
      <c r="BM4" s="469"/>
      <c r="BN4" s="469"/>
      <c r="BO4" s="469"/>
      <c r="BP4" s="469"/>
      <c r="BQ4" s="469"/>
      <c r="BR4" s="469"/>
      <c r="BS4" s="469"/>
      <c r="BT4" s="469"/>
      <c r="BU4" s="469"/>
      <c r="BV4" s="469"/>
      <c r="BW4" s="469"/>
      <c r="BX4" s="469"/>
      <c r="BY4" s="469"/>
      <c r="BZ4" s="469"/>
      <c r="CA4" s="469"/>
      <c r="CB4" s="469"/>
      <c r="CC4" s="469"/>
      <c r="CD4" s="469"/>
      <c r="CE4" s="469"/>
      <c r="CF4" s="469"/>
      <c r="CG4" s="469"/>
      <c r="CH4" s="469"/>
      <c r="CI4" s="469"/>
      <c r="CJ4" s="469"/>
      <c r="CK4" s="469"/>
      <c r="CL4" s="469"/>
      <c r="CM4" s="469"/>
      <c r="CN4" s="469"/>
      <c r="CO4" s="469"/>
      <c r="CP4" s="469"/>
      <c r="CQ4" s="469"/>
      <c r="CR4" s="469"/>
      <c r="CS4" s="469"/>
      <c r="CT4" s="469"/>
      <c r="CU4" s="469"/>
      <c r="CV4" s="469"/>
      <c r="CW4" s="469"/>
      <c r="CX4" s="469"/>
      <c r="CY4" s="469"/>
      <c r="CZ4" s="469"/>
      <c r="DA4" s="469"/>
      <c r="DB4" s="469"/>
      <c r="DC4" s="469"/>
      <c r="DD4" s="469"/>
      <c r="DE4" s="469"/>
      <c r="DF4" s="469"/>
      <c r="DG4" s="469"/>
      <c r="DH4" s="469"/>
      <c r="DI4" s="469"/>
      <c r="DJ4" s="469"/>
      <c r="DK4" s="469"/>
      <c r="DL4" s="469"/>
      <c r="DM4" s="469"/>
      <c r="DN4" s="469"/>
      <c r="DO4" s="469"/>
      <c r="DP4" s="469"/>
      <c r="DQ4" s="469"/>
      <c r="DR4" s="469"/>
      <c r="DS4" s="469"/>
      <c r="DT4" s="469"/>
      <c r="DU4" s="469"/>
      <c r="DV4" s="469"/>
      <c r="DW4" s="469"/>
      <c r="DX4" s="469"/>
      <c r="DY4" s="469"/>
      <c r="DZ4" s="469"/>
      <c r="EA4" s="469"/>
      <c r="EB4" s="469"/>
      <c r="EC4" s="469"/>
      <c r="ED4" s="469"/>
      <c r="EE4" s="469"/>
      <c r="EF4" s="469"/>
      <c r="EG4" s="469"/>
      <c r="EH4" s="469"/>
      <c r="EI4" s="469"/>
      <c r="EJ4" s="469"/>
      <c r="EK4" s="469"/>
      <c r="EL4" s="469"/>
      <c r="EM4" s="469"/>
      <c r="EN4" s="469"/>
      <c r="EO4" s="469"/>
      <c r="EP4" s="469"/>
      <c r="EQ4" s="469"/>
      <c r="ER4" s="469"/>
      <c r="ES4" s="469"/>
      <c r="ET4" s="469"/>
      <c r="EU4" s="469"/>
      <c r="EV4" s="469"/>
      <c r="EW4" s="469"/>
      <c r="EX4" s="469"/>
      <c r="EY4" s="469"/>
      <c r="EZ4" s="469"/>
      <c r="FA4" s="469"/>
      <c r="FB4" s="469"/>
      <c r="FC4" s="469"/>
      <c r="FD4" s="469"/>
      <c r="FE4" s="469"/>
      <c r="FF4" s="469"/>
      <c r="FG4" s="469"/>
      <c r="FH4" s="469"/>
      <c r="FI4" s="469"/>
      <c r="FJ4" s="469"/>
      <c r="FK4" s="469"/>
      <c r="FL4" s="469"/>
      <c r="FM4" s="469"/>
      <c r="FN4" s="469"/>
      <c r="FO4" s="469"/>
      <c r="FP4" s="469"/>
      <c r="FQ4" s="469"/>
      <c r="FR4" s="469"/>
      <c r="FS4" s="469"/>
      <c r="FT4" s="469"/>
      <c r="FU4" s="469"/>
      <c r="FV4" s="469"/>
      <c r="FW4" s="469"/>
      <c r="FX4" s="469"/>
      <c r="FY4" s="469"/>
      <c r="FZ4" s="469"/>
      <c r="GA4" s="469"/>
      <c r="GB4" s="469"/>
      <c r="GC4" s="469"/>
      <c r="GD4" s="469"/>
      <c r="GE4" s="469"/>
      <c r="GF4" s="469"/>
      <c r="GG4" s="469"/>
      <c r="GH4" s="469"/>
      <c r="GI4" s="469"/>
      <c r="GJ4" s="469"/>
      <c r="GK4" s="469"/>
      <c r="GL4" s="469"/>
      <c r="GM4" s="469"/>
      <c r="GN4" s="469"/>
      <c r="GO4" s="469"/>
      <c r="GP4" s="469"/>
      <c r="GQ4" s="469"/>
      <c r="GR4" s="469"/>
      <c r="GS4" s="469"/>
    </row>
    <row r="5" spans="1:201" s="468" customFormat="1" ht="12" customHeight="1">
      <c r="A5" s="498" t="s">
        <v>592</v>
      </c>
      <c r="B5" s="498"/>
      <c r="C5" s="498"/>
      <c r="D5" s="594">
        <f>$D$67+$H$67</f>
        <v>21527.64</v>
      </c>
      <c r="E5" s="594">
        <f>$E$67+$I$67</f>
        <v>21337.75</v>
      </c>
      <c r="F5" s="627">
        <f>E5-D5</f>
        <v>-189.88999999999942</v>
      </c>
      <c r="G5" s="497"/>
      <c r="H5" s="506"/>
      <c r="I5" s="506"/>
      <c r="J5" s="506"/>
      <c r="K5" s="506"/>
      <c r="L5" s="506"/>
      <c r="M5" s="469"/>
      <c r="N5" s="469"/>
      <c r="O5" s="630"/>
      <c r="P5" s="630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69"/>
      <c r="AR5" s="469"/>
      <c r="AS5" s="469"/>
      <c r="AT5" s="469"/>
      <c r="AU5" s="469"/>
      <c r="AV5" s="469"/>
      <c r="AW5" s="469"/>
      <c r="AX5" s="469"/>
      <c r="AY5" s="469"/>
      <c r="AZ5" s="469"/>
      <c r="BA5" s="469"/>
      <c r="BB5" s="469"/>
      <c r="BC5" s="469"/>
      <c r="BD5" s="469"/>
      <c r="BE5" s="469"/>
      <c r="BF5" s="469"/>
      <c r="BG5" s="469"/>
      <c r="BH5" s="469"/>
      <c r="BI5" s="469"/>
      <c r="BJ5" s="469"/>
      <c r="BK5" s="469"/>
      <c r="BL5" s="469"/>
      <c r="BM5" s="469"/>
      <c r="BN5" s="469"/>
      <c r="BO5" s="469"/>
      <c r="BP5" s="469"/>
      <c r="BQ5" s="469"/>
      <c r="BR5" s="469"/>
      <c r="BS5" s="469"/>
      <c r="BT5" s="469"/>
      <c r="BU5" s="469"/>
      <c r="BV5" s="469"/>
      <c r="BW5" s="469"/>
      <c r="BX5" s="469"/>
      <c r="BY5" s="469"/>
      <c r="BZ5" s="469"/>
      <c r="CA5" s="469"/>
      <c r="CB5" s="469"/>
      <c r="CC5" s="469"/>
      <c r="CD5" s="469"/>
      <c r="CE5" s="469"/>
      <c r="CF5" s="469"/>
      <c r="CG5" s="469"/>
      <c r="CH5" s="469"/>
      <c r="CI5" s="469"/>
      <c r="CJ5" s="469"/>
      <c r="CK5" s="469"/>
      <c r="CL5" s="469"/>
      <c r="CM5" s="469"/>
      <c r="CN5" s="469"/>
      <c r="CO5" s="469"/>
      <c r="CP5" s="469"/>
      <c r="CQ5" s="469"/>
      <c r="CR5" s="469"/>
      <c r="CS5" s="469"/>
      <c r="CT5" s="469"/>
      <c r="CU5" s="469"/>
      <c r="CV5" s="469"/>
      <c r="CW5" s="469"/>
      <c r="CX5" s="469"/>
      <c r="CY5" s="469"/>
      <c r="CZ5" s="469"/>
      <c r="DA5" s="469"/>
      <c r="DB5" s="469"/>
      <c r="DC5" s="469"/>
      <c r="DD5" s="469"/>
      <c r="DE5" s="469"/>
      <c r="DF5" s="469"/>
      <c r="DG5" s="469"/>
      <c r="DH5" s="469"/>
      <c r="DI5" s="469"/>
      <c r="DJ5" s="469"/>
      <c r="DK5" s="469"/>
      <c r="DL5" s="469"/>
      <c r="DM5" s="469"/>
      <c r="DN5" s="469"/>
      <c r="DO5" s="469"/>
      <c r="DP5" s="469"/>
      <c r="DQ5" s="469"/>
      <c r="DR5" s="469"/>
      <c r="DS5" s="469"/>
      <c r="DT5" s="469"/>
      <c r="DU5" s="469"/>
      <c r="DV5" s="469"/>
      <c r="DW5" s="469"/>
      <c r="DX5" s="469"/>
      <c r="DY5" s="469"/>
      <c r="DZ5" s="469"/>
      <c r="EA5" s="469"/>
      <c r="EB5" s="469"/>
      <c r="EC5" s="469"/>
      <c r="ED5" s="469"/>
      <c r="EE5" s="469"/>
      <c r="EF5" s="469"/>
      <c r="EG5" s="469"/>
      <c r="EH5" s="469"/>
      <c r="EI5" s="469"/>
      <c r="EJ5" s="469"/>
      <c r="EK5" s="469"/>
      <c r="EL5" s="469"/>
      <c r="EM5" s="469"/>
      <c r="EN5" s="469"/>
      <c r="EO5" s="469"/>
      <c r="EP5" s="469"/>
      <c r="EQ5" s="469"/>
      <c r="ER5" s="469"/>
      <c r="ES5" s="469"/>
      <c r="ET5" s="469"/>
      <c r="EU5" s="469"/>
      <c r="EV5" s="469"/>
      <c r="EW5" s="469"/>
      <c r="EX5" s="469"/>
      <c r="EY5" s="469"/>
      <c r="EZ5" s="469"/>
      <c r="FA5" s="469"/>
      <c r="FB5" s="469"/>
      <c r="FC5" s="469"/>
      <c r="FD5" s="469"/>
      <c r="FE5" s="469"/>
      <c r="FF5" s="469"/>
      <c r="FG5" s="469"/>
      <c r="FH5" s="469"/>
      <c r="FI5" s="469"/>
      <c r="FJ5" s="469"/>
      <c r="FK5" s="469"/>
      <c r="FL5" s="469"/>
      <c r="FM5" s="469"/>
      <c r="FN5" s="469"/>
      <c r="FO5" s="469"/>
      <c r="FP5" s="469"/>
      <c r="FQ5" s="469"/>
      <c r="FR5" s="469"/>
      <c r="FS5" s="469"/>
      <c r="FT5" s="469"/>
      <c r="FU5" s="469"/>
      <c r="FV5" s="469"/>
      <c r="FW5" s="469"/>
      <c r="FX5" s="469"/>
      <c r="FY5" s="469"/>
      <c r="FZ5" s="469"/>
      <c r="GA5" s="469"/>
      <c r="GB5" s="469"/>
      <c r="GC5" s="469"/>
      <c r="GD5" s="469"/>
      <c r="GE5" s="469"/>
      <c r="GF5" s="469"/>
      <c r="GG5" s="469"/>
      <c r="GH5" s="469"/>
      <c r="GI5" s="469"/>
      <c r="GJ5" s="469"/>
      <c r="GK5" s="469"/>
      <c r="GL5" s="469"/>
      <c r="GM5" s="469"/>
      <c r="GN5" s="469"/>
      <c r="GO5" s="469"/>
      <c r="GP5" s="469"/>
      <c r="GQ5" s="469"/>
      <c r="GR5" s="469"/>
      <c r="GS5" s="469"/>
    </row>
    <row r="6" spans="1:201" s="468" customFormat="1" ht="12" customHeight="1">
      <c r="A6" s="498" t="s">
        <v>590</v>
      </c>
      <c r="B6" s="498"/>
      <c r="C6" s="498"/>
      <c r="D6" s="594">
        <f>$D$96+$H$96</f>
        <v>18437.270000000004</v>
      </c>
      <c r="E6" s="594">
        <f>$E$96+$I$96</f>
        <v>20630</v>
      </c>
      <c r="F6" s="497">
        <v>116.43</v>
      </c>
      <c r="G6" s="497"/>
      <c r="H6" s="506"/>
      <c r="I6" s="506"/>
      <c r="J6" s="506"/>
      <c r="K6" s="506"/>
      <c r="L6" s="506"/>
      <c r="M6" s="469"/>
      <c r="N6" s="469"/>
      <c r="O6" s="630"/>
      <c r="P6" s="630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469"/>
      <c r="AM6" s="469"/>
      <c r="AN6" s="469"/>
      <c r="AO6" s="469"/>
      <c r="AP6" s="469"/>
      <c r="AQ6" s="469"/>
      <c r="AR6" s="469"/>
      <c r="AS6" s="469"/>
      <c r="AT6" s="469"/>
      <c r="AU6" s="469"/>
      <c r="AV6" s="469"/>
      <c r="AW6" s="469"/>
      <c r="AX6" s="469"/>
      <c r="AY6" s="469"/>
      <c r="AZ6" s="469"/>
      <c r="BA6" s="469"/>
      <c r="BB6" s="469"/>
      <c r="BC6" s="469"/>
      <c r="BD6" s="469"/>
      <c r="BE6" s="469"/>
      <c r="BF6" s="469"/>
      <c r="BG6" s="469"/>
      <c r="BH6" s="469"/>
      <c r="BI6" s="469"/>
      <c r="BJ6" s="469"/>
      <c r="BK6" s="469"/>
      <c r="BL6" s="469"/>
      <c r="BM6" s="469"/>
      <c r="BN6" s="469"/>
      <c r="BO6" s="469"/>
      <c r="BP6" s="469"/>
      <c r="BQ6" s="469"/>
      <c r="BR6" s="469"/>
      <c r="BS6" s="469"/>
      <c r="BT6" s="469"/>
      <c r="BU6" s="469"/>
      <c r="BV6" s="469"/>
      <c r="BW6" s="469"/>
      <c r="BX6" s="469"/>
      <c r="BY6" s="469"/>
      <c r="BZ6" s="469"/>
      <c r="CA6" s="469"/>
      <c r="CB6" s="469"/>
      <c r="CC6" s="469"/>
      <c r="CD6" s="469"/>
      <c r="CE6" s="469"/>
      <c r="CF6" s="469"/>
      <c r="CG6" s="469"/>
      <c r="CH6" s="469"/>
      <c r="CI6" s="469"/>
      <c r="CJ6" s="469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69"/>
      <c r="CX6" s="469"/>
      <c r="CY6" s="469"/>
      <c r="CZ6" s="469"/>
      <c r="DA6" s="469"/>
      <c r="DB6" s="469"/>
      <c r="DC6" s="469"/>
      <c r="DD6" s="469"/>
      <c r="DE6" s="469"/>
      <c r="DF6" s="469"/>
      <c r="DG6" s="469"/>
      <c r="DH6" s="469"/>
      <c r="DI6" s="469"/>
      <c r="DJ6" s="469"/>
      <c r="DK6" s="469"/>
      <c r="DL6" s="469"/>
      <c r="DM6" s="469"/>
      <c r="DN6" s="469"/>
      <c r="DO6" s="469"/>
      <c r="DP6" s="469"/>
      <c r="DQ6" s="469"/>
      <c r="DR6" s="469"/>
      <c r="DS6" s="469"/>
      <c r="DT6" s="469"/>
      <c r="DU6" s="469"/>
      <c r="DV6" s="469"/>
      <c r="DW6" s="469"/>
      <c r="DX6" s="469"/>
      <c r="DY6" s="469"/>
      <c r="DZ6" s="469"/>
      <c r="EA6" s="469"/>
      <c r="EB6" s="469"/>
      <c r="EC6" s="469"/>
      <c r="ED6" s="469"/>
      <c r="EE6" s="469"/>
      <c r="EF6" s="469"/>
      <c r="EG6" s="469"/>
      <c r="EH6" s="469"/>
      <c r="EI6" s="469"/>
      <c r="EJ6" s="469"/>
      <c r="EK6" s="469"/>
      <c r="EL6" s="469"/>
      <c r="EM6" s="469"/>
      <c r="EN6" s="469"/>
      <c r="EO6" s="469"/>
      <c r="EP6" s="469"/>
      <c r="EQ6" s="469"/>
      <c r="ER6" s="469"/>
      <c r="ES6" s="469"/>
      <c r="ET6" s="469"/>
      <c r="EU6" s="469"/>
      <c r="EV6" s="469"/>
      <c r="EW6" s="469"/>
      <c r="EX6" s="469"/>
      <c r="EY6" s="469"/>
      <c r="EZ6" s="469"/>
      <c r="FA6" s="469"/>
      <c r="FB6" s="469"/>
      <c r="FC6" s="469"/>
      <c r="FD6" s="469"/>
      <c r="FE6" s="469"/>
      <c r="FF6" s="469"/>
      <c r="FG6" s="469"/>
      <c r="FH6" s="469"/>
      <c r="FI6" s="469"/>
      <c r="FJ6" s="469"/>
      <c r="FK6" s="469"/>
      <c r="FL6" s="469"/>
      <c r="FM6" s="469"/>
      <c r="FN6" s="469"/>
      <c r="FO6" s="469"/>
      <c r="FP6" s="469"/>
      <c r="FQ6" s="469"/>
      <c r="FR6" s="469"/>
      <c r="FS6" s="469"/>
      <c r="FT6" s="469"/>
      <c r="FU6" s="469"/>
      <c r="FV6" s="469"/>
      <c r="FW6" s="469"/>
      <c r="FX6" s="469"/>
      <c r="FY6" s="469"/>
      <c r="FZ6" s="469"/>
      <c r="GA6" s="469"/>
      <c r="GB6" s="469"/>
      <c r="GC6" s="469"/>
      <c r="GD6" s="469"/>
      <c r="GE6" s="469"/>
      <c r="GF6" s="469"/>
      <c r="GG6" s="469"/>
      <c r="GH6" s="469"/>
      <c r="GI6" s="469"/>
      <c r="GJ6" s="469"/>
      <c r="GK6" s="469"/>
      <c r="GL6" s="469"/>
      <c r="GM6" s="469"/>
      <c r="GN6" s="469"/>
      <c r="GO6" s="469"/>
      <c r="GP6" s="469"/>
      <c r="GQ6" s="469"/>
      <c r="GR6" s="469"/>
      <c r="GS6" s="469"/>
    </row>
    <row r="7" spans="1:201" s="468" customFormat="1" ht="12" customHeight="1">
      <c r="A7" s="498" t="s">
        <v>588</v>
      </c>
      <c r="B7" s="498"/>
      <c r="C7" s="498"/>
      <c r="D7" s="594">
        <f>$D$123+$H$123</f>
        <v>21084.98</v>
      </c>
      <c r="E7" s="594">
        <f>$E$123+$I$123</f>
        <v>20630</v>
      </c>
      <c r="F7" s="627">
        <f t="shared" ref="F7:F14" si="0">E7-D7</f>
        <v>-454.97999999999956</v>
      </c>
      <c r="G7" s="497"/>
      <c r="H7" s="506"/>
      <c r="I7" s="629"/>
      <c r="J7" s="506"/>
      <c r="K7" s="506"/>
      <c r="L7" s="506"/>
      <c r="M7" s="469"/>
      <c r="N7" s="469"/>
      <c r="O7" s="447"/>
      <c r="P7" s="447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69"/>
      <c r="AV7" s="469"/>
      <c r="AW7" s="469"/>
      <c r="AX7" s="469"/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69"/>
      <c r="BJ7" s="469"/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 s="469"/>
      <c r="BW7" s="469"/>
      <c r="BX7" s="469"/>
      <c r="BY7" s="469"/>
      <c r="BZ7" s="469"/>
      <c r="CA7" s="469"/>
      <c r="CB7" s="469"/>
      <c r="CC7" s="469"/>
      <c r="CD7" s="469"/>
      <c r="CE7" s="469"/>
      <c r="CF7" s="469"/>
      <c r="CG7" s="469"/>
      <c r="CH7" s="469"/>
      <c r="CI7" s="469"/>
      <c r="CJ7" s="469"/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69"/>
      <c r="CX7" s="469"/>
      <c r="CY7" s="469"/>
      <c r="CZ7" s="469"/>
      <c r="DA7" s="469"/>
      <c r="DB7" s="469"/>
      <c r="DC7" s="469"/>
      <c r="DD7" s="469"/>
      <c r="DE7" s="469"/>
      <c r="DF7" s="469"/>
      <c r="DG7" s="469"/>
      <c r="DH7" s="469"/>
      <c r="DI7" s="469"/>
      <c r="DJ7" s="469"/>
      <c r="DK7" s="469"/>
      <c r="DL7" s="469"/>
      <c r="DM7" s="469"/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69"/>
      <c r="EB7" s="469"/>
      <c r="EC7" s="469"/>
      <c r="ED7" s="469"/>
      <c r="EE7" s="469"/>
      <c r="EF7" s="469"/>
      <c r="EG7" s="469"/>
      <c r="EH7" s="469"/>
      <c r="EI7" s="469"/>
      <c r="EJ7" s="469"/>
      <c r="EK7" s="469"/>
      <c r="EL7" s="469"/>
      <c r="EM7" s="469"/>
      <c r="EN7" s="469"/>
      <c r="EO7" s="469"/>
      <c r="EP7" s="469"/>
      <c r="EQ7" s="469"/>
      <c r="ER7" s="469"/>
      <c r="ES7" s="469"/>
      <c r="ET7" s="469"/>
      <c r="EU7" s="469"/>
      <c r="EV7" s="469"/>
      <c r="EW7" s="469"/>
      <c r="EX7" s="469"/>
      <c r="EY7" s="469"/>
      <c r="EZ7" s="469"/>
      <c r="FA7" s="469"/>
      <c r="FB7" s="469"/>
      <c r="FC7" s="469"/>
      <c r="FD7" s="469"/>
      <c r="FE7" s="469"/>
      <c r="FF7" s="469"/>
      <c r="FG7" s="469"/>
      <c r="FH7" s="469"/>
      <c r="FI7" s="469"/>
      <c r="FJ7" s="469"/>
      <c r="FK7" s="469"/>
      <c r="FL7" s="469"/>
      <c r="FM7" s="469"/>
      <c r="FN7" s="469"/>
      <c r="FO7" s="469"/>
      <c r="FP7" s="469"/>
      <c r="FQ7" s="469"/>
      <c r="FR7" s="469"/>
      <c r="FS7" s="469"/>
      <c r="FT7" s="469"/>
      <c r="FU7" s="469"/>
      <c r="FV7" s="469"/>
      <c r="FW7" s="469"/>
      <c r="FX7" s="469"/>
      <c r="FY7" s="469"/>
      <c r="FZ7" s="469"/>
      <c r="GA7" s="469"/>
      <c r="GB7" s="469"/>
      <c r="GC7" s="469"/>
      <c r="GD7" s="469"/>
      <c r="GE7" s="469"/>
      <c r="GF7" s="469"/>
      <c r="GG7" s="469"/>
      <c r="GH7" s="469"/>
      <c r="GI7" s="469"/>
      <c r="GJ7" s="469"/>
      <c r="GK7" s="469"/>
      <c r="GL7" s="469"/>
      <c r="GM7" s="469"/>
      <c r="GN7" s="469"/>
      <c r="GO7" s="469"/>
      <c r="GP7" s="469"/>
      <c r="GQ7" s="469"/>
      <c r="GR7" s="469"/>
      <c r="GS7" s="469"/>
    </row>
    <row r="8" spans="1:201" s="468" customFormat="1" ht="12" customHeight="1">
      <c r="A8" s="498" t="s">
        <v>587</v>
      </c>
      <c r="B8" s="498"/>
      <c r="C8" s="498"/>
      <c r="D8" s="594">
        <f>$D$148+$H$148</f>
        <v>19753.52</v>
      </c>
      <c r="E8" s="594">
        <f>$E$148+$I$148</f>
        <v>20741</v>
      </c>
      <c r="F8" s="627">
        <f t="shared" si="0"/>
        <v>987.47999999999956</v>
      </c>
      <c r="G8" s="497"/>
      <c r="H8" s="506"/>
      <c r="I8" s="506"/>
      <c r="J8" s="506"/>
      <c r="K8" s="506"/>
      <c r="L8" s="506"/>
      <c r="M8" s="469"/>
      <c r="N8" s="469"/>
      <c r="O8" s="440"/>
      <c r="P8" s="440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/>
      <c r="AW8" s="469"/>
      <c r="AX8" s="469"/>
      <c r="AY8" s="469"/>
      <c r="AZ8" s="469"/>
      <c r="BA8" s="469"/>
      <c r="BB8" s="469"/>
      <c r="BC8" s="469"/>
      <c r="BD8" s="469"/>
      <c r="BE8" s="469"/>
      <c r="BF8" s="469"/>
      <c r="BG8" s="469"/>
      <c r="BH8" s="469"/>
      <c r="BI8" s="469"/>
      <c r="BJ8" s="469"/>
      <c r="BK8" s="469"/>
      <c r="BL8" s="469"/>
      <c r="BM8" s="469"/>
      <c r="BN8" s="469"/>
      <c r="BO8" s="469"/>
      <c r="BP8" s="469"/>
      <c r="BQ8" s="469"/>
      <c r="BR8" s="469"/>
      <c r="BS8" s="469"/>
      <c r="BT8" s="469"/>
      <c r="BU8" s="469"/>
      <c r="BV8" s="469"/>
      <c r="BW8" s="469"/>
      <c r="BX8" s="469"/>
      <c r="BY8" s="469"/>
      <c r="BZ8" s="469"/>
      <c r="CA8" s="469"/>
      <c r="CB8" s="469"/>
      <c r="CC8" s="469"/>
      <c r="CD8" s="469"/>
      <c r="CE8" s="469"/>
      <c r="CF8" s="469"/>
      <c r="CG8" s="469"/>
      <c r="CH8" s="469"/>
      <c r="CI8" s="469"/>
      <c r="CJ8" s="469"/>
      <c r="CK8" s="469"/>
      <c r="CL8" s="469"/>
      <c r="CM8" s="469"/>
      <c r="CN8" s="469"/>
      <c r="CO8" s="469"/>
      <c r="CP8" s="469"/>
      <c r="CQ8" s="469"/>
      <c r="CR8" s="469"/>
      <c r="CS8" s="469"/>
      <c r="CT8" s="469"/>
      <c r="CU8" s="469"/>
      <c r="CV8" s="469"/>
      <c r="CW8" s="469"/>
      <c r="CX8" s="469"/>
      <c r="CY8" s="469"/>
      <c r="CZ8" s="469"/>
      <c r="DA8" s="469"/>
      <c r="DB8" s="469"/>
      <c r="DC8" s="469"/>
      <c r="DD8" s="469"/>
      <c r="DE8" s="469"/>
      <c r="DF8" s="469"/>
      <c r="DG8" s="469"/>
      <c r="DH8" s="469"/>
      <c r="DI8" s="469"/>
      <c r="DJ8" s="469"/>
      <c r="DK8" s="469"/>
      <c r="DL8" s="469"/>
      <c r="DM8" s="469"/>
      <c r="DN8" s="469"/>
      <c r="DO8" s="469"/>
      <c r="DP8" s="469"/>
      <c r="DQ8" s="469"/>
      <c r="DR8" s="469"/>
      <c r="DS8" s="469"/>
      <c r="DT8" s="469"/>
      <c r="DU8" s="469"/>
      <c r="DV8" s="469"/>
      <c r="DW8" s="469"/>
      <c r="DX8" s="469"/>
      <c r="DY8" s="469"/>
      <c r="DZ8" s="469"/>
      <c r="EA8" s="469"/>
      <c r="EB8" s="469"/>
      <c r="EC8" s="469"/>
      <c r="ED8" s="469"/>
      <c r="EE8" s="469"/>
      <c r="EF8" s="469"/>
      <c r="EG8" s="469"/>
      <c r="EH8" s="469"/>
      <c r="EI8" s="469"/>
      <c r="EJ8" s="469"/>
      <c r="EK8" s="469"/>
      <c r="EL8" s="469"/>
      <c r="EM8" s="469"/>
      <c r="EN8" s="469"/>
      <c r="EO8" s="469"/>
      <c r="EP8" s="469"/>
      <c r="EQ8" s="469"/>
      <c r="ER8" s="469"/>
      <c r="ES8" s="469"/>
      <c r="ET8" s="469"/>
      <c r="EU8" s="469"/>
      <c r="EV8" s="469"/>
      <c r="EW8" s="469"/>
      <c r="EX8" s="469"/>
      <c r="EY8" s="469"/>
      <c r="EZ8" s="469"/>
      <c r="FA8" s="469"/>
      <c r="FB8" s="469"/>
      <c r="FC8" s="469"/>
      <c r="FD8" s="469"/>
      <c r="FE8" s="469"/>
      <c r="FF8" s="469"/>
      <c r="FG8" s="469"/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69"/>
      <c r="FX8" s="469"/>
      <c r="FY8" s="469"/>
      <c r="FZ8" s="469"/>
      <c r="GA8" s="469"/>
      <c r="GB8" s="469"/>
      <c r="GC8" s="469"/>
      <c r="GD8" s="469"/>
      <c r="GE8" s="469"/>
      <c r="GF8" s="469"/>
      <c r="GG8" s="469"/>
      <c r="GH8" s="469"/>
      <c r="GI8" s="469"/>
      <c r="GJ8" s="469"/>
      <c r="GK8" s="469"/>
      <c r="GL8" s="469"/>
      <c r="GM8" s="469"/>
      <c r="GN8" s="469"/>
      <c r="GO8" s="469"/>
      <c r="GP8" s="469"/>
      <c r="GQ8" s="469"/>
      <c r="GR8" s="469"/>
      <c r="GS8" s="469"/>
    </row>
    <row r="9" spans="1:201" s="468" customFormat="1" ht="12" customHeight="1">
      <c r="A9" s="498" t="s">
        <v>586</v>
      </c>
      <c r="B9" s="498"/>
      <c r="C9" s="498"/>
      <c r="D9" s="594">
        <f>$D$173+H173</f>
        <v>21582.06</v>
      </c>
      <c r="E9" s="594">
        <f>$E$173+I173</f>
        <v>20745</v>
      </c>
      <c r="F9" s="627">
        <f t="shared" si="0"/>
        <v>-837.06000000000131</v>
      </c>
      <c r="G9" s="497"/>
      <c r="H9" s="506"/>
      <c r="I9" s="506"/>
      <c r="J9" s="506"/>
      <c r="K9" s="506"/>
      <c r="L9" s="506"/>
      <c r="M9" s="469"/>
      <c r="N9" s="469"/>
      <c r="O9" s="616"/>
      <c r="P9" s="628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69"/>
      <c r="AR9" s="469"/>
      <c r="AS9" s="469"/>
      <c r="AT9" s="469"/>
      <c r="AU9" s="469"/>
      <c r="AV9" s="469"/>
      <c r="AW9" s="469"/>
      <c r="AX9" s="469"/>
      <c r="AY9" s="469"/>
      <c r="AZ9" s="469"/>
      <c r="BA9" s="469"/>
      <c r="BB9" s="469"/>
      <c r="BC9" s="469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  <c r="CE9" s="469"/>
      <c r="CF9" s="469"/>
      <c r="CG9" s="469"/>
      <c r="CH9" s="469"/>
      <c r="CI9" s="469"/>
      <c r="CJ9" s="469"/>
      <c r="CK9" s="469"/>
      <c r="CL9" s="469"/>
      <c r="CM9" s="469"/>
      <c r="CN9" s="469"/>
      <c r="CO9" s="469"/>
      <c r="CP9" s="469"/>
      <c r="CQ9" s="469"/>
      <c r="CR9" s="469"/>
      <c r="CS9" s="469"/>
      <c r="CT9" s="469"/>
      <c r="CU9" s="469"/>
      <c r="CV9" s="469"/>
      <c r="CW9" s="469"/>
      <c r="CX9" s="469"/>
      <c r="CY9" s="469"/>
      <c r="CZ9" s="469"/>
      <c r="DA9" s="469"/>
      <c r="DB9" s="469"/>
      <c r="DC9" s="469"/>
      <c r="DD9" s="469"/>
      <c r="DE9" s="469"/>
      <c r="DF9" s="469"/>
      <c r="DG9" s="469"/>
      <c r="DH9" s="469"/>
      <c r="DI9" s="469"/>
      <c r="DJ9" s="469"/>
      <c r="DK9" s="469"/>
      <c r="DL9" s="469"/>
      <c r="DM9" s="469"/>
      <c r="DN9" s="469"/>
      <c r="DO9" s="469"/>
      <c r="DP9" s="469"/>
      <c r="DQ9" s="469"/>
      <c r="DR9" s="469"/>
      <c r="DS9" s="469"/>
      <c r="DT9" s="469"/>
      <c r="DU9" s="469"/>
      <c r="DV9" s="469"/>
      <c r="DW9" s="469"/>
      <c r="DX9" s="469"/>
      <c r="DY9" s="469"/>
      <c r="DZ9" s="469"/>
      <c r="EA9" s="469"/>
      <c r="EB9" s="469"/>
      <c r="EC9" s="469"/>
      <c r="ED9" s="469"/>
      <c r="EE9" s="469"/>
      <c r="EF9" s="469"/>
      <c r="EG9" s="469"/>
      <c r="EH9" s="469"/>
      <c r="EI9" s="469"/>
      <c r="EJ9" s="469"/>
      <c r="EK9" s="469"/>
      <c r="EL9" s="469"/>
      <c r="EM9" s="469"/>
      <c r="EN9" s="469"/>
      <c r="EO9" s="469"/>
      <c r="EP9" s="469"/>
      <c r="EQ9" s="469"/>
      <c r="ER9" s="469"/>
      <c r="ES9" s="469"/>
      <c r="ET9" s="469"/>
      <c r="EU9" s="469"/>
      <c r="EV9" s="469"/>
      <c r="EW9" s="469"/>
      <c r="EX9" s="469"/>
      <c r="EY9" s="469"/>
      <c r="EZ9" s="469"/>
      <c r="FA9" s="469"/>
      <c r="FB9" s="469"/>
      <c r="FC9" s="469"/>
      <c r="FD9" s="469"/>
      <c r="FE9" s="469"/>
      <c r="FF9" s="469"/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69"/>
      <c r="FX9" s="469"/>
      <c r="FY9" s="469"/>
      <c r="FZ9" s="469"/>
      <c r="GA9" s="469"/>
      <c r="GB9" s="469"/>
      <c r="GC9" s="469"/>
      <c r="GD9" s="469"/>
      <c r="GE9" s="469"/>
      <c r="GF9" s="469"/>
      <c r="GG9" s="469"/>
      <c r="GH9" s="469"/>
      <c r="GI9" s="469"/>
      <c r="GJ9" s="469"/>
      <c r="GK9" s="469"/>
      <c r="GL9" s="469"/>
      <c r="GM9" s="469"/>
      <c r="GN9" s="469"/>
      <c r="GO9" s="469"/>
      <c r="GP9" s="469"/>
      <c r="GQ9" s="469"/>
      <c r="GR9" s="469"/>
      <c r="GS9" s="469"/>
    </row>
    <row r="10" spans="1:201" s="468" customFormat="1" ht="12" customHeight="1">
      <c r="A10" s="498" t="s">
        <v>584</v>
      </c>
      <c r="B10" s="498"/>
      <c r="C10" s="498"/>
      <c r="D10" s="594">
        <f>$D$201+$H$201</f>
        <v>19425.93</v>
      </c>
      <c r="E10" s="594">
        <f>$E$201+$I$201</f>
        <v>20630</v>
      </c>
      <c r="F10" s="627">
        <f t="shared" si="0"/>
        <v>1204.0699999999997</v>
      </c>
      <c r="G10" s="497"/>
      <c r="H10" s="506"/>
      <c r="I10" s="506"/>
      <c r="J10" s="506"/>
      <c r="K10" s="506"/>
      <c r="L10" s="506"/>
      <c r="M10" s="469"/>
      <c r="N10" s="469"/>
      <c r="O10" s="616"/>
      <c r="P10" s="615"/>
      <c r="Q10" s="469"/>
      <c r="R10" s="469"/>
      <c r="S10" s="469"/>
      <c r="T10" s="469"/>
      <c r="U10" s="469"/>
      <c r="V10" s="469"/>
      <c r="W10" s="469"/>
      <c r="X10" s="469"/>
      <c r="Y10" s="469"/>
      <c r="Z10" s="469"/>
      <c r="AA10" s="469"/>
      <c r="AB10" s="469"/>
      <c r="AC10" s="469"/>
      <c r="AD10" s="469"/>
      <c r="AE10" s="469"/>
      <c r="AF10" s="469"/>
      <c r="AG10" s="469"/>
      <c r="AH10" s="469"/>
      <c r="AI10" s="469"/>
      <c r="AJ10" s="469"/>
      <c r="AK10" s="469"/>
      <c r="AL10" s="469"/>
      <c r="AM10" s="469"/>
      <c r="AN10" s="469"/>
      <c r="AO10" s="469"/>
      <c r="AP10" s="469"/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69"/>
      <c r="BB10" s="469"/>
      <c r="BC10" s="469"/>
      <c r="BD10" s="469"/>
      <c r="BE10" s="469"/>
      <c r="BF10" s="469"/>
      <c r="BG10" s="469"/>
      <c r="BH10" s="469"/>
      <c r="BI10" s="469"/>
      <c r="BJ10" s="469"/>
      <c r="BK10" s="469"/>
      <c r="BL10" s="469"/>
      <c r="BM10" s="469"/>
      <c r="BN10" s="469"/>
      <c r="BO10" s="469"/>
      <c r="BP10" s="469"/>
      <c r="BQ10" s="469"/>
      <c r="BR10" s="469"/>
      <c r="BS10" s="469"/>
      <c r="BT10" s="469"/>
      <c r="BU10" s="469"/>
      <c r="BV10" s="469"/>
      <c r="BW10" s="469"/>
      <c r="BX10" s="469"/>
      <c r="BY10" s="469"/>
      <c r="BZ10" s="469"/>
      <c r="CA10" s="469"/>
      <c r="CB10" s="469"/>
      <c r="CC10" s="469"/>
      <c r="CD10" s="469"/>
      <c r="CE10" s="469"/>
      <c r="CF10" s="469"/>
      <c r="CG10" s="469"/>
      <c r="CH10" s="469"/>
      <c r="CI10" s="469"/>
      <c r="CJ10" s="469"/>
      <c r="CK10" s="469"/>
      <c r="CL10" s="469"/>
      <c r="CM10" s="469"/>
      <c r="CN10" s="469"/>
      <c r="CO10" s="469"/>
      <c r="CP10" s="469"/>
      <c r="CQ10" s="469"/>
      <c r="CR10" s="469"/>
      <c r="CS10" s="469"/>
      <c r="CT10" s="469"/>
      <c r="CU10" s="469"/>
      <c r="CV10" s="469"/>
      <c r="CW10" s="469"/>
      <c r="CX10" s="469"/>
      <c r="CY10" s="469"/>
      <c r="CZ10" s="469"/>
      <c r="DA10" s="469"/>
      <c r="DB10" s="469"/>
      <c r="DC10" s="469"/>
      <c r="DD10" s="469"/>
      <c r="DE10" s="469"/>
      <c r="DF10" s="469"/>
      <c r="DG10" s="469"/>
      <c r="DH10" s="469"/>
      <c r="DI10" s="469"/>
      <c r="DJ10" s="469"/>
      <c r="DK10" s="469"/>
      <c r="DL10" s="469"/>
      <c r="DM10" s="469"/>
      <c r="DN10" s="469"/>
      <c r="DO10" s="469"/>
      <c r="DP10" s="469"/>
      <c r="DQ10" s="469"/>
      <c r="DR10" s="469"/>
      <c r="DS10" s="469"/>
      <c r="DT10" s="469"/>
      <c r="DU10" s="469"/>
      <c r="DV10" s="469"/>
      <c r="DW10" s="469"/>
      <c r="DX10" s="469"/>
      <c r="DY10" s="469"/>
      <c r="DZ10" s="469"/>
      <c r="EA10" s="469"/>
      <c r="EB10" s="469"/>
      <c r="EC10" s="469"/>
      <c r="ED10" s="469"/>
      <c r="EE10" s="469"/>
      <c r="EF10" s="469"/>
      <c r="EG10" s="469"/>
      <c r="EH10" s="469"/>
      <c r="EI10" s="469"/>
      <c r="EJ10" s="469"/>
      <c r="EK10" s="469"/>
      <c r="EL10" s="469"/>
      <c r="EM10" s="469"/>
      <c r="EN10" s="469"/>
      <c r="EO10" s="469"/>
      <c r="EP10" s="469"/>
      <c r="EQ10" s="469"/>
      <c r="ER10" s="469"/>
      <c r="ES10" s="469"/>
      <c r="ET10" s="469"/>
      <c r="EU10" s="469"/>
      <c r="EV10" s="469"/>
      <c r="EW10" s="469"/>
      <c r="EX10" s="469"/>
      <c r="EY10" s="469"/>
      <c r="EZ10" s="469"/>
      <c r="FA10" s="469"/>
      <c r="FB10" s="469"/>
      <c r="FC10" s="469"/>
      <c r="FD10" s="469"/>
      <c r="FE10" s="469"/>
      <c r="FF10" s="469"/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69"/>
      <c r="FX10" s="469"/>
      <c r="FY10" s="469"/>
      <c r="FZ10" s="469"/>
      <c r="GA10" s="469"/>
      <c r="GB10" s="469"/>
      <c r="GC10" s="469"/>
      <c r="GD10" s="469"/>
      <c r="GE10" s="469"/>
      <c r="GF10" s="469"/>
      <c r="GG10" s="469"/>
      <c r="GH10" s="469"/>
      <c r="GI10" s="469"/>
      <c r="GJ10" s="469"/>
      <c r="GK10" s="469"/>
      <c r="GL10" s="469"/>
      <c r="GM10" s="469"/>
      <c r="GN10" s="469"/>
      <c r="GO10" s="469"/>
      <c r="GP10" s="469"/>
      <c r="GQ10" s="469"/>
      <c r="GR10" s="469"/>
      <c r="GS10" s="469"/>
    </row>
    <row r="11" spans="1:201" s="468" customFormat="1" ht="12" customHeight="1">
      <c r="A11" s="498" t="s">
        <v>580</v>
      </c>
      <c r="B11" s="498"/>
      <c r="C11" s="498"/>
      <c r="D11" s="594">
        <f>$D$223+$H$223</f>
        <v>20482.739999999998</v>
      </c>
      <c r="E11" s="594">
        <f>$E$223+$I$223</f>
        <v>20849</v>
      </c>
      <c r="F11" s="627">
        <f t="shared" si="0"/>
        <v>366.26000000000204</v>
      </c>
      <c r="G11" s="497"/>
      <c r="H11" s="506"/>
      <c r="I11" s="506"/>
      <c r="J11" s="506"/>
      <c r="K11" s="506"/>
      <c r="L11" s="506"/>
      <c r="M11" s="469"/>
      <c r="N11" s="469"/>
      <c r="O11" s="616"/>
      <c r="P11" s="615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469"/>
      <c r="DH11" s="469"/>
      <c r="DI11" s="469"/>
      <c r="DJ11" s="469"/>
      <c r="DK11" s="469"/>
      <c r="DL11" s="469"/>
      <c r="DM11" s="469"/>
      <c r="DN11" s="469"/>
      <c r="DO11" s="469"/>
      <c r="DP11" s="469"/>
      <c r="DQ11" s="469"/>
      <c r="DR11" s="469"/>
      <c r="DS11" s="469"/>
      <c r="DT11" s="469"/>
      <c r="DU11" s="469"/>
      <c r="DV11" s="469"/>
      <c r="DW11" s="469"/>
      <c r="DX11" s="469"/>
      <c r="DY11" s="469"/>
      <c r="DZ11" s="469"/>
      <c r="EA11" s="469"/>
      <c r="EB11" s="469"/>
      <c r="EC11" s="469"/>
      <c r="ED11" s="469"/>
      <c r="EE11" s="469"/>
      <c r="EF11" s="469"/>
      <c r="EG11" s="469"/>
      <c r="EH11" s="469"/>
      <c r="EI11" s="469"/>
      <c r="EJ11" s="469"/>
      <c r="EK11" s="469"/>
      <c r="EL11" s="469"/>
      <c r="EM11" s="469"/>
      <c r="EN11" s="469"/>
      <c r="EO11" s="469"/>
      <c r="EP11" s="469"/>
      <c r="EQ11" s="469"/>
      <c r="ER11" s="469"/>
      <c r="ES11" s="469"/>
      <c r="ET11" s="469"/>
      <c r="EU11" s="469"/>
      <c r="EV11" s="469"/>
      <c r="EW11" s="469"/>
      <c r="EX11" s="469"/>
      <c r="EY11" s="469"/>
      <c r="EZ11" s="469"/>
      <c r="FA11" s="469"/>
      <c r="FB11" s="469"/>
      <c r="FC11" s="469"/>
      <c r="FD11" s="469"/>
      <c r="FE11" s="469"/>
      <c r="FF11" s="469"/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69"/>
      <c r="FX11" s="469"/>
      <c r="FY11" s="469"/>
      <c r="FZ11" s="469"/>
      <c r="GA11" s="469"/>
      <c r="GB11" s="469"/>
      <c r="GC11" s="469"/>
      <c r="GD11" s="469"/>
      <c r="GE11" s="469"/>
      <c r="GF11" s="469"/>
      <c r="GG11" s="469"/>
      <c r="GH11" s="469"/>
      <c r="GI11" s="469"/>
      <c r="GJ11" s="469"/>
      <c r="GK11" s="469"/>
      <c r="GL11" s="469"/>
      <c r="GM11" s="469"/>
      <c r="GN11" s="469"/>
      <c r="GO11" s="469"/>
      <c r="GP11" s="469"/>
      <c r="GQ11" s="469"/>
      <c r="GR11" s="469"/>
      <c r="GS11" s="469"/>
    </row>
    <row r="12" spans="1:201" s="468" customFormat="1" ht="12" customHeight="1">
      <c r="A12" s="498" t="s">
        <v>579</v>
      </c>
      <c r="B12" s="498"/>
      <c r="C12" s="498"/>
      <c r="D12" s="594">
        <f>$D$248+$H$248</f>
        <v>21282.629999999997</v>
      </c>
      <c r="E12" s="594">
        <f>$E$248+$I$248</f>
        <v>20641</v>
      </c>
      <c r="F12" s="627">
        <f t="shared" si="0"/>
        <v>-641.62999999999738</v>
      </c>
      <c r="G12" s="497"/>
      <c r="H12" s="506"/>
      <c r="I12" s="506"/>
      <c r="J12" s="506"/>
      <c r="K12" s="506"/>
      <c r="L12" s="506"/>
      <c r="M12" s="469"/>
      <c r="N12" s="469"/>
      <c r="O12" s="616"/>
      <c r="P12" s="615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469"/>
      <c r="BQ12" s="469"/>
      <c r="BR12" s="469"/>
      <c r="BS12" s="469"/>
      <c r="BT12" s="469"/>
      <c r="BU12" s="469"/>
      <c r="BV12" s="469"/>
      <c r="BW12" s="469"/>
      <c r="BX12" s="469"/>
      <c r="BY12" s="469"/>
      <c r="BZ12" s="469"/>
      <c r="CA12" s="469"/>
      <c r="CB12" s="469"/>
      <c r="CC12" s="469"/>
      <c r="CD12" s="469"/>
      <c r="CE12" s="469"/>
      <c r="CF12" s="469"/>
      <c r="CG12" s="469"/>
      <c r="CH12" s="469"/>
      <c r="CI12" s="469"/>
      <c r="CJ12" s="469"/>
      <c r="CK12" s="469"/>
      <c r="CL12" s="469"/>
      <c r="CM12" s="469"/>
      <c r="CN12" s="469"/>
      <c r="CO12" s="469"/>
      <c r="CP12" s="469"/>
      <c r="CQ12" s="469"/>
      <c r="CR12" s="469"/>
      <c r="CS12" s="469"/>
      <c r="CT12" s="469"/>
      <c r="CU12" s="469"/>
      <c r="CV12" s="469"/>
      <c r="CW12" s="469"/>
      <c r="CX12" s="469"/>
      <c r="CY12" s="469"/>
      <c r="CZ12" s="469"/>
      <c r="DA12" s="469"/>
      <c r="DB12" s="469"/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M12" s="469"/>
      <c r="EN12" s="469"/>
      <c r="EO12" s="469"/>
      <c r="EP12" s="469"/>
      <c r="EQ12" s="469"/>
      <c r="ER12" s="469"/>
      <c r="ES12" s="469"/>
      <c r="ET12" s="469"/>
      <c r="EU12" s="469"/>
      <c r="EV12" s="469"/>
      <c r="EW12" s="469"/>
      <c r="EX12" s="469"/>
      <c r="EY12" s="469"/>
      <c r="EZ12" s="469"/>
      <c r="FA12" s="469"/>
      <c r="FB12" s="469"/>
      <c r="FC12" s="469"/>
      <c r="FD12" s="469"/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69"/>
      <c r="FZ12" s="469"/>
      <c r="GA12" s="469"/>
      <c r="GB12" s="469"/>
      <c r="GC12" s="469"/>
      <c r="GD12" s="469"/>
      <c r="GE12" s="469"/>
      <c r="GF12" s="469"/>
      <c r="GG12" s="469"/>
      <c r="GH12" s="469"/>
      <c r="GI12" s="469"/>
      <c r="GJ12" s="469"/>
      <c r="GK12" s="469"/>
      <c r="GL12" s="469"/>
      <c r="GM12" s="469"/>
      <c r="GN12" s="469"/>
      <c r="GO12" s="469"/>
      <c r="GP12" s="469"/>
      <c r="GQ12" s="469"/>
      <c r="GR12" s="469"/>
      <c r="GS12" s="469"/>
    </row>
    <row r="13" spans="1:201" s="468" customFormat="1" ht="12" customHeight="1">
      <c r="A13" s="498" t="s">
        <v>577</v>
      </c>
      <c r="B13" s="498"/>
      <c r="C13" s="498"/>
      <c r="D13" s="594">
        <f>$D$267+$H$267</f>
        <v>19770.879999999997</v>
      </c>
      <c r="E13" s="594">
        <f>$E$267+$I$267</f>
        <v>20641</v>
      </c>
      <c r="F13" s="627">
        <f t="shared" si="0"/>
        <v>870.12000000000262</v>
      </c>
      <c r="G13" s="627"/>
      <c r="H13" s="493"/>
      <c r="I13" s="493"/>
      <c r="J13" s="493"/>
      <c r="K13" s="493"/>
      <c r="L13" s="493"/>
      <c r="M13" s="469"/>
      <c r="N13" s="469"/>
      <c r="O13" s="616"/>
      <c r="P13" s="615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69"/>
      <c r="AJ13" s="469"/>
      <c r="AK13" s="469"/>
      <c r="AL13" s="469"/>
      <c r="AM13" s="469"/>
      <c r="AN13" s="469"/>
      <c r="AO13" s="469"/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69"/>
      <c r="BB13" s="469"/>
      <c r="BC13" s="469"/>
      <c r="BD13" s="469"/>
      <c r="BE13" s="469"/>
      <c r="BF13" s="469"/>
      <c r="BG13" s="469"/>
      <c r="BH13" s="469"/>
      <c r="BI13" s="469"/>
      <c r="BJ13" s="469"/>
      <c r="BK13" s="469"/>
      <c r="BL13" s="469"/>
      <c r="BM13" s="469"/>
      <c r="BN13" s="469"/>
      <c r="BO13" s="469"/>
      <c r="BP13" s="469"/>
      <c r="BQ13" s="469"/>
      <c r="BR13" s="469"/>
      <c r="BS13" s="469"/>
      <c r="BT13" s="469"/>
      <c r="BU13" s="469"/>
      <c r="BV13" s="469"/>
      <c r="BW13" s="469"/>
      <c r="BX13" s="469"/>
      <c r="BY13" s="469"/>
      <c r="BZ13" s="469"/>
      <c r="CA13" s="469"/>
      <c r="CB13" s="469"/>
      <c r="CC13" s="469"/>
      <c r="CD13" s="469"/>
      <c r="CE13" s="469"/>
      <c r="CF13" s="469"/>
      <c r="CG13" s="469"/>
      <c r="CH13" s="469"/>
      <c r="CI13" s="469"/>
      <c r="CJ13" s="469"/>
      <c r="CK13" s="469"/>
      <c r="CL13" s="469"/>
      <c r="CM13" s="469"/>
      <c r="CN13" s="469"/>
      <c r="CO13" s="469"/>
      <c r="CP13" s="469"/>
      <c r="CQ13" s="469"/>
      <c r="CR13" s="469"/>
      <c r="CS13" s="469"/>
      <c r="CT13" s="469"/>
      <c r="CU13" s="469"/>
      <c r="CV13" s="469"/>
      <c r="CW13" s="469"/>
      <c r="CX13" s="469"/>
      <c r="CY13" s="469"/>
      <c r="CZ13" s="469"/>
      <c r="DA13" s="469"/>
      <c r="DB13" s="469"/>
      <c r="DC13" s="469"/>
      <c r="DD13" s="469"/>
      <c r="DE13" s="469"/>
      <c r="DF13" s="469"/>
      <c r="DG13" s="469"/>
      <c r="DH13" s="469"/>
      <c r="DI13" s="469"/>
      <c r="DJ13" s="469"/>
      <c r="DK13" s="469"/>
      <c r="DL13" s="469"/>
      <c r="DM13" s="469"/>
      <c r="DN13" s="469"/>
      <c r="DO13" s="469"/>
      <c r="DP13" s="469"/>
      <c r="DQ13" s="469"/>
      <c r="DR13" s="469"/>
      <c r="DS13" s="469"/>
      <c r="DT13" s="469"/>
      <c r="DU13" s="469"/>
      <c r="DV13" s="469"/>
      <c r="DW13" s="469"/>
      <c r="DX13" s="469"/>
      <c r="DY13" s="469"/>
      <c r="DZ13" s="469"/>
      <c r="EA13" s="469"/>
      <c r="EB13" s="469"/>
      <c r="EC13" s="469"/>
      <c r="ED13" s="469"/>
      <c r="EE13" s="469"/>
      <c r="EF13" s="469"/>
      <c r="EG13" s="469"/>
      <c r="EH13" s="469"/>
      <c r="EI13" s="469"/>
      <c r="EJ13" s="469"/>
      <c r="EK13" s="469"/>
      <c r="EL13" s="469"/>
      <c r="EM13" s="469"/>
      <c r="EN13" s="469"/>
      <c r="EO13" s="469"/>
      <c r="EP13" s="469"/>
      <c r="EQ13" s="469"/>
      <c r="ER13" s="469"/>
      <c r="ES13" s="469"/>
      <c r="ET13" s="469"/>
      <c r="EU13" s="469"/>
      <c r="EV13" s="469"/>
      <c r="EW13" s="469"/>
      <c r="EX13" s="469"/>
      <c r="EY13" s="469"/>
      <c r="EZ13" s="469"/>
      <c r="FA13" s="469"/>
      <c r="FB13" s="469"/>
      <c r="FC13" s="469"/>
      <c r="FD13" s="469"/>
      <c r="FE13" s="469"/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69"/>
      <c r="FY13" s="469"/>
      <c r="FZ13" s="469"/>
      <c r="GA13" s="469"/>
      <c r="GB13" s="469"/>
      <c r="GC13" s="469"/>
      <c r="GD13" s="469"/>
      <c r="GE13" s="469"/>
      <c r="GF13" s="469"/>
      <c r="GG13" s="469"/>
      <c r="GH13" s="469"/>
      <c r="GI13" s="469"/>
      <c r="GJ13" s="469"/>
      <c r="GK13" s="469"/>
      <c r="GL13" s="469"/>
      <c r="GM13" s="469"/>
      <c r="GN13" s="469"/>
      <c r="GO13" s="469"/>
      <c r="GP13" s="469"/>
      <c r="GQ13" s="469"/>
      <c r="GR13" s="469"/>
      <c r="GS13" s="469"/>
    </row>
    <row r="14" spans="1:201" s="521" customFormat="1" ht="12" customHeight="1">
      <c r="A14" s="626" t="s">
        <v>576</v>
      </c>
      <c r="B14" s="626"/>
      <c r="C14" s="626"/>
      <c r="D14" s="625">
        <f>$D$285+$H$285</f>
        <v>18754.469999999998</v>
      </c>
      <c r="E14" s="625">
        <f>$E$285+$I$285</f>
        <v>20641</v>
      </c>
      <c r="F14" s="624">
        <f t="shared" si="0"/>
        <v>1886.5300000000025</v>
      </c>
      <c r="G14" s="623">
        <f>$H$2-$D$285+$E$285</f>
        <v>1229.4699999999998</v>
      </c>
      <c r="H14" s="506"/>
      <c r="I14" s="506"/>
      <c r="J14" s="506"/>
      <c r="K14" s="506"/>
      <c r="L14" s="506"/>
      <c r="M14" s="522"/>
      <c r="N14" s="522"/>
      <c r="O14" s="616"/>
      <c r="P14" s="615"/>
      <c r="Q14" s="522"/>
      <c r="R14" s="522"/>
      <c r="S14" s="522"/>
      <c r="T14" s="522"/>
      <c r="U14" s="522"/>
      <c r="V14" s="522"/>
      <c r="W14" s="522"/>
      <c r="X14" s="522"/>
      <c r="Y14" s="522"/>
      <c r="Z14" s="522"/>
      <c r="AA14" s="522"/>
      <c r="AB14" s="522"/>
      <c r="AC14" s="522"/>
      <c r="AD14" s="522"/>
      <c r="AE14" s="522"/>
      <c r="AF14" s="522"/>
      <c r="AG14" s="522"/>
      <c r="AH14" s="522"/>
      <c r="AI14" s="522"/>
      <c r="AJ14" s="522"/>
      <c r="AK14" s="522"/>
      <c r="AL14" s="522"/>
      <c r="AM14" s="522"/>
      <c r="AN14" s="522"/>
      <c r="AO14" s="522"/>
      <c r="AP14" s="522"/>
      <c r="AQ14" s="522"/>
      <c r="AR14" s="522"/>
      <c r="AS14" s="522"/>
      <c r="AT14" s="522"/>
      <c r="AU14" s="522"/>
      <c r="AV14" s="522"/>
      <c r="AW14" s="522"/>
      <c r="AX14" s="522"/>
      <c r="AY14" s="522"/>
      <c r="AZ14" s="522"/>
      <c r="BA14" s="522"/>
      <c r="BB14" s="522"/>
      <c r="BC14" s="522"/>
      <c r="BD14" s="522"/>
      <c r="BE14" s="522"/>
      <c r="BF14" s="522"/>
      <c r="BG14" s="522"/>
      <c r="BH14" s="522"/>
      <c r="BI14" s="522"/>
      <c r="BJ14" s="522"/>
      <c r="BK14" s="522"/>
      <c r="BL14" s="522"/>
      <c r="BM14" s="522"/>
      <c r="BN14" s="522"/>
      <c r="BO14" s="522"/>
      <c r="BP14" s="522"/>
      <c r="BQ14" s="522"/>
      <c r="BR14" s="522"/>
      <c r="BS14" s="522"/>
      <c r="BT14" s="522"/>
      <c r="BU14" s="522"/>
      <c r="BV14" s="522"/>
      <c r="BW14" s="522"/>
      <c r="BX14" s="522"/>
      <c r="BY14" s="522"/>
      <c r="BZ14" s="522"/>
      <c r="CA14" s="522"/>
      <c r="CB14" s="522"/>
      <c r="CC14" s="522"/>
      <c r="CD14" s="522"/>
      <c r="CE14" s="522"/>
      <c r="CF14" s="522"/>
      <c r="CG14" s="522"/>
      <c r="CH14" s="522"/>
      <c r="CI14" s="522"/>
      <c r="CJ14" s="522"/>
      <c r="CK14" s="522"/>
      <c r="CL14" s="522"/>
      <c r="CM14" s="522"/>
      <c r="CN14" s="522"/>
      <c r="CO14" s="522"/>
      <c r="CP14" s="522"/>
      <c r="CQ14" s="522"/>
      <c r="CR14" s="522"/>
      <c r="CS14" s="522"/>
      <c r="CT14" s="522"/>
      <c r="CU14" s="522"/>
      <c r="CV14" s="522"/>
      <c r="CW14" s="522"/>
      <c r="CX14" s="522"/>
      <c r="CY14" s="522"/>
      <c r="CZ14" s="522"/>
      <c r="DA14" s="522"/>
      <c r="DB14" s="522"/>
      <c r="DC14" s="522"/>
      <c r="DD14" s="522"/>
      <c r="DE14" s="522"/>
      <c r="DF14" s="522"/>
      <c r="DG14" s="522"/>
      <c r="DH14" s="522"/>
      <c r="DI14" s="522"/>
      <c r="DJ14" s="522"/>
      <c r="DK14" s="522"/>
      <c r="DL14" s="522"/>
      <c r="DM14" s="522"/>
      <c r="DN14" s="522"/>
      <c r="DO14" s="522"/>
      <c r="DP14" s="522"/>
      <c r="DQ14" s="522"/>
      <c r="DR14" s="522"/>
      <c r="DS14" s="522"/>
      <c r="DT14" s="522"/>
      <c r="DU14" s="522"/>
      <c r="DV14" s="522"/>
      <c r="DW14" s="522"/>
      <c r="DX14" s="522"/>
      <c r="DY14" s="522"/>
      <c r="DZ14" s="522"/>
      <c r="EA14" s="522"/>
      <c r="EB14" s="522"/>
      <c r="EC14" s="522"/>
      <c r="ED14" s="522"/>
      <c r="EE14" s="522"/>
      <c r="EF14" s="522"/>
      <c r="EG14" s="522"/>
      <c r="EH14" s="522"/>
      <c r="EI14" s="522"/>
      <c r="EJ14" s="522"/>
      <c r="EK14" s="522"/>
      <c r="EL14" s="522"/>
      <c r="EM14" s="522"/>
      <c r="EN14" s="522"/>
      <c r="EO14" s="522"/>
      <c r="EP14" s="522"/>
      <c r="EQ14" s="522"/>
      <c r="ER14" s="522"/>
      <c r="ES14" s="522"/>
      <c r="ET14" s="522"/>
      <c r="EU14" s="522"/>
      <c r="EV14" s="522"/>
      <c r="EW14" s="522"/>
      <c r="EX14" s="522"/>
      <c r="EY14" s="522"/>
      <c r="EZ14" s="522"/>
      <c r="FA14" s="522"/>
      <c r="FB14" s="522"/>
      <c r="FC14" s="522"/>
      <c r="FD14" s="522"/>
      <c r="FE14" s="522"/>
      <c r="FF14" s="522"/>
      <c r="FG14" s="522"/>
      <c r="FH14" s="522"/>
      <c r="FI14" s="522"/>
      <c r="FJ14" s="522"/>
      <c r="FK14" s="522"/>
      <c r="FL14" s="522"/>
      <c r="FM14" s="522"/>
      <c r="FN14" s="522"/>
      <c r="FO14" s="522"/>
      <c r="FP14" s="522"/>
      <c r="FQ14" s="522"/>
      <c r="FR14" s="522"/>
      <c r="FS14" s="522"/>
      <c r="FT14" s="522"/>
      <c r="FU14" s="522"/>
      <c r="FV14" s="522"/>
      <c r="FW14" s="522"/>
      <c r="FX14" s="522"/>
      <c r="FY14" s="522"/>
      <c r="FZ14" s="522"/>
      <c r="GA14" s="522"/>
      <c r="GB14" s="522"/>
      <c r="GC14" s="522"/>
      <c r="GD14" s="522"/>
      <c r="GE14" s="522"/>
      <c r="GF14" s="522"/>
      <c r="GG14" s="522"/>
      <c r="GH14" s="522"/>
      <c r="GI14" s="522"/>
      <c r="GJ14" s="522"/>
      <c r="GK14" s="522"/>
      <c r="GL14" s="522"/>
      <c r="GM14" s="522"/>
      <c r="GN14" s="522"/>
      <c r="GO14" s="522"/>
      <c r="GP14" s="522"/>
      <c r="GQ14" s="522"/>
      <c r="GR14" s="522"/>
      <c r="GS14" s="522"/>
    </row>
    <row r="15" spans="1:201" s="447" customFormat="1" ht="12" customHeight="1">
      <c r="A15" s="622" t="s">
        <v>594</v>
      </c>
      <c r="B15" s="621"/>
      <c r="C15" s="620"/>
      <c r="D15" s="618">
        <f>SUM(D16:D41)</f>
        <v>0</v>
      </c>
      <c r="E15" s="618">
        <f>SUM(E16:E41)</f>
        <v>0</v>
      </c>
      <c r="F15" s="617"/>
      <c r="G15" s="619"/>
      <c r="H15" s="618" t="e">
        <f>SUM(H16:H41)</f>
        <v>#REF!</v>
      </c>
      <c r="I15" s="618">
        <f>SUM(I16:I41)</f>
        <v>21613.33</v>
      </c>
      <c r="J15" s="617"/>
      <c r="K15" s="617"/>
      <c r="L15" s="617"/>
      <c r="O15" s="616"/>
      <c r="P15" s="615"/>
    </row>
    <row r="16" spans="1:201" s="440" customFormat="1" ht="12" customHeight="1">
      <c r="A16" s="480">
        <v>42735</v>
      </c>
      <c r="B16" s="480" t="s">
        <v>189</v>
      </c>
      <c r="C16" s="465" t="s">
        <v>574</v>
      </c>
      <c r="D16" s="460"/>
      <c r="E16" s="464"/>
      <c r="F16" s="464"/>
      <c r="G16" s="479"/>
      <c r="H16" s="464"/>
      <c r="I16" s="596">
        <v>11298</v>
      </c>
      <c r="J16" s="464"/>
      <c r="K16" s="464"/>
      <c r="L16" s="464"/>
      <c r="O16" s="616"/>
      <c r="P16" s="615"/>
    </row>
    <row r="17" spans="1:19" s="440" customFormat="1" ht="12" customHeight="1">
      <c r="A17" s="480">
        <v>42735</v>
      </c>
      <c r="B17" s="480" t="s">
        <v>189</v>
      </c>
      <c r="C17" s="465" t="s">
        <v>573</v>
      </c>
      <c r="D17" s="460"/>
      <c r="E17" s="464"/>
      <c r="F17" s="464"/>
      <c r="G17" s="479"/>
      <c r="H17" s="464"/>
      <c r="I17" s="596">
        <v>7730</v>
      </c>
      <c r="J17" s="464"/>
      <c r="K17" s="464"/>
      <c r="L17" s="464"/>
      <c r="O17" s="616"/>
      <c r="P17" s="615"/>
    </row>
    <row r="18" spans="1:19" s="440" customFormat="1" ht="12" customHeight="1">
      <c r="A18" s="480">
        <v>42737</v>
      </c>
      <c r="B18" s="480" t="s">
        <v>189</v>
      </c>
      <c r="C18" s="465" t="s">
        <v>31</v>
      </c>
      <c r="D18" s="460"/>
      <c r="E18" s="464"/>
      <c r="F18" s="464"/>
      <c r="G18" s="479"/>
      <c r="H18" s="464"/>
      <c r="I18" s="464">
        <v>1131</v>
      </c>
      <c r="J18" s="464"/>
      <c r="K18" s="464"/>
      <c r="L18" s="464"/>
      <c r="O18" s="616"/>
      <c r="P18" s="615"/>
    </row>
    <row r="19" spans="1:19" s="440" customFormat="1" ht="12" customHeight="1">
      <c r="A19" s="480">
        <v>42736</v>
      </c>
      <c r="B19" s="480" t="s">
        <v>189</v>
      </c>
      <c r="C19" s="465" t="s">
        <v>22</v>
      </c>
      <c r="D19" s="460"/>
      <c r="E19" s="464"/>
      <c r="F19" s="464"/>
      <c r="G19" s="479"/>
      <c r="H19" s="464">
        <v>125</v>
      </c>
      <c r="I19" s="464"/>
      <c r="J19" s="464"/>
      <c r="K19" s="464"/>
      <c r="L19" s="464"/>
      <c r="O19" s="616"/>
      <c r="P19" s="615"/>
    </row>
    <row r="20" spans="1:19" s="440" customFormat="1" ht="12" customHeight="1">
      <c r="A20" s="480">
        <v>42736</v>
      </c>
      <c r="B20" s="480" t="s">
        <v>189</v>
      </c>
      <c r="C20" s="465" t="s">
        <v>21</v>
      </c>
      <c r="D20" s="460"/>
      <c r="E20" s="464"/>
      <c r="F20" s="464"/>
      <c r="G20" s="479"/>
      <c r="H20" s="464">
        <v>0</v>
      </c>
      <c r="I20" s="464"/>
      <c r="J20" s="464"/>
      <c r="K20" s="464"/>
      <c r="L20" s="464"/>
      <c r="O20" s="616"/>
      <c r="P20" s="615"/>
    </row>
    <row r="21" spans="1:19" s="440" customFormat="1" ht="12" customHeight="1">
      <c r="A21" s="480">
        <v>42736</v>
      </c>
      <c r="B21" s="480" t="s">
        <v>189</v>
      </c>
      <c r="C21" s="465" t="s">
        <v>230</v>
      </c>
      <c r="D21" s="460"/>
      <c r="E21" s="464"/>
      <c r="F21" s="464"/>
      <c r="G21" s="479"/>
      <c r="H21" s="464">
        <v>199</v>
      </c>
      <c r="I21" s="464"/>
      <c r="J21" s="464"/>
      <c r="K21" s="464"/>
      <c r="L21" s="464"/>
      <c r="O21" s="616"/>
      <c r="P21" s="615"/>
    </row>
    <row r="22" spans="1:19" s="440" customFormat="1" ht="12" customHeight="1">
      <c r="A22" s="480">
        <v>42737</v>
      </c>
      <c r="B22" s="480" t="s">
        <v>189</v>
      </c>
      <c r="C22" s="465" t="s">
        <v>30</v>
      </c>
      <c r="D22" s="460"/>
      <c r="E22" s="464"/>
      <c r="F22" s="464"/>
      <c r="G22" s="479"/>
      <c r="H22" s="464"/>
      <c r="I22" s="464"/>
      <c r="J22" s="464"/>
      <c r="K22" s="464"/>
      <c r="L22" s="464"/>
      <c r="O22" s="616"/>
      <c r="P22" s="615"/>
    </row>
    <row r="23" spans="1:19" s="440" customFormat="1" ht="12" customHeight="1">
      <c r="A23" s="480">
        <v>42737</v>
      </c>
      <c r="B23" s="480" t="s">
        <v>572</v>
      </c>
      <c r="C23" s="465" t="s">
        <v>265</v>
      </c>
      <c r="D23" s="467"/>
      <c r="E23" s="464"/>
      <c r="F23" s="464"/>
      <c r="G23" s="479"/>
      <c r="H23" s="464">
        <v>602.42999999999995</v>
      </c>
      <c r="I23" s="464"/>
      <c r="J23" s="464"/>
      <c r="K23" s="464"/>
      <c r="L23" s="464"/>
      <c r="O23" s="616"/>
      <c r="P23" s="615"/>
    </row>
    <row r="24" spans="1:19" s="440" customFormat="1" ht="12" customHeight="1">
      <c r="A24" s="480">
        <v>42737</v>
      </c>
      <c r="B24" s="480" t="s">
        <v>572</v>
      </c>
      <c r="C24" s="465" t="s">
        <v>264</v>
      </c>
      <c r="D24" s="467"/>
      <c r="E24" s="464"/>
      <c r="F24" s="464"/>
      <c r="G24" s="479"/>
      <c r="H24" s="464">
        <v>523</v>
      </c>
      <c r="I24" s="464"/>
      <c r="J24" s="464"/>
      <c r="K24" s="464"/>
      <c r="L24" s="464"/>
      <c r="O24" s="616"/>
      <c r="P24" s="615"/>
    </row>
    <row r="25" spans="1:19" s="440" customFormat="1" ht="12" customHeight="1">
      <c r="A25" s="480">
        <v>42737</v>
      </c>
      <c r="B25" s="480" t="s">
        <v>572</v>
      </c>
      <c r="C25" s="465" t="s">
        <v>182</v>
      </c>
      <c r="D25" s="467"/>
      <c r="E25" s="464"/>
      <c r="F25" s="464"/>
      <c r="G25" s="479"/>
      <c r="H25" s="464">
        <v>279</v>
      </c>
      <c r="I25" s="464"/>
      <c r="J25" s="464"/>
      <c r="K25" s="464"/>
      <c r="L25" s="464"/>
      <c r="N25" s="440" t="s">
        <v>591</v>
      </c>
      <c r="O25" s="614"/>
      <c r="P25" s="613"/>
    </row>
    <row r="26" spans="1:19" s="440" customFormat="1" ht="12" customHeight="1">
      <c r="A26" s="480">
        <v>42737</v>
      </c>
      <c r="B26" s="480" t="s">
        <v>572</v>
      </c>
      <c r="C26" s="465" t="s">
        <v>472</v>
      </c>
      <c r="D26" s="467"/>
      <c r="E26" s="464"/>
      <c r="F26" s="464"/>
      <c r="G26" s="479"/>
      <c r="H26" s="464">
        <v>450</v>
      </c>
      <c r="I26" s="464"/>
      <c r="J26" s="464"/>
      <c r="K26" s="464"/>
      <c r="L26" s="464"/>
      <c r="O26" s="593"/>
      <c r="P26" s="593"/>
    </row>
    <row r="27" spans="1:19" s="440" customFormat="1" ht="12" customHeight="1">
      <c r="A27" s="480">
        <v>42737</v>
      </c>
      <c r="B27" s="480" t="s">
        <v>572</v>
      </c>
      <c r="C27" s="465" t="s">
        <v>183</v>
      </c>
      <c r="D27" s="467"/>
      <c r="E27" s="464"/>
      <c r="F27" s="464"/>
      <c r="G27" s="479"/>
      <c r="H27" s="464">
        <v>438.75</v>
      </c>
      <c r="I27" s="464"/>
      <c r="J27" s="464"/>
      <c r="K27" s="464"/>
      <c r="L27" s="464"/>
      <c r="O27" s="593"/>
      <c r="P27" s="593"/>
    </row>
    <row r="28" spans="1:19" s="440" customFormat="1" ht="12" customHeight="1">
      <c r="A28" s="480">
        <v>42734</v>
      </c>
      <c r="B28" s="480" t="s">
        <v>189</v>
      </c>
      <c r="C28" s="465" t="s">
        <v>186</v>
      </c>
      <c r="D28" s="467"/>
      <c r="E28" s="464"/>
      <c r="F28" s="464"/>
      <c r="G28" s="479"/>
      <c r="H28" s="464">
        <v>202.53</v>
      </c>
      <c r="I28" s="464"/>
      <c r="J28" s="464"/>
      <c r="K28" s="464"/>
      <c r="L28" s="464"/>
      <c r="O28" s="593"/>
      <c r="P28" s="593"/>
    </row>
    <row r="29" spans="1:19" s="440" customFormat="1" ht="12" customHeight="1">
      <c r="A29" s="480">
        <v>42737</v>
      </c>
      <c r="B29" s="480" t="s">
        <v>572</v>
      </c>
      <c r="C29" s="465" t="s">
        <v>214</v>
      </c>
      <c r="D29" s="467"/>
      <c r="E29" s="464"/>
      <c r="F29" s="464"/>
      <c r="G29" s="479"/>
      <c r="H29" s="464">
        <v>120</v>
      </c>
      <c r="I29" s="464"/>
      <c r="J29" s="464"/>
      <c r="K29" s="464"/>
      <c r="L29" s="464"/>
      <c r="O29" s="593"/>
      <c r="P29" s="593"/>
    </row>
    <row r="30" spans="1:19" s="440" customFormat="1" ht="12" customHeight="1">
      <c r="A30" s="480">
        <v>42737</v>
      </c>
      <c r="B30" s="480" t="s">
        <v>572</v>
      </c>
      <c r="C30" s="465" t="s">
        <v>125</v>
      </c>
      <c r="D30" s="467"/>
      <c r="E30" s="464"/>
      <c r="F30" s="464"/>
      <c r="G30" s="479"/>
      <c r="H30" s="464">
        <v>328</v>
      </c>
      <c r="I30" s="464"/>
      <c r="J30" s="464"/>
      <c r="K30" s="464"/>
      <c r="L30" s="464"/>
      <c r="O30" s="593"/>
      <c r="P30" s="593"/>
    </row>
    <row r="31" spans="1:19" s="440" customFormat="1" ht="12" customHeight="1">
      <c r="A31" s="480">
        <v>42737</v>
      </c>
      <c r="B31" s="480" t="s">
        <v>572</v>
      </c>
      <c r="C31" s="465" t="s">
        <v>617</v>
      </c>
      <c r="D31" s="467"/>
      <c r="E31" s="464"/>
      <c r="F31" s="596" t="e">
        <f>#REF!</f>
        <v>#REF!</v>
      </c>
      <c r="G31" s="595" t="e">
        <f>#REF!</f>
        <v>#REF!</v>
      </c>
      <c r="H31" s="596" t="e">
        <f>F31+G31+5.5</f>
        <v>#REF!</v>
      </c>
      <c r="I31" s="464"/>
      <c r="J31" s="464"/>
      <c r="K31" s="464"/>
      <c r="L31" s="464"/>
      <c r="O31" s="612">
        <f>COUNT(D3:D11)</f>
        <v>8</v>
      </c>
      <c r="P31" s="611" t="s">
        <v>621</v>
      </c>
      <c r="Q31" s="597"/>
      <c r="R31" s="447"/>
      <c r="S31" s="447"/>
    </row>
    <row r="32" spans="1:19" s="440" customFormat="1" ht="12" customHeight="1">
      <c r="A32" s="480">
        <v>42737</v>
      </c>
      <c r="B32" s="480" t="s">
        <v>572</v>
      </c>
      <c r="C32" s="465" t="s">
        <v>56</v>
      </c>
      <c r="D32" s="460"/>
      <c r="E32" s="464"/>
      <c r="F32" s="464"/>
      <c r="G32" s="479"/>
      <c r="H32" s="464">
        <v>273.45</v>
      </c>
      <c r="I32" s="464"/>
      <c r="J32" s="464"/>
      <c r="K32" s="464"/>
      <c r="L32" s="464"/>
      <c r="O32" s="593"/>
      <c r="P32" s="593"/>
    </row>
    <row r="33" spans="1:16" s="440" customFormat="1" ht="12" customHeight="1">
      <c r="A33" s="480">
        <v>42737</v>
      </c>
      <c r="B33" s="480" t="s">
        <v>572</v>
      </c>
      <c r="C33" s="465" t="s">
        <v>481</v>
      </c>
      <c r="D33" s="467"/>
      <c r="E33" s="464"/>
      <c r="F33" s="464"/>
      <c r="G33" s="479"/>
      <c r="H33" s="464">
        <v>149.77000000000001</v>
      </c>
      <c r="I33" s="464"/>
      <c r="J33" s="464"/>
      <c r="K33" s="464"/>
      <c r="L33" s="464"/>
      <c r="O33" s="593"/>
      <c r="P33" s="593"/>
    </row>
    <row r="34" spans="1:16" s="440" customFormat="1" ht="12" customHeight="1">
      <c r="A34" s="480">
        <v>42737</v>
      </c>
      <c r="B34" s="480" t="s">
        <v>572</v>
      </c>
      <c r="C34" s="465" t="s">
        <v>481</v>
      </c>
      <c r="D34" s="467"/>
      <c r="E34" s="464"/>
      <c r="F34" s="464"/>
      <c r="G34" s="479"/>
      <c r="H34" s="464">
        <v>46.3</v>
      </c>
      <c r="I34" s="464"/>
      <c r="J34" s="464"/>
      <c r="K34" s="464"/>
      <c r="L34" s="464"/>
      <c r="O34" s="593"/>
      <c r="P34" s="593"/>
    </row>
    <row r="35" spans="1:16" s="440" customFormat="1" ht="12" customHeight="1">
      <c r="A35" s="480">
        <v>42738</v>
      </c>
      <c r="B35" s="480" t="s">
        <v>572</v>
      </c>
      <c r="C35" s="465" t="s">
        <v>125</v>
      </c>
      <c r="D35" s="467"/>
      <c r="E35" s="464"/>
      <c r="F35" s="464"/>
      <c r="G35" s="479"/>
      <c r="H35" s="464"/>
      <c r="I35" s="464">
        <v>1080</v>
      </c>
      <c r="J35" s="464"/>
      <c r="K35" s="464"/>
      <c r="L35" s="464"/>
      <c r="O35" s="593"/>
      <c r="P35" s="593"/>
    </row>
    <row r="36" spans="1:16" s="440" customFormat="1" ht="12" customHeight="1">
      <c r="A36" s="480">
        <v>42750</v>
      </c>
      <c r="B36" s="480"/>
      <c r="C36" s="465" t="s">
        <v>619</v>
      </c>
      <c r="D36" s="467"/>
      <c r="E36" s="464"/>
      <c r="F36" s="464"/>
      <c r="G36" s="479"/>
      <c r="H36" s="464"/>
      <c r="I36" s="464">
        <v>374.33</v>
      </c>
      <c r="J36" s="464"/>
      <c r="K36" s="464"/>
      <c r="L36" s="464"/>
      <c r="O36" s="593"/>
      <c r="P36" s="593"/>
    </row>
    <row r="37" spans="1:16" s="440" customFormat="1" ht="12" customHeight="1">
      <c r="A37" s="480">
        <v>42766</v>
      </c>
      <c r="B37" s="480"/>
      <c r="C37" s="465" t="s">
        <v>15</v>
      </c>
      <c r="D37" s="466"/>
      <c r="E37" s="464"/>
      <c r="F37" s="464"/>
      <c r="G37" s="479"/>
      <c r="H37" s="594">
        <f>hush17!$I$4</f>
        <v>3309.68</v>
      </c>
      <c r="I37" s="464"/>
      <c r="J37" s="464"/>
      <c r="K37" s="464"/>
      <c r="L37" s="596">
        <f>hush17!$I$2/MONTH(A37)</f>
        <v>30620.38</v>
      </c>
      <c r="O37" s="593"/>
      <c r="P37" s="593"/>
    </row>
    <row r="38" spans="1:16" s="440" customFormat="1" ht="12" customHeight="1">
      <c r="A38" s="480">
        <v>42766</v>
      </c>
      <c r="B38" s="480"/>
      <c r="C38" s="465" t="s">
        <v>384</v>
      </c>
      <c r="D38" s="466"/>
      <c r="E38" s="464"/>
      <c r="F38" s="464"/>
      <c r="G38" s="479"/>
      <c r="H38" s="594">
        <f>hush17!$F$4</f>
        <v>441.29</v>
      </c>
      <c r="I38" s="464"/>
      <c r="J38" s="464"/>
      <c r="K38" s="464"/>
      <c r="L38" s="596">
        <f>hush17!$F$2/MONTH(A38)</f>
        <v>3456.4400000000005</v>
      </c>
      <c r="O38" s="593"/>
      <c r="P38" s="593"/>
    </row>
    <row r="39" spans="1:16" s="440" customFormat="1" ht="12" customHeight="1">
      <c r="A39" s="480">
        <v>42766</v>
      </c>
      <c r="B39" s="480"/>
      <c r="C39" s="465" t="s">
        <v>14</v>
      </c>
      <c r="D39" s="466"/>
      <c r="E39" s="464"/>
      <c r="F39" s="464"/>
      <c r="G39" s="479"/>
      <c r="H39" s="594">
        <f>hush17!$E$4</f>
        <v>308</v>
      </c>
      <c r="I39" s="478"/>
      <c r="J39" s="478"/>
      <c r="K39" s="464"/>
      <c r="L39" s="596">
        <f>hush17!$E$2/MONTH(A39)</f>
        <v>3246.5</v>
      </c>
      <c r="O39" s="593"/>
      <c r="P39" s="593"/>
    </row>
    <row r="40" spans="1:16" s="440" customFormat="1" ht="12" customHeight="1">
      <c r="A40" s="480">
        <v>42766</v>
      </c>
      <c r="B40" s="480"/>
      <c r="C40" s="465" t="s">
        <v>615</v>
      </c>
      <c r="D40" s="467"/>
      <c r="E40" s="464"/>
      <c r="F40" s="464"/>
      <c r="G40" s="479"/>
      <c r="H40" s="467">
        <v>90</v>
      </c>
      <c r="I40" s="464"/>
      <c r="J40" s="464"/>
      <c r="K40" s="464"/>
      <c r="L40" s="464"/>
      <c r="O40" s="593"/>
      <c r="P40" s="593"/>
    </row>
    <row r="41" spans="1:16" s="440" customFormat="1" ht="12" customHeight="1">
      <c r="A41" s="477">
        <v>42766</v>
      </c>
      <c r="B41" s="477"/>
      <c r="C41" s="462" t="s">
        <v>37</v>
      </c>
      <c r="D41" s="610"/>
      <c r="E41" s="461"/>
      <c r="F41" s="461"/>
      <c r="G41" s="476"/>
      <c r="H41" s="609">
        <f>'div17'!D2</f>
        <v>10228.020000000004</v>
      </c>
      <c r="I41" s="461"/>
      <c r="J41" s="461"/>
      <c r="K41" s="461"/>
      <c r="L41" s="461"/>
      <c r="O41" s="608"/>
      <c r="P41" s="608"/>
    </row>
    <row r="42" spans="1:16" s="447" customFormat="1" ht="12" customHeight="1">
      <c r="A42" s="601" t="s">
        <v>593</v>
      </c>
      <c r="B42" s="601"/>
      <c r="C42" s="600"/>
      <c r="D42" s="585">
        <f>SUM(D43:D66)</f>
        <v>0</v>
      </c>
      <c r="E42" s="585">
        <f>SUM(E43:E66)</f>
        <v>0</v>
      </c>
      <c r="F42" s="482"/>
      <c r="G42" s="599"/>
      <c r="H42" s="585">
        <f>SUM(H43:H66)</f>
        <v>34409.449999999997</v>
      </c>
      <c r="I42" s="482">
        <f>SUM(I43:I66)</f>
        <v>31123</v>
      </c>
      <c r="J42" s="482"/>
      <c r="K42" s="482"/>
      <c r="L42" s="482"/>
      <c r="N42" s="447">
        <f>MONTH(A65)</f>
        <v>2</v>
      </c>
      <c r="O42" s="597"/>
      <c r="P42" s="597"/>
    </row>
    <row r="43" spans="1:16" s="440" customFormat="1" ht="12" customHeight="1">
      <c r="A43" s="480">
        <v>42766</v>
      </c>
      <c r="B43" s="480" t="s">
        <v>189</v>
      </c>
      <c r="C43" s="465" t="s">
        <v>574</v>
      </c>
      <c r="D43" s="460"/>
      <c r="E43" s="464"/>
      <c r="F43" s="464"/>
      <c r="G43" s="479"/>
      <c r="H43" s="464"/>
      <c r="I43" s="464">
        <v>11560</v>
      </c>
      <c r="J43" s="464"/>
      <c r="K43" s="464"/>
      <c r="L43" s="464"/>
      <c r="O43" s="593"/>
      <c r="P43" s="593"/>
    </row>
    <row r="44" spans="1:16" s="440" customFormat="1" ht="12" customHeight="1">
      <c r="A44" s="480">
        <v>42766</v>
      </c>
      <c r="B44" s="480" t="s">
        <v>189</v>
      </c>
      <c r="C44" s="465" t="s">
        <v>573</v>
      </c>
      <c r="D44" s="460"/>
      <c r="E44" s="464"/>
      <c r="F44" s="464"/>
      <c r="G44" s="479"/>
      <c r="H44" s="464"/>
      <c r="I44" s="464">
        <f>18228+204</f>
        <v>18432</v>
      </c>
      <c r="J44" s="464"/>
      <c r="K44" s="464"/>
      <c r="L44" s="464"/>
      <c r="O44" s="593"/>
      <c r="P44" s="593"/>
    </row>
    <row r="45" spans="1:16" s="440" customFormat="1" ht="12" customHeight="1">
      <c r="A45" s="480">
        <v>42767</v>
      </c>
      <c r="B45" s="480" t="s">
        <v>189</v>
      </c>
      <c r="C45" s="465" t="s">
        <v>31</v>
      </c>
      <c r="D45" s="467"/>
      <c r="E45" s="464"/>
      <c r="F45" s="464"/>
      <c r="G45" s="479"/>
      <c r="H45" s="464"/>
      <c r="I45" s="464">
        <v>1131</v>
      </c>
      <c r="J45" s="464"/>
      <c r="K45" s="464"/>
      <c r="L45" s="464"/>
      <c r="O45" s="593"/>
      <c r="P45" s="593"/>
    </row>
    <row r="46" spans="1:16" s="440" customFormat="1" ht="12" customHeight="1">
      <c r="A46" s="480">
        <v>42767</v>
      </c>
      <c r="B46" s="480" t="s">
        <v>189</v>
      </c>
      <c r="C46" s="465" t="s">
        <v>30</v>
      </c>
      <c r="D46" s="467"/>
      <c r="E46" s="464"/>
      <c r="F46" s="464"/>
      <c r="G46" s="479"/>
      <c r="H46" s="464">
        <f>7474*2</f>
        <v>14948</v>
      </c>
      <c r="I46" s="464"/>
      <c r="J46" s="464"/>
      <c r="K46" s="464"/>
      <c r="L46" s="464"/>
      <c r="O46" s="593"/>
      <c r="P46" s="593"/>
    </row>
    <row r="47" spans="1:16" s="440" customFormat="1" ht="12" customHeight="1">
      <c r="A47" s="480">
        <v>42767</v>
      </c>
      <c r="B47" s="480" t="s">
        <v>572</v>
      </c>
      <c r="C47" s="465" t="s">
        <v>265</v>
      </c>
      <c r="D47" s="460"/>
      <c r="E47" s="464"/>
      <c r="F47" s="464"/>
      <c r="G47" s="479"/>
      <c r="H47" s="464">
        <v>602.42999999999995</v>
      </c>
      <c r="I47" s="464"/>
      <c r="J47" s="464"/>
      <c r="K47" s="464"/>
      <c r="L47" s="464"/>
      <c r="O47" s="593"/>
      <c r="P47" s="593"/>
    </row>
    <row r="48" spans="1:16" s="440" customFormat="1" ht="12" customHeight="1">
      <c r="A48" s="480">
        <v>42767</v>
      </c>
      <c r="B48" s="480" t="s">
        <v>572</v>
      </c>
      <c r="C48" s="465" t="s">
        <v>264</v>
      </c>
      <c r="D48" s="460"/>
      <c r="E48" s="464"/>
      <c r="F48" s="464"/>
      <c r="G48" s="479"/>
      <c r="H48" s="464">
        <v>523</v>
      </c>
      <c r="I48" s="464"/>
      <c r="J48" s="464"/>
      <c r="K48" s="464"/>
      <c r="L48" s="464"/>
      <c r="O48" s="593"/>
      <c r="P48" s="593"/>
    </row>
    <row r="49" spans="1:16" s="440" customFormat="1" ht="12" customHeight="1">
      <c r="A49" s="480">
        <v>42767</v>
      </c>
      <c r="B49" s="480" t="s">
        <v>572</v>
      </c>
      <c r="C49" s="465" t="s">
        <v>182</v>
      </c>
      <c r="D49" s="460"/>
      <c r="E49" s="464"/>
      <c r="F49" s="464"/>
      <c r="G49" s="479"/>
      <c r="H49" s="464">
        <v>279</v>
      </c>
      <c r="I49" s="464"/>
      <c r="J49" s="464"/>
      <c r="K49" s="464"/>
      <c r="L49" s="464"/>
      <c r="O49" s="593"/>
      <c r="P49" s="593"/>
    </row>
    <row r="50" spans="1:16" s="440" customFormat="1" ht="12" customHeight="1">
      <c r="A50" s="480">
        <v>42767</v>
      </c>
      <c r="B50" s="480" t="s">
        <v>572</v>
      </c>
      <c r="C50" s="465" t="s">
        <v>472</v>
      </c>
      <c r="D50" s="460"/>
      <c r="E50" s="464"/>
      <c r="F50" s="464"/>
      <c r="G50" s="479"/>
      <c r="H50" s="464">
        <v>450</v>
      </c>
      <c r="I50" s="464"/>
      <c r="J50" s="464"/>
      <c r="K50" s="464"/>
      <c r="L50" s="464"/>
      <c r="O50" s="593"/>
      <c r="P50" s="593"/>
    </row>
    <row r="51" spans="1:16" s="440" customFormat="1" ht="12" customHeight="1">
      <c r="A51" s="480">
        <v>42767</v>
      </c>
      <c r="B51" s="480" t="s">
        <v>572</v>
      </c>
      <c r="C51" s="465" t="s">
        <v>183</v>
      </c>
      <c r="D51" s="467"/>
      <c r="E51" s="464"/>
      <c r="F51" s="464"/>
      <c r="G51" s="479"/>
      <c r="H51" s="464">
        <v>438.75</v>
      </c>
      <c r="I51" s="464"/>
      <c r="J51" s="464"/>
      <c r="K51" s="464"/>
      <c r="L51" s="464"/>
      <c r="O51" s="593"/>
      <c r="P51" s="593"/>
    </row>
    <row r="52" spans="1:16" s="440" customFormat="1" ht="12" customHeight="1">
      <c r="A52" s="480">
        <v>42767</v>
      </c>
      <c r="B52" s="480" t="s">
        <v>572</v>
      </c>
      <c r="C52" s="465" t="s">
        <v>186</v>
      </c>
      <c r="D52" s="467"/>
      <c r="E52" s="464"/>
      <c r="F52" s="464"/>
      <c r="G52" s="479"/>
      <c r="H52" s="464">
        <v>200</v>
      </c>
      <c r="I52" s="464"/>
      <c r="J52" s="464"/>
      <c r="K52" s="464"/>
      <c r="L52" s="464"/>
      <c r="O52" s="593"/>
      <c r="P52" s="593"/>
    </row>
    <row r="53" spans="1:16" s="440" customFormat="1" ht="12" customHeight="1">
      <c r="A53" s="480">
        <v>42767</v>
      </c>
      <c r="B53" s="480" t="s">
        <v>572</v>
      </c>
      <c r="C53" s="465" t="s">
        <v>214</v>
      </c>
      <c r="D53" s="467"/>
      <c r="E53" s="464"/>
      <c r="F53" s="464"/>
      <c r="G53" s="479"/>
      <c r="H53" s="464">
        <v>120</v>
      </c>
      <c r="I53" s="464"/>
      <c r="J53" s="464"/>
      <c r="K53" s="464"/>
      <c r="L53" s="464"/>
      <c r="O53" s="593"/>
      <c r="P53" s="593"/>
    </row>
    <row r="54" spans="1:16" s="440" customFormat="1" ht="12" customHeight="1">
      <c r="A54" s="480">
        <v>42767</v>
      </c>
      <c r="B54" s="480" t="s">
        <v>572</v>
      </c>
      <c r="C54" s="465" t="s">
        <v>125</v>
      </c>
      <c r="D54" s="467"/>
      <c r="E54" s="464"/>
      <c r="F54" s="464"/>
      <c r="G54" s="479"/>
      <c r="H54" s="464">
        <v>328</v>
      </c>
      <c r="I54" s="464"/>
      <c r="J54" s="464"/>
      <c r="K54" s="464"/>
      <c r="L54" s="464"/>
      <c r="O54" s="593"/>
      <c r="P54" s="593"/>
    </row>
    <row r="55" spans="1:16" s="440" customFormat="1" ht="12" customHeight="1">
      <c r="A55" s="480">
        <v>42767</v>
      </c>
      <c r="B55" s="480" t="s">
        <v>572</v>
      </c>
      <c r="C55" s="465" t="s">
        <v>617</v>
      </c>
      <c r="D55" s="467"/>
      <c r="E55" s="464"/>
      <c r="F55" s="464">
        <v>1362.97</v>
      </c>
      <c r="G55" s="479">
        <v>1540.71</v>
      </c>
      <c r="H55" s="464">
        <v>2909.18</v>
      </c>
      <c r="I55" s="464"/>
      <c r="J55" s="464"/>
      <c r="K55" s="464"/>
      <c r="L55" s="464"/>
      <c r="O55" s="593"/>
      <c r="P55" s="593"/>
    </row>
    <row r="56" spans="1:16" s="440" customFormat="1" ht="12" customHeight="1">
      <c r="A56" s="480">
        <v>42768</v>
      </c>
      <c r="B56" s="480" t="s">
        <v>572</v>
      </c>
      <c r="C56" s="465" t="s">
        <v>481</v>
      </c>
      <c r="D56" s="467"/>
      <c r="E56" s="464"/>
      <c r="F56" s="464"/>
      <c r="G56" s="479"/>
      <c r="H56" s="464">
        <v>138.22999999999999</v>
      </c>
      <c r="I56" s="464"/>
      <c r="J56" s="464"/>
      <c r="K56" s="464"/>
      <c r="L56" s="464"/>
      <c r="O56" s="593"/>
      <c r="P56" s="593"/>
    </row>
    <row r="57" spans="1:16" s="440" customFormat="1" ht="12" customHeight="1">
      <c r="A57" s="480">
        <v>42768</v>
      </c>
      <c r="B57" s="480" t="s">
        <v>572</v>
      </c>
      <c r="C57" s="465" t="s">
        <v>481</v>
      </c>
      <c r="D57" s="467"/>
      <c r="E57" s="464"/>
      <c r="F57" s="464"/>
      <c r="G57" s="479"/>
      <c r="H57" s="464">
        <v>43.41</v>
      </c>
      <c r="I57" s="464"/>
      <c r="J57" s="464"/>
      <c r="K57" s="464"/>
      <c r="L57" s="464"/>
      <c r="O57" s="593"/>
      <c r="P57" s="593"/>
    </row>
    <row r="58" spans="1:16" s="440" customFormat="1" ht="12" customHeight="1">
      <c r="A58" s="480">
        <v>42776</v>
      </c>
      <c r="B58" s="480" t="s">
        <v>189</v>
      </c>
      <c r="C58" s="465" t="s">
        <v>144</v>
      </c>
      <c r="D58" s="467"/>
      <c r="E58" s="464"/>
      <c r="F58" s="464"/>
      <c r="G58" s="479"/>
      <c r="H58" s="464">
        <v>842.92</v>
      </c>
      <c r="I58" s="464"/>
      <c r="J58" s="464"/>
      <c r="K58" s="464"/>
      <c r="L58" s="464"/>
      <c r="O58" s="593"/>
      <c r="P58" s="593"/>
    </row>
    <row r="59" spans="1:16" s="440" customFormat="1" ht="12" customHeight="1">
      <c r="A59" s="480">
        <v>42779</v>
      </c>
      <c r="B59" s="480" t="s">
        <v>572</v>
      </c>
      <c r="C59" s="465" t="s">
        <v>620</v>
      </c>
      <c r="E59" s="464"/>
      <c r="F59" s="464"/>
      <c r="G59" s="479"/>
      <c r="H59" s="464">
        <v>1683.35</v>
      </c>
      <c r="I59" s="464"/>
      <c r="J59" s="464"/>
      <c r="K59" s="464"/>
      <c r="L59" s="464"/>
      <c r="O59" s="593"/>
      <c r="P59" s="593"/>
    </row>
    <row r="60" spans="1:16" s="440" customFormat="1" ht="12" customHeight="1">
      <c r="A60" s="480">
        <v>42794</v>
      </c>
      <c r="B60" s="480"/>
      <c r="C60" s="465" t="s">
        <v>15</v>
      </c>
      <c r="D60" s="466"/>
      <c r="E60" s="464"/>
      <c r="F60" s="464"/>
      <c r="G60" s="479"/>
      <c r="H60" s="594">
        <f>hush17!$I$5</f>
        <v>1537.8000000000002</v>
      </c>
      <c r="I60" s="464"/>
      <c r="J60" s="464"/>
      <c r="K60" s="464"/>
      <c r="L60" s="596">
        <f>hush17!$I$2/MONTH(A60)</f>
        <v>15310.19</v>
      </c>
      <c r="O60" s="593"/>
      <c r="P60" s="593"/>
    </row>
    <row r="61" spans="1:16" s="440" customFormat="1" ht="12" customHeight="1">
      <c r="A61" s="480">
        <v>42794</v>
      </c>
      <c r="B61" s="480"/>
      <c r="C61" s="465" t="s">
        <v>384</v>
      </c>
      <c r="D61" s="466"/>
      <c r="E61" s="464"/>
      <c r="F61" s="464"/>
      <c r="G61" s="479"/>
      <c r="H61" s="594">
        <f>hush17!$F$5</f>
        <v>171.60000000000002</v>
      </c>
      <c r="I61" s="464"/>
      <c r="J61" s="464"/>
      <c r="K61" s="464"/>
      <c r="L61" s="596">
        <f>hush17!$F$2/MONTH(A61)</f>
        <v>1728.2200000000003</v>
      </c>
      <c r="O61" s="593"/>
      <c r="P61" s="593"/>
    </row>
    <row r="62" spans="1:16" s="440" customFormat="1" ht="12" customHeight="1">
      <c r="A62" s="480">
        <v>42794</v>
      </c>
      <c r="B62" s="480"/>
      <c r="C62" s="465" t="s">
        <v>14</v>
      </c>
      <c r="D62" s="466"/>
      <c r="E62" s="464"/>
      <c r="F62" s="464"/>
      <c r="G62" s="479"/>
      <c r="H62" s="594">
        <f>hush17!$E$5</f>
        <v>154</v>
      </c>
      <c r="I62" s="478"/>
      <c r="J62" s="478"/>
      <c r="K62" s="464"/>
      <c r="L62" s="596">
        <f>hush17!$E$2/MONTH(A62)</f>
        <v>1623.25</v>
      </c>
      <c r="O62" s="593"/>
      <c r="P62" s="593"/>
    </row>
    <row r="63" spans="1:16" s="440" customFormat="1" ht="12" customHeight="1">
      <c r="A63" s="480">
        <v>42794</v>
      </c>
      <c r="B63" s="480"/>
      <c r="C63" s="465" t="s">
        <v>615</v>
      </c>
      <c r="D63" s="467"/>
      <c r="E63" s="464"/>
      <c r="F63" s="464"/>
      <c r="G63" s="479"/>
      <c r="H63" s="467">
        <v>90</v>
      </c>
      <c r="I63" s="464"/>
      <c r="J63" s="464"/>
      <c r="K63" s="464"/>
      <c r="L63" s="464"/>
      <c r="O63" s="593"/>
      <c r="P63" s="593"/>
    </row>
    <row r="64" spans="1:16" s="440" customFormat="1" ht="12" customHeight="1">
      <c r="A64" s="480">
        <v>42794</v>
      </c>
      <c r="B64" s="480"/>
      <c r="C64" s="465" t="s">
        <v>614</v>
      </c>
      <c r="D64" s="466"/>
      <c r="E64" s="464"/>
      <c r="F64" s="464"/>
      <c r="G64" s="479"/>
      <c r="H64" s="594">
        <f>'div17'!E3</f>
        <v>438</v>
      </c>
      <c r="I64" s="464"/>
      <c r="J64" s="464"/>
      <c r="K64" s="464"/>
      <c r="L64" s="464"/>
      <c r="O64" s="593"/>
      <c r="P64" s="593"/>
    </row>
    <row r="65" spans="1:16" s="440" customFormat="1" ht="12" customHeight="1">
      <c r="A65" s="480">
        <v>42794</v>
      </c>
      <c r="B65" s="480"/>
      <c r="C65" s="465" t="s">
        <v>561</v>
      </c>
      <c r="D65" s="466"/>
      <c r="E65" s="464"/>
      <c r="F65" s="464"/>
      <c r="G65" s="479"/>
      <c r="H65" s="594">
        <f>'div17'!L3</f>
        <v>500</v>
      </c>
      <c r="I65" s="464"/>
      <c r="J65" s="464"/>
      <c r="K65" s="464"/>
      <c r="L65" s="464"/>
      <c r="O65" s="593"/>
      <c r="P65" s="593"/>
    </row>
    <row r="66" spans="1:16" s="440" customFormat="1" ht="12" customHeight="1">
      <c r="A66" s="477">
        <v>42794</v>
      </c>
      <c r="B66" s="477"/>
      <c r="C66" s="462" t="s">
        <v>37</v>
      </c>
      <c r="D66" s="475"/>
      <c r="E66" s="461"/>
      <c r="F66" s="461"/>
      <c r="G66" s="476"/>
      <c r="H66" s="609">
        <f>'div17'!D3</f>
        <v>8011.78</v>
      </c>
      <c r="I66" s="461"/>
      <c r="J66" s="461"/>
      <c r="K66" s="461"/>
      <c r="L66" s="461"/>
      <c r="O66" s="608"/>
      <c r="P66" s="608"/>
    </row>
    <row r="67" spans="1:16" s="447" customFormat="1" ht="12" customHeight="1">
      <c r="A67" s="601" t="s">
        <v>592</v>
      </c>
      <c r="B67" s="601"/>
      <c r="C67" s="600"/>
      <c r="D67" s="585">
        <f>SUM(D68:D95)</f>
        <v>0</v>
      </c>
      <c r="E67" s="585">
        <f>SUM(E68:E95)</f>
        <v>0</v>
      </c>
      <c r="F67" s="482"/>
      <c r="G67" s="599"/>
      <c r="H67" s="585">
        <f>SUM(H68:H95)</f>
        <v>21527.64</v>
      </c>
      <c r="I67" s="585">
        <f>SUM(I68:I95)</f>
        <v>21337.75</v>
      </c>
      <c r="J67" s="482"/>
      <c r="K67" s="482"/>
      <c r="L67" s="482"/>
      <c r="N67" s="447">
        <f>MONTH(A90)</f>
        <v>3</v>
      </c>
      <c r="O67" s="597"/>
      <c r="P67" s="597"/>
    </row>
    <row r="68" spans="1:16" s="440" customFormat="1" ht="12" customHeight="1">
      <c r="A68" s="480">
        <v>42794</v>
      </c>
      <c r="B68" s="480" t="s">
        <v>189</v>
      </c>
      <c r="C68" s="465" t="s">
        <v>574</v>
      </c>
      <c r="D68" s="464"/>
      <c r="E68" s="464"/>
      <c r="F68" s="464"/>
      <c r="G68" s="479"/>
      <c r="H68" s="464"/>
      <c r="I68" s="464">
        <v>11527</v>
      </c>
      <c r="J68" s="464"/>
      <c r="K68" s="464"/>
      <c r="L68" s="464"/>
      <c r="O68" s="593"/>
      <c r="P68" s="593"/>
    </row>
    <row r="69" spans="1:16" s="440" customFormat="1" ht="12" customHeight="1">
      <c r="A69" s="480">
        <v>42794</v>
      </c>
      <c r="B69" s="480" t="s">
        <v>189</v>
      </c>
      <c r="C69" s="465" t="s">
        <v>573</v>
      </c>
      <c r="D69" s="464"/>
      <c r="E69" s="464"/>
      <c r="F69" s="464"/>
      <c r="G69" s="479"/>
      <c r="H69" s="464"/>
      <c r="I69" s="464">
        <v>7972</v>
      </c>
      <c r="J69" s="464"/>
      <c r="K69" s="464"/>
      <c r="L69" s="464"/>
      <c r="O69" s="593"/>
      <c r="P69" s="593"/>
    </row>
    <row r="70" spans="1:16" s="440" customFormat="1" ht="12" customHeight="1">
      <c r="A70" s="480">
        <v>42795</v>
      </c>
      <c r="B70" s="480" t="s">
        <v>189</v>
      </c>
      <c r="C70" s="465" t="s">
        <v>31</v>
      </c>
      <c r="D70" s="464"/>
      <c r="E70" s="464"/>
      <c r="F70" s="464"/>
      <c r="G70" s="479"/>
      <c r="H70" s="464"/>
      <c r="I70" s="464">
        <v>1131</v>
      </c>
      <c r="J70" s="464"/>
      <c r="K70" s="464"/>
      <c r="L70" s="464"/>
      <c r="O70" s="593"/>
      <c r="P70" s="593"/>
    </row>
    <row r="71" spans="1:16" s="440" customFormat="1" ht="12" customHeight="1">
      <c r="A71" s="480">
        <v>42795</v>
      </c>
      <c r="B71" s="480"/>
      <c r="C71" s="465" t="s">
        <v>22</v>
      </c>
      <c r="D71" s="464"/>
      <c r="E71" s="464"/>
      <c r="F71" s="464"/>
      <c r="G71" s="479"/>
      <c r="H71" s="464"/>
      <c r="I71" s="464">
        <v>75</v>
      </c>
      <c r="J71" s="464"/>
      <c r="K71" s="464"/>
      <c r="L71" s="464"/>
      <c r="O71" s="593"/>
      <c r="P71" s="593"/>
    </row>
    <row r="72" spans="1:16" s="440" customFormat="1" ht="12" customHeight="1">
      <c r="A72" s="480">
        <v>42795</v>
      </c>
      <c r="B72" s="480"/>
      <c r="C72" s="465" t="s">
        <v>21</v>
      </c>
      <c r="D72" s="464"/>
      <c r="E72" s="464"/>
      <c r="F72" s="464"/>
      <c r="G72" s="479"/>
      <c r="H72" s="464"/>
      <c r="I72" s="464">
        <v>150</v>
      </c>
      <c r="J72" s="464"/>
      <c r="K72" s="464"/>
      <c r="L72" s="464"/>
      <c r="O72" s="593"/>
      <c r="P72" s="593"/>
    </row>
    <row r="73" spans="1:16" s="440" customFormat="1" ht="12" customHeight="1">
      <c r="A73" s="480">
        <v>42795</v>
      </c>
      <c r="B73" s="480"/>
      <c r="C73" s="465" t="s">
        <v>230</v>
      </c>
      <c r="D73" s="464"/>
      <c r="E73" s="464"/>
      <c r="F73" s="464"/>
      <c r="G73" s="479"/>
      <c r="H73" s="464">
        <v>199</v>
      </c>
      <c r="I73" s="464"/>
      <c r="J73" s="464"/>
      <c r="K73" s="464"/>
      <c r="L73" s="464"/>
      <c r="O73" s="593"/>
      <c r="P73" s="593"/>
    </row>
    <row r="74" spans="1:16" s="440" customFormat="1" ht="12" customHeight="1">
      <c r="A74" s="480">
        <v>42795</v>
      </c>
      <c r="B74" s="480" t="s">
        <v>189</v>
      </c>
      <c r="C74" s="465" t="s">
        <v>30</v>
      </c>
      <c r="D74" s="464"/>
      <c r="E74" s="464"/>
      <c r="F74" s="464"/>
      <c r="G74" s="479"/>
      <c r="H74" s="464">
        <v>7474</v>
      </c>
      <c r="I74" s="464"/>
      <c r="J74" s="464"/>
      <c r="K74" s="464"/>
      <c r="L74" s="464"/>
      <c r="O74" s="593"/>
      <c r="P74" s="593"/>
    </row>
    <row r="75" spans="1:16" s="440" customFormat="1" ht="12" customHeight="1">
      <c r="A75" s="480">
        <v>42795</v>
      </c>
      <c r="B75" s="480" t="s">
        <v>572</v>
      </c>
      <c r="C75" s="465" t="s">
        <v>265</v>
      </c>
      <c r="D75" s="464"/>
      <c r="E75" s="464"/>
      <c r="F75" s="464"/>
      <c r="G75" s="479"/>
      <c r="H75" s="464">
        <v>602.42999999999995</v>
      </c>
      <c r="I75" s="464"/>
      <c r="J75" s="464"/>
      <c r="K75" s="464"/>
      <c r="L75" s="464"/>
      <c r="O75" s="593"/>
      <c r="P75" s="593"/>
    </row>
    <row r="76" spans="1:16" s="440" customFormat="1" ht="12" customHeight="1">
      <c r="A76" s="480">
        <v>42795</v>
      </c>
      <c r="B76" s="480" t="s">
        <v>572</v>
      </c>
      <c r="C76" s="465" t="s">
        <v>264</v>
      </c>
      <c r="D76" s="464"/>
      <c r="E76" s="464"/>
      <c r="F76" s="464"/>
      <c r="G76" s="479"/>
      <c r="H76" s="464">
        <v>543</v>
      </c>
      <c r="I76" s="464"/>
      <c r="J76" s="464"/>
      <c r="K76" s="464"/>
      <c r="L76" s="464"/>
      <c r="O76" s="593"/>
      <c r="P76" s="593"/>
    </row>
    <row r="77" spans="1:16" s="440" customFormat="1" ht="12" customHeight="1">
      <c r="A77" s="480">
        <v>42795</v>
      </c>
      <c r="B77" s="480" t="s">
        <v>572</v>
      </c>
      <c r="C77" s="465" t="s">
        <v>182</v>
      </c>
      <c r="D77" s="464"/>
      <c r="E77" s="464"/>
      <c r="F77" s="464"/>
      <c r="G77" s="479"/>
      <c r="H77" s="464">
        <v>279</v>
      </c>
      <c r="I77" s="464"/>
      <c r="J77" s="464"/>
      <c r="K77" s="464"/>
      <c r="L77" s="464"/>
      <c r="O77" s="593"/>
      <c r="P77" s="593"/>
    </row>
    <row r="78" spans="1:16" s="440" customFormat="1" ht="12" customHeight="1">
      <c r="A78" s="480">
        <v>42795</v>
      </c>
      <c r="B78" s="480" t="s">
        <v>572</v>
      </c>
      <c r="C78" s="465" t="s">
        <v>472</v>
      </c>
      <c r="D78" s="464"/>
      <c r="E78" s="464"/>
      <c r="F78" s="464"/>
      <c r="G78" s="479"/>
      <c r="H78" s="464">
        <v>450</v>
      </c>
      <c r="I78" s="464"/>
      <c r="J78" s="464"/>
      <c r="K78" s="464"/>
      <c r="L78" s="464"/>
      <c r="O78" s="593"/>
      <c r="P78" s="593"/>
    </row>
    <row r="79" spans="1:16" s="440" customFormat="1" ht="12" customHeight="1">
      <c r="A79" s="480">
        <v>42795</v>
      </c>
      <c r="B79" s="480" t="s">
        <v>572</v>
      </c>
      <c r="C79" s="465" t="s">
        <v>183</v>
      </c>
      <c r="D79" s="464"/>
      <c r="E79" s="464"/>
      <c r="F79" s="464"/>
      <c r="G79" s="479"/>
      <c r="H79" s="464">
        <v>438.75</v>
      </c>
      <c r="I79" s="464"/>
      <c r="J79" s="464"/>
      <c r="K79" s="464"/>
      <c r="L79" s="464"/>
      <c r="O79" s="593"/>
      <c r="P79" s="593"/>
    </row>
    <row r="80" spans="1:16" s="440" customFormat="1" ht="12" customHeight="1">
      <c r="A80" s="480">
        <v>42795</v>
      </c>
      <c r="B80" s="480" t="s">
        <v>572</v>
      </c>
      <c r="C80" s="465" t="s">
        <v>186</v>
      </c>
      <c r="D80" s="464"/>
      <c r="E80" s="464"/>
      <c r="F80" s="464"/>
      <c r="G80" s="479"/>
      <c r="H80" s="464">
        <v>240</v>
      </c>
      <c r="I80" s="464">
        <v>39</v>
      </c>
      <c r="J80" s="464"/>
      <c r="K80" s="464"/>
      <c r="L80" s="464"/>
      <c r="O80" s="593"/>
      <c r="P80" s="593"/>
    </row>
    <row r="81" spans="1:16" s="440" customFormat="1" ht="12" customHeight="1">
      <c r="A81" s="480">
        <v>42795</v>
      </c>
      <c r="B81" s="480" t="s">
        <v>572</v>
      </c>
      <c r="C81" s="465" t="s">
        <v>214</v>
      </c>
      <c r="D81" s="464"/>
      <c r="E81" s="464"/>
      <c r="F81" s="464"/>
      <c r="G81" s="479"/>
      <c r="H81" s="464">
        <v>150</v>
      </c>
      <c r="I81" s="464"/>
      <c r="J81" s="464"/>
      <c r="K81" s="464"/>
      <c r="L81" s="464"/>
      <c r="O81" s="593"/>
      <c r="P81" s="593"/>
    </row>
    <row r="82" spans="1:16" s="440" customFormat="1" ht="12" customHeight="1">
      <c r="A82" s="480">
        <v>42795</v>
      </c>
      <c r="B82" s="480" t="s">
        <v>572</v>
      </c>
      <c r="C82" s="465" t="s">
        <v>125</v>
      </c>
      <c r="D82" s="464"/>
      <c r="E82" s="464"/>
      <c r="F82" s="464"/>
      <c r="G82" s="479"/>
      <c r="H82" s="464">
        <v>328</v>
      </c>
      <c r="I82" s="464"/>
      <c r="J82" s="464"/>
      <c r="K82" s="464"/>
      <c r="L82" s="464"/>
      <c r="O82" s="593"/>
      <c r="P82" s="593"/>
    </row>
    <row r="83" spans="1:16" s="440" customFormat="1" ht="12" customHeight="1">
      <c r="A83" s="480">
        <v>42795</v>
      </c>
      <c r="B83" s="480" t="s">
        <v>572</v>
      </c>
      <c r="C83" s="465" t="s">
        <v>617</v>
      </c>
      <c r="D83" s="464"/>
      <c r="E83" s="464"/>
      <c r="F83" s="596" t="e">
        <f>#REF!</f>
        <v>#REF!</v>
      </c>
      <c r="G83" s="595" t="e">
        <f>#REF!</f>
        <v>#REF!</v>
      </c>
      <c r="H83" s="464">
        <v>1749.5</v>
      </c>
      <c r="I83" s="464"/>
      <c r="J83" s="464"/>
      <c r="K83" s="464"/>
      <c r="L83" s="464"/>
      <c r="O83" s="593"/>
      <c r="P83" s="593"/>
    </row>
    <row r="84" spans="1:16" s="440" customFormat="1" ht="12" customHeight="1">
      <c r="A84" s="480">
        <v>42796</v>
      </c>
      <c r="B84" s="480" t="s">
        <v>572</v>
      </c>
      <c r="C84" s="465" t="s">
        <v>481</v>
      </c>
      <c r="D84" s="464"/>
      <c r="E84" s="464"/>
      <c r="F84" s="464"/>
      <c r="G84" s="479"/>
      <c r="H84" s="464">
        <v>161.55000000000001</v>
      </c>
      <c r="I84" s="464"/>
      <c r="J84" s="464"/>
      <c r="K84" s="464"/>
      <c r="L84" s="464"/>
      <c r="O84" s="593"/>
      <c r="P84" s="593"/>
    </row>
    <row r="85" spans="1:16" s="440" customFormat="1" ht="12" customHeight="1">
      <c r="A85" s="480">
        <v>42796</v>
      </c>
      <c r="B85" s="480" t="s">
        <v>572</v>
      </c>
      <c r="C85" s="465" t="s">
        <v>481</v>
      </c>
      <c r="D85" s="464"/>
      <c r="E85" s="464"/>
      <c r="F85" s="464"/>
      <c r="G85" s="479"/>
      <c r="H85" s="464">
        <v>40.770000000000003</v>
      </c>
      <c r="I85" s="464"/>
      <c r="J85" s="464"/>
      <c r="K85" s="464"/>
      <c r="L85" s="464"/>
      <c r="O85" s="593"/>
      <c r="P85" s="593"/>
    </row>
    <row r="86" spans="1:16" s="440" customFormat="1" ht="12" customHeight="1">
      <c r="A86" s="480">
        <v>42800</v>
      </c>
      <c r="B86" s="480" t="s">
        <v>572</v>
      </c>
      <c r="C86" s="465" t="s">
        <v>20</v>
      </c>
      <c r="D86" s="464"/>
      <c r="E86" s="464"/>
      <c r="F86" s="464"/>
      <c r="G86" s="479"/>
      <c r="H86" s="464">
        <v>236.8</v>
      </c>
      <c r="I86" s="464"/>
      <c r="J86" s="464"/>
      <c r="K86" s="464"/>
      <c r="L86" s="464"/>
      <c r="O86" s="593"/>
      <c r="P86" s="593"/>
    </row>
    <row r="87" spans="1:16" s="440" customFormat="1" ht="12" customHeight="1">
      <c r="A87" s="480">
        <v>42809</v>
      </c>
      <c r="B87" s="480"/>
      <c r="C87" s="465" t="s">
        <v>619</v>
      </c>
      <c r="D87" s="464"/>
      <c r="E87" s="464"/>
      <c r="F87" s="464"/>
      <c r="G87" s="479"/>
      <c r="H87" s="464"/>
      <c r="I87" s="464">
        <v>243.75</v>
      </c>
      <c r="J87" s="464"/>
      <c r="K87" s="464"/>
      <c r="L87" s="464"/>
      <c r="O87" s="593"/>
      <c r="P87" s="593"/>
    </row>
    <row r="88" spans="1:16" s="440" customFormat="1" ht="12" customHeight="1">
      <c r="A88" s="480">
        <v>42812</v>
      </c>
      <c r="B88" s="480"/>
      <c r="C88" s="465" t="s">
        <v>98</v>
      </c>
      <c r="D88" s="464"/>
      <c r="E88" s="464"/>
      <c r="F88" s="464"/>
      <c r="G88" s="479"/>
      <c r="H88" s="467">
        <v>400</v>
      </c>
      <c r="I88" s="464"/>
      <c r="J88" s="464"/>
      <c r="K88" s="464"/>
      <c r="L88" s="464"/>
      <c r="O88" s="593"/>
      <c r="P88" s="593"/>
    </row>
    <row r="89" spans="1:16" s="440" customFormat="1" ht="12" customHeight="1">
      <c r="A89" s="480">
        <v>42825</v>
      </c>
      <c r="B89" s="480"/>
      <c r="C89" s="465" t="s">
        <v>15</v>
      </c>
      <c r="D89" s="466"/>
      <c r="E89" s="464"/>
      <c r="F89" s="464"/>
      <c r="G89" s="479"/>
      <c r="H89" s="594">
        <f>hush17!$I$6</f>
        <v>2329.0900000000006</v>
      </c>
      <c r="I89" s="464"/>
      <c r="J89" s="464"/>
      <c r="K89" s="464"/>
      <c r="L89" s="587">
        <f>hush17!$I$2/MONTH(A89)</f>
        <v>10206.793333333333</v>
      </c>
      <c r="O89" s="593"/>
      <c r="P89" s="593"/>
    </row>
    <row r="90" spans="1:16" s="440" customFormat="1" ht="12" customHeight="1">
      <c r="A90" s="480">
        <v>42825</v>
      </c>
      <c r="B90" s="480"/>
      <c r="C90" s="465" t="s">
        <v>384</v>
      </c>
      <c r="D90" s="466"/>
      <c r="E90" s="464"/>
      <c r="F90" s="464"/>
      <c r="G90" s="479"/>
      <c r="H90" s="594">
        <f>hush17!$F$6</f>
        <v>212.7</v>
      </c>
      <c r="I90" s="464"/>
      <c r="J90" s="464"/>
      <c r="K90" s="464"/>
      <c r="L90" s="587">
        <f>hush17!$F$2/MONTH(A90)</f>
        <v>1152.1466666666668</v>
      </c>
      <c r="O90" s="593"/>
      <c r="P90" s="593"/>
    </row>
    <row r="91" spans="1:16" s="440" customFormat="1" ht="12" customHeight="1">
      <c r="A91" s="480">
        <v>42825</v>
      </c>
      <c r="B91" s="480"/>
      <c r="C91" s="465" t="s">
        <v>14</v>
      </c>
      <c r="D91" s="466"/>
      <c r="E91" s="464"/>
      <c r="F91" s="464"/>
      <c r="G91" s="479"/>
      <c r="H91" s="594">
        <f>hush17!$E$6</f>
        <v>154</v>
      </c>
      <c r="I91" s="478"/>
      <c r="J91" s="478"/>
      <c r="K91" s="464"/>
      <c r="L91" s="587">
        <f>hush17!$E$2/MONTH(A91)</f>
        <v>1082.1666666666667</v>
      </c>
      <c r="O91" s="593"/>
      <c r="P91" s="593"/>
    </row>
    <row r="92" spans="1:16" s="440" customFormat="1" ht="12" customHeight="1">
      <c r="A92" s="480">
        <v>42825</v>
      </c>
      <c r="B92" s="480"/>
      <c r="C92" s="465" t="s">
        <v>615</v>
      </c>
      <c r="D92" s="466"/>
      <c r="E92" s="464"/>
      <c r="F92" s="464"/>
      <c r="G92" s="479"/>
      <c r="H92" s="466"/>
      <c r="I92" s="478"/>
      <c r="J92" s="478"/>
      <c r="K92" s="464"/>
      <c r="L92" s="501"/>
      <c r="O92" s="593"/>
      <c r="P92" s="593"/>
    </row>
    <row r="93" spans="1:16" s="440" customFormat="1" ht="12" customHeight="1">
      <c r="A93" s="480">
        <v>42825</v>
      </c>
      <c r="B93" s="480"/>
      <c r="C93" s="465" t="s">
        <v>614</v>
      </c>
      <c r="D93" s="466"/>
      <c r="E93" s="464"/>
      <c r="F93" s="464"/>
      <c r="G93" s="479"/>
      <c r="H93" s="594">
        <f>'div17'!E4</f>
        <v>417.95</v>
      </c>
      <c r="I93" s="478"/>
      <c r="J93" s="478"/>
      <c r="K93" s="464"/>
      <c r="L93" s="501"/>
      <c r="O93" s="593"/>
      <c r="P93" s="593"/>
    </row>
    <row r="94" spans="1:16" s="440" customFormat="1" ht="12" customHeight="1">
      <c r="A94" s="480">
        <v>42825</v>
      </c>
      <c r="B94" s="480"/>
      <c r="C94" s="465" t="s">
        <v>561</v>
      </c>
      <c r="D94" s="466"/>
      <c r="E94" s="464"/>
      <c r="F94" s="464"/>
      <c r="G94" s="479"/>
      <c r="H94" s="466"/>
      <c r="I94" s="607">
        <f>'div17'!L4</f>
        <v>200</v>
      </c>
      <c r="J94" s="478"/>
      <c r="K94" s="464"/>
      <c r="L94" s="501"/>
      <c r="O94" s="593"/>
      <c r="P94" s="593"/>
    </row>
    <row r="95" spans="1:16" s="440" customFormat="1" ht="12" customHeight="1">
      <c r="A95" s="480">
        <v>42794</v>
      </c>
      <c r="B95" s="480"/>
      <c r="C95" s="465" t="s">
        <v>37</v>
      </c>
      <c r="D95" s="466"/>
      <c r="E95" s="464"/>
      <c r="F95" s="464"/>
      <c r="G95" s="479"/>
      <c r="H95" s="594">
        <f>'div17'!D4</f>
        <v>5121.0999999999995</v>
      </c>
      <c r="I95" s="478"/>
      <c r="J95" s="478"/>
      <c r="K95" s="464"/>
      <c r="L95" s="501"/>
      <c r="O95" s="593"/>
      <c r="P95" s="593"/>
    </row>
    <row r="96" spans="1:16" s="447" customFormat="1" ht="12" customHeight="1">
      <c r="A96" s="601" t="s">
        <v>590</v>
      </c>
      <c r="B96" s="601"/>
      <c r="C96" s="600"/>
      <c r="D96" s="585">
        <f>SUM(D97:D122)</f>
        <v>0</v>
      </c>
      <c r="E96" s="585">
        <f>SUM(E97:E122)</f>
        <v>0</v>
      </c>
      <c r="F96" s="482"/>
      <c r="G96" s="599"/>
      <c r="H96" s="606">
        <f>SUM(H97:H122)</f>
        <v>18437.270000000004</v>
      </c>
      <c r="I96" s="585">
        <f>SUM(I97:I122)</f>
        <v>20630</v>
      </c>
      <c r="J96" s="482"/>
      <c r="K96" s="482"/>
      <c r="L96" s="482"/>
      <c r="N96" s="447">
        <f>MONTH(A119)</f>
        <v>4</v>
      </c>
      <c r="O96" s="597"/>
      <c r="P96" s="597"/>
    </row>
    <row r="97" spans="1:16" s="440" customFormat="1" ht="12" customHeight="1">
      <c r="A97" s="480">
        <v>42825</v>
      </c>
      <c r="B97" s="480" t="s">
        <v>189</v>
      </c>
      <c r="C97" s="465" t="s">
        <v>574</v>
      </c>
      <c r="D97" s="464"/>
      <c r="E97" s="464"/>
      <c r="F97" s="464"/>
      <c r="G97" s="464"/>
      <c r="H97" s="491"/>
      <c r="I97" s="464">
        <v>11527</v>
      </c>
      <c r="J97" s="464"/>
      <c r="K97" s="464"/>
      <c r="L97" s="464"/>
      <c r="O97" s="593"/>
      <c r="P97" s="593"/>
    </row>
    <row r="98" spans="1:16" s="440" customFormat="1" ht="12" customHeight="1">
      <c r="A98" s="480">
        <v>42825</v>
      </c>
      <c r="B98" s="480" t="s">
        <v>189</v>
      </c>
      <c r="C98" s="465" t="s">
        <v>573</v>
      </c>
      <c r="D98" s="464"/>
      <c r="E98" s="464"/>
      <c r="F98" s="464"/>
      <c r="G98" s="464"/>
      <c r="H98" s="491"/>
      <c r="I98" s="596">
        <f>7972</f>
        <v>7972</v>
      </c>
      <c r="J98" s="464"/>
      <c r="K98" s="464"/>
      <c r="L98" s="464"/>
      <c r="O98" s="593"/>
      <c r="P98" s="593"/>
    </row>
    <row r="99" spans="1:16" s="440" customFormat="1" ht="12" customHeight="1">
      <c r="A99" s="480">
        <v>42828</v>
      </c>
      <c r="B99" s="480" t="s">
        <v>189</v>
      </c>
      <c r="C99" s="465" t="s">
        <v>31</v>
      </c>
      <c r="D99" s="464"/>
      <c r="E99" s="464"/>
      <c r="F99" s="464"/>
      <c r="G99" s="464"/>
      <c r="H99" s="491"/>
      <c r="I99" s="464">
        <v>1131</v>
      </c>
      <c r="J99" s="464"/>
      <c r="K99" s="464"/>
      <c r="L99" s="464"/>
      <c r="O99" s="593"/>
      <c r="P99" s="593"/>
    </row>
    <row r="100" spans="1:16" s="440" customFormat="1" ht="12" customHeight="1">
      <c r="A100" s="480">
        <v>42825</v>
      </c>
      <c r="B100" s="480"/>
      <c r="C100" s="465" t="s">
        <v>22</v>
      </c>
      <c r="D100" s="464"/>
      <c r="E100" s="464"/>
      <c r="F100" s="464"/>
      <c r="G100" s="464"/>
      <c r="H100" s="491">
        <v>125</v>
      </c>
      <c r="I100" s="464"/>
      <c r="J100" s="464"/>
      <c r="K100" s="464"/>
      <c r="L100" s="464"/>
      <c r="O100" s="593"/>
      <c r="P100" s="593"/>
    </row>
    <row r="101" spans="1:16" s="440" customFormat="1" ht="12" customHeight="1">
      <c r="A101" s="480">
        <v>42825</v>
      </c>
      <c r="B101" s="480"/>
      <c r="C101" s="465" t="s">
        <v>21</v>
      </c>
      <c r="D101" s="464"/>
      <c r="E101" s="464"/>
      <c r="F101" s="464"/>
      <c r="G101" s="464"/>
      <c r="H101" s="491">
        <v>200</v>
      </c>
      <c r="I101" s="464"/>
      <c r="J101" s="464"/>
      <c r="K101" s="464"/>
      <c r="L101" s="464"/>
      <c r="O101" s="593"/>
      <c r="P101" s="593"/>
    </row>
    <row r="102" spans="1:16" s="440" customFormat="1" ht="12" customHeight="1">
      <c r="A102" s="480">
        <v>42828</v>
      </c>
      <c r="B102" s="480" t="s">
        <v>189</v>
      </c>
      <c r="C102" s="465" t="s">
        <v>230</v>
      </c>
      <c r="D102" s="464"/>
      <c r="E102" s="464"/>
      <c r="F102" s="464"/>
      <c r="G102" s="464"/>
      <c r="H102" s="491">
        <v>199</v>
      </c>
      <c r="I102" s="464"/>
      <c r="J102" s="464"/>
      <c r="K102" s="464"/>
      <c r="L102" s="464"/>
      <c r="O102" s="593"/>
      <c r="P102" s="593"/>
    </row>
    <row r="103" spans="1:16" s="440" customFormat="1" ht="12" customHeight="1">
      <c r="A103" s="480">
        <v>42828</v>
      </c>
      <c r="B103" s="480" t="s">
        <v>189</v>
      </c>
      <c r="C103" s="465" t="s">
        <v>30</v>
      </c>
      <c r="D103" s="464"/>
      <c r="E103" s="464"/>
      <c r="F103" s="464"/>
      <c r="G103" s="464"/>
      <c r="H103" s="491">
        <v>7474</v>
      </c>
      <c r="I103" s="464"/>
      <c r="J103" s="464"/>
      <c r="K103" s="464"/>
      <c r="L103" s="464"/>
      <c r="O103" s="593"/>
      <c r="P103" s="593"/>
    </row>
    <row r="104" spans="1:16" s="440" customFormat="1" ht="12" customHeight="1">
      <c r="A104" s="480">
        <v>42828</v>
      </c>
      <c r="B104" s="480" t="s">
        <v>572</v>
      </c>
      <c r="C104" s="465" t="s">
        <v>265</v>
      </c>
      <c r="D104" s="464"/>
      <c r="E104" s="464"/>
      <c r="F104" s="464"/>
      <c r="G104" s="464"/>
      <c r="H104" s="491">
        <v>602.42999999999995</v>
      </c>
      <c r="I104" s="464"/>
      <c r="J104" s="464"/>
      <c r="K104" s="464"/>
      <c r="L104" s="464"/>
      <c r="O104" s="593"/>
      <c r="P104" s="593"/>
    </row>
    <row r="105" spans="1:16" s="440" customFormat="1" ht="12" customHeight="1">
      <c r="A105" s="480">
        <v>42828</v>
      </c>
      <c r="B105" s="480" t="s">
        <v>572</v>
      </c>
      <c r="C105" s="465" t="s">
        <v>264</v>
      </c>
      <c r="D105" s="464"/>
      <c r="E105" s="464"/>
      <c r="F105" s="464"/>
      <c r="G105" s="464"/>
      <c r="H105" s="491">
        <v>523</v>
      </c>
      <c r="I105" s="464"/>
      <c r="J105" s="464"/>
      <c r="K105" s="464"/>
      <c r="L105" s="464"/>
      <c r="O105" s="593"/>
      <c r="P105" s="593"/>
    </row>
    <row r="106" spans="1:16" s="440" customFormat="1" ht="12" customHeight="1">
      <c r="A106" s="480">
        <v>42828</v>
      </c>
      <c r="B106" s="480" t="s">
        <v>572</v>
      </c>
      <c r="C106" s="465" t="s">
        <v>182</v>
      </c>
      <c r="D106" s="464"/>
      <c r="E106" s="464"/>
      <c r="F106" s="464"/>
      <c r="G106" s="464"/>
      <c r="H106" s="491">
        <v>279</v>
      </c>
      <c r="I106" s="464"/>
      <c r="J106" s="464"/>
      <c r="K106" s="464"/>
      <c r="L106" s="464"/>
      <c r="O106" s="593"/>
      <c r="P106" s="593"/>
    </row>
    <row r="107" spans="1:16" s="440" customFormat="1" ht="12" customHeight="1">
      <c r="A107" s="480">
        <v>42828</v>
      </c>
      <c r="B107" s="480" t="s">
        <v>572</v>
      </c>
      <c r="C107" s="465" t="s">
        <v>472</v>
      </c>
      <c r="D107" s="464"/>
      <c r="E107" s="464"/>
      <c r="F107" s="464"/>
      <c r="G107" s="464"/>
      <c r="H107" s="491">
        <v>450</v>
      </c>
      <c r="I107" s="464"/>
      <c r="J107" s="464"/>
      <c r="K107" s="464"/>
      <c r="L107" s="464"/>
      <c r="O107" s="593"/>
      <c r="P107" s="593"/>
    </row>
    <row r="108" spans="1:16" s="440" customFormat="1" ht="12" customHeight="1">
      <c r="A108" s="480">
        <v>42828</v>
      </c>
      <c r="B108" s="480" t="s">
        <v>572</v>
      </c>
      <c r="C108" s="465" t="s">
        <v>183</v>
      </c>
      <c r="D108" s="464"/>
      <c r="E108" s="464"/>
      <c r="F108" s="464"/>
      <c r="G108" s="464"/>
      <c r="H108" s="491">
        <v>438.75</v>
      </c>
      <c r="I108" s="464"/>
      <c r="J108" s="464"/>
      <c r="K108" s="464"/>
      <c r="L108" s="464"/>
      <c r="O108" s="593"/>
      <c r="P108" s="593"/>
    </row>
    <row r="109" spans="1:16" s="440" customFormat="1" ht="12" customHeight="1">
      <c r="A109" s="480">
        <v>42828</v>
      </c>
      <c r="B109" s="480" t="s">
        <v>572</v>
      </c>
      <c r="C109" s="465" t="s">
        <v>186</v>
      </c>
      <c r="D109" s="464"/>
      <c r="E109" s="464"/>
      <c r="F109" s="464"/>
      <c r="G109" s="464"/>
      <c r="H109" s="491">
        <v>160</v>
      </c>
      <c r="I109" s="464"/>
      <c r="J109" s="464"/>
      <c r="K109" s="464"/>
      <c r="L109" s="464"/>
      <c r="O109" s="593"/>
      <c r="P109" s="593"/>
    </row>
    <row r="110" spans="1:16" s="440" customFormat="1" ht="12" customHeight="1">
      <c r="A110" s="480">
        <v>42828</v>
      </c>
      <c r="B110" s="480" t="s">
        <v>572</v>
      </c>
      <c r="C110" s="465" t="s">
        <v>214</v>
      </c>
      <c r="D110" s="464"/>
      <c r="E110" s="464"/>
      <c r="F110" s="464"/>
      <c r="G110" s="464"/>
      <c r="H110" s="491">
        <v>120</v>
      </c>
      <c r="I110" s="464"/>
      <c r="J110" s="464"/>
      <c r="K110" s="464"/>
      <c r="L110" s="464"/>
      <c r="O110" s="593"/>
      <c r="P110" s="593"/>
    </row>
    <row r="111" spans="1:16" s="440" customFormat="1" ht="12" customHeight="1">
      <c r="A111" s="480">
        <v>42828</v>
      </c>
      <c r="B111" s="480" t="s">
        <v>572</v>
      </c>
      <c r="C111" s="465" t="s">
        <v>125</v>
      </c>
      <c r="D111" s="464"/>
      <c r="E111" s="464"/>
      <c r="F111" s="464"/>
      <c r="G111" s="464"/>
      <c r="H111" s="491">
        <v>328</v>
      </c>
      <c r="I111" s="464"/>
      <c r="J111" s="464"/>
      <c r="K111" s="464"/>
      <c r="L111" s="464"/>
      <c r="O111" s="593"/>
      <c r="P111" s="593"/>
    </row>
    <row r="112" spans="1:16" s="440" customFormat="1" ht="12" customHeight="1">
      <c r="A112" s="480">
        <v>42828</v>
      </c>
      <c r="B112" s="480" t="s">
        <v>572</v>
      </c>
      <c r="C112" s="465" t="s">
        <v>617</v>
      </c>
      <c r="D112" s="464"/>
      <c r="E112" s="464"/>
      <c r="F112" s="596" t="e">
        <f>#REF!</f>
        <v>#REF!</v>
      </c>
      <c r="G112" s="596" t="e">
        <f>#REF!</f>
        <v>#REF!</v>
      </c>
      <c r="H112" s="605">
        <f>1358.41</f>
        <v>1358.41</v>
      </c>
      <c r="I112" s="464"/>
      <c r="J112" s="464"/>
      <c r="K112" s="464"/>
      <c r="L112" s="464"/>
      <c r="O112" s="593"/>
      <c r="P112" s="593"/>
    </row>
    <row r="113" spans="1:16" s="440" customFormat="1" ht="12" customHeight="1">
      <c r="A113" s="480">
        <v>42828</v>
      </c>
      <c r="B113" s="480" t="s">
        <v>572</v>
      </c>
      <c r="C113" s="465" t="s">
        <v>481</v>
      </c>
      <c r="D113" s="464"/>
      <c r="E113" s="464"/>
      <c r="F113" s="464"/>
      <c r="G113" s="464"/>
      <c r="H113" s="491">
        <v>149</v>
      </c>
      <c r="I113" s="464"/>
      <c r="J113" s="464"/>
      <c r="K113" s="464"/>
      <c r="L113" s="464"/>
      <c r="O113" s="593"/>
      <c r="P113" s="593"/>
    </row>
    <row r="114" spans="1:16" s="440" customFormat="1" ht="12" customHeight="1">
      <c r="A114" s="480">
        <v>42828</v>
      </c>
      <c r="B114" s="480" t="s">
        <v>572</v>
      </c>
      <c r="C114" s="465" t="s">
        <v>481</v>
      </c>
      <c r="D114" s="464"/>
      <c r="E114" s="464"/>
      <c r="F114" s="464"/>
      <c r="G114" s="464"/>
      <c r="H114" s="491">
        <v>38.340000000000003</v>
      </c>
      <c r="I114" s="464"/>
      <c r="J114" s="464"/>
      <c r="K114" s="464"/>
      <c r="L114" s="464"/>
      <c r="O114" s="593"/>
      <c r="P114" s="593"/>
    </row>
    <row r="115" spans="1:16" s="440" customFormat="1" ht="12" customHeight="1">
      <c r="A115" s="480">
        <v>42830</v>
      </c>
      <c r="B115" s="480" t="s">
        <v>572</v>
      </c>
      <c r="C115" s="465" t="s">
        <v>20</v>
      </c>
      <c r="D115" s="464"/>
      <c r="E115" s="464"/>
      <c r="F115" s="464"/>
      <c r="G115" s="464"/>
      <c r="H115" s="491">
        <v>171.09</v>
      </c>
      <c r="I115" s="464"/>
      <c r="J115" s="464"/>
      <c r="K115" s="464"/>
      <c r="L115" s="464"/>
      <c r="O115" s="593"/>
      <c r="P115" s="593"/>
    </row>
    <row r="116" spans="1:16" s="440" customFormat="1" ht="12" customHeight="1">
      <c r="A116" s="480">
        <v>42855</v>
      </c>
      <c r="B116" s="480"/>
      <c r="C116" s="465" t="s">
        <v>15</v>
      </c>
      <c r="D116" s="466"/>
      <c r="E116" s="464"/>
      <c r="F116" s="464"/>
      <c r="G116" s="479"/>
      <c r="H116" s="594">
        <f>hush17!$I$7</f>
        <v>3255.4999999999991</v>
      </c>
      <c r="I116" s="464"/>
      <c r="J116" s="464"/>
      <c r="K116" s="464"/>
      <c r="L116" s="587">
        <f>hush17!$I$2/MONTH(A116)</f>
        <v>7655.0950000000003</v>
      </c>
      <c r="O116" s="593"/>
      <c r="P116" s="593"/>
    </row>
    <row r="117" spans="1:16" s="440" customFormat="1" ht="12" customHeight="1">
      <c r="A117" s="480">
        <v>42855</v>
      </c>
      <c r="B117" s="480"/>
      <c r="C117" s="465" t="s">
        <v>384</v>
      </c>
      <c r="D117" s="466"/>
      <c r="E117" s="464"/>
      <c r="F117" s="464"/>
      <c r="G117" s="479"/>
      <c r="H117" s="594">
        <f>hush17!$F$7</f>
        <v>130.6</v>
      </c>
      <c r="I117" s="464"/>
      <c r="J117" s="464"/>
      <c r="K117" s="464"/>
      <c r="L117" s="587">
        <f>hush17!$F$2/MONTH(A117)</f>
        <v>864.11000000000013</v>
      </c>
      <c r="O117" s="593"/>
      <c r="P117" s="593"/>
    </row>
    <row r="118" spans="1:16" s="440" customFormat="1" ht="12" customHeight="1">
      <c r="A118" s="480">
        <v>42855</v>
      </c>
      <c r="B118" s="480"/>
      <c r="C118" s="465" t="s">
        <v>14</v>
      </c>
      <c r="D118" s="466"/>
      <c r="E118" s="464"/>
      <c r="F118" s="464"/>
      <c r="G118" s="479"/>
      <c r="H118" s="594">
        <f>hush17!$E$7</f>
        <v>231</v>
      </c>
      <c r="I118" s="464"/>
      <c r="J118" s="464"/>
      <c r="K118" s="464"/>
      <c r="L118" s="587">
        <f>hush17!$E$2/MONTH(A118)</f>
        <v>811.625</v>
      </c>
      <c r="O118" s="593"/>
      <c r="P118" s="593"/>
    </row>
    <row r="119" spans="1:16" s="440" customFormat="1" ht="12" customHeight="1">
      <c r="A119" s="480">
        <v>42855</v>
      </c>
      <c r="B119" s="480"/>
      <c r="C119" s="465" t="s">
        <v>615</v>
      </c>
      <c r="D119" s="466"/>
      <c r="E119" s="464"/>
      <c r="F119" s="464"/>
      <c r="G119" s="479"/>
      <c r="H119" s="466">
        <v>90</v>
      </c>
      <c r="I119" s="464"/>
      <c r="J119" s="464"/>
      <c r="K119" s="464"/>
      <c r="L119" s="501"/>
      <c r="O119" s="593"/>
      <c r="P119" s="593"/>
    </row>
    <row r="120" spans="1:16" s="440" customFormat="1" ht="12" customHeight="1">
      <c r="A120" s="480">
        <v>42855</v>
      </c>
      <c r="B120" s="480"/>
      <c r="C120" s="465" t="s">
        <v>614</v>
      </c>
      <c r="D120" s="466"/>
      <c r="E120" s="464"/>
      <c r="F120" s="464"/>
      <c r="G120" s="479"/>
      <c r="H120" s="594">
        <f>'div17'!E5</f>
        <v>440</v>
      </c>
      <c r="I120" s="464"/>
      <c r="J120" s="464"/>
      <c r="K120" s="464"/>
      <c r="L120" s="501"/>
      <c r="O120" s="593"/>
      <c r="P120" s="593"/>
    </row>
    <row r="121" spans="1:16" s="440" customFormat="1" ht="12" customHeight="1">
      <c r="A121" s="480">
        <v>42855</v>
      </c>
      <c r="B121" s="480"/>
      <c r="C121" s="465" t="s">
        <v>561</v>
      </c>
      <c r="D121" s="466"/>
      <c r="E121" s="464"/>
      <c r="F121" s="464"/>
      <c r="G121" s="479"/>
      <c r="H121" s="466"/>
      <c r="I121" s="464"/>
      <c r="J121" s="464"/>
      <c r="K121" s="464"/>
      <c r="L121" s="501"/>
      <c r="O121" s="593"/>
      <c r="P121" s="593"/>
    </row>
    <row r="122" spans="1:16" s="440" customFormat="1" ht="12" customHeight="1">
      <c r="A122" s="480"/>
      <c r="B122" s="480"/>
      <c r="C122" s="465" t="s">
        <v>37</v>
      </c>
      <c r="D122" s="466"/>
      <c r="E122" s="464"/>
      <c r="F122" s="464"/>
      <c r="G122" s="479"/>
      <c r="H122" s="594">
        <f>'div17'!D5</f>
        <v>1674.15</v>
      </c>
      <c r="I122" s="464"/>
      <c r="J122" s="464"/>
      <c r="K122" s="464"/>
      <c r="L122" s="501"/>
      <c r="O122" s="593"/>
      <c r="P122" s="593"/>
    </row>
    <row r="123" spans="1:16" s="447" customFormat="1" ht="12" customHeight="1">
      <c r="A123" s="601" t="s">
        <v>588</v>
      </c>
      <c r="B123" s="601"/>
      <c r="C123" s="600"/>
      <c r="D123" s="585">
        <f>SUM(D124:D147)</f>
        <v>0</v>
      </c>
      <c r="E123" s="585">
        <f>SUM(E124:E147)</f>
        <v>0</v>
      </c>
      <c r="F123" s="482"/>
      <c r="G123" s="599"/>
      <c r="H123" s="585">
        <f>SUM(H124:H147)</f>
        <v>21084.98</v>
      </c>
      <c r="I123" s="585">
        <f>SUM(I124:I147)</f>
        <v>20630</v>
      </c>
      <c r="J123" s="482"/>
      <c r="K123" s="482"/>
      <c r="L123" s="482"/>
      <c r="N123" s="447">
        <f>MONTH(A146)</f>
        <v>5</v>
      </c>
      <c r="O123" s="597"/>
      <c r="P123" s="597"/>
    </row>
    <row r="124" spans="1:16" s="440" customFormat="1" ht="12" customHeight="1">
      <c r="A124" s="480">
        <v>42853</v>
      </c>
      <c r="B124" s="480" t="s">
        <v>189</v>
      </c>
      <c r="C124" s="465" t="s">
        <v>574</v>
      </c>
      <c r="D124" s="464"/>
      <c r="E124" s="464"/>
      <c r="F124" s="464"/>
      <c r="G124" s="464"/>
      <c r="H124" s="491"/>
      <c r="I124" s="596">
        <f>hush17!J8</f>
        <v>11527</v>
      </c>
      <c r="J124" s="464"/>
      <c r="K124" s="464"/>
      <c r="L124" s="464"/>
      <c r="O124" s="593"/>
      <c r="P124" s="593"/>
    </row>
    <row r="125" spans="1:16" s="440" customFormat="1" ht="12" customHeight="1">
      <c r="A125" s="480">
        <v>42853</v>
      </c>
      <c r="B125" s="480" t="s">
        <v>189</v>
      </c>
      <c r="C125" s="465" t="s">
        <v>573</v>
      </c>
      <c r="D125" s="464"/>
      <c r="E125" s="464"/>
      <c r="F125" s="464"/>
      <c r="G125" s="464"/>
      <c r="H125" s="491"/>
      <c r="I125" s="596">
        <f>hush17!K8+hush17!L8</f>
        <v>7972</v>
      </c>
      <c r="J125" s="464"/>
      <c r="K125" s="464"/>
      <c r="L125" s="464"/>
      <c r="O125" s="593"/>
      <c r="P125" s="593"/>
    </row>
    <row r="126" spans="1:16" s="440" customFormat="1" ht="12" customHeight="1">
      <c r="A126" s="480">
        <v>42856</v>
      </c>
      <c r="B126" s="480" t="s">
        <v>189</v>
      </c>
      <c r="C126" s="465" t="s">
        <v>31</v>
      </c>
      <c r="D126" s="464"/>
      <c r="E126" s="464"/>
      <c r="F126" s="464"/>
      <c r="G126" s="464"/>
      <c r="H126" s="491"/>
      <c r="I126" s="464">
        <v>1131</v>
      </c>
      <c r="J126" s="464"/>
      <c r="K126" s="464"/>
      <c r="L126" s="464"/>
      <c r="O126" s="593"/>
      <c r="P126" s="593"/>
    </row>
    <row r="127" spans="1:16" s="440" customFormat="1" ht="12" customHeight="1">
      <c r="A127" s="480">
        <v>42856</v>
      </c>
      <c r="B127" s="480"/>
      <c r="C127" s="465" t="s">
        <v>22</v>
      </c>
      <c r="D127" s="464"/>
      <c r="E127" s="464"/>
      <c r="F127" s="464"/>
      <c r="G127" s="464"/>
      <c r="H127" s="491">
        <v>75</v>
      </c>
      <c r="I127" s="464"/>
      <c r="J127" s="464"/>
      <c r="K127" s="464"/>
      <c r="L127" s="464"/>
      <c r="O127" s="593"/>
      <c r="P127" s="593"/>
    </row>
    <row r="128" spans="1:16" s="440" customFormat="1" ht="12" customHeight="1">
      <c r="A128" s="480">
        <v>42856</v>
      </c>
      <c r="B128" s="480"/>
      <c r="C128" s="465" t="s">
        <v>21</v>
      </c>
      <c r="D128" s="464"/>
      <c r="E128" s="464"/>
      <c r="F128" s="464"/>
      <c r="G128" s="464"/>
      <c r="H128" s="491">
        <v>106</v>
      </c>
      <c r="I128" s="464"/>
      <c r="J128" s="464"/>
      <c r="K128" s="464"/>
      <c r="L128" s="464"/>
      <c r="O128" s="593"/>
      <c r="P128" s="593"/>
    </row>
    <row r="129" spans="1:16" s="440" customFormat="1" ht="12" customHeight="1">
      <c r="A129" s="480">
        <v>42856</v>
      </c>
      <c r="B129" s="480" t="s">
        <v>189</v>
      </c>
      <c r="C129" s="465" t="s">
        <v>230</v>
      </c>
      <c r="D129" s="464"/>
      <c r="E129" s="464"/>
      <c r="F129" s="464"/>
      <c r="G129" s="464"/>
      <c r="H129" s="491">
        <v>199</v>
      </c>
      <c r="I129" s="464"/>
      <c r="J129" s="464"/>
      <c r="K129" s="464"/>
      <c r="L129" s="464"/>
      <c r="O129" s="593"/>
      <c r="P129" s="593"/>
    </row>
    <row r="130" spans="1:16" s="440" customFormat="1" ht="12" customHeight="1">
      <c r="A130" s="480">
        <v>42856</v>
      </c>
      <c r="B130" s="480" t="s">
        <v>189</v>
      </c>
      <c r="C130" s="465" t="s">
        <v>30</v>
      </c>
      <c r="D130" s="464"/>
      <c r="E130" s="464"/>
      <c r="F130" s="464"/>
      <c r="G130" s="464"/>
      <c r="H130" s="491">
        <v>7474</v>
      </c>
      <c r="I130" s="464"/>
      <c r="J130" s="464"/>
      <c r="K130" s="464"/>
      <c r="L130" s="464"/>
      <c r="O130" s="593"/>
      <c r="P130" s="593"/>
    </row>
    <row r="131" spans="1:16" s="440" customFormat="1" ht="12" customHeight="1">
      <c r="A131" s="480">
        <v>42856</v>
      </c>
      <c r="B131" s="480" t="s">
        <v>572</v>
      </c>
      <c r="C131" s="465" t="s">
        <v>265</v>
      </c>
      <c r="D131" s="464"/>
      <c r="E131" s="464"/>
      <c r="F131" s="464"/>
      <c r="G131" s="464"/>
      <c r="H131" s="491">
        <v>602.42999999999995</v>
      </c>
      <c r="I131" s="464"/>
      <c r="J131" s="464"/>
      <c r="K131" s="464"/>
      <c r="L131" s="464"/>
      <c r="O131" s="593"/>
      <c r="P131" s="593"/>
    </row>
    <row r="132" spans="1:16" s="440" customFormat="1" ht="12" customHeight="1">
      <c r="A132" s="480">
        <v>42856</v>
      </c>
      <c r="B132" s="480" t="s">
        <v>572</v>
      </c>
      <c r="C132" s="465" t="s">
        <v>264</v>
      </c>
      <c r="D132" s="464"/>
      <c r="E132" s="464"/>
      <c r="F132" s="464"/>
      <c r="G132" s="464"/>
      <c r="H132" s="491">
        <v>523</v>
      </c>
      <c r="I132" s="464"/>
      <c r="J132" s="464"/>
      <c r="K132" s="464"/>
      <c r="L132" s="464"/>
      <c r="O132" s="593"/>
      <c r="P132" s="593"/>
    </row>
    <row r="133" spans="1:16" s="440" customFormat="1" ht="12" customHeight="1">
      <c r="A133" s="480">
        <v>42856</v>
      </c>
      <c r="B133" s="480" t="s">
        <v>572</v>
      </c>
      <c r="C133" s="465" t="s">
        <v>182</v>
      </c>
      <c r="D133" s="464"/>
      <c r="E133" s="464"/>
      <c r="F133" s="464"/>
      <c r="G133" s="464"/>
      <c r="H133" s="491">
        <v>279</v>
      </c>
      <c r="I133" s="464"/>
      <c r="J133" s="464"/>
      <c r="K133" s="464"/>
      <c r="L133" s="464"/>
      <c r="O133" s="593"/>
      <c r="P133" s="593"/>
    </row>
    <row r="134" spans="1:16" s="440" customFormat="1" ht="12" customHeight="1">
      <c r="A134" s="480">
        <v>42856</v>
      </c>
      <c r="B134" s="480" t="s">
        <v>572</v>
      </c>
      <c r="C134" s="465" t="s">
        <v>472</v>
      </c>
      <c r="D134" s="464"/>
      <c r="E134" s="464"/>
      <c r="F134" s="464"/>
      <c r="G134" s="464"/>
      <c r="H134" s="491">
        <v>450</v>
      </c>
      <c r="I134" s="464"/>
      <c r="J134" s="464"/>
      <c r="K134" s="464"/>
      <c r="L134" s="464"/>
      <c r="O134" s="593"/>
      <c r="P134" s="593"/>
    </row>
    <row r="135" spans="1:16" s="440" customFormat="1" ht="12" customHeight="1">
      <c r="A135" s="480">
        <v>42856</v>
      </c>
      <c r="B135" s="480" t="s">
        <v>572</v>
      </c>
      <c r="C135" s="465" t="s">
        <v>183</v>
      </c>
      <c r="D135" s="464"/>
      <c r="E135" s="464"/>
      <c r="F135" s="464"/>
      <c r="G135" s="464"/>
      <c r="H135" s="491">
        <v>438.75</v>
      </c>
      <c r="I135" s="464"/>
      <c r="J135" s="464"/>
      <c r="K135" s="464"/>
      <c r="L135" s="464"/>
      <c r="O135" s="593"/>
      <c r="P135" s="593"/>
    </row>
    <row r="136" spans="1:16" s="440" customFormat="1" ht="12" customHeight="1">
      <c r="A136" s="480">
        <v>42856</v>
      </c>
      <c r="B136" s="480" t="s">
        <v>572</v>
      </c>
      <c r="C136" s="465" t="s">
        <v>186</v>
      </c>
      <c r="D136" s="464"/>
      <c r="E136" s="464"/>
      <c r="F136" s="464"/>
      <c r="G136" s="464"/>
      <c r="H136" s="491">
        <v>200</v>
      </c>
      <c r="I136" s="464"/>
      <c r="J136" s="464"/>
      <c r="K136" s="464"/>
      <c r="L136" s="464"/>
      <c r="O136" s="593"/>
      <c r="P136" s="593"/>
    </row>
    <row r="137" spans="1:16" s="440" customFormat="1" ht="12" customHeight="1">
      <c r="A137" s="480">
        <v>42856</v>
      </c>
      <c r="B137" s="480" t="s">
        <v>572</v>
      </c>
      <c r="C137" s="465" t="s">
        <v>214</v>
      </c>
      <c r="D137" s="464"/>
      <c r="E137" s="464"/>
      <c r="F137" s="464"/>
      <c r="G137" s="464"/>
      <c r="H137" s="491">
        <v>120</v>
      </c>
      <c r="I137" s="464"/>
      <c r="J137" s="464"/>
      <c r="K137" s="464"/>
      <c r="L137" s="464"/>
      <c r="O137" s="593"/>
      <c r="P137" s="593"/>
    </row>
    <row r="138" spans="1:16" s="440" customFormat="1" ht="12" customHeight="1">
      <c r="A138" s="480">
        <v>42856</v>
      </c>
      <c r="B138" s="480" t="s">
        <v>572</v>
      </c>
      <c r="C138" s="465" t="s">
        <v>125</v>
      </c>
      <c r="D138" s="464"/>
      <c r="E138" s="464"/>
      <c r="F138" s="464"/>
      <c r="G138" s="464"/>
      <c r="H138" s="491">
        <v>328</v>
      </c>
      <c r="I138" s="464"/>
      <c r="J138" s="464"/>
      <c r="K138" s="464"/>
      <c r="L138" s="464"/>
      <c r="O138" s="593"/>
      <c r="P138" s="593"/>
    </row>
    <row r="139" spans="1:16" s="440" customFormat="1" ht="12" customHeight="1">
      <c r="A139" s="480">
        <v>42856</v>
      </c>
      <c r="B139" s="480" t="s">
        <v>572</v>
      </c>
      <c r="C139" s="465" t="s">
        <v>617</v>
      </c>
      <c r="D139" s="464"/>
      <c r="E139" s="464"/>
      <c r="F139" s="596" t="e">
        <f>#REF!</f>
        <v>#REF!</v>
      </c>
      <c r="G139" s="596" t="e">
        <f>#REF!</f>
        <v>#REF!</v>
      </c>
      <c r="H139" s="491">
        <v>1180.55</v>
      </c>
      <c r="I139" s="464"/>
      <c r="J139" s="464"/>
      <c r="K139" s="464"/>
      <c r="L139" s="464"/>
      <c r="O139" s="593"/>
      <c r="P139" s="593"/>
    </row>
    <row r="140" spans="1:16" s="440" customFormat="1" ht="12" customHeight="1">
      <c r="A140" s="480">
        <v>42857</v>
      </c>
      <c r="B140" s="480" t="s">
        <v>572</v>
      </c>
      <c r="C140" s="465" t="s">
        <v>481</v>
      </c>
      <c r="D140" s="464"/>
      <c r="E140" s="464"/>
      <c r="F140" s="464"/>
      <c r="G140" s="464"/>
      <c r="H140" s="491">
        <v>137.53</v>
      </c>
      <c r="I140" s="464"/>
      <c r="J140" s="464"/>
      <c r="K140" s="464"/>
      <c r="L140" s="464"/>
      <c r="O140" s="593"/>
      <c r="P140" s="593"/>
    </row>
    <row r="141" spans="1:16" s="440" customFormat="1" ht="12" customHeight="1">
      <c r="A141" s="480">
        <v>42857</v>
      </c>
      <c r="B141" s="480" t="s">
        <v>572</v>
      </c>
      <c r="C141" s="465" t="s">
        <v>481</v>
      </c>
      <c r="D141" s="464"/>
      <c r="E141" s="464"/>
      <c r="F141" s="464"/>
      <c r="G141" s="464"/>
      <c r="H141" s="491">
        <v>36.119999999999997</v>
      </c>
      <c r="I141" s="464"/>
      <c r="J141" s="464"/>
      <c r="K141" s="464"/>
      <c r="L141" s="464"/>
      <c r="O141" s="593"/>
      <c r="P141" s="593"/>
    </row>
    <row r="142" spans="1:16" s="440" customFormat="1" ht="12" customHeight="1">
      <c r="A142" s="480">
        <v>42860</v>
      </c>
      <c r="B142" s="480" t="s">
        <v>572</v>
      </c>
      <c r="C142" s="465" t="s">
        <v>20</v>
      </c>
      <c r="D142" s="464"/>
      <c r="E142" s="464"/>
      <c r="F142" s="464"/>
      <c r="G142" s="464"/>
      <c r="H142" s="491">
        <v>176.8</v>
      </c>
      <c r="I142" s="464"/>
      <c r="J142" s="464"/>
      <c r="K142" s="464"/>
      <c r="L142" s="464"/>
      <c r="O142" s="593"/>
      <c r="P142" s="593"/>
    </row>
    <row r="143" spans="1:16" s="440" customFormat="1" ht="12" customHeight="1">
      <c r="A143" s="480">
        <v>42886</v>
      </c>
      <c r="B143" s="480"/>
      <c r="C143" s="465" t="s">
        <v>15</v>
      </c>
      <c r="D143" s="466"/>
      <c r="E143" s="464"/>
      <c r="F143" s="464"/>
      <c r="G143" s="479"/>
      <c r="H143" s="594">
        <f>hush17!$I$8</f>
        <v>2825.7</v>
      </c>
      <c r="I143" s="464"/>
      <c r="J143" s="464"/>
      <c r="K143" s="464"/>
      <c r="L143" s="587">
        <f>hush17!$I$2/MONTH(A143)</f>
        <v>6124.076</v>
      </c>
      <c r="O143" s="593"/>
      <c r="P143" s="593"/>
    </row>
    <row r="144" spans="1:16" s="440" customFormat="1" ht="12" customHeight="1">
      <c r="A144" s="480">
        <v>42886</v>
      </c>
      <c r="B144" s="480"/>
      <c r="C144" s="465" t="s">
        <v>384</v>
      </c>
      <c r="D144" s="466"/>
      <c r="E144" s="464"/>
      <c r="F144" s="464"/>
      <c r="G144" s="479"/>
      <c r="H144" s="594">
        <f>hush17!$F$8</f>
        <v>113.15</v>
      </c>
      <c r="I144" s="464"/>
      <c r="J144" s="464"/>
      <c r="K144" s="464"/>
      <c r="L144" s="587">
        <f>hush17!$F$2/MONTH(A144)</f>
        <v>691.28800000000012</v>
      </c>
      <c r="O144" s="593"/>
      <c r="P144" s="593"/>
    </row>
    <row r="145" spans="1:16" s="440" customFormat="1" ht="12" customHeight="1">
      <c r="A145" s="480">
        <v>42886</v>
      </c>
      <c r="B145" s="480"/>
      <c r="C145" s="465" t="s">
        <v>14</v>
      </c>
      <c r="D145" s="466"/>
      <c r="E145" s="464"/>
      <c r="F145" s="464"/>
      <c r="G145" s="479"/>
      <c r="H145" s="594">
        <f>hush17!$E$8</f>
        <v>115.5</v>
      </c>
      <c r="I145" s="464"/>
      <c r="J145" s="464"/>
      <c r="K145" s="464"/>
      <c r="L145" s="587">
        <f>hush17!$E$2/MONTH(A145)</f>
        <v>649.29999999999995</v>
      </c>
      <c r="O145" s="593"/>
      <c r="P145" s="593"/>
    </row>
    <row r="146" spans="1:16" s="440" customFormat="1" ht="12" customHeight="1">
      <c r="A146" s="480">
        <v>42886</v>
      </c>
      <c r="B146" s="480"/>
      <c r="C146" s="465" t="s">
        <v>561</v>
      </c>
      <c r="D146" s="466"/>
      <c r="E146" s="464"/>
      <c r="F146" s="464"/>
      <c r="G146" s="479"/>
      <c r="H146" s="594">
        <f>'div17'!L6</f>
        <v>300</v>
      </c>
      <c r="I146" s="464"/>
      <c r="J146" s="464"/>
      <c r="K146" s="464"/>
      <c r="L146" s="501"/>
      <c r="O146" s="593"/>
      <c r="P146" s="593"/>
    </row>
    <row r="147" spans="1:16" s="440" customFormat="1" ht="12" customHeight="1">
      <c r="A147" s="480">
        <v>42886</v>
      </c>
      <c r="B147" s="480"/>
      <c r="C147" s="465" t="s">
        <v>37</v>
      </c>
      <c r="D147" s="466"/>
      <c r="E147" s="464"/>
      <c r="F147" s="464"/>
      <c r="G147" s="479"/>
      <c r="H147" s="594">
        <f>'div17'!D6</f>
        <v>5404.45</v>
      </c>
      <c r="I147" s="464"/>
      <c r="J147" s="464"/>
      <c r="K147" s="464"/>
      <c r="L147" s="501"/>
      <c r="O147" s="593"/>
      <c r="P147" s="593"/>
    </row>
    <row r="148" spans="1:16" s="447" customFormat="1" ht="12" customHeight="1">
      <c r="A148" s="601" t="s">
        <v>587</v>
      </c>
      <c r="B148" s="601"/>
      <c r="C148" s="600"/>
      <c r="D148" s="585">
        <f>SUM(D149:D172)</f>
        <v>0</v>
      </c>
      <c r="E148" s="585">
        <f>SUM(E149:E172)</f>
        <v>0</v>
      </c>
      <c r="F148" s="482"/>
      <c r="G148" s="599"/>
      <c r="H148" s="585">
        <f>SUM(H149:H172)</f>
        <v>19753.52</v>
      </c>
      <c r="I148" s="585">
        <f>SUM(I149:I171)</f>
        <v>20741</v>
      </c>
      <c r="J148" s="482"/>
      <c r="K148" s="482"/>
      <c r="L148" s="482"/>
      <c r="N148" s="447">
        <f>MONTH(A171)</f>
        <v>6</v>
      </c>
      <c r="O148" s="597"/>
      <c r="P148" s="597"/>
    </row>
    <row r="149" spans="1:16" s="440" customFormat="1" ht="12" customHeight="1">
      <c r="A149" s="480">
        <v>42886</v>
      </c>
      <c r="B149" s="480" t="s">
        <v>189</v>
      </c>
      <c r="C149" s="465" t="s">
        <v>574</v>
      </c>
      <c r="D149" s="464"/>
      <c r="E149" s="464"/>
      <c r="F149" s="464"/>
      <c r="G149" s="464"/>
      <c r="H149" s="491"/>
      <c r="I149" s="464">
        <v>11527</v>
      </c>
      <c r="J149" s="464"/>
      <c r="K149" s="464"/>
      <c r="L149" s="464"/>
      <c r="O149" s="593"/>
      <c r="P149" s="593"/>
    </row>
    <row r="150" spans="1:16" s="440" customFormat="1" ht="12" customHeight="1">
      <c r="A150" s="480">
        <v>42886</v>
      </c>
      <c r="B150" s="480" t="s">
        <v>189</v>
      </c>
      <c r="C150" s="465" t="s">
        <v>573</v>
      </c>
      <c r="D150" s="464"/>
      <c r="E150" s="464"/>
      <c r="F150" s="464"/>
      <c r="G150" s="464"/>
      <c r="H150" s="491"/>
      <c r="I150" s="464">
        <v>7972</v>
      </c>
      <c r="J150" s="464"/>
      <c r="K150" s="464"/>
      <c r="L150" s="464"/>
      <c r="O150" s="593"/>
      <c r="P150" s="593"/>
    </row>
    <row r="151" spans="1:16" s="440" customFormat="1" ht="12" customHeight="1">
      <c r="A151" s="480">
        <v>42887</v>
      </c>
      <c r="B151" s="480" t="s">
        <v>189</v>
      </c>
      <c r="C151" s="465" t="s">
        <v>31</v>
      </c>
      <c r="D151" s="464"/>
      <c r="E151" s="464"/>
      <c r="F151" s="464"/>
      <c r="G151" s="464"/>
      <c r="H151" s="491"/>
      <c r="I151" s="464">
        <v>1131</v>
      </c>
      <c r="J151" s="464"/>
      <c r="K151" s="464"/>
      <c r="L151" s="464"/>
      <c r="O151" s="593"/>
      <c r="P151" s="593"/>
    </row>
    <row r="152" spans="1:16" s="440" customFormat="1" ht="12" customHeight="1">
      <c r="A152" s="480">
        <v>42886</v>
      </c>
      <c r="B152" s="480"/>
      <c r="C152" s="465" t="s">
        <v>22</v>
      </c>
      <c r="D152" s="464"/>
      <c r="E152" s="464"/>
      <c r="F152" s="464"/>
      <c r="G152" s="464"/>
      <c r="H152" s="491">
        <v>85</v>
      </c>
      <c r="I152" s="464"/>
      <c r="J152" s="464"/>
      <c r="K152" s="464"/>
      <c r="L152" s="464"/>
      <c r="O152" s="593"/>
      <c r="P152" s="593"/>
    </row>
    <row r="153" spans="1:16" s="440" customFormat="1" ht="12" customHeight="1">
      <c r="A153" s="480">
        <v>42886</v>
      </c>
      <c r="B153" s="480"/>
      <c r="C153" s="465" t="s">
        <v>21</v>
      </c>
      <c r="D153" s="464"/>
      <c r="E153" s="464"/>
      <c r="F153" s="464"/>
      <c r="G153" s="464"/>
      <c r="H153" s="491">
        <v>151</v>
      </c>
      <c r="I153" s="464"/>
      <c r="J153" s="464"/>
      <c r="K153" s="464"/>
      <c r="L153" s="464"/>
      <c r="O153" s="593"/>
      <c r="P153" s="593"/>
    </row>
    <row r="154" spans="1:16" s="440" customFormat="1" ht="12" customHeight="1">
      <c r="A154" s="480">
        <v>42887</v>
      </c>
      <c r="B154" s="480"/>
      <c r="C154" s="465" t="s">
        <v>230</v>
      </c>
      <c r="D154" s="464"/>
      <c r="E154" s="464"/>
      <c r="F154" s="464"/>
      <c r="G154" s="464"/>
      <c r="H154" s="491">
        <v>59</v>
      </c>
      <c r="I154" s="464"/>
      <c r="J154" s="464"/>
      <c r="K154" s="464"/>
      <c r="L154" s="464"/>
      <c r="O154" s="593"/>
      <c r="P154" s="593"/>
    </row>
    <row r="155" spans="1:16" s="440" customFormat="1" ht="12" customHeight="1">
      <c r="A155" s="480">
        <v>42887</v>
      </c>
      <c r="B155" s="480" t="s">
        <v>189</v>
      </c>
      <c r="C155" s="465" t="s">
        <v>30</v>
      </c>
      <c r="D155" s="464"/>
      <c r="E155" s="464"/>
      <c r="F155" s="464"/>
      <c r="G155" s="464"/>
      <c r="H155" s="491">
        <v>7474</v>
      </c>
      <c r="I155" s="464"/>
      <c r="J155" s="464"/>
      <c r="K155" s="464"/>
      <c r="L155" s="464"/>
      <c r="O155" s="593"/>
      <c r="P155" s="593"/>
    </row>
    <row r="156" spans="1:16" s="440" customFormat="1" ht="12" customHeight="1">
      <c r="A156" s="480">
        <v>42887</v>
      </c>
      <c r="B156" s="480"/>
      <c r="C156" s="465" t="s">
        <v>265</v>
      </c>
      <c r="D156" s="464"/>
      <c r="E156" s="464"/>
      <c r="F156" s="464"/>
      <c r="G156" s="464"/>
      <c r="H156" s="491">
        <v>602.4</v>
      </c>
      <c r="I156" s="464"/>
      <c r="J156" s="464">
        <v>15880.9</v>
      </c>
      <c r="K156" s="464"/>
      <c r="L156" s="464"/>
      <c r="O156" s="593"/>
      <c r="P156" s="593"/>
    </row>
    <row r="157" spans="1:16" s="440" customFormat="1" ht="12" customHeight="1">
      <c r="A157" s="480">
        <v>42887</v>
      </c>
      <c r="B157" s="480"/>
      <c r="C157" s="465" t="s">
        <v>264</v>
      </c>
      <c r="D157" s="464"/>
      <c r="E157" s="464"/>
      <c r="F157" s="464"/>
      <c r="G157" s="464"/>
      <c r="H157" s="491">
        <v>523</v>
      </c>
      <c r="I157" s="464"/>
      <c r="J157" s="464">
        <v>14586.66</v>
      </c>
      <c r="K157" s="464"/>
      <c r="L157" s="464"/>
      <c r="O157" s="593"/>
      <c r="P157" s="593"/>
    </row>
    <row r="158" spans="1:16" s="440" customFormat="1" ht="12" customHeight="1">
      <c r="A158" s="480">
        <v>42887</v>
      </c>
      <c r="B158" s="480"/>
      <c r="C158" s="465" t="s">
        <v>182</v>
      </c>
      <c r="D158" s="464"/>
      <c r="E158" s="464"/>
      <c r="F158" s="464"/>
      <c r="G158" s="464"/>
      <c r="H158" s="491">
        <v>279</v>
      </c>
      <c r="I158" s="464"/>
      <c r="J158" s="464">
        <v>8631.89</v>
      </c>
      <c r="K158" s="464"/>
      <c r="L158" s="464"/>
      <c r="O158" s="593"/>
      <c r="P158" s="593"/>
    </row>
    <row r="159" spans="1:16" s="440" customFormat="1" ht="12" customHeight="1">
      <c r="A159" s="480">
        <v>42887</v>
      </c>
      <c r="B159" s="480"/>
      <c r="C159" s="465" t="s">
        <v>472</v>
      </c>
      <c r="D159" s="464"/>
      <c r="E159" s="464"/>
      <c r="F159" s="464"/>
      <c r="G159" s="464"/>
      <c r="H159" s="491">
        <v>450</v>
      </c>
      <c r="I159" s="464"/>
      <c r="J159" s="596">
        <f>4026.82+3528.07</f>
        <v>7554.89</v>
      </c>
      <c r="K159" s="464"/>
      <c r="L159" s="464"/>
      <c r="O159" s="593"/>
      <c r="P159" s="593"/>
    </row>
    <row r="160" spans="1:16" s="440" customFormat="1" ht="12" customHeight="1">
      <c r="A160" s="480">
        <v>42887</v>
      </c>
      <c r="B160" s="480"/>
      <c r="C160" s="465" t="s">
        <v>183</v>
      </c>
      <c r="D160" s="464"/>
      <c r="E160" s="464"/>
      <c r="F160" s="464"/>
      <c r="G160" s="464"/>
      <c r="H160" s="491">
        <v>438.75</v>
      </c>
      <c r="I160" s="464"/>
      <c r="J160" s="464"/>
      <c r="K160" s="464"/>
      <c r="L160" s="464"/>
      <c r="O160" s="593"/>
      <c r="P160" s="593"/>
    </row>
    <row r="161" spans="1:16" s="440" customFormat="1" ht="12" customHeight="1">
      <c r="A161" s="480">
        <v>42887</v>
      </c>
      <c r="B161" s="480"/>
      <c r="C161" s="465" t="s">
        <v>186</v>
      </c>
      <c r="D161" s="464"/>
      <c r="E161" s="464"/>
      <c r="F161" s="464"/>
      <c r="G161" s="464"/>
      <c r="H161" s="491">
        <v>250</v>
      </c>
      <c r="I161" s="464">
        <v>50</v>
      </c>
      <c r="J161" s="464"/>
      <c r="K161" s="464"/>
      <c r="L161" s="464"/>
      <c r="O161" s="593"/>
      <c r="P161" s="593"/>
    </row>
    <row r="162" spans="1:16" s="440" customFormat="1" ht="12" customHeight="1">
      <c r="A162" s="480">
        <v>42887</v>
      </c>
      <c r="B162" s="480"/>
      <c r="C162" s="465" t="s">
        <v>214</v>
      </c>
      <c r="D162" s="464"/>
      <c r="E162" s="464"/>
      <c r="F162" s="464"/>
      <c r="G162" s="464"/>
      <c r="H162" s="491">
        <v>150</v>
      </c>
      <c r="I162" s="464">
        <v>61</v>
      </c>
      <c r="J162" s="464"/>
      <c r="K162" s="464"/>
      <c r="L162" s="464"/>
      <c r="O162" s="593"/>
      <c r="P162" s="593"/>
    </row>
    <row r="163" spans="1:16" s="440" customFormat="1" ht="12" customHeight="1">
      <c r="A163" s="480">
        <v>42887</v>
      </c>
      <c r="B163" s="480"/>
      <c r="C163" s="465" t="s">
        <v>617</v>
      </c>
      <c r="D163" s="464"/>
      <c r="E163" s="464"/>
      <c r="F163" s="596" t="e">
        <f>#REF!+#REF!</f>
        <v>#REF!</v>
      </c>
      <c r="G163" s="596" t="e">
        <f>#REF!</f>
        <v>#REF!</v>
      </c>
      <c r="H163" s="491">
        <v>1835.07</v>
      </c>
      <c r="I163" s="464"/>
      <c r="J163" s="464"/>
      <c r="K163" s="464"/>
      <c r="L163" s="464"/>
      <c r="O163" s="593"/>
      <c r="P163" s="593"/>
    </row>
    <row r="164" spans="1:16" s="440" customFormat="1" ht="12" customHeight="1">
      <c r="A164" s="480">
        <v>42892</v>
      </c>
      <c r="B164" s="480"/>
      <c r="C164" s="465" t="s">
        <v>20</v>
      </c>
      <c r="D164" s="464"/>
      <c r="E164" s="464"/>
      <c r="F164" s="464"/>
      <c r="G164" s="464"/>
      <c r="H164" s="491">
        <v>176.8</v>
      </c>
      <c r="I164" s="464"/>
      <c r="J164" s="464"/>
      <c r="K164" s="464"/>
      <c r="L164" s="464"/>
      <c r="O164" s="593"/>
      <c r="P164" s="593"/>
    </row>
    <row r="165" spans="1:16" s="440" customFormat="1" ht="12" customHeight="1">
      <c r="A165" s="480">
        <v>42888</v>
      </c>
      <c r="B165" s="480"/>
      <c r="C165" s="465" t="s">
        <v>481</v>
      </c>
      <c r="D165" s="464"/>
      <c r="E165" s="464"/>
      <c r="F165" s="464"/>
      <c r="G165" s="464"/>
      <c r="H165" s="491">
        <v>135</v>
      </c>
      <c r="I165" s="464"/>
      <c r="J165" s="464"/>
      <c r="K165" s="464"/>
      <c r="L165" s="464"/>
      <c r="O165" s="593"/>
      <c r="P165" s="593"/>
    </row>
    <row r="166" spans="1:16" s="440" customFormat="1" ht="12" customHeight="1">
      <c r="A166" s="480">
        <v>42888</v>
      </c>
      <c r="B166" s="480"/>
      <c r="C166" s="465" t="s">
        <v>481</v>
      </c>
      <c r="D166" s="464"/>
      <c r="E166" s="464"/>
      <c r="F166" s="464"/>
      <c r="G166" s="464"/>
      <c r="H166" s="491">
        <v>41</v>
      </c>
      <c r="I166" s="464"/>
      <c r="J166" s="464"/>
      <c r="K166" s="464"/>
      <c r="L166" s="464"/>
      <c r="O166" s="593"/>
      <c r="P166" s="593"/>
    </row>
    <row r="167" spans="1:16" s="440" customFormat="1" ht="12" customHeight="1">
      <c r="A167" s="480">
        <v>42916</v>
      </c>
      <c r="B167" s="480"/>
      <c r="C167" s="465" t="s">
        <v>15</v>
      </c>
      <c r="D167" s="466"/>
      <c r="E167" s="464"/>
      <c r="F167" s="464"/>
      <c r="G167" s="479"/>
      <c r="H167" s="594">
        <f>hush17!$I$9</f>
        <v>2455.1200000000003</v>
      </c>
      <c r="I167" s="464"/>
      <c r="J167" s="464"/>
      <c r="K167" s="464"/>
      <c r="L167" s="587">
        <f>hush17!$I$2/MONTH(A167)</f>
        <v>5103.3966666666665</v>
      </c>
      <c r="O167" s="593"/>
      <c r="P167" s="593"/>
    </row>
    <row r="168" spans="1:16" s="440" customFormat="1" ht="12" customHeight="1">
      <c r="A168" s="480">
        <v>42916</v>
      </c>
      <c r="B168" s="480"/>
      <c r="C168" s="465" t="s">
        <v>384</v>
      </c>
      <c r="D168" s="466"/>
      <c r="E168" s="464"/>
      <c r="F168" s="464"/>
      <c r="G168" s="479"/>
      <c r="H168" s="594">
        <f>hush17!$F$9</f>
        <v>333.2</v>
      </c>
      <c r="I168" s="464"/>
      <c r="J168" s="464"/>
      <c r="K168" s="464"/>
      <c r="L168" s="587">
        <f>hush17!$F$2/MONTH(A168)</f>
        <v>576.07333333333338</v>
      </c>
      <c r="O168" s="593"/>
      <c r="P168" s="593"/>
    </row>
    <row r="169" spans="1:16" s="440" customFormat="1" ht="12" customHeight="1">
      <c r="A169" s="480">
        <v>42916</v>
      </c>
      <c r="B169" s="480"/>
      <c r="C169" s="465" t="s">
        <v>14</v>
      </c>
      <c r="D169" s="466"/>
      <c r="E169" s="464"/>
      <c r="F169" s="464"/>
      <c r="G169" s="479"/>
      <c r="H169" s="594">
        <f>hush17!$E$9</f>
        <v>231</v>
      </c>
      <c r="I169" s="464"/>
      <c r="J169" s="464"/>
      <c r="K169" s="464"/>
      <c r="L169" s="587">
        <f>hush17!$E$2/MONTH(A169)</f>
        <v>541.08333333333337</v>
      </c>
      <c r="O169" s="593"/>
      <c r="P169" s="593"/>
    </row>
    <row r="170" spans="1:16" s="440" customFormat="1" ht="12" customHeight="1">
      <c r="A170" s="480">
        <v>42916</v>
      </c>
      <c r="B170" s="480"/>
      <c r="C170" s="465" t="s">
        <v>614</v>
      </c>
      <c r="D170" s="466"/>
      <c r="E170" s="464"/>
      <c r="F170" s="464"/>
      <c r="G170" s="479"/>
      <c r="H170" s="594">
        <f>'div17'!$E$8</f>
        <v>0</v>
      </c>
      <c r="I170" s="464"/>
      <c r="J170" s="464"/>
      <c r="K170" s="464"/>
      <c r="L170" s="501"/>
      <c r="O170" s="593"/>
      <c r="P170" s="593"/>
    </row>
    <row r="171" spans="1:16" s="440" customFormat="1" ht="12" customHeight="1">
      <c r="A171" s="480">
        <v>42916</v>
      </c>
      <c r="B171" s="480"/>
      <c r="C171" s="465" t="s">
        <v>561</v>
      </c>
      <c r="D171" s="466"/>
      <c r="E171" s="464"/>
      <c r="F171" s="464"/>
      <c r="G171" s="479"/>
      <c r="H171" s="466"/>
      <c r="I171" s="464"/>
      <c r="J171" s="464"/>
      <c r="K171" s="464"/>
      <c r="L171" s="501"/>
      <c r="O171" s="593"/>
      <c r="P171" s="593"/>
    </row>
    <row r="172" spans="1:16" s="440" customFormat="1" ht="12" customHeight="1">
      <c r="A172" s="480">
        <v>42916</v>
      </c>
      <c r="B172" s="480"/>
      <c r="C172" s="465" t="s">
        <v>37</v>
      </c>
      <c r="D172" s="466"/>
      <c r="E172" s="464"/>
      <c r="F172" s="464"/>
      <c r="G172" s="479"/>
      <c r="H172" s="594">
        <f>'div17'!$D$7</f>
        <v>4084.1800000000003</v>
      </c>
      <c r="I172" s="464"/>
      <c r="J172" s="464"/>
      <c r="K172" s="464"/>
      <c r="L172" s="501"/>
      <c r="O172" s="593"/>
      <c r="P172" s="593"/>
    </row>
    <row r="173" spans="1:16" s="447" customFormat="1" ht="12" customHeight="1">
      <c r="A173" s="601" t="s">
        <v>586</v>
      </c>
      <c r="B173" s="601"/>
      <c r="C173" s="600"/>
      <c r="D173" s="585">
        <f>SUM(D174:D200)</f>
        <v>0</v>
      </c>
      <c r="E173" s="585">
        <f>SUM(E174:E200)</f>
        <v>0</v>
      </c>
      <c r="F173" s="482"/>
      <c r="G173" s="599"/>
      <c r="H173" s="585">
        <f>SUM(H174:H200)</f>
        <v>21582.06</v>
      </c>
      <c r="I173" s="585">
        <f>SUM(I174:I199)</f>
        <v>20745</v>
      </c>
      <c r="J173" s="604">
        <f>SUM(J174:J199)</f>
        <v>46654.34</v>
      </c>
      <c r="K173" s="585">
        <f>SUM(K181:K193)</f>
        <v>4059.6700000000005</v>
      </c>
      <c r="L173" s="482"/>
      <c r="N173" s="447">
        <f>MONTH(A196)</f>
        <v>7</v>
      </c>
      <c r="O173" s="597"/>
      <c r="P173" s="597"/>
    </row>
    <row r="174" spans="1:16" s="440" customFormat="1" ht="12" customHeight="1">
      <c r="A174" s="480">
        <v>42916</v>
      </c>
      <c r="B174" s="480"/>
      <c r="C174" s="465" t="s">
        <v>574</v>
      </c>
      <c r="D174" s="464"/>
      <c r="E174" s="464"/>
      <c r="F174" s="464"/>
      <c r="G174" s="464"/>
      <c r="H174" s="491"/>
      <c r="I174" s="464">
        <v>11527</v>
      </c>
      <c r="J174" s="464"/>
      <c r="K174" s="464"/>
      <c r="L174" s="464"/>
      <c r="O174" s="593"/>
      <c r="P174" s="593"/>
    </row>
    <row r="175" spans="1:16" s="440" customFormat="1" ht="12" customHeight="1">
      <c r="A175" s="480">
        <v>42886</v>
      </c>
      <c r="B175" s="480"/>
      <c r="C175" s="465" t="s">
        <v>573</v>
      </c>
      <c r="D175" s="464"/>
      <c r="E175" s="464"/>
      <c r="F175" s="464"/>
      <c r="G175" s="464"/>
      <c r="H175" s="491"/>
      <c r="I175" s="464">
        <v>7972</v>
      </c>
      <c r="J175" s="464"/>
      <c r="K175" s="464"/>
      <c r="L175" s="464"/>
      <c r="O175" s="593"/>
      <c r="P175" s="593"/>
    </row>
    <row r="176" spans="1:16" s="440" customFormat="1" ht="12" customHeight="1">
      <c r="A176" s="480">
        <v>42916</v>
      </c>
      <c r="B176" s="480" t="s">
        <v>189</v>
      </c>
      <c r="C176" s="465" t="s">
        <v>22</v>
      </c>
      <c r="D176" s="464"/>
      <c r="E176" s="464"/>
      <c r="F176" s="464"/>
      <c r="G176" s="464"/>
      <c r="H176" s="491">
        <v>90</v>
      </c>
      <c r="I176" s="464"/>
      <c r="J176" s="464"/>
      <c r="K176" s="464"/>
      <c r="L176" s="464"/>
      <c r="O176" s="593"/>
      <c r="P176" s="593"/>
    </row>
    <row r="177" spans="1:16" s="440" customFormat="1" ht="12" customHeight="1">
      <c r="A177" s="480">
        <v>42916</v>
      </c>
      <c r="B177" s="480" t="s">
        <v>189</v>
      </c>
      <c r="C177" s="465" t="s">
        <v>21</v>
      </c>
      <c r="D177" s="464"/>
      <c r="E177" s="464"/>
      <c r="F177" s="464"/>
      <c r="G177" s="464"/>
      <c r="H177" s="491">
        <v>160</v>
      </c>
      <c r="I177" s="464"/>
      <c r="J177" s="464"/>
      <c r="K177" s="464"/>
      <c r="L177" s="464"/>
      <c r="O177" s="593"/>
      <c r="P177" s="593"/>
    </row>
    <row r="178" spans="1:16" s="440" customFormat="1" ht="12" customHeight="1">
      <c r="A178" s="480">
        <v>42917</v>
      </c>
      <c r="B178" s="480" t="s">
        <v>189</v>
      </c>
      <c r="C178" s="465" t="s">
        <v>230</v>
      </c>
      <c r="D178" s="464"/>
      <c r="E178" s="464"/>
      <c r="F178" s="464"/>
      <c r="G178" s="464"/>
      <c r="H178" s="491">
        <v>59</v>
      </c>
      <c r="I178" s="464"/>
      <c r="J178" s="464"/>
      <c r="K178" s="464"/>
      <c r="L178" s="464"/>
      <c r="O178" s="593"/>
      <c r="P178" s="593"/>
    </row>
    <row r="179" spans="1:16" s="440" customFormat="1" ht="12" customHeight="1">
      <c r="A179" s="480">
        <v>42919</v>
      </c>
      <c r="B179" s="480" t="s">
        <v>189</v>
      </c>
      <c r="C179" s="465" t="s">
        <v>31</v>
      </c>
      <c r="D179" s="464"/>
      <c r="E179" s="464"/>
      <c r="F179" s="464"/>
      <c r="G179" s="464"/>
      <c r="H179" s="491"/>
      <c r="I179" s="464">
        <v>1131</v>
      </c>
      <c r="J179" s="464"/>
      <c r="K179" s="464"/>
      <c r="L179" s="464"/>
      <c r="O179" s="593"/>
      <c r="P179" s="593"/>
    </row>
    <row r="180" spans="1:16" s="440" customFormat="1" ht="12" customHeight="1">
      <c r="A180" s="480">
        <v>42919</v>
      </c>
      <c r="B180" s="480" t="s">
        <v>189</v>
      </c>
      <c r="C180" s="465" t="s">
        <v>30</v>
      </c>
      <c r="D180" s="464"/>
      <c r="E180" s="464"/>
      <c r="F180" s="464"/>
      <c r="G180" s="464"/>
      <c r="H180" s="491">
        <v>0</v>
      </c>
      <c r="I180" s="464"/>
      <c r="J180" s="464"/>
      <c r="K180" s="464"/>
      <c r="L180" s="464"/>
      <c r="O180" s="593"/>
      <c r="P180" s="593"/>
    </row>
    <row r="181" spans="1:16" s="440" customFormat="1" ht="12" customHeight="1">
      <c r="A181" s="480">
        <v>42919</v>
      </c>
      <c r="B181" s="480" t="s">
        <v>572</v>
      </c>
      <c r="C181" s="465" t="s">
        <v>265</v>
      </c>
      <c r="D181" s="464"/>
      <c r="E181" s="464"/>
      <c r="F181" s="464"/>
      <c r="G181" s="464"/>
      <c r="H181" s="491">
        <v>602.4</v>
      </c>
      <c r="I181" s="464"/>
      <c r="J181" s="464">
        <v>15880.9</v>
      </c>
      <c r="K181" s="464">
        <v>602.4</v>
      </c>
      <c r="L181" s="464"/>
      <c r="O181" s="593"/>
      <c r="P181" s="593"/>
    </row>
    <row r="182" spans="1:16" s="440" customFormat="1" ht="12" customHeight="1">
      <c r="A182" s="480">
        <v>42919</v>
      </c>
      <c r="B182" s="480" t="s">
        <v>572</v>
      </c>
      <c r="C182" s="465" t="s">
        <v>264</v>
      </c>
      <c r="D182" s="464"/>
      <c r="E182" s="464"/>
      <c r="F182" s="464"/>
      <c r="G182" s="464"/>
      <c r="H182" s="491">
        <v>543</v>
      </c>
      <c r="I182" s="464"/>
      <c r="J182" s="464">
        <v>14586.66</v>
      </c>
      <c r="K182" s="464">
        <v>543</v>
      </c>
      <c r="L182" s="464"/>
      <c r="O182" s="593"/>
      <c r="P182" s="593"/>
    </row>
    <row r="183" spans="1:16" s="440" customFormat="1" ht="12" customHeight="1">
      <c r="A183" s="480">
        <v>42919</v>
      </c>
      <c r="B183" s="480" t="s">
        <v>572</v>
      </c>
      <c r="C183" s="465" t="s">
        <v>182</v>
      </c>
      <c r="D183" s="464"/>
      <c r="E183" s="464"/>
      <c r="F183" s="464"/>
      <c r="G183" s="464"/>
      <c r="H183" s="491">
        <v>279</v>
      </c>
      <c r="I183" s="464"/>
      <c r="J183" s="464">
        <v>8631.89</v>
      </c>
      <c r="K183" s="464">
        <v>279</v>
      </c>
      <c r="L183" s="464"/>
      <c r="O183" s="593"/>
      <c r="P183" s="593"/>
    </row>
    <row r="184" spans="1:16" s="440" customFormat="1" ht="12" customHeight="1">
      <c r="A184" s="480">
        <v>42919</v>
      </c>
      <c r="B184" s="480" t="s">
        <v>572</v>
      </c>
      <c r="C184" s="465" t="s">
        <v>472</v>
      </c>
      <c r="D184" s="464"/>
      <c r="E184" s="464"/>
      <c r="F184" s="464"/>
      <c r="G184" s="464"/>
      <c r="H184" s="491">
        <v>240</v>
      </c>
      <c r="I184" s="464"/>
      <c r="J184" s="596">
        <f>4026.82</f>
        <v>4026.82</v>
      </c>
      <c r="K184" s="464">
        <v>240</v>
      </c>
      <c r="L184" s="464"/>
      <c r="O184" s="593"/>
      <c r="P184" s="593"/>
    </row>
    <row r="185" spans="1:16" s="440" customFormat="1" ht="12" customHeight="1">
      <c r="A185" s="480">
        <v>42919</v>
      </c>
      <c r="B185" s="480" t="s">
        <v>572</v>
      </c>
      <c r="C185" s="465" t="s">
        <v>472</v>
      </c>
      <c r="D185" s="464"/>
      <c r="E185" s="464"/>
      <c r="F185" s="464"/>
      <c r="G185" s="464"/>
      <c r="H185" s="491">
        <v>210</v>
      </c>
      <c r="I185" s="464"/>
      <c r="J185" s="596">
        <f>3528.07</f>
        <v>3528.07</v>
      </c>
      <c r="K185" s="464">
        <v>210</v>
      </c>
      <c r="L185" s="464"/>
      <c r="O185" s="593"/>
      <c r="P185" s="593"/>
    </row>
    <row r="186" spans="1:16" s="440" customFormat="1" ht="12" customHeight="1">
      <c r="A186" s="480">
        <v>42919</v>
      </c>
      <c r="B186" s="480" t="s">
        <v>572</v>
      </c>
      <c r="C186" s="465" t="s">
        <v>183</v>
      </c>
      <c r="D186" s="464"/>
      <c r="E186" s="464"/>
      <c r="F186" s="464"/>
      <c r="G186" s="464"/>
      <c r="H186" s="491">
        <v>438.75</v>
      </c>
      <c r="I186" s="464"/>
      <c r="J186" s="464"/>
      <c r="K186" s="464">
        <v>438.75</v>
      </c>
      <c r="L186" s="464"/>
      <c r="O186" s="593"/>
      <c r="P186" s="593"/>
    </row>
    <row r="187" spans="1:16" s="440" customFormat="1" ht="12" customHeight="1">
      <c r="A187" s="480">
        <v>42919</v>
      </c>
      <c r="B187" s="480" t="s">
        <v>572</v>
      </c>
      <c r="C187" s="465" t="s">
        <v>186</v>
      </c>
      <c r="D187" s="464"/>
      <c r="E187" s="464"/>
      <c r="F187" s="464"/>
      <c r="G187" s="464"/>
      <c r="H187" s="491">
        <v>200</v>
      </c>
      <c r="I187" s="464">
        <v>115</v>
      </c>
      <c r="J187" s="464"/>
      <c r="K187" s="464">
        <v>200</v>
      </c>
      <c r="L187" s="464"/>
      <c r="O187" s="593"/>
      <c r="P187" s="593"/>
    </row>
    <row r="188" spans="1:16" s="440" customFormat="1" ht="12" customHeight="1">
      <c r="A188" s="480">
        <v>42919</v>
      </c>
      <c r="B188" s="480" t="s">
        <v>572</v>
      </c>
      <c r="C188" s="465" t="s">
        <v>214</v>
      </c>
      <c r="D188" s="464"/>
      <c r="E188" s="464"/>
      <c r="F188" s="464"/>
      <c r="G188" s="464"/>
      <c r="H188" s="491">
        <v>120</v>
      </c>
      <c r="I188" s="464"/>
      <c r="J188" s="464"/>
      <c r="K188" s="464">
        <v>120</v>
      </c>
      <c r="L188" s="464"/>
      <c r="O188" s="593"/>
      <c r="P188" s="593"/>
    </row>
    <row r="189" spans="1:16" s="440" customFormat="1" ht="12" customHeight="1">
      <c r="A189" s="480">
        <v>42919</v>
      </c>
      <c r="B189" s="480" t="s">
        <v>572</v>
      </c>
      <c r="C189" s="465" t="s">
        <v>617</v>
      </c>
      <c r="D189" s="464"/>
      <c r="E189" s="464"/>
      <c r="F189" s="596" t="e">
        <f>#REF!</f>
        <v>#REF!</v>
      </c>
      <c r="G189" s="596" t="e">
        <f>#REF!</f>
        <v>#REF!</v>
      </c>
      <c r="H189" s="491">
        <v>815.13</v>
      </c>
      <c r="I189" s="464"/>
      <c r="J189" s="464"/>
      <c r="K189" s="464">
        <v>815.13</v>
      </c>
      <c r="L189" s="464"/>
      <c r="O189" s="593"/>
      <c r="P189" s="593"/>
    </row>
    <row r="190" spans="1:16" s="440" customFormat="1" ht="12" customHeight="1">
      <c r="A190" s="480">
        <v>42919</v>
      </c>
      <c r="B190" s="480" t="s">
        <v>572</v>
      </c>
      <c r="C190" s="465" t="s">
        <v>481</v>
      </c>
      <c r="D190" s="464"/>
      <c r="E190" s="464"/>
      <c r="F190" s="464"/>
      <c r="G190" s="464"/>
      <c r="H190" s="491">
        <v>117.36</v>
      </c>
      <c r="I190" s="464"/>
      <c r="J190" s="464"/>
      <c r="K190" s="464">
        <v>117.36</v>
      </c>
      <c r="L190" s="464"/>
      <c r="O190" s="593"/>
      <c r="P190" s="593"/>
    </row>
    <row r="191" spans="1:16" s="440" customFormat="1" ht="12" customHeight="1">
      <c r="A191" s="480">
        <v>42919</v>
      </c>
      <c r="B191" s="480" t="s">
        <v>572</v>
      </c>
      <c r="C191" s="465" t="s">
        <v>481</v>
      </c>
      <c r="D191" s="464"/>
      <c r="E191" s="464"/>
      <c r="F191" s="464"/>
      <c r="G191" s="464"/>
      <c r="H191" s="491">
        <v>32.229999999999997</v>
      </c>
      <c r="I191" s="464"/>
      <c r="J191" s="464"/>
      <c r="K191" s="464">
        <v>32.229999999999997</v>
      </c>
      <c r="L191" s="464"/>
      <c r="O191" s="593"/>
      <c r="P191" s="593"/>
    </row>
    <row r="192" spans="1:16" s="440" customFormat="1" ht="12" customHeight="1">
      <c r="A192" s="480">
        <v>42920</v>
      </c>
      <c r="B192" s="480" t="s">
        <v>572</v>
      </c>
      <c r="C192" s="465" t="s">
        <v>583</v>
      </c>
      <c r="D192" s="464"/>
      <c r="E192" s="464"/>
      <c r="F192" s="464"/>
      <c r="G192" s="464"/>
      <c r="H192" s="491">
        <v>285</v>
      </c>
      <c r="I192" s="464"/>
      <c r="J192" s="464"/>
      <c r="K192" s="464">
        <v>285</v>
      </c>
      <c r="L192" s="464"/>
      <c r="O192" s="593"/>
      <c r="P192" s="593"/>
    </row>
    <row r="193" spans="1:16" s="440" customFormat="1" ht="12" customHeight="1">
      <c r="A193" s="480">
        <v>42921</v>
      </c>
      <c r="B193" s="480" t="s">
        <v>572</v>
      </c>
      <c r="C193" s="465" t="s">
        <v>20</v>
      </c>
      <c r="D193" s="464"/>
      <c r="E193" s="464"/>
      <c r="F193" s="464"/>
      <c r="G193" s="464"/>
      <c r="H193" s="491">
        <v>176.8</v>
      </c>
      <c r="I193" s="464"/>
      <c r="J193" s="464"/>
      <c r="K193" s="464">
        <v>176.8</v>
      </c>
      <c r="L193" s="464"/>
      <c r="O193" s="593"/>
      <c r="P193" s="593"/>
    </row>
    <row r="194" spans="1:16" s="440" customFormat="1" ht="12" customHeight="1">
      <c r="A194" s="480">
        <v>42926</v>
      </c>
      <c r="B194" s="480" t="s">
        <v>189</v>
      </c>
      <c r="C194" s="465" t="s">
        <v>144</v>
      </c>
      <c r="D194" s="464"/>
      <c r="E194" s="464"/>
      <c r="F194" s="464"/>
      <c r="G194" s="464"/>
      <c r="H194" s="491">
        <v>1663.17</v>
      </c>
      <c r="I194" s="464"/>
      <c r="J194" s="464"/>
      <c r="K194" s="464"/>
      <c r="L194" s="464"/>
      <c r="O194" s="593"/>
      <c r="P194" s="593"/>
    </row>
    <row r="195" spans="1:16" s="440" customFormat="1" ht="12" customHeight="1">
      <c r="A195" s="480">
        <v>42947</v>
      </c>
      <c r="B195" s="480"/>
      <c r="C195" s="465" t="s">
        <v>15</v>
      </c>
      <c r="D195" s="466"/>
      <c r="E195" s="464"/>
      <c r="F195" s="464"/>
      <c r="G195" s="479"/>
      <c r="H195" s="594">
        <f>hush17!I10</f>
        <v>1953.2500000000002</v>
      </c>
      <c r="I195" s="464"/>
      <c r="J195" s="464"/>
      <c r="K195" s="464"/>
      <c r="L195" s="587">
        <f>hush17!$I$2/MONTH(A195)</f>
        <v>4374.34</v>
      </c>
      <c r="O195" s="593"/>
      <c r="P195" s="593"/>
    </row>
    <row r="196" spans="1:16" s="440" customFormat="1" ht="12" customHeight="1">
      <c r="A196" s="480">
        <v>42947</v>
      </c>
      <c r="B196" s="480"/>
      <c r="C196" s="465" t="s">
        <v>384</v>
      </c>
      <c r="D196" s="466"/>
      <c r="E196" s="464"/>
      <c r="F196" s="464"/>
      <c r="G196" s="479"/>
      <c r="H196" s="594">
        <f>hush17!F10</f>
        <v>78.95</v>
      </c>
      <c r="I196" s="464"/>
      <c r="J196" s="464"/>
      <c r="K196" s="464"/>
      <c r="L196" s="587">
        <f>hush17!$F$2/MONTH(A196)</f>
        <v>493.77714285714291</v>
      </c>
      <c r="O196" s="593"/>
      <c r="P196" s="593"/>
    </row>
    <row r="197" spans="1:16" s="440" customFormat="1" ht="12" customHeight="1">
      <c r="A197" s="480">
        <v>42947</v>
      </c>
      <c r="B197" s="480"/>
      <c r="C197" s="465" t="s">
        <v>14</v>
      </c>
      <c r="D197" s="466"/>
      <c r="E197" s="464"/>
      <c r="F197" s="464"/>
      <c r="G197" s="479"/>
      <c r="H197" s="594">
        <f>hush17!E10</f>
        <v>308</v>
      </c>
      <c r="I197" s="464"/>
      <c r="J197" s="464"/>
      <c r="K197" s="464"/>
      <c r="L197" s="587">
        <f>hush17!$E$2/MONTH(A197)</f>
        <v>463.78571428571428</v>
      </c>
      <c r="O197" s="593"/>
      <c r="P197" s="593"/>
    </row>
    <row r="198" spans="1:16" s="440" customFormat="1" ht="12" customHeight="1">
      <c r="A198" s="480">
        <v>42947</v>
      </c>
      <c r="B198" s="480"/>
      <c r="C198" s="465" t="s">
        <v>614</v>
      </c>
      <c r="D198" s="466"/>
      <c r="E198" s="464"/>
      <c r="F198" s="464"/>
      <c r="G198" s="479"/>
      <c r="H198" s="466"/>
      <c r="I198" s="464"/>
      <c r="J198" s="464"/>
      <c r="K198" s="464"/>
      <c r="L198" s="501"/>
      <c r="O198" s="593"/>
      <c r="P198" s="593"/>
    </row>
    <row r="199" spans="1:16" s="440" customFormat="1" ht="12" customHeight="1">
      <c r="A199" s="480">
        <v>42947</v>
      </c>
      <c r="B199" s="480"/>
      <c r="C199" s="465" t="s">
        <v>561</v>
      </c>
      <c r="D199" s="466"/>
      <c r="E199" s="464"/>
      <c r="F199" s="464"/>
      <c r="G199" s="479"/>
      <c r="H199" s="466"/>
      <c r="I199" s="464"/>
      <c r="J199" s="464"/>
      <c r="K199" s="464"/>
      <c r="L199" s="501"/>
      <c r="O199" s="593"/>
      <c r="P199" s="593"/>
    </row>
    <row r="200" spans="1:16" s="440" customFormat="1" ht="12" customHeight="1">
      <c r="A200" s="480">
        <v>42947</v>
      </c>
      <c r="B200" s="480"/>
      <c r="C200" s="465" t="s">
        <v>37</v>
      </c>
      <c r="D200" s="466"/>
      <c r="E200" s="464"/>
      <c r="F200" s="464"/>
      <c r="G200" s="479"/>
      <c r="H200" s="594">
        <f>'div17'!D8</f>
        <v>13210.02</v>
      </c>
      <c r="I200" s="464"/>
      <c r="J200" s="464"/>
      <c r="K200" s="464"/>
      <c r="L200" s="501"/>
      <c r="O200" s="593"/>
      <c r="P200" s="593"/>
    </row>
    <row r="201" spans="1:16" s="447" customFormat="1" ht="12" customHeight="1">
      <c r="A201" s="601" t="s">
        <v>584</v>
      </c>
      <c r="B201" s="601"/>
      <c r="C201" s="600"/>
      <c r="D201" s="585">
        <f>SUM(D202:D222)</f>
        <v>0</v>
      </c>
      <c r="E201" s="585">
        <f>SUM(E202:E222)</f>
        <v>0</v>
      </c>
      <c r="F201" s="482"/>
      <c r="G201" s="599"/>
      <c r="H201" s="585">
        <f>SUM(H202:H222)</f>
        <v>19425.93</v>
      </c>
      <c r="I201" s="585">
        <f>SUM(I202:I221)</f>
        <v>20630</v>
      </c>
      <c r="J201" s="482"/>
      <c r="K201" s="482"/>
      <c r="L201" s="482"/>
      <c r="N201" s="447">
        <f>MONTH(A222)</f>
        <v>8</v>
      </c>
      <c r="O201" s="597"/>
      <c r="P201" s="597"/>
    </row>
    <row r="202" spans="1:16" s="440" customFormat="1" ht="12" customHeight="1">
      <c r="A202" s="480">
        <v>42947</v>
      </c>
      <c r="B202" s="480" t="s">
        <v>189</v>
      </c>
      <c r="C202" s="465" t="s">
        <v>574</v>
      </c>
      <c r="D202" s="464"/>
      <c r="E202" s="464"/>
      <c r="F202" s="464"/>
      <c r="G202" s="464"/>
      <c r="H202" s="491"/>
      <c r="I202" s="464">
        <v>11527</v>
      </c>
      <c r="J202" s="464"/>
      <c r="K202" s="464"/>
      <c r="L202" s="464"/>
      <c r="O202" s="593"/>
      <c r="P202" s="593"/>
    </row>
    <row r="203" spans="1:16" s="440" customFormat="1" ht="12" customHeight="1">
      <c r="A203" s="480">
        <v>42947</v>
      </c>
      <c r="B203" s="480" t="s">
        <v>189</v>
      </c>
      <c r="C203" s="465" t="s">
        <v>573</v>
      </c>
      <c r="D203" s="464"/>
      <c r="E203" s="464"/>
      <c r="F203" s="464"/>
      <c r="G203" s="464"/>
      <c r="H203" s="491"/>
      <c r="I203" s="464">
        <v>7972</v>
      </c>
      <c r="J203" s="464"/>
      <c r="K203" s="464"/>
      <c r="L203" s="464"/>
      <c r="O203" s="593"/>
      <c r="P203" s="593"/>
    </row>
    <row r="204" spans="1:16" s="440" customFormat="1" ht="12" customHeight="1">
      <c r="A204" s="480">
        <v>42947</v>
      </c>
      <c r="B204" s="480"/>
      <c r="C204" s="465" t="s">
        <v>618</v>
      </c>
      <c r="D204" s="464"/>
      <c r="E204" s="464"/>
      <c r="F204" s="464"/>
      <c r="G204" s="464"/>
      <c r="H204" s="491">
        <v>2014.22</v>
      </c>
      <c r="I204" s="464"/>
      <c r="J204" s="464"/>
      <c r="K204" s="464"/>
      <c r="L204" s="464"/>
      <c r="O204" s="593"/>
      <c r="P204" s="593"/>
    </row>
    <row r="205" spans="1:16" s="440" customFormat="1" ht="12" customHeight="1">
      <c r="A205" s="480">
        <v>42948</v>
      </c>
      <c r="B205" s="480" t="s">
        <v>189</v>
      </c>
      <c r="C205" s="465" t="s">
        <v>31</v>
      </c>
      <c r="D205" s="464"/>
      <c r="E205" s="464"/>
      <c r="F205" s="464"/>
      <c r="G205" s="464"/>
      <c r="H205" s="491"/>
      <c r="I205" s="464">
        <v>1131</v>
      </c>
      <c r="J205" s="464"/>
      <c r="K205" s="464"/>
      <c r="L205" s="464"/>
      <c r="O205" s="593"/>
      <c r="P205" s="593"/>
    </row>
    <row r="206" spans="1:16" s="440" customFormat="1" ht="12" customHeight="1">
      <c r="A206" s="480">
        <v>42948</v>
      </c>
      <c r="B206" s="480" t="s">
        <v>189</v>
      </c>
      <c r="C206" s="465" t="s">
        <v>230</v>
      </c>
      <c r="D206" s="464"/>
      <c r="E206" s="464"/>
      <c r="F206" s="464"/>
      <c r="G206" s="464"/>
      <c r="H206" s="491">
        <v>59</v>
      </c>
      <c r="I206" s="464"/>
      <c r="J206" s="464"/>
      <c r="K206" s="464"/>
      <c r="L206" s="464"/>
      <c r="O206" s="593"/>
      <c r="P206" s="593"/>
    </row>
    <row r="207" spans="1:16" s="440" customFormat="1" ht="12" customHeight="1">
      <c r="A207" s="480">
        <v>42948</v>
      </c>
      <c r="B207" s="480" t="s">
        <v>189</v>
      </c>
      <c r="C207" s="465" t="s">
        <v>30</v>
      </c>
      <c r="D207" s="464"/>
      <c r="E207" s="464"/>
      <c r="F207" s="464"/>
      <c r="G207" s="464"/>
      <c r="H207" s="491">
        <v>7474</v>
      </c>
      <c r="I207" s="464"/>
      <c r="J207" s="464"/>
      <c r="K207" s="464"/>
      <c r="L207" s="464"/>
      <c r="O207" s="593"/>
      <c r="P207" s="593"/>
    </row>
    <row r="208" spans="1:16" s="440" customFormat="1" ht="12" customHeight="1">
      <c r="A208" s="480">
        <v>42948</v>
      </c>
      <c r="B208" s="480" t="s">
        <v>572</v>
      </c>
      <c r="C208" s="465" t="s">
        <v>265</v>
      </c>
      <c r="D208" s="464"/>
      <c r="E208" s="464"/>
      <c r="F208" s="464"/>
      <c r="G208" s="464"/>
      <c r="H208" s="491">
        <v>602.4</v>
      </c>
      <c r="I208" s="464"/>
      <c r="J208" s="464"/>
      <c r="K208" s="464"/>
      <c r="L208" s="464"/>
      <c r="O208" s="593"/>
      <c r="P208" s="593"/>
    </row>
    <row r="209" spans="1:16" s="440" customFormat="1" ht="12" customHeight="1">
      <c r="A209" s="480">
        <v>42948</v>
      </c>
      <c r="B209" s="480" t="s">
        <v>572</v>
      </c>
      <c r="C209" s="465" t="s">
        <v>264</v>
      </c>
      <c r="D209" s="464"/>
      <c r="E209" s="464"/>
      <c r="F209" s="464"/>
      <c r="G209" s="464"/>
      <c r="H209" s="491">
        <v>523</v>
      </c>
      <c r="I209" s="464"/>
      <c r="J209" s="464"/>
      <c r="K209" s="464"/>
      <c r="L209" s="464"/>
      <c r="O209" s="593"/>
      <c r="P209" s="593"/>
    </row>
    <row r="210" spans="1:16" s="440" customFormat="1" ht="12" customHeight="1">
      <c r="A210" s="480">
        <v>42948</v>
      </c>
      <c r="B210" s="480" t="s">
        <v>572</v>
      </c>
      <c r="C210" s="465" t="s">
        <v>182</v>
      </c>
      <c r="D210" s="464"/>
      <c r="E210" s="464"/>
      <c r="F210" s="464"/>
      <c r="G210" s="464"/>
      <c r="H210" s="491">
        <v>279</v>
      </c>
      <c r="I210" s="464"/>
      <c r="J210" s="464"/>
      <c r="K210" s="464"/>
      <c r="L210" s="464"/>
      <c r="O210" s="593"/>
      <c r="P210" s="593"/>
    </row>
    <row r="211" spans="1:16" s="440" customFormat="1" ht="12" customHeight="1">
      <c r="A211" s="480">
        <v>42948</v>
      </c>
      <c r="B211" s="480" t="s">
        <v>572</v>
      </c>
      <c r="C211" s="465" t="s">
        <v>472</v>
      </c>
      <c r="D211" s="464"/>
      <c r="E211" s="464"/>
      <c r="F211" s="464"/>
      <c r="G211" s="464"/>
      <c r="H211" s="491">
        <v>450</v>
      </c>
      <c r="I211" s="464"/>
      <c r="J211" s="464"/>
      <c r="K211" s="464"/>
      <c r="L211" s="464"/>
      <c r="O211" s="593"/>
      <c r="P211" s="593"/>
    </row>
    <row r="212" spans="1:16" s="440" customFormat="1" ht="12" customHeight="1">
      <c r="A212" s="480">
        <v>42948</v>
      </c>
      <c r="B212" s="480" t="s">
        <v>572</v>
      </c>
      <c r="C212" s="465" t="s">
        <v>183</v>
      </c>
      <c r="D212" s="464"/>
      <c r="E212" s="464"/>
      <c r="F212" s="464"/>
      <c r="G212" s="464"/>
      <c r="H212" s="491">
        <v>438.75</v>
      </c>
      <c r="I212" s="464"/>
      <c r="J212" s="464"/>
      <c r="K212" s="464"/>
      <c r="L212" s="464"/>
      <c r="O212" s="593"/>
      <c r="P212" s="593"/>
    </row>
    <row r="213" spans="1:16" s="440" customFormat="1" ht="12" customHeight="1">
      <c r="A213" s="480">
        <v>42948</v>
      </c>
      <c r="B213" s="480" t="s">
        <v>572</v>
      </c>
      <c r="C213" s="465" t="s">
        <v>617</v>
      </c>
      <c r="D213" s="464"/>
      <c r="E213" s="464"/>
      <c r="F213" s="596" t="e">
        <f>#REF!+#REF!</f>
        <v>#REF!</v>
      </c>
      <c r="G213" s="596" t="e">
        <f>#REF!</f>
        <v>#REF!</v>
      </c>
      <c r="H213" s="491">
        <v>1329.41</v>
      </c>
      <c r="I213" s="464"/>
      <c r="J213" s="464"/>
      <c r="K213" s="464"/>
      <c r="L213" s="464"/>
      <c r="O213" s="593"/>
      <c r="P213" s="593"/>
    </row>
    <row r="214" spans="1:16" s="440" customFormat="1" ht="12" customHeight="1">
      <c r="A214" s="480">
        <v>42949</v>
      </c>
      <c r="B214" s="480" t="s">
        <v>572</v>
      </c>
      <c r="C214" s="465" t="s">
        <v>481</v>
      </c>
      <c r="D214" s="464"/>
      <c r="E214" s="464"/>
      <c r="F214" s="464"/>
      <c r="G214" s="464"/>
      <c r="H214" s="491">
        <v>177.24</v>
      </c>
      <c r="I214" s="464"/>
      <c r="J214" s="464"/>
      <c r="K214" s="464"/>
      <c r="L214" s="464"/>
      <c r="O214" s="593"/>
      <c r="P214" s="593"/>
    </row>
    <row r="215" spans="1:16" s="440" customFormat="1" ht="12" customHeight="1">
      <c r="A215" s="480">
        <v>42949</v>
      </c>
      <c r="B215" s="480" t="s">
        <v>572</v>
      </c>
      <c r="C215" s="465" t="s">
        <v>481</v>
      </c>
      <c r="D215" s="464"/>
      <c r="E215" s="464"/>
      <c r="F215" s="464"/>
      <c r="G215" s="464"/>
      <c r="H215" s="491">
        <v>30.52</v>
      </c>
      <c r="I215" s="464"/>
      <c r="J215" s="464"/>
      <c r="K215" s="464"/>
      <c r="L215" s="464"/>
      <c r="O215" s="593"/>
      <c r="P215" s="593"/>
    </row>
    <row r="216" spans="1:16" s="440" customFormat="1" ht="12" customHeight="1">
      <c r="A216" s="480">
        <v>42962</v>
      </c>
      <c r="B216" s="480" t="s">
        <v>572</v>
      </c>
      <c r="C216" s="465" t="s">
        <v>20</v>
      </c>
      <c r="D216" s="464"/>
      <c r="E216" s="464"/>
      <c r="F216" s="464"/>
      <c r="G216" s="464"/>
      <c r="H216" s="491">
        <v>176.8</v>
      </c>
      <c r="I216" s="464"/>
      <c r="J216" s="464"/>
      <c r="K216" s="464"/>
      <c r="L216" s="464"/>
      <c r="O216" s="593"/>
      <c r="P216" s="593"/>
    </row>
    <row r="217" spans="1:16" s="440" customFormat="1" ht="12" customHeight="1">
      <c r="A217" s="480">
        <v>42978</v>
      </c>
      <c r="B217" s="480"/>
      <c r="C217" s="465" t="s">
        <v>15</v>
      </c>
      <c r="D217" s="466"/>
      <c r="E217" s="464"/>
      <c r="F217" s="464"/>
      <c r="G217" s="479"/>
      <c r="H217" s="594">
        <f>hush17!I11</f>
        <v>1943.5100000000007</v>
      </c>
      <c r="I217" s="464"/>
      <c r="J217" s="464"/>
      <c r="K217" s="464"/>
      <c r="L217" s="501"/>
      <c r="M217" s="603">
        <f>AVERAGE(hush17!$I$4:'hush17'!$I$11)</f>
        <v>2451.2062500000006</v>
      </c>
      <c r="N217" s="603">
        <f>COUNT(M217:M220)</f>
        <v>4</v>
      </c>
      <c r="O217" s="593" t="s">
        <v>616</v>
      </c>
      <c r="P217" s="593"/>
    </row>
    <row r="218" spans="1:16" s="440" customFormat="1" ht="12" customHeight="1">
      <c r="A218" s="480">
        <v>42978</v>
      </c>
      <c r="B218" s="480"/>
      <c r="C218" s="465" t="s">
        <v>384</v>
      </c>
      <c r="D218" s="466"/>
      <c r="E218" s="464"/>
      <c r="F218" s="464"/>
      <c r="G218" s="479"/>
      <c r="H218" s="594">
        <f>hush17!F11</f>
        <v>185.55</v>
      </c>
      <c r="I218" s="464"/>
      <c r="J218" s="464"/>
      <c r="K218" s="464"/>
      <c r="L218" s="501"/>
      <c r="M218" s="603">
        <f>AVERAGE(hush17!$F$4:'hush17'!$F$11)</f>
        <v>208.38000000000002</v>
      </c>
      <c r="N218" s="603"/>
      <c r="O218" s="593"/>
      <c r="P218" s="593"/>
    </row>
    <row r="219" spans="1:16" s="440" customFormat="1" ht="12" customHeight="1">
      <c r="A219" s="480">
        <v>42978</v>
      </c>
      <c r="B219" s="480"/>
      <c r="C219" s="465" t="s">
        <v>14</v>
      </c>
      <c r="D219" s="466"/>
      <c r="E219" s="464"/>
      <c r="F219" s="464"/>
      <c r="G219" s="479"/>
      <c r="H219" s="594">
        <f>hush17!E11</f>
        <v>308</v>
      </c>
      <c r="I219" s="464"/>
      <c r="J219" s="464"/>
      <c r="K219" s="464"/>
      <c r="L219" s="501"/>
      <c r="M219" s="603">
        <f>AVERAGE(hush17!$E$4:'hush17'!$E$11)</f>
        <v>226.1875</v>
      </c>
      <c r="N219" s="603"/>
      <c r="O219" s="593"/>
      <c r="P219" s="593"/>
    </row>
    <row r="220" spans="1:16" s="440" customFormat="1" ht="12" customHeight="1">
      <c r="A220" s="480">
        <v>42978</v>
      </c>
      <c r="B220" s="480"/>
      <c r="C220" s="465" t="s">
        <v>614</v>
      </c>
      <c r="D220" s="466"/>
      <c r="E220" s="464"/>
      <c r="F220" s="464"/>
      <c r="G220" s="479"/>
      <c r="H220" s="594">
        <f>'div17'!E9</f>
        <v>99</v>
      </c>
      <c r="I220" s="464"/>
      <c r="J220" s="464"/>
      <c r="K220" s="464"/>
      <c r="L220" s="501"/>
      <c r="M220" s="603">
        <f>AVERAGE('div17'!$E$2:'div17'!$E$9)</f>
        <v>414.36874999999998</v>
      </c>
      <c r="N220" s="603"/>
      <c r="O220" s="593"/>
      <c r="P220" s="593"/>
    </row>
    <row r="221" spans="1:16" s="440" customFormat="1" ht="12" customHeight="1">
      <c r="A221" s="480">
        <v>42978</v>
      </c>
      <c r="B221" s="480"/>
      <c r="C221" s="465" t="s">
        <v>561</v>
      </c>
      <c r="D221" s="466"/>
      <c r="E221" s="464"/>
      <c r="F221" s="464"/>
      <c r="G221" s="479"/>
      <c r="H221" s="466"/>
      <c r="I221" s="464"/>
      <c r="J221" s="464"/>
      <c r="K221" s="464"/>
      <c r="L221" s="501"/>
      <c r="O221" s="593"/>
      <c r="P221" s="593"/>
    </row>
    <row r="222" spans="1:16" s="440" customFormat="1" ht="12" customHeight="1">
      <c r="A222" s="480">
        <v>42978</v>
      </c>
      <c r="B222" s="480"/>
      <c r="C222" s="465" t="s">
        <v>37</v>
      </c>
      <c r="D222" s="466"/>
      <c r="E222" s="464"/>
      <c r="F222" s="464"/>
      <c r="G222" s="479"/>
      <c r="H222" s="594">
        <f>'div17'!D9</f>
        <v>3335.53</v>
      </c>
      <c r="I222" s="464"/>
      <c r="J222" s="464"/>
      <c r="K222" s="464"/>
      <c r="L222" s="501"/>
      <c r="O222" s="593"/>
      <c r="P222" s="593"/>
    </row>
    <row r="223" spans="1:16" s="447" customFormat="1" ht="12" customHeight="1">
      <c r="A223" s="601" t="s">
        <v>580</v>
      </c>
      <c r="B223" s="601"/>
      <c r="C223" s="600"/>
      <c r="D223" s="585">
        <f>SUM(D224:D247)</f>
        <v>0</v>
      </c>
      <c r="E223" s="585">
        <f>SUM(E224:E247)</f>
        <v>0</v>
      </c>
      <c r="F223" s="482"/>
      <c r="G223" s="599"/>
      <c r="H223" s="585">
        <f>SUM(H224:H247)</f>
        <v>20482.739999999998</v>
      </c>
      <c r="I223" s="585">
        <f>SUM(I224:I246)</f>
        <v>20849</v>
      </c>
      <c r="J223" s="482"/>
      <c r="K223" s="482"/>
      <c r="L223" s="482"/>
    </row>
    <row r="224" spans="1:16" s="440" customFormat="1" ht="12" customHeight="1">
      <c r="A224" s="480">
        <v>42978</v>
      </c>
      <c r="B224" s="480" t="s">
        <v>189</v>
      </c>
      <c r="C224" s="465" t="s">
        <v>574</v>
      </c>
      <c r="D224" s="464"/>
      <c r="E224" s="464"/>
      <c r="F224" s="464"/>
      <c r="G224" s="464"/>
      <c r="H224" s="491"/>
      <c r="I224" s="464">
        <v>11527</v>
      </c>
      <c r="J224" s="464"/>
      <c r="K224" s="464"/>
      <c r="L224" s="464"/>
      <c r="O224" s="593"/>
      <c r="P224" s="593"/>
    </row>
    <row r="225" spans="1:16" s="440" customFormat="1" ht="12" customHeight="1">
      <c r="A225" s="480">
        <v>42978</v>
      </c>
      <c r="B225" s="480" t="s">
        <v>189</v>
      </c>
      <c r="C225" s="465" t="s">
        <v>573</v>
      </c>
      <c r="D225" s="464"/>
      <c r="E225" s="464"/>
      <c r="F225" s="464"/>
      <c r="G225" s="464"/>
      <c r="H225" s="491"/>
      <c r="I225" s="464">
        <v>7972</v>
      </c>
      <c r="J225" s="464"/>
      <c r="K225" s="464"/>
      <c r="L225" s="464"/>
      <c r="O225" s="593"/>
      <c r="P225" s="593"/>
    </row>
    <row r="226" spans="1:16" s="440" customFormat="1" ht="12" customHeight="1">
      <c r="A226" s="480">
        <v>42978</v>
      </c>
      <c r="B226" s="480"/>
      <c r="C226" s="465" t="s">
        <v>214</v>
      </c>
      <c r="D226" s="464"/>
      <c r="E226" s="464"/>
      <c r="F226" s="464"/>
      <c r="G226" s="464"/>
      <c r="H226" s="491">
        <v>45</v>
      </c>
      <c r="I226" s="464"/>
      <c r="J226" s="464"/>
      <c r="K226" s="464"/>
      <c r="L226" s="464"/>
      <c r="O226" s="593"/>
      <c r="P226" s="593"/>
    </row>
    <row r="227" spans="1:16" s="440" customFormat="1" ht="12" customHeight="1">
      <c r="A227" s="480">
        <v>42979</v>
      </c>
      <c r="B227" s="480" t="s">
        <v>189</v>
      </c>
      <c r="C227" s="465" t="s">
        <v>228</v>
      </c>
      <c r="D227" s="464"/>
      <c r="E227" s="464"/>
      <c r="F227" s="464"/>
      <c r="G227" s="464"/>
      <c r="H227" s="491">
        <v>2415</v>
      </c>
      <c r="I227" s="464"/>
      <c r="J227" s="464"/>
      <c r="K227" s="464"/>
      <c r="L227" s="464"/>
      <c r="O227" s="593"/>
      <c r="P227" s="593"/>
    </row>
    <row r="228" spans="1:16" s="440" customFormat="1" ht="12" customHeight="1">
      <c r="A228" s="480">
        <v>42979</v>
      </c>
      <c r="B228" s="480" t="s">
        <v>189</v>
      </c>
      <c r="C228" s="465" t="s">
        <v>31</v>
      </c>
      <c r="D228" s="464"/>
      <c r="E228" s="464"/>
      <c r="F228" s="464"/>
      <c r="G228" s="464"/>
      <c r="H228" s="491"/>
      <c r="I228" s="464">
        <v>1350</v>
      </c>
      <c r="J228" s="464"/>
      <c r="K228" s="464"/>
      <c r="L228" s="464"/>
      <c r="O228" s="593"/>
      <c r="P228" s="593"/>
    </row>
    <row r="229" spans="1:16" s="440" customFormat="1" ht="12" customHeight="1">
      <c r="A229" s="480">
        <v>42979</v>
      </c>
      <c r="B229" s="480" t="s">
        <v>189</v>
      </c>
      <c r="C229" s="465" t="s">
        <v>30</v>
      </c>
      <c r="D229" s="464"/>
      <c r="E229" s="464"/>
      <c r="F229" s="464"/>
      <c r="G229" s="464"/>
      <c r="H229" s="491">
        <v>3737</v>
      </c>
      <c r="I229" s="464"/>
      <c r="J229" s="464"/>
      <c r="K229" s="464"/>
      <c r="L229" s="464"/>
      <c r="O229" s="593"/>
      <c r="P229" s="593"/>
    </row>
    <row r="230" spans="1:16" s="440" customFormat="1" ht="12" customHeight="1">
      <c r="A230" s="480">
        <v>42979</v>
      </c>
      <c r="B230" s="480" t="s">
        <v>572</v>
      </c>
      <c r="C230" s="465" t="s">
        <v>265</v>
      </c>
      <c r="D230" s="464"/>
      <c r="E230" s="464"/>
      <c r="F230" s="464"/>
      <c r="G230" s="464"/>
      <c r="H230" s="491">
        <v>602.42999999999995</v>
      </c>
      <c r="I230" s="464"/>
      <c r="J230" s="464"/>
      <c r="K230" s="464"/>
      <c r="L230" s="464"/>
      <c r="O230" s="593"/>
      <c r="P230" s="593"/>
    </row>
    <row r="231" spans="1:16" s="440" customFormat="1" ht="12" customHeight="1">
      <c r="A231" s="480">
        <v>42979</v>
      </c>
      <c r="B231" s="480" t="s">
        <v>572</v>
      </c>
      <c r="C231" s="465" t="s">
        <v>264</v>
      </c>
      <c r="D231" s="464"/>
      <c r="E231" s="464"/>
      <c r="F231" s="464"/>
      <c r="G231" s="464"/>
      <c r="H231" s="491">
        <v>523</v>
      </c>
      <c r="I231" s="464"/>
      <c r="J231" s="464"/>
      <c r="K231" s="464"/>
      <c r="L231" s="464"/>
      <c r="O231" s="593"/>
      <c r="P231" s="593"/>
    </row>
    <row r="232" spans="1:16" s="440" customFormat="1" ht="12" customHeight="1">
      <c r="A232" s="480">
        <v>42979</v>
      </c>
      <c r="B232" s="480" t="s">
        <v>572</v>
      </c>
      <c r="C232" s="465" t="s">
        <v>182</v>
      </c>
      <c r="D232" s="464"/>
      <c r="E232" s="464"/>
      <c r="F232" s="464"/>
      <c r="G232" s="464"/>
      <c r="H232" s="491">
        <v>279</v>
      </c>
      <c r="I232" s="464"/>
      <c r="J232" s="464"/>
      <c r="K232" s="464"/>
      <c r="L232" s="464"/>
      <c r="O232" s="593"/>
      <c r="P232" s="593"/>
    </row>
    <row r="233" spans="1:16" s="440" customFormat="1" ht="12" customHeight="1">
      <c r="A233" s="480">
        <v>42979</v>
      </c>
      <c r="B233" s="480" t="s">
        <v>572</v>
      </c>
      <c r="C233" s="465" t="s">
        <v>472</v>
      </c>
      <c r="D233" s="464"/>
      <c r="E233" s="464"/>
      <c r="F233" s="464"/>
      <c r="G233" s="464"/>
      <c r="H233" s="491">
        <v>450</v>
      </c>
      <c r="I233" s="464"/>
      <c r="J233" s="464"/>
      <c r="K233" s="464"/>
      <c r="L233" s="464"/>
      <c r="O233" s="593"/>
      <c r="P233" s="593"/>
    </row>
    <row r="234" spans="1:16" s="440" customFormat="1" ht="12" customHeight="1">
      <c r="A234" s="480">
        <v>42979</v>
      </c>
      <c r="B234" s="480" t="s">
        <v>572</v>
      </c>
      <c r="C234" s="465" t="s">
        <v>183</v>
      </c>
      <c r="D234" s="464"/>
      <c r="E234" s="464"/>
      <c r="F234" s="464"/>
      <c r="G234" s="464"/>
      <c r="H234" s="491">
        <v>438.75</v>
      </c>
      <c r="I234" s="464"/>
      <c r="J234" s="464"/>
      <c r="K234" s="464"/>
      <c r="L234" s="464"/>
      <c r="O234" s="593"/>
      <c r="P234" s="593"/>
    </row>
    <row r="235" spans="1:16" s="440" customFormat="1" ht="12" customHeight="1">
      <c r="A235" s="480">
        <v>42979</v>
      </c>
      <c r="B235" s="480" t="s">
        <v>572</v>
      </c>
      <c r="C235" s="465" t="s">
        <v>100</v>
      </c>
      <c r="D235" s="464"/>
      <c r="E235" s="464"/>
      <c r="F235" s="464"/>
      <c r="G235" s="464"/>
      <c r="H235" s="491">
        <v>2143.39</v>
      </c>
      <c r="I235" s="464"/>
      <c r="J235" s="464"/>
      <c r="K235" s="464"/>
      <c r="L235" s="464"/>
      <c r="O235" s="593"/>
      <c r="P235" s="593"/>
    </row>
    <row r="236" spans="1:16" s="440" customFormat="1" ht="12" customHeight="1">
      <c r="A236" s="480">
        <v>42979</v>
      </c>
      <c r="B236" s="480" t="s">
        <v>572</v>
      </c>
      <c r="C236" s="465" t="s">
        <v>306</v>
      </c>
      <c r="D236" s="464"/>
      <c r="E236" s="464"/>
      <c r="F236" s="596" t="e">
        <f>#REF!</f>
        <v>#REF!</v>
      </c>
      <c r="G236" s="596" t="e">
        <f>#REF!</f>
        <v>#REF!</v>
      </c>
      <c r="H236" s="491">
        <v>1837.65</v>
      </c>
      <c r="I236" s="464"/>
      <c r="J236" s="464"/>
      <c r="K236" s="464"/>
      <c r="L236" s="464"/>
      <c r="O236" s="593"/>
      <c r="P236" s="593"/>
    </row>
    <row r="237" spans="1:16" s="440" customFormat="1" ht="12" customHeight="1">
      <c r="A237" s="480">
        <v>42979</v>
      </c>
      <c r="B237" s="480" t="s">
        <v>572</v>
      </c>
      <c r="C237" s="465" t="s">
        <v>481</v>
      </c>
      <c r="D237" s="464"/>
      <c r="E237" s="464"/>
      <c r="F237" s="464"/>
      <c r="G237" s="464"/>
      <c r="H237" s="491">
        <v>163.38999999999999</v>
      </c>
      <c r="I237" s="464"/>
      <c r="J237" s="464"/>
      <c r="K237" s="464"/>
      <c r="L237" s="464"/>
      <c r="O237" s="593"/>
      <c r="P237" s="593"/>
    </row>
    <row r="238" spans="1:16" s="440" customFormat="1" ht="12" customHeight="1">
      <c r="A238" s="480">
        <v>42979</v>
      </c>
      <c r="B238" s="480" t="s">
        <v>572</v>
      </c>
      <c r="C238" s="465" t="s">
        <v>481</v>
      </c>
      <c r="D238" s="464"/>
      <c r="E238" s="464"/>
      <c r="F238" s="464"/>
      <c r="G238" s="464"/>
      <c r="H238" s="491">
        <v>28.96</v>
      </c>
      <c r="I238" s="464"/>
      <c r="J238" s="464"/>
      <c r="K238" s="464"/>
      <c r="L238" s="464"/>
      <c r="O238" s="593"/>
      <c r="P238" s="593"/>
    </row>
    <row r="239" spans="1:16" s="440" customFormat="1" ht="12" customHeight="1">
      <c r="A239" s="480">
        <v>42983</v>
      </c>
      <c r="B239" s="480" t="s">
        <v>572</v>
      </c>
      <c r="C239" s="465" t="s">
        <v>20</v>
      </c>
      <c r="D239" s="464"/>
      <c r="E239" s="464"/>
      <c r="F239" s="464"/>
      <c r="G239" s="464"/>
      <c r="H239" s="491">
        <v>171.09</v>
      </c>
      <c r="I239" s="464"/>
      <c r="J239" s="464"/>
      <c r="K239" s="464"/>
      <c r="L239" s="464"/>
      <c r="O239" s="593"/>
      <c r="P239" s="593"/>
    </row>
    <row r="240" spans="1:16" s="440" customFormat="1" ht="12" customHeight="1">
      <c r="A240" s="480">
        <v>42983</v>
      </c>
      <c r="B240" s="480" t="s">
        <v>189</v>
      </c>
      <c r="C240" s="465" t="s">
        <v>570</v>
      </c>
      <c r="D240" s="464"/>
      <c r="E240" s="464"/>
      <c r="F240" s="464"/>
      <c r="G240" s="464"/>
      <c r="H240" s="491">
        <v>2272</v>
      </c>
      <c r="I240" s="464"/>
      <c r="J240" s="464"/>
      <c r="K240" s="464"/>
      <c r="L240" s="464"/>
      <c r="O240" s="593"/>
      <c r="P240" s="593"/>
    </row>
    <row r="241" spans="1:16" s="440" customFormat="1" ht="12" customHeight="1">
      <c r="A241" s="480">
        <v>43008</v>
      </c>
      <c r="B241" s="480"/>
      <c r="C241" s="465" t="s">
        <v>15</v>
      </c>
      <c r="D241" s="466"/>
      <c r="E241" s="464"/>
      <c r="F241" s="464"/>
      <c r="G241" s="479"/>
      <c r="H241" s="594">
        <f>hush17!I12</f>
        <v>2228.9500000000003</v>
      </c>
      <c r="I241" s="464"/>
      <c r="J241" s="464"/>
      <c r="K241" s="464"/>
      <c r="L241" s="501"/>
      <c r="M241" s="603">
        <f>hush17!I3</f>
        <v>2451.2062500000006</v>
      </c>
      <c r="N241" s="603"/>
      <c r="O241" s="593"/>
      <c r="P241" s="593"/>
    </row>
    <row r="242" spans="1:16" s="440" customFormat="1" ht="12" customHeight="1">
      <c r="A242" s="480">
        <v>43008</v>
      </c>
      <c r="B242" s="480"/>
      <c r="C242" s="465" t="s">
        <v>384</v>
      </c>
      <c r="D242" s="466"/>
      <c r="E242" s="464"/>
      <c r="F242" s="464"/>
      <c r="G242" s="479"/>
      <c r="H242" s="594">
        <f>hush17!F12</f>
        <v>519.29999999999995</v>
      </c>
      <c r="I242" s="464"/>
      <c r="J242" s="464"/>
      <c r="K242" s="464"/>
      <c r="L242" s="501"/>
      <c r="M242" s="603">
        <f>hush17!F3</f>
        <v>208.38000000000002</v>
      </c>
      <c r="N242" s="603"/>
      <c r="O242" s="593"/>
      <c r="P242" s="593"/>
    </row>
    <row r="243" spans="1:16" s="440" customFormat="1" ht="12" customHeight="1">
      <c r="A243" s="480">
        <v>43008</v>
      </c>
      <c r="B243" s="480"/>
      <c r="C243" s="465" t="s">
        <v>14</v>
      </c>
      <c r="D243" s="466"/>
      <c r="E243" s="464"/>
      <c r="F243" s="464"/>
      <c r="G243" s="479"/>
      <c r="H243" s="594">
        <f>hush17!E12</f>
        <v>308</v>
      </c>
      <c r="I243" s="464"/>
      <c r="J243" s="464"/>
      <c r="K243" s="464"/>
      <c r="L243" s="501"/>
      <c r="M243" s="603">
        <f>hush17!E3</f>
        <v>226.1875</v>
      </c>
      <c r="N243" s="603"/>
      <c r="O243" s="593"/>
      <c r="P243" s="593"/>
    </row>
    <row r="244" spans="1:16" s="440" customFormat="1" ht="12" customHeight="1">
      <c r="A244" s="480">
        <v>43008</v>
      </c>
      <c r="B244" s="480"/>
      <c r="C244" s="465" t="s">
        <v>615</v>
      </c>
      <c r="D244" s="466"/>
      <c r="E244" s="464"/>
      <c r="F244" s="464"/>
      <c r="G244" s="479"/>
      <c r="H244" s="466"/>
      <c r="I244" s="464"/>
      <c r="J244" s="464"/>
      <c r="K244" s="464"/>
      <c r="L244" s="501"/>
      <c r="O244" s="593"/>
      <c r="P244" s="593"/>
    </row>
    <row r="245" spans="1:16" s="440" customFormat="1" ht="12" customHeight="1">
      <c r="A245" s="480">
        <v>43008</v>
      </c>
      <c r="B245" s="480"/>
      <c r="C245" s="465" t="s">
        <v>614</v>
      </c>
      <c r="D245" s="466"/>
      <c r="E245" s="464"/>
      <c r="F245" s="464"/>
      <c r="G245" s="479"/>
      <c r="H245" s="594">
        <f>'div17'!E10</f>
        <v>98</v>
      </c>
      <c r="I245" s="464"/>
      <c r="J245" s="464"/>
      <c r="K245" s="464"/>
      <c r="L245" s="501"/>
      <c r="M245" s="603">
        <f>AVERAGE('div17'!$E$2:'div17'!$E$10)</f>
        <v>379.21666666666664</v>
      </c>
      <c r="N245" s="603"/>
      <c r="O245" s="593"/>
      <c r="P245" s="593"/>
    </row>
    <row r="246" spans="1:16" s="440" customFormat="1" ht="12" customHeight="1">
      <c r="A246" s="480">
        <v>43008</v>
      </c>
      <c r="B246" s="480"/>
      <c r="C246" s="465" t="s">
        <v>561</v>
      </c>
      <c r="D246" s="466"/>
      <c r="E246" s="464"/>
      <c r="F246" s="464"/>
      <c r="G246" s="479"/>
      <c r="H246" s="466"/>
      <c r="I246" s="464"/>
      <c r="J246" s="464"/>
      <c r="K246" s="464"/>
      <c r="L246" s="501"/>
      <c r="O246" s="593"/>
      <c r="P246" s="593"/>
    </row>
    <row r="247" spans="1:16" s="440" customFormat="1" ht="12" customHeight="1">
      <c r="A247" s="480">
        <v>43008</v>
      </c>
      <c r="B247" s="480"/>
      <c r="C247" s="465" t="s">
        <v>37</v>
      </c>
      <c r="D247" s="466"/>
      <c r="E247" s="464"/>
      <c r="F247" s="464"/>
      <c r="G247" s="479"/>
      <c r="H247" s="594">
        <f>'div17'!D10</f>
        <v>2221.83</v>
      </c>
      <c r="I247" s="464"/>
      <c r="J247" s="464"/>
      <c r="K247" s="464"/>
      <c r="L247" s="501"/>
      <c r="O247" s="593"/>
      <c r="P247" s="593"/>
    </row>
    <row r="248" spans="1:16" s="447" customFormat="1" ht="12" customHeight="1">
      <c r="A248" s="601" t="s">
        <v>579</v>
      </c>
      <c r="B248" s="601"/>
      <c r="C248" s="600"/>
      <c r="D248" s="585">
        <f>SUM(D249:D264)</f>
        <v>0</v>
      </c>
      <c r="E248" s="585">
        <f>SUM(E249:E266)</f>
        <v>0</v>
      </c>
      <c r="F248" s="482"/>
      <c r="G248" s="599"/>
      <c r="H248" s="585">
        <f>SUM(H249:H266)</f>
        <v>21282.629999999997</v>
      </c>
      <c r="I248" s="585">
        <f>SUM(I249:I265)</f>
        <v>20641</v>
      </c>
      <c r="J248" s="482"/>
      <c r="K248" s="482"/>
      <c r="L248" s="482"/>
      <c r="M248" s="598" t="s">
        <v>575</v>
      </c>
      <c r="N248" s="598">
        <f>MONTH(A266)</f>
        <v>10</v>
      </c>
      <c r="O248" s="597"/>
      <c r="P248" s="597"/>
    </row>
    <row r="249" spans="1:16" s="440" customFormat="1" ht="12" customHeight="1">
      <c r="A249" s="480">
        <v>43008</v>
      </c>
      <c r="B249" s="480" t="s">
        <v>189</v>
      </c>
      <c r="C249" s="465" t="s">
        <v>574</v>
      </c>
      <c r="D249" s="464"/>
      <c r="E249" s="464"/>
      <c r="F249" s="464"/>
      <c r="G249" s="479"/>
      <c r="H249" s="464"/>
      <c r="I249" s="464">
        <v>11527</v>
      </c>
      <c r="J249" s="464"/>
      <c r="K249" s="464"/>
      <c r="L249" s="464"/>
      <c r="M249" s="464"/>
      <c r="N249" s="464"/>
      <c r="O249" s="593"/>
      <c r="P249" s="593"/>
    </row>
    <row r="250" spans="1:16" s="440" customFormat="1" ht="12" customHeight="1">
      <c r="A250" s="480">
        <v>43008</v>
      </c>
      <c r="B250" s="480" t="s">
        <v>189</v>
      </c>
      <c r="C250" s="465" t="s">
        <v>573</v>
      </c>
      <c r="D250" s="464"/>
      <c r="E250" s="464"/>
      <c r="F250" s="464"/>
      <c r="G250" s="479"/>
      <c r="H250" s="464"/>
      <c r="I250" s="464">
        <v>7972</v>
      </c>
      <c r="J250" s="464"/>
      <c r="K250" s="464"/>
      <c r="L250" s="464"/>
      <c r="M250" s="464"/>
      <c r="N250" s="464"/>
      <c r="O250" s="593"/>
      <c r="P250" s="593"/>
    </row>
    <row r="251" spans="1:16" s="440" customFormat="1" ht="12" customHeight="1">
      <c r="A251" s="480">
        <v>43010</v>
      </c>
      <c r="B251" s="480" t="s">
        <v>189</v>
      </c>
      <c r="C251" s="465" t="s">
        <v>31</v>
      </c>
      <c r="D251" s="464"/>
      <c r="E251" s="464"/>
      <c r="F251" s="464"/>
      <c r="G251" s="479"/>
      <c r="H251" s="464"/>
      <c r="I251" s="464">
        <v>1142</v>
      </c>
      <c r="J251" s="464"/>
      <c r="K251" s="464"/>
      <c r="L251" s="464"/>
      <c r="M251" s="464"/>
      <c r="N251" s="464"/>
      <c r="O251" s="593"/>
      <c r="P251" s="593"/>
    </row>
    <row r="252" spans="1:16" s="440" customFormat="1" ht="12" customHeight="1">
      <c r="A252" s="480">
        <v>43010</v>
      </c>
      <c r="B252" s="480" t="s">
        <v>189</v>
      </c>
      <c r="C252" s="465" t="s">
        <v>30</v>
      </c>
      <c r="D252" s="464"/>
      <c r="E252" s="464"/>
      <c r="F252" s="464"/>
      <c r="G252" s="479"/>
      <c r="H252" s="464">
        <v>11211</v>
      </c>
      <c r="I252" s="464"/>
      <c r="J252" s="464"/>
      <c r="K252" s="464"/>
      <c r="L252" s="464"/>
      <c r="M252" s="464"/>
      <c r="N252" s="464"/>
      <c r="O252" s="593"/>
      <c r="P252" s="593"/>
    </row>
    <row r="253" spans="1:16" s="440" customFormat="1" ht="12" customHeight="1">
      <c r="A253" s="480">
        <v>43010</v>
      </c>
      <c r="B253" s="480" t="s">
        <v>572</v>
      </c>
      <c r="C253" s="465" t="s">
        <v>265</v>
      </c>
      <c r="D253" s="464"/>
      <c r="E253" s="464"/>
      <c r="F253" s="464"/>
      <c r="G253" s="479"/>
      <c r="H253" s="464">
        <v>602.4</v>
      </c>
      <c r="I253" s="464"/>
      <c r="J253" s="464"/>
      <c r="K253" s="464"/>
      <c r="L253" s="464"/>
      <c r="M253" s="464"/>
      <c r="N253" s="464"/>
      <c r="O253" s="593"/>
      <c r="P253" s="593"/>
    </row>
    <row r="254" spans="1:16" s="440" customFormat="1" ht="12" customHeight="1">
      <c r="A254" s="480">
        <v>43010</v>
      </c>
      <c r="B254" s="480" t="s">
        <v>572</v>
      </c>
      <c r="C254" s="465" t="s">
        <v>264</v>
      </c>
      <c r="D254" s="464"/>
      <c r="E254" s="464"/>
      <c r="F254" s="464"/>
      <c r="G254" s="479"/>
      <c r="H254" s="464">
        <v>523</v>
      </c>
      <c r="I254" s="464"/>
      <c r="J254" s="464"/>
      <c r="K254" s="464"/>
      <c r="L254" s="464"/>
      <c r="M254" s="464"/>
      <c r="N254" s="464"/>
      <c r="O254" s="593"/>
      <c r="P254" s="593"/>
    </row>
    <row r="255" spans="1:16" s="440" customFormat="1" ht="12" customHeight="1">
      <c r="A255" s="480">
        <v>43010</v>
      </c>
      <c r="B255" s="480" t="s">
        <v>572</v>
      </c>
      <c r="C255" s="465" t="s">
        <v>182</v>
      </c>
      <c r="D255" s="464"/>
      <c r="E255" s="464"/>
      <c r="F255" s="464"/>
      <c r="G255" s="479"/>
      <c r="H255" s="464">
        <v>279</v>
      </c>
      <c r="I255" s="464"/>
      <c r="J255" s="464"/>
      <c r="K255" s="464"/>
      <c r="L255" s="464"/>
      <c r="M255" s="464"/>
      <c r="N255" s="464"/>
      <c r="O255" s="593"/>
      <c r="P255" s="593"/>
    </row>
    <row r="256" spans="1:16" s="440" customFormat="1" ht="12" customHeight="1">
      <c r="A256" s="480">
        <v>43010</v>
      </c>
      <c r="B256" s="480" t="s">
        <v>572</v>
      </c>
      <c r="C256" s="465" t="s">
        <v>472</v>
      </c>
      <c r="D256" s="464"/>
      <c r="E256" s="464"/>
      <c r="F256" s="464"/>
      <c r="G256" s="479"/>
      <c r="H256" s="464">
        <v>450</v>
      </c>
      <c r="I256" s="464"/>
      <c r="J256" s="464"/>
      <c r="K256" s="464"/>
      <c r="L256" s="464"/>
      <c r="M256" s="464"/>
      <c r="N256" s="464"/>
      <c r="O256" s="593"/>
      <c r="P256" s="593"/>
    </row>
    <row r="257" spans="1:16" s="440" customFormat="1" ht="12" customHeight="1">
      <c r="A257" s="480">
        <v>43010</v>
      </c>
      <c r="B257" s="480" t="s">
        <v>572</v>
      </c>
      <c r="C257" s="465" t="s">
        <v>183</v>
      </c>
      <c r="D257" s="464"/>
      <c r="E257" s="464"/>
      <c r="F257" s="464"/>
      <c r="G257" s="479"/>
      <c r="H257" s="464">
        <v>438.75</v>
      </c>
      <c r="I257" s="464"/>
      <c r="J257" s="464"/>
      <c r="K257" s="464"/>
      <c r="L257" s="464"/>
      <c r="M257" s="464"/>
      <c r="N257" s="464"/>
      <c r="O257" s="593"/>
      <c r="P257" s="593"/>
    </row>
    <row r="258" spans="1:16" s="440" customFormat="1" ht="12" customHeight="1">
      <c r="A258" s="480">
        <v>43010</v>
      </c>
      <c r="B258" s="480" t="s">
        <v>572</v>
      </c>
      <c r="C258" s="465" t="s">
        <v>186</v>
      </c>
      <c r="D258" s="464"/>
      <c r="E258" s="464"/>
      <c r="F258" s="464"/>
      <c r="G258" s="479"/>
      <c r="H258" s="594">
        <f>'div17'!H11</f>
        <v>110</v>
      </c>
      <c r="I258" s="464"/>
      <c r="J258" s="464"/>
      <c r="K258" s="464"/>
      <c r="L258" s="464"/>
      <c r="M258" s="464"/>
      <c r="N258" s="464"/>
      <c r="O258" s="593"/>
      <c r="P258" s="593"/>
    </row>
    <row r="259" spans="1:16" s="440" customFormat="1" ht="12" customHeight="1">
      <c r="A259" s="480">
        <v>43010</v>
      </c>
      <c r="B259" s="480" t="s">
        <v>572</v>
      </c>
      <c r="C259" s="465" t="s">
        <v>306</v>
      </c>
      <c r="D259" s="464"/>
      <c r="E259" s="464"/>
      <c r="F259" s="464">
        <v>634.17999999999995</v>
      </c>
      <c r="G259" s="479">
        <v>992.87</v>
      </c>
      <c r="H259" s="464">
        <v>1632.13</v>
      </c>
      <c r="I259" s="464"/>
      <c r="J259" s="464"/>
      <c r="K259" s="464"/>
      <c r="L259" s="464"/>
      <c r="M259" s="464"/>
      <c r="N259" s="464"/>
      <c r="O259" s="593"/>
      <c r="P259" s="593"/>
    </row>
    <row r="260" spans="1:16" s="440" customFormat="1" ht="12" customHeight="1">
      <c r="A260" s="480">
        <v>43010</v>
      </c>
      <c r="B260" s="480" t="s">
        <v>572</v>
      </c>
      <c r="C260" s="465" t="s">
        <v>481</v>
      </c>
      <c r="D260" s="464"/>
      <c r="E260" s="464"/>
      <c r="F260" s="464"/>
      <c r="G260" s="479"/>
      <c r="H260" s="464">
        <v>150.69</v>
      </c>
      <c r="I260" s="464"/>
      <c r="J260" s="464"/>
      <c r="K260" s="464"/>
      <c r="L260" s="464"/>
      <c r="M260" s="464"/>
      <c r="N260" s="464"/>
      <c r="O260" s="593"/>
      <c r="P260" s="593"/>
    </row>
    <row r="261" spans="1:16" s="440" customFormat="1" ht="12" customHeight="1">
      <c r="A261" s="480">
        <v>43010</v>
      </c>
      <c r="B261" s="480" t="s">
        <v>572</v>
      </c>
      <c r="C261" s="465" t="s">
        <v>481</v>
      </c>
      <c r="D261" s="464"/>
      <c r="E261" s="464"/>
      <c r="F261" s="464"/>
      <c r="G261" s="479"/>
      <c r="H261" s="464">
        <v>27.52</v>
      </c>
      <c r="I261" s="464"/>
      <c r="J261" s="464"/>
      <c r="K261" s="464"/>
      <c r="L261" s="464"/>
      <c r="M261" s="464"/>
      <c r="N261" s="464"/>
      <c r="O261" s="593"/>
      <c r="P261" s="593"/>
    </row>
    <row r="262" spans="1:16" s="440" customFormat="1" ht="12" customHeight="1">
      <c r="A262" s="480">
        <v>43013</v>
      </c>
      <c r="B262" s="480" t="s">
        <v>572</v>
      </c>
      <c r="C262" s="465" t="s">
        <v>20</v>
      </c>
      <c r="D262" s="464"/>
      <c r="E262" s="464"/>
      <c r="F262" s="464"/>
      <c r="G262" s="479"/>
      <c r="H262" s="464">
        <v>176.8</v>
      </c>
      <c r="I262" s="464"/>
      <c r="J262" s="464"/>
      <c r="K262" s="464"/>
      <c r="L262" s="464"/>
      <c r="M262" s="464"/>
      <c r="N262" s="464"/>
      <c r="O262" s="593"/>
      <c r="P262" s="593"/>
    </row>
    <row r="263" spans="1:16" s="440" customFormat="1" ht="12" customHeight="1">
      <c r="A263" s="480">
        <v>43039</v>
      </c>
      <c r="B263" s="480"/>
      <c r="C263" s="465" t="s">
        <v>15</v>
      </c>
      <c r="D263" s="466"/>
      <c r="E263" s="464"/>
      <c r="F263" s="464"/>
      <c r="G263" s="479"/>
      <c r="H263" s="594">
        <f>hush17!I13</f>
        <v>2236.3000000000002</v>
      </c>
      <c r="I263" s="464"/>
      <c r="J263" s="464"/>
      <c r="K263" s="464"/>
      <c r="L263" s="594">
        <f>SUM(hush17!$I$4:'hush17'!$I$13)/MONTH(A263)</f>
        <v>2407.4900000000007</v>
      </c>
      <c r="M263" s="466"/>
      <c r="N263" s="466"/>
      <c r="O263" s="593"/>
      <c r="P263" s="593"/>
    </row>
    <row r="264" spans="1:16" s="440" customFormat="1" ht="12" customHeight="1">
      <c r="A264" s="480">
        <v>43039</v>
      </c>
      <c r="B264" s="480"/>
      <c r="C264" s="465" t="s">
        <v>384</v>
      </c>
      <c r="D264" s="466"/>
      <c r="E264" s="464"/>
      <c r="F264" s="464"/>
      <c r="G264" s="479"/>
      <c r="H264" s="594">
        <f>hush17!F13</f>
        <v>563.29999999999995</v>
      </c>
      <c r="I264" s="464"/>
      <c r="J264" s="464"/>
      <c r="K264" s="464"/>
      <c r="L264" s="594">
        <f>SUM(hush17!$F$4:'hush17'!$F$13)/MONTH(A264)</f>
        <v>274.96400000000006</v>
      </c>
      <c r="M264" s="466"/>
      <c r="N264" s="466"/>
      <c r="O264" s="593"/>
      <c r="P264" s="593"/>
    </row>
    <row r="265" spans="1:16" s="440" customFormat="1" ht="12" customHeight="1">
      <c r="A265" s="480">
        <v>43039</v>
      </c>
      <c r="B265" s="480"/>
      <c r="C265" s="465" t="s">
        <v>14</v>
      </c>
      <c r="D265" s="466"/>
      <c r="E265" s="464"/>
      <c r="F265" s="464"/>
      <c r="G265" s="479"/>
      <c r="H265" s="594">
        <f>hush17!E13</f>
        <v>310</v>
      </c>
      <c r="I265" s="478"/>
      <c r="J265" s="478"/>
      <c r="K265" s="464"/>
      <c r="L265" s="594">
        <f>SUM(hush17!$E$4:'hush17'!$E$13)/MONTH(A265)</f>
        <v>242.75</v>
      </c>
      <c r="M265" s="466"/>
      <c r="N265" s="466"/>
      <c r="O265" s="593"/>
      <c r="P265" s="593"/>
    </row>
    <row r="266" spans="1:16" s="440" customFormat="1" ht="12" customHeight="1">
      <c r="A266" s="480">
        <v>43039</v>
      </c>
      <c r="B266" s="480"/>
      <c r="C266" s="465" t="s">
        <v>37</v>
      </c>
      <c r="D266" s="466"/>
      <c r="E266" s="464"/>
      <c r="F266" s="464"/>
      <c r="G266" s="602"/>
      <c r="H266" s="594">
        <f>'div17'!D11</f>
        <v>2571.7399999999998</v>
      </c>
      <c r="I266" s="464"/>
      <c r="J266" s="464"/>
      <c r="K266" s="464"/>
      <c r="L266" s="467"/>
      <c r="M266" s="466"/>
      <c r="N266" s="466"/>
      <c r="O266" s="593"/>
      <c r="P266" s="593"/>
    </row>
    <row r="267" spans="1:16" s="447" customFormat="1" ht="12" customHeight="1">
      <c r="A267" s="601" t="s">
        <v>577</v>
      </c>
      <c r="B267" s="601"/>
      <c r="C267" s="600"/>
      <c r="D267" s="585">
        <f>SUM(D268:D284)</f>
        <v>0</v>
      </c>
      <c r="E267" s="585">
        <f>SUM(E268:E284)</f>
        <v>0</v>
      </c>
      <c r="F267" s="482"/>
      <c r="G267" s="599"/>
      <c r="H267" s="585">
        <f>SUM(H268:H284)</f>
        <v>19770.879999999997</v>
      </c>
      <c r="I267" s="585">
        <f>SUM(I268:I283)</f>
        <v>20641</v>
      </c>
      <c r="J267" s="482"/>
      <c r="K267" s="482"/>
      <c r="L267" s="482"/>
      <c r="M267" s="598" t="s">
        <v>575</v>
      </c>
      <c r="N267" s="598">
        <f>MONTH(A284)</f>
        <v>11</v>
      </c>
      <c r="O267" s="597"/>
      <c r="P267" s="597"/>
    </row>
    <row r="268" spans="1:16" s="440" customFormat="1" ht="12" customHeight="1">
      <c r="A268" s="480">
        <v>43039</v>
      </c>
      <c r="B268" s="480"/>
      <c r="C268" s="465" t="s">
        <v>574</v>
      </c>
      <c r="D268" s="464"/>
      <c r="E268" s="464"/>
      <c r="F268" s="464"/>
      <c r="G268" s="479"/>
      <c r="H268" s="464"/>
      <c r="I268" s="464">
        <v>11527</v>
      </c>
      <c r="J268" s="464"/>
      <c r="K268" s="464"/>
      <c r="L268" s="464"/>
      <c r="M268" s="464"/>
      <c r="N268" s="464"/>
      <c r="O268" s="593"/>
      <c r="P268" s="593"/>
    </row>
    <row r="269" spans="1:16" s="440" customFormat="1" ht="12" customHeight="1">
      <c r="A269" s="480">
        <v>43039</v>
      </c>
      <c r="B269" s="480"/>
      <c r="C269" s="465" t="s">
        <v>573</v>
      </c>
      <c r="D269" s="464"/>
      <c r="E269" s="464"/>
      <c r="F269" s="464"/>
      <c r="G269" s="479"/>
      <c r="H269" s="464"/>
      <c r="I269" s="464">
        <v>7972</v>
      </c>
      <c r="J269" s="464"/>
      <c r="K269" s="464"/>
      <c r="L269" s="464"/>
      <c r="M269" s="464"/>
      <c r="N269" s="464"/>
      <c r="O269" s="593"/>
      <c r="P269" s="593"/>
    </row>
    <row r="270" spans="1:16" s="440" customFormat="1" ht="12" customHeight="1">
      <c r="A270" s="480">
        <v>43040</v>
      </c>
      <c r="B270" s="480"/>
      <c r="C270" s="465" t="s">
        <v>31</v>
      </c>
      <c r="D270" s="464"/>
      <c r="E270" s="464"/>
      <c r="F270" s="464"/>
      <c r="G270" s="479"/>
      <c r="H270" s="464"/>
      <c r="I270" s="464">
        <v>1142</v>
      </c>
      <c r="J270" s="464"/>
      <c r="K270" s="464"/>
      <c r="L270" s="464"/>
      <c r="M270" s="464"/>
      <c r="N270" s="464"/>
      <c r="O270" s="593"/>
      <c r="P270" s="593"/>
    </row>
    <row r="271" spans="1:16" s="440" customFormat="1" ht="12" customHeight="1">
      <c r="A271" s="480">
        <v>43040</v>
      </c>
      <c r="B271" s="480"/>
      <c r="C271" s="465" t="s">
        <v>30</v>
      </c>
      <c r="D271" s="464"/>
      <c r="E271" s="464"/>
      <c r="F271" s="464"/>
      <c r="G271" s="479"/>
      <c r="H271" s="464">
        <v>7474</v>
      </c>
      <c r="I271" s="464"/>
      <c r="J271" s="464"/>
      <c r="K271" s="464"/>
      <c r="L271" s="464"/>
      <c r="M271" s="464"/>
      <c r="N271" s="464"/>
      <c r="O271" s="593"/>
      <c r="P271" s="593"/>
    </row>
    <row r="272" spans="1:16" s="440" customFormat="1" ht="12" customHeight="1">
      <c r="A272" s="480">
        <v>43040</v>
      </c>
      <c r="B272" s="480"/>
      <c r="C272" s="465" t="s">
        <v>265</v>
      </c>
      <c r="D272" s="464"/>
      <c r="E272" s="464"/>
      <c r="F272" s="464"/>
      <c r="G272" s="479"/>
      <c r="H272" s="464">
        <v>602.42999999999995</v>
      </c>
      <c r="I272" s="464"/>
      <c r="J272" s="464"/>
      <c r="K272" s="464"/>
      <c r="L272" s="464"/>
      <c r="M272" s="464"/>
      <c r="N272" s="464"/>
      <c r="O272" s="593"/>
      <c r="P272" s="593"/>
    </row>
    <row r="273" spans="1:16" s="440" customFormat="1" ht="12" customHeight="1">
      <c r="A273" s="480">
        <v>43040</v>
      </c>
      <c r="B273" s="480"/>
      <c r="C273" s="465" t="s">
        <v>264</v>
      </c>
      <c r="D273" s="464"/>
      <c r="E273" s="464"/>
      <c r="F273" s="464"/>
      <c r="G273" s="479"/>
      <c r="H273" s="464">
        <v>523</v>
      </c>
      <c r="I273" s="464"/>
      <c r="J273" s="464"/>
      <c r="K273" s="464"/>
      <c r="L273" s="464"/>
      <c r="M273" s="464"/>
      <c r="N273" s="464"/>
      <c r="O273" s="593"/>
      <c r="P273" s="593"/>
    </row>
    <row r="274" spans="1:16" s="440" customFormat="1" ht="12" customHeight="1">
      <c r="A274" s="480">
        <v>43040</v>
      </c>
      <c r="B274" s="480"/>
      <c r="C274" s="465" t="s">
        <v>182</v>
      </c>
      <c r="D274" s="464"/>
      <c r="E274" s="464"/>
      <c r="F274" s="464"/>
      <c r="G274" s="479"/>
      <c r="H274" s="464">
        <v>279</v>
      </c>
      <c r="I274" s="464"/>
      <c r="J274" s="464"/>
      <c r="K274" s="464"/>
      <c r="L274" s="464"/>
      <c r="M274" s="464"/>
      <c r="N274" s="464"/>
      <c r="O274" s="593"/>
      <c r="P274" s="593"/>
    </row>
    <row r="275" spans="1:16" s="440" customFormat="1" ht="12" customHeight="1">
      <c r="A275" s="480">
        <v>43040</v>
      </c>
      <c r="B275" s="480"/>
      <c r="C275" s="465" t="s">
        <v>472</v>
      </c>
      <c r="D275" s="464"/>
      <c r="E275" s="464"/>
      <c r="F275" s="464"/>
      <c r="G275" s="479"/>
      <c r="H275" s="464">
        <v>450</v>
      </c>
      <c r="I275" s="464"/>
      <c r="J275" s="464"/>
      <c r="K275" s="464"/>
      <c r="L275" s="464"/>
      <c r="M275" s="464"/>
      <c r="N275" s="464"/>
      <c r="O275" s="593"/>
      <c r="P275" s="593"/>
    </row>
    <row r="276" spans="1:16" s="440" customFormat="1" ht="12" customHeight="1">
      <c r="A276" s="480">
        <v>43040</v>
      </c>
      <c r="B276" s="480"/>
      <c r="C276" s="465" t="s">
        <v>183</v>
      </c>
      <c r="D276" s="464"/>
      <c r="E276" s="464"/>
      <c r="F276" s="464"/>
      <c r="G276" s="479"/>
      <c r="H276" s="464">
        <v>438.75</v>
      </c>
      <c r="I276" s="464"/>
      <c r="J276" s="464"/>
      <c r="K276" s="464"/>
      <c r="L276" s="464"/>
      <c r="M276" s="464"/>
      <c r="N276" s="464"/>
      <c r="O276" s="593"/>
      <c r="P276" s="593"/>
    </row>
    <row r="277" spans="1:16" s="440" customFormat="1" ht="12" customHeight="1">
      <c r="A277" s="480">
        <v>43040</v>
      </c>
      <c r="B277" s="480"/>
      <c r="C277" s="465" t="s">
        <v>306</v>
      </c>
      <c r="D277" s="464"/>
      <c r="E277" s="464"/>
      <c r="F277" s="596" t="e">
        <f>#REF!</f>
        <v>#REF!</v>
      </c>
      <c r="G277" s="595" t="e">
        <f>#REF!</f>
        <v>#REF!</v>
      </c>
      <c r="H277" s="464">
        <v>1546.9</v>
      </c>
      <c r="I277" s="464"/>
      <c r="J277" s="464"/>
      <c r="K277" s="464"/>
      <c r="L277" s="464"/>
      <c r="M277" s="464"/>
      <c r="N277" s="464"/>
      <c r="O277" s="593"/>
      <c r="P277" s="593"/>
    </row>
    <row r="278" spans="1:16" s="440" customFormat="1" ht="12" customHeight="1">
      <c r="A278" s="480">
        <v>43041</v>
      </c>
      <c r="B278" s="480"/>
      <c r="C278" s="465" t="s">
        <v>481</v>
      </c>
      <c r="D278" s="464"/>
      <c r="E278" s="464"/>
      <c r="F278" s="464"/>
      <c r="G278" s="479"/>
      <c r="H278" s="464">
        <v>139.07</v>
      </c>
      <c r="I278" s="464"/>
      <c r="J278" s="464"/>
      <c r="K278" s="464"/>
      <c r="L278" s="464"/>
      <c r="M278" s="464"/>
      <c r="N278" s="464"/>
      <c r="O278" s="593"/>
      <c r="P278" s="593"/>
    </row>
    <row r="279" spans="1:16" s="440" customFormat="1" ht="12" customHeight="1">
      <c r="A279" s="480">
        <v>43041</v>
      </c>
      <c r="B279" s="480"/>
      <c r="C279" s="465" t="s">
        <v>481</v>
      </c>
      <c r="D279" s="464"/>
      <c r="E279" s="464"/>
      <c r="F279" s="464"/>
      <c r="G279" s="479"/>
      <c r="H279" s="464">
        <v>26.21</v>
      </c>
      <c r="I279" s="464"/>
      <c r="J279" s="464"/>
      <c r="K279" s="464"/>
      <c r="L279" s="464"/>
      <c r="M279" s="464"/>
      <c r="N279" s="464"/>
      <c r="O279" s="593"/>
      <c r="P279" s="593"/>
    </row>
    <row r="280" spans="1:16" s="440" customFormat="1" ht="12" customHeight="1">
      <c r="A280" s="480">
        <v>43045</v>
      </c>
      <c r="B280" s="480"/>
      <c r="C280" s="465" t="s">
        <v>20</v>
      </c>
      <c r="D280" s="464"/>
      <c r="E280" s="464"/>
      <c r="F280" s="464"/>
      <c r="G280" s="479"/>
      <c r="H280" s="464">
        <v>171.09</v>
      </c>
      <c r="I280" s="464"/>
      <c r="J280" s="464"/>
      <c r="K280" s="464"/>
      <c r="L280" s="464"/>
      <c r="M280" s="464"/>
      <c r="N280" s="464"/>
      <c r="O280" s="593"/>
      <c r="P280" s="593"/>
    </row>
    <row r="281" spans="1:16" s="440" customFormat="1" ht="12" customHeight="1">
      <c r="A281" s="480">
        <v>43069</v>
      </c>
      <c r="B281" s="480"/>
      <c r="C281" s="465" t="s">
        <v>15</v>
      </c>
      <c r="D281" s="466"/>
      <c r="E281" s="464"/>
      <c r="F281" s="464"/>
      <c r="G281" s="479"/>
      <c r="H281" s="594">
        <f>hush17!I14</f>
        <v>2474.5999999999995</v>
      </c>
      <c r="I281" s="478"/>
      <c r="J281" s="478"/>
      <c r="K281" s="464"/>
      <c r="L281" s="594">
        <f>SUM(hush17!$I$4:'hush17'!$I$14)/MONTH(A281)</f>
        <v>2413.5909090909095</v>
      </c>
      <c r="M281" s="466"/>
      <c r="N281" s="466"/>
      <c r="O281" s="593"/>
      <c r="P281" s="593"/>
    </row>
    <row r="282" spans="1:16" s="440" customFormat="1" ht="12" customHeight="1">
      <c r="A282" s="480">
        <v>43069</v>
      </c>
      <c r="B282" s="480"/>
      <c r="C282" s="465" t="s">
        <v>384</v>
      </c>
      <c r="D282" s="466"/>
      <c r="E282" s="464"/>
      <c r="F282" s="464"/>
      <c r="G282" s="479"/>
      <c r="H282" s="594">
        <f>hush17!F14</f>
        <v>335.05</v>
      </c>
      <c r="I282" s="478"/>
      <c r="J282" s="478"/>
      <c r="K282" s="464"/>
      <c r="L282" s="594">
        <f>SUM(hush17!$F$4:'hush17'!$F$14)/MONTH(A282)</f>
        <v>280.4263636363637</v>
      </c>
      <c r="M282" s="466"/>
      <c r="N282" s="466"/>
      <c r="O282" s="593"/>
      <c r="P282" s="593"/>
    </row>
    <row r="283" spans="1:16" s="440" customFormat="1" ht="12" customHeight="1">
      <c r="A283" s="480">
        <v>43069</v>
      </c>
      <c r="B283" s="480"/>
      <c r="C283" s="465" t="s">
        <v>14</v>
      </c>
      <c r="D283" s="466"/>
      <c r="E283" s="464"/>
      <c r="F283" s="464"/>
      <c r="G283" s="479"/>
      <c r="H283" s="594">
        <f>hush17!E14</f>
        <v>429</v>
      </c>
      <c r="I283" s="478"/>
      <c r="J283" s="478"/>
      <c r="K283" s="464"/>
      <c r="L283" s="594">
        <f>SUM(hush17!$E$4:'hush17'!$E$14)/MONTH(A283)</f>
        <v>259.68181818181819</v>
      </c>
      <c r="M283" s="466"/>
      <c r="N283" s="466"/>
      <c r="O283" s="593"/>
      <c r="P283" s="593"/>
    </row>
    <row r="284" spans="1:16" s="440" customFormat="1" ht="12" customHeight="1">
      <c r="A284" s="480">
        <v>43069</v>
      </c>
      <c r="B284" s="480"/>
      <c r="C284" s="465" t="s">
        <v>37</v>
      </c>
      <c r="D284" s="466"/>
      <c r="E284" s="464"/>
      <c r="F284" s="464"/>
      <c r="G284" s="479"/>
      <c r="H284" s="594">
        <f>'div17'!D12</f>
        <v>4881.7800000000007</v>
      </c>
      <c r="I284" s="478"/>
      <c r="J284" s="478"/>
      <c r="K284" s="464"/>
      <c r="L284" s="466"/>
      <c r="M284" s="466"/>
      <c r="N284" s="466"/>
      <c r="O284" s="593"/>
      <c r="P284" s="593"/>
    </row>
    <row r="285" spans="1:16" s="447" customFormat="1" ht="12" customHeight="1">
      <c r="A285" s="601" t="s">
        <v>576</v>
      </c>
      <c r="B285" s="601"/>
      <c r="C285" s="600"/>
      <c r="D285" s="585">
        <f>SUM(D286:D303)</f>
        <v>0</v>
      </c>
      <c r="E285" s="585">
        <f>SUM(E286:E303)</f>
        <v>0</v>
      </c>
      <c r="F285" s="482"/>
      <c r="G285" s="599"/>
      <c r="H285" s="585">
        <f>SUM(H286:H303)</f>
        <v>18754.469999999998</v>
      </c>
      <c r="I285" s="585">
        <f>SUM(I286:I302)</f>
        <v>20641</v>
      </c>
      <c r="J285" s="482"/>
      <c r="K285" s="482"/>
      <c r="L285" s="482"/>
      <c r="M285" s="598" t="s">
        <v>575</v>
      </c>
      <c r="N285" s="598">
        <f>MONTH(A303)</f>
        <v>12</v>
      </c>
      <c r="O285" s="597"/>
      <c r="P285" s="597"/>
    </row>
    <row r="286" spans="1:16" s="440" customFormat="1" ht="12" customHeight="1">
      <c r="A286" s="480">
        <v>43069</v>
      </c>
      <c r="B286" s="480" t="s">
        <v>189</v>
      </c>
      <c r="C286" s="465" t="s">
        <v>574</v>
      </c>
      <c r="D286" s="464"/>
      <c r="E286" s="464"/>
      <c r="F286" s="464"/>
      <c r="G286" s="479"/>
      <c r="H286" s="464"/>
      <c r="I286" s="464">
        <v>11527</v>
      </c>
      <c r="J286" s="464"/>
      <c r="K286" s="464"/>
      <c r="L286" s="464"/>
      <c r="M286" s="464"/>
      <c r="N286" s="464"/>
      <c r="O286" s="593"/>
      <c r="P286" s="593"/>
    </row>
    <row r="287" spans="1:16" s="440" customFormat="1" ht="12" customHeight="1">
      <c r="A287" s="480">
        <v>43069</v>
      </c>
      <c r="B287" s="480" t="s">
        <v>189</v>
      </c>
      <c r="C287" s="465" t="s">
        <v>573</v>
      </c>
      <c r="D287" s="464"/>
      <c r="E287" s="464"/>
      <c r="F287" s="464"/>
      <c r="G287" s="479"/>
      <c r="H287" s="464"/>
      <c r="I287" s="464">
        <v>7972</v>
      </c>
      <c r="J287" s="464"/>
      <c r="K287" s="464"/>
      <c r="L287" s="464"/>
      <c r="M287" s="464"/>
      <c r="N287" s="464"/>
      <c r="O287" s="593"/>
      <c r="P287" s="593"/>
    </row>
    <row r="288" spans="1:16" s="440" customFormat="1" ht="12" customHeight="1">
      <c r="A288" s="480">
        <v>43069</v>
      </c>
      <c r="B288" s="480" t="s">
        <v>189</v>
      </c>
      <c r="C288" s="465" t="s">
        <v>31</v>
      </c>
      <c r="D288" s="464"/>
      <c r="E288" s="464"/>
      <c r="F288" s="464"/>
      <c r="G288" s="479"/>
      <c r="H288" s="464"/>
      <c r="I288" s="464">
        <v>1142</v>
      </c>
      <c r="J288" s="464"/>
      <c r="K288" s="464"/>
      <c r="L288" s="464"/>
      <c r="M288" s="464"/>
      <c r="N288" s="464"/>
      <c r="O288" s="593"/>
      <c r="P288" s="593"/>
    </row>
    <row r="289" spans="1:16" s="440" customFormat="1" ht="12" customHeight="1">
      <c r="A289" s="480">
        <v>43069</v>
      </c>
      <c r="B289" s="480" t="s">
        <v>189</v>
      </c>
      <c r="C289" s="465" t="s">
        <v>30</v>
      </c>
      <c r="D289" s="464"/>
      <c r="E289" s="464"/>
      <c r="F289" s="464"/>
      <c r="G289" s="479"/>
      <c r="H289" s="464">
        <v>0</v>
      </c>
      <c r="I289" s="464"/>
      <c r="J289" s="464"/>
      <c r="K289" s="464"/>
      <c r="L289" s="464"/>
      <c r="M289" s="464">
        <v>0</v>
      </c>
      <c r="N289" s="464"/>
      <c r="O289" s="593"/>
      <c r="P289" s="593"/>
    </row>
    <row r="290" spans="1:16" s="440" customFormat="1" ht="12" customHeight="1">
      <c r="A290" s="480">
        <v>43070</v>
      </c>
      <c r="B290" s="480" t="s">
        <v>572</v>
      </c>
      <c r="C290" s="465" t="s">
        <v>265</v>
      </c>
      <c r="D290" s="464"/>
      <c r="E290" s="464"/>
      <c r="F290" s="464"/>
      <c r="G290" s="479"/>
      <c r="H290" s="464">
        <v>602.4</v>
      </c>
      <c r="I290" s="464"/>
      <c r="J290" s="464"/>
      <c r="K290" s="464"/>
      <c r="L290" s="464"/>
      <c r="M290" s="464">
        <v>602.4</v>
      </c>
      <c r="N290" s="464"/>
      <c r="O290" s="593"/>
      <c r="P290" s="593"/>
    </row>
    <row r="291" spans="1:16" s="440" customFormat="1" ht="12" customHeight="1">
      <c r="A291" s="480">
        <v>43070</v>
      </c>
      <c r="B291" s="480" t="s">
        <v>572</v>
      </c>
      <c r="C291" s="465" t="s">
        <v>264</v>
      </c>
      <c r="D291" s="464"/>
      <c r="E291" s="464"/>
      <c r="F291" s="464"/>
      <c r="G291" s="479"/>
      <c r="H291" s="464">
        <v>523</v>
      </c>
      <c r="I291" s="464"/>
      <c r="J291" s="464"/>
      <c r="K291" s="464"/>
      <c r="L291" s="464"/>
      <c r="M291" s="464">
        <v>523</v>
      </c>
      <c r="N291" s="464"/>
      <c r="O291" s="593"/>
      <c r="P291" s="593"/>
    </row>
    <row r="292" spans="1:16" s="440" customFormat="1" ht="12" customHeight="1">
      <c r="A292" s="480">
        <v>43070</v>
      </c>
      <c r="B292" s="480" t="s">
        <v>572</v>
      </c>
      <c r="C292" s="465" t="s">
        <v>182</v>
      </c>
      <c r="D292" s="464"/>
      <c r="E292" s="464"/>
      <c r="F292" s="464"/>
      <c r="G292" s="479"/>
      <c r="H292" s="464">
        <v>279</v>
      </c>
      <c r="I292" s="464"/>
      <c r="J292" s="464"/>
      <c r="K292" s="464"/>
      <c r="L292" s="464"/>
      <c r="M292" s="464">
        <v>279</v>
      </c>
      <c r="N292" s="464"/>
      <c r="O292" s="593"/>
      <c r="P292" s="593"/>
    </row>
    <row r="293" spans="1:16" s="440" customFormat="1" ht="12" customHeight="1">
      <c r="A293" s="480">
        <v>43070</v>
      </c>
      <c r="B293" s="480" t="s">
        <v>572</v>
      </c>
      <c r="C293" s="465" t="s">
        <v>472</v>
      </c>
      <c r="D293" s="464"/>
      <c r="E293" s="464"/>
      <c r="F293" s="464"/>
      <c r="G293" s="479"/>
      <c r="H293" s="464">
        <v>450</v>
      </c>
      <c r="I293" s="464"/>
      <c r="J293" s="464"/>
      <c r="K293" s="464"/>
      <c r="L293" s="464"/>
      <c r="M293" s="464">
        <v>450</v>
      </c>
      <c r="N293" s="464"/>
      <c r="O293" s="593"/>
      <c r="P293" s="593"/>
    </row>
    <row r="294" spans="1:16" s="440" customFormat="1" ht="12" customHeight="1">
      <c r="A294" s="480">
        <v>43070</v>
      </c>
      <c r="B294" s="480" t="s">
        <v>572</v>
      </c>
      <c r="C294" s="465" t="s">
        <v>183</v>
      </c>
      <c r="D294" s="464"/>
      <c r="E294" s="464"/>
      <c r="F294" s="464"/>
      <c r="G294" s="479"/>
      <c r="H294" s="464">
        <v>438.75</v>
      </c>
      <c r="I294" s="464"/>
      <c r="J294" s="464"/>
      <c r="K294" s="464"/>
      <c r="L294" s="464"/>
      <c r="M294" s="464">
        <v>438.75</v>
      </c>
      <c r="N294" s="464"/>
      <c r="O294" s="593"/>
      <c r="P294" s="593"/>
    </row>
    <row r="295" spans="1:16" s="440" customFormat="1" ht="12" customHeight="1">
      <c r="A295" s="480">
        <v>43070</v>
      </c>
      <c r="B295" s="480" t="s">
        <v>572</v>
      </c>
      <c r="C295" s="465" t="s">
        <v>100</v>
      </c>
      <c r="D295" s="464"/>
      <c r="E295" s="464"/>
      <c r="F295" s="464"/>
      <c r="G295" s="479"/>
      <c r="H295" s="464">
        <v>1834.46</v>
      </c>
      <c r="I295" s="464"/>
      <c r="J295" s="464"/>
      <c r="K295" s="464"/>
      <c r="L295" s="464"/>
      <c r="M295" s="464">
        <v>1834.46</v>
      </c>
      <c r="N295" s="464"/>
      <c r="O295" s="593"/>
      <c r="P295" s="593"/>
    </row>
    <row r="296" spans="1:16" s="440" customFormat="1" ht="12" customHeight="1">
      <c r="A296" s="480">
        <v>43070</v>
      </c>
      <c r="B296" s="480" t="s">
        <v>572</v>
      </c>
      <c r="C296" s="465" t="s">
        <v>306</v>
      </c>
      <c r="D296" s="464"/>
      <c r="E296" s="464"/>
      <c r="F296" s="596" t="e">
        <f>#REF!</f>
        <v>#REF!</v>
      </c>
      <c r="G296" s="595" t="e">
        <f>#REF!</f>
        <v>#REF!</v>
      </c>
      <c r="H296" s="464">
        <v>1390.17</v>
      </c>
      <c r="I296" s="464"/>
      <c r="J296" s="464"/>
      <c r="K296" s="464"/>
      <c r="L296" s="464"/>
      <c r="M296" s="464">
        <v>1390.17</v>
      </c>
      <c r="N296" s="464"/>
      <c r="O296" s="593"/>
      <c r="P296" s="593"/>
    </row>
    <row r="297" spans="1:16" s="440" customFormat="1" ht="12" customHeight="1">
      <c r="A297" s="480">
        <v>43070</v>
      </c>
      <c r="B297" s="480" t="s">
        <v>572</v>
      </c>
      <c r="C297" s="465" t="s">
        <v>481</v>
      </c>
      <c r="D297" s="464"/>
      <c r="E297" s="464"/>
      <c r="F297" s="464"/>
      <c r="G297" s="479"/>
      <c r="H297" s="464">
        <v>128.41</v>
      </c>
      <c r="I297" s="464"/>
      <c r="J297" s="464"/>
      <c r="K297" s="464"/>
      <c r="L297" s="464"/>
      <c r="M297" s="464">
        <v>128.41</v>
      </c>
      <c r="N297" s="464"/>
      <c r="O297" s="593"/>
      <c r="P297" s="593"/>
    </row>
    <row r="298" spans="1:16" s="440" customFormat="1" ht="12" customHeight="1">
      <c r="A298" s="480">
        <v>43070</v>
      </c>
      <c r="B298" s="480" t="s">
        <v>572</v>
      </c>
      <c r="C298" s="465" t="s">
        <v>481</v>
      </c>
      <c r="D298" s="464"/>
      <c r="E298" s="464"/>
      <c r="F298" s="464"/>
      <c r="G298" s="479"/>
      <c r="H298" s="464">
        <v>25</v>
      </c>
      <c r="I298" s="464"/>
      <c r="J298" s="464"/>
      <c r="K298" s="464"/>
      <c r="L298" s="464"/>
      <c r="M298" s="464">
        <v>25</v>
      </c>
      <c r="N298" s="464"/>
      <c r="O298" s="593"/>
      <c r="P298" s="593"/>
    </row>
    <row r="299" spans="1:16" s="440" customFormat="1" ht="12" customHeight="1">
      <c r="A299" s="480">
        <v>43074</v>
      </c>
      <c r="B299" s="480" t="s">
        <v>572</v>
      </c>
      <c r="C299" s="465" t="s">
        <v>20</v>
      </c>
      <c r="D299" s="464"/>
      <c r="E299" s="464"/>
      <c r="F299" s="464"/>
      <c r="G299" s="479"/>
      <c r="H299" s="464">
        <v>178.8</v>
      </c>
      <c r="I299" s="464"/>
      <c r="J299" s="464"/>
      <c r="K299" s="464"/>
      <c r="L299" s="464"/>
      <c r="M299" s="464">
        <v>178.8</v>
      </c>
      <c r="N299" s="464"/>
      <c r="O299" s="593"/>
      <c r="P299" s="593"/>
    </row>
    <row r="300" spans="1:16" s="440" customFormat="1" ht="12" customHeight="1">
      <c r="A300" s="480">
        <v>43100</v>
      </c>
      <c r="B300" s="480"/>
      <c r="C300" s="465" t="s">
        <v>15</v>
      </c>
      <c r="D300" s="594"/>
      <c r="E300" s="464"/>
      <c r="F300" s="464"/>
      <c r="G300" s="479"/>
      <c r="H300" s="594">
        <f>hush17!I15</f>
        <v>4070.8799999999987</v>
      </c>
      <c r="I300" s="478"/>
      <c r="J300" s="478"/>
      <c r="K300" s="464"/>
      <c r="L300" s="594">
        <f>SUM(hush17!$I$4:'hush17'!$I$15)/MONTH(A300)</f>
        <v>2551.6983333333333</v>
      </c>
      <c r="M300" s="594">
        <f>2300-$H$300</f>
        <v>-1770.8799999999987</v>
      </c>
      <c r="N300" s="594"/>
      <c r="O300" s="593"/>
      <c r="P300" s="593"/>
    </row>
    <row r="301" spans="1:16" s="440" customFormat="1" ht="12" customHeight="1">
      <c r="A301" s="480">
        <v>43100</v>
      </c>
      <c r="B301" s="480"/>
      <c r="C301" s="465" t="s">
        <v>384</v>
      </c>
      <c r="D301" s="594"/>
      <c r="E301" s="464"/>
      <c r="F301" s="464"/>
      <c r="G301" s="479"/>
      <c r="H301" s="594">
        <f>hush17!F15</f>
        <v>371.75</v>
      </c>
      <c r="I301" s="478"/>
      <c r="J301" s="478"/>
      <c r="K301" s="464"/>
      <c r="L301" s="594">
        <f>SUM(hush17!$F$4:'hush17'!$F$15)/MONTH(A301)</f>
        <v>288.03666666666669</v>
      </c>
      <c r="M301" s="594">
        <f>200-$H$301</f>
        <v>-171.75</v>
      </c>
      <c r="N301" s="594"/>
      <c r="O301" s="593"/>
      <c r="P301" s="593"/>
    </row>
    <row r="302" spans="1:16" s="440" customFormat="1" ht="12" customHeight="1">
      <c r="A302" s="480">
        <v>43100</v>
      </c>
      <c r="B302" s="480"/>
      <c r="C302" s="465" t="s">
        <v>14</v>
      </c>
      <c r="D302" s="594"/>
      <c r="E302" s="464"/>
      <c r="F302" s="464"/>
      <c r="G302" s="479"/>
      <c r="H302" s="594">
        <f>hush17!E15</f>
        <v>390</v>
      </c>
      <c r="I302" s="478"/>
      <c r="J302" s="478"/>
      <c r="K302" s="464"/>
      <c r="L302" s="594">
        <f>SUM(hush17!$E$4:'hush17'!$E$15)/MONTH(A302)</f>
        <v>270.54166666666669</v>
      </c>
      <c r="M302" s="594">
        <f>308-$H$302</f>
        <v>-82</v>
      </c>
      <c r="N302" s="594"/>
      <c r="O302" s="593"/>
      <c r="P302" s="593"/>
    </row>
    <row r="303" spans="1:16" s="447" customFormat="1" ht="12" customHeight="1">
      <c r="A303" s="592">
        <v>43100</v>
      </c>
      <c r="B303" s="592"/>
      <c r="C303" s="591" t="s">
        <v>37</v>
      </c>
      <c r="D303" s="587">
        <f>'div17'!D345</f>
        <v>0</v>
      </c>
      <c r="E303" s="588"/>
      <c r="F303" s="588"/>
      <c r="G303" s="590"/>
      <c r="H303" s="587">
        <f>'div17'!D13</f>
        <v>8071.8499999999995</v>
      </c>
      <c r="I303" s="589"/>
      <c r="J303" s="589"/>
      <c r="K303" s="588"/>
      <c r="L303" s="501"/>
      <c r="M303" s="587">
        <f>'div17'!D345</f>
        <v>0</v>
      </c>
      <c r="N303" s="587"/>
      <c r="O303" s="586"/>
      <c r="P303" s="586"/>
    </row>
    <row r="304" spans="1:16" s="439" customFormat="1" ht="12" customHeight="1">
      <c r="A304" s="445"/>
      <c r="B304" s="445"/>
      <c r="C304" s="444"/>
      <c r="D304" s="443"/>
      <c r="E304" s="443"/>
      <c r="F304" s="443"/>
      <c r="G304" s="443"/>
      <c r="H304" s="441"/>
      <c r="I304" s="441"/>
      <c r="J304" s="441"/>
      <c r="K304" s="442"/>
      <c r="L304" s="442"/>
      <c r="M304" s="585">
        <f>SUM(M289:M303)</f>
        <v>3825.3600000000019</v>
      </c>
      <c r="N304" s="585"/>
      <c r="O304" s="584"/>
      <c r="P304" s="584"/>
    </row>
  </sheetData>
  <mergeCells count="2">
    <mergeCell ref="A1:C1"/>
    <mergeCell ref="A2:C2"/>
  </mergeCells>
  <hyperlinks>
    <hyperlink ref="H167" location="hush17!A1" display="hush17!A1"/>
    <hyperlink ref="H168" location="hush17!A1" display="hush17!A1"/>
    <hyperlink ref="H169" location="hush17!A1" display="hush17!A1"/>
    <hyperlink ref="H172" location="diverse!A1" display="diverse!A1"/>
  </hyperlink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D206"/>
  <sheetViews>
    <sheetView zoomScale="115" zoomScaleNormal="115" workbookViewId="0">
      <pane ySplit="14" topLeftCell="A164" activePane="bottomLeft" state="frozen"/>
      <selection activeCell="EZ40" sqref="EZ40"/>
      <selection pane="bottomLeft" activeCell="EZ40" sqref="EZ40"/>
    </sheetView>
  </sheetViews>
  <sheetFormatPr defaultColWidth="9.109375" defaultRowHeight="12" customHeight="1"/>
  <cols>
    <col min="1" max="1" width="1.6640625" style="654" customWidth="1"/>
    <col min="2" max="2" width="13" style="653" customWidth="1"/>
    <col min="3" max="3" width="23" style="652" customWidth="1"/>
    <col min="4" max="4" width="13.109375" style="651" customWidth="1"/>
    <col min="5" max="10" width="11.6640625" style="650" customWidth="1"/>
    <col min="11" max="11" width="9.6640625" style="651" customWidth="1"/>
    <col min="12" max="12" width="9.6640625" style="650" customWidth="1"/>
    <col min="13" max="56" width="9.109375" style="649"/>
    <col min="57" max="16384" width="9.109375" style="648"/>
  </cols>
  <sheetData>
    <row r="1" spans="1:56" s="694" customFormat="1" ht="12" customHeight="1">
      <c r="A1" s="700"/>
      <c r="B1" s="717"/>
      <c r="C1" s="716"/>
      <c r="D1" s="715" t="s">
        <v>708</v>
      </c>
      <c r="E1" s="714" t="s">
        <v>48</v>
      </c>
      <c r="F1" s="714" t="s">
        <v>282</v>
      </c>
      <c r="G1" s="714" t="s">
        <v>280</v>
      </c>
      <c r="H1" s="714" t="s">
        <v>186</v>
      </c>
      <c r="I1" s="714" t="s">
        <v>629</v>
      </c>
      <c r="J1" s="714" t="s">
        <v>58</v>
      </c>
      <c r="K1" s="3048" t="s">
        <v>561</v>
      </c>
      <c r="L1" s="3048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  <c r="AM1" s="695"/>
      <c r="AN1" s="695"/>
      <c r="AO1" s="695"/>
      <c r="AP1" s="695"/>
      <c r="AQ1" s="695"/>
      <c r="AR1" s="695"/>
      <c r="AS1" s="695"/>
      <c r="AT1" s="695"/>
      <c r="AU1" s="695"/>
      <c r="AV1" s="695"/>
      <c r="AW1" s="695"/>
      <c r="AX1" s="695"/>
      <c r="AY1" s="695"/>
      <c r="AZ1" s="695"/>
      <c r="BA1" s="695"/>
      <c r="BB1" s="695"/>
      <c r="BC1" s="695"/>
      <c r="BD1" s="695"/>
    </row>
    <row r="2" spans="1:56" s="701" customFormat="1" ht="12" customHeight="1">
      <c r="A2" s="709"/>
      <c r="B2" s="713" t="s">
        <v>707</v>
      </c>
      <c r="C2" s="712"/>
      <c r="D2" s="711">
        <f>SUM(D16:D30)</f>
        <v>3625.6099999999997</v>
      </c>
      <c r="E2" s="710">
        <f>SUM(E16:E30)</f>
        <v>592</v>
      </c>
      <c r="F2" s="710">
        <f>SUM(F16:F30)</f>
        <v>0</v>
      </c>
      <c r="G2" s="710">
        <f>SUM(G16:G30)</f>
        <v>0</v>
      </c>
      <c r="H2" s="710"/>
      <c r="I2" s="710">
        <f>SUM(I16:I30)</f>
        <v>0</v>
      </c>
      <c r="J2" s="710">
        <f>SUM(J16:J30)</f>
        <v>0</v>
      </c>
      <c r="K2" s="710"/>
      <c r="L2" s="710">
        <f>SUM(L16:L30)</f>
        <v>100</v>
      </c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</row>
    <row r="3" spans="1:56" s="701" customFormat="1" ht="12" customHeight="1">
      <c r="A3" s="709"/>
      <c r="B3" s="706" t="str">
        <f>B31</f>
        <v>februar</v>
      </c>
      <c r="C3" s="708"/>
      <c r="D3" s="704">
        <f>SUM(D32:D52)</f>
        <v>4946.53</v>
      </c>
      <c r="E3" s="703">
        <f>SUM(E32:E52)</f>
        <v>800</v>
      </c>
      <c r="F3" s="703">
        <f>SUM(F32:F52)</f>
        <v>0</v>
      </c>
      <c r="G3" s="703">
        <f>SUM(G32:G52)</f>
        <v>0</v>
      </c>
      <c r="H3" s="703"/>
      <c r="I3" s="703">
        <f>SUM(I32:I52)</f>
        <v>0</v>
      </c>
      <c r="J3" s="703">
        <f>SUM(J32:J52)</f>
        <v>0</v>
      </c>
      <c r="K3" s="703"/>
      <c r="L3" s="703">
        <f>SUM(L32:L52)</f>
        <v>0</v>
      </c>
      <c r="M3" s="702"/>
      <c r="N3" s="702"/>
      <c r="O3" s="702"/>
      <c r="P3" s="702"/>
      <c r="Q3" s="702"/>
      <c r="R3" s="702"/>
      <c r="S3" s="702"/>
      <c r="T3" s="702"/>
      <c r="U3" s="702"/>
      <c r="V3" s="702"/>
      <c r="W3" s="702"/>
      <c r="X3" s="702"/>
      <c r="Y3" s="702"/>
      <c r="Z3" s="702"/>
      <c r="AA3" s="702"/>
      <c r="AB3" s="702"/>
      <c r="AC3" s="702"/>
      <c r="AD3" s="702"/>
      <c r="AE3" s="702"/>
      <c r="AF3" s="702"/>
      <c r="AG3" s="702"/>
      <c r="AH3" s="702"/>
      <c r="AI3" s="702"/>
      <c r="AJ3" s="702"/>
      <c r="AK3" s="702"/>
      <c r="AL3" s="702"/>
      <c r="AM3" s="702"/>
      <c r="AN3" s="702"/>
      <c r="AO3" s="702"/>
      <c r="AP3" s="702"/>
      <c r="AQ3" s="702"/>
      <c r="AR3" s="702"/>
      <c r="AS3" s="702"/>
      <c r="AT3" s="702"/>
      <c r="AU3" s="702"/>
      <c r="AV3" s="702"/>
      <c r="AW3" s="702"/>
      <c r="AX3" s="702"/>
      <c r="AY3" s="702"/>
      <c r="AZ3" s="702"/>
      <c r="BA3" s="702"/>
      <c r="BB3" s="702"/>
      <c r="BC3" s="702"/>
      <c r="BD3" s="702"/>
    </row>
    <row r="4" spans="1:56" s="701" customFormat="1" ht="12" customHeight="1">
      <c r="A4" s="709"/>
      <c r="B4" s="706" t="str">
        <f>B53</f>
        <v>marts</v>
      </c>
      <c r="C4" s="708"/>
      <c r="D4" s="704">
        <f>SUM(D54:D68)</f>
        <v>2132.6</v>
      </c>
      <c r="E4" s="703">
        <f>SUM(E54:E68)</f>
        <v>100</v>
      </c>
      <c r="F4" s="703">
        <f>SUM(F54:F68)</f>
        <v>721.15</v>
      </c>
      <c r="G4" s="703">
        <f>SUM(G54:G68)</f>
        <v>0</v>
      </c>
      <c r="H4" s="703"/>
      <c r="I4" s="703">
        <f>SUM(I54:I68)</f>
        <v>0</v>
      </c>
      <c r="J4" s="703">
        <f>SUM(J54:J68)</f>
        <v>0</v>
      </c>
      <c r="K4" s="703"/>
      <c r="L4" s="703">
        <f>SUM(L54:L68)</f>
        <v>800</v>
      </c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702"/>
      <c r="AT4" s="702"/>
      <c r="AU4" s="702"/>
      <c r="AV4" s="702"/>
      <c r="AW4" s="702"/>
      <c r="AX4" s="702"/>
      <c r="AY4" s="702"/>
      <c r="AZ4" s="702"/>
      <c r="BA4" s="702"/>
      <c r="BB4" s="702"/>
      <c r="BC4" s="702"/>
      <c r="BD4" s="702"/>
    </row>
    <row r="5" spans="1:56" s="701" customFormat="1" ht="12" customHeight="1">
      <c r="A5" s="709"/>
      <c r="B5" s="706" t="str">
        <f>B69</f>
        <v>april</v>
      </c>
      <c r="C5" s="708"/>
      <c r="D5" s="704">
        <f>SUM(D70:D77)</f>
        <v>2834.2</v>
      </c>
      <c r="E5" s="703">
        <f>SUM(E70:E77)</f>
        <v>200</v>
      </c>
      <c r="F5" s="703">
        <f>SUM(F70:F77)</f>
        <v>0</v>
      </c>
      <c r="G5" s="703">
        <f>SUM(G70:G77)</f>
        <v>0</v>
      </c>
      <c r="H5" s="703"/>
      <c r="I5" s="703">
        <f>SUM(I70:I77)</f>
        <v>0</v>
      </c>
      <c r="J5" s="703">
        <f>SUM(J70:J77)</f>
        <v>0</v>
      </c>
      <c r="K5" s="703"/>
      <c r="L5" s="703">
        <f>SUM(L70:L77)</f>
        <v>500</v>
      </c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</row>
    <row r="6" spans="1:56" s="701" customFormat="1" ht="12" customHeight="1">
      <c r="A6" s="709"/>
      <c r="B6" s="706" t="str">
        <f>B78</f>
        <v>maj</v>
      </c>
      <c r="C6" s="708"/>
      <c r="D6" s="704">
        <f>SUM(D79:D85)</f>
        <v>2409.4499999999998</v>
      </c>
      <c r="E6" s="703">
        <f>SUM(E79:E85)</f>
        <v>200</v>
      </c>
      <c r="F6" s="703">
        <f>SUM(F79:F85)</f>
        <v>0</v>
      </c>
      <c r="G6" s="703">
        <f>SUM(G79:G85)</f>
        <v>0</v>
      </c>
      <c r="H6" s="703"/>
      <c r="I6" s="703">
        <f>SUM(I79:I85)</f>
        <v>0</v>
      </c>
      <c r="J6" s="703">
        <f>SUM(J79:J85)</f>
        <v>0</v>
      </c>
      <c r="K6" s="703"/>
      <c r="L6" s="703">
        <f>SUM(L79:L85)</f>
        <v>0</v>
      </c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702"/>
      <c r="BC6" s="702"/>
      <c r="BD6" s="702"/>
    </row>
    <row r="7" spans="1:56" s="701" customFormat="1" ht="12" customHeight="1">
      <c r="A7" s="709"/>
      <c r="B7" s="706" t="str">
        <f>B86</f>
        <v>juni</v>
      </c>
      <c r="C7" s="708"/>
      <c r="D7" s="704">
        <f>SUM(D86:D102)</f>
        <v>3119.52</v>
      </c>
      <c r="E7" s="703">
        <f>SUM(E86:E102)</f>
        <v>0</v>
      </c>
      <c r="F7" s="703">
        <f>SUM(F86:F102)</f>
        <v>149</v>
      </c>
      <c r="G7" s="703">
        <f>SUM(G86:G102)</f>
        <v>0</v>
      </c>
      <c r="H7" s="703"/>
      <c r="I7" s="703">
        <f>SUM(I86:I102)</f>
        <v>0</v>
      </c>
      <c r="J7" s="703">
        <f>SUM(J86:J102)</f>
        <v>0</v>
      </c>
      <c r="K7" s="703"/>
      <c r="L7" s="703">
        <f>SUM(L86:L102)</f>
        <v>0</v>
      </c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2"/>
      <c r="AZ7" s="702"/>
      <c r="BA7" s="702"/>
      <c r="BB7" s="702"/>
      <c r="BC7" s="702"/>
      <c r="BD7" s="702"/>
    </row>
    <row r="8" spans="1:56" s="701" customFormat="1" ht="12" customHeight="1">
      <c r="A8" s="709"/>
      <c r="B8" s="706" t="str">
        <f>B103</f>
        <v>juli</v>
      </c>
      <c r="C8" s="708"/>
      <c r="D8" s="704">
        <f>SUM(D104:D120)</f>
        <v>3691.3899999999994</v>
      </c>
      <c r="E8" s="703">
        <f>SUM(E104:E120)</f>
        <v>0</v>
      </c>
      <c r="F8" s="703">
        <f>SUM(F104:F120)</f>
        <v>2202.4399999999996</v>
      </c>
      <c r="G8" s="703">
        <f>SUM(G104:G120)</f>
        <v>0</v>
      </c>
      <c r="H8" s="703"/>
      <c r="I8" s="703">
        <f>SUM(I104:I120)</f>
        <v>0</v>
      </c>
      <c r="J8" s="703">
        <f>SUM(J104:J120)</f>
        <v>0</v>
      </c>
      <c r="K8" s="703"/>
      <c r="L8" s="703">
        <f>SUM(L104:L120)</f>
        <v>0</v>
      </c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2"/>
      <c r="AZ8" s="702"/>
      <c r="BA8" s="702"/>
      <c r="BB8" s="702"/>
      <c r="BC8" s="702"/>
      <c r="BD8" s="702"/>
    </row>
    <row r="9" spans="1:56" s="701" customFormat="1" ht="12" customHeight="1">
      <c r="A9" s="709"/>
      <c r="B9" s="706" t="str">
        <f>B121</f>
        <v>august</v>
      </c>
      <c r="C9" s="708"/>
      <c r="D9" s="704">
        <f>SUM(D121:D140)</f>
        <v>7605.85</v>
      </c>
      <c r="E9" s="703">
        <f>SUM(E121:E140)</f>
        <v>198</v>
      </c>
      <c r="F9" s="703">
        <f>SUM(F121:F140)</f>
        <v>4560</v>
      </c>
      <c r="G9" s="703">
        <f>SUM(G121:G140)</f>
        <v>0</v>
      </c>
      <c r="H9" s="703"/>
      <c r="I9" s="703">
        <f>SUM(I121:I140)</f>
        <v>0</v>
      </c>
      <c r="J9" s="703">
        <f>SUM(J121:J140)</f>
        <v>0</v>
      </c>
      <c r="K9" s="703"/>
      <c r="L9" s="703">
        <f>SUM(L121:L140)</f>
        <v>0</v>
      </c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2"/>
      <c r="AZ9" s="702"/>
      <c r="BA9" s="702"/>
      <c r="BB9" s="702"/>
      <c r="BC9" s="702"/>
      <c r="BD9" s="702"/>
    </row>
    <row r="10" spans="1:56" s="701" customFormat="1" ht="12" customHeight="1">
      <c r="A10" s="707"/>
      <c r="B10" s="706" t="str">
        <f>B141</f>
        <v>september</v>
      </c>
      <c r="C10" s="705"/>
      <c r="D10" s="704">
        <f>SUM(D141:D143)</f>
        <v>0</v>
      </c>
      <c r="E10" s="703">
        <f>SUM(E141:E143)</f>
        <v>0</v>
      </c>
      <c r="F10" s="703">
        <f>SUM(F141:F143)</f>
        <v>0</v>
      </c>
      <c r="G10" s="703">
        <f>SUM(G141:G143)</f>
        <v>0</v>
      </c>
      <c r="H10" s="703"/>
      <c r="I10" s="703">
        <f>SUM(I141:I143)</f>
        <v>0</v>
      </c>
      <c r="J10" s="703">
        <f>SUM(J141:J143)</f>
        <v>0</v>
      </c>
      <c r="K10" s="703"/>
      <c r="L10" s="703">
        <f>SUM(L141:L143)</f>
        <v>0</v>
      </c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2"/>
      <c r="AZ10" s="702"/>
      <c r="BA10" s="702"/>
      <c r="BB10" s="702"/>
      <c r="BC10" s="702"/>
      <c r="BD10" s="702"/>
    </row>
    <row r="11" spans="1:56" s="701" customFormat="1" ht="12" customHeight="1">
      <c r="A11" s="707"/>
      <c r="B11" s="706" t="str">
        <f>B144</f>
        <v>oktober</v>
      </c>
      <c r="C11" s="705"/>
      <c r="D11" s="704">
        <f>SUM(D144:D159)</f>
        <v>3794.2999999999997</v>
      </c>
      <c r="E11" s="703">
        <f>SUM(E144:E159)</f>
        <v>0</v>
      </c>
      <c r="F11" s="703">
        <f>SUM(F144:F159)</f>
        <v>168</v>
      </c>
      <c r="G11" s="703">
        <f>SUM(G144:G159)</f>
        <v>0</v>
      </c>
      <c r="H11" s="703"/>
      <c r="I11" s="703">
        <f>SUM(I144:I159)</f>
        <v>0</v>
      </c>
      <c r="J11" s="703">
        <f>SUM(J144:J159)</f>
        <v>0</v>
      </c>
      <c r="K11" s="703"/>
      <c r="L11" s="703">
        <f>SUM(L144:L159)</f>
        <v>0</v>
      </c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2"/>
      <c r="AZ11" s="702"/>
      <c r="BA11" s="702"/>
      <c r="BB11" s="702"/>
      <c r="BC11" s="702"/>
      <c r="BD11" s="702"/>
    </row>
    <row r="12" spans="1:56" s="701" customFormat="1" ht="12" customHeight="1">
      <c r="A12" s="707"/>
      <c r="B12" s="706" t="str">
        <f>B160</f>
        <v>november</v>
      </c>
      <c r="C12" s="705"/>
      <c r="D12" s="704">
        <f>SUM(D160:D187)</f>
        <v>5978.4599999999991</v>
      </c>
      <c r="E12" s="703">
        <f>SUM(E160:E187)</f>
        <v>780</v>
      </c>
      <c r="F12" s="703">
        <f>SUM(F160:F187)</f>
        <v>1244.74</v>
      </c>
      <c r="G12" s="703">
        <f>SUM(G160:G187)</f>
        <v>702</v>
      </c>
      <c r="H12" s="703"/>
      <c r="I12" s="703">
        <f>SUM(I160:I187)</f>
        <v>0</v>
      </c>
      <c r="J12" s="703">
        <f>SUM(J160:J187)</f>
        <v>850.97</v>
      </c>
      <c r="K12" s="703"/>
      <c r="L12" s="703">
        <f>SUM(L160:L187)</f>
        <v>100</v>
      </c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2"/>
      <c r="AZ12" s="702"/>
      <c r="BA12" s="702"/>
      <c r="BB12" s="702"/>
      <c r="BC12" s="702"/>
      <c r="BD12" s="702"/>
    </row>
    <row r="13" spans="1:56" s="701" customFormat="1" ht="12" customHeight="1">
      <c r="A13" s="707"/>
      <c r="B13" s="706" t="s">
        <v>112</v>
      </c>
      <c r="C13" s="705"/>
      <c r="D13" s="704">
        <f>SUM(D187:D206)</f>
        <v>7808</v>
      </c>
      <c r="E13" s="703">
        <f>SUM(E187:E206)</f>
        <v>520</v>
      </c>
      <c r="F13" s="703">
        <f>SUM(F187:F206)</f>
        <v>983.46</v>
      </c>
      <c r="G13" s="703">
        <f>SUM(G187:G206)</f>
        <v>457</v>
      </c>
      <c r="H13" s="703"/>
      <c r="I13" s="703">
        <f>SUM(I187:I206)</f>
        <v>179</v>
      </c>
      <c r="J13" s="703">
        <f>SUM(J187:J206)</f>
        <v>1411.08</v>
      </c>
      <c r="K13" s="703"/>
      <c r="L13" s="703">
        <f>SUM(L187:L206)</f>
        <v>0</v>
      </c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702"/>
      <c r="AT13" s="702"/>
      <c r="AU13" s="702"/>
      <c r="AV13" s="702"/>
      <c r="AW13" s="702"/>
      <c r="AX13" s="702"/>
      <c r="AY13" s="702"/>
      <c r="AZ13" s="702"/>
      <c r="BA13" s="702"/>
      <c r="BB13" s="702"/>
      <c r="BC13" s="702"/>
      <c r="BD13" s="702"/>
    </row>
    <row r="14" spans="1:56" s="694" customFormat="1" ht="12" customHeight="1">
      <c r="A14" s="700"/>
      <c r="B14" s="699" t="s">
        <v>706</v>
      </c>
      <c r="C14" s="698"/>
      <c r="D14" s="697">
        <f>SUM(D2:D13)</f>
        <v>47945.91</v>
      </c>
      <c r="E14" s="696">
        <f>SUM(E2:E13)</f>
        <v>3390</v>
      </c>
      <c r="F14" s="696">
        <f>SUM(F2:F13)</f>
        <v>10028.790000000001</v>
      </c>
      <c r="G14" s="696">
        <f>SUM(G2:G13)</f>
        <v>1159</v>
      </c>
      <c r="H14" s="696"/>
      <c r="I14" s="696">
        <f>SUM(I2:I13)</f>
        <v>179</v>
      </c>
      <c r="J14" s="696">
        <f>SUM(J2:J13)</f>
        <v>2262.0500000000002</v>
      </c>
      <c r="K14" s="3049"/>
      <c r="L14" s="3049">
        <f>SUM(L2:L13)</f>
        <v>1500</v>
      </c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5"/>
      <c r="AD14" s="695"/>
      <c r="AE14" s="695"/>
      <c r="AF14" s="695"/>
      <c r="AG14" s="695"/>
      <c r="AH14" s="695"/>
      <c r="AI14" s="695"/>
      <c r="AJ14" s="695"/>
      <c r="AK14" s="695"/>
      <c r="AL14" s="695"/>
      <c r="AM14" s="695"/>
      <c r="AN14" s="695"/>
      <c r="AO14" s="695"/>
      <c r="AP14" s="695"/>
      <c r="AQ14" s="695"/>
      <c r="AR14" s="695"/>
      <c r="AS14" s="695"/>
      <c r="AT14" s="695"/>
      <c r="AU14" s="695"/>
      <c r="AV14" s="695"/>
      <c r="AW14" s="695"/>
      <c r="AX14" s="695"/>
      <c r="AY14" s="695"/>
      <c r="AZ14" s="695"/>
      <c r="BA14" s="695"/>
      <c r="BB14" s="695"/>
      <c r="BC14" s="695"/>
      <c r="BD14" s="695"/>
    </row>
    <row r="15" spans="1:56" s="662" customFormat="1" ht="12" customHeight="1">
      <c r="A15" s="685"/>
      <c r="B15" s="667" t="s">
        <v>122</v>
      </c>
      <c r="C15" s="693" t="s">
        <v>37</v>
      </c>
      <c r="D15" s="692"/>
      <c r="E15" s="691" t="s">
        <v>48</v>
      </c>
      <c r="F15" s="691" t="s">
        <v>282</v>
      </c>
      <c r="G15" s="691" t="s">
        <v>280</v>
      </c>
      <c r="H15" s="691"/>
      <c r="I15" s="691" t="s">
        <v>629</v>
      </c>
      <c r="J15" s="664" t="s">
        <v>58</v>
      </c>
      <c r="K15" s="3050" t="s">
        <v>561</v>
      </c>
      <c r="L15" s="3050"/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/>
      <c r="AN15" s="663"/>
      <c r="AO15" s="663"/>
      <c r="AP15" s="663"/>
      <c r="AQ15" s="663"/>
      <c r="AR15" s="663"/>
      <c r="AS15" s="663"/>
      <c r="AT15" s="663"/>
      <c r="AU15" s="663"/>
      <c r="AV15" s="663"/>
      <c r="AW15" s="663"/>
      <c r="AX15" s="663"/>
      <c r="AY15" s="663"/>
      <c r="AZ15" s="663"/>
      <c r="BA15" s="663"/>
      <c r="BB15" s="663"/>
      <c r="BC15" s="663"/>
      <c r="BD15" s="663"/>
    </row>
    <row r="16" spans="1:56" ht="12" customHeight="1">
      <c r="A16" s="684"/>
      <c r="B16" s="690"/>
      <c r="C16" s="689" t="s">
        <v>629</v>
      </c>
      <c r="D16" s="688">
        <f>222+306+258</f>
        <v>786</v>
      </c>
      <c r="E16" s="687"/>
      <c r="F16" s="687"/>
      <c r="G16" s="687"/>
      <c r="H16" s="687"/>
      <c r="I16" s="687"/>
      <c r="J16" s="687"/>
      <c r="K16" s="687" t="s">
        <v>705</v>
      </c>
      <c r="L16" s="687">
        <v>100</v>
      </c>
    </row>
    <row r="17" spans="1:56" ht="12" customHeight="1">
      <c r="B17" s="661"/>
      <c r="C17" s="660" t="s">
        <v>64</v>
      </c>
      <c r="D17" s="659">
        <f>200+196+196</f>
        <v>592</v>
      </c>
      <c r="E17" s="460">
        <v>592</v>
      </c>
      <c r="F17" s="460"/>
      <c r="G17" s="460"/>
      <c r="H17" s="460"/>
      <c r="I17" s="460"/>
      <c r="J17" s="460"/>
      <c r="K17" s="460"/>
      <c r="L17" s="460"/>
    </row>
    <row r="18" spans="1:56" ht="12" customHeight="1">
      <c r="A18" s="686"/>
      <c r="B18" s="661"/>
      <c r="C18" s="660" t="s">
        <v>480</v>
      </c>
      <c r="D18" s="659">
        <v>209.7</v>
      </c>
      <c r="E18" s="460"/>
      <c r="F18" s="460"/>
      <c r="G18" s="460"/>
      <c r="H18" s="460"/>
      <c r="I18" s="460"/>
      <c r="J18" s="460"/>
      <c r="K18" s="460"/>
      <c r="L18" s="460"/>
    </row>
    <row r="19" spans="1:56" ht="12" customHeight="1">
      <c r="A19" s="686"/>
      <c r="B19" s="661"/>
      <c r="C19" s="660" t="s">
        <v>704</v>
      </c>
      <c r="D19" s="659">
        <v>19</v>
      </c>
      <c r="E19" s="460"/>
      <c r="F19" s="460"/>
      <c r="G19" s="460"/>
      <c r="H19" s="460"/>
      <c r="I19" s="460"/>
      <c r="J19" s="460"/>
      <c r="K19" s="460"/>
      <c r="L19" s="460"/>
    </row>
    <row r="20" spans="1:56" ht="12" customHeight="1">
      <c r="B20" s="661"/>
      <c r="C20" s="660" t="s">
        <v>703</v>
      </c>
      <c r="D20" s="659">
        <v>49</v>
      </c>
      <c r="E20" s="460"/>
      <c r="F20" s="460"/>
      <c r="G20" s="460"/>
      <c r="H20" s="460"/>
      <c r="I20" s="460"/>
      <c r="J20" s="460"/>
      <c r="K20" s="460"/>
      <c r="L20" s="460"/>
    </row>
    <row r="21" spans="1:56" ht="12" customHeight="1">
      <c r="B21" s="661"/>
      <c r="C21" s="660" t="s">
        <v>675</v>
      </c>
      <c r="D21" s="659">
        <v>44</v>
      </c>
      <c r="E21" s="460"/>
      <c r="F21" s="460"/>
      <c r="G21" s="460"/>
      <c r="H21" s="460"/>
      <c r="I21" s="460"/>
      <c r="J21" s="460"/>
      <c r="K21" s="460"/>
      <c r="L21" s="460"/>
    </row>
    <row r="22" spans="1:56" ht="12" customHeight="1">
      <c r="B22" s="661"/>
      <c r="C22" s="660" t="s">
        <v>702</v>
      </c>
      <c r="D22" s="659">
        <v>99</v>
      </c>
      <c r="E22" s="460"/>
      <c r="F22" s="460"/>
      <c r="G22" s="460"/>
      <c r="H22" s="460"/>
      <c r="I22" s="460"/>
      <c r="J22" s="460"/>
      <c r="K22" s="460"/>
      <c r="L22" s="460"/>
    </row>
    <row r="23" spans="1:56" ht="12" customHeight="1">
      <c r="B23" s="661"/>
      <c r="C23" s="660" t="s">
        <v>701</v>
      </c>
      <c r="D23" s="659">
        <v>90</v>
      </c>
      <c r="E23" s="460"/>
      <c r="F23" s="460"/>
      <c r="G23" s="460"/>
      <c r="H23" s="460"/>
      <c r="I23" s="460"/>
      <c r="J23" s="460"/>
      <c r="K23" s="460"/>
      <c r="L23" s="460"/>
    </row>
    <row r="24" spans="1:56" ht="12" customHeight="1">
      <c r="B24" s="661"/>
      <c r="C24" s="660" t="s">
        <v>700</v>
      </c>
      <c r="D24" s="659">
        <v>349</v>
      </c>
      <c r="E24" s="460"/>
      <c r="F24" s="460"/>
      <c r="G24" s="460"/>
      <c r="H24" s="460"/>
      <c r="I24" s="460"/>
      <c r="J24" s="460"/>
      <c r="K24" s="460"/>
      <c r="L24" s="460"/>
    </row>
    <row r="25" spans="1:56" ht="12" customHeight="1">
      <c r="B25" s="661"/>
      <c r="C25" s="660" t="s">
        <v>699</v>
      </c>
      <c r="D25" s="659">
        <v>150.66</v>
      </c>
      <c r="E25" s="460"/>
      <c r="F25" s="460"/>
      <c r="G25" s="460"/>
      <c r="H25" s="460"/>
      <c r="I25" s="460"/>
      <c r="J25" s="460"/>
      <c r="K25" s="460"/>
      <c r="L25" s="460"/>
    </row>
    <row r="26" spans="1:56" ht="12" customHeight="1">
      <c r="B26" s="661"/>
      <c r="C26" s="660" t="s">
        <v>698</v>
      </c>
      <c r="D26" s="659">
        <v>130</v>
      </c>
      <c r="E26" s="460"/>
      <c r="F26" s="460"/>
      <c r="G26" s="460"/>
      <c r="H26" s="460"/>
      <c r="I26" s="460"/>
      <c r="J26" s="460"/>
      <c r="K26" s="460"/>
      <c r="L26" s="460"/>
    </row>
    <row r="27" spans="1:56" ht="12" customHeight="1">
      <c r="B27" s="661"/>
      <c r="C27" s="660" t="s">
        <v>697</v>
      </c>
      <c r="D27" s="659">
        <v>150</v>
      </c>
      <c r="E27" s="460"/>
      <c r="F27" s="460"/>
      <c r="G27" s="460"/>
      <c r="H27" s="460"/>
      <c r="I27" s="460"/>
      <c r="J27" s="460"/>
      <c r="K27" s="460"/>
      <c r="L27" s="460"/>
    </row>
    <row r="28" spans="1:56" ht="12" customHeight="1">
      <c r="B28" s="661"/>
      <c r="C28" s="660" t="s">
        <v>254</v>
      </c>
      <c r="D28" s="659">
        <v>54.5</v>
      </c>
      <c r="E28" s="460"/>
      <c r="F28" s="460"/>
      <c r="G28" s="460"/>
      <c r="H28" s="460"/>
      <c r="I28" s="460"/>
      <c r="J28" s="460"/>
      <c r="K28" s="460"/>
      <c r="L28" s="460"/>
    </row>
    <row r="29" spans="1:56" ht="12" customHeight="1">
      <c r="B29" s="661"/>
      <c r="C29" s="660" t="s">
        <v>696</v>
      </c>
      <c r="D29" s="659">
        <v>200</v>
      </c>
      <c r="E29" s="460"/>
      <c r="F29" s="460"/>
      <c r="G29" s="460"/>
      <c r="H29" s="460"/>
      <c r="I29" s="460"/>
      <c r="J29" s="460"/>
      <c r="K29" s="460"/>
      <c r="L29" s="460"/>
    </row>
    <row r="30" spans="1:56" ht="12" customHeight="1">
      <c r="B30" s="658"/>
      <c r="C30" s="657" t="s">
        <v>37</v>
      </c>
      <c r="D30" s="656">
        <v>702.75</v>
      </c>
      <c r="E30" s="655"/>
      <c r="F30" s="655"/>
      <c r="G30" s="655"/>
      <c r="H30" s="655"/>
      <c r="I30" s="655"/>
      <c r="J30" s="655"/>
      <c r="K30" s="655"/>
      <c r="L30" s="655"/>
    </row>
    <row r="31" spans="1:56" s="662" customFormat="1" ht="12" customHeight="1">
      <c r="A31" s="685"/>
      <c r="B31" s="667" t="s">
        <v>121</v>
      </c>
      <c r="C31" s="666" t="s">
        <v>37</v>
      </c>
      <c r="D31" s="665"/>
      <c r="E31" s="664" t="s">
        <v>48</v>
      </c>
      <c r="F31" s="664" t="s">
        <v>282</v>
      </c>
      <c r="G31" s="664" t="s">
        <v>280</v>
      </c>
      <c r="H31" s="664"/>
      <c r="I31" s="664" t="s">
        <v>629</v>
      </c>
      <c r="J31" s="664" t="s">
        <v>58</v>
      </c>
      <c r="K31" s="3047" t="s">
        <v>561</v>
      </c>
      <c r="L31" s="3047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  <c r="AF31" s="663"/>
      <c r="AG31" s="663"/>
      <c r="AH31" s="663"/>
      <c r="AI31" s="663"/>
      <c r="AJ31" s="663"/>
      <c r="AK31" s="663"/>
      <c r="AL31" s="663"/>
      <c r="AM31" s="663"/>
      <c r="AN31" s="663"/>
      <c r="AO31" s="663"/>
      <c r="AP31" s="663"/>
      <c r="AQ31" s="663"/>
      <c r="AR31" s="663"/>
      <c r="AS31" s="663"/>
      <c r="AT31" s="663"/>
      <c r="AU31" s="663"/>
      <c r="AV31" s="663"/>
      <c r="AW31" s="663"/>
      <c r="AX31" s="663"/>
      <c r="AY31" s="663"/>
      <c r="AZ31" s="663"/>
      <c r="BA31" s="663"/>
      <c r="BB31" s="663"/>
      <c r="BC31" s="663"/>
      <c r="BD31" s="663"/>
    </row>
    <row r="32" spans="1:56" s="650" customFormat="1" ht="12" customHeight="1">
      <c r="A32" s="684"/>
      <c r="B32" s="661"/>
      <c r="C32" s="660" t="s">
        <v>629</v>
      </c>
      <c r="D32" s="659"/>
      <c r="E32" s="460"/>
      <c r="F32" s="460"/>
      <c r="G32" s="460"/>
      <c r="H32" s="460"/>
      <c r="I32" s="460"/>
      <c r="J32" s="460"/>
      <c r="K32" s="460"/>
      <c r="L32" s="460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3"/>
      <c r="AD32" s="683"/>
      <c r="AE32" s="683"/>
      <c r="AF32" s="683"/>
      <c r="AG32" s="683"/>
      <c r="AH32" s="683"/>
      <c r="AI32" s="683"/>
      <c r="AJ32" s="683"/>
      <c r="AK32" s="683"/>
      <c r="AL32" s="683"/>
      <c r="AM32" s="683"/>
      <c r="AN32" s="683"/>
      <c r="AO32" s="683"/>
      <c r="AP32" s="683"/>
      <c r="AQ32" s="683"/>
      <c r="AR32" s="683"/>
      <c r="AS32" s="683"/>
      <c r="AT32" s="683"/>
      <c r="AU32" s="683"/>
      <c r="AV32" s="683"/>
      <c r="AW32" s="683"/>
      <c r="AX32" s="683"/>
      <c r="AY32" s="683"/>
      <c r="AZ32" s="683"/>
      <c r="BA32" s="683"/>
      <c r="BB32" s="683"/>
      <c r="BC32" s="683"/>
      <c r="BD32" s="683"/>
    </row>
    <row r="33" spans="1:56" s="650" customFormat="1" ht="12" customHeight="1">
      <c r="A33" s="654"/>
      <c r="B33" s="661"/>
      <c r="C33" s="660" t="s">
        <v>64</v>
      </c>
      <c r="D33" s="659">
        <f>200+200+200+200</f>
        <v>800</v>
      </c>
      <c r="E33" s="460">
        <v>800</v>
      </c>
      <c r="F33" s="460"/>
      <c r="G33" s="460"/>
      <c r="H33" s="460"/>
      <c r="I33" s="460"/>
      <c r="J33" s="460"/>
      <c r="K33" s="460"/>
      <c r="L33" s="460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3"/>
      <c r="AD33" s="683"/>
      <c r="AE33" s="683"/>
      <c r="AF33" s="683"/>
      <c r="AG33" s="683"/>
      <c r="AH33" s="683"/>
      <c r="AI33" s="683"/>
      <c r="AJ33" s="683"/>
      <c r="AK33" s="683"/>
      <c r="AL33" s="683"/>
      <c r="AM33" s="683"/>
      <c r="AN33" s="683"/>
      <c r="AO33" s="683"/>
      <c r="AP33" s="683"/>
      <c r="AQ33" s="683"/>
      <c r="AR33" s="683"/>
      <c r="AS33" s="683"/>
      <c r="AT33" s="683"/>
      <c r="AU33" s="683"/>
      <c r="AV33" s="683"/>
      <c r="AW33" s="683"/>
      <c r="AX33" s="683"/>
      <c r="AY33" s="683"/>
      <c r="AZ33" s="683"/>
      <c r="BA33" s="683"/>
      <c r="BB33" s="683"/>
      <c r="BC33" s="683"/>
      <c r="BD33" s="683"/>
    </row>
    <row r="34" spans="1:56" s="650" customFormat="1" ht="12" customHeight="1">
      <c r="A34" s="654"/>
      <c r="B34" s="661"/>
      <c r="C34" s="660" t="s">
        <v>695</v>
      </c>
      <c r="D34" s="659">
        <v>300</v>
      </c>
      <c r="E34" s="460"/>
      <c r="F34" s="460"/>
      <c r="G34" s="460"/>
      <c r="H34" s="460"/>
      <c r="I34" s="460"/>
      <c r="J34" s="460"/>
      <c r="K34" s="460"/>
      <c r="L34" s="460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3"/>
      <c r="AD34" s="683"/>
      <c r="AE34" s="683"/>
      <c r="AF34" s="683"/>
      <c r="AG34" s="683"/>
      <c r="AH34" s="683"/>
      <c r="AI34" s="683"/>
      <c r="AJ34" s="683"/>
      <c r="AK34" s="683"/>
      <c r="AL34" s="683"/>
      <c r="AM34" s="683"/>
      <c r="AN34" s="683"/>
      <c r="AO34" s="683"/>
      <c r="AP34" s="683"/>
      <c r="AQ34" s="683"/>
      <c r="AR34" s="683"/>
      <c r="AS34" s="683"/>
      <c r="AT34" s="683"/>
      <c r="AU34" s="683"/>
      <c r="AV34" s="683"/>
      <c r="AW34" s="683"/>
      <c r="AX34" s="683"/>
      <c r="AY34" s="683"/>
      <c r="AZ34" s="683"/>
      <c r="BA34" s="683"/>
      <c r="BB34" s="683"/>
      <c r="BC34" s="683"/>
      <c r="BD34" s="683"/>
    </row>
    <row r="35" spans="1:56" s="650" customFormat="1" ht="12" customHeight="1">
      <c r="A35" s="654"/>
      <c r="B35" s="661"/>
      <c r="C35" s="660" t="s">
        <v>657</v>
      </c>
      <c r="D35" s="659">
        <v>260</v>
      </c>
      <c r="E35" s="460"/>
      <c r="F35" s="460"/>
      <c r="G35" s="460"/>
      <c r="H35" s="460"/>
      <c r="I35" s="460"/>
      <c r="J35" s="460"/>
      <c r="K35" s="460"/>
      <c r="L35" s="460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3"/>
      <c r="AD35" s="683"/>
      <c r="AE35" s="683"/>
      <c r="AF35" s="683"/>
      <c r="AG35" s="683"/>
      <c r="AH35" s="683"/>
      <c r="AI35" s="683"/>
      <c r="AJ35" s="683"/>
      <c r="AK35" s="683"/>
      <c r="AL35" s="683"/>
      <c r="AM35" s="683"/>
      <c r="AN35" s="683"/>
      <c r="AO35" s="683"/>
      <c r="AP35" s="683"/>
      <c r="AQ35" s="683"/>
      <c r="AR35" s="683"/>
      <c r="AS35" s="683"/>
      <c r="AT35" s="683"/>
      <c r="AU35" s="683"/>
      <c r="AV35" s="683"/>
      <c r="AW35" s="683"/>
      <c r="AX35" s="683"/>
      <c r="AY35" s="683"/>
      <c r="AZ35" s="683"/>
      <c r="BA35" s="683"/>
      <c r="BB35" s="683"/>
      <c r="BC35" s="683"/>
      <c r="BD35" s="683"/>
    </row>
    <row r="36" spans="1:56" s="650" customFormat="1" ht="12" customHeight="1">
      <c r="A36" s="654"/>
      <c r="B36" s="661"/>
      <c r="C36" s="660" t="s">
        <v>694</v>
      </c>
      <c r="D36" s="659">
        <v>63</v>
      </c>
      <c r="E36" s="460"/>
      <c r="F36" s="460"/>
      <c r="G36" s="460"/>
      <c r="H36" s="460"/>
      <c r="I36" s="460"/>
      <c r="J36" s="460"/>
      <c r="K36" s="460"/>
      <c r="L36" s="460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3"/>
      <c r="AD36" s="683"/>
      <c r="AE36" s="683"/>
      <c r="AF36" s="683"/>
      <c r="AG36" s="683"/>
      <c r="AH36" s="683"/>
      <c r="AI36" s="683"/>
      <c r="AJ36" s="683"/>
      <c r="AK36" s="683"/>
      <c r="AL36" s="683"/>
      <c r="AM36" s="683"/>
      <c r="AN36" s="683"/>
      <c r="AO36" s="683"/>
      <c r="AP36" s="683"/>
      <c r="AQ36" s="683"/>
      <c r="AR36" s="683"/>
      <c r="AS36" s="683"/>
      <c r="AT36" s="683"/>
      <c r="AU36" s="683"/>
      <c r="AV36" s="683"/>
      <c r="AW36" s="683"/>
      <c r="AX36" s="683"/>
      <c r="AY36" s="683"/>
      <c r="AZ36" s="683"/>
      <c r="BA36" s="683"/>
      <c r="BB36" s="683"/>
      <c r="BC36" s="683"/>
      <c r="BD36" s="683"/>
    </row>
    <row r="37" spans="1:56" s="650" customFormat="1" ht="12" customHeight="1">
      <c r="A37" s="654"/>
      <c r="B37" s="661"/>
      <c r="C37" s="660" t="s">
        <v>479</v>
      </c>
      <c r="D37" s="659">
        <f>79+175+75</f>
        <v>329</v>
      </c>
      <c r="E37" s="460"/>
      <c r="F37" s="460"/>
      <c r="G37" s="460"/>
      <c r="H37" s="460"/>
      <c r="I37" s="460"/>
      <c r="J37" s="460"/>
      <c r="K37" s="460"/>
      <c r="L37" s="460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3"/>
      <c r="AD37" s="683"/>
      <c r="AE37" s="683"/>
      <c r="AF37" s="683"/>
      <c r="AG37" s="683"/>
      <c r="AH37" s="683"/>
      <c r="AI37" s="683"/>
      <c r="AJ37" s="683"/>
      <c r="AK37" s="683"/>
      <c r="AL37" s="683"/>
      <c r="AM37" s="683"/>
      <c r="AN37" s="683"/>
      <c r="AO37" s="683"/>
      <c r="AP37" s="683"/>
      <c r="AQ37" s="683"/>
      <c r="AR37" s="683"/>
      <c r="AS37" s="683"/>
      <c r="AT37" s="683"/>
      <c r="AU37" s="683"/>
      <c r="AV37" s="683"/>
      <c r="AW37" s="683"/>
      <c r="AX37" s="683"/>
      <c r="AY37" s="683"/>
      <c r="AZ37" s="683"/>
      <c r="BA37" s="683"/>
      <c r="BB37" s="683"/>
      <c r="BC37" s="683"/>
      <c r="BD37" s="683"/>
    </row>
    <row r="38" spans="1:56" s="650" customFormat="1" ht="12" customHeight="1">
      <c r="A38" s="654"/>
      <c r="B38" s="661"/>
      <c r="C38" s="660" t="s">
        <v>662</v>
      </c>
      <c r="D38" s="659">
        <f>79+75</f>
        <v>154</v>
      </c>
      <c r="E38" s="460"/>
      <c r="F38" s="460"/>
      <c r="G38" s="460"/>
      <c r="H38" s="460"/>
      <c r="I38" s="460"/>
      <c r="J38" s="460"/>
      <c r="K38" s="460"/>
      <c r="L38" s="460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3"/>
      <c r="AD38" s="683"/>
      <c r="AE38" s="683"/>
      <c r="AF38" s="683"/>
      <c r="AG38" s="683"/>
      <c r="AH38" s="683"/>
      <c r="AI38" s="683"/>
      <c r="AJ38" s="683"/>
      <c r="AK38" s="683"/>
      <c r="AL38" s="683"/>
      <c r="AM38" s="683"/>
      <c r="AN38" s="683"/>
      <c r="AO38" s="683"/>
      <c r="AP38" s="683"/>
      <c r="AQ38" s="683"/>
      <c r="AR38" s="683"/>
      <c r="AS38" s="683"/>
      <c r="AT38" s="683"/>
      <c r="AU38" s="683"/>
      <c r="AV38" s="683"/>
      <c r="AW38" s="683"/>
      <c r="AX38" s="683"/>
      <c r="AY38" s="683"/>
      <c r="AZ38" s="683"/>
      <c r="BA38" s="683"/>
      <c r="BB38" s="683"/>
      <c r="BC38" s="683"/>
      <c r="BD38" s="683"/>
    </row>
    <row r="39" spans="1:56" s="654" customFormat="1" ht="12" customHeight="1">
      <c r="B39" s="661"/>
      <c r="C39" s="660" t="s">
        <v>636</v>
      </c>
      <c r="D39" s="659">
        <v>480.35</v>
      </c>
      <c r="E39" s="460"/>
      <c r="F39" s="460"/>
      <c r="G39" s="460"/>
      <c r="H39" s="460"/>
      <c r="I39" s="460"/>
      <c r="J39" s="460"/>
      <c r="K39" s="460"/>
      <c r="L39" s="460"/>
      <c r="M39" s="668"/>
      <c r="N39" s="668"/>
      <c r="O39" s="668"/>
      <c r="P39" s="668"/>
      <c r="Q39" s="668"/>
      <c r="R39" s="668"/>
      <c r="S39" s="668"/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</row>
    <row r="40" spans="1:56" s="654" customFormat="1" ht="12" customHeight="1">
      <c r="B40" s="661"/>
      <c r="C40" s="660" t="s">
        <v>693</v>
      </c>
      <c r="D40" s="659">
        <v>189</v>
      </c>
      <c r="E40" s="460"/>
      <c r="F40" s="460"/>
      <c r="G40" s="460"/>
      <c r="H40" s="460"/>
      <c r="I40" s="460"/>
      <c r="J40" s="460"/>
      <c r="K40" s="460"/>
      <c r="L40" s="460"/>
      <c r="M40" s="668"/>
      <c r="N40" s="668"/>
      <c r="O40" s="668"/>
      <c r="P40" s="668"/>
      <c r="Q40" s="668"/>
      <c r="R40" s="668"/>
      <c r="S40" s="668"/>
      <c r="T40" s="668"/>
      <c r="U40" s="668"/>
      <c r="V40" s="668"/>
      <c r="W40" s="668"/>
      <c r="X40" s="668"/>
      <c r="Y40" s="668"/>
      <c r="Z40" s="668"/>
      <c r="AA40" s="668"/>
      <c r="AB40" s="668"/>
      <c r="AC40" s="668"/>
      <c r="AD40" s="668"/>
      <c r="AE40" s="668"/>
      <c r="AF40" s="668"/>
      <c r="AG40" s="668"/>
      <c r="AH40" s="668"/>
      <c r="AI40" s="668"/>
      <c r="AJ40" s="668"/>
      <c r="AK40" s="668"/>
      <c r="AL40" s="668"/>
      <c r="AM40" s="668"/>
      <c r="AN40" s="668"/>
      <c r="AO40" s="668"/>
      <c r="AP40" s="668"/>
      <c r="AQ40" s="668"/>
      <c r="AR40" s="668"/>
      <c r="AS40" s="668"/>
      <c r="AT40" s="668"/>
      <c r="AU40" s="668"/>
      <c r="AV40" s="668"/>
      <c r="AW40" s="668"/>
      <c r="AX40" s="668"/>
      <c r="AY40" s="668"/>
      <c r="AZ40" s="668"/>
      <c r="BA40" s="668"/>
      <c r="BB40" s="668"/>
      <c r="BC40" s="668"/>
      <c r="BD40" s="668"/>
    </row>
    <row r="41" spans="1:56" s="654" customFormat="1" ht="12" customHeight="1">
      <c r="B41" s="661"/>
      <c r="C41" s="660" t="s">
        <v>692</v>
      </c>
      <c r="D41" s="659">
        <v>821.5</v>
      </c>
      <c r="E41" s="460"/>
      <c r="F41" s="460"/>
      <c r="G41" s="460"/>
      <c r="H41" s="460"/>
      <c r="I41" s="460"/>
      <c r="J41" s="460"/>
      <c r="K41" s="460"/>
      <c r="L41" s="460"/>
      <c r="M41" s="668"/>
      <c r="N41" s="668"/>
      <c r="O41" s="668"/>
      <c r="P41" s="668"/>
      <c r="Q41" s="668"/>
      <c r="R41" s="668"/>
      <c r="S41" s="668"/>
      <c r="T41" s="668"/>
      <c r="U41" s="668"/>
      <c r="V41" s="668"/>
      <c r="W41" s="668"/>
      <c r="X41" s="668"/>
      <c r="Y41" s="668"/>
      <c r="Z41" s="668"/>
      <c r="AA41" s="668"/>
      <c r="AB41" s="668"/>
      <c r="AC41" s="668"/>
      <c r="AD41" s="668"/>
      <c r="AE41" s="668"/>
      <c r="AF41" s="668"/>
      <c r="AG41" s="668"/>
      <c r="AH41" s="668"/>
      <c r="AI41" s="668"/>
      <c r="AJ41" s="668"/>
      <c r="AK41" s="668"/>
      <c r="AL41" s="668"/>
      <c r="AM41" s="668"/>
      <c r="AN41" s="668"/>
      <c r="AO41" s="668"/>
      <c r="AP41" s="668"/>
      <c r="AQ41" s="668"/>
      <c r="AR41" s="668"/>
      <c r="AS41" s="668"/>
      <c r="AT41" s="668"/>
      <c r="AU41" s="668"/>
      <c r="AV41" s="668"/>
      <c r="AW41" s="668"/>
      <c r="AX41" s="668"/>
      <c r="AY41" s="668"/>
      <c r="AZ41" s="668"/>
      <c r="BA41" s="668"/>
      <c r="BB41" s="668"/>
      <c r="BC41" s="668"/>
      <c r="BD41" s="668"/>
    </row>
    <row r="42" spans="1:56" s="654" customFormat="1" ht="12" customHeight="1">
      <c r="B42" s="661"/>
      <c r="C42" s="660" t="s">
        <v>473</v>
      </c>
      <c r="D42" s="659">
        <f>20+35</f>
        <v>55</v>
      </c>
      <c r="E42" s="460"/>
      <c r="F42" s="460"/>
      <c r="G42" s="460"/>
      <c r="H42" s="460"/>
      <c r="I42" s="460"/>
      <c r="J42" s="460"/>
      <c r="K42" s="460"/>
      <c r="L42" s="460"/>
      <c r="M42" s="668"/>
      <c r="N42" s="668"/>
      <c r="O42" s="668"/>
      <c r="P42" s="668"/>
      <c r="Q42" s="668"/>
      <c r="R42" s="668"/>
      <c r="S42" s="668"/>
      <c r="T42" s="668"/>
      <c r="U42" s="668"/>
      <c r="V42" s="668"/>
      <c r="W42" s="668"/>
      <c r="X42" s="668"/>
      <c r="Y42" s="668"/>
      <c r="Z42" s="668"/>
      <c r="AA42" s="668"/>
      <c r="AB42" s="668"/>
      <c r="AC42" s="668"/>
      <c r="AD42" s="668"/>
      <c r="AE42" s="668"/>
      <c r="AF42" s="668"/>
      <c r="AG42" s="668"/>
      <c r="AH42" s="668"/>
      <c r="AI42" s="668"/>
      <c r="AJ42" s="668"/>
      <c r="AK42" s="668"/>
      <c r="AL42" s="668"/>
      <c r="AM42" s="668"/>
      <c r="AN42" s="668"/>
      <c r="AO42" s="668"/>
      <c r="AP42" s="668"/>
      <c r="AQ42" s="668"/>
      <c r="AR42" s="668"/>
      <c r="AS42" s="668"/>
      <c r="AT42" s="668"/>
      <c r="AU42" s="668"/>
      <c r="AV42" s="668"/>
      <c r="AW42" s="668"/>
      <c r="AX42" s="668"/>
      <c r="AY42" s="668"/>
      <c r="AZ42" s="668"/>
      <c r="BA42" s="668"/>
      <c r="BB42" s="668"/>
      <c r="BC42" s="668"/>
      <c r="BD42" s="668"/>
    </row>
    <row r="43" spans="1:56" s="654" customFormat="1" ht="12" customHeight="1">
      <c r="B43" s="661"/>
      <c r="C43" s="660" t="s">
        <v>216</v>
      </c>
      <c r="D43" s="659">
        <f>30+37.5+104</f>
        <v>171.5</v>
      </c>
      <c r="E43" s="460"/>
      <c r="F43" s="460"/>
      <c r="G43" s="460"/>
      <c r="H43" s="460"/>
      <c r="I43" s="460"/>
      <c r="J43" s="460"/>
      <c r="K43" s="460"/>
      <c r="L43" s="460"/>
      <c r="M43" s="668"/>
      <c r="N43" s="668"/>
      <c r="O43" s="668"/>
      <c r="P43" s="668"/>
      <c r="Q43" s="668"/>
      <c r="R43" s="668"/>
      <c r="S43" s="668"/>
      <c r="T43" s="668"/>
      <c r="U43" s="668"/>
      <c r="V43" s="668"/>
      <c r="W43" s="668"/>
      <c r="X43" s="668"/>
      <c r="Y43" s="668"/>
      <c r="Z43" s="668"/>
      <c r="AA43" s="668"/>
      <c r="AB43" s="668"/>
      <c r="AC43" s="668"/>
      <c r="AD43" s="668"/>
      <c r="AE43" s="668"/>
      <c r="AF43" s="668"/>
      <c r="AG43" s="668"/>
      <c r="AH43" s="668"/>
      <c r="AI43" s="668"/>
      <c r="AJ43" s="668"/>
      <c r="AK43" s="668"/>
      <c r="AL43" s="668"/>
      <c r="AM43" s="668"/>
      <c r="AN43" s="668"/>
      <c r="AO43" s="668"/>
      <c r="AP43" s="668"/>
      <c r="AQ43" s="668"/>
      <c r="AR43" s="668"/>
      <c r="AS43" s="668"/>
      <c r="AT43" s="668"/>
      <c r="AU43" s="668"/>
      <c r="AV43" s="668"/>
      <c r="AW43" s="668"/>
      <c r="AX43" s="668"/>
      <c r="AY43" s="668"/>
      <c r="AZ43" s="668"/>
      <c r="BA43" s="668"/>
      <c r="BB43" s="668"/>
      <c r="BC43" s="668"/>
      <c r="BD43" s="668"/>
    </row>
    <row r="44" spans="1:56" s="654" customFormat="1" ht="12" customHeight="1">
      <c r="B44" s="661"/>
      <c r="C44" s="660" t="s">
        <v>397</v>
      </c>
      <c r="D44" s="659">
        <v>148</v>
      </c>
      <c r="E44" s="460"/>
      <c r="F44" s="460"/>
      <c r="G44" s="460"/>
      <c r="H44" s="460"/>
      <c r="I44" s="460"/>
      <c r="J44" s="460"/>
      <c r="K44" s="460"/>
      <c r="L44" s="460"/>
      <c r="M44" s="668"/>
      <c r="N44" s="668"/>
      <c r="O44" s="668"/>
      <c r="P44" s="668"/>
      <c r="Q44" s="668"/>
      <c r="R44" s="668"/>
      <c r="S44" s="668"/>
      <c r="T44" s="668"/>
      <c r="U44" s="668"/>
      <c r="V44" s="668"/>
      <c r="W44" s="668"/>
      <c r="X44" s="668"/>
      <c r="Y44" s="668"/>
      <c r="Z44" s="668"/>
      <c r="AA44" s="668"/>
      <c r="AB44" s="668"/>
      <c r="AC44" s="668"/>
      <c r="AD44" s="668"/>
      <c r="AE44" s="668"/>
      <c r="AF44" s="668"/>
      <c r="AG44" s="668"/>
      <c r="AH44" s="668"/>
      <c r="AI44" s="668"/>
      <c r="AJ44" s="668"/>
      <c r="AK44" s="668"/>
      <c r="AL44" s="668"/>
      <c r="AM44" s="668"/>
      <c r="AN44" s="668"/>
      <c r="AO44" s="668"/>
      <c r="AP44" s="668"/>
      <c r="AQ44" s="668"/>
      <c r="AR44" s="668"/>
      <c r="AS44" s="668"/>
      <c r="AT44" s="668"/>
      <c r="AU44" s="668"/>
      <c r="AV44" s="668"/>
      <c r="AW44" s="668"/>
      <c r="AX44" s="668"/>
      <c r="AY44" s="668"/>
      <c r="AZ44" s="668"/>
      <c r="BA44" s="668"/>
      <c r="BB44" s="668"/>
      <c r="BC44" s="668"/>
      <c r="BD44" s="668"/>
    </row>
    <row r="45" spans="1:56" s="654" customFormat="1" ht="12" customHeight="1">
      <c r="B45" s="661"/>
      <c r="C45" s="660" t="s">
        <v>156</v>
      </c>
      <c r="D45" s="659">
        <v>202.53</v>
      </c>
      <c r="E45" s="460"/>
      <c r="F45" s="460"/>
      <c r="G45" s="460"/>
      <c r="H45" s="460"/>
      <c r="I45" s="460"/>
      <c r="J45" s="460"/>
      <c r="K45" s="460"/>
      <c r="L45" s="460"/>
      <c r="M45" s="668"/>
      <c r="N45" s="668"/>
      <c r="O45" s="668"/>
      <c r="P45" s="668"/>
      <c r="Q45" s="668"/>
      <c r="R45" s="668"/>
      <c r="S45" s="668"/>
      <c r="T45" s="668"/>
      <c r="U45" s="668"/>
      <c r="V45" s="668"/>
      <c r="W45" s="668"/>
      <c r="X45" s="668"/>
      <c r="Y45" s="668"/>
      <c r="Z45" s="668"/>
      <c r="AA45" s="668"/>
      <c r="AB45" s="668"/>
      <c r="AC45" s="668"/>
      <c r="AD45" s="668"/>
      <c r="AE45" s="668"/>
      <c r="AF45" s="668"/>
      <c r="AG45" s="668"/>
      <c r="AH45" s="668"/>
      <c r="AI45" s="668"/>
      <c r="AJ45" s="668"/>
      <c r="AK45" s="668"/>
      <c r="AL45" s="668"/>
      <c r="AM45" s="668"/>
      <c r="AN45" s="668"/>
      <c r="AO45" s="668"/>
      <c r="AP45" s="668"/>
      <c r="AQ45" s="668"/>
      <c r="AR45" s="668"/>
      <c r="AS45" s="668"/>
      <c r="AT45" s="668"/>
      <c r="AU45" s="668"/>
      <c r="AV45" s="668"/>
      <c r="AW45" s="668"/>
      <c r="AX45" s="668"/>
      <c r="AY45" s="668"/>
      <c r="AZ45" s="668"/>
      <c r="BA45" s="668"/>
      <c r="BB45" s="668"/>
      <c r="BC45" s="668"/>
      <c r="BD45" s="668"/>
    </row>
    <row r="46" spans="1:56" s="654" customFormat="1" ht="12" customHeight="1">
      <c r="B46" s="661"/>
      <c r="C46" s="660" t="s">
        <v>156</v>
      </c>
      <c r="D46" s="659">
        <v>-59</v>
      </c>
      <c r="E46" s="460"/>
      <c r="F46" s="460"/>
      <c r="G46" s="460"/>
      <c r="H46" s="460"/>
      <c r="I46" s="460"/>
      <c r="J46" s="460"/>
      <c r="K46" s="460"/>
      <c r="L46" s="460"/>
      <c r="M46" s="668"/>
      <c r="N46" s="668"/>
      <c r="O46" s="668"/>
      <c r="P46" s="668"/>
      <c r="Q46" s="668"/>
      <c r="R46" s="668"/>
      <c r="S46" s="668"/>
      <c r="T46" s="668"/>
      <c r="U46" s="668"/>
      <c r="V46" s="668"/>
      <c r="W46" s="668"/>
      <c r="X46" s="668"/>
      <c r="Y46" s="668"/>
      <c r="Z46" s="668"/>
      <c r="AA46" s="668"/>
      <c r="AB46" s="668"/>
      <c r="AC46" s="668"/>
      <c r="AD46" s="668"/>
      <c r="AE46" s="668"/>
      <c r="AF46" s="668"/>
      <c r="AG46" s="668"/>
      <c r="AH46" s="668"/>
      <c r="AI46" s="668"/>
      <c r="AJ46" s="668"/>
      <c r="AK46" s="668"/>
      <c r="AL46" s="668"/>
      <c r="AM46" s="668"/>
      <c r="AN46" s="668"/>
      <c r="AO46" s="668"/>
      <c r="AP46" s="668"/>
      <c r="AQ46" s="668"/>
      <c r="AR46" s="668"/>
      <c r="AS46" s="668"/>
      <c r="AT46" s="668"/>
      <c r="AU46" s="668"/>
      <c r="AV46" s="668"/>
      <c r="AW46" s="668"/>
      <c r="AX46" s="668"/>
      <c r="AY46" s="668"/>
      <c r="AZ46" s="668"/>
      <c r="BA46" s="668"/>
      <c r="BB46" s="668"/>
      <c r="BC46" s="668"/>
      <c r="BD46" s="668"/>
    </row>
    <row r="47" spans="1:56" ht="12" customHeight="1">
      <c r="B47" s="661"/>
      <c r="C47" s="660" t="s">
        <v>58</v>
      </c>
      <c r="D47" s="659">
        <f>500+500+200</f>
        <v>1200</v>
      </c>
      <c r="E47" s="460"/>
      <c r="F47" s="460"/>
      <c r="G47" s="460"/>
      <c r="H47" s="460"/>
      <c r="I47" s="460"/>
      <c r="J47" s="460"/>
      <c r="K47" s="460"/>
      <c r="L47" s="460"/>
    </row>
    <row r="48" spans="1:56" s="654" customFormat="1" ht="12" customHeight="1">
      <c r="B48" s="661"/>
      <c r="C48" s="660" t="s">
        <v>691</v>
      </c>
      <c r="D48" s="659">
        <v>-695.34</v>
      </c>
      <c r="E48" s="460"/>
      <c r="F48" s="460"/>
      <c r="G48" s="460"/>
      <c r="H48" s="460"/>
      <c r="I48" s="460"/>
      <c r="J48" s="460"/>
      <c r="K48" s="460"/>
      <c r="L48" s="460"/>
      <c r="M48" s="668"/>
      <c r="N48" s="668"/>
      <c r="O48" s="668"/>
      <c r="P48" s="668"/>
      <c r="Q48" s="668"/>
      <c r="R48" s="668"/>
      <c r="S48" s="668"/>
      <c r="T48" s="668"/>
      <c r="U48" s="668"/>
      <c r="V48" s="668"/>
      <c r="W48" s="668"/>
      <c r="X48" s="668"/>
      <c r="Y48" s="668"/>
      <c r="Z48" s="668"/>
      <c r="AA48" s="668"/>
      <c r="AB48" s="668"/>
      <c r="AC48" s="668"/>
      <c r="AD48" s="668"/>
      <c r="AE48" s="668"/>
      <c r="AF48" s="668"/>
      <c r="AG48" s="668"/>
      <c r="AH48" s="668"/>
      <c r="AI48" s="668"/>
      <c r="AJ48" s="668"/>
      <c r="AK48" s="668"/>
      <c r="AL48" s="668"/>
      <c r="AM48" s="668"/>
      <c r="AN48" s="668"/>
      <c r="AO48" s="668"/>
      <c r="AP48" s="668"/>
      <c r="AQ48" s="668"/>
      <c r="AR48" s="668"/>
      <c r="AS48" s="668"/>
      <c r="AT48" s="668"/>
      <c r="AU48" s="668"/>
      <c r="AV48" s="668"/>
      <c r="AW48" s="668"/>
      <c r="AX48" s="668"/>
      <c r="AY48" s="668"/>
      <c r="AZ48" s="668"/>
      <c r="BA48" s="668"/>
      <c r="BB48" s="668"/>
      <c r="BC48" s="668"/>
      <c r="BD48" s="668"/>
    </row>
    <row r="49" spans="1:56" s="654" customFormat="1" ht="12" customHeight="1">
      <c r="B49" s="661"/>
      <c r="C49" s="660" t="s">
        <v>691</v>
      </c>
      <c r="D49" s="659">
        <v>-228.45</v>
      </c>
      <c r="E49" s="460"/>
      <c r="F49" s="460"/>
      <c r="G49" s="460"/>
      <c r="H49" s="460"/>
      <c r="I49" s="460"/>
      <c r="J49" s="460"/>
      <c r="K49" s="460"/>
      <c r="L49" s="460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8"/>
      <c r="AB49" s="668"/>
      <c r="AC49" s="668"/>
      <c r="AD49" s="668"/>
      <c r="AE49" s="668"/>
      <c r="AF49" s="668"/>
      <c r="AG49" s="668"/>
      <c r="AH49" s="668"/>
      <c r="AI49" s="668"/>
      <c r="AJ49" s="668"/>
      <c r="AK49" s="668"/>
      <c r="AL49" s="668"/>
      <c r="AM49" s="668"/>
      <c r="AN49" s="668"/>
      <c r="AO49" s="668"/>
      <c r="AP49" s="668"/>
      <c r="AQ49" s="668"/>
      <c r="AR49" s="668"/>
      <c r="AS49" s="668"/>
      <c r="AT49" s="668"/>
      <c r="AU49" s="668"/>
      <c r="AV49" s="668"/>
      <c r="AW49" s="668"/>
      <c r="AX49" s="668"/>
      <c r="AY49" s="668"/>
      <c r="AZ49" s="668"/>
      <c r="BA49" s="668"/>
      <c r="BB49" s="668"/>
      <c r="BC49" s="668"/>
      <c r="BD49" s="668"/>
    </row>
    <row r="50" spans="1:56" s="654" customFormat="1" ht="12" customHeight="1">
      <c r="B50" s="661"/>
      <c r="C50" s="660" t="s">
        <v>690</v>
      </c>
      <c r="D50" s="659">
        <v>154.44</v>
      </c>
      <c r="E50" s="460"/>
      <c r="F50" s="460"/>
      <c r="G50" s="460"/>
      <c r="H50" s="460"/>
      <c r="I50" s="460"/>
      <c r="J50" s="460"/>
      <c r="K50" s="460"/>
      <c r="L50" s="460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668"/>
      <c r="X50" s="668"/>
      <c r="Y50" s="668"/>
      <c r="Z50" s="668"/>
      <c r="AA50" s="668"/>
      <c r="AB50" s="668"/>
      <c r="AC50" s="668"/>
      <c r="AD50" s="668"/>
      <c r="AE50" s="668"/>
      <c r="AF50" s="668"/>
      <c r="AG50" s="668"/>
      <c r="AH50" s="668"/>
      <c r="AI50" s="668"/>
      <c r="AJ50" s="668"/>
      <c r="AK50" s="668"/>
      <c r="AL50" s="668"/>
      <c r="AM50" s="668"/>
      <c r="AN50" s="668"/>
      <c r="AO50" s="668"/>
      <c r="AP50" s="668"/>
      <c r="AQ50" s="668"/>
      <c r="AR50" s="668"/>
      <c r="AS50" s="668"/>
      <c r="AT50" s="668"/>
      <c r="AU50" s="668"/>
      <c r="AV50" s="668"/>
      <c r="AW50" s="668"/>
      <c r="AX50" s="668"/>
      <c r="AY50" s="668"/>
      <c r="AZ50" s="668"/>
      <c r="BA50" s="668"/>
      <c r="BB50" s="668"/>
      <c r="BC50" s="668"/>
      <c r="BD50" s="668"/>
    </row>
    <row r="51" spans="1:56" s="654" customFormat="1" ht="12" customHeight="1">
      <c r="B51" s="661"/>
      <c r="C51" s="660" t="s">
        <v>316</v>
      </c>
      <c r="D51" s="659">
        <v>101</v>
      </c>
      <c r="E51" s="460"/>
      <c r="F51" s="460"/>
      <c r="G51" s="460"/>
      <c r="H51" s="460"/>
      <c r="I51" s="460"/>
      <c r="J51" s="460"/>
      <c r="K51" s="460"/>
      <c r="L51" s="460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</row>
    <row r="52" spans="1:56" s="654" customFormat="1" ht="12" customHeight="1">
      <c r="B52" s="658"/>
      <c r="C52" s="657" t="s">
        <v>57</v>
      </c>
      <c r="D52" s="656">
        <v>500</v>
      </c>
      <c r="E52" s="655"/>
      <c r="F52" s="655"/>
      <c r="G52" s="655"/>
      <c r="H52" s="655"/>
      <c r="I52" s="655"/>
      <c r="J52" s="655"/>
      <c r="K52" s="655"/>
      <c r="L52" s="655"/>
      <c r="M52" s="668"/>
      <c r="N52" s="668"/>
      <c r="O52" s="668"/>
      <c r="P52" s="668"/>
      <c r="Q52" s="668"/>
      <c r="R52" s="668"/>
      <c r="S52" s="668"/>
      <c r="T52" s="668"/>
      <c r="U52" s="668"/>
      <c r="V52" s="668"/>
      <c r="W52" s="668"/>
      <c r="X52" s="668"/>
      <c r="Y52" s="668"/>
      <c r="Z52" s="668"/>
      <c r="AA52" s="668"/>
      <c r="AB52" s="668"/>
      <c r="AC52" s="668"/>
      <c r="AD52" s="668"/>
      <c r="AE52" s="668"/>
      <c r="AF52" s="668"/>
      <c r="AG52" s="668"/>
      <c r="AH52" s="668"/>
      <c r="AI52" s="668"/>
      <c r="AJ52" s="668"/>
      <c r="AK52" s="668"/>
      <c r="AL52" s="668"/>
      <c r="AM52" s="668"/>
      <c r="AN52" s="668"/>
      <c r="AO52" s="668"/>
      <c r="AP52" s="668"/>
      <c r="AQ52" s="668"/>
      <c r="AR52" s="668"/>
      <c r="AS52" s="668"/>
      <c r="AT52" s="668"/>
      <c r="AU52" s="668"/>
      <c r="AV52" s="668"/>
      <c r="AW52" s="668"/>
      <c r="AX52" s="668"/>
      <c r="AY52" s="668"/>
      <c r="AZ52" s="668"/>
      <c r="BA52" s="668"/>
      <c r="BB52" s="668"/>
      <c r="BC52" s="668"/>
      <c r="BD52" s="668"/>
    </row>
    <row r="53" spans="1:56" s="662" customFormat="1" ht="12" customHeight="1">
      <c r="A53" s="680"/>
      <c r="B53" s="667" t="s">
        <v>120</v>
      </c>
      <c r="C53" s="666" t="s">
        <v>37</v>
      </c>
      <c r="D53" s="665"/>
      <c r="E53" s="664" t="s">
        <v>48</v>
      </c>
      <c r="F53" s="664" t="s">
        <v>282</v>
      </c>
      <c r="G53" s="664" t="s">
        <v>280</v>
      </c>
      <c r="H53" s="664"/>
      <c r="I53" s="664" t="s">
        <v>629</v>
      </c>
      <c r="J53" s="664" t="s">
        <v>58</v>
      </c>
      <c r="K53" s="3047" t="s">
        <v>561</v>
      </c>
      <c r="L53" s="3047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  <c r="Z53" s="663"/>
      <c r="AA53" s="663"/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3"/>
      <c r="AN53" s="663"/>
      <c r="AO53" s="663"/>
      <c r="AP53" s="663"/>
      <c r="AQ53" s="663"/>
      <c r="AR53" s="663"/>
      <c r="AS53" s="663"/>
      <c r="AT53" s="663"/>
      <c r="AU53" s="663"/>
      <c r="AV53" s="663"/>
      <c r="AW53" s="663"/>
      <c r="AX53" s="663"/>
      <c r="AY53" s="663"/>
      <c r="AZ53" s="663"/>
      <c r="BA53" s="663"/>
      <c r="BB53" s="663"/>
      <c r="BC53" s="663"/>
      <c r="BD53" s="663"/>
    </row>
    <row r="54" spans="1:56" ht="12" customHeight="1">
      <c r="A54" s="675"/>
      <c r="B54" s="661"/>
      <c r="C54" s="660" t="s">
        <v>629</v>
      </c>
      <c r="D54" s="659">
        <v>0</v>
      </c>
      <c r="E54" s="460"/>
      <c r="F54" s="460"/>
      <c r="G54" s="460"/>
      <c r="H54" s="460"/>
      <c r="I54" s="460"/>
      <c r="J54" s="460"/>
      <c r="K54" s="460" t="s">
        <v>242</v>
      </c>
      <c r="L54" s="460">
        <v>100</v>
      </c>
    </row>
    <row r="55" spans="1:56" ht="12" customHeight="1">
      <c r="B55" s="661"/>
      <c r="C55" s="660" t="s">
        <v>64</v>
      </c>
      <c r="D55" s="659">
        <f>100</f>
        <v>100</v>
      </c>
      <c r="E55" s="460">
        <v>100</v>
      </c>
      <c r="F55" s="460"/>
      <c r="G55" s="460"/>
      <c r="H55" s="460"/>
      <c r="I55" s="460"/>
      <c r="J55" s="460"/>
      <c r="K55" s="460" t="s">
        <v>689</v>
      </c>
      <c r="L55" s="460">
        <v>200</v>
      </c>
    </row>
    <row r="56" spans="1:56" ht="12" customHeight="1">
      <c r="B56" s="661"/>
      <c r="C56" s="660" t="s">
        <v>688</v>
      </c>
      <c r="D56" s="659">
        <v>50</v>
      </c>
      <c r="E56" s="460"/>
      <c r="F56" s="460"/>
      <c r="G56" s="460"/>
      <c r="H56" s="460"/>
      <c r="I56" s="460"/>
      <c r="J56" s="460"/>
      <c r="K56" s="460" t="s">
        <v>242</v>
      </c>
      <c r="L56" s="460">
        <v>200</v>
      </c>
    </row>
    <row r="57" spans="1:56" ht="12" customHeight="1">
      <c r="B57" s="661"/>
      <c r="C57" s="660" t="s">
        <v>397</v>
      </c>
      <c r="D57" s="659">
        <f>99.75+159.6</f>
        <v>259.35000000000002</v>
      </c>
      <c r="E57" s="460"/>
      <c r="F57" s="460"/>
      <c r="G57" s="460"/>
      <c r="H57" s="460"/>
      <c r="I57" s="460"/>
      <c r="J57" s="460"/>
      <c r="K57" s="460" t="s">
        <v>687</v>
      </c>
      <c r="L57" s="460">
        <v>200</v>
      </c>
    </row>
    <row r="58" spans="1:56" ht="12" customHeight="1">
      <c r="B58" s="661"/>
      <c r="C58" s="660" t="s">
        <v>653</v>
      </c>
      <c r="D58" s="659">
        <f>50+25</f>
        <v>75</v>
      </c>
      <c r="E58" s="460"/>
      <c r="F58" s="460"/>
      <c r="G58" s="460"/>
      <c r="H58" s="460"/>
      <c r="I58" s="460"/>
      <c r="J58" s="460"/>
      <c r="K58" s="460" t="s">
        <v>461</v>
      </c>
      <c r="L58" s="460">
        <v>100</v>
      </c>
    </row>
    <row r="59" spans="1:56" ht="12" customHeight="1">
      <c r="B59" s="682"/>
      <c r="C59" s="669" t="s">
        <v>436</v>
      </c>
      <c r="D59" s="659">
        <v>38.700000000000003</v>
      </c>
      <c r="E59" s="460"/>
      <c r="F59" s="460"/>
      <c r="G59" s="460"/>
      <c r="H59" s="460"/>
      <c r="I59" s="460"/>
      <c r="J59" s="460"/>
      <c r="K59" s="460"/>
      <c r="L59" s="460"/>
    </row>
    <row r="60" spans="1:56" ht="12" customHeight="1">
      <c r="B60" s="661"/>
      <c r="C60" s="660" t="s">
        <v>686</v>
      </c>
      <c r="D60" s="659">
        <v>75</v>
      </c>
      <c r="E60" s="460"/>
      <c r="F60" s="460"/>
      <c r="G60" s="460"/>
      <c r="H60" s="460"/>
      <c r="I60" s="460"/>
      <c r="J60" s="460"/>
      <c r="K60" s="460"/>
      <c r="L60" s="460"/>
    </row>
    <row r="61" spans="1:56" ht="12" customHeight="1">
      <c r="B61" s="661"/>
      <c r="C61" s="660" t="s">
        <v>677</v>
      </c>
      <c r="D61" s="659">
        <f>119.95+73.45+100</f>
        <v>293.39999999999998</v>
      </c>
      <c r="E61" s="460"/>
      <c r="F61" s="460"/>
      <c r="G61" s="460"/>
      <c r="H61" s="460"/>
      <c r="I61" s="460"/>
      <c r="J61" s="460"/>
      <c r="K61" s="460"/>
      <c r="L61" s="460"/>
    </row>
    <row r="62" spans="1:56" ht="12" customHeight="1">
      <c r="B62" s="661"/>
      <c r="C62" s="660" t="s">
        <v>58</v>
      </c>
      <c r="D62" s="659">
        <f>500+100</f>
        <v>600</v>
      </c>
      <c r="E62" s="460"/>
      <c r="F62" s="460"/>
      <c r="G62" s="460"/>
      <c r="H62" s="460"/>
      <c r="I62" s="460"/>
      <c r="J62" s="460"/>
      <c r="K62" s="460"/>
      <c r="L62" s="460"/>
    </row>
    <row r="63" spans="1:56" ht="12" customHeight="1">
      <c r="B63" s="661"/>
      <c r="C63" s="660" t="s">
        <v>685</v>
      </c>
      <c r="D63" s="659">
        <v>428</v>
      </c>
      <c r="E63" s="460"/>
      <c r="F63" s="460">
        <v>428</v>
      </c>
      <c r="G63" s="460"/>
      <c r="H63" s="460"/>
      <c r="I63" s="460"/>
      <c r="J63" s="460"/>
      <c r="K63" s="460"/>
      <c r="L63" s="460"/>
    </row>
    <row r="64" spans="1:56" ht="12" customHeight="1">
      <c r="B64" s="661"/>
      <c r="C64" s="660" t="s">
        <v>684</v>
      </c>
      <c r="D64" s="659">
        <v>134.15</v>
      </c>
      <c r="E64" s="460"/>
      <c r="F64" s="460">
        <v>134.15</v>
      </c>
      <c r="G64" s="460"/>
      <c r="H64" s="460"/>
      <c r="I64" s="460"/>
      <c r="J64" s="460"/>
      <c r="K64" s="460"/>
      <c r="L64" s="460"/>
    </row>
    <row r="65" spans="1:56" ht="12" customHeight="1">
      <c r="B65" s="661"/>
      <c r="C65" s="660" t="s">
        <v>683</v>
      </c>
      <c r="D65" s="659">
        <v>129</v>
      </c>
      <c r="E65" s="460"/>
      <c r="F65" s="460">
        <v>129</v>
      </c>
      <c r="G65" s="460"/>
      <c r="H65" s="460"/>
      <c r="I65" s="460"/>
      <c r="J65" s="460"/>
      <c r="K65" s="460"/>
      <c r="L65" s="460"/>
    </row>
    <row r="66" spans="1:56" ht="12" customHeight="1">
      <c r="B66" s="661"/>
      <c r="C66" s="660" t="s">
        <v>682</v>
      </c>
      <c r="D66" s="659">
        <v>-100</v>
      </c>
      <c r="E66" s="460"/>
      <c r="F66" s="460"/>
      <c r="G66" s="460"/>
      <c r="H66" s="460"/>
      <c r="I66" s="460"/>
      <c r="J66" s="460"/>
      <c r="K66" s="460"/>
      <c r="L66" s="460"/>
    </row>
    <row r="67" spans="1:56" ht="12" customHeight="1">
      <c r="B67" s="661"/>
      <c r="C67" s="660" t="s">
        <v>681</v>
      </c>
      <c r="D67" s="659">
        <v>30</v>
      </c>
      <c r="E67" s="460"/>
      <c r="F67" s="460">
        <v>30</v>
      </c>
      <c r="G67" s="460"/>
      <c r="H67" s="460"/>
      <c r="I67" s="460"/>
      <c r="J67" s="460"/>
      <c r="K67" s="460"/>
      <c r="L67" s="460"/>
    </row>
    <row r="68" spans="1:56" ht="12" customHeight="1">
      <c r="B68" s="658"/>
      <c r="C68" s="657" t="s">
        <v>430</v>
      </c>
      <c r="D68" s="656">
        <v>20</v>
      </c>
      <c r="E68" s="655"/>
      <c r="F68" s="655"/>
      <c r="G68" s="655"/>
      <c r="H68" s="655"/>
      <c r="I68" s="655"/>
      <c r="J68" s="655"/>
      <c r="K68" s="655"/>
      <c r="L68" s="655"/>
    </row>
    <row r="69" spans="1:56" s="662" customFormat="1" ht="12" customHeight="1">
      <c r="A69" s="680"/>
      <c r="B69" s="667" t="s">
        <v>119</v>
      </c>
      <c r="C69" s="666" t="s">
        <v>37</v>
      </c>
      <c r="D69" s="665"/>
      <c r="E69" s="664" t="s">
        <v>48</v>
      </c>
      <c r="F69" s="664" t="s">
        <v>282</v>
      </c>
      <c r="G69" s="664" t="s">
        <v>280</v>
      </c>
      <c r="H69" s="664"/>
      <c r="I69" s="664" t="s">
        <v>629</v>
      </c>
      <c r="J69" s="664" t="s">
        <v>58</v>
      </c>
      <c r="K69" s="3047" t="s">
        <v>561</v>
      </c>
      <c r="L69" s="3047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3"/>
      <c r="Y69" s="663"/>
      <c r="Z69" s="663"/>
      <c r="AA69" s="663"/>
      <c r="AB69" s="663"/>
      <c r="AC69" s="663"/>
      <c r="AD69" s="663"/>
      <c r="AE69" s="663"/>
      <c r="AF69" s="663"/>
      <c r="AG69" s="663"/>
      <c r="AH69" s="663"/>
      <c r="AI69" s="663"/>
      <c r="AJ69" s="663"/>
      <c r="AK69" s="663"/>
      <c r="AL69" s="663"/>
      <c r="AM69" s="663"/>
      <c r="AN69" s="663"/>
      <c r="AO69" s="663"/>
      <c r="AP69" s="663"/>
      <c r="AQ69" s="663"/>
      <c r="AR69" s="663"/>
      <c r="AS69" s="663"/>
      <c r="AT69" s="663"/>
      <c r="AU69" s="663"/>
      <c r="AV69" s="663"/>
      <c r="AW69" s="663"/>
      <c r="AX69" s="663"/>
      <c r="AY69" s="663"/>
      <c r="AZ69" s="663"/>
      <c r="BA69" s="663"/>
      <c r="BB69" s="663"/>
      <c r="BC69" s="663"/>
      <c r="BD69" s="663"/>
    </row>
    <row r="70" spans="1:56" ht="12" customHeight="1">
      <c r="A70" s="675"/>
      <c r="B70" s="661"/>
      <c r="C70" s="660" t="s">
        <v>64</v>
      </c>
      <c r="D70" s="659">
        <v>200</v>
      </c>
      <c r="E70" s="467">
        <v>200</v>
      </c>
      <c r="F70" s="467"/>
      <c r="G70" s="467"/>
      <c r="H70" s="467"/>
      <c r="I70" s="467"/>
      <c r="J70" s="467"/>
      <c r="K70" s="460" t="s">
        <v>680</v>
      </c>
      <c r="L70" s="467">
        <v>500</v>
      </c>
    </row>
    <row r="71" spans="1:56" ht="12" customHeight="1">
      <c r="B71" s="661"/>
      <c r="C71" s="660" t="s">
        <v>629</v>
      </c>
      <c r="D71" s="659">
        <v>302</v>
      </c>
      <c r="E71" s="467"/>
      <c r="F71" s="467"/>
      <c r="G71" s="467"/>
      <c r="H71" s="467"/>
      <c r="I71" s="467"/>
      <c r="J71" s="467"/>
      <c r="K71" s="460"/>
      <c r="L71" s="467"/>
    </row>
    <row r="72" spans="1:56" ht="12" customHeight="1">
      <c r="B72" s="661"/>
      <c r="C72" s="660" t="s">
        <v>679</v>
      </c>
      <c r="D72" s="659">
        <v>199.75</v>
      </c>
      <c r="E72" s="467"/>
      <c r="F72" s="467"/>
      <c r="G72" s="467"/>
      <c r="H72" s="467"/>
      <c r="I72" s="467"/>
      <c r="J72" s="467"/>
      <c r="K72" s="460"/>
      <c r="L72" s="467"/>
    </row>
    <row r="73" spans="1:56" ht="12" customHeight="1">
      <c r="B73" s="661"/>
      <c r="C73" s="660" t="s">
        <v>678</v>
      </c>
      <c r="D73" s="659">
        <v>148</v>
      </c>
      <c r="E73" s="467"/>
      <c r="F73" s="467"/>
      <c r="G73" s="467"/>
      <c r="H73" s="467"/>
      <c r="I73" s="467"/>
      <c r="J73" s="467"/>
      <c r="K73" s="460"/>
      <c r="L73" s="467"/>
    </row>
    <row r="74" spans="1:56" ht="12" customHeight="1">
      <c r="B74" s="661"/>
      <c r="C74" s="660" t="s">
        <v>677</v>
      </c>
      <c r="D74" s="659">
        <f>184+80</f>
        <v>264</v>
      </c>
      <c r="E74" s="467"/>
      <c r="F74" s="467"/>
      <c r="G74" s="467"/>
      <c r="H74" s="467"/>
      <c r="I74" s="467"/>
      <c r="J74" s="467"/>
      <c r="K74" s="460"/>
      <c r="L74" s="467"/>
    </row>
    <row r="75" spans="1:56" ht="12" customHeight="1">
      <c r="B75" s="661"/>
      <c r="C75" s="660" t="s">
        <v>58</v>
      </c>
      <c r="D75" s="659">
        <f>868.45+200+200</f>
        <v>1268.45</v>
      </c>
      <c r="E75" s="467"/>
      <c r="F75" s="467"/>
      <c r="G75" s="467"/>
      <c r="H75" s="467"/>
      <c r="I75" s="467"/>
      <c r="J75" s="467"/>
      <c r="K75" s="460"/>
      <c r="L75" s="467"/>
    </row>
    <row r="76" spans="1:56" ht="12" customHeight="1">
      <c r="B76" s="661"/>
      <c r="C76" s="660" t="s">
        <v>676</v>
      </c>
      <c r="D76" s="659">
        <v>152</v>
      </c>
      <c r="E76" s="467"/>
      <c r="F76" s="467"/>
      <c r="G76" s="467"/>
      <c r="H76" s="467"/>
      <c r="I76" s="467"/>
      <c r="J76" s="467"/>
      <c r="K76" s="460"/>
      <c r="L76" s="467"/>
    </row>
    <row r="77" spans="1:56" ht="12" customHeight="1">
      <c r="B77" s="658"/>
      <c r="C77" s="657" t="s">
        <v>220</v>
      </c>
      <c r="D77" s="656">
        <v>300</v>
      </c>
      <c r="E77" s="681"/>
      <c r="F77" s="681"/>
      <c r="G77" s="681"/>
      <c r="H77" s="681"/>
      <c r="I77" s="681"/>
      <c r="J77" s="681"/>
      <c r="K77" s="655"/>
      <c r="L77" s="681"/>
    </row>
    <row r="78" spans="1:56" s="662" customFormat="1" ht="12" customHeight="1">
      <c r="A78" s="680"/>
      <c r="B78" s="667" t="s">
        <v>118</v>
      </c>
      <c r="C78" s="666" t="s">
        <v>37</v>
      </c>
      <c r="D78" s="665"/>
      <c r="E78" s="664" t="s">
        <v>48</v>
      </c>
      <c r="F78" s="664" t="s">
        <v>282</v>
      </c>
      <c r="G78" s="664" t="s">
        <v>280</v>
      </c>
      <c r="H78" s="664"/>
      <c r="I78" s="664" t="s">
        <v>629</v>
      </c>
      <c r="J78" s="664" t="s">
        <v>58</v>
      </c>
      <c r="K78" s="3047" t="s">
        <v>561</v>
      </c>
      <c r="L78" s="3047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/>
      <c r="AJ78" s="663"/>
      <c r="AK78" s="663"/>
      <c r="AL78" s="663"/>
      <c r="AM78" s="663"/>
      <c r="AN78" s="663"/>
      <c r="AO78" s="663"/>
      <c r="AP78" s="663"/>
      <c r="AQ78" s="663"/>
      <c r="AR78" s="663"/>
      <c r="AS78" s="663"/>
      <c r="AT78" s="663"/>
      <c r="AU78" s="663"/>
      <c r="AV78" s="663"/>
      <c r="AW78" s="663"/>
      <c r="AX78" s="663"/>
      <c r="AY78" s="663"/>
      <c r="AZ78" s="663"/>
      <c r="BA78" s="663"/>
      <c r="BB78" s="663"/>
      <c r="BC78" s="663"/>
      <c r="BD78" s="663"/>
    </row>
    <row r="79" spans="1:56" ht="12" customHeight="1">
      <c r="A79" s="675"/>
      <c r="B79" s="661"/>
      <c r="C79" s="660" t="s">
        <v>48</v>
      </c>
      <c r="D79" s="659">
        <v>200</v>
      </c>
      <c r="E79" s="460">
        <v>200</v>
      </c>
      <c r="F79" s="460"/>
      <c r="G79" s="460"/>
      <c r="H79" s="460"/>
      <c r="I79" s="460"/>
      <c r="J79" s="460"/>
      <c r="K79" s="460"/>
      <c r="L79" s="460"/>
    </row>
    <row r="80" spans="1:56" ht="12" customHeight="1">
      <c r="B80" s="661"/>
      <c r="C80" s="660" t="s">
        <v>629</v>
      </c>
      <c r="D80" s="659">
        <f>500+200+160</f>
        <v>860</v>
      </c>
      <c r="E80" s="460"/>
      <c r="F80" s="460"/>
      <c r="G80" s="460"/>
      <c r="H80" s="460"/>
      <c r="I80" s="460"/>
      <c r="J80" s="460"/>
      <c r="K80" s="460"/>
      <c r="L80" s="460"/>
    </row>
    <row r="81" spans="1:56" ht="12" customHeight="1">
      <c r="B81" s="661"/>
      <c r="C81" s="660" t="s">
        <v>675</v>
      </c>
      <c r="D81" s="659">
        <v>235.55</v>
      </c>
      <c r="E81" s="460"/>
      <c r="F81" s="460"/>
      <c r="G81" s="460"/>
      <c r="H81" s="460"/>
      <c r="I81" s="460"/>
      <c r="J81" s="460"/>
      <c r="K81" s="460"/>
      <c r="L81" s="460"/>
    </row>
    <row r="82" spans="1:56" ht="12" customHeight="1">
      <c r="B82" s="661"/>
      <c r="C82" s="660" t="s">
        <v>674</v>
      </c>
      <c r="D82" s="659">
        <v>68</v>
      </c>
      <c r="E82" s="460"/>
      <c r="F82" s="460"/>
      <c r="G82" s="460"/>
      <c r="H82" s="460"/>
      <c r="I82" s="460"/>
      <c r="J82" s="460"/>
      <c r="K82" s="460"/>
      <c r="L82" s="460"/>
    </row>
    <row r="83" spans="1:56" ht="12" customHeight="1">
      <c r="B83" s="661"/>
      <c r="C83" s="660" t="s">
        <v>396</v>
      </c>
      <c r="D83" s="659">
        <v>479.9</v>
      </c>
      <c r="E83" s="460"/>
      <c r="F83" s="460"/>
      <c r="G83" s="460"/>
      <c r="H83" s="460"/>
      <c r="I83" s="460"/>
      <c r="J83" s="460"/>
      <c r="K83" s="460"/>
      <c r="L83" s="460"/>
    </row>
    <row r="84" spans="1:56" ht="12" customHeight="1">
      <c r="B84" s="661"/>
      <c r="C84" s="660" t="s">
        <v>673</v>
      </c>
      <c r="D84" s="659">
        <v>66</v>
      </c>
      <c r="E84" s="460"/>
      <c r="F84" s="460"/>
      <c r="G84" s="460"/>
      <c r="H84" s="460"/>
      <c r="I84" s="460"/>
      <c r="J84" s="460"/>
      <c r="K84" s="460"/>
      <c r="L84" s="460"/>
    </row>
    <row r="85" spans="1:56" ht="12" customHeight="1">
      <c r="B85" s="658"/>
      <c r="C85" s="657" t="s">
        <v>58</v>
      </c>
      <c r="D85" s="656">
        <v>500</v>
      </c>
      <c r="E85" s="655"/>
      <c r="F85" s="655"/>
      <c r="G85" s="655"/>
      <c r="H85" s="655"/>
      <c r="I85" s="655"/>
      <c r="J85" s="655"/>
      <c r="K85" s="655"/>
      <c r="L85" s="655"/>
    </row>
    <row r="86" spans="1:56" s="662" customFormat="1" ht="12" customHeight="1">
      <c r="A86" s="680"/>
      <c r="B86" s="667" t="s">
        <v>44</v>
      </c>
      <c r="C86" s="666" t="s">
        <v>37</v>
      </c>
      <c r="D86" s="665"/>
      <c r="E86" s="664" t="s">
        <v>48</v>
      </c>
      <c r="F86" s="664" t="s">
        <v>282</v>
      </c>
      <c r="G86" s="664" t="s">
        <v>280</v>
      </c>
      <c r="H86" s="664"/>
      <c r="I86" s="664" t="s">
        <v>629</v>
      </c>
      <c r="J86" s="664" t="s">
        <v>58</v>
      </c>
      <c r="K86" s="3047" t="s">
        <v>561</v>
      </c>
      <c r="L86" s="3047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/>
      <c r="AN86" s="663"/>
      <c r="AO86" s="663"/>
      <c r="AP86" s="663"/>
      <c r="AQ86" s="663"/>
      <c r="AR86" s="663"/>
      <c r="AS86" s="663"/>
      <c r="AT86" s="663"/>
      <c r="AU86" s="663"/>
      <c r="AV86" s="663"/>
      <c r="AW86" s="663"/>
      <c r="AX86" s="663"/>
      <c r="AY86" s="663"/>
      <c r="AZ86" s="663"/>
      <c r="BA86" s="663"/>
      <c r="BB86" s="663"/>
      <c r="BC86" s="663"/>
      <c r="BD86" s="663"/>
    </row>
    <row r="87" spans="1:56" ht="12" customHeight="1">
      <c r="B87" s="661"/>
      <c r="C87" s="660" t="s">
        <v>629</v>
      </c>
      <c r="D87" s="659">
        <f>180+30+460+100</f>
        <v>770</v>
      </c>
      <c r="E87" s="460"/>
      <c r="F87" s="460"/>
      <c r="G87" s="460"/>
      <c r="H87" s="460"/>
      <c r="I87" s="460"/>
      <c r="J87" s="460"/>
      <c r="K87" s="460"/>
      <c r="L87" s="460"/>
    </row>
    <row r="88" spans="1:56" ht="12" customHeight="1">
      <c r="B88" s="661">
        <v>42521</v>
      </c>
      <c r="C88" s="660" t="s">
        <v>649</v>
      </c>
      <c r="D88" s="659">
        <v>199.5</v>
      </c>
      <c r="E88" s="460"/>
      <c r="F88" s="460"/>
      <c r="G88" s="460"/>
      <c r="H88" s="460"/>
      <c r="I88" s="460"/>
      <c r="J88" s="460"/>
      <c r="K88" s="460"/>
      <c r="L88" s="460"/>
    </row>
    <row r="89" spans="1:56" ht="12" customHeight="1">
      <c r="B89" s="661">
        <v>42521</v>
      </c>
      <c r="C89" s="660" t="s">
        <v>672</v>
      </c>
      <c r="D89" s="659">
        <v>199</v>
      </c>
      <c r="E89" s="460"/>
      <c r="F89" s="460"/>
      <c r="G89" s="460"/>
      <c r="H89" s="460"/>
      <c r="I89" s="460"/>
      <c r="J89" s="460"/>
      <c r="K89" s="460"/>
      <c r="L89" s="460"/>
    </row>
    <row r="90" spans="1:56" ht="12" customHeight="1">
      <c r="B90" s="661">
        <v>42521</v>
      </c>
      <c r="C90" s="660" t="s">
        <v>671</v>
      </c>
      <c r="D90" s="659">
        <v>400</v>
      </c>
      <c r="E90" s="460"/>
      <c r="F90" s="460"/>
      <c r="G90" s="460"/>
      <c r="H90" s="460"/>
      <c r="I90" s="460"/>
      <c r="J90" s="460"/>
      <c r="K90" s="460"/>
      <c r="L90" s="460"/>
    </row>
    <row r="91" spans="1:56" ht="12" customHeight="1">
      <c r="B91" s="661">
        <v>42521</v>
      </c>
      <c r="C91" s="660" t="s">
        <v>652</v>
      </c>
      <c r="D91" s="659">
        <v>18</v>
      </c>
      <c r="E91" s="460"/>
      <c r="F91" s="460"/>
      <c r="G91" s="460"/>
      <c r="H91" s="460"/>
      <c r="I91" s="460"/>
      <c r="J91" s="460"/>
      <c r="K91" s="460"/>
      <c r="L91" s="460"/>
    </row>
    <row r="92" spans="1:56" ht="12" customHeight="1">
      <c r="B92" s="661">
        <v>42522</v>
      </c>
      <c r="C92" s="660" t="s">
        <v>668</v>
      </c>
      <c r="D92" s="659">
        <v>300</v>
      </c>
      <c r="E92" s="460"/>
      <c r="F92" s="460"/>
      <c r="G92" s="460"/>
      <c r="H92" s="460"/>
      <c r="I92" s="460"/>
      <c r="J92" s="460"/>
      <c r="K92" s="460"/>
      <c r="L92" s="460"/>
    </row>
    <row r="93" spans="1:56" ht="12" customHeight="1">
      <c r="B93" s="661">
        <v>42522</v>
      </c>
      <c r="C93" s="660" t="s">
        <v>670</v>
      </c>
      <c r="D93" s="659">
        <v>30</v>
      </c>
      <c r="E93" s="460"/>
      <c r="F93" s="460"/>
      <c r="G93" s="460"/>
      <c r="H93" s="460"/>
      <c r="I93" s="460"/>
      <c r="J93" s="460"/>
      <c r="K93" s="460"/>
      <c r="L93" s="460"/>
    </row>
    <row r="94" spans="1:56" ht="12" customHeight="1">
      <c r="B94" s="661">
        <v>42522</v>
      </c>
      <c r="C94" s="660" t="s">
        <v>669</v>
      </c>
      <c r="D94" s="659">
        <v>149</v>
      </c>
      <c r="E94" s="460"/>
      <c r="F94" s="460">
        <v>149</v>
      </c>
      <c r="G94" s="460"/>
      <c r="H94" s="460"/>
      <c r="I94" s="460"/>
      <c r="J94" s="460"/>
      <c r="K94" s="460"/>
      <c r="L94" s="460"/>
    </row>
    <row r="95" spans="1:56" ht="12" customHeight="1">
      <c r="B95" s="661">
        <v>42523</v>
      </c>
      <c r="C95" s="660" t="s">
        <v>668</v>
      </c>
      <c r="D95" s="659">
        <v>150</v>
      </c>
      <c r="E95" s="460"/>
      <c r="F95" s="460"/>
      <c r="G95" s="460"/>
      <c r="H95" s="460"/>
      <c r="I95" s="460"/>
      <c r="J95" s="460"/>
      <c r="K95" s="460"/>
      <c r="L95" s="460"/>
    </row>
    <row r="96" spans="1:56" ht="12" customHeight="1">
      <c r="B96" s="661">
        <v>42525</v>
      </c>
      <c r="C96" s="660" t="s">
        <v>217</v>
      </c>
      <c r="D96" s="659">
        <v>100</v>
      </c>
      <c r="E96" s="460"/>
      <c r="F96" s="460"/>
      <c r="G96" s="460"/>
      <c r="H96" s="460"/>
      <c r="I96" s="460"/>
      <c r="J96" s="460"/>
      <c r="K96" s="460"/>
      <c r="L96" s="460"/>
    </row>
    <row r="97" spans="1:56" ht="12" customHeight="1">
      <c r="B97" s="661">
        <v>42527</v>
      </c>
      <c r="C97" s="660" t="s">
        <v>667</v>
      </c>
      <c r="D97" s="659">
        <v>101.27</v>
      </c>
      <c r="E97" s="460"/>
      <c r="F97" s="460"/>
      <c r="G97" s="460"/>
      <c r="H97" s="460"/>
      <c r="I97" s="460"/>
      <c r="J97" s="460"/>
      <c r="K97" s="460"/>
      <c r="L97" s="460"/>
    </row>
    <row r="98" spans="1:56" ht="12" customHeight="1">
      <c r="B98" s="661">
        <v>42532</v>
      </c>
      <c r="C98" s="660" t="s">
        <v>666</v>
      </c>
      <c r="D98" s="659">
        <v>74</v>
      </c>
      <c r="E98" s="460"/>
      <c r="F98" s="460"/>
      <c r="G98" s="460"/>
      <c r="H98" s="460"/>
      <c r="I98" s="460"/>
      <c r="J98" s="460"/>
      <c r="K98" s="460"/>
      <c r="L98" s="460"/>
    </row>
    <row r="99" spans="1:56" ht="12" customHeight="1">
      <c r="B99" s="661">
        <v>42536</v>
      </c>
      <c r="C99" s="660" t="s">
        <v>665</v>
      </c>
      <c r="D99" s="659">
        <v>200</v>
      </c>
      <c r="E99" s="460"/>
      <c r="F99" s="460"/>
      <c r="G99" s="460"/>
      <c r="H99" s="460"/>
      <c r="I99" s="460"/>
      <c r="J99" s="460"/>
      <c r="K99" s="460"/>
      <c r="L99" s="460"/>
    </row>
    <row r="100" spans="1:56" ht="12" customHeight="1">
      <c r="B100" s="661">
        <v>42536</v>
      </c>
      <c r="C100" s="660" t="s">
        <v>643</v>
      </c>
      <c r="D100" s="659">
        <v>327.75</v>
      </c>
      <c r="E100" s="460"/>
      <c r="F100" s="460"/>
      <c r="G100" s="460"/>
      <c r="H100" s="460"/>
      <c r="I100" s="460"/>
      <c r="J100" s="460"/>
      <c r="K100" s="460"/>
      <c r="L100" s="460"/>
    </row>
    <row r="101" spans="1:56" ht="12" customHeight="1">
      <c r="B101" s="661">
        <v>42540</v>
      </c>
      <c r="C101" s="660" t="s">
        <v>233</v>
      </c>
      <c r="D101" s="659">
        <v>140</v>
      </c>
      <c r="E101" s="460"/>
      <c r="F101" s="460"/>
      <c r="G101" s="460"/>
      <c r="H101" s="460"/>
      <c r="I101" s="460"/>
      <c r="J101" s="460"/>
      <c r="K101" s="460"/>
      <c r="L101" s="460"/>
    </row>
    <row r="102" spans="1:56" ht="12" customHeight="1">
      <c r="B102" s="658">
        <v>42545</v>
      </c>
      <c r="C102" s="657" t="s">
        <v>186</v>
      </c>
      <c r="D102" s="656">
        <v>-39</v>
      </c>
      <c r="E102" s="655"/>
      <c r="F102" s="655"/>
      <c r="G102" s="655"/>
      <c r="H102" s="655"/>
      <c r="I102" s="655"/>
      <c r="J102" s="655"/>
      <c r="K102" s="655"/>
      <c r="L102" s="655"/>
    </row>
    <row r="103" spans="1:56" s="662" customFormat="1" ht="12" customHeight="1">
      <c r="A103" s="668"/>
      <c r="B103" s="667" t="s">
        <v>117</v>
      </c>
      <c r="C103" s="666" t="s">
        <v>37</v>
      </c>
      <c r="D103" s="665"/>
      <c r="E103" s="664" t="s">
        <v>48</v>
      </c>
      <c r="F103" s="664" t="s">
        <v>282</v>
      </c>
      <c r="G103" s="664" t="s">
        <v>280</v>
      </c>
      <c r="H103" s="664"/>
      <c r="I103" s="664" t="s">
        <v>629</v>
      </c>
      <c r="J103" s="664" t="s">
        <v>58</v>
      </c>
      <c r="K103" s="3047" t="s">
        <v>561</v>
      </c>
      <c r="L103" s="3047"/>
      <c r="M103" s="663"/>
      <c r="N103" s="663"/>
      <c r="O103" s="663"/>
      <c r="P103" s="663"/>
      <c r="Q103" s="663"/>
      <c r="R103" s="663"/>
      <c r="S103" s="663"/>
      <c r="T103" s="663"/>
      <c r="U103" s="663"/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663"/>
      <c r="AN103" s="663"/>
      <c r="AO103" s="663"/>
      <c r="AP103" s="663"/>
      <c r="AQ103" s="663"/>
      <c r="AR103" s="663"/>
      <c r="AS103" s="663"/>
      <c r="AT103" s="663"/>
      <c r="AU103" s="663"/>
      <c r="AV103" s="663"/>
      <c r="AW103" s="663"/>
      <c r="AX103" s="663"/>
      <c r="AY103" s="663"/>
      <c r="AZ103" s="663"/>
      <c r="BA103" s="663"/>
      <c r="BB103" s="663"/>
      <c r="BC103" s="663"/>
      <c r="BD103" s="663"/>
    </row>
    <row r="104" spans="1:56" ht="12" customHeight="1">
      <c r="B104" s="661">
        <v>42551</v>
      </c>
      <c r="C104" s="660" t="s">
        <v>143</v>
      </c>
      <c r="D104" s="659">
        <v>100</v>
      </c>
      <c r="E104" s="460"/>
      <c r="F104" s="460"/>
      <c r="G104" s="460"/>
      <c r="H104" s="460"/>
      <c r="I104" s="460"/>
      <c r="J104" s="460"/>
      <c r="K104" s="460"/>
      <c r="L104" s="460"/>
    </row>
    <row r="105" spans="1:56" ht="12" customHeight="1">
      <c r="B105" s="661">
        <v>42551</v>
      </c>
      <c r="C105" s="660" t="s">
        <v>664</v>
      </c>
      <c r="D105" s="659">
        <v>506.1</v>
      </c>
      <c r="E105" s="460"/>
      <c r="F105" s="460"/>
      <c r="G105" s="460"/>
      <c r="H105" s="460"/>
      <c r="I105" s="460"/>
      <c r="J105" s="460"/>
      <c r="K105" s="460"/>
      <c r="L105" s="460"/>
    </row>
    <row r="106" spans="1:56" ht="12" customHeight="1">
      <c r="B106" s="661">
        <v>42552</v>
      </c>
      <c r="C106" s="660" t="s">
        <v>220</v>
      </c>
      <c r="D106" s="659">
        <v>24</v>
      </c>
      <c r="E106" s="460"/>
      <c r="F106" s="460"/>
      <c r="G106" s="460"/>
      <c r="H106" s="460"/>
      <c r="I106" s="460"/>
      <c r="J106" s="460"/>
      <c r="K106" s="460"/>
      <c r="L106" s="460"/>
    </row>
    <row r="107" spans="1:56" ht="12" customHeight="1">
      <c r="B107" s="661">
        <v>42555</v>
      </c>
      <c r="C107" s="660" t="s">
        <v>663</v>
      </c>
      <c r="D107" s="659">
        <v>534.67999999999995</v>
      </c>
      <c r="E107" s="460"/>
      <c r="F107" s="460">
        <v>534.67999999999995</v>
      </c>
      <c r="G107" s="460"/>
      <c r="H107" s="460"/>
      <c r="I107" s="460"/>
      <c r="J107" s="460"/>
      <c r="K107" s="460"/>
      <c r="L107" s="460"/>
    </row>
    <row r="108" spans="1:56" ht="12" customHeight="1">
      <c r="B108" s="661">
        <v>42555</v>
      </c>
      <c r="C108" s="660" t="s">
        <v>479</v>
      </c>
      <c r="D108" s="659">
        <v>190</v>
      </c>
      <c r="E108" s="460"/>
      <c r="F108" s="460"/>
      <c r="G108" s="460"/>
      <c r="H108" s="460"/>
      <c r="I108" s="460"/>
      <c r="J108" s="460"/>
      <c r="K108" s="460"/>
      <c r="L108" s="460"/>
    </row>
    <row r="109" spans="1:56" ht="12" customHeight="1">
      <c r="B109" s="661">
        <v>42556</v>
      </c>
      <c r="C109" s="660" t="s">
        <v>479</v>
      </c>
      <c r="D109" s="659">
        <v>35</v>
      </c>
      <c r="E109" s="460"/>
      <c r="F109" s="460"/>
      <c r="G109" s="460"/>
      <c r="H109" s="460"/>
      <c r="I109" s="460"/>
      <c r="J109" s="460"/>
      <c r="K109" s="460"/>
      <c r="L109" s="460"/>
    </row>
    <row r="110" spans="1:56" ht="12" customHeight="1">
      <c r="B110" s="661">
        <v>42556</v>
      </c>
      <c r="C110" s="660" t="s">
        <v>662</v>
      </c>
      <c r="D110" s="659">
        <v>85</v>
      </c>
      <c r="E110" s="460"/>
      <c r="F110" s="460"/>
      <c r="G110" s="460"/>
      <c r="H110" s="460"/>
      <c r="I110" s="460"/>
      <c r="J110" s="460"/>
      <c r="K110" s="460"/>
      <c r="L110" s="460"/>
    </row>
    <row r="111" spans="1:56" ht="12" customHeight="1">
      <c r="B111" s="661">
        <v>42557</v>
      </c>
      <c r="C111" s="660" t="s">
        <v>662</v>
      </c>
      <c r="D111" s="659">
        <v>100</v>
      </c>
      <c r="E111" s="460"/>
      <c r="F111" s="460"/>
      <c r="G111" s="460"/>
      <c r="H111" s="460"/>
      <c r="I111" s="460"/>
      <c r="J111" s="460"/>
      <c r="K111" s="460"/>
      <c r="L111" s="460"/>
    </row>
    <row r="112" spans="1:56" ht="12" customHeight="1">
      <c r="B112" s="661">
        <v>42557</v>
      </c>
      <c r="C112" s="660" t="s">
        <v>661</v>
      </c>
      <c r="D112" s="659">
        <v>30</v>
      </c>
      <c r="E112" s="460"/>
      <c r="F112" s="460"/>
      <c r="G112" s="460"/>
      <c r="H112" s="460"/>
      <c r="I112" s="460"/>
      <c r="J112" s="460"/>
      <c r="K112" s="460"/>
      <c r="L112" s="460"/>
    </row>
    <row r="113" spans="1:56" ht="12" customHeight="1">
      <c r="B113" s="661">
        <v>42558</v>
      </c>
      <c r="C113" s="660" t="s">
        <v>660</v>
      </c>
      <c r="D113" s="659">
        <v>388</v>
      </c>
      <c r="E113" s="460"/>
      <c r="F113" s="460">
        <v>388</v>
      </c>
      <c r="G113" s="460"/>
      <c r="H113" s="460"/>
      <c r="I113" s="460"/>
      <c r="J113" s="460"/>
      <c r="K113" s="460"/>
      <c r="L113" s="460"/>
    </row>
    <row r="114" spans="1:56" ht="12" customHeight="1">
      <c r="B114" s="661">
        <v>42563</v>
      </c>
      <c r="C114" s="660" t="s">
        <v>316</v>
      </c>
      <c r="D114" s="659">
        <v>71</v>
      </c>
      <c r="E114" s="460"/>
      <c r="F114" s="460"/>
      <c r="G114" s="460"/>
      <c r="H114" s="460"/>
      <c r="I114" s="460"/>
      <c r="J114" s="460"/>
      <c r="K114" s="460"/>
      <c r="L114" s="460"/>
    </row>
    <row r="115" spans="1:56" ht="12" customHeight="1">
      <c r="B115" s="661">
        <v>42564</v>
      </c>
      <c r="C115" s="660" t="s">
        <v>659</v>
      </c>
      <c r="D115" s="659">
        <v>98.9</v>
      </c>
      <c r="E115" s="460"/>
      <c r="F115" s="460"/>
      <c r="G115" s="460"/>
      <c r="H115" s="460"/>
      <c r="I115" s="460"/>
      <c r="J115" s="460"/>
      <c r="K115" s="460"/>
      <c r="L115" s="460"/>
    </row>
    <row r="116" spans="1:56" ht="12" customHeight="1">
      <c r="B116" s="661">
        <v>42570</v>
      </c>
      <c r="C116" s="660" t="s">
        <v>658</v>
      </c>
      <c r="D116" s="659">
        <v>23.95</v>
      </c>
      <c r="E116" s="460"/>
      <c r="F116" s="460"/>
      <c r="G116" s="460"/>
      <c r="H116" s="460"/>
      <c r="I116" s="460"/>
      <c r="J116" s="460"/>
      <c r="K116" s="460"/>
      <c r="L116" s="460"/>
    </row>
    <row r="117" spans="1:56" ht="12" customHeight="1">
      <c r="B117" s="661">
        <v>42570</v>
      </c>
      <c r="C117" s="660" t="s">
        <v>194</v>
      </c>
      <c r="D117" s="659">
        <v>459</v>
      </c>
      <c r="E117" s="460"/>
      <c r="F117" s="460">
        <v>459</v>
      </c>
      <c r="G117" s="460"/>
      <c r="H117" s="460"/>
      <c r="I117" s="460"/>
      <c r="J117" s="460"/>
      <c r="K117" s="460"/>
      <c r="L117" s="460"/>
    </row>
    <row r="118" spans="1:56" ht="12" customHeight="1">
      <c r="B118" s="661">
        <v>42570</v>
      </c>
      <c r="C118" s="660" t="s">
        <v>657</v>
      </c>
      <c r="D118" s="659">
        <v>225</v>
      </c>
      <c r="E118" s="460"/>
      <c r="F118" s="460"/>
      <c r="G118" s="460"/>
      <c r="H118" s="460"/>
      <c r="I118" s="460"/>
      <c r="J118" s="460"/>
      <c r="K118" s="460"/>
      <c r="L118" s="460"/>
    </row>
    <row r="119" spans="1:56" ht="12" customHeight="1">
      <c r="B119" s="661">
        <v>42570</v>
      </c>
      <c r="C119" s="660" t="s">
        <v>656</v>
      </c>
      <c r="D119" s="659">
        <v>611.80999999999995</v>
      </c>
      <c r="E119" s="460"/>
      <c r="F119" s="460">
        <v>611.80999999999995</v>
      </c>
      <c r="G119" s="460"/>
      <c r="H119" s="460"/>
      <c r="I119" s="460"/>
      <c r="J119" s="460"/>
      <c r="K119" s="460"/>
      <c r="L119" s="460"/>
    </row>
    <row r="120" spans="1:56" ht="12" customHeight="1">
      <c r="B120" s="658">
        <v>42577</v>
      </c>
      <c r="C120" s="657" t="s">
        <v>655</v>
      </c>
      <c r="D120" s="656">
        <v>208.95</v>
      </c>
      <c r="E120" s="655"/>
      <c r="F120" s="655">
        <v>208.95</v>
      </c>
      <c r="G120" s="655"/>
      <c r="H120" s="655"/>
      <c r="I120" s="655"/>
      <c r="J120" s="655"/>
      <c r="K120" s="655"/>
      <c r="L120" s="655"/>
    </row>
    <row r="121" spans="1:56" s="662" customFormat="1" ht="12" customHeight="1">
      <c r="A121" s="668"/>
      <c r="B121" s="667" t="s">
        <v>116</v>
      </c>
      <c r="C121" s="666" t="s">
        <v>37</v>
      </c>
      <c r="D121" s="665"/>
      <c r="E121" s="664" t="s">
        <v>48</v>
      </c>
      <c r="F121" s="664" t="s">
        <v>282</v>
      </c>
      <c r="G121" s="664" t="s">
        <v>280</v>
      </c>
      <c r="H121" s="664"/>
      <c r="I121" s="664" t="s">
        <v>629</v>
      </c>
      <c r="J121" s="664" t="s">
        <v>58</v>
      </c>
      <c r="K121" s="3047" t="s">
        <v>561</v>
      </c>
      <c r="L121" s="3047"/>
      <c r="M121" s="663"/>
      <c r="N121" s="663"/>
      <c r="O121" s="663"/>
      <c r="P121" s="663"/>
      <c r="Q121" s="663"/>
      <c r="R121" s="663"/>
      <c r="S121" s="663"/>
      <c r="T121" s="663"/>
      <c r="U121" s="663"/>
      <c r="V121" s="663"/>
      <c r="W121" s="663"/>
      <c r="X121" s="66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  <c r="AM121" s="663"/>
      <c r="AN121" s="663"/>
      <c r="AO121" s="663"/>
      <c r="AP121" s="663"/>
      <c r="AQ121" s="663"/>
      <c r="AR121" s="663"/>
      <c r="AS121" s="663"/>
      <c r="AT121" s="663"/>
      <c r="AU121" s="663"/>
      <c r="AV121" s="663"/>
      <c r="AW121" s="663"/>
      <c r="AX121" s="663"/>
      <c r="AY121" s="663"/>
      <c r="AZ121" s="663"/>
      <c r="BA121" s="663"/>
      <c r="BB121" s="663"/>
      <c r="BC121" s="663"/>
      <c r="BD121" s="663"/>
    </row>
    <row r="122" spans="1:56" ht="12" customHeight="1">
      <c r="B122" s="661">
        <v>42580</v>
      </c>
      <c r="C122" s="660" t="s">
        <v>654</v>
      </c>
      <c r="D122" s="659">
        <v>50</v>
      </c>
      <c r="E122" s="460"/>
      <c r="F122" s="460"/>
      <c r="G122" s="460"/>
      <c r="H122" s="460"/>
      <c r="I122" s="460"/>
      <c r="J122" s="460"/>
      <c r="K122" s="460"/>
      <c r="L122" s="460"/>
    </row>
    <row r="123" spans="1:56" ht="12" customHeight="1">
      <c r="B123" s="661">
        <v>42580</v>
      </c>
      <c r="C123" s="660" t="s">
        <v>653</v>
      </c>
      <c r="D123" s="659">
        <v>60</v>
      </c>
      <c r="E123" s="460"/>
      <c r="F123" s="460"/>
      <c r="G123" s="460"/>
      <c r="H123" s="460"/>
      <c r="I123" s="460"/>
      <c r="J123" s="460"/>
      <c r="K123" s="460"/>
      <c r="L123" s="460"/>
    </row>
    <row r="124" spans="1:56" ht="12" customHeight="1">
      <c r="B124" s="661">
        <v>42580</v>
      </c>
      <c r="C124" s="660" t="s">
        <v>652</v>
      </c>
      <c r="D124" s="659">
        <v>4</v>
      </c>
      <c r="E124" s="460"/>
      <c r="F124" s="460"/>
      <c r="G124" s="460"/>
      <c r="H124" s="460"/>
      <c r="I124" s="460"/>
      <c r="J124" s="460"/>
      <c r="K124" s="460"/>
      <c r="L124" s="460"/>
    </row>
    <row r="125" spans="1:56" ht="12" customHeight="1">
      <c r="B125" s="661">
        <v>42586</v>
      </c>
      <c r="C125" s="660" t="s">
        <v>310</v>
      </c>
      <c r="D125" s="659">
        <v>200</v>
      </c>
      <c r="E125" s="460"/>
      <c r="F125" s="460"/>
      <c r="G125" s="460"/>
      <c r="H125" s="460"/>
      <c r="I125" s="460"/>
      <c r="J125" s="460"/>
      <c r="K125" s="460"/>
      <c r="L125" s="460"/>
    </row>
    <row r="126" spans="1:56" ht="12" customHeight="1">
      <c r="B126" s="661">
        <v>42586</v>
      </c>
      <c r="C126" s="660" t="s">
        <v>629</v>
      </c>
      <c r="D126" s="659">
        <v>180</v>
      </c>
      <c r="E126" s="460"/>
      <c r="F126" s="460"/>
      <c r="G126" s="460"/>
      <c r="H126" s="460"/>
      <c r="I126" s="460"/>
      <c r="J126" s="460"/>
      <c r="K126" s="460"/>
      <c r="L126" s="460"/>
    </row>
    <row r="127" spans="1:56" ht="12" customHeight="1">
      <c r="B127" s="661">
        <v>42592</v>
      </c>
      <c r="C127" s="660" t="s">
        <v>379</v>
      </c>
      <c r="D127" s="659">
        <v>362</v>
      </c>
      <c r="E127" s="460"/>
      <c r="F127" s="460"/>
      <c r="G127" s="460"/>
      <c r="H127" s="460"/>
      <c r="I127" s="460"/>
      <c r="J127" s="460"/>
      <c r="K127" s="460"/>
      <c r="L127" s="460"/>
    </row>
    <row r="128" spans="1:56" ht="12" customHeight="1">
      <c r="B128" s="661">
        <v>42593</v>
      </c>
      <c r="C128" s="660" t="s">
        <v>529</v>
      </c>
      <c r="D128" s="659">
        <v>168</v>
      </c>
      <c r="E128" s="460"/>
      <c r="F128" s="460"/>
      <c r="G128" s="460"/>
      <c r="H128" s="460"/>
      <c r="I128" s="460"/>
      <c r="J128" s="460"/>
      <c r="K128" s="460"/>
      <c r="L128" s="460"/>
    </row>
    <row r="129" spans="1:56" ht="12" customHeight="1">
      <c r="B129" s="661">
        <v>42596</v>
      </c>
      <c r="C129" s="660" t="s">
        <v>651</v>
      </c>
      <c r="D129" s="659">
        <v>150</v>
      </c>
      <c r="E129" s="460"/>
      <c r="F129" s="460"/>
      <c r="G129" s="460"/>
      <c r="H129" s="460"/>
      <c r="I129" s="460"/>
      <c r="J129" s="460"/>
      <c r="K129" s="460"/>
      <c r="L129" s="460"/>
    </row>
    <row r="130" spans="1:56" ht="12" customHeight="1">
      <c r="B130" s="661">
        <v>42598</v>
      </c>
      <c r="C130" s="660" t="s">
        <v>64</v>
      </c>
      <c r="D130" s="659">
        <v>198</v>
      </c>
      <c r="E130" s="460">
        <v>198</v>
      </c>
      <c r="F130" s="460"/>
      <c r="G130" s="460"/>
      <c r="H130" s="460"/>
      <c r="I130" s="460"/>
      <c r="J130" s="460"/>
      <c r="K130" s="460"/>
      <c r="L130" s="460"/>
    </row>
    <row r="131" spans="1:56" ht="12" customHeight="1">
      <c r="B131" s="661">
        <v>42601</v>
      </c>
      <c r="C131" s="660" t="s">
        <v>650</v>
      </c>
      <c r="D131" s="659">
        <v>50</v>
      </c>
      <c r="E131" s="460"/>
      <c r="F131" s="460"/>
      <c r="G131" s="460"/>
      <c r="H131" s="460"/>
      <c r="I131" s="460"/>
      <c r="J131" s="460"/>
      <c r="K131" s="460"/>
      <c r="L131" s="460"/>
    </row>
    <row r="132" spans="1:56" ht="12" customHeight="1">
      <c r="B132" s="661">
        <v>42601</v>
      </c>
      <c r="C132" s="660" t="s">
        <v>636</v>
      </c>
      <c r="D132" s="659">
        <v>480.35</v>
      </c>
      <c r="E132" s="460"/>
      <c r="F132" s="460"/>
      <c r="G132" s="460"/>
      <c r="H132" s="460"/>
      <c r="I132" s="460"/>
      <c r="J132" s="460"/>
      <c r="K132" s="460"/>
      <c r="L132" s="460"/>
    </row>
    <row r="133" spans="1:56" ht="12" customHeight="1">
      <c r="B133" s="661">
        <v>42604</v>
      </c>
      <c r="C133" s="660" t="s">
        <v>581</v>
      </c>
      <c r="D133" s="659">
        <v>220</v>
      </c>
      <c r="E133" s="460"/>
      <c r="F133" s="460"/>
      <c r="G133" s="460"/>
      <c r="H133" s="460"/>
      <c r="I133" s="460"/>
      <c r="J133" s="460"/>
      <c r="K133" s="460"/>
      <c r="L133" s="460"/>
    </row>
    <row r="134" spans="1:56" ht="12" customHeight="1">
      <c r="B134" s="661">
        <v>42614</v>
      </c>
      <c r="C134" s="660" t="s">
        <v>649</v>
      </c>
      <c r="D134" s="659">
        <v>199.5</v>
      </c>
      <c r="E134" s="460"/>
      <c r="F134" s="460"/>
      <c r="G134" s="460"/>
      <c r="H134" s="460"/>
      <c r="I134" s="460"/>
      <c r="J134" s="460"/>
      <c r="K134" s="460"/>
      <c r="L134" s="460"/>
    </row>
    <row r="135" spans="1:56" ht="12" customHeight="1">
      <c r="B135" s="661">
        <v>42615</v>
      </c>
      <c r="C135" s="660" t="s">
        <v>648</v>
      </c>
      <c r="D135" s="659">
        <v>199</v>
      </c>
      <c r="E135" s="460"/>
      <c r="F135" s="460"/>
      <c r="G135" s="460"/>
      <c r="H135" s="460"/>
      <c r="I135" s="460"/>
      <c r="J135" s="460"/>
      <c r="K135" s="460"/>
      <c r="L135" s="460"/>
    </row>
    <row r="136" spans="1:56" ht="12" customHeight="1">
      <c r="B136" s="661">
        <v>42615</v>
      </c>
      <c r="C136" s="660" t="s">
        <v>647</v>
      </c>
      <c r="D136" s="659">
        <v>60</v>
      </c>
      <c r="E136" s="460"/>
      <c r="F136" s="460">
        <v>60</v>
      </c>
      <c r="G136" s="460"/>
      <c r="H136" s="460"/>
      <c r="I136" s="460"/>
      <c r="J136" s="460"/>
      <c r="K136" s="460"/>
      <c r="L136" s="460"/>
    </row>
    <row r="137" spans="1:56" ht="12" customHeight="1">
      <c r="B137" s="661">
        <v>42616</v>
      </c>
      <c r="C137" s="660" t="s">
        <v>615</v>
      </c>
      <c r="D137" s="659">
        <v>195</v>
      </c>
      <c r="E137" s="460"/>
      <c r="F137" s="460"/>
      <c r="G137" s="460"/>
      <c r="H137" s="460"/>
      <c r="I137" s="460"/>
      <c r="J137" s="460"/>
      <c r="K137" s="460"/>
      <c r="L137" s="460"/>
    </row>
    <row r="138" spans="1:56" ht="12" customHeight="1">
      <c r="B138" s="661">
        <v>42616</v>
      </c>
      <c r="C138" s="660" t="s">
        <v>646</v>
      </c>
      <c r="D138" s="659">
        <v>130</v>
      </c>
      <c r="E138" s="460"/>
      <c r="F138" s="460"/>
      <c r="G138" s="460"/>
      <c r="H138" s="460"/>
      <c r="I138" s="460"/>
      <c r="J138" s="460"/>
      <c r="K138" s="460"/>
      <c r="L138" s="460"/>
    </row>
    <row r="139" spans="1:56" ht="12" customHeight="1">
      <c r="B139" s="661">
        <v>42630</v>
      </c>
      <c r="C139" s="660" t="s">
        <v>645</v>
      </c>
      <c r="D139" s="659">
        <v>200</v>
      </c>
      <c r="E139" s="460"/>
      <c r="F139" s="460"/>
      <c r="G139" s="460"/>
      <c r="H139" s="460"/>
      <c r="I139" s="460"/>
      <c r="J139" s="460"/>
      <c r="K139" s="460"/>
      <c r="L139" s="460"/>
    </row>
    <row r="140" spans="1:56" ht="12" customHeight="1">
      <c r="B140" s="658">
        <v>42978</v>
      </c>
      <c r="C140" s="657" t="s">
        <v>644</v>
      </c>
      <c r="D140" s="656">
        <v>4500</v>
      </c>
      <c r="E140" s="655"/>
      <c r="F140" s="655">
        <v>4500</v>
      </c>
      <c r="G140" s="655"/>
      <c r="H140" s="655"/>
      <c r="I140" s="655"/>
      <c r="J140" s="655"/>
      <c r="K140" s="655"/>
      <c r="L140" s="655"/>
    </row>
    <row r="141" spans="1:56" s="662" customFormat="1" ht="12" customHeight="1">
      <c r="A141" s="668"/>
      <c r="B141" s="667" t="s">
        <v>115</v>
      </c>
      <c r="C141" s="666" t="s">
        <v>37</v>
      </c>
      <c r="D141" s="665"/>
      <c r="E141" s="664" t="s">
        <v>48</v>
      </c>
      <c r="F141" s="664" t="s">
        <v>282</v>
      </c>
      <c r="G141" s="664" t="s">
        <v>280</v>
      </c>
      <c r="H141" s="664"/>
      <c r="I141" s="664" t="s">
        <v>629</v>
      </c>
      <c r="J141" s="664" t="s">
        <v>58</v>
      </c>
      <c r="K141" s="3047" t="s">
        <v>561</v>
      </c>
      <c r="L141" s="3047"/>
      <c r="M141" s="663"/>
      <c r="N141" s="663"/>
      <c r="O141" s="663"/>
      <c r="P141" s="663"/>
      <c r="Q141" s="663"/>
      <c r="R141" s="663"/>
      <c r="S141" s="663"/>
      <c r="T141" s="663"/>
      <c r="U141" s="663"/>
      <c r="V141" s="663"/>
      <c r="W141" s="663"/>
      <c r="X141" s="663"/>
      <c r="Y141" s="663"/>
      <c r="Z141" s="663"/>
      <c r="AA141" s="663"/>
      <c r="AB141" s="663"/>
      <c r="AC141" s="663"/>
      <c r="AD141" s="663"/>
      <c r="AE141" s="663"/>
      <c r="AF141" s="663"/>
      <c r="AG141" s="663"/>
      <c r="AH141" s="663"/>
      <c r="AI141" s="663"/>
      <c r="AJ141" s="663"/>
      <c r="AK141" s="663"/>
      <c r="AL141" s="663"/>
      <c r="AM141" s="663"/>
      <c r="AN141" s="663"/>
      <c r="AO141" s="663"/>
      <c r="AP141" s="663"/>
      <c r="AQ141" s="663"/>
      <c r="AR141" s="663"/>
      <c r="AS141" s="663"/>
      <c r="AT141" s="663"/>
      <c r="AU141" s="663"/>
      <c r="AV141" s="663"/>
      <c r="AW141" s="663"/>
      <c r="AX141" s="663"/>
      <c r="AY141" s="663"/>
      <c r="AZ141" s="663"/>
      <c r="BA141" s="663"/>
      <c r="BB141" s="663"/>
      <c r="BC141" s="663"/>
      <c r="BD141" s="663"/>
    </row>
    <row r="142" spans="1:56" s="670" customFormat="1" ht="12" customHeight="1">
      <c r="A142" s="675"/>
      <c r="B142" s="679"/>
      <c r="C142" s="678"/>
      <c r="D142" s="677"/>
      <c r="E142" s="676"/>
      <c r="F142" s="676"/>
      <c r="G142" s="676"/>
      <c r="H142" s="676"/>
      <c r="I142" s="676"/>
      <c r="J142" s="676"/>
      <c r="K142" s="676"/>
      <c r="L142" s="676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</row>
    <row r="143" spans="1:56" s="670" customFormat="1" ht="12" customHeight="1">
      <c r="A143" s="675"/>
      <c r="B143" s="674"/>
      <c r="C143" s="673"/>
      <c r="D143" s="672"/>
      <c r="E143" s="671"/>
      <c r="F143" s="671"/>
      <c r="G143" s="671"/>
      <c r="H143" s="671"/>
      <c r="I143" s="671"/>
      <c r="J143" s="671"/>
      <c r="K143" s="671"/>
      <c r="L143" s="671"/>
      <c r="M143" s="663"/>
      <c r="N143" s="663"/>
      <c r="O143" s="663"/>
      <c r="P143" s="663"/>
      <c r="Q143" s="663"/>
      <c r="R143" s="663"/>
      <c r="S143" s="663"/>
      <c r="T143" s="663"/>
      <c r="U143" s="663"/>
      <c r="V143" s="663"/>
      <c r="W143" s="663"/>
      <c r="X143" s="663"/>
      <c r="Y143" s="663"/>
      <c r="Z143" s="663"/>
      <c r="AA143" s="663"/>
      <c r="AB143" s="663"/>
      <c r="AC143" s="663"/>
      <c r="AD143" s="663"/>
      <c r="AE143" s="663"/>
      <c r="AF143" s="663"/>
      <c r="AG143" s="663"/>
      <c r="AH143" s="663"/>
      <c r="AI143" s="663"/>
      <c r="AJ143" s="663"/>
      <c r="AK143" s="663"/>
      <c r="AL143" s="663"/>
      <c r="AM143" s="663"/>
      <c r="AN143" s="663"/>
      <c r="AO143" s="663"/>
      <c r="AP143" s="663"/>
      <c r="AQ143" s="663"/>
      <c r="AR143" s="663"/>
      <c r="AS143" s="663"/>
      <c r="AT143" s="663"/>
      <c r="AU143" s="663"/>
      <c r="AV143" s="663"/>
      <c r="AW143" s="663"/>
      <c r="AX143" s="663"/>
      <c r="AY143" s="663"/>
      <c r="AZ143" s="663"/>
      <c r="BA143" s="663"/>
      <c r="BB143" s="663"/>
      <c r="BC143" s="663"/>
      <c r="BD143" s="663"/>
    </row>
    <row r="144" spans="1:56" s="662" customFormat="1" ht="12" customHeight="1">
      <c r="A144" s="668"/>
      <c r="B144" s="667" t="s">
        <v>114</v>
      </c>
      <c r="C144" s="666" t="s">
        <v>37</v>
      </c>
      <c r="D144" s="665"/>
      <c r="E144" s="664" t="s">
        <v>48</v>
      </c>
      <c r="F144" s="664" t="s">
        <v>282</v>
      </c>
      <c r="G144" s="664" t="s">
        <v>280</v>
      </c>
      <c r="H144" s="664"/>
      <c r="I144" s="664" t="s">
        <v>629</v>
      </c>
      <c r="J144" s="664" t="s">
        <v>58</v>
      </c>
      <c r="K144" s="3047" t="s">
        <v>561</v>
      </c>
      <c r="L144" s="3047"/>
      <c r="M144" s="663"/>
      <c r="N144" s="663"/>
      <c r="O144" s="663"/>
      <c r="P144" s="663"/>
      <c r="Q144" s="663"/>
      <c r="R144" s="663"/>
      <c r="S144" s="663"/>
      <c r="T144" s="663"/>
      <c r="U144" s="663"/>
      <c r="V144" s="663"/>
      <c r="W144" s="663"/>
      <c r="X144" s="663"/>
      <c r="Y144" s="663"/>
      <c r="Z144" s="663"/>
      <c r="AA144" s="663"/>
      <c r="AB144" s="663"/>
      <c r="AC144" s="663"/>
      <c r="AD144" s="663"/>
      <c r="AE144" s="663"/>
      <c r="AF144" s="663"/>
      <c r="AG144" s="663"/>
      <c r="AH144" s="663"/>
      <c r="AI144" s="663"/>
      <c r="AJ144" s="663"/>
      <c r="AK144" s="663"/>
      <c r="AL144" s="663"/>
      <c r="AM144" s="663"/>
      <c r="AN144" s="663"/>
      <c r="AO144" s="663"/>
      <c r="AP144" s="663"/>
      <c r="AQ144" s="663"/>
      <c r="AR144" s="663"/>
      <c r="AS144" s="663"/>
      <c r="AT144" s="663"/>
      <c r="AU144" s="663"/>
      <c r="AV144" s="663"/>
      <c r="AW144" s="663"/>
      <c r="AX144" s="663"/>
      <c r="AY144" s="663"/>
      <c r="AZ144" s="663"/>
      <c r="BA144" s="663"/>
      <c r="BB144" s="663"/>
      <c r="BC144" s="663"/>
      <c r="BD144" s="663"/>
    </row>
    <row r="145" spans="1:56" ht="12" customHeight="1">
      <c r="B145" s="661">
        <v>42643</v>
      </c>
      <c r="C145" s="660" t="s">
        <v>22</v>
      </c>
      <c r="D145" s="659">
        <v>375</v>
      </c>
      <c r="E145" s="460"/>
      <c r="F145" s="460"/>
      <c r="G145" s="460"/>
      <c r="H145" s="460"/>
      <c r="I145" s="460"/>
      <c r="J145" s="460"/>
      <c r="K145" s="460"/>
      <c r="L145" s="460"/>
    </row>
    <row r="146" spans="1:56" ht="12" customHeight="1">
      <c r="B146" s="661">
        <v>42643</v>
      </c>
      <c r="C146" s="660" t="s">
        <v>21</v>
      </c>
      <c r="D146" s="659">
        <v>250</v>
      </c>
      <c r="E146" s="460"/>
      <c r="F146" s="460"/>
      <c r="G146" s="460"/>
      <c r="H146" s="460"/>
      <c r="I146" s="460"/>
      <c r="J146" s="460"/>
      <c r="K146" s="460"/>
      <c r="L146" s="460"/>
    </row>
    <row r="147" spans="1:56" ht="12" customHeight="1">
      <c r="B147" s="661">
        <v>42643</v>
      </c>
      <c r="C147" s="660" t="s">
        <v>643</v>
      </c>
      <c r="D147" s="659">
        <v>246.5</v>
      </c>
      <c r="E147" s="460"/>
      <c r="F147" s="460"/>
      <c r="G147" s="460"/>
      <c r="H147" s="460"/>
      <c r="I147" s="460"/>
      <c r="J147" s="460"/>
      <c r="K147" s="460"/>
      <c r="L147" s="460"/>
    </row>
    <row r="148" spans="1:56" ht="12" customHeight="1">
      <c r="B148" s="661">
        <v>42643</v>
      </c>
      <c r="C148" s="660" t="s">
        <v>49</v>
      </c>
      <c r="D148" s="659">
        <v>2060</v>
      </c>
      <c r="E148" s="460"/>
      <c r="F148" s="460"/>
      <c r="G148" s="460"/>
      <c r="H148" s="460"/>
      <c r="I148" s="460"/>
      <c r="J148" s="460"/>
      <c r="K148" s="460"/>
      <c r="L148" s="460"/>
    </row>
    <row r="149" spans="1:56" ht="12" customHeight="1">
      <c r="B149" s="661">
        <v>42643</v>
      </c>
      <c r="C149" s="660" t="s">
        <v>543</v>
      </c>
      <c r="D149" s="659">
        <v>39</v>
      </c>
      <c r="E149" s="460"/>
      <c r="F149" s="460"/>
      <c r="G149" s="460"/>
      <c r="H149" s="460"/>
      <c r="I149" s="460"/>
      <c r="J149" s="460"/>
      <c r="K149" s="460"/>
      <c r="L149" s="460"/>
    </row>
    <row r="150" spans="1:56" ht="12" customHeight="1">
      <c r="B150" s="661">
        <v>42643</v>
      </c>
      <c r="C150" s="660" t="s">
        <v>642</v>
      </c>
      <c r="D150" s="659">
        <v>129</v>
      </c>
      <c r="E150" s="460"/>
      <c r="F150" s="460">
        <v>129</v>
      </c>
      <c r="G150" s="460"/>
      <c r="H150" s="460"/>
      <c r="I150" s="460"/>
      <c r="J150" s="460"/>
      <c r="K150" s="460"/>
      <c r="L150" s="460"/>
    </row>
    <row r="151" spans="1:56" ht="12" customHeight="1">
      <c r="B151" s="661">
        <v>42643</v>
      </c>
      <c r="C151" s="660" t="s">
        <v>641</v>
      </c>
      <c r="D151" s="659">
        <v>98</v>
      </c>
      <c r="E151" s="460"/>
      <c r="F151" s="460"/>
      <c r="G151" s="460"/>
      <c r="H151" s="460"/>
      <c r="I151" s="460"/>
      <c r="J151" s="460"/>
      <c r="K151" s="460"/>
      <c r="L151" s="460"/>
    </row>
    <row r="152" spans="1:56" ht="12" customHeight="1">
      <c r="B152" s="661">
        <v>42643</v>
      </c>
      <c r="C152" s="660" t="s">
        <v>640</v>
      </c>
      <c r="D152" s="659">
        <v>39</v>
      </c>
      <c r="E152" s="460"/>
      <c r="F152" s="460">
        <v>39</v>
      </c>
      <c r="G152" s="460"/>
      <c r="H152" s="460"/>
      <c r="I152" s="460"/>
      <c r="J152" s="460"/>
      <c r="K152" s="460"/>
      <c r="L152" s="460"/>
    </row>
    <row r="153" spans="1:56" ht="12" customHeight="1">
      <c r="B153" s="661">
        <v>42643</v>
      </c>
      <c r="C153" s="660" t="s">
        <v>397</v>
      </c>
      <c r="D153" s="659">
        <v>59.85</v>
      </c>
      <c r="E153" s="460"/>
      <c r="F153" s="460"/>
      <c r="G153" s="460"/>
      <c r="H153" s="460"/>
      <c r="I153" s="460"/>
      <c r="J153" s="460"/>
      <c r="K153" s="460"/>
      <c r="L153" s="460"/>
    </row>
    <row r="154" spans="1:56" ht="12" customHeight="1">
      <c r="B154" s="661">
        <v>42643</v>
      </c>
      <c r="C154" s="660" t="s">
        <v>639</v>
      </c>
      <c r="D154" s="659">
        <v>79.95</v>
      </c>
      <c r="E154" s="460"/>
      <c r="F154" s="460"/>
      <c r="G154" s="460"/>
      <c r="H154" s="460"/>
      <c r="I154" s="460"/>
      <c r="J154" s="460"/>
      <c r="K154" s="460"/>
      <c r="L154" s="460"/>
    </row>
    <row r="155" spans="1:56" ht="12" customHeight="1">
      <c r="B155" s="661">
        <v>42643</v>
      </c>
      <c r="C155" s="660" t="s">
        <v>638</v>
      </c>
      <c r="D155" s="659">
        <v>29</v>
      </c>
      <c r="E155" s="460"/>
      <c r="F155" s="460"/>
      <c r="G155" s="460"/>
      <c r="H155" s="460"/>
      <c r="I155" s="460"/>
      <c r="J155" s="460"/>
      <c r="K155" s="460"/>
      <c r="L155" s="460"/>
    </row>
    <row r="156" spans="1:56" ht="12" customHeight="1">
      <c r="B156" s="661">
        <v>42644</v>
      </c>
      <c r="C156" s="660" t="s">
        <v>615</v>
      </c>
      <c r="D156" s="659">
        <v>90</v>
      </c>
      <c r="E156" s="460"/>
      <c r="F156" s="460"/>
      <c r="G156" s="460"/>
      <c r="H156" s="460"/>
      <c r="I156" s="460"/>
      <c r="J156" s="460"/>
      <c r="K156" s="460"/>
      <c r="L156" s="460"/>
    </row>
    <row r="157" spans="1:56" ht="12" customHeight="1">
      <c r="B157" s="661">
        <v>42650</v>
      </c>
      <c r="C157" s="660" t="s">
        <v>354</v>
      </c>
      <c r="D157" s="659">
        <v>100</v>
      </c>
      <c r="E157" s="460"/>
      <c r="F157" s="460"/>
      <c r="G157" s="460"/>
      <c r="H157" s="460"/>
      <c r="I157" s="460"/>
      <c r="J157" s="460"/>
      <c r="K157" s="460"/>
      <c r="L157" s="460"/>
    </row>
    <row r="158" spans="1:56" ht="12" customHeight="1">
      <c r="B158" s="661">
        <v>42651</v>
      </c>
      <c r="C158" s="660" t="s">
        <v>629</v>
      </c>
      <c r="D158" s="659">
        <v>179</v>
      </c>
      <c r="E158" s="460"/>
      <c r="F158" s="460"/>
      <c r="G158" s="460"/>
      <c r="H158" s="460"/>
      <c r="I158" s="460"/>
      <c r="J158" s="460"/>
      <c r="K158" s="460"/>
      <c r="L158" s="460"/>
    </row>
    <row r="159" spans="1:56" ht="12" customHeight="1">
      <c r="B159" s="658">
        <v>42666</v>
      </c>
      <c r="C159" s="657" t="s">
        <v>430</v>
      </c>
      <c r="D159" s="656">
        <v>20</v>
      </c>
      <c r="E159" s="655"/>
      <c r="F159" s="655"/>
      <c r="G159" s="655"/>
      <c r="H159" s="655"/>
      <c r="I159" s="655"/>
      <c r="J159" s="655"/>
      <c r="K159" s="655"/>
      <c r="L159" s="655"/>
    </row>
    <row r="160" spans="1:56" s="662" customFormat="1" ht="12" customHeight="1">
      <c r="A160" s="668"/>
      <c r="B160" s="667" t="s">
        <v>113</v>
      </c>
      <c r="C160" s="666" t="s">
        <v>37</v>
      </c>
      <c r="D160" s="665"/>
      <c r="E160" s="664" t="s">
        <v>48</v>
      </c>
      <c r="F160" s="664" t="s">
        <v>282</v>
      </c>
      <c r="G160" s="664" t="s">
        <v>280</v>
      </c>
      <c r="H160" s="664"/>
      <c r="I160" s="664" t="s">
        <v>629</v>
      </c>
      <c r="J160" s="664" t="s">
        <v>58</v>
      </c>
      <c r="K160" s="3047" t="s">
        <v>561</v>
      </c>
      <c r="L160" s="3047"/>
      <c r="M160" s="663"/>
      <c r="N160" s="663"/>
      <c r="O160" s="663"/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/>
      <c r="AK160" s="663"/>
      <c r="AL160" s="663"/>
      <c r="AM160" s="663"/>
      <c r="AN160" s="663"/>
      <c r="AO160" s="663"/>
      <c r="AP160" s="663"/>
      <c r="AQ160" s="663"/>
      <c r="AR160" s="663"/>
      <c r="AS160" s="663"/>
      <c r="AT160" s="663"/>
      <c r="AU160" s="663"/>
      <c r="AV160" s="663"/>
      <c r="AW160" s="663"/>
      <c r="AX160" s="663"/>
      <c r="AY160" s="663"/>
      <c r="AZ160" s="663"/>
      <c r="BA160" s="663"/>
      <c r="BB160" s="663"/>
      <c r="BC160" s="663"/>
      <c r="BD160" s="663"/>
    </row>
    <row r="161" spans="1:12" s="648" customFormat="1" ht="12" customHeight="1">
      <c r="A161" s="654"/>
      <c r="B161" s="661">
        <v>42674</v>
      </c>
      <c r="C161" s="660" t="s">
        <v>186</v>
      </c>
      <c r="D161" s="659">
        <v>202.53</v>
      </c>
      <c r="E161" s="460"/>
      <c r="F161" s="460"/>
      <c r="G161" s="460"/>
      <c r="H161" s="460"/>
      <c r="I161" s="460"/>
      <c r="J161" s="460"/>
      <c r="K161" s="460"/>
      <c r="L161" s="460"/>
    </row>
    <row r="162" spans="1:12" s="648" customFormat="1" ht="12" customHeight="1">
      <c r="A162" s="654"/>
      <c r="B162" s="661">
        <v>42674</v>
      </c>
      <c r="C162" s="660" t="s">
        <v>447</v>
      </c>
      <c r="D162" s="659">
        <v>400</v>
      </c>
      <c r="E162" s="460"/>
      <c r="F162" s="460"/>
      <c r="G162" s="460"/>
      <c r="H162" s="460"/>
      <c r="I162" s="460"/>
      <c r="J162" s="460"/>
      <c r="K162" s="460"/>
      <c r="L162" s="460"/>
    </row>
    <row r="163" spans="1:12" s="648" customFormat="1" ht="12" customHeight="1">
      <c r="A163" s="654"/>
      <c r="B163" s="661">
        <v>42674</v>
      </c>
      <c r="C163" s="660" t="s">
        <v>48</v>
      </c>
      <c r="D163" s="659">
        <v>300</v>
      </c>
      <c r="E163" s="460">
        <v>300</v>
      </c>
      <c r="F163" s="460"/>
      <c r="G163" s="460"/>
      <c r="H163" s="460"/>
      <c r="I163" s="460"/>
      <c r="J163" s="460"/>
      <c r="K163" s="460"/>
      <c r="L163" s="460"/>
    </row>
    <row r="164" spans="1:12" s="649" customFormat="1" ht="12" customHeight="1">
      <c r="A164" s="654"/>
      <c r="B164" s="661">
        <v>43040</v>
      </c>
      <c r="C164" s="669" t="s">
        <v>637</v>
      </c>
      <c r="D164" s="659">
        <v>60</v>
      </c>
      <c r="E164" s="460"/>
      <c r="F164" s="460"/>
      <c r="G164" s="460">
        <v>60</v>
      </c>
      <c r="H164" s="460"/>
      <c r="I164" s="460"/>
      <c r="J164" s="460"/>
      <c r="K164" s="460"/>
      <c r="L164" s="460"/>
    </row>
    <row r="165" spans="1:12" s="649" customFormat="1" ht="12" customHeight="1">
      <c r="A165" s="654"/>
      <c r="B165" s="661">
        <v>43040</v>
      </c>
      <c r="C165" s="660" t="s">
        <v>617</v>
      </c>
      <c r="D165" s="659">
        <v>926.01</v>
      </c>
      <c r="E165" s="460"/>
      <c r="F165" s="460">
        <v>369.54</v>
      </c>
      <c r="G165" s="460"/>
      <c r="H165" s="460"/>
      <c r="I165" s="460"/>
      <c r="J165" s="460">
        <v>550.97</v>
      </c>
      <c r="K165" s="460"/>
      <c r="L165" s="460"/>
    </row>
    <row r="166" spans="1:12" s="649" customFormat="1" ht="12" customHeight="1">
      <c r="A166" s="654"/>
      <c r="B166" s="661">
        <v>42675</v>
      </c>
      <c r="C166" s="660" t="s">
        <v>22</v>
      </c>
      <c r="D166" s="659">
        <f>347+25</f>
        <v>372</v>
      </c>
      <c r="E166" s="460"/>
      <c r="F166" s="460"/>
      <c r="G166" s="460">
        <v>372</v>
      </c>
      <c r="H166" s="460"/>
      <c r="I166" s="460"/>
      <c r="J166" s="460"/>
      <c r="K166" s="460"/>
      <c r="L166" s="460"/>
    </row>
    <row r="167" spans="1:12" s="649" customFormat="1" ht="12" customHeight="1">
      <c r="A167" s="654"/>
      <c r="B167" s="661">
        <v>42675</v>
      </c>
      <c r="C167" s="660" t="s">
        <v>21</v>
      </c>
      <c r="D167" s="659">
        <f>245+25</f>
        <v>270</v>
      </c>
      <c r="E167" s="460"/>
      <c r="F167" s="460"/>
      <c r="G167" s="460">
        <v>270</v>
      </c>
      <c r="H167" s="460"/>
      <c r="I167" s="460"/>
      <c r="J167" s="460"/>
      <c r="K167" s="460"/>
      <c r="L167" s="460"/>
    </row>
    <row r="168" spans="1:12" s="649" customFormat="1" ht="12" customHeight="1">
      <c r="A168" s="654"/>
      <c r="B168" s="661">
        <v>42675</v>
      </c>
      <c r="C168" s="660" t="s">
        <v>636</v>
      </c>
      <c r="D168" s="659">
        <v>480.35</v>
      </c>
      <c r="E168" s="460"/>
      <c r="F168" s="460"/>
      <c r="G168" s="460"/>
      <c r="H168" s="460"/>
      <c r="I168" s="460"/>
      <c r="J168" s="460"/>
      <c r="K168" s="460"/>
      <c r="L168" s="460"/>
    </row>
    <row r="169" spans="1:12" s="649" customFormat="1" ht="12" customHeight="1">
      <c r="A169" s="654"/>
      <c r="B169" s="661">
        <v>42675</v>
      </c>
      <c r="C169" s="660" t="s">
        <v>635</v>
      </c>
      <c r="D169" s="659">
        <v>875.2</v>
      </c>
      <c r="E169" s="460"/>
      <c r="F169" s="460">
        <v>875.2</v>
      </c>
      <c r="G169" s="460"/>
      <c r="H169" s="460"/>
      <c r="I169" s="460"/>
      <c r="J169" s="460"/>
      <c r="K169" s="460"/>
      <c r="L169" s="460"/>
    </row>
    <row r="170" spans="1:12" s="649" customFormat="1" ht="12" customHeight="1">
      <c r="A170" s="654"/>
      <c r="B170" s="661">
        <v>42675</v>
      </c>
      <c r="C170" s="660" t="s">
        <v>229</v>
      </c>
      <c r="D170" s="659">
        <v>44.8</v>
      </c>
      <c r="E170" s="460"/>
      <c r="F170" s="460"/>
      <c r="G170" s="460"/>
      <c r="H170" s="460"/>
      <c r="I170" s="460"/>
      <c r="J170" s="460"/>
      <c r="K170" s="460"/>
      <c r="L170" s="460"/>
    </row>
    <row r="171" spans="1:12" s="649" customFormat="1" ht="12" customHeight="1">
      <c r="A171" s="654"/>
      <c r="B171" s="661">
        <v>42675</v>
      </c>
      <c r="C171" s="660" t="s">
        <v>634</v>
      </c>
      <c r="D171" s="659">
        <v>69.95</v>
      </c>
      <c r="E171" s="460"/>
      <c r="F171" s="460"/>
      <c r="G171" s="460"/>
      <c r="H171" s="460"/>
      <c r="I171" s="460"/>
      <c r="J171" s="460"/>
      <c r="K171" s="460"/>
      <c r="L171" s="460"/>
    </row>
    <row r="172" spans="1:12" s="649" customFormat="1" ht="12" customHeight="1">
      <c r="A172" s="654"/>
      <c r="B172" s="661">
        <v>42676</v>
      </c>
      <c r="C172" s="660" t="s">
        <v>167</v>
      </c>
      <c r="D172" s="659">
        <v>230</v>
      </c>
      <c r="E172" s="460"/>
      <c r="F172" s="460"/>
      <c r="G172" s="460"/>
      <c r="H172" s="460"/>
      <c r="I172" s="460"/>
      <c r="J172" s="460"/>
      <c r="K172" s="460"/>
      <c r="L172" s="460"/>
    </row>
    <row r="173" spans="1:12" s="649" customFormat="1" ht="12" customHeight="1">
      <c r="A173" s="654"/>
      <c r="B173" s="661">
        <v>42677</v>
      </c>
      <c r="C173" s="660" t="s">
        <v>48</v>
      </c>
      <c r="D173" s="659">
        <v>120</v>
      </c>
      <c r="E173" s="460">
        <v>120</v>
      </c>
      <c r="F173" s="460"/>
      <c r="G173" s="460"/>
      <c r="H173" s="460"/>
      <c r="I173" s="460"/>
      <c r="J173" s="460"/>
      <c r="K173" s="460"/>
      <c r="L173" s="460"/>
    </row>
    <row r="174" spans="1:12" s="649" customFormat="1" ht="12" customHeight="1">
      <c r="A174" s="654"/>
      <c r="B174" s="661">
        <v>42677</v>
      </c>
      <c r="C174" s="660" t="s">
        <v>216</v>
      </c>
      <c r="D174" s="659">
        <v>114.9</v>
      </c>
      <c r="E174" s="460"/>
      <c r="F174" s="460"/>
      <c r="G174" s="460"/>
      <c r="H174" s="460"/>
      <c r="I174" s="460"/>
      <c r="J174" s="460"/>
      <c r="K174" s="460"/>
      <c r="L174" s="460"/>
    </row>
    <row r="175" spans="1:12" s="649" customFormat="1" ht="12" customHeight="1">
      <c r="A175" s="654"/>
      <c r="B175" s="661">
        <v>42677</v>
      </c>
      <c r="C175" s="660" t="s">
        <v>633</v>
      </c>
      <c r="D175" s="659">
        <v>170</v>
      </c>
      <c r="E175" s="460"/>
      <c r="F175" s="460"/>
      <c r="G175" s="460"/>
      <c r="H175" s="460"/>
      <c r="I175" s="460"/>
      <c r="J175" s="460"/>
      <c r="K175" s="460"/>
      <c r="L175" s="460"/>
    </row>
    <row r="176" spans="1:12" s="649" customFormat="1" ht="12" customHeight="1">
      <c r="A176" s="654"/>
      <c r="B176" s="661">
        <v>42678</v>
      </c>
      <c r="C176" s="660" t="s">
        <v>632</v>
      </c>
      <c r="D176" s="659">
        <v>97.54</v>
      </c>
      <c r="E176" s="460"/>
      <c r="F176" s="460"/>
      <c r="G176" s="460"/>
      <c r="H176" s="460"/>
      <c r="I176" s="460"/>
      <c r="J176" s="460"/>
      <c r="K176" s="460" t="s">
        <v>461</v>
      </c>
      <c r="L176" s="460">
        <v>100</v>
      </c>
    </row>
    <row r="177" spans="1:56" s="649" customFormat="1" ht="12" customHeight="1">
      <c r="A177" s="654"/>
      <c r="B177" s="661">
        <v>42679</v>
      </c>
      <c r="C177" s="660" t="s">
        <v>631</v>
      </c>
      <c r="D177" s="659">
        <v>168</v>
      </c>
      <c r="E177" s="460"/>
      <c r="F177" s="460"/>
      <c r="G177" s="460"/>
      <c r="H177" s="460"/>
      <c r="I177" s="460"/>
      <c r="J177" s="460"/>
      <c r="K177" s="460"/>
      <c r="L177" s="460"/>
    </row>
    <row r="178" spans="1:56" s="649" customFormat="1" ht="12" customHeight="1">
      <c r="A178" s="654"/>
      <c r="B178" s="661">
        <v>42679</v>
      </c>
      <c r="C178" s="660" t="s">
        <v>615</v>
      </c>
      <c r="D178" s="659">
        <v>90</v>
      </c>
      <c r="E178" s="460"/>
      <c r="F178" s="460"/>
      <c r="G178" s="460"/>
      <c r="H178" s="460"/>
      <c r="I178" s="460"/>
      <c r="J178" s="460"/>
      <c r="K178" s="460"/>
      <c r="L178" s="460"/>
    </row>
    <row r="179" spans="1:56" s="649" customFormat="1" ht="12" customHeight="1">
      <c r="A179" s="654"/>
      <c r="B179" s="661">
        <v>42682</v>
      </c>
      <c r="C179" s="660" t="s">
        <v>630</v>
      </c>
      <c r="D179" s="659">
        <v>79</v>
      </c>
      <c r="E179" s="460"/>
      <c r="F179" s="460"/>
      <c r="G179" s="460"/>
      <c r="H179" s="460"/>
      <c r="I179" s="460"/>
      <c r="J179" s="460"/>
      <c r="K179" s="460"/>
      <c r="L179" s="460"/>
    </row>
    <row r="180" spans="1:56" ht="12" customHeight="1">
      <c r="B180" s="661">
        <v>42683</v>
      </c>
      <c r="C180" s="660" t="s">
        <v>463</v>
      </c>
      <c r="D180" s="659">
        <v>50</v>
      </c>
      <c r="E180" s="460"/>
      <c r="F180" s="460"/>
      <c r="G180" s="460"/>
      <c r="H180" s="460"/>
      <c r="I180" s="460"/>
      <c r="J180" s="460"/>
      <c r="K180" s="460"/>
      <c r="L180" s="460"/>
    </row>
    <row r="181" spans="1:56" ht="12" customHeight="1">
      <c r="B181" s="661">
        <v>42684</v>
      </c>
      <c r="C181" s="660" t="s">
        <v>463</v>
      </c>
      <c r="D181" s="659">
        <v>29.95</v>
      </c>
      <c r="E181" s="460"/>
      <c r="F181" s="460"/>
      <c r="G181" s="460"/>
      <c r="H181" s="460"/>
      <c r="I181" s="460"/>
      <c r="J181" s="460"/>
      <c r="K181" s="460"/>
      <c r="L181" s="460"/>
    </row>
    <row r="182" spans="1:56" ht="12" customHeight="1">
      <c r="B182" s="661">
        <v>43052</v>
      </c>
      <c r="C182" s="660" t="s">
        <v>58</v>
      </c>
      <c r="D182" s="659">
        <v>100</v>
      </c>
      <c r="E182" s="460"/>
      <c r="F182" s="460"/>
      <c r="G182" s="460"/>
      <c r="H182" s="460"/>
      <c r="I182" s="460"/>
      <c r="J182" s="460">
        <v>100</v>
      </c>
      <c r="K182" s="460"/>
      <c r="L182" s="460"/>
    </row>
    <row r="183" spans="1:56" ht="12" customHeight="1">
      <c r="B183" s="661">
        <v>42690</v>
      </c>
      <c r="C183" s="660" t="s">
        <v>162</v>
      </c>
      <c r="D183" s="659">
        <v>180</v>
      </c>
      <c r="E183" s="460">
        <v>180</v>
      </c>
      <c r="F183" s="460"/>
      <c r="G183" s="460"/>
      <c r="H183" s="460"/>
      <c r="I183" s="460"/>
      <c r="J183" s="460"/>
      <c r="K183" s="460"/>
      <c r="L183" s="460"/>
    </row>
    <row r="184" spans="1:56" ht="12" customHeight="1">
      <c r="B184" s="661">
        <v>42692</v>
      </c>
      <c r="C184" s="660" t="s">
        <v>21</v>
      </c>
      <c r="D184" s="659">
        <v>79</v>
      </c>
      <c r="E184" s="460"/>
      <c r="F184" s="460"/>
      <c r="G184" s="460"/>
      <c r="H184" s="460"/>
      <c r="I184" s="460"/>
      <c r="J184" s="460"/>
      <c r="K184" s="460"/>
      <c r="L184" s="460"/>
    </row>
    <row r="185" spans="1:56" ht="12" customHeight="1">
      <c r="B185" s="661">
        <v>42692</v>
      </c>
      <c r="C185" s="660" t="s">
        <v>230</v>
      </c>
      <c r="D185" s="659">
        <v>89.23</v>
      </c>
      <c r="E185" s="460"/>
      <c r="F185" s="460"/>
      <c r="G185" s="460"/>
      <c r="H185" s="460"/>
      <c r="I185" s="460"/>
      <c r="J185" s="460"/>
      <c r="K185" s="460"/>
      <c r="L185" s="460"/>
    </row>
    <row r="186" spans="1:56" ht="12" customHeight="1">
      <c r="B186" s="661">
        <v>43063</v>
      </c>
      <c r="C186" s="660" t="s">
        <v>58</v>
      </c>
      <c r="D186" s="659">
        <v>200</v>
      </c>
      <c r="E186" s="460"/>
      <c r="F186" s="460"/>
      <c r="G186" s="460"/>
      <c r="H186" s="460"/>
      <c r="I186" s="460"/>
      <c r="J186" s="460">
        <v>200</v>
      </c>
      <c r="K186" s="460"/>
      <c r="L186" s="460"/>
    </row>
    <row r="187" spans="1:56" ht="12" customHeight="1">
      <c r="B187" s="658">
        <v>42701</v>
      </c>
      <c r="C187" s="657" t="s">
        <v>162</v>
      </c>
      <c r="D187" s="656">
        <v>180</v>
      </c>
      <c r="E187" s="655">
        <v>180</v>
      </c>
      <c r="F187" s="655"/>
      <c r="G187" s="655"/>
      <c r="H187" s="655"/>
      <c r="I187" s="655"/>
      <c r="J187" s="655"/>
      <c r="K187" s="655"/>
      <c r="L187" s="655"/>
    </row>
    <row r="188" spans="1:56" s="662" customFormat="1" ht="12" customHeight="1">
      <c r="A188" s="668"/>
      <c r="B188" s="667" t="s">
        <v>112</v>
      </c>
      <c r="C188" s="666" t="s">
        <v>37</v>
      </c>
      <c r="D188" s="665"/>
      <c r="E188" s="664" t="s">
        <v>48</v>
      </c>
      <c r="F188" s="664" t="s">
        <v>282</v>
      </c>
      <c r="G188" s="664" t="s">
        <v>280</v>
      </c>
      <c r="H188" s="664"/>
      <c r="I188" s="664" t="s">
        <v>629</v>
      </c>
      <c r="J188" s="664" t="s">
        <v>58</v>
      </c>
      <c r="K188" s="3047" t="s">
        <v>561</v>
      </c>
      <c r="L188" s="3047"/>
      <c r="M188" s="663"/>
      <c r="N188" s="663"/>
      <c r="O188" s="663"/>
      <c r="P188" s="663"/>
      <c r="Q188" s="663"/>
      <c r="R188" s="663"/>
      <c r="S188" s="663"/>
      <c r="T188" s="663"/>
      <c r="U188" s="663"/>
      <c r="V188" s="663"/>
      <c r="W188" s="663"/>
      <c r="X188" s="663"/>
      <c r="Y188" s="663"/>
      <c r="Z188" s="663"/>
      <c r="AA188" s="663"/>
      <c r="AB188" s="663"/>
      <c r="AC188" s="663"/>
      <c r="AD188" s="663"/>
      <c r="AE188" s="663"/>
      <c r="AF188" s="663"/>
      <c r="AG188" s="663"/>
      <c r="AH188" s="663"/>
      <c r="AI188" s="663"/>
      <c r="AJ188" s="663"/>
      <c r="AK188" s="663"/>
      <c r="AL188" s="663"/>
      <c r="AM188" s="663"/>
      <c r="AN188" s="663"/>
      <c r="AO188" s="663"/>
      <c r="AP188" s="663"/>
      <c r="AQ188" s="663"/>
      <c r="AR188" s="663"/>
      <c r="AS188" s="663"/>
      <c r="AT188" s="663"/>
      <c r="AU188" s="663"/>
      <c r="AV188" s="663"/>
      <c r="AW188" s="663"/>
      <c r="AX188" s="663"/>
      <c r="AY188" s="663"/>
      <c r="AZ188" s="663"/>
      <c r="BA188" s="663"/>
      <c r="BB188" s="663"/>
      <c r="BC188" s="663"/>
      <c r="BD188" s="663"/>
    </row>
    <row r="189" spans="1:56" ht="12" customHeight="1">
      <c r="B189" s="661">
        <v>42704</v>
      </c>
      <c r="C189" s="660" t="s">
        <v>162</v>
      </c>
      <c r="D189" s="659">
        <v>240</v>
      </c>
      <c r="E189" s="460">
        <v>240</v>
      </c>
      <c r="F189" s="460"/>
      <c r="G189" s="460"/>
      <c r="H189" s="460"/>
      <c r="I189" s="460"/>
      <c r="J189" s="460"/>
      <c r="K189" s="460"/>
      <c r="L189" s="460"/>
    </row>
    <row r="190" spans="1:56" ht="12" customHeight="1">
      <c r="B190" s="661">
        <v>42704</v>
      </c>
      <c r="C190" s="660" t="s">
        <v>629</v>
      </c>
      <c r="D190" s="659">
        <v>179</v>
      </c>
      <c r="E190" s="460"/>
      <c r="F190" s="460"/>
      <c r="G190" s="460"/>
      <c r="H190" s="460"/>
      <c r="I190" s="460">
        <v>179</v>
      </c>
      <c r="J190" s="460"/>
      <c r="K190" s="460"/>
      <c r="L190" s="460"/>
    </row>
    <row r="191" spans="1:56" ht="12" customHeight="1">
      <c r="B191" s="661">
        <v>43070</v>
      </c>
      <c r="C191" s="660" t="s">
        <v>58</v>
      </c>
      <c r="D191" s="659">
        <v>400</v>
      </c>
      <c r="E191" s="460"/>
      <c r="F191" s="460"/>
      <c r="G191" s="460"/>
      <c r="H191" s="460"/>
      <c r="I191" s="460"/>
      <c r="J191" s="460">
        <v>400</v>
      </c>
      <c r="K191" s="460"/>
      <c r="L191" s="460"/>
    </row>
    <row r="192" spans="1:56" ht="12" customHeight="1">
      <c r="B192" s="661">
        <v>43070</v>
      </c>
      <c r="C192" s="660" t="s">
        <v>617</v>
      </c>
      <c r="D192" s="659">
        <v>1305.3800000000001</v>
      </c>
      <c r="E192" s="460"/>
      <c r="F192" s="460">
        <v>288.8</v>
      </c>
      <c r="G192" s="460"/>
      <c r="H192" s="460"/>
      <c r="I192" s="460"/>
      <c r="J192" s="460">
        <v>1011.08</v>
      </c>
      <c r="K192" s="460"/>
      <c r="L192" s="460"/>
    </row>
    <row r="193" spans="2:12" s="648" customFormat="1" ht="12" customHeight="1">
      <c r="B193" s="661">
        <v>43070</v>
      </c>
      <c r="C193" s="660" t="s">
        <v>620</v>
      </c>
      <c r="D193" s="659">
        <v>694.66</v>
      </c>
      <c r="E193" s="460"/>
      <c r="F193" s="460">
        <v>694.66</v>
      </c>
      <c r="G193" s="460"/>
      <c r="H193" s="460"/>
      <c r="I193" s="460"/>
      <c r="J193" s="460"/>
      <c r="K193" s="460"/>
      <c r="L193" s="460"/>
    </row>
    <row r="194" spans="2:12" s="648" customFormat="1" ht="12" customHeight="1">
      <c r="B194" s="661">
        <v>42705</v>
      </c>
      <c r="C194" s="660" t="s">
        <v>22</v>
      </c>
      <c r="D194" s="659">
        <v>108</v>
      </c>
      <c r="E194" s="460"/>
      <c r="F194" s="460"/>
      <c r="G194" s="460">
        <v>108</v>
      </c>
      <c r="H194" s="460"/>
      <c r="I194" s="460"/>
      <c r="J194" s="460"/>
      <c r="K194" s="460"/>
      <c r="L194" s="460"/>
    </row>
    <row r="195" spans="2:12" s="648" customFormat="1" ht="12" customHeight="1">
      <c r="B195" s="661">
        <v>42705</v>
      </c>
      <c r="C195" s="660" t="s">
        <v>21</v>
      </c>
      <c r="D195" s="659">
        <v>150</v>
      </c>
      <c r="E195" s="460"/>
      <c r="F195" s="460"/>
      <c r="G195" s="460">
        <v>150</v>
      </c>
      <c r="H195" s="460"/>
      <c r="I195" s="460"/>
      <c r="J195" s="460"/>
      <c r="K195" s="460"/>
      <c r="L195" s="460"/>
    </row>
    <row r="196" spans="2:12" s="648" customFormat="1" ht="12" customHeight="1">
      <c r="B196" s="661">
        <v>42705</v>
      </c>
      <c r="C196" s="660" t="s">
        <v>230</v>
      </c>
      <c r="D196" s="659">
        <v>199</v>
      </c>
      <c r="E196" s="460"/>
      <c r="F196" s="460"/>
      <c r="G196" s="460">
        <v>199</v>
      </c>
      <c r="H196" s="460"/>
      <c r="I196" s="460"/>
      <c r="J196" s="460"/>
      <c r="K196" s="460"/>
      <c r="L196" s="460"/>
    </row>
    <row r="197" spans="2:12" s="648" customFormat="1" ht="12" customHeight="1">
      <c r="B197" s="661">
        <v>42705</v>
      </c>
      <c r="C197" s="660" t="s">
        <v>628</v>
      </c>
      <c r="D197" s="659">
        <v>700</v>
      </c>
      <c r="E197" s="460"/>
      <c r="F197" s="460"/>
      <c r="G197" s="460"/>
      <c r="H197" s="460"/>
      <c r="I197" s="460"/>
      <c r="J197" s="460"/>
      <c r="K197" s="460"/>
      <c r="L197" s="460"/>
    </row>
    <row r="198" spans="2:12" s="648" customFormat="1" ht="12" customHeight="1">
      <c r="B198" s="661">
        <v>42705</v>
      </c>
      <c r="C198" s="660" t="s">
        <v>58</v>
      </c>
      <c r="D198" s="659">
        <v>400</v>
      </c>
      <c r="E198" s="460"/>
      <c r="F198" s="460"/>
      <c r="G198" s="460"/>
      <c r="H198" s="460"/>
      <c r="I198" s="460"/>
      <c r="J198" s="460"/>
      <c r="K198" s="460"/>
      <c r="L198" s="460"/>
    </row>
    <row r="199" spans="2:12" s="648" customFormat="1" ht="12" customHeight="1">
      <c r="B199" s="661">
        <v>42706</v>
      </c>
      <c r="C199" s="660" t="s">
        <v>21</v>
      </c>
      <c r="D199" s="659">
        <v>181.96</v>
      </c>
      <c r="E199" s="460"/>
      <c r="F199" s="460"/>
      <c r="G199" s="460"/>
      <c r="H199" s="460"/>
      <c r="I199" s="460"/>
      <c r="J199" s="460"/>
      <c r="K199" s="460"/>
      <c r="L199" s="460"/>
    </row>
    <row r="200" spans="2:12" s="648" customFormat="1" ht="12" customHeight="1">
      <c r="B200" s="661">
        <v>43073</v>
      </c>
      <c r="C200" s="660" t="s">
        <v>58</v>
      </c>
      <c r="D200" s="659">
        <v>300</v>
      </c>
      <c r="E200" s="460"/>
      <c r="F200" s="460"/>
      <c r="G200" s="460"/>
      <c r="H200" s="460"/>
      <c r="I200" s="460"/>
      <c r="J200" s="460">
        <v>300</v>
      </c>
      <c r="K200" s="460"/>
      <c r="L200" s="460"/>
    </row>
    <row r="201" spans="2:12" s="648" customFormat="1" ht="12" customHeight="1">
      <c r="B201" s="661">
        <v>43075</v>
      </c>
      <c r="C201" s="660" t="s">
        <v>58</v>
      </c>
      <c r="D201" s="659">
        <v>-300</v>
      </c>
      <c r="E201" s="460"/>
      <c r="F201" s="460"/>
      <c r="G201" s="460"/>
      <c r="H201" s="460"/>
      <c r="I201" s="460"/>
      <c r="J201" s="460">
        <v>-300</v>
      </c>
      <c r="K201" s="460"/>
      <c r="L201" s="460"/>
    </row>
    <row r="202" spans="2:12" s="648" customFormat="1" ht="12" customHeight="1">
      <c r="B202" s="661">
        <v>42710</v>
      </c>
      <c r="C202" s="660" t="s">
        <v>216</v>
      </c>
      <c r="D202" s="659">
        <v>100</v>
      </c>
      <c r="E202" s="460">
        <v>100</v>
      </c>
      <c r="F202" s="460"/>
      <c r="G202" s="460"/>
      <c r="H202" s="460"/>
      <c r="I202" s="460"/>
      <c r="J202" s="460"/>
      <c r="K202" s="460"/>
      <c r="L202" s="460"/>
    </row>
    <row r="203" spans="2:12" s="648" customFormat="1" ht="12" customHeight="1">
      <c r="B203" s="661">
        <v>42711</v>
      </c>
      <c r="C203" s="660" t="s">
        <v>627</v>
      </c>
      <c r="D203" s="659">
        <v>2100</v>
      </c>
      <c r="E203" s="460"/>
      <c r="F203" s="460"/>
      <c r="G203" s="460"/>
      <c r="H203" s="460"/>
      <c r="I203" s="460"/>
      <c r="J203" s="460"/>
      <c r="K203" s="460"/>
      <c r="L203" s="460"/>
    </row>
    <row r="204" spans="2:12" s="648" customFormat="1" ht="12" customHeight="1">
      <c r="B204" s="661">
        <v>42713</v>
      </c>
      <c r="C204" s="660" t="s">
        <v>626</v>
      </c>
      <c r="D204" s="659">
        <v>124</v>
      </c>
      <c r="E204" s="460"/>
      <c r="F204" s="460"/>
      <c r="G204" s="460"/>
      <c r="H204" s="460"/>
      <c r="I204" s="460"/>
      <c r="J204" s="460"/>
      <c r="K204" s="460"/>
      <c r="L204" s="460"/>
    </row>
    <row r="205" spans="2:12" s="648" customFormat="1" ht="12" customHeight="1">
      <c r="B205" s="661">
        <v>42714</v>
      </c>
      <c r="C205" s="660" t="s">
        <v>625</v>
      </c>
      <c r="D205" s="659">
        <v>700</v>
      </c>
      <c r="E205" s="460"/>
      <c r="F205" s="460"/>
      <c r="G205" s="460"/>
      <c r="H205" s="460"/>
      <c r="I205" s="460"/>
      <c r="J205" s="460"/>
      <c r="K205" s="460"/>
      <c r="L205" s="460"/>
    </row>
    <row r="206" spans="2:12" s="648" customFormat="1" ht="12" customHeight="1">
      <c r="B206" s="658">
        <v>42719</v>
      </c>
      <c r="C206" s="657" t="s">
        <v>624</v>
      </c>
      <c r="D206" s="656">
        <v>46</v>
      </c>
      <c r="E206" s="655"/>
      <c r="F206" s="655"/>
      <c r="G206" s="655"/>
      <c r="H206" s="655"/>
      <c r="I206" s="655"/>
      <c r="J206" s="655"/>
      <c r="K206" s="655"/>
      <c r="L206" s="655"/>
    </row>
  </sheetData>
  <mergeCells count="14">
    <mergeCell ref="K1:L1"/>
    <mergeCell ref="K14:L14"/>
    <mergeCell ref="K15:L15"/>
    <mergeCell ref="K31:L31"/>
    <mergeCell ref="K53:L53"/>
    <mergeCell ref="K144:L144"/>
    <mergeCell ref="K160:L160"/>
    <mergeCell ref="K188:L188"/>
    <mergeCell ref="K69:L69"/>
    <mergeCell ref="K78:L78"/>
    <mergeCell ref="K86:L86"/>
    <mergeCell ref="K103:L103"/>
    <mergeCell ref="K121:L121"/>
    <mergeCell ref="K141:L14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D1038"/>
  <sheetViews>
    <sheetView workbookViewId="0">
      <pane ySplit="21" topLeftCell="A22" activePane="bottomLeft" state="frozen"/>
      <selection activeCell="EZ40" sqref="EZ40"/>
      <selection pane="bottomLeft" activeCell="EZ40" sqref="EZ40"/>
    </sheetView>
  </sheetViews>
  <sheetFormatPr defaultColWidth="9.109375" defaultRowHeight="13.8"/>
  <cols>
    <col min="1" max="1" width="0.88671875" style="722" customWidth="1"/>
    <col min="2" max="2" width="12.88671875" style="721" customWidth="1"/>
    <col min="3" max="3" width="11.6640625" style="720" customWidth="1"/>
    <col min="4" max="14" width="11.6640625" style="719" customWidth="1"/>
    <col min="15" max="19" width="12.6640625" style="99" customWidth="1"/>
    <col min="20" max="20" width="8.88671875" customWidth="1"/>
    <col min="21" max="16384" width="9.109375" style="718"/>
  </cols>
  <sheetData>
    <row r="1" spans="1:56" s="648" customFormat="1" ht="12" customHeight="1" thickBot="1">
      <c r="A1" s="726"/>
      <c r="B1" s="742"/>
      <c r="C1" s="741" t="s">
        <v>122</v>
      </c>
      <c r="D1" s="741" t="s">
        <v>121</v>
      </c>
      <c r="E1" s="741" t="s">
        <v>120</v>
      </c>
      <c r="F1" s="741" t="s">
        <v>119</v>
      </c>
      <c r="G1" s="741" t="s">
        <v>118</v>
      </c>
      <c r="H1" s="741" t="s">
        <v>44</v>
      </c>
      <c r="I1" s="741" t="s">
        <v>117</v>
      </c>
      <c r="J1" s="741" t="s">
        <v>116</v>
      </c>
      <c r="K1" s="741" t="s">
        <v>115</v>
      </c>
      <c r="L1" s="741" t="s">
        <v>114</v>
      </c>
      <c r="M1" s="741" t="s">
        <v>113</v>
      </c>
      <c r="N1" s="741" t="s">
        <v>112</v>
      </c>
      <c r="O1" s="763" t="s">
        <v>550</v>
      </c>
      <c r="P1" s="763" t="s">
        <v>418</v>
      </c>
      <c r="Q1" s="763"/>
      <c r="R1" s="763"/>
      <c r="S1" s="763"/>
      <c r="U1" s="649"/>
      <c r="V1" s="649"/>
      <c r="W1" s="649"/>
      <c r="X1" s="649"/>
      <c r="Y1" s="649"/>
      <c r="Z1" s="649"/>
      <c r="AA1" s="649"/>
      <c r="AB1" s="649"/>
      <c r="AC1" s="649"/>
      <c r="AD1" s="649"/>
      <c r="AE1" s="649"/>
      <c r="AF1" s="649"/>
      <c r="AG1" s="649"/>
      <c r="AH1" s="649"/>
      <c r="AI1" s="649"/>
      <c r="AJ1" s="649"/>
      <c r="AK1" s="649"/>
      <c r="AL1" s="649"/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49"/>
      <c r="BA1" s="649"/>
      <c r="BB1" s="649"/>
      <c r="BC1" s="649"/>
      <c r="BD1" s="649"/>
    </row>
    <row r="2" spans="1:56" s="753" customFormat="1">
      <c r="A2" s="758"/>
      <c r="B2" s="757" t="s">
        <v>709</v>
      </c>
      <c r="C2" s="756">
        <f t="shared" ref="C2:N2" si="0">SUM(C3:C8)</f>
        <v>3445.1499999999992</v>
      </c>
      <c r="D2" s="755">
        <f t="shared" si="0"/>
        <v>3267.9600000000005</v>
      </c>
      <c r="E2" s="755">
        <f t="shared" si="0"/>
        <v>2158.69</v>
      </c>
      <c r="F2" s="755">
        <f t="shared" si="0"/>
        <v>5295.0499999999984</v>
      </c>
      <c r="G2" s="755">
        <f t="shared" si="0"/>
        <v>3390.03</v>
      </c>
      <c r="H2" s="755">
        <f t="shared" si="0"/>
        <v>4768.2299999999996</v>
      </c>
      <c r="I2" s="755">
        <f t="shared" si="0"/>
        <v>3634.38</v>
      </c>
      <c r="J2" s="755">
        <f t="shared" si="0"/>
        <v>3731.41</v>
      </c>
      <c r="K2" s="755">
        <f t="shared" si="0"/>
        <v>3787.7400000000002</v>
      </c>
      <c r="L2" s="755">
        <f t="shared" si="0"/>
        <v>1551.4399999999998</v>
      </c>
      <c r="M2" s="755">
        <f t="shared" si="0"/>
        <v>4853.1899999999996</v>
      </c>
      <c r="N2" s="755">
        <f t="shared" si="0"/>
        <v>2422.73</v>
      </c>
      <c r="O2" s="762">
        <f t="shared" ref="O2:O8" si="1">SUM(C2:N2)</f>
        <v>42306.000000000007</v>
      </c>
      <c r="P2" s="762">
        <f t="shared" ref="P2:P8" si="2">AVERAGE(C2:N2)</f>
        <v>3525.5000000000005</v>
      </c>
      <c r="Q2" s="762"/>
      <c r="R2" s="762"/>
      <c r="S2" s="762"/>
    </row>
    <row r="3" spans="1:56" s="648" customFormat="1" ht="12" customHeight="1">
      <c r="A3" s="726"/>
      <c r="B3" s="736" t="s">
        <v>15</v>
      </c>
      <c r="C3" s="761">
        <f>$E22</f>
        <v>2214.3999999999996</v>
      </c>
      <c r="D3" s="761">
        <f>$E66</f>
        <v>1736.0600000000002</v>
      </c>
      <c r="E3" s="761">
        <f>$E102</f>
        <v>1762.59</v>
      </c>
      <c r="F3" s="761">
        <f>$E135</f>
        <v>3547.349999999999</v>
      </c>
      <c r="G3" s="761">
        <f>$E192</f>
        <v>2408.13</v>
      </c>
      <c r="H3" s="761">
        <f>$E234</f>
        <v>3155.3800000000006</v>
      </c>
      <c r="I3" s="761">
        <f>$E284</f>
        <v>2580.59</v>
      </c>
      <c r="J3" s="761">
        <f>$E334</f>
        <v>2385.96</v>
      </c>
      <c r="K3" s="761">
        <f>$E385</f>
        <v>1822.6399999999999</v>
      </c>
      <c r="L3" s="761">
        <f>$E424</f>
        <v>1141.4399999999998</v>
      </c>
      <c r="M3" s="761">
        <f>$E453</f>
        <v>2817.94</v>
      </c>
      <c r="N3" s="761">
        <f>$E495</f>
        <v>1673.13</v>
      </c>
      <c r="O3" s="759">
        <f t="shared" si="1"/>
        <v>27245.609999999997</v>
      </c>
      <c r="P3" s="759">
        <f t="shared" si="2"/>
        <v>2270.4674999999997</v>
      </c>
      <c r="Q3" s="759"/>
      <c r="R3" s="759"/>
      <c r="S3" s="759"/>
      <c r="U3" s="649"/>
      <c r="V3" s="649"/>
      <c r="W3" s="649"/>
      <c r="X3" s="649"/>
      <c r="Y3" s="649"/>
      <c r="Z3" s="649"/>
      <c r="AA3" s="649"/>
      <c r="AB3" s="649"/>
      <c r="AC3" s="649"/>
      <c r="AD3" s="649"/>
      <c r="AE3" s="649"/>
      <c r="AF3" s="649"/>
      <c r="AG3" s="649"/>
      <c r="AH3" s="649"/>
      <c r="AI3" s="649"/>
      <c r="AJ3" s="649"/>
      <c r="AK3" s="649"/>
      <c r="AL3" s="649"/>
      <c r="AM3" s="649"/>
      <c r="AN3" s="649"/>
      <c r="AO3" s="649"/>
      <c r="AP3" s="649"/>
      <c r="AQ3" s="649"/>
      <c r="AR3" s="649"/>
      <c r="AS3" s="649"/>
      <c r="AT3" s="649"/>
      <c r="AU3" s="649"/>
      <c r="AV3" s="649"/>
      <c r="AW3" s="649"/>
      <c r="AX3" s="649"/>
      <c r="AY3" s="649"/>
      <c r="AZ3" s="649"/>
      <c r="BA3" s="649"/>
      <c r="BB3" s="649"/>
      <c r="BC3" s="649"/>
      <c r="BD3" s="649"/>
    </row>
    <row r="4" spans="1:56" s="648" customFormat="1" ht="12" customHeight="1">
      <c r="A4" s="726"/>
      <c r="B4" s="736" t="s">
        <v>384</v>
      </c>
      <c r="C4" s="735">
        <f>$F22</f>
        <v>138.44999999999999</v>
      </c>
      <c r="D4" s="735">
        <f>$F66</f>
        <v>67.2</v>
      </c>
      <c r="E4" s="735">
        <f>$F102</f>
        <v>63.75</v>
      </c>
      <c r="F4" s="735">
        <f>$F135</f>
        <v>412.5</v>
      </c>
      <c r="G4" s="735">
        <f>$F192</f>
        <v>0</v>
      </c>
      <c r="H4" s="735">
        <f>$F234</f>
        <v>157.19999999999999</v>
      </c>
      <c r="I4" s="735">
        <f>$F284</f>
        <v>129.94999999999999</v>
      </c>
      <c r="J4" s="735">
        <f>$F334</f>
        <v>197.45</v>
      </c>
      <c r="K4" s="735">
        <f>$F385</f>
        <v>147.94999999999999</v>
      </c>
      <c r="L4" s="735">
        <f>$F424</f>
        <v>113.95</v>
      </c>
      <c r="M4" s="735">
        <f>$F453</f>
        <v>357.95</v>
      </c>
      <c r="N4" s="735">
        <f>$F495</f>
        <v>0</v>
      </c>
      <c r="O4" s="759">
        <f t="shared" si="1"/>
        <v>1786.3500000000001</v>
      </c>
      <c r="P4" s="759">
        <f t="shared" si="2"/>
        <v>148.86250000000001</v>
      </c>
      <c r="Q4" s="759"/>
      <c r="R4" s="759"/>
      <c r="S4" s="75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</row>
    <row r="5" spans="1:56" s="648" customFormat="1" ht="12" customHeight="1">
      <c r="A5" s="726"/>
      <c r="B5" s="736" t="s">
        <v>14</v>
      </c>
      <c r="C5" s="735">
        <f>$G22</f>
        <v>390</v>
      </c>
      <c r="D5" s="735">
        <f>$G66</f>
        <v>390</v>
      </c>
      <c r="E5" s="735">
        <f>$G102</f>
        <v>117</v>
      </c>
      <c r="F5" s="735">
        <f>$G135</f>
        <v>544</v>
      </c>
      <c r="G5" s="735">
        <f>$G192</f>
        <v>234</v>
      </c>
      <c r="H5" s="735">
        <f>$G234</f>
        <v>620</v>
      </c>
      <c r="I5" s="735">
        <f>$G284</f>
        <v>78</v>
      </c>
      <c r="J5" s="735">
        <f>$G334</f>
        <v>390</v>
      </c>
      <c r="K5" s="735">
        <f>$G385</f>
        <v>741</v>
      </c>
      <c r="L5" s="735">
        <f>$G424</f>
        <v>0</v>
      </c>
      <c r="M5" s="735">
        <f>$G453</f>
        <v>400</v>
      </c>
      <c r="N5" s="735">
        <f>$G495</f>
        <v>320</v>
      </c>
      <c r="O5" s="759">
        <f t="shared" si="1"/>
        <v>4224</v>
      </c>
      <c r="P5" s="759">
        <f t="shared" si="2"/>
        <v>352</v>
      </c>
      <c r="Q5" s="759"/>
      <c r="R5" s="759"/>
      <c r="S5" s="75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49"/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</row>
    <row r="6" spans="1:56" s="648" customFormat="1" ht="12" customHeight="1">
      <c r="A6" s="726"/>
      <c r="B6" s="736" t="s">
        <v>286</v>
      </c>
      <c r="C6" s="735">
        <f>$H22</f>
        <v>131.94999999999999</v>
      </c>
      <c r="D6" s="735">
        <f>$H66</f>
        <v>707.9</v>
      </c>
      <c r="E6" s="735">
        <f>$H102</f>
        <v>120.5</v>
      </c>
      <c r="F6" s="735">
        <f>$H135</f>
        <v>116.7</v>
      </c>
      <c r="G6" s="735">
        <f>$H192</f>
        <v>395</v>
      </c>
      <c r="H6" s="735">
        <f>$H234</f>
        <v>233</v>
      </c>
      <c r="I6" s="735">
        <f>$H284</f>
        <v>277.89999999999998</v>
      </c>
      <c r="J6" s="735">
        <f>$H334</f>
        <v>82.65</v>
      </c>
      <c r="K6" s="735">
        <f>$H385</f>
        <v>831.15</v>
      </c>
      <c r="L6" s="735">
        <f>$H424</f>
        <v>255.04999999999998</v>
      </c>
      <c r="M6" s="735">
        <f>$H453</f>
        <v>623.54999999999995</v>
      </c>
      <c r="N6" s="735">
        <f>$H495</f>
        <v>225.6</v>
      </c>
      <c r="O6" s="759">
        <f t="shared" si="1"/>
        <v>4000.9500000000003</v>
      </c>
      <c r="P6" s="759">
        <f t="shared" si="2"/>
        <v>333.41250000000002</v>
      </c>
      <c r="Q6" s="759"/>
      <c r="R6" s="759"/>
      <c r="S6" s="759"/>
      <c r="U6" s="649"/>
      <c r="V6" s="649"/>
      <c r="W6" s="649"/>
      <c r="X6" s="649"/>
      <c r="Y6" s="649"/>
      <c r="Z6" s="649"/>
      <c r="AA6" s="649"/>
      <c r="AB6" s="649"/>
      <c r="AC6" s="649"/>
      <c r="AD6" s="649"/>
      <c r="AE6" s="649"/>
      <c r="AF6" s="649"/>
      <c r="AG6" s="649"/>
      <c r="AH6" s="649"/>
      <c r="AI6" s="649"/>
      <c r="AJ6" s="649"/>
      <c r="AK6" s="649"/>
      <c r="AL6" s="649"/>
      <c r="AM6" s="649"/>
      <c r="AN6" s="649"/>
      <c r="AO6" s="649"/>
      <c r="AP6" s="649"/>
      <c r="AQ6" s="649"/>
      <c r="AR6" s="649"/>
      <c r="AS6" s="649"/>
      <c r="AT6" s="649"/>
      <c r="AU6" s="649"/>
      <c r="AV6" s="649"/>
      <c r="AW6" s="649"/>
      <c r="AX6" s="649"/>
      <c r="AY6" s="649"/>
      <c r="AZ6" s="649"/>
      <c r="BA6" s="649"/>
      <c r="BB6" s="649"/>
      <c r="BC6" s="649"/>
      <c r="BD6" s="649"/>
    </row>
    <row r="7" spans="1:56" s="648" customFormat="1" ht="12" customHeight="1">
      <c r="A7" s="726"/>
      <c r="B7" s="736" t="s">
        <v>284</v>
      </c>
      <c r="C7" s="735">
        <f>$I22</f>
        <v>570.34999999999991</v>
      </c>
      <c r="D7" s="735">
        <f>$I66</f>
        <v>366.8</v>
      </c>
      <c r="E7" s="735">
        <f>$I102</f>
        <v>94.85</v>
      </c>
      <c r="F7" s="735">
        <f>$I135</f>
        <v>674.50000000000011</v>
      </c>
      <c r="G7" s="735">
        <f>$I192</f>
        <v>352.9</v>
      </c>
      <c r="H7" s="735">
        <f>$I234</f>
        <v>602.65</v>
      </c>
      <c r="I7" s="735">
        <f>$I284</f>
        <v>567.94000000000005</v>
      </c>
      <c r="J7" s="735">
        <f>$I334</f>
        <v>675.35</v>
      </c>
      <c r="K7" s="735">
        <f>$I385</f>
        <v>245</v>
      </c>
      <c r="L7" s="735">
        <f>$I424</f>
        <v>41</v>
      </c>
      <c r="M7" s="735">
        <f>$I453</f>
        <v>653.75</v>
      </c>
      <c r="N7" s="735">
        <f>$I495</f>
        <v>204</v>
      </c>
      <c r="O7" s="759">
        <f t="shared" si="1"/>
        <v>5049.09</v>
      </c>
      <c r="P7" s="759">
        <f t="shared" si="2"/>
        <v>420.75749999999999</v>
      </c>
      <c r="Q7" s="759"/>
      <c r="R7" s="759"/>
      <c r="S7" s="759"/>
      <c r="U7" s="649"/>
      <c r="V7" s="649"/>
      <c r="W7" s="649"/>
      <c r="X7" s="649"/>
      <c r="Y7" s="649"/>
      <c r="Z7" s="649"/>
      <c r="AA7" s="649"/>
      <c r="AB7" s="649"/>
      <c r="AC7" s="649"/>
      <c r="AD7" s="649"/>
      <c r="AE7" s="649"/>
      <c r="AF7" s="649"/>
      <c r="AG7" s="649"/>
      <c r="AH7" s="649"/>
      <c r="AI7" s="649"/>
      <c r="AJ7" s="649"/>
      <c r="AK7" s="649"/>
      <c r="AL7" s="649"/>
      <c r="AM7" s="649"/>
      <c r="AN7" s="649"/>
      <c r="AO7" s="649"/>
      <c r="AP7" s="649"/>
      <c r="AQ7" s="649"/>
      <c r="AR7" s="649"/>
      <c r="AS7" s="649"/>
      <c r="AT7" s="649"/>
      <c r="AU7" s="649"/>
      <c r="AV7" s="649"/>
      <c r="AW7" s="649"/>
      <c r="AX7" s="649"/>
      <c r="AY7" s="649"/>
      <c r="AZ7" s="649"/>
      <c r="BA7" s="649"/>
      <c r="BB7" s="649"/>
      <c r="BC7" s="649"/>
      <c r="BD7" s="649"/>
    </row>
    <row r="8" spans="1:56" s="648" customFormat="1" ht="12" customHeight="1">
      <c r="A8" s="726"/>
      <c r="B8" s="736" t="s">
        <v>30</v>
      </c>
      <c r="C8" s="735">
        <f>$J22</f>
        <v>0</v>
      </c>
      <c r="D8" s="735">
        <f>$J66</f>
        <v>0</v>
      </c>
      <c r="E8" s="735">
        <f>$J102</f>
        <v>0</v>
      </c>
      <c r="F8" s="735">
        <f>$J135</f>
        <v>0</v>
      </c>
      <c r="G8" s="735">
        <f>$J192</f>
        <v>0</v>
      </c>
      <c r="H8" s="735">
        <f>$J234</f>
        <v>0</v>
      </c>
      <c r="I8" s="735">
        <f>$J284</f>
        <v>0</v>
      </c>
      <c r="J8" s="735">
        <f>$J334</f>
        <v>0</v>
      </c>
      <c r="K8" s="735">
        <f>$J385</f>
        <v>0</v>
      </c>
      <c r="L8" s="735">
        <f>$J424</f>
        <v>0</v>
      </c>
      <c r="M8" s="735">
        <f>$J453</f>
        <v>0</v>
      </c>
      <c r="N8" s="735">
        <f>$J495</f>
        <v>0</v>
      </c>
      <c r="O8" s="760">
        <f t="shared" si="1"/>
        <v>0</v>
      </c>
      <c r="P8" s="760">
        <f t="shared" si="2"/>
        <v>0</v>
      </c>
      <c r="Q8" s="760"/>
      <c r="R8" s="760"/>
      <c r="S8" s="760"/>
      <c r="U8" s="649"/>
      <c r="V8" s="649"/>
      <c r="W8" s="649"/>
      <c r="X8" s="649"/>
      <c r="Y8" s="649"/>
      <c r="Z8" s="649"/>
      <c r="AA8" s="649"/>
      <c r="AB8" s="649"/>
      <c r="AC8" s="649"/>
      <c r="AD8" s="649"/>
      <c r="AE8" s="649"/>
      <c r="AF8" s="649"/>
      <c r="AG8" s="649"/>
      <c r="AH8" s="649"/>
      <c r="AI8" s="649"/>
      <c r="AJ8" s="649"/>
      <c r="AK8" s="649"/>
      <c r="AL8" s="649"/>
      <c r="AM8" s="649"/>
      <c r="AN8" s="649"/>
      <c r="AO8" s="649"/>
      <c r="AP8" s="649"/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</row>
    <row r="9" spans="1:56" s="648" customFormat="1" ht="12" customHeight="1">
      <c r="A9" s="726"/>
      <c r="B9" s="736" t="s">
        <v>48</v>
      </c>
      <c r="C9" s="735">
        <f>$K22</f>
        <v>0</v>
      </c>
      <c r="D9" s="735">
        <f>$K66</f>
        <v>0</v>
      </c>
      <c r="E9" s="735">
        <f>$K102</f>
        <v>0</v>
      </c>
      <c r="F9" s="735">
        <f>$K135</f>
        <v>0</v>
      </c>
      <c r="G9" s="735">
        <f>$K192</f>
        <v>0</v>
      </c>
      <c r="H9" s="735"/>
      <c r="I9" s="735"/>
      <c r="J9" s="735"/>
      <c r="K9" s="735"/>
      <c r="L9" s="735"/>
      <c r="M9" s="735"/>
      <c r="N9" s="735"/>
      <c r="O9" s="759"/>
      <c r="P9" s="759"/>
      <c r="Q9" s="759"/>
      <c r="R9" s="759"/>
      <c r="S9" s="759"/>
      <c r="U9" s="649"/>
      <c r="V9" s="649"/>
      <c r="W9" s="649"/>
      <c r="X9" s="649"/>
      <c r="Y9" s="649"/>
      <c r="Z9" s="649"/>
      <c r="AA9" s="649"/>
      <c r="AB9" s="649"/>
      <c r="AC9" s="649"/>
      <c r="AD9" s="649"/>
      <c r="AE9" s="649"/>
      <c r="AF9" s="649"/>
      <c r="AG9" s="649"/>
      <c r="AH9" s="649"/>
      <c r="AI9" s="649"/>
      <c r="AJ9" s="649"/>
      <c r="AK9" s="649"/>
      <c r="AL9" s="649"/>
      <c r="AM9" s="649"/>
      <c r="AN9" s="649"/>
      <c r="AO9" s="649"/>
      <c r="AP9" s="649"/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</row>
    <row r="10" spans="1:56" s="648" customFormat="1" ht="12" customHeight="1">
      <c r="A10" s="726"/>
      <c r="B10" s="736" t="s">
        <v>282</v>
      </c>
      <c r="C10" s="735">
        <f>$L22</f>
        <v>0</v>
      </c>
      <c r="D10" s="735">
        <f>$L66</f>
        <v>0</v>
      </c>
      <c r="E10" s="735">
        <f>$L102</f>
        <v>0</v>
      </c>
      <c r="F10" s="735">
        <f>$L135</f>
        <v>0</v>
      </c>
      <c r="G10" s="735">
        <f>$L135</f>
        <v>0</v>
      </c>
      <c r="H10" s="735"/>
      <c r="I10" s="735"/>
      <c r="J10" s="735"/>
      <c r="K10" s="735"/>
      <c r="L10" s="735"/>
      <c r="M10" s="735"/>
      <c r="N10" s="735"/>
      <c r="O10" s="759"/>
      <c r="P10" s="759"/>
      <c r="Q10" s="759"/>
      <c r="R10" s="759"/>
      <c r="S10" s="759"/>
      <c r="U10" s="649"/>
      <c r="V10" s="649"/>
      <c r="W10" s="649"/>
      <c r="X10" s="649"/>
      <c r="Y10" s="649"/>
      <c r="Z10" s="649"/>
      <c r="AA10" s="649"/>
      <c r="AB10" s="649"/>
      <c r="AC10" s="649"/>
      <c r="AD10" s="649"/>
      <c r="AE10" s="649"/>
      <c r="AF10" s="649"/>
      <c r="AG10" s="649"/>
      <c r="AH10" s="649"/>
      <c r="AI10" s="649"/>
      <c r="AJ10" s="649"/>
      <c r="AK10" s="649"/>
      <c r="AL10" s="649"/>
      <c r="AM10" s="649"/>
      <c r="AN10" s="649"/>
      <c r="AO10" s="649"/>
      <c r="AP10" s="649"/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</row>
    <row r="11" spans="1:56" s="648" customFormat="1" ht="12" customHeight="1">
      <c r="A11" s="726"/>
      <c r="B11" s="736" t="s">
        <v>280</v>
      </c>
      <c r="C11" s="735">
        <f>$M22</f>
        <v>0</v>
      </c>
      <c r="D11" s="735">
        <f>$M66</f>
        <v>0</v>
      </c>
      <c r="E11" s="735">
        <f>$M102</f>
        <v>0</v>
      </c>
      <c r="F11" s="735">
        <f>$M135</f>
        <v>0</v>
      </c>
      <c r="G11" s="735">
        <f>$M135</f>
        <v>0</v>
      </c>
      <c r="H11" s="735"/>
      <c r="I11" s="735"/>
      <c r="J11" s="735"/>
      <c r="K11" s="735"/>
      <c r="L11" s="735"/>
      <c r="M11" s="735"/>
      <c r="N11" s="735"/>
      <c r="O11" s="759"/>
      <c r="P11" s="759"/>
      <c r="Q11" s="759"/>
      <c r="R11" s="759"/>
      <c r="S11" s="759"/>
      <c r="U11" s="649"/>
      <c r="V11" s="649"/>
      <c r="W11" s="649"/>
      <c r="X11" s="649"/>
      <c r="Y11" s="649"/>
      <c r="Z11" s="649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49"/>
      <c r="AM11" s="649"/>
      <c r="AN11" s="649"/>
      <c r="AO11" s="649"/>
      <c r="AP11" s="649"/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</row>
    <row r="12" spans="1:56" s="648" customFormat="1" ht="12" customHeight="1">
      <c r="A12" s="726"/>
      <c r="B12" s="736" t="s">
        <v>278</v>
      </c>
      <c r="C12" s="735">
        <f>$N22</f>
        <v>0</v>
      </c>
      <c r="D12" s="735">
        <f>$N66</f>
        <v>0</v>
      </c>
      <c r="E12" s="735">
        <f>$N102</f>
        <v>0</v>
      </c>
      <c r="F12" s="735">
        <f>$N135</f>
        <v>0</v>
      </c>
      <c r="G12" s="735">
        <f>$N135</f>
        <v>0</v>
      </c>
      <c r="H12" s="735"/>
      <c r="I12" s="735"/>
      <c r="J12" s="735"/>
      <c r="K12" s="735"/>
      <c r="L12" s="735"/>
      <c r="M12" s="735"/>
      <c r="N12" s="735"/>
      <c r="O12" s="760"/>
      <c r="P12" s="760"/>
      <c r="Q12" s="760"/>
      <c r="R12" s="760"/>
      <c r="S12" s="760"/>
      <c r="U12" s="649"/>
      <c r="V12" s="649"/>
      <c r="W12" s="649"/>
      <c r="X12" s="649"/>
      <c r="Y12" s="649"/>
      <c r="Z12" s="649"/>
      <c r="AA12" s="649"/>
      <c r="AB12" s="649"/>
      <c r="AC12" s="649"/>
      <c r="AD12" s="649"/>
      <c r="AE12" s="649"/>
      <c r="AF12" s="649"/>
      <c r="AG12" s="649"/>
      <c r="AH12" s="649"/>
      <c r="AI12" s="649"/>
      <c r="AJ12" s="649"/>
      <c r="AK12" s="649"/>
      <c r="AL12" s="649"/>
      <c r="AM12" s="649"/>
      <c r="AN12" s="649"/>
      <c r="AO12" s="649"/>
      <c r="AP12" s="649"/>
      <c r="AQ12" s="649"/>
      <c r="AR12" s="649"/>
      <c r="AS12" s="649"/>
      <c r="AT12" s="649"/>
      <c r="AU12" s="649"/>
      <c r="AV12" s="649"/>
      <c r="AW12" s="649"/>
      <c r="AX12" s="649"/>
      <c r="AY12" s="649"/>
      <c r="AZ12" s="649"/>
      <c r="BA12" s="649"/>
      <c r="BB12" s="649"/>
      <c r="BC12" s="649"/>
      <c r="BD12" s="649"/>
    </row>
    <row r="13" spans="1:56" s="648" customFormat="1" ht="12" customHeight="1">
      <c r="A13" s="726"/>
      <c r="B13" s="736" t="s">
        <v>724</v>
      </c>
      <c r="C13" s="735">
        <f>$O22</f>
        <v>0</v>
      </c>
      <c r="D13" s="735">
        <f>$O66</f>
        <v>0</v>
      </c>
      <c r="E13" s="735">
        <f>$O102</f>
        <v>0</v>
      </c>
      <c r="F13" s="735">
        <f>$O135</f>
        <v>0</v>
      </c>
      <c r="G13" s="735">
        <f>$O135</f>
        <v>0</v>
      </c>
      <c r="H13" s="735"/>
      <c r="I13" s="735"/>
      <c r="J13" s="735"/>
      <c r="K13" s="735"/>
      <c r="L13" s="735"/>
      <c r="M13" s="735"/>
      <c r="N13" s="735"/>
      <c r="O13" s="759"/>
      <c r="P13" s="759"/>
      <c r="Q13" s="759"/>
      <c r="R13" s="759"/>
      <c r="S13" s="759"/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649"/>
      <c r="AF13" s="649"/>
      <c r="AG13" s="649"/>
      <c r="AH13" s="649"/>
      <c r="AI13" s="649"/>
      <c r="AJ13" s="649"/>
      <c r="AK13" s="649"/>
      <c r="AL13" s="649"/>
      <c r="AM13" s="649"/>
      <c r="AN13" s="649"/>
      <c r="AO13" s="649"/>
      <c r="AP13" s="649"/>
      <c r="AQ13" s="649"/>
      <c r="AR13" s="649"/>
      <c r="AS13" s="649"/>
      <c r="AT13" s="649"/>
      <c r="AU13" s="649"/>
      <c r="AV13" s="649"/>
      <c r="AW13" s="649"/>
      <c r="AX13" s="649"/>
      <c r="AY13" s="649"/>
      <c r="AZ13" s="649"/>
      <c r="BA13" s="649"/>
      <c r="BB13" s="649"/>
      <c r="BC13" s="649"/>
      <c r="BD13" s="649"/>
    </row>
    <row r="14" spans="1:56" s="648" customFormat="1" ht="12" customHeight="1" thickBot="1">
      <c r="A14" s="726"/>
      <c r="B14" s="736" t="s">
        <v>58</v>
      </c>
      <c r="C14" s="735">
        <f>$P22</f>
        <v>0</v>
      </c>
      <c r="D14" s="735">
        <f>$P66</f>
        <v>0</v>
      </c>
      <c r="E14" s="735">
        <f>$P102</f>
        <v>0</v>
      </c>
      <c r="F14" s="735">
        <f>$P135</f>
        <v>0</v>
      </c>
      <c r="G14" s="735">
        <f>$P135</f>
        <v>0</v>
      </c>
      <c r="H14" s="735"/>
      <c r="I14" s="735"/>
      <c r="J14" s="735"/>
      <c r="K14" s="735"/>
      <c r="L14" s="735"/>
      <c r="M14" s="735"/>
      <c r="N14" s="735"/>
      <c r="O14" s="752"/>
      <c r="P14" s="752"/>
      <c r="Q14" s="752"/>
      <c r="R14" s="752"/>
      <c r="S14" s="752"/>
      <c r="U14" s="649"/>
      <c r="V14" s="649"/>
      <c r="W14" s="649"/>
      <c r="X14" s="649"/>
      <c r="Y14" s="649"/>
      <c r="Z14" s="649"/>
      <c r="AA14" s="649"/>
      <c r="AB14" s="649"/>
      <c r="AC14" s="649"/>
      <c r="AD14" s="649"/>
      <c r="AE14" s="649"/>
      <c r="AF14" s="649"/>
      <c r="AG14" s="649"/>
      <c r="AH14" s="649"/>
      <c r="AI14" s="649"/>
      <c r="AJ14" s="649"/>
      <c r="AK14" s="649"/>
      <c r="AL14" s="649"/>
      <c r="AM14" s="649"/>
      <c r="AN14" s="649"/>
      <c r="AO14" s="649"/>
      <c r="AP14" s="649"/>
      <c r="AQ14" s="649"/>
      <c r="AR14" s="649"/>
      <c r="AS14" s="649"/>
      <c r="AT14" s="649"/>
      <c r="AU14" s="649"/>
      <c r="AV14" s="649"/>
      <c r="AW14" s="649"/>
      <c r="AX14" s="649"/>
      <c r="AY14" s="649"/>
      <c r="AZ14" s="649"/>
      <c r="BA14" s="649"/>
      <c r="BB14" s="649"/>
      <c r="BC14" s="649"/>
      <c r="BD14" s="649"/>
    </row>
    <row r="15" spans="1:56" s="753" customFormat="1">
      <c r="A15" s="758"/>
      <c r="B15" s="757"/>
      <c r="C15" s="756"/>
      <c r="D15" s="755"/>
      <c r="E15" s="755"/>
      <c r="F15" s="755"/>
      <c r="G15" s="755"/>
      <c r="H15" s="755"/>
      <c r="I15" s="755"/>
      <c r="J15" s="755"/>
      <c r="K15" s="755"/>
      <c r="L15" s="755"/>
      <c r="M15" s="755"/>
      <c r="N15" s="755"/>
      <c r="O15" s="754"/>
      <c r="P15" s="754"/>
      <c r="Q15" s="754"/>
      <c r="R15" s="754"/>
      <c r="S15" s="754"/>
    </row>
    <row r="16" spans="1:56" s="648" customFormat="1" ht="12" customHeight="1">
      <c r="A16" s="726"/>
      <c r="B16" s="736" t="s">
        <v>35</v>
      </c>
      <c r="C16" s="735">
        <v>-11527</v>
      </c>
      <c r="D16" s="735">
        <v>-11448</v>
      </c>
      <c r="E16" s="735">
        <v>-11448</v>
      </c>
      <c r="F16" s="735">
        <v>-11448</v>
      </c>
      <c r="G16" s="735">
        <v>-11448</v>
      </c>
      <c r="H16" s="735">
        <v>-11448</v>
      </c>
      <c r="I16" s="735">
        <v>-11448</v>
      </c>
      <c r="J16" s="735">
        <v>-11448</v>
      </c>
      <c r="K16" s="735">
        <v>-11448</v>
      </c>
      <c r="L16" s="735">
        <v>-11448</v>
      </c>
      <c r="M16" s="735">
        <v>-11448</v>
      </c>
      <c r="N16" s="735">
        <v>-11448</v>
      </c>
      <c r="O16" s="752">
        <f>SUM(C16:N16)</f>
        <v>-137455</v>
      </c>
      <c r="P16" s="752">
        <f>AVERAGE(C16:N16)</f>
        <v>-11454.583333333334</v>
      </c>
      <c r="Q16" s="752"/>
      <c r="R16" s="752"/>
      <c r="S16" s="752"/>
      <c r="U16" s="649"/>
      <c r="V16" s="649"/>
      <c r="W16" s="649"/>
      <c r="X16" s="649"/>
      <c r="Y16" s="649"/>
      <c r="Z16" s="649"/>
      <c r="AA16" s="649"/>
      <c r="AB16" s="649"/>
      <c r="AC16" s="649"/>
      <c r="AD16" s="649"/>
      <c r="AE16" s="649"/>
      <c r="AF16" s="649"/>
      <c r="AG16" s="649"/>
      <c r="AH16" s="649"/>
      <c r="AI16" s="649"/>
      <c r="AJ16" s="649"/>
      <c r="AK16" s="649"/>
      <c r="AL16" s="649"/>
      <c r="AM16" s="649"/>
      <c r="AN16" s="649"/>
      <c r="AO16" s="649"/>
      <c r="AP16" s="649"/>
      <c r="AQ16" s="649"/>
      <c r="AR16" s="649"/>
      <c r="AS16" s="649"/>
      <c r="AT16" s="649"/>
      <c r="AU16" s="649"/>
      <c r="AV16" s="649"/>
      <c r="AW16" s="649"/>
      <c r="AX16" s="649"/>
      <c r="AY16" s="649"/>
      <c r="AZ16" s="649"/>
      <c r="BA16" s="649"/>
      <c r="BB16" s="649"/>
      <c r="BC16" s="649"/>
      <c r="BD16" s="649"/>
    </row>
    <row r="17" spans="1:56" s="648" customFormat="1" ht="12" customHeight="1">
      <c r="A17" s="726"/>
      <c r="B17" s="736" t="s">
        <v>34</v>
      </c>
      <c r="C17" s="735">
        <v>-7973</v>
      </c>
      <c r="D17" s="735">
        <v>-18321</v>
      </c>
      <c r="E17" s="735">
        <v>-18321</v>
      </c>
      <c r="F17" s="735">
        <v>-18321</v>
      </c>
      <c r="G17" s="735">
        <v>-7829</v>
      </c>
      <c r="H17" s="735">
        <v>-7829</v>
      </c>
      <c r="I17" s="735">
        <v>-7829</v>
      </c>
      <c r="J17" s="735">
        <v>-7829</v>
      </c>
      <c r="K17" s="735">
        <v>-7829</v>
      </c>
      <c r="L17" s="735">
        <v>-7829</v>
      </c>
      <c r="M17" s="735">
        <v>-6707</v>
      </c>
      <c r="N17" s="735">
        <v>-6707</v>
      </c>
      <c r="O17" s="752">
        <f>SUM(C17:N17)</f>
        <v>-123324</v>
      </c>
      <c r="P17" s="752">
        <f>AVERAGE(C17:N17)</f>
        <v>-10277</v>
      </c>
      <c r="Q17" s="752"/>
      <c r="R17" s="752"/>
      <c r="S17" s="752"/>
      <c r="U17" s="649"/>
      <c r="V17" s="649"/>
      <c r="W17" s="649"/>
      <c r="X17" s="649"/>
      <c r="Y17" s="649"/>
      <c r="Z17" s="649"/>
      <c r="AA17" s="649"/>
      <c r="AB17" s="649"/>
      <c r="AC17" s="649"/>
      <c r="AD17" s="649"/>
      <c r="AE17" s="649"/>
      <c r="AF17" s="649"/>
      <c r="AG17" s="649"/>
      <c r="AH17" s="649"/>
      <c r="AI17" s="649"/>
      <c r="AJ17" s="649"/>
      <c r="AK17" s="649"/>
      <c r="AL17" s="649"/>
      <c r="AM17" s="649"/>
      <c r="AN17" s="649"/>
      <c r="AO17" s="649"/>
      <c r="AP17" s="649"/>
      <c r="AQ17" s="649"/>
      <c r="AR17" s="649"/>
      <c r="AS17" s="649"/>
      <c r="AT17" s="649"/>
      <c r="AU17" s="649"/>
      <c r="AV17" s="649"/>
      <c r="AW17" s="649"/>
      <c r="AX17" s="649"/>
      <c r="AY17" s="649"/>
      <c r="AZ17" s="649"/>
      <c r="BA17" s="649"/>
      <c r="BB17" s="649"/>
      <c r="BC17" s="649"/>
      <c r="BD17" s="649"/>
    </row>
    <row r="18" spans="1:56" s="648" customFormat="1" ht="12" customHeight="1">
      <c r="A18" s="726"/>
      <c r="B18" s="736" t="s">
        <v>33</v>
      </c>
      <c r="C18" s="735">
        <v>-205</v>
      </c>
      <c r="D18" s="735">
        <v>-205</v>
      </c>
      <c r="E18" s="735">
        <v>-205</v>
      </c>
      <c r="F18" s="735">
        <v>-205</v>
      </c>
      <c r="G18" s="735">
        <v>-205</v>
      </c>
      <c r="H18" s="735">
        <v>-205</v>
      </c>
      <c r="I18" s="735">
        <v>-205</v>
      </c>
      <c r="J18" s="735">
        <v>-205</v>
      </c>
      <c r="K18" s="735">
        <v>-205</v>
      </c>
      <c r="L18" s="735">
        <v>-205</v>
      </c>
      <c r="M18" s="735">
        <v>-205</v>
      </c>
      <c r="N18" s="735">
        <v>-205</v>
      </c>
      <c r="O18" s="752">
        <f>SUM(C18:N18)</f>
        <v>-2460</v>
      </c>
      <c r="P18" s="752">
        <f>AVERAGE(C18:N18)</f>
        <v>-205</v>
      </c>
      <c r="Q18" s="752"/>
      <c r="R18" s="752"/>
      <c r="S18" s="752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  <c r="AI18" s="649"/>
      <c r="AJ18" s="649"/>
      <c r="AK18" s="649"/>
      <c r="AL18" s="649"/>
      <c r="AM18" s="649"/>
      <c r="AN18" s="649"/>
      <c r="AO18" s="649"/>
      <c r="AP18" s="649"/>
      <c r="AQ18" s="649"/>
      <c r="AR18" s="649"/>
      <c r="AS18" s="649"/>
      <c r="AT18" s="649"/>
      <c r="AU18" s="649"/>
      <c r="AV18" s="649"/>
      <c r="AW18" s="649"/>
      <c r="AX18" s="649"/>
      <c r="AY18" s="649"/>
      <c r="AZ18" s="649"/>
      <c r="BA18" s="649"/>
      <c r="BB18" s="649"/>
      <c r="BC18" s="649"/>
      <c r="BD18" s="649"/>
    </row>
    <row r="19" spans="1:56" s="648" customFormat="1" ht="12" customHeight="1">
      <c r="A19" s="726"/>
      <c r="B19" s="736" t="s">
        <v>31</v>
      </c>
      <c r="C19" s="735">
        <v>-1147</v>
      </c>
      <c r="D19" s="735">
        <v>-1147</v>
      </c>
      <c r="E19" s="735">
        <v>-1147</v>
      </c>
      <c r="F19" s="735">
        <v>-1147</v>
      </c>
      <c r="G19" s="735">
        <v>-1147</v>
      </c>
      <c r="H19" s="735">
        <v>-1147</v>
      </c>
      <c r="I19" s="735">
        <v>-1147</v>
      </c>
      <c r="J19" s="735">
        <v>-1147</v>
      </c>
      <c r="K19" s="735">
        <v>-1147</v>
      </c>
      <c r="L19" s="735">
        <v>-1147</v>
      </c>
      <c r="M19" s="735">
        <v>-1147</v>
      </c>
      <c r="N19" s="735">
        <v>-1147</v>
      </c>
      <c r="O19" s="752">
        <f>SUM(C19:N19)</f>
        <v>-13764</v>
      </c>
      <c r="P19" s="752">
        <f>AVERAGE(C19:N19)</f>
        <v>-1147</v>
      </c>
      <c r="Q19" s="752"/>
      <c r="R19" s="752"/>
      <c r="S19" s="752"/>
      <c r="U19" s="649"/>
      <c r="V19" s="649"/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  <c r="AP19" s="649"/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</row>
    <row r="20" spans="1:56" s="648" customFormat="1" ht="12" customHeight="1">
      <c r="A20" s="726"/>
      <c r="B20" s="736" t="s">
        <v>561</v>
      </c>
      <c r="C20" s="735">
        <f>$Q22</f>
        <v>0</v>
      </c>
      <c r="D20" s="735">
        <f>$Q66</f>
        <v>0</v>
      </c>
      <c r="E20" s="735">
        <f>$Q66</f>
        <v>0</v>
      </c>
      <c r="F20" s="735">
        <f>$Q66</f>
        <v>0</v>
      </c>
      <c r="G20" s="735"/>
      <c r="H20" s="735"/>
      <c r="I20" s="735"/>
      <c r="J20" s="735"/>
      <c r="K20" s="735"/>
      <c r="L20" s="735"/>
      <c r="M20" s="735"/>
      <c r="N20" s="735"/>
      <c r="O20" s="752"/>
      <c r="P20" s="752"/>
      <c r="Q20" s="752"/>
      <c r="R20" s="752"/>
      <c r="S20" s="752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  <c r="AI20" s="649"/>
      <c r="AJ20" s="649"/>
      <c r="AK20" s="649"/>
      <c r="AL20" s="649"/>
      <c r="AM20" s="649"/>
      <c r="AN20" s="649"/>
      <c r="AO20" s="649"/>
      <c r="AP20" s="649"/>
      <c r="AQ20" s="649"/>
      <c r="AR20" s="649"/>
      <c r="AS20" s="649"/>
      <c r="AT20" s="649"/>
      <c r="AU20" s="649"/>
      <c r="AV20" s="649"/>
      <c r="AW20" s="649"/>
      <c r="AX20" s="649"/>
      <c r="AY20" s="649"/>
      <c r="AZ20" s="649"/>
      <c r="BA20" s="649"/>
      <c r="BB20" s="649"/>
      <c r="BC20" s="649"/>
      <c r="BD20" s="649"/>
    </row>
    <row r="21" spans="1:56" ht="12" customHeight="1">
      <c r="A21" s="728"/>
      <c r="B21" s="751"/>
      <c r="C21" s="751"/>
      <c r="D21" s="751" t="s">
        <v>709</v>
      </c>
      <c r="E21" s="751" t="s">
        <v>15</v>
      </c>
      <c r="F21" s="751" t="s">
        <v>384</v>
      </c>
      <c r="G21" s="751" t="s">
        <v>14</v>
      </c>
      <c r="H21" s="751" t="s">
        <v>286</v>
      </c>
      <c r="I21" s="751" t="s">
        <v>284</v>
      </c>
      <c r="J21" s="751" t="s">
        <v>30</v>
      </c>
      <c r="K21" s="751" t="s">
        <v>48</v>
      </c>
      <c r="L21" s="751" t="s">
        <v>282</v>
      </c>
      <c r="M21" s="751" t="s">
        <v>280</v>
      </c>
      <c r="N21" s="751" t="s">
        <v>278</v>
      </c>
      <c r="O21" s="751" t="s">
        <v>724</v>
      </c>
      <c r="P21" s="751" t="s">
        <v>58</v>
      </c>
      <c r="Q21" s="751" t="s">
        <v>561</v>
      </c>
      <c r="R21" s="751"/>
      <c r="S21" s="751"/>
      <c r="T21" s="718"/>
    </row>
    <row r="22" spans="1:56" s="744" customFormat="1" ht="12" customHeight="1">
      <c r="A22" s="749"/>
      <c r="B22" s="748" t="str">
        <f>C1</f>
        <v>januar</v>
      </c>
      <c r="C22" s="747"/>
      <c r="D22" s="746">
        <f t="shared" ref="D22:S22" si="3">SUM(D23:D65)</f>
        <v>3306.7</v>
      </c>
      <c r="E22" s="746">
        <f t="shared" si="3"/>
        <v>2214.3999999999996</v>
      </c>
      <c r="F22" s="746">
        <f t="shared" si="3"/>
        <v>138.44999999999999</v>
      </c>
      <c r="G22" s="746">
        <f t="shared" si="3"/>
        <v>390</v>
      </c>
      <c r="H22" s="746">
        <f t="shared" si="3"/>
        <v>131.94999999999999</v>
      </c>
      <c r="I22" s="746">
        <f t="shared" si="3"/>
        <v>570.34999999999991</v>
      </c>
      <c r="J22" s="746">
        <f t="shared" si="3"/>
        <v>0</v>
      </c>
      <c r="K22" s="746">
        <f t="shared" si="3"/>
        <v>0</v>
      </c>
      <c r="L22" s="746">
        <f t="shared" si="3"/>
        <v>0</v>
      </c>
      <c r="M22" s="746">
        <f t="shared" si="3"/>
        <v>0</v>
      </c>
      <c r="N22" s="746">
        <f t="shared" si="3"/>
        <v>0</v>
      </c>
      <c r="O22" s="746">
        <f t="shared" si="3"/>
        <v>0</v>
      </c>
      <c r="P22" s="746">
        <f t="shared" si="3"/>
        <v>0</v>
      </c>
      <c r="Q22" s="746">
        <f t="shared" si="3"/>
        <v>0</v>
      </c>
      <c r="R22" s="746">
        <f t="shared" si="3"/>
        <v>0</v>
      </c>
      <c r="S22" s="746">
        <f t="shared" si="3"/>
        <v>0</v>
      </c>
    </row>
    <row r="23" spans="1:56" s="648" customFormat="1" ht="12" customHeight="1">
      <c r="A23" s="726"/>
      <c r="B23" s="725">
        <v>43102</v>
      </c>
      <c r="C23" s="724" t="s">
        <v>39</v>
      </c>
      <c r="D23" s="723">
        <v>159.6</v>
      </c>
      <c r="E23" s="723">
        <f t="shared" ref="E23:E65" si="4">D23-G23-H23-I23</f>
        <v>108.85</v>
      </c>
      <c r="F23" s="723"/>
      <c r="G23" s="723"/>
      <c r="H23" s="723"/>
      <c r="I23" s="723">
        <v>50.75</v>
      </c>
      <c r="J23" s="723"/>
      <c r="K23" s="723"/>
      <c r="L23" s="723"/>
      <c r="M23" s="723"/>
      <c r="N23" s="723"/>
      <c r="O23" s="743"/>
      <c r="P23" s="743"/>
      <c r="Q23" s="743"/>
      <c r="R23" s="743"/>
      <c r="S23" s="743"/>
      <c r="U23" s="649"/>
      <c r="V23" s="649"/>
      <c r="W23" s="649"/>
      <c r="X23" s="649"/>
      <c r="Y23" s="649"/>
      <c r="Z23" s="649"/>
      <c r="AA23" s="649"/>
      <c r="AB23" s="649"/>
      <c r="AC23" s="649"/>
      <c r="AD23" s="649"/>
      <c r="AE23" s="649"/>
      <c r="AF23" s="649"/>
      <c r="AG23" s="649"/>
      <c r="AH23" s="649"/>
      <c r="AI23" s="649"/>
      <c r="AJ23" s="649"/>
      <c r="AK23" s="649"/>
      <c r="AL23" s="649"/>
      <c r="AM23" s="649"/>
      <c r="AN23" s="649"/>
      <c r="AO23" s="649"/>
      <c r="AP23" s="649"/>
      <c r="AQ23" s="649"/>
      <c r="AR23" s="649"/>
      <c r="AS23" s="649"/>
      <c r="AT23" s="649"/>
      <c r="AU23" s="649"/>
      <c r="AV23" s="649"/>
      <c r="AW23" s="649"/>
      <c r="AX23" s="649"/>
      <c r="AY23" s="649"/>
      <c r="AZ23" s="649"/>
      <c r="BA23" s="649"/>
      <c r="BB23" s="649"/>
      <c r="BC23" s="649"/>
      <c r="BD23" s="649"/>
    </row>
    <row r="24" spans="1:56" s="648" customFormat="1" ht="12" customHeight="1">
      <c r="A24" s="726"/>
      <c r="B24" s="725">
        <v>43103</v>
      </c>
      <c r="C24" s="724" t="s">
        <v>451</v>
      </c>
      <c r="D24" s="723">
        <v>552.9</v>
      </c>
      <c r="E24" s="723">
        <f t="shared" si="4"/>
        <v>147.89999999999998</v>
      </c>
      <c r="F24" s="723"/>
      <c r="G24" s="723">
        <v>390</v>
      </c>
      <c r="H24" s="723"/>
      <c r="I24" s="723">
        <v>15</v>
      </c>
      <c r="J24" s="723"/>
      <c r="K24" s="723"/>
      <c r="L24" s="723"/>
      <c r="M24" s="723"/>
      <c r="N24" s="723"/>
      <c r="O24" s="743"/>
      <c r="P24" s="743"/>
      <c r="Q24" s="743"/>
      <c r="R24" s="743"/>
      <c r="S24" s="743"/>
      <c r="U24" s="649"/>
      <c r="V24" s="649"/>
      <c r="W24" s="649"/>
      <c r="X24" s="649"/>
      <c r="Y24" s="649"/>
      <c r="Z24" s="649"/>
      <c r="AA24" s="649"/>
      <c r="AB24" s="649"/>
      <c r="AC24" s="649"/>
      <c r="AD24" s="649"/>
      <c r="AE24" s="649"/>
      <c r="AF24" s="649"/>
      <c r="AG24" s="649"/>
      <c r="AH24" s="649"/>
      <c r="AI24" s="649"/>
      <c r="AJ24" s="649"/>
      <c r="AK24" s="649"/>
      <c r="AL24" s="649"/>
      <c r="AM24" s="649"/>
      <c r="AN24" s="649"/>
      <c r="AO24" s="649"/>
      <c r="AP24" s="649"/>
      <c r="AQ24" s="649"/>
      <c r="AR24" s="649"/>
      <c r="AS24" s="649"/>
      <c r="AT24" s="649"/>
      <c r="AU24" s="649"/>
      <c r="AV24" s="649"/>
      <c r="AW24" s="649"/>
      <c r="AX24" s="649"/>
      <c r="AY24" s="649"/>
      <c r="AZ24" s="649"/>
      <c r="BA24" s="649"/>
      <c r="BB24" s="649"/>
      <c r="BC24" s="649"/>
      <c r="BD24" s="649"/>
    </row>
    <row r="25" spans="1:56" s="648" customFormat="1" ht="12" customHeight="1">
      <c r="A25" s="726"/>
      <c r="B25" s="725">
        <v>43103</v>
      </c>
      <c r="C25" s="724" t="s">
        <v>124</v>
      </c>
      <c r="D25" s="723">
        <v>8.5</v>
      </c>
      <c r="E25" s="723">
        <f t="shared" si="4"/>
        <v>0</v>
      </c>
      <c r="F25" s="723"/>
      <c r="G25" s="723"/>
      <c r="H25" s="723">
        <v>8.5</v>
      </c>
      <c r="I25" s="723"/>
      <c r="J25" s="723"/>
      <c r="K25" s="723"/>
      <c r="L25" s="723"/>
      <c r="M25" s="723"/>
      <c r="N25" s="723"/>
      <c r="O25" s="743"/>
      <c r="P25" s="743"/>
      <c r="Q25" s="743"/>
      <c r="R25" s="743"/>
      <c r="S25" s="743"/>
      <c r="U25" s="649"/>
      <c r="V25" s="649"/>
      <c r="W25" s="649"/>
      <c r="X25" s="649"/>
      <c r="Y25" s="649"/>
      <c r="Z25" s="649"/>
      <c r="AA25" s="649"/>
      <c r="AB25" s="649"/>
      <c r="AC25" s="649"/>
      <c r="AD25" s="649"/>
      <c r="AE25" s="649"/>
      <c r="AF25" s="649"/>
      <c r="AG25" s="649"/>
      <c r="AH25" s="649"/>
      <c r="AI25" s="649"/>
      <c r="AJ25" s="649"/>
      <c r="AK25" s="649"/>
      <c r="AL25" s="649"/>
      <c r="AM25" s="649"/>
      <c r="AN25" s="649"/>
      <c r="AO25" s="649"/>
      <c r="AP25" s="649"/>
      <c r="AQ25" s="649"/>
      <c r="AR25" s="649"/>
      <c r="AS25" s="649"/>
      <c r="AT25" s="649"/>
      <c r="AU25" s="649"/>
      <c r="AV25" s="649"/>
      <c r="AW25" s="649"/>
      <c r="AX25" s="649"/>
      <c r="AY25" s="649"/>
      <c r="AZ25" s="649"/>
      <c r="BA25" s="649"/>
      <c r="BB25" s="649"/>
      <c r="BC25" s="649"/>
      <c r="BD25" s="649"/>
    </row>
    <row r="26" spans="1:56" s="648" customFormat="1" ht="12" customHeight="1">
      <c r="A26" s="726"/>
      <c r="B26" s="725">
        <v>43103</v>
      </c>
      <c r="C26" s="724" t="s">
        <v>451</v>
      </c>
      <c r="D26" s="723">
        <v>59.15</v>
      </c>
      <c r="E26" s="723">
        <f t="shared" si="4"/>
        <v>43.4</v>
      </c>
      <c r="F26" s="723">
        <v>25.5</v>
      </c>
      <c r="G26" s="723"/>
      <c r="H26" s="723"/>
      <c r="I26" s="723">
        <v>15.75</v>
      </c>
      <c r="J26" s="723"/>
      <c r="K26" s="723"/>
      <c r="L26" s="723"/>
      <c r="M26" s="723"/>
      <c r="N26" s="723"/>
      <c r="O26" s="743"/>
      <c r="P26" s="743"/>
      <c r="Q26" s="743"/>
      <c r="R26" s="743"/>
      <c r="S26" s="743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  <c r="AG26" s="649"/>
      <c r="AH26" s="649"/>
      <c r="AI26" s="649"/>
      <c r="AJ26" s="649"/>
      <c r="AK26" s="649"/>
      <c r="AL26" s="649"/>
      <c r="AM26" s="649"/>
      <c r="AN26" s="649"/>
      <c r="AO26" s="649"/>
      <c r="AP26" s="649"/>
      <c r="AQ26" s="649"/>
      <c r="AR26" s="649"/>
      <c r="AS26" s="649"/>
      <c r="AT26" s="649"/>
      <c r="AU26" s="649"/>
      <c r="AV26" s="649"/>
      <c r="AW26" s="649"/>
      <c r="AX26" s="649"/>
      <c r="AY26" s="649"/>
      <c r="AZ26" s="649"/>
      <c r="BA26" s="649"/>
      <c r="BB26" s="649"/>
      <c r="BC26" s="649"/>
      <c r="BD26" s="649"/>
    </row>
    <row r="27" spans="1:56" s="648" customFormat="1" ht="12" customHeight="1">
      <c r="A27" s="726"/>
      <c r="B27" s="725">
        <v>43103</v>
      </c>
      <c r="C27" s="724" t="s">
        <v>40</v>
      </c>
      <c r="D27" s="723">
        <v>46</v>
      </c>
      <c r="E27" s="723">
        <f t="shared" si="4"/>
        <v>46</v>
      </c>
      <c r="F27" s="723"/>
      <c r="G27" s="723"/>
      <c r="H27" s="723"/>
      <c r="I27" s="723"/>
      <c r="J27" s="723"/>
      <c r="K27" s="723"/>
      <c r="L27" s="723"/>
      <c r="M27" s="723"/>
      <c r="N27" s="723"/>
      <c r="O27" s="743"/>
      <c r="P27" s="743"/>
      <c r="Q27" s="743"/>
      <c r="R27" s="743"/>
      <c r="S27" s="743"/>
      <c r="U27" s="649"/>
      <c r="V27" s="649"/>
      <c r="W27" s="649"/>
      <c r="X27" s="649"/>
      <c r="Y27" s="649"/>
      <c r="Z27" s="649"/>
      <c r="AA27" s="649"/>
      <c r="AB27" s="649"/>
      <c r="AC27" s="649"/>
      <c r="AD27" s="649"/>
      <c r="AE27" s="649"/>
      <c r="AF27" s="649"/>
      <c r="AG27" s="649"/>
      <c r="AH27" s="649"/>
      <c r="AI27" s="649"/>
      <c r="AJ27" s="649"/>
      <c r="AK27" s="649"/>
      <c r="AL27" s="649"/>
      <c r="AM27" s="649"/>
      <c r="AN27" s="649"/>
      <c r="AO27" s="649"/>
      <c r="AP27" s="649"/>
      <c r="AQ27" s="649"/>
      <c r="AR27" s="649"/>
      <c r="AS27" s="649"/>
      <c r="AT27" s="649"/>
      <c r="AU27" s="649"/>
      <c r="AV27" s="649"/>
      <c r="AW27" s="649"/>
      <c r="AX27" s="649"/>
      <c r="AY27" s="649"/>
      <c r="AZ27" s="649"/>
      <c r="BA27" s="649"/>
      <c r="BB27" s="649"/>
      <c r="BC27" s="649"/>
      <c r="BD27" s="649"/>
    </row>
    <row r="28" spans="1:56" s="648" customFormat="1" ht="12" customHeight="1">
      <c r="A28" s="726"/>
      <c r="B28" s="725">
        <v>43103</v>
      </c>
      <c r="C28" s="724" t="s">
        <v>124</v>
      </c>
      <c r="D28" s="723">
        <v>91.8</v>
      </c>
      <c r="E28" s="723">
        <f t="shared" si="4"/>
        <v>0</v>
      </c>
      <c r="F28" s="723"/>
      <c r="G28" s="723"/>
      <c r="H28" s="723">
        <v>91.8</v>
      </c>
      <c r="I28" s="723"/>
      <c r="J28" s="723"/>
      <c r="K28" s="723"/>
      <c r="L28" s="723"/>
      <c r="M28" s="723"/>
      <c r="N28" s="723"/>
      <c r="O28" s="743"/>
      <c r="P28" s="743"/>
      <c r="Q28" s="743"/>
      <c r="R28" s="743"/>
      <c r="S28" s="743"/>
      <c r="U28" s="649"/>
      <c r="V28" s="649"/>
      <c r="W28" s="649"/>
      <c r="X28" s="649"/>
      <c r="Y28" s="649"/>
      <c r="Z28" s="649"/>
      <c r="AA28" s="649"/>
      <c r="AB28" s="649"/>
      <c r="AC28" s="649"/>
      <c r="AD28" s="649"/>
      <c r="AE28" s="649"/>
      <c r="AF28" s="649"/>
      <c r="AG28" s="649"/>
      <c r="AH28" s="649"/>
      <c r="AI28" s="649"/>
      <c r="AJ28" s="649"/>
      <c r="AK28" s="649"/>
      <c r="AL28" s="649"/>
      <c r="AM28" s="649"/>
      <c r="AN28" s="649"/>
      <c r="AO28" s="649"/>
      <c r="AP28" s="649"/>
      <c r="AQ28" s="649"/>
      <c r="AR28" s="649"/>
      <c r="AS28" s="649"/>
      <c r="AT28" s="649"/>
      <c r="AU28" s="649"/>
      <c r="AV28" s="649"/>
      <c r="AW28" s="649"/>
      <c r="AX28" s="649"/>
      <c r="AY28" s="649"/>
      <c r="AZ28" s="649"/>
      <c r="BA28" s="649"/>
      <c r="BB28" s="649"/>
      <c r="BC28" s="649"/>
      <c r="BD28" s="649"/>
    </row>
    <row r="29" spans="1:56" s="648" customFormat="1" ht="12" customHeight="1">
      <c r="A29" s="726"/>
      <c r="B29" s="725">
        <v>43104</v>
      </c>
      <c r="C29" s="724" t="s">
        <v>39</v>
      </c>
      <c r="D29" s="723">
        <v>30</v>
      </c>
      <c r="E29" s="723">
        <f t="shared" si="4"/>
        <v>30</v>
      </c>
      <c r="F29" s="723"/>
      <c r="G29" s="723"/>
      <c r="H29" s="723"/>
      <c r="I29" s="723"/>
      <c r="J29" s="723"/>
      <c r="K29" s="723"/>
      <c r="L29" s="723"/>
      <c r="M29" s="723"/>
      <c r="N29" s="723"/>
      <c r="O29" s="743"/>
      <c r="P29" s="743"/>
      <c r="Q29" s="743"/>
      <c r="R29" s="743"/>
      <c r="S29" s="743"/>
      <c r="U29" s="649"/>
      <c r="V29" s="649"/>
      <c r="W29" s="649"/>
      <c r="X29" s="649"/>
      <c r="Y29" s="649"/>
      <c r="Z29" s="649"/>
      <c r="AA29" s="649"/>
      <c r="AB29" s="649"/>
      <c r="AC29" s="649"/>
      <c r="AD29" s="649"/>
      <c r="AE29" s="649"/>
      <c r="AF29" s="649"/>
      <c r="AG29" s="649"/>
      <c r="AH29" s="649"/>
      <c r="AI29" s="649"/>
      <c r="AJ29" s="649"/>
      <c r="AK29" s="649"/>
      <c r="AL29" s="649"/>
      <c r="AM29" s="649"/>
      <c r="AN29" s="649"/>
      <c r="AO29" s="649"/>
      <c r="AP29" s="649"/>
      <c r="AQ29" s="649"/>
      <c r="AR29" s="649"/>
      <c r="AS29" s="649"/>
      <c r="AT29" s="649"/>
      <c r="AU29" s="649"/>
      <c r="AV29" s="649"/>
      <c r="AW29" s="649"/>
      <c r="AX29" s="649"/>
      <c r="AY29" s="649"/>
      <c r="AZ29" s="649"/>
      <c r="BA29" s="649"/>
      <c r="BB29" s="649"/>
      <c r="BC29" s="649"/>
      <c r="BD29" s="649"/>
    </row>
    <row r="30" spans="1:56" s="648" customFormat="1" ht="12" customHeight="1">
      <c r="A30" s="726"/>
      <c r="B30" s="725">
        <v>43104</v>
      </c>
      <c r="C30" s="724" t="s">
        <v>40</v>
      </c>
      <c r="D30" s="723">
        <v>64.849999999999994</v>
      </c>
      <c r="E30" s="723">
        <f t="shared" si="4"/>
        <v>34.999999999999993</v>
      </c>
      <c r="F30" s="723"/>
      <c r="G30" s="723"/>
      <c r="H30" s="723"/>
      <c r="I30" s="723">
        <v>29.85</v>
      </c>
      <c r="J30" s="723"/>
      <c r="K30" s="723"/>
      <c r="L30" s="723"/>
      <c r="M30" s="723"/>
      <c r="N30" s="723"/>
      <c r="O30" s="743"/>
      <c r="P30" s="743"/>
      <c r="Q30" s="743"/>
      <c r="R30" s="743"/>
      <c r="S30" s="743"/>
      <c r="U30" s="649"/>
      <c r="V30" s="649"/>
      <c r="W30" s="649"/>
      <c r="X30" s="649"/>
      <c r="Y30" s="649"/>
      <c r="Z30" s="649"/>
      <c r="AA30" s="649"/>
      <c r="AB30" s="649"/>
      <c r="AC30" s="649"/>
      <c r="AD30" s="649"/>
      <c r="AE30" s="649"/>
      <c r="AF30" s="649"/>
      <c r="AG30" s="649"/>
      <c r="AH30" s="649"/>
      <c r="AI30" s="649"/>
      <c r="AJ30" s="649"/>
      <c r="AK30" s="649"/>
      <c r="AL30" s="649"/>
      <c r="AM30" s="649"/>
      <c r="AN30" s="649"/>
      <c r="AO30" s="649"/>
      <c r="AP30" s="649"/>
      <c r="AQ30" s="649"/>
      <c r="AR30" s="649"/>
      <c r="AS30" s="649"/>
      <c r="AT30" s="649"/>
      <c r="AU30" s="649"/>
      <c r="AV30" s="649"/>
      <c r="AW30" s="649"/>
      <c r="AX30" s="649"/>
      <c r="AY30" s="649"/>
      <c r="AZ30" s="649"/>
      <c r="BA30" s="649"/>
      <c r="BB30" s="649"/>
      <c r="BC30" s="649"/>
      <c r="BD30" s="649"/>
    </row>
    <row r="31" spans="1:56" s="648" customFormat="1" ht="12" customHeight="1">
      <c r="A31" s="726"/>
      <c r="B31" s="725">
        <v>43104</v>
      </c>
      <c r="C31" s="724" t="s">
        <v>40</v>
      </c>
      <c r="D31" s="723">
        <v>135.94999999999999</v>
      </c>
      <c r="E31" s="723">
        <f t="shared" si="4"/>
        <v>135.94999999999999</v>
      </c>
      <c r="F31" s="723"/>
      <c r="G31" s="723"/>
      <c r="H31" s="723"/>
      <c r="I31" s="723"/>
      <c r="J31" s="723"/>
      <c r="K31" s="723"/>
      <c r="L31" s="723"/>
      <c r="M31" s="723"/>
      <c r="N31" s="723"/>
      <c r="O31" s="743"/>
      <c r="P31" s="743"/>
      <c r="Q31" s="743"/>
      <c r="R31" s="743"/>
      <c r="S31" s="743"/>
      <c r="U31" s="649"/>
      <c r="V31" s="649"/>
      <c r="W31" s="649"/>
      <c r="X31" s="649"/>
      <c r="Y31" s="649"/>
      <c r="Z31" s="649"/>
      <c r="AA31" s="649"/>
      <c r="AB31" s="649"/>
      <c r="AC31" s="649"/>
      <c r="AD31" s="649"/>
      <c r="AE31" s="649"/>
      <c r="AF31" s="649"/>
      <c r="AG31" s="649"/>
      <c r="AH31" s="649"/>
      <c r="AI31" s="649"/>
      <c r="AJ31" s="649"/>
      <c r="AK31" s="649"/>
      <c r="AL31" s="649"/>
      <c r="AM31" s="649"/>
      <c r="AN31" s="649"/>
      <c r="AO31" s="649"/>
      <c r="AP31" s="649"/>
      <c r="AQ31" s="649"/>
      <c r="AR31" s="649"/>
      <c r="AS31" s="649"/>
      <c r="AT31" s="649"/>
      <c r="AU31" s="649"/>
      <c r="AV31" s="649"/>
      <c r="AW31" s="649"/>
      <c r="AX31" s="649"/>
      <c r="AY31" s="649"/>
      <c r="AZ31" s="649"/>
      <c r="BA31" s="649"/>
      <c r="BB31" s="649"/>
      <c r="BC31" s="649"/>
      <c r="BD31" s="649"/>
    </row>
    <row r="32" spans="1:56" s="648" customFormat="1" ht="12" customHeight="1">
      <c r="A32" s="726"/>
      <c r="B32" s="725">
        <v>43105</v>
      </c>
      <c r="C32" s="724" t="s">
        <v>451</v>
      </c>
      <c r="D32" s="723">
        <v>147.69999999999999</v>
      </c>
      <c r="E32" s="723">
        <f t="shared" si="4"/>
        <v>115.94999999999999</v>
      </c>
      <c r="F32" s="723">
        <v>12.75</v>
      </c>
      <c r="G32" s="723"/>
      <c r="H32" s="723"/>
      <c r="I32" s="723">
        <v>31.75</v>
      </c>
      <c r="J32" s="723"/>
      <c r="K32" s="723"/>
      <c r="L32" s="723"/>
      <c r="M32" s="723"/>
      <c r="N32" s="723"/>
      <c r="O32" s="743"/>
      <c r="P32" s="743"/>
      <c r="Q32" s="743"/>
      <c r="R32" s="743"/>
      <c r="S32" s="743"/>
      <c r="U32" s="649"/>
      <c r="V32" s="649"/>
      <c r="W32" s="649"/>
      <c r="X32" s="649"/>
      <c r="Y32" s="649"/>
      <c r="Z32" s="649"/>
      <c r="AA32" s="649"/>
      <c r="AB32" s="649"/>
      <c r="AC32" s="649"/>
      <c r="AD32" s="649"/>
      <c r="AE32" s="649"/>
      <c r="AF32" s="649"/>
      <c r="AG32" s="649"/>
      <c r="AH32" s="649"/>
      <c r="AI32" s="649"/>
      <c r="AJ32" s="649"/>
      <c r="AK32" s="649"/>
      <c r="AL32" s="649"/>
      <c r="AM32" s="649"/>
      <c r="AN32" s="649"/>
      <c r="AO32" s="649"/>
      <c r="AP32" s="649"/>
      <c r="AQ32" s="649"/>
      <c r="AR32" s="649"/>
      <c r="AS32" s="649"/>
      <c r="AT32" s="649"/>
      <c r="AU32" s="649"/>
      <c r="AV32" s="649"/>
      <c r="AW32" s="649"/>
      <c r="AX32" s="649"/>
      <c r="AY32" s="649"/>
      <c r="AZ32" s="649"/>
      <c r="BA32" s="649"/>
      <c r="BB32" s="649"/>
      <c r="BC32" s="649"/>
      <c r="BD32" s="649"/>
    </row>
    <row r="33" spans="1:56" s="648" customFormat="1" ht="12" customHeight="1">
      <c r="A33" s="726"/>
      <c r="B33" s="725">
        <v>43105</v>
      </c>
      <c r="C33" s="724" t="s">
        <v>40</v>
      </c>
      <c r="D33" s="723">
        <v>32</v>
      </c>
      <c r="E33" s="723">
        <f t="shared" si="4"/>
        <v>32</v>
      </c>
      <c r="F33" s="723"/>
      <c r="G33" s="723"/>
      <c r="H33" s="723"/>
      <c r="I33" s="723"/>
      <c r="J33" s="723"/>
      <c r="K33" s="723"/>
      <c r="L33" s="723"/>
      <c r="M33" s="723"/>
      <c r="N33" s="723"/>
      <c r="O33" s="743"/>
      <c r="P33" s="743"/>
      <c r="Q33" s="743"/>
      <c r="R33" s="743"/>
      <c r="S33" s="743"/>
      <c r="U33" s="649"/>
      <c r="V33" s="649"/>
      <c r="W33" s="649"/>
      <c r="X33" s="649"/>
      <c r="Y33" s="649"/>
      <c r="Z33" s="649"/>
      <c r="AA33" s="649"/>
      <c r="AB33" s="649"/>
      <c r="AC33" s="649"/>
      <c r="AD33" s="649"/>
      <c r="AE33" s="649"/>
      <c r="AF33" s="649"/>
      <c r="AG33" s="649"/>
      <c r="AH33" s="649"/>
      <c r="AI33" s="649"/>
      <c r="AJ33" s="649"/>
      <c r="AK33" s="649"/>
      <c r="AL33" s="649"/>
      <c r="AM33" s="649"/>
      <c r="AN33" s="649"/>
      <c r="AO33" s="649"/>
      <c r="AP33" s="649"/>
      <c r="AQ33" s="649"/>
      <c r="AR33" s="649"/>
      <c r="AS33" s="649"/>
      <c r="AT33" s="649"/>
      <c r="AU33" s="649"/>
      <c r="AV33" s="649"/>
      <c r="AW33" s="649"/>
      <c r="AX33" s="649"/>
      <c r="AY33" s="649"/>
      <c r="AZ33" s="649"/>
      <c r="BA33" s="649"/>
      <c r="BB33" s="649"/>
      <c r="BC33" s="649"/>
      <c r="BD33" s="649"/>
    </row>
    <row r="34" spans="1:56" s="648" customFormat="1" ht="12" customHeight="1">
      <c r="A34" s="726"/>
      <c r="B34" s="725">
        <v>43106</v>
      </c>
      <c r="C34" s="724" t="s">
        <v>451</v>
      </c>
      <c r="D34" s="723">
        <v>103.15</v>
      </c>
      <c r="E34" s="723">
        <f t="shared" si="4"/>
        <v>53.300000000000004</v>
      </c>
      <c r="F34" s="723"/>
      <c r="G34" s="723"/>
      <c r="H34" s="723"/>
      <c r="I34" s="723">
        <v>49.85</v>
      </c>
      <c r="J34" s="723"/>
      <c r="K34" s="723"/>
      <c r="L34" s="723"/>
      <c r="M34" s="723"/>
      <c r="N34" s="723"/>
      <c r="O34" s="743"/>
      <c r="P34" s="743"/>
      <c r="Q34" s="743"/>
      <c r="R34" s="743"/>
      <c r="S34" s="743"/>
      <c r="U34" s="649"/>
      <c r="V34" s="649"/>
      <c r="W34" s="649"/>
      <c r="X34" s="649"/>
      <c r="Y34" s="649"/>
      <c r="Z34" s="649"/>
      <c r="AA34" s="649"/>
      <c r="AB34" s="649"/>
      <c r="AC34" s="649"/>
      <c r="AD34" s="649"/>
      <c r="AE34" s="649"/>
      <c r="AF34" s="649"/>
      <c r="AG34" s="649"/>
      <c r="AH34" s="649"/>
      <c r="AI34" s="649"/>
      <c r="AJ34" s="649"/>
      <c r="AK34" s="649"/>
      <c r="AL34" s="649"/>
      <c r="AM34" s="649"/>
      <c r="AN34" s="649"/>
      <c r="AO34" s="649"/>
      <c r="AP34" s="649"/>
      <c r="AQ34" s="649"/>
      <c r="AR34" s="649"/>
      <c r="AS34" s="649"/>
      <c r="AT34" s="649"/>
      <c r="AU34" s="649"/>
      <c r="AV34" s="649"/>
      <c r="AW34" s="649"/>
      <c r="AX34" s="649"/>
      <c r="AY34" s="649"/>
      <c r="AZ34" s="649"/>
      <c r="BA34" s="649"/>
      <c r="BB34" s="649"/>
      <c r="BC34" s="649"/>
      <c r="BD34" s="649"/>
    </row>
    <row r="35" spans="1:56" s="648" customFormat="1" ht="12" customHeight="1">
      <c r="A35" s="726"/>
      <c r="B35" s="725">
        <v>43107</v>
      </c>
      <c r="C35" s="724" t="s">
        <v>40</v>
      </c>
      <c r="D35" s="723">
        <v>34.9</v>
      </c>
      <c r="E35" s="723">
        <f t="shared" si="4"/>
        <v>14.899999999999999</v>
      </c>
      <c r="F35" s="723">
        <v>10.95</v>
      </c>
      <c r="G35" s="723"/>
      <c r="H35" s="723"/>
      <c r="I35" s="723">
        <v>20</v>
      </c>
      <c r="J35" s="723"/>
      <c r="K35" s="723"/>
      <c r="L35" s="723"/>
      <c r="M35" s="723"/>
      <c r="N35" s="723"/>
      <c r="O35" s="743"/>
      <c r="P35" s="743"/>
      <c r="Q35" s="743"/>
      <c r="R35" s="743"/>
      <c r="S35" s="743"/>
      <c r="U35" s="649"/>
      <c r="V35" s="649"/>
      <c r="W35" s="649"/>
      <c r="X35" s="649"/>
      <c r="Y35" s="649"/>
      <c r="Z35" s="649"/>
      <c r="AA35" s="649"/>
      <c r="AB35" s="649"/>
      <c r="AC35" s="649"/>
      <c r="AD35" s="649"/>
      <c r="AE35" s="649"/>
      <c r="AF35" s="649"/>
      <c r="AG35" s="649"/>
      <c r="AH35" s="649"/>
      <c r="AI35" s="649"/>
      <c r="AJ35" s="649"/>
      <c r="AK35" s="649"/>
      <c r="AL35" s="649"/>
      <c r="AM35" s="649"/>
      <c r="AN35" s="649"/>
      <c r="AO35" s="649"/>
      <c r="AP35" s="649"/>
      <c r="AQ35" s="649"/>
      <c r="AR35" s="649"/>
      <c r="AS35" s="649"/>
      <c r="AT35" s="649"/>
      <c r="AU35" s="649"/>
      <c r="AV35" s="649"/>
      <c r="AW35" s="649"/>
      <c r="AX35" s="649"/>
      <c r="AY35" s="649"/>
      <c r="AZ35" s="649"/>
      <c r="BA35" s="649"/>
      <c r="BB35" s="649"/>
      <c r="BC35" s="649"/>
      <c r="BD35" s="649"/>
    </row>
    <row r="36" spans="1:56" s="648" customFormat="1" ht="12" customHeight="1">
      <c r="A36" s="726"/>
      <c r="B36" s="725">
        <v>43107</v>
      </c>
      <c r="C36" s="724" t="s">
        <v>451</v>
      </c>
      <c r="D36" s="723">
        <v>52.3</v>
      </c>
      <c r="E36" s="723">
        <f t="shared" si="4"/>
        <v>52.3</v>
      </c>
      <c r="F36" s="723">
        <v>25.5</v>
      </c>
      <c r="G36" s="723"/>
      <c r="H36" s="723"/>
      <c r="I36" s="723"/>
      <c r="J36" s="723"/>
      <c r="K36" s="723"/>
      <c r="L36" s="723"/>
      <c r="M36" s="723"/>
      <c r="N36" s="723"/>
      <c r="O36" s="743"/>
      <c r="P36" s="743"/>
      <c r="Q36" s="743"/>
      <c r="R36" s="743"/>
      <c r="S36" s="743"/>
      <c r="U36" s="649"/>
      <c r="V36" s="649"/>
      <c r="W36" s="649"/>
      <c r="X36" s="649"/>
      <c r="Y36" s="649"/>
      <c r="Z36" s="649"/>
      <c r="AA36" s="649"/>
      <c r="AB36" s="649"/>
      <c r="AC36" s="649"/>
      <c r="AD36" s="649"/>
      <c r="AE36" s="649"/>
      <c r="AF36" s="649"/>
      <c r="AG36" s="649"/>
      <c r="AH36" s="649"/>
      <c r="AI36" s="649"/>
      <c r="AJ36" s="649"/>
      <c r="AK36" s="649"/>
      <c r="AL36" s="649"/>
      <c r="AM36" s="649"/>
      <c r="AN36" s="649"/>
      <c r="AO36" s="649"/>
      <c r="AP36" s="649"/>
      <c r="AQ36" s="649"/>
      <c r="AR36" s="649"/>
      <c r="AS36" s="649"/>
      <c r="AT36" s="649"/>
      <c r="AU36" s="649"/>
      <c r="AV36" s="649"/>
      <c r="AW36" s="649"/>
      <c r="AX36" s="649"/>
      <c r="AY36" s="649"/>
      <c r="AZ36" s="649"/>
      <c r="BA36" s="649"/>
      <c r="BB36" s="649"/>
      <c r="BC36" s="649"/>
      <c r="BD36" s="649"/>
    </row>
    <row r="37" spans="1:56" s="648" customFormat="1" ht="12" customHeight="1">
      <c r="A37" s="726"/>
      <c r="B37" s="725">
        <v>43107</v>
      </c>
      <c r="C37" s="724" t="s">
        <v>39</v>
      </c>
      <c r="D37" s="723">
        <v>79.849999999999994</v>
      </c>
      <c r="E37" s="723">
        <f t="shared" si="4"/>
        <v>79.849999999999994</v>
      </c>
      <c r="F37" s="723"/>
      <c r="G37" s="723"/>
      <c r="H37" s="723"/>
      <c r="I37" s="723"/>
      <c r="J37" s="723"/>
      <c r="K37" s="723"/>
      <c r="L37" s="723"/>
      <c r="M37" s="723"/>
      <c r="N37" s="723"/>
      <c r="O37" s="743"/>
      <c r="P37" s="743"/>
      <c r="Q37" s="743"/>
      <c r="R37" s="743"/>
      <c r="S37" s="743"/>
      <c r="U37" s="649"/>
      <c r="V37" s="649"/>
      <c r="W37" s="649"/>
      <c r="X37" s="649"/>
      <c r="Y37" s="649"/>
      <c r="Z37" s="649"/>
      <c r="AA37" s="649"/>
      <c r="AB37" s="649"/>
      <c r="AC37" s="649"/>
      <c r="AD37" s="649"/>
      <c r="AE37" s="649"/>
      <c r="AF37" s="649"/>
      <c r="AG37" s="649"/>
      <c r="AH37" s="649"/>
      <c r="AI37" s="649"/>
      <c r="AJ37" s="649"/>
      <c r="AK37" s="649"/>
      <c r="AL37" s="649"/>
      <c r="AM37" s="649"/>
      <c r="AN37" s="649"/>
      <c r="AO37" s="649"/>
      <c r="AP37" s="649"/>
      <c r="AQ37" s="649"/>
      <c r="AR37" s="649"/>
      <c r="AS37" s="649"/>
      <c r="AT37" s="649"/>
      <c r="AU37" s="649"/>
      <c r="AV37" s="649"/>
      <c r="AW37" s="649"/>
      <c r="AX37" s="649"/>
      <c r="AY37" s="649"/>
      <c r="AZ37" s="649"/>
      <c r="BA37" s="649"/>
      <c r="BB37" s="649"/>
      <c r="BC37" s="649"/>
      <c r="BD37" s="649"/>
    </row>
    <row r="38" spans="1:56" s="648" customFormat="1" ht="12" customHeight="1">
      <c r="A38" s="726"/>
      <c r="B38" s="725">
        <v>43108</v>
      </c>
      <c r="C38" s="724" t="s">
        <v>40</v>
      </c>
      <c r="D38" s="723">
        <v>93.95</v>
      </c>
      <c r="E38" s="723">
        <f t="shared" si="4"/>
        <v>93.95</v>
      </c>
      <c r="F38" s="723"/>
      <c r="G38" s="723"/>
      <c r="H38" s="723"/>
      <c r="I38" s="723"/>
      <c r="J38" s="723"/>
      <c r="K38" s="723"/>
      <c r="L38" s="723"/>
      <c r="M38" s="723"/>
      <c r="N38" s="723"/>
      <c r="O38" s="743"/>
      <c r="P38" s="743"/>
      <c r="Q38" s="743"/>
      <c r="R38" s="743"/>
      <c r="S38" s="743"/>
      <c r="U38" s="649"/>
      <c r="V38" s="649"/>
      <c r="W38" s="649"/>
      <c r="X38" s="649"/>
      <c r="Y38" s="649"/>
      <c r="Z38" s="649"/>
      <c r="AA38" s="649"/>
      <c r="AB38" s="649"/>
      <c r="AC38" s="649"/>
      <c r="AD38" s="649"/>
      <c r="AE38" s="649"/>
      <c r="AF38" s="649"/>
      <c r="AG38" s="649"/>
      <c r="AH38" s="649"/>
      <c r="AI38" s="649"/>
      <c r="AJ38" s="649"/>
      <c r="AK38" s="649"/>
      <c r="AL38" s="649"/>
      <c r="AM38" s="649"/>
      <c r="AN38" s="649"/>
      <c r="AO38" s="649"/>
      <c r="AP38" s="649"/>
      <c r="AQ38" s="649"/>
      <c r="AR38" s="649"/>
      <c r="AS38" s="649"/>
      <c r="AT38" s="649"/>
      <c r="AU38" s="649"/>
      <c r="AV38" s="649"/>
      <c r="AW38" s="649"/>
      <c r="AX38" s="649"/>
      <c r="AY38" s="649"/>
      <c r="AZ38" s="649"/>
      <c r="BA38" s="649"/>
      <c r="BB38" s="649"/>
      <c r="BC38" s="649"/>
      <c r="BD38" s="649"/>
    </row>
    <row r="39" spans="1:56" s="648" customFormat="1" ht="12" customHeight="1">
      <c r="A39" s="726"/>
      <c r="B39" s="725">
        <v>43109</v>
      </c>
      <c r="C39" s="724" t="s">
        <v>39</v>
      </c>
      <c r="D39" s="723">
        <v>60</v>
      </c>
      <c r="E39" s="723">
        <f t="shared" si="4"/>
        <v>60</v>
      </c>
      <c r="F39" s="723"/>
      <c r="G39" s="723"/>
      <c r="H39" s="723"/>
      <c r="I39" s="723"/>
      <c r="J39" s="723"/>
      <c r="K39" s="723"/>
      <c r="L39" s="723"/>
      <c r="M39" s="723"/>
      <c r="N39" s="723"/>
      <c r="O39" s="743"/>
      <c r="P39" s="743"/>
      <c r="Q39" s="743"/>
      <c r="R39" s="743"/>
      <c r="S39" s="743"/>
      <c r="U39" s="649"/>
      <c r="V39" s="649"/>
      <c r="W39" s="649"/>
      <c r="X39" s="649"/>
      <c r="Y39" s="649"/>
      <c r="Z39" s="649"/>
      <c r="AA39" s="649"/>
      <c r="AB39" s="649"/>
      <c r="AC39" s="649"/>
      <c r="AD39" s="649"/>
      <c r="AE39" s="649"/>
      <c r="AF39" s="649"/>
      <c r="AG39" s="649"/>
      <c r="AH39" s="649"/>
      <c r="AI39" s="649"/>
      <c r="AJ39" s="649"/>
      <c r="AK39" s="649"/>
      <c r="AL39" s="649"/>
      <c r="AM39" s="649"/>
      <c r="AN39" s="649"/>
      <c r="AO39" s="649"/>
      <c r="AP39" s="649"/>
      <c r="AQ39" s="649"/>
      <c r="AR39" s="649"/>
      <c r="AS39" s="649"/>
      <c r="AT39" s="649"/>
      <c r="AU39" s="649"/>
      <c r="AV39" s="649"/>
      <c r="AW39" s="649"/>
      <c r="AX39" s="649"/>
      <c r="AY39" s="649"/>
      <c r="AZ39" s="649"/>
      <c r="BA39" s="649"/>
      <c r="BB39" s="649"/>
      <c r="BC39" s="649"/>
      <c r="BD39" s="649"/>
    </row>
    <row r="40" spans="1:56" s="648" customFormat="1" ht="12" customHeight="1">
      <c r="A40" s="726"/>
      <c r="B40" s="725">
        <v>43110</v>
      </c>
      <c r="C40" s="724" t="s">
        <v>723</v>
      </c>
      <c r="D40" s="723">
        <v>20</v>
      </c>
      <c r="E40" s="723">
        <f t="shared" si="4"/>
        <v>20</v>
      </c>
      <c r="F40" s="723"/>
      <c r="G40" s="723"/>
      <c r="H40" s="723"/>
      <c r="I40" s="723"/>
      <c r="J40" s="723"/>
      <c r="K40" s="723"/>
      <c r="L40" s="723"/>
      <c r="M40" s="723"/>
      <c r="N40" s="723"/>
      <c r="O40" s="743"/>
      <c r="P40" s="743"/>
      <c r="Q40" s="743"/>
      <c r="R40" s="743"/>
      <c r="S40" s="743"/>
      <c r="U40" s="649"/>
      <c r="V40" s="649"/>
      <c r="W40" s="649"/>
      <c r="X40" s="649"/>
      <c r="Y40" s="649"/>
      <c r="Z40" s="649"/>
      <c r="AA40" s="649"/>
      <c r="AB40" s="649"/>
      <c r="AC40" s="649"/>
      <c r="AD40" s="649"/>
      <c r="AE40" s="649"/>
      <c r="AF40" s="649"/>
      <c r="AG40" s="649"/>
      <c r="AH40" s="649"/>
      <c r="AI40" s="649"/>
      <c r="AJ40" s="649"/>
      <c r="AK40" s="649"/>
      <c r="AL40" s="649"/>
      <c r="AM40" s="649"/>
      <c r="AN40" s="649"/>
      <c r="AO40" s="649"/>
      <c r="AP40" s="649"/>
      <c r="AQ40" s="649"/>
      <c r="AR40" s="649"/>
      <c r="AS40" s="649"/>
      <c r="AT40" s="649"/>
      <c r="AU40" s="649"/>
      <c r="AV40" s="649"/>
      <c r="AW40" s="649"/>
      <c r="AX40" s="649"/>
      <c r="AY40" s="649"/>
      <c r="AZ40" s="649"/>
      <c r="BA40" s="649"/>
      <c r="BB40" s="649"/>
      <c r="BC40" s="649"/>
      <c r="BD40" s="649"/>
    </row>
    <row r="41" spans="1:56" s="648" customFormat="1" ht="12" customHeight="1">
      <c r="A41" s="726"/>
      <c r="B41" s="725">
        <v>43110</v>
      </c>
      <c r="C41" s="724" t="s">
        <v>39</v>
      </c>
      <c r="D41" s="723">
        <v>55.4</v>
      </c>
      <c r="E41" s="723">
        <f t="shared" si="4"/>
        <v>55.4</v>
      </c>
      <c r="F41" s="723"/>
      <c r="G41" s="723"/>
      <c r="H41" s="723"/>
      <c r="I41" s="723"/>
      <c r="J41" s="723"/>
      <c r="K41" s="723"/>
      <c r="L41" s="723"/>
      <c r="M41" s="723"/>
      <c r="N41" s="723"/>
      <c r="O41" s="743"/>
      <c r="P41" s="743"/>
      <c r="Q41" s="743"/>
      <c r="R41" s="743"/>
      <c r="S41" s="743"/>
      <c r="U41" s="649"/>
      <c r="V41" s="649"/>
      <c r="W41" s="649"/>
      <c r="X41" s="649"/>
      <c r="Y41" s="649"/>
      <c r="Z41" s="649"/>
      <c r="AA41" s="649"/>
      <c r="AB41" s="649"/>
      <c r="AC41" s="649"/>
      <c r="AD41" s="649"/>
      <c r="AE41" s="649"/>
      <c r="AF41" s="649"/>
      <c r="AG41" s="649"/>
      <c r="AH41" s="649"/>
      <c r="AI41" s="649"/>
      <c r="AJ41" s="649"/>
      <c r="AK41" s="649"/>
      <c r="AL41" s="649"/>
      <c r="AM41" s="649"/>
      <c r="AN41" s="649"/>
      <c r="AO41" s="649"/>
      <c r="AP41" s="649"/>
      <c r="AQ41" s="649"/>
      <c r="AR41" s="649"/>
      <c r="AS41" s="649"/>
      <c r="AT41" s="649"/>
      <c r="AU41" s="649"/>
      <c r="AV41" s="649"/>
      <c r="AW41" s="649"/>
      <c r="AX41" s="649"/>
      <c r="AY41" s="649"/>
      <c r="AZ41" s="649"/>
      <c r="BA41" s="649"/>
      <c r="BB41" s="649"/>
      <c r="BC41" s="649"/>
      <c r="BD41" s="649"/>
    </row>
    <row r="42" spans="1:56" s="648" customFormat="1" ht="12" customHeight="1">
      <c r="A42" s="726"/>
      <c r="B42" s="725">
        <v>43114</v>
      </c>
      <c r="C42" s="724" t="s">
        <v>451</v>
      </c>
      <c r="D42" s="723">
        <v>87.6</v>
      </c>
      <c r="E42" s="723">
        <f t="shared" si="4"/>
        <v>71.849999999999994</v>
      </c>
      <c r="F42" s="723"/>
      <c r="G42" s="723"/>
      <c r="H42" s="723"/>
      <c r="I42" s="723">
        <v>15.75</v>
      </c>
      <c r="J42" s="723"/>
      <c r="K42" s="723"/>
      <c r="L42" s="723"/>
      <c r="M42" s="723"/>
      <c r="N42" s="723"/>
      <c r="O42" s="743"/>
      <c r="P42" s="743"/>
      <c r="Q42" s="743"/>
      <c r="R42" s="743"/>
      <c r="S42" s="743"/>
      <c r="U42" s="649"/>
      <c r="V42" s="649"/>
      <c r="W42" s="649"/>
      <c r="X42" s="649"/>
      <c r="Y42" s="649"/>
      <c r="Z42" s="649"/>
      <c r="AA42" s="649"/>
      <c r="AB42" s="649"/>
      <c r="AC42" s="649"/>
      <c r="AD42" s="649"/>
      <c r="AE42" s="649"/>
      <c r="AF42" s="649"/>
      <c r="AG42" s="649"/>
      <c r="AH42" s="649"/>
      <c r="AI42" s="649"/>
      <c r="AJ42" s="649"/>
      <c r="AK42" s="649"/>
      <c r="AL42" s="649"/>
      <c r="AM42" s="649"/>
      <c r="AN42" s="649"/>
      <c r="AO42" s="649"/>
      <c r="AP42" s="649"/>
      <c r="AQ42" s="649"/>
      <c r="AR42" s="649"/>
      <c r="AS42" s="649"/>
      <c r="AT42" s="649"/>
      <c r="AU42" s="649"/>
      <c r="AV42" s="649"/>
      <c r="AW42" s="649"/>
      <c r="AX42" s="649"/>
      <c r="AY42" s="649"/>
      <c r="AZ42" s="649"/>
      <c r="BA42" s="649"/>
      <c r="BB42" s="649"/>
      <c r="BC42" s="649"/>
      <c r="BD42" s="649"/>
    </row>
    <row r="43" spans="1:56" s="648" customFormat="1" ht="12" customHeight="1">
      <c r="A43" s="726"/>
      <c r="B43" s="725">
        <v>43115</v>
      </c>
      <c r="C43" s="724" t="s">
        <v>216</v>
      </c>
      <c r="D43" s="723">
        <v>60.75</v>
      </c>
      <c r="E43" s="723">
        <f t="shared" si="4"/>
        <v>60.75</v>
      </c>
      <c r="F43" s="723"/>
      <c r="G43" s="723"/>
      <c r="H43" s="723"/>
      <c r="I43" s="723"/>
      <c r="J43" s="723"/>
      <c r="K43" s="723"/>
      <c r="L43" s="723"/>
      <c r="M43" s="723"/>
      <c r="N43" s="723"/>
      <c r="O43" s="743"/>
      <c r="P43" s="743"/>
      <c r="Q43" s="743"/>
      <c r="R43" s="743"/>
      <c r="S43" s="743"/>
      <c r="U43" s="649"/>
      <c r="V43" s="649"/>
      <c r="W43" s="649"/>
      <c r="X43" s="649"/>
      <c r="Y43" s="649"/>
      <c r="Z43" s="649"/>
      <c r="AA43" s="649"/>
      <c r="AB43" s="649"/>
      <c r="AC43" s="649"/>
      <c r="AD43" s="649"/>
      <c r="AE43" s="649"/>
      <c r="AF43" s="649"/>
      <c r="AG43" s="649"/>
      <c r="AH43" s="649"/>
      <c r="AI43" s="649"/>
      <c r="AJ43" s="649"/>
      <c r="AK43" s="649"/>
      <c r="AL43" s="649"/>
      <c r="AM43" s="649"/>
      <c r="AN43" s="649"/>
      <c r="AO43" s="649"/>
      <c r="AP43" s="649"/>
      <c r="AQ43" s="649"/>
      <c r="AR43" s="649"/>
      <c r="AS43" s="649"/>
      <c r="AT43" s="649"/>
      <c r="AU43" s="649"/>
      <c r="AV43" s="649"/>
      <c r="AW43" s="649"/>
      <c r="AX43" s="649"/>
      <c r="AY43" s="649"/>
      <c r="AZ43" s="649"/>
      <c r="BA43" s="649"/>
      <c r="BB43" s="649"/>
      <c r="BC43" s="649"/>
      <c r="BD43" s="649"/>
    </row>
    <row r="44" spans="1:56" s="648" customFormat="1" ht="12" customHeight="1">
      <c r="A44" s="726"/>
      <c r="B44" s="725">
        <v>43115</v>
      </c>
      <c r="C44" s="724" t="s">
        <v>716</v>
      </c>
      <c r="D44" s="723">
        <v>50</v>
      </c>
      <c r="E44" s="723">
        <f t="shared" si="4"/>
        <v>50</v>
      </c>
      <c r="F44" s="723"/>
      <c r="G44" s="723"/>
      <c r="H44" s="723"/>
      <c r="I44" s="723"/>
      <c r="J44" s="723"/>
      <c r="K44" s="723"/>
      <c r="L44" s="723"/>
      <c r="M44" s="723"/>
      <c r="N44" s="723"/>
      <c r="O44" s="743"/>
      <c r="P44" s="743"/>
      <c r="Q44" s="743"/>
      <c r="R44" s="743"/>
      <c r="S44" s="743"/>
      <c r="U44" s="649"/>
      <c r="V44" s="649"/>
      <c r="W44" s="649"/>
      <c r="X44" s="649"/>
      <c r="Y44" s="649"/>
      <c r="Z44" s="649"/>
      <c r="AA44" s="649"/>
      <c r="AB44" s="649"/>
      <c r="AC44" s="649"/>
      <c r="AD44" s="649"/>
      <c r="AE44" s="649"/>
      <c r="AF44" s="649"/>
      <c r="AG44" s="649"/>
      <c r="AH44" s="649"/>
      <c r="AI44" s="649"/>
      <c r="AJ44" s="649"/>
      <c r="AK44" s="649"/>
      <c r="AL44" s="649"/>
      <c r="AM44" s="649"/>
      <c r="AN44" s="649"/>
      <c r="AO44" s="649"/>
      <c r="AP44" s="649"/>
      <c r="AQ44" s="649"/>
      <c r="AR44" s="649"/>
      <c r="AS44" s="649"/>
      <c r="AT44" s="649"/>
      <c r="AU44" s="649"/>
      <c r="AV44" s="649"/>
      <c r="AW44" s="649"/>
      <c r="AX44" s="649"/>
      <c r="AY44" s="649"/>
      <c r="AZ44" s="649"/>
      <c r="BA44" s="649"/>
      <c r="BB44" s="649"/>
      <c r="BC44" s="649"/>
      <c r="BD44" s="649"/>
    </row>
    <row r="45" spans="1:56" s="648" customFormat="1" ht="12" customHeight="1">
      <c r="A45" s="726"/>
      <c r="B45" s="725">
        <v>43115</v>
      </c>
      <c r="C45" s="724" t="s">
        <v>39</v>
      </c>
      <c r="D45" s="723">
        <v>72.849999999999994</v>
      </c>
      <c r="E45" s="723">
        <f t="shared" si="4"/>
        <v>72.849999999999994</v>
      </c>
      <c r="F45" s="723"/>
      <c r="G45" s="723"/>
      <c r="H45" s="723"/>
      <c r="I45" s="723"/>
      <c r="J45" s="723"/>
      <c r="K45" s="723"/>
      <c r="L45" s="723"/>
      <c r="M45" s="723"/>
      <c r="N45" s="723"/>
      <c r="O45" s="743"/>
      <c r="P45" s="743"/>
      <c r="Q45" s="743"/>
      <c r="R45" s="743"/>
      <c r="S45" s="743"/>
      <c r="U45" s="649"/>
      <c r="V45" s="649"/>
      <c r="W45" s="649"/>
      <c r="X45" s="649"/>
      <c r="Y45" s="649"/>
      <c r="Z45" s="649"/>
      <c r="AA45" s="649"/>
      <c r="AB45" s="649"/>
      <c r="AC45" s="649"/>
      <c r="AD45" s="649"/>
      <c r="AE45" s="649"/>
      <c r="AF45" s="649"/>
      <c r="AG45" s="649"/>
      <c r="AH45" s="649"/>
      <c r="AI45" s="649"/>
      <c r="AJ45" s="649"/>
      <c r="AK45" s="649"/>
      <c r="AL45" s="649"/>
      <c r="AM45" s="649"/>
      <c r="AN45" s="649"/>
      <c r="AO45" s="649"/>
      <c r="AP45" s="649"/>
      <c r="AQ45" s="649"/>
      <c r="AR45" s="649"/>
      <c r="AS45" s="649"/>
      <c r="AT45" s="649"/>
      <c r="AU45" s="649"/>
      <c r="AV45" s="649"/>
      <c r="AW45" s="649"/>
      <c r="AX45" s="649"/>
      <c r="AY45" s="649"/>
      <c r="AZ45" s="649"/>
      <c r="BA45" s="649"/>
      <c r="BB45" s="649"/>
      <c r="BC45" s="649"/>
      <c r="BD45" s="649"/>
    </row>
    <row r="46" spans="1:56" s="648" customFormat="1" ht="12" customHeight="1">
      <c r="A46" s="726"/>
      <c r="B46" s="725">
        <v>43115</v>
      </c>
      <c r="C46" s="724" t="s">
        <v>451</v>
      </c>
      <c r="D46" s="723">
        <v>119.95</v>
      </c>
      <c r="E46" s="723">
        <f t="shared" si="4"/>
        <v>119.95</v>
      </c>
      <c r="F46" s="723"/>
      <c r="G46" s="723"/>
      <c r="H46" s="723"/>
      <c r="I46" s="723"/>
      <c r="J46" s="723"/>
      <c r="K46" s="723"/>
      <c r="L46" s="723"/>
      <c r="M46" s="723"/>
      <c r="N46" s="723"/>
      <c r="O46" s="743"/>
      <c r="P46" s="743"/>
      <c r="Q46" s="743"/>
      <c r="R46" s="743"/>
      <c r="S46" s="743"/>
      <c r="U46" s="649"/>
      <c r="V46" s="649"/>
      <c r="W46" s="649"/>
      <c r="X46" s="649"/>
      <c r="Y46" s="649"/>
      <c r="Z46" s="649"/>
      <c r="AA46" s="649"/>
      <c r="AB46" s="649"/>
      <c r="AC46" s="649"/>
      <c r="AD46" s="649"/>
      <c r="AE46" s="649"/>
      <c r="AF46" s="649"/>
      <c r="AG46" s="649"/>
      <c r="AH46" s="649"/>
      <c r="AI46" s="649"/>
      <c r="AJ46" s="649"/>
      <c r="AK46" s="649"/>
      <c r="AL46" s="649"/>
      <c r="AM46" s="649"/>
      <c r="AN46" s="649"/>
      <c r="AO46" s="649"/>
      <c r="AP46" s="649"/>
      <c r="AQ46" s="649"/>
      <c r="AR46" s="649"/>
      <c r="AS46" s="649"/>
      <c r="AT46" s="649"/>
      <c r="AU46" s="649"/>
      <c r="AV46" s="649"/>
      <c r="AW46" s="649"/>
      <c r="AX46" s="649"/>
      <c r="AY46" s="649"/>
      <c r="AZ46" s="649"/>
      <c r="BA46" s="649"/>
      <c r="BB46" s="649"/>
      <c r="BC46" s="649"/>
      <c r="BD46" s="649"/>
    </row>
    <row r="47" spans="1:56" s="648" customFormat="1" ht="12" customHeight="1">
      <c r="A47" s="726"/>
      <c r="B47" s="725">
        <v>43116</v>
      </c>
      <c r="C47" s="724" t="s">
        <v>451</v>
      </c>
      <c r="D47" s="723">
        <v>52.15</v>
      </c>
      <c r="E47" s="723">
        <f t="shared" si="4"/>
        <v>52.15</v>
      </c>
      <c r="F47" s="723"/>
      <c r="G47" s="723"/>
      <c r="H47" s="723"/>
      <c r="I47" s="723"/>
      <c r="J47" s="723"/>
      <c r="K47" s="723"/>
      <c r="L47" s="723"/>
      <c r="M47" s="723"/>
      <c r="N47" s="723"/>
      <c r="O47" s="743"/>
      <c r="P47" s="743"/>
      <c r="Q47" s="743"/>
      <c r="R47" s="743"/>
      <c r="S47" s="743"/>
      <c r="U47" s="649"/>
      <c r="V47" s="649"/>
      <c r="W47" s="649"/>
      <c r="X47" s="649"/>
      <c r="Y47" s="649"/>
      <c r="Z47" s="649"/>
      <c r="AA47" s="649"/>
      <c r="AB47" s="649"/>
      <c r="AC47" s="649"/>
      <c r="AD47" s="649"/>
      <c r="AE47" s="649"/>
      <c r="AF47" s="649"/>
      <c r="AG47" s="649"/>
      <c r="AH47" s="649"/>
      <c r="AI47" s="649"/>
      <c r="AJ47" s="649"/>
      <c r="AK47" s="649"/>
      <c r="AL47" s="649"/>
      <c r="AM47" s="649"/>
      <c r="AN47" s="649"/>
      <c r="AO47" s="649"/>
      <c r="AP47" s="649"/>
      <c r="AQ47" s="649"/>
      <c r="AR47" s="649"/>
      <c r="AS47" s="649"/>
      <c r="AT47" s="649"/>
      <c r="AU47" s="649"/>
      <c r="AV47" s="649"/>
      <c r="AW47" s="649"/>
      <c r="AX47" s="649"/>
      <c r="AY47" s="649"/>
      <c r="AZ47" s="649"/>
      <c r="BA47" s="649"/>
      <c r="BB47" s="649"/>
      <c r="BC47" s="649"/>
      <c r="BD47" s="649"/>
    </row>
    <row r="48" spans="1:56" s="648" customFormat="1" ht="12" customHeight="1">
      <c r="A48" s="726"/>
      <c r="B48" s="725">
        <v>43116</v>
      </c>
      <c r="C48" s="724" t="s">
        <v>40</v>
      </c>
      <c r="D48" s="723">
        <v>54.9</v>
      </c>
      <c r="E48" s="723">
        <f t="shared" si="4"/>
        <v>0</v>
      </c>
      <c r="F48" s="723"/>
      <c r="G48" s="723"/>
      <c r="H48" s="723"/>
      <c r="I48" s="723">
        <v>54.9</v>
      </c>
      <c r="J48" s="723"/>
      <c r="K48" s="723"/>
      <c r="L48" s="723"/>
      <c r="M48" s="723"/>
      <c r="N48" s="723"/>
      <c r="O48" s="743"/>
      <c r="P48" s="743"/>
      <c r="Q48" s="743"/>
      <c r="R48" s="743"/>
      <c r="S48" s="743"/>
      <c r="U48" s="649"/>
      <c r="V48" s="649"/>
      <c r="W48" s="649"/>
      <c r="X48" s="649"/>
      <c r="Y48" s="649"/>
      <c r="Z48" s="649"/>
      <c r="AA48" s="649"/>
      <c r="AB48" s="649"/>
      <c r="AC48" s="649"/>
      <c r="AD48" s="649"/>
      <c r="AE48" s="649"/>
      <c r="AF48" s="649"/>
      <c r="AG48" s="649"/>
      <c r="AH48" s="649"/>
      <c r="AI48" s="649"/>
      <c r="AJ48" s="649"/>
      <c r="AK48" s="649"/>
      <c r="AL48" s="649"/>
      <c r="AM48" s="649"/>
      <c r="AN48" s="649"/>
      <c r="AO48" s="649"/>
      <c r="AP48" s="649"/>
      <c r="AQ48" s="649"/>
      <c r="AR48" s="649"/>
      <c r="AS48" s="649"/>
      <c r="AT48" s="649"/>
      <c r="AU48" s="649"/>
      <c r="AV48" s="649"/>
      <c r="AW48" s="649"/>
      <c r="AX48" s="649"/>
      <c r="AY48" s="649"/>
      <c r="AZ48" s="649"/>
      <c r="BA48" s="649"/>
      <c r="BB48" s="649"/>
      <c r="BC48" s="649"/>
      <c r="BD48" s="649"/>
    </row>
    <row r="49" spans="1:56" s="648" customFormat="1" ht="12" customHeight="1">
      <c r="A49" s="726"/>
      <c r="B49" s="725">
        <v>43117</v>
      </c>
      <c r="C49" s="724" t="s">
        <v>716</v>
      </c>
      <c r="D49" s="723">
        <v>49.85</v>
      </c>
      <c r="E49" s="723">
        <f t="shared" si="4"/>
        <v>19.950000000000003</v>
      </c>
      <c r="F49" s="723"/>
      <c r="G49" s="723"/>
      <c r="H49" s="723"/>
      <c r="I49" s="723">
        <v>29.9</v>
      </c>
      <c r="J49" s="723"/>
      <c r="K49" s="723"/>
      <c r="L49" s="723"/>
      <c r="M49" s="723"/>
      <c r="N49" s="723"/>
      <c r="O49" s="743"/>
      <c r="P49" s="743"/>
      <c r="Q49" s="743"/>
      <c r="R49" s="743"/>
      <c r="S49" s="743"/>
      <c r="U49" s="649"/>
      <c r="V49" s="649"/>
      <c r="W49" s="649"/>
      <c r="X49" s="649"/>
      <c r="Y49" s="649"/>
      <c r="Z49" s="649"/>
      <c r="AA49" s="649"/>
      <c r="AB49" s="649"/>
      <c r="AC49" s="649"/>
      <c r="AD49" s="649"/>
      <c r="AE49" s="649"/>
      <c r="AF49" s="649"/>
      <c r="AG49" s="649"/>
      <c r="AH49" s="649"/>
      <c r="AI49" s="649"/>
      <c r="AJ49" s="649"/>
      <c r="AK49" s="649"/>
      <c r="AL49" s="649"/>
      <c r="AM49" s="649"/>
      <c r="AN49" s="649"/>
      <c r="AO49" s="649"/>
      <c r="AP49" s="649"/>
      <c r="AQ49" s="649"/>
      <c r="AR49" s="649"/>
      <c r="AS49" s="649"/>
      <c r="AT49" s="649"/>
      <c r="AU49" s="649"/>
      <c r="AV49" s="649"/>
      <c r="AW49" s="649"/>
      <c r="AX49" s="649"/>
      <c r="AY49" s="649"/>
      <c r="AZ49" s="649"/>
      <c r="BA49" s="649"/>
      <c r="BB49" s="649"/>
      <c r="BC49" s="649"/>
      <c r="BD49" s="649"/>
    </row>
    <row r="50" spans="1:56" s="648" customFormat="1" ht="12" customHeight="1">
      <c r="A50" s="726"/>
      <c r="B50" s="725">
        <v>43117</v>
      </c>
      <c r="C50" s="724" t="s">
        <v>723</v>
      </c>
      <c r="D50" s="723">
        <v>40</v>
      </c>
      <c r="E50" s="723">
        <f t="shared" si="4"/>
        <v>40</v>
      </c>
      <c r="F50" s="723"/>
      <c r="G50" s="723"/>
      <c r="H50" s="723"/>
      <c r="I50" s="723"/>
      <c r="J50" s="723"/>
      <c r="K50" s="723"/>
      <c r="L50" s="723"/>
      <c r="M50" s="723"/>
      <c r="N50" s="723"/>
      <c r="O50" s="743"/>
      <c r="P50" s="743"/>
      <c r="Q50" s="743"/>
      <c r="R50" s="743"/>
      <c r="S50" s="743"/>
      <c r="U50" s="649"/>
      <c r="V50" s="649"/>
      <c r="W50" s="649"/>
      <c r="X50" s="649"/>
      <c r="Y50" s="649"/>
      <c r="Z50" s="649"/>
      <c r="AA50" s="649"/>
      <c r="AB50" s="649"/>
      <c r="AC50" s="649"/>
      <c r="AD50" s="649"/>
      <c r="AE50" s="649"/>
      <c r="AF50" s="649"/>
      <c r="AG50" s="649"/>
      <c r="AH50" s="649"/>
      <c r="AI50" s="649"/>
      <c r="AJ50" s="649"/>
      <c r="AK50" s="649"/>
      <c r="AL50" s="649"/>
      <c r="AM50" s="649"/>
      <c r="AN50" s="649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49"/>
      <c r="AZ50" s="649"/>
      <c r="BA50" s="649"/>
      <c r="BB50" s="649"/>
      <c r="BC50" s="649"/>
      <c r="BD50" s="649"/>
    </row>
    <row r="51" spans="1:56" s="648" customFormat="1" ht="12" customHeight="1">
      <c r="A51" s="726"/>
      <c r="B51" s="725">
        <v>43117</v>
      </c>
      <c r="C51" s="724" t="s">
        <v>124</v>
      </c>
      <c r="D51" s="723">
        <v>17.649999999999999</v>
      </c>
      <c r="E51" s="723">
        <f t="shared" si="4"/>
        <v>0</v>
      </c>
      <c r="F51" s="723"/>
      <c r="G51" s="723"/>
      <c r="H51" s="723">
        <v>17.649999999999999</v>
      </c>
      <c r="I51" s="723"/>
      <c r="J51" s="723"/>
      <c r="K51" s="723"/>
      <c r="L51" s="723"/>
      <c r="M51" s="723"/>
      <c r="N51" s="723"/>
      <c r="O51" s="743"/>
      <c r="P51" s="743"/>
      <c r="Q51" s="743"/>
      <c r="R51" s="743"/>
      <c r="S51" s="743"/>
      <c r="U51" s="649"/>
      <c r="V51" s="649"/>
      <c r="W51" s="649"/>
      <c r="X51" s="649"/>
      <c r="Y51" s="649"/>
      <c r="Z51" s="649"/>
      <c r="AA51" s="649"/>
      <c r="AB51" s="649"/>
      <c r="AC51" s="649"/>
      <c r="AD51" s="649"/>
      <c r="AE51" s="649"/>
      <c r="AF51" s="649"/>
      <c r="AG51" s="649"/>
      <c r="AH51" s="649"/>
      <c r="AI51" s="649"/>
      <c r="AJ51" s="649"/>
      <c r="AK51" s="649"/>
      <c r="AL51" s="649"/>
      <c r="AM51" s="649"/>
      <c r="AN51" s="649"/>
      <c r="AO51" s="649"/>
      <c r="AP51" s="649"/>
      <c r="AQ51" s="649"/>
      <c r="AR51" s="649"/>
      <c r="AS51" s="649"/>
      <c r="AT51" s="649"/>
      <c r="AU51" s="649"/>
      <c r="AV51" s="649"/>
      <c r="AW51" s="649"/>
      <c r="AX51" s="649"/>
      <c r="AY51" s="649"/>
      <c r="AZ51" s="649"/>
      <c r="BA51" s="649"/>
      <c r="BB51" s="649"/>
      <c r="BC51" s="649"/>
      <c r="BD51" s="649"/>
    </row>
    <row r="52" spans="1:56" s="648" customFormat="1" ht="12" customHeight="1">
      <c r="A52" s="726"/>
      <c r="B52" s="725">
        <v>43119</v>
      </c>
      <c r="C52" s="724" t="s">
        <v>451</v>
      </c>
      <c r="D52" s="723">
        <v>161</v>
      </c>
      <c r="E52" s="723">
        <f t="shared" si="4"/>
        <v>161</v>
      </c>
      <c r="F52" s="723">
        <v>12.75</v>
      </c>
      <c r="G52" s="723"/>
      <c r="H52" s="723"/>
      <c r="I52" s="723"/>
      <c r="J52" s="723"/>
      <c r="K52" s="723"/>
      <c r="L52" s="723"/>
      <c r="M52" s="723"/>
      <c r="N52" s="723"/>
      <c r="O52" s="743"/>
      <c r="P52" s="743"/>
      <c r="Q52" s="743"/>
      <c r="R52" s="743"/>
      <c r="S52" s="743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  <c r="AE52" s="649"/>
      <c r="AF52" s="649"/>
      <c r="AG52" s="649"/>
      <c r="AH52" s="649"/>
      <c r="AI52" s="649"/>
      <c r="AJ52" s="649"/>
      <c r="AK52" s="649"/>
      <c r="AL52" s="649"/>
      <c r="AM52" s="649"/>
      <c r="AN52" s="649"/>
      <c r="AO52" s="649"/>
      <c r="AP52" s="649"/>
      <c r="AQ52" s="649"/>
      <c r="AR52" s="649"/>
      <c r="AS52" s="649"/>
      <c r="AT52" s="649"/>
      <c r="AU52" s="649"/>
      <c r="AV52" s="649"/>
      <c r="AW52" s="649"/>
      <c r="AX52" s="649"/>
      <c r="AY52" s="649"/>
      <c r="AZ52" s="649"/>
      <c r="BA52" s="649"/>
      <c r="BB52" s="649"/>
      <c r="BC52" s="649"/>
      <c r="BD52" s="649"/>
    </row>
    <row r="53" spans="1:56" s="648" customFormat="1" ht="12" customHeight="1">
      <c r="A53" s="726"/>
      <c r="B53" s="725">
        <v>43119</v>
      </c>
      <c r="C53" s="724" t="s">
        <v>451</v>
      </c>
      <c r="D53" s="723">
        <v>45.2</v>
      </c>
      <c r="E53" s="723">
        <f t="shared" si="4"/>
        <v>45.2</v>
      </c>
      <c r="F53" s="723"/>
      <c r="G53" s="723"/>
      <c r="H53" s="723"/>
      <c r="I53" s="723"/>
      <c r="J53" s="723"/>
      <c r="K53" s="723"/>
      <c r="L53" s="723"/>
      <c r="M53" s="723"/>
      <c r="N53" s="723"/>
      <c r="O53" s="743"/>
      <c r="P53" s="743"/>
      <c r="Q53" s="743"/>
      <c r="R53" s="743"/>
      <c r="S53" s="743"/>
      <c r="U53" s="649"/>
      <c r="V53" s="649"/>
      <c r="W53" s="649"/>
      <c r="X53" s="649"/>
      <c r="Y53" s="649"/>
      <c r="Z53" s="649"/>
      <c r="AA53" s="649"/>
      <c r="AB53" s="649"/>
      <c r="AC53" s="649"/>
      <c r="AD53" s="649"/>
      <c r="AE53" s="649"/>
      <c r="AF53" s="649"/>
      <c r="AG53" s="649"/>
      <c r="AH53" s="649"/>
      <c r="AI53" s="649"/>
      <c r="AJ53" s="649"/>
      <c r="AK53" s="649"/>
      <c r="AL53" s="649"/>
      <c r="AM53" s="649"/>
      <c r="AN53" s="649"/>
      <c r="AO53" s="649"/>
      <c r="AP53" s="649"/>
      <c r="AQ53" s="649"/>
      <c r="AR53" s="649"/>
      <c r="AS53" s="649"/>
      <c r="AT53" s="649"/>
      <c r="AU53" s="649"/>
      <c r="AV53" s="649"/>
      <c r="AW53" s="649"/>
      <c r="AX53" s="649"/>
      <c r="AY53" s="649"/>
      <c r="AZ53" s="649"/>
      <c r="BA53" s="649"/>
      <c r="BB53" s="649"/>
      <c r="BC53" s="649"/>
      <c r="BD53" s="649"/>
    </row>
    <row r="54" spans="1:56" s="648" customFormat="1" ht="12" customHeight="1">
      <c r="A54" s="726"/>
      <c r="B54" s="725">
        <v>43120</v>
      </c>
      <c r="C54" s="724" t="s">
        <v>451</v>
      </c>
      <c r="D54" s="723">
        <v>64</v>
      </c>
      <c r="E54" s="723">
        <f t="shared" si="4"/>
        <v>14</v>
      </c>
      <c r="F54" s="723"/>
      <c r="G54" s="723"/>
      <c r="H54" s="723"/>
      <c r="I54" s="723">
        <v>50</v>
      </c>
      <c r="J54" s="723"/>
      <c r="K54" s="723"/>
      <c r="L54" s="723"/>
      <c r="M54" s="723"/>
      <c r="N54" s="723"/>
      <c r="O54" s="743"/>
      <c r="P54" s="743"/>
      <c r="Q54" s="743"/>
      <c r="R54" s="743"/>
      <c r="S54" s="743"/>
      <c r="U54" s="649"/>
      <c r="V54" s="649"/>
      <c r="W54" s="649"/>
      <c r="X54" s="649"/>
      <c r="Y54" s="649"/>
      <c r="Z54" s="649"/>
      <c r="AA54" s="649"/>
      <c r="AB54" s="649"/>
      <c r="AC54" s="649"/>
      <c r="AD54" s="649"/>
      <c r="AE54" s="649"/>
      <c r="AF54" s="649"/>
      <c r="AG54" s="649"/>
      <c r="AH54" s="649"/>
      <c r="AI54" s="649"/>
      <c r="AJ54" s="649"/>
      <c r="AK54" s="649"/>
      <c r="AL54" s="649"/>
      <c r="AM54" s="649"/>
      <c r="AN54" s="649"/>
      <c r="AO54" s="649"/>
      <c r="AP54" s="649"/>
      <c r="AQ54" s="649"/>
      <c r="AR54" s="649"/>
      <c r="AS54" s="649"/>
      <c r="AT54" s="649"/>
      <c r="AU54" s="649"/>
      <c r="AV54" s="649"/>
      <c r="AW54" s="649"/>
      <c r="AX54" s="649"/>
      <c r="AY54" s="649"/>
      <c r="AZ54" s="649"/>
      <c r="BA54" s="649"/>
      <c r="BB54" s="649"/>
      <c r="BC54" s="649"/>
      <c r="BD54" s="649"/>
    </row>
    <row r="55" spans="1:56" s="648" customFormat="1" ht="12" customHeight="1">
      <c r="A55" s="726"/>
      <c r="B55" s="725">
        <v>43121</v>
      </c>
      <c r="C55" s="724" t="s">
        <v>451</v>
      </c>
      <c r="D55" s="723">
        <v>50</v>
      </c>
      <c r="E55" s="723">
        <f t="shared" si="4"/>
        <v>10</v>
      </c>
      <c r="F55" s="723"/>
      <c r="G55" s="723"/>
      <c r="H55" s="723"/>
      <c r="I55" s="723">
        <v>40</v>
      </c>
      <c r="J55" s="723"/>
      <c r="K55" s="723"/>
      <c r="L55" s="723"/>
      <c r="M55" s="723"/>
      <c r="N55" s="723"/>
      <c r="O55" s="743"/>
      <c r="P55" s="743"/>
      <c r="Q55" s="743"/>
      <c r="R55" s="743"/>
      <c r="S55" s="743"/>
      <c r="U55" s="649"/>
      <c r="V55" s="649"/>
      <c r="W55" s="649"/>
      <c r="X55" s="649"/>
      <c r="Y55" s="649"/>
      <c r="Z55" s="649"/>
      <c r="AA55" s="649"/>
      <c r="AB55" s="649"/>
      <c r="AC55" s="649"/>
      <c r="AD55" s="649"/>
      <c r="AE55" s="649"/>
      <c r="AF55" s="649"/>
      <c r="AG55" s="649"/>
      <c r="AH55" s="649"/>
      <c r="AI55" s="649"/>
      <c r="AJ55" s="649"/>
      <c r="AK55" s="649"/>
      <c r="AL55" s="649"/>
      <c r="AM55" s="649"/>
      <c r="AN55" s="649"/>
      <c r="AO55" s="649"/>
      <c r="AP55" s="649"/>
      <c r="AQ55" s="649"/>
      <c r="AR55" s="649"/>
      <c r="AS55" s="649"/>
      <c r="AT55" s="649"/>
      <c r="AU55" s="649"/>
      <c r="AV55" s="649"/>
      <c r="AW55" s="649"/>
      <c r="AX55" s="649"/>
      <c r="AY55" s="649"/>
      <c r="AZ55" s="649"/>
      <c r="BA55" s="649"/>
      <c r="BB55" s="649"/>
      <c r="BC55" s="649"/>
      <c r="BD55" s="649"/>
    </row>
    <row r="56" spans="1:56" s="648" customFormat="1" ht="12" customHeight="1">
      <c r="A56" s="726"/>
      <c r="B56" s="725">
        <v>43122</v>
      </c>
      <c r="C56" s="724" t="s">
        <v>451</v>
      </c>
      <c r="D56" s="723">
        <v>60.85</v>
      </c>
      <c r="E56" s="723">
        <f t="shared" si="4"/>
        <v>60.85</v>
      </c>
      <c r="F56" s="723"/>
      <c r="G56" s="723"/>
      <c r="H56" s="723"/>
      <c r="I56" s="723"/>
      <c r="J56" s="723"/>
      <c r="K56" s="723"/>
      <c r="L56" s="723"/>
      <c r="M56" s="723"/>
      <c r="N56" s="723"/>
      <c r="O56" s="743"/>
      <c r="P56" s="743"/>
      <c r="Q56" s="743"/>
      <c r="R56" s="743"/>
      <c r="S56" s="743"/>
      <c r="U56" s="649"/>
      <c r="V56" s="649"/>
      <c r="W56" s="649"/>
      <c r="X56" s="649"/>
      <c r="Y56" s="649"/>
      <c r="Z56" s="649"/>
      <c r="AA56" s="649"/>
      <c r="AB56" s="649"/>
      <c r="AC56" s="649"/>
      <c r="AD56" s="649"/>
      <c r="AE56" s="649"/>
      <c r="AF56" s="649"/>
      <c r="AG56" s="649"/>
      <c r="AH56" s="649"/>
      <c r="AI56" s="649"/>
      <c r="AJ56" s="649"/>
      <c r="AK56" s="649"/>
      <c r="AL56" s="649"/>
      <c r="AM56" s="649"/>
      <c r="AN56" s="649"/>
      <c r="AO56" s="649"/>
      <c r="AP56" s="649"/>
      <c r="AQ56" s="649"/>
      <c r="AR56" s="649"/>
      <c r="AS56" s="649"/>
      <c r="AT56" s="649"/>
      <c r="AU56" s="649"/>
      <c r="AV56" s="649"/>
      <c r="AW56" s="649"/>
      <c r="AX56" s="649"/>
      <c r="AY56" s="649"/>
      <c r="AZ56" s="649"/>
      <c r="BA56" s="649"/>
      <c r="BB56" s="649"/>
      <c r="BC56" s="649"/>
      <c r="BD56" s="649"/>
    </row>
    <row r="57" spans="1:56" s="648" customFormat="1" ht="12" customHeight="1">
      <c r="A57" s="726"/>
      <c r="B57" s="725">
        <v>43122</v>
      </c>
      <c r="C57" s="724" t="s">
        <v>124</v>
      </c>
      <c r="D57" s="723">
        <v>14</v>
      </c>
      <c r="E57" s="723">
        <f t="shared" si="4"/>
        <v>0</v>
      </c>
      <c r="F57" s="723"/>
      <c r="G57" s="723"/>
      <c r="H57" s="723">
        <v>14</v>
      </c>
      <c r="I57" s="723"/>
      <c r="J57" s="723"/>
      <c r="K57" s="723"/>
      <c r="L57" s="723"/>
      <c r="M57" s="723"/>
      <c r="N57" s="723"/>
      <c r="O57" s="743"/>
      <c r="P57" s="743"/>
      <c r="Q57" s="743"/>
      <c r="R57" s="743"/>
      <c r="S57" s="743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49"/>
      <c r="AH57" s="649"/>
      <c r="AI57" s="649"/>
      <c r="AJ57" s="649"/>
      <c r="AK57" s="649"/>
      <c r="AL57" s="649"/>
      <c r="AM57" s="649"/>
      <c r="AN57" s="649"/>
      <c r="AO57" s="649"/>
      <c r="AP57" s="649"/>
      <c r="AQ57" s="649"/>
      <c r="AR57" s="649"/>
      <c r="AS57" s="649"/>
      <c r="AT57" s="649"/>
      <c r="AU57" s="649"/>
      <c r="AV57" s="649"/>
      <c r="AW57" s="649"/>
      <c r="AX57" s="649"/>
      <c r="AY57" s="649"/>
      <c r="AZ57" s="649"/>
      <c r="BA57" s="649"/>
      <c r="BB57" s="649"/>
      <c r="BC57" s="649"/>
      <c r="BD57" s="649"/>
    </row>
    <row r="58" spans="1:56" s="648" customFormat="1" ht="12" customHeight="1">
      <c r="A58" s="726"/>
      <c r="B58" s="725">
        <v>43123</v>
      </c>
      <c r="C58" s="724" t="s">
        <v>40</v>
      </c>
      <c r="D58" s="723">
        <v>49.9</v>
      </c>
      <c r="E58" s="723">
        <f t="shared" si="4"/>
        <v>10</v>
      </c>
      <c r="F58" s="723"/>
      <c r="G58" s="723"/>
      <c r="H58" s="723"/>
      <c r="I58" s="723">
        <v>39.9</v>
      </c>
      <c r="J58" s="723"/>
      <c r="K58" s="723"/>
      <c r="L58" s="723"/>
      <c r="M58" s="723"/>
      <c r="N58" s="723"/>
      <c r="O58" s="743"/>
      <c r="P58" s="743"/>
      <c r="Q58" s="743"/>
      <c r="R58" s="743"/>
      <c r="S58" s="743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  <c r="AS58" s="649"/>
      <c r="AT58" s="649"/>
      <c r="AU58" s="649"/>
      <c r="AV58" s="649"/>
      <c r="AW58" s="649"/>
      <c r="AX58" s="649"/>
      <c r="AY58" s="649"/>
      <c r="AZ58" s="649"/>
      <c r="BA58" s="649"/>
      <c r="BB58" s="649"/>
      <c r="BC58" s="649"/>
      <c r="BD58" s="649"/>
    </row>
    <row r="59" spans="1:56" s="648" customFormat="1" ht="12" customHeight="1">
      <c r="A59" s="726"/>
      <c r="B59" s="725">
        <v>43125</v>
      </c>
      <c r="C59" s="724" t="s">
        <v>451</v>
      </c>
      <c r="D59" s="723">
        <v>49.5</v>
      </c>
      <c r="E59" s="723">
        <f t="shared" si="4"/>
        <v>49.5</v>
      </c>
      <c r="F59" s="723"/>
      <c r="G59" s="723"/>
      <c r="H59" s="723"/>
      <c r="I59" s="723"/>
      <c r="J59" s="723"/>
      <c r="K59" s="723"/>
      <c r="L59" s="723"/>
      <c r="M59" s="723"/>
      <c r="N59" s="723"/>
      <c r="O59" s="743"/>
      <c r="P59" s="743"/>
      <c r="Q59" s="743"/>
      <c r="R59" s="743"/>
      <c r="S59" s="743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  <c r="AS59" s="649"/>
      <c r="AT59" s="649"/>
      <c r="AU59" s="649"/>
      <c r="AV59" s="649"/>
      <c r="AW59" s="649"/>
      <c r="AX59" s="649"/>
      <c r="AY59" s="649"/>
      <c r="AZ59" s="649"/>
      <c r="BA59" s="649"/>
      <c r="BB59" s="649"/>
      <c r="BC59" s="649"/>
      <c r="BD59" s="649"/>
    </row>
    <row r="60" spans="1:56" s="648" customFormat="1" ht="12" customHeight="1">
      <c r="A60" s="726"/>
      <c r="B60" s="725">
        <v>43125</v>
      </c>
      <c r="C60" s="724" t="s">
        <v>40</v>
      </c>
      <c r="D60" s="723">
        <v>8.5</v>
      </c>
      <c r="E60" s="723">
        <f t="shared" si="4"/>
        <v>8.5</v>
      </c>
      <c r="F60" s="723"/>
      <c r="G60" s="723"/>
      <c r="H60" s="723"/>
      <c r="I60" s="723"/>
      <c r="J60" s="723"/>
      <c r="K60" s="723"/>
      <c r="L60" s="723"/>
      <c r="M60" s="723"/>
      <c r="N60" s="723"/>
      <c r="O60" s="743"/>
      <c r="P60" s="743"/>
      <c r="Q60" s="743"/>
      <c r="R60" s="743"/>
      <c r="S60" s="743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649"/>
      <c r="AZ60" s="649"/>
      <c r="BA60" s="649"/>
      <c r="BB60" s="649"/>
      <c r="BC60" s="649"/>
      <c r="BD60" s="649"/>
    </row>
    <row r="61" spans="1:56" s="648" customFormat="1" ht="12" customHeight="1">
      <c r="A61" s="726"/>
      <c r="B61" s="725">
        <v>43129</v>
      </c>
      <c r="C61" s="724" t="s">
        <v>451</v>
      </c>
      <c r="D61" s="723">
        <v>53.45</v>
      </c>
      <c r="E61" s="723">
        <f t="shared" si="4"/>
        <v>36.950000000000003</v>
      </c>
      <c r="F61" s="723"/>
      <c r="G61" s="723"/>
      <c r="H61" s="723"/>
      <c r="I61" s="723">
        <v>16.5</v>
      </c>
      <c r="J61" s="723"/>
      <c r="K61" s="723"/>
      <c r="L61" s="723"/>
      <c r="M61" s="723"/>
      <c r="N61" s="723"/>
      <c r="O61" s="743"/>
      <c r="P61" s="743"/>
      <c r="Q61" s="743"/>
      <c r="R61" s="743"/>
      <c r="S61" s="743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  <c r="AS61" s="649"/>
      <c r="AT61" s="649"/>
      <c r="AU61" s="649"/>
      <c r="AV61" s="649"/>
      <c r="AW61" s="649"/>
      <c r="AX61" s="649"/>
      <c r="AY61" s="649"/>
      <c r="AZ61" s="649"/>
      <c r="BA61" s="649"/>
      <c r="BB61" s="649"/>
      <c r="BC61" s="649"/>
      <c r="BD61" s="649"/>
    </row>
    <row r="62" spans="1:56" s="648" customFormat="1" ht="12" customHeight="1">
      <c r="A62" s="726"/>
      <c r="B62" s="725">
        <v>43130</v>
      </c>
      <c r="C62" s="724" t="s">
        <v>451</v>
      </c>
      <c r="D62" s="723">
        <v>38.5</v>
      </c>
      <c r="E62" s="723">
        <f t="shared" si="4"/>
        <v>38.5</v>
      </c>
      <c r="F62" s="723"/>
      <c r="G62" s="723"/>
      <c r="H62" s="723"/>
      <c r="I62" s="723"/>
      <c r="J62" s="723"/>
      <c r="K62" s="723"/>
      <c r="L62" s="723"/>
      <c r="M62" s="723"/>
      <c r="N62" s="723"/>
      <c r="O62" s="743"/>
      <c r="P62" s="743"/>
      <c r="Q62" s="743"/>
      <c r="R62" s="743"/>
      <c r="S62" s="743"/>
      <c r="U62" s="649"/>
      <c r="V62" s="649"/>
      <c r="W62" s="649"/>
      <c r="X62" s="649"/>
      <c r="Y62" s="649"/>
      <c r="Z62" s="649"/>
      <c r="AA62" s="649"/>
      <c r="AB62" s="649"/>
      <c r="AC62" s="649"/>
      <c r="AD62" s="649"/>
      <c r="AE62" s="649"/>
      <c r="AF62" s="649"/>
      <c r="AG62" s="649"/>
      <c r="AH62" s="649"/>
      <c r="AI62" s="649"/>
      <c r="AJ62" s="649"/>
      <c r="AK62" s="649"/>
      <c r="AL62" s="649"/>
      <c r="AM62" s="649"/>
      <c r="AN62" s="649"/>
      <c r="AO62" s="649"/>
      <c r="AP62" s="649"/>
      <c r="AQ62" s="649"/>
      <c r="AR62" s="649"/>
      <c r="AS62" s="649"/>
      <c r="AT62" s="649"/>
      <c r="AU62" s="649"/>
      <c r="AV62" s="649"/>
      <c r="AW62" s="649"/>
      <c r="AX62" s="649"/>
      <c r="AY62" s="649"/>
      <c r="AZ62" s="649"/>
      <c r="BA62" s="649"/>
      <c r="BB62" s="649"/>
      <c r="BC62" s="649"/>
      <c r="BD62" s="649"/>
    </row>
    <row r="63" spans="1:56" s="648" customFormat="1" ht="12" customHeight="1">
      <c r="A63" s="726"/>
      <c r="B63" s="725">
        <v>43131</v>
      </c>
      <c r="C63" s="724" t="s">
        <v>451</v>
      </c>
      <c r="D63" s="723">
        <v>78.45</v>
      </c>
      <c r="E63" s="723">
        <f t="shared" si="4"/>
        <v>54.95</v>
      </c>
      <c r="F63" s="723">
        <v>25.5</v>
      </c>
      <c r="G63" s="723"/>
      <c r="H63" s="723"/>
      <c r="I63" s="723">
        <v>23.5</v>
      </c>
      <c r="J63" s="723"/>
      <c r="K63" s="723"/>
      <c r="L63" s="723"/>
      <c r="M63" s="723"/>
      <c r="N63" s="723"/>
      <c r="O63" s="743"/>
      <c r="P63" s="743"/>
      <c r="Q63" s="743"/>
      <c r="R63" s="743"/>
      <c r="S63" s="743"/>
      <c r="U63" s="649"/>
      <c r="V63" s="649"/>
      <c r="W63" s="649"/>
      <c r="X63" s="649"/>
      <c r="Y63" s="649"/>
      <c r="Z63" s="649"/>
      <c r="AA63" s="649"/>
      <c r="AB63" s="649"/>
      <c r="AC63" s="649"/>
      <c r="AD63" s="649"/>
      <c r="AE63" s="649"/>
      <c r="AF63" s="649"/>
      <c r="AG63" s="649"/>
      <c r="AH63" s="649"/>
      <c r="AI63" s="649"/>
      <c r="AJ63" s="649"/>
      <c r="AK63" s="649"/>
      <c r="AL63" s="649"/>
      <c r="AM63" s="649"/>
      <c r="AN63" s="649"/>
      <c r="AO63" s="649"/>
      <c r="AP63" s="649"/>
      <c r="AQ63" s="649"/>
      <c r="AR63" s="649"/>
      <c r="AS63" s="649"/>
      <c r="AT63" s="649"/>
      <c r="AU63" s="649"/>
      <c r="AV63" s="649"/>
      <c r="AW63" s="649"/>
      <c r="AX63" s="649"/>
      <c r="AY63" s="649"/>
      <c r="AZ63" s="649"/>
      <c r="BA63" s="649"/>
      <c r="BB63" s="649"/>
      <c r="BC63" s="649"/>
      <c r="BD63" s="649"/>
    </row>
    <row r="64" spans="1:56" s="648" customFormat="1" ht="12" customHeight="1">
      <c r="A64" s="726"/>
      <c r="B64" s="725">
        <v>43131</v>
      </c>
      <c r="C64" s="724" t="s">
        <v>39</v>
      </c>
      <c r="D64" s="723">
        <v>116.8</v>
      </c>
      <c r="E64" s="723">
        <f t="shared" si="4"/>
        <v>29.849999999999994</v>
      </c>
      <c r="F64" s="723"/>
      <c r="G64" s="723"/>
      <c r="H64" s="723"/>
      <c r="I64" s="723">
        <v>86.95</v>
      </c>
      <c r="J64" s="723"/>
      <c r="K64" s="723"/>
      <c r="L64" s="723"/>
      <c r="M64" s="723"/>
      <c r="N64" s="723"/>
      <c r="O64" s="743"/>
      <c r="P64" s="743"/>
      <c r="Q64" s="743"/>
      <c r="R64" s="743"/>
      <c r="S64" s="743"/>
      <c r="U64" s="649"/>
      <c r="V64" s="649"/>
      <c r="W64" s="649"/>
      <c r="X64" s="649"/>
      <c r="Y64" s="649"/>
      <c r="Z64" s="649"/>
      <c r="AA64" s="649"/>
      <c r="AB64" s="649"/>
      <c r="AC64" s="649"/>
      <c r="AD64" s="649"/>
      <c r="AE64" s="649"/>
      <c r="AF64" s="649"/>
      <c r="AG64" s="649"/>
      <c r="AH64" s="649"/>
      <c r="AI64" s="649"/>
      <c r="AJ64" s="649"/>
      <c r="AK64" s="649"/>
      <c r="AL64" s="649"/>
      <c r="AM64" s="649"/>
      <c r="AN64" s="649"/>
      <c r="AO64" s="649"/>
      <c r="AP64" s="649"/>
      <c r="AQ64" s="649"/>
      <c r="AR64" s="649"/>
      <c r="AS64" s="649"/>
      <c r="AT64" s="649"/>
      <c r="AU64" s="649"/>
      <c r="AV64" s="649"/>
      <c r="AW64" s="649"/>
      <c r="AX64" s="649"/>
      <c r="AY64" s="649"/>
      <c r="AZ64" s="649"/>
      <c r="BA64" s="649"/>
      <c r="BB64" s="649"/>
      <c r="BC64" s="649"/>
      <c r="BD64" s="649"/>
    </row>
    <row r="65" spans="1:56" s="648" customFormat="1" ht="12" customHeight="1">
      <c r="A65" s="726"/>
      <c r="B65" s="725">
        <v>43131</v>
      </c>
      <c r="C65" s="724" t="s">
        <v>451</v>
      </c>
      <c r="D65" s="723">
        <v>82.85</v>
      </c>
      <c r="E65" s="723">
        <f t="shared" si="4"/>
        <v>82.85</v>
      </c>
      <c r="F65" s="723">
        <v>25.5</v>
      </c>
      <c r="G65" s="723"/>
      <c r="H65" s="723"/>
      <c r="I65" s="723"/>
      <c r="J65" s="723"/>
      <c r="K65" s="723"/>
      <c r="L65" s="723"/>
      <c r="M65" s="723"/>
      <c r="N65" s="723"/>
      <c r="O65" s="743"/>
      <c r="P65" s="743"/>
      <c r="Q65" s="743"/>
      <c r="R65" s="743"/>
      <c r="S65" s="743"/>
      <c r="U65" s="649"/>
      <c r="V65" s="649"/>
      <c r="W65" s="649"/>
      <c r="X65" s="649"/>
      <c r="Y65" s="649"/>
      <c r="Z65" s="649"/>
      <c r="AA65" s="649"/>
      <c r="AB65" s="649"/>
      <c r="AC65" s="649"/>
      <c r="AD65" s="649"/>
      <c r="AE65" s="649"/>
      <c r="AF65" s="649"/>
      <c r="AG65" s="649"/>
      <c r="AH65" s="649"/>
      <c r="AI65" s="649"/>
      <c r="AJ65" s="649"/>
      <c r="AK65" s="649"/>
      <c r="AL65" s="649"/>
      <c r="AM65" s="649"/>
      <c r="AN65" s="649"/>
      <c r="AO65" s="649"/>
      <c r="AP65" s="649"/>
      <c r="AQ65" s="649"/>
      <c r="AR65" s="649"/>
      <c r="AS65" s="649"/>
      <c r="AT65" s="649"/>
      <c r="AU65" s="649"/>
      <c r="AV65" s="649"/>
      <c r="AW65" s="649"/>
      <c r="AX65" s="649"/>
      <c r="AY65" s="649"/>
      <c r="AZ65" s="649"/>
      <c r="BA65" s="649"/>
      <c r="BB65" s="649"/>
      <c r="BC65" s="649"/>
      <c r="BD65" s="649"/>
    </row>
    <row r="66" spans="1:56" s="744" customFormat="1" ht="12" customHeight="1">
      <c r="A66" s="749"/>
      <c r="B66" s="748" t="str">
        <f>D1</f>
        <v>februar</v>
      </c>
      <c r="C66" s="747"/>
      <c r="D66" s="746">
        <f t="shared" ref="D66:S66" si="5">SUM(D67:D101)</f>
        <v>3200.7600000000007</v>
      </c>
      <c r="E66" s="746">
        <f t="shared" si="5"/>
        <v>1736.0600000000002</v>
      </c>
      <c r="F66" s="746">
        <f t="shared" si="5"/>
        <v>67.2</v>
      </c>
      <c r="G66" s="746">
        <f t="shared" si="5"/>
        <v>390</v>
      </c>
      <c r="H66" s="746">
        <f t="shared" si="5"/>
        <v>707.9</v>
      </c>
      <c r="I66" s="746">
        <f t="shared" si="5"/>
        <v>366.8</v>
      </c>
      <c r="J66" s="746">
        <f t="shared" si="5"/>
        <v>0</v>
      </c>
      <c r="K66" s="746">
        <f t="shared" si="5"/>
        <v>0</v>
      </c>
      <c r="L66" s="746">
        <f t="shared" si="5"/>
        <v>0</v>
      </c>
      <c r="M66" s="746">
        <f t="shared" si="5"/>
        <v>0</v>
      </c>
      <c r="N66" s="746">
        <f t="shared" si="5"/>
        <v>0</v>
      </c>
      <c r="O66" s="745">
        <f t="shared" si="5"/>
        <v>0</v>
      </c>
      <c r="P66" s="745">
        <f t="shared" si="5"/>
        <v>0</v>
      </c>
      <c r="Q66" s="745">
        <f t="shared" si="5"/>
        <v>0</v>
      </c>
      <c r="R66" s="745">
        <f t="shared" si="5"/>
        <v>0</v>
      </c>
      <c r="S66" s="745">
        <f t="shared" si="5"/>
        <v>0</v>
      </c>
    </row>
    <row r="67" spans="1:56" s="648" customFormat="1" ht="12" customHeight="1">
      <c r="A67" s="726"/>
      <c r="B67" s="725">
        <v>43132</v>
      </c>
      <c r="C67" s="724" t="s">
        <v>722</v>
      </c>
      <c r="D67" s="723">
        <v>34.5</v>
      </c>
      <c r="E67" s="723">
        <f t="shared" ref="E67:E101" si="6">D67-G67-H67-I67</f>
        <v>24.5</v>
      </c>
      <c r="F67" s="723"/>
      <c r="G67" s="723"/>
      <c r="H67" s="723"/>
      <c r="I67" s="723">
        <v>10</v>
      </c>
      <c r="J67" s="723"/>
      <c r="K67" s="723"/>
      <c r="L67" s="723"/>
      <c r="M67" s="723"/>
      <c r="N67" s="723"/>
      <c r="O67" s="750"/>
      <c r="P67" s="750"/>
      <c r="Q67" s="750"/>
      <c r="R67" s="750"/>
      <c r="S67" s="750"/>
      <c r="U67" s="649"/>
      <c r="V67" s="649"/>
      <c r="W67" s="649"/>
      <c r="X67" s="649"/>
      <c r="Y67" s="649"/>
      <c r="Z67" s="649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49"/>
      <c r="AM67" s="649"/>
      <c r="AN67" s="649"/>
      <c r="AO67" s="649"/>
      <c r="AP67" s="649"/>
      <c r="AQ67" s="649"/>
      <c r="AR67" s="649"/>
      <c r="AS67" s="649"/>
      <c r="AT67" s="649"/>
      <c r="AU67" s="649"/>
      <c r="AV67" s="649"/>
      <c r="AW67" s="649"/>
      <c r="AX67" s="649"/>
      <c r="AY67" s="649"/>
      <c r="AZ67" s="649"/>
      <c r="BA67" s="649"/>
      <c r="BB67" s="649"/>
      <c r="BC67" s="649"/>
      <c r="BD67" s="649"/>
    </row>
    <row r="68" spans="1:56" s="648" customFormat="1" ht="12" customHeight="1">
      <c r="A68" s="726"/>
      <c r="B68" s="725">
        <v>43134</v>
      </c>
      <c r="C68" s="724" t="s">
        <v>451</v>
      </c>
      <c r="D68" s="723">
        <v>50.5</v>
      </c>
      <c r="E68" s="723">
        <f t="shared" si="6"/>
        <v>50.5</v>
      </c>
      <c r="F68" s="723"/>
      <c r="G68" s="723"/>
      <c r="H68" s="723"/>
      <c r="I68" s="723"/>
      <c r="J68" s="723"/>
      <c r="K68" s="723"/>
      <c r="L68" s="723"/>
      <c r="M68" s="723"/>
      <c r="N68" s="723"/>
      <c r="O68" s="750"/>
      <c r="P68" s="750"/>
      <c r="Q68" s="750"/>
      <c r="R68" s="750"/>
      <c r="S68" s="750"/>
      <c r="U68" s="649"/>
      <c r="V68" s="649"/>
      <c r="W68" s="649"/>
      <c r="X68" s="649"/>
      <c r="Y68" s="649"/>
      <c r="Z68" s="649"/>
      <c r="AA68" s="649"/>
      <c r="AB68" s="649"/>
      <c r="AC68" s="649"/>
      <c r="AD68" s="649"/>
      <c r="AE68" s="649"/>
      <c r="AF68" s="649"/>
      <c r="AG68" s="649"/>
      <c r="AH68" s="649"/>
      <c r="AI68" s="649"/>
      <c r="AJ68" s="649"/>
      <c r="AK68" s="649"/>
      <c r="AL68" s="649"/>
      <c r="AM68" s="649"/>
      <c r="AN68" s="649"/>
      <c r="AO68" s="649"/>
      <c r="AP68" s="649"/>
      <c r="AQ68" s="649"/>
      <c r="AR68" s="649"/>
      <c r="AS68" s="649"/>
      <c r="AT68" s="649"/>
      <c r="AU68" s="649"/>
      <c r="AV68" s="649"/>
      <c r="AW68" s="649"/>
      <c r="AX68" s="649"/>
      <c r="AY68" s="649"/>
      <c r="AZ68" s="649"/>
      <c r="BA68" s="649"/>
      <c r="BB68" s="649"/>
      <c r="BC68" s="649"/>
      <c r="BD68" s="649"/>
    </row>
    <row r="69" spans="1:56" s="648" customFormat="1" ht="12" customHeight="1">
      <c r="A69" s="726"/>
      <c r="B69" s="725">
        <v>43134</v>
      </c>
      <c r="C69" s="724" t="s">
        <v>39</v>
      </c>
      <c r="D69" s="723">
        <v>104.75</v>
      </c>
      <c r="E69" s="723">
        <f t="shared" si="6"/>
        <v>19.799999999999997</v>
      </c>
      <c r="F69" s="723"/>
      <c r="G69" s="723"/>
      <c r="H69" s="723"/>
      <c r="I69" s="723">
        <v>84.95</v>
      </c>
      <c r="J69" s="723"/>
      <c r="K69" s="723"/>
      <c r="L69" s="723"/>
      <c r="M69" s="723"/>
      <c r="N69" s="723"/>
      <c r="O69" s="750"/>
      <c r="P69" s="750"/>
      <c r="Q69" s="750"/>
      <c r="R69" s="750"/>
      <c r="S69" s="750"/>
      <c r="U69" s="649"/>
      <c r="V69" s="649"/>
      <c r="W69" s="649"/>
      <c r="X69" s="649"/>
      <c r="Y69" s="649"/>
      <c r="Z69" s="649"/>
      <c r="AA69" s="649"/>
      <c r="AB69" s="649"/>
      <c r="AC69" s="649"/>
      <c r="AD69" s="649"/>
      <c r="AE69" s="649"/>
      <c r="AF69" s="649"/>
      <c r="AG69" s="649"/>
      <c r="AH69" s="649"/>
      <c r="AI69" s="649"/>
      <c r="AJ69" s="649"/>
      <c r="AK69" s="649"/>
      <c r="AL69" s="649"/>
      <c r="AM69" s="649"/>
      <c r="AN69" s="649"/>
      <c r="AO69" s="649"/>
      <c r="AP69" s="649"/>
      <c r="AQ69" s="649"/>
      <c r="AR69" s="649"/>
      <c r="AS69" s="649"/>
      <c r="AT69" s="649"/>
      <c r="AU69" s="649"/>
      <c r="AV69" s="649"/>
      <c r="AW69" s="649"/>
      <c r="AX69" s="649"/>
      <c r="AY69" s="649"/>
      <c r="AZ69" s="649"/>
      <c r="BA69" s="649"/>
      <c r="BB69" s="649"/>
      <c r="BC69" s="649"/>
      <c r="BD69" s="649"/>
    </row>
    <row r="70" spans="1:56" s="648" customFormat="1" ht="12" customHeight="1">
      <c r="A70" s="726"/>
      <c r="B70" s="725">
        <v>43135</v>
      </c>
      <c r="C70" s="724" t="s">
        <v>451</v>
      </c>
      <c r="D70" s="723">
        <v>170.8</v>
      </c>
      <c r="E70" s="723">
        <f t="shared" si="6"/>
        <v>170.8</v>
      </c>
      <c r="F70" s="723"/>
      <c r="G70" s="723"/>
      <c r="H70" s="723"/>
      <c r="I70" s="723"/>
      <c r="J70" s="723"/>
      <c r="K70" s="723"/>
      <c r="L70" s="723"/>
      <c r="M70" s="723"/>
      <c r="N70" s="723"/>
      <c r="O70" s="750"/>
      <c r="P70" s="750"/>
      <c r="Q70" s="750"/>
      <c r="R70" s="750"/>
      <c r="S70" s="750"/>
      <c r="U70" s="649"/>
      <c r="V70" s="649"/>
      <c r="W70" s="649"/>
      <c r="X70" s="649"/>
      <c r="Y70" s="649"/>
      <c r="Z70" s="649"/>
      <c r="AA70" s="649"/>
      <c r="AB70" s="649"/>
      <c r="AC70" s="649"/>
      <c r="AD70" s="649"/>
      <c r="AE70" s="649"/>
      <c r="AF70" s="649"/>
      <c r="AG70" s="649"/>
      <c r="AH70" s="649"/>
      <c r="AI70" s="649"/>
      <c r="AJ70" s="649"/>
      <c r="AK70" s="649"/>
      <c r="AL70" s="649"/>
      <c r="AM70" s="649"/>
      <c r="AN70" s="649"/>
      <c r="AO70" s="649"/>
      <c r="AP70" s="649"/>
      <c r="AQ70" s="649"/>
      <c r="AR70" s="649"/>
      <c r="AS70" s="649"/>
      <c r="AT70" s="649"/>
      <c r="AU70" s="649"/>
      <c r="AV70" s="649"/>
      <c r="AW70" s="649"/>
      <c r="AX70" s="649"/>
      <c r="AY70" s="649"/>
      <c r="AZ70" s="649"/>
      <c r="BA70" s="649"/>
      <c r="BB70" s="649"/>
      <c r="BC70" s="649"/>
      <c r="BD70" s="649"/>
    </row>
    <row r="71" spans="1:56" s="648" customFormat="1" ht="12" customHeight="1">
      <c r="A71" s="726"/>
      <c r="B71" s="725">
        <v>43136</v>
      </c>
      <c r="C71" s="724" t="s">
        <v>124</v>
      </c>
      <c r="D71" s="723">
        <v>188.9</v>
      </c>
      <c r="E71" s="723">
        <f t="shared" si="6"/>
        <v>0</v>
      </c>
      <c r="F71" s="723"/>
      <c r="G71" s="723"/>
      <c r="H71" s="723">
        <v>188.9</v>
      </c>
      <c r="I71" s="723"/>
      <c r="J71" s="723"/>
      <c r="K71" s="723"/>
      <c r="L71" s="723"/>
      <c r="M71" s="723"/>
      <c r="N71" s="723"/>
      <c r="O71" s="750"/>
      <c r="P71" s="750"/>
      <c r="Q71" s="750"/>
      <c r="R71" s="750"/>
      <c r="S71" s="750"/>
      <c r="U71" s="649"/>
      <c r="V71" s="649"/>
      <c r="W71" s="649"/>
      <c r="X71" s="649"/>
      <c r="Y71" s="649"/>
      <c r="Z71" s="649"/>
      <c r="AA71" s="649"/>
      <c r="AB71" s="649"/>
      <c r="AC71" s="649"/>
      <c r="AD71" s="649"/>
      <c r="AE71" s="649"/>
      <c r="AF71" s="649"/>
      <c r="AG71" s="649"/>
      <c r="AH71" s="649"/>
      <c r="AI71" s="649"/>
      <c r="AJ71" s="649"/>
      <c r="AK71" s="649"/>
      <c r="AL71" s="649"/>
      <c r="AM71" s="649"/>
      <c r="AN71" s="649"/>
      <c r="AO71" s="649"/>
      <c r="AP71" s="649"/>
      <c r="AQ71" s="649"/>
      <c r="AR71" s="649"/>
      <c r="AS71" s="649"/>
      <c r="AT71" s="649"/>
      <c r="AU71" s="649"/>
      <c r="AV71" s="649"/>
      <c r="AW71" s="649"/>
      <c r="AX71" s="649"/>
      <c r="AY71" s="649"/>
      <c r="AZ71" s="649"/>
      <c r="BA71" s="649"/>
      <c r="BB71" s="649"/>
      <c r="BC71" s="649"/>
      <c r="BD71" s="649"/>
    </row>
    <row r="72" spans="1:56" s="648" customFormat="1" ht="12" customHeight="1">
      <c r="A72" s="726"/>
      <c r="B72" s="725">
        <v>43136</v>
      </c>
      <c r="C72" s="724" t="s">
        <v>451</v>
      </c>
      <c r="D72" s="723">
        <v>129.15</v>
      </c>
      <c r="E72" s="723">
        <f t="shared" si="6"/>
        <v>119.15</v>
      </c>
      <c r="F72" s="723"/>
      <c r="G72" s="723"/>
      <c r="H72" s="723"/>
      <c r="I72" s="723">
        <v>10</v>
      </c>
      <c r="J72" s="723"/>
      <c r="K72" s="723"/>
      <c r="L72" s="723"/>
      <c r="M72" s="723"/>
      <c r="N72" s="723"/>
      <c r="O72" s="750"/>
      <c r="P72" s="750"/>
      <c r="Q72" s="750"/>
      <c r="R72" s="750"/>
      <c r="S72" s="750"/>
      <c r="U72" s="649"/>
      <c r="V72" s="649"/>
      <c r="W72" s="649"/>
      <c r="X72" s="649"/>
      <c r="Y72" s="649"/>
      <c r="Z72" s="649"/>
      <c r="AA72" s="649"/>
      <c r="AB72" s="649"/>
      <c r="AC72" s="649"/>
      <c r="AD72" s="649"/>
      <c r="AE72" s="649"/>
      <c r="AF72" s="649"/>
      <c r="AG72" s="649"/>
      <c r="AH72" s="649"/>
      <c r="AI72" s="649"/>
      <c r="AJ72" s="649"/>
      <c r="AK72" s="649"/>
      <c r="AL72" s="649"/>
      <c r="AM72" s="649"/>
      <c r="AN72" s="649"/>
      <c r="AO72" s="649"/>
      <c r="AP72" s="649"/>
      <c r="AQ72" s="649"/>
      <c r="AR72" s="649"/>
      <c r="AS72" s="649"/>
      <c r="AT72" s="649"/>
      <c r="AU72" s="649"/>
      <c r="AV72" s="649"/>
      <c r="AW72" s="649"/>
      <c r="AX72" s="649"/>
      <c r="AY72" s="649"/>
      <c r="AZ72" s="649"/>
      <c r="BA72" s="649"/>
      <c r="BB72" s="649"/>
      <c r="BC72" s="649"/>
      <c r="BD72" s="649"/>
    </row>
    <row r="73" spans="1:56" s="648" customFormat="1" ht="12" customHeight="1">
      <c r="A73" s="726"/>
      <c r="B73" s="725">
        <v>43136</v>
      </c>
      <c r="C73" s="724" t="s">
        <v>38</v>
      </c>
      <c r="D73" s="723">
        <v>90.55</v>
      </c>
      <c r="E73" s="723">
        <f t="shared" si="6"/>
        <v>23.849999999999994</v>
      </c>
      <c r="F73" s="723"/>
      <c r="G73" s="723"/>
      <c r="H73" s="723">
        <v>66.7</v>
      </c>
      <c r="I73" s="723"/>
      <c r="J73" s="723"/>
      <c r="K73" s="723"/>
      <c r="L73" s="723"/>
      <c r="M73" s="723"/>
      <c r="N73" s="723"/>
      <c r="O73" s="750"/>
      <c r="P73" s="750"/>
      <c r="Q73" s="750"/>
      <c r="R73" s="750"/>
      <c r="S73" s="750"/>
      <c r="U73" s="649"/>
      <c r="V73" s="649"/>
      <c r="W73" s="649"/>
      <c r="X73" s="649"/>
      <c r="Y73" s="649"/>
      <c r="Z73" s="649"/>
      <c r="AA73" s="649"/>
      <c r="AB73" s="649"/>
      <c r="AC73" s="649"/>
      <c r="AD73" s="649"/>
      <c r="AE73" s="649"/>
      <c r="AF73" s="649"/>
      <c r="AG73" s="649"/>
      <c r="AH73" s="649"/>
      <c r="AI73" s="649"/>
      <c r="AJ73" s="649"/>
      <c r="AK73" s="649"/>
      <c r="AL73" s="649"/>
      <c r="AM73" s="649"/>
      <c r="AN73" s="649"/>
      <c r="AO73" s="649"/>
      <c r="AP73" s="649"/>
      <c r="AQ73" s="649"/>
      <c r="AR73" s="649"/>
      <c r="AS73" s="649"/>
      <c r="AT73" s="649"/>
      <c r="AU73" s="649"/>
      <c r="AV73" s="649"/>
      <c r="AW73" s="649"/>
      <c r="AX73" s="649"/>
      <c r="AY73" s="649"/>
      <c r="AZ73" s="649"/>
      <c r="BA73" s="649"/>
      <c r="BB73" s="649"/>
      <c r="BC73" s="649"/>
      <c r="BD73" s="649"/>
    </row>
    <row r="74" spans="1:56" s="648" customFormat="1" ht="12" customHeight="1">
      <c r="A74" s="726"/>
      <c r="B74" s="725">
        <v>43137</v>
      </c>
      <c r="C74" s="724" t="s">
        <v>124</v>
      </c>
      <c r="D74" s="723">
        <v>43.4</v>
      </c>
      <c r="E74" s="723">
        <f t="shared" si="6"/>
        <v>0</v>
      </c>
      <c r="F74" s="723"/>
      <c r="G74" s="723"/>
      <c r="H74" s="723">
        <v>43.4</v>
      </c>
      <c r="I74" s="723"/>
      <c r="J74" s="723"/>
      <c r="K74" s="723"/>
      <c r="L74" s="723"/>
      <c r="M74" s="723"/>
      <c r="N74" s="723"/>
      <c r="O74" s="750"/>
      <c r="P74" s="750"/>
      <c r="Q74" s="750"/>
      <c r="R74" s="750"/>
      <c r="S74" s="750"/>
      <c r="U74" s="649"/>
      <c r="V74" s="649"/>
      <c r="W74" s="649"/>
      <c r="X74" s="649"/>
      <c r="Y74" s="649"/>
      <c r="Z74" s="649"/>
      <c r="AA74" s="649"/>
      <c r="AB74" s="649"/>
      <c r="AC74" s="649"/>
      <c r="AD74" s="649"/>
      <c r="AE74" s="649"/>
      <c r="AF74" s="649"/>
      <c r="AG74" s="649"/>
      <c r="AH74" s="649"/>
      <c r="AI74" s="649"/>
      <c r="AJ74" s="649"/>
      <c r="AK74" s="649"/>
      <c r="AL74" s="649"/>
      <c r="AM74" s="649"/>
      <c r="AN74" s="649"/>
      <c r="AO74" s="649"/>
      <c r="AP74" s="649"/>
      <c r="AQ74" s="649"/>
      <c r="AR74" s="649"/>
      <c r="AS74" s="649"/>
      <c r="AT74" s="649"/>
      <c r="AU74" s="649"/>
      <c r="AV74" s="649"/>
      <c r="AW74" s="649"/>
      <c r="AX74" s="649"/>
      <c r="AY74" s="649"/>
      <c r="AZ74" s="649"/>
      <c r="BA74" s="649"/>
      <c r="BB74" s="649"/>
      <c r="BC74" s="649"/>
      <c r="BD74" s="649"/>
    </row>
    <row r="75" spans="1:56" s="648" customFormat="1" ht="12" customHeight="1">
      <c r="A75" s="726"/>
      <c r="B75" s="725">
        <v>43137</v>
      </c>
      <c r="C75" s="724" t="s">
        <v>451</v>
      </c>
      <c r="D75" s="723">
        <v>7.5</v>
      </c>
      <c r="E75" s="723">
        <f t="shared" si="6"/>
        <v>7.5</v>
      </c>
      <c r="F75" s="723"/>
      <c r="G75" s="723"/>
      <c r="H75" s="723"/>
      <c r="I75" s="723"/>
      <c r="J75" s="723"/>
      <c r="K75" s="723"/>
      <c r="L75" s="723"/>
      <c r="M75" s="723"/>
      <c r="N75" s="723"/>
      <c r="O75" s="750"/>
      <c r="P75" s="750"/>
      <c r="Q75" s="750"/>
      <c r="R75" s="750"/>
      <c r="S75" s="750"/>
      <c r="U75" s="649"/>
      <c r="V75" s="649"/>
      <c r="W75" s="649"/>
      <c r="X75" s="649"/>
      <c r="Y75" s="649"/>
      <c r="Z75" s="649"/>
      <c r="AA75" s="649"/>
      <c r="AB75" s="649"/>
      <c r="AC75" s="649"/>
      <c r="AD75" s="649"/>
      <c r="AE75" s="649"/>
      <c r="AF75" s="649"/>
      <c r="AG75" s="649"/>
      <c r="AH75" s="649"/>
      <c r="AI75" s="649"/>
      <c r="AJ75" s="649"/>
      <c r="AK75" s="649"/>
      <c r="AL75" s="649"/>
      <c r="AM75" s="649"/>
      <c r="AN75" s="649"/>
      <c r="AO75" s="649"/>
      <c r="AP75" s="649"/>
      <c r="AQ75" s="649"/>
      <c r="AR75" s="649"/>
      <c r="AS75" s="649"/>
      <c r="AT75" s="649"/>
      <c r="AU75" s="649"/>
      <c r="AV75" s="649"/>
      <c r="AW75" s="649"/>
      <c r="AX75" s="649"/>
      <c r="AY75" s="649"/>
      <c r="AZ75" s="649"/>
      <c r="BA75" s="649"/>
      <c r="BB75" s="649"/>
      <c r="BC75" s="649"/>
      <c r="BD75" s="649"/>
    </row>
    <row r="76" spans="1:56" s="648" customFormat="1" ht="12" customHeight="1">
      <c r="A76" s="726"/>
      <c r="B76" s="725">
        <v>43137</v>
      </c>
      <c r="C76" s="724" t="s">
        <v>38</v>
      </c>
      <c r="D76" s="723">
        <v>40</v>
      </c>
      <c r="E76" s="723">
        <f t="shared" si="6"/>
        <v>40</v>
      </c>
      <c r="F76" s="723"/>
      <c r="G76" s="723"/>
      <c r="H76" s="723"/>
      <c r="I76" s="723"/>
      <c r="J76" s="723"/>
      <c r="K76" s="723"/>
      <c r="L76" s="723"/>
      <c r="M76" s="723"/>
      <c r="N76" s="723"/>
      <c r="O76" s="750"/>
      <c r="P76" s="750"/>
      <c r="Q76" s="750"/>
      <c r="R76" s="750"/>
      <c r="S76" s="750"/>
      <c r="U76" s="649"/>
      <c r="V76" s="649"/>
      <c r="W76" s="649"/>
      <c r="X76" s="649"/>
      <c r="Y76" s="649"/>
      <c r="Z76" s="649"/>
      <c r="AA76" s="649"/>
      <c r="AB76" s="649"/>
      <c r="AC76" s="649"/>
      <c r="AD76" s="649"/>
      <c r="AE76" s="649"/>
      <c r="AF76" s="649"/>
      <c r="AG76" s="649"/>
      <c r="AH76" s="649"/>
      <c r="AI76" s="649"/>
      <c r="AJ76" s="649"/>
      <c r="AK76" s="649"/>
      <c r="AL76" s="649"/>
      <c r="AM76" s="649"/>
      <c r="AN76" s="649"/>
      <c r="AO76" s="649"/>
      <c r="AP76" s="649"/>
      <c r="AQ76" s="649"/>
      <c r="AR76" s="649"/>
      <c r="AS76" s="649"/>
      <c r="AT76" s="649"/>
      <c r="AU76" s="649"/>
      <c r="AV76" s="649"/>
      <c r="AW76" s="649"/>
      <c r="AX76" s="649"/>
      <c r="AY76" s="649"/>
      <c r="AZ76" s="649"/>
      <c r="BA76" s="649"/>
      <c r="BB76" s="649"/>
      <c r="BC76" s="649"/>
      <c r="BD76" s="649"/>
    </row>
    <row r="77" spans="1:56" s="648" customFormat="1" ht="12" customHeight="1">
      <c r="A77" s="726"/>
      <c r="B77" s="725">
        <v>43137</v>
      </c>
      <c r="C77" s="724" t="s">
        <v>721</v>
      </c>
      <c r="D77" s="723">
        <v>116</v>
      </c>
      <c r="E77" s="723">
        <f t="shared" si="6"/>
        <v>116</v>
      </c>
      <c r="F77" s="723"/>
      <c r="G77" s="723"/>
      <c r="H77" s="723"/>
      <c r="I77" s="723"/>
      <c r="J77" s="723"/>
      <c r="K77" s="723"/>
      <c r="L77" s="723"/>
      <c r="M77" s="723"/>
      <c r="N77" s="723"/>
      <c r="O77" s="750"/>
      <c r="P77" s="750"/>
      <c r="Q77" s="750"/>
      <c r="R77" s="750"/>
      <c r="S77" s="750"/>
      <c r="U77" s="649"/>
      <c r="V77" s="649"/>
      <c r="W77" s="649"/>
      <c r="X77" s="649"/>
      <c r="Y77" s="649"/>
      <c r="Z77" s="649"/>
      <c r="AA77" s="649"/>
      <c r="AB77" s="649"/>
      <c r="AC77" s="649"/>
      <c r="AD77" s="649"/>
      <c r="AE77" s="649"/>
      <c r="AF77" s="649"/>
      <c r="AG77" s="649"/>
      <c r="AH77" s="649"/>
      <c r="AI77" s="649"/>
      <c r="AJ77" s="649"/>
      <c r="AK77" s="649"/>
      <c r="AL77" s="649"/>
      <c r="AM77" s="649"/>
      <c r="AN77" s="649"/>
      <c r="AO77" s="649"/>
      <c r="AP77" s="649"/>
      <c r="AQ77" s="649"/>
      <c r="AR77" s="649"/>
      <c r="AS77" s="649"/>
      <c r="AT77" s="649"/>
      <c r="AU77" s="649"/>
      <c r="AV77" s="649"/>
      <c r="AW77" s="649"/>
      <c r="AX77" s="649"/>
      <c r="AY77" s="649"/>
      <c r="AZ77" s="649"/>
      <c r="BA77" s="649"/>
      <c r="BB77" s="649"/>
      <c r="BC77" s="649"/>
      <c r="BD77" s="649"/>
    </row>
    <row r="78" spans="1:56" s="648" customFormat="1" ht="12" customHeight="1">
      <c r="A78" s="726"/>
      <c r="B78" s="725">
        <v>43138</v>
      </c>
      <c r="C78" s="724" t="s">
        <v>40</v>
      </c>
      <c r="D78" s="723">
        <v>436.45</v>
      </c>
      <c r="E78" s="723">
        <f t="shared" si="6"/>
        <v>34.449999999999989</v>
      </c>
      <c r="F78" s="723"/>
      <c r="G78" s="723">
        <v>390</v>
      </c>
      <c r="H78" s="723"/>
      <c r="I78" s="723">
        <v>12</v>
      </c>
      <c r="J78" s="723"/>
      <c r="K78" s="723"/>
      <c r="L78" s="723"/>
      <c r="M78" s="723"/>
      <c r="N78" s="723"/>
      <c r="O78" s="750"/>
      <c r="P78" s="750"/>
      <c r="Q78" s="750"/>
      <c r="R78" s="750"/>
      <c r="S78" s="750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49"/>
      <c r="AL78" s="649"/>
      <c r="AM78" s="649"/>
      <c r="AN78" s="649"/>
      <c r="AO78" s="649"/>
      <c r="AP78" s="649"/>
      <c r="AQ78" s="649"/>
      <c r="AR78" s="649"/>
      <c r="AS78" s="649"/>
      <c r="AT78" s="649"/>
      <c r="AU78" s="649"/>
      <c r="AV78" s="649"/>
      <c r="AW78" s="649"/>
      <c r="AX78" s="649"/>
      <c r="AY78" s="649"/>
      <c r="AZ78" s="649"/>
      <c r="BA78" s="649"/>
      <c r="BB78" s="649"/>
      <c r="BC78" s="649"/>
      <c r="BD78" s="649"/>
    </row>
    <row r="79" spans="1:56" s="648" customFormat="1" ht="12" customHeight="1">
      <c r="A79" s="726"/>
      <c r="B79" s="725">
        <v>43139</v>
      </c>
      <c r="C79" s="724" t="s">
        <v>38</v>
      </c>
      <c r="D79" s="723">
        <v>33.85</v>
      </c>
      <c r="E79" s="723">
        <f t="shared" si="6"/>
        <v>33.85</v>
      </c>
      <c r="F79" s="723"/>
      <c r="G79" s="723"/>
      <c r="H79" s="723"/>
      <c r="I79" s="723"/>
      <c r="J79" s="723"/>
      <c r="K79" s="723"/>
      <c r="L79" s="723"/>
      <c r="M79" s="723"/>
      <c r="N79" s="723"/>
      <c r="O79" s="750"/>
      <c r="P79" s="750"/>
      <c r="Q79" s="750"/>
      <c r="R79" s="750"/>
      <c r="S79" s="750"/>
      <c r="U79" s="649"/>
      <c r="V79" s="649"/>
      <c r="W79" s="649"/>
      <c r="X79" s="649"/>
      <c r="Y79" s="649"/>
      <c r="Z79" s="649"/>
      <c r="AA79" s="649"/>
      <c r="AB79" s="649"/>
      <c r="AC79" s="649"/>
      <c r="AD79" s="649"/>
      <c r="AE79" s="649"/>
      <c r="AF79" s="649"/>
      <c r="AG79" s="649"/>
      <c r="AH79" s="649"/>
      <c r="AI79" s="649"/>
      <c r="AJ79" s="649"/>
      <c r="AK79" s="649"/>
      <c r="AL79" s="649"/>
      <c r="AM79" s="649"/>
      <c r="AN79" s="649"/>
      <c r="AO79" s="649"/>
      <c r="AP79" s="649"/>
      <c r="AQ79" s="649"/>
      <c r="AR79" s="649"/>
      <c r="AS79" s="649"/>
      <c r="AT79" s="649"/>
      <c r="AU79" s="649"/>
      <c r="AV79" s="649"/>
      <c r="AW79" s="649"/>
      <c r="AX79" s="649"/>
      <c r="AY79" s="649"/>
      <c r="AZ79" s="649"/>
      <c r="BA79" s="649"/>
      <c r="BB79" s="649"/>
      <c r="BC79" s="649"/>
      <c r="BD79" s="649"/>
    </row>
    <row r="80" spans="1:56" s="648" customFormat="1" ht="12" customHeight="1">
      <c r="A80" s="726"/>
      <c r="B80" s="725">
        <v>43139</v>
      </c>
      <c r="C80" s="724" t="s">
        <v>451</v>
      </c>
      <c r="D80" s="723">
        <v>143.05000000000001</v>
      </c>
      <c r="E80" s="723">
        <f t="shared" si="6"/>
        <v>128.05000000000001</v>
      </c>
      <c r="F80" s="723"/>
      <c r="G80" s="723"/>
      <c r="H80" s="723"/>
      <c r="I80" s="723">
        <v>15</v>
      </c>
      <c r="J80" s="723"/>
      <c r="K80" s="723"/>
      <c r="L80" s="723"/>
      <c r="M80" s="723"/>
      <c r="N80" s="723"/>
      <c r="O80" s="750"/>
      <c r="P80" s="750"/>
      <c r="Q80" s="750"/>
      <c r="R80" s="750"/>
      <c r="S80" s="750"/>
      <c r="U80" s="649"/>
      <c r="V80" s="649"/>
      <c r="W80" s="649"/>
      <c r="X80" s="649"/>
      <c r="Y80" s="649"/>
      <c r="Z80" s="649"/>
      <c r="AA80" s="649"/>
      <c r="AB80" s="649"/>
      <c r="AC80" s="649"/>
      <c r="AD80" s="649"/>
      <c r="AE80" s="649"/>
      <c r="AF80" s="649"/>
      <c r="AG80" s="649"/>
      <c r="AH80" s="649"/>
      <c r="AI80" s="649"/>
      <c r="AJ80" s="649"/>
      <c r="AK80" s="649"/>
      <c r="AL80" s="649"/>
      <c r="AM80" s="649"/>
      <c r="AN80" s="649"/>
      <c r="AO80" s="649"/>
      <c r="AP80" s="649"/>
      <c r="AQ80" s="649"/>
      <c r="AR80" s="649"/>
      <c r="AS80" s="649"/>
      <c r="AT80" s="649"/>
      <c r="AU80" s="649"/>
      <c r="AV80" s="649"/>
      <c r="AW80" s="649"/>
      <c r="AX80" s="649"/>
      <c r="AY80" s="649"/>
      <c r="AZ80" s="649"/>
      <c r="BA80" s="649"/>
      <c r="BB80" s="649"/>
      <c r="BC80" s="649"/>
      <c r="BD80" s="649"/>
    </row>
    <row r="81" spans="1:56" s="648" customFormat="1" ht="12" customHeight="1">
      <c r="A81" s="726"/>
      <c r="B81" s="725">
        <v>43139</v>
      </c>
      <c r="C81" s="724" t="s">
        <v>39</v>
      </c>
      <c r="D81" s="723">
        <v>164.85</v>
      </c>
      <c r="E81" s="723">
        <f t="shared" si="6"/>
        <v>119.85</v>
      </c>
      <c r="F81" s="723"/>
      <c r="G81" s="723"/>
      <c r="H81" s="723"/>
      <c r="I81" s="723">
        <v>45</v>
      </c>
      <c r="J81" s="723"/>
      <c r="K81" s="723"/>
      <c r="L81" s="723"/>
      <c r="M81" s="723"/>
      <c r="N81" s="723"/>
      <c r="O81" s="750"/>
      <c r="P81" s="750"/>
      <c r="Q81" s="750"/>
      <c r="R81" s="750"/>
      <c r="S81" s="750"/>
      <c r="U81" s="649"/>
      <c r="V81" s="649"/>
      <c r="W81" s="649"/>
      <c r="X81" s="649"/>
      <c r="Y81" s="649"/>
      <c r="Z81" s="649"/>
      <c r="AA81" s="649"/>
      <c r="AB81" s="649"/>
      <c r="AC81" s="649"/>
      <c r="AD81" s="649"/>
      <c r="AE81" s="649"/>
      <c r="AF81" s="649"/>
      <c r="AG81" s="649"/>
      <c r="AH81" s="649"/>
      <c r="AI81" s="649"/>
      <c r="AJ81" s="649"/>
      <c r="AK81" s="649"/>
      <c r="AL81" s="649"/>
      <c r="AM81" s="649"/>
      <c r="AN81" s="649"/>
      <c r="AO81" s="649"/>
      <c r="AP81" s="649"/>
      <c r="AQ81" s="649"/>
      <c r="AR81" s="649"/>
      <c r="AS81" s="649"/>
      <c r="AT81" s="649"/>
      <c r="AU81" s="649"/>
      <c r="AV81" s="649"/>
      <c r="AW81" s="649"/>
      <c r="AX81" s="649"/>
      <c r="AY81" s="649"/>
      <c r="AZ81" s="649"/>
      <c r="BA81" s="649"/>
      <c r="BB81" s="649"/>
      <c r="BC81" s="649"/>
      <c r="BD81" s="649"/>
    </row>
    <row r="82" spans="1:56" s="648" customFormat="1" ht="12" customHeight="1">
      <c r="A82" s="726"/>
      <c r="B82" s="725">
        <v>43139</v>
      </c>
      <c r="C82" s="724" t="s">
        <v>451</v>
      </c>
      <c r="D82" s="723">
        <v>140.65</v>
      </c>
      <c r="E82" s="723">
        <f t="shared" si="6"/>
        <v>140.65</v>
      </c>
      <c r="F82" s="723"/>
      <c r="G82" s="723"/>
      <c r="H82" s="723"/>
      <c r="I82" s="723"/>
      <c r="J82" s="723"/>
      <c r="K82" s="723"/>
      <c r="L82" s="723"/>
      <c r="M82" s="723"/>
      <c r="N82" s="723"/>
      <c r="O82" s="750"/>
      <c r="P82" s="750"/>
      <c r="Q82" s="750"/>
      <c r="R82" s="750"/>
      <c r="S82" s="750"/>
      <c r="U82" s="649"/>
      <c r="V82" s="649"/>
      <c r="W82" s="649"/>
      <c r="X82" s="649"/>
      <c r="Y82" s="649"/>
      <c r="Z82" s="649"/>
      <c r="AA82" s="649"/>
      <c r="AB82" s="649"/>
      <c r="AC82" s="649"/>
      <c r="AD82" s="649"/>
      <c r="AE82" s="649"/>
      <c r="AF82" s="649"/>
      <c r="AG82" s="649"/>
      <c r="AH82" s="649"/>
      <c r="AI82" s="649"/>
      <c r="AJ82" s="649"/>
      <c r="AK82" s="649"/>
      <c r="AL82" s="649"/>
      <c r="AM82" s="649"/>
      <c r="AN82" s="649"/>
      <c r="AO82" s="649"/>
      <c r="AP82" s="649"/>
      <c r="AQ82" s="649"/>
      <c r="AR82" s="649"/>
      <c r="AS82" s="649"/>
      <c r="AT82" s="649"/>
      <c r="AU82" s="649"/>
      <c r="AV82" s="649"/>
      <c r="AW82" s="649"/>
      <c r="AX82" s="649"/>
      <c r="AY82" s="649"/>
      <c r="AZ82" s="649"/>
      <c r="BA82" s="649"/>
      <c r="BB82" s="649"/>
      <c r="BC82" s="649"/>
      <c r="BD82" s="649"/>
    </row>
    <row r="83" spans="1:56" s="648" customFormat="1" ht="12" customHeight="1">
      <c r="A83" s="726"/>
      <c r="B83" s="725">
        <v>43139</v>
      </c>
      <c r="C83" s="724" t="s">
        <v>40</v>
      </c>
      <c r="D83" s="723">
        <v>10.5</v>
      </c>
      <c r="E83" s="723">
        <f t="shared" si="6"/>
        <v>10.5</v>
      </c>
      <c r="F83" s="723"/>
      <c r="G83" s="723"/>
      <c r="H83" s="723"/>
      <c r="I83" s="723"/>
      <c r="J83" s="723"/>
      <c r="K83" s="723"/>
      <c r="L83" s="723"/>
      <c r="M83" s="723"/>
      <c r="N83" s="723"/>
      <c r="O83" s="750"/>
      <c r="P83" s="750"/>
      <c r="Q83" s="750"/>
      <c r="R83" s="750"/>
      <c r="S83" s="750"/>
      <c r="U83" s="649"/>
      <c r="V83" s="649"/>
      <c r="W83" s="649"/>
      <c r="X83" s="649"/>
      <c r="Y83" s="649"/>
      <c r="Z83" s="649"/>
      <c r="AA83" s="649"/>
      <c r="AB83" s="649"/>
      <c r="AC83" s="649"/>
      <c r="AD83" s="649"/>
      <c r="AE83" s="649"/>
      <c r="AF83" s="649"/>
      <c r="AG83" s="649"/>
      <c r="AH83" s="649"/>
      <c r="AI83" s="649"/>
      <c r="AJ83" s="649"/>
      <c r="AK83" s="649"/>
      <c r="AL83" s="649"/>
      <c r="AM83" s="649"/>
      <c r="AN83" s="649"/>
      <c r="AO83" s="649"/>
      <c r="AP83" s="649"/>
      <c r="AQ83" s="649"/>
      <c r="AR83" s="649"/>
      <c r="AS83" s="649"/>
      <c r="AT83" s="649"/>
      <c r="AU83" s="649"/>
      <c r="AV83" s="649"/>
      <c r="AW83" s="649"/>
      <c r="AX83" s="649"/>
      <c r="AY83" s="649"/>
      <c r="AZ83" s="649"/>
      <c r="BA83" s="649"/>
      <c r="BB83" s="649"/>
      <c r="BC83" s="649"/>
      <c r="BD83" s="649"/>
    </row>
    <row r="84" spans="1:56" s="648" customFormat="1" ht="12" customHeight="1">
      <c r="A84" s="726"/>
      <c r="B84" s="725">
        <v>43140</v>
      </c>
      <c r="C84" s="724" t="s">
        <v>124</v>
      </c>
      <c r="D84" s="723">
        <v>17.5</v>
      </c>
      <c r="E84" s="723">
        <f t="shared" si="6"/>
        <v>0</v>
      </c>
      <c r="F84" s="723"/>
      <c r="G84" s="723"/>
      <c r="H84" s="723">
        <v>17.5</v>
      </c>
      <c r="I84" s="723"/>
      <c r="J84" s="723"/>
      <c r="K84" s="723"/>
      <c r="L84" s="723"/>
      <c r="M84" s="723"/>
      <c r="N84" s="723"/>
      <c r="O84" s="750"/>
      <c r="P84" s="750"/>
      <c r="Q84" s="750"/>
      <c r="R84" s="750"/>
      <c r="S84" s="750"/>
      <c r="U84" s="649"/>
      <c r="V84" s="649"/>
      <c r="W84" s="649"/>
      <c r="X84" s="649"/>
      <c r="Y84" s="649"/>
      <c r="Z84" s="649"/>
      <c r="AA84" s="649"/>
      <c r="AB84" s="649"/>
      <c r="AC84" s="649"/>
      <c r="AD84" s="649"/>
      <c r="AE84" s="649"/>
      <c r="AF84" s="649"/>
      <c r="AG84" s="649"/>
      <c r="AH84" s="649"/>
      <c r="AI84" s="649"/>
      <c r="AJ84" s="649"/>
      <c r="AK84" s="649"/>
      <c r="AL84" s="649"/>
      <c r="AM84" s="649"/>
      <c r="AN84" s="649"/>
      <c r="AO84" s="649"/>
      <c r="AP84" s="649"/>
      <c r="AQ84" s="649"/>
      <c r="AR84" s="649"/>
      <c r="AS84" s="649"/>
      <c r="AT84" s="649"/>
      <c r="AU84" s="649"/>
      <c r="AV84" s="649"/>
      <c r="AW84" s="649"/>
      <c r="AX84" s="649"/>
      <c r="AY84" s="649"/>
      <c r="AZ84" s="649"/>
      <c r="BA84" s="649"/>
      <c r="BB84" s="649"/>
      <c r="BC84" s="649"/>
      <c r="BD84" s="649"/>
    </row>
    <row r="85" spans="1:56" s="648" customFormat="1" ht="12" customHeight="1">
      <c r="A85" s="726"/>
      <c r="B85" s="725">
        <v>43140</v>
      </c>
      <c r="C85" s="724" t="s">
        <v>451</v>
      </c>
      <c r="D85" s="723">
        <v>16</v>
      </c>
      <c r="E85" s="723">
        <f t="shared" si="6"/>
        <v>16</v>
      </c>
      <c r="F85" s="723"/>
      <c r="G85" s="723"/>
      <c r="H85" s="723"/>
      <c r="I85" s="723"/>
      <c r="J85" s="723"/>
      <c r="K85" s="723"/>
      <c r="L85" s="723"/>
      <c r="M85" s="723"/>
      <c r="N85" s="723"/>
      <c r="O85" s="750"/>
      <c r="P85" s="750"/>
      <c r="Q85" s="750"/>
      <c r="R85" s="750"/>
      <c r="S85" s="750"/>
      <c r="U85" s="649"/>
      <c r="V85" s="649"/>
      <c r="W85" s="649"/>
      <c r="X85" s="649"/>
      <c r="Y85" s="649"/>
      <c r="Z85" s="649"/>
      <c r="AA85" s="649"/>
      <c r="AB85" s="649"/>
      <c r="AC85" s="649"/>
      <c r="AD85" s="649"/>
      <c r="AE85" s="649"/>
      <c r="AF85" s="649"/>
      <c r="AG85" s="649"/>
      <c r="AH85" s="649"/>
      <c r="AI85" s="649"/>
      <c r="AJ85" s="649"/>
      <c r="AK85" s="649"/>
      <c r="AL85" s="649"/>
      <c r="AM85" s="649"/>
      <c r="AN85" s="649"/>
      <c r="AO85" s="649"/>
      <c r="AP85" s="649"/>
      <c r="AQ85" s="649"/>
      <c r="AR85" s="649"/>
      <c r="AS85" s="649"/>
      <c r="AT85" s="649"/>
      <c r="AU85" s="649"/>
      <c r="AV85" s="649"/>
      <c r="AW85" s="649"/>
      <c r="AX85" s="649"/>
      <c r="AY85" s="649"/>
      <c r="AZ85" s="649"/>
      <c r="BA85" s="649"/>
      <c r="BB85" s="649"/>
      <c r="BC85" s="649"/>
      <c r="BD85" s="649"/>
    </row>
    <row r="86" spans="1:56" s="648" customFormat="1" ht="12" customHeight="1">
      <c r="A86" s="726"/>
      <c r="B86" s="725">
        <v>43141</v>
      </c>
      <c r="C86" s="724" t="s">
        <v>124</v>
      </c>
      <c r="D86" s="723">
        <v>22</v>
      </c>
      <c r="E86" s="723">
        <f t="shared" si="6"/>
        <v>0</v>
      </c>
      <c r="F86" s="723"/>
      <c r="G86" s="723"/>
      <c r="H86" s="723">
        <v>22</v>
      </c>
      <c r="I86" s="723"/>
      <c r="J86" s="723"/>
      <c r="K86" s="723"/>
      <c r="L86" s="723"/>
      <c r="M86" s="723"/>
      <c r="N86" s="723"/>
      <c r="O86" s="750"/>
      <c r="P86" s="750"/>
      <c r="Q86" s="750"/>
      <c r="R86" s="750"/>
      <c r="S86" s="750"/>
      <c r="U86" s="649"/>
      <c r="V86" s="649"/>
      <c r="W86" s="649"/>
      <c r="X86" s="649"/>
      <c r="Y86" s="649"/>
      <c r="Z86" s="649"/>
      <c r="AA86" s="649"/>
      <c r="AB86" s="649"/>
      <c r="AC86" s="649"/>
      <c r="AD86" s="649"/>
      <c r="AE86" s="649"/>
      <c r="AF86" s="649"/>
      <c r="AG86" s="649"/>
      <c r="AH86" s="649"/>
      <c r="AI86" s="649"/>
      <c r="AJ86" s="649"/>
      <c r="AK86" s="649"/>
      <c r="AL86" s="649"/>
      <c r="AM86" s="649"/>
      <c r="AN86" s="649"/>
      <c r="AO86" s="649"/>
      <c r="AP86" s="649"/>
      <c r="AQ86" s="649"/>
      <c r="AR86" s="649"/>
      <c r="AS86" s="649"/>
      <c r="AT86" s="649"/>
      <c r="AU86" s="649"/>
      <c r="AV86" s="649"/>
      <c r="AW86" s="649"/>
      <c r="AX86" s="649"/>
      <c r="AY86" s="649"/>
      <c r="AZ86" s="649"/>
      <c r="BA86" s="649"/>
      <c r="BB86" s="649"/>
      <c r="BC86" s="649"/>
      <c r="BD86" s="649"/>
    </row>
    <row r="87" spans="1:56" s="648" customFormat="1" ht="12" customHeight="1">
      <c r="A87" s="726"/>
      <c r="B87" s="725">
        <v>43141</v>
      </c>
      <c r="C87" s="724" t="s">
        <v>451</v>
      </c>
      <c r="D87" s="723">
        <v>14</v>
      </c>
      <c r="E87" s="723">
        <f t="shared" si="6"/>
        <v>14</v>
      </c>
      <c r="F87" s="723"/>
      <c r="G87" s="723"/>
      <c r="H87" s="723"/>
      <c r="I87" s="723"/>
      <c r="J87" s="723"/>
      <c r="K87" s="723"/>
      <c r="L87" s="723"/>
      <c r="M87" s="723"/>
      <c r="N87" s="723"/>
      <c r="O87" s="750"/>
      <c r="P87" s="750"/>
      <c r="Q87" s="750"/>
      <c r="R87" s="750"/>
      <c r="S87" s="750"/>
      <c r="U87" s="649"/>
      <c r="V87" s="649"/>
      <c r="W87" s="649"/>
      <c r="X87" s="649"/>
      <c r="Y87" s="649"/>
      <c r="Z87" s="649"/>
      <c r="AA87" s="649"/>
      <c r="AB87" s="649"/>
      <c r="AC87" s="649"/>
      <c r="AD87" s="649"/>
      <c r="AE87" s="649"/>
      <c r="AF87" s="649"/>
      <c r="AG87" s="649"/>
      <c r="AH87" s="649"/>
      <c r="AI87" s="649"/>
      <c r="AJ87" s="649"/>
      <c r="AK87" s="649"/>
      <c r="AL87" s="649"/>
      <c r="AM87" s="649"/>
      <c r="AN87" s="649"/>
      <c r="AO87" s="649"/>
      <c r="AP87" s="649"/>
      <c r="AQ87" s="649"/>
      <c r="AR87" s="649"/>
      <c r="AS87" s="649"/>
      <c r="AT87" s="649"/>
      <c r="AU87" s="649"/>
      <c r="AV87" s="649"/>
      <c r="AW87" s="649"/>
      <c r="AX87" s="649"/>
      <c r="AY87" s="649"/>
      <c r="AZ87" s="649"/>
      <c r="BA87" s="649"/>
      <c r="BB87" s="649"/>
      <c r="BC87" s="649"/>
      <c r="BD87" s="649"/>
    </row>
    <row r="88" spans="1:56" s="648" customFormat="1" ht="12" customHeight="1">
      <c r="A88" s="726"/>
      <c r="B88" s="725">
        <v>43141</v>
      </c>
      <c r="C88" s="724" t="s">
        <v>40</v>
      </c>
      <c r="D88" s="723">
        <v>43.9</v>
      </c>
      <c r="E88" s="723">
        <f t="shared" si="6"/>
        <v>8.8999999999999986</v>
      </c>
      <c r="F88" s="723"/>
      <c r="G88" s="723"/>
      <c r="H88" s="723"/>
      <c r="I88" s="723">
        <v>35</v>
      </c>
      <c r="J88" s="723"/>
      <c r="K88" s="723"/>
      <c r="L88" s="723"/>
      <c r="M88" s="723"/>
      <c r="N88" s="723"/>
      <c r="O88" s="750"/>
      <c r="P88" s="750"/>
      <c r="Q88" s="750"/>
      <c r="R88" s="750"/>
      <c r="S88" s="750"/>
      <c r="U88" s="649"/>
      <c r="V88" s="649"/>
      <c r="W88" s="649"/>
      <c r="X88" s="649"/>
      <c r="Y88" s="649"/>
      <c r="Z88" s="649"/>
      <c r="AA88" s="649"/>
      <c r="AB88" s="649"/>
      <c r="AC88" s="649"/>
      <c r="AD88" s="649"/>
      <c r="AE88" s="649"/>
      <c r="AF88" s="649"/>
      <c r="AG88" s="649"/>
      <c r="AH88" s="649"/>
      <c r="AI88" s="649"/>
      <c r="AJ88" s="649"/>
      <c r="AK88" s="649"/>
      <c r="AL88" s="649"/>
      <c r="AM88" s="649"/>
      <c r="AN88" s="649"/>
      <c r="AO88" s="649"/>
      <c r="AP88" s="649"/>
      <c r="AQ88" s="649"/>
      <c r="AR88" s="649"/>
      <c r="AS88" s="649"/>
      <c r="AT88" s="649"/>
      <c r="AU88" s="649"/>
      <c r="AV88" s="649"/>
      <c r="AW88" s="649"/>
      <c r="AX88" s="649"/>
      <c r="AY88" s="649"/>
      <c r="AZ88" s="649"/>
      <c r="BA88" s="649"/>
      <c r="BB88" s="649"/>
      <c r="BC88" s="649"/>
      <c r="BD88" s="649"/>
    </row>
    <row r="89" spans="1:56" s="648" customFormat="1" ht="12" customHeight="1">
      <c r="A89" s="726"/>
      <c r="B89" s="725">
        <v>43145</v>
      </c>
      <c r="C89" s="724" t="s">
        <v>451</v>
      </c>
      <c r="D89" s="723">
        <v>57.5</v>
      </c>
      <c r="E89" s="723">
        <f t="shared" si="6"/>
        <v>37.5</v>
      </c>
      <c r="F89" s="723"/>
      <c r="G89" s="723"/>
      <c r="H89" s="723"/>
      <c r="I89" s="723">
        <v>20</v>
      </c>
      <c r="J89" s="723"/>
      <c r="K89" s="723"/>
      <c r="L89" s="723"/>
      <c r="M89" s="723"/>
      <c r="N89" s="723"/>
      <c r="O89" s="750"/>
      <c r="P89" s="750"/>
      <c r="Q89" s="750"/>
      <c r="R89" s="750"/>
      <c r="S89" s="750"/>
      <c r="U89" s="649"/>
      <c r="V89" s="649"/>
      <c r="W89" s="649"/>
      <c r="X89" s="649"/>
      <c r="Y89" s="649"/>
      <c r="Z89" s="649"/>
      <c r="AA89" s="649"/>
      <c r="AB89" s="649"/>
      <c r="AC89" s="649"/>
      <c r="AD89" s="649"/>
      <c r="AE89" s="649"/>
      <c r="AF89" s="649"/>
      <c r="AG89" s="649"/>
      <c r="AH89" s="649"/>
      <c r="AI89" s="649"/>
      <c r="AJ89" s="649"/>
      <c r="AK89" s="649"/>
      <c r="AL89" s="649"/>
      <c r="AM89" s="649"/>
      <c r="AN89" s="649"/>
      <c r="AO89" s="649"/>
      <c r="AP89" s="649"/>
      <c r="AQ89" s="649"/>
      <c r="AR89" s="649"/>
      <c r="AS89" s="649"/>
      <c r="AT89" s="649"/>
      <c r="AU89" s="649"/>
      <c r="AV89" s="649"/>
      <c r="AW89" s="649"/>
      <c r="AX89" s="649"/>
      <c r="AY89" s="649"/>
      <c r="AZ89" s="649"/>
      <c r="BA89" s="649"/>
      <c r="BB89" s="649"/>
      <c r="BC89" s="649"/>
      <c r="BD89" s="649"/>
    </row>
    <row r="90" spans="1:56" s="648" customFormat="1" ht="12" customHeight="1">
      <c r="A90" s="726"/>
      <c r="B90" s="725">
        <v>43146</v>
      </c>
      <c r="C90" s="724" t="s">
        <v>451</v>
      </c>
      <c r="D90" s="723">
        <v>45</v>
      </c>
      <c r="E90" s="723">
        <f t="shared" si="6"/>
        <v>45</v>
      </c>
      <c r="F90" s="723">
        <v>25.5</v>
      </c>
      <c r="G90" s="723"/>
      <c r="H90" s="723"/>
      <c r="I90" s="723"/>
      <c r="J90" s="723"/>
      <c r="K90" s="723"/>
      <c r="L90" s="723"/>
      <c r="M90" s="723"/>
      <c r="N90" s="723"/>
      <c r="O90" s="750"/>
      <c r="P90" s="750"/>
      <c r="Q90" s="750"/>
      <c r="R90" s="750"/>
      <c r="S90" s="750"/>
      <c r="U90" s="649"/>
      <c r="V90" s="649"/>
      <c r="W90" s="649"/>
      <c r="X90" s="649"/>
      <c r="Y90" s="649"/>
      <c r="Z90" s="649"/>
      <c r="AA90" s="649"/>
      <c r="AB90" s="649"/>
      <c r="AC90" s="649"/>
      <c r="AD90" s="649"/>
      <c r="AE90" s="649"/>
      <c r="AF90" s="649"/>
      <c r="AG90" s="649"/>
      <c r="AH90" s="649"/>
      <c r="AI90" s="649"/>
      <c r="AJ90" s="649"/>
      <c r="AK90" s="649"/>
      <c r="AL90" s="649"/>
      <c r="AM90" s="649"/>
      <c r="AN90" s="649"/>
      <c r="AO90" s="649"/>
      <c r="AP90" s="649"/>
      <c r="AQ90" s="649"/>
      <c r="AR90" s="649"/>
      <c r="AS90" s="649"/>
      <c r="AT90" s="649"/>
      <c r="AU90" s="649"/>
      <c r="AV90" s="649"/>
      <c r="AW90" s="649"/>
      <c r="AX90" s="649"/>
      <c r="AY90" s="649"/>
      <c r="AZ90" s="649"/>
      <c r="BA90" s="649"/>
      <c r="BB90" s="649"/>
      <c r="BC90" s="649"/>
      <c r="BD90" s="649"/>
    </row>
    <row r="91" spans="1:56" s="648" customFormat="1" ht="12" customHeight="1">
      <c r="A91" s="726"/>
      <c r="B91" s="725">
        <v>43147</v>
      </c>
      <c r="C91" s="724" t="s">
        <v>451</v>
      </c>
      <c r="D91" s="723">
        <v>10</v>
      </c>
      <c r="E91" s="723">
        <f t="shared" si="6"/>
        <v>10</v>
      </c>
      <c r="F91" s="723"/>
      <c r="G91" s="723"/>
      <c r="H91" s="723"/>
      <c r="I91" s="723"/>
      <c r="J91" s="723"/>
      <c r="K91" s="723"/>
      <c r="L91" s="723"/>
      <c r="M91" s="723"/>
      <c r="N91" s="723"/>
      <c r="O91" s="750"/>
      <c r="P91" s="750"/>
      <c r="Q91" s="750"/>
      <c r="R91" s="750"/>
      <c r="S91" s="750"/>
      <c r="U91" s="649"/>
      <c r="V91" s="649"/>
      <c r="W91" s="649"/>
      <c r="X91" s="649"/>
      <c r="Y91" s="649"/>
      <c r="Z91" s="649"/>
      <c r="AA91" s="649"/>
      <c r="AB91" s="649"/>
      <c r="AC91" s="649"/>
      <c r="AD91" s="649"/>
      <c r="AE91" s="649"/>
      <c r="AF91" s="649"/>
      <c r="AG91" s="649"/>
      <c r="AH91" s="649"/>
      <c r="AI91" s="649"/>
      <c r="AJ91" s="649"/>
      <c r="AK91" s="649"/>
      <c r="AL91" s="649"/>
      <c r="AM91" s="649"/>
      <c r="AN91" s="649"/>
      <c r="AO91" s="649"/>
      <c r="AP91" s="649"/>
      <c r="AQ91" s="649"/>
      <c r="AR91" s="649"/>
      <c r="AS91" s="649"/>
      <c r="AT91" s="649"/>
      <c r="AU91" s="649"/>
      <c r="AV91" s="649"/>
      <c r="AW91" s="649"/>
      <c r="AX91" s="649"/>
      <c r="AY91" s="649"/>
      <c r="AZ91" s="649"/>
      <c r="BA91" s="649"/>
      <c r="BB91" s="649"/>
      <c r="BC91" s="649"/>
      <c r="BD91" s="649"/>
    </row>
    <row r="92" spans="1:56" s="648" customFormat="1" ht="12" customHeight="1">
      <c r="A92" s="726"/>
      <c r="B92" s="725">
        <v>43147</v>
      </c>
      <c r="C92" s="724" t="s">
        <v>451</v>
      </c>
      <c r="D92" s="723">
        <v>29.8</v>
      </c>
      <c r="E92" s="723">
        <f t="shared" si="6"/>
        <v>29.8</v>
      </c>
      <c r="F92" s="723"/>
      <c r="G92" s="723"/>
      <c r="H92" s="723"/>
      <c r="I92" s="723"/>
      <c r="J92" s="723"/>
      <c r="K92" s="723"/>
      <c r="L92" s="723"/>
      <c r="M92" s="723"/>
      <c r="N92" s="723"/>
      <c r="O92" s="750"/>
      <c r="P92" s="750"/>
      <c r="Q92" s="750"/>
      <c r="R92" s="750"/>
      <c r="S92" s="750"/>
      <c r="U92" s="649"/>
      <c r="V92" s="649"/>
      <c r="W92" s="649"/>
      <c r="X92" s="649"/>
      <c r="Y92" s="649"/>
      <c r="Z92" s="649"/>
      <c r="AA92" s="649"/>
      <c r="AB92" s="649"/>
      <c r="AC92" s="649"/>
      <c r="AD92" s="649"/>
      <c r="AE92" s="649"/>
      <c r="AF92" s="649"/>
      <c r="AG92" s="649"/>
      <c r="AH92" s="649"/>
      <c r="AI92" s="649"/>
      <c r="AJ92" s="649"/>
      <c r="AK92" s="649"/>
      <c r="AL92" s="649"/>
      <c r="AM92" s="649"/>
      <c r="AN92" s="649"/>
      <c r="AO92" s="649"/>
      <c r="AP92" s="649"/>
      <c r="AQ92" s="649"/>
      <c r="AR92" s="649"/>
      <c r="AS92" s="649"/>
      <c r="AT92" s="649"/>
      <c r="AU92" s="649"/>
      <c r="AV92" s="649"/>
      <c r="AW92" s="649"/>
      <c r="AX92" s="649"/>
      <c r="AY92" s="649"/>
      <c r="AZ92" s="649"/>
      <c r="BA92" s="649"/>
      <c r="BB92" s="649"/>
      <c r="BC92" s="649"/>
      <c r="BD92" s="649"/>
    </row>
    <row r="93" spans="1:56" s="648" customFormat="1" ht="12" customHeight="1">
      <c r="A93" s="726"/>
      <c r="B93" s="725">
        <v>43147</v>
      </c>
      <c r="C93" s="724" t="s">
        <v>38</v>
      </c>
      <c r="D93" s="723">
        <v>55</v>
      </c>
      <c r="E93" s="723">
        <f t="shared" si="6"/>
        <v>55</v>
      </c>
      <c r="F93" s="723"/>
      <c r="G93" s="723"/>
      <c r="H93" s="723"/>
      <c r="I93" s="723"/>
      <c r="J93" s="723"/>
      <c r="K93" s="723"/>
      <c r="L93" s="723"/>
      <c r="M93" s="723"/>
      <c r="N93" s="723"/>
      <c r="O93" s="750"/>
      <c r="P93" s="750"/>
      <c r="Q93" s="750"/>
      <c r="R93" s="750"/>
      <c r="S93" s="750"/>
      <c r="U93" s="649"/>
      <c r="V93" s="649"/>
      <c r="W93" s="649"/>
      <c r="X93" s="649"/>
      <c r="Y93" s="649"/>
      <c r="Z93" s="649"/>
      <c r="AA93" s="649"/>
      <c r="AB93" s="649"/>
      <c r="AC93" s="649"/>
      <c r="AD93" s="649"/>
      <c r="AE93" s="649"/>
      <c r="AF93" s="649"/>
      <c r="AG93" s="649"/>
      <c r="AH93" s="649"/>
      <c r="AI93" s="649"/>
      <c r="AJ93" s="649"/>
      <c r="AK93" s="649"/>
      <c r="AL93" s="649"/>
      <c r="AM93" s="649"/>
      <c r="AN93" s="649"/>
      <c r="AO93" s="649"/>
      <c r="AP93" s="649"/>
      <c r="AQ93" s="649"/>
      <c r="AR93" s="649"/>
      <c r="AS93" s="649"/>
      <c r="AT93" s="649"/>
      <c r="AU93" s="649"/>
      <c r="AV93" s="649"/>
      <c r="AW93" s="649"/>
      <c r="AX93" s="649"/>
      <c r="AY93" s="649"/>
      <c r="AZ93" s="649"/>
      <c r="BA93" s="649"/>
      <c r="BB93" s="649"/>
      <c r="BC93" s="649"/>
      <c r="BD93" s="649"/>
    </row>
    <row r="94" spans="1:56" s="648" customFormat="1" ht="12" customHeight="1">
      <c r="A94" s="726"/>
      <c r="B94" s="725">
        <v>43147</v>
      </c>
      <c r="C94" s="724" t="s">
        <v>39</v>
      </c>
      <c r="D94" s="723">
        <v>112.31</v>
      </c>
      <c r="E94" s="723">
        <f t="shared" si="6"/>
        <v>52.46</v>
      </c>
      <c r="F94" s="723"/>
      <c r="G94" s="723"/>
      <c r="H94" s="723"/>
      <c r="I94" s="723">
        <v>59.85</v>
      </c>
      <c r="J94" s="723"/>
      <c r="K94" s="723"/>
      <c r="L94" s="723"/>
      <c r="M94" s="723"/>
      <c r="N94" s="723"/>
      <c r="O94" s="750"/>
      <c r="P94" s="750"/>
      <c r="Q94" s="750"/>
      <c r="R94" s="750"/>
      <c r="S94" s="750"/>
      <c r="U94" s="649"/>
      <c r="V94" s="649"/>
      <c r="W94" s="649"/>
      <c r="X94" s="649"/>
      <c r="Y94" s="649"/>
      <c r="Z94" s="649"/>
      <c r="AA94" s="649"/>
      <c r="AB94" s="649"/>
      <c r="AC94" s="649"/>
      <c r="AD94" s="649"/>
      <c r="AE94" s="649"/>
      <c r="AF94" s="649"/>
      <c r="AG94" s="649"/>
      <c r="AH94" s="649"/>
      <c r="AI94" s="649"/>
      <c r="AJ94" s="649"/>
      <c r="AK94" s="649"/>
      <c r="AL94" s="649"/>
      <c r="AM94" s="649"/>
      <c r="AN94" s="649"/>
      <c r="AO94" s="649"/>
      <c r="AP94" s="649"/>
      <c r="AQ94" s="649"/>
      <c r="AR94" s="649"/>
      <c r="AS94" s="649"/>
      <c r="AT94" s="649"/>
      <c r="AU94" s="649"/>
      <c r="AV94" s="649"/>
      <c r="AW94" s="649"/>
      <c r="AX94" s="649"/>
      <c r="AY94" s="649"/>
      <c r="AZ94" s="649"/>
      <c r="BA94" s="649"/>
      <c r="BB94" s="649"/>
      <c r="BC94" s="649"/>
      <c r="BD94" s="649"/>
    </row>
    <row r="95" spans="1:56" s="648" customFormat="1" ht="12" customHeight="1">
      <c r="A95" s="726"/>
      <c r="B95" s="725">
        <v>43147</v>
      </c>
      <c r="C95" s="724" t="s">
        <v>451</v>
      </c>
      <c r="D95" s="723">
        <v>194.75</v>
      </c>
      <c r="E95" s="723">
        <f t="shared" si="6"/>
        <v>134.75</v>
      </c>
      <c r="F95" s="723"/>
      <c r="G95" s="723"/>
      <c r="H95" s="723"/>
      <c r="I95" s="723">
        <v>60</v>
      </c>
      <c r="J95" s="723"/>
      <c r="K95" s="723"/>
      <c r="L95" s="723"/>
      <c r="M95" s="723"/>
      <c r="N95" s="723"/>
      <c r="O95" s="750"/>
      <c r="P95" s="750"/>
      <c r="Q95" s="750"/>
      <c r="R95" s="750"/>
      <c r="S95" s="750"/>
      <c r="U95" s="649"/>
      <c r="V95" s="649"/>
      <c r="W95" s="649"/>
      <c r="X95" s="649"/>
      <c r="Y95" s="649"/>
      <c r="Z95" s="649"/>
      <c r="AA95" s="649"/>
      <c r="AB95" s="649"/>
      <c r="AC95" s="649"/>
      <c r="AD95" s="649"/>
      <c r="AE95" s="649"/>
      <c r="AF95" s="649"/>
      <c r="AG95" s="649"/>
      <c r="AH95" s="649"/>
      <c r="AI95" s="649"/>
      <c r="AJ95" s="649"/>
      <c r="AK95" s="649"/>
      <c r="AL95" s="649"/>
      <c r="AM95" s="649"/>
      <c r="AN95" s="649"/>
      <c r="AO95" s="649"/>
      <c r="AP95" s="649"/>
      <c r="AQ95" s="649"/>
      <c r="AR95" s="649"/>
      <c r="AS95" s="649"/>
      <c r="AT95" s="649"/>
      <c r="AU95" s="649"/>
      <c r="AV95" s="649"/>
      <c r="AW95" s="649"/>
      <c r="AX95" s="649"/>
      <c r="AY95" s="649"/>
      <c r="AZ95" s="649"/>
      <c r="BA95" s="649"/>
      <c r="BB95" s="649"/>
      <c r="BC95" s="649"/>
      <c r="BD95" s="649"/>
    </row>
    <row r="96" spans="1:56" s="648" customFormat="1" ht="12" customHeight="1">
      <c r="A96" s="726"/>
      <c r="B96" s="725">
        <v>43148</v>
      </c>
      <c r="C96" s="724" t="s">
        <v>451</v>
      </c>
      <c r="D96" s="723">
        <v>32</v>
      </c>
      <c r="E96" s="723">
        <f t="shared" si="6"/>
        <v>32</v>
      </c>
      <c r="F96" s="723"/>
      <c r="G96" s="723"/>
      <c r="H96" s="723"/>
      <c r="I96" s="723"/>
      <c r="J96" s="723"/>
      <c r="K96" s="723"/>
      <c r="L96" s="723"/>
      <c r="M96" s="723"/>
      <c r="N96" s="723"/>
      <c r="O96" s="750"/>
      <c r="P96" s="750"/>
      <c r="Q96" s="750"/>
      <c r="R96" s="750"/>
      <c r="S96" s="750"/>
      <c r="U96" s="649"/>
      <c r="V96" s="649"/>
      <c r="W96" s="649"/>
      <c r="X96" s="649"/>
      <c r="Y96" s="649"/>
      <c r="Z96" s="649"/>
      <c r="AA96" s="649"/>
      <c r="AB96" s="649"/>
      <c r="AC96" s="649"/>
      <c r="AD96" s="649"/>
      <c r="AE96" s="649"/>
      <c r="AF96" s="649"/>
      <c r="AG96" s="649"/>
      <c r="AH96" s="649"/>
      <c r="AI96" s="649"/>
      <c r="AJ96" s="649"/>
      <c r="AK96" s="649"/>
      <c r="AL96" s="649"/>
      <c r="AM96" s="649"/>
      <c r="AN96" s="649"/>
      <c r="AO96" s="649"/>
      <c r="AP96" s="649"/>
      <c r="AQ96" s="649"/>
      <c r="AR96" s="649"/>
      <c r="AS96" s="649"/>
      <c r="AT96" s="649"/>
      <c r="AU96" s="649"/>
      <c r="AV96" s="649"/>
      <c r="AW96" s="649"/>
      <c r="AX96" s="649"/>
      <c r="AY96" s="649"/>
      <c r="AZ96" s="649"/>
      <c r="BA96" s="649"/>
      <c r="BB96" s="649"/>
      <c r="BC96" s="649"/>
      <c r="BD96" s="649"/>
    </row>
    <row r="97" spans="1:56" s="648" customFormat="1" ht="12" customHeight="1">
      <c r="A97" s="726"/>
      <c r="B97" s="725">
        <v>43151</v>
      </c>
      <c r="C97" s="724" t="s">
        <v>39</v>
      </c>
      <c r="D97" s="723">
        <v>124.8</v>
      </c>
      <c r="E97" s="723">
        <f t="shared" si="6"/>
        <v>124.8</v>
      </c>
      <c r="F97" s="723"/>
      <c r="G97" s="723"/>
      <c r="H97" s="723"/>
      <c r="I97" s="723"/>
      <c r="J97" s="723"/>
      <c r="K97" s="723"/>
      <c r="L97" s="723"/>
      <c r="M97" s="723"/>
      <c r="N97" s="723"/>
      <c r="O97" s="750"/>
      <c r="P97" s="750"/>
      <c r="Q97" s="750"/>
      <c r="R97" s="750"/>
      <c r="S97" s="750"/>
      <c r="U97" s="649"/>
      <c r="V97" s="649"/>
      <c r="W97" s="649"/>
      <c r="X97" s="649"/>
      <c r="Y97" s="649"/>
      <c r="Z97" s="649"/>
      <c r="AA97" s="649"/>
      <c r="AB97" s="649"/>
      <c r="AC97" s="649"/>
      <c r="AD97" s="649"/>
      <c r="AE97" s="649"/>
      <c r="AF97" s="649"/>
      <c r="AG97" s="649"/>
      <c r="AH97" s="649"/>
      <c r="AI97" s="649"/>
      <c r="AJ97" s="649"/>
      <c r="AK97" s="649"/>
      <c r="AL97" s="649"/>
      <c r="AM97" s="649"/>
      <c r="AN97" s="649"/>
      <c r="AO97" s="649"/>
      <c r="AP97" s="649"/>
      <c r="AQ97" s="649"/>
      <c r="AR97" s="649"/>
      <c r="AS97" s="649"/>
      <c r="AT97" s="649"/>
      <c r="AU97" s="649"/>
      <c r="AV97" s="649"/>
      <c r="AW97" s="649"/>
      <c r="AX97" s="649"/>
      <c r="AY97" s="649"/>
      <c r="AZ97" s="649"/>
      <c r="BA97" s="649"/>
      <c r="BB97" s="649"/>
      <c r="BC97" s="649"/>
      <c r="BD97" s="649"/>
    </row>
    <row r="98" spans="1:56" s="648" customFormat="1" ht="12" customHeight="1">
      <c r="A98" s="726"/>
      <c r="B98" s="725">
        <v>43154</v>
      </c>
      <c r="C98" s="724" t="s">
        <v>124</v>
      </c>
      <c r="D98" s="723">
        <v>369.4</v>
      </c>
      <c r="E98" s="723">
        <f t="shared" si="6"/>
        <v>0</v>
      </c>
      <c r="F98" s="723"/>
      <c r="G98" s="723"/>
      <c r="H98" s="723">
        <v>369.4</v>
      </c>
      <c r="I98" s="723"/>
      <c r="J98" s="723"/>
      <c r="K98" s="723"/>
      <c r="L98" s="723"/>
      <c r="M98" s="723"/>
      <c r="N98" s="723"/>
      <c r="O98" s="750"/>
      <c r="P98" s="750"/>
      <c r="Q98" s="750"/>
      <c r="R98" s="750"/>
      <c r="S98" s="750"/>
      <c r="U98" s="649"/>
      <c r="V98" s="649"/>
      <c r="W98" s="649"/>
      <c r="X98" s="649"/>
      <c r="Y98" s="649"/>
      <c r="Z98" s="649"/>
      <c r="AA98" s="649"/>
      <c r="AB98" s="649"/>
      <c r="AC98" s="649"/>
      <c r="AD98" s="649"/>
      <c r="AE98" s="649"/>
      <c r="AF98" s="649"/>
      <c r="AG98" s="649"/>
      <c r="AH98" s="649"/>
      <c r="AI98" s="649"/>
      <c r="AJ98" s="649"/>
      <c r="AK98" s="649"/>
      <c r="AL98" s="649"/>
      <c r="AM98" s="649"/>
      <c r="AN98" s="649"/>
      <c r="AO98" s="649"/>
      <c r="AP98" s="649"/>
      <c r="AQ98" s="649"/>
      <c r="AR98" s="649"/>
      <c r="AS98" s="649"/>
      <c r="AT98" s="649"/>
      <c r="AU98" s="649"/>
      <c r="AV98" s="649"/>
      <c r="AW98" s="649"/>
      <c r="AX98" s="649"/>
      <c r="AY98" s="649"/>
      <c r="AZ98" s="649"/>
      <c r="BA98" s="649"/>
      <c r="BB98" s="649"/>
      <c r="BC98" s="649"/>
      <c r="BD98" s="649"/>
    </row>
    <row r="99" spans="1:56" s="648" customFormat="1" ht="12" customHeight="1">
      <c r="A99" s="726"/>
      <c r="B99" s="725">
        <v>43154</v>
      </c>
      <c r="C99" s="724" t="s">
        <v>451</v>
      </c>
      <c r="D99" s="723">
        <v>18</v>
      </c>
      <c r="E99" s="723">
        <f t="shared" si="6"/>
        <v>18</v>
      </c>
      <c r="F99" s="723">
        <v>18</v>
      </c>
      <c r="G99" s="723"/>
      <c r="H99" s="723"/>
      <c r="I99" s="723"/>
      <c r="J99" s="723"/>
      <c r="K99" s="723"/>
      <c r="L99" s="723"/>
      <c r="M99" s="723"/>
      <c r="N99" s="723"/>
      <c r="O99" s="750"/>
      <c r="P99" s="750"/>
      <c r="Q99" s="750"/>
      <c r="R99" s="750"/>
      <c r="S99" s="750"/>
      <c r="U99" s="649"/>
      <c r="V99" s="649"/>
      <c r="W99" s="649"/>
      <c r="X99" s="649"/>
      <c r="Y99" s="649"/>
      <c r="Z99" s="649"/>
      <c r="AA99" s="649"/>
      <c r="AB99" s="649"/>
      <c r="AC99" s="649"/>
      <c r="AD99" s="649"/>
      <c r="AE99" s="649"/>
      <c r="AF99" s="649"/>
      <c r="AG99" s="649"/>
      <c r="AH99" s="649"/>
      <c r="AI99" s="649"/>
      <c r="AJ99" s="649"/>
      <c r="AK99" s="649"/>
      <c r="AL99" s="649"/>
      <c r="AM99" s="649"/>
      <c r="AN99" s="649"/>
      <c r="AO99" s="649"/>
      <c r="AP99" s="649"/>
      <c r="AQ99" s="649"/>
      <c r="AR99" s="649"/>
      <c r="AS99" s="649"/>
      <c r="AT99" s="649"/>
      <c r="AU99" s="649"/>
      <c r="AV99" s="649"/>
      <c r="AW99" s="649"/>
      <c r="AX99" s="649"/>
      <c r="AY99" s="649"/>
      <c r="AZ99" s="649"/>
      <c r="BA99" s="649"/>
      <c r="BB99" s="649"/>
      <c r="BC99" s="649"/>
      <c r="BD99" s="649"/>
    </row>
    <row r="100" spans="1:56" s="648" customFormat="1" ht="12" customHeight="1">
      <c r="A100" s="726"/>
      <c r="B100" s="725">
        <v>43158</v>
      </c>
      <c r="C100" s="724" t="s">
        <v>40</v>
      </c>
      <c r="D100" s="723">
        <v>54.4</v>
      </c>
      <c r="E100" s="723">
        <f t="shared" si="6"/>
        <v>54.4</v>
      </c>
      <c r="F100" s="723">
        <v>10.95</v>
      </c>
      <c r="G100" s="723"/>
      <c r="H100" s="723"/>
      <c r="I100" s="723"/>
      <c r="J100" s="723"/>
      <c r="K100" s="723"/>
      <c r="L100" s="723"/>
      <c r="M100" s="723"/>
      <c r="N100" s="723"/>
      <c r="O100" s="750"/>
      <c r="P100" s="750"/>
      <c r="Q100" s="750"/>
      <c r="R100" s="750"/>
      <c r="S100" s="750"/>
      <c r="U100" s="649"/>
      <c r="V100" s="649"/>
      <c r="W100" s="649"/>
      <c r="X100" s="649"/>
      <c r="Y100" s="649"/>
      <c r="Z100" s="649"/>
      <c r="AA100" s="649"/>
      <c r="AB100" s="649"/>
      <c r="AC100" s="649"/>
      <c r="AD100" s="649"/>
      <c r="AE100" s="649"/>
      <c r="AF100" s="649"/>
      <c r="AG100" s="649"/>
      <c r="AH100" s="649"/>
      <c r="AI100" s="649"/>
      <c r="AJ100" s="649"/>
      <c r="AK100" s="649"/>
      <c r="AL100" s="649"/>
      <c r="AM100" s="649"/>
      <c r="AN100" s="649"/>
      <c r="AO100" s="649"/>
      <c r="AP100" s="649"/>
      <c r="AQ100" s="649"/>
      <c r="AR100" s="649"/>
      <c r="AS100" s="649"/>
      <c r="AT100" s="649"/>
      <c r="AU100" s="649"/>
      <c r="AV100" s="649"/>
      <c r="AW100" s="649"/>
      <c r="AX100" s="649"/>
      <c r="AY100" s="649"/>
      <c r="AZ100" s="649"/>
      <c r="BA100" s="649"/>
      <c r="BB100" s="649"/>
      <c r="BC100" s="649"/>
      <c r="BD100" s="649"/>
    </row>
    <row r="101" spans="1:56" s="648" customFormat="1" ht="12" customHeight="1">
      <c r="A101" s="726"/>
      <c r="B101" s="725">
        <v>43158</v>
      </c>
      <c r="C101" s="724" t="s">
        <v>451</v>
      </c>
      <c r="D101" s="723">
        <v>79</v>
      </c>
      <c r="E101" s="723">
        <f t="shared" si="6"/>
        <v>64</v>
      </c>
      <c r="F101" s="723">
        <v>12.75</v>
      </c>
      <c r="G101" s="723"/>
      <c r="H101" s="723"/>
      <c r="I101" s="723">
        <v>15</v>
      </c>
      <c r="J101" s="723"/>
      <c r="K101" s="723"/>
      <c r="L101" s="723"/>
      <c r="M101" s="723"/>
      <c r="N101" s="723"/>
      <c r="O101" s="750"/>
      <c r="P101" s="750"/>
      <c r="Q101" s="750"/>
      <c r="R101" s="750"/>
      <c r="S101" s="750"/>
      <c r="U101" s="649"/>
      <c r="V101" s="649"/>
      <c r="W101" s="649"/>
      <c r="X101" s="649"/>
      <c r="Y101" s="649"/>
      <c r="Z101" s="649"/>
      <c r="AA101" s="649"/>
      <c r="AB101" s="649"/>
      <c r="AC101" s="649"/>
      <c r="AD101" s="649"/>
      <c r="AE101" s="649"/>
      <c r="AF101" s="649"/>
      <c r="AG101" s="649"/>
      <c r="AH101" s="649"/>
      <c r="AI101" s="649"/>
      <c r="AJ101" s="649"/>
      <c r="AK101" s="649"/>
      <c r="AL101" s="649"/>
      <c r="AM101" s="649"/>
      <c r="AN101" s="649"/>
      <c r="AO101" s="649"/>
      <c r="AP101" s="649"/>
      <c r="AQ101" s="649"/>
      <c r="AR101" s="649"/>
      <c r="AS101" s="649"/>
      <c r="AT101" s="649"/>
      <c r="AU101" s="649"/>
      <c r="AV101" s="649"/>
      <c r="AW101" s="649"/>
      <c r="AX101" s="649"/>
      <c r="AY101" s="649"/>
      <c r="AZ101" s="649"/>
      <c r="BA101" s="649"/>
      <c r="BB101" s="649"/>
      <c r="BC101" s="649"/>
      <c r="BD101" s="649"/>
    </row>
    <row r="102" spans="1:56" s="744" customFormat="1" ht="12" customHeight="1">
      <c r="A102" s="749"/>
      <c r="B102" s="748" t="str">
        <f>E1</f>
        <v>marts</v>
      </c>
      <c r="C102" s="747"/>
      <c r="D102" s="746">
        <f t="shared" ref="D102:S102" si="7">SUM(D103:D134)</f>
        <v>2094.94</v>
      </c>
      <c r="E102" s="746">
        <f t="shared" si="7"/>
        <v>1762.59</v>
      </c>
      <c r="F102" s="746">
        <f t="shared" si="7"/>
        <v>63.75</v>
      </c>
      <c r="G102" s="746">
        <f t="shared" si="7"/>
        <v>117</v>
      </c>
      <c r="H102" s="746">
        <f t="shared" si="7"/>
        <v>120.5</v>
      </c>
      <c r="I102" s="746">
        <f t="shared" si="7"/>
        <v>94.85</v>
      </c>
      <c r="J102" s="746">
        <f t="shared" si="7"/>
        <v>0</v>
      </c>
      <c r="K102" s="746">
        <f t="shared" si="7"/>
        <v>0</v>
      </c>
      <c r="L102" s="746">
        <f t="shared" si="7"/>
        <v>0</v>
      </c>
      <c r="M102" s="746">
        <f t="shared" si="7"/>
        <v>0</v>
      </c>
      <c r="N102" s="746">
        <f t="shared" si="7"/>
        <v>0</v>
      </c>
      <c r="O102" s="745">
        <f t="shared" si="7"/>
        <v>0</v>
      </c>
      <c r="P102" s="745">
        <f t="shared" si="7"/>
        <v>0</v>
      </c>
      <c r="Q102" s="745">
        <f t="shared" si="7"/>
        <v>0</v>
      </c>
      <c r="R102" s="745">
        <f t="shared" si="7"/>
        <v>0</v>
      </c>
      <c r="S102" s="745">
        <f t="shared" si="7"/>
        <v>0</v>
      </c>
    </row>
    <row r="103" spans="1:56" s="648" customFormat="1" ht="12" customHeight="1">
      <c r="A103" s="726"/>
      <c r="B103" s="725">
        <v>43159</v>
      </c>
      <c r="C103" s="724" t="s">
        <v>38</v>
      </c>
      <c r="D103" s="723">
        <v>38.21</v>
      </c>
      <c r="E103" s="723">
        <f t="shared" ref="E103:E134" si="8">D103-G103-H103-I103</f>
        <v>38.21</v>
      </c>
      <c r="F103" s="723"/>
      <c r="G103" s="723"/>
      <c r="H103" s="723"/>
      <c r="I103" s="723"/>
      <c r="J103" s="723"/>
      <c r="K103" s="723"/>
      <c r="L103" s="723"/>
      <c r="M103" s="723"/>
      <c r="N103" s="723"/>
      <c r="O103" s="743"/>
      <c r="P103" s="743"/>
      <c r="Q103" s="743"/>
      <c r="R103" s="743"/>
      <c r="S103" s="743"/>
      <c r="U103" s="649"/>
      <c r="V103" s="649"/>
      <c r="W103" s="649"/>
      <c r="X103" s="649"/>
      <c r="Y103" s="649"/>
      <c r="Z103" s="649"/>
      <c r="AA103" s="649"/>
      <c r="AB103" s="649"/>
      <c r="AC103" s="649"/>
      <c r="AD103" s="649"/>
      <c r="AE103" s="649"/>
      <c r="AF103" s="649"/>
      <c r="AG103" s="649"/>
      <c r="AH103" s="649"/>
      <c r="AI103" s="649"/>
      <c r="AJ103" s="649"/>
      <c r="AK103" s="649"/>
      <c r="AL103" s="649"/>
      <c r="AM103" s="649"/>
      <c r="AN103" s="649"/>
      <c r="AO103" s="649"/>
      <c r="AP103" s="649"/>
      <c r="AQ103" s="649"/>
      <c r="AR103" s="649"/>
      <c r="AS103" s="649"/>
      <c r="AT103" s="649"/>
      <c r="AU103" s="649"/>
      <c r="AV103" s="649"/>
      <c r="AW103" s="649"/>
      <c r="AX103" s="649"/>
      <c r="AY103" s="649"/>
      <c r="AZ103" s="649"/>
      <c r="BA103" s="649"/>
      <c r="BB103" s="649"/>
      <c r="BC103" s="649"/>
      <c r="BD103" s="649"/>
    </row>
    <row r="104" spans="1:56" s="648" customFormat="1" ht="12" customHeight="1">
      <c r="A104" s="726"/>
      <c r="B104" s="725">
        <v>43159</v>
      </c>
      <c r="C104" s="724" t="s">
        <v>39</v>
      </c>
      <c r="D104" s="723">
        <v>199.7</v>
      </c>
      <c r="E104" s="723">
        <f t="shared" si="8"/>
        <v>139.85</v>
      </c>
      <c r="F104" s="723"/>
      <c r="G104" s="723"/>
      <c r="H104" s="723"/>
      <c r="I104" s="723">
        <v>59.85</v>
      </c>
      <c r="J104" s="723"/>
      <c r="K104" s="723"/>
      <c r="L104" s="723"/>
      <c r="M104" s="723"/>
      <c r="N104" s="723"/>
      <c r="O104" s="743"/>
      <c r="P104" s="743"/>
      <c r="Q104" s="743"/>
      <c r="R104" s="743"/>
      <c r="S104" s="743"/>
      <c r="U104" s="649"/>
      <c r="V104" s="649"/>
      <c r="W104" s="649"/>
      <c r="X104" s="649"/>
      <c r="Y104" s="649"/>
      <c r="Z104" s="649"/>
      <c r="AA104" s="649"/>
      <c r="AB104" s="649"/>
      <c r="AC104" s="649"/>
      <c r="AD104" s="649"/>
      <c r="AE104" s="649"/>
      <c r="AF104" s="649"/>
      <c r="AG104" s="649"/>
      <c r="AH104" s="649"/>
      <c r="AI104" s="649"/>
      <c r="AJ104" s="649"/>
      <c r="AK104" s="649"/>
      <c r="AL104" s="649"/>
      <c r="AM104" s="649"/>
      <c r="AN104" s="649"/>
      <c r="AO104" s="649"/>
      <c r="AP104" s="649"/>
      <c r="AQ104" s="649"/>
      <c r="AR104" s="649"/>
      <c r="AS104" s="649"/>
      <c r="AT104" s="649"/>
      <c r="AU104" s="649"/>
      <c r="AV104" s="649"/>
      <c r="AW104" s="649"/>
      <c r="AX104" s="649"/>
      <c r="AY104" s="649"/>
      <c r="AZ104" s="649"/>
      <c r="BA104" s="649"/>
      <c r="BB104" s="649"/>
      <c r="BC104" s="649"/>
      <c r="BD104" s="649"/>
    </row>
    <row r="105" spans="1:56" s="648" customFormat="1" ht="12" customHeight="1">
      <c r="A105" s="726"/>
      <c r="B105" s="725">
        <v>43160</v>
      </c>
      <c r="C105" s="724" t="s">
        <v>40</v>
      </c>
      <c r="D105" s="723">
        <v>51.5</v>
      </c>
      <c r="E105" s="723">
        <f t="shared" si="8"/>
        <v>51.5</v>
      </c>
      <c r="F105" s="723"/>
      <c r="G105" s="723"/>
      <c r="H105" s="723"/>
      <c r="I105" s="723"/>
      <c r="J105" s="723"/>
      <c r="K105" s="723"/>
      <c r="L105" s="723"/>
      <c r="M105" s="723"/>
      <c r="N105" s="723"/>
      <c r="O105" s="743"/>
      <c r="P105" s="743"/>
      <c r="Q105" s="743"/>
      <c r="R105" s="743"/>
      <c r="S105" s="743"/>
      <c r="U105" s="649"/>
      <c r="V105" s="649"/>
      <c r="W105" s="649"/>
      <c r="X105" s="649"/>
      <c r="Y105" s="649"/>
      <c r="Z105" s="649"/>
      <c r="AA105" s="649"/>
      <c r="AB105" s="649"/>
      <c r="AC105" s="649"/>
      <c r="AD105" s="649"/>
      <c r="AE105" s="649"/>
      <c r="AF105" s="649"/>
      <c r="AG105" s="649"/>
      <c r="AH105" s="649"/>
      <c r="AI105" s="649"/>
      <c r="AJ105" s="649"/>
      <c r="AK105" s="649"/>
      <c r="AL105" s="649"/>
      <c r="AM105" s="649"/>
      <c r="AN105" s="649"/>
      <c r="AO105" s="649"/>
      <c r="AP105" s="649"/>
      <c r="AQ105" s="649"/>
      <c r="AR105" s="649"/>
      <c r="AS105" s="649"/>
      <c r="AT105" s="649"/>
      <c r="AU105" s="649"/>
      <c r="AV105" s="649"/>
      <c r="AW105" s="649"/>
      <c r="AX105" s="649"/>
      <c r="AY105" s="649"/>
      <c r="AZ105" s="649"/>
      <c r="BA105" s="649"/>
      <c r="BB105" s="649"/>
      <c r="BC105" s="649"/>
      <c r="BD105" s="649"/>
    </row>
    <row r="106" spans="1:56" s="648" customFormat="1" ht="12" customHeight="1">
      <c r="A106" s="726"/>
      <c r="B106" s="725">
        <v>43160</v>
      </c>
      <c r="C106" s="724" t="s">
        <v>451</v>
      </c>
      <c r="D106" s="723">
        <v>157.55000000000001</v>
      </c>
      <c r="E106" s="723">
        <f t="shared" si="8"/>
        <v>157.55000000000001</v>
      </c>
      <c r="F106" s="723"/>
      <c r="G106" s="723"/>
      <c r="H106" s="723"/>
      <c r="I106" s="723"/>
      <c r="J106" s="723"/>
      <c r="K106" s="723"/>
      <c r="L106" s="723"/>
      <c r="M106" s="723"/>
      <c r="N106" s="723"/>
      <c r="O106" s="743"/>
      <c r="P106" s="743"/>
      <c r="Q106" s="743"/>
      <c r="R106" s="743"/>
      <c r="S106" s="743"/>
      <c r="U106" s="649"/>
      <c r="V106" s="649"/>
      <c r="W106" s="649"/>
      <c r="X106" s="649"/>
      <c r="Y106" s="649"/>
      <c r="Z106" s="649"/>
      <c r="AA106" s="649"/>
      <c r="AB106" s="649"/>
      <c r="AC106" s="649"/>
      <c r="AD106" s="649"/>
      <c r="AE106" s="649"/>
      <c r="AF106" s="649"/>
      <c r="AG106" s="649"/>
      <c r="AH106" s="649"/>
      <c r="AI106" s="649"/>
      <c r="AJ106" s="649"/>
      <c r="AK106" s="649"/>
      <c r="AL106" s="649"/>
      <c r="AM106" s="649"/>
      <c r="AN106" s="649"/>
      <c r="AO106" s="649"/>
      <c r="AP106" s="649"/>
      <c r="AQ106" s="649"/>
      <c r="AR106" s="649"/>
      <c r="AS106" s="649"/>
      <c r="AT106" s="649"/>
      <c r="AU106" s="649"/>
      <c r="AV106" s="649"/>
      <c r="AW106" s="649"/>
      <c r="AX106" s="649"/>
      <c r="AY106" s="649"/>
      <c r="AZ106" s="649"/>
      <c r="BA106" s="649"/>
      <c r="BB106" s="649"/>
      <c r="BC106" s="649"/>
      <c r="BD106" s="649"/>
    </row>
    <row r="107" spans="1:56" s="648" customFormat="1" ht="12" customHeight="1">
      <c r="A107" s="726"/>
      <c r="B107" s="725">
        <v>43163</v>
      </c>
      <c r="C107" s="724" t="s">
        <v>38</v>
      </c>
      <c r="D107" s="723">
        <v>89.2</v>
      </c>
      <c r="E107" s="723">
        <f t="shared" si="8"/>
        <v>64.900000000000006</v>
      </c>
      <c r="F107" s="723"/>
      <c r="G107" s="723"/>
      <c r="H107" s="723">
        <v>24.3</v>
      </c>
      <c r="I107" s="723"/>
      <c r="J107" s="723"/>
      <c r="K107" s="723"/>
      <c r="L107" s="723"/>
      <c r="M107" s="723"/>
      <c r="N107" s="723"/>
      <c r="O107" s="743"/>
      <c r="P107" s="743"/>
      <c r="Q107" s="743"/>
      <c r="R107" s="743"/>
      <c r="S107" s="743"/>
      <c r="U107" s="649"/>
      <c r="V107" s="649"/>
      <c r="W107" s="649"/>
      <c r="X107" s="649"/>
      <c r="Y107" s="649"/>
      <c r="Z107" s="649"/>
      <c r="AA107" s="649"/>
      <c r="AB107" s="649"/>
      <c r="AC107" s="649"/>
      <c r="AD107" s="649"/>
      <c r="AE107" s="649"/>
      <c r="AF107" s="649"/>
      <c r="AG107" s="649"/>
      <c r="AH107" s="649"/>
      <c r="AI107" s="649"/>
      <c r="AJ107" s="649"/>
      <c r="AK107" s="649"/>
      <c r="AL107" s="649"/>
      <c r="AM107" s="649"/>
      <c r="AN107" s="649"/>
      <c r="AO107" s="649"/>
      <c r="AP107" s="649"/>
      <c r="AQ107" s="649"/>
      <c r="AR107" s="649"/>
      <c r="AS107" s="649"/>
      <c r="AT107" s="649"/>
      <c r="AU107" s="649"/>
      <c r="AV107" s="649"/>
      <c r="AW107" s="649"/>
      <c r="AX107" s="649"/>
      <c r="AY107" s="649"/>
      <c r="AZ107" s="649"/>
      <c r="BA107" s="649"/>
      <c r="BB107" s="649"/>
      <c r="BC107" s="649"/>
      <c r="BD107" s="649"/>
    </row>
    <row r="108" spans="1:56" s="648" customFormat="1" ht="12" customHeight="1">
      <c r="A108" s="726"/>
      <c r="B108" s="725">
        <v>43163</v>
      </c>
      <c r="C108" s="724" t="s">
        <v>451</v>
      </c>
      <c r="D108" s="723">
        <v>79.900000000000006</v>
      </c>
      <c r="E108" s="723">
        <f t="shared" si="8"/>
        <v>79.900000000000006</v>
      </c>
      <c r="F108" s="723"/>
      <c r="G108" s="723"/>
      <c r="H108" s="723"/>
      <c r="I108" s="723"/>
      <c r="J108" s="723"/>
      <c r="K108" s="723"/>
      <c r="L108" s="723"/>
      <c r="M108" s="723"/>
      <c r="N108" s="723"/>
      <c r="O108" s="743"/>
      <c r="P108" s="743"/>
      <c r="Q108" s="743"/>
      <c r="R108" s="743"/>
      <c r="S108" s="743"/>
      <c r="U108" s="649"/>
      <c r="V108" s="649"/>
      <c r="W108" s="649"/>
      <c r="X108" s="649"/>
      <c r="Y108" s="649"/>
      <c r="Z108" s="649"/>
      <c r="AA108" s="649"/>
      <c r="AB108" s="649"/>
      <c r="AC108" s="649"/>
      <c r="AD108" s="649"/>
      <c r="AE108" s="649"/>
      <c r="AF108" s="649"/>
      <c r="AG108" s="649"/>
      <c r="AH108" s="649"/>
      <c r="AI108" s="649"/>
      <c r="AJ108" s="649"/>
      <c r="AK108" s="649"/>
      <c r="AL108" s="649"/>
      <c r="AM108" s="649"/>
      <c r="AN108" s="649"/>
      <c r="AO108" s="649"/>
      <c r="AP108" s="649"/>
      <c r="AQ108" s="649"/>
      <c r="AR108" s="649"/>
      <c r="AS108" s="649"/>
      <c r="AT108" s="649"/>
      <c r="AU108" s="649"/>
      <c r="AV108" s="649"/>
      <c r="AW108" s="649"/>
      <c r="AX108" s="649"/>
      <c r="AY108" s="649"/>
      <c r="AZ108" s="649"/>
      <c r="BA108" s="649"/>
      <c r="BB108" s="649"/>
      <c r="BC108" s="649"/>
      <c r="BD108" s="649"/>
    </row>
    <row r="109" spans="1:56" s="648" customFormat="1" ht="12" customHeight="1">
      <c r="A109" s="726"/>
      <c r="B109" s="725">
        <v>43164</v>
      </c>
      <c r="C109" s="724" t="s">
        <v>451</v>
      </c>
      <c r="D109" s="723">
        <v>126.45</v>
      </c>
      <c r="E109" s="723">
        <f t="shared" si="8"/>
        <v>126.45</v>
      </c>
      <c r="F109" s="723">
        <v>25.5</v>
      </c>
      <c r="G109" s="723"/>
      <c r="H109" s="723"/>
      <c r="I109" s="723"/>
      <c r="J109" s="723"/>
      <c r="K109" s="723"/>
      <c r="L109" s="723"/>
      <c r="M109" s="723"/>
      <c r="N109" s="723"/>
      <c r="O109" s="743"/>
      <c r="P109" s="743"/>
      <c r="Q109" s="743"/>
      <c r="R109" s="743"/>
      <c r="S109" s="743"/>
      <c r="U109" s="649"/>
      <c r="V109" s="649"/>
      <c r="W109" s="649"/>
      <c r="X109" s="649"/>
      <c r="Y109" s="649"/>
      <c r="Z109" s="649"/>
      <c r="AA109" s="649"/>
      <c r="AB109" s="649"/>
      <c r="AC109" s="649"/>
      <c r="AD109" s="649"/>
      <c r="AE109" s="649"/>
      <c r="AF109" s="649"/>
      <c r="AG109" s="649"/>
      <c r="AH109" s="649"/>
      <c r="AI109" s="649"/>
      <c r="AJ109" s="649"/>
      <c r="AK109" s="649"/>
      <c r="AL109" s="649"/>
      <c r="AM109" s="649"/>
      <c r="AN109" s="649"/>
      <c r="AO109" s="649"/>
      <c r="AP109" s="649"/>
      <c r="AQ109" s="649"/>
      <c r="AR109" s="649"/>
      <c r="AS109" s="649"/>
      <c r="AT109" s="649"/>
      <c r="AU109" s="649"/>
      <c r="AV109" s="649"/>
      <c r="AW109" s="649"/>
      <c r="AX109" s="649"/>
      <c r="AY109" s="649"/>
      <c r="AZ109" s="649"/>
      <c r="BA109" s="649"/>
      <c r="BB109" s="649"/>
      <c r="BC109" s="649"/>
      <c r="BD109" s="649"/>
    </row>
    <row r="110" spans="1:56" s="648" customFormat="1" ht="12" customHeight="1">
      <c r="A110" s="726"/>
      <c r="B110" s="725">
        <v>43166</v>
      </c>
      <c r="C110" s="724" t="s">
        <v>451</v>
      </c>
      <c r="D110" s="723">
        <v>23</v>
      </c>
      <c r="E110" s="723">
        <f t="shared" si="8"/>
        <v>23</v>
      </c>
      <c r="F110" s="723"/>
      <c r="G110" s="723"/>
      <c r="H110" s="723"/>
      <c r="I110" s="723"/>
      <c r="J110" s="723"/>
      <c r="K110" s="723"/>
      <c r="L110" s="723"/>
      <c r="M110" s="723"/>
      <c r="N110" s="723"/>
      <c r="O110" s="743"/>
      <c r="P110" s="743"/>
      <c r="Q110" s="743"/>
      <c r="R110" s="743"/>
      <c r="S110" s="743"/>
      <c r="U110" s="649"/>
      <c r="V110" s="649"/>
      <c r="W110" s="649"/>
      <c r="X110" s="649"/>
      <c r="Y110" s="649"/>
      <c r="Z110" s="649"/>
      <c r="AA110" s="649"/>
      <c r="AB110" s="649"/>
      <c r="AC110" s="649"/>
      <c r="AD110" s="649"/>
      <c r="AE110" s="649"/>
      <c r="AF110" s="649"/>
      <c r="AG110" s="649"/>
      <c r="AH110" s="649"/>
      <c r="AI110" s="649"/>
      <c r="AJ110" s="649"/>
      <c r="AK110" s="649"/>
      <c r="AL110" s="649"/>
      <c r="AM110" s="649"/>
      <c r="AN110" s="649"/>
      <c r="AO110" s="649"/>
      <c r="AP110" s="649"/>
      <c r="AQ110" s="649"/>
      <c r="AR110" s="649"/>
      <c r="AS110" s="649"/>
      <c r="AT110" s="649"/>
      <c r="AU110" s="649"/>
      <c r="AV110" s="649"/>
      <c r="AW110" s="649"/>
      <c r="AX110" s="649"/>
      <c r="AY110" s="649"/>
      <c r="AZ110" s="649"/>
      <c r="BA110" s="649"/>
      <c r="BB110" s="649"/>
      <c r="BC110" s="649"/>
      <c r="BD110" s="649"/>
    </row>
    <row r="111" spans="1:56" s="648" customFormat="1" ht="12" customHeight="1">
      <c r="A111" s="726"/>
      <c r="B111" s="725">
        <v>43167</v>
      </c>
      <c r="C111" s="724" t="s">
        <v>451</v>
      </c>
      <c r="D111" s="723">
        <v>14.6</v>
      </c>
      <c r="E111" s="723">
        <f t="shared" si="8"/>
        <v>14.6</v>
      </c>
      <c r="F111" s="723"/>
      <c r="G111" s="723"/>
      <c r="H111" s="723"/>
      <c r="I111" s="723"/>
      <c r="J111" s="723"/>
      <c r="K111" s="723"/>
      <c r="L111" s="723"/>
      <c r="M111" s="723"/>
      <c r="N111" s="723"/>
      <c r="O111" s="743"/>
      <c r="P111" s="743"/>
      <c r="Q111" s="743"/>
      <c r="R111" s="743"/>
      <c r="S111" s="743"/>
      <c r="U111" s="649"/>
      <c r="V111" s="649"/>
      <c r="W111" s="649"/>
      <c r="X111" s="649"/>
      <c r="Y111" s="649"/>
      <c r="Z111" s="649"/>
      <c r="AA111" s="649"/>
      <c r="AB111" s="649"/>
      <c r="AC111" s="649"/>
      <c r="AD111" s="649"/>
      <c r="AE111" s="649"/>
      <c r="AF111" s="649"/>
      <c r="AG111" s="649"/>
      <c r="AH111" s="649"/>
      <c r="AI111" s="649"/>
      <c r="AJ111" s="649"/>
      <c r="AK111" s="649"/>
      <c r="AL111" s="649"/>
      <c r="AM111" s="649"/>
      <c r="AN111" s="649"/>
      <c r="AO111" s="649"/>
      <c r="AP111" s="649"/>
      <c r="AQ111" s="649"/>
      <c r="AR111" s="649"/>
      <c r="AS111" s="649"/>
      <c r="AT111" s="649"/>
      <c r="AU111" s="649"/>
      <c r="AV111" s="649"/>
      <c r="AW111" s="649"/>
      <c r="AX111" s="649"/>
      <c r="AY111" s="649"/>
      <c r="AZ111" s="649"/>
      <c r="BA111" s="649"/>
      <c r="BB111" s="649"/>
      <c r="BC111" s="649"/>
      <c r="BD111" s="649"/>
    </row>
    <row r="112" spans="1:56" s="648" customFormat="1" ht="12" customHeight="1">
      <c r="A112" s="726"/>
      <c r="B112" s="725">
        <v>43168</v>
      </c>
      <c r="C112" s="724" t="s">
        <v>41</v>
      </c>
      <c r="D112" s="723">
        <v>66</v>
      </c>
      <c r="E112" s="723">
        <f t="shared" si="8"/>
        <v>66</v>
      </c>
      <c r="F112" s="723"/>
      <c r="G112" s="723"/>
      <c r="H112" s="723"/>
      <c r="I112" s="723"/>
      <c r="J112" s="723"/>
      <c r="K112" s="723"/>
      <c r="L112" s="723"/>
      <c r="M112" s="723"/>
      <c r="N112" s="723"/>
      <c r="O112" s="743"/>
      <c r="P112" s="743"/>
      <c r="Q112" s="743"/>
      <c r="R112" s="743"/>
      <c r="S112" s="743"/>
      <c r="U112" s="649"/>
      <c r="V112" s="649"/>
      <c r="W112" s="649"/>
      <c r="X112" s="649"/>
      <c r="Y112" s="649"/>
      <c r="Z112" s="649"/>
      <c r="AA112" s="649"/>
      <c r="AB112" s="649"/>
      <c r="AC112" s="649"/>
      <c r="AD112" s="649"/>
      <c r="AE112" s="649"/>
      <c r="AF112" s="649"/>
      <c r="AG112" s="649"/>
      <c r="AH112" s="649"/>
      <c r="AI112" s="649"/>
      <c r="AJ112" s="649"/>
      <c r="AK112" s="649"/>
      <c r="AL112" s="649"/>
      <c r="AM112" s="649"/>
      <c r="AN112" s="649"/>
      <c r="AO112" s="649"/>
      <c r="AP112" s="649"/>
      <c r="AQ112" s="649"/>
      <c r="AR112" s="649"/>
      <c r="AS112" s="649"/>
      <c r="AT112" s="649"/>
      <c r="AU112" s="649"/>
      <c r="AV112" s="649"/>
      <c r="AW112" s="649"/>
      <c r="AX112" s="649"/>
      <c r="AY112" s="649"/>
      <c r="AZ112" s="649"/>
      <c r="BA112" s="649"/>
      <c r="BB112" s="649"/>
      <c r="BC112" s="649"/>
      <c r="BD112" s="649"/>
    </row>
    <row r="113" spans="1:56" s="648" customFormat="1" ht="12" customHeight="1">
      <c r="A113" s="726" t="s">
        <v>710</v>
      </c>
      <c r="B113" s="725">
        <v>43169</v>
      </c>
      <c r="C113" s="724" t="s">
        <v>451</v>
      </c>
      <c r="D113" s="723">
        <v>71.75</v>
      </c>
      <c r="E113" s="723">
        <f t="shared" si="8"/>
        <v>71.75</v>
      </c>
      <c r="F113" s="723"/>
      <c r="G113" s="723"/>
      <c r="H113" s="723"/>
      <c r="I113" s="723"/>
      <c r="J113" s="723"/>
      <c r="K113" s="723"/>
      <c r="L113" s="723"/>
      <c r="M113" s="723"/>
      <c r="N113" s="723"/>
      <c r="O113" s="743"/>
      <c r="P113" s="743"/>
      <c r="Q113" s="743"/>
      <c r="R113" s="743"/>
      <c r="S113" s="743"/>
      <c r="U113" s="649"/>
      <c r="V113" s="649"/>
      <c r="W113" s="649"/>
      <c r="X113" s="649"/>
      <c r="Y113" s="649"/>
      <c r="Z113" s="649"/>
      <c r="AA113" s="649"/>
      <c r="AB113" s="649"/>
      <c r="AC113" s="649"/>
      <c r="AD113" s="649"/>
      <c r="AE113" s="649"/>
      <c r="AF113" s="649"/>
      <c r="AG113" s="649"/>
      <c r="AH113" s="649"/>
      <c r="AI113" s="649"/>
      <c r="AJ113" s="649"/>
      <c r="AK113" s="649"/>
      <c r="AL113" s="649"/>
      <c r="AM113" s="649"/>
      <c r="AN113" s="649"/>
      <c r="AO113" s="649"/>
      <c r="AP113" s="649"/>
      <c r="AQ113" s="649"/>
      <c r="AR113" s="649"/>
      <c r="AS113" s="649"/>
      <c r="AT113" s="649"/>
      <c r="AU113" s="649"/>
      <c r="AV113" s="649"/>
      <c r="AW113" s="649"/>
      <c r="AX113" s="649"/>
      <c r="AY113" s="649"/>
      <c r="AZ113" s="649"/>
      <c r="BA113" s="649"/>
      <c r="BB113" s="649"/>
      <c r="BC113" s="649"/>
      <c r="BD113" s="649"/>
    </row>
    <row r="114" spans="1:56" s="648" customFormat="1" ht="12" customHeight="1">
      <c r="A114" s="726"/>
      <c r="B114" s="725">
        <v>43170</v>
      </c>
      <c r="C114" s="724" t="s">
        <v>451</v>
      </c>
      <c r="D114" s="723">
        <v>82.5</v>
      </c>
      <c r="E114" s="723">
        <f t="shared" si="8"/>
        <v>82.5</v>
      </c>
      <c r="F114" s="723"/>
      <c r="G114" s="723"/>
      <c r="H114" s="723"/>
      <c r="I114" s="723"/>
      <c r="J114" s="723"/>
      <c r="K114" s="723"/>
      <c r="L114" s="723"/>
      <c r="M114" s="723"/>
      <c r="N114" s="723"/>
      <c r="O114" s="743"/>
      <c r="P114" s="743"/>
      <c r="Q114" s="743"/>
      <c r="R114" s="743"/>
      <c r="S114" s="743"/>
      <c r="U114" s="649"/>
      <c r="V114" s="649"/>
      <c r="W114" s="649"/>
      <c r="X114" s="649"/>
      <c r="Y114" s="649"/>
      <c r="Z114" s="649"/>
      <c r="AA114" s="649"/>
      <c r="AB114" s="649"/>
      <c r="AC114" s="649"/>
      <c r="AD114" s="649"/>
      <c r="AE114" s="649"/>
      <c r="AF114" s="649"/>
      <c r="AG114" s="649"/>
      <c r="AH114" s="649"/>
      <c r="AI114" s="649"/>
      <c r="AJ114" s="649"/>
      <c r="AK114" s="649"/>
      <c r="AL114" s="649"/>
      <c r="AM114" s="649"/>
      <c r="AN114" s="649"/>
      <c r="AO114" s="649"/>
      <c r="AP114" s="649"/>
      <c r="AQ114" s="649"/>
      <c r="AR114" s="649"/>
      <c r="AS114" s="649"/>
      <c r="AT114" s="649"/>
      <c r="AU114" s="649"/>
      <c r="AV114" s="649"/>
      <c r="AW114" s="649"/>
      <c r="AX114" s="649"/>
      <c r="AY114" s="649"/>
      <c r="AZ114" s="649"/>
      <c r="BA114" s="649"/>
      <c r="BB114" s="649"/>
      <c r="BC114" s="649"/>
      <c r="BD114" s="649"/>
    </row>
    <row r="115" spans="1:56" s="648" customFormat="1" ht="12" customHeight="1">
      <c r="A115" s="726" t="s">
        <v>19</v>
      </c>
      <c r="B115" s="725">
        <v>43171</v>
      </c>
      <c r="C115" s="724" t="s">
        <v>451</v>
      </c>
      <c r="D115" s="723">
        <v>142.05000000000001</v>
      </c>
      <c r="E115" s="723">
        <f t="shared" si="8"/>
        <v>142.05000000000001</v>
      </c>
      <c r="F115" s="723">
        <v>12.75</v>
      </c>
      <c r="G115" s="723"/>
      <c r="H115" s="723"/>
      <c r="I115" s="723"/>
      <c r="J115" s="723"/>
      <c r="K115" s="723"/>
      <c r="L115" s="723"/>
      <c r="M115" s="723"/>
      <c r="N115" s="723"/>
      <c r="O115" s="743"/>
      <c r="P115" s="743"/>
      <c r="Q115" s="743"/>
      <c r="R115" s="743"/>
      <c r="S115" s="743"/>
      <c r="U115" s="649"/>
      <c r="V115" s="649"/>
      <c r="W115" s="649"/>
      <c r="X115" s="649"/>
      <c r="Y115" s="649"/>
      <c r="Z115" s="649"/>
      <c r="AA115" s="649"/>
      <c r="AB115" s="649"/>
      <c r="AC115" s="649"/>
      <c r="AD115" s="649"/>
      <c r="AE115" s="649"/>
      <c r="AF115" s="649"/>
      <c r="AG115" s="649"/>
      <c r="AH115" s="649"/>
      <c r="AI115" s="649"/>
      <c r="AJ115" s="649"/>
      <c r="AK115" s="649"/>
      <c r="AL115" s="649"/>
      <c r="AM115" s="649"/>
      <c r="AN115" s="649"/>
      <c r="AO115" s="649"/>
      <c r="AP115" s="649"/>
      <c r="AQ115" s="649"/>
      <c r="AR115" s="649"/>
      <c r="AS115" s="649"/>
      <c r="AT115" s="649"/>
      <c r="AU115" s="649"/>
      <c r="AV115" s="649"/>
      <c r="AW115" s="649"/>
      <c r="AX115" s="649"/>
      <c r="AY115" s="649"/>
      <c r="AZ115" s="649"/>
      <c r="BA115" s="649"/>
      <c r="BB115" s="649"/>
      <c r="BC115" s="649"/>
      <c r="BD115" s="649"/>
    </row>
    <row r="116" spans="1:56" s="648" customFormat="1" ht="12" customHeight="1">
      <c r="A116" s="726"/>
      <c r="B116" s="725">
        <v>43172</v>
      </c>
      <c r="C116" s="724" t="s">
        <v>451</v>
      </c>
      <c r="D116" s="723">
        <v>57.5</v>
      </c>
      <c r="E116" s="723">
        <f t="shared" si="8"/>
        <v>57.5</v>
      </c>
      <c r="F116" s="723"/>
      <c r="G116" s="723"/>
      <c r="H116" s="723"/>
      <c r="I116" s="723"/>
      <c r="J116" s="723"/>
      <c r="K116" s="723"/>
      <c r="L116" s="723"/>
      <c r="M116" s="723"/>
      <c r="N116" s="723"/>
      <c r="O116" s="743"/>
      <c r="P116" s="743"/>
      <c r="Q116" s="743"/>
      <c r="R116" s="743"/>
      <c r="S116" s="743"/>
      <c r="U116" s="649"/>
      <c r="V116" s="649"/>
      <c r="W116" s="649"/>
      <c r="X116" s="649"/>
      <c r="Y116" s="649"/>
      <c r="Z116" s="649"/>
      <c r="AA116" s="649"/>
      <c r="AB116" s="649"/>
      <c r="AC116" s="649"/>
      <c r="AD116" s="649"/>
      <c r="AE116" s="649"/>
      <c r="AF116" s="649"/>
      <c r="AG116" s="649"/>
      <c r="AH116" s="649"/>
      <c r="AI116" s="649"/>
      <c r="AJ116" s="649"/>
      <c r="AK116" s="649"/>
      <c r="AL116" s="649"/>
      <c r="AM116" s="649"/>
      <c r="AN116" s="649"/>
      <c r="AO116" s="649"/>
      <c r="AP116" s="649"/>
      <c r="AQ116" s="649"/>
      <c r="AR116" s="649"/>
      <c r="AS116" s="649"/>
      <c r="AT116" s="649"/>
      <c r="AU116" s="649"/>
      <c r="AV116" s="649"/>
      <c r="AW116" s="649"/>
      <c r="AX116" s="649"/>
      <c r="AY116" s="649"/>
      <c r="AZ116" s="649"/>
      <c r="BA116" s="649"/>
      <c r="BB116" s="649"/>
      <c r="BC116" s="649"/>
      <c r="BD116" s="649"/>
    </row>
    <row r="117" spans="1:56" s="648" customFormat="1" ht="12" customHeight="1">
      <c r="A117" s="726"/>
      <c r="B117" s="725">
        <v>43173</v>
      </c>
      <c r="C117" s="724" t="s">
        <v>38</v>
      </c>
      <c r="D117" s="723">
        <v>54.7</v>
      </c>
      <c r="E117" s="723">
        <f t="shared" si="8"/>
        <v>0</v>
      </c>
      <c r="F117" s="723"/>
      <c r="G117" s="723"/>
      <c r="H117" s="723">
        <v>54.7</v>
      </c>
      <c r="I117" s="723"/>
      <c r="J117" s="723"/>
      <c r="K117" s="723"/>
      <c r="L117" s="723"/>
      <c r="M117" s="723"/>
      <c r="N117" s="723"/>
      <c r="O117" s="743"/>
      <c r="P117" s="743"/>
      <c r="Q117" s="743"/>
      <c r="R117" s="743"/>
      <c r="S117" s="743"/>
      <c r="U117" s="649"/>
      <c r="V117" s="649"/>
      <c r="W117" s="649"/>
      <c r="X117" s="649"/>
      <c r="Y117" s="649"/>
      <c r="Z117" s="649"/>
      <c r="AA117" s="649"/>
      <c r="AB117" s="649"/>
      <c r="AC117" s="649"/>
      <c r="AD117" s="649"/>
      <c r="AE117" s="649"/>
      <c r="AF117" s="649"/>
      <c r="AG117" s="649"/>
      <c r="AH117" s="649"/>
      <c r="AI117" s="649"/>
      <c r="AJ117" s="649"/>
      <c r="AK117" s="649"/>
      <c r="AL117" s="649"/>
      <c r="AM117" s="649"/>
      <c r="AN117" s="649"/>
      <c r="AO117" s="649"/>
      <c r="AP117" s="649"/>
      <c r="AQ117" s="649"/>
      <c r="AR117" s="649"/>
      <c r="AS117" s="649"/>
      <c r="AT117" s="649"/>
      <c r="AU117" s="649"/>
      <c r="AV117" s="649"/>
      <c r="AW117" s="649"/>
      <c r="AX117" s="649"/>
      <c r="AY117" s="649"/>
      <c r="AZ117" s="649"/>
      <c r="BA117" s="649"/>
      <c r="BB117" s="649"/>
      <c r="BC117" s="649"/>
      <c r="BD117" s="649"/>
    </row>
    <row r="118" spans="1:56" s="648" customFormat="1" ht="12" customHeight="1">
      <c r="A118" s="726"/>
      <c r="B118" s="725">
        <v>43174</v>
      </c>
      <c r="C118" s="724" t="s">
        <v>39</v>
      </c>
      <c r="D118" s="723">
        <v>104.5</v>
      </c>
      <c r="E118" s="723">
        <f t="shared" si="8"/>
        <v>104.5</v>
      </c>
      <c r="F118" s="723"/>
      <c r="G118" s="723"/>
      <c r="H118" s="723"/>
      <c r="I118" s="723"/>
      <c r="J118" s="723"/>
      <c r="K118" s="723"/>
      <c r="L118" s="723"/>
      <c r="M118" s="723"/>
      <c r="N118" s="723"/>
      <c r="O118" s="743"/>
      <c r="P118" s="743"/>
      <c r="Q118" s="743"/>
      <c r="R118" s="743"/>
      <c r="S118" s="743"/>
      <c r="U118" s="649"/>
      <c r="V118" s="649"/>
      <c r="W118" s="649"/>
      <c r="X118" s="649"/>
      <c r="Y118" s="649"/>
      <c r="Z118" s="649"/>
      <c r="AA118" s="649"/>
      <c r="AB118" s="649"/>
      <c r="AC118" s="649"/>
      <c r="AD118" s="649"/>
      <c r="AE118" s="649"/>
      <c r="AF118" s="649"/>
      <c r="AG118" s="649"/>
      <c r="AH118" s="649"/>
      <c r="AI118" s="649"/>
      <c r="AJ118" s="649"/>
      <c r="AK118" s="649"/>
      <c r="AL118" s="649"/>
      <c r="AM118" s="649"/>
      <c r="AN118" s="649"/>
      <c r="AO118" s="649"/>
      <c r="AP118" s="649"/>
      <c r="AQ118" s="649"/>
      <c r="AR118" s="649"/>
      <c r="AS118" s="649"/>
      <c r="AT118" s="649"/>
      <c r="AU118" s="649"/>
      <c r="AV118" s="649"/>
      <c r="AW118" s="649"/>
      <c r="AX118" s="649"/>
      <c r="AY118" s="649"/>
      <c r="AZ118" s="649"/>
      <c r="BA118" s="649"/>
      <c r="BB118" s="649"/>
      <c r="BC118" s="649"/>
      <c r="BD118" s="649"/>
    </row>
    <row r="119" spans="1:56" s="648" customFormat="1" ht="12" customHeight="1">
      <c r="A119" s="726"/>
      <c r="B119" s="725">
        <v>43175</v>
      </c>
      <c r="C119" s="724" t="s">
        <v>451</v>
      </c>
      <c r="D119" s="723">
        <v>61</v>
      </c>
      <c r="E119" s="723">
        <f t="shared" si="8"/>
        <v>61</v>
      </c>
      <c r="F119" s="723">
        <v>25.5</v>
      </c>
      <c r="G119" s="723"/>
      <c r="H119" s="723"/>
      <c r="I119" s="723"/>
      <c r="J119" s="723"/>
      <c r="K119" s="723"/>
      <c r="L119" s="723"/>
      <c r="M119" s="723"/>
      <c r="N119" s="723"/>
      <c r="O119" s="743"/>
      <c r="P119" s="743"/>
      <c r="Q119" s="743"/>
      <c r="R119" s="743"/>
      <c r="S119" s="743"/>
      <c r="U119" s="649"/>
      <c r="V119" s="649"/>
      <c r="W119" s="649"/>
      <c r="X119" s="649"/>
      <c r="Y119" s="649"/>
      <c r="Z119" s="649"/>
      <c r="AA119" s="649"/>
      <c r="AB119" s="649"/>
      <c r="AC119" s="649"/>
      <c r="AD119" s="649"/>
      <c r="AE119" s="649"/>
      <c r="AF119" s="649"/>
      <c r="AG119" s="649"/>
      <c r="AH119" s="649"/>
      <c r="AI119" s="649"/>
      <c r="AJ119" s="649"/>
      <c r="AK119" s="649"/>
      <c r="AL119" s="649"/>
      <c r="AM119" s="649"/>
      <c r="AN119" s="649"/>
      <c r="AO119" s="649"/>
      <c r="AP119" s="649"/>
      <c r="AQ119" s="649"/>
      <c r="AR119" s="649"/>
      <c r="AS119" s="649"/>
      <c r="AT119" s="649"/>
      <c r="AU119" s="649"/>
      <c r="AV119" s="649"/>
      <c r="AW119" s="649"/>
      <c r="AX119" s="649"/>
      <c r="AY119" s="649"/>
      <c r="AZ119" s="649"/>
      <c r="BA119" s="649"/>
      <c r="BB119" s="649"/>
      <c r="BC119" s="649"/>
      <c r="BD119" s="649"/>
    </row>
    <row r="120" spans="1:56" s="648" customFormat="1" ht="12" customHeight="1">
      <c r="A120" s="726"/>
      <c r="B120" s="725">
        <v>43176</v>
      </c>
      <c r="C120" s="724" t="s">
        <v>451</v>
      </c>
      <c r="D120" s="723">
        <v>93.95</v>
      </c>
      <c r="E120" s="723">
        <f t="shared" si="8"/>
        <v>93.95</v>
      </c>
      <c r="F120" s="723"/>
      <c r="G120" s="723"/>
      <c r="H120" s="723"/>
      <c r="I120" s="723"/>
      <c r="J120" s="723"/>
      <c r="K120" s="723"/>
      <c r="L120" s="723"/>
      <c r="M120" s="723"/>
      <c r="N120" s="723"/>
      <c r="O120" s="743"/>
      <c r="P120" s="743"/>
      <c r="Q120" s="743"/>
      <c r="R120" s="743"/>
      <c r="S120" s="743"/>
      <c r="U120" s="649"/>
      <c r="V120" s="649"/>
      <c r="W120" s="649"/>
      <c r="X120" s="649"/>
      <c r="Y120" s="649"/>
      <c r="Z120" s="649"/>
      <c r="AA120" s="649"/>
      <c r="AB120" s="649"/>
      <c r="AC120" s="649"/>
      <c r="AD120" s="649"/>
      <c r="AE120" s="649"/>
      <c r="AF120" s="649"/>
      <c r="AG120" s="649"/>
      <c r="AH120" s="649"/>
      <c r="AI120" s="649"/>
      <c r="AJ120" s="649"/>
      <c r="AK120" s="649"/>
      <c r="AL120" s="649"/>
      <c r="AM120" s="649"/>
      <c r="AN120" s="649"/>
      <c r="AO120" s="649"/>
      <c r="AP120" s="649"/>
      <c r="AQ120" s="649"/>
      <c r="AR120" s="649"/>
      <c r="AS120" s="649"/>
      <c r="AT120" s="649"/>
      <c r="AU120" s="649"/>
      <c r="AV120" s="649"/>
      <c r="AW120" s="649"/>
      <c r="AX120" s="649"/>
      <c r="AY120" s="649"/>
      <c r="AZ120" s="649"/>
      <c r="BA120" s="649"/>
      <c r="BB120" s="649"/>
      <c r="BC120" s="649"/>
      <c r="BD120" s="649"/>
    </row>
    <row r="121" spans="1:56" s="648" customFormat="1" ht="12" customHeight="1">
      <c r="A121" s="726"/>
      <c r="B121" s="725">
        <v>43178</v>
      </c>
      <c r="C121" s="724" t="s">
        <v>451</v>
      </c>
      <c r="D121" s="723">
        <v>89.1</v>
      </c>
      <c r="E121" s="723">
        <f t="shared" si="8"/>
        <v>74.099999999999994</v>
      </c>
      <c r="F121" s="723"/>
      <c r="G121" s="723"/>
      <c r="H121" s="723"/>
      <c r="I121" s="723">
        <v>15</v>
      </c>
      <c r="J121" s="723"/>
      <c r="K121" s="723"/>
      <c r="L121" s="723"/>
      <c r="M121" s="723"/>
      <c r="N121" s="723"/>
      <c r="O121" s="743"/>
      <c r="P121" s="743"/>
      <c r="Q121" s="743"/>
      <c r="R121" s="743"/>
      <c r="S121" s="743"/>
      <c r="U121" s="649"/>
      <c r="V121" s="649"/>
      <c r="W121" s="649"/>
      <c r="X121" s="649"/>
      <c r="Y121" s="649"/>
      <c r="Z121" s="649"/>
      <c r="AA121" s="649"/>
      <c r="AB121" s="649"/>
      <c r="AC121" s="649"/>
      <c r="AD121" s="649"/>
      <c r="AE121" s="649"/>
      <c r="AF121" s="649"/>
      <c r="AG121" s="649"/>
      <c r="AH121" s="649"/>
      <c r="AI121" s="649"/>
      <c r="AJ121" s="649"/>
      <c r="AK121" s="649"/>
      <c r="AL121" s="649"/>
      <c r="AM121" s="649"/>
      <c r="AN121" s="649"/>
      <c r="AO121" s="649"/>
      <c r="AP121" s="649"/>
      <c r="AQ121" s="649"/>
      <c r="AR121" s="649"/>
      <c r="AS121" s="649"/>
      <c r="AT121" s="649"/>
      <c r="AU121" s="649"/>
      <c r="AV121" s="649"/>
      <c r="AW121" s="649"/>
      <c r="AX121" s="649"/>
      <c r="AY121" s="649"/>
      <c r="AZ121" s="649"/>
      <c r="BA121" s="649"/>
      <c r="BB121" s="649"/>
      <c r="BC121" s="649"/>
      <c r="BD121" s="649"/>
    </row>
    <row r="122" spans="1:56" s="648" customFormat="1" ht="12" customHeight="1">
      <c r="A122" s="726"/>
      <c r="B122" s="725">
        <v>43178</v>
      </c>
      <c r="C122" s="724" t="s">
        <v>38</v>
      </c>
      <c r="D122" s="723">
        <v>36</v>
      </c>
      <c r="E122" s="723">
        <f t="shared" si="8"/>
        <v>0</v>
      </c>
      <c r="F122" s="723"/>
      <c r="G122" s="723"/>
      <c r="H122" s="723">
        <v>36</v>
      </c>
      <c r="I122" s="723"/>
      <c r="J122" s="723"/>
      <c r="K122" s="723"/>
      <c r="L122" s="723"/>
      <c r="M122" s="723"/>
      <c r="N122" s="723"/>
      <c r="O122" s="743"/>
      <c r="P122" s="743"/>
      <c r="Q122" s="743"/>
      <c r="R122" s="743"/>
      <c r="S122" s="743"/>
      <c r="U122" s="649"/>
      <c r="V122" s="649"/>
      <c r="W122" s="649"/>
      <c r="X122" s="649"/>
      <c r="Y122" s="649"/>
      <c r="Z122" s="649"/>
      <c r="AA122" s="649"/>
      <c r="AB122" s="649"/>
      <c r="AC122" s="649"/>
      <c r="AD122" s="649"/>
      <c r="AE122" s="649"/>
      <c r="AF122" s="649"/>
      <c r="AG122" s="649"/>
      <c r="AH122" s="649"/>
      <c r="AI122" s="649"/>
      <c r="AJ122" s="649"/>
      <c r="AK122" s="649"/>
      <c r="AL122" s="649"/>
      <c r="AM122" s="649"/>
      <c r="AN122" s="649"/>
      <c r="AO122" s="649"/>
      <c r="AP122" s="649"/>
      <c r="AQ122" s="649"/>
      <c r="AR122" s="649"/>
      <c r="AS122" s="649"/>
      <c r="AT122" s="649"/>
      <c r="AU122" s="649"/>
      <c r="AV122" s="649"/>
      <c r="AW122" s="649"/>
      <c r="AX122" s="649"/>
      <c r="AY122" s="649"/>
      <c r="AZ122" s="649"/>
      <c r="BA122" s="649"/>
      <c r="BB122" s="649"/>
      <c r="BC122" s="649"/>
      <c r="BD122" s="649"/>
    </row>
    <row r="123" spans="1:56" s="648" customFormat="1" ht="12" customHeight="1">
      <c r="A123" s="726"/>
      <c r="B123" s="725">
        <v>43179</v>
      </c>
      <c r="C123" s="724" t="s">
        <v>40</v>
      </c>
      <c r="D123" s="723">
        <v>99</v>
      </c>
      <c r="E123" s="723">
        <f t="shared" si="8"/>
        <v>21</v>
      </c>
      <c r="F123" s="723"/>
      <c r="G123" s="723">
        <v>78</v>
      </c>
      <c r="H123" s="723"/>
      <c r="I123" s="723"/>
      <c r="J123" s="723"/>
      <c r="K123" s="723"/>
      <c r="L123" s="723"/>
      <c r="M123" s="723"/>
      <c r="N123" s="723"/>
      <c r="O123" s="743"/>
      <c r="P123" s="743"/>
      <c r="Q123" s="743"/>
      <c r="R123" s="743"/>
      <c r="S123" s="743"/>
      <c r="U123" s="649"/>
      <c r="V123" s="649"/>
      <c r="W123" s="649"/>
      <c r="X123" s="649"/>
      <c r="Y123" s="649"/>
      <c r="Z123" s="649"/>
      <c r="AA123" s="649"/>
      <c r="AB123" s="649"/>
      <c r="AC123" s="649"/>
      <c r="AD123" s="649"/>
      <c r="AE123" s="649"/>
      <c r="AF123" s="649"/>
      <c r="AG123" s="649"/>
      <c r="AH123" s="649"/>
      <c r="AI123" s="649"/>
      <c r="AJ123" s="649"/>
      <c r="AK123" s="649"/>
      <c r="AL123" s="649"/>
      <c r="AM123" s="649"/>
      <c r="AN123" s="649"/>
      <c r="AO123" s="649"/>
      <c r="AP123" s="649"/>
      <c r="AQ123" s="649"/>
      <c r="AR123" s="649"/>
      <c r="AS123" s="649"/>
      <c r="AT123" s="649"/>
      <c r="AU123" s="649"/>
      <c r="AV123" s="649"/>
      <c r="AW123" s="649"/>
      <c r="AX123" s="649"/>
      <c r="AY123" s="649"/>
      <c r="AZ123" s="649"/>
      <c r="BA123" s="649"/>
      <c r="BB123" s="649"/>
      <c r="BC123" s="649"/>
      <c r="BD123" s="649"/>
    </row>
    <row r="124" spans="1:56" s="648" customFormat="1" ht="12" customHeight="1">
      <c r="A124" s="726"/>
      <c r="B124" s="725">
        <v>43179</v>
      </c>
      <c r="C124" s="724" t="s">
        <v>39</v>
      </c>
      <c r="D124" s="723">
        <v>46</v>
      </c>
      <c r="E124" s="723">
        <f t="shared" si="8"/>
        <v>26</v>
      </c>
      <c r="F124" s="723"/>
      <c r="G124" s="723"/>
      <c r="H124" s="723"/>
      <c r="I124" s="723">
        <v>20</v>
      </c>
      <c r="J124" s="723"/>
      <c r="K124" s="723"/>
      <c r="L124" s="723"/>
      <c r="M124" s="723"/>
      <c r="N124" s="723"/>
      <c r="O124" s="743"/>
      <c r="P124" s="743"/>
      <c r="Q124" s="743"/>
      <c r="R124" s="743"/>
      <c r="S124" s="743"/>
      <c r="U124" s="649"/>
      <c r="V124" s="649"/>
      <c r="W124" s="649"/>
      <c r="X124" s="649"/>
      <c r="Y124" s="649"/>
      <c r="Z124" s="649"/>
      <c r="AA124" s="649"/>
      <c r="AB124" s="649"/>
      <c r="AC124" s="649"/>
      <c r="AD124" s="649"/>
      <c r="AE124" s="649"/>
      <c r="AF124" s="649"/>
      <c r="AG124" s="649"/>
      <c r="AH124" s="649"/>
      <c r="AI124" s="649"/>
      <c r="AJ124" s="649"/>
      <c r="AK124" s="649"/>
      <c r="AL124" s="649"/>
      <c r="AM124" s="649"/>
      <c r="AN124" s="649"/>
      <c r="AO124" s="649"/>
      <c r="AP124" s="649"/>
      <c r="AQ124" s="649"/>
      <c r="AR124" s="649"/>
      <c r="AS124" s="649"/>
      <c r="AT124" s="649"/>
      <c r="AU124" s="649"/>
      <c r="AV124" s="649"/>
      <c r="AW124" s="649"/>
      <c r="AX124" s="649"/>
      <c r="AY124" s="649"/>
      <c r="AZ124" s="649"/>
      <c r="BA124" s="649"/>
      <c r="BB124" s="649"/>
      <c r="BC124" s="649"/>
      <c r="BD124" s="649"/>
    </row>
    <row r="125" spans="1:56" s="648" customFormat="1" ht="12" customHeight="1">
      <c r="A125" s="726"/>
      <c r="B125" s="725">
        <v>43179</v>
      </c>
      <c r="C125" s="724" t="s">
        <v>451</v>
      </c>
      <c r="D125" s="723">
        <v>55</v>
      </c>
      <c r="E125" s="723">
        <f t="shared" si="8"/>
        <v>55</v>
      </c>
      <c r="F125" s="723"/>
      <c r="G125" s="723"/>
      <c r="H125" s="723"/>
      <c r="I125" s="723"/>
      <c r="J125" s="723"/>
      <c r="K125" s="723"/>
      <c r="L125" s="723"/>
      <c r="M125" s="723"/>
      <c r="N125" s="723"/>
      <c r="O125" s="743"/>
      <c r="P125" s="743"/>
      <c r="Q125" s="743"/>
      <c r="R125" s="743"/>
      <c r="S125" s="743"/>
      <c r="U125" s="649"/>
      <c r="V125" s="649"/>
      <c r="W125" s="649"/>
      <c r="X125" s="649"/>
      <c r="Y125" s="649"/>
      <c r="Z125" s="649"/>
      <c r="AA125" s="649"/>
      <c r="AB125" s="649"/>
      <c r="AC125" s="649"/>
      <c r="AD125" s="649"/>
      <c r="AE125" s="649"/>
      <c r="AF125" s="649"/>
      <c r="AG125" s="649"/>
      <c r="AH125" s="649"/>
      <c r="AI125" s="649"/>
      <c r="AJ125" s="649"/>
      <c r="AK125" s="649"/>
      <c r="AL125" s="649"/>
      <c r="AM125" s="649"/>
      <c r="AN125" s="649"/>
      <c r="AO125" s="649"/>
      <c r="AP125" s="649"/>
      <c r="AQ125" s="649"/>
      <c r="AR125" s="649"/>
      <c r="AS125" s="649"/>
      <c r="AT125" s="649"/>
      <c r="AU125" s="649"/>
      <c r="AV125" s="649"/>
      <c r="AW125" s="649"/>
      <c r="AX125" s="649"/>
      <c r="AY125" s="649"/>
      <c r="AZ125" s="649"/>
      <c r="BA125" s="649"/>
      <c r="BB125" s="649"/>
      <c r="BC125" s="649"/>
      <c r="BD125" s="649"/>
    </row>
    <row r="126" spans="1:56" s="648" customFormat="1" ht="12" customHeight="1">
      <c r="A126" s="726"/>
      <c r="B126" s="725">
        <v>43180</v>
      </c>
      <c r="C126" s="724" t="s">
        <v>451</v>
      </c>
      <c r="D126" s="723">
        <v>35.93</v>
      </c>
      <c r="E126" s="723">
        <f t="shared" si="8"/>
        <v>35.93</v>
      </c>
      <c r="F126" s="723"/>
      <c r="G126" s="723"/>
      <c r="H126" s="723"/>
      <c r="I126" s="723"/>
      <c r="J126" s="723"/>
      <c r="K126" s="723"/>
      <c r="L126" s="723"/>
      <c r="M126" s="723"/>
      <c r="N126" s="723"/>
      <c r="O126" s="743"/>
      <c r="P126" s="743"/>
      <c r="Q126" s="743"/>
      <c r="R126" s="743"/>
      <c r="S126" s="743"/>
      <c r="U126" s="649"/>
      <c r="V126" s="649"/>
      <c r="W126" s="649"/>
      <c r="X126" s="649"/>
      <c r="Y126" s="649"/>
      <c r="Z126" s="649"/>
      <c r="AA126" s="649"/>
      <c r="AB126" s="649"/>
      <c r="AC126" s="649"/>
      <c r="AD126" s="649"/>
      <c r="AE126" s="649"/>
      <c r="AF126" s="649"/>
      <c r="AG126" s="649"/>
      <c r="AH126" s="649"/>
      <c r="AI126" s="649"/>
      <c r="AJ126" s="649"/>
      <c r="AK126" s="649"/>
      <c r="AL126" s="649"/>
      <c r="AM126" s="649"/>
      <c r="AN126" s="649"/>
      <c r="AO126" s="649"/>
      <c r="AP126" s="649"/>
      <c r="AQ126" s="649"/>
      <c r="AR126" s="649"/>
      <c r="AS126" s="649"/>
      <c r="AT126" s="649"/>
      <c r="AU126" s="649"/>
      <c r="AV126" s="649"/>
      <c r="AW126" s="649"/>
      <c r="AX126" s="649"/>
      <c r="AY126" s="649"/>
      <c r="AZ126" s="649"/>
      <c r="BA126" s="649"/>
      <c r="BB126" s="649"/>
      <c r="BC126" s="649"/>
      <c r="BD126" s="649"/>
    </row>
    <row r="127" spans="1:56" s="648" customFormat="1" ht="12" customHeight="1">
      <c r="A127" s="726"/>
      <c r="B127" s="725">
        <v>43180</v>
      </c>
      <c r="C127" s="724" t="s">
        <v>40</v>
      </c>
      <c r="D127" s="723">
        <v>8.5</v>
      </c>
      <c r="E127" s="723">
        <f t="shared" si="8"/>
        <v>8.5</v>
      </c>
      <c r="F127" s="723"/>
      <c r="G127" s="723"/>
      <c r="H127" s="723"/>
      <c r="I127" s="723"/>
      <c r="J127" s="723"/>
      <c r="K127" s="723"/>
      <c r="L127" s="723"/>
      <c r="M127" s="723"/>
      <c r="N127" s="723"/>
      <c r="O127" s="743"/>
      <c r="P127" s="743"/>
      <c r="Q127" s="743"/>
      <c r="R127" s="743"/>
      <c r="S127" s="743"/>
      <c r="U127" s="649"/>
      <c r="V127" s="649"/>
      <c r="W127" s="649"/>
      <c r="X127" s="649"/>
      <c r="Y127" s="649"/>
      <c r="Z127" s="649"/>
      <c r="AA127" s="649"/>
      <c r="AB127" s="649"/>
      <c r="AC127" s="649"/>
      <c r="AD127" s="649"/>
      <c r="AE127" s="649"/>
      <c r="AF127" s="649"/>
      <c r="AG127" s="649"/>
      <c r="AH127" s="649"/>
      <c r="AI127" s="649"/>
      <c r="AJ127" s="649"/>
      <c r="AK127" s="649"/>
      <c r="AL127" s="649"/>
      <c r="AM127" s="649"/>
      <c r="AN127" s="649"/>
      <c r="AO127" s="649"/>
      <c r="AP127" s="649"/>
      <c r="AQ127" s="649"/>
      <c r="AR127" s="649"/>
      <c r="AS127" s="649"/>
      <c r="AT127" s="649"/>
      <c r="AU127" s="649"/>
      <c r="AV127" s="649"/>
      <c r="AW127" s="649"/>
      <c r="AX127" s="649"/>
      <c r="AY127" s="649"/>
      <c r="AZ127" s="649"/>
      <c r="BA127" s="649"/>
      <c r="BB127" s="649"/>
      <c r="BC127" s="649"/>
      <c r="BD127" s="649"/>
    </row>
    <row r="128" spans="1:56" s="648" customFormat="1" ht="12" customHeight="1">
      <c r="A128" s="726"/>
      <c r="B128" s="725">
        <v>43180</v>
      </c>
      <c r="C128" s="724" t="s">
        <v>124</v>
      </c>
      <c r="D128" s="723">
        <v>5.5</v>
      </c>
      <c r="E128" s="723">
        <f t="shared" si="8"/>
        <v>0</v>
      </c>
      <c r="F128" s="723"/>
      <c r="G128" s="723"/>
      <c r="H128" s="723">
        <v>5.5</v>
      </c>
      <c r="I128" s="723"/>
      <c r="J128" s="723"/>
      <c r="K128" s="723"/>
      <c r="L128" s="723"/>
      <c r="M128" s="723"/>
      <c r="N128" s="723"/>
      <c r="O128" s="743"/>
      <c r="P128" s="743"/>
      <c r="Q128" s="743"/>
      <c r="R128" s="743"/>
      <c r="S128" s="743"/>
      <c r="U128" s="649"/>
      <c r="V128" s="649"/>
      <c r="W128" s="649"/>
      <c r="X128" s="649"/>
      <c r="Y128" s="649"/>
      <c r="Z128" s="649"/>
      <c r="AA128" s="649"/>
      <c r="AB128" s="649"/>
      <c r="AC128" s="649"/>
      <c r="AD128" s="649"/>
      <c r="AE128" s="649"/>
      <c r="AF128" s="649"/>
      <c r="AG128" s="649"/>
      <c r="AH128" s="649"/>
      <c r="AI128" s="649"/>
      <c r="AJ128" s="649"/>
      <c r="AK128" s="649"/>
      <c r="AL128" s="649"/>
      <c r="AM128" s="649"/>
      <c r="AN128" s="649"/>
      <c r="AO128" s="649"/>
      <c r="AP128" s="649"/>
      <c r="AQ128" s="649"/>
      <c r="AR128" s="649"/>
      <c r="AS128" s="649"/>
      <c r="AT128" s="649"/>
      <c r="AU128" s="649"/>
      <c r="AV128" s="649"/>
      <c r="AW128" s="649"/>
      <c r="AX128" s="649"/>
      <c r="AY128" s="649"/>
      <c r="AZ128" s="649"/>
      <c r="BA128" s="649"/>
      <c r="BB128" s="649"/>
      <c r="BC128" s="649"/>
      <c r="BD128" s="649"/>
    </row>
    <row r="129" spans="1:56" s="648" customFormat="1" ht="12" customHeight="1">
      <c r="A129" s="726"/>
      <c r="B129" s="725">
        <v>43181</v>
      </c>
      <c r="C129" s="724" t="s">
        <v>451</v>
      </c>
      <c r="D129" s="723">
        <v>46.5</v>
      </c>
      <c r="E129" s="723">
        <f t="shared" si="8"/>
        <v>7.5</v>
      </c>
      <c r="F129" s="723"/>
      <c r="G129" s="723">
        <v>39</v>
      </c>
      <c r="H129" s="723"/>
      <c r="I129" s="723"/>
      <c r="J129" s="723"/>
      <c r="K129" s="723"/>
      <c r="L129" s="723"/>
      <c r="M129" s="723"/>
      <c r="N129" s="723"/>
      <c r="O129" s="743"/>
      <c r="P129" s="743"/>
      <c r="Q129" s="743"/>
      <c r="R129" s="743"/>
      <c r="S129" s="743"/>
      <c r="U129" s="649"/>
      <c r="V129" s="649"/>
      <c r="W129" s="649"/>
      <c r="X129" s="649"/>
      <c r="Y129" s="649"/>
      <c r="Z129" s="649"/>
      <c r="AA129" s="649"/>
      <c r="AB129" s="649"/>
      <c r="AC129" s="649"/>
      <c r="AD129" s="649"/>
      <c r="AE129" s="649"/>
      <c r="AF129" s="649"/>
      <c r="AG129" s="649"/>
      <c r="AH129" s="649"/>
      <c r="AI129" s="649"/>
      <c r="AJ129" s="649"/>
      <c r="AK129" s="649"/>
      <c r="AL129" s="649"/>
      <c r="AM129" s="649"/>
      <c r="AN129" s="649"/>
      <c r="AO129" s="649"/>
      <c r="AP129" s="649"/>
      <c r="AQ129" s="649"/>
      <c r="AR129" s="649"/>
      <c r="AS129" s="649"/>
      <c r="AT129" s="649"/>
      <c r="AU129" s="649"/>
      <c r="AV129" s="649"/>
      <c r="AW129" s="649"/>
      <c r="AX129" s="649"/>
      <c r="AY129" s="649"/>
      <c r="AZ129" s="649"/>
      <c r="BA129" s="649"/>
      <c r="BB129" s="649"/>
      <c r="BC129" s="649"/>
      <c r="BD129" s="649"/>
    </row>
    <row r="130" spans="1:56" s="648" customFormat="1" ht="12" customHeight="1">
      <c r="A130" s="726"/>
      <c r="B130" s="725">
        <v>43182</v>
      </c>
      <c r="C130" s="724" t="s">
        <v>39</v>
      </c>
      <c r="D130" s="723">
        <v>79.849999999999994</v>
      </c>
      <c r="E130" s="723">
        <f t="shared" si="8"/>
        <v>79.849999999999994</v>
      </c>
      <c r="F130" s="723"/>
      <c r="G130" s="723"/>
      <c r="H130" s="723"/>
      <c r="I130" s="723"/>
      <c r="J130" s="723"/>
      <c r="K130" s="723"/>
      <c r="L130" s="723"/>
      <c r="M130" s="723"/>
      <c r="N130" s="723"/>
      <c r="O130" s="743"/>
      <c r="P130" s="743"/>
      <c r="Q130" s="743"/>
      <c r="R130" s="743"/>
      <c r="S130" s="743"/>
      <c r="U130" s="649"/>
      <c r="V130" s="649"/>
      <c r="W130" s="649"/>
      <c r="X130" s="649"/>
      <c r="Y130" s="649"/>
      <c r="Z130" s="649"/>
      <c r="AA130" s="649"/>
      <c r="AB130" s="649"/>
      <c r="AC130" s="649"/>
      <c r="AD130" s="649"/>
      <c r="AE130" s="649"/>
      <c r="AF130" s="649"/>
      <c r="AG130" s="649"/>
      <c r="AH130" s="649"/>
      <c r="AI130" s="649"/>
      <c r="AJ130" s="649"/>
      <c r="AK130" s="649"/>
      <c r="AL130" s="649"/>
      <c r="AM130" s="649"/>
      <c r="AN130" s="649"/>
      <c r="AO130" s="649"/>
      <c r="AP130" s="649"/>
      <c r="AQ130" s="649"/>
      <c r="AR130" s="649"/>
      <c r="AS130" s="649"/>
      <c r="AT130" s="649"/>
      <c r="AU130" s="649"/>
      <c r="AV130" s="649"/>
      <c r="AW130" s="649"/>
      <c r="AX130" s="649"/>
      <c r="AY130" s="649"/>
      <c r="AZ130" s="649"/>
      <c r="BA130" s="649"/>
      <c r="BB130" s="649"/>
      <c r="BC130" s="649"/>
      <c r="BD130" s="649"/>
    </row>
    <row r="131" spans="1:56" s="648" customFormat="1" ht="12" customHeight="1">
      <c r="A131" s="726"/>
      <c r="B131" s="725">
        <v>43182</v>
      </c>
      <c r="C131" s="724" t="s">
        <v>451</v>
      </c>
      <c r="D131" s="723">
        <v>17.5</v>
      </c>
      <c r="E131" s="723">
        <f t="shared" si="8"/>
        <v>17.5</v>
      </c>
      <c r="F131" s="723"/>
      <c r="G131" s="723"/>
      <c r="H131" s="723"/>
      <c r="I131" s="723"/>
      <c r="J131" s="723"/>
      <c r="K131" s="723"/>
      <c r="L131" s="723"/>
      <c r="M131" s="723"/>
      <c r="N131" s="723"/>
      <c r="O131" s="743"/>
      <c r="P131" s="743"/>
      <c r="Q131" s="743"/>
      <c r="R131" s="743"/>
      <c r="S131" s="743"/>
      <c r="U131" s="649"/>
      <c r="V131" s="649"/>
      <c r="W131" s="649"/>
      <c r="X131" s="649"/>
      <c r="Y131" s="649"/>
      <c r="Z131" s="649"/>
      <c r="AA131" s="649"/>
      <c r="AB131" s="649"/>
      <c r="AC131" s="649"/>
      <c r="AD131" s="649"/>
      <c r="AE131" s="649"/>
      <c r="AF131" s="649"/>
      <c r="AG131" s="649"/>
      <c r="AH131" s="649"/>
      <c r="AI131" s="649"/>
      <c r="AJ131" s="649"/>
      <c r="AK131" s="649"/>
      <c r="AL131" s="649"/>
      <c r="AM131" s="649"/>
      <c r="AN131" s="649"/>
      <c r="AO131" s="649"/>
      <c r="AP131" s="649"/>
      <c r="AQ131" s="649"/>
      <c r="AR131" s="649"/>
      <c r="AS131" s="649"/>
      <c r="AT131" s="649"/>
      <c r="AU131" s="649"/>
      <c r="AV131" s="649"/>
      <c r="AW131" s="649"/>
      <c r="AX131" s="649"/>
      <c r="AY131" s="649"/>
      <c r="AZ131" s="649"/>
      <c r="BA131" s="649"/>
      <c r="BB131" s="649"/>
      <c r="BC131" s="649"/>
      <c r="BD131" s="649"/>
    </row>
    <row r="132" spans="1:56" s="648" customFormat="1" ht="12" customHeight="1">
      <c r="A132" s="726"/>
      <c r="B132" s="725">
        <v>43183</v>
      </c>
      <c r="C132" s="724" t="s">
        <v>451</v>
      </c>
      <c r="D132" s="723">
        <v>12.5</v>
      </c>
      <c r="E132" s="723">
        <f t="shared" si="8"/>
        <v>12.5</v>
      </c>
      <c r="F132" s="723"/>
      <c r="G132" s="723"/>
      <c r="H132" s="723"/>
      <c r="I132" s="723"/>
      <c r="J132" s="723"/>
      <c r="K132" s="723"/>
      <c r="L132" s="723"/>
      <c r="M132" s="723"/>
      <c r="N132" s="723"/>
      <c r="O132" s="743"/>
      <c r="P132" s="743"/>
      <c r="Q132" s="743"/>
      <c r="R132" s="743"/>
      <c r="S132" s="743"/>
      <c r="U132" s="649"/>
      <c r="V132" s="649"/>
      <c r="W132" s="649"/>
      <c r="X132" s="649"/>
      <c r="Y132" s="649"/>
      <c r="Z132" s="649"/>
      <c r="AA132" s="649"/>
      <c r="AB132" s="649"/>
      <c r="AC132" s="649"/>
      <c r="AD132" s="649"/>
      <c r="AE132" s="649"/>
      <c r="AF132" s="649"/>
      <c r="AG132" s="649"/>
      <c r="AH132" s="649"/>
      <c r="AI132" s="649"/>
      <c r="AJ132" s="649"/>
      <c r="AK132" s="649"/>
      <c r="AL132" s="649"/>
      <c r="AM132" s="649"/>
      <c r="AN132" s="649"/>
      <c r="AO132" s="649"/>
      <c r="AP132" s="649"/>
      <c r="AQ132" s="649"/>
      <c r="AR132" s="649"/>
      <c r="AS132" s="649"/>
      <c r="AT132" s="649"/>
      <c r="AU132" s="649"/>
      <c r="AV132" s="649"/>
      <c r="AW132" s="649"/>
      <c r="AX132" s="649"/>
      <c r="AY132" s="649"/>
      <c r="AZ132" s="649"/>
      <c r="BA132" s="649"/>
      <c r="BB132" s="649"/>
      <c r="BC132" s="649"/>
      <c r="BD132" s="649"/>
    </row>
    <row r="133" spans="1:56" s="648" customFormat="1" ht="12" customHeight="1">
      <c r="A133" s="726"/>
      <c r="B133" s="725">
        <v>43184</v>
      </c>
      <c r="C133" s="724" t="s">
        <v>40</v>
      </c>
      <c r="D133" s="723">
        <v>9.5</v>
      </c>
      <c r="E133" s="723">
        <f t="shared" si="8"/>
        <v>9.5</v>
      </c>
      <c r="F133" s="723"/>
      <c r="G133" s="723"/>
      <c r="H133" s="723"/>
      <c r="I133" s="723"/>
      <c r="J133" s="723"/>
      <c r="K133" s="723"/>
      <c r="L133" s="723"/>
      <c r="M133" s="723"/>
      <c r="N133" s="723"/>
      <c r="O133" s="743"/>
      <c r="P133" s="743"/>
      <c r="Q133" s="743"/>
      <c r="R133" s="743"/>
      <c r="S133" s="743"/>
      <c r="U133" s="649"/>
      <c r="V133" s="649"/>
      <c r="W133" s="649"/>
      <c r="X133" s="649"/>
      <c r="Y133" s="649"/>
      <c r="Z133" s="649"/>
      <c r="AA133" s="649"/>
      <c r="AB133" s="649"/>
      <c r="AC133" s="649"/>
      <c r="AD133" s="649"/>
      <c r="AE133" s="649"/>
      <c r="AF133" s="649"/>
      <c r="AG133" s="649"/>
      <c r="AH133" s="649"/>
      <c r="AI133" s="649"/>
      <c r="AJ133" s="649"/>
      <c r="AK133" s="649"/>
      <c r="AL133" s="649"/>
      <c r="AM133" s="649"/>
      <c r="AN133" s="649"/>
      <c r="AO133" s="649"/>
      <c r="AP133" s="649"/>
      <c r="AQ133" s="649"/>
      <c r="AR133" s="649"/>
      <c r="AS133" s="649"/>
      <c r="AT133" s="649"/>
      <c r="AU133" s="649"/>
      <c r="AV133" s="649"/>
      <c r="AW133" s="649"/>
      <c r="AX133" s="649"/>
      <c r="AY133" s="649"/>
      <c r="AZ133" s="649"/>
      <c r="BA133" s="649"/>
      <c r="BB133" s="649"/>
      <c r="BC133" s="649"/>
      <c r="BD133" s="649"/>
    </row>
    <row r="134" spans="1:56" s="648" customFormat="1" ht="12" customHeight="1">
      <c r="A134" s="726"/>
      <c r="B134" s="725">
        <v>43185</v>
      </c>
      <c r="C134" s="724" t="s">
        <v>451</v>
      </c>
      <c r="D134" s="723">
        <v>40</v>
      </c>
      <c r="E134" s="723">
        <f t="shared" si="8"/>
        <v>40</v>
      </c>
      <c r="F134" s="723"/>
      <c r="G134" s="723"/>
      <c r="H134" s="723"/>
      <c r="I134" s="723"/>
      <c r="J134" s="723"/>
      <c r="K134" s="723"/>
      <c r="L134" s="723"/>
      <c r="M134" s="723"/>
      <c r="N134" s="723"/>
      <c r="O134" s="743"/>
      <c r="P134" s="743"/>
      <c r="Q134" s="743"/>
      <c r="R134" s="743"/>
      <c r="S134" s="743"/>
      <c r="U134" s="649"/>
      <c r="V134" s="649"/>
      <c r="W134" s="649"/>
      <c r="X134" s="649"/>
      <c r="Y134" s="649"/>
      <c r="Z134" s="649"/>
      <c r="AA134" s="649"/>
      <c r="AB134" s="649"/>
      <c r="AC134" s="649"/>
      <c r="AD134" s="649"/>
      <c r="AE134" s="649"/>
      <c r="AF134" s="649"/>
      <c r="AG134" s="649"/>
      <c r="AH134" s="649"/>
      <c r="AI134" s="649"/>
      <c r="AJ134" s="649"/>
      <c r="AK134" s="649"/>
      <c r="AL134" s="649"/>
      <c r="AM134" s="649"/>
      <c r="AN134" s="649"/>
      <c r="AO134" s="649"/>
      <c r="AP134" s="649"/>
      <c r="AQ134" s="649"/>
      <c r="AR134" s="649"/>
      <c r="AS134" s="649"/>
      <c r="AT134" s="649"/>
      <c r="AU134" s="649"/>
      <c r="AV134" s="649"/>
      <c r="AW134" s="649"/>
      <c r="AX134" s="649"/>
      <c r="AY134" s="649"/>
      <c r="AZ134" s="649"/>
      <c r="BA134" s="649"/>
      <c r="BB134" s="649"/>
      <c r="BC134" s="649"/>
      <c r="BD134" s="649"/>
    </row>
    <row r="135" spans="1:56" s="744" customFormat="1" ht="12" customHeight="1">
      <c r="A135" s="749"/>
      <c r="B135" s="748" t="str">
        <f>F1</f>
        <v>april</v>
      </c>
      <c r="C135" s="747"/>
      <c r="D135" s="746">
        <f t="shared" ref="D135:S135" si="9">SUM(D136:D191)</f>
        <v>4882.5499999999975</v>
      </c>
      <c r="E135" s="746">
        <f t="shared" si="9"/>
        <v>3547.349999999999</v>
      </c>
      <c r="F135" s="746">
        <f t="shared" si="9"/>
        <v>412.5</v>
      </c>
      <c r="G135" s="746">
        <f t="shared" si="9"/>
        <v>544</v>
      </c>
      <c r="H135" s="746">
        <f t="shared" si="9"/>
        <v>116.7</v>
      </c>
      <c r="I135" s="746">
        <f t="shared" si="9"/>
        <v>674.50000000000011</v>
      </c>
      <c r="J135" s="746">
        <f t="shared" si="9"/>
        <v>0</v>
      </c>
      <c r="K135" s="746">
        <f t="shared" si="9"/>
        <v>0</v>
      </c>
      <c r="L135" s="746">
        <f t="shared" si="9"/>
        <v>0</v>
      </c>
      <c r="M135" s="746">
        <f t="shared" si="9"/>
        <v>0</v>
      </c>
      <c r="N135" s="746">
        <f t="shared" si="9"/>
        <v>0</v>
      </c>
      <c r="O135" s="745">
        <f t="shared" si="9"/>
        <v>0</v>
      </c>
      <c r="P135" s="745">
        <f t="shared" si="9"/>
        <v>0</v>
      </c>
      <c r="Q135" s="745">
        <f t="shared" si="9"/>
        <v>0</v>
      </c>
      <c r="R135" s="745">
        <f t="shared" si="9"/>
        <v>0</v>
      </c>
      <c r="S135" s="745">
        <f t="shared" si="9"/>
        <v>0</v>
      </c>
    </row>
    <row r="136" spans="1:56" s="648" customFormat="1" ht="12" customHeight="1">
      <c r="A136" s="726"/>
      <c r="B136" s="725">
        <v>43187</v>
      </c>
      <c r="C136" s="724" t="s">
        <v>39</v>
      </c>
      <c r="D136" s="723">
        <v>254.75</v>
      </c>
      <c r="E136" s="723">
        <f t="shared" ref="E136:E167" si="10">D136-G136-H136-I136</f>
        <v>95.9</v>
      </c>
      <c r="F136" s="723"/>
      <c r="G136" s="723">
        <v>78</v>
      </c>
      <c r="H136" s="723"/>
      <c r="I136" s="723">
        <v>80.849999999999994</v>
      </c>
      <c r="J136" s="723"/>
      <c r="K136" s="723"/>
      <c r="L136" s="723"/>
      <c r="M136" s="723"/>
      <c r="N136" s="723"/>
      <c r="O136" s="743"/>
      <c r="P136" s="743"/>
      <c r="Q136" s="743"/>
      <c r="R136" s="743"/>
      <c r="S136" s="743"/>
      <c r="U136" s="649"/>
      <c r="V136" s="649"/>
      <c r="W136" s="649"/>
      <c r="X136" s="649"/>
      <c r="Y136" s="649"/>
      <c r="Z136" s="649"/>
      <c r="AA136" s="649"/>
      <c r="AB136" s="649"/>
      <c r="AC136" s="649"/>
      <c r="AD136" s="649"/>
      <c r="AE136" s="649"/>
      <c r="AF136" s="649"/>
      <c r="AG136" s="649"/>
      <c r="AH136" s="649"/>
      <c r="AI136" s="649"/>
      <c r="AJ136" s="649"/>
      <c r="AK136" s="649"/>
      <c r="AL136" s="649"/>
      <c r="AM136" s="649"/>
      <c r="AN136" s="649"/>
      <c r="AO136" s="649"/>
      <c r="AP136" s="649"/>
      <c r="AQ136" s="649"/>
      <c r="AR136" s="649"/>
      <c r="AS136" s="649"/>
      <c r="AT136" s="649"/>
      <c r="AU136" s="649"/>
      <c r="AV136" s="649"/>
      <c r="AW136" s="649"/>
      <c r="AX136" s="649"/>
      <c r="AY136" s="649"/>
      <c r="AZ136" s="649"/>
      <c r="BA136" s="649"/>
      <c r="BB136" s="649"/>
      <c r="BC136" s="649"/>
      <c r="BD136" s="649"/>
    </row>
    <row r="137" spans="1:56" s="648" customFormat="1" ht="12" customHeight="1">
      <c r="A137" s="726"/>
      <c r="B137" s="725">
        <v>43187</v>
      </c>
      <c r="C137" s="724" t="s">
        <v>451</v>
      </c>
      <c r="D137" s="723">
        <v>331.85</v>
      </c>
      <c r="E137" s="723">
        <f t="shared" si="10"/>
        <v>233.85000000000002</v>
      </c>
      <c r="F137" s="723"/>
      <c r="G137" s="723">
        <v>78</v>
      </c>
      <c r="H137" s="723"/>
      <c r="I137" s="723">
        <v>20</v>
      </c>
      <c r="J137" s="723"/>
      <c r="K137" s="723"/>
      <c r="L137" s="723"/>
      <c r="M137" s="723"/>
      <c r="N137" s="723"/>
      <c r="O137" s="743"/>
      <c r="P137" s="743"/>
      <c r="Q137" s="743"/>
      <c r="R137" s="743"/>
      <c r="S137" s="743"/>
      <c r="U137" s="649"/>
      <c r="V137" s="649"/>
      <c r="W137" s="649"/>
      <c r="X137" s="649"/>
      <c r="Y137" s="649"/>
      <c r="Z137" s="649"/>
      <c r="AA137" s="649"/>
      <c r="AB137" s="649"/>
      <c r="AC137" s="649"/>
      <c r="AD137" s="649"/>
      <c r="AE137" s="649"/>
      <c r="AF137" s="649"/>
      <c r="AG137" s="649"/>
      <c r="AH137" s="649"/>
      <c r="AI137" s="649"/>
      <c r="AJ137" s="649"/>
      <c r="AK137" s="649"/>
      <c r="AL137" s="649"/>
      <c r="AM137" s="649"/>
      <c r="AN137" s="649"/>
      <c r="AO137" s="649"/>
      <c r="AP137" s="649"/>
      <c r="AQ137" s="649"/>
      <c r="AR137" s="649"/>
      <c r="AS137" s="649"/>
      <c r="AT137" s="649"/>
      <c r="AU137" s="649"/>
      <c r="AV137" s="649"/>
      <c r="AW137" s="649"/>
      <c r="AX137" s="649"/>
      <c r="AY137" s="649"/>
      <c r="AZ137" s="649"/>
      <c r="BA137" s="649"/>
      <c r="BB137" s="649"/>
      <c r="BC137" s="649"/>
      <c r="BD137" s="649"/>
    </row>
    <row r="138" spans="1:56" s="648" customFormat="1" ht="12" customHeight="1">
      <c r="A138" s="726"/>
      <c r="B138" s="725">
        <v>43189</v>
      </c>
      <c r="C138" s="724" t="s">
        <v>490</v>
      </c>
      <c r="D138" s="723">
        <v>217.8</v>
      </c>
      <c r="E138" s="723">
        <f t="shared" si="10"/>
        <v>79.800000000000011</v>
      </c>
      <c r="F138" s="723"/>
      <c r="G138" s="723">
        <v>78</v>
      </c>
      <c r="H138" s="723"/>
      <c r="I138" s="723">
        <v>60</v>
      </c>
      <c r="J138" s="723"/>
      <c r="K138" s="723"/>
      <c r="L138" s="723"/>
      <c r="M138" s="723"/>
      <c r="N138" s="723"/>
      <c r="O138" s="743"/>
      <c r="P138" s="743"/>
      <c r="Q138" s="743"/>
      <c r="R138" s="743"/>
      <c r="S138" s="743"/>
      <c r="U138" s="649"/>
      <c r="V138" s="649"/>
      <c r="W138" s="649"/>
      <c r="X138" s="649"/>
      <c r="Y138" s="649"/>
      <c r="Z138" s="649"/>
      <c r="AA138" s="649"/>
      <c r="AB138" s="649"/>
      <c r="AC138" s="649"/>
      <c r="AD138" s="649"/>
      <c r="AE138" s="649"/>
      <c r="AF138" s="649"/>
      <c r="AG138" s="649"/>
      <c r="AH138" s="649"/>
      <c r="AI138" s="649"/>
      <c r="AJ138" s="649"/>
      <c r="AK138" s="649"/>
      <c r="AL138" s="649"/>
      <c r="AM138" s="649"/>
      <c r="AN138" s="649"/>
      <c r="AO138" s="649"/>
      <c r="AP138" s="649"/>
      <c r="AQ138" s="649"/>
      <c r="AR138" s="649"/>
      <c r="AS138" s="649"/>
      <c r="AT138" s="649"/>
      <c r="AU138" s="649"/>
      <c r="AV138" s="649"/>
      <c r="AW138" s="649"/>
      <c r="AX138" s="649"/>
      <c r="AY138" s="649"/>
      <c r="AZ138" s="649"/>
      <c r="BA138" s="649"/>
      <c r="BB138" s="649"/>
      <c r="BC138" s="649"/>
      <c r="BD138" s="649"/>
    </row>
    <row r="139" spans="1:56" s="648" customFormat="1" ht="12" customHeight="1">
      <c r="A139" s="726"/>
      <c r="B139" s="725">
        <v>43190</v>
      </c>
      <c r="C139" s="724" t="s">
        <v>39</v>
      </c>
      <c r="D139" s="723">
        <v>100</v>
      </c>
      <c r="E139" s="723">
        <f t="shared" si="10"/>
        <v>79</v>
      </c>
      <c r="F139" s="723"/>
      <c r="G139" s="723"/>
      <c r="H139" s="723"/>
      <c r="I139" s="723">
        <v>21</v>
      </c>
      <c r="J139" s="723"/>
      <c r="K139" s="723"/>
      <c r="L139" s="723"/>
      <c r="M139" s="723"/>
      <c r="N139" s="723"/>
      <c r="O139" s="743"/>
      <c r="P139" s="743"/>
      <c r="Q139" s="743"/>
      <c r="R139" s="743"/>
      <c r="S139" s="743"/>
      <c r="U139" s="649"/>
      <c r="V139" s="649"/>
      <c r="W139" s="649"/>
      <c r="X139" s="649"/>
      <c r="Y139" s="649"/>
      <c r="Z139" s="649"/>
      <c r="AA139" s="649"/>
      <c r="AB139" s="649"/>
      <c r="AC139" s="649"/>
      <c r="AD139" s="649"/>
      <c r="AE139" s="649"/>
      <c r="AF139" s="649"/>
      <c r="AG139" s="649"/>
      <c r="AH139" s="649"/>
      <c r="AI139" s="649"/>
      <c r="AJ139" s="649"/>
      <c r="AK139" s="649"/>
      <c r="AL139" s="649"/>
      <c r="AM139" s="649"/>
      <c r="AN139" s="649"/>
      <c r="AO139" s="649"/>
      <c r="AP139" s="649"/>
      <c r="AQ139" s="649"/>
      <c r="AR139" s="649"/>
      <c r="AS139" s="649"/>
      <c r="AT139" s="649"/>
      <c r="AU139" s="649"/>
      <c r="AV139" s="649"/>
      <c r="AW139" s="649"/>
      <c r="AX139" s="649"/>
      <c r="AY139" s="649"/>
      <c r="AZ139" s="649"/>
      <c r="BA139" s="649"/>
      <c r="BB139" s="649"/>
      <c r="BC139" s="649"/>
      <c r="BD139" s="649"/>
    </row>
    <row r="140" spans="1:56" s="648" customFormat="1" ht="12" customHeight="1">
      <c r="A140" s="726"/>
      <c r="B140" s="725">
        <v>43190</v>
      </c>
      <c r="C140" s="724" t="s">
        <v>451</v>
      </c>
      <c r="D140" s="723">
        <v>91.5</v>
      </c>
      <c r="E140" s="723">
        <f t="shared" si="10"/>
        <v>41.5</v>
      </c>
      <c r="F140" s="723"/>
      <c r="G140" s="723"/>
      <c r="H140" s="723"/>
      <c r="I140" s="723">
        <v>50</v>
      </c>
      <c r="J140" s="723"/>
      <c r="K140" s="723"/>
      <c r="L140" s="723"/>
      <c r="M140" s="723"/>
      <c r="N140" s="723"/>
      <c r="O140" s="743"/>
      <c r="P140" s="743"/>
      <c r="Q140" s="743"/>
      <c r="R140" s="743"/>
      <c r="S140" s="743"/>
      <c r="U140" s="649"/>
      <c r="V140" s="649"/>
      <c r="W140" s="649"/>
      <c r="X140" s="649"/>
      <c r="Y140" s="649"/>
      <c r="Z140" s="649"/>
      <c r="AA140" s="649"/>
      <c r="AB140" s="649"/>
      <c r="AC140" s="649"/>
      <c r="AD140" s="649"/>
      <c r="AE140" s="649"/>
      <c r="AF140" s="649"/>
      <c r="AG140" s="649"/>
      <c r="AH140" s="649"/>
      <c r="AI140" s="649"/>
      <c r="AJ140" s="649"/>
      <c r="AK140" s="649"/>
      <c r="AL140" s="649"/>
      <c r="AM140" s="649"/>
      <c r="AN140" s="649"/>
      <c r="AO140" s="649"/>
      <c r="AP140" s="649"/>
      <c r="AQ140" s="649"/>
      <c r="AR140" s="649"/>
      <c r="AS140" s="649"/>
      <c r="AT140" s="649"/>
      <c r="AU140" s="649"/>
      <c r="AV140" s="649"/>
      <c r="AW140" s="649"/>
      <c r="AX140" s="649"/>
      <c r="AY140" s="649"/>
      <c r="AZ140" s="649"/>
      <c r="BA140" s="649"/>
      <c r="BB140" s="649"/>
      <c r="BC140" s="649"/>
      <c r="BD140" s="649"/>
    </row>
    <row r="141" spans="1:56" s="648" customFormat="1" ht="12" customHeight="1">
      <c r="A141" s="726"/>
      <c r="B141" s="725">
        <v>43190</v>
      </c>
      <c r="C141" s="724" t="s">
        <v>490</v>
      </c>
      <c r="D141" s="723">
        <v>166.7</v>
      </c>
      <c r="E141" s="723">
        <f t="shared" si="10"/>
        <v>66.699999999999989</v>
      </c>
      <c r="F141" s="723"/>
      <c r="G141" s="723"/>
      <c r="H141" s="723"/>
      <c r="I141" s="723">
        <v>100</v>
      </c>
      <c r="J141" s="723"/>
      <c r="K141" s="723"/>
      <c r="L141" s="723"/>
      <c r="M141" s="723"/>
      <c r="N141" s="723"/>
      <c r="O141" s="743"/>
      <c r="P141" s="743"/>
      <c r="Q141" s="743"/>
      <c r="R141" s="743"/>
      <c r="S141" s="743"/>
      <c r="U141" s="649"/>
      <c r="V141" s="649"/>
      <c r="W141" s="649"/>
      <c r="X141" s="649"/>
      <c r="Y141" s="649"/>
      <c r="Z141" s="649"/>
      <c r="AA141" s="649"/>
      <c r="AB141" s="649"/>
      <c r="AC141" s="649"/>
      <c r="AD141" s="649"/>
      <c r="AE141" s="649"/>
      <c r="AF141" s="649"/>
      <c r="AG141" s="649"/>
      <c r="AH141" s="649"/>
      <c r="AI141" s="649"/>
      <c r="AJ141" s="649"/>
      <c r="AK141" s="649"/>
      <c r="AL141" s="649"/>
      <c r="AM141" s="649"/>
      <c r="AN141" s="649"/>
      <c r="AO141" s="649"/>
      <c r="AP141" s="649"/>
      <c r="AQ141" s="649"/>
      <c r="AR141" s="649"/>
      <c r="AS141" s="649"/>
      <c r="AT141" s="649"/>
      <c r="AU141" s="649"/>
      <c r="AV141" s="649"/>
      <c r="AW141" s="649"/>
      <c r="AX141" s="649"/>
      <c r="AY141" s="649"/>
      <c r="AZ141" s="649"/>
      <c r="BA141" s="649"/>
      <c r="BB141" s="649"/>
      <c r="BC141" s="649"/>
      <c r="BD141" s="649"/>
    </row>
    <row r="142" spans="1:56" s="648" customFormat="1" ht="12" customHeight="1">
      <c r="A142" s="726"/>
      <c r="B142" s="725">
        <v>43191</v>
      </c>
      <c r="C142" s="724" t="s">
        <v>490</v>
      </c>
      <c r="D142" s="723">
        <v>289.75</v>
      </c>
      <c r="E142" s="723">
        <f t="shared" si="10"/>
        <v>181.75</v>
      </c>
      <c r="F142" s="723"/>
      <c r="G142" s="723">
        <v>78</v>
      </c>
      <c r="H142" s="723"/>
      <c r="I142" s="723">
        <v>30</v>
      </c>
      <c r="J142" s="723"/>
      <c r="K142" s="723"/>
      <c r="L142" s="723"/>
      <c r="M142" s="723"/>
      <c r="N142" s="723"/>
      <c r="O142" s="743"/>
      <c r="P142" s="743"/>
      <c r="Q142" s="743"/>
      <c r="R142" s="743"/>
      <c r="S142" s="743"/>
      <c r="U142" s="649"/>
      <c r="V142" s="649"/>
      <c r="W142" s="649"/>
      <c r="X142" s="649"/>
      <c r="Y142" s="649"/>
      <c r="Z142" s="649"/>
      <c r="AA142" s="649"/>
      <c r="AB142" s="649"/>
      <c r="AC142" s="649"/>
      <c r="AD142" s="649"/>
      <c r="AE142" s="649"/>
      <c r="AF142" s="649"/>
      <c r="AG142" s="649"/>
      <c r="AH142" s="649"/>
      <c r="AI142" s="649"/>
      <c r="AJ142" s="649"/>
      <c r="AK142" s="649"/>
      <c r="AL142" s="649"/>
      <c r="AM142" s="649"/>
      <c r="AN142" s="649"/>
      <c r="AO142" s="649"/>
      <c r="AP142" s="649"/>
      <c r="AQ142" s="649"/>
      <c r="AR142" s="649"/>
      <c r="AS142" s="649"/>
      <c r="AT142" s="649"/>
      <c r="AU142" s="649"/>
      <c r="AV142" s="649"/>
      <c r="AW142" s="649"/>
      <c r="AX142" s="649"/>
      <c r="AY142" s="649"/>
      <c r="AZ142" s="649"/>
      <c r="BA142" s="649"/>
      <c r="BB142" s="649"/>
      <c r="BC142" s="649"/>
      <c r="BD142" s="649"/>
    </row>
    <row r="143" spans="1:56" s="648" customFormat="1" ht="12" customHeight="1">
      <c r="A143" s="726"/>
      <c r="B143" s="725">
        <v>43193</v>
      </c>
      <c r="C143" s="724" t="s">
        <v>451</v>
      </c>
      <c r="D143" s="723">
        <v>91.29</v>
      </c>
      <c r="E143" s="723">
        <f t="shared" si="10"/>
        <v>71.290000000000006</v>
      </c>
      <c r="F143" s="723"/>
      <c r="G143" s="723"/>
      <c r="H143" s="723"/>
      <c r="I143" s="723">
        <v>20</v>
      </c>
      <c r="J143" s="723"/>
      <c r="K143" s="723"/>
      <c r="L143" s="723"/>
      <c r="M143" s="723"/>
      <c r="N143" s="723"/>
      <c r="O143" s="743"/>
      <c r="P143" s="743"/>
      <c r="Q143" s="743"/>
      <c r="R143" s="743"/>
      <c r="S143" s="743"/>
      <c r="U143" s="649"/>
      <c r="V143" s="649"/>
      <c r="W143" s="649"/>
      <c r="X143" s="649"/>
      <c r="Y143" s="649"/>
      <c r="Z143" s="649"/>
      <c r="AA143" s="649"/>
      <c r="AB143" s="649"/>
      <c r="AC143" s="649"/>
      <c r="AD143" s="649"/>
      <c r="AE143" s="649"/>
      <c r="AF143" s="649"/>
      <c r="AG143" s="649"/>
      <c r="AH143" s="649"/>
      <c r="AI143" s="649"/>
      <c r="AJ143" s="649"/>
      <c r="AK143" s="649"/>
      <c r="AL143" s="649"/>
      <c r="AM143" s="649"/>
      <c r="AN143" s="649"/>
      <c r="AO143" s="649"/>
      <c r="AP143" s="649"/>
      <c r="AQ143" s="649"/>
      <c r="AR143" s="649"/>
      <c r="AS143" s="649"/>
      <c r="AT143" s="649"/>
      <c r="AU143" s="649"/>
      <c r="AV143" s="649"/>
      <c r="AW143" s="649"/>
      <c r="AX143" s="649"/>
      <c r="AY143" s="649"/>
      <c r="AZ143" s="649"/>
      <c r="BA143" s="649"/>
      <c r="BB143" s="649"/>
      <c r="BC143" s="649"/>
      <c r="BD143" s="649"/>
    </row>
    <row r="144" spans="1:56" s="648" customFormat="1" ht="12" customHeight="1">
      <c r="A144" s="726"/>
      <c r="B144" s="725">
        <v>43193</v>
      </c>
      <c r="C144" s="724" t="s">
        <v>124</v>
      </c>
      <c r="D144" s="723">
        <v>59.7</v>
      </c>
      <c r="E144" s="723">
        <f t="shared" si="10"/>
        <v>0</v>
      </c>
      <c r="F144" s="723"/>
      <c r="G144" s="723"/>
      <c r="H144" s="723">
        <v>59.7</v>
      </c>
      <c r="I144" s="723"/>
      <c r="J144" s="723"/>
      <c r="K144" s="723"/>
      <c r="L144" s="723"/>
      <c r="M144" s="723"/>
      <c r="N144" s="723"/>
      <c r="O144" s="743"/>
      <c r="P144" s="743"/>
      <c r="Q144" s="743"/>
      <c r="R144" s="743"/>
      <c r="S144" s="743"/>
      <c r="U144" s="649"/>
      <c r="V144" s="649"/>
      <c r="W144" s="649"/>
      <c r="X144" s="649"/>
      <c r="Y144" s="649"/>
      <c r="Z144" s="649"/>
      <c r="AA144" s="649"/>
      <c r="AB144" s="649"/>
      <c r="AC144" s="649"/>
      <c r="AD144" s="649"/>
      <c r="AE144" s="649"/>
      <c r="AF144" s="649"/>
      <c r="AG144" s="649"/>
      <c r="AH144" s="649"/>
      <c r="AI144" s="649"/>
      <c r="AJ144" s="649"/>
      <c r="AK144" s="649"/>
      <c r="AL144" s="649"/>
      <c r="AM144" s="649"/>
      <c r="AN144" s="649"/>
      <c r="AO144" s="649"/>
      <c r="AP144" s="649"/>
      <c r="AQ144" s="649"/>
      <c r="AR144" s="649"/>
      <c r="AS144" s="649"/>
      <c r="AT144" s="649"/>
      <c r="AU144" s="649"/>
      <c r="AV144" s="649"/>
      <c r="AW144" s="649"/>
      <c r="AX144" s="649"/>
      <c r="AY144" s="649"/>
      <c r="AZ144" s="649"/>
      <c r="BA144" s="649"/>
      <c r="BB144" s="649"/>
      <c r="BC144" s="649"/>
      <c r="BD144" s="649"/>
    </row>
    <row r="145" spans="1:56" s="648" customFormat="1" ht="12" customHeight="1">
      <c r="A145" s="726"/>
      <c r="B145" s="725">
        <v>43194</v>
      </c>
      <c r="C145" s="724" t="s">
        <v>39</v>
      </c>
      <c r="D145" s="723">
        <v>62.85</v>
      </c>
      <c r="E145" s="723">
        <f t="shared" si="10"/>
        <v>35.85</v>
      </c>
      <c r="F145" s="723"/>
      <c r="G145" s="723"/>
      <c r="H145" s="723"/>
      <c r="I145" s="723">
        <v>27</v>
      </c>
      <c r="J145" s="723"/>
      <c r="K145" s="723"/>
      <c r="L145" s="723"/>
      <c r="M145" s="723"/>
      <c r="N145" s="723"/>
      <c r="O145" s="743"/>
      <c r="P145" s="743"/>
      <c r="Q145" s="743"/>
      <c r="R145" s="743"/>
      <c r="S145" s="743"/>
      <c r="U145" s="649"/>
      <c r="V145" s="649"/>
      <c r="W145" s="649"/>
      <c r="X145" s="649"/>
      <c r="Y145" s="649"/>
      <c r="Z145" s="649"/>
      <c r="AA145" s="649"/>
      <c r="AB145" s="649"/>
      <c r="AC145" s="649"/>
      <c r="AD145" s="649"/>
      <c r="AE145" s="649"/>
      <c r="AF145" s="649"/>
      <c r="AG145" s="649"/>
      <c r="AH145" s="649"/>
      <c r="AI145" s="649"/>
      <c r="AJ145" s="649"/>
      <c r="AK145" s="649"/>
      <c r="AL145" s="649"/>
      <c r="AM145" s="649"/>
      <c r="AN145" s="649"/>
      <c r="AO145" s="649"/>
      <c r="AP145" s="649"/>
      <c r="AQ145" s="649"/>
      <c r="AR145" s="649"/>
      <c r="AS145" s="649"/>
      <c r="AT145" s="649"/>
      <c r="AU145" s="649"/>
      <c r="AV145" s="649"/>
      <c r="AW145" s="649"/>
      <c r="AX145" s="649"/>
      <c r="AY145" s="649"/>
      <c r="AZ145" s="649"/>
      <c r="BA145" s="649"/>
      <c r="BB145" s="649"/>
      <c r="BC145" s="649"/>
      <c r="BD145" s="649"/>
    </row>
    <row r="146" spans="1:56" s="648" customFormat="1" ht="12" customHeight="1">
      <c r="A146" s="726"/>
      <c r="B146" s="725">
        <v>43194</v>
      </c>
      <c r="C146" s="724" t="s">
        <v>451</v>
      </c>
      <c r="D146" s="723">
        <v>45</v>
      </c>
      <c r="E146" s="723">
        <f t="shared" si="10"/>
        <v>45</v>
      </c>
      <c r="F146" s="723"/>
      <c r="G146" s="723"/>
      <c r="H146" s="723"/>
      <c r="I146" s="723"/>
      <c r="J146" s="723"/>
      <c r="K146" s="723"/>
      <c r="L146" s="723"/>
      <c r="M146" s="723"/>
      <c r="N146" s="723"/>
      <c r="O146" s="743"/>
      <c r="P146" s="743"/>
      <c r="Q146" s="743"/>
      <c r="R146" s="743"/>
      <c r="S146" s="743"/>
      <c r="U146" s="649"/>
      <c r="V146" s="649"/>
      <c r="W146" s="649"/>
      <c r="X146" s="649"/>
      <c r="Y146" s="649"/>
      <c r="Z146" s="649"/>
      <c r="AA146" s="649"/>
      <c r="AB146" s="649"/>
      <c r="AC146" s="649"/>
      <c r="AD146" s="649"/>
      <c r="AE146" s="649"/>
      <c r="AF146" s="649"/>
      <c r="AG146" s="649"/>
      <c r="AH146" s="649"/>
      <c r="AI146" s="649"/>
      <c r="AJ146" s="649"/>
      <c r="AK146" s="649"/>
      <c r="AL146" s="649"/>
      <c r="AM146" s="649"/>
      <c r="AN146" s="649"/>
      <c r="AO146" s="649"/>
      <c r="AP146" s="649"/>
      <c r="AQ146" s="649"/>
      <c r="AR146" s="649"/>
      <c r="AS146" s="649"/>
      <c r="AT146" s="649"/>
      <c r="AU146" s="649"/>
      <c r="AV146" s="649"/>
      <c r="AW146" s="649"/>
      <c r="AX146" s="649"/>
      <c r="AY146" s="649"/>
      <c r="AZ146" s="649"/>
      <c r="BA146" s="649"/>
      <c r="BB146" s="649"/>
      <c r="BC146" s="649"/>
      <c r="BD146" s="649"/>
    </row>
    <row r="147" spans="1:56" s="648" customFormat="1" ht="12" customHeight="1">
      <c r="A147" s="726"/>
      <c r="B147" s="725">
        <v>43195</v>
      </c>
      <c r="C147" s="724" t="s">
        <v>451</v>
      </c>
      <c r="D147" s="723">
        <v>82.88</v>
      </c>
      <c r="E147" s="723">
        <f t="shared" si="10"/>
        <v>62.879999999999995</v>
      </c>
      <c r="F147" s="723"/>
      <c r="G147" s="723"/>
      <c r="H147" s="723"/>
      <c r="I147" s="723">
        <v>20</v>
      </c>
      <c r="J147" s="723"/>
      <c r="K147" s="723"/>
      <c r="L147" s="723"/>
      <c r="M147" s="723"/>
      <c r="N147" s="723"/>
      <c r="O147" s="743"/>
      <c r="P147" s="743"/>
      <c r="Q147" s="743"/>
      <c r="R147" s="743"/>
      <c r="S147" s="743"/>
      <c r="U147" s="649"/>
      <c r="V147" s="649"/>
      <c r="W147" s="649"/>
      <c r="X147" s="649"/>
      <c r="Y147" s="649"/>
      <c r="Z147" s="649"/>
      <c r="AA147" s="649"/>
      <c r="AB147" s="649"/>
      <c r="AC147" s="649"/>
      <c r="AD147" s="649"/>
      <c r="AE147" s="649"/>
      <c r="AF147" s="649"/>
      <c r="AG147" s="649"/>
      <c r="AH147" s="649"/>
      <c r="AI147" s="649"/>
      <c r="AJ147" s="649"/>
      <c r="AK147" s="649"/>
      <c r="AL147" s="649"/>
      <c r="AM147" s="649"/>
      <c r="AN147" s="649"/>
      <c r="AO147" s="649"/>
      <c r="AP147" s="649"/>
      <c r="AQ147" s="649"/>
      <c r="AR147" s="649"/>
      <c r="AS147" s="649"/>
      <c r="AT147" s="649"/>
      <c r="AU147" s="649"/>
      <c r="AV147" s="649"/>
      <c r="AW147" s="649"/>
      <c r="AX147" s="649"/>
      <c r="AY147" s="649"/>
      <c r="AZ147" s="649"/>
      <c r="BA147" s="649"/>
      <c r="BB147" s="649"/>
      <c r="BC147" s="649"/>
      <c r="BD147" s="649"/>
    </row>
    <row r="148" spans="1:56" s="648" customFormat="1" ht="12" customHeight="1">
      <c r="A148" s="726"/>
      <c r="B148" s="725">
        <v>43195</v>
      </c>
      <c r="C148" s="724" t="s">
        <v>40</v>
      </c>
      <c r="D148" s="723">
        <v>31</v>
      </c>
      <c r="E148" s="723">
        <f t="shared" si="10"/>
        <v>31</v>
      </c>
      <c r="F148" s="723">
        <v>11</v>
      </c>
      <c r="G148" s="723"/>
      <c r="H148" s="723"/>
      <c r="I148" s="723"/>
      <c r="J148" s="723"/>
      <c r="K148" s="723"/>
      <c r="L148" s="723"/>
      <c r="M148" s="723"/>
      <c r="N148" s="723"/>
      <c r="O148" s="743"/>
      <c r="P148" s="743"/>
      <c r="Q148" s="743"/>
      <c r="R148" s="743"/>
      <c r="S148" s="743"/>
      <c r="U148" s="649"/>
      <c r="V148" s="649"/>
      <c r="W148" s="649"/>
      <c r="X148" s="649"/>
      <c r="Y148" s="649"/>
      <c r="Z148" s="649"/>
      <c r="AA148" s="649"/>
      <c r="AB148" s="649"/>
      <c r="AC148" s="649"/>
      <c r="AD148" s="649"/>
      <c r="AE148" s="649"/>
      <c r="AF148" s="649"/>
      <c r="AG148" s="649"/>
      <c r="AH148" s="649"/>
      <c r="AI148" s="649"/>
      <c r="AJ148" s="649"/>
      <c r="AK148" s="649"/>
      <c r="AL148" s="649"/>
      <c r="AM148" s="649"/>
      <c r="AN148" s="649"/>
      <c r="AO148" s="649"/>
      <c r="AP148" s="649"/>
      <c r="AQ148" s="649"/>
      <c r="AR148" s="649"/>
      <c r="AS148" s="649"/>
      <c r="AT148" s="649"/>
      <c r="AU148" s="649"/>
      <c r="AV148" s="649"/>
      <c r="AW148" s="649"/>
      <c r="AX148" s="649"/>
      <c r="AY148" s="649"/>
      <c r="AZ148" s="649"/>
      <c r="BA148" s="649"/>
      <c r="BB148" s="649"/>
      <c r="BC148" s="649"/>
      <c r="BD148" s="649"/>
    </row>
    <row r="149" spans="1:56" s="648" customFormat="1" ht="12" customHeight="1">
      <c r="A149" s="726"/>
      <c r="B149" s="725">
        <v>43196</v>
      </c>
      <c r="C149" s="724" t="s">
        <v>41</v>
      </c>
      <c r="D149" s="723">
        <v>106</v>
      </c>
      <c r="E149" s="723">
        <f t="shared" si="10"/>
        <v>106</v>
      </c>
      <c r="F149" s="723"/>
      <c r="G149" s="723"/>
      <c r="H149" s="723"/>
      <c r="I149" s="723"/>
      <c r="J149" s="723"/>
      <c r="K149" s="723"/>
      <c r="L149" s="723"/>
      <c r="M149" s="723"/>
      <c r="N149" s="723"/>
      <c r="O149" s="743"/>
      <c r="P149" s="743"/>
      <c r="Q149" s="743"/>
      <c r="R149" s="743"/>
      <c r="S149" s="743"/>
      <c r="U149" s="649"/>
      <c r="V149" s="649"/>
      <c r="W149" s="649"/>
      <c r="X149" s="649"/>
      <c r="Y149" s="649"/>
      <c r="Z149" s="649"/>
      <c r="AA149" s="649"/>
      <c r="AB149" s="649"/>
      <c r="AC149" s="649"/>
      <c r="AD149" s="649"/>
      <c r="AE149" s="649"/>
      <c r="AF149" s="649"/>
      <c r="AG149" s="649"/>
      <c r="AH149" s="649"/>
      <c r="AI149" s="649"/>
      <c r="AJ149" s="649"/>
      <c r="AK149" s="649"/>
      <c r="AL149" s="649"/>
      <c r="AM149" s="649"/>
      <c r="AN149" s="649"/>
      <c r="AO149" s="649"/>
      <c r="AP149" s="649"/>
      <c r="AQ149" s="649"/>
      <c r="AR149" s="649"/>
      <c r="AS149" s="649"/>
      <c r="AT149" s="649"/>
      <c r="AU149" s="649"/>
      <c r="AV149" s="649"/>
      <c r="AW149" s="649"/>
      <c r="AX149" s="649"/>
      <c r="AY149" s="649"/>
      <c r="AZ149" s="649"/>
      <c r="BA149" s="649"/>
      <c r="BB149" s="649"/>
      <c r="BC149" s="649"/>
      <c r="BD149" s="649"/>
    </row>
    <row r="150" spans="1:56" s="648" customFormat="1" ht="12" customHeight="1">
      <c r="A150" s="726"/>
      <c r="B150" s="725">
        <v>43196</v>
      </c>
      <c r="C150" s="724" t="s">
        <v>451</v>
      </c>
      <c r="D150" s="723">
        <v>183.2</v>
      </c>
      <c r="E150" s="723">
        <f t="shared" si="10"/>
        <v>183.2</v>
      </c>
      <c r="F150" s="723"/>
      <c r="G150" s="723"/>
      <c r="H150" s="723"/>
      <c r="I150" s="723"/>
      <c r="J150" s="723"/>
      <c r="K150" s="723"/>
      <c r="L150" s="723"/>
      <c r="M150" s="723"/>
      <c r="N150" s="723"/>
      <c r="O150" s="743"/>
      <c r="P150" s="743"/>
      <c r="Q150" s="743"/>
      <c r="R150" s="743"/>
      <c r="S150" s="743"/>
      <c r="U150" s="649"/>
      <c r="V150" s="649"/>
      <c r="W150" s="649"/>
      <c r="X150" s="649"/>
      <c r="Y150" s="649"/>
      <c r="Z150" s="649"/>
      <c r="AA150" s="649"/>
      <c r="AB150" s="649"/>
      <c r="AC150" s="649"/>
      <c r="AD150" s="649"/>
      <c r="AE150" s="649"/>
      <c r="AF150" s="649"/>
      <c r="AG150" s="649"/>
      <c r="AH150" s="649"/>
      <c r="AI150" s="649"/>
      <c r="AJ150" s="649"/>
      <c r="AK150" s="649"/>
      <c r="AL150" s="649"/>
      <c r="AM150" s="649"/>
      <c r="AN150" s="649"/>
      <c r="AO150" s="649"/>
      <c r="AP150" s="649"/>
      <c r="AQ150" s="649"/>
      <c r="AR150" s="649"/>
      <c r="AS150" s="649"/>
      <c r="AT150" s="649"/>
      <c r="AU150" s="649"/>
      <c r="AV150" s="649"/>
      <c r="AW150" s="649"/>
      <c r="AX150" s="649"/>
      <c r="AY150" s="649"/>
      <c r="AZ150" s="649"/>
      <c r="BA150" s="649"/>
      <c r="BB150" s="649"/>
      <c r="BC150" s="649"/>
      <c r="BD150" s="649"/>
    </row>
    <row r="151" spans="1:56" s="648" customFormat="1" ht="12" customHeight="1">
      <c r="A151" s="726"/>
      <c r="B151" s="725">
        <v>43196</v>
      </c>
      <c r="C151" s="724" t="s">
        <v>40</v>
      </c>
      <c r="D151" s="723">
        <v>58.95</v>
      </c>
      <c r="E151" s="723">
        <f t="shared" si="10"/>
        <v>58.95</v>
      </c>
      <c r="F151" s="723"/>
      <c r="G151" s="723"/>
      <c r="H151" s="723"/>
      <c r="I151" s="723"/>
      <c r="J151" s="723"/>
      <c r="K151" s="723"/>
      <c r="L151" s="723"/>
      <c r="M151" s="723"/>
      <c r="N151" s="723"/>
      <c r="O151" s="743"/>
      <c r="P151" s="743"/>
      <c r="Q151" s="743"/>
      <c r="R151" s="743"/>
      <c r="S151" s="743"/>
      <c r="U151" s="649"/>
      <c r="V151" s="649"/>
      <c r="W151" s="649"/>
      <c r="X151" s="649"/>
      <c r="Y151" s="649"/>
      <c r="Z151" s="649"/>
      <c r="AA151" s="649"/>
      <c r="AB151" s="649"/>
      <c r="AC151" s="649"/>
      <c r="AD151" s="649"/>
      <c r="AE151" s="649"/>
      <c r="AF151" s="649"/>
      <c r="AG151" s="649"/>
      <c r="AH151" s="649"/>
      <c r="AI151" s="649"/>
      <c r="AJ151" s="649"/>
      <c r="AK151" s="649"/>
      <c r="AL151" s="649"/>
      <c r="AM151" s="649"/>
      <c r="AN151" s="649"/>
      <c r="AO151" s="649"/>
      <c r="AP151" s="649"/>
      <c r="AQ151" s="649"/>
      <c r="AR151" s="649"/>
      <c r="AS151" s="649"/>
      <c r="AT151" s="649"/>
      <c r="AU151" s="649"/>
      <c r="AV151" s="649"/>
      <c r="AW151" s="649"/>
      <c r="AX151" s="649"/>
      <c r="AY151" s="649"/>
      <c r="AZ151" s="649"/>
      <c r="BA151" s="649"/>
      <c r="BB151" s="649"/>
      <c r="BC151" s="649"/>
      <c r="BD151" s="649"/>
    </row>
    <row r="152" spans="1:56" s="648" customFormat="1" ht="12" customHeight="1">
      <c r="A152" s="726"/>
      <c r="B152" s="725">
        <v>43197</v>
      </c>
      <c r="C152" s="724" t="s">
        <v>451</v>
      </c>
      <c r="D152" s="723">
        <v>89.38</v>
      </c>
      <c r="E152" s="723">
        <f t="shared" si="10"/>
        <v>73.63</v>
      </c>
      <c r="F152" s="723">
        <v>25.5</v>
      </c>
      <c r="G152" s="723"/>
      <c r="H152" s="723"/>
      <c r="I152" s="723">
        <v>15.75</v>
      </c>
      <c r="J152" s="723"/>
      <c r="K152" s="723"/>
      <c r="L152" s="723"/>
      <c r="M152" s="723"/>
      <c r="N152" s="723"/>
      <c r="O152" s="743"/>
      <c r="P152" s="743"/>
      <c r="Q152" s="743"/>
      <c r="R152" s="743"/>
      <c r="S152" s="743"/>
      <c r="U152" s="649"/>
      <c r="V152" s="649"/>
      <c r="W152" s="649"/>
      <c r="X152" s="649"/>
      <c r="Y152" s="649"/>
      <c r="Z152" s="649"/>
      <c r="AA152" s="649"/>
      <c r="AB152" s="649"/>
      <c r="AC152" s="649"/>
      <c r="AD152" s="649"/>
      <c r="AE152" s="649"/>
      <c r="AF152" s="649"/>
      <c r="AG152" s="649"/>
      <c r="AH152" s="649"/>
      <c r="AI152" s="649"/>
      <c r="AJ152" s="649"/>
      <c r="AK152" s="649"/>
      <c r="AL152" s="649"/>
      <c r="AM152" s="649"/>
      <c r="AN152" s="649"/>
      <c r="AO152" s="649"/>
      <c r="AP152" s="649"/>
      <c r="AQ152" s="649"/>
      <c r="AR152" s="649"/>
      <c r="AS152" s="649"/>
      <c r="AT152" s="649"/>
      <c r="AU152" s="649"/>
      <c r="AV152" s="649"/>
      <c r="AW152" s="649"/>
      <c r="AX152" s="649"/>
      <c r="AY152" s="649"/>
      <c r="AZ152" s="649"/>
      <c r="BA152" s="649"/>
      <c r="BB152" s="649"/>
      <c r="BC152" s="649"/>
      <c r="BD152" s="649"/>
    </row>
    <row r="153" spans="1:56" s="648" customFormat="1" ht="12" customHeight="1">
      <c r="A153" s="726"/>
      <c r="B153" s="725">
        <v>43199</v>
      </c>
      <c r="C153" s="724" t="s">
        <v>451</v>
      </c>
      <c r="D153" s="723">
        <v>76.3</v>
      </c>
      <c r="E153" s="723">
        <f t="shared" si="10"/>
        <v>76.3</v>
      </c>
      <c r="F153" s="723"/>
      <c r="G153" s="723"/>
      <c r="H153" s="723"/>
      <c r="I153" s="723"/>
      <c r="J153" s="723"/>
      <c r="K153" s="723"/>
      <c r="L153" s="723"/>
      <c r="M153" s="723"/>
      <c r="N153" s="723"/>
      <c r="O153" s="743"/>
      <c r="P153" s="743"/>
      <c r="Q153" s="743"/>
      <c r="R153" s="743"/>
      <c r="S153" s="743"/>
      <c r="U153" s="649"/>
      <c r="V153" s="649"/>
      <c r="W153" s="649"/>
      <c r="X153" s="649"/>
      <c r="Y153" s="649"/>
      <c r="Z153" s="649"/>
      <c r="AA153" s="649"/>
      <c r="AB153" s="649"/>
      <c r="AC153" s="649"/>
      <c r="AD153" s="649"/>
      <c r="AE153" s="649"/>
      <c r="AF153" s="649"/>
      <c r="AG153" s="649"/>
      <c r="AH153" s="649"/>
      <c r="AI153" s="649"/>
      <c r="AJ153" s="649"/>
      <c r="AK153" s="649"/>
      <c r="AL153" s="649"/>
      <c r="AM153" s="649"/>
      <c r="AN153" s="649"/>
      <c r="AO153" s="649"/>
      <c r="AP153" s="649"/>
      <c r="AQ153" s="649"/>
      <c r="AR153" s="649"/>
      <c r="AS153" s="649"/>
      <c r="AT153" s="649"/>
      <c r="AU153" s="649"/>
      <c r="AV153" s="649"/>
      <c r="AW153" s="649"/>
      <c r="AX153" s="649"/>
      <c r="AY153" s="649"/>
      <c r="AZ153" s="649"/>
      <c r="BA153" s="649"/>
      <c r="BB153" s="649"/>
      <c r="BC153" s="649"/>
      <c r="BD153" s="649"/>
    </row>
    <row r="154" spans="1:56" s="648" customFormat="1" ht="12" customHeight="1">
      <c r="A154" s="726"/>
      <c r="B154" s="725">
        <v>43199</v>
      </c>
      <c r="C154" s="724" t="s">
        <v>40</v>
      </c>
      <c r="D154" s="723">
        <v>15</v>
      </c>
      <c r="E154" s="723">
        <f t="shared" si="10"/>
        <v>15</v>
      </c>
      <c r="F154" s="723"/>
      <c r="G154" s="723"/>
      <c r="H154" s="723"/>
      <c r="I154" s="723"/>
      <c r="J154" s="723"/>
      <c r="K154" s="723"/>
      <c r="L154" s="723"/>
      <c r="M154" s="723"/>
      <c r="N154" s="723"/>
      <c r="O154" s="743"/>
      <c r="P154" s="743"/>
      <c r="Q154" s="743"/>
      <c r="R154" s="743"/>
      <c r="S154" s="743"/>
      <c r="U154" s="649"/>
      <c r="V154" s="649"/>
      <c r="W154" s="649"/>
      <c r="X154" s="649"/>
      <c r="Y154" s="649"/>
      <c r="Z154" s="649"/>
      <c r="AA154" s="649"/>
      <c r="AB154" s="649"/>
      <c r="AC154" s="649"/>
      <c r="AD154" s="649"/>
      <c r="AE154" s="649"/>
      <c r="AF154" s="649"/>
      <c r="AG154" s="649"/>
      <c r="AH154" s="649"/>
      <c r="AI154" s="649"/>
      <c r="AJ154" s="649"/>
      <c r="AK154" s="649"/>
      <c r="AL154" s="649"/>
      <c r="AM154" s="649"/>
      <c r="AN154" s="649"/>
      <c r="AO154" s="649"/>
      <c r="AP154" s="649"/>
      <c r="AQ154" s="649"/>
      <c r="AR154" s="649"/>
      <c r="AS154" s="649"/>
      <c r="AT154" s="649"/>
      <c r="AU154" s="649"/>
      <c r="AV154" s="649"/>
      <c r="AW154" s="649"/>
      <c r="AX154" s="649"/>
      <c r="AY154" s="649"/>
      <c r="AZ154" s="649"/>
      <c r="BA154" s="649"/>
      <c r="BB154" s="649"/>
      <c r="BC154" s="649"/>
      <c r="BD154" s="649"/>
    </row>
    <row r="155" spans="1:56" s="648" customFormat="1" ht="12" customHeight="1">
      <c r="A155" s="726"/>
      <c r="B155" s="725">
        <v>43200</v>
      </c>
      <c r="C155" s="724" t="s">
        <v>39</v>
      </c>
      <c r="D155" s="723">
        <v>95.9</v>
      </c>
      <c r="E155" s="723">
        <f t="shared" si="10"/>
        <v>65.900000000000006</v>
      </c>
      <c r="F155" s="723"/>
      <c r="G155" s="723"/>
      <c r="H155" s="723"/>
      <c r="I155" s="723">
        <v>30</v>
      </c>
      <c r="J155" s="723"/>
      <c r="K155" s="723"/>
      <c r="L155" s="723"/>
      <c r="M155" s="723"/>
      <c r="N155" s="723"/>
      <c r="O155" s="743"/>
      <c r="P155" s="743"/>
      <c r="Q155" s="743"/>
      <c r="R155" s="743"/>
      <c r="S155" s="743"/>
      <c r="U155" s="649"/>
      <c r="V155" s="649"/>
      <c r="W155" s="649"/>
      <c r="X155" s="649"/>
      <c r="Y155" s="649"/>
      <c r="Z155" s="649"/>
      <c r="AA155" s="649"/>
      <c r="AB155" s="649"/>
      <c r="AC155" s="649"/>
      <c r="AD155" s="649"/>
      <c r="AE155" s="649"/>
      <c r="AF155" s="649"/>
      <c r="AG155" s="649"/>
      <c r="AH155" s="649"/>
      <c r="AI155" s="649"/>
      <c r="AJ155" s="649"/>
      <c r="AK155" s="649"/>
      <c r="AL155" s="649"/>
      <c r="AM155" s="649"/>
      <c r="AN155" s="649"/>
      <c r="AO155" s="649"/>
      <c r="AP155" s="649"/>
      <c r="AQ155" s="649"/>
      <c r="AR155" s="649"/>
      <c r="AS155" s="649"/>
      <c r="AT155" s="649"/>
      <c r="AU155" s="649"/>
      <c r="AV155" s="649"/>
      <c r="AW155" s="649"/>
      <c r="AX155" s="649"/>
      <c r="AY155" s="649"/>
      <c r="AZ155" s="649"/>
      <c r="BA155" s="649"/>
      <c r="BB155" s="649"/>
      <c r="BC155" s="649"/>
      <c r="BD155" s="649"/>
    </row>
    <row r="156" spans="1:56" s="648" customFormat="1" ht="12" customHeight="1">
      <c r="A156" s="726"/>
      <c r="B156" s="725">
        <v>43200</v>
      </c>
      <c r="C156" s="724" t="s">
        <v>39</v>
      </c>
      <c r="D156" s="723">
        <v>20</v>
      </c>
      <c r="E156" s="723">
        <f t="shared" si="10"/>
        <v>20</v>
      </c>
      <c r="F156" s="723"/>
      <c r="G156" s="723"/>
      <c r="H156" s="723"/>
      <c r="I156" s="723"/>
      <c r="J156" s="723"/>
      <c r="K156" s="723"/>
      <c r="L156" s="723"/>
      <c r="M156" s="723"/>
      <c r="N156" s="723"/>
      <c r="O156" s="743"/>
      <c r="P156" s="743"/>
      <c r="Q156" s="743"/>
      <c r="R156" s="743"/>
      <c r="S156" s="743"/>
      <c r="U156" s="649"/>
      <c r="V156" s="649"/>
      <c r="W156" s="649"/>
      <c r="X156" s="649"/>
      <c r="Y156" s="649"/>
      <c r="Z156" s="649"/>
      <c r="AA156" s="649"/>
      <c r="AB156" s="649"/>
      <c r="AC156" s="649"/>
      <c r="AD156" s="649"/>
      <c r="AE156" s="649"/>
      <c r="AF156" s="649"/>
      <c r="AG156" s="649"/>
      <c r="AH156" s="649"/>
      <c r="AI156" s="649"/>
      <c r="AJ156" s="649"/>
      <c r="AK156" s="649"/>
      <c r="AL156" s="649"/>
      <c r="AM156" s="649"/>
      <c r="AN156" s="649"/>
      <c r="AO156" s="649"/>
      <c r="AP156" s="649"/>
      <c r="AQ156" s="649"/>
      <c r="AR156" s="649"/>
      <c r="AS156" s="649"/>
      <c r="AT156" s="649"/>
      <c r="AU156" s="649"/>
      <c r="AV156" s="649"/>
      <c r="AW156" s="649"/>
      <c r="AX156" s="649"/>
      <c r="AY156" s="649"/>
      <c r="AZ156" s="649"/>
      <c r="BA156" s="649"/>
      <c r="BB156" s="649"/>
      <c r="BC156" s="649"/>
      <c r="BD156" s="649"/>
    </row>
    <row r="157" spans="1:56" s="648" customFormat="1" ht="12" customHeight="1">
      <c r="A157" s="726"/>
      <c r="B157" s="725">
        <v>43200</v>
      </c>
      <c r="C157" s="724" t="s">
        <v>41</v>
      </c>
      <c r="D157" s="723">
        <v>220</v>
      </c>
      <c r="E157" s="723">
        <f t="shared" si="10"/>
        <v>180</v>
      </c>
      <c r="F157" s="723"/>
      <c r="G157" s="723"/>
      <c r="H157" s="723"/>
      <c r="I157" s="723">
        <v>40</v>
      </c>
      <c r="J157" s="723"/>
      <c r="K157" s="723"/>
      <c r="L157" s="723"/>
      <c r="M157" s="723"/>
      <c r="N157" s="723"/>
      <c r="O157" s="743"/>
      <c r="P157" s="743"/>
      <c r="Q157" s="743"/>
      <c r="R157" s="743"/>
      <c r="S157" s="743"/>
      <c r="U157" s="649"/>
      <c r="V157" s="649"/>
      <c r="W157" s="649"/>
      <c r="X157" s="649"/>
      <c r="Y157" s="649"/>
      <c r="Z157" s="649"/>
      <c r="AA157" s="649"/>
      <c r="AB157" s="649"/>
      <c r="AC157" s="649"/>
      <c r="AD157" s="649"/>
      <c r="AE157" s="649"/>
      <c r="AF157" s="649"/>
      <c r="AG157" s="649"/>
      <c r="AH157" s="649"/>
      <c r="AI157" s="649"/>
      <c r="AJ157" s="649"/>
      <c r="AK157" s="649"/>
      <c r="AL157" s="649"/>
      <c r="AM157" s="649"/>
      <c r="AN157" s="649"/>
      <c r="AO157" s="649"/>
      <c r="AP157" s="649"/>
      <c r="AQ157" s="649"/>
      <c r="AR157" s="649"/>
      <c r="AS157" s="649"/>
      <c r="AT157" s="649"/>
      <c r="AU157" s="649"/>
      <c r="AV157" s="649"/>
      <c r="AW157" s="649"/>
      <c r="AX157" s="649"/>
      <c r="AY157" s="649"/>
      <c r="AZ157" s="649"/>
      <c r="BA157" s="649"/>
      <c r="BB157" s="649"/>
      <c r="BC157" s="649"/>
      <c r="BD157" s="649"/>
    </row>
    <row r="158" spans="1:56" s="648" customFormat="1" ht="12" customHeight="1">
      <c r="A158" s="726"/>
      <c r="B158" s="725">
        <v>43200</v>
      </c>
      <c r="C158" s="724" t="s">
        <v>41</v>
      </c>
      <c r="D158" s="723">
        <v>14.95</v>
      </c>
      <c r="E158" s="723">
        <f t="shared" si="10"/>
        <v>0</v>
      </c>
      <c r="F158" s="723"/>
      <c r="G158" s="723"/>
      <c r="H158" s="723"/>
      <c r="I158" s="723">
        <v>14.95</v>
      </c>
      <c r="J158" s="723"/>
      <c r="K158" s="723"/>
      <c r="L158" s="723"/>
      <c r="M158" s="723"/>
      <c r="N158" s="723"/>
      <c r="O158" s="743"/>
      <c r="P158" s="743"/>
      <c r="Q158" s="743"/>
      <c r="R158" s="743"/>
      <c r="S158" s="743"/>
      <c r="U158" s="649"/>
      <c r="V158" s="649"/>
      <c r="W158" s="649"/>
      <c r="X158" s="649"/>
      <c r="Y158" s="649"/>
      <c r="Z158" s="649"/>
      <c r="AA158" s="649"/>
      <c r="AB158" s="649"/>
      <c r="AC158" s="649"/>
      <c r="AD158" s="649"/>
      <c r="AE158" s="649"/>
      <c r="AF158" s="649"/>
      <c r="AG158" s="649"/>
      <c r="AH158" s="649"/>
      <c r="AI158" s="649"/>
      <c r="AJ158" s="649"/>
      <c r="AK158" s="649"/>
      <c r="AL158" s="649"/>
      <c r="AM158" s="649"/>
      <c r="AN158" s="649"/>
      <c r="AO158" s="649"/>
      <c r="AP158" s="649"/>
      <c r="AQ158" s="649"/>
      <c r="AR158" s="649"/>
      <c r="AS158" s="649"/>
      <c r="AT158" s="649"/>
      <c r="AU158" s="649"/>
      <c r="AV158" s="649"/>
      <c r="AW158" s="649"/>
      <c r="AX158" s="649"/>
      <c r="AY158" s="649"/>
      <c r="AZ158" s="649"/>
      <c r="BA158" s="649"/>
      <c r="BB158" s="649"/>
      <c r="BC158" s="649"/>
      <c r="BD158" s="649"/>
    </row>
    <row r="159" spans="1:56" s="648" customFormat="1" ht="12" customHeight="1">
      <c r="A159" s="726"/>
      <c r="B159" s="725">
        <v>43200</v>
      </c>
      <c r="C159" s="724" t="s">
        <v>40</v>
      </c>
      <c r="D159" s="723">
        <v>30</v>
      </c>
      <c r="E159" s="723">
        <f t="shared" si="10"/>
        <v>30</v>
      </c>
      <c r="F159" s="723"/>
      <c r="G159" s="723"/>
      <c r="H159" s="723"/>
      <c r="I159" s="723"/>
      <c r="J159" s="723"/>
      <c r="K159" s="723"/>
      <c r="L159" s="723"/>
      <c r="M159" s="723"/>
      <c r="N159" s="723"/>
      <c r="O159" s="743"/>
      <c r="P159" s="743"/>
      <c r="Q159" s="743"/>
      <c r="R159" s="743"/>
      <c r="S159" s="743"/>
      <c r="U159" s="649"/>
      <c r="V159" s="649"/>
      <c r="W159" s="649"/>
      <c r="X159" s="649"/>
      <c r="Y159" s="649"/>
      <c r="Z159" s="649"/>
      <c r="AA159" s="649"/>
      <c r="AB159" s="649"/>
      <c r="AC159" s="649"/>
      <c r="AD159" s="649"/>
      <c r="AE159" s="649"/>
      <c r="AF159" s="649"/>
      <c r="AG159" s="649"/>
      <c r="AH159" s="649"/>
      <c r="AI159" s="649"/>
      <c r="AJ159" s="649"/>
      <c r="AK159" s="649"/>
      <c r="AL159" s="649"/>
      <c r="AM159" s="649"/>
      <c r="AN159" s="649"/>
      <c r="AO159" s="649"/>
      <c r="AP159" s="649"/>
      <c r="AQ159" s="649"/>
      <c r="AR159" s="649"/>
      <c r="AS159" s="649"/>
      <c r="AT159" s="649"/>
      <c r="AU159" s="649"/>
      <c r="AV159" s="649"/>
      <c r="AW159" s="649"/>
      <c r="AX159" s="649"/>
      <c r="AY159" s="649"/>
      <c r="AZ159" s="649"/>
      <c r="BA159" s="649"/>
      <c r="BB159" s="649"/>
      <c r="BC159" s="649"/>
      <c r="BD159" s="649"/>
    </row>
    <row r="160" spans="1:56" s="648" customFormat="1" ht="12" customHeight="1">
      <c r="A160" s="726"/>
      <c r="B160" s="725">
        <v>43201</v>
      </c>
      <c r="C160" s="724" t="s">
        <v>39</v>
      </c>
      <c r="D160" s="723">
        <v>6</v>
      </c>
      <c r="E160" s="723">
        <f t="shared" si="10"/>
        <v>6</v>
      </c>
      <c r="F160" s="723"/>
      <c r="G160" s="723"/>
      <c r="H160" s="723"/>
      <c r="I160" s="723"/>
      <c r="J160" s="723"/>
      <c r="K160" s="723"/>
      <c r="L160" s="723"/>
      <c r="M160" s="723"/>
      <c r="N160" s="723"/>
      <c r="O160" s="743"/>
      <c r="P160" s="743"/>
      <c r="Q160" s="743"/>
      <c r="R160" s="743"/>
      <c r="S160" s="743"/>
      <c r="U160" s="649"/>
      <c r="V160" s="649"/>
      <c r="W160" s="649"/>
      <c r="X160" s="649"/>
      <c r="Y160" s="649"/>
      <c r="Z160" s="649"/>
      <c r="AA160" s="649"/>
      <c r="AB160" s="649"/>
      <c r="AC160" s="649"/>
      <c r="AD160" s="649"/>
      <c r="AE160" s="649"/>
      <c r="AF160" s="649"/>
      <c r="AG160" s="649"/>
      <c r="AH160" s="649"/>
      <c r="AI160" s="649"/>
      <c r="AJ160" s="649"/>
      <c r="AK160" s="649"/>
      <c r="AL160" s="649"/>
      <c r="AM160" s="649"/>
      <c r="AN160" s="649"/>
      <c r="AO160" s="649"/>
      <c r="AP160" s="649"/>
      <c r="AQ160" s="649"/>
      <c r="AR160" s="649"/>
      <c r="AS160" s="649"/>
      <c r="AT160" s="649"/>
      <c r="AU160" s="649"/>
      <c r="AV160" s="649"/>
      <c r="AW160" s="649"/>
      <c r="AX160" s="649"/>
      <c r="AY160" s="649"/>
      <c r="AZ160" s="649"/>
      <c r="BA160" s="649"/>
      <c r="BB160" s="649"/>
      <c r="BC160" s="649"/>
      <c r="BD160" s="649"/>
    </row>
    <row r="161" spans="1:56" s="648" customFormat="1" ht="12" customHeight="1">
      <c r="A161" s="726"/>
      <c r="B161" s="725">
        <v>43201</v>
      </c>
      <c r="C161" s="724" t="s">
        <v>720</v>
      </c>
      <c r="D161" s="723">
        <v>273</v>
      </c>
      <c r="E161" s="723">
        <f t="shared" si="10"/>
        <v>273</v>
      </c>
      <c r="F161" s="723">
        <v>273</v>
      </c>
      <c r="G161" s="723"/>
      <c r="H161" s="723"/>
      <c r="I161" s="723"/>
      <c r="J161" s="723"/>
      <c r="K161" s="723"/>
      <c r="L161" s="723"/>
      <c r="M161" s="723"/>
      <c r="N161" s="723"/>
      <c r="O161" s="743"/>
      <c r="P161" s="743"/>
      <c r="Q161" s="743"/>
      <c r="R161" s="743"/>
      <c r="S161" s="743"/>
      <c r="U161" s="649"/>
      <c r="V161" s="649"/>
      <c r="W161" s="649"/>
      <c r="X161" s="649"/>
      <c r="Y161" s="649"/>
      <c r="Z161" s="649"/>
      <c r="AA161" s="649"/>
      <c r="AB161" s="649"/>
      <c r="AC161" s="649"/>
      <c r="AD161" s="649"/>
      <c r="AE161" s="649"/>
      <c r="AF161" s="649"/>
      <c r="AG161" s="649"/>
      <c r="AH161" s="649"/>
      <c r="AI161" s="649"/>
      <c r="AJ161" s="649"/>
      <c r="AK161" s="649"/>
      <c r="AL161" s="649"/>
      <c r="AM161" s="649"/>
      <c r="AN161" s="649"/>
      <c r="AO161" s="649"/>
      <c r="AP161" s="649"/>
      <c r="AQ161" s="649"/>
      <c r="AR161" s="649"/>
      <c r="AS161" s="649"/>
      <c r="AT161" s="649"/>
      <c r="AU161" s="649"/>
      <c r="AV161" s="649"/>
      <c r="AW161" s="649"/>
      <c r="AX161" s="649"/>
      <c r="AY161" s="649"/>
      <c r="AZ161" s="649"/>
      <c r="BA161" s="649"/>
      <c r="BB161" s="649"/>
      <c r="BC161" s="649"/>
      <c r="BD161" s="649"/>
    </row>
    <row r="162" spans="1:56" s="648" customFormat="1" ht="12" customHeight="1">
      <c r="A162" s="726"/>
      <c r="B162" s="725">
        <v>43201</v>
      </c>
      <c r="C162" s="724" t="s">
        <v>451</v>
      </c>
      <c r="D162" s="723">
        <v>63</v>
      </c>
      <c r="E162" s="723">
        <f t="shared" si="10"/>
        <v>63</v>
      </c>
      <c r="F162" s="723"/>
      <c r="G162" s="723"/>
      <c r="H162" s="723"/>
      <c r="I162" s="723"/>
      <c r="J162" s="723"/>
      <c r="K162" s="723"/>
      <c r="L162" s="723"/>
      <c r="M162" s="723"/>
      <c r="N162" s="723"/>
      <c r="O162" s="743"/>
      <c r="P162" s="743"/>
      <c r="Q162" s="743"/>
      <c r="R162" s="743"/>
      <c r="S162" s="743"/>
      <c r="U162" s="649"/>
      <c r="V162" s="649"/>
      <c r="W162" s="649"/>
      <c r="X162" s="649"/>
      <c r="Y162" s="649"/>
      <c r="Z162" s="649"/>
      <c r="AA162" s="649"/>
      <c r="AB162" s="649"/>
      <c r="AC162" s="649"/>
      <c r="AD162" s="649"/>
      <c r="AE162" s="649"/>
      <c r="AF162" s="649"/>
      <c r="AG162" s="649"/>
      <c r="AH162" s="649"/>
      <c r="AI162" s="649"/>
      <c r="AJ162" s="649"/>
      <c r="AK162" s="649"/>
      <c r="AL162" s="649"/>
      <c r="AM162" s="649"/>
      <c r="AN162" s="649"/>
      <c r="AO162" s="649"/>
      <c r="AP162" s="649"/>
      <c r="AQ162" s="649"/>
      <c r="AR162" s="649"/>
      <c r="AS162" s="649"/>
      <c r="AT162" s="649"/>
      <c r="AU162" s="649"/>
      <c r="AV162" s="649"/>
      <c r="AW162" s="649"/>
      <c r="AX162" s="649"/>
      <c r="AY162" s="649"/>
      <c r="AZ162" s="649"/>
      <c r="BA162" s="649"/>
      <c r="BB162" s="649"/>
      <c r="BC162" s="649"/>
      <c r="BD162" s="649"/>
    </row>
    <row r="163" spans="1:56" s="648" customFormat="1" ht="12" customHeight="1">
      <c r="A163" s="726"/>
      <c r="B163" s="725">
        <v>43202</v>
      </c>
      <c r="C163" s="724" t="s">
        <v>39</v>
      </c>
      <c r="D163" s="723">
        <v>84</v>
      </c>
      <c r="E163" s="723">
        <f t="shared" si="10"/>
        <v>6</v>
      </c>
      <c r="F163" s="723"/>
      <c r="G163" s="723">
        <v>78</v>
      </c>
      <c r="H163" s="723"/>
      <c r="I163" s="723"/>
      <c r="J163" s="723"/>
      <c r="K163" s="723"/>
      <c r="L163" s="723"/>
      <c r="M163" s="723"/>
      <c r="N163" s="723"/>
      <c r="O163" s="743"/>
      <c r="P163" s="743"/>
      <c r="Q163" s="743"/>
      <c r="R163" s="743"/>
      <c r="S163" s="743"/>
      <c r="U163" s="649"/>
      <c r="V163" s="649"/>
      <c r="W163" s="649"/>
      <c r="X163" s="649"/>
      <c r="Y163" s="649"/>
      <c r="Z163" s="649"/>
      <c r="AA163" s="649"/>
      <c r="AB163" s="649"/>
      <c r="AC163" s="649"/>
      <c r="AD163" s="649"/>
      <c r="AE163" s="649"/>
      <c r="AF163" s="649"/>
      <c r="AG163" s="649"/>
      <c r="AH163" s="649"/>
      <c r="AI163" s="649"/>
      <c r="AJ163" s="649"/>
      <c r="AK163" s="649"/>
      <c r="AL163" s="649"/>
      <c r="AM163" s="649"/>
      <c r="AN163" s="649"/>
      <c r="AO163" s="649"/>
      <c r="AP163" s="649"/>
      <c r="AQ163" s="649"/>
      <c r="AR163" s="649"/>
      <c r="AS163" s="649"/>
      <c r="AT163" s="649"/>
      <c r="AU163" s="649"/>
      <c r="AV163" s="649"/>
      <c r="AW163" s="649"/>
      <c r="AX163" s="649"/>
      <c r="AY163" s="649"/>
      <c r="AZ163" s="649"/>
      <c r="BA163" s="649"/>
      <c r="BB163" s="649"/>
      <c r="BC163" s="649"/>
      <c r="BD163" s="649"/>
    </row>
    <row r="164" spans="1:56" s="648" customFormat="1" ht="12" customHeight="1">
      <c r="A164" s="726"/>
      <c r="B164" s="725">
        <v>43202</v>
      </c>
      <c r="C164" s="724" t="s">
        <v>39</v>
      </c>
      <c r="D164" s="723">
        <v>25.9</v>
      </c>
      <c r="E164" s="723">
        <f t="shared" si="10"/>
        <v>25.9</v>
      </c>
      <c r="F164" s="723"/>
      <c r="G164" s="723"/>
      <c r="H164" s="723"/>
      <c r="I164" s="723"/>
      <c r="J164" s="723"/>
      <c r="K164" s="723"/>
      <c r="L164" s="723"/>
      <c r="M164" s="723"/>
      <c r="N164" s="723"/>
      <c r="O164" s="743"/>
      <c r="P164" s="743"/>
      <c r="Q164" s="743"/>
      <c r="R164" s="743"/>
      <c r="S164" s="743"/>
      <c r="U164" s="649"/>
      <c r="V164" s="649"/>
      <c r="W164" s="649"/>
      <c r="X164" s="649"/>
      <c r="Y164" s="649"/>
      <c r="Z164" s="649"/>
      <c r="AA164" s="649"/>
      <c r="AB164" s="649"/>
      <c r="AC164" s="649"/>
      <c r="AD164" s="649"/>
      <c r="AE164" s="649"/>
      <c r="AF164" s="649"/>
      <c r="AG164" s="649"/>
      <c r="AH164" s="649"/>
      <c r="AI164" s="649"/>
      <c r="AJ164" s="649"/>
      <c r="AK164" s="649"/>
      <c r="AL164" s="649"/>
      <c r="AM164" s="649"/>
      <c r="AN164" s="649"/>
      <c r="AO164" s="649"/>
      <c r="AP164" s="649"/>
      <c r="AQ164" s="649"/>
      <c r="AR164" s="649"/>
      <c r="AS164" s="649"/>
      <c r="AT164" s="649"/>
      <c r="AU164" s="649"/>
      <c r="AV164" s="649"/>
      <c r="AW164" s="649"/>
      <c r="AX164" s="649"/>
      <c r="AY164" s="649"/>
      <c r="AZ164" s="649"/>
      <c r="BA164" s="649"/>
      <c r="BB164" s="649"/>
      <c r="BC164" s="649"/>
      <c r="BD164" s="649"/>
    </row>
    <row r="165" spans="1:56" s="648" customFormat="1" ht="12" customHeight="1">
      <c r="A165" s="726"/>
      <c r="B165" s="725">
        <v>43203</v>
      </c>
      <c r="C165" s="724" t="s">
        <v>40</v>
      </c>
      <c r="D165" s="723">
        <v>38.950000000000003</v>
      </c>
      <c r="E165" s="723">
        <f t="shared" si="10"/>
        <v>24.000000000000004</v>
      </c>
      <c r="F165" s="723"/>
      <c r="G165" s="723"/>
      <c r="H165" s="723"/>
      <c r="I165" s="723">
        <v>14.95</v>
      </c>
      <c r="J165" s="723"/>
      <c r="K165" s="723"/>
      <c r="L165" s="723"/>
      <c r="M165" s="723"/>
      <c r="N165" s="723"/>
      <c r="O165" s="743"/>
      <c r="P165" s="743"/>
      <c r="Q165" s="743"/>
      <c r="R165" s="743"/>
      <c r="S165" s="743"/>
      <c r="U165" s="649"/>
      <c r="V165" s="649"/>
      <c r="W165" s="649"/>
      <c r="X165" s="649"/>
      <c r="Y165" s="649"/>
      <c r="Z165" s="649"/>
      <c r="AA165" s="649"/>
      <c r="AB165" s="649"/>
      <c r="AC165" s="649"/>
      <c r="AD165" s="649"/>
      <c r="AE165" s="649"/>
      <c r="AF165" s="649"/>
      <c r="AG165" s="649"/>
      <c r="AH165" s="649"/>
      <c r="AI165" s="649"/>
      <c r="AJ165" s="649"/>
      <c r="AK165" s="649"/>
      <c r="AL165" s="649"/>
      <c r="AM165" s="649"/>
      <c r="AN165" s="649"/>
      <c r="AO165" s="649"/>
      <c r="AP165" s="649"/>
      <c r="AQ165" s="649"/>
      <c r="AR165" s="649"/>
      <c r="AS165" s="649"/>
      <c r="AT165" s="649"/>
      <c r="AU165" s="649"/>
      <c r="AV165" s="649"/>
      <c r="AW165" s="649"/>
      <c r="AX165" s="649"/>
      <c r="AY165" s="649"/>
      <c r="AZ165" s="649"/>
      <c r="BA165" s="649"/>
      <c r="BB165" s="649"/>
      <c r="BC165" s="649"/>
      <c r="BD165" s="649"/>
    </row>
    <row r="166" spans="1:56" s="648" customFormat="1" ht="12" customHeight="1">
      <c r="A166" s="726"/>
      <c r="B166" s="725">
        <v>43203</v>
      </c>
      <c r="C166" s="724" t="s">
        <v>451</v>
      </c>
      <c r="D166" s="723">
        <v>89.95</v>
      </c>
      <c r="E166" s="723">
        <f t="shared" si="10"/>
        <v>49.95</v>
      </c>
      <c r="F166" s="723"/>
      <c r="G166" s="723"/>
      <c r="H166" s="723"/>
      <c r="I166" s="723">
        <v>40</v>
      </c>
      <c r="J166" s="723"/>
      <c r="K166" s="723"/>
      <c r="L166" s="723"/>
      <c r="M166" s="723"/>
      <c r="N166" s="723"/>
      <c r="O166" s="743"/>
      <c r="P166" s="743"/>
      <c r="Q166" s="743"/>
      <c r="R166" s="743"/>
      <c r="S166" s="743"/>
      <c r="U166" s="649"/>
      <c r="V166" s="649"/>
      <c r="W166" s="649"/>
      <c r="X166" s="649"/>
      <c r="Y166" s="649"/>
      <c r="Z166" s="649"/>
      <c r="AA166" s="649"/>
      <c r="AB166" s="649"/>
      <c r="AC166" s="649"/>
      <c r="AD166" s="649"/>
      <c r="AE166" s="649"/>
      <c r="AF166" s="649"/>
      <c r="AG166" s="649"/>
      <c r="AH166" s="649"/>
      <c r="AI166" s="649"/>
      <c r="AJ166" s="649"/>
      <c r="AK166" s="649"/>
      <c r="AL166" s="649"/>
      <c r="AM166" s="649"/>
      <c r="AN166" s="649"/>
      <c r="AO166" s="649"/>
      <c r="AP166" s="649"/>
      <c r="AQ166" s="649"/>
      <c r="AR166" s="649"/>
      <c r="AS166" s="649"/>
      <c r="AT166" s="649"/>
      <c r="AU166" s="649"/>
      <c r="AV166" s="649"/>
      <c r="AW166" s="649"/>
      <c r="AX166" s="649"/>
      <c r="AY166" s="649"/>
      <c r="AZ166" s="649"/>
      <c r="BA166" s="649"/>
      <c r="BB166" s="649"/>
      <c r="BC166" s="649"/>
      <c r="BD166" s="649"/>
    </row>
    <row r="167" spans="1:56" s="648" customFormat="1" ht="12" customHeight="1">
      <c r="A167" s="726"/>
      <c r="B167" s="725">
        <v>43203</v>
      </c>
      <c r="C167" s="724" t="s">
        <v>124</v>
      </c>
      <c r="D167" s="723">
        <v>20.149999999999999</v>
      </c>
      <c r="E167" s="723">
        <f t="shared" si="10"/>
        <v>20.149999999999999</v>
      </c>
      <c r="F167" s="723"/>
      <c r="G167" s="723"/>
      <c r="H167" s="723"/>
      <c r="I167" s="723"/>
      <c r="J167" s="723"/>
      <c r="K167" s="723"/>
      <c r="L167" s="723"/>
      <c r="M167" s="723"/>
      <c r="N167" s="723"/>
      <c r="O167" s="743"/>
      <c r="P167" s="743"/>
      <c r="Q167" s="743"/>
      <c r="R167" s="743"/>
      <c r="S167" s="743"/>
      <c r="U167" s="649"/>
      <c r="V167" s="649"/>
      <c r="W167" s="649"/>
      <c r="X167" s="649"/>
      <c r="Y167" s="649"/>
      <c r="Z167" s="649"/>
      <c r="AA167" s="649"/>
      <c r="AB167" s="649"/>
      <c r="AC167" s="649"/>
      <c r="AD167" s="649"/>
      <c r="AE167" s="649"/>
      <c r="AF167" s="649"/>
      <c r="AG167" s="649"/>
      <c r="AH167" s="649"/>
      <c r="AI167" s="649"/>
      <c r="AJ167" s="649"/>
      <c r="AK167" s="649"/>
      <c r="AL167" s="649"/>
      <c r="AM167" s="649"/>
      <c r="AN167" s="649"/>
      <c r="AO167" s="649"/>
      <c r="AP167" s="649"/>
      <c r="AQ167" s="649"/>
      <c r="AR167" s="649"/>
      <c r="AS167" s="649"/>
      <c r="AT167" s="649"/>
      <c r="AU167" s="649"/>
      <c r="AV167" s="649"/>
      <c r="AW167" s="649"/>
      <c r="AX167" s="649"/>
      <c r="AY167" s="649"/>
      <c r="AZ167" s="649"/>
      <c r="BA167" s="649"/>
      <c r="BB167" s="649"/>
      <c r="BC167" s="649"/>
      <c r="BD167" s="649"/>
    </row>
    <row r="168" spans="1:56" s="648" customFormat="1" ht="12" customHeight="1">
      <c r="A168" s="726"/>
      <c r="B168" s="725">
        <v>43204</v>
      </c>
      <c r="C168" s="724" t="s">
        <v>39</v>
      </c>
      <c r="D168" s="723">
        <v>18</v>
      </c>
      <c r="E168" s="723">
        <f t="shared" ref="E168:E191" si="11">D168-G168-H168-I168</f>
        <v>3</v>
      </c>
      <c r="F168" s="723"/>
      <c r="G168" s="723"/>
      <c r="H168" s="723"/>
      <c r="I168" s="723">
        <v>15</v>
      </c>
      <c r="J168" s="723"/>
      <c r="K168" s="723"/>
      <c r="L168" s="723"/>
      <c r="M168" s="723"/>
      <c r="N168" s="723"/>
      <c r="O168" s="743"/>
      <c r="P168" s="743"/>
      <c r="Q168" s="743"/>
      <c r="R168" s="743"/>
      <c r="S168" s="743"/>
      <c r="U168" s="649"/>
      <c r="V168" s="649"/>
      <c r="W168" s="649"/>
      <c r="X168" s="649"/>
      <c r="Y168" s="649"/>
      <c r="Z168" s="649"/>
      <c r="AA168" s="649"/>
      <c r="AB168" s="649"/>
      <c r="AC168" s="649"/>
      <c r="AD168" s="649"/>
      <c r="AE168" s="649"/>
      <c r="AF168" s="649"/>
      <c r="AG168" s="649"/>
      <c r="AH168" s="649"/>
      <c r="AI168" s="649"/>
      <c r="AJ168" s="649"/>
      <c r="AK168" s="649"/>
      <c r="AL168" s="649"/>
      <c r="AM168" s="649"/>
      <c r="AN168" s="649"/>
      <c r="AO168" s="649"/>
      <c r="AP168" s="649"/>
      <c r="AQ168" s="649"/>
      <c r="AR168" s="649"/>
      <c r="AS168" s="649"/>
      <c r="AT168" s="649"/>
      <c r="AU168" s="649"/>
      <c r="AV168" s="649"/>
      <c r="AW168" s="649"/>
      <c r="AX168" s="649"/>
      <c r="AY168" s="649"/>
      <c r="AZ168" s="649"/>
      <c r="BA168" s="649"/>
      <c r="BB168" s="649"/>
      <c r="BC168" s="649"/>
      <c r="BD168" s="649"/>
    </row>
    <row r="169" spans="1:56" s="648" customFormat="1" ht="12" customHeight="1">
      <c r="A169" s="726"/>
      <c r="B169" s="725">
        <v>43206</v>
      </c>
      <c r="C169" s="724" t="s">
        <v>451</v>
      </c>
      <c r="D169" s="723">
        <v>52.45</v>
      </c>
      <c r="E169" s="723">
        <f t="shared" si="11"/>
        <v>52.45</v>
      </c>
      <c r="F169" s="723"/>
      <c r="G169" s="723"/>
      <c r="H169" s="723"/>
      <c r="I169" s="723"/>
      <c r="J169" s="723"/>
      <c r="K169" s="723"/>
      <c r="L169" s="723"/>
      <c r="M169" s="723"/>
      <c r="N169" s="723"/>
      <c r="O169" s="743"/>
      <c r="P169" s="743"/>
      <c r="Q169" s="743"/>
      <c r="R169" s="743"/>
      <c r="S169" s="743"/>
      <c r="U169" s="649"/>
      <c r="V169" s="649"/>
      <c r="W169" s="649"/>
      <c r="X169" s="649"/>
      <c r="Y169" s="649"/>
      <c r="Z169" s="649"/>
      <c r="AA169" s="649"/>
      <c r="AB169" s="649"/>
      <c r="AC169" s="649"/>
      <c r="AD169" s="649"/>
      <c r="AE169" s="649"/>
      <c r="AF169" s="649"/>
      <c r="AG169" s="649"/>
      <c r="AH169" s="649"/>
      <c r="AI169" s="649"/>
      <c r="AJ169" s="649"/>
      <c r="AK169" s="649"/>
      <c r="AL169" s="649"/>
      <c r="AM169" s="649"/>
      <c r="AN169" s="649"/>
      <c r="AO169" s="649"/>
      <c r="AP169" s="649"/>
      <c r="AQ169" s="649"/>
      <c r="AR169" s="649"/>
      <c r="AS169" s="649"/>
      <c r="AT169" s="649"/>
      <c r="AU169" s="649"/>
      <c r="AV169" s="649"/>
      <c r="AW169" s="649"/>
      <c r="AX169" s="649"/>
      <c r="AY169" s="649"/>
      <c r="AZ169" s="649"/>
      <c r="BA169" s="649"/>
      <c r="BB169" s="649"/>
      <c r="BC169" s="649"/>
      <c r="BD169" s="649"/>
    </row>
    <row r="170" spans="1:56" s="648" customFormat="1" ht="12" customHeight="1">
      <c r="A170" s="726"/>
      <c r="B170" s="725">
        <v>43208</v>
      </c>
      <c r="C170" s="724" t="s">
        <v>39</v>
      </c>
      <c r="D170" s="723">
        <v>48</v>
      </c>
      <c r="E170" s="723">
        <f t="shared" si="11"/>
        <v>33</v>
      </c>
      <c r="F170" s="723"/>
      <c r="G170" s="723"/>
      <c r="H170" s="723"/>
      <c r="I170" s="723">
        <v>15</v>
      </c>
      <c r="J170" s="723"/>
      <c r="K170" s="723"/>
      <c r="L170" s="723"/>
      <c r="M170" s="723"/>
      <c r="N170" s="723"/>
      <c r="O170" s="743"/>
      <c r="P170" s="743"/>
      <c r="Q170" s="743"/>
      <c r="R170" s="743"/>
      <c r="S170" s="743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49"/>
      <c r="AY170" s="649"/>
      <c r="AZ170" s="649"/>
      <c r="BA170" s="649"/>
      <c r="BB170" s="649"/>
      <c r="BC170" s="649"/>
      <c r="BD170" s="649"/>
    </row>
    <row r="171" spans="1:56" s="648" customFormat="1" ht="12" customHeight="1">
      <c r="A171" s="726"/>
      <c r="B171" s="725">
        <v>43208</v>
      </c>
      <c r="C171" s="724" t="s">
        <v>451</v>
      </c>
      <c r="D171" s="723">
        <v>63.1</v>
      </c>
      <c r="E171" s="723">
        <f t="shared" si="11"/>
        <v>63.1</v>
      </c>
      <c r="F171" s="723">
        <v>25</v>
      </c>
      <c r="G171" s="723"/>
      <c r="H171" s="723"/>
      <c r="I171" s="723"/>
      <c r="J171" s="723"/>
      <c r="K171" s="723"/>
      <c r="L171" s="723"/>
      <c r="M171" s="723"/>
      <c r="N171" s="723"/>
      <c r="O171" s="743"/>
      <c r="P171" s="743"/>
      <c r="Q171" s="743"/>
      <c r="R171" s="743"/>
      <c r="S171" s="743"/>
      <c r="U171" s="649"/>
      <c r="V171" s="649"/>
      <c r="W171" s="649"/>
      <c r="X171" s="649"/>
      <c r="Y171" s="649"/>
      <c r="Z171" s="649"/>
      <c r="AA171" s="649"/>
      <c r="AB171" s="649"/>
      <c r="AC171" s="649"/>
      <c r="AD171" s="649"/>
      <c r="AE171" s="649"/>
      <c r="AF171" s="649"/>
      <c r="AG171" s="649"/>
      <c r="AH171" s="649"/>
      <c r="AI171" s="649"/>
      <c r="AJ171" s="649"/>
      <c r="AK171" s="649"/>
      <c r="AL171" s="649"/>
      <c r="AM171" s="649"/>
      <c r="AN171" s="649"/>
      <c r="AO171" s="649"/>
      <c r="AP171" s="649"/>
      <c r="AQ171" s="649"/>
      <c r="AR171" s="649"/>
      <c r="AS171" s="649"/>
      <c r="AT171" s="649"/>
      <c r="AU171" s="649"/>
      <c r="AV171" s="649"/>
      <c r="AW171" s="649"/>
      <c r="AX171" s="649"/>
      <c r="AY171" s="649"/>
      <c r="AZ171" s="649"/>
      <c r="BA171" s="649"/>
      <c r="BB171" s="649"/>
      <c r="BC171" s="649"/>
      <c r="BD171" s="649"/>
    </row>
    <row r="172" spans="1:56" s="648" customFormat="1" ht="12" customHeight="1">
      <c r="A172" s="726"/>
      <c r="B172" s="725">
        <v>43209</v>
      </c>
      <c r="C172" s="724" t="s">
        <v>40</v>
      </c>
      <c r="D172" s="723">
        <v>64</v>
      </c>
      <c r="E172" s="723">
        <f t="shared" si="11"/>
        <v>54</v>
      </c>
      <c r="F172" s="723"/>
      <c r="G172" s="723"/>
      <c r="H172" s="723"/>
      <c r="I172" s="723">
        <v>10</v>
      </c>
      <c r="J172" s="723"/>
      <c r="K172" s="723"/>
      <c r="L172" s="723"/>
      <c r="M172" s="723"/>
      <c r="N172" s="723"/>
      <c r="O172" s="743"/>
      <c r="P172" s="743"/>
      <c r="Q172" s="743"/>
      <c r="R172" s="743"/>
      <c r="S172" s="743"/>
      <c r="U172" s="649"/>
      <c r="V172" s="649"/>
      <c r="W172" s="649"/>
      <c r="X172" s="649"/>
      <c r="Y172" s="649"/>
      <c r="Z172" s="649"/>
      <c r="AA172" s="649"/>
      <c r="AB172" s="649"/>
      <c r="AC172" s="649"/>
      <c r="AD172" s="649"/>
      <c r="AE172" s="649"/>
      <c r="AF172" s="649"/>
      <c r="AG172" s="649"/>
      <c r="AH172" s="649"/>
      <c r="AI172" s="649"/>
      <c r="AJ172" s="649"/>
      <c r="AK172" s="649"/>
      <c r="AL172" s="649"/>
      <c r="AM172" s="649"/>
      <c r="AN172" s="649"/>
      <c r="AO172" s="649"/>
      <c r="AP172" s="649"/>
      <c r="AQ172" s="649"/>
      <c r="AR172" s="649"/>
      <c r="AS172" s="649"/>
      <c r="AT172" s="649"/>
      <c r="AU172" s="649"/>
      <c r="AV172" s="649"/>
      <c r="AW172" s="649"/>
      <c r="AX172" s="649"/>
      <c r="AY172" s="649"/>
      <c r="AZ172" s="649"/>
      <c r="BA172" s="649"/>
      <c r="BB172" s="649"/>
      <c r="BC172" s="649"/>
      <c r="BD172" s="649"/>
    </row>
    <row r="173" spans="1:56" s="648" customFormat="1" ht="12" customHeight="1">
      <c r="A173" s="726"/>
      <c r="B173" s="725">
        <v>43209</v>
      </c>
      <c r="C173" s="724" t="s">
        <v>38</v>
      </c>
      <c r="D173" s="723">
        <v>97.95</v>
      </c>
      <c r="E173" s="723">
        <f t="shared" si="11"/>
        <v>97.95</v>
      </c>
      <c r="F173" s="723"/>
      <c r="G173" s="723"/>
      <c r="H173" s="723"/>
      <c r="I173" s="723"/>
      <c r="J173" s="723"/>
      <c r="K173" s="723"/>
      <c r="L173" s="723"/>
      <c r="M173" s="723"/>
      <c r="N173" s="723"/>
      <c r="O173" s="743"/>
      <c r="P173" s="743"/>
      <c r="Q173" s="743"/>
      <c r="R173" s="743"/>
      <c r="S173" s="743"/>
      <c r="U173" s="649"/>
      <c r="V173" s="649"/>
      <c r="W173" s="649"/>
      <c r="X173" s="649"/>
      <c r="Y173" s="649"/>
      <c r="Z173" s="649"/>
      <c r="AA173" s="649"/>
      <c r="AB173" s="649"/>
      <c r="AC173" s="649"/>
      <c r="AD173" s="649"/>
      <c r="AE173" s="649"/>
      <c r="AF173" s="649"/>
      <c r="AG173" s="649"/>
      <c r="AH173" s="649"/>
      <c r="AI173" s="649"/>
      <c r="AJ173" s="649"/>
      <c r="AK173" s="649"/>
      <c r="AL173" s="649"/>
      <c r="AM173" s="649"/>
      <c r="AN173" s="649"/>
      <c r="AO173" s="649"/>
      <c r="AP173" s="649"/>
      <c r="AQ173" s="649"/>
      <c r="AR173" s="649"/>
      <c r="AS173" s="649"/>
      <c r="AT173" s="649"/>
      <c r="AU173" s="649"/>
      <c r="AV173" s="649"/>
      <c r="AW173" s="649"/>
      <c r="AX173" s="649"/>
      <c r="AY173" s="649"/>
      <c r="AZ173" s="649"/>
      <c r="BA173" s="649"/>
      <c r="BB173" s="649"/>
      <c r="BC173" s="649"/>
      <c r="BD173" s="649"/>
    </row>
    <row r="174" spans="1:56" s="648" customFormat="1" ht="12" customHeight="1">
      <c r="A174" s="726"/>
      <c r="B174" s="725">
        <v>43210</v>
      </c>
      <c r="C174" s="724" t="s">
        <v>451</v>
      </c>
      <c r="D174" s="723">
        <v>61.45</v>
      </c>
      <c r="E174" s="723">
        <f t="shared" si="11"/>
        <v>61.45</v>
      </c>
      <c r="F174" s="723"/>
      <c r="G174" s="723"/>
      <c r="H174" s="723"/>
      <c r="I174" s="723"/>
      <c r="J174" s="723"/>
      <c r="K174" s="723"/>
      <c r="L174" s="723"/>
      <c r="M174" s="723"/>
      <c r="N174" s="723"/>
      <c r="O174" s="743"/>
      <c r="P174" s="743"/>
      <c r="Q174" s="743"/>
      <c r="R174" s="743"/>
      <c r="S174" s="743"/>
      <c r="U174" s="649"/>
      <c r="V174" s="649"/>
      <c r="W174" s="649"/>
      <c r="X174" s="649"/>
      <c r="Y174" s="649"/>
      <c r="Z174" s="649"/>
      <c r="AA174" s="649"/>
      <c r="AB174" s="649"/>
      <c r="AC174" s="649"/>
      <c r="AD174" s="649"/>
      <c r="AE174" s="649"/>
      <c r="AF174" s="649"/>
      <c r="AG174" s="649"/>
      <c r="AH174" s="649"/>
      <c r="AI174" s="649"/>
      <c r="AJ174" s="649"/>
      <c r="AK174" s="649"/>
      <c r="AL174" s="649"/>
      <c r="AM174" s="649"/>
      <c r="AN174" s="649"/>
      <c r="AO174" s="649"/>
      <c r="AP174" s="649"/>
      <c r="AQ174" s="649"/>
      <c r="AR174" s="649"/>
      <c r="AS174" s="649"/>
      <c r="AT174" s="649"/>
      <c r="AU174" s="649"/>
      <c r="AV174" s="649"/>
      <c r="AW174" s="649"/>
      <c r="AX174" s="649"/>
      <c r="AY174" s="649"/>
      <c r="AZ174" s="649"/>
      <c r="BA174" s="649"/>
      <c r="BB174" s="649"/>
      <c r="BC174" s="649"/>
      <c r="BD174" s="649"/>
    </row>
    <row r="175" spans="1:56" s="648" customFormat="1" ht="12" customHeight="1">
      <c r="A175" s="726"/>
      <c r="B175" s="725">
        <v>43213</v>
      </c>
      <c r="C175" s="724" t="s">
        <v>451</v>
      </c>
      <c r="D175" s="723">
        <v>49.95</v>
      </c>
      <c r="E175" s="723">
        <f t="shared" si="11"/>
        <v>49.95</v>
      </c>
      <c r="F175" s="723"/>
      <c r="G175" s="723"/>
      <c r="H175" s="723"/>
      <c r="I175" s="723"/>
      <c r="J175" s="723"/>
      <c r="K175" s="723"/>
      <c r="L175" s="723"/>
      <c r="M175" s="723"/>
      <c r="N175" s="723"/>
      <c r="O175" s="743"/>
      <c r="P175" s="743"/>
      <c r="Q175" s="743"/>
      <c r="R175" s="743"/>
      <c r="S175" s="743"/>
      <c r="U175" s="649"/>
      <c r="V175" s="649"/>
      <c r="W175" s="649"/>
      <c r="X175" s="649"/>
      <c r="Y175" s="649"/>
      <c r="Z175" s="649"/>
      <c r="AA175" s="649"/>
      <c r="AB175" s="649"/>
      <c r="AC175" s="649"/>
      <c r="AD175" s="649"/>
      <c r="AE175" s="649"/>
      <c r="AF175" s="649"/>
      <c r="AG175" s="649"/>
      <c r="AH175" s="649"/>
      <c r="AI175" s="649"/>
      <c r="AJ175" s="649"/>
      <c r="AK175" s="649"/>
      <c r="AL175" s="649"/>
      <c r="AM175" s="649"/>
      <c r="AN175" s="649"/>
      <c r="AO175" s="649"/>
      <c r="AP175" s="649"/>
      <c r="AQ175" s="649"/>
      <c r="AR175" s="649"/>
      <c r="AS175" s="649"/>
      <c r="AT175" s="649"/>
      <c r="AU175" s="649"/>
      <c r="AV175" s="649"/>
      <c r="AW175" s="649"/>
      <c r="AX175" s="649"/>
      <c r="AY175" s="649"/>
      <c r="AZ175" s="649"/>
      <c r="BA175" s="649"/>
      <c r="BB175" s="649"/>
      <c r="BC175" s="649"/>
      <c r="BD175" s="649"/>
    </row>
    <row r="176" spans="1:56" s="648" customFormat="1" ht="12" customHeight="1">
      <c r="A176" s="726"/>
      <c r="B176" s="725">
        <v>43214</v>
      </c>
      <c r="C176" s="724" t="s">
        <v>451</v>
      </c>
      <c r="D176" s="723">
        <v>67.25</v>
      </c>
      <c r="E176" s="723">
        <f t="shared" si="11"/>
        <v>67.25</v>
      </c>
      <c r="F176" s="723">
        <v>30</v>
      </c>
      <c r="G176" s="723"/>
      <c r="H176" s="723"/>
      <c r="I176" s="723"/>
      <c r="J176" s="723"/>
      <c r="K176" s="723"/>
      <c r="L176" s="723"/>
      <c r="M176" s="723"/>
      <c r="N176" s="723"/>
      <c r="O176" s="743"/>
      <c r="P176" s="743"/>
      <c r="Q176" s="743"/>
      <c r="R176" s="743"/>
      <c r="S176" s="743"/>
      <c r="U176" s="649"/>
      <c r="V176" s="649"/>
      <c r="W176" s="649"/>
      <c r="X176" s="649"/>
      <c r="Y176" s="649"/>
      <c r="Z176" s="649"/>
      <c r="AA176" s="649"/>
      <c r="AB176" s="649"/>
      <c r="AC176" s="649"/>
      <c r="AD176" s="649"/>
      <c r="AE176" s="649"/>
      <c r="AF176" s="649"/>
      <c r="AG176" s="649"/>
      <c r="AH176" s="649"/>
      <c r="AI176" s="649"/>
      <c r="AJ176" s="649"/>
      <c r="AK176" s="649"/>
      <c r="AL176" s="649"/>
      <c r="AM176" s="649"/>
      <c r="AN176" s="649"/>
      <c r="AO176" s="649"/>
      <c r="AP176" s="649"/>
      <c r="AQ176" s="649"/>
      <c r="AR176" s="649"/>
      <c r="AS176" s="649"/>
      <c r="AT176" s="649"/>
      <c r="AU176" s="649"/>
      <c r="AV176" s="649"/>
      <c r="AW176" s="649"/>
      <c r="AX176" s="649"/>
      <c r="AY176" s="649"/>
      <c r="AZ176" s="649"/>
      <c r="BA176" s="649"/>
      <c r="BB176" s="649"/>
      <c r="BC176" s="649"/>
      <c r="BD176" s="649"/>
    </row>
    <row r="177" spans="1:56" s="648" customFormat="1" ht="12" customHeight="1">
      <c r="A177" s="726"/>
      <c r="B177" s="725">
        <v>43215</v>
      </c>
      <c r="C177" s="724" t="s">
        <v>124</v>
      </c>
      <c r="D177" s="723">
        <v>9</v>
      </c>
      <c r="E177" s="723">
        <f t="shared" si="11"/>
        <v>0</v>
      </c>
      <c r="F177" s="723"/>
      <c r="G177" s="723"/>
      <c r="H177" s="723">
        <v>9</v>
      </c>
      <c r="I177" s="723"/>
      <c r="J177" s="723"/>
      <c r="K177" s="723"/>
      <c r="L177" s="723"/>
      <c r="M177" s="723"/>
      <c r="N177" s="723"/>
      <c r="O177" s="743"/>
      <c r="P177" s="743"/>
      <c r="Q177" s="743"/>
      <c r="R177" s="743"/>
      <c r="S177" s="743"/>
      <c r="U177" s="649"/>
      <c r="V177" s="649"/>
      <c r="W177" s="649"/>
      <c r="X177" s="649"/>
      <c r="Y177" s="649"/>
      <c r="Z177" s="649"/>
      <c r="AA177" s="649"/>
      <c r="AB177" s="649"/>
      <c r="AC177" s="649"/>
      <c r="AD177" s="649"/>
      <c r="AE177" s="649"/>
      <c r="AF177" s="649"/>
      <c r="AG177" s="649"/>
      <c r="AH177" s="649"/>
      <c r="AI177" s="649"/>
      <c r="AJ177" s="649"/>
      <c r="AK177" s="649"/>
      <c r="AL177" s="649"/>
      <c r="AM177" s="649"/>
      <c r="AN177" s="649"/>
      <c r="AO177" s="649"/>
      <c r="AP177" s="649"/>
      <c r="AQ177" s="649"/>
      <c r="AR177" s="649"/>
      <c r="AS177" s="649"/>
      <c r="AT177" s="649"/>
      <c r="AU177" s="649"/>
      <c r="AV177" s="649"/>
      <c r="AW177" s="649"/>
      <c r="AX177" s="649"/>
      <c r="AY177" s="649"/>
      <c r="AZ177" s="649"/>
      <c r="BA177" s="649"/>
      <c r="BB177" s="649"/>
      <c r="BC177" s="649"/>
      <c r="BD177" s="649"/>
    </row>
    <row r="178" spans="1:56" s="648" customFormat="1" ht="12" customHeight="1">
      <c r="A178" s="726"/>
      <c r="B178" s="725">
        <v>43215</v>
      </c>
      <c r="C178" s="724" t="s">
        <v>451</v>
      </c>
      <c r="D178" s="723">
        <v>60</v>
      </c>
      <c r="E178" s="723">
        <f t="shared" si="11"/>
        <v>60</v>
      </c>
      <c r="F178" s="723">
        <v>30</v>
      </c>
      <c r="G178" s="723"/>
      <c r="H178" s="723"/>
      <c r="I178" s="723"/>
      <c r="J178" s="723"/>
      <c r="K178" s="723"/>
      <c r="L178" s="723"/>
      <c r="M178" s="723"/>
      <c r="N178" s="723"/>
      <c r="O178" s="743"/>
      <c r="P178" s="743"/>
      <c r="Q178" s="743"/>
      <c r="R178" s="743"/>
      <c r="S178" s="743"/>
      <c r="U178" s="649"/>
      <c r="V178" s="649"/>
      <c r="W178" s="649"/>
      <c r="X178" s="649"/>
      <c r="Y178" s="649"/>
      <c r="Z178" s="649"/>
      <c r="AA178" s="649"/>
      <c r="AB178" s="649"/>
      <c r="AC178" s="649"/>
      <c r="AD178" s="649"/>
      <c r="AE178" s="649"/>
      <c r="AF178" s="649"/>
      <c r="AG178" s="649"/>
      <c r="AH178" s="649"/>
      <c r="AI178" s="649"/>
      <c r="AJ178" s="649"/>
      <c r="AK178" s="649"/>
      <c r="AL178" s="649"/>
      <c r="AM178" s="649"/>
      <c r="AN178" s="649"/>
      <c r="AO178" s="649"/>
      <c r="AP178" s="649"/>
      <c r="AQ178" s="649"/>
      <c r="AR178" s="649"/>
      <c r="AS178" s="649"/>
      <c r="AT178" s="649"/>
      <c r="AU178" s="649"/>
      <c r="AV178" s="649"/>
      <c r="AW178" s="649"/>
      <c r="AX178" s="649"/>
      <c r="AY178" s="649"/>
      <c r="AZ178" s="649"/>
      <c r="BA178" s="649"/>
      <c r="BB178" s="649"/>
      <c r="BC178" s="649"/>
      <c r="BD178" s="649"/>
    </row>
    <row r="179" spans="1:56" s="648" customFormat="1" ht="12" customHeight="1">
      <c r="A179" s="726"/>
      <c r="B179" s="725">
        <v>43216</v>
      </c>
      <c r="C179" s="724" t="s">
        <v>40</v>
      </c>
      <c r="D179" s="723">
        <v>46</v>
      </c>
      <c r="E179" s="723">
        <f t="shared" si="11"/>
        <v>46</v>
      </c>
      <c r="F179" s="723"/>
      <c r="G179" s="723"/>
      <c r="H179" s="723"/>
      <c r="I179" s="723"/>
      <c r="J179" s="723"/>
      <c r="K179" s="723"/>
      <c r="L179" s="723"/>
      <c r="M179" s="723"/>
      <c r="N179" s="723"/>
      <c r="O179" s="743"/>
      <c r="P179" s="743"/>
      <c r="Q179" s="743"/>
      <c r="R179" s="743"/>
      <c r="S179" s="743"/>
      <c r="U179" s="649"/>
      <c r="V179" s="649"/>
      <c r="W179" s="649"/>
      <c r="X179" s="649"/>
      <c r="Y179" s="649"/>
      <c r="Z179" s="649"/>
      <c r="AA179" s="649"/>
      <c r="AB179" s="649"/>
      <c r="AC179" s="649"/>
      <c r="AD179" s="649"/>
      <c r="AE179" s="649"/>
      <c r="AF179" s="649"/>
      <c r="AG179" s="649"/>
      <c r="AH179" s="649"/>
      <c r="AI179" s="649"/>
      <c r="AJ179" s="649"/>
      <c r="AK179" s="649"/>
      <c r="AL179" s="649"/>
      <c r="AM179" s="649"/>
      <c r="AN179" s="649"/>
      <c r="AO179" s="649"/>
      <c r="AP179" s="649"/>
      <c r="AQ179" s="649"/>
      <c r="AR179" s="649"/>
      <c r="AS179" s="649"/>
      <c r="AT179" s="649"/>
      <c r="AU179" s="649"/>
      <c r="AV179" s="649"/>
      <c r="AW179" s="649"/>
      <c r="AX179" s="649"/>
      <c r="AY179" s="649"/>
      <c r="AZ179" s="649"/>
      <c r="BA179" s="649"/>
      <c r="BB179" s="649"/>
      <c r="BC179" s="649"/>
      <c r="BD179" s="649"/>
    </row>
    <row r="180" spans="1:56" s="648" customFormat="1" ht="12" customHeight="1">
      <c r="A180" s="726"/>
      <c r="B180" s="725">
        <v>43216</v>
      </c>
      <c r="C180" s="724" t="s">
        <v>40</v>
      </c>
      <c r="D180" s="723">
        <v>18</v>
      </c>
      <c r="E180" s="723">
        <f t="shared" si="11"/>
        <v>18</v>
      </c>
      <c r="F180" s="723"/>
      <c r="G180" s="723"/>
      <c r="H180" s="723"/>
      <c r="I180" s="723"/>
      <c r="J180" s="723"/>
      <c r="K180" s="723"/>
      <c r="L180" s="723"/>
      <c r="M180" s="723"/>
      <c r="N180" s="723"/>
      <c r="O180" s="743"/>
      <c r="P180" s="743"/>
      <c r="Q180" s="743"/>
      <c r="R180" s="743"/>
      <c r="S180" s="743"/>
      <c r="U180" s="649"/>
      <c r="V180" s="649"/>
      <c r="W180" s="649"/>
      <c r="X180" s="649"/>
      <c r="Y180" s="649"/>
      <c r="Z180" s="649"/>
      <c r="AA180" s="649"/>
      <c r="AB180" s="649"/>
      <c r="AC180" s="649"/>
      <c r="AD180" s="649"/>
      <c r="AE180" s="649"/>
      <c r="AF180" s="649"/>
      <c r="AG180" s="649"/>
      <c r="AH180" s="649"/>
      <c r="AI180" s="649"/>
      <c r="AJ180" s="649"/>
      <c r="AK180" s="649"/>
      <c r="AL180" s="649"/>
      <c r="AM180" s="649"/>
      <c r="AN180" s="649"/>
      <c r="AO180" s="649"/>
      <c r="AP180" s="649"/>
      <c r="AQ180" s="649"/>
      <c r="AR180" s="649"/>
      <c r="AS180" s="649"/>
      <c r="AT180" s="649"/>
      <c r="AU180" s="649"/>
      <c r="AV180" s="649"/>
      <c r="AW180" s="649"/>
      <c r="AX180" s="649"/>
      <c r="AY180" s="649"/>
      <c r="AZ180" s="649"/>
      <c r="BA180" s="649"/>
      <c r="BB180" s="649"/>
      <c r="BC180" s="649"/>
      <c r="BD180" s="649"/>
    </row>
    <row r="181" spans="1:56" s="648" customFormat="1" ht="12" customHeight="1">
      <c r="A181" s="726"/>
      <c r="B181" s="725">
        <v>43216</v>
      </c>
      <c r="C181" s="724" t="s">
        <v>451</v>
      </c>
      <c r="D181" s="723">
        <v>50</v>
      </c>
      <c r="E181" s="723">
        <f t="shared" si="11"/>
        <v>50</v>
      </c>
      <c r="F181" s="723"/>
      <c r="G181" s="723"/>
      <c r="H181" s="723"/>
      <c r="I181" s="723"/>
      <c r="J181" s="723"/>
      <c r="K181" s="723"/>
      <c r="L181" s="723"/>
      <c r="M181" s="723"/>
      <c r="N181" s="723"/>
      <c r="O181" s="743"/>
      <c r="P181" s="743"/>
      <c r="Q181" s="743"/>
      <c r="R181" s="743"/>
      <c r="S181" s="743"/>
      <c r="U181" s="649"/>
      <c r="V181" s="649"/>
      <c r="W181" s="649"/>
      <c r="X181" s="649"/>
      <c r="Y181" s="649"/>
      <c r="Z181" s="649"/>
      <c r="AA181" s="649"/>
      <c r="AB181" s="649"/>
      <c r="AC181" s="649"/>
      <c r="AD181" s="649"/>
      <c r="AE181" s="649"/>
      <c r="AF181" s="649"/>
      <c r="AG181" s="649"/>
      <c r="AH181" s="649"/>
      <c r="AI181" s="649"/>
      <c r="AJ181" s="649"/>
      <c r="AK181" s="649"/>
      <c r="AL181" s="649"/>
      <c r="AM181" s="649"/>
      <c r="AN181" s="649"/>
      <c r="AO181" s="649"/>
      <c r="AP181" s="649"/>
      <c r="AQ181" s="649"/>
      <c r="AR181" s="649"/>
      <c r="AS181" s="649"/>
      <c r="AT181" s="649"/>
      <c r="AU181" s="649"/>
      <c r="AV181" s="649"/>
      <c r="AW181" s="649"/>
      <c r="AX181" s="649"/>
      <c r="AY181" s="649"/>
      <c r="AZ181" s="649"/>
      <c r="BA181" s="649"/>
      <c r="BB181" s="649"/>
      <c r="BC181" s="649"/>
      <c r="BD181" s="649"/>
    </row>
    <row r="182" spans="1:56" s="648" customFormat="1" ht="12" customHeight="1">
      <c r="A182" s="726"/>
      <c r="B182" s="725">
        <v>43216</v>
      </c>
      <c r="C182" s="724" t="s">
        <v>39</v>
      </c>
      <c r="D182" s="723">
        <v>100</v>
      </c>
      <c r="E182" s="723">
        <f t="shared" si="11"/>
        <v>100</v>
      </c>
      <c r="F182" s="723"/>
      <c r="G182" s="723"/>
      <c r="H182" s="723"/>
      <c r="I182" s="723"/>
      <c r="J182" s="723"/>
      <c r="K182" s="723"/>
      <c r="L182" s="723"/>
      <c r="M182" s="723"/>
      <c r="N182" s="723"/>
      <c r="O182" s="743"/>
      <c r="P182" s="743"/>
      <c r="Q182" s="743"/>
      <c r="R182" s="743"/>
      <c r="S182" s="743"/>
      <c r="U182" s="649"/>
      <c r="V182" s="649"/>
      <c r="W182" s="649"/>
      <c r="X182" s="649"/>
      <c r="Y182" s="649"/>
      <c r="Z182" s="649"/>
      <c r="AA182" s="649"/>
      <c r="AB182" s="649"/>
      <c r="AC182" s="649"/>
      <c r="AD182" s="649"/>
      <c r="AE182" s="649"/>
      <c r="AF182" s="649"/>
      <c r="AG182" s="649"/>
      <c r="AH182" s="649"/>
      <c r="AI182" s="649"/>
      <c r="AJ182" s="649"/>
      <c r="AK182" s="649"/>
      <c r="AL182" s="649"/>
      <c r="AM182" s="649"/>
      <c r="AN182" s="649"/>
      <c r="AO182" s="649"/>
      <c r="AP182" s="649"/>
      <c r="AQ182" s="649"/>
      <c r="AR182" s="649"/>
      <c r="AS182" s="649"/>
      <c r="AT182" s="649"/>
      <c r="AU182" s="649"/>
      <c r="AV182" s="649"/>
      <c r="AW182" s="649"/>
      <c r="AX182" s="649"/>
      <c r="AY182" s="649"/>
      <c r="AZ182" s="649"/>
      <c r="BA182" s="649"/>
      <c r="BB182" s="649"/>
      <c r="BC182" s="649"/>
      <c r="BD182" s="649"/>
    </row>
    <row r="183" spans="1:56" s="648" customFormat="1" ht="12" customHeight="1">
      <c r="A183" s="726"/>
      <c r="B183" s="725">
        <v>43218</v>
      </c>
      <c r="C183" s="724"/>
      <c r="D183" s="723">
        <v>126.5</v>
      </c>
      <c r="E183" s="723">
        <f t="shared" si="11"/>
        <v>126.5</v>
      </c>
      <c r="F183" s="723">
        <v>18</v>
      </c>
      <c r="G183" s="723"/>
      <c r="H183" s="723"/>
      <c r="I183" s="723"/>
      <c r="J183" s="723"/>
      <c r="K183" s="723"/>
      <c r="L183" s="723"/>
      <c r="M183" s="723"/>
      <c r="N183" s="723"/>
      <c r="O183" s="743"/>
      <c r="P183" s="743"/>
      <c r="Q183" s="743"/>
      <c r="R183" s="743"/>
      <c r="S183" s="743"/>
      <c r="U183" s="649"/>
      <c r="V183" s="649"/>
      <c r="W183" s="649"/>
      <c r="X183" s="649"/>
      <c r="Y183" s="649"/>
      <c r="Z183" s="649"/>
      <c r="AA183" s="649"/>
      <c r="AB183" s="649"/>
      <c r="AC183" s="649"/>
      <c r="AD183" s="649"/>
      <c r="AE183" s="649"/>
      <c r="AF183" s="649"/>
      <c r="AG183" s="649"/>
      <c r="AH183" s="649"/>
      <c r="AI183" s="649"/>
      <c r="AJ183" s="649"/>
      <c r="AK183" s="649"/>
      <c r="AL183" s="649"/>
      <c r="AM183" s="649"/>
      <c r="AN183" s="649"/>
      <c r="AO183" s="649"/>
      <c r="AP183" s="649"/>
      <c r="AQ183" s="649"/>
      <c r="AR183" s="649"/>
      <c r="AS183" s="649"/>
      <c r="AT183" s="649"/>
      <c r="AU183" s="649"/>
      <c r="AV183" s="649"/>
      <c r="AW183" s="649"/>
      <c r="AX183" s="649"/>
      <c r="AY183" s="649"/>
      <c r="AZ183" s="649"/>
      <c r="BA183" s="649"/>
      <c r="BB183" s="649"/>
      <c r="BC183" s="649"/>
      <c r="BD183" s="649"/>
    </row>
    <row r="184" spans="1:56" s="648" customFormat="1" ht="12" customHeight="1">
      <c r="A184" s="726"/>
      <c r="B184" s="725">
        <v>43219</v>
      </c>
      <c r="C184" s="724" t="s">
        <v>38</v>
      </c>
      <c r="D184" s="723">
        <v>12</v>
      </c>
      <c r="E184" s="723">
        <f t="shared" si="11"/>
        <v>0</v>
      </c>
      <c r="F184" s="723"/>
      <c r="G184" s="723"/>
      <c r="H184" s="723">
        <v>12</v>
      </c>
      <c r="I184" s="723"/>
      <c r="J184" s="723"/>
      <c r="K184" s="723"/>
      <c r="L184" s="723"/>
      <c r="M184" s="723"/>
      <c r="N184" s="723"/>
      <c r="O184" s="743"/>
      <c r="P184" s="743"/>
      <c r="Q184" s="743"/>
      <c r="R184" s="743"/>
      <c r="S184" s="743"/>
      <c r="U184" s="649"/>
      <c r="V184" s="649"/>
      <c r="W184" s="649"/>
      <c r="X184" s="649"/>
      <c r="Y184" s="649"/>
      <c r="Z184" s="649"/>
      <c r="AA184" s="649"/>
      <c r="AB184" s="649"/>
      <c r="AC184" s="649"/>
      <c r="AD184" s="649"/>
      <c r="AE184" s="649"/>
      <c r="AF184" s="649"/>
      <c r="AG184" s="649"/>
      <c r="AH184" s="649"/>
      <c r="AI184" s="649"/>
      <c r="AJ184" s="649"/>
      <c r="AK184" s="649"/>
      <c r="AL184" s="649"/>
      <c r="AM184" s="649"/>
      <c r="AN184" s="649"/>
      <c r="AO184" s="649"/>
      <c r="AP184" s="649"/>
      <c r="AQ184" s="649"/>
      <c r="AR184" s="649"/>
      <c r="AS184" s="649"/>
      <c r="AT184" s="649"/>
      <c r="AU184" s="649"/>
      <c r="AV184" s="649"/>
      <c r="AW184" s="649"/>
      <c r="AX184" s="649"/>
      <c r="AY184" s="649"/>
      <c r="AZ184" s="649"/>
      <c r="BA184" s="649"/>
      <c r="BB184" s="649"/>
      <c r="BC184" s="649"/>
      <c r="BD184" s="649"/>
    </row>
    <row r="185" spans="1:56" s="648" customFormat="1" ht="12" customHeight="1">
      <c r="A185" s="726"/>
      <c r="B185" s="725">
        <v>43219</v>
      </c>
      <c r="C185" s="724" t="s">
        <v>490</v>
      </c>
      <c r="D185" s="723">
        <v>10</v>
      </c>
      <c r="E185" s="723">
        <f t="shared" si="11"/>
        <v>10</v>
      </c>
      <c r="F185" s="723"/>
      <c r="G185" s="723"/>
      <c r="H185" s="723"/>
      <c r="I185" s="723"/>
      <c r="J185" s="723"/>
      <c r="K185" s="723"/>
      <c r="L185" s="723"/>
      <c r="M185" s="723"/>
      <c r="N185" s="723"/>
      <c r="O185" s="743"/>
      <c r="P185" s="743"/>
      <c r="Q185" s="743"/>
      <c r="R185" s="743"/>
      <c r="S185" s="743"/>
      <c r="U185" s="649"/>
      <c r="V185" s="649"/>
      <c r="W185" s="649"/>
      <c r="X185" s="649"/>
      <c r="Y185" s="649"/>
      <c r="Z185" s="649"/>
      <c r="AA185" s="649"/>
      <c r="AB185" s="649"/>
      <c r="AC185" s="649"/>
      <c r="AD185" s="649"/>
      <c r="AE185" s="649"/>
      <c r="AF185" s="649"/>
      <c r="AG185" s="649"/>
      <c r="AH185" s="649"/>
      <c r="AI185" s="649"/>
      <c r="AJ185" s="649"/>
      <c r="AK185" s="649"/>
      <c r="AL185" s="649"/>
      <c r="AM185" s="649"/>
      <c r="AN185" s="649"/>
      <c r="AO185" s="649"/>
      <c r="AP185" s="649"/>
      <c r="AQ185" s="649"/>
      <c r="AR185" s="649"/>
      <c r="AS185" s="649"/>
      <c r="AT185" s="649"/>
      <c r="AU185" s="649"/>
      <c r="AV185" s="649"/>
      <c r="AW185" s="649"/>
      <c r="AX185" s="649"/>
      <c r="AY185" s="649"/>
      <c r="AZ185" s="649"/>
      <c r="BA185" s="649"/>
      <c r="BB185" s="649"/>
      <c r="BC185" s="649"/>
      <c r="BD185" s="649"/>
    </row>
    <row r="186" spans="1:56" s="648" customFormat="1" ht="12" customHeight="1">
      <c r="A186" s="726"/>
      <c r="B186" s="725">
        <v>43219</v>
      </c>
      <c r="C186" s="724" t="s">
        <v>41</v>
      </c>
      <c r="D186" s="723">
        <v>81.900000000000006</v>
      </c>
      <c r="E186" s="723">
        <f t="shared" si="11"/>
        <v>49.900000000000006</v>
      </c>
      <c r="F186" s="723"/>
      <c r="G186" s="723"/>
      <c r="H186" s="723">
        <v>12</v>
      </c>
      <c r="I186" s="723">
        <v>20</v>
      </c>
      <c r="J186" s="723"/>
      <c r="K186" s="723"/>
      <c r="L186" s="723"/>
      <c r="M186" s="723"/>
      <c r="N186" s="723"/>
      <c r="O186" s="743"/>
      <c r="P186" s="743"/>
      <c r="Q186" s="743"/>
      <c r="R186" s="743"/>
      <c r="S186" s="743"/>
      <c r="U186" s="649"/>
      <c r="V186" s="649"/>
      <c r="W186" s="649"/>
      <c r="X186" s="649"/>
      <c r="Y186" s="649"/>
      <c r="Z186" s="649"/>
      <c r="AA186" s="649"/>
      <c r="AB186" s="649"/>
      <c r="AC186" s="649"/>
      <c r="AD186" s="649"/>
      <c r="AE186" s="649"/>
      <c r="AF186" s="649"/>
      <c r="AG186" s="649"/>
      <c r="AH186" s="649"/>
      <c r="AI186" s="649"/>
      <c r="AJ186" s="649"/>
      <c r="AK186" s="649"/>
      <c r="AL186" s="649"/>
      <c r="AM186" s="649"/>
      <c r="AN186" s="649"/>
      <c r="AO186" s="649"/>
      <c r="AP186" s="649"/>
      <c r="AQ186" s="649"/>
      <c r="AR186" s="649"/>
      <c r="AS186" s="649"/>
      <c r="AT186" s="649"/>
      <c r="AU186" s="649"/>
      <c r="AV186" s="649"/>
      <c r="AW186" s="649"/>
      <c r="AX186" s="649"/>
      <c r="AY186" s="649"/>
      <c r="AZ186" s="649"/>
      <c r="BA186" s="649"/>
      <c r="BB186" s="649"/>
      <c r="BC186" s="649"/>
      <c r="BD186" s="649"/>
    </row>
    <row r="187" spans="1:56" s="648" customFormat="1" ht="12" customHeight="1">
      <c r="A187" s="726"/>
      <c r="B187" s="725">
        <v>43219</v>
      </c>
      <c r="C187" s="724" t="s">
        <v>451</v>
      </c>
      <c r="D187" s="723">
        <v>94</v>
      </c>
      <c r="E187" s="723">
        <f t="shared" si="11"/>
        <v>94</v>
      </c>
      <c r="F187" s="723"/>
      <c r="G187" s="723"/>
      <c r="H187" s="723"/>
      <c r="I187" s="723"/>
      <c r="J187" s="723"/>
      <c r="K187" s="723"/>
      <c r="L187" s="723"/>
      <c r="M187" s="723"/>
      <c r="N187" s="723"/>
      <c r="O187" s="743"/>
      <c r="P187" s="743"/>
      <c r="Q187" s="743"/>
      <c r="R187" s="743"/>
      <c r="S187" s="743"/>
      <c r="U187" s="649"/>
      <c r="V187" s="649"/>
      <c r="W187" s="649"/>
      <c r="X187" s="649"/>
      <c r="Y187" s="649"/>
      <c r="Z187" s="649"/>
      <c r="AA187" s="649"/>
      <c r="AB187" s="649"/>
      <c r="AC187" s="649"/>
      <c r="AD187" s="649"/>
      <c r="AE187" s="649"/>
      <c r="AF187" s="649"/>
      <c r="AG187" s="649"/>
      <c r="AH187" s="649"/>
      <c r="AI187" s="649"/>
      <c r="AJ187" s="649"/>
      <c r="AK187" s="649"/>
      <c r="AL187" s="649"/>
      <c r="AM187" s="649"/>
      <c r="AN187" s="649"/>
      <c r="AO187" s="649"/>
      <c r="AP187" s="649"/>
      <c r="AQ187" s="649"/>
      <c r="AR187" s="649"/>
      <c r="AS187" s="649"/>
      <c r="AT187" s="649"/>
      <c r="AU187" s="649"/>
      <c r="AV187" s="649"/>
      <c r="AW187" s="649"/>
      <c r="AX187" s="649"/>
      <c r="AY187" s="649"/>
      <c r="AZ187" s="649"/>
      <c r="BA187" s="649"/>
      <c r="BB187" s="649"/>
      <c r="BC187" s="649"/>
      <c r="BD187" s="649"/>
    </row>
    <row r="188" spans="1:56" s="648" customFormat="1" ht="12" customHeight="1">
      <c r="A188" s="726"/>
      <c r="B188" s="725">
        <v>43219</v>
      </c>
      <c r="C188" s="724" t="s">
        <v>39</v>
      </c>
      <c r="D188" s="723">
        <v>44</v>
      </c>
      <c r="E188" s="723">
        <f t="shared" si="11"/>
        <v>44</v>
      </c>
      <c r="F188" s="723"/>
      <c r="G188" s="723"/>
      <c r="H188" s="723"/>
      <c r="I188" s="723"/>
      <c r="J188" s="723"/>
      <c r="K188" s="723"/>
      <c r="L188" s="723"/>
      <c r="M188" s="723"/>
      <c r="N188" s="723"/>
      <c r="O188" s="743"/>
      <c r="P188" s="743"/>
      <c r="Q188" s="743"/>
      <c r="R188" s="743"/>
      <c r="S188" s="743"/>
      <c r="U188" s="649"/>
      <c r="V188" s="649"/>
      <c r="W188" s="649"/>
      <c r="X188" s="649"/>
      <c r="Y188" s="649"/>
      <c r="Z188" s="649"/>
      <c r="AA188" s="649"/>
      <c r="AB188" s="649"/>
      <c r="AC188" s="649"/>
      <c r="AD188" s="649"/>
      <c r="AE188" s="649"/>
      <c r="AF188" s="649"/>
      <c r="AG188" s="649"/>
      <c r="AH188" s="649"/>
      <c r="AI188" s="649"/>
      <c r="AJ188" s="649"/>
      <c r="AK188" s="649"/>
      <c r="AL188" s="649"/>
      <c r="AM188" s="649"/>
      <c r="AN188" s="649"/>
      <c r="AO188" s="649"/>
      <c r="AP188" s="649"/>
      <c r="AQ188" s="649"/>
      <c r="AR188" s="649"/>
      <c r="AS188" s="649"/>
      <c r="AT188" s="649"/>
      <c r="AU188" s="649"/>
      <c r="AV188" s="649"/>
      <c r="AW188" s="649"/>
      <c r="AX188" s="649"/>
      <c r="AY188" s="649"/>
      <c r="AZ188" s="649"/>
      <c r="BA188" s="649"/>
      <c r="BB188" s="649"/>
      <c r="BC188" s="649"/>
      <c r="BD188" s="649"/>
    </row>
    <row r="189" spans="1:56" s="648" customFormat="1" ht="12" customHeight="1">
      <c r="A189" s="726"/>
      <c r="B189" s="725">
        <v>43220</v>
      </c>
      <c r="C189" s="724" t="s">
        <v>38</v>
      </c>
      <c r="D189" s="723">
        <v>53.4</v>
      </c>
      <c r="E189" s="723">
        <f t="shared" si="11"/>
        <v>-34.6</v>
      </c>
      <c r="F189" s="723"/>
      <c r="G189" s="723">
        <v>76</v>
      </c>
      <c r="H189" s="723">
        <v>12</v>
      </c>
      <c r="I189" s="723"/>
      <c r="J189" s="723"/>
      <c r="K189" s="723"/>
      <c r="L189" s="723"/>
      <c r="M189" s="723"/>
      <c r="N189" s="723"/>
      <c r="O189" s="743"/>
      <c r="P189" s="743"/>
      <c r="Q189" s="743"/>
      <c r="R189" s="743"/>
      <c r="S189" s="743"/>
      <c r="U189" s="649"/>
      <c r="V189" s="649"/>
      <c r="W189" s="649"/>
      <c r="X189" s="649"/>
      <c r="Y189" s="649"/>
      <c r="Z189" s="649"/>
      <c r="AA189" s="649"/>
      <c r="AB189" s="649"/>
      <c r="AC189" s="649"/>
      <c r="AD189" s="649"/>
      <c r="AE189" s="649"/>
      <c r="AF189" s="649"/>
      <c r="AG189" s="649"/>
      <c r="AH189" s="649"/>
      <c r="AI189" s="649"/>
      <c r="AJ189" s="649"/>
      <c r="AK189" s="649"/>
      <c r="AL189" s="649"/>
      <c r="AM189" s="649"/>
      <c r="AN189" s="649"/>
      <c r="AO189" s="649"/>
      <c r="AP189" s="649"/>
      <c r="AQ189" s="649"/>
      <c r="AR189" s="649"/>
      <c r="AS189" s="649"/>
      <c r="AT189" s="649"/>
      <c r="AU189" s="649"/>
      <c r="AV189" s="649"/>
      <c r="AW189" s="649"/>
      <c r="AX189" s="649"/>
      <c r="AY189" s="649"/>
      <c r="AZ189" s="649"/>
      <c r="BA189" s="649"/>
      <c r="BB189" s="649"/>
      <c r="BC189" s="649"/>
      <c r="BD189" s="649"/>
    </row>
    <row r="190" spans="1:56" s="648" customFormat="1" ht="12" customHeight="1">
      <c r="A190" s="726"/>
      <c r="B190" s="725">
        <v>43220</v>
      </c>
      <c r="C190" s="724" t="s">
        <v>40</v>
      </c>
      <c r="D190" s="723">
        <v>112.95</v>
      </c>
      <c r="E190" s="723">
        <f t="shared" si="11"/>
        <v>34.950000000000003</v>
      </c>
      <c r="F190" s="723"/>
      <c r="G190" s="723">
        <v>78</v>
      </c>
      <c r="H190" s="723"/>
      <c r="I190" s="723"/>
      <c r="J190" s="723"/>
      <c r="K190" s="723"/>
      <c r="L190" s="723"/>
      <c r="M190" s="723"/>
      <c r="N190" s="723"/>
      <c r="O190" s="743"/>
      <c r="P190" s="743"/>
      <c r="Q190" s="743"/>
      <c r="R190" s="743"/>
      <c r="S190" s="743"/>
      <c r="U190" s="649"/>
      <c r="V190" s="649"/>
      <c r="W190" s="649"/>
      <c r="X190" s="649"/>
      <c r="Y190" s="649"/>
      <c r="Z190" s="649"/>
      <c r="AA190" s="649"/>
      <c r="AB190" s="649"/>
      <c r="AC190" s="649"/>
      <c r="AD190" s="649"/>
      <c r="AE190" s="649"/>
      <c r="AF190" s="649"/>
      <c r="AG190" s="649"/>
      <c r="AH190" s="649"/>
      <c r="AI190" s="649"/>
      <c r="AJ190" s="649"/>
      <c r="AK190" s="649"/>
      <c r="AL190" s="649"/>
      <c r="AM190" s="649"/>
      <c r="AN190" s="649"/>
      <c r="AO190" s="649"/>
      <c r="AP190" s="649"/>
      <c r="AQ190" s="649"/>
      <c r="AR190" s="649"/>
      <c r="AS190" s="649"/>
      <c r="AT190" s="649"/>
      <c r="AU190" s="649"/>
      <c r="AV190" s="649"/>
      <c r="AW190" s="649"/>
      <c r="AX190" s="649"/>
      <c r="AY190" s="649"/>
      <c r="AZ190" s="649"/>
      <c r="BA190" s="649"/>
      <c r="BB190" s="649"/>
      <c r="BC190" s="649"/>
      <c r="BD190" s="649"/>
    </row>
    <row r="191" spans="1:56" s="648" customFormat="1" ht="12" customHeight="1">
      <c r="A191" s="726"/>
      <c r="B191" s="725">
        <v>43220</v>
      </c>
      <c r="C191" s="724" t="s">
        <v>41</v>
      </c>
      <c r="D191" s="723">
        <v>206.95</v>
      </c>
      <c r="E191" s="723">
        <f t="shared" si="11"/>
        <v>164.95</v>
      </c>
      <c r="F191" s="723"/>
      <c r="G191" s="723"/>
      <c r="H191" s="723">
        <v>12</v>
      </c>
      <c r="I191" s="723">
        <v>30</v>
      </c>
      <c r="J191" s="723"/>
      <c r="K191" s="723"/>
      <c r="L191" s="723"/>
      <c r="M191" s="723"/>
      <c r="N191" s="723"/>
      <c r="O191" s="743"/>
      <c r="P191" s="743"/>
      <c r="Q191" s="743"/>
      <c r="R191" s="743"/>
      <c r="S191" s="743"/>
      <c r="U191" s="649"/>
      <c r="V191" s="649"/>
      <c r="W191" s="649"/>
      <c r="X191" s="649"/>
      <c r="Y191" s="649"/>
      <c r="Z191" s="649"/>
      <c r="AA191" s="649"/>
      <c r="AB191" s="649"/>
      <c r="AC191" s="649"/>
      <c r="AD191" s="649"/>
      <c r="AE191" s="649"/>
      <c r="AF191" s="649"/>
      <c r="AG191" s="649"/>
      <c r="AH191" s="649"/>
      <c r="AI191" s="649"/>
      <c r="AJ191" s="649"/>
      <c r="AK191" s="649"/>
      <c r="AL191" s="649"/>
      <c r="AM191" s="649"/>
      <c r="AN191" s="649"/>
      <c r="AO191" s="649"/>
      <c r="AP191" s="649"/>
      <c r="AQ191" s="649"/>
      <c r="AR191" s="649"/>
      <c r="AS191" s="649"/>
      <c r="AT191" s="649"/>
      <c r="AU191" s="649"/>
      <c r="AV191" s="649"/>
      <c r="AW191" s="649"/>
      <c r="AX191" s="649"/>
      <c r="AY191" s="649"/>
      <c r="AZ191" s="649"/>
      <c r="BA191" s="649"/>
      <c r="BB191" s="649"/>
      <c r="BC191" s="649"/>
      <c r="BD191" s="649"/>
    </row>
    <row r="192" spans="1:56" s="744" customFormat="1" ht="12" customHeight="1">
      <c r="A192" s="749"/>
      <c r="B192" s="748" t="str">
        <f>G1</f>
        <v>maj</v>
      </c>
      <c r="C192" s="747"/>
      <c r="D192" s="746">
        <f t="shared" ref="D192:S192" si="12">SUM(D193:D233)</f>
        <v>3390.0299999999997</v>
      </c>
      <c r="E192" s="746">
        <f t="shared" si="12"/>
        <v>2408.13</v>
      </c>
      <c r="F192" s="746">
        <f t="shared" si="12"/>
        <v>0</v>
      </c>
      <c r="G192" s="746">
        <f t="shared" si="12"/>
        <v>234</v>
      </c>
      <c r="H192" s="746">
        <f t="shared" si="12"/>
        <v>395</v>
      </c>
      <c r="I192" s="746">
        <f t="shared" si="12"/>
        <v>352.9</v>
      </c>
      <c r="J192" s="746">
        <f t="shared" si="12"/>
        <v>0</v>
      </c>
      <c r="K192" s="746">
        <f t="shared" si="12"/>
        <v>0</v>
      </c>
      <c r="L192" s="746">
        <f t="shared" si="12"/>
        <v>0</v>
      </c>
      <c r="M192" s="746">
        <f t="shared" si="12"/>
        <v>0</v>
      </c>
      <c r="N192" s="746">
        <f t="shared" si="12"/>
        <v>0</v>
      </c>
      <c r="O192" s="745">
        <f t="shared" si="12"/>
        <v>0</v>
      </c>
      <c r="P192" s="745">
        <f t="shared" si="12"/>
        <v>0</v>
      </c>
      <c r="Q192" s="745">
        <f t="shared" si="12"/>
        <v>0</v>
      </c>
      <c r="R192" s="745">
        <f t="shared" si="12"/>
        <v>0</v>
      </c>
      <c r="S192" s="745">
        <f t="shared" si="12"/>
        <v>0</v>
      </c>
    </row>
    <row r="193" spans="1:56" s="648" customFormat="1" ht="12" customHeight="1">
      <c r="A193" s="726"/>
      <c r="B193" s="725">
        <v>43221</v>
      </c>
      <c r="C193" s="724" t="s">
        <v>38</v>
      </c>
      <c r="D193" s="723">
        <v>90</v>
      </c>
      <c r="E193" s="723">
        <f t="shared" ref="E193:E233" si="13">D193-G193-H193-I193</f>
        <v>0</v>
      </c>
      <c r="F193" s="723"/>
      <c r="G193" s="723">
        <v>78</v>
      </c>
      <c r="H193" s="723">
        <v>12</v>
      </c>
      <c r="I193" s="723"/>
      <c r="J193" s="723"/>
      <c r="K193" s="723"/>
      <c r="L193" s="723"/>
      <c r="M193" s="723"/>
      <c r="N193" s="723"/>
      <c r="O193" s="743"/>
      <c r="P193" s="743"/>
      <c r="Q193" s="743"/>
      <c r="R193" s="743"/>
      <c r="S193" s="743"/>
      <c r="U193" s="649"/>
      <c r="V193" s="649"/>
      <c r="W193" s="649"/>
      <c r="X193" s="649"/>
      <c r="Y193" s="649"/>
      <c r="Z193" s="649"/>
      <c r="AA193" s="649"/>
      <c r="AB193" s="649"/>
      <c r="AC193" s="649"/>
      <c r="AD193" s="649"/>
      <c r="AE193" s="649"/>
      <c r="AF193" s="649"/>
      <c r="AG193" s="649"/>
      <c r="AH193" s="649"/>
      <c r="AI193" s="649"/>
      <c r="AJ193" s="649"/>
      <c r="AK193" s="649"/>
      <c r="AL193" s="649"/>
      <c r="AM193" s="649"/>
      <c r="AN193" s="649"/>
      <c r="AO193" s="649"/>
      <c r="AP193" s="649"/>
      <c r="AQ193" s="649"/>
      <c r="AR193" s="649"/>
      <c r="AS193" s="649"/>
      <c r="AT193" s="649"/>
      <c r="AU193" s="649"/>
      <c r="AV193" s="649"/>
      <c r="AW193" s="649"/>
      <c r="AX193" s="649"/>
      <c r="AY193" s="649"/>
      <c r="AZ193" s="649"/>
      <c r="BA193" s="649"/>
      <c r="BB193" s="649"/>
      <c r="BC193" s="649"/>
      <c r="BD193" s="649"/>
    </row>
    <row r="194" spans="1:56" s="648" customFormat="1" ht="12" customHeight="1">
      <c r="A194" s="726"/>
      <c r="B194" s="725">
        <v>43221</v>
      </c>
      <c r="C194" s="724" t="s">
        <v>490</v>
      </c>
      <c r="D194" s="723">
        <v>29.95</v>
      </c>
      <c r="E194" s="723">
        <f t="shared" si="13"/>
        <v>10.95</v>
      </c>
      <c r="F194" s="723"/>
      <c r="G194" s="723"/>
      <c r="H194" s="723">
        <v>19</v>
      </c>
      <c r="I194" s="723"/>
      <c r="J194" s="723"/>
      <c r="K194" s="723"/>
      <c r="L194" s="723"/>
      <c r="M194" s="723"/>
      <c r="N194" s="723"/>
      <c r="O194" s="743"/>
      <c r="P194" s="743"/>
      <c r="Q194" s="743"/>
      <c r="R194" s="743"/>
      <c r="S194" s="743"/>
      <c r="U194" s="649"/>
      <c r="V194" s="649"/>
      <c r="W194" s="649"/>
      <c r="X194" s="649"/>
      <c r="Y194" s="649"/>
      <c r="Z194" s="649"/>
      <c r="AA194" s="649"/>
      <c r="AB194" s="649"/>
      <c r="AC194" s="649"/>
      <c r="AD194" s="649"/>
      <c r="AE194" s="649"/>
      <c r="AF194" s="649"/>
      <c r="AG194" s="649"/>
      <c r="AH194" s="649"/>
      <c r="AI194" s="649"/>
      <c r="AJ194" s="649"/>
      <c r="AK194" s="649"/>
      <c r="AL194" s="649"/>
      <c r="AM194" s="649"/>
      <c r="AN194" s="649"/>
      <c r="AO194" s="649"/>
      <c r="AP194" s="649"/>
      <c r="AQ194" s="649"/>
      <c r="AR194" s="649"/>
      <c r="AS194" s="649"/>
      <c r="AT194" s="649"/>
      <c r="AU194" s="649"/>
      <c r="AV194" s="649"/>
      <c r="AW194" s="649"/>
      <c r="AX194" s="649"/>
      <c r="AY194" s="649"/>
      <c r="AZ194" s="649"/>
      <c r="BA194" s="649"/>
      <c r="BB194" s="649"/>
      <c r="BC194" s="649"/>
      <c r="BD194" s="649"/>
    </row>
    <row r="195" spans="1:56" s="648" customFormat="1" ht="12" customHeight="1">
      <c r="A195" s="726"/>
      <c r="B195" s="725">
        <v>43221</v>
      </c>
      <c r="C195" s="724" t="s">
        <v>40</v>
      </c>
      <c r="D195" s="723">
        <v>12</v>
      </c>
      <c r="E195" s="723">
        <f t="shared" si="13"/>
        <v>12</v>
      </c>
      <c r="F195" s="723"/>
      <c r="G195" s="723"/>
      <c r="H195" s="723"/>
      <c r="I195" s="723"/>
      <c r="J195" s="723"/>
      <c r="K195" s="723"/>
      <c r="L195" s="723"/>
      <c r="M195" s="723"/>
      <c r="N195" s="723"/>
      <c r="O195" s="743"/>
      <c r="P195" s="743"/>
      <c r="Q195" s="743"/>
      <c r="R195" s="743"/>
      <c r="S195" s="743"/>
      <c r="U195" s="649"/>
      <c r="V195" s="649"/>
      <c r="W195" s="649"/>
      <c r="X195" s="649"/>
      <c r="Y195" s="649"/>
      <c r="Z195" s="649"/>
      <c r="AA195" s="649"/>
      <c r="AB195" s="649"/>
      <c r="AC195" s="649"/>
      <c r="AD195" s="649"/>
      <c r="AE195" s="649"/>
      <c r="AF195" s="649"/>
      <c r="AG195" s="649"/>
      <c r="AH195" s="649"/>
      <c r="AI195" s="649"/>
      <c r="AJ195" s="649"/>
      <c r="AK195" s="649"/>
      <c r="AL195" s="649"/>
      <c r="AM195" s="649"/>
      <c r="AN195" s="649"/>
      <c r="AO195" s="649"/>
      <c r="AP195" s="649"/>
      <c r="AQ195" s="649"/>
      <c r="AR195" s="649"/>
      <c r="AS195" s="649"/>
      <c r="AT195" s="649"/>
      <c r="AU195" s="649"/>
      <c r="AV195" s="649"/>
      <c r="AW195" s="649"/>
      <c r="AX195" s="649"/>
      <c r="AY195" s="649"/>
      <c r="AZ195" s="649"/>
      <c r="BA195" s="649"/>
      <c r="BB195" s="649"/>
      <c r="BC195" s="649"/>
      <c r="BD195" s="649"/>
    </row>
    <row r="196" spans="1:56" s="648" customFormat="1" ht="12" customHeight="1">
      <c r="A196" s="726"/>
      <c r="B196" s="725">
        <v>43223</v>
      </c>
      <c r="C196" s="724" t="s">
        <v>38</v>
      </c>
      <c r="D196" s="723">
        <v>26.95</v>
      </c>
      <c r="E196" s="723">
        <f t="shared" si="13"/>
        <v>26.95</v>
      </c>
      <c r="F196" s="723"/>
      <c r="G196" s="723"/>
      <c r="H196" s="723"/>
      <c r="I196" s="723"/>
      <c r="J196" s="723"/>
      <c r="K196" s="723"/>
      <c r="L196" s="723"/>
      <c r="M196" s="723"/>
      <c r="N196" s="723"/>
      <c r="O196" s="743"/>
      <c r="P196" s="743"/>
      <c r="Q196" s="743"/>
      <c r="R196" s="743"/>
      <c r="S196" s="743"/>
      <c r="U196" s="649"/>
      <c r="V196" s="649"/>
      <c r="W196" s="649"/>
      <c r="X196" s="649"/>
      <c r="Y196" s="649"/>
      <c r="Z196" s="649"/>
      <c r="AA196" s="649"/>
      <c r="AB196" s="649"/>
      <c r="AC196" s="649"/>
      <c r="AD196" s="649"/>
      <c r="AE196" s="649"/>
      <c r="AF196" s="649"/>
      <c r="AG196" s="649"/>
      <c r="AH196" s="649"/>
      <c r="AI196" s="649"/>
      <c r="AJ196" s="649"/>
      <c r="AK196" s="649"/>
      <c r="AL196" s="649"/>
      <c r="AM196" s="649"/>
      <c r="AN196" s="649"/>
      <c r="AO196" s="649"/>
      <c r="AP196" s="649"/>
      <c r="AQ196" s="649"/>
      <c r="AR196" s="649"/>
      <c r="AS196" s="649"/>
      <c r="AT196" s="649"/>
      <c r="AU196" s="649"/>
      <c r="AV196" s="649"/>
      <c r="AW196" s="649"/>
      <c r="AX196" s="649"/>
      <c r="AY196" s="649"/>
      <c r="AZ196" s="649"/>
      <c r="BA196" s="649"/>
      <c r="BB196" s="649"/>
      <c r="BC196" s="649"/>
      <c r="BD196" s="649"/>
    </row>
    <row r="197" spans="1:56" s="648" customFormat="1" ht="12" customHeight="1">
      <c r="A197" s="726"/>
      <c r="B197" s="725">
        <v>43134</v>
      </c>
      <c r="C197" s="724" t="s">
        <v>451</v>
      </c>
      <c r="D197" s="723">
        <v>250.5</v>
      </c>
      <c r="E197" s="723">
        <f t="shared" si="13"/>
        <v>235.5</v>
      </c>
      <c r="F197" s="723"/>
      <c r="G197" s="723"/>
      <c r="H197" s="723"/>
      <c r="I197" s="723">
        <v>15</v>
      </c>
      <c r="J197" s="723"/>
      <c r="K197" s="723"/>
      <c r="L197" s="723"/>
      <c r="M197" s="723"/>
      <c r="N197" s="723"/>
      <c r="O197" s="743"/>
      <c r="P197" s="743"/>
      <c r="Q197" s="743"/>
      <c r="R197" s="743"/>
      <c r="S197" s="743"/>
      <c r="U197" s="649"/>
      <c r="V197" s="649"/>
      <c r="W197" s="649"/>
      <c r="X197" s="649"/>
      <c r="Y197" s="649"/>
      <c r="Z197" s="649"/>
      <c r="AA197" s="649"/>
      <c r="AB197" s="649"/>
      <c r="AC197" s="649"/>
      <c r="AD197" s="649"/>
      <c r="AE197" s="649"/>
      <c r="AF197" s="649"/>
      <c r="AG197" s="649"/>
      <c r="AH197" s="649"/>
      <c r="AI197" s="649"/>
      <c r="AJ197" s="649"/>
      <c r="AK197" s="649"/>
      <c r="AL197" s="649"/>
      <c r="AM197" s="649"/>
      <c r="AN197" s="649"/>
      <c r="AO197" s="649"/>
      <c r="AP197" s="649"/>
      <c r="AQ197" s="649"/>
      <c r="AR197" s="649"/>
      <c r="AS197" s="649"/>
      <c r="AT197" s="649"/>
      <c r="AU197" s="649"/>
      <c r="AV197" s="649"/>
      <c r="AW197" s="649"/>
      <c r="AX197" s="649"/>
      <c r="AY197" s="649"/>
      <c r="AZ197" s="649"/>
      <c r="BA197" s="649"/>
      <c r="BB197" s="649"/>
      <c r="BC197" s="649"/>
      <c r="BD197" s="649"/>
    </row>
    <row r="198" spans="1:56" s="648" customFormat="1" ht="12" customHeight="1">
      <c r="A198" s="726"/>
      <c r="B198" s="725">
        <v>43223</v>
      </c>
      <c r="C198" s="724" t="s">
        <v>41</v>
      </c>
      <c r="D198" s="723">
        <v>35</v>
      </c>
      <c r="E198" s="723">
        <f t="shared" si="13"/>
        <v>15</v>
      </c>
      <c r="F198" s="723"/>
      <c r="G198" s="723"/>
      <c r="H198" s="723"/>
      <c r="I198" s="723">
        <v>20</v>
      </c>
      <c r="J198" s="723"/>
      <c r="K198" s="723"/>
      <c r="L198" s="723"/>
      <c r="M198" s="723"/>
      <c r="N198" s="723"/>
      <c r="O198" s="743"/>
      <c r="P198" s="743"/>
      <c r="Q198" s="743"/>
      <c r="R198" s="743"/>
      <c r="S198" s="743"/>
      <c r="U198" s="649"/>
      <c r="V198" s="649"/>
      <c r="W198" s="649"/>
      <c r="X198" s="649"/>
      <c r="Y198" s="649"/>
      <c r="Z198" s="649"/>
      <c r="AA198" s="649"/>
      <c r="AB198" s="649"/>
      <c r="AC198" s="649"/>
      <c r="AD198" s="649"/>
      <c r="AE198" s="649"/>
      <c r="AF198" s="649"/>
      <c r="AG198" s="649"/>
      <c r="AH198" s="649"/>
      <c r="AI198" s="649"/>
      <c r="AJ198" s="649"/>
      <c r="AK198" s="649"/>
      <c r="AL198" s="649"/>
      <c r="AM198" s="649"/>
      <c r="AN198" s="649"/>
      <c r="AO198" s="649"/>
      <c r="AP198" s="649"/>
      <c r="AQ198" s="649"/>
      <c r="AR198" s="649"/>
      <c r="AS198" s="649"/>
      <c r="AT198" s="649"/>
      <c r="AU198" s="649"/>
      <c r="AV198" s="649"/>
      <c r="AW198" s="649"/>
      <c r="AX198" s="649"/>
      <c r="AY198" s="649"/>
      <c r="AZ198" s="649"/>
      <c r="BA198" s="649"/>
      <c r="BB198" s="649"/>
      <c r="BC198" s="649"/>
      <c r="BD198" s="649"/>
    </row>
    <row r="199" spans="1:56" s="648" customFormat="1" ht="12" customHeight="1">
      <c r="A199" s="726"/>
      <c r="B199" s="725">
        <v>43223</v>
      </c>
      <c r="C199" s="724" t="s">
        <v>490</v>
      </c>
      <c r="D199" s="723">
        <v>88</v>
      </c>
      <c r="E199" s="723">
        <f t="shared" si="13"/>
        <v>10</v>
      </c>
      <c r="F199" s="723"/>
      <c r="G199" s="723">
        <v>78</v>
      </c>
      <c r="H199" s="723"/>
      <c r="I199" s="723"/>
      <c r="J199" s="723"/>
      <c r="K199" s="723"/>
      <c r="L199" s="723"/>
      <c r="M199" s="723"/>
      <c r="N199" s="723"/>
      <c r="O199" s="743"/>
      <c r="P199" s="743"/>
      <c r="Q199" s="743"/>
      <c r="R199" s="743"/>
      <c r="S199" s="743"/>
      <c r="U199" s="649"/>
      <c r="V199" s="649"/>
      <c r="W199" s="649"/>
      <c r="X199" s="649"/>
      <c r="Y199" s="649"/>
      <c r="Z199" s="649"/>
      <c r="AA199" s="649"/>
      <c r="AB199" s="649"/>
      <c r="AC199" s="649"/>
      <c r="AD199" s="649"/>
      <c r="AE199" s="649"/>
      <c r="AF199" s="649"/>
      <c r="AG199" s="649"/>
      <c r="AH199" s="649"/>
      <c r="AI199" s="649"/>
      <c r="AJ199" s="649"/>
      <c r="AK199" s="649"/>
      <c r="AL199" s="649"/>
      <c r="AM199" s="649"/>
      <c r="AN199" s="649"/>
      <c r="AO199" s="649"/>
      <c r="AP199" s="649"/>
      <c r="AQ199" s="649"/>
      <c r="AR199" s="649"/>
      <c r="AS199" s="649"/>
      <c r="AT199" s="649"/>
      <c r="AU199" s="649"/>
      <c r="AV199" s="649"/>
      <c r="AW199" s="649"/>
      <c r="AX199" s="649"/>
      <c r="AY199" s="649"/>
      <c r="AZ199" s="649"/>
      <c r="BA199" s="649"/>
      <c r="BB199" s="649"/>
      <c r="BC199" s="649"/>
      <c r="BD199" s="649"/>
    </row>
    <row r="200" spans="1:56" s="648" customFormat="1" ht="12" customHeight="1">
      <c r="A200" s="726"/>
      <c r="B200" s="725">
        <v>43223</v>
      </c>
      <c r="C200" s="724" t="s">
        <v>124</v>
      </c>
      <c r="D200" s="723">
        <v>837.5</v>
      </c>
      <c r="E200" s="723">
        <f t="shared" si="13"/>
        <v>0</v>
      </c>
      <c r="F200" s="723"/>
      <c r="G200" s="723"/>
      <c r="H200" s="723">
        <v>837.5</v>
      </c>
      <c r="I200" s="723"/>
      <c r="J200" s="723"/>
      <c r="K200" s="723"/>
      <c r="L200" s="723"/>
      <c r="M200" s="723"/>
      <c r="N200" s="723"/>
      <c r="O200" s="743"/>
      <c r="P200" s="743"/>
      <c r="Q200" s="743"/>
      <c r="R200" s="743"/>
      <c r="S200" s="743"/>
      <c r="U200" s="649"/>
      <c r="V200" s="649"/>
      <c r="W200" s="649"/>
      <c r="X200" s="649"/>
      <c r="Y200" s="649"/>
      <c r="Z200" s="649"/>
      <c r="AA200" s="649"/>
      <c r="AB200" s="649"/>
      <c r="AC200" s="649"/>
      <c r="AD200" s="649"/>
      <c r="AE200" s="649"/>
      <c r="AF200" s="649"/>
      <c r="AG200" s="649"/>
      <c r="AH200" s="649"/>
      <c r="AI200" s="649"/>
      <c r="AJ200" s="649"/>
      <c r="AK200" s="649"/>
      <c r="AL200" s="649"/>
      <c r="AM200" s="649"/>
      <c r="AN200" s="649"/>
      <c r="AO200" s="649"/>
      <c r="AP200" s="649"/>
      <c r="AQ200" s="649"/>
      <c r="AR200" s="649"/>
      <c r="AS200" s="649"/>
      <c r="AT200" s="649"/>
      <c r="AU200" s="649"/>
      <c r="AV200" s="649"/>
      <c r="AW200" s="649"/>
      <c r="AX200" s="649"/>
      <c r="AY200" s="649"/>
      <c r="AZ200" s="649"/>
      <c r="BA200" s="649"/>
      <c r="BB200" s="649"/>
      <c r="BC200" s="649"/>
      <c r="BD200" s="649"/>
    </row>
    <row r="201" spans="1:56" s="648" customFormat="1" ht="12" customHeight="1">
      <c r="A201" s="726"/>
      <c r="B201" s="725">
        <v>43223</v>
      </c>
      <c r="C201" s="724" t="s">
        <v>451</v>
      </c>
      <c r="D201" s="723">
        <v>86.85</v>
      </c>
      <c r="E201" s="723">
        <f t="shared" si="13"/>
        <v>56.949999999999996</v>
      </c>
      <c r="F201" s="723"/>
      <c r="G201" s="723"/>
      <c r="H201" s="723"/>
      <c r="I201" s="723">
        <v>29.9</v>
      </c>
      <c r="J201" s="723"/>
      <c r="K201" s="723"/>
      <c r="L201" s="723"/>
      <c r="M201" s="723"/>
      <c r="N201" s="723"/>
      <c r="O201" s="743"/>
      <c r="P201" s="743"/>
      <c r="Q201" s="743"/>
      <c r="R201" s="743"/>
      <c r="S201" s="743"/>
      <c r="U201" s="649"/>
      <c r="V201" s="649"/>
      <c r="W201" s="649"/>
      <c r="X201" s="649"/>
      <c r="Y201" s="649"/>
      <c r="Z201" s="649"/>
      <c r="AA201" s="649"/>
      <c r="AB201" s="649"/>
      <c r="AC201" s="649"/>
      <c r="AD201" s="649"/>
      <c r="AE201" s="649"/>
      <c r="AF201" s="649"/>
      <c r="AG201" s="649"/>
      <c r="AH201" s="649"/>
      <c r="AI201" s="649"/>
      <c r="AJ201" s="649"/>
      <c r="AK201" s="649"/>
      <c r="AL201" s="649"/>
      <c r="AM201" s="649"/>
      <c r="AN201" s="649"/>
      <c r="AO201" s="649"/>
      <c r="AP201" s="649"/>
      <c r="AQ201" s="649"/>
      <c r="AR201" s="649"/>
      <c r="AS201" s="649"/>
      <c r="AT201" s="649"/>
      <c r="AU201" s="649"/>
      <c r="AV201" s="649"/>
      <c r="AW201" s="649"/>
      <c r="AX201" s="649"/>
      <c r="AY201" s="649"/>
      <c r="AZ201" s="649"/>
      <c r="BA201" s="649"/>
      <c r="BB201" s="649"/>
      <c r="BC201" s="649"/>
      <c r="BD201" s="649"/>
    </row>
    <row r="202" spans="1:56" s="648" customFormat="1" ht="12" customHeight="1">
      <c r="A202" s="726"/>
      <c r="B202" s="725">
        <v>43224</v>
      </c>
      <c r="C202" s="724" t="s">
        <v>124</v>
      </c>
      <c r="D202" s="723">
        <v>148.25</v>
      </c>
      <c r="E202" s="723">
        <f t="shared" si="13"/>
        <v>0</v>
      </c>
      <c r="F202" s="723"/>
      <c r="G202" s="723"/>
      <c r="H202" s="723">
        <v>148.25</v>
      </c>
      <c r="I202" s="723"/>
      <c r="J202" s="723"/>
      <c r="K202" s="723"/>
      <c r="L202" s="723"/>
      <c r="M202" s="723"/>
      <c r="N202" s="723"/>
      <c r="O202" s="743"/>
      <c r="P202" s="743"/>
      <c r="Q202" s="743"/>
      <c r="R202" s="743"/>
      <c r="S202" s="743"/>
      <c r="U202" s="649"/>
      <c r="V202" s="649"/>
      <c r="W202" s="649"/>
      <c r="X202" s="649"/>
      <c r="Y202" s="649"/>
      <c r="Z202" s="649"/>
      <c r="AA202" s="649"/>
      <c r="AB202" s="649"/>
      <c r="AC202" s="649"/>
      <c r="AD202" s="649"/>
      <c r="AE202" s="649"/>
      <c r="AF202" s="649"/>
      <c r="AG202" s="649"/>
      <c r="AH202" s="649"/>
      <c r="AI202" s="649"/>
      <c r="AJ202" s="649"/>
      <c r="AK202" s="649"/>
      <c r="AL202" s="649"/>
      <c r="AM202" s="649"/>
      <c r="AN202" s="649"/>
      <c r="AO202" s="649"/>
      <c r="AP202" s="649"/>
      <c r="AQ202" s="649"/>
      <c r="AR202" s="649"/>
      <c r="AS202" s="649"/>
      <c r="AT202" s="649"/>
      <c r="AU202" s="649"/>
      <c r="AV202" s="649"/>
      <c r="AW202" s="649"/>
      <c r="AX202" s="649"/>
      <c r="AY202" s="649"/>
      <c r="AZ202" s="649"/>
      <c r="BA202" s="649"/>
      <c r="BB202" s="649"/>
      <c r="BC202" s="649"/>
      <c r="BD202" s="649"/>
    </row>
    <row r="203" spans="1:56" s="648" customFormat="1" ht="12" customHeight="1">
      <c r="A203" s="726"/>
      <c r="B203" s="725">
        <v>43224</v>
      </c>
      <c r="C203" s="724" t="s">
        <v>451</v>
      </c>
      <c r="D203" s="723">
        <v>137.35</v>
      </c>
      <c r="E203" s="723">
        <f t="shared" si="13"/>
        <v>137.35</v>
      </c>
      <c r="F203" s="723"/>
      <c r="G203" s="723"/>
      <c r="H203" s="723"/>
      <c r="I203" s="723"/>
      <c r="J203" s="723"/>
      <c r="K203" s="723"/>
      <c r="L203" s="723"/>
      <c r="M203" s="723"/>
      <c r="N203" s="723"/>
      <c r="O203" s="743"/>
      <c r="P203" s="743"/>
      <c r="Q203" s="743"/>
      <c r="R203" s="743"/>
      <c r="S203" s="743"/>
      <c r="U203" s="649"/>
      <c r="V203" s="649"/>
      <c r="W203" s="649"/>
      <c r="X203" s="649"/>
      <c r="Y203" s="649"/>
      <c r="Z203" s="649"/>
      <c r="AA203" s="649"/>
      <c r="AB203" s="649"/>
      <c r="AC203" s="649"/>
      <c r="AD203" s="649"/>
      <c r="AE203" s="649"/>
      <c r="AF203" s="649"/>
      <c r="AG203" s="649"/>
      <c r="AH203" s="649"/>
      <c r="AI203" s="649"/>
      <c r="AJ203" s="649"/>
      <c r="AK203" s="649"/>
      <c r="AL203" s="649"/>
      <c r="AM203" s="649"/>
      <c r="AN203" s="649"/>
      <c r="AO203" s="649"/>
      <c r="AP203" s="649"/>
      <c r="AQ203" s="649"/>
      <c r="AR203" s="649"/>
      <c r="AS203" s="649"/>
      <c r="AT203" s="649"/>
      <c r="AU203" s="649"/>
      <c r="AV203" s="649"/>
      <c r="AW203" s="649"/>
      <c r="AX203" s="649"/>
      <c r="AY203" s="649"/>
      <c r="AZ203" s="649"/>
      <c r="BA203" s="649"/>
      <c r="BB203" s="649"/>
      <c r="BC203" s="649"/>
      <c r="BD203" s="649"/>
    </row>
    <row r="204" spans="1:56" s="648" customFormat="1" ht="12" customHeight="1">
      <c r="A204" s="726"/>
      <c r="B204" s="725">
        <v>43225</v>
      </c>
      <c r="C204" s="724" t="s">
        <v>451</v>
      </c>
      <c r="D204" s="723">
        <v>33</v>
      </c>
      <c r="E204" s="723">
        <f t="shared" si="13"/>
        <v>33</v>
      </c>
      <c r="F204" s="723"/>
      <c r="G204" s="723"/>
      <c r="H204" s="723"/>
      <c r="I204" s="723"/>
      <c r="J204" s="723"/>
      <c r="K204" s="723"/>
      <c r="L204" s="723"/>
      <c r="M204" s="723"/>
      <c r="N204" s="723"/>
      <c r="O204" s="743"/>
      <c r="P204" s="743"/>
      <c r="Q204" s="743"/>
      <c r="R204" s="743"/>
      <c r="S204" s="743"/>
      <c r="U204" s="649"/>
      <c r="V204" s="649"/>
      <c r="W204" s="649"/>
      <c r="X204" s="649"/>
      <c r="Y204" s="649"/>
      <c r="Z204" s="649"/>
      <c r="AA204" s="649"/>
      <c r="AB204" s="649"/>
      <c r="AC204" s="649"/>
      <c r="AD204" s="649"/>
      <c r="AE204" s="649"/>
      <c r="AF204" s="649"/>
      <c r="AG204" s="649"/>
      <c r="AH204" s="649"/>
      <c r="AI204" s="649"/>
      <c r="AJ204" s="649"/>
      <c r="AK204" s="649"/>
      <c r="AL204" s="649"/>
      <c r="AM204" s="649"/>
      <c r="AN204" s="649"/>
      <c r="AO204" s="649"/>
      <c r="AP204" s="649"/>
      <c r="AQ204" s="649"/>
      <c r="AR204" s="649"/>
      <c r="AS204" s="649"/>
      <c r="AT204" s="649"/>
      <c r="AU204" s="649"/>
      <c r="AV204" s="649"/>
      <c r="AW204" s="649"/>
      <c r="AX204" s="649"/>
      <c r="AY204" s="649"/>
      <c r="AZ204" s="649"/>
      <c r="BA204" s="649"/>
      <c r="BB204" s="649"/>
      <c r="BC204" s="649"/>
      <c r="BD204" s="649"/>
    </row>
    <row r="205" spans="1:56" s="648" customFormat="1" ht="12" customHeight="1">
      <c r="A205" s="726"/>
      <c r="B205" s="725">
        <v>43227</v>
      </c>
      <c r="C205" s="724" t="s">
        <v>40</v>
      </c>
      <c r="D205" s="723">
        <v>44.45</v>
      </c>
      <c r="E205" s="723">
        <f t="shared" si="13"/>
        <v>44.45</v>
      </c>
      <c r="F205" s="723"/>
      <c r="G205" s="723"/>
      <c r="H205" s="723"/>
      <c r="I205" s="723"/>
      <c r="J205" s="723"/>
      <c r="K205" s="723"/>
      <c r="L205" s="723"/>
      <c r="M205" s="723"/>
      <c r="N205" s="723"/>
      <c r="O205" s="743"/>
      <c r="P205" s="743"/>
      <c r="Q205" s="743"/>
      <c r="R205" s="743"/>
      <c r="S205" s="743"/>
      <c r="U205" s="649"/>
      <c r="V205" s="649"/>
      <c r="W205" s="649"/>
      <c r="X205" s="649"/>
      <c r="Y205" s="649"/>
      <c r="Z205" s="649"/>
      <c r="AA205" s="649"/>
      <c r="AB205" s="649"/>
      <c r="AC205" s="649"/>
      <c r="AD205" s="649"/>
      <c r="AE205" s="649"/>
      <c r="AF205" s="649"/>
      <c r="AG205" s="649"/>
      <c r="AH205" s="649"/>
      <c r="AI205" s="649"/>
      <c r="AJ205" s="649"/>
      <c r="AK205" s="649"/>
      <c r="AL205" s="649"/>
      <c r="AM205" s="649"/>
      <c r="AN205" s="649"/>
      <c r="AO205" s="649"/>
      <c r="AP205" s="649"/>
      <c r="AQ205" s="649"/>
      <c r="AR205" s="649"/>
      <c r="AS205" s="649"/>
      <c r="AT205" s="649"/>
      <c r="AU205" s="649"/>
      <c r="AV205" s="649"/>
      <c r="AW205" s="649"/>
      <c r="AX205" s="649"/>
      <c r="AY205" s="649"/>
      <c r="AZ205" s="649"/>
      <c r="BA205" s="649"/>
      <c r="BB205" s="649"/>
      <c r="BC205" s="649"/>
      <c r="BD205" s="649"/>
    </row>
    <row r="206" spans="1:56" s="648" customFormat="1" ht="12" customHeight="1">
      <c r="A206" s="726"/>
      <c r="B206" s="725">
        <v>43227</v>
      </c>
      <c r="C206" s="724" t="s">
        <v>451</v>
      </c>
      <c r="D206" s="723">
        <v>47.5</v>
      </c>
      <c r="E206" s="723">
        <f t="shared" si="13"/>
        <v>47.5</v>
      </c>
      <c r="F206" s="723"/>
      <c r="G206" s="723"/>
      <c r="H206" s="723"/>
      <c r="I206" s="723"/>
      <c r="J206" s="723"/>
      <c r="K206" s="723"/>
      <c r="L206" s="723"/>
      <c r="M206" s="723"/>
      <c r="N206" s="723"/>
      <c r="O206" s="743"/>
      <c r="P206" s="743"/>
      <c r="Q206" s="743"/>
      <c r="R206" s="743"/>
      <c r="S206" s="743"/>
      <c r="U206" s="649"/>
      <c r="V206" s="649"/>
      <c r="W206" s="649"/>
      <c r="X206" s="649"/>
      <c r="Y206" s="649"/>
      <c r="Z206" s="649"/>
      <c r="AA206" s="649"/>
      <c r="AB206" s="649"/>
      <c r="AC206" s="649"/>
      <c r="AD206" s="649"/>
      <c r="AE206" s="649"/>
      <c r="AF206" s="649"/>
      <c r="AG206" s="649"/>
      <c r="AH206" s="649"/>
      <c r="AI206" s="649"/>
      <c r="AJ206" s="649"/>
      <c r="AK206" s="649"/>
      <c r="AL206" s="649"/>
      <c r="AM206" s="649"/>
      <c r="AN206" s="649"/>
      <c r="AO206" s="649"/>
      <c r="AP206" s="649"/>
      <c r="AQ206" s="649"/>
      <c r="AR206" s="649"/>
      <c r="AS206" s="649"/>
      <c r="AT206" s="649"/>
      <c r="AU206" s="649"/>
      <c r="AV206" s="649"/>
      <c r="AW206" s="649"/>
      <c r="AX206" s="649"/>
      <c r="AY206" s="649"/>
      <c r="AZ206" s="649"/>
      <c r="BA206" s="649"/>
      <c r="BB206" s="649"/>
      <c r="BC206" s="649"/>
      <c r="BD206" s="649"/>
    </row>
    <row r="207" spans="1:56" s="648" customFormat="1" ht="12" customHeight="1">
      <c r="A207" s="726"/>
      <c r="B207" s="725">
        <v>43229</v>
      </c>
      <c r="C207" s="724" t="s">
        <v>39</v>
      </c>
      <c r="D207" s="723">
        <v>61</v>
      </c>
      <c r="E207" s="723">
        <f t="shared" si="13"/>
        <v>36</v>
      </c>
      <c r="F207" s="723"/>
      <c r="G207" s="723"/>
      <c r="H207" s="723"/>
      <c r="I207" s="723">
        <v>25</v>
      </c>
      <c r="J207" s="723"/>
      <c r="K207" s="723"/>
      <c r="L207" s="723"/>
      <c r="M207" s="723"/>
      <c r="N207" s="723"/>
      <c r="O207" s="743"/>
      <c r="P207" s="743"/>
      <c r="Q207" s="743"/>
      <c r="R207" s="743"/>
      <c r="S207" s="743"/>
      <c r="U207" s="649"/>
      <c r="V207" s="649"/>
      <c r="W207" s="649"/>
      <c r="X207" s="649"/>
      <c r="Y207" s="649"/>
      <c r="Z207" s="649"/>
      <c r="AA207" s="649"/>
      <c r="AB207" s="649"/>
      <c r="AC207" s="649"/>
      <c r="AD207" s="649"/>
      <c r="AE207" s="649"/>
      <c r="AF207" s="649"/>
      <c r="AG207" s="649"/>
      <c r="AH207" s="649"/>
      <c r="AI207" s="649"/>
      <c r="AJ207" s="649"/>
      <c r="AK207" s="649"/>
      <c r="AL207" s="649"/>
      <c r="AM207" s="649"/>
      <c r="AN207" s="649"/>
      <c r="AO207" s="649"/>
      <c r="AP207" s="649"/>
      <c r="AQ207" s="649"/>
      <c r="AR207" s="649"/>
      <c r="AS207" s="649"/>
      <c r="AT207" s="649"/>
      <c r="AU207" s="649"/>
      <c r="AV207" s="649"/>
      <c r="AW207" s="649"/>
      <c r="AX207" s="649"/>
      <c r="AY207" s="649"/>
      <c r="AZ207" s="649"/>
      <c r="BA207" s="649"/>
      <c r="BB207" s="649"/>
      <c r="BC207" s="649"/>
      <c r="BD207" s="649"/>
    </row>
    <row r="208" spans="1:56" s="648" customFormat="1" ht="12" customHeight="1">
      <c r="A208" s="726"/>
      <c r="B208" s="725">
        <v>43229</v>
      </c>
      <c r="C208" s="724" t="s">
        <v>451</v>
      </c>
      <c r="D208" s="723">
        <v>40.65</v>
      </c>
      <c r="E208" s="723">
        <f t="shared" si="13"/>
        <v>20.65</v>
      </c>
      <c r="F208" s="723"/>
      <c r="G208" s="723"/>
      <c r="H208" s="723"/>
      <c r="I208" s="723">
        <v>20</v>
      </c>
      <c r="J208" s="723"/>
      <c r="K208" s="723"/>
      <c r="L208" s="723"/>
      <c r="M208" s="723"/>
      <c r="N208" s="723"/>
      <c r="O208" s="743"/>
      <c r="P208" s="743"/>
      <c r="Q208" s="743"/>
      <c r="R208" s="743"/>
      <c r="S208" s="743"/>
      <c r="U208" s="649"/>
      <c r="V208" s="649"/>
      <c r="W208" s="649"/>
      <c r="X208" s="649"/>
      <c r="Y208" s="649"/>
      <c r="Z208" s="649"/>
      <c r="AA208" s="649"/>
      <c r="AB208" s="649"/>
      <c r="AC208" s="649"/>
      <c r="AD208" s="649"/>
      <c r="AE208" s="649"/>
      <c r="AF208" s="649"/>
      <c r="AG208" s="649"/>
      <c r="AH208" s="649"/>
      <c r="AI208" s="649"/>
      <c r="AJ208" s="649"/>
      <c r="AK208" s="649"/>
      <c r="AL208" s="649"/>
      <c r="AM208" s="649"/>
      <c r="AN208" s="649"/>
      <c r="AO208" s="649"/>
      <c r="AP208" s="649"/>
      <c r="AQ208" s="649"/>
      <c r="AR208" s="649"/>
      <c r="AS208" s="649"/>
      <c r="AT208" s="649"/>
      <c r="AU208" s="649"/>
      <c r="AV208" s="649"/>
      <c r="AW208" s="649"/>
      <c r="AX208" s="649"/>
      <c r="AY208" s="649"/>
      <c r="AZ208" s="649"/>
      <c r="BA208" s="649"/>
      <c r="BB208" s="649"/>
      <c r="BC208" s="649"/>
      <c r="BD208" s="649"/>
    </row>
    <row r="209" spans="1:56" s="648" customFormat="1" ht="12" customHeight="1">
      <c r="A209" s="726"/>
      <c r="B209" s="725">
        <v>43229</v>
      </c>
      <c r="C209" s="724" t="s">
        <v>716</v>
      </c>
      <c r="D209" s="723">
        <v>50</v>
      </c>
      <c r="E209" s="723">
        <f t="shared" si="13"/>
        <v>50</v>
      </c>
      <c r="F209" s="723"/>
      <c r="G209" s="723"/>
      <c r="H209" s="723"/>
      <c r="I209" s="723"/>
      <c r="J209" s="723"/>
      <c r="K209" s="723"/>
      <c r="L209" s="723"/>
      <c r="M209" s="723"/>
      <c r="N209" s="723"/>
      <c r="O209" s="743"/>
      <c r="P209" s="743"/>
      <c r="Q209" s="743"/>
      <c r="R209" s="743"/>
      <c r="S209" s="743"/>
      <c r="U209" s="649"/>
      <c r="V209" s="649"/>
      <c r="W209" s="649"/>
      <c r="X209" s="649"/>
      <c r="Y209" s="649"/>
      <c r="Z209" s="649"/>
      <c r="AA209" s="649"/>
      <c r="AB209" s="649"/>
      <c r="AC209" s="649"/>
      <c r="AD209" s="649"/>
      <c r="AE209" s="649"/>
      <c r="AF209" s="649"/>
      <c r="AG209" s="649"/>
      <c r="AH209" s="649"/>
      <c r="AI209" s="649"/>
      <c r="AJ209" s="649"/>
      <c r="AK209" s="649"/>
      <c r="AL209" s="649"/>
      <c r="AM209" s="649"/>
      <c r="AN209" s="649"/>
      <c r="AO209" s="649"/>
      <c r="AP209" s="649"/>
      <c r="AQ209" s="649"/>
      <c r="AR209" s="649"/>
      <c r="AS209" s="649"/>
      <c r="AT209" s="649"/>
      <c r="AU209" s="649"/>
      <c r="AV209" s="649"/>
      <c r="AW209" s="649"/>
      <c r="AX209" s="649"/>
      <c r="AY209" s="649"/>
      <c r="AZ209" s="649"/>
      <c r="BA209" s="649"/>
      <c r="BB209" s="649"/>
      <c r="BC209" s="649"/>
      <c r="BD209" s="649"/>
    </row>
    <row r="210" spans="1:56" s="648" customFormat="1" ht="12" customHeight="1">
      <c r="A210" s="726"/>
      <c r="B210" s="725">
        <v>43229</v>
      </c>
      <c r="C210" s="724" t="s">
        <v>216</v>
      </c>
      <c r="D210" s="723">
        <v>106.75</v>
      </c>
      <c r="E210" s="723">
        <f t="shared" si="13"/>
        <v>56.75</v>
      </c>
      <c r="F210" s="723"/>
      <c r="G210" s="723"/>
      <c r="H210" s="723"/>
      <c r="I210" s="723">
        <v>50</v>
      </c>
      <c r="J210" s="723"/>
      <c r="K210" s="723"/>
      <c r="L210" s="723"/>
      <c r="M210" s="723"/>
      <c r="N210" s="723"/>
      <c r="O210" s="743"/>
      <c r="P210" s="743"/>
      <c r="Q210" s="743"/>
      <c r="R210" s="743"/>
      <c r="S210" s="743"/>
      <c r="U210" s="649"/>
      <c r="V210" s="649"/>
      <c r="W210" s="649"/>
      <c r="X210" s="649"/>
      <c r="Y210" s="649"/>
      <c r="Z210" s="649"/>
      <c r="AA210" s="649"/>
      <c r="AB210" s="649"/>
      <c r="AC210" s="649"/>
      <c r="AD210" s="649"/>
      <c r="AE210" s="649"/>
      <c r="AF210" s="649"/>
      <c r="AG210" s="649"/>
      <c r="AH210" s="649"/>
      <c r="AI210" s="649"/>
      <c r="AJ210" s="649"/>
      <c r="AK210" s="649"/>
      <c r="AL210" s="649"/>
      <c r="AM210" s="649"/>
      <c r="AN210" s="649"/>
      <c r="AO210" s="649"/>
      <c r="AP210" s="649"/>
      <c r="AQ210" s="649"/>
      <c r="AR210" s="649"/>
      <c r="AS210" s="649"/>
      <c r="AT210" s="649"/>
      <c r="AU210" s="649"/>
      <c r="AV210" s="649"/>
      <c r="AW210" s="649"/>
      <c r="AX210" s="649"/>
      <c r="AY210" s="649"/>
      <c r="AZ210" s="649"/>
      <c r="BA210" s="649"/>
      <c r="BB210" s="649"/>
      <c r="BC210" s="649"/>
      <c r="BD210" s="649"/>
    </row>
    <row r="211" spans="1:56" s="648" customFormat="1" ht="12" customHeight="1">
      <c r="A211" s="726"/>
      <c r="B211" s="725">
        <v>43231</v>
      </c>
      <c r="C211" s="724" t="s">
        <v>41</v>
      </c>
      <c r="D211" s="723">
        <v>38</v>
      </c>
      <c r="E211" s="723">
        <f t="shared" si="13"/>
        <v>-10</v>
      </c>
      <c r="F211" s="723"/>
      <c r="G211" s="723"/>
      <c r="H211" s="723"/>
      <c r="I211" s="723">
        <v>48</v>
      </c>
      <c r="J211" s="723"/>
      <c r="K211" s="723"/>
      <c r="L211" s="723"/>
      <c r="M211" s="723"/>
      <c r="N211" s="723"/>
      <c r="O211" s="743"/>
      <c r="P211" s="743"/>
      <c r="Q211" s="743"/>
      <c r="R211" s="743"/>
      <c r="S211" s="743"/>
      <c r="U211" s="649"/>
      <c r="V211" s="649"/>
      <c r="W211" s="649"/>
      <c r="X211" s="649"/>
      <c r="Y211" s="649"/>
      <c r="Z211" s="649"/>
      <c r="AA211" s="649"/>
      <c r="AB211" s="649"/>
      <c r="AC211" s="649"/>
      <c r="AD211" s="649"/>
      <c r="AE211" s="649"/>
      <c r="AF211" s="649"/>
      <c r="AG211" s="649"/>
      <c r="AH211" s="649"/>
      <c r="AI211" s="649"/>
      <c r="AJ211" s="649"/>
      <c r="AK211" s="649"/>
      <c r="AL211" s="649"/>
      <c r="AM211" s="649"/>
      <c r="AN211" s="649"/>
      <c r="AO211" s="649"/>
      <c r="AP211" s="649"/>
      <c r="AQ211" s="649"/>
      <c r="AR211" s="649"/>
      <c r="AS211" s="649"/>
      <c r="AT211" s="649"/>
      <c r="AU211" s="649"/>
      <c r="AV211" s="649"/>
      <c r="AW211" s="649"/>
      <c r="AX211" s="649"/>
      <c r="AY211" s="649"/>
      <c r="AZ211" s="649"/>
      <c r="BA211" s="649"/>
      <c r="BB211" s="649"/>
      <c r="BC211" s="649"/>
      <c r="BD211" s="649"/>
    </row>
    <row r="212" spans="1:56" s="648" customFormat="1" ht="12" customHeight="1">
      <c r="A212" s="726"/>
      <c r="B212" s="725">
        <v>43231</v>
      </c>
      <c r="C212" s="724" t="s">
        <v>451</v>
      </c>
      <c r="D212" s="723">
        <v>257.73</v>
      </c>
      <c r="E212" s="723">
        <f t="shared" si="13"/>
        <v>257.73</v>
      </c>
      <c r="F212" s="723"/>
      <c r="G212" s="723"/>
      <c r="H212" s="723"/>
      <c r="I212" s="723"/>
      <c r="J212" s="723"/>
      <c r="K212" s="723"/>
      <c r="L212" s="723"/>
      <c r="M212" s="723"/>
      <c r="N212" s="723"/>
      <c r="O212" s="743"/>
      <c r="P212" s="743"/>
      <c r="Q212" s="743"/>
      <c r="R212" s="743"/>
      <c r="S212" s="743"/>
      <c r="U212" s="649"/>
      <c r="V212" s="649"/>
      <c r="W212" s="649"/>
      <c r="X212" s="649"/>
      <c r="Y212" s="649"/>
      <c r="Z212" s="649"/>
      <c r="AA212" s="649"/>
      <c r="AB212" s="649"/>
      <c r="AC212" s="649"/>
      <c r="AD212" s="649"/>
      <c r="AE212" s="649"/>
      <c r="AF212" s="649"/>
      <c r="AG212" s="649"/>
      <c r="AH212" s="649"/>
      <c r="AI212" s="649"/>
      <c r="AJ212" s="649"/>
      <c r="AK212" s="649"/>
      <c r="AL212" s="649"/>
      <c r="AM212" s="649"/>
      <c r="AN212" s="649"/>
      <c r="AO212" s="649"/>
      <c r="AP212" s="649"/>
      <c r="AQ212" s="649"/>
      <c r="AR212" s="649"/>
      <c r="AS212" s="649"/>
      <c r="AT212" s="649"/>
      <c r="AU212" s="649"/>
      <c r="AV212" s="649"/>
      <c r="AW212" s="649"/>
      <c r="AX212" s="649"/>
      <c r="AY212" s="649"/>
      <c r="AZ212" s="649"/>
      <c r="BA212" s="649"/>
      <c r="BB212" s="649"/>
      <c r="BC212" s="649"/>
      <c r="BD212" s="649"/>
    </row>
    <row r="213" spans="1:56" s="648" customFormat="1" ht="12" customHeight="1">
      <c r="A213" s="726"/>
      <c r="B213" s="725">
        <v>43231</v>
      </c>
      <c r="C213" s="724" t="s">
        <v>39</v>
      </c>
      <c r="D213" s="723">
        <v>59.9</v>
      </c>
      <c r="E213" s="723">
        <f t="shared" si="13"/>
        <v>59.9</v>
      </c>
      <c r="F213" s="723"/>
      <c r="G213" s="723"/>
      <c r="H213" s="723"/>
      <c r="I213" s="723"/>
      <c r="J213" s="723"/>
      <c r="K213" s="723"/>
      <c r="L213" s="723"/>
      <c r="M213" s="723"/>
      <c r="N213" s="723"/>
      <c r="O213" s="743"/>
      <c r="P213" s="743"/>
      <c r="Q213" s="743"/>
      <c r="R213" s="743"/>
      <c r="S213" s="743"/>
      <c r="U213" s="649"/>
      <c r="V213" s="649"/>
      <c r="W213" s="649"/>
      <c r="X213" s="649"/>
      <c r="Y213" s="649"/>
      <c r="Z213" s="649"/>
      <c r="AA213" s="649"/>
      <c r="AB213" s="649"/>
      <c r="AC213" s="649"/>
      <c r="AD213" s="649"/>
      <c r="AE213" s="649"/>
      <c r="AF213" s="649"/>
      <c r="AG213" s="649"/>
      <c r="AH213" s="649"/>
      <c r="AI213" s="649"/>
      <c r="AJ213" s="649"/>
      <c r="AK213" s="649"/>
      <c r="AL213" s="649"/>
      <c r="AM213" s="649"/>
      <c r="AN213" s="649"/>
      <c r="AO213" s="649"/>
      <c r="AP213" s="649"/>
      <c r="AQ213" s="649"/>
      <c r="AR213" s="649"/>
      <c r="AS213" s="649"/>
      <c r="AT213" s="649"/>
      <c r="AU213" s="649"/>
      <c r="AV213" s="649"/>
      <c r="AW213" s="649"/>
      <c r="AX213" s="649"/>
      <c r="AY213" s="649"/>
      <c r="AZ213" s="649"/>
      <c r="BA213" s="649"/>
      <c r="BB213" s="649"/>
      <c r="BC213" s="649"/>
      <c r="BD213" s="649"/>
    </row>
    <row r="214" spans="1:56" s="648" customFormat="1" ht="12" customHeight="1">
      <c r="A214" s="726"/>
      <c r="B214" s="725">
        <v>43231</v>
      </c>
      <c r="C214" s="724" t="s">
        <v>391</v>
      </c>
      <c r="D214" s="723">
        <v>31</v>
      </c>
      <c r="E214" s="723">
        <f t="shared" si="13"/>
        <v>31</v>
      </c>
      <c r="F214" s="723"/>
      <c r="G214" s="723"/>
      <c r="H214" s="723"/>
      <c r="I214" s="723"/>
      <c r="J214" s="723"/>
      <c r="K214" s="723"/>
      <c r="L214" s="723"/>
      <c r="M214" s="723"/>
      <c r="N214" s="723"/>
      <c r="O214" s="743"/>
      <c r="P214" s="743"/>
      <c r="Q214" s="743"/>
      <c r="R214" s="743"/>
      <c r="S214" s="743"/>
      <c r="U214" s="649"/>
      <c r="V214" s="649"/>
      <c r="W214" s="649"/>
      <c r="X214" s="649"/>
      <c r="Y214" s="649"/>
      <c r="Z214" s="649"/>
      <c r="AA214" s="649"/>
      <c r="AB214" s="649"/>
      <c r="AC214" s="649"/>
      <c r="AD214" s="649"/>
      <c r="AE214" s="649"/>
      <c r="AF214" s="649"/>
      <c r="AG214" s="649"/>
      <c r="AH214" s="649"/>
      <c r="AI214" s="649"/>
      <c r="AJ214" s="649"/>
      <c r="AK214" s="649"/>
      <c r="AL214" s="649"/>
      <c r="AM214" s="649"/>
      <c r="AN214" s="649"/>
      <c r="AO214" s="649"/>
      <c r="AP214" s="649"/>
      <c r="AQ214" s="649"/>
      <c r="AR214" s="649"/>
      <c r="AS214" s="649"/>
      <c r="AT214" s="649"/>
      <c r="AU214" s="649"/>
      <c r="AV214" s="649"/>
      <c r="AW214" s="649"/>
      <c r="AX214" s="649"/>
      <c r="AY214" s="649"/>
      <c r="AZ214" s="649"/>
      <c r="BA214" s="649"/>
      <c r="BB214" s="649"/>
      <c r="BC214" s="649"/>
      <c r="BD214" s="649"/>
    </row>
    <row r="215" spans="1:56" s="648" customFormat="1" ht="12" customHeight="1">
      <c r="A215" s="726"/>
      <c r="B215" s="725">
        <v>43235</v>
      </c>
      <c r="C215" s="724" t="s">
        <v>451</v>
      </c>
      <c r="D215" s="723">
        <v>94.05</v>
      </c>
      <c r="E215" s="723">
        <f t="shared" si="13"/>
        <v>94.05</v>
      </c>
      <c r="F215" s="723"/>
      <c r="G215" s="723"/>
      <c r="H215" s="723"/>
      <c r="I215" s="723"/>
      <c r="J215" s="723"/>
      <c r="K215" s="723"/>
      <c r="L215" s="723"/>
      <c r="M215" s="723"/>
      <c r="N215" s="723"/>
      <c r="O215" s="743"/>
      <c r="P215" s="743"/>
      <c r="Q215" s="743"/>
      <c r="R215" s="743"/>
      <c r="S215" s="743"/>
      <c r="U215" s="649"/>
      <c r="V215" s="649"/>
      <c r="W215" s="649"/>
      <c r="X215" s="649"/>
      <c r="Y215" s="649"/>
      <c r="Z215" s="649"/>
      <c r="AA215" s="649"/>
      <c r="AB215" s="649"/>
      <c r="AC215" s="649"/>
      <c r="AD215" s="649"/>
      <c r="AE215" s="649"/>
      <c r="AF215" s="649"/>
      <c r="AG215" s="649"/>
      <c r="AH215" s="649"/>
      <c r="AI215" s="649"/>
      <c r="AJ215" s="649"/>
      <c r="AK215" s="649"/>
      <c r="AL215" s="649"/>
      <c r="AM215" s="649"/>
      <c r="AN215" s="649"/>
      <c r="AO215" s="649"/>
      <c r="AP215" s="649"/>
      <c r="AQ215" s="649"/>
      <c r="AR215" s="649"/>
      <c r="AS215" s="649"/>
      <c r="AT215" s="649"/>
      <c r="AU215" s="649"/>
      <c r="AV215" s="649"/>
      <c r="AW215" s="649"/>
      <c r="AX215" s="649"/>
      <c r="AY215" s="649"/>
      <c r="AZ215" s="649"/>
      <c r="BA215" s="649"/>
      <c r="BB215" s="649"/>
      <c r="BC215" s="649"/>
      <c r="BD215" s="649"/>
    </row>
    <row r="216" spans="1:56" s="648" customFormat="1" ht="12" customHeight="1">
      <c r="A216" s="726"/>
      <c r="B216" s="725">
        <v>43238</v>
      </c>
      <c r="C216" s="724" t="s">
        <v>451</v>
      </c>
      <c r="D216" s="723">
        <v>55.65</v>
      </c>
      <c r="E216" s="723">
        <f t="shared" si="13"/>
        <v>55.65</v>
      </c>
      <c r="F216" s="723"/>
      <c r="G216" s="723"/>
      <c r="H216" s="723"/>
      <c r="I216" s="723"/>
      <c r="J216" s="723"/>
      <c r="K216" s="723"/>
      <c r="L216" s="723"/>
      <c r="M216" s="723"/>
      <c r="N216" s="723"/>
      <c r="O216" s="743"/>
      <c r="P216" s="743"/>
      <c r="Q216" s="743"/>
      <c r="R216" s="743"/>
      <c r="S216" s="743"/>
      <c r="U216" s="649"/>
      <c r="V216" s="649"/>
      <c r="W216" s="649"/>
      <c r="X216" s="649"/>
      <c r="Y216" s="649"/>
      <c r="Z216" s="649"/>
      <c r="AA216" s="649"/>
      <c r="AB216" s="649"/>
      <c r="AC216" s="649"/>
      <c r="AD216" s="649"/>
      <c r="AE216" s="649"/>
      <c r="AF216" s="649"/>
      <c r="AG216" s="649"/>
      <c r="AH216" s="649"/>
      <c r="AI216" s="649"/>
      <c r="AJ216" s="649"/>
      <c r="AK216" s="649"/>
      <c r="AL216" s="649"/>
      <c r="AM216" s="649"/>
      <c r="AN216" s="649"/>
      <c r="AO216" s="649"/>
      <c r="AP216" s="649"/>
      <c r="AQ216" s="649"/>
      <c r="AR216" s="649"/>
      <c r="AS216" s="649"/>
      <c r="AT216" s="649"/>
      <c r="AU216" s="649"/>
      <c r="AV216" s="649"/>
      <c r="AW216" s="649"/>
      <c r="AX216" s="649"/>
      <c r="AY216" s="649"/>
      <c r="AZ216" s="649"/>
      <c r="BA216" s="649"/>
      <c r="BB216" s="649"/>
      <c r="BC216" s="649"/>
      <c r="BD216" s="649"/>
    </row>
    <row r="217" spans="1:56" s="648" customFormat="1" ht="12" customHeight="1">
      <c r="A217" s="726"/>
      <c r="B217" s="725">
        <v>43238</v>
      </c>
      <c r="C217" s="724" t="s">
        <v>40</v>
      </c>
      <c r="D217" s="723">
        <v>64</v>
      </c>
      <c r="E217" s="723">
        <f t="shared" si="13"/>
        <v>64</v>
      </c>
      <c r="F217" s="723"/>
      <c r="G217" s="723"/>
      <c r="H217" s="723"/>
      <c r="I217" s="723"/>
      <c r="J217" s="723"/>
      <c r="K217" s="723"/>
      <c r="L217" s="723"/>
      <c r="M217" s="723"/>
      <c r="N217" s="723"/>
      <c r="O217" s="743"/>
      <c r="P217" s="743"/>
      <c r="Q217" s="743"/>
      <c r="R217" s="743"/>
      <c r="S217" s="743"/>
      <c r="U217" s="649"/>
      <c r="V217" s="649"/>
      <c r="W217" s="649"/>
      <c r="X217" s="649"/>
      <c r="Y217" s="649"/>
      <c r="Z217" s="649"/>
      <c r="AA217" s="649"/>
      <c r="AB217" s="649"/>
      <c r="AC217" s="649"/>
      <c r="AD217" s="649"/>
      <c r="AE217" s="649"/>
      <c r="AF217" s="649"/>
      <c r="AG217" s="649"/>
      <c r="AH217" s="649"/>
      <c r="AI217" s="649"/>
      <c r="AJ217" s="649"/>
      <c r="AK217" s="649"/>
      <c r="AL217" s="649"/>
      <c r="AM217" s="649"/>
      <c r="AN217" s="649"/>
      <c r="AO217" s="649"/>
      <c r="AP217" s="649"/>
      <c r="AQ217" s="649"/>
      <c r="AR217" s="649"/>
      <c r="AS217" s="649"/>
      <c r="AT217" s="649"/>
      <c r="AU217" s="649"/>
      <c r="AV217" s="649"/>
      <c r="AW217" s="649"/>
      <c r="AX217" s="649"/>
      <c r="AY217" s="649"/>
      <c r="AZ217" s="649"/>
      <c r="BA217" s="649"/>
      <c r="BB217" s="649"/>
      <c r="BC217" s="649"/>
      <c r="BD217" s="649"/>
    </row>
    <row r="218" spans="1:56" s="648" customFormat="1" ht="12" customHeight="1">
      <c r="A218" s="726"/>
      <c r="B218" s="725">
        <v>43241</v>
      </c>
      <c r="C218" s="724" t="s">
        <v>40</v>
      </c>
      <c r="D218" s="723">
        <v>88</v>
      </c>
      <c r="E218" s="723">
        <f t="shared" si="13"/>
        <v>10</v>
      </c>
      <c r="F218" s="723"/>
      <c r="G218" s="723">
        <v>78</v>
      </c>
      <c r="H218" s="723"/>
      <c r="I218" s="723"/>
      <c r="J218" s="723"/>
      <c r="K218" s="723"/>
      <c r="L218" s="723"/>
      <c r="M218" s="723"/>
      <c r="N218" s="723"/>
      <c r="O218" s="743"/>
      <c r="P218" s="743"/>
      <c r="Q218" s="743"/>
      <c r="R218" s="743"/>
      <c r="S218" s="743"/>
      <c r="U218" s="649"/>
      <c r="V218" s="649"/>
      <c r="W218" s="649"/>
      <c r="X218" s="649"/>
      <c r="Y218" s="649"/>
      <c r="Z218" s="649"/>
      <c r="AA218" s="649"/>
      <c r="AB218" s="649"/>
      <c r="AC218" s="649"/>
      <c r="AD218" s="649"/>
      <c r="AE218" s="649"/>
      <c r="AF218" s="649"/>
      <c r="AG218" s="649"/>
      <c r="AH218" s="649"/>
      <c r="AI218" s="649"/>
      <c r="AJ218" s="649"/>
      <c r="AK218" s="649"/>
      <c r="AL218" s="649"/>
      <c r="AM218" s="649"/>
      <c r="AN218" s="649"/>
      <c r="AO218" s="649"/>
      <c r="AP218" s="649"/>
      <c r="AQ218" s="649"/>
      <c r="AR218" s="649"/>
      <c r="AS218" s="649"/>
      <c r="AT218" s="649"/>
      <c r="AU218" s="649"/>
      <c r="AV218" s="649"/>
      <c r="AW218" s="649"/>
      <c r="AX218" s="649"/>
      <c r="AY218" s="649"/>
      <c r="AZ218" s="649"/>
      <c r="BA218" s="649"/>
      <c r="BB218" s="649"/>
      <c r="BC218" s="649"/>
      <c r="BD218" s="649"/>
    </row>
    <row r="219" spans="1:56" s="648" customFormat="1" ht="12" customHeight="1">
      <c r="A219" s="726"/>
      <c r="B219" s="725">
        <v>43242</v>
      </c>
      <c r="C219" s="724" t="s">
        <v>451</v>
      </c>
      <c r="D219" s="723">
        <v>97.45</v>
      </c>
      <c r="E219" s="723">
        <f t="shared" si="13"/>
        <v>97.45</v>
      </c>
      <c r="F219" s="723"/>
      <c r="G219" s="723"/>
      <c r="H219" s="723"/>
      <c r="I219" s="723"/>
      <c r="J219" s="723"/>
      <c r="K219" s="723"/>
      <c r="L219" s="723"/>
      <c r="M219" s="723"/>
      <c r="N219" s="723"/>
      <c r="O219" s="743"/>
      <c r="P219" s="743"/>
      <c r="Q219" s="743"/>
      <c r="R219" s="743"/>
      <c r="S219" s="743"/>
      <c r="U219" s="649"/>
      <c r="V219" s="649"/>
      <c r="W219" s="649"/>
      <c r="X219" s="649"/>
      <c r="Y219" s="649"/>
      <c r="Z219" s="649"/>
      <c r="AA219" s="649"/>
      <c r="AB219" s="649"/>
      <c r="AC219" s="649"/>
      <c r="AD219" s="649"/>
      <c r="AE219" s="649"/>
      <c r="AF219" s="649"/>
      <c r="AG219" s="649"/>
      <c r="AH219" s="649"/>
      <c r="AI219" s="649"/>
      <c r="AJ219" s="649"/>
      <c r="AK219" s="649"/>
      <c r="AL219" s="649"/>
      <c r="AM219" s="649"/>
      <c r="AN219" s="649"/>
      <c r="AO219" s="649"/>
      <c r="AP219" s="649"/>
      <c r="AQ219" s="649"/>
      <c r="AR219" s="649"/>
      <c r="AS219" s="649"/>
      <c r="AT219" s="649"/>
      <c r="AU219" s="649"/>
      <c r="AV219" s="649"/>
      <c r="AW219" s="649"/>
      <c r="AX219" s="649"/>
      <c r="AY219" s="649"/>
      <c r="AZ219" s="649"/>
      <c r="BA219" s="649"/>
      <c r="BB219" s="649"/>
      <c r="BC219" s="649"/>
      <c r="BD219" s="649"/>
    </row>
    <row r="220" spans="1:56" s="648" customFormat="1" ht="12" customHeight="1">
      <c r="A220" s="726"/>
      <c r="B220" s="725">
        <v>43242</v>
      </c>
      <c r="C220" s="724" t="s">
        <v>40</v>
      </c>
      <c r="D220" s="723">
        <v>45</v>
      </c>
      <c r="E220" s="723">
        <f t="shared" si="13"/>
        <v>0</v>
      </c>
      <c r="F220" s="723"/>
      <c r="G220" s="723"/>
      <c r="H220" s="723"/>
      <c r="I220" s="723">
        <v>45</v>
      </c>
      <c r="J220" s="723"/>
      <c r="K220" s="723"/>
      <c r="L220" s="723"/>
      <c r="M220" s="723"/>
      <c r="N220" s="723"/>
      <c r="O220" s="743"/>
      <c r="P220" s="743"/>
      <c r="Q220" s="743"/>
      <c r="R220" s="743"/>
      <c r="S220" s="743"/>
      <c r="U220" s="649"/>
      <c r="V220" s="649"/>
      <c r="W220" s="649"/>
      <c r="X220" s="649"/>
      <c r="Y220" s="649"/>
      <c r="Z220" s="649"/>
      <c r="AA220" s="649"/>
      <c r="AB220" s="649"/>
      <c r="AC220" s="649"/>
      <c r="AD220" s="649"/>
      <c r="AE220" s="649"/>
      <c r="AF220" s="649"/>
      <c r="AG220" s="649"/>
      <c r="AH220" s="649"/>
      <c r="AI220" s="649"/>
      <c r="AJ220" s="649"/>
      <c r="AK220" s="649"/>
      <c r="AL220" s="649"/>
      <c r="AM220" s="649"/>
      <c r="AN220" s="649"/>
      <c r="AO220" s="649"/>
      <c r="AP220" s="649"/>
      <c r="AQ220" s="649"/>
      <c r="AR220" s="649"/>
      <c r="AS220" s="649"/>
      <c r="AT220" s="649"/>
      <c r="AU220" s="649"/>
      <c r="AV220" s="649"/>
      <c r="AW220" s="649"/>
      <c r="AX220" s="649"/>
      <c r="AY220" s="649"/>
      <c r="AZ220" s="649"/>
      <c r="BA220" s="649"/>
      <c r="BB220" s="649"/>
      <c r="BC220" s="649"/>
      <c r="BD220" s="649"/>
    </row>
    <row r="221" spans="1:56" s="648" customFormat="1" ht="12" customHeight="1">
      <c r="A221" s="726"/>
      <c r="B221" s="725">
        <v>43242</v>
      </c>
      <c r="C221" s="724" t="s">
        <v>124</v>
      </c>
      <c r="D221" s="723">
        <v>-621.75</v>
      </c>
      <c r="E221" s="723">
        <f t="shared" si="13"/>
        <v>0</v>
      </c>
      <c r="F221" s="723"/>
      <c r="G221" s="723"/>
      <c r="H221" s="723">
        <v>-621.75</v>
      </c>
      <c r="I221" s="723"/>
      <c r="J221" s="723"/>
      <c r="K221" s="723"/>
      <c r="L221" s="723"/>
      <c r="M221" s="723"/>
      <c r="N221" s="723"/>
      <c r="O221" s="743"/>
      <c r="P221" s="743"/>
      <c r="Q221" s="743"/>
      <c r="R221" s="743"/>
      <c r="S221" s="743"/>
      <c r="U221" s="649"/>
      <c r="V221" s="649"/>
      <c r="W221" s="649"/>
      <c r="X221" s="649"/>
      <c r="Y221" s="649"/>
      <c r="Z221" s="649"/>
      <c r="AA221" s="649"/>
      <c r="AB221" s="649"/>
      <c r="AC221" s="649"/>
      <c r="AD221" s="649"/>
      <c r="AE221" s="649"/>
      <c r="AF221" s="649"/>
      <c r="AG221" s="649"/>
      <c r="AH221" s="649"/>
      <c r="AI221" s="649"/>
      <c r="AJ221" s="649"/>
      <c r="AK221" s="649"/>
      <c r="AL221" s="649"/>
      <c r="AM221" s="649"/>
      <c r="AN221" s="649"/>
      <c r="AO221" s="649"/>
      <c r="AP221" s="649"/>
      <c r="AQ221" s="649"/>
      <c r="AR221" s="649"/>
      <c r="AS221" s="649"/>
      <c r="AT221" s="649"/>
      <c r="AU221" s="649"/>
      <c r="AV221" s="649"/>
      <c r="AW221" s="649"/>
      <c r="AX221" s="649"/>
      <c r="AY221" s="649"/>
      <c r="AZ221" s="649"/>
      <c r="BA221" s="649"/>
      <c r="BB221" s="649"/>
      <c r="BC221" s="649"/>
      <c r="BD221" s="649"/>
    </row>
    <row r="222" spans="1:56" s="648" customFormat="1" ht="12" customHeight="1">
      <c r="A222" s="726"/>
      <c r="B222" s="725">
        <v>43242</v>
      </c>
      <c r="C222" s="724" t="s">
        <v>40</v>
      </c>
      <c r="D222" s="723">
        <v>45</v>
      </c>
      <c r="E222" s="723">
        <f t="shared" si="13"/>
        <v>45</v>
      </c>
      <c r="F222" s="723"/>
      <c r="G222" s="723"/>
      <c r="H222" s="723"/>
      <c r="I222" s="723"/>
      <c r="J222" s="723"/>
      <c r="K222" s="723"/>
      <c r="L222" s="723"/>
      <c r="M222" s="723"/>
      <c r="N222" s="723"/>
      <c r="O222" s="743"/>
      <c r="P222" s="743"/>
      <c r="Q222" s="743"/>
      <c r="R222" s="743"/>
      <c r="S222" s="743"/>
      <c r="U222" s="649"/>
      <c r="V222" s="649"/>
      <c r="W222" s="649"/>
      <c r="X222" s="649"/>
      <c r="Y222" s="649"/>
      <c r="Z222" s="649"/>
      <c r="AA222" s="649"/>
      <c r="AB222" s="649"/>
      <c r="AC222" s="649"/>
      <c r="AD222" s="649"/>
      <c r="AE222" s="649"/>
      <c r="AF222" s="649"/>
      <c r="AG222" s="649"/>
      <c r="AH222" s="649"/>
      <c r="AI222" s="649"/>
      <c r="AJ222" s="649"/>
      <c r="AK222" s="649"/>
      <c r="AL222" s="649"/>
      <c r="AM222" s="649"/>
      <c r="AN222" s="649"/>
      <c r="AO222" s="649"/>
      <c r="AP222" s="649"/>
      <c r="AQ222" s="649"/>
      <c r="AR222" s="649"/>
      <c r="AS222" s="649"/>
      <c r="AT222" s="649"/>
      <c r="AU222" s="649"/>
      <c r="AV222" s="649"/>
      <c r="AW222" s="649"/>
      <c r="AX222" s="649"/>
      <c r="AY222" s="649"/>
      <c r="AZ222" s="649"/>
      <c r="BA222" s="649"/>
      <c r="BB222" s="649"/>
      <c r="BC222" s="649"/>
      <c r="BD222" s="649"/>
    </row>
    <row r="223" spans="1:56" s="648" customFormat="1" ht="12" customHeight="1">
      <c r="A223" s="726"/>
      <c r="B223" s="725">
        <v>43243</v>
      </c>
      <c r="C223" s="724" t="s">
        <v>39</v>
      </c>
      <c r="D223" s="723">
        <v>113</v>
      </c>
      <c r="E223" s="723">
        <f t="shared" si="13"/>
        <v>113</v>
      </c>
      <c r="F223" s="723"/>
      <c r="G223" s="723"/>
      <c r="H223" s="723"/>
      <c r="I223" s="723"/>
      <c r="J223" s="723"/>
      <c r="K223" s="723"/>
      <c r="L223" s="723"/>
      <c r="M223" s="723"/>
      <c r="N223" s="723"/>
      <c r="O223" s="743"/>
      <c r="P223" s="743"/>
      <c r="Q223" s="743"/>
      <c r="R223" s="743"/>
      <c r="S223" s="743"/>
      <c r="U223" s="649"/>
      <c r="V223" s="649"/>
      <c r="W223" s="649"/>
      <c r="X223" s="649"/>
      <c r="Y223" s="649"/>
      <c r="Z223" s="649"/>
      <c r="AA223" s="649"/>
      <c r="AB223" s="649"/>
      <c r="AC223" s="649"/>
      <c r="AD223" s="649"/>
      <c r="AE223" s="649"/>
      <c r="AF223" s="649"/>
      <c r="AG223" s="649"/>
      <c r="AH223" s="649"/>
      <c r="AI223" s="649"/>
      <c r="AJ223" s="649"/>
      <c r="AK223" s="649"/>
      <c r="AL223" s="649"/>
      <c r="AM223" s="649"/>
      <c r="AN223" s="649"/>
      <c r="AO223" s="649"/>
      <c r="AP223" s="649"/>
      <c r="AQ223" s="649"/>
      <c r="AR223" s="649"/>
      <c r="AS223" s="649"/>
      <c r="AT223" s="649"/>
      <c r="AU223" s="649"/>
      <c r="AV223" s="649"/>
      <c r="AW223" s="649"/>
      <c r="AX223" s="649"/>
      <c r="AY223" s="649"/>
      <c r="AZ223" s="649"/>
      <c r="BA223" s="649"/>
      <c r="BB223" s="649"/>
      <c r="BC223" s="649"/>
      <c r="BD223" s="649"/>
    </row>
    <row r="224" spans="1:56" s="648" customFormat="1" ht="12" customHeight="1">
      <c r="A224" s="726"/>
      <c r="B224" s="725">
        <v>43243</v>
      </c>
      <c r="C224" s="724" t="s">
        <v>451</v>
      </c>
      <c r="D224" s="723">
        <v>22.5</v>
      </c>
      <c r="E224" s="723">
        <f t="shared" si="13"/>
        <v>7.5</v>
      </c>
      <c r="F224" s="723"/>
      <c r="G224" s="723"/>
      <c r="H224" s="723"/>
      <c r="I224" s="723">
        <v>15</v>
      </c>
      <c r="J224" s="723"/>
      <c r="K224" s="723"/>
      <c r="L224" s="723"/>
      <c r="M224" s="723"/>
      <c r="N224" s="723"/>
      <c r="O224" s="743"/>
      <c r="P224" s="743"/>
      <c r="Q224" s="743"/>
      <c r="R224" s="743"/>
      <c r="S224" s="743"/>
      <c r="U224" s="649"/>
      <c r="V224" s="649"/>
      <c r="W224" s="649"/>
      <c r="X224" s="649"/>
      <c r="Y224" s="649"/>
      <c r="Z224" s="649"/>
      <c r="AA224" s="649"/>
      <c r="AB224" s="649"/>
      <c r="AC224" s="649"/>
      <c r="AD224" s="649"/>
      <c r="AE224" s="649"/>
      <c r="AF224" s="649"/>
      <c r="AG224" s="649"/>
      <c r="AH224" s="649"/>
      <c r="AI224" s="649"/>
      <c r="AJ224" s="649"/>
      <c r="AK224" s="649"/>
      <c r="AL224" s="649"/>
      <c r="AM224" s="649"/>
      <c r="AN224" s="649"/>
      <c r="AO224" s="649"/>
      <c r="AP224" s="649"/>
      <c r="AQ224" s="649"/>
      <c r="AR224" s="649"/>
      <c r="AS224" s="649"/>
      <c r="AT224" s="649"/>
      <c r="AU224" s="649"/>
      <c r="AV224" s="649"/>
      <c r="AW224" s="649"/>
      <c r="AX224" s="649"/>
      <c r="AY224" s="649"/>
      <c r="AZ224" s="649"/>
      <c r="BA224" s="649"/>
      <c r="BB224" s="649"/>
      <c r="BC224" s="649"/>
      <c r="BD224" s="649"/>
    </row>
    <row r="225" spans="1:56" s="648" customFormat="1" ht="12" customHeight="1">
      <c r="A225" s="726"/>
      <c r="B225" s="725">
        <v>43243</v>
      </c>
      <c r="C225" s="724" t="s">
        <v>40</v>
      </c>
      <c r="D225" s="723">
        <v>60</v>
      </c>
      <c r="E225" s="723">
        <f t="shared" si="13"/>
        <v>60</v>
      </c>
      <c r="F225" s="723"/>
      <c r="G225" s="723"/>
      <c r="H225" s="723"/>
      <c r="I225" s="723"/>
      <c r="J225" s="723"/>
      <c r="K225" s="723"/>
      <c r="L225" s="723"/>
      <c r="M225" s="723"/>
      <c r="N225" s="723"/>
      <c r="O225" s="743"/>
      <c r="P225" s="743"/>
      <c r="Q225" s="743"/>
      <c r="R225" s="743"/>
      <c r="S225" s="743"/>
      <c r="U225" s="649"/>
      <c r="V225" s="649"/>
      <c r="W225" s="649"/>
      <c r="X225" s="649"/>
      <c r="Y225" s="649"/>
      <c r="Z225" s="649"/>
      <c r="AA225" s="649"/>
      <c r="AB225" s="649"/>
      <c r="AC225" s="649"/>
      <c r="AD225" s="649"/>
      <c r="AE225" s="649"/>
      <c r="AF225" s="649"/>
      <c r="AG225" s="649"/>
      <c r="AH225" s="649"/>
      <c r="AI225" s="649"/>
      <c r="AJ225" s="649"/>
      <c r="AK225" s="649"/>
      <c r="AL225" s="649"/>
      <c r="AM225" s="649"/>
      <c r="AN225" s="649"/>
      <c r="AO225" s="649"/>
      <c r="AP225" s="649"/>
      <c r="AQ225" s="649"/>
      <c r="AR225" s="649"/>
      <c r="AS225" s="649"/>
      <c r="AT225" s="649"/>
      <c r="AU225" s="649"/>
      <c r="AV225" s="649"/>
      <c r="AW225" s="649"/>
      <c r="AX225" s="649"/>
      <c r="AY225" s="649"/>
      <c r="AZ225" s="649"/>
      <c r="BA225" s="649"/>
      <c r="BB225" s="649"/>
      <c r="BC225" s="649"/>
      <c r="BD225" s="649"/>
    </row>
    <row r="226" spans="1:56" s="648" customFormat="1" ht="12" customHeight="1">
      <c r="A226" s="726"/>
      <c r="B226" s="725">
        <v>43244</v>
      </c>
      <c r="C226" s="724" t="s">
        <v>40</v>
      </c>
      <c r="D226" s="723">
        <v>78.45</v>
      </c>
      <c r="E226" s="723">
        <f t="shared" si="13"/>
        <v>78.45</v>
      </c>
      <c r="F226" s="723"/>
      <c r="G226" s="723"/>
      <c r="H226" s="723"/>
      <c r="I226" s="723"/>
      <c r="J226" s="723"/>
      <c r="K226" s="723"/>
      <c r="L226" s="723"/>
      <c r="M226" s="723"/>
      <c r="N226" s="723"/>
      <c r="O226" s="743"/>
      <c r="P226" s="743"/>
      <c r="Q226" s="743"/>
      <c r="R226" s="743"/>
      <c r="S226" s="743"/>
      <c r="U226" s="649"/>
      <c r="V226" s="649"/>
      <c r="W226" s="649"/>
      <c r="X226" s="649"/>
      <c r="Y226" s="649"/>
      <c r="Z226" s="649"/>
      <c r="AA226" s="649"/>
      <c r="AB226" s="649"/>
      <c r="AC226" s="649"/>
      <c r="AD226" s="649"/>
      <c r="AE226" s="649"/>
      <c r="AF226" s="649"/>
      <c r="AG226" s="649"/>
      <c r="AH226" s="649"/>
      <c r="AI226" s="649"/>
      <c r="AJ226" s="649"/>
      <c r="AK226" s="649"/>
      <c r="AL226" s="649"/>
      <c r="AM226" s="649"/>
      <c r="AN226" s="649"/>
      <c r="AO226" s="649"/>
      <c r="AP226" s="649"/>
      <c r="AQ226" s="649"/>
      <c r="AR226" s="649"/>
      <c r="AS226" s="649"/>
      <c r="AT226" s="649"/>
      <c r="AU226" s="649"/>
      <c r="AV226" s="649"/>
      <c r="AW226" s="649"/>
      <c r="AX226" s="649"/>
      <c r="AY226" s="649"/>
      <c r="AZ226" s="649"/>
      <c r="BA226" s="649"/>
      <c r="BB226" s="649"/>
      <c r="BC226" s="649"/>
      <c r="BD226" s="649"/>
    </row>
    <row r="227" spans="1:56" s="648" customFormat="1" ht="12" customHeight="1">
      <c r="A227" s="726"/>
      <c r="B227" s="725">
        <v>43247</v>
      </c>
      <c r="C227" s="724" t="s">
        <v>40</v>
      </c>
      <c r="D227" s="723">
        <v>20.2</v>
      </c>
      <c r="E227" s="723">
        <f t="shared" si="13"/>
        <v>20.2</v>
      </c>
      <c r="F227" s="723"/>
      <c r="G227" s="723"/>
      <c r="H227" s="723"/>
      <c r="I227" s="723"/>
      <c r="J227" s="723"/>
      <c r="K227" s="723"/>
      <c r="L227" s="723"/>
      <c r="M227" s="723"/>
      <c r="N227" s="723"/>
      <c r="O227" s="743"/>
      <c r="P227" s="743"/>
      <c r="Q227" s="743"/>
      <c r="R227" s="743"/>
      <c r="S227" s="743"/>
      <c r="U227" s="649"/>
      <c r="V227" s="649"/>
      <c r="W227" s="649"/>
      <c r="X227" s="649"/>
      <c r="Y227" s="649"/>
      <c r="Z227" s="649"/>
      <c r="AA227" s="649"/>
      <c r="AB227" s="649"/>
      <c r="AC227" s="649"/>
      <c r="AD227" s="649"/>
      <c r="AE227" s="649"/>
      <c r="AF227" s="649"/>
      <c r="AG227" s="649"/>
      <c r="AH227" s="649"/>
      <c r="AI227" s="649"/>
      <c r="AJ227" s="649"/>
      <c r="AK227" s="649"/>
      <c r="AL227" s="649"/>
      <c r="AM227" s="649"/>
      <c r="AN227" s="649"/>
      <c r="AO227" s="649"/>
      <c r="AP227" s="649"/>
      <c r="AQ227" s="649"/>
      <c r="AR227" s="649"/>
      <c r="AS227" s="649"/>
      <c r="AT227" s="649"/>
      <c r="AU227" s="649"/>
      <c r="AV227" s="649"/>
      <c r="AW227" s="649"/>
      <c r="AX227" s="649"/>
      <c r="AY227" s="649"/>
      <c r="AZ227" s="649"/>
      <c r="BA227" s="649"/>
      <c r="BB227" s="649"/>
      <c r="BC227" s="649"/>
      <c r="BD227" s="649"/>
    </row>
    <row r="228" spans="1:56" s="648" customFormat="1" ht="12" customHeight="1">
      <c r="A228" s="726"/>
      <c r="B228" s="725">
        <v>43248</v>
      </c>
      <c r="C228" s="724" t="s">
        <v>39</v>
      </c>
      <c r="D228" s="723">
        <v>114</v>
      </c>
      <c r="E228" s="723">
        <f t="shared" si="13"/>
        <v>114</v>
      </c>
      <c r="F228" s="723"/>
      <c r="G228" s="723"/>
      <c r="H228" s="723"/>
      <c r="I228" s="723"/>
      <c r="J228" s="723"/>
      <c r="K228" s="723"/>
      <c r="L228" s="723"/>
      <c r="M228" s="723"/>
      <c r="N228" s="723"/>
      <c r="O228" s="743"/>
      <c r="P228" s="743"/>
      <c r="Q228" s="743"/>
      <c r="R228" s="743"/>
      <c r="S228" s="743"/>
      <c r="U228" s="649"/>
      <c r="V228" s="649"/>
      <c r="W228" s="649"/>
      <c r="X228" s="649"/>
      <c r="Y228" s="649"/>
      <c r="Z228" s="649"/>
      <c r="AA228" s="649"/>
      <c r="AB228" s="649"/>
      <c r="AC228" s="649"/>
      <c r="AD228" s="649"/>
      <c r="AE228" s="649"/>
      <c r="AF228" s="649"/>
      <c r="AG228" s="649"/>
      <c r="AH228" s="649"/>
      <c r="AI228" s="649"/>
      <c r="AJ228" s="649"/>
      <c r="AK228" s="649"/>
      <c r="AL228" s="649"/>
      <c r="AM228" s="649"/>
      <c r="AN228" s="649"/>
      <c r="AO228" s="649"/>
      <c r="AP228" s="649"/>
      <c r="AQ228" s="649"/>
      <c r="AR228" s="649"/>
      <c r="AS228" s="649"/>
      <c r="AT228" s="649"/>
      <c r="AU228" s="649"/>
      <c r="AV228" s="649"/>
      <c r="AW228" s="649"/>
      <c r="AX228" s="649"/>
      <c r="AY228" s="649"/>
      <c r="AZ228" s="649"/>
      <c r="BA228" s="649"/>
      <c r="BB228" s="649"/>
      <c r="BC228" s="649"/>
      <c r="BD228" s="649"/>
    </row>
    <row r="229" spans="1:56" s="648" customFormat="1" ht="12" customHeight="1">
      <c r="A229" s="726"/>
      <c r="B229" s="725">
        <v>43248</v>
      </c>
      <c r="C229" s="724" t="s">
        <v>40</v>
      </c>
      <c r="D229" s="723">
        <v>70</v>
      </c>
      <c r="E229" s="723">
        <f t="shared" si="13"/>
        <v>70</v>
      </c>
      <c r="F229" s="723"/>
      <c r="G229" s="723"/>
      <c r="H229" s="723"/>
      <c r="I229" s="723"/>
      <c r="J229" s="723"/>
      <c r="K229" s="723"/>
      <c r="L229" s="723"/>
      <c r="M229" s="723"/>
      <c r="N229" s="723"/>
      <c r="O229" s="743"/>
      <c r="P229" s="743"/>
      <c r="Q229" s="743"/>
      <c r="R229" s="743"/>
      <c r="S229" s="743"/>
      <c r="U229" s="649"/>
      <c r="V229" s="649"/>
      <c r="W229" s="649"/>
      <c r="X229" s="649"/>
      <c r="Y229" s="649"/>
      <c r="Z229" s="649"/>
      <c r="AA229" s="649"/>
      <c r="AB229" s="649"/>
      <c r="AC229" s="649"/>
      <c r="AD229" s="649"/>
      <c r="AE229" s="649"/>
      <c r="AF229" s="649"/>
      <c r="AG229" s="649"/>
      <c r="AH229" s="649"/>
      <c r="AI229" s="649"/>
      <c r="AJ229" s="649"/>
      <c r="AK229" s="649"/>
      <c r="AL229" s="649"/>
      <c r="AM229" s="649"/>
      <c r="AN229" s="649"/>
      <c r="AO229" s="649"/>
      <c r="AP229" s="649"/>
      <c r="AQ229" s="649"/>
      <c r="AR229" s="649"/>
      <c r="AS229" s="649"/>
      <c r="AT229" s="649"/>
      <c r="AU229" s="649"/>
      <c r="AV229" s="649"/>
      <c r="AW229" s="649"/>
      <c r="AX229" s="649"/>
      <c r="AY229" s="649"/>
      <c r="AZ229" s="649"/>
      <c r="BA229" s="649"/>
      <c r="BB229" s="649"/>
      <c r="BC229" s="649"/>
      <c r="BD229" s="649"/>
    </row>
    <row r="230" spans="1:56" s="648" customFormat="1" ht="12" customHeight="1">
      <c r="A230" s="726"/>
      <c r="B230" s="725">
        <v>43250</v>
      </c>
      <c r="C230" s="724" t="s">
        <v>451</v>
      </c>
      <c r="D230" s="723">
        <v>52</v>
      </c>
      <c r="E230" s="723">
        <f t="shared" si="13"/>
        <v>52</v>
      </c>
      <c r="F230" s="723"/>
      <c r="G230" s="723"/>
      <c r="H230" s="723"/>
      <c r="I230" s="723"/>
      <c r="J230" s="723"/>
      <c r="K230" s="723"/>
      <c r="L230" s="723"/>
      <c r="M230" s="723"/>
      <c r="N230" s="723"/>
      <c r="O230" s="743"/>
      <c r="P230" s="743"/>
      <c r="Q230" s="743"/>
      <c r="R230" s="743"/>
      <c r="S230" s="743"/>
      <c r="U230" s="649"/>
      <c r="V230" s="649"/>
      <c r="W230" s="649"/>
      <c r="X230" s="649"/>
      <c r="Y230" s="649"/>
      <c r="Z230" s="649"/>
      <c r="AA230" s="649"/>
      <c r="AB230" s="649"/>
      <c r="AC230" s="649"/>
      <c r="AD230" s="649"/>
      <c r="AE230" s="649"/>
      <c r="AF230" s="649"/>
      <c r="AG230" s="649"/>
      <c r="AH230" s="649"/>
      <c r="AI230" s="649"/>
      <c r="AJ230" s="649"/>
      <c r="AK230" s="649"/>
      <c r="AL230" s="649"/>
      <c r="AM230" s="649"/>
      <c r="AN230" s="649"/>
      <c r="AO230" s="649"/>
      <c r="AP230" s="649"/>
      <c r="AQ230" s="649"/>
      <c r="AR230" s="649"/>
      <c r="AS230" s="649"/>
      <c r="AT230" s="649"/>
      <c r="AU230" s="649"/>
      <c r="AV230" s="649"/>
      <c r="AW230" s="649"/>
      <c r="AX230" s="649"/>
      <c r="AY230" s="649"/>
      <c r="AZ230" s="649"/>
      <c r="BA230" s="649"/>
      <c r="BB230" s="649"/>
      <c r="BC230" s="649"/>
      <c r="BD230" s="649"/>
    </row>
    <row r="231" spans="1:56" s="648" customFormat="1" ht="12" customHeight="1">
      <c r="A231" s="726"/>
      <c r="B231" s="725">
        <v>43251</v>
      </c>
      <c r="C231" s="724" t="s">
        <v>41</v>
      </c>
      <c r="D231" s="723">
        <v>73.3</v>
      </c>
      <c r="E231" s="723">
        <f t="shared" si="13"/>
        <v>73.3</v>
      </c>
      <c r="F231" s="723"/>
      <c r="G231" s="723"/>
      <c r="H231" s="723"/>
      <c r="I231" s="723"/>
      <c r="J231" s="723"/>
      <c r="K231" s="723"/>
      <c r="L231" s="723"/>
      <c r="M231" s="723"/>
      <c r="N231" s="723"/>
      <c r="O231" s="743"/>
      <c r="P231" s="743"/>
      <c r="Q231" s="743"/>
      <c r="R231" s="743"/>
      <c r="S231" s="743"/>
      <c r="U231" s="649"/>
      <c r="V231" s="649"/>
      <c r="W231" s="649"/>
      <c r="X231" s="649"/>
      <c r="Y231" s="649"/>
      <c r="Z231" s="649"/>
      <c r="AA231" s="649"/>
      <c r="AB231" s="649"/>
      <c r="AC231" s="649"/>
      <c r="AD231" s="649"/>
      <c r="AE231" s="649"/>
      <c r="AF231" s="649"/>
      <c r="AG231" s="649"/>
      <c r="AH231" s="649"/>
      <c r="AI231" s="649"/>
      <c r="AJ231" s="649"/>
      <c r="AK231" s="649"/>
      <c r="AL231" s="649"/>
      <c r="AM231" s="649"/>
      <c r="AN231" s="649"/>
      <c r="AO231" s="649"/>
      <c r="AP231" s="649"/>
      <c r="AQ231" s="649"/>
      <c r="AR231" s="649"/>
      <c r="AS231" s="649"/>
      <c r="AT231" s="649"/>
      <c r="AU231" s="649"/>
      <c r="AV231" s="649"/>
      <c r="AW231" s="649"/>
      <c r="AX231" s="649"/>
      <c r="AY231" s="649"/>
      <c r="AZ231" s="649"/>
      <c r="BA231" s="649"/>
      <c r="BB231" s="649"/>
      <c r="BC231" s="649"/>
      <c r="BD231" s="649"/>
    </row>
    <row r="232" spans="1:56" s="648" customFormat="1" ht="12" customHeight="1">
      <c r="A232" s="726"/>
      <c r="B232" s="725">
        <v>43251</v>
      </c>
      <c r="C232" s="724" t="s">
        <v>451</v>
      </c>
      <c r="D232" s="723">
        <v>285.85000000000002</v>
      </c>
      <c r="E232" s="723">
        <f t="shared" si="13"/>
        <v>265.85000000000002</v>
      </c>
      <c r="F232" s="723"/>
      <c r="G232" s="723"/>
      <c r="H232" s="723"/>
      <c r="I232" s="723">
        <v>20</v>
      </c>
      <c r="J232" s="723"/>
      <c r="K232" s="723"/>
      <c r="L232" s="723"/>
      <c r="M232" s="723"/>
      <c r="N232" s="723"/>
      <c r="O232" s="743"/>
      <c r="P232" s="743"/>
      <c r="Q232" s="743"/>
      <c r="R232" s="743"/>
      <c r="S232" s="743"/>
      <c r="U232" s="649"/>
      <c r="V232" s="649"/>
      <c r="W232" s="649"/>
      <c r="X232" s="649"/>
      <c r="Y232" s="649"/>
      <c r="Z232" s="649"/>
      <c r="AA232" s="649"/>
      <c r="AB232" s="649"/>
      <c r="AC232" s="649"/>
      <c r="AD232" s="649"/>
      <c r="AE232" s="649"/>
      <c r="AF232" s="649"/>
      <c r="AG232" s="649"/>
      <c r="AH232" s="649"/>
      <c r="AI232" s="649"/>
      <c r="AJ232" s="649"/>
      <c r="AK232" s="649"/>
      <c r="AL232" s="649"/>
      <c r="AM232" s="649"/>
      <c r="AN232" s="649"/>
      <c r="AO232" s="649"/>
      <c r="AP232" s="649"/>
      <c r="AQ232" s="649"/>
      <c r="AR232" s="649"/>
      <c r="AS232" s="649"/>
      <c r="AT232" s="649"/>
      <c r="AU232" s="649"/>
      <c r="AV232" s="649"/>
      <c r="AW232" s="649"/>
      <c r="AX232" s="649"/>
      <c r="AY232" s="649"/>
      <c r="AZ232" s="649"/>
      <c r="BA232" s="649"/>
      <c r="BB232" s="649"/>
      <c r="BC232" s="649"/>
      <c r="BD232" s="649"/>
    </row>
    <row r="233" spans="1:56" s="648" customFormat="1" ht="12" customHeight="1">
      <c r="A233" s="726"/>
      <c r="B233" s="725">
        <v>43251</v>
      </c>
      <c r="C233" s="724" t="s">
        <v>39</v>
      </c>
      <c r="D233" s="723">
        <v>121</v>
      </c>
      <c r="E233" s="723">
        <f t="shared" si="13"/>
        <v>56</v>
      </c>
      <c r="F233" s="723"/>
      <c r="G233" s="723"/>
      <c r="H233" s="723"/>
      <c r="I233" s="723">
        <v>65</v>
      </c>
      <c r="J233" s="723"/>
      <c r="K233" s="723"/>
      <c r="L233" s="723"/>
      <c r="M233" s="723"/>
      <c r="N233" s="723"/>
      <c r="O233" s="743"/>
      <c r="P233" s="743"/>
      <c r="Q233" s="743"/>
      <c r="R233" s="743"/>
      <c r="S233" s="743"/>
      <c r="U233" s="649"/>
      <c r="V233" s="649"/>
      <c r="W233" s="649"/>
      <c r="X233" s="649"/>
      <c r="Y233" s="649"/>
      <c r="Z233" s="649"/>
      <c r="AA233" s="649"/>
      <c r="AB233" s="649"/>
      <c r="AC233" s="649"/>
      <c r="AD233" s="649"/>
      <c r="AE233" s="649"/>
      <c r="AF233" s="649"/>
      <c r="AG233" s="649"/>
      <c r="AH233" s="649"/>
      <c r="AI233" s="649"/>
      <c r="AJ233" s="649"/>
      <c r="AK233" s="649"/>
      <c r="AL233" s="649"/>
      <c r="AM233" s="649"/>
      <c r="AN233" s="649"/>
      <c r="AO233" s="649"/>
      <c r="AP233" s="649"/>
      <c r="AQ233" s="649"/>
      <c r="AR233" s="649"/>
      <c r="AS233" s="649"/>
      <c r="AT233" s="649"/>
      <c r="AU233" s="649"/>
      <c r="AV233" s="649"/>
      <c r="AW233" s="649"/>
      <c r="AX233" s="649"/>
      <c r="AY233" s="649"/>
      <c r="AZ233" s="649"/>
      <c r="BA233" s="649"/>
      <c r="BB233" s="649"/>
      <c r="BC233" s="649"/>
      <c r="BD233" s="649"/>
    </row>
    <row r="234" spans="1:56" s="744" customFormat="1" ht="12" customHeight="1">
      <c r="A234" s="749"/>
      <c r="B234" s="748" t="str">
        <f>H1</f>
        <v>juni</v>
      </c>
      <c r="C234" s="747"/>
      <c r="D234" s="746">
        <f t="shared" ref="D234:S234" si="14">SUM(D235:D283)</f>
        <v>4611.03</v>
      </c>
      <c r="E234" s="746">
        <f t="shared" si="14"/>
        <v>3155.3800000000006</v>
      </c>
      <c r="F234" s="746">
        <f t="shared" si="14"/>
        <v>157.19999999999999</v>
      </c>
      <c r="G234" s="746">
        <f t="shared" si="14"/>
        <v>620</v>
      </c>
      <c r="H234" s="746">
        <f t="shared" si="14"/>
        <v>233</v>
      </c>
      <c r="I234" s="746">
        <f t="shared" si="14"/>
        <v>602.65</v>
      </c>
      <c r="J234" s="746">
        <f t="shared" si="14"/>
        <v>0</v>
      </c>
      <c r="K234" s="746">
        <f t="shared" si="14"/>
        <v>0</v>
      </c>
      <c r="L234" s="746">
        <f t="shared" si="14"/>
        <v>0</v>
      </c>
      <c r="M234" s="746">
        <f t="shared" si="14"/>
        <v>0</v>
      </c>
      <c r="N234" s="746">
        <f t="shared" si="14"/>
        <v>0</v>
      </c>
      <c r="O234" s="745">
        <f t="shared" si="14"/>
        <v>0</v>
      </c>
      <c r="P234" s="745">
        <f t="shared" si="14"/>
        <v>0</v>
      </c>
      <c r="Q234" s="745">
        <f t="shared" si="14"/>
        <v>0</v>
      </c>
      <c r="R234" s="745">
        <f t="shared" si="14"/>
        <v>0</v>
      </c>
      <c r="S234" s="745">
        <f t="shared" si="14"/>
        <v>0</v>
      </c>
    </row>
    <row r="235" spans="1:56" s="648" customFormat="1" ht="12" customHeight="1">
      <c r="A235" s="726"/>
      <c r="B235" s="725">
        <v>43251</v>
      </c>
      <c r="C235" s="724" t="s">
        <v>40</v>
      </c>
      <c r="D235" s="723">
        <v>526.95000000000005</v>
      </c>
      <c r="E235" s="723">
        <f t="shared" ref="E235:E266" si="15">D235-G235-H235-I235</f>
        <v>46.950000000000045</v>
      </c>
      <c r="F235" s="723">
        <v>11</v>
      </c>
      <c r="G235" s="723">
        <v>390</v>
      </c>
      <c r="H235" s="723"/>
      <c r="I235" s="723">
        <v>90</v>
      </c>
      <c r="J235" s="723"/>
      <c r="K235" s="723"/>
      <c r="L235" s="723"/>
      <c r="M235" s="723"/>
      <c r="N235" s="723"/>
      <c r="O235" s="743"/>
      <c r="P235" s="743"/>
      <c r="Q235" s="743"/>
      <c r="R235" s="743"/>
      <c r="S235" s="743"/>
      <c r="U235" s="649"/>
      <c r="V235" s="649"/>
      <c r="W235" s="649"/>
      <c r="X235" s="649"/>
      <c r="Y235" s="649"/>
      <c r="Z235" s="649"/>
      <c r="AA235" s="649"/>
      <c r="AB235" s="649"/>
      <c r="AC235" s="649"/>
      <c r="AD235" s="649"/>
      <c r="AE235" s="649"/>
      <c r="AF235" s="649"/>
      <c r="AG235" s="649"/>
      <c r="AH235" s="649"/>
      <c r="AI235" s="649"/>
      <c r="AJ235" s="649"/>
      <c r="AK235" s="649"/>
      <c r="AL235" s="649"/>
      <c r="AM235" s="649"/>
      <c r="AN235" s="649"/>
      <c r="AO235" s="649"/>
      <c r="AP235" s="649"/>
      <c r="AQ235" s="649"/>
      <c r="AR235" s="649"/>
      <c r="AS235" s="649"/>
      <c r="AT235" s="649"/>
      <c r="AU235" s="649"/>
      <c r="AV235" s="649"/>
      <c r="AW235" s="649"/>
      <c r="AX235" s="649"/>
      <c r="AY235" s="649"/>
      <c r="AZ235" s="649"/>
      <c r="BA235" s="649"/>
      <c r="BB235" s="649"/>
      <c r="BC235" s="649"/>
      <c r="BD235" s="649"/>
    </row>
    <row r="236" spans="1:56" s="648" customFormat="1" ht="12" customHeight="1">
      <c r="A236" s="726"/>
      <c r="B236" s="725">
        <v>43251</v>
      </c>
      <c r="C236" s="724" t="s">
        <v>719</v>
      </c>
      <c r="D236" s="723">
        <v>59</v>
      </c>
      <c r="E236" s="723">
        <f t="shared" si="15"/>
        <v>0</v>
      </c>
      <c r="F236" s="723"/>
      <c r="G236" s="723"/>
      <c r="H236" s="723"/>
      <c r="I236" s="723">
        <v>59</v>
      </c>
      <c r="J236" s="723"/>
      <c r="K236" s="723"/>
      <c r="L236" s="723"/>
      <c r="M236" s="723"/>
      <c r="N236" s="723"/>
      <c r="O236" s="743"/>
      <c r="P236" s="743"/>
      <c r="Q236" s="743"/>
      <c r="R236" s="743"/>
      <c r="S236" s="743"/>
      <c r="U236" s="649"/>
      <c r="V236" s="649"/>
      <c r="W236" s="649"/>
      <c r="X236" s="649"/>
      <c r="Y236" s="649"/>
      <c r="Z236" s="649"/>
      <c r="AA236" s="649"/>
      <c r="AB236" s="649"/>
      <c r="AC236" s="649"/>
      <c r="AD236" s="649"/>
      <c r="AE236" s="649"/>
      <c r="AF236" s="649"/>
      <c r="AG236" s="649"/>
      <c r="AH236" s="649"/>
      <c r="AI236" s="649"/>
      <c r="AJ236" s="649"/>
      <c r="AK236" s="649"/>
      <c r="AL236" s="649"/>
      <c r="AM236" s="649"/>
      <c r="AN236" s="649"/>
      <c r="AO236" s="649"/>
      <c r="AP236" s="649"/>
      <c r="AQ236" s="649"/>
      <c r="AR236" s="649"/>
      <c r="AS236" s="649"/>
      <c r="AT236" s="649"/>
      <c r="AU236" s="649"/>
      <c r="AV236" s="649"/>
      <c r="AW236" s="649"/>
      <c r="AX236" s="649"/>
      <c r="AY236" s="649"/>
      <c r="AZ236" s="649"/>
      <c r="BA236" s="649"/>
      <c r="BB236" s="649"/>
      <c r="BC236" s="649"/>
      <c r="BD236" s="649"/>
    </row>
    <row r="237" spans="1:56" s="648" customFormat="1" ht="12" customHeight="1">
      <c r="A237" s="726"/>
      <c r="B237" s="725">
        <v>43251</v>
      </c>
      <c r="C237" s="724" t="s">
        <v>718</v>
      </c>
      <c r="D237" s="723">
        <v>230</v>
      </c>
      <c r="E237" s="723">
        <f t="shared" si="15"/>
        <v>0</v>
      </c>
      <c r="F237" s="723"/>
      <c r="G237" s="723">
        <v>230</v>
      </c>
      <c r="H237" s="723"/>
      <c r="I237" s="723"/>
      <c r="J237" s="723"/>
      <c r="K237" s="723"/>
      <c r="L237" s="723"/>
      <c r="M237" s="723"/>
      <c r="N237" s="723"/>
      <c r="O237" s="743"/>
      <c r="P237" s="743"/>
      <c r="Q237" s="743"/>
      <c r="R237" s="743"/>
      <c r="S237" s="743"/>
      <c r="U237" s="649"/>
      <c r="V237" s="649"/>
      <c r="W237" s="649"/>
      <c r="X237" s="649"/>
      <c r="Y237" s="649"/>
      <c r="Z237" s="649"/>
      <c r="AA237" s="649"/>
      <c r="AB237" s="649"/>
      <c r="AC237" s="649"/>
      <c r="AD237" s="649"/>
      <c r="AE237" s="649"/>
      <c r="AF237" s="649"/>
      <c r="AG237" s="649"/>
      <c r="AH237" s="649"/>
      <c r="AI237" s="649"/>
      <c r="AJ237" s="649"/>
      <c r="AK237" s="649"/>
      <c r="AL237" s="649"/>
      <c r="AM237" s="649"/>
      <c r="AN237" s="649"/>
      <c r="AO237" s="649"/>
      <c r="AP237" s="649"/>
      <c r="AQ237" s="649"/>
      <c r="AR237" s="649"/>
      <c r="AS237" s="649"/>
      <c r="AT237" s="649"/>
      <c r="AU237" s="649"/>
      <c r="AV237" s="649"/>
      <c r="AW237" s="649"/>
      <c r="AX237" s="649"/>
      <c r="AY237" s="649"/>
      <c r="AZ237" s="649"/>
      <c r="BA237" s="649"/>
      <c r="BB237" s="649"/>
      <c r="BC237" s="649"/>
      <c r="BD237" s="649"/>
    </row>
    <row r="238" spans="1:56" s="648" customFormat="1" ht="12" customHeight="1">
      <c r="A238" s="726"/>
      <c r="B238" s="725">
        <v>43251</v>
      </c>
      <c r="C238" s="724" t="s">
        <v>451</v>
      </c>
      <c r="D238" s="723">
        <v>66.150000000000006</v>
      </c>
      <c r="E238" s="723">
        <f t="shared" si="15"/>
        <v>46.150000000000006</v>
      </c>
      <c r="F238" s="723">
        <v>12.75</v>
      </c>
      <c r="G238" s="723"/>
      <c r="H238" s="723"/>
      <c r="I238" s="723">
        <v>20</v>
      </c>
      <c r="J238" s="723"/>
      <c r="K238" s="723"/>
      <c r="L238" s="723"/>
      <c r="M238" s="723"/>
      <c r="N238" s="723"/>
      <c r="O238" s="743"/>
      <c r="P238" s="743"/>
      <c r="Q238" s="743"/>
      <c r="R238" s="743"/>
      <c r="S238" s="743"/>
      <c r="U238" s="649"/>
      <c r="V238" s="649"/>
      <c r="W238" s="649"/>
      <c r="X238" s="649"/>
      <c r="Y238" s="649"/>
      <c r="Z238" s="649"/>
      <c r="AA238" s="649"/>
      <c r="AB238" s="649"/>
      <c r="AC238" s="649"/>
      <c r="AD238" s="649"/>
      <c r="AE238" s="649"/>
      <c r="AF238" s="649"/>
      <c r="AG238" s="649"/>
      <c r="AH238" s="649"/>
      <c r="AI238" s="649"/>
      <c r="AJ238" s="649"/>
      <c r="AK238" s="649"/>
      <c r="AL238" s="649"/>
      <c r="AM238" s="649"/>
      <c r="AN238" s="649"/>
      <c r="AO238" s="649"/>
      <c r="AP238" s="649"/>
      <c r="AQ238" s="649"/>
      <c r="AR238" s="649"/>
      <c r="AS238" s="649"/>
      <c r="AT238" s="649"/>
      <c r="AU238" s="649"/>
      <c r="AV238" s="649"/>
      <c r="AW238" s="649"/>
      <c r="AX238" s="649"/>
      <c r="AY238" s="649"/>
      <c r="AZ238" s="649"/>
      <c r="BA238" s="649"/>
      <c r="BB238" s="649"/>
      <c r="BC238" s="649"/>
      <c r="BD238" s="649"/>
    </row>
    <row r="239" spans="1:56" s="648" customFormat="1" ht="12" customHeight="1">
      <c r="A239" s="726"/>
      <c r="B239" s="725">
        <v>43252</v>
      </c>
      <c r="C239" s="724" t="s">
        <v>451</v>
      </c>
      <c r="D239" s="723">
        <v>95.75</v>
      </c>
      <c r="E239" s="723">
        <f t="shared" si="15"/>
        <v>75.75</v>
      </c>
      <c r="F239" s="723">
        <v>17</v>
      </c>
      <c r="G239" s="723"/>
      <c r="H239" s="723"/>
      <c r="I239" s="723">
        <v>20</v>
      </c>
      <c r="J239" s="723"/>
      <c r="K239" s="723"/>
      <c r="L239" s="723"/>
      <c r="M239" s="723"/>
      <c r="N239" s="723"/>
      <c r="O239" s="743"/>
      <c r="P239" s="743"/>
      <c r="Q239" s="743"/>
      <c r="R239" s="743"/>
      <c r="S239" s="743"/>
      <c r="U239" s="649"/>
      <c r="V239" s="649"/>
      <c r="W239" s="649"/>
      <c r="X239" s="649"/>
      <c r="Y239" s="649"/>
      <c r="Z239" s="649"/>
      <c r="AA239" s="649"/>
      <c r="AB239" s="649"/>
      <c r="AC239" s="649"/>
      <c r="AD239" s="649"/>
      <c r="AE239" s="649"/>
      <c r="AF239" s="649"/>
      <c r="AG239" s="649"/>
      <c r="AH239" s="649"/>
      <c r="AI239" s="649"/>
      <c r="AJ239" s="649"/>
      <c r="AK239" s="649"/>
      <c r="AL239" s="649"/>
      <c r="AM239" s="649"/>
      <c r="AN239" s="649"/>
      <c r="AO239" s="649"/>
      <c r="AP239" s="649"/>
      <c r="AQ239" s="649"/>
      <c r="AR239" s="649"/>
      <c r="AS239" s="649"/>
      <c r="AT239" s="649"/>
      <c r="AU239" s="649"/>
      <c r="AV239" s="649"/>
      <c r="AW239" s="649"/>
      <c r="AX239" s="649"/>
      <c r="AY239" s="649"/>
      <c r="AZ239" s="649"/>
      <c r="BA239" s="649"/>
      <c r="BB239" s="649"/>
      <c r="BC239" s="649"/>
      <c r="BD239" s="649"/>
    </row>
    <row r="240" spans="1:56" s="648" customFormat="1" ht="12" customHeight="1">
      <c r="A240" s="726"/>
      <c r="B240" s="725">
        <v>43252</v>
      </c>
      <c r="C240" s="724" t="s">
        <v>40</v>
      </c>
      <c r="D240" s="723">
        <v>99.5</v>
      </c>
      <c r="E240" s="723">
        <f t="shared" si="15"/>
        <v>9.5</v>
      </c>
      <c r="F240" s="723"/>
      <c r="G240" s="723"/>
      <c r="H240" s="723"/>
      <c r="I240" s="723">
        <v>90</v>
      </c>
      <c r="J240" s="723"/>
      <c r="K240" s="723"/>
      <c r="L240" s="723"/>
      <c r="M240" s="723"/>
      <c r="N240" s="723"/>
      <c r="O240" s="743"/>
      <c r="P240" s="743"/>
      <c r="Q240" s="743"/>
      <c r="R240" s="743"/>
      <c r="S240" s="743"/>
      <c r="U240" s="649"/>
      <c r="V240" s="649"/>
      <c r="W240" s="649"/>
      <c r="X240" s="649"/>
      <c r="Y240" s="649"/>
      <c r="Z240" s="649"/>
      <c r="AA240" s="649"/>
      <c r="AB240" s="649"/>
      <c r="AC240" s="649"/>
      <c r="AD240" s="649"/>
      <c r="AE240" s="649"/>
      <c r="AF240" s="649"/>
      <c r="AG240" s="649"/>
      <c r="AH240" s="649"/>
      <c r="AI240" s="649"/>
      <c r="AJ240" s="649"/>
      <c r="AK240" s="649"/>
      <c r="AL240" s="649"/>
      <c r="AM240" s="649"/>
      <c r="AN240" s="649"/>
      <c r="AO240" s="649"/>
      <c r="AP240" s="649"/>
      <c r="AQ240" s="649"/>
      <c r="AR240" s="649"/>
      <c r="AS240" s="649"/>
      <c r="AT240" s="649"/>
      <c r="AU240" s="649"/>
      <c r="AV240" s="649"/>
      <c r="AW240" s="649"/>
      <c r="AX240" s="649"/>
      <c r="AY240" s="649"/>
      <c r="AZ240" s="649"/>
      <c r="BA240" s="649"/>
      <c r="BB240" s="649"/>
      <c r="BC240" s="649"/>
      <c r="BD240" s="649"/>
    </row>
    <row r="241" spans="1:56" s="648" customFormat="1" ht="12" customHeight="1">
      <c r="A241" s="726"/>
      <c r="B241" s="725">
        <v>43252</v>
      </c>
      <c r="C241" s="724" t="s">
        <v>329</v>
      </c>
      <c r="D241" s="723">
        <v>49</v>
      </c>
      <c r="E241" s="723">
        <f t="shared" si="15"/>
        <v>49</v>
      </c>
      <c r="F241" s="723"/>
      <c r="G241" s="723"/>
      <c r="H241" s="723"/>
      <c r="I241" s="723"/>
      <c r="J241" s="723"/>
      <c r="K241" s="723"/>
      <c r="L241" s="723"/>
      <c r="M241" s="723"/>
      <c r="N241" s="723"/>
      <c r="O241" s="743"/>
      <c r="P241" s="743"/>
      <c r="Q241" s="743"/>
      <c r="R241" s="743"/>
      <c r="S241" s="743"/>
      <c r="U241" s="649"/>
      <c r="V241" s="649"/>
      <c r="W241" s="649"/>
      <c r="X241" s="649"/>
      <c r="Y241" s="649"/>
      <c r="Z241" s="649"/>
      <c r="AA241" s="649"/>
      <c r="AB241" s="649"/>
      <c r="AC241" s="649"/>
      <c r="AD241" s="649"/>
      <c r="AE241" s="649"/>
      <c r="AF241" s="649"/>
      <c r="AG241" s="649"/>
      <c r="AH241" s="649"/>
      <c r="AI241" s="649"/>
      <c r="AJ241" s="649"/>
      <c r="AK241" s="649"/>
      <c r="AL241" s="649"/>
      <c r="AM241" s="649"/>
      <c r="AN241" s="649"/>
      <c r="AO241" s="649"/>
      <c r="AP241" s="649"/>
      <c r="AQ241" s="649"/>
      <c r="AR241" s="649"/>
      <c r="AS241" s="649"/>
      <c r="AT241" s="649"/>
      <c r="AU241" s="649"/>
      <c r="AV241" s="649"/>
      <c r="AW241" s="649"/>
      <c r="AX241" s="649"/>
      <c r="AY241" s="649"/>
      <c r="AZ241" s="649"/>
      <c r="BA241" s="649"/>
      <c r="BB241" s="649"/>
      <c r="BC241" s="649"/>
      <c r="BD241" s="649"/>
    </row>
    <row r="242" spans="1:56" s="648" customFormat="1" ht="12" customHeight="1">
      <c r="A242" s="726"/>
      <c r="B242" s="725">
        <v>43254</v>
      </c>
      <c r="C242" s="724" t="s">
        <v>451</v>
      </c>
      <c r="D242" s="723">
        <v>108.45</v>
      </c>
      <c r="E242" s="723">
        <f t="shared" si="15"/>
        <v>108.45</v>
      </c>
      <c r="F242" s="723"/>
      <c r="G242" s="723"/>
      <c r="H242" s="723"/>
      <c r="I242" s="723"/>
      <c r="J242" s="723"/>
      <c r="K242" s="723"/>
      <c r="L242" s="723"/>
      <c r="M242" s="723"/>
      <c r="N242" s="723"/>
      <c r="O242" s="743"/>
      <c r="P242" s="743"/>
      <c r="Q242" s="743"/>
      <c r="R242" s="743"/>
      <c r="S242" s="743"/>
      <c r="U242" s="649"/>
      <c r="V242" s="649"/>
      <c r="W242" s="649"/>
      <c r="X242" s="649"/>
      <c r="Y242" s="649"/>
      <c r="Z242" s="649"/>
      <c r="AA242" s="649"/>
      <c r="AB242" s="649"/>
      <c r="AC242" s="649"/>
      <c r="AD242" s="649"/>
      <c r="AE242" s="649"/>
      <c r="AF242" s="649"/>
      <c r="AG242" s="649"/>
      <c r="AH242" s="649"/>
      <c r="AI242" s="649"/>
      <c r="AJ242" s="649"/>
      <c r="AK242" s="649"/>
      <c r="AL242" s="649"/>
      <c r="AM242" s="649"/>
      <c r="AN242" s="649"/>
      <c r="AO242" s="649"/>
      <c r="AP242" s="649"/>
      <c r="AQ242" s="649"/>
      <c r="AR242" s="649"/>
      <c r="AS242" s="649"/>
      <c r="AT242" s="649"/>
      <c r="AU242" s="649"/>
      <c r="AV242" s="649"/>
      <c r="AW242" s="649"/>
      <c r="AX242" s="649"/>
      <c r="AY242" s="649"/>
      <c r="AZ242" s="649"/>
      <c r="BA242" s="649"/>
      <c r="BB242" s="649"/>
      <c r="BC242" s="649"/>
      <c r="BD242" s="649"/>
    </row>
    <row r="243" spans="1:56" s="648" customFormat="1" ht="12" customHeight="1">
      <c r="A243" s="726"/>
      <c r="B243" s="725">
        <v>43254</v>
      </c>
      <c r="C243" s="724" t="s">
        <v>40</v>
      </c>
      <c r="D243" s="723">
        <v>34</v>
      </c>
      <c r="E243" s="723">
        <f t="shared" si="15"/>
        <v>34</v>
      </c>
      <c r="F243" s="723"/>
      <c r="G243" s="723"/>
      <c r="H243" s="723"/>
      <c r="I243" s="723"/>
      <c r="J243" s="723"/>
      <c r="K243" s="723"/>
      <c r="L243" s="723"/>
      <c r="M243" s="723"/>
      <c r="N243" s="723"/>
      <c r="O243" s="743"/>
      <c r="P243" s="743"/>
      <c r="Q243" s="743"/>
      <c r="R243" s="743"/>
      <c r="S243" s="743"/>
      <c r="U243" s="649"/>
      <c r="V243" s="649"/>
      <c r="W243" s="649"/>
      <c r="X243" s="649"/>
      <c r="Y243" s="649"/>
      <c r="Z243" s="649"/>
      <c r="AA243" s="649"/>
      <c r="AB243" s="649"/>
      <c r="AC243" s="649"/>
      <c r="AD243" s="649"/>
      <c r="AE243" s="649"/>
      <c r="AF243" s="649"/>
      <c r="AG243" s="649"/>
      <c r="AH243" s="649"/>
      <c r="AI243" s="649"/>
      <c r="AJ243" s="649"/>
      <c r="AK243" s="649"/>
      <c r="AL243" s="649"/>
      <c r="AM243" s="649"/>
      <c r="AN243" s="649"/>
      <c r="AO243" s="649"/>
      <c r="AP243" s="649"/>
      <c r="AQ243" s="649"/>
      <c r="AR243" s="649"/>
      <c r="AS243" s="649"/>
      <c r="AT243" s="649"/>
      <c r="AU243" s="649"/>
      <c r="AV243" s="649"/>
      <c r="AW243" s="649"/>
      <c r="AX243" s="649"/>
      <c r="AY243" s="649"/>
      <c r="AZ243" s="649"/>
      <c r="BA243" s="649"/>
      <c r="BB243" s="649"/>
      <c r="BC243" s="649"/>
      <c r="BD243" s="649"/>
    </row>
    <row r="244" spans="1:56" s="648" customFormat="1" ht="12" customHeight="1">
      <c r="A244" s="726"/>
      <c r="B244" s="725">
        <v>43255</v>
      </c>
      <c r="C244" s="724" t="s">
        <v>451</v>
      </c>
      <c r="D244" s="723">
        <v>76.849999999999994</v>
      </c>
      <c r="E244" s="723">
        <f t="shared" si="15"/>
        <v>76.849999999999994</v>
      </c>
      <c r="F244" s="723"/>
      <c r="G244" s="723"/>
      <c r="H244" s="723"/>
      <c r="I244" s="723"/>
      <c r="J244" s="723"/>
      <c r="K244" s="723"/>
      <c r="L244" s="723"/>
      <c r="M244" s="723"/>
      <c r="N244" s="723"/>
      <c r="O244" s="743"/>
      <c r="P244" s="743"/>
      <c r="Q244" s="743"/>
      <c r="R244" s="743"/>
      <c r="S244" s="743"/>
      <c r="U244" s="649"/>
      <c r="V244" s="649"/>
      <c r="W244" s="649"/>
      <c r="X244" s="649"/>
      <c r="Y244" s="649"/>
      <c r="Z244" s="649"/>
      <c r="AA244" s="649"/>
      <c r="AB244" s="649"/>
      <c r="AC244" s="649"/>
      <c r="AD244" s="649"/>
      <c r="AE244" s="649"/>
      <c r="AF244" s="649"/>
      <c r="AG244" s="649"/>
      <c r="AH244" s="649"/>
      <c r="AI244" s="649"/>
      <c r="AJ244" s="649"/>
      <c r="AK244" s="649"/>
      <c r="AL244" s="649"/>
      <c r="AM244" s="649"/>
      <c r="AN244" s="649"/>
      <c r="AO244" s="649"/>
      <c r="AP244" s="649"/>
      <c r="AQ244" s="649"/>
      <c r="AR244" s="649"/>
      <c r="AS244" s="649"/>
      <c r="AT244" s="649"/>
      <c r="AU244" s="649"/>
      <c r="AV244" s="649"/>
      <c r="AW244" s="649"/>
      <c r="AX244" s="649"/>
      <c r="AY244" s="649"/>
      <c r="AZ244" s="649"/>
      <c r="BA244" s="649"/>
      <c r="BB244" s="649"/>
      <c r="BC244" s="649"/>
      <c r="BD244" s="649"/>
    </row>
    <row r="245" spans="1:56" s="648" customFormat="1" ht="12" customHeight="1">
      <c r="A245" s="726"/>
      <c r="B245" s="725">
        <v>43255</v>
      </c>
      <c r="C245" s="724" t="s">
        <v>38</v>
      </c>
      <c r="D245" s="723">
        <v>20</v>
      </c>
      <c r="E245" s="723">
        <f t="shared" si="15"/>
        <v>20</v>
      </c>
      <c r="F245" s="723"/>
      <c r="G245" s="723"/>
      <c r="H245" s="723"/>
      <c r="I245" s="723"/>
      <c r="J245" s="723"/>
      <c r="K245" s="723"/>
      <c r="L245" s="723"/>
      <c r="M245" s="723"/>
      <c r="N245" s="723"/>
      <c r="O245" s="743"/>
      <c r="P245" s="743"/>
      <c r="Q245" s="743"/>
      <c r="R245" s="743"/>
      <c r="S245" s="743"/>
      <c r="U245" s="649"/>
      <c r="V245" s="649"/>
      <c r="W245" s="649"/>
      <c r="X245" s="649"/>
      <c r="Y245" s="649"/>
      <c r="Z245" s="649"/>
      <c r="AA245" s="649"/>
      <c r="AB245" s="649"/>
      <c r="AC245" s="649"/>
      <c r="AD245" s="649"/>
      <c r="AE245" s="649"/>
      <c r="AF245" s="649"/>
      <c r="AG245" s="649"/>
      <c r="AH245" s="649"/>
      <c r="AI245" s="649"/>
      <c r="AJ245" s="649"/>
      <c r="AK245" s="649"/>
      <c r="AL245" s="649"/>
      <c r="AM245" s="649"/>
      <c r="AN245" s="649"/>
      <c r="AO245" s="649"/>
      <c r="AP245" s="649"/>
      <c r="AQ245" s="649"/>
      <c r="AR245" s="649"/>
      <c r="AS245" s="649"/>
      <c r="AT245" s="649"/>
      <c r="AU245" s="649"/>
      <c r="AV245" s="649"/>
      <c r="AW245" s="649"/>
      <c r="AX245" s="649"/>
      <c r="AY245" s="649"/>
      <c r="AZ245" s="649"/>
      <c r="BA245" s="649"/>
      <c r="BB245" s="649"/>
      <c r="BC245" s="649"/>
      <c r="BD245" s="649"/>
    </row>
    <row r="246" spans="1:56" s="648" customFormat="1" ht="12" customHeight="1">
      <c r="A246" s="726"/>
      <c r="B246" s="725">
        <v>43255</v>
      </c>
      <c r="C246" s="724" t="s">
        <v>124</v>
      </c>
      <c r="D246" s="723">
        <v>68.95</v>
      </c>
      <c r="E246" s="723">
        <f t="shared" si="15"/>
        <v>0</v>
      </c>
      <c r="F246" s="723"/>
      <c r="G246" s="723"/>
      <c r="H246" s="723">
        <v>68.95</v>
      </c>
      <c r="I246" s="723"/>
      <c r="J246" s="723"/>
      <c r="K246" s="723"/>
      <c r="L246" s="723"/>
      <c r="M246" s="723"/>
      <c r="N246" s="723"/>
      <c r="O246" s="743"/>
      <c r="P246" s="743"/>
      <c r="Q246" s="743"/>
      <c r="R246" s="743"/>
      <c r="S246" s="743"/>
      <c r="U246" s="649"/>
      <c r="V246" s="649"/>
      <c r="W246" s="649"/>
      <c r="X246" s="649"/>
      <c r="Y246" s="649"/>
      <c r="Z246" s="649"/>
      <c r="AA246" s="649"/>
      <c r="AB246" s="649"/>
      <c r="AC246" s="649"/>
      <c r="AD246" s="649"/>
      <c r="AE246" s="649"/>
      <c r="AF246" s="649"/>
      <c r="AG246" s="649"/>
      <c r="AH246" s="649"/>
      <c r="AI246" s="649"/>
      <c r="AJ246" s="649"/>
      <c r="AK246" s="649"/>
      <c r="AL246" s="649"/>
      <c r="AM246" s="649"/>
      <c r="AN246" s="649"/>
      <c r="AO246" s="649"/>
      <c r="AP246" s="649"/>
      <c r="AQ246" s="649"/>
      <c r="AR246" s="649"/>
      <c r="AS246" s="649"/>
      <c r="AT246" s="649"/>
      <c r="AU246" s="649"/>
      <c r="AV246" s="649"/>
      <c r="AW246" s="649"/>
      <c r="AX246" s="649"/>
      <c r="AY246" s="649"/>
      <c r="AZ246" s="649"/>
      <c r="BA246" s="649"/>
      <c r="BB246" s="649"/>
      <c r="BC246" s="649"/>
      <c r="BD246" s="649"/>
    </row>
    <row r="247" spans="1:56" s="648" customFormat="1" ht="12" customHeight="1">
      <c r="A247" s="726"/>
      <c r="B247" s="725">
        <v>43255</v>
      </c>
      <c r="C247" s="724" t="s">
        <v>38</v>
      </c>
      <c r="D247" s="723">
        <v>157.5</v>
      </c>
      <c r="E247" s="723">
        <f t="shared" si="15"/>
        <v>157.5</v>
      </c>
      <c r="F247" s="723"/>
      <c r="G247" s="723"/>
      <c r="H247" s="723"/>
      <c r="I247" s="723"/>
      <c r="J247" s="723"/>
      <c r="K247" s="723"/>
      <c r="L247" s="723"/>
      <c r="M247" s="723"/>
      <c r="N247" s="723"/>
      <c r="O247" s="743"/>
      <c r="P247" s="743"/>
      <c r="Q247" s="743"/>
      <c r="R247" s="743"/>
      <c r="S247" s="743"/>
      <c r="U247" s="649"/>
      <c r="V247" s="649"/>
      <c r="W247" s="649"/>
      <c r="X247" s="649"/>
      <c r="Y247" s="649"/>
      <c r="Z247" s="649"/>
      <c r="AA247" s="649"/>
      <c r="AB247" s="649"/>
      <c r="AC247" s="649"/>
      <c r="AD247" s="649"/>
      <c r="AE247" s="649"/>
      <c r="AF247" s="649"/>
      <c r="AG247" s="649"/>
      <c r="AH247" s="649"/>
      <c r="AI247" s="649"/>
      <c r="AJ247" s="649"/>
      <c r="AK247" s="649"/>
      <c r="AL247" s="649"/>
      <c r="AM247" s="649"/>
      <c r="AN247" s="649"/>
      <c r="AO247" s="649"/>
      <c r="AP247" s="649"/>
      <c r="AQ247" s="649"/>
      <c r="AR247" s="649"/>
      <c r="AS247" s="649"/>
      <c r="AT247" s="649"/>
      <c r="AU247" s="649"/>
      <c r="AV247" s="649"/>
      <c r="AW247" s="649"/>
      <c r="AX247" s="649"/>
      <c r="AY247" s="649"/>
      <c r="AZ247" s="649"/>
      <c r="BA247" s="649"/>
      <c r="BB247" s="649"/>
      <c r="BC247" s="649"/>
      <c r="BD247" s="649"/>
    </row>
    <row r="248" spans="1:56" s="648" customFormat="1" ht="12" customHeight="1">
      <c r="A248" s="726"/>
      <c r="B248" s="725">
        <v>43257</v>
      </c>
      <c r="C248" s="724" t="s">
        <v>451</v>
      </c>
      <c r="D248" s="723">
        <v>93.18</v>
      </c>
      <c r="E248" s="723">
        <f t="shared" si="15"/>
        <v>93.18</v>
      </c>
      <c r="F248" s="723">
        <v>12.75</v>
      </c>
      <c r="G248" s="723"/>
      <c r="H248" s="723"/>
      <c r="I248" s="723"/>
      <c r="J248" s="723"/>
      <c r="K248" s="723"/>
      <c r="L248" s="723"/>
      <c r="M248" s="723"/>
      <c r="N248" s="723"/>
      <c r="O248" s="743"/>
      <c r="P248" s="743"/>
      <c r="Q248" s="743"/>
      <c r="R248" s="743"/>
      <c r="S248" s="743"/>
      <c r="U248" s="649"/>
      <c r="V248" s="649"/>
      <c r="W248" s="649"/>
      <c r="X248" s="649"/>
      <c r="Y248" s="649"/>
      <c r="Z248" s="649"/>
      <c r="AA248" s="649"/>
      <c r="AB248" s="649"/>
      <c r="AC248" s="649"/>
      <c r="AD248" s="649"/>
      <c r="AE248" s="649"/>
      <c r="AF248" s="649"/>
      <c r="AG248" s="649"/>
      <c r="AH248" s="649"/>
      <c r="AI248" s="649"/>
      <c r="AJ248" s="649"/>
      <c r="AK248" s="649"/>
      <c r="AL248" s="649"/>
      <c r="AM248" s="649"/>
      <c r="AN248" s="649"/>
      <c r="AO248" s="649"/>
      <c r="AP248" s="649"/>
      <c r="AQ248" s="649"/>
      <c r="AR248" s="649"/>
      <c r="AS248" s="649"/>
      <c r="AT248" s="649"/>
      <c r="AU248" s="649"/>
      <c r="AV248" s="649"/>
      <c r="AW248" s="649"/>
      <c r="AX248" s="649"/>
      <c r="AY248" s="649"/>
      <c r="AZ248" s="649"/>
      <c r="BA248" s="649"/>
      <c r="BB248" s="649"/>
      <c r="BC248" s="649"/>
      <c r="BD248" s="649"/>
    </row>
    <row r="249" spans="1:56" s="648" customFormat="1" ht="12" customHeight="1">
      <c r="A249" s="726"/>
      <c r="B249" s="725">
        <v>43257</v>
      </c>
      <c r="C249" s="724" t="s">
        <v>40</v>
      </c>
      <c r="D249" s="723">
        <v>40</v>
      </c>
      <c r="E249" s="723">
        <f t="shared" si="15"/>
        <v>10</v>
      </c>
      <c r="F249" s="723"/>
      <c r="G249" s="723"/>
      <c r="H249" s="723"/>
      <c r="I249" s="723">
        <v>30</v>
      </c>
      <c r="J249" s="723"/>
      <c r="K249" s="723"/>
      <c r="L249" s="723"/>
      <c r="M249" s="723"/>
      <c r="N249" s="723"/>
      <c r="O249" s="743"/>
      <c r="P249" s="743"/>
      <c r="Q249" s="743"/>
      <c r="R249" s="743"/>
      <c r="S249" s="743"/>
      <c r="U249" s="649"/>
      <c r="V249" s="649"/>
      <c r="W249" s="649"/>
      <c r="X249" s="649"/>
      <c r="Y249" s="649"/>
      <c r="Z249" s="649"/>
      <c r="AA249" s="649"/>
      <c r="AB249" s="649"/>
      <c r="AC249" s="649"/>
      <c r="AD249" s="649"/>
      <c r="AE249" s="649"/>
      <c r="AF249" s="649"/>
      <c r="AG249" s="649"/>
      <c r="AH249" s="649"/>
      <c r="AI249" s="649"/>
      <c r="AJ249" s="649"/>
      <c r="AK249" s="649"/>
      <c r="AL249" s="649"/>
      <c r="AM249" s="649"/>
      <c r="AN249" s="649"/>
      <c r="AO249" s="649"/>
      <c r="AP249" s="649"/>
      <c r="AQ249" s="649"/>
      <c r="AR249" s="649"/>
      <c r="AS249" s="649"/>
      <c r="AT249" s="649"/>
      <c r="AU249" s="649"/>
      <c r="AV249" s="649"/>
      <c r="AW249" s="649"/>
      <c r="AX249" s="649"/>
      <c r="AY249" s="649"/>
      <c r="AZ249" s="649"/>
      <c r="BA249" s="649"/>
      <c r="BB249" s="649"/>
      <c r="BC249" s="649"/>
      <c r="BD249" s="649"/>
    </row>
    <row r="250" spans="1:56" s="648" customFormat="1" ht="12" customHeight="1">
      <c r="A250" s="726"/>
      <c r="B250" s="725">
        <v>43257</v>
      </c>
      <c r="C250" s="724" t="s">
        <v>716</v>
      </c>
      <c r="D250" s="723">
        <v>139</v>
      </c>
      <c r="E250" s="723">
        <f t="shared" si="15"/>
        <v>139</v>
      </c>
      <c r="F250" s="723"/>
      <c r="G250" s="723"/>
      <c r="H250" s="723"/>
      <c r="I250" s="723"/>
      <c r="J250" s="723"/>
      <c r="K250" s="723"/>
      <c r="L250" s="723"/>
      <c r="M250" s="723"/>
      <c r="N250" s="723"/>
      <c r="O250" s="743"/>
      <c r="P250" s="743"/>
      <c r="Q250" s="743"/>
      <c r="R250" s="743"/>
      <c r="S250" s="743"/>
      <c r="U250" s="649"/>
      <c r="V250" s="649"/>
      <c r="W250" s="649"/>
      <c r="X250" s="649"/>
      <c r="Y250" s="649"/>
      <c r="Z250" s="649"/>
      <c r="AA250" s="649"/>
      <c r="AB250" s="649"/>
      <c r="AC250" s="649"/>
      <c r="AD250" s="649"/>
      <c r="AE250" s="649"/>
      <c r="AF250" s="649"/>
      <c r="AG250" s="649"/>
      <c r="AH250" s="649"/>
      <c r="AI250" s="649"/>
      <c r="AJ250" s="649"/>
      <c r="AK250" s="649"/>
      <c r="AL250" s="649"/>
      <c r="AM250" s="649"/>
      <c r="AN250" s="649"/>
      <c r="AO250" s="649"/>
      <c r="AP250" s="649"/>
      <c r="AQ250" s="649"/>
      <c r="AR250" s="649"/>
      <c r="AS250" s="649"/>
      <c r="AT250" s="649"/>
      <c r="AU250" s="649"/>
      <c r="AV250" s="649"/>
      <c r="AW250" s="649"/>
      <c r="AX250" s="649"/>
      <c r="AY250" s="649"/>
      <c r="AZ250" s="649"/>
      <c r="BA250" s="649"/>
      <c r="BB250" s="649"/>
      <c r="BC250" s="649"/>
      <c r="BD250" s="649"/>
    </row>
    <row r="251" spans="1:56" s="648" customFormat="1" ht="12" customHeight="1">
      <c r="A251" s="726"/>
      <c r="B251" s="725">
        <v>43257</v>
      </c>
      <c r="C251" s="724" t="s">
        <v>39</v>
      </c>
      <c r="D251" s="723">
        <v>45</v>
      </c>
      <c r="E251" s="723">
        <f t="shared" si="15"/>
        <v>0</v>
      </c>
      <c r="F251" s="723"/>
      <c r="G251" s="723"/>
      <c r="H251" s="723"/>
      <c r="I251" s="723">
        <v>45</v>
      </c>
      <c r="J251" s="723"/>
      <c r="K251" s="723"/>
      <c r="L251" s="723"/>
      <c r="M251" s="723"/>
      <c r="N251" s="723"/>
      <c r="O251" s="743"/>
      <c r="P251" s="743"/>
      <c r="Q251" s="743"/>
      <c r="R251" s="743"/>
      <c r="S251" s="743"/>
      <c r="U251" s="649"/>
      <c r="V251" s="649"/>
      <c r="W251" s="649"/>
      <c r="X251" s="649"/>
      <c r="Y251" s="649"/>
      <c r="Z251" s="649"/>
      <c r="AA251" s="649"/>
      <c r="AB251" s="649"/>
      <c r="AC251" s="649"/>
      <c r="AD251" s="649"/>
      <c r="AE251" s="649"/>
      <c r="AF251" s="649"/>
      <c r="AG251" s="649"/>
      <c r="AH251" s="649"/>
      <c r="AI251" s="649"/>
      <c r="AJ251" s="649"/>
      <c r="AK251" s="649"/>
      <c r="AL251" s="649"/>
      <c r="AM251" s="649"/>
      <c r="AN251" s="649"/>
      <c r="AO251" s="649"/>
      <c r="AP251" s="649"/>
      <c r="AQ251" s="649"/>
      <c r="AR251" s="649"/>
      <c r="AS251" s="649"/>
      <c r="AT251" s="649"/>
      <c r="AU251" s="649"/>
      <c r="AV251" s="649"/>
      <c r="AW251" s="649"/>
      <c r="AX251" s="649"/>
      <c r="AY251" s="649"/>
      <c r="AZ251" s="649"/>
      <c r="BA251" s="649"/>
      <c r="BB251" s="649"/>
      <c r="BC251" s="649"/>
      <c r="BD251" s="649"/>
    </row>
    <row r="252" spans="1:56" s="648" customFormat="1" ht="12" customHeight="1">
      <c r="A252" s="726"/>
      <c r="B252" s="725">
        <v>43258</v>
      </c>
      <c r="C252" s="724" t="s">
        <v>40</v>
      </c>
      <c r="D252" s="723">
        <v>14</v>
      </c>
      <c r="E252" s="723">
        <f t="shared" si="15"/>
        <v>14</v>
      </c>
      <c r="F252" s="723"/>
      <c r="G252" s="723"/>
      <c r="H252" s="723"/>
      <c r="I252" s="723"/>
      <c r="J252" s="723"/>
      <c r="K252" s="723"/>
      <c r="L252" s="723"/>
      <c r="M252" s="723"/>
      <c r="N252" s="723"/>
      <c r="O252" s="743"/>
      <c r="P252" s="743"/>
      <c r="Q252" s="743"/>
      <c r="R252" s="743"/>
      <c r="S252" s="743"/>
      <c r="U252" s="649"/>
      <c r="V252" s="649"/>
      <c r="W252" s="649"/>
      <c r="X252" s="649"/>
      <c r="Y252" s="649"/>
      <c r="Z252" s="649"/>
      <c r="AA252" s="649"/>
      <c r="AB252" s="649"/>
      <c r="AC252" s="649"/>
      <c r="AD252" s="649"/>
      <c r="AE252" s="649"/>
      <c r="AF252" s="649"/>
      <c r="AG252" s="649"/>
      <c r="AH252" s="649"/>
      <c r="AI252" s="649"/>
      <c r="AJ252" s="649"/>
      <c r="AK252" s="649"/>
      <c r="AL252" s="649"/>
      <c r="AM252" s="649"/>
      <c r="AN252" s="649"/>
      <c r="AO252" s="649"/>
      <c r="AP252" s="649"/>
      <c r="AQ252" s="649"/>
      <c r="AR252" s="649"/>
      <c r="AS252" s="649"/>
      <c r="AT252" s="649"/>
      <c r="AU252" s="649"/>
      <c r="AV252" s="649"/>
      <c r="AW252" s="649"/>
      <c r="AX252" s="649"/>
      <c r="AY252" s="649"/>
      <c r="AZ252" s="649"/>
      <c r="BA252" s="649"/>
      <c r="BB252" s="649"/>
      <c r="BC252" s="649"/>
      <c r="BD252" s="649"/>
    </row>
    <row r="253" spans="1:56" s="648" customFormat="1" ht="12" customHeight="1">
      <c r="A253" s="726"/>
      <c r="B253" s="725">
        <v>43258</v>
      </c>
      <c r="C253" s="724" t="s">
        <v>39</v>
      </c>
      <c r="D253" s="723">
        <v>73</v>
      </c>
      <c r="E253" s="723">
        <f t="shared" si="15"/>
        <v>28</v>
      </c>
      <c r="F253" s="723"/>
      <c r="G253" s="723"/>
      <c r="H253" s="723"/>
      <c r="I253" s="723">
        <v>45</v>
      </c>
      <c r="J253" s="723"/>
      <c r="K253" s="723"/>
      <c r="L253" s="723"/>
      <c r="M253" s="723"/>
      <c r="N253" s="723"/>
      <c r="O253" s="743"/>
      <c r="P253" s="743"/>
      <c r="Q253" s="743"/>
      <c r="R253" s="743"/>
      <c r="S253" s="743"/>
      <c r="U253" s="649"/>
      <c r="V253" s="649"/>
      <c r="W253" s="649"/>
      <c r="X253" s="649"/>
      <c r="Y253" s="649"/>
      <c r="Z253" s="649"/>
      <c r="AA253" s="649"/>
      <c r="AB253" s="649"/>
      <c r="AC253" s="649"/>
      <c r="AD253" s="649"/>
      <c r="AE253" s="649"/>
      <c r="AF253" s="649"/>
      <c r="AG253" s="649"/>
      <c r="AH253" s="649"/>
      <c r="AI253" s="649"/>
      <c r="AJ253" s="649"/>
      <c r="AK253" s="649"/>
      <c r="AL253" s="649"/>
      <c r="AM253" s="649"/>
      <c r="AN253" s="649"/>
      <c r="AO253" s="649"/>
      <c r="AP253" s="649"/>
      <c r="AQ253" s="649"/>
      <c r="AR253" s="649"/>
      <c r="AS253" s="649"/>
      <c r="AT253" s="649"/>
      <c r="AU253" s="649"/>
      <c r="AV253" s="649"/>
      <c r="AW253" s="649"/>
      <c r="AX253" s="649"/>
      <c r="AY253" s="649"/>
      <c r="AZ253" s="649"/>
      <c r="BA253" s="649"/>
      <c r="BB253" s="649"/>
      <c r="BC253" s="649"/>
      <c r="BD253" s="649"/>
    </row>
    <row r="254" spans="1:56" s="648" customFormat="1" ht="12" customHeight="1">
      <c r="A254" s="726"/>
      <c r="B254" s="725">
        <v>43261</v>
      </c>
      <c r="C254" s="724" t="s">
        <v>451</v>
      </c>
      <c r="D254" s="723">
        <v>153.94999999999999</v>
      </c>
      <c r="E254" s="723">
        <f t="shared" si="15"/>
        <v>153.94999999999999</v>
      </c>
      <c r="F254" s="723"/>
      <c r="G254" s="723"/>
      <c r="H254" s="723"/>
      <c r="I254" s="723"/>
      <c r="J254" s="723"/>
      <c r="K254" s="723"/>
      <c r="L254" s="723"/>
      <c r="M254" s="723"/>
      <c r="N254" s="723"/>
      <c r="O254" s="743"/>
      <c r="P254" s="743"/>
      <c r="Q254" s="743"/>
      <c r="R254" s="743"/>
      <c r="S254" s="743"/>
      <c r="U254" s="649"/>
      <c r="V254" s="649"/>
      <c r="W254" s="649"/>
      <c r="X254" s="649"/>
      <c r="Y254" s="649"/>
      <c r="Z254" s="649"/>
      <c r="AA254" s="649"/>
      <c r="AB254" s="649"/>
      <c r="AC254" s="649"/>
      <c r="AD254" s="649"/>
      <c r="AE254" s="649"/>
      <c r="AF254" s="649"/>
      <c r="AG254" s="649"/>
      <c r="AH254" s="649"/>
      <c r="AI254" s="649"/>
      <c r="AJ254" s="649"/>
      <c r="AK254" s="649"/>
      <c r="AL254" s="649"/>
      <c r="AM254" s="649"/>
      <c r="AN254" s="649"/>
      <c r="AO254" s="649"/>
      <c r="AP254" s="649"/>
      <c r="AQ254" s="649"/>
      <c r="AR254" s="649"/>
      <c r="AS254" s="649"/>
      <c r="AT254" s="649"/>
      <c r="AU254" s="649"/>
      <c r="AV254" s="649"/>
      <c r="AW254" s="649"/>
      <c r="AX254" s="649"/>
      <c r="AY254" s="649"/>
      <c r="AZ254" s="649"/>
      <c r="BA254" s="649"/>
      <c r="BB254" s="649"/>
      <c r="BC254" s="649"/>
      <c r="BD254" s="649"/>
    </row>
    <row r="255" spans="1:56" s="648" customFormat="1" ht="12" customHeight="1">
      <c r="A255" s="726"/>
      <c r="B255" s="725">
        <v>43261</v>
      </c>
      <c r="C255" s="724" t="s">
        <v>39</v>
      </c>
      <c r="D255" s="723">
        <v>132.94999999999999</v>
      </c>
      <c r="E255" s="723">
        <f t="shared" si="15"/>
        <v>132.94999999999999</v>
      </c>
      <c r="F255" s="723"/>
      <c r="G255" s="723"/>
      <c r="H255" s="723"/>
      <c r="I255" s="723"/>
      <c r="J255" s="723"/>
      <c r="K255" s="723"/>
      <c r="L255" s="723"/>
      <c r="M255" s="723"/>
      <c r="N255" s="723"/>
      <c r="O255" s="743"/>
      <c r="P255" s="743"/>
      <c r="Q255" s="743"/>
      <c r="R255" s="743"/>
      <c r="S255" s="743"/>
      <c r="U255" s="649"/>
      <c r="V255" s="649"/>
      <c r="W255" s="649"/>
      <c r="X255" s="649"/>
      <c r="Y255" s="649"/>
      <c r="Z255" s="649"/>
      <c r="AA255" s="649"/>
      <c r="AB255" s="649"/>
      <c r="AC255" s="649"/>
      <c r="AD255" s="649"/>
      <c r="AE255" s="649"/>
      <c r="AF255" s="649"/>
      <c r="AG255" s="649"/>
      <c r="AH255" s="649"/>
      <c r="AI255" s="649"/>
      <c r="AJ255" s="649"/>
      <c r="AK255" s="649"/>
      <c r="AL255" s="649"/>
      <c r="AM255" s="649"/>
      <c r="AN255" s="649"/>
      <c r="AO255" s="649"/>
      <c r="AP255" s="649"/>
      <c r="AQ255" s="649"/>
      <c r="AR255" s="649"/>
      <c r="AS255" s="649"/>
      <c r="AT255" s="649"/>
      <c r="AU255" s="649"/>
      <c r="AV255" s="649"/>
      <c r="AW255" s="649"/>
      <c r="AX255" s="649"/>
      <c r="AY255" s="649"/>
      <c r="AZ255" s="649"/>
      <c r="BA255" s="649"/>
      <c r="BB255" s="649"/>
      <c r="BC255" s="649"/>
      <c r="BD255" s="649"/>
    </row>
    <row r="256" spans="1:56" s="648" customFormat="1" ht="12" customHeight="1">
      <c r="A256" s="726"/>
      <c r="B256" s="725">
        <v>43262</v>
      </c>
      <c r="C256" s="724" t="s">
        <v>451</v>
      </c>
      <c r="D256" s="723">
        <v>134.65</v>
      </c>
      <c r="E256" s="723">
        <f t="shared" si="15"/>
        <v>134.65</v>
      </c>
      <c r="F256" s="723">
        <v>48.45</v>
      </c>
      <c r="G256" s="723"/>
      <c r="H256" s="723"/>
      <c r="I256" s="723"/>
      <c r="J256" s="723"/>
      <c r="K256" s="723"/>
      <c r="L256" s="723"/>
      <c r="M256" s="723"/>
      <c r="N256" s="723"/>
      <c r="O256" s="743"/>
      <c r="P256" s="743"/>
      <c r="Q256" s="743"/>
      <c r="R256" s="743"/>
      <c r="S256" s="743"/>
      <c r="U256" s="649"/>
      <c r="V256" s="649"/>
      <c r="W256" s="649"/>
      <c r="X256" s="649"/>
      <c r="Y256" s="649"/>
      <c r="Z256" s="649"/>
      <c r="AA256" s="649"/>
      <c r="AB256" s="649"/>
      <c r="AC256" s="649"/>
      <c r="AD256" s="649"/>
      <c r="AE256" s="649"/>
      <c r="AF256" s="649"/>
      <c r="AG256" s="649"/>
      <c r="AH256" s="649"/>
      <c r="AI256" s="649"/>
      <c r="AJ256" s="649"/>
      <c r="AK256" s="649"/>
      <c r="AL256" s="649"/>
      <c r="AM256" s="649"/>
      <c r="AN256" s="649"/>
      <c r="AO256" s="649"/>
      <c r="AP256" s="649"/>
      <c r="AQ256" s="649"/>
      <c r="AR256" s="649"/>
      <c r="AS256" s="649"/>
      <c r="AT256" s="649"/>
      <c r="AU256" s="649"/>
      <c r="AV256" s="649"/>
      <c r="AW256" s="649"/>
      <c r="AX256" s="649"/>
      <c r="AY256" s="649"/>
      <c r="AZ256" s="649"/>
      <c r="BA256" s="649"/>
      <c r="BB256" s="649"/>
      <c r="BC256" s="649"/>
      <c r="BD256" s="649"/>
    </row>
    <row r="257" spans="1:56" s="648" customFormat="1" ht="12" customHeight="1">
      <c r="A257" s="726"/>
      <c r="B257" s="725">
        <v>43264</v>
      </c>
      <c r="C257" s="724" t="s">
        <v>39</v>
      </c>
      <c r="D257" s="723">
        <v>13.95</v>
      </c>
      <c r="E257" s="723">
        <f t="shared" si="15"/>
        <v>13.95</v>
      </c>
      <c r="F257" s="723"/>
      <c r="G257" s="723"/>
      <c r="H257" s="723"/>
      <c r="I257" s="723"/>
      <c r="J257" s="723"/>
      <c r="K257" s="723"/>
      <c r="L257" s="723"/>
      <c r="M257" s="723"/>
      <c r="N257" s="723"/>
      <c r="O257" s="743"/>
      <c r="P257" s="743"/>
      <c r="Q257" s="743"/>
      <c r="R257" s="743"/>
      <c r="S257" s="743"/>
      <c r="U257" s="649"/>
      <c r="V257" s="649"/>
      <c r="W257" s="649"/>
      <c r="X257" s="649"/>
      <c r="Y257" s="649"/>
      <c r="Z257" s="649"/>
      <c r="AA257" s="649"/>
      <c r="AB257" s="649"/>
      <c r="AC257" s="649"/>
      <c r="AD257" s="649"/>
      <c r="AE257" s="649"/>
      <c r="AF257" s="649"/>
      <c r="AG257" s="649"/>
      <c r="AH257" s="649"/>
      <c r="AI257" s="649"/>
      <c r="AJ257" s="649"/>
      <c r="AK257" s="649"/>
      <c r="AL257" s="649"/>
      <c r="AM257" s="649"/>
      <c r="AN257" s="649"/>
      <c r="AO257" s="649"/>
      <c r="AP257" s="649"/>
      <c r="AQ257" s="649"/>
      <c r="AR257" s="649"/>
      <c r="AS257" s="649"/>
      <c r="AT257" s="649"/>
      <c r="AU257" s="649"/>
      <c r="AV257" s="649"/>
      <c r="AW257" s="649"/>
      <c r="AX257" s="649"/>
      <c r="AY257" s="649"/>
      <c r="AZ257" s="649"/>
      <c r="BA257" s="649"/>
      <c r="BB257" s="649"/>
      <c r="BC257" s="649"/>
      <c r="BD257" s="649"/>
    </row>
    <row r="258" spans="1:56" s="648" customFormat="1" ht="12" customHeight="1">
      <c r="A258" s="726"/>
      <c r="B258" s="725">
        <v>43264</v>
      </c>
      <c r="C258" s="724" t="s">
        <v>451</v>
      </c>
      <c r="D258" s="723">
        <v>132.65</v>
      </c>
      <c r="E258" s="723">
        <f t="shared" si="15"/>
        <v>117.65</v>
      </c>
      <c r="F258" s="723"/>
      <c r="G258" s="723"/>
      <c r="H258" s="723"/>
      <c r="I258" s="723">
        <v>15</v>
      </c>
      <c r="J258" s="723"/>
      <c r="K258" s="723"/>
      <c r="L258" s="723"/>
      <c r="M258" s="723"/>
      <c r="N258" s="723"/>
      <c r="O258" s="743"/>
      <c r="P258" s="743"/>
      <c r="Q258" s="743"/>
      <c r="R258" s="743"/>
      <c r="S258" s="743"/>
      <c r="U258" s="649"/>
      <c r="V258" s="649"/>
      <c r="W258" s="649"/>
      <c r="X258" s="649"/>
      <c r="Y258" s="649"/>
      <c r="Z258" s="649"/>
      <c r="AA258" s="649"/>
      <c r="AB258" s="649"/>
      <c r="AC258" s="649"/>
      <c r="AD258" s="649"/>
      <c r="AE258" s="649"/>
      <c r="AF258" s="649"/>
      <c r="AG258" s="649"/>
      <c r="AH258" s="649"/>
      <c r="AI258" s="649"/>
      <c r="AJ258" s="649"/>
      <c r="AK258" s="649"/>
      <c r="AL258" s="649"/>
      <c r="AM258" s="649"/>
      <c r="AN258" s="649"/>
      <c r="AO258" s="649"/>
      <c r="AP258" s="649"/>
      <c r="AQ258" s="649"/>
      <c r="AR258" s="649"/>
      <c r="AS258" s="649"/>
      <c r="AT258" s="649"/>
      <c r="AU258" s="649"/>
      <c r="AV258" s="649"/>
      <c r="AW258" s="649"/>
      <c r="AX258" s="649"/>
      <c r="AY258" s="649"/>
      <c r="AZ258" s="649"/>
      <c r="BA258" s="649"/>
      <c r="BB258" s="649"/>
      <c r="BC258" s="649"/>
      <c r="BD258" s="649"/>
    </row>
    <row r="259" spans="1:56" s="648" customFormat="1" ht="12" customHeight="1">
      <c r="A259" s="726"/>
      <c r="B259" s="725">
        <v>43265</v>
      </c>
      <c r="C259" s="724" t="s">
        <v>451</v>
      </c>
      <c r="D259" s="723">
        <v>92.5</v>
      </c>
      <c r="E259" s="723">
        <f t="shared" si="15"/>
        <v>76.75</v>
      </c>
      <c r="F259" s="723">
        <v>12.75</v>
      </c>
      <c r="G259" s="723"/>
      <c r="H259" s="723"/>
      <c r="I259" s="723">
        <v>15.75</v>
      </c>
      <c r="J259" s="723"/>
      <c r="K259" s="723"/>
      <c r="L259" s="723"/>
      <c r="M259" s="723"/>
      <c r="N259" s="723"/>
      <c r="O259" s="743"/>
      <c r="P259" s="743"/>
      <c r="Q259" s="743"/>
      <c r="R259" s="743"/>
      <c r="S259" s="743"/>
      <c r="U259" s="649"/>
      <c r="V259" s="649"/>
      <c r="W259" s="649"/>
      <c r="X259" s="649"/>
      <c r="Y259" s="649"/>
      <c r="Z259" s="649"/>
      <c r="AA259" s="649"/>
      <c r="AB259" s="649"/>
      <c r="AC259" s="649"/>
      <c r="AD259" s="649"/>
      <c r="AE259" s="649"/>
      <c r="AF259" s="649"/>
      <c r="AG259" s="649"/>
      <c r="AH259" s="649"/>
      <c r="AI259" s="649"/>
      <c r="AJ259" s="649"/>
      <c r="AK259" s="649"/>
      <c r="AL259" s="649"/>
      <c r="AM259" s="649"/>
      <c r="AN259" s="649"/>
      <c r="AO259" s="649"/>
      <c r="AP259" s="649"/>
      <c r="AQ259" s="649"/>
      <c r="AR259" s="649"/>
      <c r="AS259" s="649"/>
      <c r="AT259" s="649"/>
      <c r="AU259" s="649"/>
      <c r="AV259" s="649"/>
      <c r="AW259" s="649"/>
      <c r="AX259" s="649"/>
      <c r="AY259" s="649"/>
      <c r="AZ259" s="649"/>
      <c r="BA259" s="649"/>
      <c r="BB259" s="649"/>
      <c r="BC259" s="649"/>
      <c r="BD259" s="649"/>
    </row>
    <row r="260" spans="1:56" s="648" customFormat="1" ht="12" customHeight="1">
      <c r="A260" s="726"/>
      <c r="B260" s="725">
        <v>43265</v>
      </c>
      <c r="C260" s="724" t="s">
        <v>39</v>
      </c>
      <c r="D260" s="723">
        <v>120</v>
      </c>
      <c r="E260" s="723">
        <f t="shared" si="15"/>
        <v>105</v>
      </c>
      <c r="F260" s="723"/>
      <c r="G260" s="723"/>
      <c r="H260" s="723"/>
      <c r="I260" s="723">
        <v>15</v>
      </c>
      <c r="J260" s="723"/>
      <c r="K260" s="723"/>
      <c r="L260" s="723"/>
      <c r="M260" s="723"/>
      <c r="N260" s="723"/>
      <c r="O260" s="743"/>
      <c r="P260" s="743"/>
      <c r="Q260" s="743"/>
      <c r="R260" s="743"/>
      <c r="S260" s="743"/>
      <c r="U260" s="649"/>
      <c r="V260" s="649"/>
      <c r="W260" s="649"/>
      <c r="X260" s="649"/>
      <c r="Y260" s="649"/>
      <c r="Z260" s="649"/>
      <c r="AA260" s="649"/>
      <c r="AB260" s="649"/>
      <c r="AC260" s="649"/>
      <c r="AD260" s="649"/>
      <c r="AE260" s="649"/>
      <c r="AF260" s="649"/>
      <c r="AG260" s="649"/>
      <c r="AH260" s="649"/>
      <c r="AI260" s="649"/>
      <c r="AJ260" s="649"/>
      <c r="AK260" s="649"/>
      <c r="AL260" s="649"/>
      <c r="AM260" s="649"/>
      <c r="AN260" s="649"/>
      <c r="AO260" s="649"/>
      <c r="AP260" s="649"/>
      <c r="AQ260" s="649"/>
      <c r="AR260" s="649"/>
      <c r="AS260" s="649"/>
      <c r="AT260" s="649"/>
      <c r="AU260" s="649"/>
      <c r="AV260" s="649"/>
      <c r="AW260" s="649"/>
      <c r="AX260" s="649"/>
      <c r="AY260" s="649"/>
      <c r="AZ260" s="649"/>
      <c r="BA260" s="649"/>
      <c r="BB260" s="649"/>
      <c r="BC260" s="649"/>
      <c r="BD260" s="649"/>
    </row>
    <row r="261" spans="1:56" s="648" customFormat="1" ht="12" customHeight="1">
      <c r="A261" s="726"/>
      <c r="B261" s="725">
        <v>43266</v>
      </c>
      <c r="C261" s="724" t="s">
        <v>39</v>
      </c>
      <c r="D261" s="723">
        <v>139.44999999999999</v>
      </c>
      <c r="E261" s="723">
        <f t="shared" si="15"/>
        <v>109.44999999999999</v>
      </c>
      <c r="F261" s="723"/>
      <c r="G261" s="723"/>
      <c r="H261" s="723"/>
      <c r="I261" s="723">
        <v>30</v>
      </c>
      <c r="J261" s="723"/>
      <c r="K261" s="723"/>
      <c r="L261" s="723"/>
      <c r="M261" s="723"/>
      <c r="N261" s="723"/>
      <c r="O261" s="743"/>
      <c r="P261" s="743"/>
      <c r="Q261" s="743"/>
      <c r="R261" s="743"/>
      <c r="S261" s="743"/>
      <c r="U261" s="649"/>
      <c r="V261" s="649"/>
      <c r="W261" s="649"/>
      <c r="X261" s="649"/>
      <c r="Y261" s="649"/>
      <c r="Z261" s="649"/>
      <c r="AA261" s="649"/>
      <c r="AB261" s="649"/>
      <c r="AC261" s="649"/>
      <c r="AD261" s="649"/>
      <c r="AE261" s="649"/>
      <c r="AF261" s="649"/>
      <c r="AG261" s="649"/>
      <c r="AH261" s="649"/>
      <c r="AI261" s="649"/>
      <c r="AJ261" s="649"/>
      <c r="AK261" s="649"/>
      <c r="AL261" s="649"/>
      <c r="AM261" s="649"/>
      <c r="AN261" s="649"/>
      <c r="AO261" s="649"/>
      <c r="AP261" s="649"/>
      <c r="AQ261" s="649"/>
      <c r="AR261" s="649"/>
      <c r="AS261" s="649"/>
      <c r="AT261" s="649"/>
      <c r="AU261" s="649"/>
      <c r="AV261" s="649"/>
      <c r="AW261" s="649"/>
      <c r="AX261" s="649"/>
      <c r="AY261" s="649"/>
      <c r="AZ261" s="649"/>
      <c r="BA261" s="649"/>
      <c r="BB261" s="649"/>
      <c r="BC261" s="649"/>
      <c r="BD261" s="649"/>
    </row>
    <row r="262" spans="1:56" s="648" customFormat="1" ht="12" customHeight="1">
      <c r="A262" s="726"/>
      <c r="B262" s="725">
        <v>43268</v>
      </c>
      <c r="C262" s="724" t="s">
        <v>39</v>
      </c>
      <c r="D262" s="723">
        <v>99.5</v>
      </c>
      <c r="E262" s="723">
        <f t="shared" si="15"/>
        <v>74</v>
      </c>
      <c r="F262" s="723"/>
      <c r="G262" s="723"/>
      <c r="H262" s="723"/>
      <c r="I262" s="723">
        <v>25.5</v>
      </c>
      <c r="J262" s="723"/>
      <c r="K262" s="723"/>
      <c r="L262" s="723"/>
      <c r="M262" s="723"/>
      <c r="N262" s="723"/>
      <c r="O262" s="743"/>
      <c r="P262" s="743"/>
      <c r="Q262" s="743"/>
      <c r="R262" s="743"/>
      <c r="S262" s="743"/>
      <c r="U262" s="649"/>
      <c r="V262" s="649"/>
      <c r="W262" s="649"/>
      <c r="X262" s="649"/>
      <c r="Y262" s="649"/>
      <c r="Z262" s="649"/>
      <c r="AA262" s="649"/>
      <c r="AB262" s="649"/>
      <c r="AC262" s="649"/>
      <c r="AD262" s="649"/>
      <c r="AE262" s="649"/>
      <c r="AF262" s="649"/>
      <c r="AG262" s="649"/>
      <c r="AH262" s="649"/>
      <c r="AI262" s="649"/>
      <c r="AJ262" s="649"/>
      <c r="AK262" s="649"/>
      <c r="AL262" s="649"/>
      <c r="AM262" s="649"/>
      <c r="AN262" s="649"/>
      <c r="AO262" s="649"/>
      <c r="AP262" s="649"/>
      <c r="AQ262" s="649"/>
      <c r="AR262" s="649"/>
      <c r="AS262" s="649"/>
      <c r="AT262" s="649"/>
      <c r="AU262" s="649"/>
      <c r="AV262" s="649"/>
      <c r="AW262" s="649"/>
      <c r="AX262" s="649"/>
      <c r="AY262" s="649"/>
      <c r="AZ262" s="649"/>
      <c r="BA262" s="649"/>
      <c r="BB262" s="649"/>
      <c r="BC262" s="649"/>
      <c r="BD262" s="649"/>
    </row>
    <row r="263" spans="1:56" s="648" customFormat="1" ht="12" customHeight="1">
      <c r="A263" s="726"/>
      <c r="B263" s="725">
        <v>17.600000000000001</v>
      </c>
      <c r="C263" s="724" t="s">
        <v>451</v>
      </c>
      <c r="D263" s="723">
        <v>45.94</v>
      </c>
      <c r="E263" s="723">
        <f t="shared" si="15"/>
        <v>29.939999999999998</v>
      </c>
      <c r="F263" s="723"/>
      <c r="G263" s="723"/>
      <c r="H263" s="723"/>
      <c r="I263" s="723">
        <v>16</v>
      </c>
      <c r="J263" s="723"/>
      <c r="K263" s="723"/>
      <c r="L263" s="723"/>
      <c r="M263" s="723"/>
      <c r="N263" s="723"/>
      <c r="O263" s="743"/>
      <c r="P263" s="743"/>
      <c r="Q263" s="743"/>
      <c r="R263" s="743"/>
      <c r="S263" s="743"/>
      <c r="U263" s="649"/>
      <c r="V263" s="649"/>
      <c r="W263" s="649"/>
      <c r="X263" s="649"/>
      <c r="Y263" s="649"/>
      <c r="Z263" s="649"/>
      <c r="AA263" s="649"/>
      <c r="AB263" s="649"/>
      <c r="AC263" s="649"/>
      <c r="AD263" s="649"/>
      <c r="AE263" s="649"/>
      <c r="AF263" s="649"/>
      <c r="AG263" s="649"/>
      <c r="AH263" s="649"/>
      <c r="AI263" s="649"/>
      <c r="AJ263" s="649"/>
      <c r="AK263" s="649"/>
      <c r="AL263" s="649"/>
      <c r="AM263" s="649"/>
      <c r="AN263" s="649"/>
      <c r="AO263" s="649"/>
      <c r="AP263" s="649"/>
      <c r="AQ263" s="649"/>
      <c r="AR263" s="649"/>
      <c r="AS263" s="649"/>
      <c r="AT263" s="649"/>
      <c r="AU263" s="649"/>
      <c r="AV263" s="649"/>
      <c r="AW263" s="649"/>
      <c r="AX263" s="649"/>
      <c r="AY263" s="649"/>
      <c r="AZ263" s="649"/>
      <c r="BA263" s="649"/>
      <c r="BB263" s="649"/>
      <c r="BC263" s="649"/>
      <c r="BD263" s="649"/>
    </row>
    <row r="264" spans="1:56" s="648" customFormat="1" ht="12" customHeight="1">
      <c r="A264" s="726"/>
      <c r="B264" s="725">
        <v>43269</v>
      </c>
      <c r="C264" s="724" t="s">
        <v>40</v>
      </c>
      <c r="D264" s="723">
        <v>44.45</v>
      </c>
      <c r="E264" s="723">
        <f t="shared" si="15"/>
        <v>44.45</v>
      </c>
      <c r="F264" s="723"/>
      <c r="G264" s="723"/>
      <c r="H264" s="723"/>
      <c r="I264" s="723"/>
      <c r="J264" s="723"/>
      <c r="K264" s="723"/>
      <c r="L264" s="723"/>
      <c r="M264" s="723"/>
      <c r="N264" s="723"/>
      <c r="O264" s="743"/>
      <c r="P264" s="743"/>
      <c r="Q264" s="743"/>
      <c r="R264" s="743"/>
      <c r="S264" s="743"/>
      <c r="U264" s="649"/>
      <c r="V264" s="649"/>
      <c r="W264" s="649"/>
      <c r="X264" s="649"/>
      <c r="Y264" s="649"/>
      <c r="Z264" s="649"/>
      <c r="AA264" s="649"/>
      <c r="AB264" s="649"/>
      <c r="AC264" s="649"/>
      <c r="AD264" s="649"/>
      <c r="AE264" s="649"/>
      <c r="AF264" s="649"/>
      <c r="AG264" s="649"/>
      <c r="AH264" s="649"/>
      <c r="AI264" s="649"/>
      <c r="AJ264" s="649"/>
      <c r="AK264" s="649"/>
      <c r="AL264" s="649"/>
      <c r="AM264" s="649"/>
      <c r="AN264" s="649"/>
      <c r="AO264" s="649"/>
      <c r="AP264" s="649"/>
      <c r="AQ264" s="649"/>
      <c r="AR264" s="649"/>
      <c r="AS264" s="649"/>
      <c r="AT264" s="649"/>
      <c r="AU264" s="649"/>
      <c r="AV264" s="649"/>
      <c r="AW264" s="649"/>
      <c r="AX264" s="649"/>
      <c r="AY264" s="649"/>
      <c r="AZ264" s="649"/>
      <c r="BA264" s="649"/>
      <c r="BB264" s="649"/>
      <c r="BC264" s="649"/>
      <c r="BD264" s="649"/>
    </row>
    <row r="265" spans="1:56" s="648" customFormat="1" ht="12" customHeight="1">
      <c r="A265" s="726"/>
      <c r="B265" s="725">
        <v>43269</v>
      </c>
      <c r="C265" s="724" t="s">
        <v>39</v>
      </c>
      <c r="D265" s="723">
        <v>70.849999999999994</v>
      </c>
      <c r="E265" s="723">
        <f t="shared" si="15"/>
        <v>70.849999999999994</v>
      </c>
      <c r="F265" s="723"/>
      <c r="G265" s="723"/>
      <c r="H265" s="723"/>
      <c r="I265" s="723"/>
      <c r="J265" s="723"/>
      <c r="K265" s="723"/>
      <c r="L265" s="723"/>
      <c r="M265" s="723"/>
      <c r="N265" s="723"/>
      <c r="O265" s="743"/>
      <c r="P265" s="743"/>
      <c r="Q265" s="743"/>
      <c r="R265" s="743"/>
      <c r="S265" s="743"/>
      <c r="U265" s="649"/>
      <c r="V265" s="649"/>
      <c r="W265" s="649"/>
      <c r="X265" s="649"/>
      <c r="Y265" s="649"/>
      <c r="Z265" s="649"/>
      <c r="AA265" s="649"/>
      <c r="AB265" s="649"/>
      <c r="AC265" s="649"/>
      <c r="AD265" s="649"/>
      <c r="AE265" s="649"/>
      <c r="AF265" s="649"/>
      <c r="AG265" s="649"/>
      <c r="AH265" s="649"/>
      <c r="AI265" s="649"/>
      <c r="AJ265" s="649"/>
      <c r="AK265" s="649"/>
      <c r="AL265" s="649"/>
      <c r="AM265" s="649"/>
      <c r="AN265" s="649"/>
      <c r="AO265" s="649"/>
      <c r="AP265" s="649"/>
      <c r="AQ265" s="649"/>
      <c r="AR265" s="649"/>
      <c r="AS265" s="649"/>
      <c r="AT265" s="649"/>
      <c r="AU265" s="649"/>
      <c r="AV265" s="649"/>
      <c r="AW265" s="649"/>
      <c r="AX265" s="649"/>
      <c r="AY265" s="649"/>
      <c r="AZ265" s="649"/>
      <c r="BA265" s="649"/>
      <c r="BB265" s="649"/>
      <c r="BC265" s="649"/>
      <c r="BD265" s="649"/>
    </row>
    <row r="266" spans="1:56" s="648" customFormat="1" ht="12" customHeight="1">
      <c r="A266" s="726"/>
      <c r="B266" s="725">
        <v>43269</v>
      </c>
      <c r="C266" s="724" t="s">
        <v>39</v>
      </c>
      <c r="D266" s="723">
        <v>35.049999999999997</v>
      </c>
      <c r="E266" s="723">
        <f t="shared" si="15"/>
        <v>35.049999999999997</v>
      </c>
      <c r="F266" s="723"/>
      <c r="G266" s="723"/>
      <c r="H266" s="723"/>
      <c r="I266" s="723"/>
      <c r="J266" s="723"/>
      <c r="K266" s="723"/>
      <c r="L266" s="723"/>
      <c r="M266" s="723"/>
      <c r="N266" s="723"/>
      <c r="O266" s="743"/>
      <c r="P266" s="743"/>
      <c r="Q266" s="743"/>
      <c r="R266" s="743"/>
      <c r="S266" s="743"/>
      <c r="U266" s="649"/>
      <c r="V266" s="649"/>
      <c r="W266" s="649"/>
      <c r="X266" s="649"/>
      <c r="Y266" s="649"/>
      <c r="Z266" s="649"/>
      <c r="AA266" s="649"/>
      <c r="AB266" s="649"/>
      <c r="AC266" s="649"/>
      <c r="AD266" s="649"/>
      <c r="AE266" s="649"/>
      <c r="AF266" s="649"/>
      <c r="AG266" s="649"/>
      <c r="AH266" s="649"/>
      <c r="AI266" s="649"/>
      <c r="AJ266" s="649"/>
      <c r="AK266" s="649"/>
      <c r="AL266" s="649"/>
      <c r="AM266" s="649"/>
      <c r="AN266" s="649"/>
      <c r="AO266" s="649"/>
      <c r="AP266" s="649"/>
      <c r="AQ266" s="649"/>
      <c r="AR266" s="649"/>
      <c r="AS266" s="649"/>
      <c r="AT266" s="649"/>
      <c r="AU266" s="649"/>
      <c r="AV266" s="649"/>
      <c r="AW266" s="649"/>
      <c r="AX266" s="649"/>
      <c r="AY266" s="649"/>
      <c r="AZ266" s="649"/>
      <c r="BA266" s="649"/>
      <c r="BB266" s="649"/>
      <c r="BC266" s="649"/>
      <c r="BD266" s="649"/>
    </row>
    <row r="267" spans="1:56" s="648" customFormat="1" ht="12" customHeight="1">
      <c r="A267" s="726"/>
      <c r="B267" s="725">
        <v>43270</v>
      </c>
      <c r="C267" s="724" t="s">
        <v>451</v>
      </c>
      <c r="D267" s="723">
        <v>128.35</v>
      </c>
      <c r="E267" s="723">
        <f t="shared" ref="E267:E283" si="16">D267-G267-H267-I267</f>
        <v>128.35</v>
      </c>
      <c r="F267" s="723"/>
      <c r="G267" s="723"/>
      <c r="H267" s="723"/>
      <c r="I267" s="723"/>
      <c r="J267" s="723"/>
      <c r="K267" s="723"/>
      <c r="L267" s="723"/>
      <c r="M267" s="723"/>
      <c r="N267" s="723"/>
      <c r="O267" s="743"/>
      <c r="P267" s="743"/>
      <c r="Q267" s="743"/>
      <c r="R267" s="743"/>
      <c r="S267" s="743"/>
      <c r="U267" s="649"/>
      <c r="V267" s="649"/>
      <c r="W267" s="649"/>
      <c r="X267" s="649"/>
      <c r="Y267" s="649"/>
      <c r="Z267" s="649"/>
      <c r="AA267" s="649"/>
      <c r="AB267" s="649"/>
      <c r="AC267" s="649"/>
      <c r="AD267" s="649"/>
      <c r="AE267" s="649"/>
      <c r="AF267" s="649"/>
      <c r="AG267" s="649"/>
      <c r="AH267" s="649"/>
      <c r="AI267" s="649"/>
      <c r="AJ267" s="649"/>
      <c r="AK267" s="649"/>
      <c r="AL267" s="649"/>
      <c r="AM267" s="649"/>
      <c r="AN267" s="649"/>
      <c r="AO267" s="649"/>
      <c r="AP267" s="649"/>
      <c r="AQ267" s="649"/>
      <c r="AR267" s="649"/>
      <c r="AS267" s="649"/>
      <c r="AT267" s="649"/>
      <c r="AU267" s="649"/>
      <c r="AV267" s="649"/>
      <c r="AW267" s="649"/>
      <c r="AX267" s="649"/>
      <c r="AY267" s="649"/>
      <c r="AZ267" s="649"/>
      <c r="BA267" s="649"/>
      <c r="BB267" s="649"/>
      <c r="BC267" s="649"/>
      <c r="BD267" s="649"/>
    </row>
    <row r="268" spans="1:56" s="648" customFormat="1" ht="12" customHeight="1">
      <c r="A268" s="726"/>
      <c r="B268" s="725">
        <v>43271</v>
      </c>
      <c r="C268" s="724" t="s">
        <v>39</v>
      </c>
      <c r="D268" s="723">
        <v>134.9</v>
      </c>
      <c r="E268" s="723">
        <f t="shared" si="16"/>
        <v>74</v>
      </c>
      <c r="F268" s="723"/>
      <c r="G268" s="723"/>
      <c r="H268" s="723"/>
      <c r="I268" s="723">
        <v>60.9</v>
      </c>
      <c r="J268" s="723"/>
      <c r="K268" s="723"/>
      <c r="L268" s="723"/>
      <c r="M268" s="723"/>
      <c r="N268" s="723"/>
      <c r="O268" s="743"/>
      <c r="P268" s="743"/>
      <c r="Q268" s="743"/>
      <c r="R268" s="743"/>
      <c r="S268" s="743"/>
      <c r="U268" s="649"/>
      <c r="V268" s="649"/>
      <c r="W268" s="649"/>
      <c r="X268" s="649"/>
      <c r="Y268" s="649"/>
      <c r="Z268" s="649"/>
      <c r="AA268" s="649"/>
      <c r="AB268" s="649"/>
      <c r="AC268" s="649"/>
      <c r="AD268" s="649"/>
      <c r="AE268" s="649"/>
      <c r="AF268" s="649"/>
      <c r="AG268" s="649"/>
      <c r="AH268" s="649"/>
      <c r="AI268" s="649"/>
      <c r="AJ268" s="649"/>
      <c r="AK268" s="649"/>
      <c r="AL268" s="649"/>
      <c r="AM268" s="649"/>
      <c r="AN268" s="649"/>
      <c r="AO268" s="649"/>
      <c r="AP268" s="649"/>
      <c r="AQ268" s="649"/>
      <c r="AR268" s="649"/>
      <c r="AS268" s="649"/>
      <c r="AT268" s="649"/>
      <c r="AU268" s="649"/>
      <c r="AV268" s="649"/>
      <c r="AW268" s="649"/>
      <c r="AX268" s="649"/>
      <c r="AY268" s="649"/>
      <c r="AZ268" s="649"/>
      <c r="BA268" s="649"/>
      <c r="BB268" s="649"/>
      <c r="BC268" s="649"/>
      <c r="BD268" s="649"/>
    </row>
    <row r="269" spans="1:56" s="648" customFormat="1" ht="12" customHeight="1">
      <c r="A269" s="726"/>
      <c r="B269" s="725">
        <v>43272</v>
      </c>
      <c r="C269" s="724" t="s">
        <v>39</v>
      </c>
      <c r="D269" s="723">
        <v>62.45</v>
      </c>
      <c r="E269" s="723">
        <f t="shared" si="16"/>
        <v>62.45</v>
      </c>
      <c r="F269" s="723"/>
      <c r="G269" s="723"/>
      <c r="H269" s="723"/>
      <c r="I269" s="723"/>
      <c r="J269" s="723"/>
      <c r="K269" s="723"/>
      <c r="L269" s="723"/>
      <c r="M269" s="723"/>
      <c r="N269" s="723"/>
      <c r="O269" s="743"/>
      <c r="P269" s="743"/>
      <c r="Q269" s="743"/>
      <c r="R269" s="743"/>
      <c r="S269" s="743"/>
      <c r="U269" s="649"/>
      <c r="V269" s="649"/>
      <c r="W269" s="649"/>
      <c r="X269" s="649"/>
      <c r="Y269" s="649"/>
      <c r="Z269" s="649"/>
      <c r="AA269" s="649"/>
      <c r="AB269" s="649"/>
      <c r="AC269" s="649"/>
      <c r="AD269" s="649"/>
      <c r="AE269" s="649"/>
      <c r="AF269" s="649"/>
      <c r="AG269" s="649"/>
      <c r="AH269" s="649"/>
      <c r="AI269" s="649"/>
      <c r="AJ269" s="649"/>
      <c r="AK269" s="649"/>
      <c r="AL269" s="649"/>
      <c r="AM269" s="649"/>
      <c r="AN269" s="649"/>
      <c r="AO269" s="649"/>
      <c r="AP269" s="649"/>
      <c r="AQ269" s="649"/>
      <c r="AR269" s="649"/>
      <c r="AS269" s="649"/>
      <c r="AT269" s="649"/>
      <c r="AU269" s="649"/>
      <c r="AV269" s="649"/>
      <c r="AW269" s="649"/>
      <c r="AX269" s="649"/>
      <c r="AY269" s="649"/>
      <c r="AZ269" s="649"/>
      <c r="BA269" s="649"/>
      <c r="BB269" s="649"/>
      <c r="BC269" s="649"/>
      <c r="BD269" s="649"/>
    </row>
    <row r="270" spans="1:56" s="648" customFormat="1" ht="12" customHeight="1">
      <c r="A270" s="726"/>
      <c r="B270" s="725">
        <v>43272</v>
      </c>
      <c r="C270" s="724" t="s">
        <v>451</v>
      </c>
      <c r="D270" s="723">
        <v>81.650000000000006</v>
      </c>
      <c r="E270" s="723">
        <f t="shared" si="16"/>
        <v>81.650000000000006</v>
      </c>
      <c r="F270" s="723"/>
      <c r="G270" s="723"/>
      <c r="H270" s="723"/>
      <c r="I270" s="723"/>
      <c r="J270" s="723"/>
      <c r="K270" s="723"/>
      <c r="L270" s="723"/>
      <c r="M270" s="723"/>
      <c r="N270" s="723"/>
      <c r="O270" s="743"/>
      <c r="P270" s="743"/>
      <c r="Q270" s="743"/>
      <c r="R270" s="743"/>
      <c r="S270" s="743"/>
      <c r="U270" s="649"/>
      <c r="V270" s="649"/>
      <c r="W270" s="649"/>
      <c r="X270" s="649"/>
      <c r="Y270" s="649"/>
      <c r="Z270" s="649"/>
      <c r="AA270" s="649"/>
      <c r="AB270" s="649"/>
      <c r="AC270" s="649"/>
      <c r="AD270" s="649"/>
      <c r="AE270" s="649"/>
      <c r="AF270" s="649"/>
      <c r="AG270" s="649"/>
      <c r="AH270" s="649"/>
      <c r="AI270" s="649"/>
      <c r="AJ270" s="649"/>
      <c r="AK270" s="649"/>
      <c r="AL270" s="649"/>
      <c r="AM270" s="649"/>
      <c r="AN270" s="649"/>
      <c r="AO270" s="649"/>
      <c r="AP270" s="649"/>
      <c r="AQ270" s="649"/>
      <c r="AR270" s="649"/>
      <c r="AS270" s="649"/>
      <c r="AT270" s="649"/>
      <c r="AU270" s="649"/>
      <c r="AV270" s="649"/>
      <c r="AW270" s="649"/>
      <c r="AX270" s="649"/>
      <c r="AY270" s="649"/>
      <c r="AZ270" s="649"/>
      <c r="BA270" s="649"/>
      <c r="BB270" s="649"/>
      <c r="BC270" s="649"/>
      <c r="BD270" s="649"/>
    </row>
    <row r="271" spans="1:56" s="648" customFormat="1" ht="12" customHeight="1">
      <c r="A271" s="726"/>
      <c r="B271" s="725">
        <v>43274</v>
      </c>
      <c r="C271" s="724" t="s">
        <v>451</v>
      </c>
      <c r="D271" s="723">
        <v>62.93</v>
      </c>
      <c r="E271" s="723">
        <f t="shared" si="16"/>
        <v>62.93</v>
      </c>
      <c r="F271" s="723"/>
      <c r="G271" s="723"/>
      <c r="H271" s="723"/>
      <c r="I271" s="723"/>
      <c r="J271" s="723"/>
      <c r="K271" s="723"/>
      <c r="L271" s="723"/>
      <c r="M271" s="723"/>
      <c r="N271" s="723"/>
      <c r="O271" s="743"/>
      <c r="P271" s="743"/>
      <c r="Q271" s="743"/>
      <c r="R271" s="743"/>
      <c r="S271" s="743"/>
      <c r="U271" s="649"/>
      <c r="V271" s="649"/>
      <c r="W271" s="649"/>
      <c r="X271" s="649"/>
      <c r="Y271" s="649"/>
      <c r="Z271" s="649"/>
      <c r="AA271" s="649"/>
      <c r="AB271" s="649"/>
      <c r="AC271" s="649"/>
      <c r="AD271" s="649"/>
      <c r="AE271" s="649"/>
      <c r="AF271" s="649"/>
      <c r="AG271" s="649"/>
      <c r="AH271" s="649"/>
      <c r="AI271" s="649"/>
      <c r="AJ271" s="649"/>
      <c r="AK271" s="649"/>
      <c r="AL271" s="649"/>
      <c r="AM271" s="649"/>
      <c r="AN271" s="649"/>
      <c r="AO271" s="649"/>
      <c r="AP271" s="649"/>
      <c r="AQ271" s="649"/>
      <c r="AR271" s="649"/>
      <c r="AS271" s="649"/>
      <c r="AT271" s="649"/>
      <c r="AU271" s="649"/>
      <c r="AV271" s="649"/>
      <c r="AW271" s="649"/>
      <c r="AX271" s="649"/>
      <c r="AY271" s="649"/>
      <c r="AZ271" s="649"/>
      <c r="BA271" s="649"/>
      <c r="BB271" s="649"/>
      <c r="BC271" s="649"/>
      <c r="BD271" s="649"/>
    </row>
    <row r="272" spans="1:56" s="648" customFormat="1" ht="12" customHeight="1">
      <c r="A272" s="726"/>
      <c r="B272" s="725">
        <v>43274</v>
      </c>
      <c r="C272" s="724" t="s">
        <v>124</v>
      </c>
      <c r="D272" s="723">
        <v>127.5</v>
      </c>
      <c r="E272" s="723">
        <f t="shared" si="16"/>
        <v>0</v>
      </c>
      <c r="F272" s="723"/>
      <c r="G272" s="723"/>
      <c r="H272" s="723">
        <v>127.5</v>
      </c>
      <c r="I272" s="723"/>
      <c r="J272" s="723"/>
      <c r="K272" s="723"/>
      <c r="L272" s="723"/>
      <c r="M272" s="723"/>
      <c r="N272" s="723"/>
      <c r="O272" s="743"/>
      <c r="P272" s="743"/>
      <c r="Q272" s="743"/>
      <c r="R272" s="743"/>
      <c r="S272" s="743"/>
      <c r="U272" s="649"/>
      <c r="V272" s="649"/>
      <c r="W272" s="649"/>
      <c r="X272" s="649"/>
      <c r="Y272" s="649"/>
      <c r="Z272" s="649"/>
      <c r="AA272" s="649"/>
      <c r="AB272" s="649"/>
      <c r="AC272" s="649"/>
      <c r="AD272" s="649"/>
      <c r="AE272" s="649"/>
      <c r="AF272" s="649"/>
      <c r="AG272" s="649"/>
      <c r="AH272" s="649"/>
      <c r="AI272" s="649"/>
      <c r="AJ272" s="649"/>
      <c r="AK272" s="649"/>
      <c r="AL272" s="649"/>
      <c r="AM272" s="649"/>
      <c r="AN272" s="649"/>
      <c r="AO272" s="649"/>
      <c r="AP272" s="649"/>
      <c r="AQ272" s="649"/>
      <c r="AR272" s="649"/>
      <c r="AS272" s="649"/>
      <c r="AT272" s="649"/>
      <c r="AU272" s="649"/>
      <c r="AV272" s="649"/>
      <c r="AW272" s="649"/>
      <c r="AX272" s="649"/>
      <c r="AY272" s="649"/>
      <c r="AZ272" s="649"/>
      <c r="BA272" s="649"/>
      <c r="BB272" s="649"/>
      <c r="BC272" s="649"/>
      <c r="BD272" s="649"/>
    </row>
    <row r="273" spans="1:56" s="648" customFormat="1" ht="12" customHeight="1">
      <c r="A273" s="726"/>
      <c r="B273" s="725">
        <v>43274</v>
      </c>
      <c r="C273" s="724" t="s">
        <v>39</v>
      </c>
      <c r="D273" s="723">
        <v>46</v>
      </c>
      <c r="E273" s="723">
        <f t="shared" si="16"/>
        <v>46</v>
      </c>
      <c r="F273" s="723"/>
      <c r="G273" s="723"/>
      <c r="H273" s="723"/>
      <c r="I273" s="723"/>
      <c r="J273" s="723"/>
      <c r="K273" s="723"/>
      <c r="L273" s="723"/>
      <c r="M273" s="723"/>
      <c r="N273" s="723"/>
      <c r="O273" s="743"/>
      <c r="P273" s="743"/>
      <c r="Q273" s="743"/>
      <c r="R273" s="743"/>
      <c r="S273" s="743"/>
      <c r="U273" s="649"/>
      <c r="V273" s="649"/>
      <c r="W273" s="649"/>
      <c r="X273" s="649"/>
      <c r="Y273" s="649"/>
      <c r="Z273" s="649"/>
      <c r="AA273" s="649"/>
      <c r="AB273" s="649"/>
      <c r="AC273" s="649"/>
      <c r="AD273" s="649"/>
      <c r="AE273" s="649"/>
      <c r="AF273" s="649"/>
      <c r="AG273" s="649"/>
      <c r="AH273" s="649"/>
      <c r="AI273" s="649"/>
      <c r="AJ273" s="649"/>
      <c r="AK273" s="649"/>
      <c r="AL273" s="649"/>
      <c r="AM273" s="649"/>
      <c r="AN273" s="649"/>
      <c r="AO273" s="649"/>
      <c r="AP273" s="649"/>
      <c r="AQ273" s="649"/>
      <c r="AR273" s="649"/>
      <c r="AS273" s="649"/>
      <c r="AT273" s="649"/>
      <c r="AU273" s="649"/>
      <c r="AV273" s="649"/>
      <c r="AW273" s="649"/>
      <c r="AX273" s="649"/>
      <c r="AY273" s="649"/>
      <c r="AZ273" s="649"/>
      <c r="BA273" s="649"/>
      <c r="BB273" s="649"/>
      <c r="BC273" s="649"/>
      <c r="BD273" s="649"/>
    </row>
    <row r="274" spans="1:56" s="648" customFormat="1" ht="12" customHeight="1">
      <c r="A274" s="726"/>
      <c r="B274" s="725">
        <v>43276</v>
      </c>
      <c r="C274" s="724" t="s">
        <v>38</v>
      </c>
      <c r="D274" s="723">
        <v>98.5</v>
      </c>
      <c r="E274" s="723">
        <f t="shared" si="16"/>
        <v>98.5</v>
      </c>
      <c r="F274" s="723"/>
      <c r="G274" s="723"/>
      <c r="H274" s="723"/>
      <c r="I274" s="723"/>
      <c r="J274" s="723"/>
      <c r="K274" s="723"/>
      <c r="L274" s="723"/>
      <c r="M274" s="723"/>
      <c r="N274" s="723"/>
      <c r="O274" s="743"/>
      <c r="P274" s="743"/>
      <c r="Q274" s="743"/>
      <c r="R274" s="743"/>
      <c r="S274" s="743"/>
      <c r="U274" s="649"/>
      <c r="V274" s="649"/>
      <c r="W274" s="649"/>
      <c r="X274" s="649"/>
      <c r="Y274" s="649"/>
      <c r="Z274" s="649"/>
      <c r="AA274" s="649"/>
      <c r="AB274" s="649"/>
      <c r="AC274" s="649"/>
      <c r="AD274" s="649"/>
      <c r="AE274" s="649"/>
      <c r="AF274" s="649"/>
      <c r="AG274" s="649"/>
      <c r="AH274" s="649"/>
      <c r="AI274" s="649"/>
      <c r="AJ274" s="649"/>
      <c r="AK274" s="649"/>
      <c r="AL274" s="649"/>
      <c r="AM274" s="649"/>
      <c r="AN274" s="649"/>
      <c r="AO274" s="649"/>
      <c r="AP274" s="649"/>
      <c r="AQ274" s="649"/>
      <c r="AR274" s="649"/>
      <c r="AS274" s="649"/>
      <c r="AT274" s="649"/>
      <c r="AU274" s="649"/>
      <c r="AV274" s="649"/>
      <c r="AW274" s="649"/>
      <c r="AX274" s="649"/>
      <c r="AY274" s="649"/>
      <c r="AZ274" s="649"/>
      <c r="BA274" s="649"/>
      <c r="BB274" s="649"/>
      <c r="BC274" s="649"/>
      <c r="BD274" s="649"/>
    </row>
    <row r="275" spans="1:56" s="648" customFormat="1" ht="12" customHeight="1">
      <c r="A275" s="726"/>
      <c r="B275" s="725">
        <v>43276</v>
      </c>
      <c r="C275" s="724" t="s">
        <v>40</v>
      </c>
      <c r="D275" s="723">
        <v>47.95</v>
      </c>
      <c r="E275" s="723">
        <f t="shared" si="16"/>
        <v>47.95</v>
      </c>
      <c r="F275" s="723"/>
      <c r="G275" s="723"/>
      <c r="H275" s="723"/>
      <c r="I275" s="723"/>
      <c r="J275" s="723"/>
      <c r="K275" s="723"/>
      <c r="L275" s="723"/>
      <c r="M275" s="723"/>
      <c r="N275" s="723"/>
      <c r="O275" s="743"/>
      <c r="P275" s="743"/>
      <c r="Q275" s="743"/>
      <c r="R275" s="743"/>
      <c r="S275" s="743"/>
      <c r="U275" s="649"/>
      <c r="V275" s="649"/>
      <c r="W275" s="649"/>
      <c r="X275" s="649"/>
      <c r="Y275" s="649"/>
      <c r="Z275" s="649"/>
      <c r="AA275" s="649"/>
      <c r="AB275" s="649"/>
      <c r="AC275" s="649"/>
      <c r="AD275" s="649"/>
      <c r="AE275" s="649"/>
      <c r="AF275" s="649"/>
      <c r="AG275" s="649"/>
      <c r="AH275" s="649"/>
      <c r="AI275" s="649"/>
      <c r="AJ275" s="649"/>
      <c r="AK275" s="649"/>
      <c r="AL275" s="649"/>
      <c r="AM275" s="649"/>
      <c r="AN275" s="649"/>
      <c r="AO275" s="649"/>
      <c r="AP275" s="649"/>
      <c r="AQ275" s="649"/>
      <c r="AR275" s="649"/>
      <c r="AS275" s="649"/>
      <c r="AT275" s="649"/>
      <c r="AU275" s="649"/>
      <c r="AV275" s="649"/>
      <c r="AW275" s="649"/>
      <c r="AX275" s="649"/>
      <c r="AY275" s="649"/>
      <c r="AZ275" s="649"/>
      <c r="BA275" s="649"/>
      <c r="BB275" s="649"/>
      <c r="BC275" s="649"/>
      <c r="BD275" s="649"/>
    </row>
    <row r="276" spans="1:56" s="648" customFormat="1" ht="12" customHeight="1">
      <c r="A276" s="726"/>
      <c r="B276" s="725">
        <v>43277</v>
      </c>
      <c r="C276" s="724" t="s">
        <v>451</v>
      </c>
      <c r="D276" s="723">
        <v>84.9</v>
      </c>
      <c r="E276" s="723">
        <f t="shared" si="16"/>
        <v>84.9</v>
      </c>
      <c r="F276" s="723">
        <v>42.5</v>
      </c>
      <c r="G276" s="723"/>
      <c r="H276" s="723"/>
      <c r="I276" s="723"/>
      <c r="J276" s="723"/>
      <c r="K276" s="723"/>
      <c r="L276" s="723"/>
      <c r="M276" s="723"/>
      <c r="N276" s="723"/>
      <c r="O276" s="743"/>
      <c r="P276" s="743"/>
      <c r="Q276" s="743"/>
      <c r="R276" s="743"/>
      <c r="S276" s="743"/>
      <c r="U276" s="649"/>
      <c r="V276" s="649"/>
      <c r="W276" s="649"/>
      <c r="X276" s="649"/>
      <c r="Y276" s="649"/>
      <c r="Z276" s="649"/>
      <c r="AA276" s="649"/>
      <c r="AB276" s="649"/>
      <c r="AC276" s="649"/>
      <c r="AD276" s="649"/>
      <c r="AE276" s="649"/>
      <c r="AF276" s="649"/>
      <c r="AG276" s="649"/>
      <c r="AH276" s="649"/>
      <c r="AI276" s="649"/>
      <c r="AJ276" s="649"/>
      <c r="AK276" s="649"/>
      <c r="AL276" s="649"/>
      <c r="AM276" s="649"/>
      <c r="AN276" s="649"/>
      <c r="AO276" s="649"/>
      <c r="AP276" s="649"/>
      <c r="AQ276" s="649"/>
      <c r="AR276" s="649"/>
      <c r="AS276" s="649"/>
      <c r="AT276" s="649"/>
      <c r="AU276" s="649"/>
      <c r="AV276" s="649"/>
      <c r="AW276" s="649"/>
      <c r="AX276" s="649"/>
      <c r="AY276" s="649"/>
      <c r="AZ276" s="649"/>
      <c r="BA276" s="649"/>
      <c r="BB276" s="649"/>
      <c r="BC276" s="649"/>
      <c r="BD276" s="649"/>
    </row>
    <row r="277" spans="1:56" s="648" customFormat="1" ht="12" customHeight="1">
      <c r="A277" s="726"/>
      <c r="B277" s="725">
        <v>43277</v>
      </c>
      <c r="C277" s="724" t="s">
        <v>38</v>
      </c>
      <c r="D277" s="723">
        <v>53.55</v>
      </c>
      <c r="E277" s="723">
        <f t="shared" si="16"/>
        <v>20</v>
      </c>
      <c r="F277" s="723"/>
      <c r="G277" s="723"/>
      <c r="H277" s="723">
        <v>33.549999999999997</v>
      </c>
      <c r="I277" s="723"/>
      <c r="J277" s="723"/>
      <c r="K277" s="723"/>
      <c r="L277" s="723"/>
      <c r="M277" s="723"/>
      <c r="N277" s="723"/>
      <c r="O277" s="743"/>
      <c r="P277" s="743"/>
      <c r="Q277" s="743"/>
      <c r="R277" s="743"/>
      <c r="S277" s="743"/>
      <c r="U277" s="649"/>
      <c r="V277" s="649"/>
      <c r="W277" s="649"/>
      <c r="X277" s="649"/>
      <c r="Y277" s="649"/>
      <c r="Z277" s="649"/>
      <c r="AA277" s="649"/>
      <c r="AB277" s="649"/>
      <c r="AC277" s="649"/>
      <c r="AD277" s="649"/>
      <c r="AE277" s="649"/>
      <c r="AF277" s="649"/>
      <c r="AG277" s="649"/>
      <c r="AH277" s="649"/>
      <c r="AI277" s="649"/>
      <c r="AJ277" s="649"/>
      <c r="AK277" s="649"/>
      <c r="AL277" s="649"/>
      <c r="AM277" s="649"/>
      <c r="AN277" s="649"/>
      <c r="AO277" s="649"/>
      <c r="AP277" s="649"/>
      <c r="AQ277" s="649"/>
      <c r="AR277" s="649"/>
      <c r="AS277" s="649"/>
      <c r="AT277" s="649"/>
      <c r="AU277" s="649"/>
      <c r="AV277" s="649"/>
      <c r="AW277" s="649"/>
      <c r="AX277" s="649"/>
      <c r="AY277" s="649"/>
      <c r="AZ277" s="649"/>
      <c r="BA277" s="649"/>
      <c r="BB277" s="649"/>
      <c r="BC277" s="649"/>
      <c r="BD277" s="649"/>
    </row>
    <row r="278" spans="1:56" s="648" customFormat="1" ht="12" customHeight="1">
      <c r="A278" s="726"/>
      <c r="B278" s="725">
        <v>43278</v>
      </c>
      <c r="C278" s="724" t="s">
        <v>39</v>
      </c>
      <c r="D278" s="723">
        <v>129.4</v>
      </c>
      <c r="E278" s="723">
        <f t="shared" si="16"/>
        <v>118.9</v>
      </c>
      <c r="F278" s="723"/>
      <c r="G278" s="723"/>
      <c r="H278" s="723"/>
      <c r="I278" s="723">
        <v>10.5</v>
      </c>
      <c r="J278" s="723"/>
      <c r="K278" s="723"/>
      <c r="L278" s="723"/>
      <c r="M278" s="723"/>
      <c r="N278" s="723"/>
      <c r="O278" s="743"/>
      <c r="P278" s="743"/>
      <c r="Q278" s="743"/>
      <c r="R278" s="743"/>
      <c r="S278" s="743"/>
      <c r="U278" s="649"/>
      <c r="V278" s="649"/>
      <c r="W278" s="649"/>
      <c r="X278" s="649"/>
      <c r="Y278" s="649"/>
      <c r="Z278" s="649"/>
      <c r="AA278" s="649"/>
      <c r="AB278" s="649"/>
      <c r="AC278" s="649"/>
      <c r="AD278" s="649"/>
      <c r="AE278" s="649"/>
      <c r="AF278" s="649"/>
      <c r="AG278" s="649"/>
      <c r="AH278" s="649"/>
      <c r="AI278" s="649"/>
      <c r="AJ278" s="649"/>
      <c r="AK278" s="649"/>
      <c r="AL278" s="649"/>
      <c r="AM278" s="649"/>
      <c r="AN278" s="649"/>
      <c r="AO278" s="649"/>
      <c r="AP278" s="649"/>
      <c r="AQ278" s="649"/>
      <c r="AR278" s="649"/>
      <c r="AS278" s="649"/>
      <c r="AT278" s="649"/>
      <c r="AU278" s="649"/>
      <c r="AV278" s="649"/>
      <c r="AW278" s="649"/>
      <c r="AX278" s="649"/>
      <c r="AY278" s="649"/>
      <c r="AZ278" s="649"/>
      <c r="BA278" s="649"/>
      <c r="BB278" s="649"/>
      <c r="BC278" s="649"/>
      <c r="BD278" s="649"/>
    </row>
    <row r="279" spans="1:56" s="648" customFormat="1" ht="12" customHeight="1">
      <c r="A279" s="726"/>
      <c r="B279" s="725">
        <v>43278</v>
      </c>
      <c r="C279" s="724" t="s">
        <v>451</v>
      </c>
      <c r="D279" s="723">
        <v>67.849999999999994</v>
      </c>
      <c r="E279" s="723">
        <f t="shared" si="16"/>
        <v>67.849999999999994</v>
      </c>
      <c r="F279" s="723"/>
      <c r="G279" s="723"/>
      <c r="H279" s="723"/>
      <c r="I279" s="723"/>
      <c r="J279" s="723"/>
      <c r="K279" s="723"/>
      <c r="L279" s="723"/>
      <c r="M279" s="723"/>
      <c r="N279" s="723"/>
      <c r="O279" s="743"/>
      <c r="P279" s="743"/>
      <c r="Q279" s="743"/>
      <c r="R279" s="743"/>
      <c r="S279" s="743"/>
      <c r="U279" s="649"/>
      <c r="V279" s="649"/>
      <c r="W279" s="649"/>
      <c r="X279" s="649"/>
      <c r="Y279" s="649"/>
      <c r="Z279" s="649"/>
      <c r="AA279" s="649"/>
      <c r="AB279" s="649"/>
      <c r="AC279" s="649"/>
      <c r="AD279" s="649"/>
      <c r="AE279" s="649"/>
      <c r="AF279" s="649"/>
      <c r="AG279" s="649"/>
      <c r="AH279" s="649"/>
      <c r="AI279" s="649"/>
      <c r="AJ279" s="649"/>
      <c r="AK279" s="649"/>
      <c r="AL279" s="649"/>
      <c r="AM279" s="649"/>
      <c r="AN279" s="649"/>
      <c r="AO279" s="649"/>
      <c r="AP279" s="649"/>
      <c r="AQ279" s="649"/>
      <c r="AR279" s="649"/>
      <c r="AS279" s="649"/>
      <c r="AT279" s="649"/>
      <c r="AU279" s="649"/>
      <c r="AV279" s="649"/>
      <c r="AW279" s="649"/>
      <c r="AX279" s="649"/>
      <c r="AY279" s="649"/>
      <c r="AZ279" s="649"/>
      <c r="BA279" s="649"/>
      <c r="BB279" s="649"/>
      <c r="BC279" s="649"/>
      <c r="BD279" s="649"/>
    </row>
    <row r="280" spans="1:56" s="648" customFormat="1" ht="12" customHeight="1">
      <c r="A280" s="726"/>
      <c r="B280" s="725">
        <v>43280</v>
      </c>
      <c r="C280" s="724" t="s">
        <v>39</v>
      </c>
      <c r="D280" s="723">
        <v>37</v>
      </c>
      <c r="E280" s="723">
        <f t="shared" si="16"/>
        <v>37</v>
      </c>
      <c r="F280" s="723"/>
      <c r="G280" s="723"/>
      <c r="H280" s="723"/>
      <c r="I280" s="723"/>
      <c r="J280" s="723"/>
      <c r="K280" s="723"/>
      <c r="L280" s="723"/>
      <c r="M280" s="723"/>
      <c r="N280" s="723"/>
      <c r="O280" s="743"/>
      <c r="P280" s="743"/>
      <c r="Q280" s="743"/>
      <c r="R280" s="743"/>
      <c r="S280" s="743"/>
      <c r="U280" s="649"/>
      <c r="V280" s="649"/>
      <c r="W280" s="649"/>
      <c r="X280" s="649"/>
      <c r="Y280" s="649"/>
      <c r="Z280" s="649"/>
      <c r="AA280" s="649"/>
      <c r="AB280" s="649"/>
      <c r="AC280" s="649"/>
      <c r="AD280" s="649"/>
      <c r="AE280" s="649"/>
      <c r="AF280" s="649"/>
      <c r="AG280" s="649"/>
      <c r="AH280" s="649"/>
      <c r="AI280" s="649"/>
      <c r="AJ280" s="649"/>
      <c r="AK280" s="649"/>
      <c r="AL280" s="649"/>
      <c r="AM280" s="649"/>
      <c r="AN280" s="649"/>
      <c r="AO280" s="649"/>
      <c r="AP280" s="649"/>
      <c r="AQ280" s="649"/>
      <c r="AR280" s="649"/>
      <c r="AS280" s="649"/>
      <c r="AT280" s="649"/>
      <c r="AU280" s="649"/>
      <c r="AV280" s="649"/>
      <c r="AW280" s="649"/>
      <c r="AX280" s="649"/>
      <c r="AY280" s="649"/>
      <c r="AZ280" s="649"/>
      <c r="BA280" s="649"/>
      <c r="BB280" s="649"/>
      <c r="BC280" s="649"/>
      <c r="BD280" s="649"/>
    </row>
    <row r="281" spans="1:56" s="648" customFormat="1" ht="12" customHeight="1">
      <c r="A281" s="726"/>
      <c r="B281" s="725">
        <v>43280</v>
      </c>
      <c r="C281" s="724" t="s">
        <v>451</v>
      </c>
      <c r="D281" s="723">
        <v>115.84</v>
      </c>
      <c r="E281" s="723">
        <f t="shared" si="16"/>
        <v>115.84</v>
      </c>
      <c r="F281" s="723"/>
      <c r="G281" s="723"/>
      <c r="H281" s="723"/>
      <c r="I281" s="723"/>
      <c r="J281" s="723"/>
      <c r="K281" s="723"/>
      <c r="L281" s="723"/>
      <c r="M281" s="723"/>
      <c r="N281" s="723"/>
      <c r="O281" s="743"/>
      <c r="P281" s="743"/>
      <c r="Q281" s="743"/>
      <c r="R281" s="743"/>
      <c r="S281" s="743"/>
      <c r="U281" s="649"/>
      <c r="V281" s="649"/>
      <c r="W281" s="649"/>
      <c r="X281" s="649"/>
      <c r="Y281" s="649"/>
      <c r="Z281" s="649"/>
      <c r="AA281" s="649"/>
      <c r="AB281" s="649"/>
      <c r="AC281" s="649"/>
      <c r="AD281" s="649"/>
      <c r="AE281" s="649"/>
      <c r="AF281" s="649"/>
      <c r="AG281" s="649"/>
      <c r="AH281" s="649"/>
      <c r="AI281" s="649"/>
      <c r="AJ281" s="649"/>
      <c r="AK281" s="649"/>
      <c r="AL281" s="649"/>
      <c r="AM281" s="649"/>
      <c r="AN281" s="649"/>
      <c r="AO281" s="649"/>
      <c r="AP281" s="649"/>
      <c r="AQ281" s="649"/>
      <c r="AR281" s="649"/>
      <c r="AS281" s="649"/>
      <c r="AT281" s="649"/>
      <c r="AU281" s="649"/>
      <c r="AV281" s="649"/>
      <c r="AW281" s="649"/>
      <c r="AX281" s="649"/>
      <c r="AY281" s="649"/>
      <c r="AZ281" s="649"/>
      <c r="BA281" s="649"/>
      <c r="BB281" s="649"/>
      <c r="BC281" s="649"/>
      <c r="BD281" s="649"/>
    </row>
    <row r="282" spans="1:56" s="648" customFormat="1" ht="12" customHeight="1">
      <c r="A282" s="726"/>
      <c r="B282" s="725">
        <v>43281</v>
      </c>
      <c r="C282" s="724" t="s">
        <v>124</v>
      </c>
      <c r="D282" s="723">
        <v>3</v>
      </c>
      <c r="E282" s="723">
        <f t="shared" si="16"/>
        <v>0</v>
      </c>
      <c r="F282" s="723"/>
      <c r="G282" s="723"/>
      <c r="H282" s="723">
        <v>3</v>
      </c>
      <c r="I282" s="723"/>
      <c r="J282" s="723"/>
      <c r="K282" s="723"/>
      <c r="L282" s="723"/>
      <c r="M282" s="723"/>
      <c r="N282" s="723"/>
      <c r="O282" s="743"/>
      <c r="P282" s="743"/>
      <c r="Q282" s="743"/>
      <c r="R282" s="743"/>
      <c r="S282" s="743"/>
      <c r="U282" s="649"/>
      <c r="V282" s="649"/>
      <c r="W282" s="649"/>
      <c r="X282" s="649"/>
      <c r="Y282" s="649"/>
      <c r="Z282" s="649"/>
      <c r="AA282" s="649"/>
      <c r="AB282" s="649"/>
      <c r="AC282" s="649"/>
      <c r="AD282" s="649"/>
      <c r="AE282" s="649"/>
      <c r="AF282" s="649"/>
      <c r="AG282" s="649"/>
      <c r="AH282" s="649"/>
      <c r="AI282" s="649"/>
      <c r="AJ282" s="649"/>
      <c r="AK282" s="649"/>
      <c r="AL282" s="649"/>
      <c r="AM282" s="649"/>
      <c r="AN282" s="649"/>
      <c r="AO282" s="649"/>
      <c r="AP282" s="649"/>
      <c r="AQ282" s="649"/>
      <c r="AR282" s="649"/>
      <c r="AS282" s="649"/>
      <c r="AT282" s="649"/>
      <c r="AU282" s="649"/>
      <c r="AV282" s="649"/>
      <c r="AW282" s="649"/>
      <c r="AX282" s="649"/>
      <c r="AY282" s="649"/>
      <c r="AZ282" s="649"/>
      <c r="BA282" s="649"/>
      <c r="BB282" s="649"/>
      <c r="BC282" s="649"/>
      <c r="BD282" s="649"/>
    </row>
    <row r="283" spans="1:56" s="648" customFormat="1" ht="12" customHeight="1">
      <c r="A283" s="726"/>
      <c r="B283" s="725">
        <v>43281</v>
      </c>
      <c r="C283" s="724" t="s">
        <v>451</v>
      </c>
      <c r="D283" s="723">
        <v>117.09</v>
      </c>
      <c r="E283" s="723">
        <f t="shared" si="16"/>
        <v>102.09</v>
      </c>
      <c r="F283" s="723"/>
      <c r="G283" s="723"/>
      <c r="H283" s="723"/>
      <c r="I283" s="723">
        <v>15</v>
      </c>
      <c r="J283" s="723"/>
      <c r="K283" s="723"/>
      <c r="L283" s="723"/>
      <c r="M283" s="723"/>
      <c r="N283" s="723"/>
      <c r="O283" s="743"/>
      <c r="P283" s="743"/>
      <c r="Q283" s="743"/>
      <c r="R283" s="743"/>
      <c r="S283" s="743"/>
      <c r="U283" s="649"/>
      <c r="V283" s="649"/>
      <c r="W283" s="649"/>
      <c r="X283" s="649"/>
      <c r="Y283" s="649"/>
      <c r="Z283" s="649"/>
      <c r="AA283" s="649"/>
      <c r="AB283" s="649"/>
      <c r="AC283" s="649"/>
      <c r="AD283" s="649"/>
      <c r="AE283" s="649"/>
      <c r="AF283" s="649"/>
      <c r="AG283" s="649"/>
      <c r="AH283" s="649"/>
      <c r="AI283" s="649"/>
      <c r="AJ283" s="649"/>
      <c r="AK283" s="649"/>
      <c r="AL283" s="649"/>
      <c r="AM283" s="649"/>
      <c r="AN283" s="649"/>
      <c r="AO283" s="649"/>
      <c r="AP283" s="649"/>
      <c r="AQ283" s="649"/>
      <c r="AR283" s="649"/>
      <c r="AS283" s="649"/>
      <c r="AT283" s="649"/>
      <c r="AU283" s="649"/>
      <c r="AV283" s="649"/>
      <c r="AW283" s="649"/>
      <c r="AX283" s="649"/>
      <c r="AY283" s="649"/>
      <c r="AZ283" s="649"/>
      <c r="BA283" s="649"/>
      <c r="BB283" s="649"/>
      <c r="BC283" s="649"/>
      <c r="BD283" s="649"/>
    </row>
    <row r="284" spans="1:56" s="744" customFormat="1" ht="12" customHeight="1">
      <c r="A284" s="749"/>
      <c r="B284" s="748" t="str">
        <f>I1</f>
        <v>juli</v>
      </c>
      <c r="C284" s="747"/>
      <c r="D284" s="746">
        <f t="shared" ref="D284:S284" si="17">SUM(D285:D333)</f>
        <v>3504.43</v>
      </c>
      <c r="E284" s="746">
        <f t="shared" si="17"/>
        <v>2580.59</v>
      </c>
      <c r="F284" s="746">
        <f t="shared" si="17"/>
        <v>129.94999999999999</v>
      </c>
      <c r="G284" s="746">
        <f t="shared" si="17"/>
        <v>78</v>
      </c>
      <c r="H284" s="746">
        <f t="shared" si="17"/>
        <v>277.89999999999998</v>
      </c>
      <c r="I284" s="746">
        <f t="shared" si="17"/>
        <v>567.94000000000005</v>
      </c>
      <c r="J284" s="746">
        <f t="shared" si="17"/>
        <v>0</v>
      </c>
      <c r="K284" s="746">
        <f t="shared" si="17"/>
        <v>0</v>
      </c>
      <c r="L284" s="746">
        <f t="shared" si="17"/>
        <v>0</v>
      </c>
      <c r="M284" s="746">
        <f t="shared" si="17"/>
        <v>0</v>
      </c>
      <c r="N284" s="746">
        <f t="shared" si="17"/>
        <v>0</v>
      </c>
      <c r="O284" s="745">
        <f t="shared" si="17"/>
        <v>0</v>
      </c>
      <c r="P284" s="745">
        <f t="shared" si="17"/>
        <v>0</v>
      </c>
      <c r="Q284" s="745">
        <f t="shared" si="17"/>
        <v>0</v>
      </c>
      <c r="R284" s="745">
        <f t="shared" si="17"/>
        <v>0</v>
      </c>
      <c r="S284" s="745">
        <f t="shared" si="17"/>
        <v>0</v>
      </c>
    </row>
    <row r="285" spans="1:56" s="648" customFormat="1" ht="12" customHeight="1">
      <c r="A285" s="726"/>
      <c r="B285" s="725">
        <v>43283</v>
      </c>
      <c r="C285" s="724" t="s">
        <v>39</v>
      </c>
      <c r="D285" s="723">
        <v>119.85</v>
      </c>
      <c r="E285" s="723">
        <f t="shared" ref="E285:E316" si="18">D285-G285-H285-I285</f>
        <v>79.849999999999994</v>
      </c>
      <c r="F285" s="723"/>
      <c r="G285" s="723"/>
      <c r="H285" s="723"/>
      <c r="I285" s="723">
        <v>40</v>
      </c>
      <c r="J285" s="723"/>
      <c r="K285" s="723"/>
      <c r="L285" s="723"/>
      <c r="M285" s="723"/>
      <c r="N285" s="723"/>
      <c r="O285" s="743"/>
      <c r="P285" s="743"/>
      <c r="Q285" s="743"/>
      <c r="R285" s="743"/>
      <c r="S285" s="743"/>
      <c r="U285" s="649"/>
      <c r="V285" s="649"/>
      <c r="W285" s="649"/>
      <c r="X285" s="649"/>
      <c r="Y285" s="649"/>
      <c r="Z285" s="649"/>
      <c r="AA285" s="649"/>
      <c r="AB285" s="649"/>
      <c r="AC285" s="649"/>
      <c r="AD285" s="649"/>
      <c r="AE285" s="649"/>
      <c r="AF285" s="649"/>
      <c r="AG285" s="649"/>
      <c r="AH285" s="649"/>
      <c r="AI285" s="649"/>
      <c r="AJ285" s="649"/>
      <c r="AK285" s="649"/>
      <c r="AL285" s="649"/>
      <c r="AM285" s="649"/>
      <c r="AN285" s="649"/>
      <c r="AO285" s="649"/>
      <c r="AP285" s="649"/>
      <c r="AQ285" s="649"/>
      <c r="AR285" s="649"/>
      <c r="AS285" s="649"/>
      <c r="AT285" s="649"/>
      <c r="AU285" s="649"/>
      <c r="AV285" s="649"/>
      <c r="AW285" s="649"/>
      <c r="AX285" s="649"/>
      <c r="AY285" s="649"/>
      <c r="AZ285" s="649"/>
      <c r="BA285" s="649"/>
      <c r="BB285" s="649"/>
      <c r="BC285" s="649"/>
      <c r="BD285" s="649"/>
    </row>
    <row r="286" spans="1:56" s="648" customFormat="1" ht="12" customHeight="1">
      <c r="A286" s="726"/>
      <c r="B286" s="725">
        <v>43283</v>
      </c>
      <c r="C286" s="724" t="s">
        <v>451</v>
      </c>
      <c r="D286" s="723">
        <v>61.7</v>
      </c>
      <c r="E286" s="723">
        <f t="shared" si="18"/>
        <v>61.7</v>
      </c>
      <c r="F286" s="723">
        <v>21.25</v>
      </c>
      <c r="G286" s="723"/>
      <c r="H286" s="723"/>
      <c r="I286" s="723"/>
      <c r="J286" s="723"/>
      <c r="K286" s="723"/>
      <c r="L286" s="723"/>
      <c r="M286" s="723"/>
      <c r="N286" s="723"/>
      <c r="O286" s="743"/>
      <c r="P286" s="743"/>
      <c r="Q286" s="743"/>
      <c r="R286" s="743"/>
      <c r="S286" s="743"/>
      <c r="U286" s="649"/>
      <c r="V286" s="649"/>
      <c r="W286" s="649"/>
      <c r="X286" s="649"/>
      <c r="Y286" s="649"/>
      <c r="Z286" s="649"/>
      <c r="AA286" s="649"/>
      <c r="AB286" s="649"/>
      <c r="AC286" s="649"/>
      <c r="AD286" s="649"/>
      <c r="AE286" s="649"/>
      <c r="AF286" s="649"/>
      <c r="AG286" s="649"/>
      <c r="AH286" s="649"/>
      <c r="AI286" s="649"/>
      <c r="AJ286" s="649"/>
      <c r="AK286" s="649"/>
      <c r="AL286" s="649"/>
      <c r="AM286" s="649"/>
      <c r="AN286" s="649"/>
      <c r="AO286" s="649"/>
      <c r="AP286" s="649"/>
      <c r="AQ286" s="649"/>
      <c r="AR286" s="649"/>
      <c r="AS286" s="649"/>
      <c r="AT286" s="649"/>
      <c r="AU286" s="649"/>
      <c r="AV286" s="649"/>
      <c r="AW286" s="649"/>
      <c r="AX286" s="649"/>
      <c r="AY286" s="649"/>
      <c r="AZ286" s="649"/>
      <c r="BA286" s="649"/>
      <c r="BB286" s="649"/>
      <c r="BC286" s="649"/>
      <c r="BD286" s="649"/>
    </row>
    <row r="287" spans="1:56" s="648" customFormat="1" ht="12" customHeight="1">
      <c r="A287" s="726"/>
      <c r="B287" s="725">
        <v>43284</v>
      </c>
      <c r="C287" s="724" t="s">
        <v>451</v>
      </c>
      <c r="D287" s="723">
        <v>105.13</v>
      </c>
      <c r="E287" s="723">
        <f t="shared" si="18"/>
        <v>105.13</v>
      </c>
      <c r="F287" s="723"/>
      <c r="G287" s="723"/>
      <c r="H287" s="723"/>
      <c r="I287" s="723"/>
      <c r="J287" s="723"/>
      <c r="K287" s="723"/>
      <c r="L287" s="723"/>
      <c r="M287" s="723"/>
      <c r="N287" s="723"/>
      <c r="O287" s="743"/>
      <c r="P287" s="743"/>
      <c r="Q287" s="743"/>
      <c r="R287" s="743"/>
      <c r="S287" s="743"/>
      <c r="U287" s="649"/>
      <c r="V287" s="649"/>
      <c r="W287" s="649"/>
      <c r="X287" s="649"/>
      <c r="Y287" s="649"/>
      <c r="Z287" s="649"/>
      <c r="AA287" s="649"/>
      <c r="AB287" s="649"/>
      <c r="AC287" s="649"/>
      <c r="AD287" s="649"/>
      <c r="AE287" s="649"/>
      <c r="AF287" s="649"/>
      <c r="AG287" s="649"/>
      <c r="AH287" s="649"/>
      <c r="AI287" s="649"/>
      <c r="AJ287" s="649"/>
      <c r="AK287" s="649"/>
      <c r="AL287" s="649"/>
      <c r="AM287" s="649"/>
      <c r="AN287" s="649"/>
      <c r="AO287" s="649"/>
      <c r="AP287" s="649"/>
      <c r="AQ287" s="649"/>
      <c r="AR287" s="649"/>
      <c r="AS287" s="649"/>
      <c r="AT287" s="649"/>
      <c r="AU287" s="649"/>
      <c r="AV287" s="649"/>
      <c r="AW287" s="649"/>
      <c r="AX287" s="649"/>
      <c r="AY287" s="649"/>
      <c r="AZ287" s="649"/>
      <c r="BA287" s="649"/>
      <c r="BB287" s="649"/>
      <c r="BC287" s="649"/>
      <c r="BD287" s="649"/>
    </row>
    <row r="288" spans="1:56" s="648" customFormat="1" ht="12" customHeight="1">
      <c r="A288" s="726"/>
      <c r="B288" s="725">
        <v>43285</v>
      </c>
      <c r="C288" s="724" t="s">
        <v>451</v>
      </c>
      <c r="D288" s="723">
        <v>25</v>
      </c>
      <c r="E288" s="723">
        <f t="shared" si="18"/>
        <v>25</v>
      </c>
      <c r="F288" s="723"/>
      <c r="G288" s="723"/>
      <c r="H288" s="723"/>
      <c r="I288" s="723"/>
      <c r="J288" s="723"/>
      <c r="K288" s="723"/>
      <c r="L288" s="723"/>
      <c r="M288" s="723"/>
      <c r="N288" s="723"/>
      <c r="O288" s="743"/>
      <c r="P288" s="743"/>
      <c r="Q288" s="743"/>
      <c r="R288" s="743"/>
      <c r="S288" s="743"/>
      <c r="U288" s="649"/>
      <c r="V288" s="649"/>
      <c r="W288" s="649"/>
      <c r="X288" s="649"/>
      <c r="Y288" s="649"/>
      <c r="Z288" s="649"/>
      <c r="AA288" s="649"/>
      <c r="AB288" s="649"/>
      <c r="AC288" s="649"/>
      <c r="AD288" s="649"/>
      <c r="AE288" s="649"/>
      <c r="AF288" s="649"/>
      <c r="AG288" s="649"/>
      <c r="AH288" s="649"/>
      <c r="AI288" s="649"/>
      <c r="AJ288" s="649"/>
      <c r="AK288" s="649"/>
      <c r="AL288" s="649"/>
      <c r="AM288" s="649"/>
      <c r="AN288" s="649"/>
      <c r="AO288" s="649"/>
      <c r="AP288" s="649"/>
      <c r="AQ288" s="649"/>
      <c r="AR288" s="649"/>
      <c r="AS288" s="649"/>
      <c r="AT288" s="649"/>
      <c r="AU288" s="649"/>
      <c r="AV288" s="649"/>
      <c r="AW288" s="649"/>
      <c r="AX288" s="649"/>
      <c r="AY288" s="649"/>
      <c r="AZ288" s="649"/>
      <c r="BA288" s="649"/>
      <c r="BB288" s="649"/>
      <c r="BC288" s="649"/>
      <c r="BD288" s="649"/>
    </row>
    <row r="289" spans="1:56" s="648" customFormat="1" ht="12" customHeight="1">
      <c r="A289" s="726"/>
      <c r="B289" s="725">
        <v>43285</v>
      </c>
      <c r="C289" s="724" t="s">
        <v>124</v>
      </c>
      <c r="D289" s="723">
        <v>53.1</v>
      </c>
      <c r="E289" s="723">
        <f t="shared" si="18"/>
        <v>0</v>
      </c>
      <c r="F289" s="723"/>
      <c r="G289" s="723"/>
      <c r="H289" s="723">
        <v>53.1</v>
      </c>
      <c r="I289" s="723"/>
      <c r="J289" s="723"/>
      <c r="K289" s="723"/>
      <c r="L289" s="723"/>
      <c r="M289" s="723"/>
      <c r="N289" s="723"/>
      <c r="O289" s="743"/>
      <c r="P289" s="743"/>
      <c r="Q289" s="743"/>
      <c r="R289" s="743"/>
      <c r="S289" s="743"/>
      <c r="U289" s="649"/>
      <c r="V289" s="649"/>
      <c r="W289" s="649"/>
      <c r="X289" s="649"/>
      <c r="Y289" s="649"/>
      <c r="Z289" s="649"/>
      <c r="AA289" s="649"/>
      <c r="AB289" s="649"/>
      <c r="AC289" s="649"/>
      <c r="AD289" s="649"/>
      <c r="AE289" s="649"/>
      <c r="AF289" s="649"/>
      <c r="AG289" s="649"/>
      <c r="AH289" s="649"/>
      <c r="AI289" s="649"/>
      <c r="AJ289" s="649"/>
      <c r="AK289" s="649"/>
      <c r="AL289" s="649"/>
      <c r="AM289" s="649"/>
      <c r="AN289" s="649"/>
      <c r="AO289" s="649"/>
      <c r="AP289" s="649"/>
      <c r="AQ289" s="649"/>
      <c r="AR289" s="649"/>
      <c r="AS289" s="649"/>
      <c r="AT289" s="649"/>
      <c r="AU289" s="649"/>
      <c r="AV289" s="649"/>
      <c r="AW289" s="649"/>
      <c r="AX289" s="649"/>
      <c r="AY289" s="649"/>
      <c r="AZ289" s="649"/>
      <c r="BA289" s="649"/>
      <c r="BB289" s="649"/>
      <c r="BC289" s="649"/>
      <c r="BD289" s="649"/>
    </row>
    <row r="290" spans="1:56" s="648" customFormat="1" ht="12" customHeight="1">
      <c r="A290" s="726"/>
      <c r="B290" s="725">
        <v>43285</v>
      </c>
      <c r="C290" s="724" t="s">
        <v>39</v>
      </c>
      <c r="D290" s="723">
        <v>107.95</v>
      </c>
      <c r="E290" s="723">
        <f t="shared" si="18"/>
        <v>86.95</v>
      </c>
      <c r="F290" s="723"/>
      <c r="G290" s="723"/>
      <c r="H290" s="723"/>
      <c r="I290" s="723">
        <v>21</v>
      </c>
      <c r="J290" s="723"/>
      <c r="K290" s="723"/>
      <c r="L290" s="723"/>
      <c r="M290" s="723"/>
      <c r="N290" s="723"/>
      <c r="O290" s="743"/>
      <c r="P290" s="743"/>
      <c r="Q290" s="743"/>
      <c r="R290" s="743"/>
      <c r="S290" s="743"/>
      <c r="U290" s="649"/>
      <c r="V290" s="649"/>
      <c r="W290" s="649"/>
      <c r="X290" s="649"/>
      <c r="Y290" s="649"/>
      <c r="Z290" s="649"/>
      <c r="AA290" s="649"/>
      <c r="AB290" s="649"/>
      <c r="AC290" s="649"/>
      <c r="AD290" s="649"/>
      <c r="AE290" s="649"/>
      <c r="AF290" s="649"/>
      <c r="AG290" s="649"/>
      <c r="AH290" s="649"/>
      <c r="AI290" s="649"/>
      <c r="AJ290" s="649"/>
      <c r="AK290" s="649"/>
      <c r="AL290" s="649"/>
      <c r="AM290" s="649"/>
      <c r="AN290" s="649"/>
      <c r="AO290" s="649"/>
      <c r="AP290" s="649"/>
      <c r="AQ290" s="649"/>
      <c r="AR290" s="649"/>
      <c r="AS290" s="649"/>
      <c r="AT290" s="649"/>
      <c r="AU290" s="649"/>
      <c r="AV290" s="649"/>
      <c r="AW290" s="649"/>
      <c r="AX290" s="649"/>
      <c r="AY290" s="649"/>
      <c r="AZ290" s="649"/>
      <c r="BA290" s="649"/>
      <c r="BB290" s="649"/>
      <c r="BC290" s="649"/>
      <c r="BD290" s="649"/>
    </row>
    <row r="291" spans="1:56" s="648" customFormat="1" ht="12" customHeight="1">
      <c r="A291" s="726"/>
      <c r="B291" s="725">
        <v>43286</v>
      </c>
      <c r="C291" s="724" t="s">
        <v>451</v>
      </c>
      <c r="D291" s="723">
        <v>47.2</v>
      </c>
      <c r="E291" s="723">
        <f t="shared" si="18"/>
        <v>47.2</v>
      </c>
      <c r="F291" s="723"/>
      <c r="G291" s="723"/>
      <c r="H291" s="723"/>
      <c r="I291" s="723"/>
      <c r="J291" s="723"/>
      <c r="K291" s="723"/>
      <c r="L291" s="723"/>
      <c r="M291" s="723"/>
      <c r="N291" s="723"/>
      <c r="O291" s="743"/>
      <c r="P291" s="743"/>
      <c r="Q291" s="743"/>
      <c r="R291" s="743"/>
      <c r="S291" s="743"/>
      <c r="U291" s="649"/>
      <c r="V291" s="649"/>
      <c r="W291" s="649"/>
      <c r="X291" s="649"/>
      <c r="Y291" s="649"/>
      <c r="Z291" s="649"/>
      <c r="AA291" s="649"/>
      <c r="AB291" s="649"/>
      <c r="AC291" s="649"/>
      <c r="AD291" s="649"/>
      <c r="AE291" s="649"/>
      <c r="AF291" s="649"/>
      <c r="AG291" s="649"/>
      <c r="AH291" s="649"/>
      <c r="AI291" s="649"/>
      <c r="AJ291" s="649"/>
      <c r="AK291" s="649"/>
      <c r="AL291" s="649"/>
      <c r="AM291" s="649"/>
      <c r="AN291" s="649"/>
      <c r="AO291" s="649"/>
      <c r="AP291" s="649"/>
      <c r="AQ291" s="649"/>
      <c r="AR291" s="649"/>
      <c r="AS291" s="649"/>
      <c r="AT291" s="649"/>
      <c r="AU291" s="649"/>
      <c r="AV291" s="649"/>
      <c r="AW291" s="649"/>
      <c r="AX291" s="649"/>
      <c r="AY291" s="649"/>
      <c r="AZ291" s="649"/>
      <c r="BA291" s="649"/>
      <c r="BB291" s="649"/>
      <c r="BC291" s="649"/>
      <c r="BD291" s="649"/>
    </row>
    <row r="292" spans="1:56" s="648" customFormat="1" ht="12" customHeight="1">
      <c r="A292" s="726"/>
      <c r="B292" s="725">
        <v>43286</v>
      </c>
      <c r="C292" s="724" t="s">
        <v>39</v>
      </c>
      <c r="D292" s="723">
        <v>25</v>
      </c>
      <c r="E292" s="723">
        <f t="shared" si="18"/>
        <v>25</v>
      </c>
      <c r="F292" s="723"/>
      <c r="G292" s="723"/>
      <c r="H292" s="723"/>
      <c r="I292" s="723"/>
      <c r="J292" s="723"/>
      <c r="K292" s="723"/>
      <c r="L292" s="723"/>
      <c r="M292" s="723"/>
      <c r="N292" s="723"/>
      <c r="O292" s="743"/>
      <c r="P292" s="743"/>
      <c r="Q292" s="743"/>
      <c r="R292" s="743"/>
      <c r="S292" s="743"/>
      <c r="U292" s="649"/>
      <c r="V292" s="649"/>
      <c r="W292" s="649"/>
      <c r="X292" s="649"/>
      <c r="Y292" s="649"/>
      <c r="Z292" s="649"/>
      <c r="AA292" s="649"/>
      <c r="AB292" s="649"/>
      <c r="AC292" s="649"/>
      <c r="AD292" s="649"/>
      <c r="AE292" s="649"/>
      <c r="AF292" s="649"/>
      <c r="AG292" s="649"/>
      <c r="AH292" s="649"/>
      <c r="AI292" s="649"/>
      <c r="AJ292" s="649"/>
      <c r="AK292" s="649"/>
      <c r="AL292" s="649"/>
      <c r="AM292" s="649"/>
      <c r="AN292" s="649"/>
      <c r="AO292" s="649"/>
      <c r="AP292" s="649"/>
      <c r="AQ292" s="649"/>
      <c r="AR292" s="649"/>
      <c r="AS292" s="649"/>
      <c r="AT292" s="649"/>
      <c r="AU292" s="649"/>
      <c r="AV292" s="649"/>
      <c r="AW292" s="649"/>
      <c r="AX292" s="649"/>
      <c r="AY292" s="649"/>
      <c r="AZ292" s="649"/>
      <c r="BA292" s="649"/>
      <c r="BB292" s="649"/>
      <c r="BC292" s="649"/>
      <c r="BD292" s="649"/>
    </row>
    <row r="293" spans="1:56" s="648" customFormat="1" ht="12" customHeight="1">
      <c r="A293" s="726"/>
      <c r="B293" s="725">
        <v>43287</v>
      </c>
      <c r="C293" s="724" t="s">
        <v>216</v>
      </c>
      <c r="D293" s="723">
        <v>49</v>
      </c>
      <c r="E293" s="723">
        <f t="shared" si="18"/>
        <v>49</v>
      </c>
      <c r="F293" s="723"/>
      <c r="G293" s="723"/>
      <c r="H293" s="723"/>
      <c r="I293" s="723"/>
      <c r="J293" s="723"/>
      <c r="K293" s="723"/>
      <c r="L293" s="723"/>
      <c r="M293" s="723"/>
      <c r="N293" s="723"/>
      <c r="O293" s="743"/>
      <c r="P293" s="743"/>
      <c r="Q293" s="743"/>
      <c r="R293" s="743"/>
      <c r="S293" s="743"/>
      <c r="U293" s="649"/>
      <c r="V293" s="649"/>
      <c r="W293" s="649"/>
      <c r="X293" s="649"/>
      <c r="Y293" s="649"/>
      <c r="Z293" s="649"/>
      <c r="AA293" s="649"/>
      <c r="AB293" s="649"/>
      <c r="AC293" s="649"/>
      <c r="AD293" s="649"/>
      <c r="AE293" s="649"/>
      <c r="AF293" s="649"/>
      <c r="AG293" s="649"/>
      <c r="AH293" s="649"/>
      <c r="AI293" s="649"/>
      <c r="AJ293" s="649"/>
      <c r="AK293" s="649"/>
      <c r="AL293" s="649"/>
      <c r="AM293" s="649"/>
      <c r="AN293" s="649"/>
      <c r="AO293" s="649"/>
      <c r="AP293" s="649"/>
      <c r="AQ293" s="649"/>
      <c r="AR293" s="649"/>
      <c r="AS293" s="649"/>
      <c r="AT293" s="649"/>
      <c r="AU293" s="649"/>
      <c r="AV293" s="649"/>
      <c r="AW293" s="649"/>
      <c r="AX293" s="649"/>
      <c r="AY293" s="649"/>
      <c r="AZ293" s="649"/>
      <c r="BA293" s="649"/>
      <c r="BB293" s="649"/>
      <c r="BC293" s="649"/>
      <c r="BD293" s="649"/>
    </row>
    <row r="294" spans="1:56" s="648" customFormat="1" ht="12" customHeight="1">
      <c r="A294" s="726"/>
      <c r="B294" s="725">
        <v>43287</v>
      </c>
      <c r="C294" s="724" t="s">
        <v>451</v>
      </c>
      <c r="D294" s="723">
        <v>35.35</v>
      </c>
      <c r="E294" s="723">
        <f t="shared" si="18"/>
        <v>35.35</v>
      </c>
      <c r="F294" s="723"/>
      <c r="G294" s="723"/>
      <c r="H294" s="723"/>
      <c r="I294" s="723"/>
      <c r="J294" s="723"/>
      <c r="K294" s="723"/>
      <c r="L294" s="723"/>
      <c r="M294" s="723"/>
      <c r="N294" s="723"/>
      <c r="O294" s="743"/>
      <c r="P294" s="743"/>
      <c r="Q294" s="743"/>
      <c r="R294" s="743"/>
      <c r="S294" s="743"/>
      <c r="U294" s="649"/>
      <c r="V294" s="649"/>
      <c r="W294" s="649"/>
      <c r="X294" s="649"/>
      <c r="Y294" s="649"/>
      <c r="Z294" s="649"/>
      <c r="AA294" s="649"/>
      <c r="AB294" s="649"/>
      <c r="AC294" s="649"/>
      <c r="AD294" s="649"/>
      <c r="AE294" s="649"/>
      <c r="AF294" s="649"/>
      <c r="AG294" s="649"/>
      <c r="AH294" s="649"/>
      <c r="AI294" s="649"/>
      <c r="AJ294" s="649"/>
      <c r="AK294" s="649"/>
      <c r="AL294" s="649"/>
      <c r="AM294" s="649"/>
      <c r="AN294" s="649"/>
      <c r="AO294" s="649"/>
      <c r="AP294" s="649"/>
      <c r="AQ294" s="649"/>
      <c r="AR294" s="649"/>
      <c r="AS294" s="649"/>
      <c r="AT294" s="649"/>
      <c r="AU294" s="649"/>
      <c r="AV294" s="649"/>
      <c r="AW294" s="649"/>
      <c r="AX294" s="649"/>
      <c r="AY294" s="649"/>
      <c r="AZ294" s="649"/>
      <c r="BA294" s="649"/>
      <c r="BB294" s="649"/>
      <c r="BC294" s="649"/>
      <c r="BD294" s="649"/>
    </row>
    <row r="295" spans="1:56" s="648" customFormat="1" ht="12" customHeight="1">
      <c r="A295" s="726"/>
      <c r="B295" s="725">
        <v>43287</v>
      </c>
      <c r="C295" s="724" t="s">
        <v>451</v>
      </c>
      <c r="D295" s="723">
        <v>77.55</v>
      </c>
      <c r="E295" s="723">
        <f t="shared" si="18"/>
        <v>0</v>
      </c>
      <c r="F295" s="723"/>
      <c r="G295" s="723"/>
      <c r="H295" s="723"/>
      <c r="I295" s="723">
        <v>77.55</v>
      </c>
      <c r="J295" s="723"/>
      <c r="K295" s="723"/>
      <c r="L295" s="723"/>
      <c r="M295" s="723"/>
      <c r="N295" s="723"/>
      <c r="O295" s="743"/>
      <c r="P295" s="743"/>
      <c r="Q295" s="743"/>
      <c r="R295" s="743"/>
      <c r="S295" s="743"/>
      <c r="U295" s="649"/>
      <c r="V295" s="649"/>
      <c r="W295" s="649"/>
      <c r="X295" s="649"/>
      <c r="Y295" s="649"/>
      <c r="Z295" s="649"/>
      <c r="AA295" s="649"/>
      <c r="AB295" s="649"/>
      <c r="AC295" s="649"/>
      <c r="AD295" s="649"/>
      <c r="AE295" s="649"/>
      <c r="AF295" s="649"/>
      <c r="AG295" s="649"/>
      <c r="AH295" s="649"/>
      <c r="AI295" s="649"/>
      <c r="AJ295" s="649"/>
      <c r="AK295" s="649"/>
      <c r="AL295" s="649"/>
      <c r="AM295" s="649"/>
      <c r="AN295" s="649"/>
      <c r="AO295" s="649"/>
      <c r="AP295" s="649"/>
      <c r="AQ295" s="649"/>
      <c r="AR295" s="649"/>
      <c r="AS295" s="649"/>
      <c r="AT295" s="649"/>
      <c r="AU295" s="649"/>
      <c r="AV295" s="649"/>
      <c r="AW295" s="649"/>
      <c r="AX295" s="649"/>
      <c r="AY295" s="649"/>
      <c r="AZ295" s="649"/>
      <c r="BA295" s="649"/>
      <c r="BB295" s="649"/>
      <c r="BC295" s="649"/>
      <c r="BD295" s="649"/>
    </row>
    <row r="296" spans="1:56" s="648" customFormat="1" ht="12" customHeight="1">
      <c r="A296" s="726"/>
      <c r="B296" s="725">
        <v>43287</v>
      </c>
      <c r="C296" s="724" t="s">
        <v>38</v>
      </c>
      <c r="D296" s="723">
        <v>25</v>
      </c>
      <c r="E296" s="723">
        <f t="shared" si="18"/>
        <v>25</v>
      </c>
      <c r="F296" s="723"/>
      <c r="G296" s="723"/>
      <c r="H296" s="723"/>
      <c r="I296" s="723"/>
      <c r="J296" s="723"/>
      <c r="K296" s="723"/>
      <c r="L296" s="723"/>
      <c r="M296" s="723"/>
      <c r="N296" s="723"/>
      <c r="O296" s="743"/>
      <c r="P296" s="743"/>
      <c r="Q296" s="743"/>
      <c r="R296" s="743"/>
      <c r="S296" s="743"/>
      <c r="U296" s="649"/>
      <c r="V296" s="649"/>
      <c r="W296" s="649"/>
      <c r="X296" s="649"/>
      <c r="Y296" s="649"/>
      <c r="Z296" s="649"/>
      <c r="AA296" s="649"/>
      <c r="AB296" s="649"/>
      <c r="AC296" s="649"/>
      <c r="AD296" s="649"/>
      <c r="AE296" s="649"/>
      <c r="AF296" s="649"/>
      <c r="AG296" s="649"/>
      <c r="AH296" s="649"/>
      <c r="AI296" s="649"/>
      <c r="AJ296" s="649"/>
      <c r="AK296" s="649"/>
      <c r="AL296" s="649"/>
      <c r="AM296" s="649"/>
      <c r="AN296" s="649"/>
      <c r="AO296" s="649"/>
      <c r="AP296" s="649"/>
      <c r="AQ296" s="649"/>
      <c r="AR296" s="649"/>
      <c r="AS296" s="649"/>
      <c r="AT296" s="649"/>
      <c r="AU296" s="649"/>
      <c r="AV296" s="649"/>
      <c r="AW296" s="649"/>
      <c r="AX296" s="649"/>
      <c r="AY296" s="649"/>
      <c r="AZ296" s="649"/>
      <c r="BA296" s="649"/>
      <c r="BB296" s="649"/>
      <c r="BC296" s="649"/>
      <c r="BD296" s="649"/>
    </row>
    <row r="297" spans="1:56" s="648" customFormat="1" ht="12" customHeight="1">
      <c r="A297" s="726"/>
      <c r="B297" s="725">
        <v>43288</v>
      </c>
      <c r="C297" s="724" t="s">
        <v>40</v>
      </c>
      <c r="D297" s="723">
        <v>7.5</v>
      </c>
      <c r="E297" s="723">
        <f t="shared" si="18"/>
        <v>7.5</v>
      </c>
      <c r="F297" s="723"/>
      <c r="G297" s="723"/>
      <c r="H297" s="723"/>
      <c r="I297" s="723"/>
      <c r="J297" s="723"/>
      <c r="K297" s="723"/>
      <c r="L297" s="723"/>
      <c r="M297" s="723"/>
      <c r="N297" s="723"/>
      <c r="O297" s="743"/>
      <c r="P297" s="743"/>
      <c r="Q297" s="743"/>
      <c r="R297" s="743"/>
      <c r="S297" s="743"/>
      <c r="U297" s="649"/>
      <c r="V297" s="649"/>
      <c r="W297" s="649"/>
      <c r="X297" s="649"/>
      <c r="Y297" s="649"/>
      <c r="Z297" s="649"/>
      <c r="AA297" s="649"/>
      <c r="AB297" s="649"/>
      <c r="AC297" s="649"/>
      <c r="AD297" s="649"/>
      <c r="AE297" s="649"/>
      <c r="AF297" s="649"/>
      <c r="AG297" s="649"/>
      <c r="AH297" s="649"/>
      <c r="AI297" s="649"/>
      <c r="AJ297" s="649"/>
      <c r="AK297" s="649"/>
      <c r="AL297" s="649"/>
      <c r="AM297" s="649"/>
      <c r="AN297" s="649"/>
      <c r="AO297" s="649"/>
      <c r="AP297" s="649"/>
      <c r="AQ297" s="649"/>
      <c r="AR297" s="649"/>
      <c r="AS297" s="649"/>
      <c r="AT297" s="649"/>
      <c r="AU297" s="649"/>
      <c r="AV297" s="649"/>
      <c r="AW297" s="649"/>
      <c r="AX297" s="649"/>
      <c r="AY297" s="649"/>
      <c r="AZ297" s="649"/>
      <c r="BA297" s="649"/>
      <c r="BB297" s="649"/>
      <c r="BC297" s="649"/>
      <c r="BD297" s="649"/>
    </row>
    <row r="298" spans="1:56" s="648" customFormat="1" ht="12" customHeight="1">
      <c r="A298" s="726"/>
      <c r="B298" s="725">
        <v>43289</v>
      </c>
      <c r="C298" s="724" t="s">
        <v>451</v>
      </c>
      <c r="D298" s="723">
        <v>66.540000000000006</v>
      </c>
      <c r="E298" s="723">
        <f t="shared" si="18"/>
        <v>54.900000000000006</v>
      </c>
      <c r="F298" s="723">
        <v>42.5</v>
      </c>
      <c r="G298" s="723"/>
      <c r="H298" s="723"/>
      <c r="I298" s="723">
        <v>11.64</v>
      </c>
      <c r="J298" s="723"/>
      <c r="K298" s="723"/>
      <c r="L298" s="723"/>
      <c r="M298" s="723"/>
      <c r="N298" s="723"/>
      <c r="O298" s="743"/>
      <c r="P298" s="743"/>
      <c r="Q298" s="743"/>
      <c r="R298" s="743"/>
      <c r="S298" s="743"/>
      <c r="U298" s="649"/>
      <c r="V298" s="649"/>
      <c r="W298" s="649"/>
      <c r="X298" s="649"/>
      <c r="Y298" s="649"/>
      <c r="Z298" s="649"/>
      <c r="AA298" s="649"/>
      <c r="AB298" s="649"/>
      <c r="AC298" s="649"/>
      <c r="AD298" s="649"/>
      <c r="AE298" s="649"/>
      <c r="AF298" s="649"/>
      <c r="AG298" s="649"/>
      <c r="AH298" s="649"/>
      <c r="AI298" s="649"/>
      <c r="AJ298" s="649"/>
      <c r="AK298" s="649"/>
      <c r="AL298" s="649"/>
      <c r="AM298" s="649"/>
      <c r="AN298" s="649"/>
      <c r="AO298" s="649"/>
      <c r="AP298" s="649"/>
      <c r="AQ298" s="649"/>
      <c r="AR298" s="649"/>
      <c r="AS298" s="649"/>
      <c r="AT298" s="649"/>
      <c r="AU298" s="649"/>
      <c r="AV298" s="649"/>
      <c r="AW298" s="649"/>
      <c r="AX298" s="649"/>
      <c r="AY298" s="649"/>
      <c r="AZ298" s="649"/>
      <c r="BA298" s="649"/>
      <c r="BB298" s="649"/>
      <c r="BC298" s="649"/>
      <c r="BD298" s="649"/>
    </row>
    <row r="299" spans="1:56" s="648" customFormat="1" ht="12" customHeight="1">
      <c r="A299" s="726"/>
      <c r="B299" s="725">
        <v>43289</v>
      </c>
      <c r="C299" s="724" t="s">
        <v>38</v>
      </c>
      <c r="D299" s="723">
        <v>79.95</v>
      </c>
      <c r="E299" s="723">
        <f t="shared" si="18"/>
        <v>79.95</v>
      </c>
      <c r="F299" s="723"/>
      <c r="G299" s="723"/>
      <c r="H299" s="723"/>
      <c r="I299" s="723"/>
      <c r="J299" s="723"/>
      <c r="K299" s="723"/>
      <c r="L299" s="723"/>
      <c r="M299" s="723"/>
      <c r="N299" s="723"/>
      <c r="O299" s="743"/>
      <c r="P299" s="743"/>
      <c r="Q299" s="743"/>
      <c r="R299" s="743"/>
      <c r="S299" s="743"/>
      <c r="U299" s="649"/>
      <c r="V299" s="649"/>
      <c r="W299" s="649"/>
      <c r="X299" s="649"/>
      <c r="Y299" s="649"/>
      <c r="Z299" s="649"/>
      <c r="AA299" s="649"/>
      <c r="AB299" s="649"/>
      <c r="AC299" s="649"/>
      <c r="AD299" s="649"/>
      <c r="AE299" s="649"/>
      <c r="AF299" s="649"/>
      <c r="AG299" s="649"/>
      <c r="AH299" s="649"/>
      <c r="AI299" s="649"/>
      <c r="AJ299" s="649"/>
      <c r="AK299" s="649"/>
      <c r="AL299" s="649"/>
      <c r="AM299" s="649"/>
      <c r="AN299" s="649"/>
      <c r="AO299" s="649"/>
      <c r="AP299" s="649"/>
      <c r="AQ299" s="649"/>
      <c r="AR299" s="649"/>
      <c r="AS299" s="649"/>
      <c r="AT299" s="649"/>
      <c r="AU299" s="649"/>
      <c r="AV299" s="649"/>
      <c r="AW299" s="649"/>
      <c r="AX299" s="649"/>
      <c r="AY299" s="649"/>
      <c r="AZ299" s="649"/>
      <c r="BA299" s="649"/>
      <c r="BB299" s="649"/>
      <c r="BC299" s="649"/>
      <c r="BD299" s="649"/>
    </row>
    <row r="300" spans="1:56" s="648" customFormat="1" ht="12" customHeight="1">
      <c r="A300" s="726"/>
      <c r="B300" s="725">
        <v>43290</v>
      </c>
      <c r="C300" s="724" t="s">
        <v>39</v>
      </c>
      <c r="D300" s="723">
        <v>63</v>
      </c>
      <c r="E300" s="723">
        <f t="shared" si="18"/>
        <v>63</v>
      </c>
      <c r="F300" s="723"/>
      <c r="G300" s="723"/>
      <c r="H300" s="723"/>
      <c r="I300" s="723"/>
      <c r="J300" s="723"/>
      <c r="K300" s="723"/>
      <c r="L300" s="723"/>
      <c r="M300" s="723"/>
      <c r="N300" s="723"/>
      <c r="O300" s="743"/>
      <c r="P300" s="743"/>
      <c r="Q300" s="743"/>
      <c r="R300" s="743"/>
      <c r="S300" s="743"/>
      <c r="U300" s="649"/>
      <c r="V300" s="649"/>
      <c r="W300" s="649"/>
      <c r="X300" s="649"/>
      <c r="Y300" s="649"/>
      <c r="Z300" s="649"/>
      <c r="AA300" s="649"/>
      <c r="AB300" s="649"/>
      <c r="AC300" s="649"/>
      <c r="AD300" s="649"/>
      <c r="AE300" s="649"/>
      <c r="AF300" s="649"/>
      <c r="AG300" s="649"/>
      <c r="AH300" s="649"/>
      <c r="AI300" s="649"/>
      <c r="AJ300" s="649"/>
      <c r="AK300" s="649"/>
      <c r="AL300" s="649"/>
      <c r="AM300" s="649"/>
      <c r="AN300" s="649"/>
      <c r="AO300" s="649"/>
      <c r="AP300" s="649"/>
      <c r="AQ300" s="649"/>
      <c r="AR300" s="649"/>
      <c r="AS300" s="649"/>
      <c r="AT300" s="649"/>
      <c r="AU300" s="649"/>
      <c r="AV300" s="649"/>
      <c r="AW300" s="649"/>
      <c r="AX300" s="649"/>
      <c r="AY300" s="649"/>
      <c r="AZ300" s="649"/>
      <c r="BA300" s="649"/>
      <c r="BB300" s="649"/>
      <c r="BC300" s="649"/>
      <c r="BD300" s="649"/>
    </row>
    <row r="301" spans="1:56" s="648" customFormat="1" ht="12" customHeight="1">
      <c r="A301" s="726"/>
      <c r="B301" s="725">
        <v>43290</v>
      </c>
      <c r="C301" s="724" t="s">
        <v>38</v>
      </c>
      <c r="D301" s="723">
        <v>25</v>
      </c>
      <c r="E301" s="723">
        <f t="shared" si="18"/>
        <v>25</v>
      </c>
      <c r="F301" s="723"/>
      <c r="G301" s="723"/>
      <c r="H301" s="723"/>
      <c r="I301" s="723"/>
      <c r="J301" s="723"/>
      <c r="K301" s="723"/>
      <c r="L301" s="723"/>
      <c r="M301" s="723"/>
      <c r="N301" s="723"/>
      <c r="O301" s="743"/>
      <c r="P301" s="743"/>
      <c r="Q301" s="743"/>
      <c r="R301" s="743"/>
      <c r="S301" s="743"/>
      <c r="U301" s="649"/>
      <c r="V301" s="649"/>
      <c r="W301" s="649"/>
      <c r="X301" s="649"/>
      <c r="Y301" s="649"/>
      <c r="Z301" s="649"/>
      <c r="AA301" s="649"/>
      <c r="AB301" s="649"/>
      <c r="AC301" s="649"/>
      <c r="AD301" s="649"/>
      <c r="AE301" s="649"/>
      <c r="AF301" s="649"/>
      <c r="AG301" s="649"/>
      <c r="AH301" s="649"/>
      <c r="AI301" s="649"/>
      <c r="AJ301" s="649"/>
      <c r="AK301" s="649"/>
      <c r="AL301" s="649"/>
      <c r="AM301" s="649"/>
      <c r="AN301" s="649"/>
      <c r="AO301" s="649"/>
      <c r="AP301" s="649"/>
      <c r="AQ301" s="649"/>
      <c r="AR301" s="649"/>
      <c r="AS301" s="649"/>
      <c r="AT301" s="649"/>
      <c r="AU301" s="649"/>
      <c r="AV301" s="649"/>
      <c r="AW301" s="649"/>
      <c r="AX301" s="649"/>
      <c r="AY301" s="649"/>
      <c r="AZ301" s="649"/>
      <c r="BA301" s="649"/>
      <c r="BB301" s="649"/>
      <c r="BC301" s="649"/>
      <c r="BD301" s="649"/>
    </row>
    <row r="302" spans="1:56" s="648" customFormat="1" ht="12" customHeight="1">
      <c r="A302" s="726"/>
      <c r="B302" s="725">
        <v>43290</v>
      </c>
      <c r="C302" s="724" t="s">
        <v>38</v>
      </c>
      <c r="D302" s="723">
        <v>28.1</v>
      </c>
      <c r="E302" s="723">
        <f t="shared" si="18"/>
        <v>0</v>
      </c>
      <c r="F302" s="723"/>
      <c r="G302" s="723"/>
      <c r="H302" s="723">
        <v>28.1</v>
      </c>
      <c r="I302" s="723"/>
      <c r="J302" s="723"/>
      <c r="K302" s="723"/>
      <c r="L302" s="723"/>
      <c r="M302" s="723"/>
      <c r="N302" s="723"/>
      <c r="O302" s="743"/>
      <c r="P302" s="743"/>
      <c r="Q302" s="743"/>
      <c r="R302" s="743"/>
      <c r="S302" s="743"/>
      <c r="U302" s="649"/>
      <c r="V302" s="649"/>
      <c r="W302" s="649"/>
      <c r="X302" s="649"/>
      <c r="Y302" s="649"/>
      <c r="Z302" s="649"/>
      <c r="AA302" s="649"/>
      <c r="AB302" s="649"/>
      <c r="AC302" s="649"/>
      <c r="AD302" s="649"/>
      <c r="AE302" s="649"/>
      <c r="AF302" s="649"/>
      <c r="AG302" s="649"/>
      <c r="AH302" s="649"/>
      <c r="AI302" s="649"/>
      <c r="AJ302" s="649"/>
      <c r="AK302" s="649"/>
      <c r="AL302" s="649"/>
      <c r="AM302" s="649"/>
      <c r="AN302" s="649"/>
      <c r="AO302" s="649"/>
      <c r="AP302" s="649"/>
      <c r="AQ302" s="649"/>
      <c r="AR302" s="649"/>
      <c r="AS302" s="649"/>
      <c r="AT302" s="649"/>
      <c r="AU302" s="649"/>
      <c r="AV302" s="649"/>
      <c r="AW302" s="649"/>
      <c r="AX302" s="649"/>
      <c r="AY302" s="649"/>
      <c r="AZ302" s="649"/>
      <c r="BA302" s="649"/>
      <c r="BB302" s="649"/>
      <c r="BC302" s="649"/>
      <c r="BD302" s="649"/>
    </row>
    <row r="303" spans="1:56" s="648" customFormat="1" ht="12" customHeight="1">
      <c r="A303" s="726"/>
      <c r="B303" s="725">
        <v>43292</v>
      </c>
      <c r="C303" s="724" t="s">
        <v>451</v>
      </c>
      <c r="D303" s="723">
        <v>88.95</v>
      </c>
      <c r="E303" s="723">
        <f t="shared" si="18"/>
        <v>64</v>
      </c>
      <c r="F303" s="723"/>
      <c r="G303" s="723"/>
      <c r="H303" s="723"/>
      <c r="I303" s="723">
        <v>24.95</v>
      </c>
      <c r="J303" s="723"/>
      <c r="K303" s="723"/>
      <c r="L303" s="723"/>
      <c r="M303" s="723"/>
      <c r="N303" s="723"/>
      <c r="O303" s="743"/>
      <c r="P303" s="743"/>
      <c r="Q303" s="743"/>
      <c r="R303" s="743"/>
      <c r="S303" s="743"/>
      <c r="U303" s="649"/>
      <c r="V303" s="649"/>
      <c r="W303" s="649"/>
      <c r="X303" s="649"/>
      <c r="Y303" s="649"/>
      <c r="Z303" s="649"/>
      <c r="AA303" s="649"/>
      <c r="AB303" s="649"/>
      <c r="AC303" s="649"/>
      <c r="AD303" s="649"/>
      <c r="AE303" s="649"/>
      <c r="AF303" s="649"/>
      <c r="AG303" s="649"/>
      <c r="AH303" s="649"/>
      <c r="AI303" s="649"/>
      <c r="AJ303" s="649"/>
      <c r="AK303" s="649"/>
      <c r="AL303" s="649"/>
      <c r="AM303" s="649"/>
      <c r="AN303" s="649"/>
      <c r="AO303" s="649"/>
      <c r="AP303" s="649"/>
      <c r="AQ303" s="649"/>
      <c r="AR303" s="649"/>
      <c r="AS303" s="649"/>
      <c r="AT303" s="649"/>
      <c r="AU303" s="649"/>
      <c r="AV303" s="649"/>
      <c r="AW303" s="649"/>
      <c r="AX303" s="649"/>
      <c r="AY303" s="649"/>
      <c r="AZ303" s="649"/>
      <c r="BA303" s="649"/>
      <c r="BB303" s="649"/>
      <c r="BC303" s="649"/>
      <c r="BD303" s="649"/>
    </row>
    <row r="304" spans="1:56" s="648" customFormat="1" ht="12" customHeight="1">
      <c r="A304" s="726"/>
      <c r="B304" s="725">
        <v>43292</v>
      </c>
      <c r="C304" s="724" t="s">
        <v>216</v>
      </c>
      <c r="D304" s="723">
        <v>95</v>
      </c>
      <c r="E304" s="723">
        <f t="shared" si="18"/>
        <v>95</v>
      </c>
      <c r="F304" s="723"/>
      <c r="G304" s="723"/>
      <c r="H304" s="723"/>
      <c r="I304" s="723"/>
      <c r="J304" s="723"/>
      <c r="K304" s="723"/>
      <c r="L304" s="723"/>
      <c r="M304" s="723"/>
      <c r="N304" s="723"/>
      <c r="O304" s="743"/>
      <c r="P304" s="743"/>
      <c r="Q304" s="743"/>
      <c r="R304" s="743"/>
      <c r="S304" s="743"/>
      <c r="U304" s="649"/>
      <c r="V304" s="649"/>
      <c r="W304" s="649"/>
      <c r="X304" s="649"/>
      <c r="Y304" s="649"/>
      <c r="Z304" s="649"/>
      <c r="AA304" s="649"/>
      <c r="AB304" s="649"/>
      <c r="AC304" s="649"/>
      <c r="AD304" s="649"/>
      <c r="AE304" s="649"/>
      <c r="AF304" s="649"/>
      <c r="AG304" s="649"/>
      <c r="AH304" s="649"/>
      <c r="AI304" s="649"/>
      <c r="AJ304" s="649"/>
      <c r="AK304" s="649"/>
      <c r="AL304" s="649"/>
      <c r="AM304" s="649"/>
      <c r="AN304" s="649"/>
      <c r="AO304" s="649"/>
      <c r="AP304" s="649"/>
      <c r="AQ304" s="649"/>
      <c r="AR304" s="649"/>
      <c r="AS304" s="649"/>
      <c r="AT304" s="649"/>
      <c r="AU304" s="649"/>
      <c r="AV304" s="649"/>
      <c r="AW304" s="649"/>
      <c r="AX304" s="649"/>
      <c r="AY304" s="649"/>
      <c r="AZ304" s="649"/>
      <c r="BA304" s="649"/>
      <c r="BB304" s="649"/>
      <c r="BC304" s="649"/>
      <c r="BD304" s="649"/>
    </row>
    <row r="305" spans="1:56" s="648" customFormat="1" ht="12" customHeight="1">
      <c r="A305" s="726"/>
      <c r="B305" s="725">
        <v>43292</v>
      </c>
      <c r="C305" s="724" t="s">
        <v>38</v>
      </c>
      <c r="D305" s="723">
        <v>25</v>
      </c>
      <c r="E305" s="723">
        <f t="shared" si="18"/>
        <v>25</v>
      </c>
      <c r="F305" s="723"/>
      <c r="G305" s="723"/>
      <c r="H305" s="723"/>
      <c r="I305" s="723"/>
      <c r="J305" s="723"/>
      <c r="K305" s="723"/>
      <c r="L305" s="723"/>
      <c r="M305" s="723"/>
      <c r="N305" s="723"/>
      <c r="O305" s="743"/>
      <c r="P305" s="743"/>
      <c r="Q305" s="743"/>
      <c r="R305" s="743"/>
      <c r="S305" s="743"/>
      <c r="U305" s="649"/>
      <c r="V305" s="649"/>
      <c r="W305" s="649"/>
      <c r="X305" s="649"/>
      <c r="Y305" s="649"/>
      <c r="Z305" s="649"/>
      <c r="AA305" s="649"/>
      <c r="AB305" s="649"/>
      <c r="AC305" s="649"/>
      <c r="AD305" s="649"/>
      <c r="AE305" s="649"/>
      <c r="AF305" s="649"/>
      <c r="AG305" s="649"/>
      <c r="AH305" s="649"/>
      <c r="AI305" s="649"/>
      <c r="AJ305" s="649"/>
      <c r="AK305" s="649"/>
      <c r="AL305" s="649"/>
      <c r="AM305" s="649"/>
      <c r="AN305" s="649"/>
      <c r="AO305" s="649"/>
      <c r="AP305" s="649"/>
      <c r="AQ305" s="649"/>
      <c r="AR305" s="649"/>
      <c r="AS305" s="649"/>
      <c r="AT305" s="649"/>
      <c r="AU305" s="649"/>
      <c r="AV305" s="649"/>
      <c r="AW305" s="649"/>
      <c r="AX305" s="649"/>
      <c r="AY305" s="649"/>
      <c r="AZ305" s="649"/>
      <c r="BA305" s="649"/>
      <c r="BB305" s="649"/>
      <c r="BC305" s="649"/>
      <c r="BD305" s="649"/>
    </row>
    <row r="306" spans="1:56" s="648" customFormat="1" ht="12" customHeight="1">
      <c r="A306" s="726"/>
      <c r="B306" s="725">
        <v>43293</v>
      </c>
      <c r="C306" s="724" t="s">
        <v>40</v>
      </c>
      <c r="D306" s="723">
        <v>30</v>
      </c>
      <c r="E306" s="723">
        <f t="shared" si="18"/>
        <v>30</v>
      </c>
      <c r="F306" s="723"/>
      <c r="G306" s="723"/>
      <c r="H306" s="723"/>
      <c r="I306" s="723"/>
      <c r="J306" s="723"/>
      <c r="K306" s="723"/>
      <c r="L306" s="723"/>
      <c r="M306" s="723"/>
      <c r="N306" s="723"/>
      <c r="O306" s="743"/>
      <c r="P306" s="743"/>
      <c r="Q306" s="743"/>
      <c r="R306" s="743"/>
      <c r="S306" s="743"/>
      <c r="U306" s="649"/>
      <c r="V306" s="649"/>
      <c r="W306" s="649"/>
      <c r="X306" s="649"/>
      <c r="Y306" s="649"/>
      <c r="Z306" s="649"/>
      <c r="AA306" s="649"/>
      <c r="AB306" s="649"/>
      <c r="AC306" s="649"/>
      <c r="AD306" s="649"/>
      <c r="AE306" s="649"/>
      <c r="AF306" s="649"/>
      <c r="AG306" s="649"/>
      <c r="AH306" s="649"/>
      <c r="AI306" s="649"/>
      <c r="AJ306" s="649"/>
      <c r="AK306" s="649"/>
      <c r="AL306" s="649"/>
      <c r="AM306" s="649"/>
      <c r="AN306" s="649"/>
      <c r="AO306" s="649"/>
      <c r="AP306" s="649"/>
      <c r="AQ306" s="649"/>
      <c r="AR306" s="649"/>
      <c r="AS306" s="649"/>
      <c r="AT306" s="649"/>
      <c r="AU306" s="649"/>
      <c r="AV306" s="649"/>
      <c r="AW306" s="649"/>
      <c r="AX306" s="649"/>
      <c r="AY306" s="649"/>
      <c r="AZ306" s="649"/>
      <c r="BA306" s="649"/>
      <c r="BB306" s="649"/>
      <c r="BC306" s="649"/>
      <c r="BD306" s="649"/>
    </row>
    <row r="307" spans="1:56" s="648" customFormat="1" ht="12" customHeight="1">
      <c r="A307" s="726"/>
      <c r="B307" s="725">
        <v>43294</v>
      </c>
      <c r="C307" s="724" t="s">
        <v>123</v>
      </c>
      <c r="D307" s="723">
        <v>92</v>
      </c>
      <c r="E307" s="723">
        <f t="shared" si="18"/>
        <v>92</v>
      </c>
      <c r="F307" s="723"/>
      <c r="G307" s="723"/>
      <c r="H307" s="723"/>
      <c r="I307" s="723"/>
      <c r="J307" s="723"/>
      <c r="K307" s="723"/>
      <c r="L307" s="723"/>
      <c r="M307" s="723"/>
      <c r="N307" s="723"/>
      <c r="O307" s="743"/>
      <c r="P307" s="743"/>
      <c r="Q307" s="743"/>
      <c r="R307" s="743"/>
      <c r="S307" s="743"/>
      <c r="U307" s="649"/>
      <c r="V307" s="649"/>
      <c r="W307" s="649"/>
      <c r="X307" s="649"/>
      <c r="Y307" s="649"/>
      <c r="Z307" s="649"/>
      <c r="AA307" s="649"/>
      <c r="AB307" s="649"/>
      <c r="AC307" s="649"/>
      <c r="AD307" s="649"/>
      <c r="AE307" s="649"/>
      <c r="AF307" s="649"/>
      <c r="AG307" s="649"/>
      <c r="AH307" s="649"/>
      <c r="AI307" s="649"/>
      <c r="AJ307" s="649"/>
      <c r="AK307" s="649"/>
      <c r="AL307" s="649"/>
      <c r="AM307" s="649"/>
      <c r="AN307" s="649"/>
      <c r="AO307" s="649"/>
      <c r="AP307" s="649"/>
      <c r="AQ307" s="649"/>
      <c r="AR307" s="649"/>
      <c r="AS307" s="649"/>
      <c r="AT307" s="649"/>
      <c r="AU307" s="649"/>
      <c r="AV307" s="649"/>
      <c r="AW307" s="649"/>
      <c r="AX307" s="649"/>
      <c r="AY307" s="649"/>
      <c r="AZ307" s="649"/>
      <c r="BA307" s="649"/>
      <c r="BB307" s="649"/>
      <c r="BC307" s="649"/>
      <c r="BD307" s="649"/>
    </row>
    <row r="308" spans="1:56" s="648" customFormat="1" ht="12" customHeight="1">
      <c r="A308" s="726"/>
      <c r="B308" s="725">
        <v>43294</v>
      </c>
      <c r="C308" s="724" t="s">
        <v>451</v>
      </c>
      <c r="D308" s="723">
        <v>30</v>
      </c>
      <c r="E308" s="723">
        <f t="shared" si="18"/>
        <v>0</v>
      </c>
      <c r="F308" s="723"/>
      <c r="G308" s="723"/>
      <c r="H308" s="723"/>
      <c r="I308" s="723">
        <v>30</v>
      </c>
      <c r="J308" s="723"/>
      <c r="K308" s="723"/>
      <c r="L308" s="723"/>
      <c r="M308" s="723"/>
      <c r="N308" s="723"/>
      <c r="O308" s="743"/>
      <c r="P308" s="743"/>
      <c r="Q308" s="743"/>
      <c r="R308" s="743"/>
      <c r="S308" s="743"/>
      <c r="U308" s="649"/>
      <c r="V308" s="649"/>
      <c r="W308" s="649"/>
      <c r="X308" s="649"/>
      <c r="Y308" s="649"/>
      <c r="Z308" s="649"/>
      <c r="AA308" s="649"/>
      <c r="AB308" s="649"/>
      <c r="AC308" s="649"/>
      <c r="AD308" s="649"/>
      <c r="AE308" s="649"/>
      <c r="AF308" s="649"/>
      <c r="AG308" s="649"/>
      <c r="AH308" s="649"/>
      <c r="AI308" s="649"/>
      <c r="AJ308" s="649"/>
      <c r="AK308" s="649"/>
      <c r="AL308" s="649"/>
      <c r="AM308" s="649"/>
      <c r="AN308" s="649"/>
      <c r="AO308" s="649"/>
      <c r="AP308" s="649"/>
      <c r="AQ308" s="649"/>
      <c r="AR308" s="649"/>
      <c r="AS308" s="649"/>
      <c r="AT308" s="649"/>
      <c r="AU308" s="649"/>
      <c r="AV308" s="649"/>
      <c r="AW308" s="649"/>
      <c r="AX308" s="649"/>
      <c r="AY308" s="649"/>
      <c r="AZ308" s="649"/>
      <c r="BA308" s="649"/>
      <c r="BB308" s="649"/>
      <c r="BC308" s="649"/>
      <c r="BD308" s="649"/>
    </row>
    <row r="309" spans="1:56" s="648" customFormat="1" ht="12" customHeight="1">
      <c r="A309" s="726"/>
      <c r="B309" s="725">
        <v>43294</v>
      </c>
      <c r="C309" s="724" t="s">
        <v>38</v>
      </c>
      <c r="D309" s="723">
        <v>25</v>
      </c>
      <c r="E309" s="723">
        <f t="shared" si="18"/>
        <v>25</v>
      </c>
      <c r="F309" s="723"/>
      <c r="G309" s="723"/>
      <c r="H309" s="723"/>
      <c r="I309" s="723"/>
      <c r="J309" s="723"/>
      <c r="K309" s="723"/>
      <c r="L309" s="723"/>
      <c r="M309" s="723"/>
      <c r="N309" s="723"/>
      <c r="O309" s="743"/>
      <c r="P309" s="743"/>
      <c r="Q309" s="743"/>
      <c r="R309" s="743"/>
      <c r="S309" s="743"/>
      <c r="U309" s="649"/>
      <c r="V309" s="649"/>
      <c r="W309" s="649"/>
      <c r="X309" s="649"/>
      <c r="Y309" s="649"/>
      <c r="Z309" s="649"/>
      <c r="AA309" s="649"/>
      <c r="AB309" s="649"/>
      <c r="AC309" s="649"/>
      <c r="AD309" s="649"/>
      <c r="AE309" s="649"/>
      <c r="AF309" s="649"/>
      <c r="AG309" s="649"/>
      <c r="AH309" s="649"/>
      <c r="AI309" s="649"/>
      <c r="AJ309" s="649"/>
      <c r="AK309" s="649"/>
      <c r="AL309" s="649"/>
      <c r="AM309" s="649"/>
      <c r="AN309" s="649"/>
      <c r="AO309" s="649"/>
      <c r="AP309" s="649"/>
      <c r="AQ309" s="649"/>
      <c r="AR309" s="649"/>
      <c r="AS309" s="649"/>
      <c r="AT309" s="649"/>
      <c r="AU309" s="649"/>
      <c r="AV309" s="649"/>
      <c r="AW309" s="649"/>
      <c r="AX309" s="649"/>
      <c r="AY309" s="649"/>
      <c r="AZ309" s="649"/>
      <c r="BA309" s="649"/>
      <c r="BB309" s="649"/>
      <c r="BC309" s="649"/>
      <c r="BD309" s="649"/>
    </row>
    <row r="310" spans="1:56" s="648" customFormat="1" ht="12" customHeight="1">
      <c r="A310" s="726"/>
      <c r="B310" s="725">
        <v>43297</v>
      </c>
      <c r="C310" s="724" t="s">
        <v>451</v>
      </c>
      <c r="D310" s="723">
        <v>126.43</v>
      </c>
      <c r="E310" s="723">
        <f t="shared" si="18"/>
        <v>74.430000000000007</v>
      </c>
      <c r="F310" s="723"/>
      <c r="G310" s="723"/>
      <c r="H310" s="723"/>
      <c r="I310" s="723">
        <v>52</v>
      </c>
      <c r="J310" s="723"/>
      <c r="K310" s="723"/>
      <c r="L310" s="723"/>
      <c r="M310" s="723"/>
      <c r="N310" s="723"/>
      <c r="O310" s="743"/>
      <c r="P310" s="743"/>
      <c r="Q310" s="743"/>
      <c r="R310" s="743"/>
      <c r="S310" s="743"/>
      <c r="U310" s="649"/>
      <c r="V310" s="649"/>
      <c r="W310" s="649"/>
      <c r="X310" s="649"/>
      <c r="Y310" s="649"/>
      <c r="Z310" s="649"/>
      <c r="AA310" s="649"/>
      <c r="AB310" s="649"/>
      <c r="AC310" s="649"/>
      <c r="AD310" s="649"/>
      <c r="AE310" s="649"/>
      <c r="AF310" s="649"/>
      <c r="AG310" s="649"/>
      <c r="AH310" s="649"/>
      <c r="AI310" s="649"/>
      <c r="AJ310" s="649"/>
      <c r="AK310" s="649"/>
      <c r="AL310" s="649"/>
      <c r="AM310" s="649"/>
      <c r="AN310" s="649"/>
      <c r="AO310" s="649"/>
      <c r="AP310" s="649"/>
      <c r="AQ310" s="649"/>
      <c r="AR310" s="649"/>
      <c r="AS310" s="649"/>
      <c r="AT310" s="649"/>
      <c r="AU310" s="649"/>
      <c r="AV310" s="649"/>
      <c r="AW310" s="649"/>
      <c r="AX310" s="649"/>
      <c r="AY310" s="649"/>
      <c r="AZ310" s="649"/>
      <c r="BA310" s="649"/>
      <c r="BB310" s="649"/>
      <c r="BC310" s="649"/>
      <c r="BD310" s="649"/>
    </row>
    <row r="311" spans="1:56" s="648" customFormat="1" ht="12" customHeight="1">
      <c r="A311" s="726"/>
      <c r="B311" s="725">
        <v>43297</v>
      </c>
      <c r="C311" s="724" t="s">
        <v>39</v>
      </c>
      <c r="D311" s="723">
        <v>140.25</v>
      </c>
      <c r="E311" s="723">
        <f t="shared" si="18"/>
        <v>89.85</v>
      </c>
      <c r="F311" s="723"/>
      <c r="G311" s="723"/>
      <c r="H311" s="723"/>
      <c r="I311" s="723">
        <v>50.4</v>
      </c>
      <c r="J311" s="723"/>
      <c r="K311" s="723"/>
      <c r="L311" s="723"/>
      <c r="M311" s="723"/>
      <c r="N311" s="723"/>
      <c r="O311" s="743"/>
      <c r="P311" s="743"/>
      <c r="Q311" s="743"/>
      <c r="R311" s="743"/>
      <c r="S311" s="743"/>
      <c r="U311" s="649"/>
      <c r="V311" s="649"/>
      <c r="W311" s="649"/>
      <c r="X311" s="649"/>
      <c r="Y311" s="649"/>
      <c r="Z311" s="649"/>
      <c r="AA311" s="649"/>
      <c r="AB311" s="649"/>
      <c r="AC311" s="649"/>
      <c r="AD311" s="649"/>
      <c r="AE311" s="649"/>
      <c r="AF311" s="649"/>
      <c r="AG311" s="649"/>
      <c r="AH311" s="649"/>
      <c r="AI311" s="649"/>
      <c r="AJ311" s="649"/>
      <c r="AK311" s="649"/>
      <c r="AL311" s="649"/>
      <c r="AM311" s="649"/>
      <c r="AN311" s="649"/>
      <c r="AO311" s="649"/>
      <c r="AP311" s="649"/>
      <c r="AQ311" s="649"/>
      <c r="AR311" s="649"/>
      <c r="AS311" s="649"/>
      <c r="AT311" s="649"/>
      <c r="AU311" s="649"/>
      <c r="AV311" s="649"/>
      <c r="AW311" s="649"/>
      <c r="AX311" s="649"/>
      <c r="AY311" s="649"/>
      <c r="AZ311" s="649"/>
      <c r="BA311" s="649"/>
      <c r="BB311" s="649"/>
      <c r="BC311" s="649"/>
      <c r="BD311" s="649"/>
    </row>
    <row r="312" spans="1:56" s="648" customFormat="1" ht="12" customHeight="1">
      <c r="A312" s="726"/>
      <c r="B312" s="725">
        <v>43297</v>
      </c>
      <c r="C312" s="724" t="s">
        <v>38</v>
      </c>
      <c r="D312" s="723">
        <v>65</v>
      </c>
      <c r="E312" s="723">
        <f t="shared" si="18"/>
        <v>65</v>
      </c>
      <c r="F312" s="723"/>
      <c r="G312" s="723"/>
      <c r="H312" s="723"/>
      <c r="I312" s="723"/>
      <c r="J312" s="723"/>
      <c r="K312" s="723"/>
      <c r="L312" s="723"/>
      <c r="M312" s="723"/>
      <c r="N312" s="723"/>
      <c r="O312" s="743"/>
      <c r="P312" s="743"/>
      <c r="Q312" s="743"/>
      <c r="R312" s="743"/>
      <c r="S312" s="743"/>
      <c r="U312" s="649"/>
      <c r="V312" s="649"/>
      <c r="W312" s="649"/>
      <c r="X312" s="649"/>
      <c r="Y312" s="649"/>
      <c r="Z312" s="649"/>
      <c r="AA312" s="649"/>
      <c r="AB312" s="649"/>
      <c r="AC312" s="649"/>
      <c r="AD312" s="649"/>
      <c r="AE312" s="649"/>
      <c r="AF312" s="649"/>
      <c r="AG312" s="649"/>
      <c r="AH312" s="649"/>
      <c r="AI312" s="649"/>
      <c r="AJ312" s="649"/>
      <c r="AK312" s="649"/>
      <c r="AL312" s="649"/>
      <c r="AM312" s="649"/>
      <c r="AN312" s="649"/>
      <c r="AO312" s="649"/>
      <c r="AP312" s="649"/>
      <c r="AQ312" s="649"/>
      <c r="AR312" s="649"/>
      <c r="AS312" s="649"/>
      <c r="AT312" s="649"/>
      <c r="AU312" s="649"/>
      <c r="AV312" s="649"/>
      <c r="AW312" s="649"/>
      <c r="AX312" s="649"/>
      <c r="AY312" s="649"/>
      <c r="AZ312" s="649"/>
      <c r="BA312" s="649"/>
      <c r="BB312" s="649"/>
      <c r="BC312" s="649"/>
      <c r="BD312" s="649"/>
    </row>
    <row r="313" spans="1:56" s="648" customFormat="1" ht="12" customHeight="1">
      <c r="A313" s="726"/>
      <c r="B313" s="725">
        <v>43299</v>
      </c>
      <c r="C313" s="724" t="s">
        <v>40</v>
      </c>
      <c r="D313" s="723">
        <v>57.45</v>
      </c>
      <c r="E313" s="723">
        <f t="shared" si="18"/>
        <v>37.450000000000003</v>
      </c>
      <c r="F313" s="723"/>
      <c r="G313" s="723"/>
      <c r="H313" s="723"/>
      <c r="I313" s="723">
        <v>20</v>
      </c>
      <c r="J313" s="723"/>
      <c r="K313" s="723"/>
      <c r="L313" s="723"/>
      <c r="M313" s="723"/>
      <c r="N313" s="723"/>
      <c r="O313" s="743"/>
      <c r="P313" s="743"/>
      <c r="Q313" s="743"/>
      <c r="R313" s="743"/>
      <c r="S313" s="743"/>
      <c r="U313" s="649"/>
      <c r="V313" s="649"/>
      <c r="W313" s="649"/>
      <c r="X313" s="649"/>
      <c r="Y313" s="649"/>
      <c r="Z313" s="649"/>
      <c r="AA313" s="649"/>
      <c r="AB313" s="649"/>
      <c r="AC313" s="649"/>
      <c r="AD313" s="649"/>
      <c r="AE313" s="649"/>
      <c r="AF313" s="649"/>
      <c r="AG313" s="649"/>
      <c r="AH313" s="649"/>
      <c r="AI313" s="649"/>
      <c r="AJ313" s="649"/>
      <c r="AK313" s="649"/>
      <c r="AL313" s="649"/>
      <c r="AM313" s="649"/>
      <c r="AN313" s="649"/>
      <c r="AO313" s="649"/>
      <c r="AP313" s="649"/>
      <c r="AQ313" s="649"/>
      <c r="AR313" s="649"/>
      <c r="AS313" s="649"/>
      <c r="AT313" s="649"/>
      <c r="AU313" s="649"/>
      <c r="AV313" s="649"/>
      <c r="AW313" s="649"/>
      <c r="AX313" s="649"/>
      <c r="AY313" s="649"/>
      <c r="AZ313" s="649"/>
      <c r="BA313" s="649"/>
      <c r="BB313" s="649"/>
      <c r="BC313" s="649"/>
      <c r="BD313" s="649"/>
    </row>
    <row r="314" spans="1:56" s="648" customFormat="1" ht="12" customHeight="1">
      <c r="A314" s="726"/>
      <c r="B314" s="725">
        <v>43299</v>
      </c>
      <c r="C314" s="724" t="s">
        <v>38</v>
      </c>
      <c r="D314" s="723">
        <v>76.900000000000006</v>
      </c>
      <c r="E314" s="723">
        <f t="shared" si="18"/>
        <v>76.900000000000006</v>
      </c>
      <c r="F314" s="723"/>
      <c r="G314" s="723"/>
      <c r="H314" s="723"/>
      <c r="I314" s="723"/>
      <c r="J314" s="723"/>
      <c r="K314" s="723"/>
      <c r="L314" s="723"/>
      <c r="M314" s="723"/>
      <c r="N314" s="723"/>
      <c r="O314" s="743"/>
      <c r="P314" s="743"/>
      <c r="Q314" s="743"/>
      <c r="R314" s="743"/>
      <c r="S314" s="743"/>
      <c r="U314" s="649"/>
      <c r="V314" s="649"/>
      <c r="W314" s="649"/>
      <c r="X314" s="649"/>
      <c r="Y314" s="649"/>
      <c r="Z314" s="649"/>
      <c r="AA314" s="649"/>
      <c r="AB314" s="649"/>
      <c r="AC314" s="649"/>
      <c r="AD314" s="649"/>
      <c r="AE314" s="649"/>
      <c r="AF314" s="649"/>
      <c r="AG314" s="649"/>
      <c r="AH314" s="649"/>
      <c r="AI314" s="649"/>
      <c r="AJ314" s="649"/>
      <c r="AK314" s="649"/>
      <c r="AL314" s="649"/>
      <c r="AM314" s="649"/>
      <c r="AN314" s="649"/>
      <c r="AO314" s="649"/>
      <c r="AP314" s="649"/>
      <c r="AQ314" s="649"/>
      <c r="AR314" s="649"/>
      <c r="AS314" s="649"/>
      <c r="AT314" s="649"/>
      <c r="AU314" s="649"/>
      <c r="AV314" s="649"/>
      <c r="AW314" s="649"/>
      <c r="AX314" s="649"/>
      <c r="AY314" s="649"/>
      <c r="AZ314" s="649"/>
      <c r="BA314" s="649"/>
      <c r="BB314" s="649"/>
      <c r="BC314" s="649"/>
      <c r="BD314" s="649"/>
    </row>
    <row r="315" spans="1:56" s="648" customFormat="1" ht="12" customHeight="1">
      <c r="A315" s="726"/>
      <c r="B315" s="725">
        <v>43300</v>
      </c>
      <c r="C315" s="724" t="s">
        <v>451</v>
      </c>
      <c r="D315" s="723">
        <v>67.7</v>
      </c>
      <c r="E315" s="723">
        <f t="shared" si="18"/>
        <v>67.7</v>
      </c>
      <c r="F315" s="723">
        <v>17</v>
      </c>
      <c r="G315" s="723"/>
      <c r="H315" s="723"/>
      <c r="I315" s="723"/>
      <c r="J315" s="723"/>
      <c r="K315" s="723"/>
      <c r="L315" s="723"/>
      <c r="M315" s="723"/>
      <c r="N315" s="723"/>
      <c r="O315" s="743"/>
      <c r="P315" s="743"/>
      <c r="Q315" s="743"/>
      <c r="R315" s="743"/>
      <c r="S315" s="743"/>
      <c r="U315" s="649"/>
      <c r="V315" s="649"/>
      <c r="W315" s="649"/>
      <c r="X315" s="649"/>
      <c r="Y315" s="649"/>
      <c r="Z315" s="649"/>
      <c r="AA315" s="649"/>
      <c r="AB315" s="649"/>
      <c r="AC315" s="649"/>
      <c r="AD315" s="649"/>
      <c r="AE315" s="649"/>
      <c r="AF315" s="649"/>
      <c r="AG315" s="649"/>
      <c r="AH315" s="649"/>
      <c r="AI315" s="649"/>
      <c r="AJ315" s="649"/>
      <c r="AK315" s="649"/>
      <c r="AL315" s="649"/>
      <c r="AM315" s="649"/>
      <c r="AN315" s="649"/>
      <c r="AO315" s="649"/>
      <c r="AP315" s="649"/>
      <c r="AQ315" s="649"/>
      <c r="AR315" s="649"/>
      <c r="AS315" s="649"/>
      <c r="AT315" s="649"/>
      <c r="AU315" s="649"/>
      <c r="AV315" s="649"/>
      <c r="AW315" s="649"/>
      <c r="AX315" s="649"/>
      <c r="AY315" s="649"/>
      <c r="AZ315" s="649"/>
      <c r="BA315" s="649"/>
      <c r="BB315" s="649"/>
      <c r="BC315" s="649"/>
      <c r="BD315" s="649"/>
    </row>
    <row r="316" spans="1:56" s="648" customFormat="1" ht="12" customHeight="1">
      <c r="A316" s="726"/>
      <c r="B316" s="725">
        <v>43300</v>
      </c>
      <c r="C316" s="724" t="s">
        <v>40</v>
      </c>
      <c r="D316" s="723">
        <v>60.95</v>
      </c>
      <c r="E316" s="723">
        <f t="shared" si="18"/>
        <v>50.95</v>
      </c>
      <c r="F316" s="723"/>
      <c r="G316" s="723"/>
      <c r="H316" s="723"/>
      <c r="I316" s="723">
        <v>10</v>
      </c>
      <c r="J316" s="723"/>
      <c r="K316" s="723"/>
      <c r="L316" s="723"/>
      <c r="M316" s="723"/>
      <c r="N316" s="723"/>
      <c r="O316" s="743"/>
      <c r="P316" s="743"/>
      <c r="Q316" s="743"/>
      <c r="R316" s="743"/>
      <c r="S316" s="743"/>
      <c r="U316" s="649"/>
      <c r="V316" s="649"/>
      <c r="W316" s="649"/>
      <c r="X316" s="649"/>
      <c r="Y316" s="649"/>
      <c r="Z316" s="649"/>
      <c r="AA316" s="649"/>
      <c r="AB316" s="649"/>
      <c r="AC316" s="649"/>
      <c r="AD316" s="649"/>
      <c r="AE316" s="649"/>
      <c r="AF316" s="649"/>
      <c r="AG316" s="649"/>
      <c r="AH316" s="649"/>
      <c r="AI316" s="649"/>
      <c r="AJ316" s="649"/>
      <c r="AK316" s="649"/>
      <c r="AL316" s="649"/>
      <c r="AM316" s="649"/>
      <c r="AN316" s="649"/>
      <c r="AO316" s="649"/>
      <c r="AP316" s="649"/>
      <c r="AQ316" s="649"/>
      <c r="AR316" s="649"/>
      <c r="AS316" s="649"/>
      <c r="AT316" s="649"/>
      <c r="AU316" s="649"/>
      <c r="AV316" s="649"/>
      <c r="AW316" s="649"/>
      <c r="AX316" s="649"/>
      <c r="AY316" s="649"/>
      <c r="AZ316" s="649"/>
      <c r="BA316" s="649"/>
      <c r="BB316" s="649"/>
      <c r="BC316" s="649"/>
      <c r="BD316" s="649"/>
    </row>
    <row r="317" spans="1:56" s="648" customFormat="1" ht="12" customHeight="1">
      <c r="A317" s="726"/>
      <c r="B317" s="725">
        <v>43301</v>
      </c>
      <c r="C317" s="724" t="s">
        <v>39</v>
      </c>
      <c r="D317" s="723">
        <v>50</v>
      </c>
      <c r="E317" s="723">
        <f t="shared" ref="E317:E333" si="19">D317-G317-H317-I317</f>
        <v>50</v>
      </c>
      <c r="F317" s="723"/>
      <c r="G317" s="723"/>
      <c r="H317" s="723"/>
      <c r="I317" s="723"/>
      <c r="J317" s="723"/>
      <c r="K317" s="723"/>
      <c r="L317" s="723"/>
      <c r="M317" s="723"/>
      <c r="N317" s="723"/>
      <c r="O317" s="743"/>
      <c r="P317" s="743"/>
      <c r="Q317" s="743"/>
      <c r="R317" s="743"/>
      <c r="S317" s="743"/>
      <c r="U317" s="649"/>
      <c r="V317" s="649"/>
      <c r="W317" s="649"/>
      <c r="X317" s="649"/>
      <c r="Y317" s="649"/>
      <c r="Z317" s="649"/>
      <c r="AA317" s="649"/>
      <c r="AB317" s="649"/>
      <c r="AC317" s="649"/>
      <c r="AD317" s="649"/>
      <c r="AE317" s="649"/>
      <c r="AF317" s="649"/>
      <c r="AG317" s="649"/>
      <c r="AH317" s="649"/>
      <c r="AI317" s="649"/>
      <c r="AJ317" s="649"/>
      <c r="AK317" s="649"/>
      <c r="AL317" s="649"/>
      <c r="AM317" s="649"/>
      <c r="AN317" s="649"/>
      <c r="AO317" s="649"/>
      <c r="AP317" s="649"/>
      <c r="AQ317" s="649"/>
      <c r="AR317" s="649"/>
      <c r="AS317" s="649"/>
      <c r="AT317" s="649"/>
      <c r="AU317" s="649"/>
      <c r="AV317" s="649"/>
      <c r="AW317" s="649"/>
      <c r="AX317" s="649"/>
      <c r="AY317" s="649"/>
      <c r="AZ317" s="649"/>
      <c r="BA317" s="649"/>
      <c r="BB317" s="649"/>
      <c r="BC317" s="649"/>
      <c r="BD317" s="649"/>
    </row>
    <row r="318" spans="1:56" s="648" customFormat="1" ht="12" customHeight="1">
      <c r="A318" s="726"/>
      <c r="B318" s="725">
        <v>43302</v>
      </c>
      <c r="C318" s="724" t="s">
        <v>39</v>
      </c>
      <c r="D318" s="723">
        <v>75.5</v>
      </c>
      <c r="E318" s="723">
        <f t="shared" si="19"/>
        <v>75.5</v>
      </c>
      <c r="F318" s="723"/>
      <c r="G318" s="723"/>
      <c r="H318" s="723"/>
      <c r="I318" s="723"/>
      <c r="J318" s="723"/>
      <c r="K318" s="723"/>
      <c r="L318" s="723"/>
      <c r="M318" s="723"/>
      <c r="N318" s="723"/>
      <c r="O318" s="743"/>
      <c r="P318" s="743"/>
      <c r="Q318" s="743"/>
      <c r="R318" s="743"/>
      <c r="S318" s="743"/>
      <c r="U318" s="649"/>
      <c r="V318" s="649"/>
      <c r="W318" s="649"/>
      <c r="X318" s="649"/>
      <c r="Y318" s="649"/>
      <c r="Z318" s="649"/>
      <c r="AA318" s="649"/>
      <c r="AB318" s="649"/>
      <c r="AC318" s="649"/>
      <c r="AD318" s="649"/>
      <c r="AE318" s="649"/>
      <c r="AF318" s="649"/>
      <c r="AG318" s="649"/>
      <c r="AH318" s="649"/>
      <c r="AI318" s="649"/>
      <c r="AJ318" s="649"/>
      <c r="AK318" s="649"/>
      <c r="AL318" s="649"/>
      <c r="AM318" s="649"/>
      <c r="AN318" s="649"/>
      <c r="AO318" s="649"/>
      <c r="AP318" s="649"/>
      <c r="AQ318" s="649"/>
      <c r="AR318" s="649"/>
      <c r="AS318" s="649"/>
      <c r="AT318" s="649"/>
      <c r="AU318" s="649"/>
      <c r="AV318" s="649"/>
      <c r="AW318" s="649"/>
      <c r="AX318" s="649"/>
      <c r="AY318" s="649"/>
      <c r="AZ318" s="649"/>
      <c r="BA318" s="649"/>
      <c r="BB318" s="649"/>
      <c r="BC318" s="649"/>
      <c r="BD318" s="649"/>
    </row>
    <row r="319" spans="1:56" s="648" customFormat="1" ht="12" customHeight="1">
      <c r="A319" s="726"/>
      <c r="B319" s="725">
        <v>43302</v>
      </c>
      <c r="C319" s="724" t="s">
        <v>717</v>
      </c>
      <c r="D319" s="723">
        <v>104.4</v>
      </c>
      <c r="E319" s="723">
        <f t="shared" si="19"/>
        <v>32.400000000000006</v>
      </c>
      <c r="F319" s="723"/>
      <c r="G319" s="723"/>
      <c r="H319" s="723"/>
      <c r="I319" s="723">
        <v>72</v>
      </c>
      <c r="J319" s="723"/>
      <c r="K319" s="723"/>
      <c r="L319" s="723"/>
      <c r="M319" s="723"/>
      <c r="N319" s="723"/>
      <c r="O319" s="743"/>
      <c r="P319" s="743"/>
      <c r="Q319" s="743"/>
      <c r="R319" s="743"/>
      <c r="S319" s="743"/>
      <c r="U319" s="649"/>
      <c r="V319" s="649"/>
      <c r="W319" s="649"/>
      <c r="X319" s="649"/>
      <c r="Y319" s="649"/>
      <c r="Z319" s="649"/>
      <c r="AA319" s="649"/>
      <c r="AB319" s="649"/>
      <c r="AC319" s="649"/>
      <c r="AD319" s="649"/>
      <c r="AE319" s="649"/>
      <c r="AF319" s="649"/>
      <c r="AG319" s="649"/>
      <c r="AH319" s="649"/>
      <c r="AI319" s="649"/>
      <c r="AJ319" s="649"/>
      <c r="AK319" s="649"/>
      <c r="AL319" s="649"/>
      <c r="AM319" s="649"/>
      <c r="AN319" s="649"/>
      <c r="AO319" s="649"/>
      <c r="AP319" s="649"/>
      <c r="AQ319" s="649"/>
      <c r="AR319" s="649"/>
      <c r="AS319" s="649"/>
      <c r="AT319" s="649"/>
      <c r="AU319" s="649"/>
      <c r="AV319" s="649"/>
      <c r="AW319" s="649"/>
      <c r="AX319" s="649"/>
      <c r="AY319" s="649"/>
      <c r="AZ319" s="649"/>
      <c r="BA319" s="649"/>
      <c r="BB319" s="649"/>
      <c r="BC319" s="649"/>
      <c r="BD319" s="649"/>
    </row>
    <row r="320" spans="1:56" s="648" customFormat="1" ht="12" customHeight="1">
      <c r="A320" s="726"/>
      <c r="B320" s="725">
        <v>43304</v>
      </c>
      <c r="C320" s="724" t="s">
        <v>451</v>
      </c>
      <c r="D320" s="723">
        <v>92</v>
      </c>
      <c r="E320" s="723">
        <f t="shared" si="19"/>
        <v>92</v>
      </c>
      <c r="F320" s="723"/>
      <c r="G320" s="723"/>
      <c r="H320" s="723"/>
      <c r="I320" s="723"/>
      <c r="J320" s="723"/>
      <c r="K320" s="723"/>
      <c r="L320" s="723"/>
      <c r="M320" s="723"/>
      <c r="N320" s="723"/>
      <c r="O320" s="743"/>
      <c r="P320" s="743"/>
      <c r="Q320" s="743"/>
      <c r="R320" s="743"/>
      <c r="S320" s="743"/>
      <c r="U320" s="649"/>
      <c r="V320" s="649"/>
      <c r="W320" s="649"/>
      <c r="X320" s="649"/>
      <c r="Y320" s="649"/>
      <c r="Z320" s="649"/>
      <c r="AA320" s="649"/>
      <c r="AB320" s="649"/>
      <c r="AC320" s="649"/>
      <c r="AD320" s="649"/>
      <c r="AE320" s="649"/>
      <c r="AF320" s="649"/>
      <c r="AG320" s="649"/>
      <c r="AH320" s="649"/>
      <c r="AI320" s="649"/>
      <c r="AJ320" s="649"/>
      <c r="AK320" s="649"/>
      <c r="AL320" s="649"/>
      <c r="AM320" s="649"/>
      <c r="AN320" s="649"/>
      <c r="AO320" s="649"/>
      <c r="AP320" s="649"/>
      <c r="AQ320" s="649"/>
      <c r="AR320" s="649"/>
      <c r="AS320" s="649"/>
      <c r="AT320" s="649"/>
      <c r="AU320" s="649"/>
      <c r="AV320" s="649"/>
      <c r="AW320" s="649"/>
      <c r="AX320" s="649"/>
      <c r="AY320" s="649"/>
      <c r="AZ320" s="649"/>
      <c r="BA320" s="649"/>
      <c r="BB320" s="649"/>
      <c r="BC320" s="649"/>
      <c r="BD320" s="649"/>
    </row>
    <row r="321" spans="1:56" s="648" customFormat="1" ht="12" customHeight="1">
      <c r="A321" s="726"/>
      <c r="B321" s="725">
        <v>43304</v>
      </c>
      <c r="C321" s="724" t="s">
        <v>39</v>
      </c>
      <c r="D321" s="723">
        <v>106.85</v>
      </c>
      <c r="E321" s="723">
        <f t="shared" si="19"/>
        <v>106.85</v>
      </c>
      <c r="F321" s="723"/>
      <c r="G321" s="723"/>
      <c r="H321" s="723"/>
      <c r="I321" s="723"/>
      <c r="J321" s="723"/>
      <c r="K321" s="723"/>
      <c r="L321" s="723"/>
      <c r="M321" s="723"/>
      <c r="N321" s="723"/>
      <c r="O321" s="743"/>
      <c r="P321" s="743"/>
      <c r="Q321" s="743"/>
      <c r="R321" s="743"/>
      <c r="S321" s="743"/>
      <c r="U321" s="649"/>
      <c r="V321" s="649"/>
      <c r="W321" s="649"/>
      <c r="X321" s="649"/>
      <c r="Y321" s="649"/>
      <c r="Z321" s="649"/>
      <c r="AA321" s="649"/>
      <c r="AB321" s="649"/>
      <c r="AC321" s="649"/>
      <c r="AD321" s="649"/>
      <c r="AE321" s="649"/>
      <c r="AF321" s="649"/>
      <c r="AG321" s="649"/>
      <c r="AH321" s="649"/>
      <c r="AI321" s="649"/>
      <c r="AJ321" s="649"/>
      <c r="AK321" s="649"/>
      <c r="AL321" s="649"/>
      <c r="AM321" s="649"/>
      <c r="AN321" s="649"/>
      <c r="AO321" s="649"/>
      <c r="AP321" s="649"/>
      <c r="AQ321" s="649"/>
      <c r="AR321" s="649"/>
      <c r="AS321" s="649"/>
      <c r="AT321" s="649"/>
      <c r="AU321" s="649"/>
      <c r="AV321" s="649"/>
      <c r="AW321" s="649"/>
      <c r="AX321" s="649"/>
      <c r="AY321" s="649"/>
      <c r="AZ321" s="649"/>
      <c r="BA321" s="649"/>
      <c r="BB321" s="649"/>
      <c r="BC321" s="649"/>
      <c r="BD321" s="649"/>
    </row>
    <row r="322" spans="1:56" s="648" customFormat="1" ht="12" customHeight="1">
      <c r="A322" s="726"/>
      <c r="B322" s="725">
        <v>43306</v>
      </c>
      <c r="C322" s="724" t="s">
        <v>717</v>
      </c>
      <c r="D322" s="723">
        <v>72</v>
      </c>
      <c r="E322" s="723">
        <f t="shared" si="19"/>
        <v>0</v>
      </c>
      <c r="F322" s="723"/>
      <c r="G322" s="723"/>
      <c r="H322" s="723"/>
      <c r="I322" s="723">
        <v>72</v>
      </c>
      <c r="J322" s="723"/>
      <c r="K322" s="723"/>
      <c r="L322" s="723"/>
      <c r="M322" s="723"/>
      <c r="N322" s="723"/>
      <c r="O322" s="743"/>
      <c r="P322" s="743"/>
      <c r="Q322" s="743"/>
      <c r="R322" s="743"/>
      <c r="S322" s="743"/>
      <c r="U322" s="649"/>
      <c r="V322" s="649"/>
      <c r="W322" s="649"/>
      <c r="X322" s="649"/>
      <c r="Y322" s="649"/>
      <c r="Z322" s="649"/>
      <c r="AA322" s="649"/>
      <c r="AB322" s="649"/>
      <c r="AC322" s="649"/>
      <c r="AD322" s="649"/>
      <c r="AE322" s="649"/>
      <c r="AF322" s="649"/>
      <c r="AG322" s="649"/>
      <c r="AH322" s="649"/>
      <c r="AI322" s="649"/>
      <c r="AJ322" s="649"/>
      <c r="AK322" s="649"/>
      <c r="AL322" s="649"/>
      <c r="AM322" s="649"/>
      <c r="AN322" s="649"/>
      <c r="AO322" s="649"/>
      <c r="AP322" s="649"/>
      <c r="AQ322" s="649"/>
      <c r="AR322" s="649"/>
      <c r="AS322" s="649"/>
      <c r="AT322" s="649"/>
      <c r="AU322" s="649"/>
      <c r="AV322" s="649"/>
      <c r="AW322" s="649"/>
      <c r="AX322" s="649"/>
      <c r="AY322" s="649"/>
      <c r="AZ322" s="649"/>
      <c r="BA322" s="649"/>
      <c r="BB322" s="649"/>
      <c r="BC322" s="649"/>
      <c r="BD322" s="649"/>
    </row>
    <row r="323" spans="1:56" s="648" customFormat="1" ht="12" customHeight="1">
      <c r="A323" s="726"/>
      <c r="B323" s="725">
        <v>43306</v>
      </c>
      <c r="C323" s="724" t="s">
        <v>451</v>
      </c>
      <c r="D323" s="723">
        <v>58.95</v>
      </c>
      <c r="E323" s="723">
        <f t="shared" si="19"/>
        <v>43.95</v>
      </c>
      <c r="F323" s="723"/>
      <c r="G323" s="723"/>
      <c r="H323" s="723"/>
      <c r="I323" s="723">
        <v>15</v>
      </c>
      <c r="J323" s="723"/>
      <c r="K323" s="723"/>
      <c r="L323" s="723"/>
      <c r="M323" s="723"/>
      <c r="N323" s="723"/>
      <c r="O323" s="743"/>
      <c r="P323" s="743"/>
      <c r="Q323" s="743"/>
      <c r="R323" s="743"/>
      <c r="S323" s="743"/>
      <c r="U323" s="649"/>
      <c r="V323" s="649"/>
      <c r="W323" s="649"/>
      <c r="X323" s="649"/>
      <c r="Y323" s="649"/>
      <c r="Z323" s="649"/>
      <c r="AA323" s="649"/>
      <c r="AB323" s="649"/>
      <c r="AC323" s="649"/>
      <c r="AD323" s="649"/>
      <c r="AE323" s="649"/>
      <c r="AF323" s="649"/>
      <c r="AG323" s="649"/>
      <c r="AH323" s="649"/>
      <c r="AI323" s="649"/>
      <c r="AJ323" s="649"/>
      <c r="AK323" s="649"/>
      <c r="AL323" s="649"/>
      <c r="AM323" s="649"/>
      <c r="AN323" s="649"/>
      <c r="AO323" s="649"/>
      <c r="AP323" s="649"/>
      <c r="AQ323" s="649"/>
      <c r="AR323" s="649"/>
      <c r="AS323" s="649"/>
      <c r="AT323" s="649"/>
      <c r="AU323" s="649"/>
      <c r="AV323" s="649"/>
      <c r="AW323" s="649"/>
      <c r="AX323" s="649"/>
      <c r="AY323" s="649"/>
      <c r="AZ323" s="649"/>
      <c r="BA323" s="649"/>
      <c r="BB323" s="649"/>
      <c r="BC323" s="649"/>
      <c r="BD323" s="649"/>
    </row>
    <row r="324" spans="1:56" s="648" customFormat="1" ht="12" customHeight="1">
      <c r="A324" s="726"/>
      <c r="B324" s="725">
        <v>43306</v>
      </c>
      <c r="C324" s="724" t="s">
        <v>39</v>
      </c>
      <c r="D324" s="723">
        <v>78.45</v>
      </c>
      <c r="E324" s="723">
        <f t="shared" si="19"/>
        <v>48</v>
      </c>
      <c r="F324" s="723"/>
      <c r="G324" s="723"/>
      <c r="H324" s="723"/>
      <c r="I324" s="723">
        <v>30.45</v>
      </c>
      <c r="J324" s="723"/>
      <c r="K324" s="723"/>
      <c r="L324" s="723"/>
      <c r="M324" s="723"/>
      <c r="N324" s="723"/>
      <c r="O324" s="743"/>
      <c r="P324" s="743"/>
      <c r="Q324" s="743"/>
      <c r="R324" s="743"/>
      <c r="S324" s="743"/>
      <c r="U324" s="649"/>
      <c r="V324" s="649"/>
      <c r="W324" s="649"/>
      <c r="X324" s="649"/>
      <c r="Y324" s="649"/>
      <c r="Z324" s="649"/>
      <c r="AA324" s="649"/>
      <c r="AB324" s="649"/>
      <c r="AC324" s="649"/>
      <c r="AD324" s="649"/>
      <c r="AE324" s="649"/>
      <c r="AF324" s="649"/>
      <c r="AG324" s="649"/>
      <c r="AH324" s="649"/>
      <c r="AI324" s="649"/>
      <c r="AJ324" s="649"/>
      <c r="AK324" s="649"/>
      <c r="AL324" s="649"/>
      <c r="AM324" s="649"/>
      <c r="AN324" s="649"/>
      <c r="AO324" s="649"/>
      <c r="AP324" s="649"/>
      <c r="AQ324" s="649"/>
      <c r="AR324" s="649"/>
      <c r="AS324" s="649"/>
      <c r="AT324" s="649"/>
      <c r="AU324" s="649"/>
      <c r="AV324" s="649"/>
      <c r="AW324" s="649"/>
      <c r="AX324" s="649"/>
      <c r="AY324" s="649"/>
      <c r="AZ324" s="649"/>
      <c r="BA324" s="649"/>
      <c r="BB324" s="649"/>
      <c r="BC324" s="649"/>
      <c r="BD324" s="649"/>
    </row>
    <row r="325" spans="1:56" s="648" customFormat="1" ht="12" customHeight="1">
      <c r="A325" s="726"/>
      <c r="B325" s="725">
        <v>43306</v>
      </c>
      <c r="C325" s="724" t="s">
        <v>451</v>
      </c>
      <c r="D325" s="723">
        <v>76.34</v>
      </c>
      <c r="E325" s="723">
        <f t="shared" si="19"/>
        <v>76.34</v>
      </c>
      <c r="F325" s="723">
        <v>17</v>
      </c>
      <c r="G325" s="723"/>
      <c r="H325" s="723"/>
      <c r="I325" s="723"/>
      <c r="J325" s="723"/>
      <c r="K325" s="723"/>
      <c r="L325" s="723"/>
      <c r="M325" s="723"/>
      <c r="N325" s="723"/>
      <c r="O325" s="743"/>
      <c r="P325" s="743"/>
      <c r="Q325" s="743"/>
      <c r="R325" s="743"/>
      <c r="S325" s="743"/>
      <c r="U325" s="649"/>
      <c r="V325" s="649"/>
      <c r="W325" s="649"/>
      <c r="X325" s="649"/>
      <c r="Y325" s="649"/>
      <c r="Z325" s="649"/>
      <c r="AA325" s="649"/>
      <c r="AB325" s="649"/>
      <c r="AC325" s="649"/>
      <c r="AD325" s="649"/>
      <c r="AE325" s="649"/>
      <c r="AF325" s="649"/>
      <c r="AG325" s="649"/>
      <c r="AH325" s="649"/>
      <c r="AI325" s="649"/>
      <c r="AJ325" s="649"/>
      <c r="AK325" s="649"/>
      <c r="AL325" s="649"/>
      <c r="AM325" s="649"/>
      <c r="AN325" s="649"/>
      <c r="AO325" s="649"/>
      <c r="AP325" s="649"/>
      <c r="AQ325" s="649"/>
      <c r="AR325" s="649"/>
      <c r="AS325" s="649"/>
      <c r="AT325" s="649"/>
      <c r="AU325" s="649"/>
      <c r="AV325" s="649"/>
      <c r="AW325" s="649"/>
      <c r="AX325" s="649"/>
      <c r="AY325" s="649"/>
      <c r="AZ325" s="649"/>
      <c r="BA325" s="649"/>
      <c r="BB325" s="649"/>
      <c r="BC325" s="649"/>
      <c r="BD325" s="649"/>
    </row>
    <row r="326" spans="1:56" s="648" customFormat="1" ht="12" customHeight="1">
      <c r="A326" s="726"/>
      <c r="B326" s="725">
        <v>43309</v>
      </c>
      <c r="C326" s="724" t="s">
        <v>40</v>
      </c>
      <c r="D326" s="723">
        <v>104.95</v>
      </c>
      <c r="E326" s="723">
        <f t="shared" si="19"/>
        <v>26.950000000000003</v>
      </c>
      <c r="F326" s="723">
        <v>10.95</v>
      </c>
      <c r="G326" s="723">
        <v>78</v>
      </c>
      <c r="H326" s="723"/>
      <c r="I326" s="723"/>
      <c r="J326" s="723"/>
      <c r="K326" s="723"/>
      <c r="L326" s="723"/>
      <c r="M326" s="723"/>
      <c r="N326" s="723"/>
      <c r="O326" s="743"/>
      <c r="P326" s="743"/>
      <c r="Q326" s="743"/>
      <c r="R326" s="743"/>
      <c r="S326" s="743"/>
      <c r="U326" s="649"/>
      <c r="V326" s="649"/>
      <c r="W326" s="649"/>
      <c r="X326" s="649"/>
      <c r="Y326" s="649"/>
      <c r="Z326" s="649"/>
      <c r="AA326" s="649"/>
      <c r="AB326" s="649"/>
      <c r="AC326" s="649"/>
      <c r="AD326" s="649"/>
      <c r="AE326" s="649"/>
      <c r="AF326" s="649"/>
      <c r="AG326" s="649"/>
      <c r="AH326" s="649"/>
      <c r="AI326" s="649"/>
      <c r="AJ326" s="649"/>
      <c r="AK326" s="649"/>
      <c r="AL326" s="649"/>
      <c r="AM326" s="649"/>
      <c r="AN326" s="649"/>
      <c r="AO326" s="649"/>
      <c r="AP326" s="649"/>
      <c r="AQ326" s="649"/>
      <c r="AR326" s="649"/>
      <c r="AS326" s="649"/>
      <c r="AT326" s="649"/>
      <c r="AU326" s="649"/>
      <c r="AV326" s="649"/>
      <c r="AW326" s="649"/>
      <c r="AX326" s="649"/>
      <c r="AY326" s="649"/>
      <c r="AZ326" s="649"/>
      <c r="BA326" s="649"/>
      <c r="BB326" s="649"/>
      <c r="BC326" s="649"/>
      <c r="BD326" s="649"/>
    </row>
    <row r="327" spans="1:56" s="648" customFormat="1" ht="12" customHeight="1">
      <c r="A327" s="726"/>
      <c r="B327" s="725">
        <v>43311</v>
      </c>
      <c r="C327" s="724" t="s">
        <v>39</v>
      </c>
      <c r="D327" s="723">
        <v>55</v>
      </c>
      <c r="E327" s="723">
        <f t="shared" si="19"/>
        <v>55</v>
      </c>
      <c r="F327" s="723"/>
      <c r="G327" s="723"/>
      <c r="H327" s="723"/>
      <c r="I327" s="723"/>
      <c r="J327" s="723"/>
      <c r="K327" s="723"/>
      <c r="L327" s="723"/>
      <c r="M327" s="723"/>
      <c r="N327" s="723"/>
      <c r="O327" s="743"/>
      <c r="P327" s="743"/>
      <c r="Q327" s="743"/>
      <c r="R327" s="743"/>
      <c r="S327" s="743"/>
      <c r="U327" s="649"/>
      <c r="V327" s="649"/>
      <c r="W327" s="649"/>
      <c r="X327" s="649"/>
      <c r="Y327" s="649"/>
      <c r="Z327" s="649"/>
      <c r="AA327" s="649"/>
      <c r="AB327" s="649"/>
      <c r="AC327" s="649"/>
      <c r="AD327" s="649"/>
      <c r="AE327" s="649"/>
      <c r="AF327" s="649"/>
      <c r="AG327" s="649"/>
      <c r="AH327" s="649"/>
      <c r="AI327" s="649"/>
      <c r="AJ327" s="649"/>
      <c r="AK327" s="649"/>
      <c r="AL327" s="649"/>
      <c r="AM327" s="649"/>
      <c r="AN327" s="649"/>
      <c r="AO327" s="649"/>
      <c r="AP327" s="649"/>
      <c r="AQ327" s="649"/>
      <c r="AR327" s="649"/>
      <c r="AS327" s="649"/>
      <c r="AT327" s="649"/>
      <c r="AU327" s="649"/>
      <c r="AV327" s="649"/>
      <c r="AW327" s="649"/>
      <c r="AX327" s="649"/>
      <c r="AY327" s="649"/>
      <c r="AZ327" s="649"/>
      <c r="BA327" s="649"/>
      <c r="BB327" s="649"/>
      <c r="BC327" s="649"/>
      <c r="BD327" s="649"/>
    </row>
    <row r="328" spans="1:56" s="648" customFormat="1" ht="12" customHeight="1">
      <c r="A328" s="726"/>
      <c r="B328" s="725">
        <v>43311</v>
      </c>
      <c r="C328" s="724" t="s">
        <v>451</v>
      </c>
      <c r="D328" s="723">
        <v>10</v>
      </c>
      <c r="E328" s="723">
        <f t="shared" si="19"/>
        <v>10</v>
      </c>
      <c r="F328" s="723"/>
      <c r="G328" s="723"/>
      <c r="H328" s="723"/>
      <c r="I328" s="723"/>
      <c r="J328" s="723"/>
      <c r="K328" s="723"/>
      <c r="L328" s="723"/>
      <c r="M328" s="723"/>
      <c r="N328" s="723"/>
      <c r="O328" s="743"/>
      <c r="P328" s="743"/>
      <c r="Q328" s="743"/>
      <c r="R328" s="743"/>
      <c r="S328" s="743"/>
      <c r="U328" s="649"/>
      <c r="V328" s="649"/>
      <c r="W328" s="649"/>
      <c r="X328" s="649"/>
      <c r="Y328" s="649"/>
      <c r="Z328" s="649"/>
      <c r="AA328" s="649"/>
      <c r="AB328" s="649"/>
      <c r="AC328" s="649"/>
      <c r="AD328" s="649"/>
      <c r="AE328" s="649"/>
      <c r="AF328" s="649"/>
      <c r="AG328" s="649"/>
      <c r="AH328" s="649"/>
      <c r="AI328" s="649"/>
      <c r="AJ328" s="649"/>
      <c r="AK328" s="649"/>
      <c r="AL328" s="649"/>
      <c r="AM328" s="649"/>
      <c r="AN328" s="649"/>
      <c r="AO328" s="649"/>
      <c r="AP328" s="649"/>
      <c r="AQ328" s="649"/>
      <c r="AR328" s="649"/>
      <c r="AS328" s="649"/>
      <c r="AT328" s="649"/>
      <c r="AU328" s="649"/>
      <c r="AV328" s="649"/>
      <c r="AW328" s="649"/>
      <c r="AX328" s="649"/>
      <c r="AY328" s="649"/>
      <c r="AZ328" s="649"/>
      <c r="BA328" s="649"/>
      <c r="BB328" s="649"/>
      <c r="BC328" s="649"/>
      <c r="BD328" s="649"/>
    </row>
    <row r="329" spans="1:56" s="648" customFormat="1" ht="12" customHeight="1">
      <c r="A329" s="726"/>
      <c r="B329" s="725">
        <v>43311</v>
      </c>
      <c r="C329" s="724" t="s">
        <v>38</v>
      </c>
      <c r="D329" s="723">
        <v>36</v>
      </c>
      <c r="E329" s="723">
        <f t="shared" si="19"/>
        <v>36</v>
      </c>
      <c r="F329" s="723"/>
      <c r="G329" s="723"/>
      <c r="H329" s="723"/>
      <c r="I329" s="723"/>
      <c r="J329" s="723"/>
      <c r="K329" s="723"/>
      <c r="L329" s="723"/>
      <c r="M329" s="723"/>
      <c r="N329" s="723"/>
      <c r="O329" s="743"/>
      <c r="P329" s="743"/>
      <c r="Q329" s="743"/>
      <c r="R329" s="743"/>
      <c r="S329" s="743"/>
      <c r="U329" s="649"/>
      <c r="V329" s="649"/>
      <c r="W329" s="649"/>
      <c r="X329" s="649"/>
      <c r="Y329" s="649"/>
      <c r="Z329" s="649"/>
      <c r="AA329" s="649"/>
      <c r="AB329" s="649"/>
      <c r="AC329" s="649"/>
      <c r="AD329" s="649"/>
      <c r="AE329" s="649"/>
      <c r="AF329" s="649"/>
      <c r="AG329" s="649"/>
      <c r="AH329" s="649"/>
      <c r="AI329" s="649"/>
      <c r="AJ329" s="649"/>
      <c r="AK329" s="649"/>
      <c r="AL329" s="649"/>
      <c r="AM329" s="649"/>
      <c r="AN329" s="649"/>
      <c r="AO329" s="649"/>
      <c r="AP329" s="649"/>
      <c r="AQ329" s="649"/>
      <c r="AR329" s="649"/>
      <c r="AS329" s="649"/>
      <c r="AT329" s="649"/>
      <c r="AU329" s="649"/>
      <c r="AV329" s="649"/>
      <c r="AW329" s="649"/>
      <c r="AX329" s="649"/>
      <c r="AY329" s="649"/>
      <c r="AZ329" s="649"/>
      <c r="BA329" s="649"/>
      <c r="BB329" s="649"/>
      <c r="BC329" s="649"/>
      <c r="BD329" s="649"/>
    </row>
    <row r="330" spans="1:56" s="648" customFormat="1" ht="12" customHeight="1">
      <c r="A330" s="726"/>
      <c r="B330" s="725">
        <v>43312</v>
      </c>
      <c r="C330" s="724" t="s">
        <v>124</v>
      </c>
      <c r="D330" s="723">
        <v>196.7</v>
      </c>
      <c r="E330" s="723">
        <f t="shared" si="19"/>
        <v>0</v>
      </c>
      <c r="F330" s="723"/>
      <c r="G330" s="723"/>
      <c r="H330" s="723">
        <v>196.7</v>
      </c>
      <c r="I330" s="723"/>
      <c r="J330" s="723"/>
      <c r="K330" s="723"/>
      <c r="L330" s="723"/>
      <c r="M330" s="723"/>
      <c r="N330" s="723"/>
      <c r="O330" s="743"/>
      <c r="P330" s="743"/>
      <c r="Q330" s="743"/>
      <c r="R330" s="743"/>
      <c r="S330" s="743"/>
      <c r="U330" s="649"/>
      <c r="V330" s="649"/>
      <c r="W330" s="649"/>
      <c r="X330" s="649"/>
      <c r="Y330" s="649"/>
      <c r="Z330" s="649"/>
      <c r="AA330" s="649"/>
      <c r="AB330" s="649"/>
      <c r="AC330" s="649"/>
      <c r="AD330" s="649"/>
      <c r="AE330" s="649"/>
      <c r="AF330" s="649"/>
      <c r="AG330" s="649"/>
      <c r="AH330" s="649"/>
      <c r="AI330" s="649"/>
      <c r="AJ330" s="649"/>
      <c r="AK330" s="649"/>
      <c r="AL330" s="649"/>
      <c r="AM330" s="649"/>
      <c r="AN330" s="649"/>
      <c r="AO330" s="649"/>
      <c r="AP330" s="649"/>
      <c r="AQ330" s="649"/>
      <c r="AR330" s="649"/>
      <c r="AS330" s="649"/>
      <c r="AT330" s="649"/>
      <c r="AU330" s="649"/>
      <c r="AV330" s="649"/>
      <c r="AW330" s="649"/>
      <c r="AX330" s="649"/>
      <c r="AY330" s="649"/>
      <c r="AZ330" s="649"/>
      <c r="BA330" s="649"/>
      <c r="BB330" s="649"/>
      <c r="BC330" s="649"/>
      <c r="BD330" s="649"/>
    </row>
    <row r="331" spans="1:56" s="648" customFormat="1" ht="12" customHeight="1">
      <c r="A331" s="726"/>
      <c r="B331" s="725">
        <v>43312</v>
      </c>
      <c r="C331" s="724" t="s">
        <v>451</v>
      </c>
      <c r="D331" s="723">
        <v>218.84</v>
      </c>
      <c r="E331" s="723">
        <f t="shared" si="19"/>
        <v>218.84</v>
      </c>
      <c r="F331" s="723">
        <v>21.25</v>
      </c>
      <c r="G331" s="723"/>
      <c r="H331" s="723"/>
      <c r="I331" s="723"/>
      <c r="J331" s="723"/>
      <c r="K331" s="723"/>
      <c r="L331" s="723"/>
      <c r="M331" s="723"/>
      <c r="N331" s="723"/>
      <c r="O331" s="743"/>
      <c r="P331" s="743"/>
      <c r="Q331" s="743"/>
      <c r="R331" s="743"/>
      <c r="S331" s="743"/>
      <c r="U331" s="649"/>
      <c r="V331" s="649"/>
      <c r="W331" s="649"/>
      <c r="X331" s="649"/>
      <c r="Y331" s="649"/>
      <c r="Z331" s="649"/>
      <c r="AA331" s="649"/>
      <c r="AB331" s="649"/>
      <c r="AC331" s="649"/>
      <c r="AD331" s="649"/>
      <c r="AE331" s="649"/>
      <c r="AF331" s="649"/>
      <c r="AG331" s="649"/>
      <c r="AH331" s="649"/>
      <c r="AI331" s="649"/>
      <c r="AJ331" s="649"/>
      <c r="AK331" s="649"/>
      <c r="AL331" s="649"/>
      <c r="AM331" s="649"/>
      <c r="AN331" s="649"/>
      <c r="AO331" s="649"/>
      <c r="AP331" s="649"/>
      <c r="AQ331" s="649"/>
      <c r="AR331" s="649"/>
      <c r="AS331" s="649"/>
      <c r="AT331" s="649"/>
      <c r="AU331" s="649"/>
      <c r="AV331" s="649"/>
      <c r="AW331" s="649"/>
      <c r="AX331" s="649"/>
      <c r="AY331" s="649"/>
      <c r="AZ331" s="649"/>
      <c r="BA331" s="649"/>
      <c r="BB331" s="649"/>
      <c r="BC331" s="649"/>
      <c r="BD331" s="649"/>
    </row>
    <row r="332" spans="1:56" s="648" customFormat="1" ht="12" customHeight="1">
      <c r="A332" s="726"/>
      <c r="B332" s="725">
        <v>43312</v>
      </c>
      <c r="C332" s="724" t="s">
        <v>38</v>
      </c>
      <c r="D332" s="723">
        <v>100</v>
      </c>
      <c r="E332" s="723">
        <f t="shared" si="19"/>
        <v>100</v>
      </c>
      <c r="F332" s="723"/>
      <c r="G332" s="723"/>
      <c r="H332" s="723"/>
      <c r="I332" s="723"/>
      <c r="J332" s="723"/>
      <c r="K332" s="723"/>
      <c r="L332" s="723"/>
      <c r="M332" s="723"/>
      <c r="N332" s="723"/>
      <c r="O332" s="743"/>
      <c r="P332" s="743"/>
      <c r="Q332" s="743"/>
      <c r="R332" s="743"/>
      <c r="S332" s="743"/>
      <c r="U332" s="649"/>
      <c r="V332" s="649"/>
      <c r="W332" s="649"/>
      <c r="X332" s="649"/>
      <c r="Y332" s="649"/>
      <c r="Z332" s="649"/>
      <c r="AA332" s="649"/>
      <c r="AB332" s="649"/>
      <c r="AC332" s="649"/>
      <c r="AD332" s="649"/>
      <c r="AE332" s="649"/>
      <c r="AF332" s="649"/>
      <c r="AG332" s="649"/>
      <c r="AH332" s="649"/>
      <c r="AI332" s="649"/>
      <c r="AJ332" s="649"/>
      <c r="AK332" s="649"/>
      <c r="AL332" s="649"/>
      <c r="AM332" s="649"/>
      <c r="AN332" s="649"/>
      <c r="AO332" s="649"/>
      <c r="AP332" s="649"/>
      <c r="AQ332" s="649"/>
      <c r="AR332" s="649"/>
      <c r="AS332" s="649"/>
      <c r="AT332" s="649"/>
      <c r="AU332" s="649"/>
      <c r="AV332" s="649"/>
      <c r="AW332" s="649"/>
      <c r="AX332" s="649"/>
      <c r="AY332" s="649"/>
      <c r="AZ332" s="649"/>
      <c r="BA332" s="649"/>
      <c r="BB332" s="649"/>
      <c r="BC332" s="649"/>
      <c r="BD332" s="649"/>
    </row>
    <row r="333" spans="1:56" s="648" customFormat="1" ht="12" customHeight="1">
      <c r="A333" s="726"/>
      <c r="B333" s="725">
        <v>43312</v>
      </c>
      <c r="C333" s="724" t="s">
        <v>39</v>
      </c>
      <c r="D333" s="723">
        <v>85.9</v>
      </c>
      <c r="E333" s="723">
        <f t="shared" si="19"/>
        <v>44.95</v>
      </c>
      <c r="F333" s="723"/>
      <c r="G333" s="723"/>
      <c r="H333" s="723"/>
      <c r="I333" s="723">
        <v>40.950000000000003</v>
      </c>
      <c r="J333" s="723"/>
      <c r="K333" s="723"/>
      <c r="L333" s="723"/>
      <c r="M333" s="723"/>
      <c r="N333" s="723"/>
      <c r="O333" s="743"/>
      <c r="P333" s="743"/>
      <c r="Q333" s="743"/>
      <c r="R333" s="743"/>
      <c r="S333" s="743"/>
      <c r="U333" s="649"/>
      <c r="V333" s="649"/>
      <c r="W333" s="649"/>
      <c r="X333" s="649"/>
      <c r="Y333" s="649"/>
      <c r="Z333" s="649"/>
      <c r="AA333" s="649"/>
      <c r="AB333" s="649"/>
      <c r="AC333" s="649"/>
      <c r="AD333" s="649"/>
      <c r="AE333" s="649"/>
      <c r="AF333" s="649"/>
      <c r="AG333" s="649"/>
      <c r="AH333" s="649"/>
      <c r="AI333" s="649"/>
      <c r="AJ333" s="649"/>
      <c r="AK333" s="649"/>
      <c r="AL333" s="649"/>
      <c r="AM333" s="649"/>
      <c r="AN333" s="649"/>
      <c r="AO333" s="649"/>
      <c r="AP333" s="649"/>
      <c r="AQ333" s="649"/>
      <c r="AR333" s="649"/>
      <c r="AS333" s="649"/>
      <c r="AT333" s="649"/>
      <c r="AU333" s="649"/>
      <c r="AV333" s="649"/>
      <c r="AW333" s="649"/>
      <c r="AX333" s="649"/>
      <c r="AY333" s="649"/>
      <c r="AZ333" s="649"/>
      <c r="BA333" s="649"/>
      <c r="BB333" s="649"/>
      <c r="BC333" s="649"/>
      <c r="BD333" s="649"/>
    </row>
    <row r="334" spans="1:56" s="744" customFormat="1" ht="12" customHeight="1">
      <c r="A334" s="749"/>
      <c r="B334" s="748" t="str">
        <f>J1</f>
        <v>august</v>
      </c>
      <c r="C334" s="747"/>
      <c r="D334" s="746">
        <f t="shared" ref="D334:S334" si="20">SUM(D335:D384)</f>
        <v>3533.9599999999982</v>
      </c>
      <c r="E334" s="746">
        <f t="shared" si="20"/>
        <v>2385.96</v>
      </c>
      <c r="F334" s="746">
        <f t="shared" si="20"/>
        <v>197.45</v>
      </c>
      <c r="G334" s="746">
        <f t="shared" si="20"/>
        <v>390</v>
      </c>
      <c r="H334" s="746">
        <f t="shared" si="20"/>
        <v>82.65</v>
      </c>
      <c r="I334" s="746">
        <f t="shared" si="20"/>
        <v>675.35</v>
      </c>
      <c r="J334" s="746">
        <f t="shared" si="20"/>
        <v>0</v>
      </c>
      <c r="K334" s="746">
        <f t="shared" si="20"/>
        <v>0</v>
      </c>
      <c r="L334" s="746">
        <f t="shared" si="20"/>
        <v>0</v>
      </c>
      <c r="M334" s="746">
        <f t="shared" si="20"/>
        <v>0</v>
      </c>
      <c r="N334" s="746">
        <f t="shared" si="20"/>
        <v>0</v>
      </c>
      <c r="O334" s="745">
        <f t="shared" si="20"/>
        <v>0</v>
      </c>
      <c r="P334" s="745">
        <f t="shared" si="20"/>
        <v>0</v>
      </c>
      <c r="Q334" s="745">
        <f t="shared" si="20"/>
        <v>0</v>
      </c>
      <c r="R334" s="745">
        <f t="shared" si="20"/>
        <v>0</v>
      </c>
      <c r="S334" s="745">
        <f t="shared" si="20"/>
        <v>0</v>
      </c>
    </row>
    <row r="335" spans="1:56" s="648" customFormat="1" ht="12" customHeight="1">
      <c r="A335" s="726"/>
      <c r="B335" s="725">
        <v>43312</v>
      </c>
      <c r="C335" s="724" t="s">
        <v>38</v>
      </c>
      <c r="D335" s="723">
        <v>390</v>
      </c>
      <c r="E335" s="723">
        <f t="shared" ref="E335:E366" si="21">D335-G335-H335-I335</f>
        <v>0</v>
      </c>
      <c r="F335" s="723"/>
      <c r="G335" s="723">
        <v>390</v>
      </c>
      <c r="H335" s="723"/>
      <c r="I335" s="723"/>
      <c r="J335" s="723"/>
      <c r="K335" s="723"/>
      <c r="L335" s="723"/>
      <c r="M335" s="723"/>
      <c r="N335" s="723"/>
      <c r="O335" s="743"/>
      <c r="P335" s="743"/>
      <c r="Q335" s="743"/>
      <c r="R335" s="743"/>
      <c r="S335" s="743"/>
      <c r="U335" s="649"/>
      <c r="V335" s="649"/>
      <c r="W335" s="649"/>
      <c r="X335" s="649"/>
      <c r="Y335" s="649"/>
      <c r="Z335" s="649"/>
      <c r="AA335" s="649"/>
      <c r="AB335" s="649"/>
      <c r="AC335" s="649"/>
      <c r="AD335" s="649"/>
      <c r="AE335" s="649"/>
      <c r="AF335" s="649"/>
      <c r="AG335" s="649"/>
      <c r="AH335" s="649"/>
      <c r="AI335" s="649"/>
      <c r="AJ335" s="649"/>
      <c r="AK335" s="649"/>
      <c r="AL335" s="649"/>
      <c r="AM335" s="649"/>
      <c r="AN335" s="649"/>
      <c r="AO335" s="649"/>
      <c r="AP335" s="649"/>
      <c r="AQ335" s="649"/>
      <c r="AR335" s="649"/>
      <c r="AS335" s="649"/>
      <c r="AT335" s="649"/>
      <c r="AU335" s="649"/>
      <c r="AV335" s="649"/>
      <c r="AW335" s="649"/>
      <c r="AX335" s="649"/>
      <c r="AY335" s="649"/>
      <c r="AZ335" s="649"/>
      <c r="BA335" s="649"/>
      <c r="BB335" s="649"/>
      <c r="BC335" s="649"/>
      <c r="BD335" s="649"/>
    </row>
    <row r="336" spans="1:56" s="648" customFormat="1" ht="12" customHeight="1">
      <c r="A336" s="726"/>
      <c r="B336" s="725">
        <v>43313</v>
      </c>
      <c r="C336" s="724" t="s">
        <v>39</v>
      </c>
      <c r="D336" s="723">
        <v>13.95</v>
      </c>
      <c r="E336" s="723">
        <f t="shared" si="21"/>
        <v>13.95</v>
      </c>
      <c r="F336" s="723"/>
      <c r="G336" s="723"/>
      <c r="H336" s="723"/>
      <c r="I336" s="723"/>
      <c r="J336" s="723"/>
      <c r="K336" s="723"/>
      <c r="L336" s="723"/>
      <c r="M336" s="723"/>
      <c r="N336" s="723"/>
      <c r="O336" s="743"/>
      <c r="P336" s="743"/>
      <c r="Q336" s="743"/>
      <c r="R336" s="743"/>
      <c r="S336" s="743"/>
      <c r="U336" s="649"/>
      <c r="V336" s="649"/>
      <c r="W336" s="649"/>
      <c r="X336" s="649"/>
      <c r="Y336" s="649"/>
      <c r="Z336" s="649"/>
      <c r="AA336" s="649"/>
      <c r="AB336" s="649"/>
      <c r="AC336" s="649"/>
      <c r="AD336" s="649"/>
      <c r="AE336" s="649"/>
      <c r="AF336" s="649"/>
      <c r="AG336" s="649"/>
      <c r="AH336" s="649"/>
      <c r="AI336" s="649"/>
      <c r="AJ336" s="649"/>
      <c r="AK336" s="649"/>
      <c r="AL336" s="649"/>
      <c r="AM336" s="649"/>
      <c r="AN336" s="649"/>
      <c r="AO336" s="649"/>
      <c r="AP336" s="649"/>
      <c r="AQ336" s="649"/>
      <c r="AR336" s="649"/>
      <c r="AS336" s="649"/>
      <c r="AT336" s="649"/>
      <c r="AU336" s="649"/>
      <c r="AV336" s="649"/>
      <c r="AW336" s="649"/>
      <c r="AX336" s="649"/>
      <c r="AY336" s="649"/>
      <c r="AZ336" s="649"/>
      <c r="BA336" s="649"/>
      <c r="BB336" s="649"/>
      <c r="BC336" s="649"/>
      <c r="BD336" s="649"/>
    </row>
    <row r="337" spans="1:56" s="648" customFormat="1" ht="12" customHeight="1">
      <c r="A337" s="726"/>
      <c r="B337" s="725">
        <v>43315</v>
      </c>
      <c r="C337" s="724" t="s">
        <v>38</v>
      </c>
      <c r="D337" s="723">
        <v>95</v>
      </c>
      <c r="E337" s="723">
        <f t="shared" si="21"/>
        <v>95</v>
      </c>
      <c r="F337" s="723"/>
      <c r="G337" s="723"/>
      <c r="H337" s="723"/>
      <c r="I337" s="723"/>
      <c r="J337" s="723"/>
      <c r="K337" s="723"/>
      <c r="L337" s="723"/>
      <c r="M337" s="723"/>
      <c r="N337" s="723"/>
      <c r="O337" s="743"/>
      <c r="P337" s="743"/>
      <c r="Q337" s="743"/>
      <c r="R337" s="743"/>
      <c r="S337" s="743"/>
      <c r="U337" s="649"/>
      <c r="V337" s="649"/>
      <c r="W337" s="649"/>
      <c r="X337" s="649"/>
      <c r="Y337" s="649"/>
      <c r="Z337" s="649"/>
      <c r="AA337" s="649"/>
      <c r="AB337" s="649"/>
      <c r="AC337" s="649"/>
      <c r="AD337" s="649"/>
      <c r="AE337" s="649"/>
      <c r="AF337" s="649"/>
      <c r="AG337" s="649"/>
      <c r="AH337" s="649"/>
      <c r="AI337" s="649"/>
      <c r="AJ337" s="649"/>
      <c r="AK337" s="649"/>
      <c r="AL337" s="649"/>
      <c r="AM337" s="649"/>
      <c r="AN337" s="649"/>
      <c r="AO337" s="649"/>
      <c r="AP337" s="649"/>
      <c r="AQ337" s="649"/>
      <c r="AR337" s="649"/>
      <c r="AS337" s="649"/>
      <c r="AT337" s="649"/>
      <c r="AU337" s="649"/>
      <c r="AV337" s="649"/>
      <c r="AW337" s="649"/>
      <c r="AX337" s="649"/>
      <c r="AY337" s="649"/>
      <c r="AZ337" s="649"/>
      <c r="BA337" s="649"/>
      <c r="BB337" s="649"/>
      <c r="BC337" s="649"/>
      <c r="BD337" s="649"/>
    </row>
    <row r="338" spans="1:56" s="648" customFormat="1" ht="12" customHeight="1">
      <c r="A338" s="726"/>
      <c r="B338" s="725">
        <v>43315</v>
      </c>
      <c r="C338" s="724" t="s">
        <v>39</v>
      </c>
      <c r="D338" s="723">
        <v>67</v>
      </c>
      <c r="E338" s="723">
        <f t="shared" si="21"/>
        <v>67</v>
      </c>
      <c r="F338" s="723"/>
      <c r="G338" s="723"/>
      <c r="H338" s="723"/>
      <c r="I338" s="723"/>
      <c r="J338" s="723"/>
      <c r="K338" s="723"/>
      <c r="L338" s="723"/>
      <c r="M338" s="723"/>
      <c r="N338" s="723"/>
      <c r="O338" s="743"/>
      <c r="P338" s="743"/>
      <c r="Q338" s="743"/>
      <c r="R338" s="743"/>
      <c r="S338" s="743"/>
      <c r="U338" s="649"/>
      <c r="V338" s="649"/>
      <c r="W338" s="649"/>
      <c r="X338" s="649"/>
      <c r="Y338" s="649"/>
      <c r="Z338" s="649"/>
      <c r="AA338" s="649"/>
      <c r="AB338" s="649"/>
      <c r="AC338" s="649"/>
      <c r="AD338" s="649"/>
      <c r="AE338" s="649"/>
      <c r="AF338" s="649"/>
      <c r="AG338" s="649"/>
      <c r="AH338" s="649"/>
      <c r="AI338" s="649"/>
      <c r="AJ338" s="649"/>
      <c r="AK338" s="649"/>
      <c r="AL338" s="649"/>
      <c r="AM338" s="649"/>
      <c r="AN338" s="649"/>
      <c r="AO338" s="649"/>
      <c r="AP338" s="649"/>
      <c r="AQ338" s="649"/>
      <c r="AR338" s="649"/>
      <c r="AS338" s="649"/>
      <c r="AT338" s="649"/>
      <c r="AU338" s="649"/>
      <c r="AV338" s="649"/>
      <c r="AW338" s="649"/>
      <c r="AX338" s="649"/>
      <c r="AY338" s="649"/>
      <c r="AZ338" s="649"/>
      <c r="BA338" s="649"/>
      <c r="BB338" s="649"/>
      <c r="BC338" s="649"/>
      <c r="BD338" s="649"/>
    </row>
    <row r="339" spans="1:56" s="648" customFormat="1" ht="12" customHeight="1">
      <c r="A339" s="726"/>
      <c r="B339" s="725">
        <v>43315</v>
      </c>
      <c r="C339" s="724" t="s">
        <v>451</v>
      </c>
      <c r="D339" s="723">
        <v>30</v>
      </c>
      <c r="E339" s="723">
        <f t="shared" si="21"/>
        <v>30</v>
      </c>
      <c r="F339" s="723"/>
      <c r="G339" s="723"/>
      <c r="H339" s="723"/>
      <c r="I339" s="723"/>
      <c r="J339" s="723"/>
      <c r="K339" s="723"/>
      <c r="L339" s="723"/>
      <c r="M339" s="723"/>
      <c r="N339" s="723"/>
      <c r="O339" s="743"/>
      <c r="P339" s="743"/>
      <c r="Q339" s="743"/>
      <c r="R339" s="743"/>
      <c r="S339" s="743"/>
      <c r="U339" s="649"/>
      <c r="V339" s="649"/>
      <c r="W339" s="649"/>
      <c r="X339" s="649"/>
      <c r="Y339" s="649"/>
      <c r="Z339" s="649"/>
      <c r="AA339" s="649"/>
      <c r="AB339" s="649"/>
      <c r="AC339" s="649"/>
      <c r="AD339" s="649"/>
      <c r="AE339" s="649"/>
      <c r="AF339" s="649"/>
      <c r="AG339" s="649"/>
      <c r="AH339" s="649"/>
      <c r="AI339" s="649"/>
      <c r="AJ339" s="649"/>
      <c r="AK339" s="649"/>
      <c r="AL339" s="649"/>
      <c r="AM339" s="649"/>
      <c r="AN339" s="649"/>
      <c r="AO339" s="649"/>
      <c r="AP339" s="649"/>
      <c r="AQ339" s="649"/>
      <c r="AR339" s="649"/>
      <c r="AS339" s="649"/>
      <c r="AT339" s="649"/>
      <c r="AU339" s="649"/>
      <c r="AV339" s="649"/>
      <c r="AW339" s="649"/>
      <c r="AX339" s="649"/>
      <c r="AY339" s="649"/>
      <c r="AZ339" s="649"/>
      <c r="BA339" s="649"/>
      <c r="BB339" s="649"/>
      <c r="BC339" s="649"/>
      <c r="BD339" s="649"/>
    </row>
    <row r="340" spans="1:56" s="648" customFormat="1" ht="12" customHeight="1">
      <c r="A340" s="726"/>
      <c r="B340" s="725">
        <v>43315</v>
      </c>
      <c r="C340" s="724" t="s">
        <v>451</v>
      </c>
      <c r="D340" s="723">
        <v>168.61</v>
      </c>
      <c r="E340" s="723">
        <f t="shared" si="21"/>
        <v>153.61000000000001</v>
      </c>
      <c r="F340" s="723">
        <v>42.5</v>
      </c>
      <c r="G340" s="723"/>
      <c r="H340" s="723"/>
      <c r="I340" s="723">
        <v>15</v>
      </c>
      <c r="J340" s="723"/>
      <c r="K340" s="723"/>
      <c r="L340" s="723"/>
      <c r="M340" s="723"/>
      <c r="N340" s="723"/>
      <c r="O340" s="743"/>
      <c r="P340" s="743"/>
      <c r="Q340" s="743"/>
      <c r="R340" s="743"/>
      <c r="S340" s="743"/>
      <c r="U340" s="649"/>
      <c r="V340" s="649"/>
      <c r="W340" s="649"/>
      <c r="X340" s="649"/>
      <c r="Y340" s="649"/>
      <c r="Z340" s="649"/>
      <c r="AA340" s="649"/>
      <c r="AB340" s="649"/>
      <c r="AC340" s="649"/>
      <c r="AD340" s="649"/>
      <c r="AE340" s="649"/>
      <c r="AF340" s="649"/>
      <c r="AG340" s="649"/>
      <c r="AH340" s="649"/>
      <c r="AI340" s="649"/>
      <c r="AJ340" s="649"/>
      <c r="AK340" s="649"/>
      <c r="AL340" s="649"/>
      <c r="AM340" s="649"/>
      <c r="AN340" s="649"/>
      <c r="AO340" s="649"/>
      <c r="AP340" s="649"/>
      <c r="AQ340" s="649"/>
      <c r="AR340" s="649"/>
      <c r="AS340" s="649"/>
      <c r="AT340" s="649"/>
      <c r="AU340" s="649"/>
      <c r="AV340" s="649"/>
      <c r="AW340" s="649"/>
      <c r="AX340" s="649"/>
      <c r="AY340" s="649"/>
      <c r="AZ340" s="649"/>
      <c r="BA340" s="649"/>
      <c r="BB340" s="649"/>
      <c r="BC340" s="649"/>
      <c r="BD340" s="649"/>
    </row>
    <row r="341" spans="1:56" s="648" customFormat="1" ht="12" customHeight="1">
      <c r="A341" s="726"/>
      <c r="B341" s="725">
        <v>43316</v>
      </c>
      <c r="C341" s="724" t="s">
        <v>39</v>
      </c>
      <c r="D341" s="723">
        <v>40</v>
      </c>
      <c r="E341" s="723">
        <f t="shared" si="21"/>
        <v>40</v>
      </c>
      <c r="F341" s="723"/>
      <c r="G341" s="723"/>
      <c r="H341" s="723"/>
      <c r="I341" s="723"/>
      <c r="J341" s="723"/>
      <c r="K341" s="723"/>
      <c r="L341" s="723"/>
      <c r="M341" s="723"/>
      <c r="N341" s="723"/>
      <c r="O341" s="743"/>
      <c r="P341" s="743"/>
      <c r="Q341" s="743"/>
      <c r="R341" s="743"/>
      <c r="S341" s="743"/>
      <c r="U341" s="649"/>
      <c r="V341" s="649"/>
      <c r="W341" s="649"/>
      <c r="X341" s="649"/>
      <c r="Y341" s="649"/>
      <c r="Z341" s="649"/>
      <c r="AA341" s="649"/>
      <c r="AB341" s="649"/>
      <c r="AC341" s="649"/>
      <c r="AD341" s="649"/>
      <c r="AE341" s="649"/>
      <c r="AF341" s="649"/>
      <c r="AG341" s="649"/>
      <c r="AH341" s="649"/>
      <c r="AI341" s="649"/>
      <c r="AJ341" s="649"/>
      <c r="AK341" s="649"/>
      <c r="AL341" s="649"/>
      <c r="AM341" s="649"/>
      <c r="AN341" s="649"/>
      <c r="AO341" s="649"/>
      <c r="AP341" s="649"/>
      <c r="AQ341" s="649"/>
      <c r="AR341" s="649"/>
      <c r="AS341" s="649"/>
      <c r="AT341" s="649"/>
      <c r="AU341" s="649"/>
      <c r="AV341" s="649"/>
      <c r="AW341" s="649"/>
      <c r="AX341" s="649"/>
      <c r="AY341" s="649"/>
      <c r="AZ341" s="649"/>
      <c r="BA341" s="649"/>
      <c r="BB341" s="649"/>
      <c r="BC341" s="649"/>
      <c r="BD341" s="649"/>
    </row>
    <row r="342" spans="1:56" s="648" customFormat="1" ht="12" customHeight="1">
      <c r="A342" s="726"/>
      <c r="B342" s="725">
        <v>43316</v>
      </c>
      <c r="C342" s="724" t="s">
        <v>41</v>
      </c>
      <c r="D342" s="723">
        <v>139</v>
      </c>
      <c r="E342" s="723">
        <f t="shared" si="21"/>
        <v>139</v>
      </c>
      <c r="F342" s="723"/>
      <c r="G342" s="723"/>
      <c r="H342" s="723"/>
      <c r="I342" s="723"/>
      <c r="J342" s="723"/>
      <c r="K342" s="723"/>
      <c r="L342" s="723"/>
      <c r="M342" s="723"/>
      <c r="N342" s="723"/>
      <c r="O342" s="743"/>
      <c r="P342" s="743"/>
      <c r="Q342" s="743"/>
      <c r="R342" s="743"/>
      <c r="S342" s="743"/>
      <c r="U342" s="649"/>
      <c r="V342" s="649"/>
      <c r="W342" s="649"/>
      <c r="X342" s="649"/>
      <c r="Y342" s="649"/>
      <c r="Z342" s="649"/>
      <c r="AA342" s="649"/>
      <c r="AB342" s="649"/>
      <c r="AC342" s="649"/>
      <c r="AD342" s="649"/>
      <c r="AE342" s="649"/>
      <c r="AF342" s="649"/>
      <c r="AG342" s="649"/>
      <c r="AH342" s="649"/>
      <c r="AI342" s="649"/>
      <c r="AJ342" s="649"/>
      <c r="AK342" s="649"/>
      <c r="AL342" s="649"/>
      <c r="AM342" s="649"/>
      <c r="AN342" s="649"/>
      <c r="AO342" s="649"/>
      <c r="AP342" s="649"/>
      <c r="AQ342" s="649"/>
      <c r="AR342" s="649"/>
      <c r="AS342" s="649"/>
      <c r="AT342" s="649"/>
      <c r="AU342" s="649"/>
      <c r="AV342" s="649"/>
      <c r="AW342" s="649"/>
      <c r="AX342" s="649"/>
      <c r="AY342" s="649"/>
      <c r="AZ342" s="649"/>
      <c r="BA342" s="649"/>
      <c r="BB342" s="649"/>
      <c r="BC342" s="649"/>
      <c r="BD342" s="649"/>
    </row>
    <row r="343" spans="1:56" s="648" customFormat="1" ht="12" customHeight="1">
      <c r="A343" s="726"/>
      <c r="B343" s="725">
        <v>43317</v>
      </c>
      <c r="C343" s="724" t="s">
        <v>41</v>
      </c>
      <c r="D343" s="723">
        <v>40</v>
      </c>
      <c r="E343" s="723">
        <f t="shared" si="21"/>
        <v>20</v>
      </c>
      <c r="F343" s="723"/>
      <c r="G343" s="723"/>
      <c r="H343" s="723"/>
      <c r="I343" s="723">
        <v>20</v>
      </c>
      <c r="J343" s="723"/>
      <c r="K343" s="723"/>
      <c r="L343" s="723"/>
      <c r="M343" s="723"/>
      <c r="N343" s="723"/>
      <c r="O343" s="743"/>
      <c r="P343" s="743"/>
      <c r="Q343" s="743"/>
      <c r="R343" s="743"/>
      <c r="S343" s="743"/>
      <c r="U343" s="649"/>
      <c r="V343" s="649"/>
      <c r="W343" s="649"/>
      <c r="X343" s="649"/>
      <c r="Y343" s="649"/>
      <c r="Z343" s="649"/>
      <c r="AA343" s="649"/>
      <c r="AB343" s="649"/>
      <c r="AC343" s="649"/>
      <c r="AD343" s="649"/>
      <c r="AE343" s="649"/>
      <c r="AF343" s="649"/>
      <c r="AG343" s="649"/>
      <c r="AH343" s="649"/>
      <c r="AI343" s="649"/>
      <c r="AJ343" s="649"/>
      <c r="AK343" s="649"/>
      <c r="AL343" s="649"/>
      <c r="AM343" s="649"/>
      <c r="AN343" s="649"/>
      <c r="AO343" s="649"/>
      <c r="AP343" s="649"/>
      <c r="AQ343" s="649"/>
      <c r="AR343" s="649"/>
      <c r="AS343" s="649"/>
      <c r="AT343" s="649"/>
      <c r="AU343" s="649"/>
      <c r="AV343" s="649"/>
      <c r="AW343" s="649"/>
      <c r="AX343" s="649"/>
      <c r="AY343" s="649"/>
      <c r="AZ343" s="649"/>
      <c r="BA343" s="649"/>
      <c r="BB343" s="649"/>
      <c r="BC343" s="649"/>
      <c r="BD343" s="649"/>
    </row>
    <row r="344" spans="1:56" s="648" customFormat="1" ht="12" customHeight="1">
      <c r="A344" s="726"/>
      <c r="B344" s="725">
        <v>43317</v>
      </c>
      <c r="C344" s="724" t="s">
        <v>39</v>
      </c>
      <c r="D344" s="723">
        <v>35</v>
      </c>
      <c r="E344" s="723">
        <f t="shared" si="21"/>
        <v>15</v>
      </c>
      <c r="F344" s="723"/>
      <c r="G344" s="723"/>
      <c r="H344" s="723"/>
      <c r="I344" s="723">
        <v>20</v>
      </c>
      <c r="J344" s="723"/>
      <c r="K344" s="723"/>
      <c r="L344" s="723"/>
      <c r="M344" s="723"/>
      <c r="N344" s="723"/>
      <c r="O344" s="743"/>
      <c r="P344" s="743"/>
      <c r="Q344" s="743"/>
      <c r="R344" s="743"/>
      <c r="S344" s="743"/>
      <c r="U344" s="649"/>
      <c r="V344" s="649"/>
      <c r="W344" s="649"/>
      <c r="X344" s="649"/>
      <c r="Y344" s="649"/>
      <c r="Z344" s="649"/>
      <c r="AA344" s="649"/>
      <c r="AB344" s="649"/>
      <c r="AC344" s="649"/>
      <c r="AD344" s="649"/>
      <c r="AE344" s="649"/>
      <c r="AF344" s="649"/>
      <c r="AG344" s="649"/>
      <c r="AH344" s="649"/>
      <c r="AI344" s="649"/>
      <c r="AJ344" s="649"/>
      <c r="AK344" s="649"/>
      <c r="AL344" s="649"/>
      <c r="AM344" s="649"/>
      <c r="AN344" s="649"/>
      <c r="AO344" s="649"/>
      <c r="AP344" s="649"/>
      <c r="AQ344" s="649"/>
      <c r="AR344" s="649"/>
      <c r="AS344" s="649"/>
      <c r="AT344" s="649"/>
      <c r="AU344" s="649"/>
      <c r="AV344" s="649"/>
      <c r="AW344" s="649"/>
      <c r="AX344" s="649"/>
      <c r="AY344" s="649"/>
      <c r="AZ344" s="649"/>
      <c r="BA344" s="649"/>
      <c r="BB344" s="649"/>
      <c r="BC344" s="649"/>
      <c r="BD344" s="649"/>
    </row>
    <row r="345" spans="1:56" s="648" customFormat="1" ht="12" customHeight="1">
      <c r="A345" s="726"/>
      <c r="B345" s="725">
        <v>43318</v>
      </c>
      <c r="C345" s="724" t="s">
        <v>124</v>
      </c>
      <c r="D345" s="723">
        <v>41.4</v>
      </c>
      <c r="E345" s="723">
        <f t="shared" si="21"/>
        <v>41.4</v>
      </c>
      <c r="F345" s="723"/>
      <c r="G345" s="723"/>
      <c r="H345" s="723"/>
      <c r="I345" s="723"/>
      <c r="J345" s="723"/>
      <c r="K345" s="723"/>
      <c r="L345" s="723"/>
      <c r="M345" s="723"/>
      <c r="N345" s="723"/>
      <c r="O345" s="743"/>
      <c r="P345" s="743"/>
      <c r="Q345" s="743"/>
      <c r="R345" s="743"/>
      <c r="S345" s="743"/>
      <c r="U345" s="649"/>
      <c r="V345" s="649"/>
      <c r="W345" s="649"/>
      <c r="X345" s="649"/>
      <c r="Y345" s="649"/>
      <c r="Z345" s="649"/>
      <c r="AA345" s="649"/>
      <c r="AB345" s="649"/>
      <c r="AC345" s="649"/>
      <c r="AD345" s="649"/>
      <c r="AE345" s="649"/>
      <c r="AF345" s="649"/>
      <c r="AG345" s="649"/>
      <c r="AH345" s="649"/>
      <c r="AI345" s="649"/>
      <c r="AJ345" s="649"/>
      <c r="AK345" s="649"/>
      <c r="AL345" s="649"/>
      <c r="AM345" s="649"/>
      <c r="AN345" s="649"/>
      <c r="AO345" s="649"/>
      <c r="AP345" s="649"/>
      <c r="AQ345" s="649"/>
      <c r="AR345" s="649"/>
      <c r="AS345" s="649"/>
      <c r="AT345" s="649"/>
      <c r="AU345" s="649"/>
      <c r="AV345" s="649"/>
      <c r="AW345" s="649"/>
      <c r="AX345" s="649"/>
      <c r="AY345" s="649"/>
      <c r="AZ345" s="649"/>
      <c r="BA345" s="649"/>
      <c r="BB345" s="649"/>
      <c r="BC345" s="649"/>
      <c r="BD345" s="649"/>
    </row>
    <row r="346" spans="1:56" s="648" customFormat="1" ht="12" customHeight="1">
      <c r="A346" s="726"/>
      <c r="B346" s="725">
        <v>43318</v>
      </c>
      <c r="C346" s="724" t="s">
        <v>39</v>
      </c>
      <c r="D346" s="723">
        <v>88.85</v>
      </c>
      <c r="E346" s="723">
        <f t="shared" si="21"/>
        <v>88.85</v>
      </c>
      <c r="F346" s="723"/>
      <c r="G346" s="723"/>
      <c r="H346" s="723"/>
      <c r="I346" s="723"/>
      <c r="J346" s="723"/>
      <c r="K346" s="723"/>
      <c r="L346" s="723"/>
      <c r="M346" s="723"/>
      <c r="N346" s="723"/>
      <c r="O346" s="743"/>
      <c r="P346" s="743"/>
      <c r="Q346" s="743"/>
      <c r="R346" s="743"/>
      <c r="S346" s="743"/>
      <c r="U346" s="649"/>
      <c r="V346" s="649"/>
      <c r="W346" s="649"/>
      <c r="X346" s="649"/>
      <c r="Y346" s="649"/>
      <c r="Z346" s="649"/>
      <c r="AA346" s="649"/>
      <c r="AB346" s="649"/>
      <c r="AC346" s="649"/>
      <c r="AD346" s="649"/>
      <c r="AE346" s="649"/>
      <c r="AF346" s="649"/>
      <c r="AG346" s="649"/>
      <c r="AH346" s="649"/>
      <c r="AI346" s="649"/>
      <c r="AJ346" s="649"/>
      <c r="AK346" s="649"/>
      <c r="AL346" s="649"/>
      <c r="AM346" s="649"/>
      <c r="AN346" s="649"/>
      <c r="AO346" s="649"/>
      <c r="AP346" s="649"/>
      <c r="AQ346" s="649"/>
      <c r="AR346" s="649"/>
      <c r="AS346" s="649"/>
      <c r="AT346" s="649"/>
      <c r="AU346" s="649"/>
      <c r="AV346" s="649"/>
      <c r="AW346" s="649"/>
      <c r="AX346" s="649"/>
      <c r="AY346" s="649"/>
      <c r="AZ346" s="649"/>
      <c r="BA346" s="649"/>
      <c r="BB346" s="649"/>
      <c r="BC346" s="649"/>
      <c r="BD346" s="649"/>
    </row>
    <row r="347" spans="1:56" s="648" customFormat="1" ht="12" customHeight="1">
      <c r="A347" s="726"/>
      <c r="B347" s="725">
        <v>43319</v>
      </c>
      <c r="C347" s="724" t="s">
        <v>40</v>
      </c>
      <c r="D347" s="723">
        <v>74</v>
      </c>
      <c r="E347" s="723">
        <f t="shared" si="21"/>
        <v>29</v>
      </c>
      <c r="F347" s="723"/>
      <c r="G347" s="723"/>
      <c r="H347" s="723"/>
      <c r="I347" s="723">
        <v>45</v>
      </c>
      <c r="J347" s="723"/>
      <c r="K347" s="723"/>
      <c r="L347" s="723"/>
      <c r="M347" s="723"/>
      <c r="N347" s="723"/>
      <c r="O347" s="743"/>
      <c r="P347" s="743"/>
      <c r="Q347" s="743"/>
      <c r="R347" s="743"/>
      <c r="S347" s="743"/>
      <c r="U347" s="649"/>
      <c r="V347" s="649"/>
      <c r="W347" s="649"/>
      <c r="X347" s="649"/>
      <c r="Y347" s="649"/>
      <c r="Z347" s="649"/>
      <c r="AA347" s="649"/>
      <c r="AB347" s="649"/>
      <c r="AC347" s="649"/>
      <c r="AD347" s="649"/>
      <c r="AE347" s="649"/>
      <c r="AF347" s="649"/>
      <c r="AG347" s="649"/>
      <c r="AH347" s="649"/>
      <c r="AI347" s="649"/>
      <c r="AJ347" s="649"/>
      <c r="AK347" s="649"/>
      <c r="AL347" s="649"/>
      <c r="AM347" s="649"/>
      <c r="AN347" s="649"/>
      <c r="AO347" s="649"/>
      <c r="AP347" s="649"/>
      <c r="AQ347" s="649"/>
      <c r="AR347" s="649"/>
      <c r="AS347" s="649"/>
      <c r="AT347" s="649"/>
      <c r="AU347" s="649"/>
      <c r="AV347" s="649"/>
      <c r="AW347" s="649"/>
      <c r="AX347" s="649"/>
      <c r="AY347" s="649"/>
      <c r="AZ347" s="649"/>
      <c r="BA347" s="649"/>
      <c r="BB347" s="649"/>
      <c r="BC347" s="649"/>
      <c r="BD347" s="649"/>
    </row>
    <row r="348" spans="1:56" s="648" customFormat="1" ht="12" customHeight="1">
      <c r="A348" s="726"/>
      <c r="B348" s="725">
        <v>43319</v>
      </c>
      <c r="C348" s="724" t="s">
        <v>41</v>
      </c>
      <c r="D348" s="723">
        <v>60</v>
      </c>
      <c r="E348" s="723">
        <f t="shared" si="21"/>
        <v>30</v>
      </c>
      <c r="F348" s="723"/>
      <c r="G348" s="723"/>
      <c r="H348" s="723"/>
      <c r="I348" s="723">
        <v>30</v>
      </c>
      <c r="J348" s="723"/>
      <c r="K348" s="723"/>
      <c r="L348" s="723"/>
      <c r="M348" s="723"/>
      <c r="N348" s="723"/>
      <c r="O348" s="743"/>
      <c r="P348" s="743"/>
      <c r="Q348" s="743"/>
      <c r="R348" s="743"/>
      <c r="S348" s="743"/>
      <c r="U348" s="649"/>
      <c r="V348" s="649"/>
      <c r="W348" s="649"/>
      <c r="X348" s="649"/>
      <c r="Y348" s="649"/>
      <c r="Z348" s="649"/>
      <c r="AA348" s="649"/>
      <c r="AB348" s="649"/>
      <c r="AC348" s="649"/>
      <c r="AD348" s="649"/>
      <c r="AE348" s="649"/>
      <c r="AF348" s="649"/>
      <c r="AG348" s="649"/>
      <c r="AH348" s="649"/>
      <c r="AI348" s="649"/>
      <c r="AJ348" s="649"/>
      <c r="AK348" s="649"/>
      <c r="AL348" s="649"/>
      <c r="AM348" s="649"/>
      <c r="AN348" s="649"/>
      <c r="AO348" s="649"/>
      <c r="AP348" s="649"/>
      <c r="AQ348" s="649"/>
      <c r="AR348" s="649"/>
      <c r="AS348" s="649"/>
      <c r="AT348" s="649"/>
      <c r="AU348" s="649"/>
      <c r="AV348" s="649"/>
      <c r="AW348" s="649"/>
      <c r="AX348" s="649"/>
      <c r="AY348" s="649"/>
      <c r="AZ348" s="649"/>
      <c r="BA348" s="649"/>
      <c r="BB348" s="649"/>
      <c r="BC348" s="649"/>
      <c r="BD348" s="649"/>
    </row>
    <row r="349" spans="1:56" s="648" customFormat="1" ht="12" customHeight="1">
      <c r="A349" s="726"/>
      <c r="B349" s="725">
        <v>43319</v>
      </c>
      <c r="C349" s="724" t="s">
        <v>39</v>
      </c>
      <c r="D349" s="723">
        <v>18</v>
      </c>
      <c r="E349" s="723">
        <f t="shared" si="21"/>
        <v>18</v>
      </c>
      <c r="F349" s="723"/>
      <c r="G349" s="723"/>
      <c r="H349" s="723"/>
      <c r="I349" s="723"/>
      <c r="J349" s="723"/>
      <c r="K349" s="723"/>
      <c r="L349" s="723"/>
      <c r="M349" s="723"/>
      <c r="N349" s="723"/>
      <c r="O349" s="743"/>
      <c r="P349" s="743"/>
      <c r="Q349" s="743"/>
      <c r="R349" s="743"/>
      <c r="S349" s="743"/>
      <c r="U349" s="649"/>
      <c r="V349" s="649"/>
      <c r="W349" s="649"/>
      <c r="X349" s="649"/>
      <c r="Y349" s="649"/>
      <c r="Z349" s="649"/>
      <c r="AA349" s="649"/>
      <c r="AB349" s="649"/>
      <c r="AC349" s="649"/>
      <c r="AD349" s="649"/>
      <c r="AE349" s="649"/>
      <c r="AF349" s="649"/>
      <c r="AG349" s="649"/>
      <c r="AH349" s="649"/>
      <c r="AI349" s="649"/>
      <c r="AJ349" s="649"/>
      <c r="AK349" s="649"/>
      <c r="AL349" s="649"/>
      <c r="AM349" s="649"/>
      <c r="AN349" s="649"/>
      <c r="AO349" s="649"/>
      <c r="AP349" s="649"/>
      <c r="AQ349" s="649"/>
      <c r="AR349" s="649"/>
      <c r="AS349" s="649"/>
      <c r="AT349" s="649"/>
      <c r="AU349" s="649"/>
      <c r="AV349" s="649"/>
      <c r="AW349" s="649"/>
      <c r="AX349" s="649"/>
      <c r="AY349" s="649"/>
      <c r="AZ349" s="649"/>
      <c r="BA349" s="649"/>
      <c r="BB349" s="649"/>
      <c r="BC349" s="649"/>
      <c r="BD349" s="649"/>
    </row>
    <row r="350" spans="1:56" s="648" customFormat="1" ht="12" customHeight="1">
      <c r="A350" s="726"/>
      <c r="B350" s="725">
        <v>43320</v>
      </c>
      <c r="C350" s="724" t="s">
        <v>39</v>
      </c>
      <c r="D350" s="723">
        <v>75.900000000000006</v>
      </c>
      <c r="E350" s="723">
        <f t="shared" si="21"/>
        <v>75.900000000000006</v>
      </c>
      <c r="F350" s="723"/>
      <c r="G350" s="723"/>
      <c r="H350" s="723"/>
      <c r="I350" s="723"/>
      <c r="J350" s="723"/>
      <c r="K350" s="723"/>
      <c r="L350" s="723"/>
      <c r="M350" s="723"/>
      <c r="N350" s="723"/>
      <c r="O350" s="743"/>
      <c r="P350" s="743"/>
      <c r="Q350" s="743"/>
      <c r="R350" s="743"/>
      <c r="S350" s="743"/>
      <c r="U350" s="649"/>
      <c r="V350" s="649"/>
      <c r="W350" s="649"/>
      <c r="X350" s="649"/>
      <c r="Y350" s="649"/>
      <c r="Z350" s="649"/>
      <c r="AA350" s="649"/>
      <c r="AB350" s="649"/>
      <c r="AC350" s="649"/>
      <c r="AD350" s="649"/>
      <c r="AE350" s="649"/>
      <c r="AF350" s="649"/>
      <c r="AG350" s="649"/>
      <c r="AH350" s="649"/>
      <c r="AI350" s="649"/>
      <c r="AJ350" s="649"/>
      <c r="AK350" s="649"/>
      <c r="AL350" s="649"/>
      <c r="AM350" s="649"/>
      <c r="AN350" s="649"/>
      <c r="AO350" s="649"/>
      <c r="AP350" s="649"/>
      <c r="AQ350" s="649"/>
      <c r="AR350" s="649"/>
      <c r="AS350" s="649"/>
      <c r="AT350" s="649"/>
      <c r="AU350" s="649"/>
      <c r="AV350" s="649"/>
      <c r="AW350" s="649"/>
      <c r="AX350" s="649"/>
      <c r="AY350" s="649"/>
      <c r="AZ350" s="649"/>
      <c r="BA350" s="649"/>
      <c r="BB350" s="649"/>
      <c r="BC350" s="649"/>
      <c r="BD350" s="649"/>
    </row>
    <row r="351" spans="1:56" s="648" customFormat="1" ht="12" customHeight="1">
      <c r="A351" s="726"/>
      <c r="B351" s="725">
        <v>43322</v>
      </c>
      <c r="C351" s="724" t="s">
        <v>39</v>
      </c>
      <c r="D351" s="723">
        <v>56.09</v>
      </c>
      <c r="E351" s="723">
        <f t="shared" si="21"/>
        <v>56.09</v>
      </c>
      <c r="F351" s="723"/>
      <c r="G351" s="723"/>
      <c r="H351" s="723"/>
      <c r="I351" s="723"/>
      <c r="J351" s="723"/>
      <c r="K351" s="723"/>
      <c r="L351" s="723"/>
      <c r="M351" s="723"/>
      <c r="N351" s="723"/>
      <c r="O351" s="743"/>
      <c r="P351" s="743"/>
      <c r="Q351" s="743"/>
      <c r="R351" s="743"/>
      <c r="S351" s="743"/>
      <c r="U351" s="649"/>
      <c r="V351" s="649"/>
      <c r="W351" s="649"/>
      <c r="X351" s="649"/>
      <c r="Y351" s="649"/>
      <c r="Z351" s="649"/>
      <c r="AA351" s="649"/>
      <c r="AB351" s="649"/>
      <c r="AC351" s="649"/>
      <c r="AD351" s="649"/>
      <c r="AE351" s="649"/>
      <c r="AF351" s="649"/>
      <c r="AG351" s="649"/>
      <c r="AH351" s="649"/>
      <c r="AI351" s="649"/>
      <c r="AJ351" s="649"/>
      <c r="AK351" s="649"/>
      <c r="AL351" s="649"/>
      <c r="AM351" s="649"/>
      <c r="AN351" s="649"/>
      <c r="AO351" s="649"/>
      <c r="AP351" s="649"/>
      <c r="AQ351" s="649"/>
      <c r="AR351" s="649"/>
      <c r="AS351" s="649"/>
      <c r="AT351" s="649"/>
      <c r="AU351" s="649"/>
      <c r="AV351" s="649"/>
      <c r="AW351" s="649"/>
      <c r="AX351" s="649"/>
      <c r="AY351" s="649"/>
      <c r="AZ351" s="649"/>
      <c r="BA351" s="649"/>
      <c r="BB351" s="649"/>
      <c r="BC351" s="649"/>
      <c r="BD351" s="649"/>
    </row>
    <row r="352" spans="1:56" s="648" customFormat="1" ht="12" customHeight="1">
      <c r="A352" s="726"/>
      <c r="B352" s="725">
        <v>43322</v>
      </c>
      <c r="C352" s="724" t="s">
        <v>40</v>
      </c>
      <c r="D352" s="723">
        <v>42.45</v>
      </c>
      <c r="E352" s="723">
        <f t="shared" si="21"/>
        <v>42.45</v>
      </c>
      <c r="F352" s="723"/>
      <c r="G352" s="723"/>
      <c r="H352" s="723"/>
      <c r="I352" s="723"/>
      <c r="J352" s="723"/>
      <c r="K352" s="723"/>
      <c r="L352" s="723"/>
      <c r="M352" s="723"/>
      <c r="N352" s="723"/>
      <c r="O352" s="743"/>
      <c r="P352" s="743"/>
      <c r="Q352" s="743"/>
      <c r="R352" s="743"/>
      <c r="S352" s="743"/>
      <c r="U352" s="649"/>
      <c r="V352" s="649"/>
      <c r="W352" s="649"/>
      <c r="X352" s="649"/>
      <c r="Y352" s="649"/>
      <c r="Z352" s="649"/>
      <c r="AA352" s="649"/>
      <c r="AB352" s="649"/>
      <c r="AC352" s="649"/>
      <c r="AD352" s="649"/>
      <c r="AE352" s="649"/>
      <c r="AF352" s="649"/>
      <c r="AG352" s="649"/>
      <c r="AH352" s="649"/>
      <c r="AI352" s="649"/>
      <c r="AJ352" s="649"/>
      <c r="AK352" s="649"/>
      <c r="AL352" s="649"/>
      <c r="AM352" s="649"/>
      <c r="AN352" s="649"/>
      <c r="AO352" s="649"/>
      <c r="AP352" s="649"/>
      <c r="AQ352" s="649"/>
      <c r="AR352" s="649"/>
      <c r="AS352" s="649"/>
      <c r="AT352" s="649"/>
      <c r="AU352" s="649"/>
      <c r="AV352" s="649"/>
      <c r="AW352" s="649"/>
      <c r="AX352" s="649"/>
      <c r="AY352" s="649"/>
      <c r="AZ352" s="649"/>
      <c r="BA352" s="649"/>
      <c r="BB352" s="649"/>
      <c r="BC352" s="649"/>
      <c r="BD352" s="649"/>
    </row>
    <row r="353" spans="1:56" s="648" customFormat="1" ht="12" customHeight="1">
      <c r="A353" s="726"/>
      <c r="B353" s="725">
        <v>43325</v>
      </c>
      <c r="C353" s="724" t="s">
        <v>451</v>
      </c>
      <c r="D353" s="723">
        <v>76.5</v>
      </c>
      <c r="E353" s="723">
        <f t="shared" si="21"/>
        <v>76.5</v>
      </c>
      <c r="F353" s="723">
        <v>72</v>
      </c>
      <c r="G353" s="723"/>
      <c r="H353" s="723"/>
      <c r="I353" s="723"/>
      <c r="J353" s="723"/>
      <c r="K353" s="723"/>
      <c r="L353" s="723"/>
      <c r="M353" s="723"/>
      <c r="N353" s="723"/>
      <c r="O353" s="743"/>
      <c r="P353" s="743"/>
      <c r="Q353" s="743"/>
      <c r="R353" s="743"/>
      <c r="S353" s="743"/>
      <c r="U353" s="649"/>
      <c r="V353" s="649"/>
      <c r="W353" s="649"/>
      <c r="X353" s="649"/>
      <c r="Y353" s="649"/>
      <c r="Z353" s="649"/>
      <c r="AA353" s="649"/>
      <c r="AB353" s="649"/>
      <c r="AC353" s="649"/>
      <c r="AD353" s="649"/>
      <c r="AE353" s="649"/>
      <c r="AF353" s="649"/>
      <c r="AG353" s="649"/>
      <c r="AH353" s="649"/>
      <c r="AI353" s="649"/>
      <c r="AJ353" s="649"/>
      <c r="AK353" s="649"/>
      <c r="AL353" s="649"/>
      <c r="AM353" s="649"/>
      <c r="AN353" s="649"/>
      <c r="AO353" s="649"/>
      <c r="AP353" s="649"/>
      <c r="AQ353" s="649"/>
      <c r="AR353" s="649"/>
      <c r="AS353" s="649"/>
      <c r="AT353" s="649"/>
      <c r="AU353" s="649"/>
      <c r="AV353" s="649"/>
      <c r="AW353" s="649"/>
      <c r="AX353" s="649"/>
      <c r="AY353" s="649"/>
      <c r="AZ353" s="649"/>
      <c r="BA353" s="649"/>
      <c r="BB353" s="649"/>
      <c r="BC353" s="649"/>
      <c r="BD353" s="649"/>
    </row>
    <row r="354" spans="1:56" s="648" customFormat="1" ht="12" customHeight="1">
      <c r="A354" s="726"/>
      <c r="B354" s="725">
        <v>43325</v>
      </c>
      <c r="C354" s="724" t="s">
        <v>39</v>
      </c>
      <c r="D354" s="723">
        <v>15</v>
      </c>
      <c r="E354" s="723">
        <f t="shared" si="21"/>
        <v>15</v>
      </c>
      <c r="F354" s="723"/>
      <c r="G354" s="723"/>
      <c r="H354" s="723"/>
      <c r="I354" s="723"/>
      <c r="J354" s="723"/>
      <c r="K354" s="723"/>
      <c r="L354" s="723"/>
      <c r="M354" s="723"/>
      <c r="N354" s="723"/>
      <c r="O354" s="743"/>
      <c r="P354" s="743"/>
      <c r="Q354" s="743"/>
      <c r="R354" s="743"/>
      <c r="S354" s="743"/>
      <c r="U354" s="649"/>
      <c r="V354" s="649"/>
      <c r="W354" s="649"/>
      <c r="X354" s="649"/>
      <c r="Y354" s="649"/>
      <c r="Z354" s="649"/>
      <c r="AA354" s="649"/>
      <c r="AB354" s="649"/>
      <c r="AC354" s="649"/>
      <c r="AD354" s="649"/>
      <c r="AE354" s="649"/>
      <c r="AF354" s="649"/>
      <c r="AG354" s="649"/>
      <c r="AH354" s="649"/>
      <c r="AI354" s="649"/>
      <c r="AJ354" s="649"/>
      <c r="AK354" s="649"/>
      <c r="AL354" s="649"/>
      <c r="AM354" s="649"/>
      <c r="AN354" s="649"/>
      <c r="AO354" s="649"/>
      <c r="AP354" s="649"/>
      <c r="AQ354" s="649"/>
      <c r="AR354" s="649"/>
      <c r="AS354" s="649"/>
      <c r="AT354" s="649"/>
      <c r="AU354" s="649"/>
      <c r="AV354" s="649"/>
      <c r="AW354" s="649"/>
      <c r="AX354" s="649"/>
      <c r="AY354" s="649"/>
      <c r="AZ354" s="649"/>
      <c r="BA354" s="649"/>
      <c r="BB354" s="649"/>
      <c r="BC354" s="649"/>
      <c r="BD354" s="649"/>
    </row>
    <row r="355" spans="1:56" s="648" customFormat="1" ht="12" customHeight="1">
      <c r="A355" s="726"/>
      <c r="B355" s="725">
        <v>43327</v>
      </c>
      <c r="C355" s="724" t="s">
        <v>451</v>
      </c>
      <c r="D355" s="723">
        <v>75.98</v>
      </c>
      <c r="E355" s="723">
        <f t="shared" si="21"/>
        <v>75.98</v>
      </c>
      <c r="F355" s="723">
        <v>36</v>
      </c>
      <c r="G355" s="723"/>
      <c r="H355" s="723"/>
      <c r="I355" s="723"/>
      <c r="J355" s="723"/>
      <c r="K355" s="723"/>
      <c r="L355" s="723"/>
      <c r="M355" s="723"/>
      <c r="N355" s="723"/>
      <c r="O355" s="743"/>
      <c r="P355" s="743"/>
      <c r="Q355" s="743"/>
      <c r="R355" s="743"/>
      <c r="S355" s="743"/>
      <c r="U355" s="649"/>
      <c r="V355" s="649"/>
      <c r="W355" s="649"/>
      <c r="X355" s="649"/>
      <c r="Y355" s="649"/>
      <c r="Z355" s="649"/>
      <c r="AA355" s="649"/>
      <c r="AB355" s="649"/>
      <c r="AC355" s="649"/>
      <c r="AD355" s="649"/>
      <c r="AE355" s="649"/>
      <c r="AF355" s="649"/>
      <c r="AG355" s="649"/>
      <c r="AH355" s="649"/>
      <c r="AI355" s="649"/>
      <c r="AJ355" s="649"/>
      <c r="AK355" s="649"/>
      <c r="AL355" s="649"/>
      <c r="AM355" s="649"/>
      <c r="AN355" s="649"/>
      <c r="AO355" s="649"/>
      <c r="AP355" s="649"/>
      <c r="AQ355" s="649"/>
      <c r="AR355" s="649"/>
      <c r="AS355" s="649"/>
      <c r="AT355" s="649"/>
      <c r="AU355" s="649"/>
      <c r="AV355" s="649"/>
      <c r="AW355" s="649"/>
      <c r="AX355" s="649"/>
      <c r="AY355" s="649"/>
      <c r="AZ355" s="649"/>
      <c r="BA355" s="649"/>
      <c r="BB355" s="649"/>
      <c r="BC355" s="649"/>
      <c r="BD355" s="649"/>
    </row>
    <row r="356" spans="1:56" s="648" customFormat="1" ht="12" customHeight="1">
      <c r="A356" s="726"/>
      <c r="B356" s="725">
        <v>43328</v>
      </c>
      <c r="C356" s="724" t="s">
        <v>39</v>
      </c>
      <c r="D356" s="723">
        <v>141.5</v>
      </c>
      <c r="E356" s="723">
        <f t="shared" si="21"/>
        <v>141.5</v>
      </c>
      <c r="F356" s="723"/>
      <c r="G356" s="723"/>
      <c r="H356" s="723"/>
      <c r="I356" s="723"/>
      <c r="J356" s="723"/>
      <c r="K356" s="723"/>
      <c r="L356" s="723"/>
      <c r="M356" s="723"/>
      <c r="N356" s="723"/>
      <c r="O356" s="743"/>
      <c r="P356" s="743"/>
      <c r="Q356" s="743"/>
      <c r="R356" s="743"/>
      <c r="S356" s="743"/>
      <c r="U356" s="649"/>
      <c r="V356" s="649"/>
      <c r="W356" s="649"/>
      <c r="X356" s="649"/>
      <c r="Y356" s="649"/>
      <c r="Z356" s="649"/>
      <c r="AA356" s="649"/>
      <c r="AB356" s="649"/>
      <c r="AC356" s="649"/>
      <c r="AD356" s="649"/>
      <c r="AE356" s="649"/>
      <c r="AF356" s="649"/>
      <c r="AG356" s="649"/>
      <c r="AH356" s="649"/>
      <c r="AI356" s="649"/>
      <c r="AJ356" s="649"/>
      <c r="AK356" s="649"/>
      <c r="AL356" s="649"/>
      <c r="AM356" s="649"/>
      <c r="AN356" s="649"/>
      <c r="AO356" s="649"/>
      <c r="AP356" s="649"/>
      <c r="AQ356" s="649"/>
      <c r="AR356" s="649"/>
      <c r="AS356" s="649"/>
      <c r="AT356" s="649"/>
      <c r="AU356" s="649"/>
      <c r="AV356" s="649"/>
      <c r="AW356" s="649"/>
      <c r="AX356" s="649"/>
      <c r="AY356" s="649"/>
      <c r="AZ356" s="649"/>
      <c r="BA356" s="649"/>
      <c r="BB356" s="649"/>
      <c r="BC356" s="649"/>
      <c r="BD356" s="649"/>
    </row>
    <row r="357" spans="1:56" s="648" customFormat="1" ht="12" customHeight="1">
      <c r="A357" s="726"/>
      <c r="B357" s="725">
        <v>43328</v>
      </c>
      <c r="C357" s="724" t="s">
        <v>451</v>
      </c>
      <c r="D357" s="723">
        <v>88.7</v>
      </c>
      <c r="E357" s="723">
        <f t="shared" si="21"/>
        <v>73.7</v>
      </c>
      <c r="F357" s="723">
        <v>36</v>
      </c>
      <c r="G357" s="723"/>
      <c r="H357" s="723"/>
      <c r="I357" s="723">
        <v>15</v>
      </c>
      <c r="J357" s="723"/>
      <c r="K357" s="723"/>
      <c r="L357" s="723"/>
      <c r="M357" s="723"/>
      <c r="N357" s="723"/>
      <c r="O357" s="743"/>
      <c r="P357" s="743"/>
      <c r="Q357" s="743"/>
      <c r="R357" s="743"/>
      <c r="S357" s="743"/>
      <c r="U357" s="649"/>
      <c r="V357" s="649"/>
      <c r="W357" s="649"/>
      <c r="X357" s="649"/>
      <c r="Y357" s="649"/>
      <c r="Z357" s="649"/>
      <c r="AA357" s="649"/>
      <c r="AB357" s="649"/>
      <c r="AC357" s="649"/>
      <c r="AD357" s="649"/>
      <c r="AE357" s="649"/>
      <c r="AF357" s="649"/>
      <c r="AG357" s="649"/>
      <c r="AH357" s="649"/>
      <c r="AI357" s="649"/>
      <c r="AJ357" s="649"/>
      <c r="AK357" s="649"/>
      <c r="AL357" s="649"/>
      <c r="AM357" s="649"/>
      <c r="AN357" s="649"/>
      <c r="AO357" s="649"/>
      <c r="AP357" s="649"/>
      <c r="AQ357" s="649"/>
      <c r="AR357" s="649"/>
      <c r="AS357" s="649"/>
      <c r="AT357" s="649"/>
      <c r="AU357" s="649"/>
      <c r="AV357" s="649"/>
      <c r="AW357" s="649"/>
      <c r="AX357" s="649"/>
      <c r="AY357" s="649"/>
      <c r="AZ357" s="649"/>
      <c r="BA357" s="649"/>
      <c r="BB357" s="649"/>
      <c r="BC357" s="649"/>
      <c r="BD357" s="649"/>
    </row>
    <row r="358" spans="1:56" s="648" customFormat="1" ht="12" customHeight="1">
      <c r="A358" s="726"/>
      <c r="B358" s="725">
        <v>43328</v>
      </c>
      <c r="C358" s="724" t="s">
        <v>40</v>
      </c>
      <c r="D358" s="723">
        <v>41</v>
      </c>
      <c r="E358" s="723">
        <f t="shared" si="21"/>
        <v>41</v>
      </c>
      <c r="F358" s="723"/>
      <c r="G358" s="723"/>
      <c r="H358" s="723"/>
      <c r="I358" s="723"/>
      <c r="J358" s="723"/>
      <c r="K358" s="723"/>
      <c r="L358" s="723"/>
      <c r="M358" s="723"/>
      <c r="N358" s="723"/>
      <c r="O358" s="743"/>
      <c r="P358" s="743"/>
      <c r="Q358" s="743"/>
      <c r="R358" s="743"/>
      <c r="S358" s="743"/>
      <c r="U358" s="649"/>
      <c r="V358" s="649"/>
      <c r="W358" s="649"/>
      <c r="X358" s="649"/>
      <c r="Y358" s="649"/>
      <c r="Z358" s="649"/>
      <c r="AA358" s="649"/>
      <c r="AB358" s="649"/>
      <c r="AC358" s="649"/>
      <c r="AD358" s="649"/>
      <c r="AE358" s="649"/>
      <c r="AF358" s="649"/>
      <c r="AG358" s="649"/>
      <c r="AH358" s="649"/>
      <c r="AI358" s="649"/>
      <c r="AJ358" s="649"/>
      <c r="AK358" s="649"/>
      <c r="AL358" s="649"/>
      <c r="AM358" s="649"/>
      <c r="AN358" s="649"/>
      <c r="AO358" s="649"/>
      <c r="AP358" s="649"/>
      <c r="AQ358" s="649"/>
      <c r="AR358" s="649"/>
      <c r="AS358" s="649"/>
      <c r="AT358" s="649"/>
      <c r="AU358" s="649"/>
      <c r="AV358" s="649"/>
      <c r="AW358" s="649"/>
      <c r="AX358" s="649"/>
      <c r="AY358" s="649"/>
      <c r="AZ358" s="649"/>
      <c r="BA358" s="649"/>
      <c r="BB358" s="649"/>
      <c r="BC358" s="649"/>
      <c r="BD358" s="649"/>
    </row>
    <row r="359" spans="1:56" s="648" customFormat="1" ht="12" customHeight="1">
      <c r="A359" s="726"/>
      <c r="B359" s="725">
        <v>43328</v>
      </c>
      <c r="C359" s="724" t="s">
        <v>124</v>
      </c>
      <c r="D359" s="723">
        <v>43.25</v>
      </c>
      <c r="E359" s="723">
        <f t="shared" si="21"/>
        <v>0</v>
      </c>
      <c r="F359" s="723"/>
      <c r="G359" s="723"/>
      <c r="H359" s="723">
        <v>43.25</v>
      </c>
      <c r="I359" s="723"/>
      <c r="J359" s="723"/>
      <c r="K359" s="723"/>
      <c r="L359" s="723"/>
      <c r="M359" s="723"/>
      <c r="N359" s="723"/>
      <c r="O359" s="743"/>
      <c r="P359" s="743"/>
      <c r="Q359" s="743"/>
      <c r="R359" s="743"/>
      <c r="S359" s="743"/>
      <c r="U359" s="649"/>
      <c r="V359" s="649"/>
      <c r="W359" s="649"/>
      <c r="X359" s="649"/>
      <c r="Y359" s="649"/>
      <c r="Z359" s="649"/>
      <c r="AA359" s="649"/>
      <c r="AB359" s="649"/>
      <c r="AC359" s="649"/>
      <c r="AD359" s="649"/>
      <c r="AE359" s="649"/>
      <c r="AF359" s="649"/>
      <c r="AG359" s="649"/>
      <c r="AH359" s="649"/>
      <c r="AI359" s="649"/>
      <c r="AJ359" s="649"/>
      <c r="AK359" s="649"/>
      <c r="AL359" s="649"/>
      <c r="AM359" s="649"/>
      <c r="AN359" s="649"/>
      <c r="AO359" s="649"/>
      <c r="AP359" s="649"/>
      <c r="AQ359" s="649"/>
      <c r="AR359" s="649"/>
      <c r="AS359" s="649"/>
      <c r="AT359" s="649"/>
      <c r="AU359" s="649"/>
      <c r="AV359" s="649"/>
      <c r="AW359" s="649"/>
      <c r="AX359" s="649"/>
      <c r="AY359" s="649"/>
      <c r="AZ359" s="649"/>
      <c r="BA359" s="649"/>
      <c r="BB359" s="649"/>
      <c r="BC359" s="649"/>
      <c r="BD359" s="649"/>
    </row>
    <row r="360" spans="1:56" s="648" customFormat="1" ht="12" customHeight="1">
      <c r="A360" s="726"/>
      <c r="B360" s="725">
        <v>43329</v>
      </c>
      <c r="C360" s="724" t="s">
        <v>39</v>
      </c>
      <c r="D360" s="723">
        <v>29.95</v>
      </c>
      <c r="E360" s="723">
        <f t="shared" si="21"/>
        <v>29.95</v>
      </c>
      <c r="F360" s="723"/>
      <c r="G360" s="723"/>
      <c r="H360" s="723"/>
      <c r="I360" s="723"/>
      <c r="J360" s="723"/>
      <c r="K360" s="723"/>
      <c r="L360" s="723"/>
      <c r="M360" s="723"/>
      <c r="N360" s="723"/>
      <c r="O360" s="743"/>
      <c r="P360" s="743"/>
      <c r="Q360" s="743"/>
      <c r="R360" s="743"/>
      <c r="S360" s="743"/>
      <c r="U360" s="649"/>
      <c r="V360" s="649"/>
      <c r="W360" s="649"/>
      <c r="X360" s="649"/>
      <c r="Y360" s="649"/>
      <c r="Z360" s="649"/>
      <c r="AA360" s="649"/>
      <c r="AB360" s="649"/>
      <c r="AC360" s="649"/>
      <c r="AD360" s="649"/>
      <c r="AE360" s="649"/>
      <c r="AF360" s="649"/>
      <c r="AG360" s="649"/>
      <c r="AH360" s="649"/>
      <c r="AI360" s="649"/>
      <c r="AJ360" s="649"/>
      <c r="AK360" s="649"/>
      <c r="AL360" s="649"/>
      <c r="AM360" s="649"/>
      <c r="AN360" s="649"/>
      <c r="AO360" s="649"/>
      <c r="AP360" s="649"/>
      <c r="AQ360" s="649"/>
      <c r="AR360" s="649"/>
      <c r="AS360" s="649"/>
      <c r="AT360" s="649"/>
      <c r="AU360" s="649"/>
      <c r="AV360" s="649"/>
      <c r="AW360" s="649"/>
      <c r="AX360" s="649"/>
      <c r="AY360" s="649"/>
      <c r="AZ360" s="649"/>
      <c r="BA360" s="649"/>
      <c r="BB360" s="649"/>
      <c r="BC360" s="649"/>
      <c r="BD360" s="649"/>
    </row>
    <row r="361" spans="1:56" s="648" customFormat="1" ht="12" customHeight="1">
      <c r="A361" s="726"/>
      <c r="B361" s="725">
        <v>43329</v>
      </c>
      <c r="C361" s="724" t="s">
        <v>40</v>
      </c>
      <c r="D361" s="723">
        <v>60.95</v>
      </c>
      <c r="E361" s="723">
        <f t="shared" si="21"/>
        <v>15.950000000000003</v>
      </c>
      <c r="F361" s="723">
        <v>10.95</v>
      </c>
      <c r="G361" s="723"/>
      <c r="H361" s="723"/>
      <c r="I361" s="723">
        <v>45</v>
      </c>
      <c r="J361" s="723"/>
      <c r="K361" s="723"/>
      <c r="L361" s="723"/>
      <c r="M361" s="723"/>
      <c r="N361" s="723"/>
      <c r="O361" s="743"/>
      <c r="P361" s="743"/>
      <c r="Q361" s="743"/>
      <c r="R361" s="743"/>
      <c r="S361" s="743"/>
      <c r="U361" s="649"/>
      <c r="V361" s="649"/>
      <c r="W361" s="649"/>
      <c r="X361" s="649"/>
      <c r="Y361" s="649"/>
      <c r="Z361" s="649"/>
      <c r="AA361" s="649"/>
      <c r="AB361" s="649"/>
      <c r="AC361" s="649"/>
      <c r="AD361" s="649"/>
      <c r="AE361" s="649"/>
      <c r="AF361" s="649"/>
      <c r="AG361" s="649"/>
      <c r="AH361" s="649"/>
      <c r="AI361" s="649"/>
      <c r="AJ361" s="649"/>
      <c r="AK361" s="649"/>
      <c r="AL361" s="649"/>
      <c r="AM361" s="649"/>
      <c r="AN361" s="649"/>
      <c r="AO361" s="649"/>
      <c r="AP361" s="649"/>
      <c r="AQ361" s="649"/>
      <c r="AR361" s="649"/>
      <c r="AS361" s="649"/>
      <c r="AT361" s="649"/>
      <c r="AU361" s="649"/>
      <c r="AV361" s="649"/>
      <c r="AW361" s="649"/>
      <c r="AX361" s="649"/>
      <c r="AY361" s="649"/>
      <c r="AZ361" s="649"/>
      <c r="BA361" s="649"/>
      <c r="BB361" s="649"/>
      <c r="BC361" s="649"/>
      <c r="BD361" s="649"/>
    </row>
    <row r="362" spans="1:56" s="648" customFormat="1" ht="12" customHeight="1">
      <c r="A362" s="726"/>
      <c r="B362" s="725">
        <v>43329</v>
      </c>
      <c r="C362" s="724" t="s">
        <v>41</v>
      </c>
      <c r="D362" s="723">
        <v>88.95</v>
      </c>
      <c r="E362" s="723">
        <f t="shared" si="21"/>
        <v>48.95</v>
      </c>
      <c r="F362" s="723"/>
      <c r="G362" s="723"/>
      <c r="H362" s="723"/>
      <c r="I362" s="723">
        <v>40</v>
      </c>
      <c r="J362" s="723"/>
      <c r="K362" s="723"/>
      <c r="L362" s="723"/>
      <c r="M362" s="723"/>
      <c r="N362" s="723"/>
      <c r="O362" s="743"/>
      <c r="P362" s="743"/>
      <c r="Q362" s="743"/>
      <c r="R362" s="743"/>
      <c r="S362" s="743"/>
      <c r="U362" s="649"/>
      <c r="V362" s="649"/>
      <c r="W362" s="649"/>
      <c r="X362" s="649"/>
      <c r="Y362" s="649"/>
      <c r="Z362" s="649"/>
      <c r="AA362" s="649"/>
      <c r="AB362" s="649"/>
      <c r="AC362" s="649"/>
      <c r="AD362" s="649"/>
      <c r="AE362" s="649"/>
      <c r="AF362" s="649"/>
      <c r="AG362" s="649"/>
      <c r="AH362" s="649"/>
      <c r="AI362" s="649"/>
      <c r="AJ362" s="649"/>
      <c r="AK362" s="649"/>
      <c r="AL362" s="649"/>
      <c r="AM362" s="649"/>
      <c r="AN362" s="649"/>
      <c r="AO362" s="649"/>
      <c r="AP362" s="649"/>
      <c r="AQ362" s="649"/>
      <c r="AR362" s="649"/>
      <c r="AS362" s="649"/>
      <c r="AT362" s="649"/>
      <c r="AU362" s="649"/>
      <c r="AV362" s="649"/>
      <c r="AW362" s="649"/>
      <c r="AX362" s="649"/>
      <c r="AY362" s="649"/>
      <c r="AZ362" s="649"/>
      <c r="BA362" s="649"/>
      <c r="BB362" s="649"/>
      <c r="BC362" s="649"/>
      <c r="BD362" s="649"/>
    </row>
    <row r="363" spans="1:56" s="648" customFormat="1" ht="12" customHeight="1">
      <c r="A363" s="726"/>
      <c r="B363" s="725">
        <v>43331</v>
      </c>
      <c r="C363" s="724" t="s">
        <v>39</v>
      </c>
      <c r="D363" s="723">
        <v>26.95</v>
      </c>
      <c r="E363" s="723">
        <f t="shared" si="21"/>
        <v>26.95</v>
      </c>
      <c r="F363" s="723"/>
      <c r="G363" s="723"/>
      <c r="H363" s="723"/>
      <c r="I363" s="723"/>
      <c r="J363" s="723"/>
      <c r="K363" s="723"/>
      <c r="L363" s="723"/>
      <c r="M363" s="723"/>
      <c r="N363" s="723"/>
      <c r="O363" s="743"/>
      <c r="P363" s="743"/>
      <c r="Q363" s="743"/>
      <c r="R363" s="743"/>
      <c r="S363" s="743"/>
      <c r="U363" s="649"/>
      <c r="V363" s="649"/>
      <c r="W363" s="649"/>
      <c r="X363" s="649"/>
      <c r="Y363" s="649"/>
      <c r="Z363" s="649"/>
      <c r="AA363" s="649"/>
      <c r="AB363" s="649"/>
      <c r="AC363" s="649"/>
      <c r="AD363" s="649"/>
      <c r="AE363" s="649"/>
      <c r="AF363" s="649"/>
      <c r="AG363" s="649"/>
      <c r="AH363" s="649"/>
      <c r="AI363" s="649"/>
      <c r="AJ363" s="649"/>
      <c r="AK363" s="649"/>
      <c r="AL363" s="649"/>
      <c r="AM363" s="649"/>
      <c r="AN363" s="649"/>
      <c r="AO363" s="649"/>
      <c r="AP363" s="649"/>
      <c r="AQ363" s="649"/>
      <c r="AR363" s="649"/>
      <c r="AS363" s="649"/>
      <c r="AT363" s="649"/>
      <c r="AU363" s="649"/>
      <c r="AV363" s="649"/>
      <c r="AW363" s="649"/>
      <c r="AX363" s="649"/>
      <c r="AY363" s="649"/>
      <c r="AZ363" s="649"/>
      <c r="BA363" s="649"/>
      <c r="BB363" s="649"/>
      <c r="BC363" s="649"/>
      <c r="BD363" s="649"/>
    </row>
    <row r="364" spans="1:56" s="648" customFormat="1" ht="12" customHeight="1">
      <c r="A364" s="726"/>
      <c r="B364" s="725">
        <v>43331</v>
      </c>
      <c r="C364" s="724" t="s">
        <v>41</v>
      </c>
      <c r="D364" s="723">
        <v>50</v>
      </c>
      <c r="E364" s="723">
        <f t="shared" si="21"/>
        <v>20</v>
      </c>
      <c r="F364" s="723"/>
      <c r="G364" s="723"/>
      <c r="H364" s="723"/>
      <c r="I364" s="723">
        <v>30</v>
      </c>
      <c r="J364" s="723"/>
      <c r="K364" s="723"/>
      <c r="L364" s="723"/>
      <c r="M364" s="723"/>
      <c r="N364" s="723"/>
      <c r="O364" s="743"/>
      <c r="P364" s="743"/>
      <c r="Q364" s="743"/>
      <c r="R364" s="743"/>
      <c r="S364" s="743"/>
      <c r="U364" s="649"/>
      <c r="V364" s="649"/>
      <c r="W364" s="649"/>
      <c r="X364" s="649"/>
      <c r="Y364" s="649"/>
      <c r="Z364" s="649"/>
      <c r="AA364" s="649"/>
      <c r="AB364" s="649"/>
      <c r="AC364" s="649"/>
      <c r="AD364" s="649"/>
      <c r="AE364" s="649"/>
      <c r="AF364" s="649"/>
      <c r="AG364" s="649"/>
      <c r="AH364" s="649"/>
      <c r="AI364" s="649"/>
      <c r="AJ364" s="649"/>
      <c r="AK364" s="649"/>
      <c r="AL364" s="649"/>
      <c r="AM364" s="649"/>
      <c r="AN364" s="649"/>
      <c r="AO364" s="649"/>
      <c r="AP364" s="649"/>
      <c r="AQ364" s="649"/>
      <c r="AR364" s="649"/>
      <c r="AS364" s="649"/>
      <c r="AT364" s="649"/>
      <c r="AU364" s="649"/>
      <c r="AV364" s="649"/>
      <c r="AW364" s="649"/>
      <c r="AX364" s="649"/>
      <c r="AY364" s="649"/>
      <c r="AZ364" s="649"/>
      <c r="BA364" s="649"/>
      <c r="BB364" s="649"/>
      <c r="BC364" s="649"/>
      <c r="BD364" s="649"/>
    </row>
    <row r="365" spans="1:56" s="648" customFormat="1" ht="12" customHeight="1">
      <c r="A365" s="726"/>
      <c r="B365" s="725">
        <v>43332</v>
      </c>
      <c r="C365" s="724" t="s">
        <v>38</v>
      </c>
      <c r="D365" s="723">
        <v>109.75</v>
      </c>
      <c r="E365" s="723">
        <f t="shared" si="21"/>
        <v>69.75</v>
      </c>
      <c r="F365" s="723"/>
      <c r="G365" s="723"/>
      <c r="H365" s="723"/>
      <c r="I365" s="723">
        <v>40</v>
      </c>
      <c r="J365" s="723"/>
      <c r="K365" s="723"/>
      <c r="L365" s="723"/>
      <c r="M365" s="723"/>
      <c r="N365" s="723"/>
      <c r="O365" s="743"/>
      <c r="P365" s="743"/>
      <c r="Q365" s="743"/>
      <c r="R365" s="743"/>
      <c r="S365" s="743"/>
      <c r="U365" s="649"/>
      <c r="V365" s="649"/>
      <c r="W365" s="649"/>
      <c r="X365" s="649"/>
      <c r="Y365" s="649"/>
      <c r="Z365" s="649"/>
      <c r="AA365" s="649"/>
      <c r="AB365" s="649"/>
      <c r="AC365" s="649"/>
      <c r="AD365" s="649"/>
      <c r="AE365" s="649"/>
      <c r="AF365" s="649"/>
      <c r="AG365" s="649"/>
      <c r="AH365" s="649"/>
      <c r="AI365" s="649"/>
      <c r="AJ365" s="649"/>
      <c r="AK365" s="649"/>
      <c r="AL365" s="649"/>
      <c r="AM365" s="649"/>
      <c r="AN365" s="649"/>
      <c r="AO365" s="649"/>
      <c r="AP365" s="649"/>
      <c r="AQ365" s="649"/>
      <c r="AR365" s="649"/>
      <c r="AS365" s="649"/>
      <c r="AT365" s="649"/>
      <c r="AU365" s="649"/>
      <c r="AV365" s="649"/>
      <c r="AW365" s="649"/>
      <c r="AX365" s="649"/>
      <c r="AY365" s="649"/>
      <c r="AZ365" s="649"/>
      <c r="BA365" s="649"/>
      <c r="BB365" s="649"/>
      <c r="BC365" s="649"/>
      <c r="BD365" s="649"/>
    </row>
    <row r="366" spans="1:56" s="648" customFormat="1" ht="12" customHeight="1">
      <c r="A366" s="726"/>
      <c r="B366" s="725">
        <v>43333</v>
      </c>
      <c r="C366" s="724" t="s">
        <v>40</v>
      </c>
      <c r="D366" s="723">
        <v>22.95</v>
      </c>
      <c r="E366" s="723">
        <f t="shared" si="21"/>
        <v>22.95</v>
      </c>
      <c r="F366" s="723"/>
      <c r="G366" s="723"/>
      <c r="H366" s="723"/>
      <c r="I366" s="723"/>
      <c r="J366" s="723"/>
      <c r="K366" s="723"/>
      <c r="L366" s="723"/>
      <c r="M366" s="723"/>
      <c r="N366" s="723"/>
      <c r="O366" s="743"/>
      <c r="P366" s="743"/>
      <c r="Q366" s="743"/>
      <c r="R366" s="743"/>
      <c r="S366" s="743"/>
      <c r="U366" s="649"/>
      <c r="V366" s="649"/>
      <c r="W366" s="649"/>
      <c r="X366" s="649"/>
      <c r="Y366" s="649"/>
      <c r="Z366" s="649"/>
      <c r="AA366" s="649"/>
      <c r="AB366" s="649"/>
      <c r="AC366" s="649"/>
      <c r="AD366" s="649"/>
      <c r="AE366" s="649"/>
      <c r="AF366" s="649"/>
      <c r="AG366" s="649"/>
      <c r="AH366" s="649"/>
      <c r="AI366" s="649"/>
      <c r="AJ366" s="649"/>
      <c r="AK366" s="649"/>
      <c r="AL366" s="649"/>
      <c r="AM366" s="649"/>
      <c r="AN366" s="649"/>
      <c r="AO366" s="649"/>
      <c r="AP366" s="649"/>
      <c r="AQ366" s="649"/>
      <c r="AR366" s="649"/>
      <c r="AS366" s="649"/>
      <c r="AT366" s="649"/>
      <c r="AU366" s="649"/>
      <c r="AV366" s="649"/>
      <c r="AW366" s="649"/>
      <c r="AX366" s="649"/>
      <c r="AY366" s="649"/>
      <c r="AZ366" s="649"/>
      <c r="BA366" s="649"/>
      <c r="BB366" s="649"/>
      <c r="BC366" s="649"/>
      <c r="BD366" s="649"/>
    </row>
    <row r="367" spans="1:56" s="648" customFormat="1" ht="12" customHeight="1">
      <c r="A367" s="726"/>
      <c r="B367" s="725">
        <v>43333</v>
      </c>
      <c r="C367" s="724" t="s">
        <v>124</v>
      </c>
      <c r="D367" s="723">
        <v>27.45</v>
      </c>
      <c r="E367" s="723">
        <f t="shared" ref="E367:E384" si="22">D367-G367-H367-I367</f>
        <v>0</v>
      </c>
      <c r="F367" s="723"/>
      <c r="G367" s="723"/>
      <c r="H367" s="723">
        <v>27.45</v>
      </c>
      <c r="I367" s="723"/>
      <c r="J367" s="723"/>
      <c r="K367" s="723"/>
      <c r="L367" s="723"/>
      <c r="M367" s="723"/>
      <c r="N367" s="723"/>
      <c r="O367" s="743"/>
      <c r="P367" s="743"/>
      <c r="Q367" s="743"/>
      <c r="R367" s="743"/>
      <c r="S367" s="743"/>
      <c r="U367" s="649"/>
      <c r="V367" s="649"/>
      <c r="W367" s="649"/>
      <c r="X367" s="649"/>
      <c r="Y367" s="649"/>
      <c r="Z367" s="649"/>
      <c r="AA367" s="649"/>
      <c r="AB367" s="649"/>
      <c r="AC367" s="649"/>
      <c r="AD367" s="649"/>
      <c r="AE367" s="649"/>
      <c r="AF367" s="649"/>
      <c r="AG367" s="649"/>
      <c r="AH367" s="649"/>
      <c r="AI367" s="649"/>
      <c r="AJ367" s="649"/>
      <c r="AK367" s="649"/>
      <c r="AL367" s="649"/>
      <c r="AM367" s="649"/>
      <c r="AN367" s="649"/>
      <c r="AO367" s="649"/>
      <c r="AP367" s="649"/>
      <c r="AQ367" s="649"/>
      <c r="AR367" s="649"/>
      <c r="AS367" s="649"/>
      <c r="AT367" s="649"/>
      <c r="AU367" s="649"/>
      <c r="AV367" s="649"/>
      <c r="AW367" s="649"/>
      <c r="AX367" s="649"/>
      <c r="AY367" s="649"/>
      <c r="AZ367" s="649"/>
      <c r="BA367" s="649"/>
      <c r="BB367" s="649"/>
      <c r="BC367" s="649"/>
      <c r="BD367" s="649"/>
    </row>
    <row r="368" spans="1:56" s="648" customFormat="1" ht="12" customHeight="1">
      <c r="A368" s="726"/>
      <c r="B368" s="725">
        <v>43333</v>
      </c>
      <c r="C368" s="724" t="s">
        <v>451</v>
      </c>
      <c r="D368" s="723">
        <v>73.95</v>
      </c>
      <c r="E368" s="723">
        <f t="shared" si="22"/>
        <v>38.950000000000003</v>
      </c>
      <c r="F368" s="723"/>
      <c r="G368" s="723"/>
      <c r="H368" s="723"/>
      <c r="I368" s="723">
        <v>35</v>
      </c>
      <c r="J368" s="723"/>
      <c r="K368" s="723"/>
      <c r="L368" s="723"/>
      <c r="M368" s="723"/>
      <c r="N368" s="723"/>
      <c r="O368" s="743"/>
      <c r="P368" s="743"/>
      <c r="Q368" s="743"/>
      <c r="R368" s="743"/>
      <c r="S368" s="743"/>
      <c r="U368" s="649"/>
      <c r="V368" s="649"/>
      <c r="W368" s="649"/>
      <c r="X368" s="649"/>
      <c r="Y368" s="649"/>
      <c r="Z368" s="649"/>
      <c r="AA368" s="649"/>
      <c r="AB368" s="649"/>
      <c r="AC368" s="649"/>
      <c r="AD368" s="649"/>
      <c r="AE368" s="649"/>
      <c r="AF368" s="649"/>
      <c r="AG368" s="649"/>
      <c r="AH368" s="649"/>
      <c r="AI368" s="649"/>
      <c r="AJ368" s="649"/>
      <c r="AK368" s="649"/>
      <c r="AL368" s="649"/>
      <c r="AM368" s="649"/>
      <c r="AN368" s="649"/>
      <c r="AO368" s="649"/>
      <c r="AP368" s="649"/>
      <c r="AQ368" s="649"/>
      <c r="AR368" s="649"/>
      <c r="AS368" s="649"/>
      <c r="AT368" s="649"/>
      <c r="AU368" s="649"/>
      <c r="AV368" s="649"/>
      <c r="AW368" s="649"/>
      <c r="AX368" s="649"/>
      <c r="AY368" s="649"/>
      <c r="AZ368" s="649"/>
      <c r="BA368" s="649"/>
      <c r="BB368" s="649"/>
      <c r="BC368" s="649"/>
      <c r="BD368" s="649"/>
    </row>
    <row r="369" spans="1:56" s="648" customFormat="1" ht="12" customHeight="1">
      <c r="A369" s="726"/>
      <c r="B369" s="725">
        <v>43333</v>
      </c>
      <c r="C369" s="724" t="s">
        <v>38</v>
      </c>
      <c r="D369" s="723">
        <v>40</v>
      </c>
      <c r="E369" s="723">
        <f t="shared" si="22"/>
        <v>0</v>
      </c>
      <c r="F369" s="723"/>
      <c r="G369" s="723"/>
      <c r="H369" s="723"/>
      <c r="I369" s="723">
        <v>40</v>
      </c>
      <c r="J369" s="723"/>
      <c r="K369" s="723"/>
      <c r="L369" s="723"/>
      <c r="M369" s="723"/>
      <c r="N369" s="723"/>
      <c r="O369" s="743"/>
      <c r="P369" s="743"/>
      <c r="Q369" s="743"/>
      <c r="R369" s="743"/>
      <c r="S369" s="743"/>
      <c r="U369" s="649"/>
      <c r="V369" s="649"/>
      <c r="W369" s="649"/>
      <c r="X369" s="649"/>
      <c r="Y369" s="649"/>
      <c r="Z369" s="649"/>
      <c r="AA369" s="649"/>
      <c r="AB369" s="649"/>
      <c r="AC369" s="649"/>
      <c r="AD369" s="649"/>
      <c r="AE369" s="649"/>
      <c r="AF369" s="649"/>
      <c r="AG369" s="649"/>
      <c r="AH369" s="649"/>
      <c r="AI369" s="649"/>
      <c r="AJ369" s="649"/>
      <c r="AK369" s="649"/>
      <c r="AL369" s="649"/>
      <c r="AM369" s="649"/>
      <c r="AN369" s="649"/>
      <c r="AO369" s="649"/>
      <c r="AP369" s="649"/>
      <c r="AQ369" s="649"/>
      <c r="AR369" s="649"/>
      <c r="AS369" s="649"/>
      <c r="AT369" s="649"/>
      <c r="AU369" s="649"/>
      <c r="AV369" s="649"/>
      <c r="AW369" s="649"/>
      <c r="AX369" s="649"/>
      <c r="AY369" s="649"/>
      <c r="AZ369" s="649"/>
      <c r="BA369" s="649"/>
      <c r="BB369" s="649"/>
      <c r="BC369" s="649"/>
      <c r="BD369" s="649"/>
    </row>
    <row r="370" spans="1:56" s="648" customFormat="1" ht="12" customHeight="1">
      <c r="A370" s="726"/>
      <c r="B370" s="725">
        <v>43334</v>
      </c>
      <c r="C370" s="724" t="s">
        <v>216</v>
      </c>
      <c r="D370" s="723">
        <v>68.95</v>
      </c>
      <c r="E370" s="723">
        <f t="shared" si="22"/>
        <v>68.95</v>
      </c>
      <c r="F370" s="723"/>
      <c r="G370" s="723"/>
      <c r="H370" s="723"/>
      <c r="I370" s="723"/>
      <c r="J370" s="723"/>
      <c r="K370" s="723"/>
      <c r="L370" s="723"/>
      <c r="M370" s="723"/>
      <c r="N370" s="723"/>
      <c r="O370" s="743"/>
      <c r="P370" s="743"/>
      <c r="Q370" s="743"/>
      <c r="R370" s="743"/>
      <c r="S370" s="743"/>
      <c r="U370" s="649"/>
      <c r="V370" s="649"/>
      <c r="W370" s="649"/>
      <c r="X370" s="649"/>
      <c r="Y370" s="649"/>
      <c r="Z370" s="649"/>
      <c r="AA370" s="649"/>
      <c r="AB370" s="649"/>
      <c r="AC370" s="649"/>
      <c r="AD370" s="649"/>
      <c r="AE370" s="649"/>
      <c r="AF370" s="649"/>
      <c r="AG370" s="649"/>
      <c r="AH370" s="649"/>
      <c r="AI370" s="649"/>
      <c r="AJ370" s="649"/>
      <c r="AK370" s="649"/>
      <c r="AL370" s="649"/>
      <c r="AM370" s="649"/>
      <c r="AN370" s="649"/>
      <c r="AO370" s="649"/>
      <c r="AP370" s="649"/>
      <c r="AQ370" s="649"/>
      <c r="AR370" s="649"/>
      <c r="AS370" s="649"/>
      <c r="AT370" s="649"/>
      <c r="AU370" s="649"/>
      <c r="AV370" s="649"/>
      <c r="AW370" s="649"/>
      <c r="AX370" s="649"/>
      <c r="AY370" s="649"/>
      <c r="AZ370" s="649"/>
      <c r="BA370" s="649"/>
      <c r="BB370" s="649"/>
      <c r="BC370" s="649"/>
      <c r="BD370" s="649"/>
    </row>
    <row r="371" spans="1:56" s="648" customFormat="1" ht="12" customHeight="1">
      <c r="A371" s="726"/>
      <c r="B371" s="725">
        <v>43334</v>
      </c>
      <c r="C371" s="724" t="s">
        <v>39</v>
      </c>
      <c r="D371" s="723">
        <v>90.35</v>
      </c>
      <c r="E371" s="723">
        <f t="shared" si="22"/>
        <v>29.999999999999993</v>
      </c>
      <c r="F371" s="723"/>
      <c r="G371" s="723"/>
      <c r="H371" s="723"/>
      <c r="I371" s="723">
        <v>60.35</v>
      </c>
      <c r="J371" s="723"/>
      <c r="K371" s="723"/>
      <c r="L371" s="723"/>
      <c r="M371" s="723"/>
      <c r="N371" s="723"/>
      <c r="O371" s="743"/>
      <c r="P371" s="743"/>
      <c r="Q371" s="743"/>
      <c r="R371" s="743"/>
      <c r="S371" s="743"/>
      <c r="U371" s="649"/>
      <c r="V371" s="649"/>
      <c r="W371" s="649"/>
      <c r="X371" s="649"/>
      <c r="Y371" s="649"/>
      <c r="Z371" s="649"/>
      <c r="AA371" s="649"/>
      <c r="AB371" s="649"/>
      <c r="AC371" s="649"/>
      <c r="AD371" s="649"/>
      <c r="AE371" s="649"/>
      <c r="AF371" s="649"/>
      <c r="AG371" s="649"/>
      <c r="AH371" s="649"/>
      <c r="AI371" s="649"/>
      <c r="AJ371" s="649"/>
      <c r="AK371" s="649"/>
      <c r="AL371" s="649"/>
      <c r="AM371" s="649"/>
      <c r="AN371" s="649"/>
      <c r="AO371" s="649"/>
      <c r="AP371" s="649"/>
      <c r="AQ371" s="649"/>
      <c r="AR371" s="649"/>
      <c r="AS371" s="649"/>
      <c r="AT371" s="649"/>
      <c r="AU371" s="649"/>
      <c r="AV371" s="649"/>
      <c r="AW371" s="649"/>
      <c r="AX371" s="649"/>
      <c r="AY371" s="649"/>
      <c r="AZ371" s="649"/>
      <c r="BA371" s="649"/>
      <c r="BB371" s="649"/>
      <c r="BC371" s="649"/>
      <c r="BD371" s="649"/>
    </row>
    <row r="372" spans="1:56" s="648" customFormat="1" ht="12" customHeight="1">
      <c r="A372" s="726"/>
      <c r="B372" s="725">
        <v>43334</v>
      </c>
      <c r="C372" s="724" t="s">
        <v>716</v>
      </c>
      <c r="D372" s="723">
        <v>182.5</v>
      </c>
      <c r="E372" s="723">
        <f t="shared" si="22"/>
        <v>182.5</v>
      </c>
      <c r="F372" s="723"/>
      <c r="G372" s="723"/>
      <c r="H372" s="723"/>
      <c r="I372" s="723"/>
      <c r="J372" s="723"/>
      <c r="K372" s="723"/>
      <c r="L372" s="723"/>
      <c r="M372" s="723"/>
      <c r="N372" s="723"/>
      <c r="O372" s="743"/>
      <c r="P372" s="743"/>
      <c r="Q372" s="743"/>
      <c r="R372" s="743"/>
      <c r="S372" s="743"/>
      <c r="U372" s="649"/>
      <c r="V372" s="649"/>
      <c r="W372" s="649"/>
      <c r="X372" s="649"/>
      <c r="Y372" s="649"/>
      <c r="Z372" s="649"/>
      <c r="AA372" s="649"/>
      <c r="AB372" s="649"/>
      <c r="AC372" s="649"/>
      <c r="AD372" s="649"/>
      <c r="AE372" s="649"/>
      <c r="AF372" s="649"/>
      <c r="AG372" s="649"/>
      <c r="AH372" s="649"/>
      <c r="AI372" s="649"/>
      <c r="AJ372" s="649"/>
      <c r="AK372" s="649"/>
      <c r="AL372" s="649"/>
      <c r="AM372" s="649"/>
      <c r="AN372" s="649"/>
      <c r="AO372" s="649"/>
      <c r="AP372" s="649"/>
      <c r="AQ372" s="649"/>
      <c r="AR372" s="649"/>
      <c r="AS372" s="649"/>
      <c r="AT372" s="649"/>
      <c r="AU372" s="649"/>
      <c r="AV372" s="649"/>
      <c r="AW372" s="649"/>
      <c r="AX372" s="649"/>
      <c r="AY372" s="649"/>
      <c r="AZ372" s="649"/>
      <c r="BA372" s="649"/>
      <c r="BB372" s="649"/>
      <c r="BC372" s="649"/>
      <c r="BD372" s="649"/>
    </row>
    <row r="373" spans="1:56" s="648" customFormat="1" ht="12" customHeight="1">
      <c r="A373" s="726"/>
      <c r="B373" s="725">
        <v>43335</v>
      </c>
      <c r="C373" s="724" t="s">
        <v>451</v>
      </c>
      <c r="D373" s="723">
        <v>80</v>
      </c>
      <c r="E373" s="723">
        <f t="shared" si="22"/>
        <v>80</v>
      </c>
      <c r="F373" s="723"/>
      <c r="G373" s="723"/>
      <c r="H373" s="723"/>
      <c r="I373" s="723"/>
      <c r="J373" s="723"/>
      <c r="K373" s="723"/>
      <c r="L373" s="723"/>
      <c r="M373" s="723"/>
      <c r="N373" s="723"/>
      <c r="O373" s="743"/>
      <c r="P373" s="743"/>
      <c r="Q373" s="743"/>
      <c r="R373" s="743"/>
      <c r="S373" s="743"/>
      <c r="U373" s="649"/>
      <c r="V373" s="649"/>
      <c r="W373" s="649"/>
      <c r="X373" s="649"/>
      <c r="Y373" s="649"/>
      <c r="Z373" s="649"/>
      <c r="AA373" s="649"/>
      <c r="AB373" s="649"/>
      <c r="AC373" s="649"/>
      <c r="AD373" s="649"/>
      <c r="AE373" s="649"/>
      <c r="AF373" s="649"/>
      <c r="AG373" s="649"/>
      <c r="AH373" s="649"/>
      <c r="AI373" s="649"/>
      <c r="AJ373" s="649"/>
      <c r="AK373" s="649"/>
      <c r="AL373" s="649"/>
      <c r="AM373" s="649"/>
      <c r="AN373" s="649"/>
      <c r="AO373" s="649"/>
      <c r="AP373" s="649"/>
      <c r="AQ373" s="649"/>
      <c r="AR373" s="649"/>
      <c r="AS373" s="649"/>
      <c r="AT373" s="649"/>
      <c r="AU373" s="649"/>
      <c r="AV373" s="649"/>
      <c r="AW373" s="649"/>
      <c r="AX373" s="649"/>
      <c r="AY373" s="649"/>
      <c r="AZ373" s="649"/>
      <c r="BA373" s="649"/>
      <c r="BB373" s="649"/>
      <c r="BC373" s="649"/>
      <c r="BD373" s="649"/>
    </row>
    <row r="374" spans="1:56" s="648" customFormat="1" ht="12" customHeight="1">
      <c r="A374" s="726"/>
      <c r="B374" s="725">
        <v>43335</v>
      </c>
      <c r="C374" s="724" t="s">
        <v>40</v>
      </c>
      <c r="D374" s="723">
        <v>16</v>
      </c>
      <c r="E374" s="723">
        <f t="shared" si="22"/>
        <v>16</v>
      </c>
      <c r="F374" s="723"/>
      <c r="G374" s="723"/>
      <c r="H374" s="723"/>
      <c r="I374" s="723"/>
      <c r="J374" s="723"/>
      <c r="K374" s="723"/>
      <c r="L374" s="723"/>
      <c r="M374" s="723"/>
      <c r="N374" s="723"/>
      <c r="O374" s="743"/>
      <c r="P374" s="743"/>
      <c r="Q374" s="743"/>
      <c r="R374" s="743"/>
      <c r="S374" s="743"/>
      <c r="U374" s="649"/>
      <c r="V374" s="649"/>
      <c r="W374" s="649"/>
      <c r="X374" s="649"/>
      <c r="Y374" s="649"/>
      <c r="Z374" s="649"/>
      <c r="AA374" s="649"/>
      <c r="AB374" s="649"/>
      <c r="AC374" s="649"/>
      <c r="AD374" s="649"/>
      <c r="AE374" s="649"/>
      <c r="AF374" s="649"/>
      <c r="AG374" s="649"/>
      <c r="AH374" s="649"/>
      <c r="AI374" s="649"/>
      <c r="AJ374" s="649"/>
      <c r="AK374" s="649"/>
      <c r="AL374" s="649"/>
      <c r="AM374" s="649"/>
      <c r="AN374" s="649"/>
      <c r="AO374" s="649"/>
      <c r="AP374" s="649"/>
      <c r="AQ374" s="649"/>
      <c r="AR374" s="649"/>
      <c r="AS374" s="649"/>
      <c r="AT374" s="649"/>
      <c r="AU374" s="649"/>
      <c r="AV374" s="649"/>
      <c r="AW374" s="649"/>
      <c r="AX374" s="649"/>
      <c r="AY374" s="649"/>
      <c r="AZ374" s="649"/>
      <c r="BA374" s="649"/>
      <c r="BB374" s="649"/>
      <c r="BC374" s="649"/>
      <c r="BD374" s="649"/>
    </row>
    <row r="375" spans="1:56" s="648" customFormat="1" ht="12" customHeight="1">
      <c r="A375" s="726"/>
      <c r="B375" s="725">
        <v>43335</v>
      </c>
      <c r="C375" s="724" t="s">
        <v>124</v>
      </c>
      <c r="D375" s="723">
        <v>11.95</v>
      </c>
      <c r="E375" s="723">
        <f t="shared" si="22"/>
        <v>0</v>
      </c>
      <c r="F375" s="723"/>
      <c r="G375" s="723"/>
      <c r="H375" s="723">
        <v>11.95</v>
      </c>
      <c r="I375" s="723"/>
      <c r="J375" s="723"/>
      <c r="K375" s="723"/>
      <c r="L375" s="723"/>
      <c r="M375" s="723"/>
      <c r="N375" s="723"/>
      <c r="O375" s="743"/>
      <c r="P375" s="743"/>
      <c r="Q375" s="743"/>
      <c r="R375" s="743"/>
      <c r="S375" s="743"/>
      <c r="U375" s="649"/>
      <c r="V375" s="649"/>
      <c r="W375" s="649"/>
      <c r="X375" s="649"/>
      <c r="Y375" s="649"/>
      <c r="Z375" s="649"/>
      <c r="AA375" s="649"/>
      <c r="AB375" s="649"/>
      <c r="AC375" s="649"/>
      <c r="AD375" s="649"/>
      <c r="AE375" s="649"/>
      <c r="AF375" s="649"/>
      <c r="AG375" s="649"/>
      <c r="AH375" s="649"/>
      <c r="AI375" s="649"/>
      <c r="AJ375" s="649"/>
      <c r="AK375" s="649"/>
      <c r="AL375" s="649"/>
      <c r="AM375" s="649"/>
      <c r="AN375" s="649"/>
      <c r="AO375" s="649"/>
      <c r="AP375" s="649"/>
      <c r="AQ375" s="649"/>
      <c r="AR375" s="649"/>
      <c r="AS375" s="649"/>
      <c r="AT375" s="649"/>
      <c r="AU375" s="649"/>
      <c r="AV375" s="649"/>
      <c r="AW375" s="649"/>
      <c r="AX375" s="649"/>
      <c r="AY375" s="649"/>
      <c r="AZ375" s="649"/>
      <c r="BA375" s="649"/>
      <c r="BB375" s="649"/>
      <c r="BC375" s="649"/>
      <c r="BD375" s="649"/>
    </row>
    <row r="376" spans="1:56" s="648" customFormat="1" ht="12" customHeight="1">
      <c r="A376" s="726"/>
      <c r="B376" s="725">
        <v>43335</v>
      </c>
      <c r="C376" s="724" t="s">
        <v>451</v>
      </c>
      <c r="D376" s="723">
        <v>47.5</v>
      </c>
      <c r="E376" s="723">
        <f t="shared" si="22"/>
        <v>47.5</v>
      </c>
      <c r="F376" s="723"/>
      <c r="G376" s="723"/>
      <c r="H376" s="723"/>
      <c r="I376" s="723"/>
      <c r="J376" s="723"/>
      <c r="K376" s="723"/>
      <c r="L376" s="723"/>
      <c r="M376" s="723"/>
      <c r="N376" s="723"/>
      <c r="O376" s="743"/>
      <c r="P376" s="743"/>
      <c r="Q376" s="743"/>
      <c r="R376" s="743"/>
      <c r="S376" s="743"/>
      <c r="U376" s="649"/>
      <c r="V376" s="649"/>
      <c r="W376" s="649"/>
      <c r="X376" s="649"/>
      <c r="Y376" s="649"/>
      <c r="Z376" s="649"/>
      <c r="AA376" s="649"/>
      <c r="AB376" s="649"/>
      <c r="AC376" s="649"/>
      <c r="AD376" s="649"/>
      <c r="AE376" s="649"/>
      <c r="AF376" s="649"/>
      <c r="AG376" s="649"/>
      <c r="AH376" s="649"/>
      <c r="AI376" s="649"/>
      <c r="AJ376" s="649"/>
      <c r="AK376" s="649"/>
      <c r="AL376" s="649"/>
      <c r="AM376" s="649"/>
      <c r="AN376" s="649"/>
      <c r="AO376" s="649"/>
      <c r="AP376" s="649"/>
      <c r="AQ376" s="649"/>
      <c r="AR376" s="649"/>
      <c r="AS376" s="649"/>
      <c r="AT376" s="649"/>
      <c r="AU376" s="649"/>
      <c r="AV376" s="649"/>
      <c r="AW376" s="649"/>
      <c r="AX376" s="649"/>
      <c r="AY376" s="649"/>
      <c r="AZ376" s="649"/>
      <c r="BA376" s="649"/>
      <c r="BB376" s="649"/>
      <c r="BC376" s="649"/>
      <c r="BD376" s="649"/>
    </row>
    <row r="377" spans="1:56" s="648" customFormat="1" ht="12" customHeight="1">
      <c r="A377" s="726"/>
      <c r="B377" s="725">
        <v>43338</v>
      </c>
      <c r="C377" s="724" t="s">
        <v>38</v>
      </c>
      <c r="D377" s="723">
        <v>52.5</v>
      </c>
      <c r="E377" s="723">
        <f t="shared" si="22"/>
        <v>12.5</v>
      </c>
      <c r="F377" s="723"/>
      <c r="G377" s="723"/>
      <c r="H377" s="723"/>
      <c r="I377" s="723">
        <v>40</v>
      </c>
      <c r="J377" s="723"/>
      <c r="K377" s="723"/>
      <c r="L377" s="723"/>
      <c r="M377" s="723"/>
      <c r="N377" s="723"/>
      <c r="O377" s="743"/>
      <c r="P377" s="743"/>
      <c r="Q377" s="743"/>
      <c r="R377" s="743"/>
      <c r="S377" s="743"/>
      <c r="U377" s="649"/>
      <c r="V377" s="649"/>
      <c r="W377" s="649"/>
      <c r="X377" s="649"/>
      <c r="Y377" s="649"/>
      <c r="Z377" s="649"/>
      <c r="AA377" s="649"/>
      <c r="AB377" s="649"/>
      <c r="AC377" s="649"/>
      <c r="AD377" s="649"/>
      <c r="AE377" s="649"/>
      <c r="AF377" s="649"/>
      <c r="AG377" s="649"/>
      <c r="AH377" s="649"/>
      <c r="AI377" s="649"/>
      <c r="AJ377" s="649"/>
      <c r="AK377" s="649"/>
      <c r="AL377" s="649"/>
      <c r="AM377" s="649"/>
      <c r="AN377" s="649"/>
      <c r="AO377" s="649"/>
      <c r="AP377" s="649"/>
      <c r="AQ377" s="649"/>
      <c r="AR377" s="649"/>
      <c r="AS377" s="649"/>
      <c r="AT377" s="649"/>
      <c r="AU377" s="649"/>
      <c r="AV377" s="649"/>
      <c r="AW377" s="649"/>
      <c r="AX377" s="649"/>
      <c r="AY377" s="649"/>
      <c r="AZ377" s="649"/>
      <c r="BA377" s="649"/>
      <c r="BB377" s="649"/>
      <c r="BC377" s="649"/>
      <c r="BD377" s="649"/>
    </row>
    <row r="378" spans="1:56" s="648" customFormat="1" ht="12" customHeight="1">
      <c r="A378" s="726"/>
      <c r="B378" s="725">
        <v>43339</v>
      </c>
      <c r="C378" s="724" t="s">
        <v>38</v>
      </c>
      <c r="D378" s="723">
        <v>36</v>
      </c>
      <c r="E378" s="723">
        <f t="shared" si="22"/>
        <v>36</v>
      </c>
      <c r="F378" s="723"/>
      <c r="G378" s="723"/>
      <c r="H378" s="723"/>
      <c r="I378" s="723"/>
      <c r="J378" s="723"/>
      <c r="K378" s="723"/>
      <c r="L378" s="723"/>
      <c r="M378" s="723"/>
      <c r="N378" s="723"/>
      <c r="O378" s="743"/>
      <c r="P378" s="743"/>
      <c r="Q378" s="743"/>
      <c r="R378" s="743"/>
      <c r="S378" s="743"/>
      <c r="U378" s="649"/>
      <c r="V378" s="649"/>
      <c r="W378" s="649"/>
      <c r="X378" s="649"/>
      <c r="Y378" s="649"/>
      <c r="Z378" s="649"/>
      <c r="AA378" s="649"/>
      <c r="AB378" s="649"/>
      <c r="AC378" s="649"/>
      <c r="AD378" s="649"/>
      <c r="AE378" s="649"/>
      <c r="AF378" s="649"/>
      <c r="AG378" s="649"/>
      <c r="AH378" s="649"/>
      <c r="AI378" s="649"/>
      <c r="AJ378" s="649"/>
      <c r="AK378" s="649"/>
      <c r="AL378" s="649"/>
      <c r="AM378" s="649"/>
      <c r="AN378" s="649"/>
      <c r="AO378" s="649"/>
      <c r="AP378" s="649"/>
      <c r="AQ378" s="649"/>
      <c r="AR378" s="649"/>
      <c r="AS378" s="649"/>
      <c r="AT378" s="649"/>
      <c r="AU378" s="649"/>
      <c r="AV378" s="649"/>
      <c r="AW378" s="649"/>
      <c r="AX378" s="649"/>
      <c r="AY378" s="649"/>
      <c r="AZ378" s="649"/>
      <c r="BA378" s="649"/>
      <c r="BB378" s="649"/>
      <c r="BC378" s="649"/>
      <c r="BD378" s="649"/>
    </row>
    <row r="379" spans="1:56" s="648" customFormat="1" ht="12" customHeight="1">
      <c r="A379" s="726"/>
      <c r="B379" s="725">
        <v>43341</v>
      </c>
      <c r="C379" s="724" t="s">
        <v>451</v>
      </c>
      <c r="D379" s="723">
        <v>40</v>
      </c>
      <c r="E379" s="723">
        <f t="shared" si="22"/>
        <v>40</v>
      </c>
      <c r="F379" s="723"/>
      <c r="G379" s="723"/>
      <c r="H379" s="723"/>
      <c r="I379" s="723"/>
      <c r="J379" s="723"/>
      <c r="K379" s="723"/>
      <c r="L379" s="723"/>
      <c r="M379" s="723"/>
      <c r="N379" s="723"/>
      <c r="O379" s="743"/>
      <c r="P379" s="743"/>
      <c r="Q379" s="743"/>
      <c r="R379" s="743"/>
      <c r="S379" s="743"/>
      <c r="U379" s="649"/>
      <c r="V379" s="649"/>
      <c r="W379" s="649"/>
      <c r="X379" s="649"/>
      <c r="Y379" s="649"/>
      <c r="Z379" s="649"/>
      <c r="AA379" s="649"/>
      <c r="AB379" s="649"/>
      <c r="AC379" s="649"/>
      <c r="AD379" s="649"/>
      <c r="AE379" s="649"/>
      <c r="AF379" s="649"/>
      <c r="AG379" s="649"/>
      <c r="AH379" s="649"/>
      <c r="AI379" s="649"/>
      <c r="AJ379" s="649"/>
      <c r="AK379" s="649"/>
      <c r="AL379" s="649"/>
      <c r="AM379" s="649"/>
      <c r="AN379" s="649"/>
      <c r="AO379" s="649"/>
      <c r="AP379" s="649"/>
      <c r="AQ379" s="649"/>
      <c r="AR379" s="649"/>
      <c r="AS379" s="649"/>
      <c r="AT379" s="649"/>
      <c r="AU379" s="649"/>
      <c r="AV379" s="649"/>
      <c r="AW379" s="649"/>
      <c r="AX379" s="649"/>
      <c r="AY379" s="649"/>
      <c r="AZ379" s="649"/>
      <c r="BA379" s="649"/>
      <c r="BB379" s="649"/>
      <c r="BC379" s="649"/>
      <c r="BD379" s="649"/>
    </row>
    <row r="380" spans="1:56" s="648" customFormat="1" ht="12" customHeight="1">
      <c r="A380" s="726"/>
      <c r="B380" s="725">
        <v>43341</v>
      </c>
      <c r="C380" s="724" t="s">
        <v>39</v>
      </c>
      <c r="D380" s="723">
        <v>67.180000000000007</v>
      </c>
      <c r="E380" s="723">
        <f t="shared" si="22"/>
        <v>67.180000000000007</v>
      </c>
      <c r="F380" s="723"/>
      <c r="G380" s="723"/>
      <c r="H380" s="723"/>
      <c r="I380" s="723"/>
      <c r="J380" s="723"/>
      <c r="K380" s="723"/>
      <c r="L380" s="723"/>
      <c r="M380" s="723"/>
      <c r="N380" s="723"/>
      <c r="O380" s="743"/>
      <c r="P380" s="743"/>
      <c r="Q380" s="743"/>
      <c r="R380" s="743"/>
      <c r="S380" s="743"/>
      <c r="U380" s="649"/>
      <c r="V380" s="649"/>
      <c r="W380" s="649"/>
      <c r="X380" s="649"/>
      <c r="Y380" s="649"/>
      <c r="Z380" s="649"/>
      <c r="AA380" s="649"/>
      <c r="AB380" s="649"/>
      <c r="AC380" s="649"/>
      <c r="AD380" s="649"/>
      <c r="AE380" s="649"/>
      <c r="AF380" s="649"/>
      <c r="AG380" s="649"/>
      <c r="AH380" s="649"/>
      <c r="AI380" s="649"/>
      <c r="AJ380" s="649"/>
      <c r="AK380" s="649"/>
      <c r="AL380" s="649"/>
      <c r="AM380" s="649"/>
      <c r="AN380" s="649"/>
      <c r="AO380" s="649"/>
      <c r="AP380" s="649"/>
      <c r="AQ380" s="649"/>
      <c r="AR380" s="649"/>
      <c r="AS380" s="649"/>
      <c r="AT380" s="649"/>
      <c r="AU380" s="649"/>
      <c r="AV380" s="649"/>
      <c r="AW380" s="649"/>
      <c r="AX380" s="649"/>
      <c r="AY380" s="649"/>
      <c r="AZ380" s="649"/>
      <c r="BA380" s="649"/>
      <c r="BB380" s="649"/>
      <c r="BC380" s="649"/>
      <c r="BD380" s="649"/>
    </row>
    <row r="381" spans="1:56" s="648" customFormat="1" ht="12" customHeight="1">
      <c r="A381" s="726"/>
      <c r="B381" s="725">
        <v>43341</v>
      </c>
      <c r="C381" s="724" t="s">
        <v>38</v>
      </c>
      <c r="D381" s="723">
        <v>92</v>
      </c>
      <c r="E381" s="723">
        <f t="shared" si="22"/>
        <v>12</v>
      </c>
      <c r="F381" s="723"/>
      <c r="G381" s="723"/>
      <c r="H381" s="723"/>
      <c r="I381" s="723">
        <v>80</v>
      </c>
      <c r="J381" s="723"/>
      <c r="K381" s="723"/>
      <c r="L381" s="723"/>
      <c r="M381" s="723"/>
      <c r="N381" s="723"/>
      <c r="O381" s="743"/>
      <c r="P381" s="743"/>
      <c r="Q381" s="743"/>
      <c r="R381" s="743"/>
      <c r="S381" s="743"/>
      <c r="U381" s="649"/>
      <c r="V381" s="649"/>
      <c r="W381" s="649"/>
      <c r="X381" s="649"/>
      <c r="Y381" s="649"/>
      <c r="Z381" s="649"/>
      <c r="AA381" s="649"/>
      <c r="AB381" s="649"/>
      <c r="AC381" s="649"/>
      <c r="AD381" s="649"/>
      <c r="AE381" s="649"/>
      <c r="AF381" s="649"/>
      <c r="AG381" s="649"/>
      <c r="AH381" s="649"/>
      <c r="AI381" s="649"/>
      <c r="AJ381" s="649"/>
      <c r="AK381" s="649"/>
      <c r="AL381" s="649"/>
      <c r="AM381" s="649"/>
      <c r="AN381" s="649"/>
      <c r="AO381" s="649"/>
      <c r="AP381" s="649"/>
      <c r="AQ381" s="649"/>
      <c r="AR381" s="649"/>
      <c r="AS381" s="649"/>
      <c r="AT381" s="649"/>
      <c r="AU381" s="649"/>
      <c r="AV381" s="649"/>
      <c r="AW381" s="649"/>
      <c r="AX381" s="649"/>
      <c r="AY381" s="649"/>
      <c r="AZ381" s="649"/>
      <c r="BA381" s="649"/>
      <c r="BB381" s="649"/>
      <c r="BC381" s="649"/>
      <c r="BD381" s="649"/>
    </row>
    <row r="382" spans="1:56" s="648" customFormat="1" ht="12" customHeight="1">
      <c r="A382" s="726"/>
      <c r="B382" s="725">
        <v>43342</v>
      </c>
      <c r="C382" s="724" t="s">
        <v>38</v>
      </c>
      <c r="D382" s="723">
        <v>80</v>
      </c>
      <c r="E382" s="723">
        <f t="shared" si="22"/>
        <v>0</v>
      </c>
      <c r="F382" s="723"/>
      <c r="G382" s="723"/>
      <c r="H382" s="723"/>
      <c r="I382" s="723">
        <v>80</v>
      </c>
      <c r="J382" s="723"/>
      <c r="K382" s="723"/>
      <c r="L382" s="723"/>
      <c r="M382" s="723"/>
      <c r="N382" s="723"/>
      <c r="O382" s="743"/>
      <c r="P382" s="743"/>
      <c r="Q382" s="743"/>
      <c r="R382" s="743"/>
      <c r="S382" s="743"/>
      <c r="U382" s="649"/>
      <c r="V382" s="649"/>
      <c r="W382" s="649"/>
      <c r="X382" s="649"/>
      <c r="Y382" s="649"/>
      <c r="Z382" s="649"/>
      <c r="AA382" s="649"/>
      <c r="AB382" s="649"/>
      <c r="AC382" s="649"/>
      <c r="AD382" s="649"/>
      <c r="AE382" s="649"/>
      <c r="AF382" s="649"/>
      <c r="AG382" s="649"/>
      <c r="AH382" s="649"/>
      <c r="AI382" s="649"/>
      <c r="AJ382" s="649"/>
      <c r="AK382" s="649"/>
      <c r="AL382" s="649"/>
      <c r="AM382" s="649"/>
      <c r="AN382" s="649"/>
      <c r="AO382" s="649"/>
      <c r="AP382" s="649"/>
      <c r="AQ382" s="649"/>
      <c r="AR382" s="649"/>
      <c r="AS382" s="649"/>
      <c r="AT382" s="649"/>
      <c r="AU382" s="649"/>
      <c r="AV382" s="649"/>
      <c r="AW382" s="649"/>
      <c r="AX382" s="649"/>
      <c r="AY382" s="649"/>
      <c r="AZ382" s="649"/>
      <c r="BA382" s="649"/>
      <c r="BB382" s="649"/>
      <c r="BC382" s="649"/>
      <c r="BD382" s="649"/>
    </row>
    <row r="383" spans="1:56" s="648" customFormat="1" ht="12" customHeight="1">
      <c r="A383" s="726"/>
      <c r="B383" s="725">
        <v>43342</v>
      </c>
      <c r="C383" s="724" t="s">
        <v>40</v>
      </c>
      <c r="D383" s="723">
        <v>106</v>
      </c>
      <c r="E383" s="723">
        <f t="shared" si="22"/>
        <v>66</v>
      </c>
      <c r="F383" s="723"/>
      <c r="G383" s="723"/>
      <c r="H383" s="723"/>
      <c r="I383" s="723">
        <v>40</v>
      </c>
      <c r="J383" s="723"/>
      <c r="K383" s="723"/>
      <c r="L383" s="723"/>
      <c r="M383" s="723"/>
      <c r="N383" s="723"/>
      <c r="O383" s="743"/>
      <c r="P383" s="743"/>
      <c r="Q383" s="743"/>
      <c r="R383" s="743"/>
      <c r="S383" s="743"/>
      <c r="U383" s="649"/>
      <c r="V383" s="649"/>
      <c r="W383" s="649"/>
      <c r="X383" s="649"/>
      <c r="Y383" s="649"/>
      <c r="Z383" s="649"/>
      <c r="AA383" s="649"/>
      <c r="AB383" s="649"/>
      <c r="AC383" s="649"/>
      <c r="AD383" s="649"/>
      <c r="AE383" s="649"/>
      <c r="AF383" s="649"/>
      <c r="AG383" s="649"/>
      <c r="AH383" s="649"/>
      <c r="AI383" s="649"/>
      <c r="AJ383" s="649"/>
      <c r="AK383" s="649"/>
      <c r="AL383" s="649"/>
      <c r="AM383" s="649"/>
      <c r="AN383" s="649"/>
      <c r="AO383" s="649"/>
      <c r="AP383" s="649"/>
      <c r="AQ383" s="649"/>
      <c r="AR383" s="649"/>
      <c r="AS383" s="649"/>
      <c r="AT383" s="649"/>
      <c r="AU383" s="649"/>
      <c r="AV383" s="649"/>
      <c r="AW383" s="649"/>
      <c r="AX383" s="649"/>
      <c r="AY383" s="649"/>
      <c r="AZ383" s="649"/>
      <c r="BA383" s="649"/>
      <c r="BB383" s="649"/>
      <c r="BC383" s="649"/>
      <c r="BD383" s="649"/>
    </row>
    <row r="384" spans="1:56" s="648" customFormat="1" ht="12" customHeight="1">
      <c r="A384" s="726"/>
      <c r="B384" s="725">
        <v>43343</v>
      </c>
      <c r="C384" s="724" t="s">
        <v>39</v>
      </c>
      <c r="D384" s="723">
        <v>74.95</v>
      </c>
      <c r="E384" s="723">
        <f t="shared" si="22"/>
        <v>74.95</v>
      </c>
      <c r="F384" s="723"/>
      <c r="G384" s="723"/>
      <c r="H384" s="723"/>
      <c r="I384" s="723"/>
      <c r="J384" s="723"/>
      <c r="K384" s="723"/>
      <c r="L384" s="723"/>
      <c r="M384" s="723"/>
      <c r="N384" s="723"/>
      <c r="O384" s="743"/>
      <c r="P384" s="743"/>
      <c r="Q384" s="743"/>
      <c r="R384" s="743"/>
      <c r="S384" s="743"/>
      <c r="U384" s="649"/>
      <c r="V384" s="649"/>
      <c r="W384" s="649"/>
      <c r="X384" s="649"/>
      <c r="Y384" s="649"/>
      <c r="Z384" s="649"/>
      <c r="AA384" s="649"/>
      <c r="AB384" s="649"/>
      <c r="AC384" s="649"/>
      <c r="AD384" s="649"/>
      <c r="AE384" s="649"/>
      <c r="AF384" s="649"/>
      <c r="AG384" s="649"/>
      <c r="AH384" s="649"/>
      <c r="AI384" s="649"/>
      <c r="AJ384" s="649"/>
      <c r="AK384" s="649"/>
      <c r="AL384" s="649"/>
      <c r="AM384" s="649"/>
      <c r="AN384" s="649"/>
      <c r="AO384" s="649"/>
      <c r="AP384" s="649"/>
      <c r="AQ384" s="649"/>
      <c r="AR384" s="649"/>
      <c r="AS384" s="649"/>
      <c r="AT384" s="649"/>
      <c r="AU384" s="649"/>
      <c r="AV384" s="649"/>
      <c r="AW384" s="649"/>
      <c r="AX384" s="649"/>
      <c r="AY384" s="649"/>
      <c r="AZ384" s="649"/>
      <c r="BA384" s="649"/>
      <c r="BB384" s="649"/>
      <c r="BC384" s="649"/>
      <c r="BD384" s="649"/>
    </row>
    <row r="385" spans="1:56" s="744" customFormat="1" ht="12" customHeight="1">
      <c r="A385" s="749"/>
      <c r="B385" s="748" t="str">
        <f>K1</f>
        <v>september</v>
      </c>
      <c r="C385" s="747"/>
      <c r="D385" s="746">
        <f t="shared" ref="D385:S385" si="23">SUM(D386:D423)</f>
        <v>3639.79</v>
      </c>
      <c r="E385" s="746">
        <f t="shared" si="23"/>
        <v>1822.6399999999999</v>
      </c>
      <c r="F385" s="746">
        <f t="shared" si="23"/>
        <v>147.94999999999999</v>
      </c>
      <c r="G385" s="746">
        <f t="shared" si="23"/>
        <v>741</v>
      </c>
      <c r="H385" s="746">
        <f t="shared" si="23"/>
        <v>831.15</v>
      </c>
      <c r="I385" s="746">
        <f t="shared" si="23"/>
        <v>245</v>
      </c>
      <c r="J385" s="746">
        <f t="shared" si="23"/>
        <v>0</v>
      </c>
      <c r="K385" s="746">
        <f t="shared" si="23"/>
        <v>0</v>
      </c>
      <c r="L385" s="746">
        <f t="shared" si="23"/>
        <v>0</v>
      </c>
      <c r="M385" s="746">
        <f t="shared" si="23"/>
        <v>0</v>
      </c>
      <c r="N385" s="746">
        <f t="shared" si="23"/>
        <v>0</v>
      </c>
      <c r="O385" s="745">
        <f t="shared" si="23"/>
        <v>0</v>
      </c>
      <c r="P385" s="745">
        <f t="shared" si="23"/>
        <v>0</v>
      </c>
      <c r="Q385" s="745">
        <f t="shared" si="23"/>
        <v>0</v>
      </c>
      <c r="R385" s="745">
        <f t="shared" si="23"/>
        <v>0</v>
      </c>
      <c r="S385" s="745">
        <f t="shared" si="23"/>
        <v>0</v>
      </c>
    </row>
    <row r="386" spans="1:56" s="648" customFormat="1" ht="12" customHeight="1">
      <c r="A386" s="726"/>
      <c r="B386" s="725">
        <v>43343</v>
      </c>
      <c r="C386" s="724" t="s">
        <v>38</v>
      </c>
      <c r="D386" s="723">
        <v>462.5</v>
      </c>
      <c r="E386" s="723">
        <f t="shared" ref="E386:E423" si="24">D386-G386-H386-I386</f>
        <v>-7.5</v>
      </c>
      <c r="F386" s="723"/>
      <c r="G386" s="723">
        <v>390</v>
      </c>
      <c r="H386" s="723"/>
      <c r="I386" s="723">
        <v>80</v>
      </c>
      <c r="J386" s="723"/>
      <c r="K386" s="723"/>
      <c r="L386" s="723"/>
      <c r="M386" s="723"/>
      <c r="N386" s="723"/>
      <c r="O386" s="743"/>
      <c r="P386" s="743"/>
      <c r="Q386" s="743"/>
      <c r="R386" s="743"/>
      <c r="S386" s="743"/>
      <c r="U386" s="649"/>
      <c r="V386" s="649"/>
      <c r="W386" s="649"/>
      <c r="X386" s="649"/>
      <c r="Y386" s="649"/>
      <c r="Z386" s="649"/>
      <c r="AA386" s="649"/>
      <c r="AB386" s="649"/>
      <c r="AC386" s="649"/>
      <c r="AD386" s="649"/>
      <c r="AE386" s="649"/>
      <c r="AF386" s="649"/>
      <c r="AG386" s="649"/>
      <c r="AH386" s="649"/>
      <c r="AI386" s="649"/>
      <c r="AJ386" s="649"/>
      <c r="AK386" s="649"/>
      <c r="AL386" s="649"/>
      <c r="AM386" s="649"/>
      <c r="AN386" s="649"/>
      <c r="AO386" s="649"/>
      <c r="AP386" s="649"/>
      <c r="AQ386" s="649"/>
      <c r="AR386" s="649"/>
      <c r="AS386" s="649"/>
      <c r="AT386" s="649"/>
      <c r="AU386" s="649"/>
      <c r="AV386" s="649"/>
      <c r="AW386" s="649"/>
      <c r="AX386" s="649"/>
      <c r="AY386" s="649"/>
      <c r="AZ386" s="649"/>
      <c r="BA386" s="649"/>
      <c r="BB386" s="649"/>
      <c r="BC386" s="649"/>
      <c r="BD386" s="649"/>
    </row>
    <row r="387" spans="1:56" s="648" customFormat="1" ht="12" customHeight="1">
      <c r="A387" s="726"/>
      <c r="B387" s="725">
        <v>43344</v>
      </c>
      <c r="C387" s="724" t="s">
        <v>40</v>
      </c>
      <c r="D387" s="723">
        <v>70</v>
      </c>
      <c r="E387" s="723">
        <f t="shared" si="24"/>
        <v>70</v>
      </c>
      <c r="F387" s="723"/>
      <c r="G387" s="723"/>
      <c r="H387" s="723"/>
      <c r="I387" s="723"/>
      <c r="J387" s="723"/>
      <c r="K387" s="723"/>
      <c r="L387" s="723"/>
      <c r="M387" s="723"/>
      <c r="N387" s="723"/>
      <c r="O387" s="743"/>
      <c r="P387" s="743"/>
      <c r="Q387" s="743"/>
      <c r="R387" s="743"/>
      <c r="S387" s="743"/>
      <c r="U387" s="649"/>
      <c r="V387" s="649"/>
      <c r="W387" s="649"/>
      <c r="X387" s="649"/>
      <c r="Y387" s="649"/>
      <c r="Z387" s="649"/>
      <c r="AA387" s="649"/>
      <c r="AB387" s="649"/>
      <c r="AC387" s="649"/>
      <c r="AD387" s="649"/>
      <c r="AE387" s="649"/>
      <c r="AF387" s="649"/>
      <c r="AG387" s="649"/>
      <c r="AH387" s="649"/>
      <c r="AI387" s="649"/>
      <c r="AJ387" s="649"/>
      <c r="AK387" s="649"/>
      <c r="AL387" s="649"/>
      <c r="AM387" s="649"/>
      <c r="AN387" s="649"/>
      <c r="AO387" s="649"/>
      <c r="AP387" s="649"/>
      <c r="AQ387" s="649"/>
      <c r="AR387" s="649"/>
      <c r="AS387" s="649"/>
      <c r="AT387" s="649"/>
      <c r="AU387" s="649"/>
      <c r="AV387" s="649"/>
      <c r="AW387" s="649"/>
      <c r="AX387" s="649"/>
      <c r="AY387" s="649"/>
      <c r="AZ387" s="649"/>
      <c r="BA387" s="649"/>
      <c r="BB387" s="649"/>
      <c r="BC387" s="649"/>
      <c r="BD387" s="649"/>
    </row>
    <row r="388" spans="1:56" s="648" customFormat="1" ht="12" customHeight="1">
      <c r="A388" s="726"/>
      <c r="B388" s="725">
        <v>43346</v>
      </c>
      <c r="C388" s="724" t="s">
        <v>39</v>
      </c>
      <c r="D388" s="723">
        <v>82.04</v>
      </c>
      <c r="E388" s="723">
        <f t="shared" si="24"/>
        <v>72.040000000000006</v>
      </c>
      <c r="F388" s="723"/>
      <c r="G388" s="723"/>
      <c r="H388" s="723"/>
      <c r="I388" s="723">
        <v>10</v>
      </c>
      <c r="J388" s="723"/>
      <c r="K388" s="723"/>
      <c r="L388" s="723"/>
      <c r="M388" s="723"/>
      <c r="N388" s="723"/>
      <c r="O388" s="743"/>
      <c r="P388" s="743"/>
      <c r="Q388" s="743"/>
      <c r="R388" s="743"/>
      <c r="S388" s="743"/>
      <c r="U388" s="649"/>
      <c r="V388" s="649"/>
      <c r="W388" s="649"/>
      <c r="X388" s="649"/>
      <c r="Y388" s="649"/>
      <c r="Z388" s="649"/>
      <c r="AA388" s="649"/>
      <c r="AB388" s="649"/>
      <c r="AC388" s="649"/>
      <c r="AD388" s="649"/>
      <c r="AE388" s="649"/>
      <c r="AF388" s="649"/>
      <c r="AG388" s="649"/>
      <c r="AH388" s="649"/>
      <c r="AI388" s="649"/>
      <c r="AJ388" s="649"/>
      <c r="AK388" s="649"/>
      <c r="AL388" s="649"/>
      <c r="AM388" s="649"/>
      <c r="AN388" s="649"/>
      <c r="AO388" s="649"/>
      <c r="AP388" s="649"/>
      <c r="AQ388" s="649"/>
      <c r="AR388" s="649"/>
      <c r="AS388" s="649"/>
      <c r="AT388" s="649"/>
      <c r="AU388" s="649"/>
      <c r="AV388" s="649"/>
      <c r="AW388" s="649"/>
      <c r="AX388" s="649"/>
      <c r="AY388" s="649"/>
      <c r="AZ388" s="649"/>
      <c r="BA388" s="649"/>
      <c r="BB388" s="649"/>
      <c r="BC388" s="649"/>
      <c r="BD388" s="649"/>
    </row>
    <row r="389" spans="1:56" s="648" customFormat="1" ht="12" customHeight="1">
      <c r="A389" s="726"/>
      <c r="B389" s="725">
        <v>43346</v>
      </c>
      <c r="C389" s="724" t="s">
        <v>41</v>
      </c>
      <c r="D389" s="723">
        <v>90</v>
      </c>
      <c r="E389" s="723">
        <f t="shared" si="24"/>
        <v>50</v>
      </c>
      <c r="F389" s="723"/>
      <c r="G389" s="723"/>
      <c r="H389" s="723"/>
      <c r="I389" s="723">
        <v>40</v>
      </c>
      <c r="J389" s="723"/>
      <c r="K389" s="723"/>
      <c r="L389" s="723"/>
      <c r="M389" s="723"/>
      <c r="N389" s="723"/>
      <c r="O389" s="743"/>
      <c r="P389" s="743"/>
      <c r="Q389" s="743"/>
      <c r="R389" s="743"/>
      <c r="S389" s="743"/>
      <c r="U389" s="649"/>
      <c r="V389" s="649"/>
      <c r="W389" s="649"/>
      <c r="X389" s="649"/>
      <c r="Y389" s="649"/>
      <c r="Z389" s="649"/>
      <c r="AA389" s="649"/>
      <c r="AB389" s="649"/>
      <c r="AC389" s="649"/>
      <c r="AD389" s="649"/>
      <c r="AE389" s="649"/>
      <c r="AF389" s="649"/>
      <c r="AG389" s="649"/>
      <c r="AH389" s="649"/>
      <c r="AI389" s="649"/>
      <c r="AJ389" s="649"/>
      <c r="AK389" s="649"/>
      <c r="AL389" s="649"/>
      <c r="AM389" s="649"/>
      <c r="AN389" s="649"/>
      <c r="AO389" s="649"/>
      <c r="AP389" s="649"/>
      <c r="AQ389" s="649"/>
      <c r="AR389" s="649"/>
      <c r="AS389" s="649"/>
      <c r="AT389" s="649"/>
      <c r="AU389" s="649"/>
      <c r="AV389" s="649"/>
      <c r="AW389" s="649"/>
      <c r="AX389" s="649"/>
      <c r="AY389" s="649"/>
      <c r="AZ389" s="649"/>
      <c r="BA389" s="649"/>
      <c r="BB389" s="649"/>
      <c r="BC389" s="649"/>
      <c r="BD389" s="649"/>
    </row>
    <row r="390" spans="1:56" s="648" customFormat="1" ht="12" customHeight="1">
      <c r="A390" s="726"/>
      <c r="B390" s="725">
        <v>43347</v>
      </c>
      <c r="C390" s="724" t="s">
        <v>39</v>
      </c>
      <c r="D390" s="723">
        <v>30</v>
      </c>
      <c r="E390" s="723">
        <f t="shared" si="24"/>
        <v>30</v>
      </c>
      <c r="F390" s="723"/>
      <c r="G390" s="723"/>
      <c r="H390" s="723"/>
      <c r="I390" s="723"/>
      <c r="J390" s="723"/>
      <c r="K390" s="723"/>
      <c r="L390" s="723"/>
      <c r="M390" s="723"/>
      <c r="N390" s="723"/>
      <c r="O390" s="743"/>
      <c r="P390" s="743"/>
      <c r="Q390" s="743"/>
      <c r="R390" s="743"/>
      <c r="S390" s="743"/>
      <c r="U390" s="649"/>
      <c r="V390" s="649"/>
      <c r="W390" s="649"/>
      <c r="X390" s="649"/>
      <c r="Y390" s="649"/>
      <c r="Z390" s="649"/>
      <c r="AA390" s="649"/>
      <c r="AB390" s="649"/>
      <c r="AC390" s="649"/>
      <c r="AD390" s="649"/>
      <c r="AE390" s="649"/>
      <c r="AF390" s="649"/>
      <c r="AG390" s="649"/>
      <c r="AH390" s="649"/>
      <c r="AI390" s="649"/>
      <c r="AJ390" s="649"/>
      <c r="AK390" s="649"/>
      <c r="AL390" s="649"/>
      <c r="AM390" s="649"/>
      <c r="AN390" s="649"/>
      <c r="AO390" s="649"/>
      <c r="AP390" s="649"/>
      <c r="AQ390" s="649"/>
      <c r="AR390" s="649"/>
      <c r="AS390" s="649"/>
      <c r="AT390" s="649"/>
      <c r="AU390" s="649"/>
      <c r="AV390" s="649"/>
      <c r="AW390" s="649"/>
      <c r="AX390" s="649"/>
      <c r="AY390" s="649"/>
      <c r="AZ390" s="649"/>
      <c r="BA390" s="649"/>
      <c r="BB390" s="649"/>
      <c r="BC390" s="649"/>
      <c r="BD390" s="649"/>
    </row>
    <row r="391" spans="1:56" s="648" customFormat="1" ht="12" customHeight="1">
      <c r="A391" s="726"/>
      <c r="B391" s="725">
        <v>43349</v>
      </c>
      <c r="C391" s="724" t="s">
        <v>451</v>
      </c>
      <c r="D391" s="723">
        <v>91</v>
      </c>
      <c r="E391" s="723">
        <f t="shared" si="24"/>
        <v>91</v>
      </c>
      <c r="F391" s="723"/>
      <c r="G391" s="723"/>
      <c r="H391" s="723"/>
      <c r="I391" s="723"/>
      <c r="J391" s="723"/>
      <c r="K391" s="723"/>
      <c r="L391" s="723"/>
      <c r="M391" s="723"/>
      <c r="N391" s="723"/>
      <c r="O391" s="743"/>
      <c r="P391" s="743"/>
      <c r="Q391" s="743"/>
      <c r="R391" s="743"/>
      <c r="S391" s="743"/>
      <c r="U391" s="649"/>
      <c r="V391" s="649"/>
      <c r="W391" s="649"/>
      <c r="X391" s="649"/>
      <c r="Y391" s="649"/>
      <c r="Z391" s="649"/>
      <c r="AA391" s="649"/>
      <c r="AB391" s="649"/>
      <c r="AC391" s="649"/>
      <c r="AD391" s="649"/>
      <c r="AE391" s="649"/>
      <c r="AF391" s="649"/>
      <c r="AG391" s="649"/>
      <c r="AH391" s="649"/>
      <c r="AI391" s="649"/>
      <c r="AJ391" s="649"/>
      <c r="AK391" s="649"/>
      <c r="AL391" s="649"/>
      <c r="AM391" s="649"/>
      <c r="AN391" s="649"/>
      <c r="AO391" s="649"/>
      <c r="AP391" s="649"/>
      <c r="AQ391" s="649"/>
      <c r="AR391" s="649"/>
      <c r="AS391" s="649"/>
      <c r="AT391" s="649"/>
      <c r="AU391" s="649"/>
      <c r="AV391" s="649"/>
      <c r="AW391" s="649"/>
      <c r="AX391" s="649"/>
      <c r="AY391" s="649"/>
      <c r="AZ391" s="649"/>
      <c r="BA391" s="649"/>
      <c r="BB391" s="649"/>
      <c r="BC391" s="649"/>
      <c r="BD391" s="649"/>
    </row>
    <row r="392" spans="1:56" s="648" customFormat="1" ht="12" customHeight="1">
      <c r="A392" s="726"/>
      <c r="B392" s="725">
        <v>43349</v>
      </c>
      <c r="C392" s="724" t="s">
        <v>39</v>
      </c>
      <c r="D392" s="723">
        <v>67</v>
      </c>
      <c r="E392" s="723">
        <f t="shared" si="24"/>
        <v>67</v>
      </c>
      <c r="F392" s="723"/>
      <c r="G392" s="723"/>
      <c r="H392" s="723"/>
      <c r="I392" s="723"/>
      <c r="J392" s="723"/>
      <c r="K392" s="723"/>
      <c r="L392" s="723"/>
      <c r="M392" s="723"/>
      <c r="N392" s="723"/>
      <c r="O392" s="743"/>
      <c r="P392" s="743"/>
      <c r="Q392" s="743"/>
      <c r="R392" s="743"/>
      <c r="S392" s="743"/>
      <c r="U392" s="649"/>
      <c r="V392" s="649"/>
      <c r="W392" s="649"/>
      <c r="X392" s="649"/>
      <c r="Y392" s="649"/>
      <c r="Z392" s="649"/>
      <c r="AA392" s="649"/>
      <c r="AB392" s="649"/>
      <c r="AC392" s="649"/>
      <c r="AD392" s="649"/>
      <c r="AE392" s="649"/>
      <c r="AF392" s="649"/>
      <c r="AG392" s="649"/>
      <c r="AH392" s="649"/>
      <c r="AI392" s="649"/>
      <c r="AJ392" s="649"/>
      <c r="AK392" s="649"/>
      <c r="AL392" s="649"/>
      <c r="AM392" s="649"/>
      <c r="AN392" s="649"/>
      <c r="AO392" s="649"/>
      <c r="AP392" s="649"/>
      <c r="AQ392" s="649"/>
      <c r="AR392" s="649"/>
      <c r="AS392" s="649"/>
      <c r="AT392" s="649"/>
      <c r="AU392" s="649"/>
      <c r="AV392" s="649"/>
      <c r="AW392" s="649"/>
      <c r="AX392" s="649"/>
      <c r="AY392" s="649"/>
      <c r="AZ392" s="649"/>
      <c r="BA392" s="649"/>
      <c r="BB392" s="649"/>
      <c r="BC392" s="649"/>
      <c r="BD392" s="649"/>
    </row>
    <row r="393" spans="1:56" s="648" customFormat="1" ht="12" customHeight="1">
      <c r="A393" s="726"/>
      <c r="B393" s="725">
        <v>43350</v>
      </c>
      <c r="C393" s="724" t="s">
        <v>40</v>
      </c>
      <c r="D393" s="723">
        <v>8.5</v>
      </c>
      <c r="E393" s="723">
        <f t="shared" si="24"/>
        <v>8.5</v>
      </c>
      <c r="F393" s="723"/>
      <c r="G393" s="723"/>
      <c r="H393" s="723"/>
      <c r="I393" s="723"/>
      <c r="J393" s="723"/>
      <c r="K393" s="723"/>
      <c r="L393" s="723"/>
      <c r="M393" s="723"/>
      <c r="N393" s="723"/>
      <c r="O393" s="743"/>
      <c r="P393" s="743"/>
      <c r="Q393" s="743"/>
      <c r="R393" s="743"/>
      <c r="S393" s="743"/>
      <c r="U393" s="649"/>
      <c r="V393" s="649"/>
      <c r="W393" s="649"/>
      <c r="X393" s="649"/>
      <c r="Y393" s="649"/>
      <c r="Z393" s="649"/>
      <c r="AA393" s="649"/>
      <c r="AB393" s="649"/>
      <c r="AC393" s="649"/>
      <c r="AD393" s="649"/>
      <c r="AE393" s="649"/>
      <c r="AF393" s="649"/>
      <c r="AG393" s="649"/>
      <c r="AH393" s="649"/>
      <c r="AI393" s="649"/>
      <c r="AJ393" s="649"/>
      <c r="AK393" s="649"/>
      <c r="AL393" s="649"/>
      <c r="AM393" s="649"/>
      <c r="AN393" s="649"/>
      <c r="AO393" s="649"/>
      <c r="AP393" s="649"/>
      <c r="AQ393" s="649"/>
      <c r="AR393" s="649"/>
      <c r="AS393" s="649"/>
      <c r="AT393" s="649"/>
      <c r="AU393" s="649"/>
      <c r="AV393" s="649"/>
      <c r="AW393" s="649"/>
      <c r="AX393" s="649"/>
      <c r="AY393" s="649"/>
      <c r="AZ393" s="649"/>
      <c r="BA393" s="649"/>
      <c r="BB393" s="649"/>
      <c r="BC393" s="649"/>
      <c r="BD393" s="649"/>
    </row>
    <row r="394" spans="1:56" s="648" customFormat="1" ht="12" customHeight="1">
      <c r="A394" s="726"/>
      <c r="B394" s="725">
        <v>43353</v>
      </c>
      <c r="C394" s="724" t="s">
        <v>451</v>
      </c>
      <c r="D394" s="723">
        <v>84.65</v>
      </c>
      <c r="E394" s="723">
        <f t="shared" si="24"/>
        <v>84.65</v>
      </c>
      <c r="F394" s="723">
        <v>22.95</v>
      </c>
      <c r="G394" s="723"/>
      <c r="H394" s="723"/>
      <c r="I394" s="723"/>
      <c r="J394" s="723"/>
      <c r="K394" s="723"/>
      <c r="L394" s="723"/>
      <c r="M394" s="723"/>
      <c r="N394" s="723"/>
      <c r="O394" s="743"/>
      <c r="P394" s="743"/>
      <c r="Q394" s="743"/>
      <c r="R394" s="743"/>
      <c r="S394" s="743"/>
      <c r="U394" s="649"/>
      <c r="V394" s="649"/>
      <c r="W394" s="649"/>
      <c r="X394" s="649"/>
      <c r="Y394" s="649"/>
      <c r="Z394" s="649"/>
      <c r="AA394" s="649"/>
      <c r="AB394" s="649"/>
      <c r="AC394" s="649"/>
      <c r="AD394" s="649"/>
      <c r="AE394" s="649"/>
      <c r="AF394" s="649"/>
      <c r="AG394" s="649"/>
      <c r="AH394" s="649"/>
      <c r="AI394" s="649"/>
      <c r="AJ394" s="649"/>
      <c r="AK394" s="649"/>
      <c r="AL394" s="649"/>
      <c r="AM394" s="649"/>
      <c r="AN394" s="649"/>
      <c r="AO394" s="649"/>
      <c r="AP394" s="649"/>
      <c r="AQ394" s="649"/>
      <c r="AR394" s="649"/>
      <c r="AS394" s="649"/>
      <c r="AT394" s="649"/>
      <c r="AU394" s="649"/>
      <c r="AV394" s="649"/>
      <c r="AW394" s="649"/>
      <c r="AX394" s="649"/>
      <c r="AY394" s="649"/>
      <c r="AZ394" s="649"/>
      <c r="BA394" s="649"/>
      <c r="BB394" s="649"/>
      <c r="BC394" s="649"/>
      <c r="BD394" s="649"/>
    </row>
    <row r="395" spans="1:56" s="648" customFormat="1" ht="12" customHeight="1">
      <c r="A395" s="726"/>
      <c r="B395" s="725">
        <v>43354</v>
      </c>
      <c r="C395" s="724" t="s">
        <v>451</v>
      </c>
      <c r="D395" s="723">
        <v>51</v>
      </c>
      <c r="E395" s="723">
        <f t="shared" si="24"/>
        <v>51</v>
      </c>
      <c r="F395" s="723"/>
      <c r="G395" s="723"/>
      <c r="H395" s="723"/>
      <c r="I395" s="723"/>
      <c r="J395" s="723"/>
      <c r="K395" s="723"/>
      <c r="L395" s="723"/>
      <c r="M395" s="723"/>
      <c r="N395" s="723"/>
      <c r="O395" s="743"/>
      <c r="P395" s="743"/>
      <c r="Q395" s="743"/>
      <c r="R395" s="743"/>
      <c r="S395" s="743"/>
      <c r="U395" s="649"/>
      <c r="V395" s="649"/>
      <c r="W395" s="649"/>
      <c r="X395" s="649"/>
      <c r="Y395" s="649"/>
      <c r="Z395" s="649"/>
      <c r="AA395" s="649"/>
      <c r="AB395" s="649"/>
      <c r="AC395" s="649"/>
      <c r="AD395" s="649"/>
      <c r="AE395" s="649"/>
      <c r="AF395" s="649"/>
      <c r="AG395" s="649"/>
      <c r="AH395" s="649"/>
      <c r="AI395" s="649"/>
      <c r="AJ395" s="649"/>
      <c r="AK395" s="649"/>
      <c r="AL395" s="649"/>
      <c r="AM395" s="649"/>
      <c r="AN395" s="649"/>
      <c r="AO395" s="649"/>
      <c r="AP395" s="649"/>
      <c r="AQ395" s="649"/>
      <c r="AR395" s="649"/>
      <c r="AS395" s="649"/>
      <c r="AT395" s="649"/>
      <c r="AU395" s="649"/>
      <c r="AV395" s="649"/>
      <c r="AW395" s="649"/>
      <c r="AX395" s="649"/>
      <c r="AY395" s="649"/>
      <c r="AZ395" s="649"/>
      <c r="BA395" s="649"/>
      <c r="BB395" s="649"/>
      <c r="BC395" s="649"/>
      <c r="BD395" s="649"/>
    </row>
    <row r="396" spans="1:56" s="648" customFormat="1" ht="12" customHeight="1">
      <c r="A396" s="726"/>
      <c r="B396" s="725">
        <v>43355</v>
      </c>
      <c r="C396" s="724" t="s">
        <v>40</v>
      </c>
      <c r="D396" s="723">
        <v>86.9</v>
      </c>
      <c r="E396" s="723">
        <f t="shared" si="24"/>
        <v>71.900000000000006</v>
      </c>
      <c r="F396" s="723"/>
      <c r="G396" s="723"/>
      <c r="H396" s="723"/>
      <c r="I396" s="723">
        <v>15</v>
      </c>
      <c r="J396" s="723"/>
      <c r="K396" s="723"/>
      <c r="L396" s="723"/>
      <c r="M396" s="723"/>
      <c r="N396" s="723"/>
      <c r="O396" s="743"/>
      <c r="P396" s="743"/>
      <c r="Q396" s="743"/>
      <c r="R396" s="743"/>
      <c r="S396" s="743"/>
      <c r="U396" s="649"/>
      <c r="V396" s="649"/>
      <c r="W396" s="649"/>
      <c r="X396" s="649"/>
      <c r="Y396" s="649"/>
      <c r="Z396" s="649"/>
      <c r="AA396" s="649"/>
      <c r="AB396" s="649"/>
      <c r="AC396" s="649"/>
      <c r="AD396" s="649"/>
      <c r="AE396" s="649"/>
      <c r="AF396" s="649"/>
      <c r="AG396" s="649"/>
      <c r="AH396" s="649"/>
      <c r="AI396" s="649"/>
      <c r="AJ396" s="649"/>
      <c r="AK396" s="649"/>
      <c r="AL396" s="649"/>
      <c r="AM396" s="649"/>
      <c r="AN396" s="649"/>
      <c r="AO396" s="649"/>
      <c r="AP396" s="649"/>
      <c r="AQ396" s="649"/>
      <c r="AR396" s="649"/>
      <c r="AS396" s="649"/>
      <c r="AT396" s="649"/>
      <c r="AU396" s="649"/>
      <c r="AV396" s="649"/>
      <c r="AW396" s="649"/>
      <c r="AX396" s="649"/>
      <c r="AY396" s="649"/>
      <c r="AZ396" s="649"/>
      <c r="BA396" s="649"/>
      <c r="BB396" s="649"/>
      <c r="BC396" s="649"/>
      <c r="BD396" s="649"/>
    </row>
    <row r="397" spans="1:56" s="648" customFormat="1" ht="12" customHeight="1">
      <c r="A397" s="726"/>
      <c r="B397" s="725">
        <v>43355</v>
      </c>
      <c r="C397" s="724" t="s">
        <v>41</v>
      </c>
      <c r="D397" s="723">
        <v>50</v>
      </c>
      <c r="E397" s="723">
        <f t="shared" si="24"/>
        <v>50</v>
      </c>
      <c r="F397" s="723"/>
      <c r="G397" s="723"/>
      <c r="H397" s="723"/>
      <c r="I397" s="723"/>
      <c r="J397" s="723"/>
      <c r="K397" s="723"/>
      <c r="L397" s="723"/>
      <c r="M397" s="723"/>
      <c r="N397" s="723"/>
      <c r="O397" s="743"/>
      <c r="P397" s="743"/>
      <c r="Q397" s="743"/>
      <c r="R397" s="743"/>
      <c r="S397" s="743"/>
      <c r="U397" s="649"/>
      <c r="V397" s="649"/>
      <c r="W397" s="649"/>
      <c r="X397" s="649"/>
      <c r="Y397" s="649"/>
      <c r="Z397" s="649"/>
      <c r="AA397" s="649"/>
      <c r="AB397" s="649"/>
      <c r="AC397" s="649"/>
      <c r="AD397" s="649"/>
      <c r="AE397" s="649"/>
      <c r="AF397" s="649"/>
      <c r="AG397" s="649"/>
      <c r="AH397" s="649"/>
      <c r="AI397" s="649"/>
      <c r="AJ397" s="649"/>
      <c r="AK397" s="649"/>
      <c r="AL397" s="649"/>
      <c r="AM397" s="649"/>
      <c r="AN397" s="649"/>
      <c r="AO397" s="649"/>
      <c r="AP397" s="649"/>
      <c r="AQ397" s="649"/>
      <c r="AR397" s="649"/>
      <c r="AS397" s="649"/>
      <c r="AT397" s="649"/>
      <c r="AU397" s="649"/>
      <c r="AV397" s="649"/>
      <c r="AW397" s="649"/>
      <c r="AX397" s="649"/>
      <c r="AY397" s="649"/>
      <c r="AZ397" s="649"/>
      <c r="BA397" s="649"/>
      <c r="BB397" s="649"/>
      <c r="BC397" s="649"/>
      <c r="BD397" s="649"/>
    </row>
    <row r="398" spans="1:56" s="648" customFormat="1" ht="12" customHeight="1">
      <c r="A398" s="726"/>
      <c r="B398" s="725">
        <v>43355</v>
      </c>
      <c r="C398" s="724" t="s">
        <v>38</v>
      </c>
      <c r="D398" s="723">
        <v>76.900000000000006</v>
      </c>
      <c r="E398" s="723">
        <f t="shared" si="24"/>
        <v>76.900000000000006</v>
      </c>
      <c r="F398" s="723"/>
      <c r="G398" s="723"/>
      <c r="H398" s="723"/>
      <c r="I398" s="723"/>
      <c r="J398" s="723"/>
      <c r="K398" s="723"/>
      <c r="L398" s="723"/>
      <c r="M398" s="723"/>
      <c r="N398" s="723"/>
      <c r="O398" s="743"/>
      <c r="P398" s="743"/>
      <c r="Q398" s="743"/>
      <c r="R398" s="743"/>
      <c r="S398" s="743"/>
      <c r="U398" s="649"/>
      <c r="V398" s="649"/>
      <c r="W398" s="649"/>
      <c r="X398" s="649"/>
      <c r="Y398" s="649"/>
      <c r="Z398" s="649"/>
      <c r="AA398" s="649"/>
      <c r="AB398" s="649"/>
      <c r="AC398" s="649"/>
      <c r="AD398" s="649"/>
      <c r="AE398" s="649"/>
      <c r="AF398" s="649"/>
      <c r="AG398" s="649"/>
      <c r="AH398" s="649"/>
      <c r="AI398" s="649"/>
      <c r="AJ398" s="649"/>
      <c r="AK398" s="649"/>
      <c r="AL398" s="649"/>
      <c r="AM398" s="649"/>
      <c r="AN398" s="649"/>
      <c r="AO398" s="649"/>
      <c r="AP398" s="649"/>
      <c r="AQ398" s="649"/>
      <c r="AR398" s="649"/>
      <c r="AS398" s="649"/>
      <c r="AT398" s="649"/>
      <c r="AU398" s="649"/>
      <c r="AV398" s="649"/>
      <c r="AW398" s="649"/>
      <c r="AX398" s="649"/>
      <c r="AY398" s="649"/>
      <c r="AZ398" s="649"/>
      <c r="BA398" s="649"/>
      <c r="BB398" s="649"/>
      <c r="BC398" s="649"/>
      <c r="BD398" s="649"/>
    </row>
    <row r="399" spans="1:56" s="648" customFormat="1" ht="12" customHeight="1">
      <c r="A399" s="726"/>
      <c r="B399" s="725">
        <v>43357</v>
      </c>
      <c r="C399" s="724" t="s">
        <v>124</v>
      </c>
      <c r="D399" s="723">
        <v>229.25</v>
      </c>
      <c r="E399" s="723">
        <f t="shared" si="24"/>
        <v>0</v>
      </c>
      <c r="F399" s="723"/>
      <c r="G399" s="723"/>
      <c r="H399" s="723">
        <v>229.25</v>
      </c>
      <c r="I399" s="723"/>
      <c r="J399" s="723"/>
      <c r="K399" s="723"/>
      <c r="L399" s="723"/>
      <c r="M399" s="723"/>
      <c r="N399" s="723"/>
      <c r="O399" s="743"/>
      <c r="P399" s="743"/>
      <c r="Q399" s="743"/>
      <c r="R399" s="743"/>
      <c r="S399" s="743"/>
      <c r="U399" s="649"/>
      <c r="V399" s="649"/>
      <c r="W399" s="649"/>
      <c r="X399" s="649"/>
      <c r="Y399" s="649"/>
      <c r="Z399" s="649"/>
      <c r="AA399" s="649"/>
      <c r="AB399" s="649"/>
      <c r="AC399" s="649"/>
      <c r="AD399" s="649"/>
      <c r="AE399" s="649"/>
      <c r="AF399" s="649"/>
      <c r="AG399" s="649"/>
      <c r="AH399" s="649"/>
      <c r="AI399" s="649"/>
      <c r="AJ399" s="649"/>
      <c r="AK399" s="649"/>
      <c r="AL399" s="649"/>
      <c r="AM399" s="649"/>
      <c r="AN399" s="649"/>
      <c r="AO399" s="649"/>
      <c r="AP399" s="649"/>
      <c r="AQ399" s="649"/>
      <c r="AR399" s="649"/>
      <c r="AS399" s="649"/>
      <c r="AT399" s="649"/>
      <c r="AU399" s="649"/>
      <c r="AV399" s="649"/>
      <c r="AW399" s="649"/>
      <c r="AX399" s="649"/>
      <c r="AY399" s="649"/>
      <c r="AZ399" s="649"/>
      <c r="BA399" s="649"/>
      <c r="BB399" s="649"/>
      <c r="BC399" s="649"/>
      <c r="BD399" s="649"/>
    </row>
    <row r="400" spans="1:56" s="648" customFormat="1" ht="12" customHeight="1">
      <c r="A400" s="726"/>
      <c r="B400" s="725">
        <v>43360</v>
      </c>
      <c r="C400" s="724" t="s">
        <v>40</v>
      </c>
      <c r="D400" s="723">
        <v>55.95</v>
      </c>
      <c r="E400" s="723">
        <f t="shared" si="24"/>
        <v>55.95</v>
      </c>
      <c r="F400" s="723"/>
      <c r="G400" s="723"/>
      <c r="H400" s="723"/>
      <c r="I400" s="723"/>
      <c r="J400" s="723"/>
      <c r="K400" s="723"/>
      <c r="L400" s="723"/>
      <c r="M400" s="723"/>
      <c r="N400" s="723"/>
      <c r="O400" s="743"/>
      <c r="P400" s="743"/>
      <c r="Q400" s="743"/>
      <c r="R400" s="743"/>
      <c r="S400" s="743"/>
      <c r="U400" s="649"/>
      <c r="V400" s="649"/>
      <c r="W400" s="649"/>
      <c r="X400" s="649"/>
      <c r="Y400" s="649"/>
      <c r="Z400" s="649"/>
      <c r="AA400" s="649"/>
      <c r="AB400" s="649"/>
      <c r="AC400" s="649"/>
      <c r="AD400" s="649"/>
      <c r="AE400" s="649"/>
      <c r="AF400" s="649"/>
      <c r="AG400" s="649"/>
      <c r="AH400" s="649"/>
      <c r="AI400" s="649"/>
      <c r="AJ400" s="649"/>
      <c r="AK400" s="649"/>
      <c r="AL400" s="649"/>
      <c r="AM400" s="649"/>
      <c r="AN400" s="649"/>
      <c r="AO400" s="649"/>
      <c r="AP400" s="649"/>
      <c r="AQ400" s="649"/>
      <c r="AR400" s="649"/>
      <c r="AS400" s="649"/>
      <c r="AT400" s="649"/>
      <c r="AU400" s="649"/>
      <c r="AV400" s="649"/>
      <c r="AW400" s="649"/>
      <c r="AX400" s="649"/>
      <c r="AY400" s="649"/>
      <c r="AZ400" s="649"/>
      <c r="BA400" s="649"/>
      <c r="BB400" s="649"/>
      <c r="BC400" s="649"/>
      <c r="BD400" s="649"/>
    </row>
    <row r="401" spans="1:56" s="648" customFormat="1" ht="12" customHeight="1">
      <c r="A401" s="726"/>
      <c r="B401" s="725">
        <v>43360</v>
      </c>
      <c r="C401" s="724" t="s">
        <v>38</v>
      </c>
      <c r="D401" s="723">
        <v>50.85</v>
      </c>
      <c r="E401" s="723">
        <f t="shared" si="24"/>
        <v>50.85</v>
      </c>
      <c r="F401" s="723"/>
      <c r="G401" s="723"/>
      <c r="H401" s="723"/>
      <c r="I401" s="723"/>
      <c r="J401" s="723"/>
      <c r="K401" s="723"/>
      <c r="L401" s="723"/>
      <c r="M401" s="723"/>
      <c r="N401" s="723"/>
      <c r="O401" s="743"/>
      <c r="P401" s="743"/>
      <c r="Q401" s="743"/>
      <c r="R401" s="743"/>
      <c r="S401" s="743"/>
      <c r="U401" s="649"/>
      <c r="V401" s="649"/>
      <c r="W401" s="649"/>
      <c r="X401" s="649"/>
      <c r="Y401" s="649"/>
      <c r="Z401" s="649"/>
      <c r="AA401" s="649"/>
      <c r="AB401" s="649"/>
      <c r="AC401" s="649"/>
      <c r="AD401" s="649"/>
      <c r="AE401" s="649"/>
      <c r="AF401" s="649"/>
      <c r="AG401" s="649"/>
      <c r="AH401" s="649"/>
      <c r="AI401" s="649"/>
      <c r="AJ401" s="649"/>
      <c r="AK401" s="649"/>
      <c r="AL401" s="649"/>
      <c r="AM401" s="649"/>
      <c r="AN401" s="649"/>
      <c r="AO401" s="649"/>
      <c r="AP401" s="649"/>
      <c r="AQ401" s="649"/>
      <c r="AR401" s="649"/>
      <c r="AS401" s="649"/>
      <c r="AT401" s="649"/>
      <c r="AU401" s="649"/>
      <c r="AV401" s="649"/>
      <c r="AW401" s="649"/>
      <c r="AX401" s="649"/>
      <c r="AY401" s="649"/>
      <c r="AZ401" s="649"/>
      <c r="BA401" s="649"/>
      <c r="BB401" s="649"/>
      <c r="BC401" s="649"/>
      <c r="BD401" s="649"/>
    </row>
    <row r="402" spans="1:56" s="648" customFormat="1" ht="12" customHeight="1">
      <c r="A402" s="726"/>
      <c r="B402" s="725">
        <v>43362</v>
      </c>
      <c r="C402" s="724" t="s">
        <v>40</v>
      </c>
      <c r="D402" s="723">
        <v>30</v>
      </c>
      <c r="E402" s="723">
        <f t="shared" si="24"/>
        <v>10</v>
      </c>
      <c r="F402" s="723"/>
      <c r="G402" s="723"/>
      <c r="H402" s="723"/>
      <c r="I402" s="723">
        <v>20</v>
      </c>
      <c r="J402" s="723"/>
      <c r="K402" s="723"/>
      <c r="L402" s="723"/>
      <c r="M402" s="723"/>
      <c r="N402" s="723"/>
      <c r="O402" s="743"/>
      <c r="P402" s="743"/>
      <c r="Q402" s="743"/>
      <c r="R402" s="743"/>
      <c r="S402" s="743"/>
      <c r="U402" s="649"/>
      <c r="V402" s="649"/>
      <c r="W402" s="649"/>
      <c r="X402" s="649"/>
      <c r="Y402" s="649"/>
      <c r="Z402" s="649"/>
      <c r="AA402" s="649"/>
      <c r="AB402" s="649"/>
      <c r="AC402" s="649"/>
      <c r="AD402" s="649"/>
      <c r="AE402" s="649"/>
      <c r="AF402" s="649"/>
      <c r="AG402" s="649"/>
      <c r="AH402" s="649"/>
      <c r="AI402" s="649"/>
      <c r="AJ402" s="649"/>
      <c r="AK402" s="649"/>
      <c r="AL402" s="649"/>
      <c r="AM402" s="649"/>
      <c r="AN402" s="649"/>
      <c r="AO402" s="649"/>
      <c r="AP402" s="649"/>
      <c r="AQ402" s="649"/>
      <c r="AR402" s="649"/>
      <c r="AS402" s="649"/>
      <c r="AT402" s="649"/>
      <c r="AU402" s="649"/>
      <c r="AV402" s="649"/>
      <c r="AW402" s="649"/>
      <c r="AX402" s="649"/>
      <c r="AY402" s="649"/>
      <c r="AZ402" s="649"/>
      <c r="BA402" s="649"/>
      <c r="BB402" s="649"/>
      <c r="BC402" s="649"/>
      <c r="BD402" s="649"/>
    </row>
    <row r="403" spans="1:56" s="648" customFormat="1" ht="12" customHeight="1">
      <c r="A403" s="726"/>
      <c r="B403" s="725">
        <v>43363</v>
      </c>
      <c r="C403" s="724" t="s">
        <v>451</v>
      </c>
      <c r="D403" s="723">
        <v>35</v>
      </c>
      <c r="E403" s="723">
        <f t="shared" si="24"/>
        <v>35</v>
      </c>
      <c r="F403" s="723">
        <v>23</v>
      </c>
      <c r="G403" s="723"/>
      <c r="H403" s="723"/>
      <c r="I403" s="723"/>
      <c r="J403" s="723"/>
      <c r="K403" s="723"/>
      <c r="L403" s="723"/>
      <c r="M403" s="723"/>
      <c r="N403" s="723"/>
      <c r="O403" s="743"/>
      <c r="P403" s="743"/>
      <c r="Q403" s="743"/>
      <c r="R403" s="743"/>
      <c r="S403" s="743"/>
      <c r="U403" s="649"/>
      <c r="V403" s="649"/>
      <c r="W403" s="649"/>
      <c r="X403" s="649"/>
      <c r="Y403" s="649"/>
      <c r="Z403" s="649"/>
      <c r="AA403" s="649"/>
      <c r="AB403" s="649"/>
      <c r="AC403" s="649"/>
      <c r="AD403" s="649"/>
      <c r="AE403" s="649"/>
      <c r="AF403" s="649"/>
      <c r="AG403" s="649"/>
      <c r="AH403" s="649"/>
      <c r="AI403" s="649"/>
      <c r="AJ403" s="649"/>
      <c r="AK403" s="649"/>
      <c r="AL403" s="649"/>
      <c r="AM403" s="649"/>
      <c r="AN403" s="649"/>
      <c r="AO403" s="649"/>
      <c r="AP403" s="649"/>
      <c r="AQ403" s="649"/>
      <c r="AR403" s="649"/>
      <c r="AS403" s="649"/>
      <c r="AT403" s="649"/>
      <c r="AU403" s="649"/>
      <c r="AV403" s="649"/>
      <c r="AW403" s="649"/>
      <c r="AX403" s="649"/>
      <c r="AY403" s="649"/>
      <c r="AZ403" s="649"/>
      <c r="BA403" s="649"/>
      <c r="BB403" s="649"/>
      <c r="BC403" s="649"/>
      <c r="BD403" s="649"/>
    </row>
    <row r="404" spans="1:56" s="648" customFormat="1" ht="12" customHeight="1">
      <c r="A404" s="726"/>
      <c r="B404" s="725">
        <v>43363</v>
      </c>
      <c r="C404" s="724" t="s">
        <v>38</v>
      </c>
      <c r="D404" s="723">
        <v>51</v>
      </c>
      <c r="E404" s="723">
        <f t="shared" si="24"/>
        <v>51</v>
      </c>
      <c r="F404" s="723"/>
      <c r="G404" s="723"/>
      <c r="H404" s="723"/>
      <c r="I404" s="723"/>
      <c r="J404" s="723"/>
      <c r="K404" s="723"/>
      <c r="L404" s="723"/>
      <c r="M404" s="723"/>
      <c r="N404" s="723"/>
      <c r="O404" s="743"/>
      <c r="P404" s="743"/>
      <c r="Q404" s="743"/>
      <c r="R404" s="743"/>
      <c r="S404" s="743"/>
      <c r="U404" s="649"/>
      <c r="V404" s="649"/>
      <c r="W404" s="649"/>
      <c r="X404" s="649"/>
      <c r="Y404" s="649"/>
      <c r="Z404" s="649"/>
      <c r="AA404" s="649"/>
      <c r="AB404" s="649"/>
      <c r="AC404" s="649"/>
      <c r="AD404" s="649"/>
      <c r="AE404" s="649"/>
      <c r="AF404" s="649"/>
      <c r="AG404" s="649"/>
      <c r="AH404" s="649"/>
      <c r="AI404" s="649"/>
      <c r="AJ404" s="649"/>
      <c r="AK404" s="649"/>
      <c r="AL404" s="649"/>
      <c r="AM404" s="649"/>
      <c r="AN404" s="649"/>
      <c r="AO404" s="649"/>
      <c r="AP404" s="649"/>
      <c r="AQ404" s="649"/>
      <c r="AR404" s="649"/>
      <c r="AS404" s="649"/>
      <c r="AT404" s="649"/>
      <c r="AU404" s="649"/>
      <c r="AV404" s="649"/>
      <c r="AW404" s="649"/>
      <c r="AX404" s="649"/>
      <c r="AY404" s="649"/>
      <c r="AZ404" s="649"/>
      <c r="BA404" s="649"/>
      <c r="BB404" s="649"/>
      <c r="BC404" s="649"/>
      <c r="BD404" s="649"/>
    </row>
    <row r="405" spans="1:56" s="648" customFormat="1" ht="12" customHeight="1">
      <c r="A405" s="726"/>
      <c r="B405" s="725">
        <v>43363</v>
      </c>
      <c r="C405" s="724" t="s">
        <v>39</v>
      </c>
      <c r="D405" s="723">
        <v>63</v>
      </c>
      <c r="E405" s="723">
        <f t="shared" si="24"/>
        <v>63</v>
      </c>
      <c r="F405" s="723"/>
      <c r="G405" s="723"/>
      <c r="H405" s="723"/>
      <c r="I405" s="723"/>
      <c r="J405" s="723"/>
      <c r="K405" s="723"/>
      <c r="L405" s="723"/>
      <c r="M405" s="723"/>
      <c r="N405" s="723"/>
      <c r="O405" s="743"/>
      <c r="P405" s="743"/>
      <c r="Q405" s="743"/>
      <c r="R405" s="743"/>
      <c r="S405" s="743"/>
      <c r="U405" s="649"/>
      <c r="V405" s="649"/>
      <c r="W405" s="649"/>
      <c r="X405" s="649"/>
      <c r="Y405" s="649"/>
      <c r="Z405" s="649"/>
      <c r="AA405" s="649"/>
      <c r="AB405" s="649"/>
      <c r="AC405" s="649"/>
      <c r="AD405" s="649"/>
      <c r="AE405" s="649"/>
      <c r="AF405" s="649"/>
      <c r="AG405" s="649"/>
      <c r="AH405" s="649"/>
      <c r="AI405" s="649"/>
      <c r="AJ405" s="649"/>
      <c r="AK405" s="649"/>
      <c r="AL405" s="649"/>
      <c r="AM405" s="649"/>
      <c r="AN405" s="649"/>
      <c r="AO405" s="649"/>
      <c r="AP405" s="649"/>
      <c r="AQ405" s="649"/>
      <c r="AR405" s="649"/>
      <c r="AS405" s="649"/>
      <c r="AT405" s="649"/>
      <c r="AU405" s="649"/>
      <c r="AV405" s="649"/>
      <c r="AW405" s="649"/>
      <c r="AX405" s="649"/>
      <c r="AY405" s="649"/>
      <c r="AZ405" s="649"/>
      <c r="BA405" s="649"/>
      <c r="BB405" s="649"/>
      <c r="BC405" s="649"/>
      <c r="BD405" s="649"/>
    </row>
    <row r="406" spans="1:56" s="648" customFormat="1" ht="12" customHeight="1">
      <c r="A406" s="726"/>
      <c r="B406" s="725">
        <v>43365</v>
      </c>
      <c r="C406" s="724" t="s">
        <v>39</v>
      </c>
      <c r="D406" s="723">
        <v>71.5</v>
      </c>
      <c r="E406" s="723">
        <f t="shared" si="24"/>
        <v>71.5</v>
      </c>
      <c r="F406" s="723"/>
      <c r="G406" s="723"/>
      <c r="H406" s="723"/>
      <c r="I406" s="723"/>
      <c r="J406" s="723"/>
      <c r="K406" s="723"/>
      <c r="L406" s="723"/>
      <c r="M406" s="723"/>
      <c r="N406" s="723"/>
      <c r="O406" s="743"/>
      <c r="P406" s="743"/>
      <c r="Q406" s="743"/>
      <c r="R406" s="743"/>
      <c r="S406" s="743"/>
      <c r="U406" s="649"/>
      <c r="V406" s="649"/>
      <c r="W406" s="649"/>
      <c r="X406" s="649"/>
      <c r="Y406" s="649"/>
      <c r="Z406" s="649"/>
      <c r="AA406" s="649"/>
      <c r="AB406" s="649"/>
      <c r="AC406" s="649"/>
      <c r="AD406" s="649"/>
      <c r="AE406" s="649"/>
      <c r="AF406" s="649"/>
      <c r="AG406" s="649"/>
      <c r="AH406" s="649"/>
      <c r="AI406" s="649"/>
      <c r="AJ406" s="649"/>
      <c r="AK406" s="649"/>
      <c r="AL406" s="649"/>
      <c r="AM406" s="649"/>
      <c r="AN406" s="649"/>
      <c r="AO406" s="649"/>
      <c r="AP406" s="649"/>
      <c r="AQ406" s="649"/>
      <c r="AR406" s="649"/>
      <c r="AS406" s="649"/>
      <c r="AT406" s="649"/>
      <c r="AU406" s="649"/>
      <c r="AV406" s="649"/>
      <c r="AW406" s="649"/>
      <c r="AX406" s="649"/>
      <c r="AY406" s="649"/>
      <c r="AZ406" s="649"/>
      <c r="BA406" s="649"/>
      <c r="BB406" s="649"/>
      <c r="BC406" s="649"/>
      <c r="BD406" s="649"/>
    </row>
    <row r="407" spans="1:56" s="648" customFormat="1" ht="12" customHeight="1">
      <c r="A407" s="726"/>
      <c r="B407" s="725">
        <v>43367</v>
      </c>
      <c r="C407" s="724" t="s">
        <v>451</v>
      </c>
      <c r="D407" s="723">
        <v>35</v>
      </c>
      <c r="E407" s="723">
        <f t="shared" si="24"/>
        <v>35</v>
      </c>
      <c r="F407" s="723"/>
      <c r="G407" s="723"/>
      <c r="H407" s="723"/>
      <c r="I407" s="723"/>
      <c r="J407" s="723"/>
      <c r="K407" s="723"/>
      <c r="L407" s="723"/>
      <c r="M407" s="723"/>
      <c r="N407" s="723"/>
      <c r="O407" s="743"/>
      <c r="P407" s="743"/>
      <c r="Q407" s="743"/>
      <c r="R407" s="743"/>
      <c r="S407" s="743"/>
      <c r="U407" s="649"/>
      <c r="V407" s="649"/>
      <c r="W407" s="649"/>
      <c r="X407" s="649"/>
      <c r="Y407" s="649"/>
      <c r="Z407" s="649"/>
      <c r="AA407" s="649"/>
      <c r="AB407" s="649"/>
      <c r="AC407" s="649"/>
      <c r="AD407" s="649"/>
      <c r="AE407" s="649"/>
      <c r="AF407" s="649"/>
      <c r="AG407" s="649"/>
      <c r="AH407" s="649"/>
      <c r="AI407" s="649"/>
      <c r="AJ407" s="649"/>
      <c r="AK407" s="649"/>
      <c r="AL407" s="649"/>
      <c r="AM407" s="649"/>
      <c r="AN407" s="649"/>
      <c r="AO407" s="649"/>
      <c r="AP407" s="649"/>
      <c r="AQ407" s="649"/>
      <c r="AR407" s="649"/>
      <c r="AS407" s="649"/>
      <c r="AT407" s="649"/>
      <c r="AU407" s="649"/>
      <c r="AV407" s="649"/>
      <c r="AW407" s="649"/>
      <c r="AX407" s="649"/>
      <c r="AY407" s="649"/>
      <c r="AZ407" s="649"/>
      <c r="BA407" s="649"/>
      <c r="BB407" s="649"/>
      <c r="BC407" s="649"/>
      <c r="BD407" s="649"/>
    </row>
    <row r="408" spans="1:56" s="648" customFormat="1" ht="12" customHeight="1">
      <c r="A408" s="726"/>
      <c r="B408" s="725">
        <v>43367</v>
      </c>
      <c r="C408" s="724" t="s">
        <v>40</v>
      </c>
      <c r="D408" s="723">
        <v>46</v>
      </c>
      <c r="E408" s="723">
        <f t="shared" si="24"/>
        <v>46</v>
      </c>
      <c r="F408" s="723"/>
      <c r="G408" s="723"/>
      <c r="H408" s="723"/>
      <c r="I408" s="723"/>
      <c r="J408" s="723"/>
      <c r="K408" s="723"/>
      <c r="L408" s="723"/>
      <c r="M408" s="723"/>
      <c r="N408" s="723"/>
      <c r="O408" s="743"/>
      <c r="P408" s="743"/>
      <c r="Q408" s="743"/>
      <c r="R408" s="743"/>
      <c r="S408" s="743"/>
      <c r="U408" s="649"/>
      <c r="V408" s="649"/>
      <c r="W408" s="649"/>
      <c r="X408" s="649"/>
      <c r="Y408" s="649"/>
      <c r="Z408" s="649"/>
      <c r="AA408" s="649"/>
      <c r="AB408" s="649"/>
      <c r="AC408" s="649"/>
      <c r="AD408" s="649"/>
      <c r="AE408" s="649"/>
      <c r="AF408" s="649"/>
      <c r="AG408" s="649"/>
      <c r="AH408" s="649"/>
      <c r="AI408" s="649"/>
      <c r="AJ408" s="649"/>
      <c r="AK408" s="649"/>
      <c r="AL408" s="649"/>
      <c r="AM408" s="649"/>
      <c r="AN408" s="649"/>
      <c r="AO408" s="649"/>
      <c r="AP408" s="649"/>
      <c r="AQ408" s="649"/>
      <c r="AR408" s="649"/>
      <c r="AS408" s="649"/>
      <c r="AT408" s="649"/>
      <c r="AU408" s="649"/>
      <c r="AV408" s="649"/>
      <c r="AW408" s="649"/>
      <c r="AX408" s="649"/>
      <c r="AY408" s="649"/>
      <c r="AZ408" s="649"/>
      <c r="BA408" s="649"/>
      <c r="BB408" s="649"/>
      <c r="BC408" s="649"/>
      <c r="BD408" s="649"/>
    </row>
    <row r="409" spans="1:56" s="648" customFormat="1" ht="12" customHeight="1">
      <c r="A409" s="726"/>
      <c r="B409" s="725">
        <v>43369</v>
      </c>
      <c r="C409" s="724" t="s">
        <v>41</v>
      </c>
      <c r="D409" s="723">
        <v>20</v>
      </c>
      <c r="E409" s="723">
        <f t="shared" si="24"/>
        <v>20</v>
      </c>
      <c r="F409" s="723"/>
      <c r="G409" s="723"/>
      <c r="H409" s="723"/>
      <c r="I409" s="723"/>
      <c r="J409" s="723"/>
      <c r="K409" s="723"/>
      <c r="L409" s="723"/>
      <c r="M409" s="723"/>
      <c r="N409" s="723"/>
      <c r="O409" s="743"/>
      <c r="P409" s="743"/>
      <c r="Q409" s="743"/>
      <c r="R409" s="743"/>
      <c r="S409" s="743"/>
      <c r="U409" s="649"/>
      <c r="V409" s="649"/>
      <c r="W409" s="649"/>
      <c r="X409" s="649"/>
      <c r="Y409" s="649"/>
      <c r="Z409" s="649"/>
      <c r="AA409" s="649"/>
      <c r="AB409" s="649"/>
      <c r="AC409" s="649"/>
      <c r="AD409" s="649"/>
      <c r="AE409" s="649"/>
      <c r="AF409" s="649"/>
      <c r="AG409" s="649"/>
      <c r="AH409" s="649"/>
      <c r="AI409" s="649"/>
      <c r="AJ409" s="649"/>
      <c r="AK409" s="649"/>
      <c r="AL409" s="649"/>
      <c r="AM409" s="649"/>
      <c r="AN409" s="649"/>
      <c r="AO409" s="649"/>
      <c r="AP409" s="649"/>
      <c r="AQ409" s="649"/>
      <c r="AR409" s="649"/>
      <c r="AS409" s="649"/>
      <c r="AT409" s="649"/>
      <c r="AU409" s="649"/>
      <c r="AV409" s="649"/>
      <c r="AW409" s="649"/>
      <c r="AX409" s="649"/>
      <c r="AY409" s="649"/>
      <c r="AZ409" s="649"/>
      <c r="BA409" s="649"/>
      <c r="BB409" s="649"/>
      <c r="BC409" s="649"/>
      <c r="BD409" s="649"/>
    </row>
    <row r="410" spans="1:56" s="648" customFormat="1" ht="12" customHeight="1">
      <c r="A410" s="726"/>
      <c r="B410" s="725">
        <v>43369</v>
      </c>
      <c r="C410" s="724" t="s">
        <v>38</v>
      </c>
      <c r="D410" s="723">
        <v>87</v>
      </c>
      <c r="E410" s="723">
        <f t="shared" si="24"/>
        <v>87</v>
      </c>
      <c r="F410" s="723"/>
      <c r="G410" s="723"/>
      <c r="H410" s="723"/>
      <c r="I410" s="723"/>
      <c r="J410" s="723"/>
      <c r="K410" s="723"/>
      <c r="L410" s="723"/>
      <c r="M410" s="723"/>
      <c r="N410" s="723"/>
      <c r="O410" s="743"/>
      <c r="P410" s="743"/>
      <c r="Q410" s="743"/>
      <c r="R410" s="743"/>
      <c r="S410" s="743"/>
      <c r="U410" s="649"/>
      <c r="V410" s="649"/>
      <c r="W410" s="649"/>
      <c r="X410" s="649"/>
      <c r="Y410" s="649"/>
      <c r="Z410" s="649"/>
      <c r="AA410" s="649"/>
      <c r="AB410" s="649"/>
      <c r="AC410" s="649"/>
      <c r="AD410" s="649"/>
      <c r="AE410" s="649"/>
      <c r="AF410" s="649"/>
      <c r="AG410" s="649"/>
      <c r="AH410" s="649"/>
      <c r="AI410" s="649"/>
      <c r="AJ410" s="649"/>
      <c r="AK410" s="649"/>
      <c r="AL410" s="649"/>
      <c r="AM410" s="649"/>
      <c r="AN410" s="649"/>
      <c r="AO410" s="649"/>
      <c r="AP410" s="649"/>
      <c r="AQ410" s="649"/>
      <c r="AR410" s="649"/>
      <c r="AS410" s="649"/>
      <c r="AT410" s="649"/>
      <c r="AU410" s="649"/>
      <c r="AV410" s="649"/>
      <c r="AW410" s="649"/>
      <c r="AX410" s="649"/>
      <c r="AY410" s="649"/>
      <c r="AZ410" s="649"/>
      <c r="BA410" s="649"/>
      <c r="BB410" s="649"/>
      <c r="BC410" s="649"/>
      <c r="BD410" s="649"/>
    </row>
    <row r="411" spans="1:56" s="648" customFormat="1" ht="12" customHeight="1">
      <c r="A411" s="726"/>
      <c r="B411" s="725">
        <v>43371</v>
      </c>
      <c r="C411" s="724" t="s">
        <v>451</v>
      </c>
      <c r="D411" s="723">
        <v>124.8</v>
      </c>
      <c r="E411" s="723">
        <f t="shared" si="24"/>
        <v>-111.2</v>
      </c>
      <c r="F411" s="723">
        <v>68</v>
      </c>
      <c r="G411" s="723">
        <v>156</v>
      </c>
      <c r="H411" s="723"/>
      <c r="I411" s="723">
        <v>80</v>
      </c>
      <c r="J411" s="723"/>
      <c r="K411" s="723"/>
      <c r="L411" s="723"/>
      <c r="M411" s="723"/>
      <c r="N411" s="723"/>
      <c r="O411" s="743"/>
      <c r="P411" s="743"/>
      <c r="Q411" s="743"/>
      <c r="R411" s="743"/>
      <c r="S411" s="743"/>
      <c r="U411" s="649"/>
      <c r="V411" s="649"/>
      <c r="W411" s="649"/>
      <c r="X411" s="649"/>
      <c r="Y411" s="649"/>
      <c r="Z411" s="649"/>
      <c r="AA411" s="649"/>
      <c r="AB411" s="649"/>
      <c r="AC411" s="649"/>
      <c r="AD411" s="649"/>
      <c r="AE411" s="649"/>
      <c r="AF411" s="649"/>
      <c r="AG411" s="649"/>
      <c r="AH411" s="649"/>
      <c r="AI411" s="649"/>
      <c r="AJ411" s="649"/>
      <c r="AK411" s="649"/>
      <c r="AL411" s="649"/>
      <c r="AM411" s="649"/>
      <c r="AN411" s="649"/>
      <c r="AO411" s="649"/>
      <c r="AP411" s="649"/>
      <c r="AQ411" s="649"/>
      <c r="AR411" s="649"/>
      <c r="AS411" s="649"/>
      <c r="AT411" s="649"/>
      <c r="AU411" s="649"/>
      <c r="AV411" s="649"/>
      <c r="AW411" s="649"/>
      <c r="AX411" s="649"/>
      <c r="AY411" s="649"/>
      <c r="AZ411" s="649"/>
      <c r="BA411" s="649"/>
      <c r="BB411" s="649"/>
      <c r="BC411" s="649"/>
      <c r="BD411" s="649"/>
    </row>
    <row r="412" spans="1:56" s="648" customFormat="1" ht="12" customHeight="1">
      <c r="A412" s="726"/>
      <c r="B412" s="725">
        <v>43371</v>
      </c>
      <c r="C412" s="724" t="s">
        <v>124</v>
      </c>
      <c r="D412" s="723">
        <v>531.9</v>
      </c>
      <c r="E412" s="723">
        <f t="shared" si="24"/>
        <v>0</v>
      </c>
      <c r="F412" s="723"/>
      <c r="G412" s="723"/>
      <c r="H412" s="723">
        <v>531.9</v>
      </c>
      <c r="I412" s="723"/>
      <c r="J412" s="723"/>
      <c r="K412" s="723"/>
      <c r="L412" s="723"/>
      <c r="M412" s="723"/>
      <c r="N412" s="723"/>
      <c r="O412" s="743"/>
      <c r="P412" s="743"/>
      <c r="Q412" s="743"/>
      <c r="R412" s="743"/>
      <c r="S412" s="743"/>
      <c r="U412" s="649"/>
      <c r="V412" s="649"/>
      <c r="W412" s="649"/>
      <c r="X412" s="649"/>
      <c r="Y412" s="649"/>
      <c r="Z412" s="649"/>
      <c r="AA412" s="649"/>
      <c r="AB412" s="649"/>
      <c r="AC412" s="649"/>
      <c r="AD412" s="649"/>
      <c r="AE412" s="649"/>
      <c r="AF412" s="649"/>
      <c r="AG412" s="649"/>
      <c r="AH412" s="649"/>
      <c r="AI412" s="649"/>
      <c r="AJ412" s="649"/>
      <c r="AK412" s="649"/>
      <c r="AL412" s="649"/>
      <c r="AM412" s="649"/>
      <c r="AN412" s="649"/>
      <c r="AO412" s="649"/>
      <c r="AP412" s="649"/>
      <c r="AQ412" s="649"/>
      <c r="AR412" s="649"/>
      <c r="AS412" s="649"/>
      <c r="AT412" s="649"/>
      <c r="AU412" s="649"/>
      <c r="AV412" s="649"/>
      <c r="AW412" s="649"/>
      <c r="AX412" s="649"/>
      <c r="AY412" s="649"/>
      <c r="AZ412" s="649"/>
      <c r="BA412" s="649"/>
      <c r="BB412" s="649"/>
      <c r="BC412" s="649"/>
      <c r="BD412" s="649"/>
    </row>
    <row r="413" spans="1:56" s="648" customFormat="1" ht="12" customHeight="1">
      <c r="A413" s="726"/>
      <c r="B413" s="725">
        <v>43371</v>
      </c>
      <c r="C413" s="724" t="s">
        <v>39</v>
      </c>
      <c r="D413" s="723">
        <v>208.85</v>
      </c>
      <c r="E413" s="723">
        <f t="shared" si="24"/>
        <v>130.85</v>
      </c>
      <c r="F413" s="723"/>
      <c r="G413" s="723">
        <v>78</v>
      </c>
      <c r="H413" s="723"/>
      <c r="I413" s="723"/>
      <c r="J413" s="723"/>
      <c r="K413" s="723"/>
      <c r="L413" s="723"/>
      <c r="M413" s="723"/>
      <c r="N413" s="723"/>
      <c r="O413" s="743"/>
      <c r="P413" s="743"/>
      <c r="Q413" s="743"/>
      <c r="R413" s="743"/>
      <c r="S413" s="743"/>
      <c r="U413" s="649"/>
      <c r="V413" s="649"/>
      <c r="W413" s="649"/>
      <c r="X413" s="649"/>
      <c r="Y413" s="649"/>
      <c r="Z413" s="649"/>
      <c r="AA413" s="649"/>
      <c r="AB413" s="649"/>
      <c r="AC413" s="649"/>
      <c r="AD413" s="649"/>
      <c r="AE413" s="649"/>
      <c r="AF413" s="649"/>
      <c r="AG413" s="649"/>
      <c r="AH413" s="649"/>
      <c r="AI413" s="649"/>
      <c r="AJ413" s="649"/>
      <c r="AK413" s="649"/>
      <c r="AL413" s="649"/>
      <c r="AM413" s="649"/>
      <c r="AN413" s="649"/>
      <c r="AO413" s="649"/>
      <c r="AP413" s="649"/>
      <c r="AQ413" s="649"/>
      <c r="AR413" s="649"/>
      <c r="AS413" s="649"/>
      <c r="AT413" s="649"/>
      <c r="AU413" s="649"/>
      <c r="AV413" s="649"/>
      <c r="AW413" s="649"/>
      <c r="AX413" s="649"/>
      <c r="AY413" s="649"/>
      <c r="AZ413" s="649"/>
      <c r="BA413" s="649"/>
      <c r="BB413" s="649"/>
      <c r="BC413" s="649"/>
      <c r="BD413" s="649"/>
    </row>
    <row r="414" spans="1:56" s="648" customFormat="1" ht="12" customHeight="1">
      <c r="A414" s="726"/>
      <c r="B414" s="725">
        <v>43371</v>
      </c>
      <c r="C414" s="724" t="s">
        <v>38</v>
      </c>
      <c r="D414" s="723">
        <v>117</v>
      </c>
      <c r="E414" s="723">
        <f t="shared" si="24"/>
        <v>0</v>
      </c>
      <c r="F414" s="723"/>
      <c r="G414" s="723">
        <v>117</v>
      </c>
      <c r="H414" s="723"/>
      <c r="I414" s="723"/>
      <c r="J414" s="723"/>
      <c r="K414" s="723"/>
      <c r="L414" s="723"/>
      <c r="M414" s="723"/>
      <c r="N414" s="723"/>
      <c r="O414" s="743"/>
      <c r="P414" s="743"/>
      <c r="Q414" s="743"/>
      <c r="R414" s="743"/>
      <c r="S414" s="743"/>
      <c r="U414" s="649"/>
      <c r="V414" s="649"/>
      <c r="W414" s="649"/>
      <c r="X414" s="649"/>
      <c r="Y414" s="649"/>
      <c r="Z414" s="649"/>
      <c r="AA414" s="649"/>
      <c r="AB414" s="649"/>
      <c r="AC414" s="649"/>
      <c r="AD414" s="649"/>
      <c r="AE414" s="649"/>
      <c r="AF414" s="649"/>
      <c r="AG414" s="649"/>
      <c r="AH414" s="649"/>
      <c r="AI414" s="649"/>
      <c r="AJ414" s="649"/>
      <c r="AK414" s="649"/>
      <c r="AL414" s="649"/>
      <c r="AM414" s="649"/>
      <c r="AN414" s="649"/>
      <c r="AO414" s="649"/>
      <c r="AP414" s="649"/>
      <c r="AQ414" s="649"/>
      <c r="AR414" s="649"/>
      <c r="AS414" s="649"/>
      <c r="AT414" s="649"/>
      <c r="AU414" s="649"/>
      <c r="AV414" s="649"/>
      <c r="AW414" s="649"/>
      <c r="AX414" s="649"/>
      <c r="AY414" s="649"/>
      <c r="AZ414" s="649"/>
      <c r="BA414" s="649"/>
      <c r="BB414" s="649"/>
      <c r="BC414" s="649"/>
      <c r="BD414" s="649"/>
    </row>
    <row r="415" spans="1:56" s="648" customFormat="1" ht="12" customHeight="1">
      <c r="A415" s="726"/>
      <c r="B415" s="725">
        <v>43371</v>
      </c>
      <c r="C415" s="724" t="s">
        <v>715</v>
      </c>
      <c r="D415" s="723">
        <v>200</v>
      </c>
      <c r="E415" s="723">
        <f t="shared" si="24"/>
        <v>200</v>
      </c>
      <c r="F415" s="723"/>
      <c r="G415" s="723"/>
      <c r="H415" s="723"/>
      <c r="I415" s="723"/>
      <c r="J415" s="723"/>
      <c r="K415" s="723"/>
      <c r="L415" s="723"/>
      <c r="M415" s="723"/>
      <c r="N415" s="723"/>
      <c r="O415" s="743"/>
      <c r="P415" s="743"/>
      <c r="Q415" s="743"/>
      <c r="R415" s="743"/>
      <c r="S415" s="743"/>
      <c r="U415" s="649"/>
      <c r="V415" s="649"/>
      <c r="W415" s="649"/>
      <c r="X415" s="649"/>
      <c r="Y415" s="649"/>
      <c r="Z415" s="649"/>
      <c r="AA415" s="649"/>
      <c r="AB415" s="649"/>
      <c r="AC415" s="649"/>
      <c r="AD415" s="649"/>
      <c r="AE415" s="649"/>
      <c r="AF415" s="649"/>
      <c r="AG415" s="649"/>
      <c r="AH415" s="649"/>
      <c r="AI415" s="649"/>
      <c r="AJ415" s="649"/>
      <c r="AK415" s="649"/>
      <c r="AL415" s="649"/>
      <c r="AM415" s="649"/>
      <c r="AN415" s="649"/>
      <c r="AO415" s="649"/>
      <c r="AP415" s="649"/>
      <c r="AQ415" s="649"/>
      <c r="AR415" s="649"/>
      <c r="AS415" s="649"/>
      <c r="AT415" s="649"/>
      <c r="AU415" s="649"/>
      <c r="AV415" s="649"/>
      <c r="AW415" s="649"/>
      <c r="AX415" s="649"/>
      <c r="AY415" s="649"/>
      <c r="AZ415" s="649"/>
      <c r="BA415" s="649"/>
      <c r="BB415" s="649"/>
      <c r="BC415" s="649"/>
      <c r="BD415" s="649"/>
    </row>
    <row r="416" spans="1:56" s="648" customFormat="1" ht="12" customHeight="1">
      <c r="A416" s="726"/>
      <c r="B416" s="725">
        <v>43372</v>
      </c>
      <c r="C416" s="724" t="s">
        <v>41</v>
      </c>
      <c r="D416" s="723">
        <v>50</v>
      </c>
      <c r="E416" s="723">
        <f t="shared" si="24"/>
        <v>50</v>
      </c>
      <c r="F416" s="723"/>
      <c r="G416" s="723"/>
      <c r="H416" s="723"/>
      <c r="I416" s="723"/>
      <c r="J416" s="723"/>
      <c r="K416" s="723"/>
      <c r="L416" s="723"/>
      <c r="M416" s="723"/>
      <c r="N416" s="723"/>
      <c r="O416" s="743"/>
      <c r="P416" s="743"/>
      <c r="Q416" s="743"/>
      <c r="R416" s="743"/>
      <c r="S416" s="743"/>
      <c r="U416" s="649"/>
      <c r="V416" s="649"/>
      <c r="W416" s="649"/>
      <c r="X416" s="649"/>
      <c r="Y416" s="649"/>
      <c r="Z416" s="649"/>
      <c r="AA416" s="649"/>
      <c r="AB416" s="649"/>
      <c r="AC416" s="649"/>
      <c r="AD416" s="649"/>
      <c r="AE416" s="649"/>
      <c r="AF416" s="649"/>
      <c r="AG416" s="649"/>
      <c r="AH416" s="649"/>
      <c r="AI416" s="649"/>
      <c r="AJ416" s="649"/>
      <c r="AK416" s="649"/>
      <c r="AL416" s="649"/>
      <c r="AM416" s="649"/>
      <c r="AN416" s="649"/>
      <c r="AO416" s="649"/>
      <c r="AP416" s="649"/>
      <c r="AQ416" s="649"/>
      <c r="AR416" s="649"/>
      <c r="AS416" s="649"/>
      <c r="AT416" s="649"/>
      <c r="AU416" s="649"/>
      <c r="AV416" s="649"/>
      <c r="AW416" s="649"/>
      <c r="AX416" s="649"/>
      <c r="AY416" s="649"/>
      <c r="AZ416" s="649"/>
      <c r="BA416" s="649"/>
      <c r="BB416" s="649"/>
      <c r="BC416" s="649"/>
      <c r="BD416" s="649"/>
    </row>
    <row r="417" spans="1:56" s="648" customFormat="1" ht="12" customHeight="1">
      <c r="A417" s="726"/>
      <c r="B417" s="725">
        <v>43372</v>
      </c>
      <c r="C417" s="724" t="s">
        <v>451</v>
      </c>
      <c r="D417" s="723">
        <v>39</v>
      </c>
      <c r="E417" s="723">
        <f t="shared" si="24"/>
        <v>39</v>
      </c>
      <c r="F417" s="723">
        <v>23</v>
      </c>
      <c r="G417" s="723"/>
      <c r="H417" s="723"/>
      <c r="I417" s="723"/>
      <c r="J417" s="723"/>
      <c r="K417" s="723"/>
      <c r="L417" s="723"/>
      <c r="M417" s="723"/>
      <c r="N417" s="723"/>
      <c r="O417" s="743"/>
      <c r="P417" s="743"/>
      <c r="Q417" s="743"/>
      <c r="R417" s="743"/>
      <c r="S417" s="743"/>
      <c r="U417" s="649"/>
      <c r="V417" s="649"/>
      <c r="W417" s="649"/>
      <c r="X417" s="649"/>
      <c r="Y417" s="649"/>
      <c r="Z417" s="649"/>
      <c r="AA417" s="649"/>
      <c r="AB417" s="649"/>
      <c r="AC417" s="649"/>
      <c r="AD417" s="649"/>
      <c r="AE417" s="649"/>
      <c r="AF417" s="649"/>
      <c r="AG417" s="649"/>
      <c r="AH417" s="649"/>
      <c r="AI417" s="649"/>
      <c r="AJ417" s="649"/>
      <c r="AK417" s="649"/>
      <c r="AL417" s="649"/>
      <c r="AM417" s="649"/>
      <c r="AN417" s="649"/>
      <c r="AO417" s="649"/>
      <c r="AP417" s="649"/>
      <c r="AQ417" s="649"/>
      <c r="AR417" s="649"/>
      <c r="AS417" s="649"/>
      <c r="AT417" s="649"/>
      <c r="AU417" s="649"/>
      <c r="AV417" s="649"/>
      <c r="AW417" s="649"/>
      <c r="AX417" s="649"/>
      <c r="AY417" s="649"/>
      <c r="AZ417" s="649"/>
      <c r="BA417" s="649"/>
      <c r="BB417" s="649"/>
      <c r="BC417" s="649"/>
      <c r="BD417" s="649"/>
    </row>
    <row r="418" spans="1:56" s="648" customFormat="1" ht="12" customHeight="1">
      <c r="A418" s="726"/>
      <c r="B418" s="725">
        <v>43372</v>
      </c>
      <c r="C418" s="724" t="s">
        <v>38</v>
      </c>
      <c r="D418" s="723">
        <v>137.75</v>
      </c>
      <c r="E418" s="723">
        <f t="shared" si="24"/>
        <v>67.75</v>
      </c>
      <c r="F418" s="723"/>
      <c r="G418" s="723"/>
      <c r="H418" s="723">
        <v>70</v>
      </c>
      <c r="I418" s="723"/>
      <c r="J418" s="723"/>
      <c r="K418" s="723"/>
      <c r="L418" s="723"/>
      <c r="M418" s="723"/>
      <c r="N418" s="723"/>
      <c r="O418" s="743"/>
      <c r="P418" s="743"/>
      <c r="Q418" s="743"/>
      <c r="R418" s="743"/>
      <c r="S418" s="743"/>
      <c r="U418" s="649"/>
      <c r="V418" s="649"/>
      <c r="W418" s="649"/>
      <c r="X418" s="649"/>
      <c r="Y418" s="649"/>
      <c r="Z418" s="649"/>
      <c r="AA418" s="649"/>
      <c r="AB418" s="649"/>
      <c r="AC418" s="649"/>
      <c r="AD418" s="649"/>
      <c r="AE418" s="649"/>
      <c r="AF418" s="649"/>
      <c r="AG418" s="649"/>
      <c r="AH418" s="649"/>
      <c r="AI418" s="649"/>
      <c r="AJ418" s="649"/>
      <c r="AK418" s="649"/>
      <c r="AL418" s="649"/>
      <c r="AM418" s="649"/>
      <c r="AN418" s="649"/>
      <c r="AO418" s="649"/>
      <c r="AP418" s="649"/>
      <c r="AQ418" s="649"/>
      <c r="AR418" s="649"/>
      <c r="AS418" s="649"/>
      <c r="AT418" s="649"/>
      <c r="AU418" s="649"/>
      <c r="AV418" s="649"/>
      <c r="AW418" s="649"/>
      <c r="AX418" s="649"/>
      <c r="AY418" s="649"/>
      <c r="AZ418" s="649"/>
      <c r="BA418" s="649"/>
      <c r="BB418" s="649"/>
      <c r="BC418" s="649"/>
      <c r="BD418" s="649"/>
    </row>
    <row r="419" spans="1:56" s="648" customFormat="1" ht="12" customHeight="1">
      <c r="A419" s="726"/>
      <c r="B419" s="725">
        <v>43372</v>
      </c>
      <c r="C419" s="724" t="s">
        <v>40</v>
      </c>
      <c r="D419" s="723">
        <v>20</v>
      </c>
      <c r="E419" s="723">
        <f t="shared" si="24"/>
        <v>20</v>
      </c>
      <c r="F419" s="723">
        <v>11</v>
      </c>
      <c r="G419" s="723"/>
      <c r="H419" s="723"/>
      <c r="I419" s="723"/>
      <c r="J419" s="723"/>
      <c r="K419" s="723"/>
      <c r="L419" s="723"/>
      <c r="M419" s="723"/>
      <c r="N419" s="723"/>
      <c r="O419" s="743"/>
      <c r="P419" s="743"/>
      <c r="Q419" s="743"/>
      <c r="R419" s="743"/>
      <c r="S419" s="743"/>
      <c r="U419" s="649"/>
      <c r="V419" s="649"/>
      <c r="W419" s="649"/>
      <c r="X419" s="649"/>
      <c r="Y419" s="649"/>
      <c r="Z419" s="649"/>
      <c r="AA419" s="649"/>
      <c r="AB419" s="649"/>
      <c r="AC419" s="649"/>
      <c r="AD419" s="649"/>
      <c r="AE419" s="649"/>
      <c r="AF419" s="649"/>
      <c r="AG419" s="649"/>
      <c r="AH419" s="649"/>
      <c r="AI419" s="649"/>
      <c r="AJ419" s="649"/>
      <c r="AK419" s="649"/>
      <c r="AL419" s="649"/>
      <c r="AM419" s="649"/>
      <c r="AN419" s="649"/>
      <c r="AO419" s="649"/>
      <c r="AP419" s="649"/>
      <c r="AQ419" s="649"/>
      <c r="AR419" s="649"/>
      <c r="AS419" s="649"/>
      <c r="AT419" s="649"/>
      <c r="AU419" s="649"/>
      <c r="AV419" s="649"/>
      <c r="AW419" s="649"/>
      <c r="AX419" s="649"/>
      <c r="AY419" s="649"/>
      <c r="AZ419" s="649"/>
      <c r="BA419" s="649"/>
      <c r="BB419" s="649"/>
      <c r="BC419" s="649"/>
      <c r="BD419" s="649"/>
    </row>
    <row r="420" spans="1:56" s="648" customFormat="1" ht="12" customHeight="1">
      <c r="A420" s="726"/>
      <c r="B420" s="725">
        <v>43373</v>
      </c>
      <c r="C420" s="724" t="s">
        <v>451</v>
      </c>
      <c r="D420" s="723">
        <v>81</v>
      </c>
      <c r="E420" s="723">
        <f t="shared" si="24"/>
        <v>81</v>
      </c>
      <c r="F420" s="723"/>
      <c r="G420" s="723"/>
      <c r="H420" s="723"/>
      <c r="I420" s="723"/>
      <c r="J420" s="723"/>
      <c r="K420" s="723"/>
      <c r="L420" s="723"/>
      <c r="M420" s="723"/>
      <c r="N420" s="723"/>
      <c r="O420" s="743"/>
      <c r="P420" s="743"/>
      <c r="Q420" s="743"/>
      <c r="R420" s="743"/>
      <c r="S420" s="743"/>
      <c r="U420" s="649"/>
      <c r="V420" s="649"/>
      <c r="W420" s="649"/>
      <c r="X420" s="649"/>
      <c r="Y420" s="649"/>
      <c r="Z420" s="649"/>
      <c r="AA420" s="649"/>
      <c r="AB420" s="649"/>
      <c r="AC420" s="649"/>
      <c r="AD420" s="649"/>
      <c r="AE420" s="649"/>
      <c r="AF420" s="649"/>
      <c r="AG420" s="649"/>
      <c r="AH420" s="649"/>
      <c r="AI420" s="649"/>
      <c r="AJ420" s="649"/>
      <c r="AK420" s="649"/>
      <c r="AL420" s="649"/>
      <c r="AM420" s="649"/>
      <c r="AN420" s="649"/>
      <c r="AO420" s="649"/>
      <c r="AP420" s="649"/>
      <c r="AQ420" s="649"/>
      <c r="AR420" s="649"/>
      <c r="AS420" s="649"/>
      <c r="AT420" s="649"/>
      <c r="AU420" s="649"/>
      <c r="AV420" s="649"/>
      <c r="AW420" s="649"/>
      <c r="AX420" s="649"/>
      <c r="AY420" s="649"/>
      <c r="AZ420" s="649"/>
      <c r="BA420" s="649"/>
      <c r="BB420" s="649"/>
      <c r="BC420" s="649"/>
      <c r="BD420" s="649"/>
    </row>
    <row r="421" spans="1:56" s="648" customFormat="1" ht="12" customHeight="1">
      <c r="A421" s="726"/>
      <c r="B421" s="725">
        <v>43373</v>
      </c>
      <c r="C421" s="724" t="s">
        <v>41</v>
      </c>
      <c r="D421" s="723">
        <v>70</v>
      </c>
      <c r="E421" s="723">
        <f t="shared" si="24"/>
        <v>70</v>
      </c>
      <c r="F421" s="723"/>
      <c r="G421" s="723"/>
      <c r="H421" s="723"/>
      <c r="I421" s="723"/>
      <c r="J421" s="723"/>
      <c r="K421" s="723"/>
      <c r="L421" s="723"/>
      <c r="M421" s="723"/>
      <c r="N421" s="723"/>
      <c r="O421" s="743"/>
      <c r="P421" s="743"/>
      <c r="Q421" s="743"/>
      <c r="R421" s="743"/>
      <c r="S421" s="743"/>
      <c r="U421" s="649"/>
      <c r="V421" s="649"/>
      <c r="W421" s="649"/>
      <c r="X421" s="649"/>
      <c r="Y421" s="649"/>
      <c r="Z421" s="649"/>
      <c r="AA421" s="649"/>
      <c r="AB421" s="649"/>
      <c r="AC421" s="649"/>
      <c r="AD421" s="649"/>
      <c r="AE421" s="649"/>
      <c r="AF421" s="649"/>
      <c r="AG421" s="649"/>
      <c r="AH421" s="649"/>
      <c r="AI421" s="649"/>
      <c r="AJ421" s="649"/>
      <c r="AK421" s="649"/>
      <c r="AL421" s="649"/>
      <c r="AM421" s="649"/>
      <c r="AN421" s="649"/>
      <c r="AO421" s="649"/>
      <c r="AP421" s="649"/>
      <c r="AQ421" s="649"/>
      <c r="AR421" s="649"/>
      <c r="AS421" s="649"/>
      <c r="AT421" s="649"/>
      <c r="AU421" s="649"/>
      <c r="AV421" s="649"/>
      <c r="AW421" s="649"/>
      <c r="AX421" s="649"/>
      <c r="AY421" s="649"/>
      <c r="AZ421" s="649"/>
      <c r="BA421" s="649"/>
      <c r="BB421" s="649"/>
      <c r="BC421" s="649"/>
      <c r="BD421" s="649"/>
    </row>
    <row r="422" spans="1:56" s="648" customFormat="1" ht="12" customHeight="1">
      <c r="A422" s="726"/>
      <c r="B422" s="725">
        <v>43373</v>
      </c>
      <c r="C422" s="724" t="s">
        <v>40</v>
      </c>
      <c r="D422" s="723">
        <v>19.45</v>
      </c>
      <c r="E422" s="723">
        <f t="shared" si="24"/>
        <v>19.45</v>
      </c>
      <c r="F422" s="723"/>
      <c r="G422" s="723"/>
      <c r="H422" s="723"/>
      <c r="I422" s="723"/>
      <c r="J422" s="723"/>
      <c r="K422" s="723"/>
      <c r="L422" s="723"/>
      <c r="M422" s="723"/>
      <c r="N422" s="723"/>
      <c r="O422" s="743"/>
      <c r="P422" s="743"/>
      <c r="Q422" s="743"/>
      <c r="R422" s="743"/>
      <c r="S422" s="743"/>
      <c r="U422" s="649"/>
      <c r="V422" s="649"/>
      <c r="W422" s="649"/>
      <c r="X422" s="649"/>
      <c r="Y422" s="649"/>
      <c r="Z422" s="649"/>
      <c r="AA422" s="649"/>
      <c r="AB422" s="649"/>
      <c r="AC422" s="649"/>
      <c r="AD422" s="649"/>
      <c r="AE422" s="649"/>
      <c r="AF422" s="649"/>
      <c r="AG422" s="649"/>
      <c r="AH422" s="649"/>
      <c r="AI422" s="649"/>
      <c r="AJ422" s="649"/>
      <c r="AK422" s="649"/>
      <c r="AL422" s="649"/>
      <c r="AM422" s="649"/>
      <c r="AN422" s="649"/>
      <c r="AO422" s="649"/>
      <c r="AP422" s="649"/>
      <c r="AQ422" s="649"/>
      <c r="AR422" s="649"/>
      <c r="AS422" s="649"/>
      <c r="AT422" s="649"/>
      <c r="AU422" s="649"/>
      <c r="AV422" s="649"/>
      <c r="AW422" s="649"/>
      <c r="AX422" s="649"/>
      <c r="AY422" s="649"/>
      <c r="AZ422" s="649"/>
      <c r="BA422" s="649"/>
      <c r="BB422" s="649"/>
      <c r="BC422" s="649"/>
      <c r="BD422" s="649"/>
    </row>
    <row r="423" spans="1:56" s="648" customFormat="1" ht="12" customHeight="1">
      <c r="A423" s="726"/>
      <c r="B423" s="725">
        <v>43373</v>
      </c>
      <c r="C423" s="724" t="s">
        <v>38</v>
      </c>
      <c r="D423" s="723">
        <v>15</v>
      </c>
      <c r="E423" s="723">
        <f t="shared" si="24"/>
        <v>15</v>
      </c>
      <c r="F423" s="723"/>
      <c r="G423" s="723"/>
      <c r="H423" s="723"/>
      <c r="I423" s="723"/>
      <c r="J423" s="723"/>
      <c r="K423" s="723"/>
      <c r="L423" s="723"/>
      <c r="M423" s="723"/>
      <c r="N423" s="723"/>
      <c r="O423" s="743"/>
      <c r="P423" s="743"/>
      <c r="Q423" s="743"/>
      <c r="R423" s="743"/>
      <c r="S423" s="743"/>
      <c r="U423" s="649"/>
      <c r="V423" s="649"/>
      <c r="W423" s="649"/>
      <c r="X423" s="649"/>
      <c r="Y423" s="649"/>
      <c r="Z423" s="649"/>
      <c r="AA423" s="649"/>
      <c r="AB423" s="649"/>
      <c r="AC423" s="649"/>
      <c r="AD423" s="649"/>
      <c r="AE423" s="649"/>
      <c r="AF423" s="649"/>
      <c r="AG423" s="649"/>
      <c r="AH423" s="649"/>
      <c r="AI423" s="649"/>
      <c r="AJ423" s="649"/>
      <c r="AK423" s="649"/>
      <c r="AL423" s="649"/>
      <c r="AM423" s="649"/>
      <c r="AN423" s="649"/>
      <c r="AO423" s="649"/>
      <c r="AP423" s="649"/>
      <c r="AQ423" s="649"/>
      <c r="AR423" s="649"/>
      <c r="AS423" s="649"/>
      <c r="AT423" s="649"/>
      <c r="AU423" s="649"/>
      <c r="AV423" s="649"/>
      <c r="AW423" s="649"/>
      <c r="AX423" s="649"/>
      <c r="AY423" s="649"/>
      <c r="AZ423" s="649"/>
      <c r="BA423" s="649"/>
      <c r="BB423" s="649"/>
      <c r="BC423" s="649"/>
      <c r="BD423" s="649"/>
    </row>
    <row r="424" spans="1:56" s="744" customFormat="1" ht="12" customHeight="1">
      <c r="A424" s="749"/>
      <c r="B424" s="748" t="str">
        <f>L1</f>
        <v>oktober</v>
      </c>
      <c r="C424" s="747"/>
      <c r="D424" s="746">
        <f t="shared" ref="D424:S424" si="25">SUM(D425:D452)</f>
        <v>1437.49</v>
      </c>
      <c r="E424" s="746">
        <f t="shared" si="25"/>
        <v>1141.4399999999998</v>
      </c>
      <c r="F424" s="746">
        <f t="shared" si="25"/>
        <v>113.95</v>
      </c>
      <c r="G424" s="746">
        <f t="shared" si="25"/>
        <v>0</v>
      </c>
      <c r="H424" s="746">
        <f t="shared" si="25"/>
        <v>255.04999999999998</v>
      </c>
      <c r="I424" s="746">
        <f t="shared" si="25"/>
        <v>41</v>
      </c>
      <c r="J424" s="746">
        <f t="shared" si="25"/>
        <v>0</v>
      </c>
      <c r="K424" s="746">
        <f t="shared" si="25"/>
        <v>0</v>
      </c>
      <c r="L424" s="746">
        <f t="shared" si="25"/>
        <v>0</v>
      </c>
      <c r="M424" s="746">
        <f t="shared" si="25"/>
        <v>0</v>
      </c>
      <c r="N424" s="746">
        <f t="shared" si="25"/>
        <v>0</v>
      </c>
      <c r="O424" s="745">
        <f t="shared" si="25"/>
        <v>0</v>
      </c>
      <c r="P424" s="745">
        <f t="shared" si="25"/>
        <v>0</v>
      </c>
      <c r="Q424" s="745">
        <f t="shared" si="25"/>
        <v>0</v>
      </c>
      <c r="R424" s="745">
        <f t="shared" si="25"/>
        <v>0</v>
      </c>
      <c r="S424" s="745">
        <f t="shared" si="25"/>
        <v>0</v>
      </c>
    </row>
    <row r="425" spans="1:56" s="648" customFormat="1" ht="12" customHeight="1">
      <c r="A425" s="726"/>
      <c r="B425" s="725">
        <v>43374</v>
      </c>
      <c r="C425" s="724" t="s">
        <v>451</v>
      </c>
      <c r="D425" s="723">
        <v>156.44999999999999</v>
      </c>
      <c r="E425" s="723">
        <f t="shared" ref="E425:E452" si="26">D425-G425-H425-I425</f>
        <v>136.44999999999999</v>
      </c>
      <c r="F425" s="723"/>
      <c r="G425" s="723"/>
      <c r="H425" s="723"/>
      <c r="I425" s="723">
        <v>20</v>
      </c>
      <c r="J425" s="723"/>
      <c r="K425" s="723"/>
      <c r="L425" s="723"/>
      <c r="M425" s="723"/>
      <c r="N425" s="723"/>
      <c r="O425" s="743"/>
      <c r="P425" s="743"/>
      <c r="Q425" s="743"/>
      <c r="R425" s="743"/>
      <c r="S425" s="743"/>
      <c r="U425" s="649"/>
      <c r="V425" s="649"/>
      <c r="W425" s="649"/>
      <c r="X425" s="649"/>
      <c r="Y425" s="649"/>
      <c r="Z425" s="649"/>
      <c r="AA425" s="649"/>
      <c r="AB425" s="649"/>
      <c r="AC425" s="649"/>
      <c r="AD425" s="649"/>
      <c r="AE425" s="649"/>
      <c r="AF425" s="649"/>
      <c r="AG425" s="649"/>
      <c r="AH425" s="649"/>
      <c r="AI425" s="649"/>
      <c r="AJ425" s="649"/>
      <c r="AK425" s="649"/>
      <c r="AL425" s="649"/>
      <c r="AM425" s="649"/>
      <c r="AN425" s="649"/>
      <c r="AO425" s="649"/>
      <c r="AP425" s="649"/>
      <c r="AQ425" s="649"/>
      <c r="AR425" s="649"/>
      <c r="AS425" s="649"/>
      <c r="AT425" s="649"/>
      <c r="AU425" s="649"/>
      <c r="AV425" s="649"/>
      <c r="AW425" s="649"/>
      <c r="AX425" s="649"/>
      <c r="AY425" s="649"/>
      <c r="AZ425" s="649"/>
      <c r="BA425" s="649"/>
      <c r="BB425" s="649"/>
      <c r="BC425" s="649"/>
      <c r="BD425" s="649"/>
    </row>
    <row r="426" spans="1:56" s="648" customFormat="1" ht="12" customHeight="1">
      <c r="A426" s="726"/>
      <c r="B426" s="725">
        <v>43375</v>
      </c>
      <c r="C426" s="724" t="s">
        <v>39</v>
      </c>
      <c r="D426" s="723">
        <v>43</v>
      </c>
      <c r="E426" s="723">
        <f t="shared" si="26"/>
        <v>22</v>
      </c>
      <c r="F426" s="723"/>
      <c r="G426" s="723"/>
      <c r="H426" s="723"/>
      <c r="I426" s="723">
        <v>21</v>
      </c>
      <c r="J426" s="723"/>
      <c r="K426" s="723"/>
      <c r="L426" s="723"/>
      <c r="M426" s="723"/>
      <c r="N426" s="723"/>
      <c r="O426" s="743"/>
      <c r="P426" s="743"/>
      <c r="Q426" s="743"/>
      <c r="R426" s="743"/>
      <c r="S426" s="743"/>
      <c r="U426" s="649"/>
      <c r="V426" s="649"/>
      <c r="W426" s="649"/>
      <c r="X426" s="649"/>
      <c r="Y426" s="649"/>
      <c r="Z426" s="649"/>
      <c r="AA426" s="649"/>
      <c r="AB426" s="649"/>
      <c r="AC426" s="649"/>
      <c r="AD426" s="649"/>
      <c r="AE426" s="649"/>
      <c r="AF426" s="649"/>
      <c r="AG426" s="649"/>
      <c r="AH426" s="649"/>
      <c r="AI426" s="649"/>
      <c r="AJ426" s="649"/>
      <c r="AK426" s="649"/>
      <c r="AL426" s="649"/>
      <c r="AM426" s="649"/>
      <c r="AN426" s="649"/>
      <c r="AO426" s="649"/>
      <c r="AP426" s="649"/>
      <c r="AQ426" s="649"/>
      <c r="AR426" s="649"/>
      <c r="AS426" s="649"/>
      <c r="AT426" s="649"/>
      <c r="AU426" s="649"/>
      <c r="AV426" s="649"/>
      <c r="AW426" s="649"/>
      <c r="AX426" s="649"/>
      <c r="AY426" s="649"/>
      <c r="AZ426" s="649"/>
      <c r="BA426" s="649"/>
      <c r="BB426" s="649"/>
      <c r="BC426" s="649"/>
      <c r="BD426" s="649"/>
    </row>
    <row r="427" spans="1:56" s="648" customFormat="1" ht="12" customHeight="1">
      <c r="A427" s="726"/>
      <c r="B427" s="725">
        <v>43375</v>
      </c>
      <c r="C427" s="724" t="s">
        <v>124</v>
      </c>
      <c r="D427" s="723">
        <v>117.65</v>
      </c>
      <c r="E427" s="723">
        <f t="shared" si="26"/>
        <v>0</v>
      </c>
      <c r="F427" s="723"/>
      <c r="G427" s="723"/>
      <c r="H427" s="723">
        <v>117.65</v>
      </c>
      <c r="I427" s="723"/>
      <c r="J427" s="723"/>
      <c r="K427" s="723"/>
      <c r="L427" s="723"/>
      <c r="M427" s="723"/>
      <c r="N427" s="723"/>
      <c r="O427" s="743"/>
      <c r="P427" s="743"/>
      <c r="Q427" s="743"/>
      <c r="R427" s="743"/>
      <c r="S427" s="743"/>
      <c r="U427" s="649"/>
      <c r="V427" s="649"/>
      <c r="W427" s="649"/>
      <c r="X427" s="649"/>
      <c r="Y427" s="649"/>
      <c r="Z427" s="649"/>
      <c r="AA427" s="649"/>
      <c r="AB427" s="649"/>
      <c r="AC427" s="649"/>
      <c r="AD427" s="649"/>
      <c r="AE427" s="649"/>
      <c r="AF427" s="649"/>
      <c r="AG427" s="649"/>
      <c r="AH427" s="649"/>
      <c r="AI427" s="649"/>
      <c r="AJ427" s="649"/>
      <c r="AK427" s="649"/>
      <c r="AL427" s="649"/>
      <c r="AM427" s="649"/>
      <c r="AN427" s="649"/>
      <c r="AO427" s="649"/>
      <c r="AP427" s="649"/>
      <c r="AQ427" s="649"/>
      <c r="AR427" s="649"/>
      <c r="AS427" s="649"/>
      <c r="AT427" s="649"/>
      <c r="AU427" s="649"/>
      <c r="AV427" s="649"/>
      <c r="AW427" s="649"/>
      <c r="AX427" s="649"/>
      <c r="AY427" s="649"/>
      <c r="AZ427" s="649"/>
      <c r="BA427" s="649"/>
      <c r="BB427" s="649"/>
      <c r="BC427" s="649"/>
      <c r="BD427" s="649"/>
    </row>
    <row r="428" spans="1:56" s="648" customFormat="1" ht="12" customHeight="1">
      <c r="A428" s="726"/>
      <c r="B428" s="725">
        <v>43375</v>
      </c>
      <c r="C428" s="724" t="s">
        <v>41</v>
      </c>
      <c r="D428" s="723">
        <v>35</v>
      </c>
      <c r="E428" s="723">
        <f t="shared" si="26"/>
        <v>35</v>
      </c>
      <c r="F428" s="723"/>
      <c r="G428" s="723"/>
      <c r="H428" s="723"/>
      <c r="I428" s="723"/>
      <c r="J428" s="723"/>
      <c r="K428" s="723"/>
      <c r="L428" s="723"/>
      <c r="M428" s="723"/>
      <c r="N428" s="723"/>
      <c r="O428" s="743"/>
      <c r="P428" s="743"/>
      <c r="Q428" s="743"/>
      <c r="R428" s="743"/>
      <c r="S428" s="743"/>
      <c r="U428" s="649"/>
      <c r="V428" s="649"/>
      <c r="W428" s="649"/>
      <c r="X428" s="649"/>
      <c r="Y428" s="649"/>
      <c r="Z428" s="649"/>
      <c r="AA428" s="649"/>
      <c r="AB428" s="649"/>
      <c r="AC428" s="649"/>
      <c r="AD428" s="649"/>
      <c r="AE428" s="649"/>
      <c r="AF428" s="649"/>
      <c r="AG428" s="649"/>
      <c r="AH428" s="649"/>
      <c r="AI428" s="649"/>
      <c r="AJ428" s="649"/>
      <c r="AK428" s="649"/>
      <c r="AL428" s="649"/>
      <c r="AM428" s="649"/>
      <c r="AN428" s="649"/>
      <c r="AO428" s="649"/>
      <c r="AP428" s="649"/>
      <c r="AQ428" s="649"/>
      <c r="AR428" s="649"/>
      <c r="AS428" s="649"/>
      <c r="AT428" s="649"/>
      <c r="AU428" s="649"/>
      <c r="AV428" s="649"/>
      <c r="AW428" s="649"/>
      <c r="AX428" s="649"/>
      <c r="AY428" s="649"/>
      <c r="AZ428" s="649"/>
      <c r="BA428" s="649"/>
      <c r="BB428" s="649"/>
      <c r="BC428" s="649"/>
      <c r="BD428" s="649"/>
    </row>
    <row r="429" spans="1:56" s="648" customFormat="1" ht="12" customHeight="1">
      <c r="A429" s="726"/>
      <c r="B429" s="725">
        <v>43376</v>
      </c>
      <c r="C429" s="724" t="s">
        <v>124</v>
      </c>
      <c r="D429" s="723">
        <v>72.3</v>
      </c>
      <c r="E429" s="723">
        <f t="shared" si="26"/>
        <v>0</v>
      </c>
      <c r="F429" s="723"/>
      <c r="G429" s="723"/>
      <c r="H429" s="723">
        <v>72.3</v>
      </c>
      <c r="I429" s="723"/>
      <c r="J429" s="723"/>
      <c r="K429" s="723"/>
      <c r="L429" s="723"/>
      <c r="M429" s="723"/>
      <c r="N429" s="723"/>
      <c r="O429" s="743"/>
      <c r="P429" s="743"/>
      <c r="Q429" s="743"/>
      <c r="R429" s="743"/>
      <c r="S429" s="743"/>
      <c r="U429" s="649"/>
      <c r="V429" s="649"/>
      <c r="W429" s="649"/>
      <c r="X429" s="649"/>
      <c r="Y429" s="649"/>
      <c r="Z429" s="649"/>
      <c r="AA429" s="649"/>
      <c r="AB429" s="649"/>
      <c r="AC429" s="649"/>
      <c r="AD429" s="649"/>
      <c r="AE429" s="649"/>
      <c r="AF429" s="649"/>
      <c r="AG429" s="649"/>
      <c r="AH429" s="649"/>
      <c r="AI429" s="649"/>
      <c r="AJ429" s="649"/>
      <c r="AK429" s="649"/>
      <c r="AL429" s="649"/>
      <c r="AM429" s="649"/>
      <c r="AN429" s="649"/>
      <c r="AO429" s="649"/>
      <c r="AP429" s="649"/>
      <c r="AQ429" s="649"/>
      <c r="AR429" s="649"/>
      <c r="AS429" s="649"/>
      <c r="AT429" s="649"/>
      <c r="AU429" s="649"/>
      <c r="AV429" s="649"/>
      <c r="AW429" s="649"/>
      <c r="AX429" s="649"/>
      <c r="AY429" s="649"/>
      <c r="AZ429" s="649"/>
      <c r="BA429" s="649"/>
      <c r="BB429" s="649"/>
      <c r="BC429" s="649"/>
      <c r="BD429" s="649"/>
    </row>
    <row r="430" spans="1:56" s="648" customFormat="1" ht="12" customHeight="1">
      <c r="A430" s="726"/>
      <c r="B430" s="725">
        <v>43376</v>
      </c>
      <c r="C430" s="724" t="s">
        <v>451</v>
      </c>
      <c r="D430" s="723">
        <v>16.399999999999999</v>
      </c>
      <c r="E430" s="723">
        <f t="shared" si="26"/>
        <v>16.399999999999999</v>
      </c>
      <c r="F430" s="723"/>
      <c r="G430" s="723"/>
      <c r="H430" s="723"/>
      <c r="I430" s="723"/>
      <c r="J430" s="723"/>
      <c r="K430" s="723"/>
      <c r="L430" s="723"/>
      <c r="M430" s="723"/>
      <c r="N430" s="723"/>
      <c r="O430" s="743"/>
      <c r="P430" s="743"/>
      <c r="Q430" s="743"/>
      <c r="R430" s="743"/>
      <c r="S430" s="743"/>
      <c r="U430" s="649"/>
      <c r="V430" s="649"/>
      <c r="W430" s="649"/>
      <c r="X430" s="649"/>
      <c r="Y430" s="649"/>
      <c r="Z430" s="649"/>
      <c r="AA430" s="649"/>
      <c r="AB430" s="649"/>
      <c r="AC430" s="649"/>
      <c r="AD430" s="649"/>
      <c r="AE430" s="649"/>
      <c r="AF430" s="649"/>
      <c r="AG430" s="649"/>
      <c r="AH430" s="649"/>
      <c r="AI430" s="649"/>
      <c r="AJ430" s="649"/>
      <c r="AK430" s="649"/>
      <c r="AL430" s="649"/>
      <c r="AM430" s="649"/>
      <c r="AN430" s="649"/>
      <c r="AO430" s="649"/>
      <c r="AP430" s="649"/>
      <c r="AQ430" s="649"/>
      <c r="AR430" s="649"/>
      <c r="AS430" s="649"/>
      <c r="AT430" s="649"/>
      <c r="AU430" s="649"/>
      <c r="AV430" s="649"/>
      <c r="AW430" s="649"/>
      <c r="AX430" s="649"/>
      <c r="AY430" s="649"/>
      <c r="AZ430" s="649"/>
      <c r="BA430" s="649"/>
      <c r="BB430" s="649"/>
      <c r="BC430" s="649"/>
      <c r="BD430" s="649"/>
    </row>
    <row r="431" spans="1:56" s="648" customFormat="1" ht="12" customHeight="1">
      <c r="A431" s="726"/>
      <c r="B431" s="725">
        <v>43377</v>
      </c>
      <c r="C431" s="724" t="s">
        <v>451</v>
      </c>
      <c r="D431" s="723">
        <v>89.55</v>
      </c>
      <c r="E431" s="723">
        <f t="shared" si="26"/>
        <v>89.55</v>
      </c>
      <c r="F431" s="723">
        <v>35.700000000000003</v>
      </c>
      <c r="G431" s="723"/>
      <c r="H431" s="723"/>
      <c r="I431" s="723"/>
      <c r="J431" s="723"/>
      <c r="K431" s="723"/>
      <c r="L431" s="723"/>
      <c r="M431" s="723"/>
      <c r="N431" s="723"/>
      <c r="O431" s="743"/>
      <c r="P431" s="743"/>
      <c r="Q431" s="743"/>
      <c r="R431" s="743"/>
      <c r="S431" s="743"/>
      <c r="U431" s="649"/>
      <c r="V431" s="649"/>
      <c r="W431" s="649"/>
      <c r="X431" s="649"/>
      <c r="Y431" s="649"/>
      <c r="Z431" s="649"/>
      <c r="AA431" s="649"/>
      <c r="AB431" s="649"/>
      <c r="AC431" s="649"/>
      <c r="AD431" s="649"/>
      <c r="AE431" s="649"/>
      <c r="AF431" s="649"/>
      <c r="AG431" s="649"/>
      <c r="AH431" s="649"/>
      <c r="AI431" s="649"/>
      <c r="AJ431" s="649"/>
      <c r="AK431" s="649"/>
      <c r="AL431" s="649"/>
      <c r="AM431" s="649"/>
      <c r="AN431" s="649"/>
      <c r="AO431" s="649"/>
      <c r="AP431" s="649"/>
      <c r="AQ431" s="649"/>
      <c r="AR431" s="649"/>
      <c r="AS431" s="649"/>
      <c r="AT431" s="649"/>
      <c r="AU431" s="649"/>
      <c r="AV431" s="649"/>
      <c r="AW431" s="649"/>
      <c r="AX431" s="649"/>
      <c r="AY431" s="649"/>
      <c r="AZ431" s="649"/>
      <c r="BA431" s="649"/>
      <c r="BB431" s="649"/>
      <c r="BC431" s="649"/>
      <c r="BD431" s="649"/>
    </row>
    <row r="432" spans="1:56" s="648" customFormat="1" ht="12" customHeight="1">
      <c r="A432" s="726"/>
      <c r="B432" s="725">
        <v>43378</v>
      </c>
      <c r="C432" s="724" t="s">
        <v>451</v>
      </c>
      <c r="D432" s="723">
        <v>68.25</v>
      </c>
      <c r="E432" s="723">
        <f t="shared" si="26"/>
        <v>68.25</v>
      </c>
      <c r="F432" s="723">
        <v>21.25</v>
      </c>
      <c r="G432" s="723"/>
      <c r="H432" s="723"/>
      <c r="I432" s="723"/>
      <c r="J432" s="723"/>
      <c r="K432" s="723"/>
      <c r="L432" s="723"/>
      <c r="M432" s="723"/>
      <c r="N432" s="723"/>
      <c r="O432" s="743"/>
      <c r="P432" s="743"/>
      <c r="Q432" s="743"/>
      <c r="R432" s="743"/>
      <c r="S432" s="743"/>
      <c r="U432" s="649"/>
      <c r="V432" s="649"/>
      <c r="W432" s="649"/>
      <c r="X432" s="649"/>
      <c r="Y432" s="649"/>
      <c r="Z432" s="649"/>
      <c r="AA432" s="649"/>
      <c r="AB432" s="649"/>
      <c r="AC432" s="649"/>
      <c r="AD432" s="649"/>
      <c r="AE432" s="649"/>
      <c r="AF432" s="649"/>
      <c r="AG432" s="649"/>
      <c r="AH432" s="649"/>
      <c r="AI432" s="649"/>
      <c r="AJ432" s="649"/>
      <c r="AK432" s="649"/>
      <c r="AL432" s="649"/>
      <c r="AM432" s="649"/>
      <c r="AN432" s="649"/>
      <c r="AO432" s="649"/>
      <c r="AP432" s="649"/>
      <c r="AQ432" s="649"/>
      <c r="AR432" s="649"/>
      <c r="AS432" s="649"/>
      <c r="AT432" s="649"/>
      <c r="AU432" s="649"/>
      <c r="AV432" s="649"/>
      <c r="AW432" s="649"/>
      <c r="AX432" s="649"/>
      <c r="AY432" s="649"/>
      <c r="AZ432" s="649"/>
      <c r="BA432" s="649"/>
      <c r="BB432" s="649"/>
      <c r="BC432" s="649"/>
      <c r="BD432" s="649"/>
    </row>
    <row r="433" spans="1:56" s="648" customFormat="1" ht="12" customHeight="1">
      <c r="A433" s="726"/>
      <c r="B433" s="725">
        <v>43379</v>
      </c>
      <c r="C433" s="724" t="s">
        <v>451</v>
      </c>
      <c r="D433" s="723">
        <v>41.3</v>
      </c>
      <c r="E433" s="723">
        <f t="shared" si="26"/>
        <v>41.3</v>
      </c>
      <c r="F433" s="723"/>
      <c r="G433" s="723"/>
      <c r="H433" s="723"/>
      <c r="I433" s="723"/>
      <c r="J433" s="723"/>
      <c r="K433" s="723"/>
      <c r="L433" s="723"/>
      <c r="M433" s="723"/>
      <c r="N433" s="723"/>
      <c r="O433" s="743"/>
      <c r="P433" s="743"/>
      <c r="Q433" s="743"/>
      <c r="R433" s="743"/>
      <c r="S433" s="743"/>
      <c r="U433" s="649"/>
      <c r="V433" s="649"/>
      <c r="W433" s="649"/>
      <c r="X433" s="649"/>
      <c r="Y433" s="649"/>
      <c r="Z433" s="649"/>
      <c r="AA433" s="649"/>
      <c r="AB433" s="649"/>
      <c r="AC433" s="649"/>
      <c r="AD433" s="649"/>
      <c r="AE433" s="649"/>
      <c r="AF433" s="649"/>
      <c r="AG433" s="649"/>
      <c r="AH433" s="649"/>
      <c r="AI433" s="649"/>
      <c r="AJ433" s="649"/>
      <c r="AK433" s="649"/>
      <c r="AL433" s="649"/>
      <c r="AM433" s="649"/>
      <c r="AN433" s="649"/>
      <c r="AO433" s="649"/>
      <c r="AP433" s="649"/>
      <c r="AQ433" s="649"/>
      <c r="AR433" s="649"/>
      <c r="AS433" s="649"/>
      <c r="AT433" s="649"/>
      <c r="AU433" s="649"/>
      <c r="AV433" s="649"/>
      <c r="AW433" s="649"/>
      <c r="AX433" s="649"/>
      <c r="AY433" s="649"/>
      <c r="AZ433" s="649"/>
      <c r="BA433" s="649"/>
      <c r="BB433" s="649"/>
      <c r="BC433" s="649"/>
      <c r="BD433" s="649"/>
    </row>
    <row r="434" spans="1:56" s="648" customFormat="1" ht="12" customHeight="1">
      <c r="A434" s="726"/>
      <c r="B434" s="725">
        <v>43381</v>
      </c>
      <c r="C434" s="724" t="s">
        <v>39</v>
      </c>
      <c r="D434" s="723">
        <v>81.900000000000006</v>
      </c>
      <c r="E434" s="723">
        <f t="shared" si="26"/>
        <v>81.900000000000006</v>
      </c>
      <c r="F434" s="723"/>
      <c r="G434" s="723"/>
      <c r="H434" s="723"/>
      <c r="I434" s="723"/>
      <c r="J434" s="723"/>
      <c r="K434" s="723"/>
      <c r="L434" s="723"/>
      <c r="M434" s="723"/>
      <c r="N434" s="723"/>
      <c r="O434" s="743"/>
      <c r="P434" s="743"/>
      <c r="Q434" s="743"/>
      <c r="R434" s="743"/>
      <c r="S434" s="743"/>
      <c r="U434" s="649"/>
      <c r="V434" s="649"/>
      <c r="W434" s="649"/>
      <c r="X434" s="649"/>
      <c r="Y434" s="649"/>
      <c r="Z434" s="649"/>
      <c r="AA434" s="649"/>
      <c r="AB434" s="649"/>
      <c r="AC434" s="649"/>
      <c r="AD434" s="649"/>
      <c r="AE434" s="649"/>
      <c r="AF434" s="649"/>
      <c r="AG434" s="649"/>
      <c r="AH434" s="649"/>
      <c r="AI434" s="649"/>
      <c r="AJ434" s="649"/>
      <c r="AK434" s="649"/>
      <c r="AL434" s="649"/>
      <c r="AM434" s="649"/>
      <c r="AN434" s="649"/>
      <c r="AO434" s="649"/>
      <c r="AP434" s="649"/>
      <c r="AQ434" s="649"/>
      <c r="AR434" s="649"/>
      <c r="AS434" s="649"/>
      <c r="AT434" s="649"/>
      <c r="AU434" s="649"/>
      <c r="AV434" s="649"/>
      <c r="AW434" s="649"/>
      <c r="AX434" s="649"/>
      <c r="AY434" s="649"/>
      <c r="AZ434" s="649"/>
      <c r="BA434" s="649"/>
      <c r="BB434" s="649"/>
      <c r="BC434" s="649"/>
      <c r="BD434" s="649"/>
    </row>
    <row r="435" spans="1:56" s="648" customFormat="1" ht="12" customHeight="1">
      <c r="A435" s="726"/>
      <c r="B435" s="725">
        <v>43381</v>
      </c>
      <c r="C435" s="724" t="s">
        <v>124</v>
      </c>
      <c r="D435" s="723">
        <v>8.5</v>
      </c>
      <c r="E435" s="723">
        <f t="shared" si="26"/>
        <v>0</v>
      </c>
      <c r="F435" s="723"/>
      <c r="G435" s="723"/>
      <c r="H435" s="723">
        <v>8.5</v>
      </c>
      <c r="I435" s="723"/>
      <c r="J435" s="723"/>
      <c r="K435" s="723"/>
      <c r="L435" s="723"/>
      <c r="M435" s="723"/>
      <c r="N435" s="723"/>
      <c r="O435" s="743"/>
      <c r="P435" s="743"/>
      <c r="Q435" s="743"/>
      <c r="R435" s="743"/>
      <c r="S435" s="743"/>
      <c r="U435" s="649"/>
      <c r="V435" s="649"/>
      <c r="W435" s="649"/>
      <c r="X435" s="649"/>
      <c r="Y435" s="649"/>
      <c r="Z435" s="649"/>
      <c r="AA435" s="649"/>
      <c r="AB435" s="649"/>
      <c r="AC435" s="649"/>
      <c r="AD435" s="649"/>
      <c r="AE435" s="649"/>
      <c r="AF435" s="649"/>
      <c r="AG435" s="649"/>
      <c r="AH435" s="649"/>
      <c r="AI435" s="649"/>
      <c r="AJ435" s="649"/>
      <c r="AK435" s="649"/>
      <c r="AL435" s="649"/>
      <c r="AM435" s="649"/>
      <c r="AN435" s="649"/>
      <c r="AO435" s="649"/>
      <c r="AP435" s="649"/>
      <c r="AQ435" s="649"/>
      <c r="AR435" s="649"/>
      <c r="AS435" s="649"/>
      <c r="AT435" s="649"/>
      <c r="AU435" s="649"/>
      <c r="AV435" s="649"/>
      <c r="AW435" s="649"/>
      <c r="AX435" s="649"/>
      <c r="AY435" s="649"/>
      <c r="AZ435" s="649"/>
      <c r="BA435" s="649"/>
      <c r="BB435" s="649"/>
      <c r="BC435" s="649"/>
      <c r="BD435" s="649"/>
    </row>
    <row r="436" spans="1:56" s="648" customFormat="1" ht="12" customHeight="1">
      <c r="A436" s="726"/>
      <c r="B436" s="725">
        <v>43383</v>
      </c>
      <c r="C436" s="724" t="s">
        <v>451</v>
      </c>
      <c r="D436" s="723">
        <v>35</v>
      </c>
      <c r="E436" s="723">
        <f t="shared" si="26"/>
        <v>35</v>
      </c>
      <c r="F436" s="723"/>
      <c r="G436" s="723"/>
      <c r="H436" s="723"/>
      <c r="I436" s="723"/>
      <c r="J436" s="723"/>
      <c r="K436" s="723"/>
      <c r="L436" s="723"/>
      <c r="M436" s="723"/>
      <c r="N436" s="723"/>
      <c r="O436" s="743"/>
      <c r="P436" s="743"/>
      <c r="Q436" s="743"/>
      <c r="R436" s="743"/>
      <c r="S436" s="743"/>
      <c r="U436" s="649"/>
      <c r="V436" s="649"/>
      <c r="W436" s="649"/>
      <c r="X436" s="649"/>
      <c r="Y436" s="649"/>
      <c r="Z436" s="649"/>
      <c r="AA436" s="649"/>
      <c r="AB436" s="649"/>
      <c r="AC436" s="649"/>
      <c r="AD436" s="649"/>
      <c r="AE436" s="649"/>
      <c r="AF436" s="649"/>
      <c r="AG436" s="649"/>
      <c r="AH436" s="649"/>
      <c r="AI436" s="649"/>
      <c r="AJ436" s="649"/>
      <c r="AK436" s="649"/>
      <c r="AL436" s="649"/>
      <c r="AM436" s="649"/>
      <c r="AN436" s="649"/>
      <c r="AO436" s="649"/>
      <c r="AP436" s="649"/>
      <c r="AQ436" s="649"/>
      <c r="AR436" s="649"/>
      <c r="AS436" s="649"/>
      <c r="AT436" s="649"/>
      <c r="AU436" s="649"/>
      <c r="AV436" s="649"/>
      <c r="AW436" s="649"/>
      <c r="AX436" s="649"/>
      <c r="AY436" s="649"/>
      <c r="AZ436" s="649"/>
      <c r="BA436" s="649"/>
      <c r="BB436" s="649"/>
      <c r="BC436" s="649"/>
      <c r="BD436" s="649"/>
    </row>
    <row r="437" spans="1:56" s="648" customFormat="1" ht="12" customHeight="1">
      <c r="A437" s="726"/>
      <c r="B437" s="725">
        <v>43383</v>
      </c>
      <c r="C437" s="724" t="s">
        <v>123</v>
      </c>
      <c r="D437" s="723">
        <v>10</v>
      </c>
      <c r="E437" s="723">
        <f t="shared" si="26"/>
        <v>10</v>
      </c>
      <c r="F437" s="723"/>
      <c r="G437" s="723"/>
      <c r="H437" s="723"/>
      <c r="I437" s="723"/>
      <c r="J437" s="723"/>
      <c r="K437" s="723"/>
      <c r="L437" s="723"/>
      <c r="M437" s="723"/>
      <c r="N437" s="723"/>
      <c r="O437" s="743"/>
      <c r="P437" s="743"/>
      <c r="Q437" s="743"/>
      <c r="R437" s="743"/>
      <c r="S437" s="743"/>
      <c r="U437" s="649"/>
      <c r="V437" s="649"/>
      <c r="W437" s="649"/>
      <c r="X437" s="649"/>
      <c r="Y437" s="649"/>
      <c r="Z437" s="649"/>
      <c r="AA437" s="649"/>
      <c r="AB437" s="649"/>
      <c r="AC437" s="649"/>
      <c r="AD437" s="649"/>
      <c r="AE437" s="649"/>
      <c r="AF437" s="649"/>
      <c r="AG437" s="649"/>
      <c r="AH437" s="649"/>
      <c r="AI437" s="649"/>
      <c r="AJ437" s="649"/>
      <c r="AK437" s="649"/>
      <c r="AL437" s="649"/>
      <c r="AM437" s="649"/>
      <c r="AN437" s="649"/>
      <c r="AO437" s="649"/>
      <c r="AP437" s="649"/>
      <c r="AQ437" s="649"/>
      <c r="AR437" s="649"/>
      <c r="AS437" s="649"/>
      <c r="AT437" s="649"/>
      <c r="AU437" s="649"/>
      <c r="AV437" s="649"/>
      <c r="AW437" s="649"/>
      <c r="AX437" s="649"/>
      <c r="AY437" s="649"/>
      <c r="AZ437" s="649"/>
      <c r="BA437" s="649"/>
      <c r="BB437" s="649"/>
      <c r="BC437" s="649"/>
      <c r="BD437" s="649"/>
    </row>
    <row r="438" spans="1:56" s="648" customFormat="1" ht="12" customHeight="1">
      <c r="A438" s="726"/>
      <c r="B438" s="725">
        <v>43384</v>
      </c>
      <c r="C438" s="724" t="s">
        <v>451</v>
      </c>
      <c r="D438" s="723">
        <v>25</v>
      </c>
      <c r="E438" s="723">
        <f t="shared" si="26"/>
        <v>25</v>
      </c>
      <c r="F438" s="723"/>
      <c r="G438" s="723"/>
      <c r="H438" s="723"/>
      <c r="I438" s="723"/>
      <c r="J438" s="723"/>
      <c r="K438" s="723"/>
      <c r="L438" s="723"/>
      <c r="M438" s="723"/>
      <c r="N438" s="723"/>
      <c r="O438" s="743"/>
      <c r="P438" s="743"/>
      <c r="Q438" s="743"/>
      <c r="R438" s="743"/>
      <c r="S438" s="743"/>
      <c r="U438" s="649"/>
      <c r="V438" s="649"/>
      <c r="W438" s="649"/>
      <c r="X438" s="649"/>
      <c r="Y438" s="649"/>
      <c r="Z438" s="649"/>
      <c r="AA438" s="649"/>
      <c r="AB438" s="649"/>
      <c r="AC438" s="649"/>
      <c r="AD438" s="649"/>
      <c r="AE438" s="649"/>
      <c r="AF438" s="649"/>
      <c r="AG438" s="649"/>
      <c r="AH438" s="649"/>
      <c r="AI438" s="649"/>
      <c r="AJ438" s="649"/>
      <c r="AK438" s="649"/>
      <c r="AL438" s="649"/>
      <c r="AM438" s="649"/>
      <c r="AN438" s="649"/>
      <c r="AO438" s="649"/>
      <c r="AP438" s="649"/>
      <c r="AQ438" s="649"/>
      <c r="AR438" s="649"/>
      <c r="AS438" s="649"/>
      <c r="AT438" s="649"/>
      <c r="AU438" s="649"/>
      <c r="AV438" s="649"/>
      <c r="AW438" s="649"/>
      <c r="AX438" s="649"/>
      <c r="AY438" s="649"/>
      <c r="AZ438" s="649"/>
      <c r="BA438" s="649"/>
      <c r="BB438" s="649"/>
      <c r="BC438" s="649"/>
      <c r="BD438" s="649"/>
    </row>
    <row r="439" spans="1:56" s="648" customFormat="1" ht="12" customHeight="1">
      <c r="A439" s="726"/>
      <c r="B439" s="725">
        <v>43384</v>
      </c>
      <c r="C439" s="724" t="s">
        <v>124</v>
      </c>
      <c r="D439" s="723">
        <v>56.6</v>
      </c>
      <c r="E439" s="723">
        <f t="shared" si="26"/>
        <v>0</v>
      </c>
      <c r="F439" s="723"/>
      <c r="G439" s="723"/>
      <c r="H439" s="723">
        <v>56.6</v>
      </c>
      <c r="I439" s="723"/>
      <c r="J439" s="723"/>
      <c r="K439" s="723"/>
      <c r="L439" s="723"/>
      <c r="M439" s="723"/>
      <c r="N439" s="723"/>
      <c r="O439" s="743"/>
      <c r="P439" s="743"/>
      <c r="Q439" s="743"/>
      <c r="R439" s="743"/>
      <c r="S439" s="743"/>
      <c r="U439" s="649"/>
      <c r="V439" s="649"/>
      <c r="W439" s="649"/>
      <c r="X439" s="649"/>
      <c r="Y439" s="649"/>
      <c r="Z439" s="649"/>
      <c r="AA439" s="649"/>
      <c r="AB439" s="649"/>
      <c r="AC439" s="649"/>
      <c r="AD439" s="649"/>
      <c r="AE439" s="649"/>
      <c r="AF439" s="649"/>
      <c r="AG439" s="649"/>
      <c r="AH439" s="649"/>
      <c r="AI439" s="649"/>
      <c r="AJ439" s="649"/>
      <c r="AK439" s="649"/>
      <c r="AL439" s="649"/>
      <c r="AM439" s="649"/>
      <c r="AN439" s="649"/>
      <c r="AO439" s="649"/>
      <c r="AP439" s="649"/>
      <c r="AQ439" s="649"/>
      <c r="AR439" s="649"/>
      <c r="AS439" s="649"/>
      <c r="AT439" s="649"/>
      <c r="AU439" s="649"/>
      <c r="AV439" s="649"/>
      <c r="AW439" s="649"/>
      <c r="AX439" s="649"/>
      <c r="AY439" s="649"/>
      <c r="AZ439" s="649"/>
      <c r="BA439" s="649"/>
      <c r="BB439" s="649"/>
      <c r="BC439" s="649"/>
      <c r="BD439" s="649"/>
    </row>
    <row r="440" spans="1:56" s="648" customFormat="1" ht="12" customHeight="1">
      <c r="A440" s="726"/>
      <c r="B440" s="725">
        <v>43385</v>
      </c>
      <c r="C440" s="724" t="s">
        <v>451</v>
      </c>
      <c r="D440" s="723">
        <v>102</v>
      </c>
      <c r="E440" s="723">
        <f t="shared" si="26"/>
        <v>102</v>
      </c>
      <c r="F440" s="723"/>
      <c r="G440" s="723"/>
      <c r="H440" s="723"/>
      <c r="I440" s="723"/>
      <c r="J440" s="723"/>
      <c r="K440" s="723"/>
      <c r="L440" s="723"/>
      <c r="M440" s="723"/>
      <c r="N440" s="723"/>
      <c r="O440" s="743"/>
      <c r="P440" s="743"/>
      <c r="Q440" s="743"/>
      <c r="R440" s="743"/>
      <c r="S440" s="743"/>
      <c r="U440" s="649"/>
      <c r="V440" s="649"/>
      <c r="W440" s="649"/>
      <c r="X440" s="649"/>
      <c r="Y440" s="649"/>
      <c r="Z440" s="649"/>
      <c r="AA440" s="649"/>
      <c r="AB440" s="649"/>
      <c r="AC440" s="649"/>
      <c r="AD440" s="649"/>
      <c r="AE440" s="649"/>
      <c r="AF440" s="649"/>
      <c r="AG440" s="649"/>
      <c r="AH440" s="649"/>
      <c r="AI440" s="649"/>
      <c r="AJ440" s="649"/>
      <c r="AK440" s="649"/>
      <c r="AL440" s="649"/>
      <c r="AM440" s="649"/>
      <c r="AN440" s="649"/>
      <c r="AO440" s="649"/>
      <c r="AP440" s="649"/>
      <c r="AQ440" s="649"/>
      <c r="AR440" s="649"/>
      <c r="AS440" s="649"/>
      <c r="AT440" s="649"/>
      <c r="AU440" s="649"/>
      <c r="AV440" s="649"/>
      <c r="AW440" s="649"/>
      <c r="AX440" s="649"/>
      <c r="AY440" s="649"/>
      <c r="AZ440" s="649"/>
      <c r="BA440" s="649"/>
      <c r="BB440" s="649"/>
      <c r="BC440" s="649"/>
      <c r="BD440" s="649"/>
    </row>
    <row r="441" spans="1:56" s="648" customFormat="1" ht="12" customHeight="1">
      <c r="A441" s="726"/>
      <c r="B441" s="725">
        <v>43386</v>
      </c>
      <c r="C441" s="724" t="s">
        <v>451</v>
      </c>
      <c r="D441" s="723">
        <v>40</v>
      </c>
      <c r="E441" s="723">
        <f t="shared" si="26"/>
        <v>40</v>
      </c>
      <c r="F441" s="723"/>
      <c r="G441" s="723"/>
      <c r="H441" s="723"/>
      <c r="I441" s="723"/>
      <c r="J441" s="723"/>
      <c r="K441" s="723"/>
      <c r="L441" s="723"/>
      <c r="M441" s="723"/>
      <c r="N441" s="723"/>
      <c r="O441" s="743"/>
      <c r="P441" s="743"/>
      <c r="Q441" s="743"/>
      <c r="R441" s="743"/>
      <c r="S441" s="743"/>
      <c r="U441" s="649"/>
      <c r="V441" s="649"/>
      <c r="W441" s="649"/>
      <c r="X441" s="649"/>
      <c r="Y441" s="649"/>
      <c r="Z441" s="649"/>
      <c r="AA441" s="649"/>
      <c r="AB441" s="649"/>
      <c r="AC441" s="649"/>
      <c r="AD441" s="649"/>
      <c r="AE441" s="649"/>
      <c r="AF441" s="649"/>
      <c r="AG441" s="649"/>
      <c r="AH441" s="649"/>
      <c r="AI441" s="649"/>
      <c r="AJ441" s="649"/>
      <c r="AK441" s="649"/>
      <c r="AL441" s="649"/>
      <c r="AM441" s="649"/>
      <c r="AN441" s="649"/>
      <c r="AO441" s="649"/>
      <c r="AP441" s="649"/>
      <c r="AQ441" s="649"/>
      <c r="AR441" s="649"/>
      <c r="AS441" s="649"/>
      <c r="AT441" s="649"/>
      <c r="AU441" s="649"/>
      <c r="AV441" s="649"/>
      <c r="AW441" s="649"/>
      <c r="AX441" s="649"/>
      <c r="AY441" s="649"/>
      <c r="AZ441" s="649"/>
      <c r="BA441" s="649"/>
      <c r="BB441" s="649"/>
      <c r="BC441" s="649"/>
      <c r="BD441" s="649"/>
    </row>
    <row r="442" spans="1:56" s="648" customFormat="1" ht="12" customHeight="1">
      <c r="A442" s="726"/>
      <c r="B442" s="725">
        <v>43387</v>
      </c>
      <c r="C442" s="724" t="s">
        <v>451</v>
      </c>
      <c r="D442" s="723">
        <v>20</v>
      </c>
      <c r="E442" s="723">
        <f t="shared" si="26"/>
        <v>20</v>
      </c>
      <c r="F442" s="723"/>
      <c r="G442" s="723"/>
      <c r="H442" s="723"/>
      <c r="I442" s="723"/>
      <c r="J442" s="723"/>
      <c r="K442" s="723"/>
      <c r="L442" s="723"/>
      <c r="M442" s="723"/>
      <c r="N442" s="723"/>
      <c r="O442" s="743"/>
      <c r="P442" s="743"/>
      <c r="Q442" s="743"/>
      <c r="R442" s="743"/>
      <c r="S442" s="743"/>
      <c r="U442" s="649"/>
      <c r="V442" s="649"/>
      <c r="W442" s="649"/>
      <c r="X442" s="649"/>
      <c r="Y442" s="649"/>
      <c r="Z442" s="649"/>
      <c r="AA442" s="649"/>
      <c r="AB442" s="649"/>
      <c r="AC442" s="649"/>
      <c r="AD442" s="649"/>
      <c r="AE442" s="649"/>
      <c r="AF442" s="649"/>
      <c r="AG442" s="649"/>
      <c r="AH442" s="649"/>
      <c r="AI442" s="649"/>
      <c r="AJ442" s="649"/>
      <c r="AK442" s="649"/>
      <c r="AL442" s="649"/>
      <c r="AM442" s="649"/>
      <c r="AN442" s="649"/>
      <c r="AO442" s="649"/>
      <c r="AP442" s="649"/>
      <c r="AQ442" s="649"/>
      <c r="AR442" s="649"/>
      <c r="AS442" s="649"/>
      <c r="AT442" s="649"/>
      <c r="AU442" s="649"/>
      <c r="AV442" s="649"/>
      <c r="AW442" s="649"/>
      <c r="AX442" s="649"/>
      <c r="AY442" s="649"/>
      <c r="AZ442" s="649"/>
      <c r="BA442" s="649"/>
      <c r="BB442" s="649"/>
      <c r="BC442" s="649"/>
      <c r="BD442" s="649"/>
    </row>
    <row r="443" spans="1:56" s="648" customFormat="1" ht="12" customHeight="1">
      <c r="A443" s="726"/>
      <c r="B443" s="725">
        <v>43388</v>
      </c>
      <c r="C443" s="724" t="s">
        <v>451</v>
      </c>
      <c r="D443" s="723">
        <v>47</v>
      </c>
      <c r="E443" s="723">
        <f t="shared" si="26"/>
        <v>47</v>
      </c>
      <c r="F443" s="723"/>
      <c r="G443" s="723"/>
      <c r="H443" s="723"/>
      <c r="I443" s="723"/>
      <c r="J443" s="723"/>
      <c r="K443" s="723"/>
      <c r="L443" s="723"/>
      <c r="M443" s="723"/>
      <c r="N443" s="723"/>
      <c r="O443" s="743"/>
      <c r="P443" s="743"/>
      <c r="Q443" s="743"/>
      <c r="R443" s="743"/>
      <c r="S443" s="743"/>
      <c r="U443" s="649"/>
      <c r="V443" s="649"/>
      <c r="W443" s="649"/>
      <c r="X443" s="649"/>
      <c r="Y443" s="649"/>
      <c r="Z443" s="649"/>
      <c r="AA443" s="649"/>
      <c r="AB443" s="649"/>
      <c r="AC443" s="649"/>
      <c r="AD443" s="649"/>
      <c r="AE443" s="649"/>
      <c r="AF443" s="649"/>
      <c r="AG443" s="649"/>
      <c r="AH443" s="649"/>
      <c r="AI443" s="649"/>
      <c r="AJ443" s="649"/>
      <c r="AK443" s="649"/>
      <c r="AL443" s="649"/>
      <c r="AM443" s="649"/>
      <c r="AN443" s="649"/>
      <c r="AO443" s="649"/>
      <c r="AP443" s="649"/>
      <c r="AQ443" s="649"/>
      <c r="AR443" s="649"/>
      <c r="AS443" s="649"/>
      <c r="AT443" s="649"/>
      <c r="AU443" s="649"/>
      <c r="AV443" s="649"/>
      <c r="AW443" s="649"/>
      <c r="AX443" s="649"/>
      <c r="AY443" s="649"/>
      <c r="AZ443" s="649"/>
      <c r="BA443" s="649"/>
      <c r="BB443" s="649"/>
      <c r="BC443" s="649"/>
      <c r="BD443" s="649"/>
    </row>
    <row r="444" spans="1:56" s="648" customFormat="1" ht="12" customHeight="1">
      <c r="A444" s="726"/>
      <c r="B444" s="725">
        <v>43389</v>
      </c>
      <c r="C444" s="724" t="s">
        <v>451</v>
      </c>
      <c r="D444" s="723">
        <v>66.75</v>
      </c>
      <c r="E444" s="723">
        <f t="shared" si="26"/>
        <v>66.75</v>
      </c>
      <c r="F444" s="723">
        <v>57</v>
      </c>
      <c r="G444" s="723"/>
      <c r="H444" s="723"/>
      <c r="I444" s="723"/>
      <c r="J444" s="723"/>
      <c r="K444" s="723"/>
      <c r="L444" s="723"/>
      <c r="M444" s="723"/>
      <c r="N444" s="723"/>
      <c r="O444" s="743"/>
      <c r="P444" s="743"/>
      <c r="Q444" s="743"/>
      <c r="R444" s="743"/>
      <c r="S444" s="743"/>
      <c r="U444" s="649"/>
      <c r="V444" s="649"/>
      <c r="W444" s="649"/>
      <c r="X444" s="649"/>
      <c r="Y444" s="649"/>
      <c r="Z444" s="649"/>
      <c r="AA444" s="649"/>
      <c r="AB444" s="649"/>
      <c r="AC444" s="649"/>
      <c r="AD444" s="649"/>
      <c r="AE444" s="649"/>
      <c r="AF444" s="649"/>
      <c r="AG444" s="649"/>
      <c r="AH444" s="649"/>
      <c r="AI444" s="649"/>
      <c r="AJ444" s="649"/>
      <c r="AK444" s="649"/>
      <c r="AL444" s="649"/>
      <c r="AM444" s="649"/>
      <c r="AN444" s="649"/>
      <c r="AO444" s="649"/>
      <c r="AP444" s="649"/>
      <c r="AQ444" s="649"/>
      <c r="AR444" s="649"/>
      <c r="AS444" s="649"/>
      <c r="AT444" s="649"/>
      <c r="AU444" s="649"/>
      <c r="AV444" s="649"/>
      <c r="AW444" s="649"/>
      <c r="AX444" s="649"/>
      <c r="AY444" s="649"/>
      <c r="AZ444" s="649"/>
      <c r="BA444" s="649"/>
      <c r="BB444" s="649"/>
      <c r="BC444" s="649"/>
      <c r="BD444" s="649"/>
    </row>
    <row r="445" spans="1:56" s="648" customFormat="1" ht="12" customHeight="1">
      <c r="A445" s="726"/>
      <c r="B445" s="725">
        <v>43391</v>
      </c>
      <c r="C445" s="724" t="s">
        <v>38</v>
      </c>
      <c r="D445" s="723">
        <v>20</v>
      </c>
      <c r="E445" s="723">
        <f t="shared" si="26"/>
        <v>20</v>
      </c>
      <c r="F445" s="723"/>
      <c r="G445" s="723"/>
      <c r="H445" s="723"/>
      <c r="I445" s="723"/>
      <c r="J445" s="723"/>
      <c r="K445" s="723"/>
      <c r="L445" s="723"/>
      <c r="M445" s="723"/>
      <c r="N445" s="723"/>
      <c r="O445" s="743"/>
      <c r="P445" s="743"/>
      <c r="Q445" s="743"/>
      <c r="R445" s="743"/>
      <c r="S445" s="743"/>
      <c r="U445" s="649"/>
      <c r="V445" s="649"/>
      <c r="W445" s="649"/>
      <c r="X445" s="649"/>
      <c r="Y445" s="649"/>
      <c r="Z445" s="649"/>
      <c r="AA445" s="649"/>
      <c r="AB445" s="649"/>
      <c r="AC445" s="649"/>
      <c r="AD445" s="649"/>
      <c r="AE445" s="649"/>
      <c r="AF445" s="649"/>
      <c r="AG445" s="649"/>
      <c r="AH445" s="649"/>
      <c r="AI445" s="649"/>
      <c r="AJ445" s="649"/>
      <c r="AK445" s="649"/>
      <c r="AL445" s="649"/>
      <c r="AM445" s="649"/>
      <c r="AN445" s="649"/>
      <c r="AO445" s="649"/>
      <c r="AP445" s="649"/>
      <c r="AQ445" s="649"/>
      <c r="AR445" s="649"/>
      <c r="AS445" s="649"/>
      <c r="AT445" s="649"/>
      <c r="AU445" s="649"/>
      <c r="AV445" s="649"/>
      <c r="AW445" s="649"/>
      <c r="AX445" s="649"/>
      <c r="AY445" s="649"/>
      <c r="AZ445" s="649"/>
      <c r="BA445" s="649"/>
      <c r="BB445" s="649"/>
      <c r="BC445" s="649"/>
      <c r="BD445" s="649"/>
    </row>
    <row r="446" spans="1:56" s="648" customFormat="1" ht="12" customHeight="1">
      <c r="A446" s="726"/>
      <c r="B446" s="725">
        <v>43392</v>
      </c>
      <c r="C446" s="724" t="s">
        <v>38</v>
      </c>
      <c r="D446" s="723">
        <v>20</v>
      </c>
      <c r="E446" s="723">
        <f t="shared" si="26"/>
        <v>20</v>
      </c>
      <c r="F446" s="723"/>
      <c r="G446" s="723"/>
      <c r="H446" s="723"/>
      <c r="I446" s="723"/>
      <c r="J446" s="723"/>
      <c r="K446" s="723"/>
      <c r="L446" s="723"/>
      <c r="M446" s="723"/>
      <c r="N446" s="723"/>
      <c r="O446" s="743"/>
      <c r="P446" s="743"/>
      <c r="Q446" s="743"/>
      <c r="R446" s="743"/>
      <c r="S446" s="743"/>
      <c r="U446" s="649"/>
      <c r="V446" s="649"/>
      <c r="W446" s="649"/>
      <c r="X446" s="649"/>
      <c r="Y446" s="649"/>
      <c r="Z446" s="649"/>
      <c r="AA446" s="649"/>
      <c r="AB446" s="649"/>
      <c r="AC446" s="649"/>
      <c r="AD446" s="649"/>
      <c r="AE446" s="649"/>
      <c r="AF446" s="649"/>
      <c r="AG446" s="649"/>
      <c r="AH446" s="649"/>
      <c r="AI446" s="649"/>
      <c r="AJ446" s="649"/>
      <c r="AK446" s="649"/>
      <c r="AL446" s="649"/>
      <c r="AM446" s="649"/>
      <c r="AN446" s="649"/>
      <c r="AO446" s="649"/>
      <c r="AP446" s="649"/>
      <c r="AQ446" s="649"/>
      <c r="AR446" s="649"/>
      <c r="AS446" s="649"/>
      <c r="AT446" s="649"/>
      <c r="AU446" s="649"/>
      <c r="AV446" s="649"/>
      <c r="AW446" s="649"/>
      <c r="AX446" s="649"/>
      <c r="AY446" s="649"/>
      <c r="AZ446" s="649"/>
      <c r="BA446" s="649"/>
      <c r="BB446" s="649"/>
      <c r="BC446" s="649"/>
      <c r="BD446" s="649"/>
    </row>
    <row r="447" spans="1:56" s="648" customFormat="1" ht="12" customHeight="1">
      <c r="A447" s="726"/>
      <c r="B447" s="725">
        <v>43392</v>
      </c>
      <c r="C447" s="724" t="s">
        <v>39</v>
      </c>
      <c r="D447" s="723">
        <v>81.040000000000006</v>
      </c>
      <c r="E447" s="723">
        <f t="shared" si="26"/>
        <v>81.040000000000006</v>
      </c>
      <c r="F447" s="723"/>
      <c r="G447" s="723"/>
      <c r="H447" s="723"/>
      <c r="I447" s="723"/>
      <c r="J447" s="723"/>
      <c r="K447" s="723"/>
      <c r="L447" s="723"/>
      <c r="M447" s="723"/>
      <c r="N447" s="723"/>
      <c r="O447" s="743"/>
      <c r="P447" s="743"/>
      <c r="Q447" s="743"/>
      <c r="R447" s="743"/>
      <c r="S447" s="743"/>
      <c r="U447" s="649"/>
      <c r="V447" s="649"/>
      <c r="W447" s="649"/>
      <c r="X447" s="649"/>
      <c r="Y447" s="649"/>
      <c r="Z447" s="649"/>
      <c r="AA447" s="649"/>
      <c r="AB447" s="649"/>
      <c r="AC447" s="649"/>
      <c r="AD447" s="649"/>
      <c r="AE447" s="649"/>
      <c r="AF447" s="649"/>
      <c r="AG447" s="649"/>
      <c r="AH447" s="649"/>
      <c r="AI447" s="649"/>
      <c r="AJ447" s="649"/>
      <c r="AK447" s="649"/>
      <c r="AL447" s="649"/>
      <c r="AM447" s="649"/>
      <c r="AN447" s="649"/>
      <c r="AO447" s="649"/>
      <c r="AP447" s="649"/>
      <c r="AQ447" s="649"/>
      <c r="AR447" s="649"/>
      <c r="AS447" s="649"/>
      <c r="AT447" s="649"/>
      <c r="AU447" s="649"/>
      <c r="AV447" s="649"/>
      <c r="AW447" s="649"/>
      <c r="AX447" s="649"/>
      <c r="AY447" s="649"/>
      <c r="AZ447" s="649"/>
      <c r="BA447" s="649"/>
      <c r="BB447" s="649"/>
      <c r="BC447" s="649"/>
      <c r="BD447" s="649"/>
    </row>
    <row r="448" spans="1:56" s="648" customFormat="1" ht="12" customHeight="1">
      <c r="A448" s="726"/>
      <c r="B448" s="725">
        <v>43395</v>
      </c>
      <c r="C448" s="724" t="s">
        <v>451</v>
      </c>
      <c r="D448" s="723">
        <v>45.5</v>
      </c>
      <c r="E448" s="723">
        <f t="shared" si="26"/>
        <v>45.5</v>
      </c>
      <c r="F448" s="723"/>
      <c r="G448" s="723"/>
      <c r="H448" s="723"/>
      <c r="I448" s="723"/>
      <c r="J448" s="723"/>
      <c r="K448" s="723"/>
      <c r="L448" s="723"/>
      <c r="M448" s="723"/>
      <c r="N448" s="723"/>
      <c r="O448" s="743"/>
      <c r="P448" s="743"/>
      <c r="Q448" s="743"/>
      <c r="R448" s="743"/>
      <c r="S448" s="743"/>
      <c r="U448" s="649"/>
      <c r="V448" s="649"/>
      <c r="W448" s="649"/>
      <c r="X448" s="649"/>
      <c r="Y448" s="649"/>
      <c r="Z448" s="649"/>
      <c r="AA448" s="649"/>
      <c r="AB448" s="649"/>
      <c r="AC448" s="649"/>
      <c r="AD448" s="649"/>
      <c r="AE448" s="649"/>
      <c r="AF448" s="649"/>
      <c r="AG448" s="649"/>
      <c r="AH448" s="649"/>
      <c r="AI448" s="649"/>
      <c r="AJ448" s="649"/>
      <c r="AK448" s="649"/>
      <c r="AL448" s="649"/>
      <c r="AM448" s="649"/>
      <c r="AN448" s="649"/>
      <c r="AO448" s="649"/>
      <c r="AP448" s="649"/>
      <c r="AQ448" s="649"/>
      <c r="AR448" s="649"/>
      <c r="AS448" s="649"/>
      <c r="AT448" s="649"/>
      <c r="AU448" s="649"/>
      <c r="AV448" s="649"/>
      <c r="AW448" s="649"/>
      <c r="AX448" s="649"/>
      <c r="AY448" s="649"/>
      <c r="AZ448" s="649"/>
      <c r="BA448" s="649"/>
      <c r="BB448" s="649"/>
      <c r="BC448" s="649"/>
      <c r="BD448" s="649"/>
    </row>
    <row r="449" spans="1:56" s="648" customFormat="1" ht="12" customHeight="1">
      <c r="A449" s="726"/>
      <c r="B449" s="725">
        <v>43395</v>
      </c>
      <c r="C449" s="724" t="s">
        <v>39</v>
      </c>
      <c r="D449" s="723">
        <v>39</v>
      </c>
      <c r="E449" s="723">
        <f t="shared" si="26"/>
        <v>39</v>
      </c>
      <c r="F449" s="723"/>
      <c r="G449" s="723"/>
      <c r="H449" s="723"/>
      <c r="I449" s="723"/>
      <c r="J449" s="723"/>
      <c r="K449" s="723"/>
      <c r="L449" s="723"/>
      <c r="M449" s="723"/>
      <c r="N449" s="723"/>
      <c r="O449" s="743"/>
      <c r="P449" s="743"/>
      <c r="Q449" s="743"/>
      <c r="R449" s="743"/>
      <c r="S449" s="743"/>
      <c r="U449" s="649"/>
      <c r="V449" s="649"/>
      <c r="W449" s="649"/>
      <c r="X449" s="649"/>
      <c r="Y449" s="649"/>
      <c r="Z449" s="649"/>
      <c r="AA449" s="649"/>
      <c r="AB449" s="649"/>
      <c r="AC449" s="649"/>
      <c r="AD449" s="649"/>
      <c r="AE449" s="649"/>
      <c r="AF449" s="649"/>
      <c r="AG449" s="649"/>
      <c r="AH449" s="649"/>
      <c r="AI449" s="649"/>
      <c r="AJ449" s="649"/>
      <c r="AK449" s="649"/>
      <c r="AL449" s="649"/>
      <c r="AM449" s="649"/>
      <c r="AN449" s="649"/>
      <c r="AO449" s="649"/>
      <c r="AP449" s="649"/>
      <c r="AQ449" s="649"/>
      <c r="AR449" s="649"/>
      <c r="AS449" s="649"/>
      <c r="AT449" s="649"/>
      <c r="AU449" s="649"/>
      <c r="AV449" s="649"/>
      <c r="AW449" s="649"/>
      <c r="AX449" s="649"/>
      <c r="AY449" s="649"/>
      <c r="AZ449" s="649"/>
      <c r="BA449" s="649"/>
      <c r="BB449" s="649"/>
      <c r="BC449" s="649"/>
      <c r="BD449" s="649"/>
    </row>
    <row r="450" spans="1:56" s="648" customFormat="1" ht="12" customHeight="1">
      <c r="A450" s="726"/>
      <c r="B450" s="725">
        <v>43395</v>
      </c>
      <c r="C450" s="724" t="s">
        <v>38</v>
      </c>
      <c r="D450" s="723">
        <v>12</v>
      </c>
      <c r="E450" s="723">
        <f t="shared" si="26"/>
        <v>12</v>
      </c>
      <c r="F450" s="723"/>
      <c r="G450" s="723"/>
      <c r="H450" s="723"/>
      <c r="I450" s="723"/>
      <c r="J450" s="723"/>
      <c r="K450" s="723"/>
      <c r="L450" s="723"/>
      <c r="M450" s="723"/>
      <c r="N450" s="723"/>
      <c r="O450" s="743"/>
      <c r="P450" s="743"/>
      <c r="Q450" s="743"/>
      <c r="R450" s="743"/>
      <c r="S450" s="743"/>
      <c r="U450" s="649"/>
      <c r="V450" s="649"/>
      <c r="W450" s="649"/>
      <c r="X450" s="649"/>
      <c r="Y450" s="649"/>
      <c r="Z450" s="649"/>
      <c r="AA450" s="649"/>
      <c r="AB450" s="649"/>
      <c r="AC450" s="649"/>
      <c r="AD450" s="649"/>
      <c r="AE450" s="649"/>
      <c r="AF450" s="649"/>
      <c r="AG450" s="649"/>
      <c r="AH450" s="649"/>
      <c r="AI450" s="649"/>
      <c r="AJ450" s="649"/>
      <c r="AK450" s="649"/>
      <c r="AL450" s="649"/>
      <c r="AM450" s="649"/>
      <c r="AN450" s="649"/>
      <c r="AO450" s="649"/>
      <c r="AP450" s="649"/>
      <c r="AQ450" s="649"/>
      <c r="AR450" s="649"/>
      <c r="AS450" s="649"/>
      <c r="AT450" s="649"/>
      <c r="AU450" s="649"/>
      <c r="AV450" s="649"/>
      <c r="AW450" s="649"/>
      <c r="AX450" s="649"/>
      <c r="AY450" s="649"/>
      <c r="AZ450" s="649"/>
      <c r="BA450" s="649"/>
      <c r="BB450" s="649"/>
      <c r="BC450" s="649"/>
      <c r="BD450" s="649"/>
    </row>
    <row r="451" spans="1:56" s="648" customFormat="1" ht="12" customHeight="1">
      <c r="A451" s="726"/>
      <c r="B451" s="725">
        <v>43397</v>
      </c>
      <c r="C451" s="724" t="s">
        <v>451</v>
      </c>
      <c r="D451" s="723">
        <v>34.85</v>
      </c>
      <c r="E451" s="723">
        <f t="shared" si="26"/>
        <v>34.85</v>
      </c>
      <c r="F451" s="723"/>
      <c r="G451" s="723"/>
      <c r="H451" s="723"/>
      <c r="I451" s="723"/>
      <c r="J451" s="723"/>
      <c r="K451" s="723"/>
      <c r="L451" s="723"/>
      <c r="M451" s="723"/>
      <c r="N451" s="723"/>
      <c r="O451" s="743"/>
      <c r="P451" s="743"/>
      <c r="Q451" s="743"/>
      <c r="R451" s="743"/>
      <c r="S451" s="743"/>
      <c r="U451" s="649"/>
      <c r="V451" s="649"/>
      <c r="W451" s="649"/>
      <c r="X451" s="649"/>
      <c r="Y451" s="649"/>
      <c r="Z451" s="649"/>
      <c r="AA451" s="649"/>
      <c r="AB451" s="649"/>
      <c r="AC451" s="649"/>
      <c r="AD451" s="649"/>
      <c r="AE451" s="649"/>
      <c r="AF451" s="649"/>
      <c r="AG451" s="649"/>
      <c r="AH451" s="649"/>
      <c r="AI451" s="649"/>
      <c r="AJ451" s="649"/>
      <c r="AK451" s="649"/>
      <c r="AL451" s="649"/>
      <c r="AM451" s="649"/>
      <c r="AN451" s="649"/>
      <c r="AO451" s="649"/>
      <c r="AP451" s="649"/>
      <c r="AQ451" s="649"/>
      <c r="AR451" s="649"/>
      <c r="AS451" s="649"/>
      <c r="AT451" s="649"/>
      <c r="AU451" s="649"/>
      <c r="AV451" s="649"/>
      <c r="AW451" s="649"/>
      <c r="AX451" s="649"/>
      <c r="AY451" s="649"/>
      <c r="AZ451" s="649"/>
      <c r="BA451" s="649"/>
      <c r="BB451" s="649"/>
      <c r="BC451" s="649"/>
      <c r="BD451" s="649"/>
    </row>
    <row r="452" spans="1:56" s="648" customFormat="1" ht="12" customHeight="1">
      <c r="A452" s="726"/>
      <c r="B452" s="725">
        <v>43403</v>
      </c>
      <c r="C452" s="724" t="s">
        <v>39</v>
      </c>
      <c r="D452" s="723">
        <v>52.45</v>
      </c>
      <c r="E452" s="723">
        <f t="shared" si="26"/>
        <v>52.45</v>
      </c>
      <c r="F452" s="723"/>
      <c r="G452" s="723"/>
      <c r="H452" s="723"/>
      <c r="I452" s="723"/>
      <c r="J452" s="723"/>
      <c r="K452" s="723"/>
      <c r="L452" s="723"/>
      <c r="M452" s="723"/>
      <c r="N452" s="723"/>
      <c r="O452" s="743"/>
      <c r="P452" s="743"/>
      <c r="Q452" s="743"/>
      <c r="R452" s="743"/>
      <c r="S452" s="743"/>
      <c r="U452" s="649"/>
      <c r="V452" s="649"/>
      <c r="W452" s="649"/>
      <c r="X452" s="649"/>
      <c r="Y452" s="649"/>
      <c r="Z452" s="649"/>
      <c r="AA452" s="649"/>
      <c r="AB452" s="649"/>
      <c r="AC452" s="649"/>
      <c r="AD452" s="649"/>
      <c r="AE452" s="649"/>
      <c r="AF452" s="649"/>
      <c r="AG452" s="649"/>
      <c r="AH452" s="649"/>
      <c r="AI452" s="649"/>
      <c r="AJ452" s="649"/>
      <c r="AK452" s="649"/>
      <c r="AL452" s="649"/>
      <c r="AM452" s="649"/>
      <c r="AN452" s="649"/>
      <c r="AO452" s="649"/>
      <c r="AP452" s="649"/>
      <c r="AQ452" s="649"/>
      <c r="AR452" s="649"/>
      <c r="AS452" s="649"/>
      <c r="AT452" s="649"/>
      <c r="AU452" s="649"/>
      <c r="AV452" s="649"/>
      <c r="AW452" s="649"/>
      <c r="AX452" s="649"/>
      <c r="AY452" s="649"/>
      <c r="AZ452" s="649"/>
      <c r="BA452" s="649"/>
      <c r="BB452" s="649"/>
      <c r="BC452" s="649"/>
      <c r="BD452" s="649"/>
    </row>
    <row r="453" spans="1:56" s="744" customFormat="1" ht="12" customHeight="1">
      <c r="A453" s="749"/>
      <c r="B453" s="748" t="str">
        <f>M1</f>
        <v>november</v>
      </c>
      <c r="C453" s="747"/>
      <c r="D453" s="746">
        <f t="shared" ref="D453:S453" si="27">SUM(D454:D494)</f>
        <v>4495.24</v>
      </c>
      <c r="E453" s="746">
        <f t="shared" si="27"/>
        <v>2817.94</v>
      </c>
      <c r="F453" s="746">
        <f t="shared" si="27"/>
        <v>357.95</v>
      </c>
      <c r="G453" s="746">
        <f t="shared" si="27"/>
        <v>400</v>
      </c>
      <c r="H453" s="746">
        <f t="shared" si="27"/>
        <v>623.54999999999995</v>
      </c>
      <c r="I453" s="746">
        <f t="shared" si="27"/>
        <v>653.75</v>
      </c>
      <c r="J453" s="746">
        <f t="shared" si="27"/>
        <v>0</v>
      </c>
      <c r="K453" s="746">
        <f t="shared" si="27"/>
        <v>0</v>
      </c>
      <c r="L453" s="746">
        <f t="shared" si="27"/>
        <v>0</v>
      </c>
      <c r="M453" s="746">
        <f t="shared" si="27"/>
        <v>0</v>
      </c>
      <c r="N453" s="746">
        <f t="shared" si="27"/>
        <v>0</v>
      </c>
      <c r="O453" s="745">
        <f t="shared" si="27"/>
        <v>0</v>
      </c>
      <c r="P453" s="745">
        <f t="shared" si="27"/>
        <v>0</v>
      </c>
      <c r="Q453" s="745">
        <f t="shared" si="27"/>
        <v>0</v>
      </c>
      <c r="R453" s="745">
        <f t="shared" si="27"/>
        <v>0</v>
      </c>
      <c r="S453" s="745">
        <f t="shared" si="27"/>
        <v>0</v>
      </c>
    </row>
    <row r="454" spans="1:56" s="648" customFormat="1" ht="12" customHeight="1">
      <c r="A454" s="726"/>
      <c r="B454" s="725">
        <v>43404</v>
      </c>
      <c r="C454" s="724" t="s">
        <v>714</v>
      </c>
      <c r="D454" s="723">
        <v>186.95</v>
      </c>
      <c r="E454" s="723">
        <f t="shared" ref="E454:E494" si="28">D454-G454-H454-I454</f>
        <v>106.94999999999999</v>
      </c>
      <c r="F454" s="723"/>
      <c r="G454" s="723">
        <v>80</v>
      </c>
      <c r="H454" s="723"/>
      <c r="I454" s="723"/>
      <c r="J454" s="723"/>
      <c r="K454" s="723"/>
      <c r="L454" s="723"/>
      <c r="M454" s="723"/>
      <c r="N454" s="723"/>
      <c r="O454" s="743"/>
      <c r="P454" s="743"/>
      <c r="Q454" s="743"/>
      <c r="R454" s="743"/>
      <c r="S454" s="743"/>
      <c r="U454" s="649"/>
      <c r="V454" s="649"/>
      <c r="W454" s="649"/>
      <c r="X454" s="649"/>
      <c r="Y454" s="649"/>
      <c r="Z454" s="649"/>
      <c r="AA454" s="649"/>
      <c r="AB454" s="649"/>
      <c r="AC454" s="649"/>
      <c r="AD454" s="649"/>
      <c r="AE454" s="649"/>
      <c r="AF454" s="649"/>
      <c r="AG454" s="649"/>
      <c r="AH454" s="649"/>
      <c r="AI454" s="649"/>
      <c r="AJ454" s="649"/>
      <c r="AK454" s="649"/>
      <c r="AL454" s="649"/>
      <c r="AM454" s="649"/>
      <c r="AN454" s="649"/>
      <c r="AO454" s="649"/>
      <c r="AP454" s="649"/>
      <c r="AQ454" s="649"/>
      <c r="AR454" s="649"/>
      <c r="AS454" s="649"/>
      <c r="AT454" s="649"/>
      <c r="AU454" s="649"/>
      <c r="AV454" s="649"/>
      <c r="AW454" s="649"/>
      <c r="AX454" s="649"/>
      <c r="AY454" s="649"/>
      <c r="AZ454" s="649"/>
      <c r="BA454" s="649"/>
      <c r="BB454" s="649"/>
      <c r="BC454" s="649"/>
      <c r="BD454" s="649"/>
    </row>
    <row r="455" spans="1:56" s="648" customFormat="1" ht="12" customHeight="1">
      <c r="A455" s="726"/>
      <c r="B455" s="725">
        <v>43404</v>
      </c>
      <c r="C455" s="724" t="s">
        <v>40</v>
      </c>
      <c r="D455" s="723">
        <v>88.95</v>
      </c>
      <c r="E455" s="723">
        <f t="shared" si="28"/>
        <v>88.95</v>
      </c>
      <c r="F455" s="723"/>
      <c r="G455" s="723"/>
      <c r="H455" s="723"/>
      <c r="I455" s="723"/>
      <c r="J455" s="723"/>
      <c r="K455" s="723"/>
      <c r="L455" s="723"/>
      <c r="M455" s="723"/>
      <c r="N455" s="723"/>
      <c r="O455" s="743"/>
      <c r="P455" s="743"/>
      <c r="Q455" s="743"/>
      <c r="R455" s="743"/>
      <c r="S455" s="743"/>
      <c r="U455" s="649"/>
      <c r="V455" s="649"/>
      <c r="W455" s="649"/>
      <c r="X455" s="649"/>
      <c r="Y455" s="649"/>
      <c r="Z455" s="649"/>
      <c r="AA455" s="649"/>
      <c r="AB455" s="649"/>
      <c r="AC455" s="649"/>
      <c r="AD455" s="649"/>
      <c r="AE455" s="649"/>
      <c r="AF455" s="649"/>
      <c r="AG455" s="649"/>
      <c r="AH455" s="649"/>
      <c r="AI455" s="649"/>
      <c r="AJ455" s="649"/>
      <c r="AK455" s="649"/>
      <c r="AL455" s="649"/>
      <c r="AM455" s="649"/>
      <c r="AN455" s="649"/>
      <c r="AO455" s="649"/>
      <c r="AP455" s="649"/>
      <c r="AQ455" s="649"/>
      <c r="AR455" s="649"/>
      <c r="AS455" s="649"/>
      <c r="AT455" s="649"/>
      <c r="AU455" s="649"/>
      <c r="AV455" s="649"/>
      <c r="AW455" s="649"/>
      <c r="AX455" s="649"/>
      <c r="AY455" s="649"/>
      <c r="AZ455" s="649"/>
      <c r="BA455" s="649"/>
      <c r="BB455" s="649"/>
      <c r="BC455" s="649"/>
      <c r="BD455" s="649"/>
    </row>
    <row r="456" spans="1:56" s="648" customFormat="1" ht="12" customHeight="1">
      <c r="A456" s="726"/>
      <c r="B456" s="725">
        <v>43404</v>
      </c>
      <c r="C456" s="724" t="s">
        <v>451</v>
      </c>
      <c r="D456" s="723">
        <v>113.15</v>
      </c>
      <c r="E456" s="723">
        <f t="shared" si="28"/>
        <v>98.2</v>
      </c>
      <c r="F456" s="723">
        <v>58.95</v>
      </c>
      <c r="G456" s="723"/>
      <c r="H456" s="723"/>
      <c r="I456" s="723">
        <v>14.95</v>
      </c>
      <c r="J456" s="723"/>
      <c r="K456" s="723"/>
      <c r="L456" s="723"/>
      <c r="M456" s="723"/>
      <c r="N456" s="723"/>
      <c r="O456" s="743"/>
      <c r="P456" s="743"/>
      <c r="Q456" s="743"/>
      <c r="R456" s="743"/>
      <c r="S456" s="743"/>
      <c r="U456" s="649"/>
      <c r="V456" s="649"/>
      <c r="W456" s="649"/>
      <c r="X456" s="649"/>
      <c r="Y456" s="649"/>
      <c r="Z456" s="649"/>
      <c r="AA456" s="649"/>
      <c r="AB456" s="649"/>
      <c r="AC456" s="649"/>
      <c r="AD456" s="649"/>
      <c r="AE456" s="649"/>
      <c r="AF456" s="649"/>
      <c r="AG456" s="649"/>
      <c r="AH456" s="649"/>
      <c r="AI456" s="649"/>
      <c r="AJ456" s="649"/>
      <c r="AK456" s="649"/>
      <c r="AL456" s="649"/>
      <c r="AM456" s="649"/>
      <c r="AN456" s="649"/>
      <c r="AO456" s="649"/>
      <c r="AP456" s="649"/>
      <c r="AQ456" s="649"/>
      <c r="AR456" s="649"/>
      <c r="AS456" s="649"/>
      <c r="AT456" s="649"/>
      <c r="AU456" s="649"/>
      <c r="AV456" s="649"/>
      <c r="AW456" s="649"/>
      <c r="AX456" s="649"/>
      <c r="AY456" s="649"/>
      <c r="AZ456" s="649"/>
      <c r="BA456" s="649"/>
      <c r="BB456" s="649"/>
      <c r="BC456" s="649"/>
      <c r="BD456" s="649"/>
    </row>
    <row r="457" spans="1:56" s="648" customFormat="1" ht="12" customHeight="1">
      <c r="A457" s="726"/>
      <c r="B457" s="725">
        <v>43404</v>
      </c>
      <c r="C457" s="724" t="s">
        <v>38</v>
      </c>
      <c r="D457" s="723">
        <v>205.9</v>
      </c>
      <c r="E457" s="723">
        <f t="shared" si="28"/>
        <v>63.900000000000006</v>
      </c>
      <c r="F457" s="723"/>
      <c r="G457" s="723">
        <v>80</v>
      </c>
      <c r="H457" s="723"/>
      <c r="I457" s="723">
        <v>62</v>
      </c>
      <c r="J457" s="723"/>
      <c r="K457" s="723"/>
      <c r="L457" s="723"/>
      <c r="M457" s="723"/>
      <c r="N457" s="723"/>
      <c r="O457" s="743"/>
      <c r="P457" s="743"/>
      <c r="Q457" s="743"/>
      <c r="R457" s="743"/>
      <c r="S457" s="743"/>
      <c r="U457" s="649"/>
      <c r="V457" s="649"/>
      <c r="W457" s="649"/>
      <c r="X457" s="649"/>
      <c r="Y457" s="649"/>
      <c r="Z457" s="649"/>
      <c r="AA457" s="649"/>
      <c r="AB457" s="649"/>
      <c r="AC457" s="649"/>
      <c r="AD457" s="649"/>
      <c r="AE457" s="649"/>
      <c r="AF457" s="649"/>
      <c r="AG457" s="649"/>
      <c r="AH457" s="649"/>
      <c r="AI457" s="649"/>
      <c r="AJ457" s="649"/>
      <c r="AK457" s="649"/>
      <c r="AL457" s="649"/>
      <c r="AM457" s="649"/>
      <c r="AN457" s="649"/>
      <c r="AO457" s="649"/>
      <c r="AP457" s="649"/>
      <c r="AQ457" s="649"/>
      <c r="AR457" s="649"/>
      <c r="AS457" s="649"/>
      <c r="AT457" s="649"/>
      <c r="AU457" s="649"/>
      <c r="AV457" s="649"/>
      <c r="AW457" s="649"/>
      <c r="AX457" s="649"/>
      <c r="AY457" s="649"/>
      <c r="AZ457" s="649"/>
      <c r="BA457" s="649"/>
      <c r="BB457" s="649"/>
      <c r="BC457" s="649"/>
      <c r="BD457" s="649"/>
    </row>
    <row r="458" spans="1:56" s="648" customFormat="1" ht="12" customHeight="1">
      <c r="A458" s="726"/>
      <c r="B458" s="725">
        <v>43404</v>
      </c>
      <c r="C458" s="724" t="s">
        <v>451</v>
      </c>
      <c r="D458" s="723">
        <v>181.7</v>
      </c>
      <c r="E458" s="723">
        <f t="shared" si="28"/>
        <v>101.69999999999999</v>
      </c>
      <c r="F458" s="723">
        <v>18</v>
      </c>
      <c r="G458" s="723">
        <v>80</v>
      </c>
      <c r="H458" s="723"/>
      <c r="I458" s="723"/>
      <c r="J458" s="723"/>
      <c r="K458" s="723"/>
      <c r="L458" s="723"/>
      <c r="M458" s="723"/>
      <c r="N458" s="723"/>
      <c r="O458" s="743"/>
      <c r="P458" s="743"/>
      <c r="Q458" s="743"/>
      <c r="R458" s="743"/>
      <c r="S458" s="743"/>
      <c r="U458" s="649"/>
      <c r="V458" s="649"/>
      <c r="W458" s="649"/>
      <c r="X458" s="649"/>
      <c r="Y458" s="649"/>
      <c r="Z458" s="649"/>
      <c r="AA458" s="649"/>
      <c r="AB458" s="649"/>
      <c r="AC458" s="649"/>
      <c r="AD458" s="649"/>
      <c r="AE458" s="649"/>
      <c r="AF458" s="649"/>
      <c r="AG458" s="649"/>
      <c r="AH458" s="649"/>
      <c r="AI458" s="649"/>
      <c r="AJ458" s="649"/>
      <c r="AK458" s="649"/>
      <c r="AL458" s="649"/>
      <c r="AM458" s="649"/>
      <c r="AN458" s="649"/>
      <c r="AO458" s="649"/>
      <c r="AP458" s="649"/>
      <c r="AQ458" s="649"/>
      <c r="AR458" s="649"/>
      <c r="AS458" s="649"/>
      <c r="AT458" s="649"/>
      <c r="AU458" s="649"/>
      <c r="AV458" s="649"/>
      <c r="AW458" s="649"/>
      <c r="AX458" s="649"/>
      <c r="AY458" s="649"/>
      <c r="AZ458" s="649"/>
      <c r="BA458" s="649"/>
      <c r="BB458" s="649"/>
      <c r="BC458" s="649"/>
      <c r="BD458" s="649"/>
    </row>
    <row r="459" spans="1:56" s="648" customFormat="1" ht="12" customHeight="1">
      <c r="A459" s="726"/>
      <c r="B459" s="725">
        <v>43404</v>
      </c>
      <c r="C459" s="724" t="s">
        <v>451</v>
      </c>
      <c r="D459" s="723">
        <v>241.52</v>
      </c>
      <c r="E459" s="723">
        <f t="shared" si="28"/>
        <v>161.52000000000001</v>
      </c>
      <c r="F459" s="723">
        <v>60</v>
      </c>
      <c r="G459" s="723">
        <v>80</v>
      </c>
      <c r="H459" s="723"/>
      <c r="I459" s="723"/>
      <c r="J459" s="723"/>
      <c r="K459" s="723"/>
      <c r="L459" s="723"/>
      <c r="M459" s="723"/>
      <c r="N459" s="723"/>
      <c r="O459" s="743"/>
      <c r="P459" s="743"/>
      <c r="Q459" s="743"/>
      <c r="R459" s="743"/>
      <c r="S459" s="743"/>
      <c r="U459" s="649"/>
      <c r="V459" s="649"/>
      <c r="W459" s="649"/>
      <c r="X459" s="649"/>
      <c r="Y459" s="649"/>
      <c r="Z459" s="649"/>
      <c r="AA459" s="649"/>
      <c r="AB459" s="649"/>
      <c r="AC459" s="649"/>
      <c r="AD459" s="649"/>
      <c r="AE459" s="649"/>
      <c r="AF459" s="649"/>
      <c r="AG459" s="649"/>
      <c r="AH459" s="649"/>
      <c r="AI459" s="649"/>
      <c r="AJ459" s="649"/>
      <c r="AK459" s="649"/>
      <c r="AL459" s="649"/>
      <c r="AM459" s="649"/>
      <c r="AN459" s="649"/>
      <c r="AO459" s="649"/>
      <c r="AP459" s="649"/>
      <c r="AQ459" s="649"/>
      <c r="AR459" s="649"/>
      <c r="AS459" s="649"/>
      <c r="AT459" s="649"/>
      <c r="AU459" s="649"/>
      <c r="AV459" s="649"/>
      <c r="AW459" s="649"/>
      <c r="AX459" s="649"/>
      <c r="AY459" s="649"/>
      <c r="AZ459" s="649"/>
      <c r="BA459" s="649"/>
      <c r="BB459" s="649"/>
      <c r="BC459" s="649"/>
      <c r="BD459" s="649"/>
    </row>
    <row r="460" spans="1:56" s="648" customFormat="1" ht="12" customHeight="1">
      <c r="A460" s="726"/>
      <c r="B460" s="725">
        <v>43404</v>
      </c>
      <c r="C460" s="724" t="s">
        <v>39</v>
      </c>
      <c r="D460" s="723">
        <v>211.8</v>
      </c>
      <c r="E460" s="723">
        <f t="shared" si="28"/>
        <v>90.9</v>
      </c>
      <c r="F460" s="723"/>
      <c r="G460" s="723">
        <v>80</v>
      </c>
      <c r="H460" s="723"/>
      <c r="I460" s="723">
        <v>40.9</v>
      </c>
      <c r="J460" s="723"/>
      <c r="K460" s="723"/>
      <c r="L460" s="723"/>
      <c r="M460" s="723"/>
      <c r="N460" s="723"/>
      <c r="O460" s="743"/>
      <c r="P460" s="743"/>
      <c r="Q460" s="743"/>
      <c r="R460" s="743"/>
      <c r="S460" s="743"/>
      <c r="U460" s="649"/>
      <c r="V460" s="649"/>
      <c r="W460" s="649"/>
      <c r="X460" s="649"/>
      <c r="Y460" s="649"/>
      <c r="Z460" s="649"/>
      <c r="AA460" s="649"/>
      <c r="AB460" s="649"/>
      <c r="AC460" s="649"/>
      <c r="AD460" s="649"/>
      <c r="AE460" s="649"/>
      <c r="AF460" s="649"/>
      <c r="AG460" s="649"/>
      <c r="AH460" s="649"/>
      <c r="AI460" s="649"/>
      <c r="AJ460" s="649"/>
      <c r="AK460" s="649"/>
      <c r="AL460" s="649"/>
      <c r="AM460" s="649"/>
      <c r="AN460" s="649"/>
      <c r="AO460" s="649"/>
      <c r="AP460" s="649"/>
      <c r="AQ460" s="649"/>
      <c r="AR460" s="649"/>
      <c r="AS460" s="649"/>
      <c r="AT460" s="649"/>
      <c r="AU460" s="649"/>
      <c r="AV460" s="649"/>
      <c r="AW460" s="649"/>
      <c r="AX460" s="649"/>
      <c r="AY460" s="649"/>
      <c r="AZ460" s="649"/>
      <c r="BA460" s="649"/>
      <c r="BB460" s="649"/>
      <c r="BC460" s="649"/>
      <c r="BD460" s="649"/>
    </row>
    <row r="461" spans="1:56" s="648" customFormat="1" ht="12" customHeight="1">
      <c r="A461" s="726"/>
      <c r="B461" s="725">
        <v>43405</v>
      </c>
      <c r="C461" s="724" t="s">
        <v>451</v>
      </c>
      <c r="D461" s="723">
        <v>228.76</v>
      </c>
      <c r="E461" s="723">
        <f t="shared" si="28"/>
        <v>228.76</v>
      </c>
      <c r="F461" s="723">
        <v>60</v>
      </c>
      <c r="G461" s="723"/>
      <c r="H461" s="723"/>
      <c r="I461" s="723"/>
      <c r="J461" s="723"/>
      <c r="K461" s="723"/>
      <c r="L461" s="723"/>
      <c r="M461" s="723"/>
      <c r="N461" s="723"/>
      <c r="O461" s="743"/>
      <c r="P461" s="743"/>
      <c r="Q461" s="743"/>
      <c r="R461" s="743"/>
      <c r="S461" s="743"/>
      <c r="U461" s="649"/>
      <c r="V461" s="649"/>
      <c r="W461" s="649"/>
      <c r="X461" s="649"/>
      <c r="Y461" s="649"/>
      <c r="Z461" s="649"/>
      <c r="AA461" s="649"/>
      <c r="AB461" s="649"/>
      <c r="AC461" s="649"/>
      <c r="AD461" s="649"/>
      <c r="AE461" s="649"/>
      <c r="AF461" s="649"/>
      <c r="AG461" s="649"/>
      <c r="AH461" s="649"/>
      <c r="AI461" s="649"/>
      <c r="AJ461" s="649"/>
      <c r="AK461" s="649"/>
      <c r="AL461" s="649"/>
      <c r="AM461" s="649"/>
      <c r="AN461" s="649"/>
      <c r="AO461" s="649"/>
      <c r="AP461" s="649"/>
      <c r="AQ461" s="649"/>
      <c r="AR461" s="649"/>
      <c r="AS461" s="649"/>
      <c r="AT461" s="649"/>
      <c r="AU461" s="649"/>
      <c r="AV461" s="649"/>
      <c r="AW461" s="649"/>
      <c r="AX461" s="649"/>
      <c r="AY461" s="649"/>
      <c r="AZ461" s="649"/>
      <c r="BA461" s="649"/>
      <c r="BB461" s="649"/>
      <c r="BC461" s="649"/>
      <c r="BD461" s="649"/>
    </row>
    <row r="462" spans="1:56" s="648" customFormat="1" ht="12" customHeight="1">
      <c r="A462" s="726"/>
      <c r="B462" s="725">
        <v>43405</v>
      </c>
      <c r="C462" s="724" t="s">
        <v>123</v>
      </c>
      <c r="D462" s="723">
        <v>134</v>
      </c>
      <c r="E462" s="723">
        <f t="shared" si="28"/>
        <v>12</v>
      </c>
      <c r="F462" s="723"/>
      <c r="G462" s="723"/>
      <c r="H462" s="723"/>
      <c r="I462" s="723">
        <v>122</v>
      </c>
      <c r="J462" s="723"/>
      <c r="K462" s="723"/>
      <c r="L462" s="723"/>
      <c r="M462" s="723"/>
      <c r="N462" s="723"/>
      <c r="O462" s="743"/>
      <c r="P462" s="743"/>
      <c r="Q462" s="743"/>
      <c r="R462" s="743"/>
      <c r="S462" s="743"/>
      <c r="U462" s="649"/>
      <c r="V462" s="649"/>
      <c r="W462" s="649"/>
      <c r="X462" s="649"/>
      <c r="Y462" s="649"/>
      <c r="Z462" s="649"/>
      <c r="AA462" s="649"/>
      <c r="AB462" s="649"/>
      <c r="AC462" s="649"/>
      <c r="AD462" s="649"/>
      <c r="AE462" s="649"/>
      <c r="AF462" s="649"/>
      <c r="AG462" s="649"/>
      <c r="AH462" s="649"/>
      <c r="AI462" s="649"/>
      <c r="AJ462" s="649"/>
      <c r="AK462" s="649"/>
      <c r="AL462" s="649"/>
      <c r="AM462" s="649"/>
      <c r="AN462" s="649"/>
      <c r="AO462" s="649"/>
      <c r="AP462" s="649"/>
      <c r="AQ462" s="649"/>
      <c r="AR462" s="649"/>
      <c r="AS462" s="649"/>
      <c r="AT462" s="649"/>
      <c r="AU462" s="649"/>
      <c r="AV462" s="649"/>
      <c r="AW462" s="649"/>
      <c r="AX462" s="649"/>
      <c r="AY462" s="649"/>
      <c r="AZ462" s="649"/>
      <c r="BA462" s="649"/>
      <c r="BB462" s="649"/>
      <c r="BC462" s="649"/>
      <c r="BD462" s="649"/>
    </row>
    <row r="463" spans="1:56" s="648" customFormat="1" ht="12" customHeight="1">
      <c r="A463" s="726"/>
      <c r="B463" s="725">
        <v>43405</v>
      </c>
      <c r="C463" s="724" t="s">
        <v>39</v>
      </c>
      <c r="D463" s="723">
        <v>42</v>
      </c>
      <c r="E463" s="723">
        <f t="shared" si="28"/>
        <v>42</v>
      </c>
      <c r="F463" s="723"/>
      <c r="G463" s="723"/>
      <c r="H463" s="723"/>
      <c r="I463" s="723"/>
      <c r="J463" s="723"/>
      <c r="K463" s="723"/>
      <c r="L463" s="723"/>
      <c r="M463" s="723"/>
      <c r="N463" s="723"/>
      <c r="O463" s="743"/>
      <c r="P463" s="743"/>
      <c r="Q463" s="743"/>
      <c r="R463" s="743"/>
      <c r="S463" s="743"/>
      <c r="U463" s="649"/>
      <c r="V463" s="649"/>
      <c r="W463" s="649"/>
      <c r="X463" s="649"/>
      <c r="Y463" s="649"/>
      <c r="Z463" s="649"/>
      <c r="AA463" s="649"/>
      <c r="AB463" s="649"/>
      <c r="AC463" s="649"/>
      <c r="AD463" s="649"/>
      <c r="AE463" s="649"/>
      <c r="AF463" s="649"/>
      <c r="AG463" s="649"/>
      <c r="AH463" s="649"/>
      <c r="AI463" s="649"/>
      <c r="AJ463" s="649"/>
      <c r="AK463" s="649"/>
      <c r="AL463" s="649"/>
      <c r="AM463" s="649"/>
      <c r="AN463" s="649"/>
      <c r="AO463" s="649"/>
      <c r="AP463" s="649"/>
      <c r="AQ463" s="649"/>
      <c r="AR463" s="649"/>
      <c r="AS463" s="649"/>
      <c r="AT463" s="649"/>
      <c r="AU463" s="649"/>
      <c r="AV463" s="649"/>
      <c r="AW463" s="649"/>
      <c r="AX463" s="649"/>
      <c r="AY463" s="649"/>
      <c r="AZ463" s="649"/>
      <c r="BA463" s="649"/>
      <c r="BB463" s="649"/>
      <c r="BC463" s="649"/>
      <c r="BD463" s="649"/>
    </row>
    <row r="464" spans="1:56" s="648" customFormat="1" ht="12" customHeight="1">
      <c r="A464" s="726"/>
      <c r="B464" s="725">
        <v>43405</v>
      </c>
      <c r="C464" s="724" t="s">
        <v>38</v>
      </c>
      <c r="D464" s="723">
        <v>164.85</v>
      </c>
      <c r="E464" s="723">
        <f t="shared" si="28"/>
        <v>84.85</v>
      </c>
      <c r="F464" s="723"/>
      <c r="G464" s="723"/>
      <c r="H464" s="723"/>
      <c r="I464" s="723">
        <v>80</v>
      </c>
      <c r="J464" s="723"/>
      <c r="K464" s="723"/>
      <c r="L464" s="723"/>
      <c r="M464" s="723"/>
      <c r="N464" s="723"/>
      <c r="O464" s="743"/>
      <c r="P464" s="743"/>
      <c r="Q464" s="743"/>
      <c r="R464" s="743"/>
      <c r="S464" s="743"/>
      <c r="U464" s="649"/>
      <c r="V464" s="649"/>
      <c r="W464" s="649"/>
      <c r="X464" s="649"/>
      <c r="Y464" s="649"/>
      <c r="Z464" s="649"/>
      <c r="AA464" s="649"/>
      <c r="AB464" s="649"/>
      <c r="AC464" s="649"/>
      <c r="AD464" s="649"/>
      <c r="AE464" s="649"/>
      <c r="AF464" s="649"/>
      <c r="AG464" s="649"/>
      <c r="AH464" s="649"/>
      <c r="AI464" s="649"/>
      <c r="AJ464" s="649"/>
      <c r="AK464" s="649"/>
      <c r="AL464" s="649"/>
      <c r="AM464" s="649"/>
      <c r="AN464" s="649"/>
      <c r="AO464" s="649"/>
      <c r="AP464" s="649"/>
      <c r="AQ464" s="649"/>
      <c r="AR464" s="649"/>
      <c r="AS464" s="649"/>
      <c r="AT464" s="649"/>
      <c r="AU464" s="649"/>
      <c r="AV464" s="649"/>
      <c r="AW464" s="649"/>
      <c r="AX464" s="649"/>
      <c r="AY464" s="649"/>
      <c r="AZ464" s="649"/>
      <c r="BA464" s="649"/>
      <c r="BB464" s="649"/>
      <c r="BC464" s="649"/>
      <c r="BD464" s="649"/>
    </row>
    <row r="465" spans="1:56" s="648" customFormat="1" ht="12" customHeight="1">
      <c r="A465" s="726"/>
      <c r="B465" s="725">
        <v>43405</v>
      </c>
      <c r="C465" s="724" t="s">
        <v>124</v>
      </c>
      <c r="D465" s="723">
        <v>331.75</v>
      </c>
      <c r="E465" s="723">
        <f t="shared" si="28"/>
        <v>0</v>
      </c>
      <c r="F465" s="723"/>
      <c r="G465" s="723"/>
      <c r="H465" s="723">
        <v>331.75</v>
      </c>
      <c r="I465" s="723"/>
      <c r="J465" s="723"/>
      <c r="K465" s="723"/>
      <c r="L465" s="723"/>
      <c r="M465" s="723"/>
      <c r="N465" s="723"/>
      <c r="O465" s="743"/>
      <c r="P465" s="743"/>
      <c r="Q465" s="743"/>
      <c r="R465" s="743"/>
      <c r="S465" s="743"/>
      <c r="U465" s="649"/>
      <c r="V465" s="649"/>
      <c r="W465" s="649"/>
      <c r="X465" s="649"/>
      <c r="Y465" s="649"/>
      <c r="Z465" s="649"/>
      <c r="AA465" s="649"/>
      <c r="AB465" s="649"/>
      <c r="AC465" s="649"/>
      <c r="AD465" s="649"/>
      <c r="AE465" s="649"/>
      <c r="AF465" s="649"/>
      <c r="AG465" s="649"/>
      <c r="AH465" s="649"/>
      <c r="AI465" s="649"/>
      <c r="AJ465" s="649"/>
      <c r="AK465" s="649"/>
      <c r="AL465" s="649"/>
      <c r="AM465" s="649"/>
      <c r="AN465" s="649"/>
      <c r="AO465" s="649"/>
      <c r="AP465" s="649"/>
      <c r="AQ465" s="649"/>
      <c r="AR465" s="649"/>
      <c r="AS465" s="649"/>
      <c r="AT465" s="649"/>
      <c r="AU465" s="649"/>
      <c r="AV465" s="649"/>
      <c r="AW465" s="649"/>
      <c r="AX465" s="649"/>
      <c r="AY465" s="649"/>
      <c r="AZ465" s="649"/>
      <c r="BA465" s="649"/>
      <c r="BB465" s="649"/>
      <c r="BC465" s="649"/>
      <c r="BD465" s="649"/>
    </row>
    <row r="466" spans="1:56" s="648" customFormat="1" ht="12" customHeight="1">
      <c r="A466" s="726"/>
      <c r="B466" s="725">
        <v>43405</v>
      </c>
      <c r="C466" s="724" t="s">
        <v>713</v>
      </c>
      <c r="D466" s="723">
        <v>11.85</v>
      </c>
      <c r="E466" s="723">
        <f t="shared" si="28"/>
        <v>11.85</v>
      </c>
      <c r="F466" s="723"/>
      <c r="G466" s="723"/>
      <c r="H466" s="723"/>
      <c r="I466" s="723"/>
      <c r="J466" s="723"/>
      <c r="K466" s="723"/>
      <c r="L466" s="723"/>
      <c r="M466" s="723"/>
      <c r="N466" s="723"/>
      <c r="O466" s="743"/>
      <c r="P466" s="743"/>
      <c r="Q466" s="743"/>
      <c r="R466" s="743"/>
      <c r="S466" s="743"/>
      <c r="U466" s="649"/>
      <c r="V466" s="649"/>
      <c r="W466" s="649"/>
      <c r="X466" s="649"/>
      <c r="Y466" s="649"/>
      <c r="Z466" s="649"/>
      <c r="AA466" s="649"/>
      <c r="AB466" s="649"/>
      <c r="AC466" s="649"/>
      <c r="AD466" s="649"/>
      <c r="AE466" s="649"/>
      <c r="AF466" s="649"/>
      <c r="AG466" s="649"/>
      <c r="AH466" s="649"/>
      <c r="AI466" s="649"/>
      <c r="AJ466" s="649"/>
      <c r="AK466" s="649"/>
      <c r="AL466" s="649"/>
      <c r="AM466" s="649"/>
      <c r="AN466" s="649"/>
      <c r="AO466" s="649"/>
      <c r="AP466" s="649"/>
      <c r="AQ466" s="649"/>
      <c r="AR466" s="649"/>
      <c r="AS466" s="649"/>
      <c r="AT466" s="649"/>
      <c r="AU466" s="649"/>
      <c r="AV466" s="649"/>
      <c r="AW466" s="649"/>
      <c r="AX466" s="649"/>
      <c r="AY466" s="649"/>
      <c r="AZ466" s="649"/>
      <c r="BA466" s="649"/>
      <c r="BB466" s="649"/>
      <c r="BC466" s="649"/>
      <c r="BD466" s="649"/>
    </row>
    <row r="467" spans="1:56" s="648" customFormat="1" ht="12" customHeight="1">
      <c r="A467" s="726"/>
      <c r="B467" s="725">
        <v>43405</v>
      </c>
      <c r="C467" s="724" t="s">
        <v>712</v>
      </c>
      <c r="D467" s="723">
        <v>100</v>
      </c>
      <c r="E467" s="723">
        <f t="shared" si="28"/>
        <v>100</v>
      </c>
      <c r="F467" s="723"/>
      <c r="G467" s="723"/>
      <c r="H467" s="723"/>
      <c r="I467" s="723"/>
      <c r="J467" s="723"/>
      <c r="K467" s="723"/>
      <c r="L467" s="723"/>
      <c r="M467" s="723"/>
      <c r="N467" s="723"/>
      <c r="O467" s="743"/>
      <c r="P467" s="743"/>
      <c r="Q467" s="743"/>
      <c r="R467" s="743"/>
      <c r="S467" s="743"/>
      <c r="U467" s="649"/>
      <c r="V467" s="649"/>
      <c r="W467" s="649"/>
      <c r="X467" s="649"/>
      <c r="Y467" s="649"/>
      <c r="Z467" s="649"/>
      <c r="AA467" s="649"/>
      <c r="AB467" s="649"/>
      <c r="AC467" s="649"/>
      <c r="AD467" s="649"/>
      <c r="AE467" s="649"/>
      <c r="AF467" s="649"/>
      <c r="AG467" s="649"/>
      <c r="AH467" s="649"/>
      <c r="AI467" s="649"/>
      <c r="AJ467" s="649"/>
      <c r="AK467" s="649"/>
      <c r="AL467" s="649"/>
      <c r="AM467" s="649"/>
      <c r="AN467" s="649"/>
      <c r="AO467" s="649"/>
      <c r="AP467" s="649"/>
      <c r="AQ467" s="649"/>
      <c r="AR467" s="649"/>
      <c r="AS467" s="649"/>
      <c r="AT467" s="649"/>
      <c r="AU467" s="649"/>
      <c r="AV467" s="649"/>
      <c r="AW467" s="649"/>
      <c r="AX467" s="649"/>
      <c r="AY467" s="649"/>
      <c r="AZ467" s="649"/>
      <c r="BA467" s="649"/>
      <c r="BB467" s="649"/>
      <c r="BC467" s="649"/>
      <c r="BD467" s="649"/>
    </row>
    <row r="468" spans="1:56" s="648" customFormat="1" ht="12" customHeight="1">
      <c r="A468" s="726"/>
      <c r="B468" s="725">
        <v>43405</v>
      </c>
      <c r="C468" s="724" t="s">
        <v>711</v>
      </c>
      <c r="D468" s="723">
        <v>100</v>
      </c>
      <c r="E468" s="723">
        <f t="shared" si="28"/>
        <v>0</v>
      </c>
      <c r="F468" s="723"/>
      <c r="G468" s="723"/>
      <c r="H468" s="723"/>
      <c r="I468" s="723">
        <v>100</v>
      </c>
      <c r="J468" s="723"/>
      <c r="K468" s="723"/>
      <c r="L468" s="723"/>
      <c r="M468" s="723"/>
      <c r="N468" s="723"/>
      <c r="O468" s="743"/>
      <c r="P468" s="743"/>
      <c r="Q468" s="743"/>
      <c r="R468" s="743"/>
      <c r="S468" s="743"/>
      <c r="U468" s="649"/>
      <c r="V468" s="649"/>
      <c r="W468" s="649"/>
      <c r="X468" s="649"/>
      <c r="Y468" s="649"/>
      <c r="Z468" s="649"/>
      <c r="AA468" s="649"/>
      <c r="AB468" s="649"/>
      <c r="AC468" s="649"/>
      <c r="AD468" s="649"/>
      <c r="AE468" s="649"/>
      <c r="AF468" s="649"/>
      <c r="AG468" s="649"/>
      <c r="AH468" s="649"/>
      <c r="AI468" s="649"/>
      <c r="AJ468" s="649"/>
      <c r="AK468" s="649"/>
      <c r="AL468" s="649"/>
      <c r="AM468" s="649"/>
      <c r="AN468" s="649"/>
      <c r="AO468" s="649"/>
      <c r="AP468" s="649"/>
      <c r="AQ468" s="649"/>
      <c r="AR468" s="649"/>
      <c r="AS468" s="649"/>
      <c r="AT468" s="649"/>
      <c r="AU468" s="649"/>
      <c r="AV468" s="649"/>
      <c r="AW468" s="649"/>
      <c r="AX468" s="649"/>
      <c r="AY468" s="649"/>
      <c r="AZ468" s="649"/>
      <c r="BA468" s="649"/>
      <c r="BB468" s="649"/>
      <c r="BC468" s="649"/>
      <c r="BD468" s="649"/>
    </row>
    <row r="469" spans="1:56" s="648" customFormat="1" ht="12" customHeight="1">
      <c r="A469" s="726"/>
      <c r="B469" s="725">
        <v>43405</v>
      </c>
      <c r="C469" s="724" t="s">
        <v>41</v>
      </c>
      <c r="D469" s="723">
        <v>20</v>
      </c>
      <c r="E469" s="723">
        <f t="shared" si="28"/>
        <v>20</v>
      </c>
      <c r="F469" s="723"/>
      <c r="G469" s="723"/>
      <c r="H469" s="723"/>
      <c r="I469" s="723"/>
      <c r="J469" s="723"/>
      <c r="K469" s="723"/>
      <c r="L469" s="723"/>
      <c r="M469" s="723"/>
      <c r="N469" s="723"/>
      <c r="O469" s="743"/>
      <c r="P469" s="743"/>
      <c r="Q469" s="743"/>
      <c r="R469" s="743"/>
      <c r="S469" s="743"/>
      <c r="U469" s="649"/>
      <c r="V469" s="649"/>
      <c r="W469" s="649"/>
      <c r="X469" s="649"/>
      <c r="Y469" s="649"/>
      <c r="Z469" s="649"/>
      <c r="AA469" s="649"/>
      <c r="AB469" s="649"/>
      <c r="AC469" s="649"/>
      <c r="AD469" s="649"/>
      <c r="AE469" s="649"/>
      <c r="AF469" s="649"/>
      <c r="AG469" s="649"/>
      <c r="AH469" s="649"/>
      <c r="AI469" s="649"/>
      <c r="AJ469" s="649"/>
      <c r="AK469" s="649"/>
      <c r="AL469" s="649"/>
      <c r="AM469" s="649"/>
      <c r="AN469" s="649"/>
      <c r="AO469" s="649"/>
      <c r="AP469" s="649"/>
      <c r="AQ469" s="649"/>
      <c r="AR469" s="649"/>
      <c r="AS469" s="649"/>
      <c r="AT469" s="649"/>
      <c r="AU469" s="649"/>
      <c r="AV469" s="649"/>
      <c r="AW469" s="649"/>
      <c r="AX469" s="649"/>
      <c r="AY469" s="649"/>
      <c r="AZ469" s="649"/>
      <c r="BA469" s="649"/>
      <c r="BB469" s="649"/>
      <c r="BC469" s="649"/>
      <c r="BD469" s="649"/>
    </row>
    <row r="470" spans="1:56" s="648" customFormat="1" ht="12" customHeight="1">
      <c r="A470" s="726"/>
      <c r="B470" s="725">
        <v>43406</v>
      </c>
      <c r="C470" s="724" t="s">
        <v>124</v>
      </c>
      <c r="D470" s="723">
        <v>183.05</v>
      </c>
      <c r="E470" s="723">
        <f t="shared" si="28"/>
        <v>0</v>
      </c>
      <c r="F470" s="723"/>
      <c r="G470" s="723"/>
      <c r="H470" s="723">
        <v>183.05</v>
      </c>
      <c r="I470" s="723"/>
      <c r="J470" s="723"/>
      <c r="K470" s="723"/>
      <c r="L470" s="723"/>
      <c r="M470" s="723"/>
      <c r="N470" s="723"/>
      <c r="O470" s="743"/>
      <c r="P470" s="743"/>
      <c r="Q470" s="743"/>
      <c r="R470" s="743"/>
      <c r="S470" s="743"/>
      <c r="U470" s="649"/>
      <c r="V470" s="649"/>
      <c r="W470" s="649"/>
      <c r="X470" s="649"/>
      <c r="Y470" s="649"/>
      <c r="Z470" s="649"/>
      <c r="AA470" s="649"/>
      <c r="AB470" s="649"/>
      <c r="AC470" s="649"/>
      <c r="AD470" s="649"/>
      <c r="AE470" s="649"/>
      <c r="AF470" s="649"/>
      <c r="AG470" s="649"/>
      <c r="AH470" s="649"/>
      <c r="AI470" s="649"/>
      <c r="AJ470" s="649"/>
      <c r="AK470" s="649"/>
      <c r="AL470" s="649"/>
      <c r="AM470" s="649"/>
      <c r="AN470" s="649"/>
      <c r="AO470" s="649"/>
      <c r="AP470" s="649"/>
      <c r="AQ470" s="649"/>
      <c r="AR470" s="649"/>
      <c r="AS470" s="649"/>
      <c r="AT470" s="649"/>
      <c r="AU470" s="649"/>
      <c r="AV470" s="649"/>
      <c r="AW470" s="649"/>
      <c r="AX470" s="649"/>
      <c r="AY470" s="649"/>
      <c r="AZ470" s="649"/>
      <c r="BA470" s="649"/>
      <c r="BB470" s="649"/>
      <c r="BC470" s="649"/>
      <c r="BD470" s="649"/>
    </row>
    <row r="471" spans="1:56" s="648" customFormat="1" ht="12" customHeight="1">
      <c r="A471" s="726"/>
      <c r="B471" s="725">
        <v>43406</v>
      </c>
      <c r="C471" s="724" t="s">
        <v>451</v>
      </c>
      <c r="D471" s="723">
        <v>255.6</v>
      </c>
      <c r="E471" s="723">
        <f t="shared" si="28"/>
        <v>81.699999999999989</v>
      </c>
      <c r="F471" s="723">
        <v>18</v>
      </c>
      <c r="G471" s="723"/>
      <c r="H471" s="723"/>
      <c r="I471" s="723">
        <v>173.9</v>
      </c>
      <c r="J471" s="723"/>
      <c r="K471" s="723"/>
      <c r="L471" s="723"/>
      <c r="M471" s="723"/>
      <c r="N471" s="723"/>
      <c r="O471" s="743"/>
      <c r="P471" s="743"/>
      <c r="Q471" s="743"/>
      <c r="R471" s="743"/>
      <c r="S471" s="743"/>
      <c r="U471" s="649"/>
      <c r="V471" s="649"/>
      <c r="W471" s="649"/>
      <c r="X471" s="649"/>
      <c r="Y471" s="649"/>
      <c r="Z471" s="649"/>
      <c r="AA471" s="649"/>
      <c r="AB471" s="649"/>
      <c r="AC471" s="649"/>
      <c r="AD471" s="649"/>
      <c r="AE471" s="649"/>
      <c r="AF471" s="649"/>
      <c r="AG471" s="649"/>
      <c r="AH471" s="649"/>
      <c r="AI471" s="649"/>
      <c r="AJ471" s="649"/>
      <c r="AK471" s="649"/>
      <c r="AL471" s="649"/>
      <c r="AM471" s="649"/>
      <c r="AN471" s="649"/>
      <c r="AO471" s="649"/>
      <c r="AP471" s="649"/>
      <c r="AQ471" s="649"/>
      <c r="AR471" s="649"/>
      <c r="AS471" s="649"/>
      <c r="AT471" s="649"/>
      <c r="AU471" s="649"/>
      <c r="AV471" s="649"/>
      <c r="AW471" s="649"/>
      <c r="AX471" s="649"/>
      <c r="AY471" s="649"/>
      <c r="AZ471" s="649"/>
      <c r="BA471" s="649"/>
      <c r="BB471" s="649"/>
      <c r="BC471" s="649"/>
      <c r="BD471" s="649"/>
    </row>
    <row r="472" spans="1:56" s="648" customFormat="1" ht="12" customHeight="1">
      <c r="A472" s="726"/>
      <c r="B472" s="725">
        <v>43406</v>
      </c>
      <c r="C472" s="724" t="s">
        <v>451</v>
      </c>
      <c r="D472" s="723">
        <v>135</v>
      </c>
      <c r="E472" s="723">
        <f t="shared" si="28"/>
        <v>115</v>
      </c>
      <c r="F472" s="723">
        <v>60</v>
      </c>
      <c r="G472" s="723"/>
      <c r="H472" s="723"/>
      <c r="I472" s="723">
        <v>20</v>
      </c>
      <c r="J472" s="723"/>
      <c r="K472" s="723"/>
      <c r="L472" s="723"/>
      <c r="M472" s="723"/>
      <c r="N472" s="723"/>
      <c r="O472" s="743"/>
      <c r="P472" s="743"/>
      <c r="Q472" s="743"/>
      <c r="R472" s="743"/>
      <c r="S472" s="743"/>
      <c r="U472" s="649"/>
      <c r="V472" s="649"/>
      <c r="W472" s="649"/>
      <c r="X472" s="649"/>
      <c r="Y472" s="649"/>
      <c r="Z472" s="649"/>
      <c r="AA472" s="649"/>
      <c r="AB472" s="649"/>
      <c r="AC472" s="649"/>
      <c r="AD472" s="649"/>
      <c r="AE472" s="649"/>
      <c r="AF472" s="649"/>
      <c r="AG472" s="649"/>
      <c r="AH472" s="649"/>
      <c r="AI472" s="649"/>
      <c r="AJ472" s="649"/>
      <c r="AK472" s="649"/>
      <c r="AL472" s="649"/>
      <c r="AM472" s="649"/>
      <c r="AN472" s="649"/>
      <c r="AO472" s="649"/>
      <c r="AP472" s="649"/>
      <c r="AQ472" s="649"/>
      <c r="AR472" s="649"/>
      <c r="AS472" s="649"/>
      <c r="AT472" s="649"/>
      <c r="AU472" s="649"/>
      <c r="AV472" s="649"/>
      <c r="AW472" s="649"/>
      <c r="AX472" s="649"/>
      <c r="AY472" s="649"/>
      <c r="AZ472" s="649"/>
      <c r="BA472" s="649"/>
      <c r="BB472" s="649"/>
      <c r="BC472" s="649"/>
      <c r="BD472" s="649"/>
    </row>
    <row r="473" spans="1:56" s="648" customFormat="1" ht="12" customHeight="1">
      <c r="A473" s="726"/>
      <c r="B473" s="725">
        <v>43406</v>
      </c>
      <c r="C473" s="724" t="s">
        <v>451</v>
      </c>
      <c r="D473" s="723">
        <v>100</v>
      </c>
      <c r="E473" s="723">
        <f t="shared" si="28"/>
        <v>60</v>
      </c>
      <c r="F473" s="723">
        <v>60</v>
      </c>
      <c r="G473" s="723"/>
      <c r="H473" s="723"/>
      <c r="I473" s="723">
        <v>40</v>
      </c>
      <c r="J473" s="723"/>
      <c r="K473" s="723"/>
      <c r="L473" s="723"/>
      <c r="M473" s="723"/>
      <c r="N473" s="723"/>
      <c r="O473" s="743"/>
      <c r="P473" s="743"/>
      <c r="Q473" s="743"/>
      <c r="R473" s="743"/>
      <c r="S473" s="743"/>
      <c r="U473" s="649"/>
      <c r="V473" s="649"/>
      <c r="W473" s="649"/>
      <c r="X473" s="649"/>
      <c r="Y473" s="649"/>
      <c r="Z473" s="649"/>
      <c r="AA473" s="649"/>
      <c r="AB473" s="649"/>
      <c r="AC473" s="649"/>
      <c r="AD473" s="649"/>
      <c r="AE473" s="649"/>
      <c r="AF473" s="649"/>
      <c r="AG473" s="649"/>
      <c r="AH473" s="649"/>
      <c r="AI473" s="649"/>
      <c r="AJ473" s="649"/>
      <c r="AK473" s="649"/>
      <c r="AL473" s="649"/>
      <c r="AM473" s="649"/>
      <c r="AN473" s="649"/>
      <c r="AO473" s="649"/>
      <c r="AP473" s="649"/>
      <c r="AQ473" s="649"/>
      <c r="AR473" s="649"/>
      <c r="AS473" s="649"/>
      <c r="AT473" s="649"/>
      <c r="AU473" s="649"/>
      <c r="AV473" s="649"/>
      <c r="AW473" s="649"/>
      <c r="AX473" s="649"/>
      <c r="AY473" s="649"/>
      <c r="AZ473" s="649"/>
      <c r="BA473" s="649"/>
      <c r="BB473" s="649"/>
      <c r="BC473" s="649"/>
      <c r="BD473" s="649"/>
    </row>
    <row r="474" spans="1:56" s="648" customFormat="1" ht="12" customHeight="1">
      <c r="A474" s="726"/>
      <c r="B474" s="725">
        <v>43410</v>
      </c>
      <c r="C474" s="724" t="s">
        <v>38</v>
      </c>
      <c r="D474" s="723">
        <v>49</v>
      </c>
      <c r="E474" s="723">
        <f t="shared" si="28"/>
        <v>49</v>
      </c>
      <c r="F474" s="723"/>
      <c r="G474" s="723"/>
      <c r="H474" s="723"/>
      <c r="I474" s="723"/>
      <c r="J474" s="723"/>
      <c r="K474" s="723"/>
      <c r="L474" s="723"/>
      <c r="M474" s="723"/>
      <c r="N474" s="723"/>
      <c r="O474" s="743"/>
      <c r="P474" s="743"/>
      <c r="Q474" s="743"/>
      <c r="R474" s="743"/>
      <c r="S474" s="743"/>
      <c r="U474" s="649"/>
      <c r="V474" s="649"/>
      <c r="W474" s="649"/>
      <c r="X474" s="649"/>
      <c r="Y474" s="649"/>
      <c r="Z474" s="649"/>
      <c r="AA474" s="649"/>
      <c r="AB474" s="649"/>
      <c r="AC474" s="649"/>
      <c r="AD474" s="649"/>
      <c r="AE474" s="649"/>
      <c r="AF474" s="649"/>
      <c r="AG474" s="649"/>
      <c r="AH474" s="649"/>
      <c r="AI474" s="649"/>
      <c r="AJ474" s="649"/>
      <c r="AK474" s="649"/>
      <c r="AL474" s="649"/>
      <c r="AM474" s="649"/>
      <c r="AN474" s="649"/>
      <c r="AO474" s="649"/>
      <c r="AP474" s="649"/>
      <c r="AQ474" s="649"/>
      <c r="AR474" s="649"/>
      <c r="AS474" s="649"/>
      <c r="AT474" s="649"/>
      <c r="AU474" s="649"/>
      <c r="AV474" s="649"/>
      <c r="AW474" s="649"/>
      <c r="AX474" s="649"/>
      <c r="AY474" s="649"/>
      <c r="AZ474" s="649"/>
      <c r="BA474" s="649"/>
      <c r="BB474" s="649"/>
      <c r="BC474" s="649"/>
      <c r="BD474" s="649"/>
    </row>
    <row r="475" spans="1:56" s="648" customFormat="1" ht="12" customHeight="1">
      <c r="A475" s="726"/>
      <c r="B475" s="725">
        <v>43410</v>
      </c>
      <c r="C475" s="724" t="s">
        <v>39</v>
      </c>
      <c r="D475" s="723">
        <v>67.040000000000006</v>
      </c>
      <c r="E475" s="723">
        <f t="shared" si="28"/>
        <v>67.040000000000006</v>
      </c>
      <c r="F475" s="723"/>
      <c r="G475" s="723"/>
      <c r="H475" s="723"/>
      <c r="I475" s="723"/>
      <c r="J475" s="723"/>
      <c r="K475" s="723"/>
      <c r="L475" s="723"/>
      <c r="M475" s="723"/>
      <c r="N475" s="723"/>
      <c r="O475" s="743"/>
      <c r="P475" s="743"/>
      <c r="Q475" s="743"/>
      <c r="R475" s="743"/>
      <c r="S475" s="743"/>
      <c r="U475" s="649"/>
      <c r="V475" s="649"/>
      <c r="W475" s="649"/>
      <c r="X475" s="649"/>
      <c r="Y475" s="649"/>
      <c r="Z475" s="649"/>
      <c r="AA475" s="649"/>
      <c r="AB475" s="649"/>
      <c r="AC475" s="649"/>
      <c r="AD475" s="649"/>
      <c r="AE475" s="649"/>
      <c r="AF475" s="649"/>
      <c r="AG475" s="649"/>
      <c r="AH475" s="649"/>
      <c r="AI475" s="649"/>
      <c r="AJ475" s="649"/>
      <c r="AK475" s="649"/>
      <c r="AL475" s="649"/>
      <c r="AM475" s="649"/>
      <c r="AN475" s="649"/>
      <c r="AO475" s="649"/>
      <c r="AP475" s="649"/>
      <c r="AQ475" s="649"/>
      <c r="AR475" s="649"/>
      <c r="AS475" s="649"/>
      <c r="AT475" s="649"/>
      <c r="AU475" s="649"/>
      <c r="AV475" s="649"/>
      <c r="AW475" s="649"/>
      <c r="AX475" s="649"/>
      <c r="AY475" s="649"/>
      <c r="AZ475" s="649"/>
      <c r="BA475" s="649"/>
      <c r="BB475" s="649"/>
      <c r="BC475" s="649"/>
      <c r="BD475" s="649"/>
    </row>
    <row r="476" spans="1:56" s="648" customFormat="1" ht="12" customHeight="1">
      <c r="A476" s="726"/>
      <c r="B476" s="725">
        <v>43410</v>
      </c>
      <c r="C476" s="724" t="s">
        <v>451</v>
      </c>
      <c r="D476" s="723">
        <v>75</v>
      </c>
      <c r="E476" s="723">
        <f t="shared" si="28"/>
        <v>75</v>
      </c>
      <c r="F476" s="723"/>
      <c r="G476" s="723"/>
      <c r="H476" s="723"/>
      <c r="I476" s="723"/>
      <c r="J476" s="723"/>
      <c r="K476" s="723"/>
      <c r="L476" s="723"/>
      <c r="M476" s="723"/>
      <c r="N476" s="723"/>
      <c r="O476" s="743"/>
      <c r="P476" s="743"/>
      <c r="Q476" s="743"/>
      <c r="R476" s="743"/>
      <c r="S476" s="743"/>
      <c r="U476" s="649"/>
      <c r="V476" s="649"/>
      <c r="W476" s="649"/>
      <c r="X476" s="649"/>
      <c r="Y476" s="649"/>
      <c r="Z476" s="649"/>
      <c r="AA476" s="649"/>
      <c r="AB476" s="649"/>
      <c r="AC476" s="649"/>
      <c r="AD476" s="649"/>
      <c r="AE476" s="649"/>
      <c r="AF476" s="649"/>
      <c r="AG476" s="649"/>
      <c r="AH476" s="649"/>
      <c r="AI476" s="649"/>
      <c r="AJ476" s="649"/>
      <c r="AK476" s="649"/>
      <c r="AL476" s="649"/>
      <c r="AM476" s="649"/>
      <c r="AN476" s="649"/>
      <c r="AO476" s="649"/>
      <c r="AP476" s="649"/>
      <c r="AQ476" s="649"/>
      <c r="AR476" s="649"/>
      <c r="AS476" s="649"/>
      <c r="AT476" s="649"/>
      <c r="AU476" s="649"/>
      <c r="AV476" s="649"/>
      <c r="AW476" s="649"/>
      <c r="AX476" s="649"/>
      <c r="AY476" s="649"/>
      <c r="AZ476" s="649"/>
      <c r="BA476" s="649"/>
      <c r="BB476" s="649"/>
      <c r="BC476" s="649"/>
      <c r="BD476" s="649"/>
    </row>
    <row r="477" spans="1:56" s="648" customFormat="1" ht="12" customHeight="1">
      <c r="A477" s="726"/>
      <c r="B477" s="725">
        <v>43411</v>
      </c>
      <c r="C477" s="724" t="s">
        <v>38</v>
      </c>
      <c r="D477" s="723">
        <v>40</v>
      </c>
      <c r="E477" s="723">
        <f t="shared" si="28"/>
        <v>40</v>
      </c>
      <c r="F477" s="723"/>
      <c r="G477" s="723"/>
      <c r="H477" s="723"/>
      <c r="I477" s="723"/>
      <c r="J477" s="723"/>
      <c r="K477" s="723"/>
      <c r="L477" s="723"/>
      <c r="M477" s="723"/>
      <c r="N477" s="723"/>
      <c r="O477" s="743"/>
      <c r="P477" s="743"/>
      <c r="Q477" s="743"/>
      <c r="R477" s="743"/>
      <c r="S477" s="743"/>
      <c r="U477" s="649"/>
      <c r="V477" s="649"/>
      <c r="W477" s="649"/>
      <c r="X477" s="649"/>
      <c r="Y477" s="649"/>
      <c r="Z477" s="649"/>
      <c r="AA477" s="649"/>
      <c r="AB477" s="649"/>
      <c r="AC477" s="649"/>
      <c r="AD477" s="649"/>
      <c r="AE477" s="649"/>
      <c r="AF477" s="649"/>
      <c r="AG477" s="649"/>
      <c r="AH477" s="649"/>
      <c r="AI477" s="649"/>
      <c r="AJ477" s="649"/>
      <c r="AK477" s="649"/>
      <c r="AL477" s="649"/>
      <c r="AM477" s="649"/>
      <c r="AN477" s="649"/>
      <c r="AO477" s="649"/>
      <c r="AP477" s="649"/>
      <c r="AQ477" s="649"/>
      <c r="AR477" s="649"/>
      <c r="AS477" s="649"/>
      <c r="AT477" s="649"/>
      <c r="AU477" s="649"/>
      <c r="AV477" s="649"/>
      <c r="AW477" s="649"/>
      <c r="AX477" s="649"/>
      <c r="AY477" s="649"/>
      <c r="AZ477" s="649"/>
      <c r="BA477" s="649"/>
      <c r="BB477" s="649"/>
      <c r="BC477" s="649"/>
      <c r="BD477" s="649"/>
    </row>
    <row r="478" spans="1:56" s="648" customFormat="1" ht="12" customHeight="1">
      <c r="A478" s="726"/>
      <c r="B478" s="725">
        <v>43411</v>
      </c>
      <c r="C478" s="724" t="s">
        <v>451</v>
      </c>
      <c r="D478" s="723">
        <v>53.95</v>
      </c>
      <c r="E478" s="723">
        <f t="shared" si="28"/>
        <v>53.95</v>
      </c>
      <c r="F478" s="723"/>
      <c r="G478" s="723"/>
      <c r="H478" s="723"/>
      <c r="I478" s="723"/>
      <c r="J478" s="723"/>
      <c r="K478" s="723"/>
      <c r="L478" s="723"/>
      <c r="M478" s="723"/>
      <c r="N478" s="723"/>
      <c r="O478" s="743"/>
      <c r="P478" s="743"/>
      <c r="Q478" s="743"/>
      <c r="R478" s="743"/>
      <c r="S478" s="743"/>
      <c r="U478" s="649"/>
      <c r="V478" s="649"/>
      <c r="W478" s="649"/>
      <c r="X478" s="649"/>
      <c r="Y478" s="649"/>
      <c r="Z478" s="649"/>
      <c r="AA478" s="649"/>
      <c r="AB478" s="649"/>
      <c r="AC478" s="649"/>
      <c r="AD478" s="649"/>
      <c r="AE478" s="649"/>
      <c r="AF478" s="649"/>
      <c r="AG478" s="649"/>
      <c r="AH478" s="649"/>
      <c r="AI478" s="649"/>
      <c r="AJ478" s="649"/>
      <c r="AK478" s="649"/>
      <c r="AL478" s="649"/>
      <c r="AM478" s="649"/>
      <c r="AN478" s="649"/>
      <c r="AO478" s="649"/>
      <c r="AP478" s="649"/>
      <c r="AQ478" s="649"/>
      <c r="AR478" s="649"/>
      <c r="AS478" s="649"/>
      <c r="AT478" s="649"/>
      <c r="AU478" s="649"/>
      <c r="AV478" s="649"/>
      <c r="AW478" s="649"/>
      <c r="AX478" s="649"/>
      <c r="AY478" s="649"/>
      <c r="AZ478" s="649"/>
      <c r="BA478" s="649"/>
      <c r="BB478" s="649"/>
      <c r="BC478" s="649"/>
      <c r="BD478" s="649"/>
    </row>
    <row r="479" spans="1:56" s="648" customFormat="1" ht="12" customHeight="1">
      <c r="A479" s="726"/>
      <c r="B479" s="725">
        <v>43411</v>
      </c>
      <c r="C479" s="724" t="s">
        <v>124</v>
      </c>
      <c r="D479" s="723">
        <v>25.1</v>
      </c>
      <c r="E479" s="723">
        <f t="shared" si="28"/>
        <v>0</v>
      </c>
      <c r="F479" s="723"/>
      <c r="G479" s="723"/>
      <c r="H479" s="723">
        <v>25.1</v>
      </c>
      <c r="I479" s="723"/>
      <c r="J479" s="723"/>
      <c r="K479" s="723"/>
      <c r="L479" s="723"/>
      <c r="M479" s="723"/>
      <c r="N479" s="723"/>
      <c r="O479" s="743"/>
      <c r="P479" s="743"/>
      <c r="Q479" s="743"/>
      <c r="R479" s="743"/>
      <c r="S479" s="743"/>
      <c r="U479" s="649"/>
      <c r="V479" s="649"/>
      <c r="W479" s="649"/>
      <c r="X479" s="649"/>
      <c r="Y479" s="649"/>
      <c r="Z479" s="649"/>
      <c r="AA479" s="649"/>
      <c r="AB479" s="649"/>
      <c r="AC479" s="649"/>
      <c r="AD479" s="649"/>
      <c r="AE479" s="649"/>
      <c r="AF479" s="649"/>
      <c r="AG479" s="649"/>
      <c r="AH479" s="649"/>
      <c r="AI479" s="649"/>
      <c r="AJ479" s="649"/>
      <c r="AK479" s="649"/>
      <c r="AL479" s="649"/>
      <c r="AM479" s="649"/>
      <c r="AN479" s="649"/>
      <c r="AO479" s="649"/>
      <c r="AP479" s="649"/>
      <c r="AQ479" s="649"/>
      <c r="AR479" s="649"/>
      <c r="AS479" s="649"/>
      <c r="AT479" s="649"/>
      <c r="AU479" s="649"/>
      <c r="AV479" s="649"/>
      <c r="AW479" s="649"/>
      <c r="AX479" s="649"/>
      <c r="AY479" s="649"/>
      <c r="AZ479" s="649"/>
      <c r="BA479" s="649"/>
      <c r="BB479" s="649"/>
      <c r="BC479" s="649"/>
      <c r="BD479" s="649"/>
    </row>
    <row r="480" spans="1:56" s="648" customFormat="1" ht="12" customHeight="1">
      <c r="A480" s="726"/>
      <c r="B480" s="725">
        <v>43411</v>
      </c>
      <c r="C480" s="724" t="s">
        <v>451</v>
      </c>
      <c r="D480" s="723">
        <v>54</v>
      </c>
      <c r="E480" s="723">
        <f t="shared" si="28"/>
        <v>54</v>
      </c>
      <c r="F480" s="723"/>
      <c r="G480" s="723"/>
      <c r="H480" s="723"/>
      <c r="I480" s="723"/>
      <c r="J480" s="723"/>
      <c r="K480" s="723"/>
      <c r="L480" s="723"/>
      <c r="M480" s="723"/>
      <c r="N480" s="723"/>
      <c r="O480" s="743"/>
      <c r="P480" s="743"/>
      <c r="Q480" s="743"/>
      <c r="R480" s="743"/>
      <c r="S480" s="743"/>
      <c r="U480" s="649"/>
      <c r="V480" s="649"/>
      <c r="W480" s="649"/>
      <c r="X480" s="649"/>
      <c r="Y480" s="649"/>
      <c r="Z480" s="649"/>
      <c r="AA480" s="649"/>
      <c r="AB480" s="649"/>
      <c r="AC480" s="649"/>
      <c r="AD480" s="649"/>
      <c r="AE480" s="649"/>
      <c r="AF480" s="649"/>
      <c r="AG480" s="649"/>
      <c r="AH480" s="649"/>
      <c r="AI480" s="649"/>
      <c r="AJ480" s="649"/>
      <c r="AK480" s="649"/>
      <c r="AL480" s="649"/>
      <c r="AM480" s="649"/>
      <c r="AN480" s="649"/>
      <c r="AO480" s="649"/>
      <c r="AP480" s="649"/>
      <c r="AQ480" s="649"/>
      <c r="AR480" s="649"/>
      <c r="AS480" s="649"/>
      <c r="AT480" s="649"/>
      <c r="AU480" s="649"/>
      <c r="AV480" s="649"/>
      <c r="AW480" s="649"/>
      <c r="AX480" s="649"/>
      <c r="AY480" s="649"/>
      <c r="AZ480" s="649"/>
      <c r="BA480" s="649"/>
      <c r="BB480" s="649"/>
      <c r="BC480" s="649"/>
      <c r="BD480" s="649"/>
    </row>
    <row r="481" spans="1:56" s="648" customFormat="1" ht="12" customHeight="1">
      <c r="A481" s="726"/>
      <c r="B481" s="725">
        <v>43412</v>
      </c>
      <c r="C481" s="724" t="s">
        <v>451</v>
      </c>
      <c r="D481" s="723">
        <v>101.35</v>
      </c>
      <c r="E481" s="723">
        <f t="shared" si="28"/>
        <v>101.35</v>
      </c>
      <c r="F481" s="723"/>
      <c r="G481" s="723"/>
      <c r="H481" s="723"/>
      <c r="I481" s="723"/>
      <c r="J481" s="723"/>
      <c r="K481" s="723"/>
      <c r="L481" s="723"/>
      <c r="M481" s="723"/>
      <c r="N481" s="723"/>
      <c r="O481" s="743"/>
      <c r="P481" s="743"/>
      <c r="Q481" s="743"/>
      <c r="R481" s="743"/>
      <c r="S481" s="743"/>
      <c r="U481" s="649"/>
      <c r="V481" s="649"/>
      <c r="W481" s="649"/>
      <c r="X481" s="649"/>
      <c r="Y481" s="649"/>
      <c r="Z481" s="649"/>
      <c r="AA481" s="649"/>
      <c r="AB481" s="649"/>
      <c r="AC481" s="649"/>
      <c r="AD481" s="649"/>
      <c r="AE481" s="649"/>
      <c r="AF481" s="649"/>
      <c r="AG481" s="649"/>
      <c r="AH481" s="649"/>
      <c r="AI481" s="649"/>
      <c r="AJ481" s="649"/>
      <c r="AK481" s="649"/>
      <c r="AL481" s="649"/>
      <c r="AM481" s="649"/>
      <c r="AN481" s="649"/>
      <c r="AO481" s="649"/>
      <c r="AP481" s="649"/>
      <c r="AQ481" s="649"/>
      <c r="AR481" s="649"/>
      <c r="AS481" s="649"/>
      <c r="AT481" s="649"/>
      <c r="AU481" s="649"/>
      <c r="AV481" s="649"/>
      <c r="AW481" s="649"/>
      <c r="AX481" s="649"/>
      <c r="AY481" s="649"/>
      <c r="AZ481" s="649"/>
      <c r="BA481" s="649"/>
      <c r="BB481" s="649"/>
      <c r="BC481" s="649"/>
      <c r="BD481" s="649"/>
    </row>
    <row r="482" spans="1:56" s="648" customFormat="1" ht="12" customHeight="1">
      <c r="A482" s="726"/>
      <c r="B482" s="725">
        <v>43413</v>
      </c>
      <c r="C482" s="724" t="s">
        <v>451</v>
      </c>
      <c r="D482" s="723">
        <v>167.95</v>
      </c>
      <c r="E482" s="723">
        <f t="shared" si="28"/>
        <v>167.95</v>
      </c>
      <c r="F482" s="723"/>
      <c r="G482" s="723"/>
      <c r="H482" s="723"/>
      <c r="I482" s="723"/>
      <c r="J482" s="723"/>
      <c r="K482" s="723"/>
      <c r="L482" s="723"/>
      <c r="M482" s="723"/>
      <c r="N482" s="723"/>
      <c r="O482" s="743"/>
      <c r="P482" s="743"/>
      <c r="Q482" s="743"/>
      <c r="R482" s="743"/>
      <c r="S482" s="743"/>
      <c r="U482" s="649"/>
      <c r="V482" s="649"/>
      <c r="W482" s="649"/>
      <c r="X482" s="649"/>
      <c r="Y482" s="649"/>
      <c r="Z482" s="649"/>
      <c r="AA482" s="649"/>
      <c r="AB482" s="649"/>
      <c r="AC482" s="649"/>
      <c r="AD482" s="649"/>
      <c r="AE482" s="649"/>
      <c r="AF482" s="649"/>
      <c r="AG482" s="649"/>
      <c r="AH482" s="649"/>
      <c r="AI482" s="649"/>
      <c r="AJ482" s="649"/>
      <c r="AK482" s="649"/>
      <c r="AL482" s="649"/>
      <c r="AM482" s="649"/>
      <c r="AN482" s="649"/>
      <c r="AO482" s="649"/>
      <c r="AP482" s="649"/>
      <c r="AQ482" s="649"/>
      <c r="AR482" s="649"/>
      <c r="AS482" s="649"/>
      <c r="AT482" s="649"/>
      <c r="AU482" s="649"/>
      <c r="AV482" s="649"/>
      <c r="AW482" s="649"/>
      <c r="AX482" s="649"/>
      <c r="AY482" s="649"/>
      <c r="AZ482" s="649"/>
      <c r="BA482" s="649"/>
      <c r="BB482" s="649"/>
      <c r="BC482" s="649"/>
      <c r="BD482" s="649"/>
    </row>
    <row r="483" spans="1:56" s="648" customFormat="1" ht="12" customHeight="1">
      <c r="A483" s="726"/>
      <c r="B483" s="725">
        <v>43413</v>
      </c>
      <c r="C483" s="724" t="s">
        <v>39</v>
      </c>
      <c r="D483" s="723">
        <v>15</v>
      </c>
      <c r="E483" s="723">
        <f t="shared" si="28"/>
        <v>15</v>
      </c>
      <c r="F483" s="723"/>
      <c r="G483" s="723"/>
      <c r="H483" s="723"/>
      <c r="I483" s="723"/>
      <c r="J483" s="723"/>
      <c r="K483" s="723"/>
      <c r="L483" s="723"/>
      <c r="M483" s="723"/>
      <c r="N483" s="723"/>
      <c r="O483" s="743"/>
      <c r="P483" s="743"/>
      <c r="Q483" s="743"/>
      <c r="R483" s="743"/>
      <c r="S483" s="743"/>
      <c r="U483" s="649"/>
      <c r="V483" s="649"/>
      <c r="W483" s="649"/>
      <c r="X483" s="649"/>
      <c r="Y483" s="649"/>
      <c r="Z483" s="649"/>
      <c r="AA483" s="649"/>
      <c r="AB483" s="649"/>
      <c r="AC483" s="649"/>
      <c r="AD483" s="649"/>
      <c r="AE483" s="649"/>
      <c r="AF483" s="649"/>
      <c r="AG483" s="649"/>
      <c r="AH483" s="649"/>
      <c r="AI483" s="649"/>
      <c r="AJ483" s="649"/>
      <c r="AK483" s="649"/>
      <c r="AL483" s="649"/>
      <c r="AM483" s="649"/>
      <c r="AN483" s="649"/>
      <c r="AO483" s="649"/>
      <c r="AP483" s="649"/>
      <c r="AQ483" s="649"/>
      <c r="AR483" s="649"/>
      <c r="AS483" s="649"/>
      <c r="AT483" s="649"/>
      <c r="AU483" s="649"/>
      <c r="AV483" s="649"/>
      <c r="AW483" s="649"/>
      <c r="AX483" s="649"/>
      <c r="AY483" s="649"/>
      <c r="AZ483" s="649"/>
      <c r="BA483" s="649"/>
      <c r="BB483" s="649"/>
      <c r="BC483" s="649"/>
      <c r="BD483" s="649"/>
    </row>
    <row r="484" spans="1:56" s="648" customFormat="1" ht="12" customHeight="1">
      <c r="A484" s="726"/>
      <c r="B484" s="725">
        <v>43415</v>
      </c>
      <c r="C484" s="724" t="s">
        <v>451</v>
      </c>
      <c r="D484" s="723">
        <v>194.4</v>
      </c>
      <c r="E484" s="723">
        <f t="shared" si="28"/>
        <v>194.4</v>
      </c>
      <c r="F484" s="723">
        <v>23</v>
      </c>
      <c r="G484" s="723"/>
      <c r="H484" s="723"/>
      <c r="I484" s="723"/>
      <c r="J484" s="723"/>
      <c r="K484" s="723"/>
      <c r="L484" s="723"/>
      <c r="M484" s="723"/>
      <c r="N484" s="723"/>
      <c r="O484" s="743"/>
      <c r="P484" s="743"/>
      <c r="Q484" s="743"/>
      <c r="R484" s="743"/>
      <c r="S484" s="743"/>
      <c r="U484" s="649"/>
      <c r="V484" s="649"/>
      <c r="W484" s="649"/>
      <c r="X484" s="649"/>
      <c r="Y484" s="649"/>
      <c r="Z484" s="649"/>
      <c r="AA484" s="649"/>
      <c r="AB484" s="649"/>
      <c r="AC484" s="649"/>
      <c r="AD484" s="649"/>
      <c r="AE484" s="649"/>
      <c r="AF484" s="649"/>
      <c r="AG484" s="649"/>
      <c r="AH484" s="649"/>
      <c r="AI484" s="649"/>
      <c r="AJ484" s="649"/>
      <c r="AK484" s="649"/>
      <c r="AL484" s="649"/>
      <c r="AM484" s="649"/>
      <c r="AN484" s="649"/>
      <c r="AO484" s="649"/>
      <c r="AP484" s="649"/>
      <c r="AQ484" s="649"/>
      <c r="AR484" s="649"/>
      <c r="AS484" s="649"/>
      <c r="AT484" s="649"/>
      <c r="AU484" s="649"/>
      <c r="AV484" s="649"/>
      <c r="AW484" s="649"/>
      <c r="AX484" s="649"/>
      <c r="AY484" s="649"/>
      <c r="AZ484" s="649"/>
      <c r="BA484" s="649"/>
      <c r="BB484" s="649"/>
      <c r="BC484" s="649"/>
      <c r="BD484" s="649"/>
    </row>
    <row r="485" spans="1:56" s="648" customFormat="1" ht="12" customHeight="1">
      <c r="A485" s="726"/>
      <c r="B485" s="725">
        <v>43416</v>
      </c>
      <c r="C485" s="724" t="s">
        <v>451</v>
      </c>
      <c r="D485" s="723">
        <v>131.05000000000001</v>
      </c>
      <c r="E485" s="723">
        <f t="shared" si="28"/>
        <v>131.05000000000001</v>
      </c>
      <c r="F485" s="723"/>
      <c r="G485" s="723"/>
      <c r="H485" s="723"/>
      <c r="I485" s="723"/>
      <c r="J485" s="723"/>
      <c r="K485" s="723"/>
      <c r="L485" s="723"/>
      <c r="M485" s="723"/>
      <c r="N485" s="723"/>
      <c r="O485" s="743"/>
      <c r="P485" s="743"/>
      <c r="Q485" s="743"/>
      <c r="R485" s="743"/>
      <c r="S485" s="743"/>
      <c r="U485" s="649"/>
      <c r="V485" s="649"/>
      <c r="W485" s="649"/>
      <c r="X485" s="649"/>
      <c r="Y485" s="649"/>
      <c r="Z485" s="649"/>
      <c r="AA485" s="649"/>
      <c r="AB485" s="649"/>
      <c r="AC485" s="649"/>
      <c r="AD485" s="649"/>
      <c r="AE485" s="649"/>
      <c r="AF485" s="649"/>
      <c r="AG485" s="649"/>
      <c r="AH485" s="649"/>
      <c r="AI485" s="649"/>
      <c r="AJ485" s="649"/>
      <c r="AK485" s="649"/>
      <c r="AL485" s="649"/>
      <c r="AM485" s="649"/>
      <c r="AN485" s="649"/>
      <c r="AO485" s="649"/>
      <c r="AP485" s="649"/>
      <c r="AQ485" s="649"/>
      <c r="AR485" s="649"/>
      <c r="AS485" s="649"/>
      <c r="AT485" s="649"/>
      <c r="AU485" s="649"/>
      <c r="AV485" s="649"/>
      <c r="AW485" s="649"/>
      <c r="AX485" s="649"/>
      <c r="AY485" s="649"/>
      <c r="AZ485" s="649"/>
      <c r="BA485" s="649"/>
      <c r="BB485" s="649"/>
      <c r="BC485" s="649"/>
      <c r="BD485" s="649"/>
    </row>
    <row r="486" spans="1:56" s="648" customFormat="1" ht="12" customHeight="1">
      <c r="A486" s="726"/>
      <c r="B486" s="725">
        <v>43420</v>
      </c>
      <c r="C486" s="724" t="s">
        <v>451</v>
      </c>
      <c r="D486" s="723">
        <v>46.88</v>
      </c>
      <c r="E486" s="723">
        <f t="shared" si="28"/>
        <v>46.88</v>
      </c>
      <c r="F486" s="723"/>
      <c r="G486" s="723"/>
      <c r="H486" s="723"/>
      <c r="I486" s="723"/>
      <c r="J486" s="723"/>
      <c r="K486" s="723"/>
      <c r="L486" s="723"/>
      <c r="M486" s="723"/>
      <c r="N486" s="723"/>
      <c r="O486" s="743"/>
      <c r="P486" s="743"/>
      <c r="Q486" s="743"/>
      <c r="R486" s="743"/>
      <c r="S486" s="743"/>
      <c r="U486" s="649"/>
      <c r="V486" s="649"/>
      <c r="W486" s="649"/>
      <c r="X486" s="649"/>
      <c r="Y486" s="649"/>
      <c r="Z486" s="649"/>
      <c r="AA486" s="649"/>
      <c r="AB486" s="649"/>
      <c r="AC486" s="649"/>
      <c r="AD486" s="649"/>
      <c r="AE486" s="649"/>
      <c r="AF486" s="649"/>
      <c r="AG486" s="649"/>
      <c r="AH486" s="649"/>
      <c r="AI486" s="649"/>
      <c r="AJ486" s="649"/>
      <c r="AK486" s="649"/>
      <c r="AL486" s="649"/>
      <c r="AM486" s="649"/>
      <c r="AN486" s="649"/>
      <c r="AO486" s="649"/>
      <c r="AP486" s="649"/>
      <c r="AQ486" s="649"/>
      <c r="AR486" s="649"/>
      <c r="AS486" s="649"/>
      <c r="AT486" s="649"/>
      <c r="AU486" s="649"/>
      <c r="AV486" s="649"/>
      <c r="AW486" s="649"/>
      <c r="AX486" s="649"/>
      <c r="AY486" s="649"/>
      <c r="AZ486" s="649"/>
      <c r="BA486" s="649"/>
      <c r="BB486" s="649"/>
      <c r="BC486" s="649"/>
      <c r="BD486" s="649"/>
    </row>
    <row r="487" spans="1:56" s="648" customFormat="1" ht="12" customHeight="1">
      <c r="A487" s="726"/>
      <c r="B487" s="725">
        <v>43423</v>
      </c>
      <c r="C487" s="724" t="s">
        <v>40</v>
      </c>
      <c r="D487" s="723">
        <v>37</v>
      </c>
      <c r="E487" s="723">
        <f t="shared" si="28"/>
        <v>37</v>
      </c>
      <c r="F487" s="723"/>
      <c r="G487" s="723"/>
      <c r="H487" s="723"/>
      <c r="I487" s="723"/>
      <c r="J487" s="723"/>
      <c r="K487" s="723"/>
      <c r="L487" s="723"/>
      <c r="M487" s="723"/>
      <c r="N487" s="723"/>
      <c r="O487" s="743"/>
      <c r="P487" s="743"/>
      <c r="Q487" s="743"/>
      <c r="R487" s="743"/>
      <c r="S487" s="743"/>
      <c r="U487" s="649"/>
      <c r="V487" s="649"/>
      <c r="W487" s="649"/>
      <c r="X487" s="649"/>
      <c r="Y487" s="649"/>
      <c r="Z487" s="649"/>
      <c r="AA487" s="649"/>
      <c r="AB487" s="649"/>
      <c r="AC487" s="649"/>
      <c r="AD487" s="649"/>
      <c r="AE487" s="649"/>
      <c r="AF487" s="649"/>
      <c r="AG487" s="649"/>
      <c r="AH487" s="649"/>
      <c r="AI487" s="649"/>
      <c r="AJ487" s="649"/>
      <c r="AK487" s="649"/>
      <c r="AL487" s="649"/>
      <c r="AM487" s="649"/>
      <c r="AN487" s="649"/>
      <c r="AO487" s="649"/>
      <c r="AP487" s="649"/>
      <c r="AQ487" s="649"/>
      <c r="AR487" s="649"/>
      <c r="AS487" s="649"/>
      <c r="AT487" s="649"/>
      <c r="AU487" s="649"/>
      <c r="AV487" s="649"/>
      <c r="AW487" s="649"/>
      <c r="AX487" s="649"/>
      <c r="AY487" s="649"/>
      <c r="AZ487" s="649"/>
      <c r="BA487" s="649"/>
      <c r="BB487" s="649"/>
      <c r="BC487" s="649"/>
      <c r="BD487" s="649"/>
    </row>
    <row r="488" spans="1:56" s="648" customFormat="1" ht="12" customHeight="1">
      <c r="A488" s="726"/>
      <c r="B488" s="725">
        <v>43424</v>
      </c>
      <c r="C488" s="724" t="s">
        <v>124</v>
      </c>
      <c r="D488" s="723">
        <v>35.4</v>
      </c>
      <c r="E488" s="723">
        <f t="shared" si="28"/>
        <v>0</v>
      </c>
      <c r="F488" s="723"/>
      <c r="G488" s="723"/>
      <c r="H488" s="723">
        <v>35.4</v>
      </c>
      <c r="I488" s="723"/>
      <c r="J488" s="723"/>
      <c r="K488" s="723"/>
      <c r="L488" s="723"/>
      <c r="M488" s="723"/>
      <c r="N488" s="723"/>
      <c r="O488" s="743"/>
      <c r="P488" s="743"/>
      <c r="Q488" s="743"/>
      <c r="R488" s="743"/>
      <c r="S488" s="743"/>
      <c r="U488" s="649"/>
      <c r="V488" s="649"/>
      <c r="W488" s="649"/>
      <c r="X488" s="649"/>
      <c r="Y488" s="649"/>
      <c r="Z488" s="649"/>
      <c r="AA488" s="649"/>
      <c r="AB488" s="649"/>
      <c r="AC488" s="649"/>
      <c r="AD488" s="649"/>
      <c r="AE488" s="649"/>
      <c r="AF488" s="649"/>
      <c r="AG488" s="649"/>
      <c r="AH488" s="649"/>
      <c r="AI488" s="649"/>
      <c r="AJ488" s="649"/>
      <c r="AK488" s="649"/>
      <c r="AL488" s="649"/>
      <c r="AM488" s="649"/>
      <c r="AN488" s="649"/>
      <c r="AO488" s="649"/>
      <c r="AP488" s="649"/>
      <c r="AQ488" s="649"/>
      <c r="AR488" s="649"/>
      <c r="AS488" s="649"/>
      <c r="AT488" s="649"/>
      <c r="AU488" s="649"/>
      <c r="AV488" s="649"/>
      <c r="AW488" s="649"/>
      <c r="AX488" s="649"/>
      <c r="AY488" s="649"/>
      <c r="AZ488" s="649"/>
      <c r="BA488" s="649"/>
      <c r="BB488" s="649"/>
      <c r="BC488" s="649"/>
      <c r="BD488" s="649"/>
    </row>
    <row r="489" spans="1:56" s="648" customFormat="1" ht="12" customHeight="1">
      <c r="A489" s="726"/>
      <c r="B489" s="725">
        <v>43425</v>
      </c>
      <c r="C489" s="724" t="s">
        <v>124</v>
      </c>
      <c r="D489" s="723">
        <v>48.25</v>
      </c>
      <c r="E489" s="723">
        <f t="shared" si="28"/>
        <v>0</v>
      </c>
      <c r="F489" s="723"/>
      <c r="G489" s="723"/>
      <c r="H489" s="723">
        <v>48.25</v>
      </c>
      <c r="I489" s="723"/>
      <c r="J489" s="723"/>
      <c r="K489" s="723"/>
      <c r="L489" s="723"/>
      <c r="M489" s="723"/>
      <c r="N489" s="723"/>
      <c r="O489" s="743"/>
      <c r="P489" s="743"/>
      <c r="Q489" s="743"/>
      <c r="R489" s="743"/>
      <c r="S489" s="743"/>
      <c r="U489" s="649"/>
      <c r="V489" s="649"/>
      <c r="W489" s="649"/>
      <c r="X489" s="649"/>
      <c r="Y489" s="649"/>
      <c r="Z489" s="649"/>
      <c r="AA489" s="649"/>
      <c r="AB489" s="649"/>
      <c r="AC489" s="649"/>
      <c r="AD489" s="649"/>
      <c r="AE489" s="649"/>
      <c r="AF489" s="649"/>
      <c r="AG489" s="649"/>
      <c r="AH489" s="649"/>
      <c r="AI489" s="649"/>
      <c r="AJ489" s="649"/>
      <c r="AK489" s="649"/>
      <c r="AL489" s="649"/>
      <c r="AM489" s="649"/>
      <c r="AN489" s="649"/>
      <c r="AO489" s="649"/>
      <c r="AP489" s="649"/>
      <c r="AQ489" s="649"/>
      <c r="AR489" s="649"/>
      <c r="AS489" s="649"/>
      <c r="AT489" s="649"/>
      <c r="AU489" s="649"/>
      <c r="AV489" s="649"/>
      <c r="AW489" s="649"/>
      <c r="AX489" s="649"/>
      <c r="AY489" s="649"/>
      <c r="AZ489" s="649"/>
      <c r="BA489" s="649"/>
      <c r="BB489" s="649"/>
      <c r="BC489" s="649"/>
      <c r="BD489" s="649"/>
    </row>
    <row r="490" spans="1:56" s="648" customFormat="1" ht="12" customHeight="1">
      <c r="A490" s="726"/>
      <c r="B490" s="725">
        <v>43426</v>
      </c>
      <c r="C490" s="724" t="s">
        <v>451</v>
      </c>
      <c r="D490" s="723">
        <v>38.950000000000003</v>
      </c>
      <c r="E490" s="723">
        <f t="shared" si="28"/>
        <v>38.950000000000003</v>
      </c>
      <c r="F490" s="723"/>
      <c r="G490" s="723"/>
      <c r="H490" s="723"/>
      <c r="I490" s="723"/>
      <c r="J490" s="723"/>
      <c r="K490" s="723"/>
      <c r="L490" s="723"/>
      <c r="M490" s="723"/>
      <c r="N490" s="723"/>
      <c r="O490" s="743"/>
      <c r="P490" s="743"/>
      <c r="Q490" s="743"/>
      <c r="R490" s="743"/>
      <c r="S490" s="743"/>
      <c r="U490" s="649"/>
      <c r="V490" s="649"/>
      <c r="W490" s="649"/>
      <c r="X490" s="649"/>
      <c r="Y490" s="649"/>
      <c r="Z490" s="649"/>
      <c r="AA490" s="649"/>
      <c r="AB490" s="649"/>
      <c r="AC490" s="649"/>
      <c r="AD490" s="649"/>
      <c r="AE490" s="649"/>
      <c r="AF490" s="649"/>
      <c r="AG490" s="649"/>
      <c r="AH490" s="649"/>
      <c r="AI490" s="649"/>
      <c r="AJ490" s="649"/>
      <c r="AK490" s="649"/>
      <c r="AL490" s="649"/>
      <c r="AM490" s="649"/>
      <c r="AN490" s="649"/>
      <c r="AO490" s="649"/>
      <c r="AP490" s="649"/>
      <c r="AQ490" s="649"/>
      <c r="AR490" s="649"/>
      <c r="AS490" s="649"/>
      <c r="AT490" s="649"/>
      <c r="AU490" s="649"/>
      <c r="AV490" s="649"/>
      <c r="AW490" s="649"/>
      <c r="AX490" s="649"/>
      <c r="AY490" s="649"/>
      <c r="AZ490" s="649"/>
      <c r="BA490" s="649"/>
      <c r="BB490" s="649"/>
      <c r="BC490" s="649"/>
      <c r="BD490" s="649"/>
    </row>
    <row r="491" spans="1:56" s="648" customFormat="1" ht="12" customHeight="1">
      <c r="A491" s="726"/>
      <c r="B491" s="725">
        <v>43426</v>
      </c>
      <c r="C491" s="724" t="s">
        <v>39</v>
      </c>
      <c r="D491" s="723">
        <v>60</v>
      </c>
      <c r="E491" s="723">
        <f t="shared" si="28"/>
        <v>60</v>
      </c>
      <c r="F491" s="723"/>
      <c r="G491" s="723"/>
      <c r="H491" s="723"/>
      <c r="I491" s="723"/>
      <c r="J491" s="723"/>
      <c r="K491" s="723"/>
      <c r="L491" s="723"/>
      <c r="M491" s="723"/>
      <c r="N491" s="723"/>
      <c r="O491" s="743"/>
      <c r="P491" s="743"/>
      <c r="Q491" s="743"/>
      <c r="R491" s="743"/>
      <c r="S491" s="743"/>
      <c r="U491" s="649"/>
      <c r="V491" s="649"/>
      <c r="W491" s="649"/>
      <c r="X491" s="649"/>
      <c r="Y491" s="649"/>
      <c r="Z491" s="649"/>
      <c r="AA491" s="649"/>
      <c r="AB491" s="649"/>
      <c r="AC491" s="649"/>
      <c r="AD491" s="649"/>
      <c r="AE491" s="649"/>
      <c r="AF491" s="649"/>
      <c r="AG491" s="649"/>
      <c r="AH491" s="649"/>
      <c r="AI491" s="649"/>
      <c r="AJ491" s="649"/>
      <c r="AK491" s="649"/>
      <c r="AL491" s="649"/>
      <c r="AM491" s="649"/>
      <c r="AN491" s="649"/>
      <c r="AO491" s="649"/>
      <c r="AP491" s="649"/>
      <c r="AQ491" s="649"/>
      <c r="AR491" s="649"/>
      <c r="AS491" s="649"/>
      <c r="AT491" s="649"/>
      <c r="AU491" s="649"/>
      <c r="AV491" s="649"/>
      <c r="AW491" s="649"/>
      <c r="AX491" s="649"/>
      <c r="AY491" s="649"/>
      <c r="AZ491" s="649"/>
      <c r="BA491" s="649"/>
      <c r="BB491" s="649"/>
      <c r="BC491" s="649"/>
      <c r="BD491" s="649"/>
    </row>
    <row r="492" spans="1:56" s="648" customFormat="1" ht="12" customHeight="1">
      <c r="A492" s="726"/>
      <c r="B492" s="725">
        <v>43434</v>
      </c>
      <c r="C492" s="724" t="s">
        <v>124</v>
      </c>
      <c r="D492" s="723">
        <v>1.5</v>
      </c>
      <c r="E492" s="723">
        <f t="shared" si="28"/>
        <v>1.5</v>
      </c>
      <c r="F492" s="723"/>
      <c r="G492" s="723"/>
      <c r="H492" s="723"/>
      <c r="I492" s="723"/>
      <c r="J492" s="723"/>
      <c r="K492" s="723"/>
      <c r="L492" s="723"/>
      <c r="M492" s="723"/>
      <c r="N492" s="723"/>
      <c r="O492" s="743"/>
      <c r="P492" s="743"/>
      <c r="Q492" s="743"/>
      <c r="R492" s="743"/>
      <c r="S492" s="743"/>
      <c r="U492" s="649"/>
      <c r="V492" s="649"/>
      <c r="W492" s="649"/>
      <c r="X492" s="649"/>
      <c r="Y492" s="649"/>
      <c r="Z492" s="649"/>
      <c r="AA492" s="649"/>
      <c r="AB492" s="649"/>
      <c r="AC492" s="649"/>
      <c r="AD492" s="649"/>
      <c r="AE492" s="649"/>
      <c r="AF492" s="649"/>
      <c r="AG492" s="649"/>
      <c r="AH492" s="649"/>
      <c r="AI492" s="649"/>
      <c r="AJ492" s="649"/>
      <c r="AK492" s="649"/>
      <c r="AL492" s="649"/>
      <c r="AM492" s="649"/>
      <c r="AN492" s="649"/>
      <c r="AO492" s="649"/>
      <c r="AP492" s="649"/>
      <c r="AQ492" s="649"/>
      <c r="AR492" s="649"/>
      <c r="AS492" s="649"/>
      <c r="AT492" s="649"/>
      <c r="AU492" s="649"/>
      <c r="AV492" s="649"/>
      <c r="AW492" s="649"/>
      <c r="AX492" s="649"/>
      <c r="AY492" s="649"/>
      <c r="AZ492" s="649"/>
      <c r="BA492" s="649"/>
      <c r="BB492" s="649"/>
      <c r="BC492" s="649"/>
      <c r="BD492" s="649"/>
    </row>
    <row r="493" spans="1:56" s="648" customFormat="1" ht="12" customHeight="1">
      <c r="A493" s="726"/>
      <c r="B493" s="725">
        <v>43434</v>
      </c>
      <c r="C493" s="724" t="s">
        <v>39</v>
      </c>
      <c r="D493" s="723">
        <v>55</v>
      </c>
      <c r="E493" s="723">
        <f t="shared" si="28"/>
        <v>55</v>
      </c>
      <c r="F493" s="723"/>
      <c r="G493" s="723"/>
      <c r="H493" s="723"/>
      <c r="I493" s="723"/>
      <c r="J493" s="723"/>
      <c r="K493" s="723"/>
      <c r="L493" s="723"/>
      <c r="M493" s="723"/>
      <c r="N493" s="723"/>
      <c r="O493" s="743"/>
      <c r="P493" s="743"/>
      <c r="Q493" s="743"/>
      <c r="R493" s="743"/>
      <c r="S493" s="743"/>
      <c r="U493" s="649"/>
      <c r="V493" s="649"/>
      <c r="W493" s="649"/>
      <c r="X493" s="649"/>
      <c r="Y493" s="649"/>
      <c r="Z493" s="649"/>
      <c r="AA493" s="649"/>
      <c r="AB493" s="649"/>
      <c r="AC493" s="649"/>
      <c r="AD493" s="649"/>
      <c r="AE493" s="649"/>
      <c r="AF493" s="649"/>
      <c r="AG493" s="649"/>
      <c r="AH493" s="649"/>
      <c r="AI493" s="649"/>
      <c r="AJ493" s="649"/>
      <c r="AK493" s="649"/>
      <c r="AL493" s="649"/>
      <c r="AM493" s="649"/>
      <c r="AN493" s="649"/>
      <c r="AO493" s="649"/>
      <c r="AP493" s="649"/>
      <c r="AQ493" s="649"/>
      <c r="AR493" s="649"/>
      <c r="AS493" s="649"/>
      <c r="AT493" s="649"/>
      <c r="AU493" s="649"/>
      <c r="AV493" s="649"/>
      <c r="AW493" s="649"/>
      <c r="AX493" s="649"/>
      <c r="AY493" s="649"/>
      <c r="AZ493" s="649"/>
      <c r="BA493" s="649"/>
      <c r="BB493" s="649"/>
      <c r="BC493" s="649"/>
      <c r="BD493" s="649"/>
    </row>
    <row r="494" spans="1:56" s="648" customFormat="1" ht="12" customHeight="1">
      <c r="A494" s="726"/>
      <c r="B494" s="725">
        <v>43434</v>
      </c>
      <c r="C494" s="724" t="s">
        <v>451</v>
      </c>
      <c r="D494" s="723">
        <v>161.59</v>
      </c>
      <c r="E494" s="723">
        <f t="shared" si="28"/>
        <v>161.59</v>
      </c>
      <c r="F494" s="723"/>
      <c r="G494" s="723"/>
      <c r="H494" s="723"/>
      <c r="I494" s="723"/>
      <c r="J494" s="723"/>
      <c r="K494" s="723"/>
      <c r="L494" s="723"/>
      <c r="M494" s="723"/>
      <c r="N494" s="723"/>
      <c r="O494" s="743"/>
      <c r="P494" s="743"/>
      <c r="Q494" s="743"/>
      <c r="R494" s="743"/>
      <c r="S494" s="743"/>
      <c r="U494" s="649"/>
      <c r="V494" s="649"/>
      <c r="W494" s="649"/>
      <c r="X494" s="649"/>
      <c r="Y494" s="649"/>
      <c r="Z494" s="649"/>
      <c r="AA494" s="649"/>
      <c r="AB494" s="649"/>
      <c r="AC494" s="649"/>
      <c r="AD494" s="649"/>
      <c r="AE494" s="649"/>
      <c r="AF494" s="649"/>
      <c r="AG494" s="649"/>
      <c r="AH494" s="649"/>
      <c r="AI494" s="649"/>
      <c r="AJ494" s="649"/>
      <c r="AK494" s="649"/>
      <c r="AL494" s="649"/>
      <c r="AM494" s="649"/>
      <c r="AN494" s="649"/>
      <c r="AO494" s="649"/>
      <c r="AP494" s="649"/>
      <c r="AQ494" s="649"/>
      <c r="AR494" s="649"/>
      <c r="AS494" s="649"/>
      <c r="AT494" s="649"/>
      <c r="AU494" s="649"/>
      <c r="AV494" s="649"/>
      <c r="AW494" s="649"/>
      <c r="AX494" s="649"/>
      <c r="AY494" s="649"/>
      <c r="AZ494" s="649"/>
      <c r="BA494" s="649"/>
      <c r="BB494" s="649"/>
      <c r="BC494" s="649"/>
      <c r="BD494" s="649"/>
    </row>
    <row r="495" spans="1:56" s="744" customFormat="1" ht="12" customHeight="1">
      <c r="A495" s="749"/>
      <c r="B495" s="748" t="str">
        <f>N1</f>
        <v>december</v>
      </c>
      <c r="C495" s="747"/>
      <c r="D495" s="746">
        <f t="shared" ref="D495:S495" si="29">SUM(D496:D520)</f>
        <v>2422.73</v>
      </c>
      <c r="E495" s="746">
        <f t="shared" si="29"/>
        <v>1673.13</v>
      </c>
      <c r="F495" s="746">
        <f t="shared" si="29"/>
        <v>0</v>
      </c>
      <c r="G495" s="746">
        <f t="shared" si="29"/>
        <v>320</v>
      </c>
      <c r="H495" s="746">
        <f t="shared" si="29"/>
        <v>225.6</v>
      </c>
      <c r="I495" s="746">
        <f t="shared" si="29"/>
        <v>204</v>
      </c>
      <c r="J495" s="746">
        <f t="shared" si="29"/>
        <v>0</v>
      </c>
      <c r="K495" s="746">
        <f t="shared" si="29"/>
        <v>0</v>
      </c>
      <c r="L495" s="746">
        <f t="shared" si="29"/>
        <v>0</v>
      </c>
      <c r="M495" s="746">
        <f t="shared" si="29"/>
        <v>0</v>
      </c>
      <c r="N495" s="746">
        <f t="shared" si="29"/>
        <v>0</v>
      </c>
      <c r="O495" s="745">
        <f t="shared" si="29"/>
        <v>0</v>
      </c>
      <c r="P495" s="745">
        <f t="shared" si="29"/>
        <v>0</v>
      </c>
      <c r="Q495" s="745">
        <f t="shared" si="29"/>
        <v>0</v>
      </c>
      <c r="R495" s="745">
        <f t="shared" si="29"/>
        <v>0</v>
      </c>
      <c r="S495" s="745">
        <f t="shared" si="29"/>
        <v>0</v>
      </c>
    </row>
    <row r="496" spans="1:56" s="648" customFormat="1" ht="12" customHeight="1">
      <c r="A496" s="726"/>
      <c r="B496" s="725">
        <v>43435</v>
      </c>
      <c r="C496" s="724" t="s">
        <v>451</v>
      </c>
      <c r="D496" s="723">
        <v>359.48</v>
      </c>
      <c r="E496" s="723">
        <f t="shared" ref="E496:E520" si="30">D496-G496-H496-I496</f>
        <v>279.48</v>
      </c>
      <c r="F496" s="723"/>
      <c r="G496" s="723">
        <v>80</v>
      </c>
      <c r="H496" s="723"/>
      <c r="I496" s="723"/>
      <c r="J496" s="723"/>
      <c r="K496" s="723"/>
      <c r="L496" s="723"/>
      <c r="M496" s="723"/>
      <c r="N496" s="723"/>
      <c r="O496" s="743"/>
      <c r="P496" s="743"/>
      <c r="Q496" s="743"/>
      <c r="R496" s="743"/>
      <c r="S496" s="743"/>
      <c r="U496" s="649"/>
      <c r="V496" s="649"/>
      <c r="W496" s="649"/>
      <c r="X496" s="649"/>
      <c r="Y496" s="649"/>
      <c r="Z496" s="649"/>
      <c r="AA496" s="649"/>
      <c r="AB496" s="649"/>
      <c r="AC496" s="649"/>
      <c r="AD496" s="649"/>
      <c r="AE496" s="649"/>
      <c r="AF496" s="649"/>
      <c r="AG496" s="649"/>
      <c r="AH496" s="649"/>
      <c r="AI496" s="649"/>
      <c r="AJ496" s="649"/>
      <c r="AK496" s="649"/>
      <c r="AL496" s="649"/>
      <c r="AM496" s="649"/>
      <c r="AN496" s="649"/>
      <c r="AO496" s="649"/>
      <c r="AP496" s="649"/>
      <c r="AQ496" s="649"/>
      <c r="AR496" s="649"/>
      <c r="AS496" s="649"/>
      <c r="AT496" s="649"/>
      <c r="AU496" s="649"/>
      <c r="AV496" s="649"/>
      <c r="AW496" s="649"/>
      <c r="AX496" s="649"/>
      <c r="AY496" s="649"/>
      <c r="AZ496" s="649"/>
      <c r="BA496" s="649"/>
      <c r="BB496" s="649"/>
      <c r="BC496" s="649"/>
      <c r="BD496" s="649"/>
    </row>
    <row r="497" spans="1:56" s="648" customFormat="1" ht="12" customHeight="1">
      <c r="A497" s="726"/>
      <c r="B497" s="725">
        <v>43437</v>
      </c>
      <c r="C497" s="724" t="s">
        <v>451</v>
      </c>
      <c r="D497" s="723">
        <v>138.80000000000001</v>
      </c>
      <c r="E497" s="723">
        <f t="shared" si="30"/>
        <v>138.80000000000001</v>
      </c>
      <c r="F497" s="723"/>
      <c r="G497" s="723"/>
      <c r="H497" s="723"/>
      <c r="I497" s="723"/>
      <c r="J497" s="723"/>
      <c r="K497" s="723"/>
      <c r="L497" s="723"/>
      <c r="M497" s="723"/>
      <c r="N497" s="723"/>
      <c r="O497" s="743"/>
      <c r="P497" s="743"/>
      <c r="Q497" s="743"/>
      <c r="R497" s="743"/>
      <c r="S497" s="743"/>
      <c r="U497" s="649"/>
      <c r="V497" s="649"/>
      <c r="W497" s="649"/>
      <c r="X497" s="649"/>
      <c r="Y497" s="649"/>
      <c r="Z497" s="649"/>
      <c r="AA497" s="649"/>
      <c r="AB497" s="649"/>
      <c r="AC497" s="649"/>
      <c r="AD497" s="649"/>
      <c r="AE497" s="649"/>
      <c r="AF497" s="649"/>
      <c r="AG497" s="649"/>
      <c r="AH497" s="649"/>
      <c r="AI497" s="649"/>
      <c r="AJ497" s="649"/>
      <c r="AK497" s="649"/>
      <c r="AL497" s="649"/>
      <c r="AM497" s="649"/>
      <c r="AN497" s="649"/>
      <c r="AO497" s="649"/>
      <c r="AP497" s="649"/>
      <c r="AQ497" s="649"/>
      <c r="AR497" s="649"/>
      <c r="AS497" s="649"/>
      <c r="AT497" s="649"/>
      <c r="AU497" s="649"/>
      <c r="AV497" s="649"/>
      <c r="AW497" s="649"/>
      <c r="AX497" s="649"/>
      <c r="AY497" s="649"/>
      <c r="AZ497" s="649"/>
      <c r="BA497" s="649"/>
      <c r="BB497" s="649"/>
      <c r="BC497" s="649"/>
      <c r="BD497" s="649"/>
    </row>
    <row r="498" spans="1:56" s="648" customFormat="1" ht="12" customHeight="1">
      <c r="A498" s="726"/>
      <c r="B498" s="725">
        <v>43437</v>
      </c>
      <c r="C498" s="724" t="s">
        <v>38</v>
      </c>
      <c r="D498" s="723">
        <v>88</v>
      </c>
      <c r="E498" s="723">
        <f t="shared" si="30"/>
        <v>24</v>
      </c>
      <c r="F498" s="723"/>
      <c r="G498" s="723"/>
      <c r="H498" s="723"/>
      <c r="I498" s="723">
        <v>64</v>
      </c>
      <c r="J498" s="723"/>
      <c r="K498" s="723"/>
      <c r="L498" s="723"/>
      <c r="M498" s="723"/>
      <c r="N498" s="723"/>
      <c r="O498" s="743"/>
      <c r="P498" s="743"/>
      <c r="Q498" s="743"/>
      <c r="R498" s="743"/>
      <c r="S498" s="743"/>
      <c r="U498" s="649"/>
      <c r="V498" s="649"/>
      <c r="W498" s="649"/>
      <c r="X498" s="649"/>
      <c r="Y498" s="649"/>
      <c r="Z498" s="649"/>
      <c r="AA498" s="649"/>
      <c r="AB498" s="649"/>
      <c r="AC498" s="649"/>
      <c r="AD498" s="649"/>
      <c r="AE498" s="649"/>
      <c r="AF498" s="649"/>
      <c r="AG498" s="649"/>
      <c r="AH498" s="649"/>
      <c r="AI498" s="649"/>
      <c r="AJ498" s="649"/>
      <c r="AK498" s="649"/>
      <c r="AL498" s="649"/>
      <c r="AM498" s="649"/>
      <c r="AN498" s="649"/>
      <c r="AO498" s="649"/>
      <c r="AP498" s="649"/>
      <c r="AQ498" s="649"/>
      <c r="AR498" s="649"/>
      <c r="AS498" s="649"/>
      <c r="AT498" s="649"/>
      <c r="AU498" s="649"/>
      <c r="AV498" s="649"/>
      <c r="AW498" s="649"/>
      <c r="AX498" s="649"/>
      <c r="AY498" s="649"/>
      <c r="AZ498" s="649"/>
      <c r="BA498" s="649"/>
      <c r="BB498" s="649"/>
      <c r="BC498" s="649"/>
      <c r="BD498" s="649"/>
    </row>
    <row r="499" spans="1:56" s="648" customFormat="1" ht="12" customHeight="1">
      <c r="A499" s="726"/>
      <c r="B499" s="725">
        <v>43438</v>
      </c>
      <c r="C499" s="724" t="s">
        <v>451</v>
      </c>
      <c r="D499" s="723">
        <v>142.94999999999999</v>
      </c>
      <c r="E499" s="723">
        <f t="shared" si="30"/>
        <v>22.949999999999989</v>
      </c>
      <c r="F499" s="723"/>
      <c r="G499" s="723">
        <v>80</v>
      </c>
      <c r="H499" s="723"/>
      <c r="I499" s="723">
        <v>40</v>
      </c>
      <c r="J499" s="723"/>
      <c r="K499" s="723"/>
      <c r="L499" s="723"/>
      <c r="M499" s="723"/>
      <c r="N499" s="723"/>
      <c r="O499" s="743"/>
      <c r="P499" s="743"/>
      <c r="Q499" s="743"/>
      <c r="R499" s="743"/>
      <c r="S499" s="743"/>
      <c r="U499" s="649"/>
      <c r="V499" s="649"/>
      <c r="W499" s="649"/>
      <c r="X499" s="649"/>
      <c r="Y499" s="649"/>
      <c r="Z499" s="649"/>
      <c r="AA499" s="649"/>
      <c r="AB499" s="649"/>
      <c r="AC499" s="649"/>
      <c r="AD499" s="649"/>
      <c r="AE499" s="649"/>
      <c r="AF499" s="649"/>
      <c r="AG499" s="649"/>
      <c r="AH499" s="649"/>
      <c r="AI499" s="649"/>
      <c r="AJ499" s="649"/>
      <c r="AK499" s="649"/>
      <c r="AL499" s="649"/>
      <c r="AM499" s="649"/>
      <c r="AN499" s="649"/>
      <c r="AO499" s="649"/>
      <c r="AP499" s="649"/>
      <c r="AQ499" s="649"/>
      <c r="AR499" s="649"/>
      <c r="AS499" s="649"/>
      <c r="AT499" s="649"/>
      <c r="AU499" s="649"/>
      <c r="AV499" s="649"/>
      <c r="AW499" s="649"/>
      <c r="AX499" s="649"/>
      <c r="AY499" s="649"/>
      <c r="AZ499" s="649"/>
      <c r="BA499" s="649"/>
      <c r="BB499" s="649"/>
      <c r="BC499" s="649"/>
      <c r="BD499" s="649"/>
    </row>
    <row r="500" spans="1:56" s="648" customFormat="1" ht="12" customHeight="1">
      <c r="A500" s="726"/>
      <c r="B500" s="725">
        <v>43438</v>
      </c>
      <c r="C500" s="724" t="s">
        <v>124</v>
      </c>
      <c r="D500" s="723">
        <v>48.55</v>
      </c>
      <c r="E500" s="723">
        <f t="shared" si="30"/>
        <v>0</v>
      </c>
      <c r="F500" s="723"/>
      <c r="G500" s="723"/>
      <c r="H500" s="723">
        <v>48.55</v>
      </c>
      <c r="I500" s="723"/>
      <c r="J500" s="723"/>
      <c r="K500" s="723"/>
      <c r="L500" s="723"/>
      <c r="M500" s="723"/>
      <c r="N500" s="723"/>
      <c r="O500" s="743"/>
      <c r="P500" s="743"/>
      <c r="Q500" s="743"/>
      <c r="R500" s="743"/>
      <c r="S500" s="743"/>
      <c r="U500" s="649"/>
      <c r="V500" s="649"/>
      <c r="W500" s="649"/>
      <c r="X500" s="649"/>
      <c r="Y500" s="649"/>
      <c r="Z500" s="649"/>
      <c r="AA500" s="649"/>
      <c r="AB500" s="649"/>
      <c r="AC500" s="649"/>
      <c r="AD500" s="649"/>
      <c r="AE500" s="649"/>
      <c r="AF500" s="649"/>
      <c r="AG500" s="649"/>
      <c r="AH500" s="649"/>
      <c r="AI500" s="649"/>
      <c r="AJ500" s="649"/>
      <c r="AK500" s="649"/>
      <c r="AL500" s="649"/>
      <c r="AM500" s="649"/>
      <c r="AN500" s="649"/>
      <c r="AO500" s="649"/>
      <c r="AP500" s="649"/>
      <c r="AQ500" s="649"/>
      <c r="AR500" s="649"/>
      <c r="AS500" s="649"/>
      <c r="AT500" s="649"/>
      <c r="AU500" s="649"/>
      <c r="AV500" s="649"/>
      <c r="AW500" s="649"/>
      <c r="AX500" s="649"/>
      <c r="AY500" s="649"/>
      <c r="AZ500" s="649"/>
      <c r="BA500" s="649"/>
      <c r="BB500" s="649"/>
      <c r="BC500" s="649"/>
      <c r="BD500" s="649"/>
    </row>
    <row r="501" spans="1:56" s="648" customFormat="1" ht="12" customHeight="1">
      <c r="A501" s="726"/>
      <c r="B501" s="725">
        <v>43438</v>
      </c>
      <c r="C501" s="724" t="s">
        <v>39</v>
      </c>
      <c r="D501" s="723">
        <v>85</v>
      </c>
      <c r="E501" s="723">
        <f t="shared" si="30"/>
        <v>85</v>
      </c>
      <c r="F501" s="723"/>
      <c r="G501" s="723"/>
      <c r="H501" s="723"/>
      <c r="I501" s="723"/>
      <c r="J501" s="723"/>
      <c r="K501" s="723"/>
      <c r="L501" s="723"/>
      <c r="M501" s="723"/>
      <c r="N501" s="723"/>
      <c r="O501" s="743"/>
      <c r="P501" s="743"/>
      <c r="Q501" s="743"/>
      <c r="R501" s="743"/>
      <c r="S501" s="743"/>
      <c r="U501" s="649"/>
      <c r="V501" s="649"/>
      <c r="W501" s="649"/>
      <c r="X501" s="649"/>
      <c r="Y501" s="649"/>
      <c r="Z501" s="649"/>
      <c r="AA501" s="649"/>
      <c r="AB501" s="649"/>
      <c r="AC501" s="649"/>
      <c r="AD501" s="649"/>
      <c r="AE501" s="649"/>
      <c r="AF501" s="649"/>
      <c r="AG501" s="649"/>
      <c r="AH501" s="649"/>
      <c r="AI501" s="649"/>
      <c r="AJ501" s="649"/>
      <c r="AK501" s="649"/>
      <c r="AL501" s="649"/>
      <c r="AM501" s="649"/>
      <c r="AN501" s="649"/>
      <c r="AO501" s="649"/>
      <c r="AP501" s="649"/>
      <c r="AQ501" s="649"/>
      <c r="AR501" s="649"/>
      <c r="AS501" s="649"/>
      <c r="AT501" s="649"/>
      <c r="AU501" s="649"/>
      <c r="AV501" s="649"/>
      <c r="AW501" s="649"/>
      <c r="AX501" s="649"/>
      <c r="AY501" s="649"/>
      <c r="AZ501" s="649"/>
      <c r="BA501" s="649"/>
      <c r="BB501" s="649"/>
      <c r="BC501" s="649"/>
      <c r="BD501" s="649"/>
    </row>
    <row r="502" spans="1:56" s="648" customFormat="1" ht="12" customHeight="1">
      <c r="A502" s="726"/>
      <c r="B502" s="725">
        <v>43439</v>
      </c>
      <c r="C502" s="724" t="s">
        <v>40</v>
      </c>
      <c r="D502" s="723">
        <v>101.5</v>
      </c>
      <c r="E502" s="723">
        <f t="shared" si="30"/>
        <v>91.5</v>
      </c>
      <c r="F502" s="723"/>
      <c r="G502" s="723"/>
      <c r="H502" s="723"/>
      <c r="I502" s="723">
        <v>10</v>
      </c>
      <c r="J502" s="723"/>
      <c r="K502" s="723"/>
      <c r="L502" s="723"/>
      <c r="M502" s="723"/>
      <c r="N502" s="723"/>
      <c r="O502" s="743"/>
      <c r="P502" s="743"/>
      <c r="Q502" s="743"/>
      <c r="R502" s="743"/>
      <c r="S502" s="743"/>
      <c r="U502" s="649"/>
      <c r="V502" s="649"/>
      <c r="W502" s="649"/>
      <c r="X502" s="649"/>
      <c r="Y502" s="649"/>
      <c r="Z502" s="649"/>
      <c r="AA502" s="649"/>
      <c r="AB502" s="649"/>
      <c r="AC502" s="649"/>
      <c r="AD502" s="649"/>
      <c r="AE502" s="649"/>
      <c r="AF502" s="649"/>
      <c r="AG502" s="649"/>
      <c r="AH502" s="649"/>
      <c r="AI502" s="649"/>
      <c r="AJ502" s="649"/>
      <c r="AK502" s="649"/>
      <c r="AL502" s="649"/>
      <c r="AM502" s="649"/>
      <c r="AN502" s="649"/>
      <c r="AO502" s="649"/>
      <c r="AP502" s="649"/>
      <c r="AQ502" s="649"/>
      <c r="AR502" s="649"/>
      <c r="AS502" s="649"/>
      <c r="AT502" s="649"/>
      <c r="AU502" s="649"/>
      <c r="AV502" s="649"/>
      <c r="AW502" s="649"/>
      <c r="AX502" s="649"/>
      <c r="AY502" s="649"/>
      <c r="AZ502" s="649"/>
      <c r="BA502" s="649"/>
      <c r="BB502" s="649"/>
      <c r="BC502" s="649"/>
      <c r="BD502" s="649"/>
    </row>
    <row r="503" spans="1:56" s="648" customFormat="1" ht="12" customHeight="1">
      <c r="A503" s="726"/>
      <c r="B503" s="725">
        <v>43440</v>
      </c>
      <c r="C503" s="724" t="s">
        <v>124</v>
      </c>
      <c r="D503" s="723">
        <v>140.94999999999999</v>
      </c>
      <c r="E503" s="723">
        <f t="shared" si="30"/>
        <v>0</v>
      </c>
      <c r="F503" s="723"/>
      <c r="G503" s="723"/>
      <c r="H503" s="723">
        <v>140.94999999999999</v>
      </c>
      <c r="I503" s="723"/>
      <c r="J503" s="723"/>
      <c r="K503" s="723"/>
      <c r="L503" s="723"/>
      <c r="M503" s="723"/>
      <c r="N503" s="723"/>
      <c r="O503" s="743"/>
      <c r="P503" s="743"/>
      <c r="Q503" s="743"/>
      <c r="R503" s="743"/>
      <c r="S503" s="743"/>
      <c r="U503" s="649"/>
      <c r="V503" s="649"/>
      <c r="W503" s="649"/>
      <c r="X503" s="649"/>
      <c r="Y503" s="649"/>
      <c r="Z503" s="649"/>
      <c r="AA503" s="649"/>
      <c r="AB503" s="649"/>
      <c r="AC503" s="649"/>
      <c r="AD503" s="649"/>
      <c r="AE503" s="649"/>
      <c r="AF503" s="649"/>
      <c r="AG503" s="649"/>
      <c r="AH503" s="649"/>
      <c r="AI503" s="649"/>
      <c r="AJ503" s="649"/>
      <c r="AK503" s="649"/>
      <c r="AL503" s="649"/>
      <c r="AM503" s="649"/>
      <c r="AN503" s="649"/>
      <c r="AO503" s="649"/>
      <c r="AP503" s="649"/>
      <c r="AQ503" s="649"/>
      <c r="AR503" s="649"/>
      <c r="AS503" s="649"/>
      <c r="AT503" s="649"/>
      <c r="AU503" s="649"/>
      <c r="AV503" s="649"/>
      <c r="AW503" s="649"/>
      <c r="AX503" s="649"/>
      <c r="AY503" s="649"/>
      <c r="AZ503" s="649"/>
      <c r="BA503" s="649"/>
      <c r="BB503" s="649"/>
      <c r="BC503" s="649"/>
      <c r="BD503" s="649"/>
    </row>
    <row r="504" spans="1:56" s="648" customFormat="1" ht="12" customHeight="1">
      <c r="A504" s="726"/>
      <c r="B504" s="725">
        <v>43442</v>
      </c>
      <c r="C504" s="724" t="s">
        <v>451</v>
      </c>
      <c r="D504" s="723">
        <v>64.5</v>
      </c>
      <c r="E504" s="723">
        <f t="shared" si="30"/>
        <v>64.5</v>
      </c>
      <c r="F504" s="723"/>
      <c r="G504" s="723"/>
      <c r="H504" s="723"/>
      <c r="I504" s="723"/>
      <c r="J504" s="723"/>
      <c r="K504" s="723"/>
      <c r="L504" s="723"/>
      <c r="M504" s="723"/>
      <c r="N504" s="723"/>
      <c r="O504" s="743"/>
      <c r="P504" s="743"/>
      <c r="Q504" s="743"/>
      <c r="R504" s="743"/>
      <c r="S504" s="743"/>
      <c r="U504" s="649"/>
      <c r="V504" s="649"/>
      <c r="W504" s="649"/>
      <c r="X504" s="649"/>
      <c r="Y504" s="649"/>
      <c r="Z504" s="649"/>
      <c r="AA504" s="649"/>
      <c r="AB504" s="649"/>
      <c r="AC504" s="649"/>
      <c r="AD504" s="649"/>
      <c r="AE504" s="649"/>
      <c r="AF504" s="649"/>
      <c r="AG504" s="649"/>
      <c r="AH504" s="649"/>
      <c r="AI504" s="649"/>
      <c r="AJ504" s="649"/>
      <c r="AK504" s="649"/>
      <c r="AL504" s="649"/>
      <c r="AM504" s="649"/>
      <c r="AN504" s="649"/>
      <c r="AO504" s="649"/>
      <c r="AP504" s="649"/>
      <c r="AQ504" s="649"/>
      <c r="AR504" s="649"/>
      <c r="AS504" s="649"/>
      <c r="AT504" s="649"/>
      <c r="AU504" s="649"/>
      <c r="AV504" s="649"/>
      <c r="AW504" s="649"/>
      <c r="AX504" s="649"/>
      <c r="AY504" s="649"/>
      <c r="AZ504" s="649"/>
      <c r="BA504" s="649"/>
      <c r="BB504" s="649"/>
      <c r="BC504" s="649"/>
      <c r="BD504" s="649"/>
    </row>
    <row r="505" spans="1:56" s="648" customFormat="1" ht="12" customHeight="1">
      <c r="A505" s="726"/>
      <c r="B505" s="725">
        <v>43443</v>
      </c>
      <c r="C505" s="724" t="s">
        <v>40</v>
      </c>
      <c r="D505" s="723">
        <v>70.45</v>
      </c>
      <c r="E505" s="723">
        <f t="shared" si="30"/>
        <v>70.45</v>
      </c>
      <c r="F505" s="723"/>
      <c r="G505" s="723"/>
      <c r="H505" s="723"/>
      <c r="I505" s="723"/>
      <c r="J505" s="723"/>
      <c r="K505" s="723"/>
      <c r="L505" s="723"/>
      <c r="M505" s="723"/>
      <c r="N505" s="723"/>
      <c r="O505" s="743"/>
      <c r="P505" s="743"/>
      <c r="Q505" s="743"/>
      <c r="R505" s="743"/>
      <c r="S505" s="743"/>
      <c r="U505" s="649"/>
      <c r="V505" s="649"/>
      <c r="W505" s="649"/>
      <c r="X505" s="649"/>
      <c r="Y505" s="649"/>
      <c r="Z505" s="649"/>
      <c r="AA505" s="649"/>
      <c r="AB505" s="649"/>
      <c r="AC505" s="649"/>
      <c r="AD505" s="649"/>
      <c r="AE505" s="649"/>
      <c r="AF505" s="649"/>
      <c r="AG505" s="649"/>
      <c r="AH505" s="649"/>
      <c r="AI505" s="649"/>
      <c r="AJ505" s="649"/>
      <c r="AK505" s="649"/>
      <c r="AL505" s="649"/>
      <c r="AM505" s="649"/>
      <c r="AN505" s="649"/>
      <c r="AO505" s="649"/>
      <c r="AP505" s="649"/>
      <c r="AQ505" s="649"/>
      <c r="AR505" s="649"/>
      <c r="AS505" s="649"/>
      <c r="AT505" s="649"/>
      <c r="AU505" s="649"/>
      <c r="AV505" s="649"/>
      <c r="AW505" s="649"/>
      <c r="AX505" s="649"/>
      <c r="AY505" s="649"/>
      <c r="AZ505" s="649"/>
      <c r="BA505" s="649"/>
      <c r="BB505" s="649"/>
      <c r="BC505" s="649"/>
      <c r="BD505" s="649"/>
    </row>
    <row r="506" spans="1:56" s="648" customFormat="1" ht="12" customHeight="1">
      <c r="A506" s="726"/>
      <c r="B506" s="725">
        <v>43444</v>
      </c>
      <c r="C506" s="724" t="s">
        <v>451</v>
      </c>
      <c r="D506" s="723">
        <v>91.4</v>
      </c>
      <c r="E506" s="723">
        <f t="shared" si="30"/>
        <v>91.4</v>
      </c>
      <c r="F506" s="723"/>
      <c r="G506" s="723"/>
      <c r="H506" s="723"/>
      <c r="I506" s="723"/>
      <c r="J506" s="723"/>
      <c r="K506" s="723"/>
      <c r="L506" s="723"/>
      <c r="M506" s="723"/>
      <c r="N506" s="723"/>
      <c r="O506" s="743"/>
      <c r="P506" s="743"/>
      <c r="Q506" s="743"/>
      <c r="R506" s="743"/>
      <c r="S506" s="743"/>
      <c r="U506" s="649"/>
      <c r="V506" s="649"/>
      <c r="W506" s="649"/>
      <c r="X506" s="649"/>
      <c r="Y506" s="649"/>
      <c r="Z506" s="649"/>
      <c r="AA506" s="649"/>
      <c r="AB506" s="649"/>
      <c r="AC506" s="649"/>
      <c r="AD506" s="649"/>
      <c r="AE506" s="649"/>
      <c r="AF506" s="649"/>
      <c r="AG506" s="649"/>
      <c r="AH506" s="649"/>
      <c r="AI506" s="649"/>
      <c r="AJ506" s="649"/>
      <c r="AK506" s="649"/>
      <c r="AL506" s="649"/>
      <c r="AM506" s="649"/>
      <c r="AN506" s="649"/>
      <c r="AO506" s="649"/>
      <c r="AP506" s="649"/>
      <c r="AQ506" s="649"/>
      <c r="AR506" s="649"/>
      <c r="AS506" s="649"/>
      <c r="AT506" s="649"/>
      <c r="AU506" s="649"/>
      <c r="AV506" s="649"/>
      <c r="AW506" s="649"/>
      <c r="AX506" s="649"/>
      <c r="AY506" s="649"/>
      <c r="AZ506" s="649"/>
      <c r="BA506" s="649"/>
      <c r="BB506" s="649"/>
      <c r="BC506" s="649"/>
      <c r="BD506" s="649"/>
    </row>
    <row r="507" spans="1:56" s="648" customFormat="1" ht="12" customHeight="1">
      <c r="A507" s="726"/>
      <c r="B507" s="725">
        <v>43447</v>
      </c>
      <c r="C507" s="724" t="s">
        <v>451</v>
      </c>
      <c r="D507" s="723">
        <v>161</v>
      </c>
      <c r="E507" s="723">
        <f t="shared" si="30"/>
        <v>81</v>
      </c>
      <c r="F507" s="723"/>
      <c r="G507" s="723">
        <v>80</v>
      </c>
      <c r="H507" s="723"/>
      <c r="I507" s="723"/>
      <c r="J507" s="723"/>
      <c r="K507" s="723"/>
      <c r="L507" s="723"/>
      <c r="M507" s="723"/>
      <c r="N507" s="723"/>
      <c r="O507" s="743"/>
      <c r="P507" s="743"/>
      <c r="Q507" s="743"/>
      <c r="R507" s="743"/>
      <c r="S507" s="743"/>
      <c r="U507" s="649"/>
      <c r="V507" s="649"/>
      <c r="W507" s="649"/>
      <c r="X507" s="649"/>
      <c r="Y507" s="649"/>
      <c r="Z507" s="649"/>
      <c r="AA507" s="649"/>
      <c r="AB507" s="649"/>
      <c r="AC507" s="649"/>
      <c r="AD507" s="649"/>
      <c r="AE507" s="649"/>
      <c r="AF507" s="649"/>
      <c r="AG507" s="649"/>
      <c r="AH507" s="649"/>
      <c r="AI507" s="649"/>
      <c r="AJ507" s="649"/>
      <c r="AK507" s="649"/>
      <c r="AL507" s="649"/>
      <c r="AM507" s="649"/>
      <c r="AN507" s="649"/>
      <c r="AO507" s="649"/>
      <c r="AP507" s="649"/>
      <c r="AQ507" s="649"/>
      <c r="AR507" s="649"/>
      <c r="AS507" s="649"/>
      <c r="AT507" s="649"/>
      <c r="AU507" s="649"/>
      <c r="AV507" s="649"/>
      <c r="AW507" s="649"/>
      <c r="AX507" s="649"/>
      <c r="AY507" s="649"/>
      <c r="AZ507" s="649"/>
      <c r="BA507" s="649"/>
      <c r="BB507" s="649"/>
      <c r="BC507" s="649"/>
      <c r="BD507" s="649"/>
    </row>
    <row r="508" spans="1:56" s="648" customFormat="1" ht="12" customHeight="1">
      <c r="A508" s="726"/>
      <c r="B508" s="725">
        <v>43447</v>
      </c>
      <c r="C508" s="724" t="s">
        <v>124</v>
      </c>
      <c r="D508" s="723">
        <v>36.1</v>
      </c>
      <c r="E508" s="723">
        <f t="shared" si="30"/>
        <v>0</v>
      </c>
      <c r="F508" s="723"/>
      <c r="G508" s="723"/>
      <c r="H508" s="723">
        <v>36.1</v>
      </c>
      <c r="I508" s="723"/>
      <c r="J508" s="723"/>
      <c r="K508" s="723"/>
      <c r="L508" s="723"/>
      <c r="M508" s="723"/>
      <c r="N508" s="723"/>
      <c r="O508" s="743"/>
      <c r="P508" s="743"/>
      <c r="Q508" s="743"/>
      <c r="R508" s="743"/>
      <c r="S508" s="743"/>
      <c r="U508" s="649"/>
      <c r="V508" s="649"/>
      <c r="W508" s="649"/>
      <c r="X508" s="649"/>
      <c r="Y508" s="649"/>
      <c r="Z508" s="649"/>
      <c r="AA508" s="649"/>
      <c r="AB508" s="649"/>
      <c r="AC508" s="649"/>
      <c r="AD508" s="649"/>
      <c r="AE508" s="649"/>
      <c r="AF508" s="649"/>
      <c r="AG508" s="649"/>
      <c r="AH508" s="649"/>
      <c r="AI508" s="649"/>
      <c r="AJ508" s="649"/>
      <c r="AK508" s="649"/>
      <c r="AL508" s="649"/>
      <c r="AM508" s="649"/>
      <c r="AN508" s="649"/>
      <c r="AO508" s="649"/>
      <c r="AP508" s="649"/>
      <c r="AQ508" s="649"/>
      <c r="AR508" s="649"/>
      <c r="AS508" s="649"/>
      <c r="AT508" s="649"/>
      <c r="AU508" s="649"/>
      <c r="AV508" s="649"/>
      <c r="AW508" s="649"/>
      <c r="AX508" s="649"/>
      <c r="AY508" s="649"/>
      <c r="AZ508" s="649"/>
      <c r="BA508" s="649"/>
      <c r="BB508" s="649"/>
      <c r="BC508" s="649"/>
      <c r="BD508" s="649"/>
    </row>
    <row r="509" spans="1:56" s="648" customFormat="1" ht="12" customHeight="1">
      <c r="A509" s="726"/>
      <c r="B509" s="725">
        <v>43448</v>
      </c>
      <c r="C509" s="724" t="s">
        <v>451</v>
      </c>
      <c r="D509" s="723">
        <v>76.650000000000006</v>
      </c>
      <c r="E509" s="723">
        <f t="shared" si="30"/>
        <v>76.650000000000006</v>
      </c>
      <c r="F509" s="723"/>
      <c r="G509" s="723"/>
      <c r="H509" s="723"/>
      <c r="I509" s="723"/>
      <c r="J509" s="723"/>
      <c r="K509" s="723"/>
      <c r="L509" s="723"/>
      <c r="M509" s="723"/>
      <c r="N509" s="723"/>
      <c r="O509" s="743"/>
      <c r="P509" s="743"/>
      <c r="Q509" s="743"/>
      <c r="R509" s="743"/>
      <c r="S509" s="743"/>
      <c r="U509" s="649"/>
      <c r="V509" s="649"/>
      <c r="W509" s="649"/>
      <c r="X509" s="649"/>
      <c r="Y509" s="649"/>
      <c r="Z509" s="649"/>
      <c r="AA509" s="649"/>
      <c r="AB509" s="649"/>
      <c r="AC509" s="649"/>
      <c r="AD509" s="649"/>
      <c r="AE509" s="649"/>
      <c r="AF509" s="649"/>
      <c r="AG509" s="649"/>
      <c r="AH509" s="649"/>
      <c r="AI509" s="649"/>
      <c r="AJ509" s="649"/>
      <c r="AK509" s="649"/>
      <c r="AL509" s="649"/>
      <c r="AM509" s="649"/>
      <c r="AN509" s="649"/>
      <c r="AO509" s="649"/>
      <c r="AP509" s="649"/>
      <c r="AQ509" s="649"/>
      <c r="AR509" s="649"/>
      <c r="AS509" s="649"/>
      <c r="AT509" s="649"/>
      <c r="AU509" s="649"/>
      <c r="AV509" s="649"/>
      <c r="AW509" s="649"/>
      <c r="AX509" s="649"/>
      <c r="AY509" s="649"/>
      <c r="AZ509" s="649"/>
      <c r="BA509" s="649"/>
      <c r="BB509" s="649"/>
      <c r="BC509" s="649"/>
      <c r="BD509" s="649"/>
    </row>
    <row r="510" spans="1:56" s="648" customFormat="1" ht="12" customHeight="1">
      <c r="A510" s="726"/>
      <c r="B510" s="725">
        <v>43450</v>
      </c>
      <c r="C510" s="724" t="s">
        <v>451</v>
      </c>
      <c r="D510" s="723">
        <v>59</v>
      </c>
      <c r="E510" s="723">
        <f t="shared" si="30"/>
        <v>59</v>
      </c>
      <c r="F510" s="723"/>
      <c r="G510" s="723"/>
      <c r="H510" s="723"/>
      <c r="I510" s="723"/>
      <c r="J510" s="723"/>
      <c r="K510" s="723"/>
      <c r="L510" s="723"/>
      <c r="M510" s="723"/>
      <c r="N510" s="723"/>
      <c r="O510" s="743"/>
      <c r="P510" s="743"/>
      <c r="Q510" s="743"/>
      <c r="R510" s="743"/>
      <c r="S510" s="743"/>
      <c r="U510" s="649"/>
      <c r="V510" s="649"/>
      <c r="W510" s="649"/>
      <c r="X510" s="649"/>
      <c r="Y510" s="649"/>
      <c r="Z510" s="649"/>
      <c r="AA510" s="649"/>
      <c r="AB510" s="649"/>
      <c r="AC510" s="649"/>
      <c r="AD510" s="649"/>
      <c r="AE510" s="649"/>
      <c r="AF510" s="649"/>
      <c r="AG510" s="649"/>
      <c r="AH510" s="649"/>
      <c r="AI510" s="649"/>
      <c r="AJ510" s="649"/>
      <c r="AK510" s="649"/>
      <c r="AL510" s="649"/>
      <c r="AM510" s="649"/>
      <c r="AN510" s="649"/>
      <c r="AO510" s="649"/>
      <c r="AP510" s="649"/>
      <c r="AQ510" s="649"/>
      <c r="AR510" s="649"/>
      <c r="AS510" s="649"/>
      <c r="AT510" s="649"/>
      <c r="AU510" s="649"/>
      <c r="AV510" s="649"/>
      <c r="AW510" s="649"/>
      <c r="AX510" s="649"/>
      <c r="AY510" s="649"/>
      <c r="AZ510" s="649"/>
      <c r="BA510" s="649"/>
      <c r="BB510" s="649"/>
      <c r="BC510" s="649"/>
      <c r="BD510" s="649"/>
    </row>
    <row r="511" spans="1:56" s="648" customFormat="1" ht="12" customHeight="1">
      <c r="A511" s="726"/>
      <c r="B511" s="725">
        <v>43452</v>
      </c>
      <c r="C511" s="724" t="s">
        <v>451</v>
      </c>
      <c r="D511" s="723">
        <v>138.94999999999999</v>
      </c>
      <c r="E511" s="723">
        <f t="shared" si="30"/>
        <v>58.949999999999989</v>
      </c>
      <c r="F511" s="723"/>
      <c r="G511" s="723">
        <v>80</v>
      </c>
      <c r="H511" s="723"/>
      <c r="I511" s="723"/>
      <c r="J511" s="723"/>
      <c r="K511" s="723"/>
      <c r="L511" s="723"/>
      <c r="M511" s="723"/>
      <c r="N511" s="723"/>
      <c r="O511" s="743"/>
      <c r="P511" s="743"/>
      <c r="Q511" s="743"/>
      <c r="R511" s="743"/>
      <c r="S511" s="743"/>
      <c r="U511" s="649"/>
      <c r="V511" s="649"/>
      <c r="W511" s="649"/>
      <c r="X511" s="649"/>
      <c r="Y511" s="649"/>
      <c r="Z511" s="649"/>
      <c r="AA511" s="649"/>
      <c r="AB511" s="649"/>
      <c r="AC511" s="649"/>
      <c r="AD511" s="649"/>
      <c r="AE511" s="649"/>
      <c r="AF511" s="649"/>
      <c r="AG511" s="649"/>
      <c r="AH511" s="649"/>
      <c r="AI511" s="649"/>
      <c r="AJ511" s="649"/>
      <c r="AK511" s="649"/>
      <c r="AL511" s="649"/>
      <c r="AM511" s="649"/>
      <c r="AN511" s="649"/>
      <c r="AO511" s="649"/>
      <c r="AP511" s="649"/>
      <c r="AQ511" s="649"/>
      <c r="AR511" s="649"/>
      <c r="AS511" s="649"/>
      <c r="AT511" s="649"/>
      <c r="AU511" s="649"/>
      <c r="AV511" s="649"/>
      <c r="AW511" s="649"/>
      <c r="AX511" s="649"/>
      <c r="AY511" s="649"/>
      <c r="AZ511" s="649"/>
      <c r="BA511" s="649"/>
      <c r="BB511" s="649"/>
      <c r="BC511" s="649"/>
      <c r="BD511" s="649"/>
    </row>
    <row r="512" spans="1:56" s="648" customFormat="1" ht="12" customHeight="1">
      <c r="A512" s="726"/>
      <c r="B512" s="725">
        <v>43452</v>
      </c>
      <c r="C512" s="724" t="s">
        <v>451</v>
      </c>
      <c r="D512" s="723">
        <v>50.7</v>
      </c>
      <c r="E512" s="723">
        <f t="shared" si="30"/>
        <v>50.7</v>
      </c>
      <c r="F512" s="723"/>
      <c r="G512" s="723"/>
      <c r="H512" s="723"/>
      <c r="I512" s="723"/>
      <c r="J512" s="723"/>
      <c r="K512" s="723"/>
      <c r="L512" s="723"/>
      <c r="M512" s="723"/>
      <c r="N512" s="723"/>
      <c r="O512" s="743"/>
      <c r="P512" s="743"/>
      <c r="Q512" s="743"/>
      <c r="R512" s="743"/>
      <c r="S512" s="743"/>
      <c r="U512" s="649"/>
      <c r="V512" s="649"/>
      <c r="W512" s="649"/>
      <c r="X512" s="649"/>
      <c r="Y512" s="649"/>
      <c r="Z512" s="649"/>
      <c r="AA512" s="649"/>
      <c r="AB512" s="649"/>
      <c r="AC512" s="649"/>
      <c r="AD512" s="649"/>
      <c r="AE512" s="649"/>
      <c r="AF512" s="649"/>
      <c r="AG512" s="649"/>
      <c r="AH512" s="649"/>
      <c r="AI512" s="649"/>
      <c r="AJ512" s="649"/>
      <c r="AK512" s="649"/>
      <c r="AL512" s="649"/>
      <c r="AM512" s="649"/>
      <c r="AN512" s="649"/>
      <c r="AO512" s="649"/>
      <c r="AP512" s="649"/>
      <c r="AQ512" s="649"/>
      <c r="AR512" s="649"/>
      <c r="AS512" s="649"/>
      <c r="AT512" s="649"/>
      <c r="AU512" s="649"/>
      <c r="AV512" s="649"/>
      <c r="AW512" s="649"/>
      <c r="AX512" s="649"/>
      <c r="AY512" s="649"/>
      <c r="AZ512" s="649"/>
      <c r="BA512" s="649"/>
      <c r="BB512" s="649"/>
      <c r="BC512" s="649"/>
      <c r="BD512" s="649"/>
    </row>
    <row r="513" spans="1:56" s="648" customFormat="1" ht="12" customHeight="1">
      <c r="A513" s="726"/>
      <c r="B513" s="725">
        <v>43454</v>
      </c>
      <c r="C513" s="724" t="s">
        <v>451</v>
      </c>
      <c r="D513" s="723">
        <v>59.3</v>
      </c>
      <c r="E513" s="723">
        <f t="shared" si="30"/>
        <v>49.3</v>
      </c>
      <c r="F513" s="723"/>
      <c r="G513" s="723"/>
      <c r="H513" s="723"/>
      <c r="I513" s="723">
        <v>10</v>
      </c>
      <c r="J513" s="723"/>
      <c r="K513" s="723"/>
      <c r="L513" s="723"/>
      <c r="M513" s="723"/>
      <c r="N513" s="723"/>
      <c r="O513" s="743"/>
      <c r="P513" s="743"/>
      <c r="Q513" s="743"/>
      <c r="R513" s="743"/>
      <c r="S513" s="743"/>
      <c r="U513" s="649"/>
      <c r="V513" s="649"/>
      <c r="W513" s="649"/>
      <c r="X513" s="649"/>
      <c r="Y513" s="649"/>
      <c r="Z513" s="649"/>
      <c r="AA513" s="649"/>
      <c r="AB513" s="649"/>
      <c r="AC513" s="649"/>
      <c r="AD513" s="649"/>
      <c r="AE513" s="649"/>
      <c r="AF513" s="649"/>
      <c r="AG513" s="649"/>
      <c r="AH513" s="649"/>
      <c r="AI513" s="649"/>
      <c r="AJ513" s="649"/>
      <c r="AK513" s="649"/>
      <c r="AL513" s="649"/>
      <c r="AM513" s="649"/>
      <c r="AN513" s="649"/>
      <c r="AO513" s="649"/>
      <c r="AP513" s="649"/>
      <c r="AQ513" s="649"/>
      <c r="AR513" s="649"/>
      <c r="AS513" s="649"/>
      <c r="AT513" s="649"/>
      <c r="AU513" s="649"/>
      <c r="AV513" s="649"/>
      <c r="AW513" s="649"/>
      <c r="AX513" s="649"/>
      <c r="AY513" s="649"/>
      <c r="AZ513" s="649"/>
      <c r="BA513" s="649"/>
      <c r="BB513" s="649"/>
      <c r="BC513" s="649"/>
      <c r="BD513" s="649"/>
    </row>
    <row r="514" spans="1:56" s="648" customFormat="1" ht="12" customHeight="1">
      <c r="A514" s="726"/>
      <c r="B514" s="725">
        <v>43454</v>
      </c>
      <c r="C514" s="724" t="s">
        <v>451</v>
      </c>
      <c r="D514" s="723">
        <v>37</v>
      </c>
      <c r="E514" s="723">
        <f t="shared" si="30"/>
        <v>37</v>
      </c>
      <c r="F514" s="723"/>
      <c r="G514" s="723"/>
      <c r="H514" s="723"/>
      <c r="I514" s="723"/>
      <c r="J514" s="723"/>
      <c r="K514" s="723"/>
      <c r="L514" s="723"/>
      <c r="M514" s="723"/>
      <c r="N514" s="723"/>
      <c r="O514" s="743"/>
      <c r="P514" s="743"/>
      <c r="Q514" s="743"/>
      <c r="R514" s="743"/>
      <c r="S514" s="743"/>
      <c r="U514" s="649"/>
      <c r="V514" s="649"/>
      <c r="W514" s="649"/>
      <c r="X514" s="649"/>
      <c r="Y514" s="649"/>
      <c r="Z514" s="649"/>
      <c r="AA514" s="649"/>
      <c r="AB514" s="649"/>
      <c r="AC514" s="649"/>
      <c r="AD514" s="649"/>
      <c r="AE514" s="649"/>
      <c r="AF514" s="649"/>
      <c r="AG514" s="649"/>
      <c r="AH514" s="649"/>
      <c r="AI514" s="649"/>
      <c r="AJ514" s="649"/>
      <c r="AK514" s="649"/>
      <c r="AL514" s="649"/>
      <c r="AM514" s="649"/>
      <c r="AN514" s="649"/>
      <c r="AO514" s="649"/>
      <c r="AP514" s="649"/>
      <c r="AQ514" s="649"/>
      <c r="AR514" s="649"/>
      <c r="AS514" s="649"/>
      <c r="AT514" s="649"/>
      <c r="AU514" s="649"/>
      <c r="AV514" s="649"/>
      <c r="AW514" s="649"/>
      <c r="AX514" s="649"/>
      <c r="AY514" s="649"/>
      <c r="AZ514" s="649"/>
      <c r="BA514" s="649"/>
      <c r="BB514" s="649"/>
      <c r="BC514" s="649"/>
      <c r="BD514" s="649"/>
    </row>
    <row r="515" spans="1:56" s="648" customFormat="1" ht="12" customHeight="1">
      <c r="A515" s="726"/>
      <c r="B515" s="725">
        <v>43454</v>
      </c>
      <c r="C515" s="724" t="s">
        <v>451</v>
      </c>
      <c r="D515" s="723">
        <v>50</v>
      </c>
      <c r="E515" s="723">
        <f t="shared" si="30"/>
        <v>50</v>
      </c>
      <c r="F515" s="723"/>
      <c r="G515" s="723"/>
      <c r="H515" s="723"/>
      <c r="I515" s="723"/>
      <c r="J515" s="723"/>
      <c r="K515" s="723"/>
      <c r="L515" s="723"/>
      <c r="M515" s="723"/>
      <c r="N515" s="723"/>
      <c r="O515" s="743"/>
      <c r="P515" s="743"/>
      <c r="Q515" s="743"/>
      <c r="R515" s="743"/>
      <c r="S515" s="743"/>
      <c r="U515" s="649"/>
      <c r="V515" s="649"/>
      <c r="W515" s="649"/>
      <c r="X515" s="649"/>
      <c r="Y515" s="649"/>
      <c r="Z515" s="649"/>
      <c r="AA515" s="649"/>
      <c r="AB515" s="649"/>
      <c r="AC515" s="649"/>
      <c r="AD515" s="649"/>
      <c r="AE515" s="649"/>
      <c r="AF515" s="649"/>
      <c r="AG515" s="649"/>
      <c r="AH515" s="649"/>
      <c r="AI515" s="649"/>
      <c r="AJ515" s="649"/>
      <c r="AK515" s="649"/>
      <c r="AL515" s="649"/>
      <c r="AM515" s="649"/>
      <c r="AN515" s="649"/>
      <c r="AO515" s="649"/>
      <c r="AP515" s="649"/>
      <c r="AQ515" s="649"/>
      <c r="AR515" s="649"/>
      <c r="AS515" s="649"/>
      <c r="AT515" s="649"/>
      <c r="AU515" s="649"/>
      <c r="AV515" s="649"/>
      <c r="AW515" s="649"/>
      <c r="AX515" s="649"/>
      <c r="AY515" s="649"/>
      <c r="AZ515" s="649"/>
      <c r="BA515" s="649"/>
      <c r="BB515" s="649"/>
      <c r="BC515" s="649"/>
      <c r="BD515" s="649"/>
    </row>
    <row r="516" spans="1:56" s="648" customFormat="1" ht="12" customHeight="1">
      <c r="A516" s="726"/>
      <c r="B516" s="725">
        <v>43454</v>
      </c>
      <c r="C516" s="724" t="s">
        <v>39</v>
      </c>
      <c r="D516" s="723">
        <v>79.849999999999994</v>
      </c>
      <c r="E516" s="723">
        <f t="shared" si="30"/>
        <v>59.849999999999994</v>
      </c>
      <c r="F516" s="723"/>
      <c r="G516" s="723"/>
      <c r="H516" s="723"/>
      <c r="I516" s="723">
        <v>20</v>
      </c>
      <c r="J516" s="723"/>
      <c r="K516" s="723"/>
      <c r="L516" s="723"/>
      <c r="M516" s="723"/>
      <c r="N516" s="723"/>
      <c r="O516" s="743"/>
      <c r="P516" s="743"/>
      <c r="Q516" s="743"/>
      <c r="R516" s="743"/>
      <c r="S516" s="743"/>
      <c r="U516" s="649"/>
      <c r="V516" s="649"/>
      <c r="W516" s="649"/>
      <c r="X516" s="649"/>
      <c r="Y516" s="649"/>
      <c r="Z516" s="649"/>
      <c r="AA516" s="649"/>
      <c r="AB516" s="649"/>
      <c r="AC516" s="649"/>
      <c r="AD516" s="649"/>
      <c r="AE516" s="649"/>
      <c r="AF516" s="649"/>
      <c r="AG516" s="649"/>
      <c r="AH516" s="649"/>
      <c r="AI516" s="649"/>
      <c r="AJ516" s="649"/>
      <c r="AK516" s="649"/>
      <c r="AL516" s="649"/>
      <c r="AM516" s="649"/>
      <c r="AN516" s="649"/>
      <c r="AO516" s="649"/>
      <c r="AP516" s="649"/>
      <c r="AQ516" s="649"/>
      <c r="AR516" s="649"/>
      <c r="AS516" s="649"/>
      <c r="AT516" s="649"/>
      <c r="AU516" s="649"/>
      <c r="AV516" s="649"/>
      <c r="AW516" s="649"/>
      <c r="AX516" s="649"/>
      <c r="AY516" s="649"/>
      <c r="AZ516" s="649"/>
      <c r="BA516" s="649"/>
      <c r="BB516" s="649"/>
      <c r="BC516" s="649"/>
      <c r="BD516" s="649"/>
    </row>
    <row r="517" spans="1:56" s="648" customFormat="1" ht="12" customHeight="1">
      <c r="A517" s="726"/>
      <c r="B517" s="725">
        <v>43454</v>
      </c>
      <c r="C517" s="724" t="s">
        <v>41</v>
      </c>
      <c r="D517" s="723">
        <v>105</v>
      </c>
      <c r="E517" s="723">
        <f t="shared" si="30"/>
        <v>45</v>
      </c>
      <c r="F517" s="723"/>
      <c r="G517" s="723"/>
      <c r="H517" s="723"/>
      <c r="I517" s="723">
        <v>60</v>
      </c>
      <c r="J517" s="723"/>
      <c r="K517" s="723"/>
      <c r="L517" s="723"/>
      <c r="M517" s="723"/>
      <c r="N517" s="723"/>
      <c r="O517" s="743"/>
      <c r="P517" s="743"/>
      <c r="Q517" s="743"/>
      <c r="R517" s="743"/>
      <c r="S517" s="743"/>
      <c r="U517" s="649"/>
      <c r="V517" s="649"/>
      <c r="W517" s="649"/>
      <c r="X517" s="649"/>
      <c r="Y517" s="649"/>
      <c r="Z517" s="649"/>
      <c r="AA517" s="649"/>
      <c r="AB517" s="649"/>
      <c r="AC517" s="649"/>
      <c r="AD517" s="649"/>
      <c r="AE517" s="649"/>
      <c r="AF517" s="649"/>
      <c r="AG517" s="649"/>
      <c r="AH517" s="649"/>
      <c r="AI517" s="649"/>
      <c r="AJ517" s="649"/>
      <c r="AK517" s="649"/>
      <c r="AL517" s="649"/>
      <c r="AM517" s="649"/>
      <c r="AN517" s="649"/>
      <c r="AO517" s="649"/>
      <c r="AP517" s="649"/>
      <c r="AQ517" s="649"/>
      <c r="AR517" s="649"/>
      <c r="AS517" s="649"/>
      <c r="AT517" s="649"/>
      <c r="AU517" s="649"/>
      <c r="AV517" s="649"/>
      <c r="AW517" s="649"/>
      <c r="AX517" s="649"/>
      <c r="AY517" s="649"/>
      <c r="AZ517" s="649"/>
      <c r="BA517" s="649"/>
      <c r="BB517" s="649"/>
      <c r="BC517" s="649"/>
      <c r="BD517" s="649"/>
    </row>
    <row r="518" spans="1:56" s="648" customFormat="1" ht="12" customHeight="1">
      <c r="A518" s="726"/>
      <c r="B518" s="725">
        <v>43456</v>
      </c>
      <c r="C518" s="724" t="s">
        <v>451</v>
      </c>
      <c r="D518" s="723">
        <v>75</v>
      </c>
      <c r="E518" s="723">
        <f t="shared" si="30"/>
        <v>75</v>
      </c>
      <c r="F518" s="723"/>
      <c r="G518" s="723"/>
      <c r="H518" s="723"/>
      <c r="I518" s="723"/>
      <c r="J518" s="723"/>
      <c r="K518" s="723"/>
      <c r="L518" s="723"/>
      <c r="M518" s="723"/>
      <c r="N518" s="723"/>
      <c r="O518" s="743"/>
      <c r="P518" s="743"/>
      <c r="Q518" s="743"/>
      <c r="R518" s="743"/>
      <c r="S518" s="743"/>
      <c r="U518" s="649"/>
      <c r="V518" s="649"/>
      <c r="W518" s="649"/>
      <c r="X518" s="649"/>
      <c r="Y518" s="649"/>
      <c r="Z518" s="649"/>
      <c r="AA518" s="649"/>
      <c r="AB518" s="649"/>
      <c r="AC518" s="649"/>
      <c r="AD518" s="649"/>
      <c r="AE518" s="649"/>
      <c r="AF518" s="649"/>
      <c r="AG518" s="649"/>
      <c r="AH518" s="649"/>
      <c r="AI518" s="649"/>
      <c r="AJ518" s="649"/>
      <c r="AK518" s="649"/>
      <c r="AL518" s="649"/>
      <c r="AM518" s="649"/>
      <c r="AN518" s="649"/>
      <c r="AO518" s="649"/>
      <c r="AP518" s="649"/>
      <c r="AQ518" s="649"/>
      <c r="AR518" s="649"/>
      <c r="AS518" s="649"/>
      <c r="AT518" s="649"/>
      <c r="AU518" s="649"/>
      <c r="AV518" s="649"/>
      <c r="AW518" s="649"/>
      <c r="AX518" s="649"/>
      <c r="AY518" s="649"/>
      <c r="AZ518" s="649"/>
      <c r="BA518" s="649"/>
      <c r="BB518" s="649"/>
      <c r="BC518" s="649"/>
      <c r="BD518" s="649"/>
    </row>
    <row r="519" spans="1:56" s="648" customFormat="1" ht="12" customHeight="1">
      <c r="A519" s="726"/>
      <c r="B519" s="725">
        <v>43457</v>
      </c>
      <c r="C519" s="724" t="s">
        <v>451</v>
      </c>
      <c r="D519" s="723">
        <v>57.65</v>
      </c>
      <c r="E519" s="723">
        <f t="shared" si="30"/>
        <v>57.65</v>
      </c>
      <c r="F519" s="723"/>
      <c r="G519" s="723"/>
      <c r="H519" s="723"/>
      <c r="I519" s="723"/>
      <c r="J519" s="723"/>
      <c r="K519" s="723"/>
      <c r="L519" s="723"/>
      <c r="M519" s="723"/>
      <c r="N519" s="723"/>
      <c r="O519" s="743"/>
      <c r="P519" s="743"/>
      <c r="Q519" s="743"/>
      <c r="R519" s="743"/>
      <c r="S519" s="743"/>
      <c r="U519" s="649"/>
      <c r="V519" s="649"/>
      <c r="W519" s="649"/>
      <c r="X519" s="649"/>
      <c r="Y519" s="649"/>
      <c r="Z519" s="649"/>
      <c r="AA519" s="649"/>
      <c r="AB519" s="649"/>
      <c r="AC519" s="649"/>
      <c r="AD519" s="649"/>
      <c r="AE519" s="649"/>
      <c r="AF519" s="649"/>
      <c r="AG519" s="649"/>
      <c r="AH519" s="649"/>
      <c r="AI519" s="649"/>
      <c r="AJ519" s="649"/>
      <c r="AK519" s="649"/>
      <c r="AL519" s="649"/>
      <c r="AM519" s="649"/>
      <c r="AN519" s="649"/>
      <c r="AO519" s="649"/>
      <c r="AP519" s="649"/>
      <c r="AQ519" s="649"/>
      <c r="AR519" s="649"/>
      <c r="AS519" s="649"/>
      <c r="AT519" s="649"/>
      <c r="AU519" s="649"/>
      <c r="AV519" s="649"/>
      <c r="AW519" s="649"/>
      <c r="AX519" s="649"/>
      <c r="AY519" s="649"/>
      <c r="AZ519" s="649"/>
      <c r="BA519" s="649"/>
      <c r="BB519" s="649"/>
      <c r="BC519" s="649"/>
      <c r="BD519" s="649"/>
    </row>
    <row r="520" spans="1:56" s="648" customFormat="1" ht="12" customHeight="1">
      <c r="A520" s="726"/>
      <c r="B520" s="725">
        <v>43461</v>
      </c>
      <c r="C520" s="724" t="s">
        <v>38</v>
      </c>
      <c r="D520" s="723">
        <v>104.95</v>
      </c>
      <c r="E520" s="723">
        <f t="shared" si="30"/>
        <v>104.95</v>
      </c>
      <c r="F520" s="723"/>
      <c r="G520" s="723"/>
      <c r="H520" s="723"/>
      <c r="I520" s="723"/>
      <c r="J520" s="723"/>
      <c r="K520" s="723"/>
      <c r="L520" s="723"/>
      <c r="M520" s="723"/>
      <c r="N520" s="723"/>
      <c r="O520" s="743"/>
      <c r="P520" s="743"/>
      <c r="Q520" s="743"/>
      <c r="R520" s="743"/>
      <c r="S520" s="743"/>
      <c r="U520" s="649"/>
      <c r="V520" s="649"/>
      <c r="W520" s="649"/>
      <c r="X520" s="649"/>
      <c r="Y520" s="649"/>
      <c r="Z520" s="649"/>
      <c r="AA520" s="649"/>
      <c r="AB520" s="649"/>
      <c r="AC520" s="649"/>
      <c r="AD520" s="649"/>
      <c r="AE520" s="649"/>
      <c r="AF520" s="649"/>
      <c r="AG520" s="649"/>
      <c r="AH520" s="649"/>
      <c r="AI520" s="649"/>
      <c r="AJ520" s="649"/>
      <c r="AK520" s="649"/>
      <c r="AL520" s="649"/>
      <c r="AM520" s="649"/>
      <c r="AN520" s="649"/>
      <c r="AO520" s="649"/>
      <c r="AP520" s="649"/>
      <c r="AQ520" s="649"/>
      <c r="AR520" s="649"/>
      <c r="AS520" s="649"/>
      <c r="AT520" s="649"/>
      <c r="AU520" s="649"/>
      <c r="AV520" s="649"/>
      <c r="AW520" s="649"/>
      <c r="AX520" s="649"/>
      <c r="AY520" s="649"/>
      <c r="AZ520" s="649"/>
      <c r="BA520" s="649"/>
      <c r="BB520" s="649"/>
      <c r="BC520" s="649"/>
      <c r="BD520" s="649"/>
    </row>
    <row r="521" spans="1:56">
      <c r="T521" s="718"/>
    </row>
    <row r="522" spans="1:56" ht="12" customHeight="1">
      <c r="A522" s="734"/>
      <c r="B522" s="742"/>
      <c r="C522" s="741" t="s">
        <v>122</v>
      </c>
      <c r="D522" s="741" t="s">
        <v>121</v>
      </c>
      <c r="E522" s="741" t="s">
        <v>120</v>
      </c>
      <c r="F522" s="741" t="s">
        <v>119</v>
      </c>
      <c r="G522" s="741" t="s">
        <v>118</v>
      </c>
      <c r="H522" s="741" t="s">
        <v>44</v>
      </c>
      <c r="I522" s="741" t="s">
        <v>117</v>
      </c>
      <c r="J522" s="741" t="s">
        <v>116</v>
      </c>
      <c r="K522" s="741" t="s">
        <v>115</v>
      </c>
      <c r="L522" s="741" t="s">
        <v>114</v>
      </c>
      <c r="M522" s="741" t="s">
        <v>113</v>
      </c>
      <c r="N522" s="741" t="s">
        <v>112</v>
      </c>
      <c r="O522" s="99" t="s">
        <v>550</v>
      </c>
      <c r="T522" s="718"/>
    </row>
    <row r="523" spans="1:56" ht="12" customHeight="1">
      <c r="A523" s="734"/>
      <c r="B523" s="740" t="s">
        <v>709</v>
      </c>
      <c r="C523" s="739">
        <f>SUM(D535:D582)</f>
        <v>10491.840000000002</v>
      </c>
      <c r="D523" s="739">
        <f>SUM(D583:D618)</f>
        <v>1835.5</v>
      </c>
      <c r="E523" s="739">
        <f>SUM(D619:D651)</f>
        <v>0</v>
      </c>
      <c r="F523" s="739">
        <f>SUM(D652:D708)</f>
        <v>0</v>
      </c>
      <c r="G523" s="739">
        <f>SUM(D709:D750)</f>
        <v>0</v>
      </c>
      <c r="H523" s="739">
        <f>SUM(D751:D800)</f>
        <v>0</v>
      </c>
      <c r="I523" s="739">
        <f>SUM(D801:D850)</f>
        <v>0</v>
      </c>
      <c r="J523" s="739">
        <f>SUM(D851:D901)</f>
        <v>0</v>
      </c>
      <c r="K523" s="739">
        <f>SUM(D902:D940)</f>
        <v>0</v>
      </c>
      <c r="L523" s="739">
        <f>SUM(D941:D969)</f>
        <v>0</v>
      </c>
      <c r="M523" s="739">
        <f>SUM(D970:D1011)</f>
        <v>0</v>
      </c>
      <c r="N523" s="739">
        <f>SUM(D1012:D1037)</f>
        <v>0</v>
      </c>
      <c r="O523" s="99">
        <f t="shared" ref="O523:O533" si="31">SUM(C523:N523)</f>
        <v>12327.340000000002</v>
      </c>
      <c r="T523" s="718"/>
    </row>
    <row r="524" spans="1:56" ht="12" customHeight="1">
      <c r="A524" s="734"/>
      <c r="B524" s="738" t="s">
        <v>284</v>
      </c>
      <c r="C524" s="737">
        <f>SUM(E536:E582)</f>
        <v>459.7</v>
      </c>
      <c r="D524" s="737">
        <f>SUM(E583:E618)</f>
        <v>162</v>
      </c>
      <c r="E524" s="737">
        <f>SUM(E619:E651)</f>
        <v>0</v>
      </c>
      <c r="F524" s="737">
        <f>SUM(E652:E708)</f>
        <v>0</v>
      </c>
      <c r="G524" s="737">
        <f>SUM(E709:E750)</f>
        <v>0</v>
      </c>
      <c r="H524" s="737">
        <f>SUM(E751:E800)</f>
        <v>0</v>
      </c>
      <c r="I524" s="737">
        <f>SUM(E801:E850)</f>
        <v>0</v>
      </c>
      <c r="J524" s="737">
        <f>SUM(E851:E901)</f>
        <v>0</v>
      </c>
      <c r="K524" s="737">
        <f>SUM(E902:E940)</f>
        <v>0</v>
      </c>
      <c r="L524" s="737">
        <f>SUM(E941:E969)</f>
        <v>0</v>
      </c>
      <c r="M524" s="737">
        <f>SUM(E970:E1011)</f>
        <v>0</v>
      </c>
      <c r="N524" s="737">
        <f>SUM(E1012:E1037)</f>
        <v>0</v>
      </c>
      <c r="O524" s="99">
        <f t="shared" si="31"/>
        <v>621.70000000000005</v>
      </c>
      <c r="T524" s="718"/>
    </row>
    <row r="525" spans="1:56" ht="12" customHeight="1">
      <c r="A525" s="734"/>
      <c r="B525" s="736" t="s">
        <v>286</v>
      </c>
      <c r="C525" s="735">
        <f>SUM(F536:F582)</f>
        <v>0</v>
      </c>
      <c r="D525" s="735">
        <f>SUM(F583:F618)</f>
        <v>126</v>
      </c>
      <c r="E525" s="735">
        <f>SUM(F619:F651)</f>
        <v>0</v>
      </c>
      <c r="F525" s="735">
        <f>SUM(F652:F708)</f>
        <v>0</v>
      </c>
      <c r="G525" s="735">
        <f>SUM(F709:F750)</f>
        <v>0</v>
      </c>
      <c r="H525" s="735">
        <f>SUM(F751:F800)</f>
        <v>0</v>
      </c>
      <c r="I525" s="735">
        <f>SUM(F801:F850)</f>
        <v>0</v>
      </c>
      <c r="J525" s="735">
        <f>SUM(F851:F901)</f>
        <v>0</v>
      </c>
      <c r="K525" s="735">
        <f>SUM(F902:F940)</f>
        <v>0</v>
      </c>
      <c r="L525" s="735">
        <f>SUM(F941:F969)</f>
        <v>0</v>
      </c>
      <c r="M525" s="735">
        <f>SUM(F970:F1011)</f>
        <v>0</v>
      </c>
      <c r="N525" s="735">
        <f>SUM(F1012:F1037)</f>
        <v>0</v>
      </c>
      <c r="O525" s="99">
        <f t="shared" si="31"/>
        <v>126</v>
      </c>
      <c r="T525" s="718"/>
    </row>
    <row r="526" spans="1:56" ht="12" customHeight="1">
      <c r="A526" s="734"/>
      <c r="B526" s="736" t="s">
        <v>15</v>
      </c>
      <c r="C526" s="735">
        <f>SUM(G536:G582)</f>
        <v>2793.7199999999993</v>
      </c>
      <c r="D526" s="735">
        <f>SUM(G583:G618)</f>
        <v>1487.3</v>
      </c>
      <c r="E526" s="735">
        <f>SUM(G619:G651)</f>
        <v>0</v>
      </c>
      <c r="F526" s="735">
        <f>SUM(G652:G708)</f>
        <v>0</v>
      </c>
      <c r="G526" s="735">
        <f>SUM(G709:G750)</f>
        <v>0</v>
      </c>
      <c r="H526" s="735">
        <f>SUM(G751:G800)</f>
        <v>0</v>
      </c>
      <c r="I526" s="735">
        <f>SUM(G801:G850)</f>
        <v>0</v>
      </c>
      <c r="J526" s="735">
        <f>SUM(G851:G901)</f>
        <v>0</v>
      </c>
      <c r="K526" s="735">
        <f>SUM(G902:G940)</f>
        <v>0</v>
      </c>
      <c r="L526" s="735">
        <f>SUM(G941:G969)</f>
        <v>0</v>
      </c>
      <c r="M526" s="735">
        <f>SUM(G970:G1011)</f>
        <v>0</v>
      </c>
      <c r="N526" s="735">
        <f>SUM(G1012:G1037)</f>
        <v>0</v>
      </c>
      <c r="O526" s="99">
        <f t="shared" si="31"/>
        <v>4281.0199999999995</v>
      </c>
      <c r="T526" s="718"/>
    </row>
    <row r="527" spans="1:56" ht="12" customHeight="1">
      <c r="A527" s="734"/>
      <c r="B527" s="736" t="s">
        <v>384</v>
      </c>
      <c r="C527" s="735">
        <f>SUM(H536:H582)</f>
        <v>422.5</v>
      </c>
      <c r="D527" s="735">
        <f>SUM(H583:H618)</f>
        <v>60.2</v>
      </c>
      <c r="E527" s="735">
        <f>SUM(H619:H651)</f>
        <v>0</v>
      </c>
      <c r="F527" s="735">
        <f>SUM(H652:H708)</f>
        <v>0</v>
      </c>
      <c r="G527" s="735">
        <f>SUM(H709:H750)</f>
        <v>0</v>
      </c>
      <c r="H527" s="735">
        <f>SUM(H751:H800)</f>
        <v>0</v>
      </c>
      <c r="I527" s="735">
        <f>SUM(H801:H850)</f>
        <v>0</v>
      </c>
      <c r="J527" s="735">
        <f>SUM(H851:H901)</f>
        <v>0</v>
      </c>
      <c r="K527" s="735">
        <f>SUM(H902:H940)</f>
        <v>0</v>
      </c>
      <c r="L527" s="735">
        <f>SUM(H941:H969)</f>
        <v>0</v>
      </c>
      <c r="M527" s="735">
        <f>SUM(H970:H1011)</f>
        <v>0</v>
      </c>
      <c r="N527" s="735">
        <f>SUM(H1012:H1037)</f>
        <v>0</v>
      </c>
      <c r="O527" s="99">
        <f t="shared" si="31"/>
        <v>482.7</v>
      </c>
      <c r="T527" s="718"/>
    </row>
    <row r="528" spans="1:56" ht="12" customHeight="1">
      <c r="A528" s="734"/>
      <c r="B528" s="736" t="s">
        <v>14</v>
      </c>
      <c r="C528" s="735">
        <f>SUM(I536:I582)</f>
        <v>1570</v>
      </c>
      <c r="D528" s="735">
        <f>SUM(I583:I618)</f>
        <v>0</v>
      </c>
      <c r="E528" s="735">
        <f>SUM(I619:I651)</f>
        <v>0</v>
      </c>
      <c r="F528" s="735">
        <f>SUM(I652:I708)</f>
        <v>0</v>
      </c>
      <c r="G528" s="735">
        <f>SUM(I709:I750)</f>
        <v>0</v>
      </c>
      <c r="H528" s="735">
        <f>SUM(I751:I800)</f>
        <v>0</v>
      </c>
      <c r="I528" s="735">
        <f>SUM(I801:I850)</f>
        <v>0</v>
      </c>
      <c r="J528" s="735">
        <f>SUM(I851:I901)</f>
        <v>0</v>
      </c>
      <c r="K528" s="735">
        <f>SUM(I902:I940)</f>
        <v>0</v>
      </c>
      <c r="L528" s="735">
        <f>SUM(I941:I969)</f>
        <v>0</v>
      </c>
      <c r="M528" s="735">
        <f>SUM(I970:I1011)</f>
        <v>0</v>
      </c>
      <c r="N528" s="735">
        <f>SUM(I1012:I1037)</f>
        <v>0</v>
      </c>
      <c r="O528" s="99">
        <f t="shared" si="31"/>
        <v>1570</v>
      </c>
      <c r="T528" s="718"/>
    </row>
    <row r="529" spans="1:20" ht="12" customHeight="1">
      <c r="A529" s="734"/>
      <c r="B529" s="736" t="s">
        <v>35</v>
      </c>
      <c r="C529" s="735">
        <v>11527</v>
      </c>
      <c r="D529" s="735"/>
      <c r="E529" s="735"/>
      <c r="F529" s="735"/>
      <c r="G529" s="735"/>
      <c r="H529" s="735"/>
      <c r="I529" s="735"/>
      <c r="J529" s="735"/>
      <c r="K529" s="735"/>
      <c r="L529" s="735"/>
      <c r="M529" s="735"/>
      <c r="N529" s="735"/>
      <c r="O529" s="99">
        <f t="shared" si="31"/>
        <v>11527</v>
      </c>
      <c r="T529" s="718"/>
    </row>
    <row r="530" spans="1:20" ht="12" customHeight="1">
      <c r="A530" s="734"/>
      <c r="B530" s="736" t="s">
        <v>34</v>
      </c>
      <c r="C530" s="735">
        <v>7973</v>
      </c>
      <c r="D530" s="735"/>
      <c r="E530" s="735"/>
      <c r="F530" s="735"/>
      <c r="G530" s="735"/>
      <c r="H530" s="735"/>
      <c r="I530" s="735"/>
      <c r="J530" s="735"/>
      <c r="K530" s="735"/>
      <c r="L530" s="735"/>
      <c r="M530" s="735"/>
      <c r="N530" s="735"/>
      <c r="O530" s="99">
        <f t="shared" si="31"/>
        <v>7973</v>
      </c>
      <c r="T530" s="718"/>
    </row>
    <row r="531" spans="1:20" ht="12" customHeight="1">
      <c r="A531" s="734"/>
      <c r="B531" s="736" t="s">
        <v>33</v>
      </c>
      <c r="C531" s="735">
        <v>205</v>
      </c>
      <c r="D531" s="735"/>
      <c r="E531" s="735"/>
      <c r="F531" s="735"/>
      <c r="G531" s="735"/>
      <c r="H531" s="735"/>
      <c r="I531" s="735"/>
      <c r="J531" s="735"/>
      <c r="K531" s="735"/>
      <c r="L531" s="735"/>
      <c r="M531" s="735"/>
      <c r="N531" s="735"/>
      <c r="O531" s="99">
        <f t="shared" si="31"/>
        <v>205</v>
      </c>
      <c r="T531" s="718"/>
    </row>
    <row r="532" spans="1:20" ht="12" customHeight="1">
      <c r="A532" s="734"/>
      <c r="B532" s="736" t="s">
        <v>31</v>
      </c>
      <c r="C532" s="735">
        <v>1147</v>
      </c>
      <c r="D532" s="735"/>
      <c r="E532" s="735"/>
      <c r="F532" s="735"/>
      <c r="G532" s="735"/>
      <c r="H532" s="735"/>
      <c r="I532" s="735"/>
      <c r="J532" s="735"/>
      <c r="K532" s="735"/>
      <c r="L532" s="735"/>
      <c r="M532" s="735"/>
      <c r="N532" s="735"/>
      <c r="O532" s="99">
        <f t="shared" si="31"/>
        <v>1147</v>
      </c>
      <c r="T532" s="718"/>
    </row>
    <row r="533" spans="1:20" ht="12" customHeight="1">
      <c r="A533" s="734"/>
      <c r="B533" s="733" t="s">
        <v>30</v>
      </c>
      <c r="C533" s="732">
        <v>0</v>
      </c>
      <c r="D533" s="732"/>
      <c r="E533" s="732"/>
      <c r="F533" s="732"/>
      <c r="G533" s="732"/>
      <c r="H533" s="732"/>
      <c r="I533" s="732"/>
      <c r="J533" s="732"/>
      <c r="K533" s="732"/>
      <c r="L533" s="732"/>
      <c r="M533" s="732"/>
      <c r="N533" s="732"/>
      <c r="O533" s="99">
        <f t="shared" si="31"/>
        <v>0</v>
      </c>
      <c r="T533" s="718"/>
    </row>
    <row r="534" spans="1:20" ht="12" customHeight="1">
      <c r="A534" s="728"/>
      <c r="B534" s="727"/>
      <c r="C534" s="727"/>
      <c r="D534" s="727" t="s">
        <v>709</v>
      </c>
      <c r="E534" s="727" t="s">
        <v>284</v>
      </c>
      <c r="F534" s="727" t="s">
        <v>286</v>
      </c>
      <c r="G534" s="727" t="s">
        <v>15</v>
      </c>
      <c r="H534" s="727" t="s">
        <v>384</v>
      </c>
      <c r="I534" s="727" t="s">
        <v>14</v>
      </c>
      <c r="J534" s="727"/>
      <c r="K534" s="727"/>
      <c r="L534" s="727"/>
      <c r="M534" s="727"/>
      <c r="N534" s="727"/>
      <c r="T534" s="718"/>
    </row>
    <row r="535" spans="1:20" ht="12" customHeight="1">
      <c r="A535" s="728"/>
      <c r="B535" s="727" t="str">
        <f>C522</f>
        <v>januar</v>
      </c>
      <c r="C535" s="727"/>
      <c r="D535" s="727">
        <f t="shared" ref="D535:N535" si="32">SUM(D536:D582)</f>
        <v>5245.92</v>
      </c>
      <c r="E535" s="727">
        <f t="shared" si="32"/>
        <v>459.7</v>
      </c>
      <c r="F535" s="727">
        <f t="shared" si="32"/>
        <v>0</v>
      </c>
      <c r="G535" s="727">
        <f t="shared" si="32"/>
        <v>2793.7199999999993</v>
      </c>
      <c r="H535" s="727">
        <f t="shared" si="32"/>
        <v>422.5</v>
      </c>
      <c r="I535" s="727">
        <f t="shared" si="32"/>
        <v>1570</v>
      </c>
      <c r="J535" s="727">
        <f t="shared" si="32"/>
        <v>0</v>
      </c>
      <c r="K535" s="727">
        <f t="shared" si="32"/>
        <v>0</v>
      </c>
      <c r="L535" s="727">
        <f t="shared" si="32"/>
        <v>0</v>
      </c>
      <c r="M535" s="727">
        <f t="shared" si="32"/>
        <v>0</v>
      </c>
      <c r="N535" s="727">
        <f t="shared" si="32"/>
        <v>0</v>
      </c>
      <c r="T535" s="718"/>
    </row>
    <row r="536" spans="1:20" ht="12" customHeight="1">
      <c r="A536" s="728"/>
      <c r="B536" s="731">
        <v>43462</v>
      </c>
      <c r="C536" s="730" t="s">
        <v>451</v>
      </c>
      <c r="D536" s="729">
        <v>241.8</v>
      </c>
      <c r="E536" s="729"/>
      <c r="F536" s="729"/>
      <c r="G536" s="729">
        <f t="shared" ref="G536:G582" si="33">IF($D536&gt;0,$D536-$E536-$F536-$H536-$I536,"")</f>
        <v>161.80000000000001</v>
      </c>
      <c r="H536" s="729"/>
      <c r="I536" s="729">
        <v>80</v>
      </c>
      <c r="J536" s="729"/>
      <c r="K536" s="729"/>
      <c r="L536" s="729"/>
      <c r="M536" s="729"/>
      <c r="N536" s="729"/>
      <c r="T536" s="718"/>
    </row>
    <row r="537" spans="1:20" ht="12" customHeight="1">
      <c r="A537" s="728"/>
      <c r="B537" s="731">
        <v>43462</v>
      </c>
      <c r="C537" s="730" t="s">
        <v>469</v>
      </c>
      <c r="D537" s="729">
        <v>289.5</v>
      </c>
      <c r="E537" s="729">
        <v>20</v>
      </c>
      <c r="F537" s="729"/>
      <c r="G537" s="729">
        <f t="shared" si="33"/>
        <v>189.5</v>
      </c>
      <c r="H537" s="729"/>
      <c r="I537" s="729">
        <v>80</v>
      </c>
      <c r="J537" s="729"/>
      <c r="K537" s="729"/>
      <c r="L537" s="729"/>
      <c r="M537" s="729"/>
      <c r="N537" s="729"/>
      <c r="T537" s="718"/>
    </row>
    <row r="538" spans="1:20" ht="12" customHeight="1">
      <c r="A538" s="728"/>
      <c r="B538" s="731">
        <v>43462</v>
      </c>
      <c r="C538" s="730" t="s">
        <v>466</v>
      </c>
      <c r="D538" s="729">
        <v>129.94999999999999</v>
      </c>
      <c r="E538" s="729"/>
      <c r="F538" s="729"/>
      <c r="G538" s="729">
        <f t="shared" si="33"/>
        <v>49.949999999999989</v>
      </c>
      <c r="H538" s="729"/>
      <c r="I538" s="729">
        <v>80</v>
      </c>
      <c r="J538" s="729"/>
      <c r="K538" s="729"/>
      <c r="L538" s="729"/>
      <c r="M538" s="729"/>
      <c r="N538" s="729"/>
      <c r="T538" s="718"/>
    </row>
    <row r="539" spans="1:20" ht="12" customHeight="1">
      <c r="A539" s="728"/>
      <c r="B539" s="731">
        <v>43462</v>
      </c>
      <c r="C539" s="730" t="s">
        <v>465</v>
      </c>
      <c r="D539" s="729">
        <v>46.5</v>
      </c>
      <c r="E539" s="729"/>
      <c r="F539" s="729"/>
      <c r="G539" s="729">
        <f t="shared" si="33"/>
        <v>0</v>
      </c>
      <c r="H539" s="729">
        <v>46.5</v>
      </c>
      <c r="I539" s="729"/>
      <c r="J539" s="729"/>
      <c r="K539" s="729"/>
      <c r="L539" s="729"/>
      <c r="M539" s="729"/>
      <c r="N539" s="729"/>
      <c r="T539" s="718"/>
    </row>
    <row r="540" spans="1:20" ht="12" customHeight="1">
      <c r="A540" s="728"/>
      <c r="B540" s="731">
        <v>43462</v>
      </c>
      <c r="C540" s="730" t="s">
        <v>490</v>
      </c>
      <c r="D540" s="729">
        <v>69.900000000000006</v>
      </c>
      <c r="E540" s="729">
        <v>43.9</v>
      </c>
      <c r="F540" s="729"/>
      <c r="G540" s="729">
        <f t="shared" si="33"/>
        <v>26.000000000000007</v>
      </c>
      <c r="H540" s="729"/>
      <c r="I540" s="729"/>
      <c r="J540" s="729"/>
      <c r="K540" s="729"/>
      <c r="L540" s="729"/>
      <c r="M540" s="729"/>
      <c r="N540" s="729"/>
      <c r="T540" s="718"/>
    </row>
    <row r="541" spans="1:20" ht="12" customHeight="1">
      <c r="A541" s="728"/>
      <c r="B541" s="731">
        <v>43463</v>
      </c>
      <c r="C541" s="730" t="s">
        <v>216</v>
      </c>
      <c r="D541" s="729">
        <v>28.72</v>
      </c>
      <c r="E541" s="729">
        <v>10</v>
      </c>
      <c r="F541" s="729"/>
      <c r="G541" s="729">
        <f t="shared" si="33"/>
        <v>18.72</v>
      </c>
      <c r="H541" s="729"/>
      <c r="I541" s="729"/>
      <c r="J541" s="729"/>
      <c r="K541" s="729"/>
      <c r="L541" s="729"/>
      <c r="M541" s="729"/>
      <c r="N541" s="729"/>
      <c r="T541" s="718"/>
    </row>
    <row r="542" spans="1:20" ht="12" customHeight="1">
      <c r="A542" s="728"/>
      <c r="B542" s="731">
        <v>43463</v>
      </c>
      <c r="C542" s="730" t="s">
        <v>451</v>
      </c>
      <c r="D542" s="729">
        <v>229.25</v>
      </c>
      <c r="E542" s="729"/>
      <c r="F542" s="729"/>
      <c r="G542" s="729">
        <f t="shared" si="33"/>
        <v>149.25</v>
      </c>
      <c r="H542" s="729"/>
      <c r="I542" s="729">
        <v>80</v>
      </c>
      <c r="J542" s="729"/>
      <c r="K542" s="729"/>
      <c r="L542" s="729"/>
      <c r="M542" s="729"/>
      <c r="N542" s="729"/>
      <c r="T542" s="718"/>
    </row>
    <row r="543" spans="1:20" ht="12" customHeight="1">
      <c r="A543" s="728"/>
      <c r="B543" s="731">
        <v>43464</v>
      </c>
      <c r="C543" s="730" t="s">
        <v>549</v>
      </c>
      <c r="D543" s="729">
        <v>20</v>
      </c>
      <c r="E543" s="729">
        <v>20</v>
      </c>
      <c r="F543" s="729"/>
      <c r="G543" s="729">
        <f t="shared" si="33"/>
        <v>0</v>
      </c>
      <c r="H543" s="729"/>
      <c r="I543" s="729"/>
      <c r="J543" s="729"/>
      <c r="K543" s="729"/>
      <c r="L543" s="729"/>
      <c r="M543" s="729"/>
      <c r="N543" s="729"/>
      <c r="T543" s="718"/>
    </row>
    <row r="544" spans="1:20" ht="12" customHeight="1">
      <c r="A544" s="728"/>
      <c r="B544" s="731">
        <v>43467</v>
      </c>
      <c r="C544" s="730" t="s">
        <v>465</v>
      </c>
      <c r="D544" s="729">
        <v>152.19999999999999</v>
      </c>
      <c r="E544" s="729"/>
      <c r="F544" s="729"/>
      <c r="G544" s="729">
        <f t="shared" si="33"/>
        <v>0</v>
      </c>
      <c r="H544" s="729">
        <v>152.19999999999999</v>
      </c>
      <c r="I544" s="729"/>
      <c r="J544" s="729"/>
      <c r="K544" s="729"/>
      <c r="L544" s="729"/>
      <c r="M544" s="729"/>
      <c r="N544" s="729"/>
      <c r="T544" s="718"/>
    </row>
    <row r="545" spans="1:20" ht="12" customHeight="1">
      <c r="A545" s="728"/>
      <c r="B545" s="731">
        <v>43467</v>
      </c>
      <c r="C545" s="730" t="s">
        <v>451</v>
      </c>
      <c r="D545" s="729">
        <v>91.2</v>
      </c>
      <c r="E545" s="729">
        <v>14.95</v>
      </c>
      <c r="F545" s="729"/>
      <c r="G545" s="729">
        <f t="shared" si="33"/>
        <v>76.25</v>
      </c>
      <c r="H545" s="729"/>
      <c r="I545" s="729"/>
      <c r="J545" s="729"/>
      <c r="K545" s="729"/>
      <c r="L545" s="729"/>
      <c r="M545" s="729"/>
      <c r="N545" s="729"/>
      <c r="T545" s="718"/>
    </row>
    <row r="546" spans="1:20" ht="12" customHeight="1">
      <c r="A546" s="728"/>
      <c r="B546" s="731">
        <v>43467</v>
      </c>
      <c r="C546" s="730" t="s">
        <v>451</v>
      </c>
      <c r="D546" s="729">
        <v>146.80000000000001</v>
      </c>
      <c r="E546" s="729">
        <v>40</v>
      </c>
      <c r="F546" s="729"/>
      <c r="G546" s="729">
        <f t="shared" si="33"/>
        <v>26.800000000000011</v>
      </c>
      <c r="H546" s="729"/>
      <c r="I546" s="729">
        <v>80</v>
      </c>
      <c r="J546" s="729"/>
      <c r="K546" s="729"/>
      <c r="L546" s="729"/>
      <c r="M546" s="729"/>
      <c r="N546" s="729"/>
      <c r="T546" s="718"/>
    </row>
    <row r="547" spans="1:20" ht="12" customHeight="1">
      <c r="A547" s="728"/>
      <c r="B547" s="731">
        <v>43467</v>
      </c>
      <c r="C547" s="730" t="s">
        <v>40</v>
      </c>
      <c r="D547" s="729">
        <v>32.15</v>
      </c>
      <c r="E547" s="729">
        <v>14.95</v>
      </c>
      <c r="F547" s="729"/>
      <c r="G547" s="729">
        <f t="shared" si="33"/>
        <v>17.2</v>
      </c>
      <c r="H547" s="729"/>
      <c r="I547" s="729"/>
      <c r="J547" s="729"/>
      <c r="K547" s="729"/>
      <c r="L547" s="729"/>
      <c r="M547" s="729"/>
      <c r="N547" s="729"/>
      <c r="T547" s="718"/>
    </row>
    <row r="548" spans="1:20" ht="12" customHeight="1">
      <c r="A548" s="728"/>
      <c r="B548" s="731">
        <v>43468</v>
      </c>
      <c r="C548" s="730" t="s">
        <v>451</v>
      </c>
      <c r="D548" s="729">
        <v>318.66000000000003</v>
      </c>
      <c r="E548" s="729">
        <v>50</v>
      </c>
      <c r="F548" s="729"/>
      <c r="G548" s="729">
        <f t="shared" si="33"/>
        <v>188.66000000000003</v>
      </c>
      <c r="H548" s="729"/>
      <c r="I548" s="729">
        <v>80</v>
      </c>
      <c r="J548" s="729"/>
      <c r="K548" s="729"/>
      <c r="L548" s="729"/>
      <c r="M548" s="729"/>
      <c r="N548" s="729"/>
      <c r="T548" s="718"/>
    </row>
    <row r="549" spans="1:20" ht="12" customHeight="1">
      <c r="A549" s="728"/>
      <c r="B549" s="731">
        <v>43469</v>
      </c>
      <c r="C549" s="730" t="s">
        <v>40</v>
      </c>
      <c r="D549" s="729">
        <v>519.9</v>
      </c>
      <c r="E549" s="729">
        <v>40</v>
      </c>
      <c r="F549" s="729"/>
      <c r="G549" s="729">
        <f t="shared" si="33"/>
        <v>79.899999999999977</v>
      </c>
      <c r="H549" s="729"/>
      <c r="I549" s="729">
        <v>400</v>
      </c>
      <c r="J549" s="729"/>
      <c r="K549" s="729"/>
      <c r="L549" s="729"/>
      <c r="M549" s="729"/>
      <c r="N549" s="729"/>
      <c r="T549" s="718"/>
    </row>
    <row r="550" spans="1:20" ht="12" customHeight="1">
      <c r="A550" s="728"/>
      <c r="B550" s="731">
        <v>43469</v>
      </c>
      <c r="C550" s="730" t="s">
        <v>465</v>
      </c>
      <c r="D550" s="729">
        <v>11.3</v>
      </c>
      <c r="E550" s="729"/>
      <c r="F550" s="729"/>
      <c r="G550" s="729">
        <f t="shared" si="33"/>
        <v>0</v>
      </c>
      <c r="H550" s="729">
        <v>11.3</v>
      </c>
      <c r="I550" s="729"/>
      <c r="J550" s="729"/>
      <c r="K550" s="729"/>
      <c r="L550" s="729"/>
      <c r="M550" s="729"/>
      <c r="N550" s="729"/>
      <c r="T550" s="718"/>
    </row>
    <row r="551" spans="1:20" ht="12" customHeight="1">
      <c r="A551" s="726"/>
      <c r="B551" s="725">
        <v>43469</v>
      </c>
      <c r="C551" s="724" t="s">
        <v>451</v>
      </c>
      <c r="D551" s="723">
        <v>42</v>
      </c>
      <c r="E551" s="723"/>
      <c r="F551" s="723"/>
      <c r="G551" s="723">
        <f t="shared" si="33"/>
        <v>42</v>
      </c>
      <c r="H551" s="723"/>
      <c r="I551" s="723"/>
      <c r="J551" s="723"/>
      <c r="K551" s="723"/>
      <c r="L551" s="723"/>
      <c r="M551" s="723"/>
      <c r="N551" s="723"/>
      <c r="T551" s="718"/>
    </row>
    <row r="552" spans="1:20" ht="12" customHeight="1">
      <c r="A552" s="726"/>
      <c r="B552" s="725">
        <v>43473</v>
      </c>
      <c r="C552" s="724" t="s">
        <v>469</v>
      </c>
      <c r="D552" s="723">
        <v>111</v>
      </c>
      <c r="E552" s="723"/>
      <c r="F552" s="723"/>
      <c r="G552" s="723">
        <f t="shared" si="33"/>
        <v>111</v>
      </c>
      <c r="H552" s="723"/>
      <c r="I552" s="723"/>
      <c r="J552" s="723"/>
      <c r="K552" s="723"/>
      <c r="L552" s="723"/>
      <c r="M552" s="723"/>
      <c r="N552" s="723"/>
      <c r="T552" s="718"/>
    </row>
    <row r="553" spans="1:20" ht="12" customHeight="1">
      <c r="A553" s="726"/>
      <c r="B553" s="725">
        <v>43473</v>
      </c>
      <c r="C553" s="724" t="s">
        <v>451</v>
      </c>
      <c r="D553" s="723">
        <v>58.1</v>
      </c>
      <c r="E553" s="723"/>
      <c r="F553" s="723"/>
      <c r="G553" s="723">
        <f t="shared" si="33"/>
        <v>58.1</v>
      </c>
      <c r="H553" s="723"/>
      <c r="I553" s="723"/>
      <c r="J553" s="723"/>
      <c r="K553" s="723"/>
      <c r="L553" s="723"/>
      <c r="M553" s="723"/>
      <c r="N553" s="723"/>
      <c r="T553" s="718"/>
    </row>
    <row r="554" spans="1:20" ht="12" customHeight="1">
      <c r="A554" s="726"/>
      <c r="B554" s="725">
        <v>43474</v>
      </c>
      <c r="C554" s="724" t="s">
        <v>40</v>
      </c>
      <c r="D554" s="723">
        <v>80</v>
      </c>
      <c r="E554" s="723"/>
      <c r="F554" s="723"/>
      <c r="G554" s="723">
        <f t="shared" si="33"/>
        <v>80</v>
      </c>
      <c r="H554" s="723"/>
      <c r="I554" s="723"/>
      <c r="J554" s="723"/>
      <c r="K554" s="723"/>
      <c r="L554" s="723"/>
      <c r="M554" s="723"/>
      <c r="N554" s="723"/>
      <c r="T554" s="718"/>
    </row>
    <row r="555" spans="1:20" ht="12" customHeight="1">
      <c r="A555" s="726"/>
      <c r="B555" s="725">
        <v>43474</v>
      </c>
      <c r="C555" s="724" t="s">
        <v>451</v>
      </c>
      <c r="D555" s="723">
        <v>85.95</v>
      </c>
      <c r="E555" s="723"/>
      <c r="F555" s="723"/>
      <c r="G555" s="723">
        <f t="shared" si="33"/>
        <v>85.95</v>
      </c>
      <c r="H555" s="723"/>
      <c r="I555" s="723"/>
      <c r="J555" s="723"/>
      <c r="K555" s="723"/>
      <c r="L555" s="723"/>
      <c r="M555" s="723"/>
      <c r="N555" s="723"/>
      <c r="T555" s="718"/>
    </row>
    <row r="556" spans="1:20" ht="12" customHeight="1">
      <c r="A556" s="726"/>
      <c r="B556" s="725">
        <v>43474</v>
      </c>
      <c r="C556" s="724" t="s">
        <v>223</v>
      </c>
      <c r="D556" s="723">
        <v>100</v>
      </c>
      <c r="E556" s="723"/>
      <c r="F556" s="723"/>
      <c r="G556" s="723">
        <f t="shared" si="33"/>
        <v>100</v>
      </c>
      <c r="H556" s="723"/>
      <c r="I556" s="723"/>
      <c r="J556" s="723"/>
      <c r="K556" s="723"/>
      <c r="L556" s="723"/>
      <c r="M556" s="723"/>
      <c r="N556" s="723"/>
      <c r="T556" s="718"/>
    </row>
    <row r="557" spans="1:20" ht="12" customHeight="1">
      <c r="A557" s="726"/>
      <c r="B557" s="725">
        <v>43474</v>
      </c>
      <c r="C557" s="724" t="s">
        <v>465</v>
      </c>
      <c r="D557" s="723">
        <v>178.3</v>
      </c>
      <c r="E557" s="723"/>
      <c r="F557" s="723"/>
      <c r="G557" s="723">
        <f t="shared" si="33"/>
        <v>0</v>
      </c>
      <c r="H557" s="723">
        <v>178.3</v>
      </c>
      <c r="I557" s="723"/>
      <c r="J557" s="723"/>
      <c r="K557" s="723"/>
      <c r="L557" s="723"/>
      <c r="M557" s="723"/>
      <c r="N557" s="723"/>
      <c r="T557" s="718"/>
    </row>
    <row r="558" spans="1:20" ht="12" customHeight="1">
      <c r="A558" s="726"/>
      <c r="B558" s="725">
        <v>43475</v>
      </c>
      <c r="C558" s="724" t="s">
        <v>469</v>
      </c>
      <c r="D558" s="723">
        <v>21.45</v>
      </c>
      <c r="E558" s="723"/>
      <c r="F558" s="723"/>
      <c r="G558" s="723">
        <f t="shared" si="33"/>
        <v>21.45</v>
      </c>
      <c r="H558" s="723"/>
      <c r="I558" s="723"/>
      <c r="J558" s="723"/>
      <c r="K558" s="723"/>
      <c r="L558" s="723"/>
      <c r="M558" s="723"/>
      <c r="N558" s="723"/>
      <c r="T558" s="718"/>
    </row>
    <row r="559" spans="1:20" ht="12" customHeight="1">
      <c r="A559" s="726"/>
      <c r="B559" s="725">
        <v>43475</v>
      </c>
      <c r="C559" s="724" t="s">
        <v>451</v>
      </c>
      <c r="D559" s="723">
        <v>87.85</v>
      </c>
      <c r="E559" s="723"/>
      <c r="F559" s="723"/>
      <c r="G559" s="723">
        <f t="shared" si="33"/>
        <v>87.85</v>
      </c>
      <c r="H559" s="723"/>
      <c r="I559" s="723"/>
      <c r="J559" s="723"/>
      <c r="K559" s="723"/>
      <c r="L559" s="723"/>
      <c r="M559" s="723"/>
      <c r="N559" s="723"/>
      <c r="T559" s="718"/>
    </row>
    <row r="560" spans="1:20" ht="12" customHeight="1">
      <c r="A560" s="726"/>
      <c r="B560" s="725">
        <v>43475</v>
      </c>
      <c r="C560" s="724" t="s">
        <v>223</v>
      </c>
      <c r="D560" s="723">
        <v>30</v>
      </c>
      <c r="E560" s="723"/>
      <c r="F560" s="723"/>
      <c r="G560" s="723">
        <f t="shared" si="33"/>
        <v>30</v>
      </c>
      <c r="H560" s="723"/>
      <c r="I560" s="723"/>
      <c r="J560" s="723"/>
      <c r="K560" s="723"/>
      <c r="L560" s="723"/>
      <c r="M560" s="723"/>
      <c r="N560" s="723"/>
      <c r="T560" s="718"/>
    </row>
    <row r="561" spans="1:20" ht="12" customHeight="1">
      <c r="A561" s="726"/>
      <c r="B561" s="725">
        <v>43475</v>
      </c>
      <c r="C561" s="724" t="s">
        <v>40</v>
      </c>
      <c r="D561" s="723">
        <v>24.95</v>
      </c>
      <c r="E561" s="723"/>
      <c r="F561" s="723"/>
      <c r="G561" s="723">
        <f t="shared" si="33"/>
        <v>24.95</v>
      </c>
      <c r="H561" s="723"/>
      <c r="I561" s="723"/>
      <c r="J561" s="723"/>
      <c r="K561" s="723"/>
      <c r="L561" s="723"/>
      <c r="M561" s="723"/>
      <c r="N561" s="723"/>
      <c r="T561" s="718"/>
    </row>
    <row r="562" spans="1:20" ht="12" customHeight="1">
      <c r="A562" s="726"/>
      <c r="B562" s="725">
        <v>43476</v>
      </c>
      <c r="C562" s="724" t="s">
        <v>490</v>
      </c>
      <c r="D562" s="723">
        <v>114.85</v>
      </c>
      <c r="E562" s="723">
        <v>10</v>
      </c>
      <c r="F562" s="723"/>
      <c r="G562" s="723">
        <f t="shared" si="33"/>
        <v>104.85</v>
      </c>
      <c r="H562" s="723"/>
      <c r="I562" s="723"/>
      <c r="J562" s="723"/>
      <c r="K562" s="723"/>
      <c r="L562" s="723"/>
      <c r="M562" s="723"/>
      <c r="N562" s="723"/>
      <c r="T562" s="718"/>
    </row>
    <row r="563" spans="1:20" ht="12" customHeight="1">
      <c r="A563" s="726"/>
      <c r="B563" s="725">
        <v>43476</v>
      </c>
      <c r="C563" s="724" t="s">
        <v>451</v>
      </c>
      <c r="D563" s="723">
        <v>147</v>
      </c>
      <c r="E563" s="723"/>
      <c r="F563" s="723"/>
      <c r="G563" s="723">
        <f t="shared" si="33"/>
        <v>147</v>
      </c>
      <c r="H563" s="723"/>
      <c r="I563" s="723"/>
      <c r="J563" s="723"/>
      <c r="K563" s="723"/>
      <c r="L563" s="723"/>
      <c r="M563" s="723"/>
      <c r="N563" s="723"/>
      <c r="T563" s="718"/>
    </row>
    <row r="564" spans="1:20" ht="12" customHeight="1">
      <c r="A564" s="726"/>
      <c r="B564" s="725">
        <v>43476</v>
      </c>
      <c r="C564" s="724" t="s">
        <v>40</v>
      </c>
      <c r="D564" s="723">
        <v>100.8</v>
      </c>
      <c r="E564" s="723">
        <v>29.9</v>
      </c>
      <c r="F564" s="723"/>
      <c r="G564" s="723">
        <f t="shared" si="33"/>
        <v>70.900000000000006</v>
      </c>
      <c r="H564" s="723"/>
      <c r="I564" s="723"/>
      <c r="J564" s="723"/>
      <c r="K564" s="723"/>
      <c r="L564" s="723"/>
      <c r="M564" s="723"/>
      <c r="N564" s="723"/>
      <c r="T564" s="718"/>
    </row>
    <row r="565" spans="1:20" ht="12" customHeight="1">
      <c r="A565" s="726"/>
      <c r="B565" s="725">
        <v>43477</v>
      </c>
      <c r="C565" s="724" t="s">
        <v>538</v>
      </c>
      <c r="D565" s="723">
        <v>690</v>
      </c>
      <c r="E565" s="723"/>
      <c r="F565" s="723"/>
      <c r="G565" s="723">
        <f t="shared" si="33"/>
        <v>0</v>
      </c>
      <c r="H565" s="723"/>
      <c r="I565" s="723">
        <v>690</v>
      </c>
      <c r="J565" s="723"/>
      <c r="K565" s="723"/>
      <c r="L565" s="723"/>
      <c r="M565" s="723"/>
      <c r="N565" s="723"/>
      <c r="T565" s="718"/>
    </row>
    <row r="566" spans="1:20" ht="12" customHeight="1">
      <c r="A566" s="726"/>
      <c r="B566" s="725">
        <v>43479</v>
      </c>
      <c r="C566" s="724" t="s">
        <v>451</v>
      </c>
      <c r="D566" s="723">
        <v>105.75</v>
      </c>
      <c r="E566" s="723"/>
      <c r="F566" s="723"/>
      <c r="G566" s="723">
        <f t="shared" si="33"/>
        <v>105.75</v>
      </c>
      <c r="H566" s="723"/>
      <c r="I566" s="723"/>
      <c r="J566" s="723"/>
      <c r="K566" s="723"/>
      <c r="L566" s="723"/>
      <c r="M566" s="723"/>
      <c r="N566" s="723"/>
      <c r="T566" s="718"/>
    </row>
    <row r="567" spans="1:20" ht="12" customHeight="1">
      <c r="A567" s="726"/>
      <c r="B567" s="725">
        <v>43479</v>
      </c>
      <c r="C567" s="724" t="s">
        <v>469</v>
      </c>
      <c r="D567" s="723">
        <v>52.14</v>
      </c>
      <c r="E567" s="723"/>
      <c r="F567" s="723"/>
      <c r="G567" s="723">
        <f t="shared" si="33"/>
        <v>52.14</v>
      </c>
      <c r="H567" s="723"/>
      <c r="I567" s="723"/>
      <c r="J567" s="723"/>
      <c r="K567" s="723"/>
      <c r="L567" s="723"/>
      <c r="M567" s="723"/>
      <c r="N567" s="723"/>
      <c r="T567" s="718"/>
    </row>
    <row r="568" spans="1:20" ht="12" customHeight="1">
      <c r="A568" s="726"/>
      <c r="B568" s="725">
        <v>43480</v>
      </c>
      <c r="C568" s="724" t="s">
        <v>466</v>
      </c>
      <c r="D568" s="723">
        <v>35</v>
      </c>
      <c r="E568" s="723"/>
      <c r="F568" s="723"/>
      <c r="G568" s="723">
        <f t="shared" si="33"/>
        <v>35</v>
      </c>
      <c r="H568" s="723"/>
      <c r="I568" s="723"/>
      <c r="J568" s="723"/>
      <c r="K568" s="723"/>
      <c r="L568" s="723"/>
      <c r="M568" s="723"/>
      <c r="N568" s="723"/>
      <c r="T568" s="718"/>
    </row>
    <row r="569" spans="1:20" ht="12" customHeight="1">
      <c r="A569" s="726"/>
      <c r="B569" s="725">
        <v>43482</v>
      </c>
      <c r="C569" s="724" t="s">
        <v>469</v>
      </c>
      <c r="D569" s="723">
        <v>101.95</v>
      </c>
      <c r="E569" s="723"/>
      <c r="F569" s="723"/>
      <c r="G569" s="723">
        <f t="shared" si="33"/>
        <v>101.95</v>
      </c>
      <c r="H569" s="723"/>
      <c r="I569" s="723"/>
      <c r="J569" s="723"/>
      <c r="K569" s="723"/>
      <c r="L569" s="723"/>
      <c r="M569" s="723"/>
      <c r="N569" s="723"/>
      <c r="T569" s="718"/>
    </row>
    <row r="570" spans="1:20" ht="12" customHeight="1">
      <c r="A570" s="726"/>
      <c r="B570" s="725">
        <v>43482</v>
      </c>
      <c r="C570" s="724" t="s">
        <v>40</v>
      </c>
      <c r="D570" s="723">
        <v>38.85</v>
      </c>
      <c r="E570" s="723"/>
      <c r="F570" s="723"/>
      <c r="G570" s="723">
        <f t="shared" si="33"/>
        <v>38.85</v>
      </c>
      <c r="H570" s="723"/>
      <c r="I570" s="723"/>
      <c r="J570" s="723"/>
      <c r="K570" s="723"/>
      <c r="L570" s="723"/>
      <c r="M570" s="723"/>
      <c r="N570" s="723"/>
      <c r="T570" s="718"/>
    </row>
    <row r="571" spans="1:20" ht="12" customHeight="1">
      <c r="A571" s="726"/>
      <c r="B571" s="725">
        <v>43483</v>
      </c>
      <c r="C571" s="724" t="s">
        <v>451</v>
      </c>
      <c r="D571" s="723">
        <v>136.75</v>
      </c>
      <c r="E571" s="723"/>
      <c r="F571" s="723"/>
      <c r="G571" s="723">
        <f t="shared" si="33"/>
        <v>136.75</v>
      </c>
      <c r="H571" s="723"/>
      <c r="I571" s="723"/>
      <c r="J571" s="723"/>
      <c r="K571" s="723"/>
      <c r="L571" s="723"/>
      <c r="M571" s="723"/>
      <c r="N571" s="723"/>
      <c r="T571" s="718"/>
    </row>
    <row r="572" spans="1:20" ht="12" customHeight="1">
      <c r="A572" s="726"/>
      <c r="B572" s="725">
        <v>43486</v>
      </c>
      <c r="C572" s="724" t="s">
        <v>40</v>
      </c>
      <c r="D572" s="723">
        <v>36.950000000000003</v>
      </c>
      <c r="E572" s="723"/>
      <c r="F572" s="723"/>
      <c r="G572" s="723">
        <f t="shared" si="33"/>
        <v>36.950000000000003</v>
      </c>
      <c r="H572" s="723"/>
      <c r="I572" s="723"/>
      <c r="J572" s="723"/>
      <c r="K572" s="723"/>
      <c r="L572" s="723"/>
      <c r="M572" s="723"/>
      <c r="N572" s="723"/>
      <c r="T572" s="718"/>
    </row>
    <row r="573" spans="1:20" ht="12" customHeight="1">
      <c r="A573" s="726"/>
      <c r="B573" s="725">
        <v>43487</v>
      </c>
      <c r="C573" s="724" t="s">
        <v>465</v>
      </c>
      <c r="D573" s="723">
        <v>34.200000000000003</v>
      </c>
      <c r="E573" s="723"/>
      <c r="F573" s="723"/>
      <c r="G573" s="723">
        <f t="shared" si="33"/>
        <v>0</v>
      </c>
      <c r="H573" s="723">
        <v>34.200000000000003</v>
      </c>
      <c r="I573" s="723"/>
      <c r="J573" s="723"/>
      <c r="K573" s="723"/>
      <c r="L573" s="723"/>
      <c r="M573" s="723"/>
      <c r="N573" s="723"/>
      <c r="T573" s="718"/>
    </row>
    <row r="574" spans="1:20" ht="12" customHeight="1">
      <c r="A574" s="726"/>
      <c r="B574" s="725">
        <v>43487</v>
      </c>
      <c r="C574" s="724" t="s">
        <v>451</v>
      </c>
      <c r="D574" s="723">
        <v>49.8</v>
      </c>
      <c r="E574" s="723">
        <v>30</v>
      </c>
      <c r="F574" s="723"/>
      <c r="G574" s="723">
        <f t="shared" si="33"/>
        <v>19.799999999999997</v>
      </c>
      <c r="H574" s="723"/>
      <c r="I574" s="723"/>
      <c r="J574" s="723"/>
      <c r="K574" s="723"/>
      <c r="L574" s="723"/>
      <c r="M574" s="723"/>
      <c r="N574" s="723"/>
      <c r="T574" s="718"/>
    </row>
    <row r="575" spans="1:20" ht="12" customHeight="1">
      <c r="A575" s="726"/>
      <c r="B575" s="725">
        <v>43488</v>
      </c>
      <c r="C575" s="724" t="s">
        <v>40</v>
      </c>
      <c r="D575" s="723">
        <v>46.5</v>
      </c>
      <c r="E575" s="723">
        <v>40</v>
      </c>
      <c r="F575" s="723"/>
      <c r="G575" s="723">
        <f t="shared" si="33"/>
        <v>6.5</v>
      </c>
      <c r="H575" s="723"/>
      <c r="I575" s="723"/>
      <c r="J575" s="723"/>
      <c r="K575" s="723"/>
      <c r="L575" s="723"/>
      <c r="M575" s="723"/>
      <c r="N575" s="723"/>
      <c r="T575" s="718"/>
    </row>
    <row r="576" spans="1:20" ht="12" customHeight="1">
      <c r="A576" s="726"/>
      <c r="B576" s="725">
        <v>43489</v>
      </c>
      <c r="C576" s="724" t="s">
        <v>40</v>
      </c>
      <c r="D576" s="723">
        <v>76</v>
      </c>
      <c r="E576" s="723">
        <v>36</v>
      </c>
      <c r="F576" s="723"/>
      <c r="G576" s="723">
        <f t="shared" si="33"/>
        <v>40</v>
      </c>
      <c r="H576" s="723"/>
      <c r="I576" s="723"/>
      <c r="J576" s="723"/>
      <c r="K576" s="723"/>
      <c r="L576" s="723"/>
      <c r="M576" s="723"/>
      <c r="N576" s="723"/>
      <c r="T576" s="718"/>
    </row>
    <row r="577" spans="1:20" ht="12" customHeight="1">
      <c r="A577" s="726"/>
      <c r="B577" s="725">
        <v>43490</v>
      </c>
      <c r="C577" s="724" t="s">
        <v>40</v>
      </c>
      <c r="D577" s="723">
        <v>83</v>
      </c>
      <c r="E577" s="723">
        <v>40</v>
      </c>
      <c r="F577" s="723"/>
      <c r="G577" s="723">
        <f t="shared" si="33"/>
        <v>43</v>
      </c>
      <c r="H577" s="723"/>
      <c r="I577" s="723"/>
      <c r="J577" s="723"/>
      <c r="K577" s="723"/>
      <c r="L577" s="723"/>
      <c r="M577" s="723"/>
      <c r="N577" s="723"/>
      <c r="T577" s="718"/>
    </row>
    <row r="578" spans="1:20" ht="12" customHeight="1">
      <c r="A578" s="726"/>
      <c r="B578" s="725">
        <v>43492</v>
      </c>
      <c r="C578" s="724" t="s">
        <v>40</v>
      </c>
      <c r="D578" s="723">
        <v>46.95</v>
      </c>
      <c r="E578" s="723">
        <v>20</v>
      </c>
      <c r="F578" s="723"/>
      <c r="G578" s="723">
        <f t="shared" si="33"/>
        <v>26.950000000000003</v>
      </c>
      <c r="H578" s="723"/>
      <c r="I578" s="723"/>
      <c r="J578" s="723"/>
      <c r="K578" s="723"/>
      <c r="L578" s="723"/>
      <c r="M578" s="723"/>
      <c r="N578" s="723"/>
      <c r="T578" s="718"/>
    </row>
    <row r="579" spans="1:20" ht="12" customHeight="1">
      <c r="A579" s="726"/>
      <c r="B579" s="725">
        <v>43493</v>
      </c>
      <c r="C579" s="724" t="s">
        <v>466</v>
      </c>
      <c r="D579" s="723">
        <v>37</v>
      </c>
      <c r="E579" s="723"/>
      <c r="F579" s="723"/>
      <c r="G579" s="723">
        <f t="shared" si="33"/>
        <v>37</v>
      </c>
      <c r="H579" s="723"/>
      <c r="I579" s="723"/>
      <c r="J579" s="723"/>
      <c r="K579" s="723"/>
      <c r="L579" s="723"/>
      <c r="M579" s="723"/>
      <c r="N579" s="723"/>
      <c r="T579" s="718"/>
    </row>
    <row r="580" spans="1:20" ht="12" customHeight="1">
      <c r="A580" s="726"/>
      <c r="B580" s="725">
        <v>43493</v>
      </c>
      <c r="C580" s="724" t="s">
        <v>40</v>
      </c>
      <c r="D580" s="723">
        <v>70</v>
      </c>
      <c r="E580" s="723"/>
      <c r="F580" s="723"/>
      <c r="G580" s="723">
        <f t="shared" si="33"/>
        <v>70</v>
      </c>
      <c r="H580" s="723"/>
      <c r="I580" s="723"/>
      <c r="J580" s="723"/>
      <c r="K580" s="723"/>
      <c r="L580" s="723"/>
      <c r="M580" s="723"/>
      <c r="N580" s="723"/>
      <c r="T580" s="718"/>
    </row>
    <row r="581" spans="1:20" ht="12" customHeight="1">
      <c r="A581" s="726"/>
      <c r="B581" s="725">
        <v>43493</v>
      </c>
      <c r="C581" s="724" t="s">
        <v>490</v>
      </c>
      <c r="D581" s="723">
        <v>48</v>
      </c>
      <c r="E581" s="723"/>
      <c r="F581" s="723"/>
      <c r="G581" s="723">
        <f t="shared" si="33"/>
        <v>48</v>
      </c>
      <c r="H581" s="723"/>
      <c r="I581" s="723"/>
      <c r="J581" s="723"/>
      <c r="K581" s="723"/>
      <c r="L581" s="723"/>
      <c r="M581" s="723"/>
      <c r="N581" s="723"/>
      <c r="T581" s="718"/>
    </row>
    <row r="582" spans="1:20" ht="12" customHeight="1">
      <c r="A582" s="726"/>
      <c r="B582" s="725">
        <v>43495</v>
      </c>
      <c r="C582" s="724" t="s">
        <v>451</v>
      </c>
      <c r="D582" s="723">
        <v>47</v>
      </c>
      <c r="E582" s="723"/>
      <c r="F582" s="723"/>
      <c r="G582" s="723">
        <f t="shared" si="33"/>
        <v>47</v>
      </c>
      <c r="H582" s="723"/>
      <c r="I582" s="723"/>
      <c r="J582" s="723"/>
      <c r="K582" s="723"/>
      <c r="L582" s="723"/>
      <c r="M582" s="723"/>
      <c r="N582" s="723"/>
      <c r="T582" s="718"/>
    </row>
    <row r="583" spans="1:20" ht="12" customHeight="1">
      <c r="A583" s="728"/>
      <c r="B583" s="727" t="str">
        <f>D522</f>
        <v>februar</v>
      </c>
      <c r="C583" s="727"/>
      <c r="D583" s="727"/>
      <c r="E583" s="727"/>
      <c r="F583" s="727"/>
      <c r="G583" s="727"/>
      <c r="H583" s="727"/>
      <c r="I583" s="727"/>
      <c r="J583" s="727"/>
      <c r="K583" s="727"/>
      <c r="L583" s="727"/>
      <c r="M583" s="727"/>
      <c r="N583" s="727"/>
      <c r="T583" s="718"/>
    </row>
    <row r="584" spans="1:20" ht="12" customHeight="1">
      <c r="A584" s="726"/>
      <c r="B584" s="725">
        <v>43496</v>
      </c>
      <c r="C584" s="724" t="s">
        <v>451</v>
      </c>
      <c r="D584" s="723">
        <v>174.55</v>
      </c>
      <c r="E584" s="723">
        <v>20</v>
      </c>
      <c r="F584" s="723"/>
      <c r="G584" s="723">
        <f t="shared" ref="G584:G618" si="34">IF($D584&gt;0,$D584-$E584-$F584-$H584-$I584,"")</f>
        <v>154.55000000000001</v>
      </c>
      <c r="H584" s="723"/>
      <c r="I584" s="723"/>
      <c r="J584" s="723"/>
      <c r="K584" s="723"/>
      <c r="L584" s="723"/>
      <c r="M584" s="723"/>
      <c r="N584" s="723"/>
      <c r="T584" s="718"/>
    </row>
    <row r="585" spans="1:20" ht="12" customHeight="1">
      <c r="A585" s="726"/>
      <c r="B585" s="725">
        <v>43496</v>
      </c>
      <c r="C585" s="724" t="s">
        <v>490</v>
      </c>
      <c r="D585" s="723">
        <v>48</v>
      </c>
      <c r="E585" s="723"/>
      <c r="F585" s="723"/>
      <c r="G585" s="723">
        <f t="shared" si="34"/>
        <v>48</v>
      </c>
      <c r="H585" s="723"/>
      <c r="I585" s="723"/>
      <c r="J585" s="723"/>
      <c r="K585" s="723"/>
      <c r="L585" s="723"/>
      <c r="M585" s="723"/>
      <c r="N585" s="723"/>
      <c r="T585" s="718"/>
    </row>
    <row r="586" spans="1:20" ht="12" customHeight="1">
      <c r="A586" s="726"/>
      <c r="B586" s="725">
        <v>43496</v>
      </c>
      <c r="C586" s="724" t="s">
        <v>469</v>
      </c>
      <c r="D586" s="723">
        <v>63.45</v>
      </c>
      <c r="E586" s="723"/>
      <c r="F586" s="723"/>
      <c r="G586" s="723">
        <f t="shared" si="34"/>
        <v>63.45</v>
      </c>
      <c r="H586" s="723"/>
      <c r="I586" s="723"/>
      <c r="J586" s="723"/>
      <c r="K586" s="723"/>
      <c r="L586" s="723"/>
      <c r="M586" s="723"/>
      <c r="N586" s="723"/>
      <c r="T586" s="718"/>
    </row>
    <row r="587" spans="1:20" ht="12" customHeight="1">
      <c r="A587" s="726"/>
      <c r="B587" s="725">
        <v>43497</v>
      </c>
      <c r="C587" s="724" t="s">
        <v>521</v>
      </c>
      <c r="D587" s="723">
        <v>17.95</v>
      </c>
      <c r="E587" s="723"/>
      <c r="F587" s="723"/>
      <c r="G587" s="723">
        <f t="shared" si="34"/>
        <v>17.95</v>
      </c>
      <c r="H587" s="723"/>
      <c r="I587" s="723"/>
      <c r="J587" s="723"/>
      <c r="K587" s="723"/>
      <c r="L587" s="723"/>
      <c r="M587" s="723"/>
      <c r="N587" s="723"/>
      <c r="T587" s="718"/>
    </row>
    <row r="588" spans="1:20" ht="12" customHeight="1">
      <c r="A588" s="726"/>
      <c r="B588" s="725">
        <v>43500</v>
      </c>
      <c r="C588" s="724" t="s">
        <v>451</v>
      </c>
      <c r="D588" s="723">
        <v>161.6</v>
      </c>
      <c r="E588" s="723">
        <v>30</v>
      </c>
      <c r="F588" s="723"/>
      <c r="G588" s="723">
        <f t="shared" si="34"/>
        <v>131.6</v>
      </c>
      <c r="H588" s="723"/>
      <c r="I588" s="723"/>
      <c r="J588" s="723"/>
      <c r="K588" s="723"/>
      <c r="L588" s="723"/>
      <c r="M588" s="723"/>
      <c r="N588" s="723"/>
      <c r="T588" s="718"/>
    </row>
    <row r="589" spans="1:20" ht="12" customHeight="1">
      <c r="A589" s="726"/>
      <c r="B589" s="725">
        <v>43500</v>
      </c>
      <c r="C589" s="724" t="s">
        <v>451</v>
      </c>
      <c r="D589" s="723">
        <v>75</v>
      </c>
      <c r="E589" s="723"/>
      <c r="F589" s="723"/>
      <c r="G589" s="723">
        <f t="shared" si="34"/>
        <v>75</v>
      </c>
      <c r="H589" s="723"/>
      <c r="I589" s="723"/>
      <c r="J589" s="723"/>
      <c r="K589" s="723"/>
      <c r="L589" s="723"/>
      <c r="M589" s="723"/>
      <c r="N589" s="723"/>
      <c r="T589" s="718"/>
    </row>
    <row r="590" spans="1:20" ht="12" customHeight="1">
      <c r="A590" s="726"/>
      <c r="B590" s="725">
        <v>43500</v>
      </c>
      <c r="C590" s="724" t="s">
        <v>40</v>
      </c>
      <c r="D590" s="723">
        <v>122.7</v>
      </c>
      <c r="E590" s="723"/>
      <c r="F590" s="723"/>
      <c r="G590" s="723">
        <f t="shared" si="34"/>
        <v>122.7</v>
      </c>
      <c r="H590" s="723"/>
      <c r="I590" s="723"/>
      <c r="J590" s="723"/>
      <c r="K590" s="723"/>
      <c r="L590" s="723"/>
      <c r="M590" s="723"/>
      <c r="N590" s="723"/>
      <c r="T590" s="718"/>
    </row>
    <row r="591" spans="1:20" ht="12" customHeight="1">
      <c r="A591" s="726"/>
      <c r="B591" s="725">
        <v>43501</v>
      </c>
      <c r="C591" s="724" t="s">
        <v>465</v>
      </c>
      <c r="D591" s="723">
        <v>8.3000000000000007</v>
      </c>
      <c r="E591" s="723"/>
      <c r="F591" s="723"/>
      <c r="G591" s="723">
        <f t="shared" si="34"/>
        <v>0</v>
      </c>
      <c r="H591" s="723">
        <v>8.3000000000000007</v>
      </c>
      <c r="I591" s="723"/>
      <c r="J591" s="723"/>
      <c r="K591" s="723"/>
      <c r="L591" s="723"/>
      <c r="M591" s="723"/>
      <c r="N591" s="723"/>
      <c r="T591" s="718"/>
    </row>
    <row r="592" spans="1:20" ht="12" customHeight="1">
      <c r="A592" s="726"/>
      <c r="B592" s="725">
        <v>43501</v>
      </c>
      <c r="C592" s="724" t="s">
        <v>451</v>
      </c>
      <c r="D592" s="723">
        <v>47</v>
      </c>
      <c r="E592" s="723"/>
      <c r="F592" s="723"/>
      <c r="G592" s="723">
        <f t="shared" si="34"/>
        <v>47</v>
      </c>
      <c r="H592" s="723"/>
      <c r="I592" s="723"/>
      <c r="J592" s="723"/>
      <c r="K592" s="723"/>
      <c r="L592" s="723"/>
      <c r="M592" s="723"/>
      <c r="N592" s="723"/>
      <c r="T592" s="718"/>
    </row>
    <row r="593" spans="1:20" ht="12" customHeight="1">
      <c r="A593" s="726"/>
      <c r="B593" s="725">
        <v>43504</v>
      </c>
      <c r="C593" s="724" t="s">
        <v>466</v>
      </c>
      <c r="D593" s="723">
        <v>80</v>
      </c>
      <c r="E593" s="723"/>
      <c r="F593" s="723"/>
      <c r="G593" s="723">
        <f t="shared" si="34"/>
        <v>80</v>
      </c>
      <c r="H593" s="723"/>
      <c r="I593" s="723"/>
      <c r="J593" s="723"/>
      <c r="K593" s="723"/>
      <c r="L593" s="723"/>
      <c r="M593" s="723"/>
      <c r="N593" s="723"/>
      <c r="T593" s="718"/>
    </row>
    <row r="594" spans="1:20" ht="12" customHeight="1">
      <c r="A594" s="726"/>
      <c r="B594" s="725">
        <v>43504</v>
      </c>
      <c r="C594" s="724" t="s">
        <v>40</v>
      </c>
      <c r="D594" s="723">
        <v>19.899999999999999</v>
      </c>
      <c r="E594" s="723"/>
      <c r="F594" s="723"/>
      <c r="G594" s="723">
        <f t="shared" si="34"/>
        <v>19.899999999999999</v>
      </c>
      <c r="H594" s="723"/>
      <c r="I594" s="723"/>
      <c r="J594" s="723"/>
      <c r="K594" s="723"/>
      <c r="L594" s="723"/>
      <c r="M594" s="723"/>
      <c r="N594" s="723"/>
      <c r="T594" s="718"/>
    </row>
    <row r="595" spans="1:20" ht="12" customHeight="1">
      <c r="A595" s="726"/>
      <c r="B595" s="725">
        <v>43504</v>
      </c>
      <c r="C595" s="724" t="s">
        <v>451</v>
      </c>
      <c r="D595" s="723">
        <v>19</v>
      </c>
      <c r="E595" s="723"/>
      <c r="F595" s="723"/>
      <c r="G595" s="723">
        <f t="shared" si="34"/>
        <v>19</v>
      </c>
      <c r="H595" s="723"/>
      <c r="I595" s="723"/>
      <c r="J595" s="723"/>
      <c r="K595" s="723"/>
      <c r="L595" s="723"/>
      <c r="M595" s="723"/>
      <c r="N595" s="723"/>
      <c r="T595" s="718"/>
    </row>
    <row r="596" spans="1:20" ht="12" customHeight="1">
      <c r="A596" s="726"/>
      <c r="B596" s="725">
        <v>43507</v>
      </c>
      <c r="C596" s="724" t="s">
        <v>451</v>
      </c>
      <c r="D596" s="723">
        <v>62</v>
      </c>
      <c r="E596" s="723">
        <v>10</v>
      </c>
      <c r="F596" s="723"/>
      <c r="G596" s="723">
        <f t="shared" si="34"/>
        <v>52</v>
      </c>
      <c r="H596" s="723"/>
      <c r="I596" s="723"/>
      <c r="J596" s="723"/>
      <c r="K596" s="723"/>
      <c r="L596" s="723"/>
      <c r="M596" s="723"/>
      <c r="N596" s="723"/>
      <c r="T596" s="718"/>
    </row>
    <row r="597" spans="1:20" ht="12" customHeight="1">
      <c r="A597" s="726"/>
      <c r="B597" s="725">
        <v>43508</v>
      </c>
      <c r="C597" s="724" t="s">
        <v>469</v>
      </c>
      <c r="D597" s="723">
        <v>60</v>
      </c>
      <c r="E597" s="723"/>
      <c r="F597" s="723"/>
      <c r="G597" s="723">
        <f t="shared" si="34"/>
        <v>60</v>
      </c>
      <c r="H597" s="723"/>
      <c r="I597" s="723"/>
      <c r="J597" s="723"/>
      <c r="K597" s="723"/>
      <c r="L597" s="723"/>
      <c r="M597" s="723"/>
      <c r="N597" s="723"/>
      <c r="T597" s="718"/>
    </row>
    <row r="598" spans="1:20" ht="12" customHeight="1">
      <c r="A598" s="726"/>
      <c r="B598" s="725">
        <v>43509</v>
      </c>
      <c r="C598" s="724" t="s">
        <v>465</v>
      </c>
      <c r="D598" s="723">
        <v>7.45</v>
      </c>
      <c r="E598" s="723"/>
      <c r="F598" s="723"/>
      <c r="G598" s="723">
        <f t="shared" si="34"/>
        <v>0</v>
      </c>
      <c r="H598" s="723">
        <v>7.45</v>
      </c>
      <c r="I598" s="723"/>
      <c r="J598" s="723"/>
      <c r="K598" s="723"/>
      <c r="L598" s="723"/>
      <c r="M598" s="723"/>
      <c r="N598" s="723"/>
      <c r="T598" s="718"/>
    </row>
    <row r="599" spans="1:20" ht="12" customHeight="1">
      <c r="A599" s="726"/>
      <c r="B599" s="725">
        <v>43509</v>
      </c>
      <c r="C599" s="724" t="s">
        <v>451</v>
      </c>
      <c r="D599" s="723">
        <v>22.65</v>
      </c>
      <c r="E599" s="723">
        <v>10</v>
      </c>
      <c r="F599" s="723"/>
      <c r="G599" s="723">
        <f t="shared" si="34"/>
        <v>12.649999999999999</v>
      </c>
      <c r="H599" s="723"/>
      <c r="I599" s="723"/>
      <c r="J599" s="723"/>
      <c r="K599" s="723"/>
      <c r="L599" s="723"/>
      <c r="M599" s="723"/>
      <c r="N599" s="723"/>
      <c r="T599" s="718"/>
    </row>
    <row r="600" spans="1:20" ht="12" customHeight="1">
      <c r="A600" s="726"/>
      <c r="B600" s="725">
        <v>43510</v>
      </c>
      <c r="C600" s="724" t="s">
        <v>466</v>
      </c>
      <c r="D600" s="723">
        <v>20</v>
      </c>
      <c r="E600" s="723"/>
      <c r="F600" s="723"/>
      <c r="G600" s="723">
        <f t="shared" si="34"/>
        <v>20</v>
      </c>
      <c r="H600" s="723"/>
      <c r="I600" s="723"/>
      <c r="J600" s="723"/>
      <c r="K600" s="723"/>
      <c r="L600" s="723"/>
      <c r="M600" s="723"/>
      <c r="N600" s="723"/>
      <c r="T600" s="718"/>
    </row>
    <row r="601" spans="1:20" ht="12" customHeight="1">
      <c r="A601" s="726"/>
      <c r="B601" s="725">
        <v>43511</v>
      </c>
      <c r="C601" s="724" t="s">
        <v>451</v>
      </c>
      <c r="D601" s="723">
        <v>104</v>
      </c>
      <c r="E601" s="723"/>
      <c r="F601" s="723"/>
      <c r="G601" s="723">
        <f t="shared" si="34"/>
        <v>104</v>
      </c>
      <c r="H601" s="723"/>
      <c r="I601" s="723"/>
      <c r="J601" s="723"/>
      <c r="K601" s="723"/>
      <c r="L601" s="723"/>
      <c r="M601" s="723"/>
      <c r="N601" s="723"/>
      <c r="T601" s="718"/>
    </row>
    <row r="602" spans="1:20" ht="12" customHeight="1">
      <c r="A602" s="726"/>
      <c r="B602" s="725">
        <v>43512</v>
      </c>
      <c r="C602" s="724" t="s">
        <v>451</v>
      </c>
      <c r="D602" s="723">
        <v>92</v>
      </c>
      <c r="E602" s="723"/>
      <c r="F602" s="723"/>
      <c r="G602" s="723">
        <f t="shared" si="34"/>
        <v>92</v>
      </c>
      <c r="H602" s="723"/>
      <c r="I602" s="723"/>
      <c r="J602" s="723"/>
      <c r="K602" s="723"/>
      <c r="L602" s="723"/>
      <c r="M602" s="723"/>
      <c r="N602" s="723"/>
      <c r="T602" s="718"/>
    </row>
    <row r="603" spans="1:20" ht="12" customHeight="1">
      <c r="A603" s="726"/>
      <c r="B603" s="725">
        <v>43514</v>
      </c>
      <c r="C603" s="724" t="s">
        <v>451</v>
      </c>
      <c r="D603" s="723">
        <v>83.5</v>
      </c>
      <c r="E603" s="723"/>
      <c r="F603" s="723">
        <v>36</v>
      </c>
      <c r="G603" s="723">
        <f t="shared" si="34"/>
        <v>47.5</v>
      </c>
      <c r="H603" s="723"/>
      <c r="I603" s="723"/>
      <c r="J603" s="723"/>
      <c r="K603" s="723"/>
      <c r="L603" s="723"/>
      <c r="M603" s="723"/>
      <c r="N603" s="723"/>
      <c r="T603" s="718"/>
    </row>
    <row r="604" spans="1:20" ht="12" customHeight="1">
      <c r="A604" s="726"/>
      <c r="B604" s="725">
        <v>43514</v>
      </c>
      <c r="C604" s="724" t="s">
        <v>469</v>
      </c>
      <c r="D604" s="723">
        <v>84</v>
      </c>
      <c r="E604" s="723"/>
      <c r="F604" s="723"/>
      <c r="G604" s="723">
        <f t="shared" si="34"/>
        <v>84</v>
      </c>
      <c r="H604" s="723"/>
      <c r="I604" s="723"/>
      <c r="J604" s="723"/>
      <c r="K604" s="723"/>
      <c r="L604" s="723"/>
      <c r="M604" s="723"/>
      <c r="N604" s="723"/>
      <c r="T604" s="718"/>
    </row>
    <row r="605" spans="1:20" ht="12" customHeight="1">
      <c r="A605" s="726"/>
      <c r="B605" s="725">
        <v>43514</v>
      </c>
      <c r="C605" s="724" t="s">
        <v>451</v>
      </c>
      <c r="D605" s="723">
        <v>56</v>
      </c>
      <c r="E605" s="723">
        <v>10</v>
      </c>
      <c r="F605" s="723">
        <v>36</v>
      </c>
      <c r="G605" s="723">
        <f t="shared" si="34"/>
        <v>10</v>
      </c>
      <c r="H605" s="723"/>
      <c r="I605" s="723"/>
      <c r="J605" s="723"/>
      <c r="K605" s="723"/>
      <c r="L605" s="723"/>
      <c r="M605" s="723"/>
      <c r="N605" s="723"/>
      <c r="T605" s="718"/>
    </row>
    <row r="606" spans="1:20" ht="12" customHeight="1">
      <c r="A606" s="726"/>
      <c r="B606" s="725">
        <v>43514</v>
      </c>
      <c r="C606" s="724" t="s">
        <v>465</v>
      </c>
      <c r="D606" s="723">
        <v>44.45</v>
      </c>
      <c r="E606" s="723"/>
      <c r="F606" s="723"/>
      <c r="G606" s="723">
        <f t="shared" si="34"/>
        <v>0</v>
      </c>
      <c r="H606" s="723">
        <v>44.45</v>
      </c>
      <c r="I606" s="723"/>
      <c r="J606" s="723"/>
      <c r="K606" s="723"/>
      <c r="L606" s="723"/>
      <c r="M606" s="723"/>
      <c r="N606" s="723"/>
      <c r="T606" s="718"/>
    </row>
    <row r="607" spans="1:20" ht="12" customHeight="1">
      <c r="A607" s="726"/>
      <c r="B607" s="725">
        <v>43516</v>
      </c>
      <c r="C607" s="724" t="s">
        <v>451</v>
      </c>
      <c r="D607" s="723">
        <v>145.5</v>
      </c>
      <c r="E607" s="723"/>
      <c r="F607" s="723">
        <v>36</v>
      </c>
      <c r="G607" s="723">
        <f t="shared" si="34"/>
        <v>109.5</v>
      </c>
      <c r="H607" s="723"/>
      <c r="I607" s="723"/>
      <c r="J607" s="723"/>
      <c r="K607" s="723"/>
      <c r="L607" s="723"/>
      <c r="M607" s="723"/>
      <c r="N607" s="723"/>
      <c r="T607" s="718"/>
    </row>
    <row r="608" spans="1:20" ht="12" customHeight="1">
      <c r="A608" s="726"/>
      <c r="B608" s="725">
        <v>43516</v>
      </c>
      <c r="C608" s="724" t="s">
        <v>40</v>
      </c>
      <c r="D608" s="723">
        <v>99</v>
      </c>
      <c r="E608" s="723">
        <v>72</v>
      </c>
      <c r="F608" s="723"/>
      <c r="G608" s="723">
        <f t="shared" si="34"/>
        <v>27</v>
      </c>
      <c r="H608" s="723"/>
      <c r="I608" s="723"/>
      <c r="J608" s="723"/>
      <c r="K608" s="723"/>
      <c r="L608" s="723"/>
      <c r="M608" s="723"/>
      <c r="N608" s="723"/>
      <c r="T608" s="718"/>
    </row>
    <row r="609" spans="1:20" ht="12" customHeight="1">
      <c r="A609" s="726"/>
      <c r="B609" s="725">
        <v>43516</v>
      </c>
      <c r="C609" s="724" t="s">
        <v>466</v>
      </c>
      <c r="D609" s="723">
        <v>45</v>
      </c>
      <c r="E609" s="723"/>
      <c r="F609" s="723"/>
      <c r="G609" s="723">
        <f t="shared" si="34"/>
        <v>45</v>
      </c>
      <c r="H609" s="723"/>
      <c r="I609" s="723"/>
      <c r="J609" s="723"/>
      <c r="K609" s="723"/>
      <c r="L609" s="723"/>
      <c r="M609" s="723"/>
      <c r="N609" s="723"/>
      <c r="T609" s="718"/>
    </row>
    <row r="610" spans="1:20" ht="12" customHeight="1">
      <c r="A610" s="726"/>
      <c r="B610" s="725"/>
      <c r="C610" s="724"/>
      <c r="D610" s="723">
        <v>72.5</v>
      </c>
      <c r="E610" s="723">
        <v>10</v>
      </c>
      <c r="F610" s="723">
        <v>18</v>
      </c>
      <c r="G610" s="723">
        <f t="shared" si="34"/>
        <v>44.5</v>
      </c>
      <c r="H610" s="723"/>
      <c r="I610" s="723"/>
      <c r="J610" s="723"/>
      <c r="K610" s="723"/>
      <c r="L610" s="723"/>
      <c r="M610" s="723"/>
      <c r="N610" s="723"/>
      <c r="T610" s="718"/>
    </row>
    <row r="611" spans="1:20" ht="12" customHeight="1">
      <c r="A611" s="726"/>
      <c r="B611" s="725"/>
      <c r="C611" s="724"/>
      <c r="D611" s="723"/>
      <c r="E611" s="723"/>
      <c r="F611" s="723"/>
      <c r="G611" s="723" t="str">
        <f t="shared" si="34"/>
        <v/>
      </c>
      <c r="H611" s="723"/>
      <c r="I611" s="723"/>
      <c r="J611" s="723"/>
      <c r="K611" s="723"/>
      <c r="L611" s="723"/>
      <c r="M611" s="723"/>
      <c r="N611" s="723"/>
      <c r="T611" s="718"/>
    </row>
    <row r="612" spans="1:20" ht="12" customHeight="1">
      <c r="A612" s="726"/>
      <c r="B612" s="725"/>
      <c r="C612" s="724"/>
      <c r="D612" s="723"/>
      <c r="E612" s="723"/>
      <c r="F612" s="723"/>
      <c r="G612" s="723" t="str">
        <f t="shared" si="34"/>
        <v/>
      </c>
      <c r="H612" s="723"/>
      <c r="I612" s="723"/>
      <c r="J612" s="723"/>
      <c r="K612" s="723"/>
      <c r="L612" s="723"/>
      <c r="M612" s="723"/>
      <c r="N612" s="723"/>
      <c r="T612" s="718"/>
    </row>
    <row r="613" spans="1:20" ht="12" customHeight="1">
      <c r="A613" s="726"/>
      <c r="B613" s="725"/>
      <c r="C613" s="724"/>
      <c r="D613" s="723"/>
      <c r="E613" s="723"/>
      <c r="F613" s="723"/>
      <c r="G613" s="723" t="str">
        <f t="shared" si="34"/>
        <v/>
      </c>
      <c r="H613" s="723"/>
      <c r="I613" s="723"/>
      <c r="J613" s="723"/>
      <c r="K613" s="723"/>
      <c r="L613" s="723"/>
      <c r="M613" s="723"/>
      <c r="N613" s="723"/>
      <c r="T613" s="718"/>
    </row>
    <row r="614" spans="1:20" ht="12" customHeight="1">
      <c r="A614" s="726"/>
      <c r="B614" s="725"/>
      <c r="C614" s="724"/>
      <c r="D614" s="723"/>
      <c r="E614" s="723"/>
      <c r="F614" s="723"/>
      <c r="G614" s="723" t="str">
        <f t="shared" si="34"/>
        <v/>
      </c>
      <c r="H614" s="723"/>
      <c r="I614" s="723"/>
      <c r="J614" s="723"/>
      <c r="K614" s="723"/>
      <c r="L614" s="723"/>
      <c r="M614" s="723"/>
      <c r="N614" s="723"/>
      <c r="T614" s="718"/>
    </row>
    <row r="615" spans="1:20" ht="12" customHeight="1">
      <c r="A615" s="726"/>
      <c r="B615" s="725"/>
      <c r="C615" s="724"/>
      <c r="D615" s="723"/>
      <c r="E615" s="723"/>
      <c r="F615" s="723"/>
      <c r="G615" s="723" t="str">
        <f t="shared" si="34"/>
        <v/>
      </c>
      <c r="H615" s="723"/>
      <c r="I615" s="723"/>
      <c r="J615" s="723"/>
      <c r="K615" s="723"/>
      <c r="L615" s="723"/>
      <c r="M615" s="723"/>
      <c r="N615" s="723"/>
      <c r="T615" s="718"/>
    </row>
    <row r="616" spans="1:20" ht="12" customHeight="1">
      <c r="A616" s="726"/>
      <c r="B616" s="725"/>
      <c r="C616" s="724"/>
      <c r="D616" s="723"/>
      <c r="E616" s="723"/>
      <c r="F616" s="723"/>
      <c r="G616" s="723" t="str">
        <f t="shared" si="34"/>
        <v/>
      </c>
      <c r="H616" s="723"/>
      <c r="I616" s="723"/>
      <c r="J616" s="723"/>
      <c r="K616" s="723"/>
      <c r="L616" s="723"/>
      <c r="M616" s="723"/>
      <c r="N616" s="723"/>
      <c r="T616" s="718"/>
    </row>
    <row r="617" spans="1:20" ht="12" customHeight="1">
      <c r="A617" s="726"/>
      <c r="B617" s="725"/>
      <c r="C617" s="724"/>
      <c r="D617" s="723"/>
      <c r="E617" s="723"/>
      <c r="F617" s="723"/>
      <c r="G617" s="723" t="str">
        <f t="shared" si="34"/>
        <v/>
      </c>
      <c r="H617" s="723"/>
      <c r="I617" s="723"/>
      <c r="J617" s="723"/>
      <c r="K617" s="723"/>
      <c r="L617" s="723"/>
      <c r="M617" s="723"/>
      <c r="N617" s="723"/>
      <c r="T617" s="718"/>
    </row>
    <row r="618" spans="1:20" ht="12" customHeight="1">
      <c r="A618" s="726"/>
      <c r="B618" s="725"/>
      <c r="C618" s="724"/>
      <c r="D618" s="723"/>
      <c r="E618" s="723"/>
      <c r="F618" s="723"/>
      <c r="G618" s="723" t="str">
        <f t="shared" si="34"/>
        <v/>
      </c>
      <c r="H618" s="723"/>
      <c r="I618" s="723"/>
      <c r="J618" s="723"/>
      <c r="K618" s="723"/>
      <c r="L618" s="723"/>
      <c r="M618" s="723"/>
      <c r="N618" s="723"/>
      <c r="T618" s="718"/>
    </row>
    <row r="619" spans="1:20" ht="12" customHeight="1">
      <c r="A619" s="728"/>
      <c r="B619" s="727" t="str">
        <f>E522</f>
        <v>marts</v>
      </c>
      <c r="C619" s="727"/>
      <c r="D619" s="727"/>
      <c r="E619" s="727"/>
      <c r="F619" s="727"/>
      <c r="G619" s="727"/>
      <c r="H619" s="727"/>
      <c r="I619" s="727"/>
      <c r="J619" s="727"/>
      <c r="K619" s="727"/>
      <c r="L619" s="727"/>
      <c r="M619" s="727"/>
      <c r="N619" s="727"/>
      <c r="T619" s="718"/>
    </row>
    <row r="620" spans="1:20" ht="12" customHeight="1">
      <c r="A620" s="726"/>
      <c r="B620" s="725"/>
      <c r="C620" s="724"/>
      <c r="D620" s="723"/>
      <c r="E620" s="723"/>
      <c r="F620" s="723"/>
      <c r="G620" s="723" t="str">
        <f t="shared" ref="G620:G651" si="35">IF($D620&gt;0,$D620-$E620-$F620-$H620-$I620,"")</f>
        <v/>
      </c>
      <c r="H620" s="723"/>
      <c r="I620" s="723"/>
      <c r="J620" s="723"/>
      <c r="K620" s="723"/>
      <c r="L620" s="723"/>
      <c r="M620" s="723"/>
      <c r="N620" s="723"/>
      <c r="T620" s="718"/>
    </row>
    <row r="621" spans="1:20" ht="12" customHeight="1">
      <c r="A621" s="726"/>
      <c r="B621" s="725"/>
      <c r="C621" s="724"/>
      <c r="D621" s="723"/>
      <c r="E621" s="723"/>
      <c r="F621" s="723"/>
      <c r="G621" s="723" t="str">
        <f t="shared" si="35"/>
        <v/>
      </c>
      <c r="H621" s="723"/>
      <c r="I621" s="723"/>
      <c r="J621" s="723"/>
      <c r="K621" s="723"/>
      <c r="L621" s="723"/>
      <c r="M621" s="723"/>
      <c r="N621" s="723"/>
      <c r="T621" s="718"/>
    </row>
    <row r="622" spans="1:20" ht="12" customHeight="1">
      <c r="A622" s="726"/>
      <c r="B622" s="725"/>
      <c r="C622" s="724"/>
      <c r="D622" s="723"/>
      <c r="E622" s="723"/>
      <c r="F622" s="723"/>
      <c r="G622" s="723" t="str">
        <f t="shared" si="35"/>
        <v/>
      </c>
      <c r="H622" s="723"/>
      <c r="I622" s="723"/>
      <c r="J622" s="723"/>
      <c r="K622" s="723"/>
      <c r="L622" s="723"/>
      <c r="M622" s="723"/>
      <c r="N622" s="723"/>
      <c r="T622" s="718"/>
    </row>
    <row r="623" spans="1:20" ht="12" customHeight="1">
      <c r="A623" s="726"/>
      <c r="B623" s="725"/>
      <c r="C623" s="724"/>
      <c r="D623" s="723"/>
      <c r="E623" s="723"/>
      <c r="F623" s="723"/>
      <c r="G623" s="723" t="str">
        <f t="shared" si="35"/>
        <v/>
      </c>
      <c r="H623" s="723"/>
      <c r="I623" s="723"/>
      <c r="J623" s="723"/>
      <c r="K623" s="723"/>
      <c r="L623" s="723"/>
      <c r="M623" s="723"/>
      <c r="N623" s="723"/>
      <c r="T623" s="718"/>
    </row>
    <row r="624" spans="1:20" ht="12" customHeight="1">
      <c r="A624" s="726"/>
      <c r="B624" s="725"/>
      <c r="C624" s="724"/>
      <c r="D624" s="723"/>
      <c r="E624" s="723"/>
      <c r="F624" s="723"/>
      <c r="G624" s="723" t="str">
        <f t="shared" si="35"/>
        <v/>
      </c>
      <c r="H624" s="723"/>
      <c r="I624" s="723"/>
      <c r="J624" s="723"/>
      <c r="K624" s="723"/>
      <c r="L624" s="723"/>
      <c r="M624" s="723"/>
      <c r="N624" s="723"/>
      <c r="T624" s="718"/>
    </row>
    <row r="625" spans="1:20" ht="12" customHeight="1">
      <c r="A625" s="726"/>
      <c r="B625" s="725"/>
      <c r="C625" s="724"/>
      <c r="D625" s="723"/>
      <c r="E625" s="723"/>
      <c r="F625" s="723"/>
      <c r="G625" s="723" t="str">
        <f t="shared" si="35"/>
        <v/>
      </c>
      <c r="H625" s="723"/>
      <c r="I625" s="723"/>
      <c r="J625" s="723"/>
      <c r="K625" s="723"/>
      <c r="L625" s="723"/>
      <c r="M625" s="723"/>
      <c r="N625" s="723"/>
      <c r="T625" s="718"/>
    </row>
    <row r="626" spans="1:20" ht="12" customHeight="1">
      <c r="A626" s="726"/>
      <c r="B626" s="725"/>
      <c r="C626" s="724"/>
      <c r="D626" s="723"/>
      <c r="E626" s="723"/>
      <c r="F626" s="723"/>
      <c r="G626" s="723" t="str">
        <f t="shared" si="35"/>
        <v/>
      </c>
      <c r="H626" s="723"/>
      <c r="I626" s="723"/>
      <c r="J626" s="723"/>
      <c r="K626" s="723"/>
      <c r="L626" s="723"/>
      <c r="M626" s="723"/>
      <c r="N626" s="723"/>
      <c r="T626" s="718"/>
    </row>
    <row r="627" spans="1:20" ht="12" customHeight="1">
      <c r="A627" s="726"/>
      <c r="B627" s="725"/>
      <c r="C627" s="724"/>
      <c r="D627" s="723"/>
      <c r="E627" s="723"/>
      <c r="F627" s="723"/>
      <c r="G627" s="723" t="str">
        <f t="shared" si="35"/>
        <v/>
      </c>
      <c r="H627" s="723"/>
      <c r="I627" s="723"/>
      <c r="J627" s="723"/>
      <c r="K627" s="723"/>
      <c r="L627" s="723"/>
      <c r="M627" s="723"/>
      <c r="N627" s="723"/>
      <c r="T627" s="718"/>
    </row>
    <row r="628" spans="1:20" ht="12" customHeight="1">
      <c r="A628" s="726"/>
      <c r="B628" s="725"/>
      <c r="C628" s="724"/>
      <c r="D628" s="723"/>
      <c r="E628" s="723"/>
      <c r="F628" s="723"/>
      <c r="G628" s="723" t="str">
        <f t="shared" si="35"/>
        <v/>
      </c>
      <c r="H628" s="723"/>
      <c r="I628" s="723"/>
      <c r="J628" s="723"/>
      <c r="K628" s="723"/>
      <c r="L628" s="723"/>
      <c r="M628" s="723"/>
      <c r="N628" s="723"/>
      <c r="T628" s="718"/>
    </row>
    <row r="629" spans="1:20" ht="12" customHeight="1">
      <c r="A629" s="726"/>
      <c r="B629" s="725"/>
      <c r="C629" s="724"/>
      <c r="D629" s="723"/>
      <c r="E629" s="723"/>
      <c r="F629" s="723"/>
      <c r="G629" s="723" t="str">
        <f t="shared" si="35"/>
        <v/>
      </c>
      <c r="H629" s="723"/>
      <c r="I629" s="723"/>
      <c r="J629" s="723"/>
      <c r="K629" s="723"/>
      <c r="L629" s="723"/>
      <c r="M629" s="723"/>
      <c r="N629" s="723"/>
      <c r="T629" s="718"/>
    </row>
    <row r="630" spans="1:20" ht="12" customHeight="1">
      <c r="A630" s="726" t="s">
        <v>710</v>
      </c>
      <c r="B630" s="725"/>
      <c r="C630" s="724"/>
      <c r="D630" s="723"/>
      <c r="E630" s="723"/>
      <c r="F630" s="723"/>
      <c r="G630" s="723" t="str">
        <f t="shared" si="35"/>
        <v/>
      </c>
      <c r="H630" s="723"/>
      <c r="I630" s="723"/>
      <c r="J630" s="723"/>
      <c r="K630" s="723"/>
      <c r="L630" s="723"/>
      <c r="M630" s="723"/>
      <c r="N630" s="723"/>
      <c r="T630" s="718"/>
    </row>
    <row r="631" spans="1:20" ht="12" customHeight="1">
      <c r="A631" s="726"/>
      <c r="B631" s="725"/>
      <c r="C631" s="724"/>
      <c r="D631" s="723"/>
      <c r="E631" s="723"/>
      <c r="F631" s="723"/>
      <c r="G631" s="723" t="str">
        <f t="shared" si="35"/>
        <v/>
      </c>
      <c r="H631" s="723"/>
      <c r="I631" s="723"/>
      <c r="J631" s="723"/>
      <c r="K631" s="723"/>
      <c r="L631" s="723"/>
      <c r="M631" s="723"/>
      <c r="N631" s="723"/>
      <c r="T631" s="718"/>
    </row>
    <row r="632" spans="1:20" ht="12" customHeight="1">
      <c r="A632" s="726" t="s">
        <v>19</v>
      </c>
      <c r="B632" s="725"/>
      <c r="C632" s="724"/>
      <c r="D632" s="723"/>
      <c r="E632" s="723"/>
      <c r="F632" s="723"/>
      <c r="G632" s="723" t="str">
        <f t="shared" si="35"/>
        <v/>
      </c>
      <c r="H632" s="723"/>
      <c r="I632" s="723"/>
      <c r="J632" s="723"/>
      <c r="K632" s="723"/>
      <c r="L632" s="723"/>
      <c r="M632" s="723"/>
      <c r="N632" s="723"/>
      <c r="T632" s="718"/>
    </row>
    <row r="633" spans="1:20" ht="12" customHeight="1">
      <c r="A633" s="726"/>
      <c r="B633" s="725"/>
      <c r="C633" s="724"/>
      <c r="D633" s="723"/>
      <c r="E633" s="723"/>
      <c r="F633" s="723"/>
      <c r="G633" s="723" t="str">
        <f t="shared" si="35"/>
        <v/>
      </c>
      <c r="H633" s="723"/>
      <c r="I633" s="723"/>
      <c r="J633" s="723"/>
      <c r="K633" s="723"/>
      <c r="L633" s="723"/>
      <c r="M633" s="723"/>
      <c r="N633" s="723"/>
      <c r="T633" s="718"/>
    </row>
    <row r="634" spans="1:20" ht="12" customHeight="1">
      <c r="A634" s="726"/>
      <c r="B634" s="725"/>
      <c r="C634" s="724"/>
      <c r="D634" s="723"/>
      <c r="E634" s="723"/>
      <c r="F634" s="723"/>
      <c r="G634" s="723" t="str">
        <f t="shared" si="35"/>
        <v/>
      </c>
      <c r="H634" s="723"/>
      <c r="I634" s="723"/>
      <c r="J634" s="723"/>
      <c r="K634" s="723"/>
      <c r="L634" s="723"/>
      <c r="M634" s="723"/>
      <c r="N634" s="723"/>
      <c r="T634" s="718"/>
    </row>
    <row r="635" spans="1:20" ht="12" customHeight="1">
      <c r="A635" s="726"/>
      <c r="B635" s="725"/>
      <c r="C635" s="724"/>
      <c r="D635" s="723"/>
      <c r="E635" s="723"/>
      <c r="F635" s="723"/>
      <c r="G635" s="723" t="str">
        <f t="shared" si="35"/>
        <v/>
      </c>
      <c r="H635" s="723"/>
      <c r="I635" s="723"/>
      <c r="J635" s="723"/>
      <c r="K635" s="723"/>
      <c r="L635" s="723"/>
      <c r="M635" s="723"/>
      <c r="N635" s="723"/>
      <c r="T635" s="718"/>
    </row>
    <row r="636" spans="1:20" ht="12" customHeight="1">
      <c r="A636" s="726"/>
      <c r="B636" s="725"/>
      <c r="C636" s="724"/>
      <c r="D636" s="723"/>
      <c r="E636" s="723"/>
      <c r="F636" s="723"/>
      <c r="G636" s="723" t="str">
        <f t="shared" si="35"/>
        <v/>
      </c>
      <c r="H636" s="723"/>
      <c r="I636" s="723"/>
      <c r="J636" s="723"/>
      <c r="K636" s="723"/>
      <c r="L636" s="723"/>
      <c r="M636" s="723"/>
      <c r="N636" s="723"/>
      <c r="T636" s="718"/>
    </row>
    <row r="637" spans="1:20" ht="12" customHeight="1">
      <c r="A637" s="726"/>
      <c r="B637" s="725"/>
      <c r="C637" s="724"/>
      <c r="D637" s="723"/>
      <c r="E637" s="723"/>
      <c r="F637" s="723"/>
      <c r="G637" s="723" t="str">
        <f t="shared" si="35"/>
        <v/>
      </c>
      <c r="H637" s="723"/>
      <c r="I637" s="723"/>
      <c r="J637" s="723"/>
      <c r="K637" s="723"/>
      <c r="L637" s="723"/>
      <c r="M637" s="723"/>
      <c r="N637" s="723"/>
      <c r="T637" s="718"/>
    </row>
    <row r="638" spans="1:20" ht="12" customHeight="1">
      <c r="A638" s="726"/>
      <c r="B638" s="725"/>
      <c r="C638" s="724"/>
      <c r="D638" s="723"/>
      <c r="E638" s="723"/>
      <c r="F638" s="723"/>
      <c r="G638" s="723" t="str">
        <f t="shared" si="35"/>
        <v/>
      </c>
      <c r="H638" s="723"/>
      <c r="I638" s="723"/>
      <c r="J638" s="723"/>
      <c r="K638" s="723"/>
      <c r="L638" s="723"/>
      <c r="M638" s="723"/>
      <c r="N638" s="723"/>
      <c r="T638" s="718"/>
    </row>
    <row r="639" spans="1:20" ht="12" customHeight="1">
      <c r="A639" s="726"/>
      <c r="B639" s="725"/>
      <c r="C639" s="724"/>
      <c r="D639" s="723"/>
      <c r="E639" s="723"/>
      <c r="F639" s="723"/>
      <c r="G639" s="723" t="str">
        <f t="shared" si="35"/>
        <v/>
      </c>
      <c r="H639" s="723"/>
      <c r="I639" s="723"/>
      <c r="J639" s="723"/>
      <c r="K639" s="723"/>
      <c r="L639" s="723"/>
      <c r="M639" s="723"/>
      <c r="N639" s="723"/>
      <c r="T639" s="718"/>
    </row>
    <row r="640" spans="1:20" ht="12" customHeight="1">
      <c r="A640" s="726"/>
      <c r="B640" s="725"/>
      <c r="C640" s="724"/>
      <c r="D640" s="723"/>
      <c r="E640" s="723"/>
      <c r="F640" s="723"/>
      <c r="G640" s="723" t="str">
        <f t="shared" si="35"/>
        <v/>
      </c>
      <c r="H640" s="723"/>
      <c r="I640" s="723"/>
      <c r="J640" s="723"/>
      <c r="K640" s="723"/>
      <c r="L640" s="723"/>
      <c r="M640" s="723"/>
      <c r="N640" s="723"/>
      <c r="T640" s="718"/>
    </row>
    <row r="641" spans="1:20" ht="12" customHeight="1">
      <c r="A641" s="726"/>
      <c r="B641" s="725"/>
      <c r="C641" s="724"/>
      <c r="D641" s="723"/>
      <c r="E641" s="723"/>
      <c r="F641" s="723"/>
      <c r="G641" s="723" t="str">
        <f t="shared" si="35"/>
        <v/>
      </c>
      <c r="H641" s="723"/>
      <c r="I641" s="723"/>
      <c r="J641" s="723"/>
      <c r="K641" s="723"/>
      <c r="L641" s="723"/>
      <c r="M641" s="723"/>
      <c r="N641" s="723"/>
      <c r="T641" s="718"/>
    </row>
    <row r="642" spans="1:20" ht="12" customHeight="1">
      <c r="A642" s="726"/>
      <c r="B642" s="725"/>
      <c r="C642" s="724"/>
      <c r="D642" s="723"/>
      <c r="E642" s="723"/>
      <c r="F642" s="723"/>
      <c r="G642" s="723" t="str">
        <f t="shared" si="35"/>
        <v/>
      </c>
      <c r="H642" s="723"/>
      <c r="I642" s="723"/>
      <c r="J642" s="723"/>
      <c r="K642" s="723"/>
      <c r="L642" s="723"/>
      <c r="M642" s="723"/>
      <c r="N642" s="723"/>
      <c r="T642" s="718"/>
    </row>
    <row r="643" spans="1:20" ht="12" customHeight="1">
      <c r="A643" s="726"/>
      <c r="B643" s="725"/>
      <c r="C643" s="724"/>
      <c r="D643" s="723"/>
      <c r="E643" s="723"/>
      <c r="F643" s="723"/>
      <c r="G643" s="723" t="str">
        <f t="shared" si="35"/>
        <v/>
      </c>
      <c r="H643" s="723"/>
      <c r="I643" s="723"/>
      <c r="J643" s="723"/>
      <c r="K643" s="723"/>
      <c r="L643" s="723"/>
      <c r="M643" s="723"/>
      <c r="N643" s="723"/>
      <c r="T643" s="718"/>
    </row>
    <row r="644" spans="1:20" ht="12" customHeight="1">
      <c r="A644" s="726"/>
      <c r="B644" s="725"/>
      <c r="C644" s="724"/>
      <c r="D644" s="723"/>
      <c r="E644" s="723"/>
      <c r="F644" s="723"/>
      <c r="G644" s="723" t="str">
        <f t="shared" si="35"/>
        <v/>
      </c>
      <c r="H644" s="723"/>
      <c r="I644" s="723"/>
      <c r="J644" s="723"/>
      <c r="K644" s="723"/>
      <c r="L644" s="723"/>
      <c r="M644" s="723"/>
      <c r="N644" s="723"/>
      <c r="T644" s="718"/>
    </row>
    <row r="645" spans="1:20" ht="12" customHeight="1">
      <c r="A645" s="726"/>
      <c r="B645" s="725"/>
      <c r="C645" s="724"/>
      <c r="D645" s="723"/>
      <c r="E645" s="723"/>
      <c r="F645" s="723"/>
      <c r="G645" s="723" t="str">
        <f t="shared" si="35"/>
        <v/>
      </c>
      <c r="H645" s="723"/>
      <c r="I645" s="723"/>
      <c r="J645" s="723"/>
      <c r="K645" s="723"/>
      <c r="L645" s="723"/>
      <c r="M645" s="723"/>
      <c r="N645" s="723"/>
      <c r="T645" s="718"/>
    </row>
    <row r="646" spans="1:20" ht="12" customHeight="1">
      <c r="A646" s="726"/>
      <c r="B646" s="725"/>
      <c r="C646" s="724"/>
      <c r="D646" s="723"/>
      <c r="E646" s="723"/>
      <c r="F646" s="723"/>
      <c r="G646" s="723" t="str">
        <f t="shared" si="35"/>
        <v/>
      </c>
      <c r="H646" s="723"/>
      <c r="I646" s="723"/>
      <c r="J646" s="723"/>
      <c r="K646" s="723"/>
      <c r="L646" s="723"/>
      <c r="M646" s="723"/>
      <c r="N646" s="723"/>
      <c r="T646" s="718"/>
    </row>
    <row r="647" spans="1:20" ht="12" customHeight="1">
      <c r="A647" s="726"/>
      <c r="B647" s="725"/>
      <c r="C647" s="724"/>
      <c r="D647" s="723"/>
      <c r="E647" s="723"/>
      <c r="F647" s="723"/>
      <c r="G647" s="723" t="str">
        <f t="shared" si="35"/>
        <v/>
      </c>
      <c r="H647" s="723"/>
      <c r="I647" s="723"/>
      <c r="J647" s="723"/>
      <c r="K647" s="723"/>
      <c r="L647" s="723"/>
      <c r="M647" s="723"/>
      <c r="N647" s="723"/>
      <c r="T647" s="718"/>
    </row>
    <row r="648" spans="1:20" ht="12" customHeight="1">
      <c r="A648" s="726"/>
      <c r="B648" s="725"/>
      <c r="C648" s="724"/>
      <c r="D648" s="723"/>
      <c r="E648" s="723"/>
      <c r="F648" s="723"/>
      <c r="G648" s="723" t="str">
        <f t="shared" si="35"/>
        <v/>
      </c>
      <c r="H648" s="723"/>
      <c r="I648" s="723"/>
      <c r="J648" s="723"/>
      <c r="K648" s="723"/>
      <c r="L648" s="723"/>
      <c r="M648" s="723"/>
      <c r="N648" s="723"/>
      <c r="T648" s="718"/>
    </row>
    <row r="649" spans="1:20" ht="12" customHeight="1">
      <c r="A649" s="726"/>
      <c r="B649" s="725"/>
      <c r="C649" s="724"/>
      <c r="D649" s="723"/>
      <c r="E649" s="723"/>
      <c r="F649" s="723"/>
      <c r="G649" s="723" t="str">
        <f t="shared" si="35"/>
        <v/>
      </c>
      <c r="H649" s="723"/>
      <c r="I649" s="723"/>
      <c r="J649" s="723"/>
      <c r="K649" s="723"/>
      <c r="L649" s="723"/>
      <c r="M649" s="723"/>
      <c r="N649" s="723"/>
      <c r="T649" s="718"/>
    </row>
    <row r="650" spans="1:20" ht="12" customHeight="1">
      <c r="A650" s="726"/>
      <c r="B650" s="725"/>
      <c r="C650" s="724"/>
      <c r="D650" s="723"/>
      <c r="E650" s="723"/>
      <c r="F650" s="723"/>
      <c r="G650" s="723" t="str">
        <f t="shared" si="35"/>
        <v/>
      </c>
      <c r="H650" s="723"/>
      <c r="I650" s="723"/>
      <c r="J650" s="723"/>
      <c r="K650" s="723"/>
      <c r="L650" s="723"/>
      <c r="M650" s="723"/>
      <c r="N650" s="723"/>
      <c r="T650" s="718"/>
    </row>
    <row r="651" spans="1:20" ht="12" customHeight="1">
      <c r="A651" s="726"/>
      <c r="B651" s="725"/>
      <c r="C651" s="724"/>
      <c r="D651" s="723"/>
      <c r="E651" s="723"/>
      <c r="F651" s="723"/>
      <c r="G651" s="723" t="str">
        <f t="shared" si="35"/>
        <v/>
      </c>
      <c r="H651" s="723"/>
      <c r="I651" s="723"/>
      <c r="J651" s="723"/>
      <c r="K651" s="723"/>
      <c r="L651" s="723"/>
      <c r="M651" s="723"/>
      <c r="N651" s="723"/>
      <c r="T651" s="718"/>
    </row>
    <row r="652" spans="1:20" ht="12" customHeight="1">
      <c r="A652" s="728"/>
      <c r="B652" s="727" t="str">
        <f>F522</f>
        <v>april</v>
      </c>
      <c r="C652" s="727"/>
      <c r="D652" s="727" t="s">
        <v>709</v>
      </c>
      <c r="E652" s="727" t="s">
        <v>284</v>
      </c>
      <c r="F652" s="727" t="s">
        <v>286</v>
      </c>
      <c r="G652" s="727" t="s">
        <v>15</v>
      </c>
      <c r="H652" s="727" t="s">
        <v>384</v>
      </c>
      <c r="I652" s="727" t="s">
        <v>14</v>
      </c>
      <c r="J652" s="727"/>
      <c r="K652" s="727"/>
      <c r="L652" s="727"/>
      <c r="M652" s="727"/>
      <c r="N652" s="727"/>
      <c r="T652" s="718"/>
    </row>
    <row r="653" spans="1:20" ht="12" customHeight="1">
      <c r="A653" s="726"/>
      <c r="B653" s="725"/>
      <c r="C653" s="724"/>
      <c r="D653" s="723"/>
      <c r="E653" s="723"/>
      <c r="F653" s="723"/>
      <c r="G653" s="723" t="str">
        <f t="shared" ref="G653:G684" si="36">IF($D653&gt;0,$D653-$E653-$F653-$H653-$I653,"")</f>
        <v/>
      </c>
      <c r="H653" s="723"/>
      <c r="I653" s="723"/>
      <c r="J653" s="723"/>
      <c r="K653" s="723"/>
      <c r="L653" s="723"/>
      <c r="M653" s="723"/>
      <c r="N653" s="723"/>
      <c r="T653" s="718"/>
    </row>
    <row r="654" spans="1:20" ht="12" customHeight="1">
      <c r="A654" s="726"/>
      <c r="B654" s="725"/>
      <c r="C654" s="724"/>
      <c r="D654" s="723"/>
      <c r="E654" s="723"/>
      <c r="F654" s="723"/>
      <c r="G654" s="723" t="str">
        <f t="shared" si="36"/>
        <v/>
      </c>
      <c r="H654" s="723"/>
      <c r="I654" s="723"/>
      <c r="J654" s="723"/>
      <c r="K654" s="723"/>
      <c r="L654" s="723"/>
      <c r="M654" s="723"/>
      <c r="N654" s="723"/>
      <c r="T654" s="718"/>
    </row>
    <row r="655" spans="1:20" ht="12" customHeight="1">
      <c r="A655" s="726"/>
      <c r="B655" s="725"/>
      <c r="C655" s="724"/>
      <c r="D655" s="723"/>
      <c r="E655" s="723"/>
      <c r="F655" s="723"/>
      <c r="G655" s="723" t="str">
        <f t="shared" si="36"/>
        <v/>
      </c>
      <c r="H655" s="723"/>
      <c r="I655" s="723"/>
      <c r="J655" s="723"/>
      <c r="K655" s="723"/>
      <c r="L655" s="723"/>
      <c r="M655" s="723"/>
      <c r="N655" s="723"/>
      <c r="T655" s="718"/>
    </row>
    <row r="656" spans="1:20" ht="12" customHeight="1">
      <c r="A656" s="726"/>
      <c r="B656" s="725"/>
      <c r="C656" s="724"/>
      <c r="D656" s="723"/>
      <c r="E656" s="723"/>
      <c r="F656" s="723"/>
      <c r="G656" s="723" t="str">
        <f t="shared" si="36"/>
        <v/>
      </c>
      <c r="H656" s="723"/>
      <c r="I656" s="723"/>
      <c r="J656" s="723"/>
      <c r="K656" s="723"/>
      <c r="L656" s="723"/>
      <c r="M656" s="723"/>
      <c r="N656" s="723"/>
      <c r="T656" s="718"/>
    </row>
    <row r="657" spans="1:20" ht="12" customHeight="1">
      <c r="A657" s="726"/>
      <c r="B657" s="725"/>
      <c r="C657" s="724"/>
      <c r="D657" s="723"/>
      <c r="E657" s="723"/>
      <c r="F657" s="723"/>
      <c r="G657" s="723" t="str">
        <f t="shared" si="36"/>
        <v/>
      </c>
      <c r="H657" s="723"/>
      <c r="I657" s="723"/>
      <c r="J657" s="723"/>
      <c r="K657" s="723"/>
      <c r="L657" s="723"/>
      <c r="M657" s="723"/>
      <c r="N657" s="723"/>
      <c r="T657" s="718"/>
    </row>
    <row r="658" spans="1:20" ht="12" customHeight="1">
      <c r="A658" s="726"/>
      <c r="B658" s="725"/>
      <c r="C658" s="724"/>
      <c r="D658" s="723"/>
      <c r="E658" s="723"/>
      <c r="F658" s="723"/>
      <c r="G658" s="723" t="str">
        <f t="shared" si="36"/>
        <v/>
      </c>
      <c r="H658" s="723"/>
      <c r="I658" s="723"/>
      <c r="J658" s="723"/>
      <c r="K658" s="723"/>
      <c r="L658" s="723"/>
      <c r="M658" s="723"/>
      <c r="N658" s="723"/>
      <c r="T658" s="718"/>
    </row>
    <row r="659" spans="1:20" ht="12" customHeight="1">
      <c r="A659" s="726"/>
      <c r="B659" s="725"/>
      <c r="C659" s="724"/>
      <c r="D659" s="723"/>
      <c r="E659" s="723"/>
      <c r="F659" s="723"/>
      <c r="G659" s="723" t="str">
        <f t="shared" si="36"/>
        <v/>
      </c>
      <c r="H659" s="723"/>
      <c r="I659" s="723"/>
      <c r="J659" s="723"/>
      <c r="K659" s="723"/>
      <c r="L659" s="723"/>
      <c r="M659" s="723"/>
      <c r="N659" s="723"/>
      <c r="T659" s="718"/>
    </row>
    <row r="660" spans="1:20" ht="12" customHeight="1">
      <c r="A660" s="726"/>
      <c r="B660" s="725"/>
      <c r="C660" s="724"/>
      <c r="D660" s="723"/>
      <c r="E660" s="723"/>
      <c r="F660" s="723"/>
      <c r="G660" s="723" t="str">
        <f t="shared" si="36"/>
        <v/>
      </c>
      <c r="H660" s="723"/>
      <c r="I660" s="723"/>
      <c r="J660" s="723"/>
      <c r="K660" s="723"/>
      <c r="L660" s="723"/>
      <c r="M660" s="723"/>
      <c r="N660" s="723"/>
      <c r="T660" s="718"/>
    </row>
    <row r="661" spans="1:20" ht="12" customHeight="1">
      <c r="A661" s="726"/>
      <c r="B661" s="725"/>
      <c r="C661" s="724"/>
      <c r="D661" s="723"/>
      <c r="E661" s="723"/>
      <c r="F661" s="723"/>
      <c r="G661" s="723" t="str">
        <f t="shared" si="36"/>
        <v/>
      </c>
      <c r="H661" s="723"/>
      <c r="I661" s="723"/>
      <c r="J661" s="723"/>
      <c r="K661" s="723"/>
      <c r="L661" s="723"/>
      <c r="M661" s="723"/>
      <c r="N661" s="723"/>
      <c r="T661" s="718"/>
    </row>
    <row r="662" spans="1:20" ht="12" customHeight="1">
      <c r="A662" s="726"/>
      <c r="B662" s="725"/>
      <c r="C662" s="724"/>
      <c r="D662" s="723"/>
      <c r="E662" s="723"/>
      <c r="F662" s="723"/>
      <c r="G662" s="723" t="str">
        <f t="shared" si="36"/>
        <v/>
      </c>
      <c r="H662" s="723"/>
      <c r="I662" s="723"/>
      <c r="J662" s="723"/>
      <c r="K662" s="723"/>
      <c r="L662" s="723"/>
      <c r="M662" s="723"/>
      <c r="N662" s="723"/>
      <c r="T662" s="718"/>
    </row>
    <row r="663" spans="1:20" ht="12" customHeight="1">
      <c r="A663" s="726"/>
      <c r="B663" s="725"/>
      <c r="C663" s="724"/>
      <c r="D663" s="723"/>
      <c r="E663" s="723"/>
      <c r="F663" s="723"/>
      <c r="G663" s="723" t="str">
        <f t="shared" si="36"/>
        <v/>
      </c>
      <c r="H663" s="723"/>
      <c r="I663" s="723"/>
      <c r="J663" s="723"/>
      <c r="K663" s="723"/>
      <c r="L663" s="723"/>
      <c r="M663" s="723"/>
      <c r="N663" s="723"/>
      <c r="T663" s="718"/>
    </row>
    <row r="664" spans="1:20" ht="12" customHeight="1">
      <c r="A664" s="726"/>
      <c r="B664" s="725"/>
      <c r="C664" s="724"/>
      <c r="D664" s="723"/>
      <c r="E664" s="723"/>
      <c r="F664" s="723"/>
      <c r="G664" s="723" t="str">
        <f t="shared" si="36"/>
        <v/>
      </c>
      <c r="H664" s="723"/>
      <c r="I664" s="723"/>
      <c r="J664" s="723"/>
      <c r="K664" s="723"/>
      <c r="L664" s="723"/>
      <c r="M664" s="723"/>
      <c r="N664" s="723"/>
      <c r="T664" s="718"/>
    </row>
    <row r="665" spans="1:20" ht="12" customHeight="1">
      <c r="A665" s="726"/>
      <c r="B665" s="725"/>
      <c r="C665" s="724"/>
      <c r="D665" s="723"/>
      <c r="E665" s="723"/>
      <c r="F665" s="723"/>
      <c r="G665" s="723" t="str">
        <f t="shared" si="36"/>
        <v/>
      </c>
      <c r="H665" s="723"/>
      <c r="I665" s="723"/>
      <c r="J665" s="723"/>
      <c r="K665" s="723"/>
      <c r="L665" s="723"/>
      <c r="M665" s="723"/>
      <c r="N665" s="723"/>
      <c r="T665" s="718"/>
    </row>
    <row r="666" spans="1:20" ht="12" customHeight="1">
      <c r="A666" s="726"/>
      <c r="B666" s="725"/>
      <c r="C666" s="724"/>
      <c r="D666" s="723"/>
      <c r="E666" s="723"/>
      <c r="F666" s="723"/>
      <c r="G666" s="723" t="str">
        <f t="shared" si="36"/>
        <v/>
      </c>
      <c r="H666" s="723"/>
      <c r="I666" s="723"/>
      <c r="J666" s="723"/>
      <c r="K666" s="723"/>
      <c r="L666" s="723"/>
      <c r="M666" s="723"/>
      <c r="N666" s="723"/>
      <c r="T666" s="718"/>
    </row>
    <row r="667" spans="1:20" ht="12" customHeight="1">
      <c r="A667" s="726"/>
      <c r="B667" s="725"/>
      <c r="C667" s="724"/>
      <c r="D667" s="723"/>
      <c r="E667" s="723"/>
      <c r="F667" s="723"/>
      <c r="G667" s="723" t="str">
        <f t="shared" si="36"/>
        <v/>
      </c>
      <c r="H667" s="723"/>
      <c r="I667" s="723"/>
      <c r="J667" s="723"/>
      <c r="K667" s="723"/>
      <c r="L667" s="723"/>
      <c r="M667" s="723"/>
      <c r="N667" s="723"/>
      <c r="T667" s="718"/>
    </row>
    <row r="668" spans="1:20" ht="12" customHeight="1">
      <c r="A668" s="726"/>
      <c r="B668" s="725"/>
      <c r="C668" s="724"/>
      <c r="D668" s="723"/>
      <c r="E668" s="723"/>
      <c r="F668" s="723"/>
      <c r="G668" s="723" t="str">
        <f t="shared" si="36"/>
        <v/>
      </c>
      <c r="H668" s="723"/>
      <c r="I668" s="723"/>
      <c r="J668" s="723"/>
      <c r="K668" s="723"/>
      <c r="L668" s="723"/>
      <c r="M668" s="723"/>
      <c r="N668" s="723"/>
      <c r="T668" s="718"/>
    </row>
    <row r="669" spans="1:20" ht="12" customHeight="1">
      <c r="A669" s="726"/>
      <c r="B669" s="725"/>
      <c r="C669" s="724"/>
      <c r="D669" s="723"/>
      <c r="E669" s="723"/>
      <c r="F669" s="723"/>
      <c r="G669" s="723" t="str">
        <f t="shared" si="36"/>
        <v/>
      </c>
      <c r="H669" s="723"/>
      <c r="I669" s="723"/>
      <c r="J669" s="723"/>
      <c r="K669" s="723"/>
      <c r="L669" s="723"/>
      <c r="M669" s="723"/>
      <c r="N669" s="723"/>
      <c r="T669" s="718"/>
    </row>
    <row r="670" spans="1:20" ht="12" customHeight="1">
      <c r="A670" s="726"/>
      <c r="B670" s="725"/>
      <c r="C670" s="724"/>
      <c r="D670" s="723"/>
      <c r="E670" s="723"/>
      <c r="F670" s="723"/>
      <c r="G670" s="723" t="str">
        <f t="shared" si="36"/>
        <v/>
      </c>
      <c r="H670" s="723"/>
      <c r="I670" s="723"/>
      <c r="J670" s="723"/>
      <c r="K670" s="723"/>
      <c r="L670" s="723"/>
      <c r="M670" s="723"/>
      <c r="N670" s="723"/>
      <c r="T670" s="718"/>
    </row>
    <row r="671" spans="1:20" ht="12" customHeight="1">
      <c r="A671" s="726"/>
      <c r="B671" s="725"/>
      <c r="C671" s="724"/>
      <c r="D671" s="723"/>
      <c r="E671" s="723"/>
      <c r="F671" s="723"/>
      <c r="G671" s="723" t="str">
        <f t="shared" si="36"/>
        <v/>
      </c>
      <c r="H671" s="723"/>
      <c r="I671" s="723"/>
      <c r="J671" s="723"/>
      <c r="K671" s="723"/>
      <c r="L671" s="723"/>
      <c r="M671" s="723"/>
      <c r="N671" s="723"/>
      <c r="T671" s="718"/>
    </row>
    <row r="672" spans="1:20" ht="12" customHeight="1">
      <c r="A672" s="726"/>
      <c r="B672" s="725"/>
      <c r="C672" s="724"/>
      <c r="D672" s="723"/>
      <c r="E672" s="723"/>
      <c r="F672" s="723"/>
      <c r="G672" s="723" t="str">
        <f t="shared" si="36"/>
        <v/>
      </c>
      <c r="H672" s="723"/>
      <c r="I672" s="723"/>
      <c r="J672" s="723"/>
      <c r="K672" s="723"/>
      <c r="L672" s="723"/>
      <c r="M672" s="723"/>
      <c r="N672" s="723"/>
      <c r="T672" s="718"/>
    </row>
    <row r="673" spans="1:20" ht="12" customHeight="1">
      <c r="A673" s="726"/>
      <c r="B673" s="725"/>
      <c r="C673" s="724"/>
      <c r="D673" s="723"/>
      <c r="E673" s="723"/>
      <c r="F673" s="723"/>
      <c r="G673" s="723" t="str">
        <f t="shared" si="36"/>
        <v/>
      </c>
      <c r="H673" s="723"/>
      <c r="I673" s="723"/>
      <c r="J673" s="723"/>
      <c r="K673" s="723"/>
      <c r="L673" s="723"/>
      <c r="M673" s="723"/>
      <c r="N673" s="723"/>
      <c r="T673" s="718"/>
    </row>
    <row r="674" spans="1:20" ht="12" customHeight="1">
      <c r="A674" s="726"/>
      <c r="B674" s="725"/>
      <c r="C674" s="724"/>
      <c r="D674" s="723"/>
      <c r="E674" s="723"/>
      <c r="F674" s="723"/>
      <c r="G674" s="723" t="str">
        <f t="shared" si="36"/>
        <v/>
      </c>
      <c r="H674" s="723"/>
      <c r="I674" s="723"/>
      <c r="J674" s="723"/>
      <c r="K674" s="723"/>
      <c r="L674" s="723"/>
      <c r="M674" s="723"/>
      <c r="N674" s="723"/>
      <c r="T674" s="718"/>
    </row>
    <row r="675" spans="1:20" ht="12" customHeight="1">
      <c r="A675" s="726"/>
      <c r="B675" s="725"/>
      <c r="C675" s="724"/>
      <c r="D675" s="723"/>
      <c r="E675" s="723"/>
      <c r="F675" s="723"/>
      <c r="G675" s="723" t="str">
        <f t="shared" si="36"/>
        <v/>
      </c>
      <c r="H675" s="723"/>
      <c r="I675" s="723"/>
      <c r="J675" s="723"/>
      <c r="K675" s="723"/>
      <c r="L675" s="723"/>
      <c r="M675" s="723"/>
      <c r="N675" s="723"/>
      <c r="T675" s="718"/>
    </row>
    <row r="676" spans="1:20" ht="12" customHeight="1">
      <c r="A676" s="726"/>
      <c r="B676" s="725"/>
      <c r="C676" s="724"/>
      <c r="D676" s="723"/>
      <c r="E676" s="723"/>
      <c r="F676" s="723"/>
      <c r="G676" s="723" t="str">
        <f t="shared" si="36"/>
        <v/>
      </c>
      <c r="H676" s="723"/>
      <c r="I676" s="723"/>
      <c r="J676" s="723"/>
      <c r="K676" s="723"/>
      <c r="L676" s="723"/>
      <c r="M676" s="723"/>
      <c r="N676" s="723"/>
      <c r="T676" s="718"/>
    </row>
    <row r="677" spans="1:20" ht="12" customHeight="1">
      <c r="A677" s="726"/>
      <c r="B677" s="725"/>
      <c r="C677" s="724"/>
      <c r="D677" s="723"/>
      <c r="E677" s="723"/>
      <c r="F677" s="723"/>
      <c r="G677" s="723" t="str">
        <f t="shared" si="36"/>
        <v/>
      </c>
      <c r="H677" s="723"/>
      <c r="I677" s="723"/>
      <c r="J677" s="723"/>
      <c r="K677" s="723"/>
      <c r="L677" s="723"/>
      <c r="M677" s="723"/>
      <c r="N677" s="723"/>
      <c r="T677" s="718"/>
    </row>
    <row r="678" spans="1:20" ht="12" customHeight="1">
      <c r="A678" s="726"/>
      <c r="B678" s="725"/>
      <c r="C678" s="724"/>
      <c r="D678" s="723"/>
      <c r="E678" s="723"/>
      <c r="F678" s="723"/>
      <c r="G678" s="723" t="str">
        <f t="shared" si="36"/>
        <v/>
      </c>
      <c r="H678" s="723"/>
      <c r="I678" s="723"/>
      <c r="J678" s="723"/>
      <c r="K678" s="723"/>
      <c r="L678" s="723"/>
      <c r="M678" s="723"/>
      <c r="N678" s="723"/>
      <c r="T678" s="718"/>
    </row>
    <row r="679" spans="1:20" ht="12" customHeight="1">
      <c r="A679" s="726"/>
      <c r="B679" s="725"/>
      <c r="C679" s="724"/>
      <c r="D679" s="723"/>
      <c r="E679" s="723"/>
      <c r="F679" s="723"/>
      <c r="G679" s="723" t="str">
        <f t="shared" si="36"/>
        <v/>
      </c>
      <c r="H679" s="723"/>
      <c r="I679" s="723"/>
      <c r="J679" s="723"/>
      <c r="K679" s="723"/>
      <c r="L679" s="723"/>
      <c r="M679" s="723"/>
      <c r="N679" s="723"/>
      <c r="T679" s="718"/>
    </row>
    <row r="680" spans="1:20" ht="12" customHeight="1">
      <c r="A680" s="726"/>
      <c r="B680" s="725"/>
      <c r="C680" s="724"/>
      <c r="D680" s="723"/>
      <c r="E680" s="723"/>
      <c r="F680" s="723"/>
      <c r="G680" s="723" t="str">
        <f t="shared" si="36"/>
        <v/>
      </c>
      <c r="H680" s="723"/>
      <c r="I680" s="723"/>
      <c r="J680" s="723"/>
      <c r="K680" s="723"/>
      <c r="L680" s="723"/>
      <c r="M680" s="723"/>
      <c r="N680" s="723"/>
      <c r="T680" s="718"/>
    </row>
    <row r="681" spans="1:20" ht="12" customHeight="1">
      <c r="A681" s="726"/>
      <c r="B681" s="725"/>
      <c r="C681" s="724"/>
      <c r="D681" s="723"/>
      <c r="E681" s="723"/>
      <c r="F681" s="723"/>
      <c r="G681" s="723" t="str">
        <f t="shared" si="36"/>
        <v/>
      </c>
      <c r="H681" s="723"/>
      <c r="I681" s="723"/>
      <c r="J681" s="723"/>
      <c r="K681" s="723"/>
      <c r="L681" s="723"/>
      <c r="M681" s="723"/>
      <c r="N681" s="723"/>
      <c r="T681" s="718"/>
    </row>
    <row r="682" spans="1:20" ht="12" customHeight="1">
      <c r="A682" s="726"/>
      <c r="B682" s="725"/>
      <c r="C682" s="724"/>
      <c r="D682" s="723"/>
      <c r="E682" s="723"/>
      <c r="F682" s="723"/>
      <c r="G682" s="723" t="str">
        <f t="shared" si="36"/>
        <v/>
      </c>
      <c r="H682" s="723"/>
      <c r="I682" s="723"/>
      <c r="J682" s="723"/>
      <c r="K682" s="723"/>
      <c r="L682" s="723"/>
      <c r="M682" s="723"/>
      <c r="N682" s="723"/>
      <c r="T682" s="718"/>
    </row>
    <row r="683" spans="1:20" ht="12" customHeight="1">
      <c r="A683" s="726"/>
      <c r="B683" s="725"/>
      <c r="C683" s="724"/>
      <c r="D683" s="723"/>
      <c r="E683" s="723"/>
      <c r="F683" s="723"/>
      <c r="G683" s="723" t="str">
        <f t="shared" si="36"/>
        <v/>
      </c>
      <c r="H683" s="723"/>
      <c r="I683" s="723"/>
      <c r="J683" s="723"/>
      <c r="K683" s="723"/>
      <c r="L683" s="723"/>
      <c r="M683" s="723"/>
      <c r="N683" s="723"/>
      <c r="T683" s="718"/>
    </row>
    <row r="684" spans="1:20" ht="12" customHeight="1">
      <c r="A684" s="726"/>
      <c r="B684" s="725"/>
      <c r="C684" s="724"/>
      <c r="D684" s="723"/>
      <c r="E684" s="723"/>
      <c r="F684" s="723"/>
      <c r="G684" s="723" t="str">
        <f t="shared" si="36"/>
        <v/>
      </c>
      <c r="H684" s="723"/>
      <c r="I684" s="723"/>
      <c r="J684" s="723"/>
      <c r="K684" s="723"/>
      <c r="L684" s="723"/>
      <c r="M684" s="723"/>
      <c r="N684" s="723"/>
      <c r="T684" s="718"/>
    </row>
    <row r="685" spans="1:20" ht="12" customHeight="1">
      <c r="A685" s="726"/>
      <c r="B685" s="725"/>
      <c r="C685" s="724"/>
      <c r="D685" s="723"/>
      <c r="E685" s="723"/>
      <c r="F685" s="723"/>
      <c r="G685" s="723" t="str">
        <f t="shared" ref="G685:G708" si="37">IF($D685&gt;0,$D685-$E685-$F685-$H685-$I685,"")</f>
        <v/>
      </c>
      <c r="H685" s="723"/>
      <c r="I685" s="723"/>
      <c r="J685" s="723"/>
      <c r="K685" s="723"/>
      <c r="L685" s="723"/>
      <c r="M685" s="723"/>
      <c r="N685" s="723"/>
      <c r="T685" s="718"/>
    </row>
    <row r="686" spans="1:20" ht="12" customHeight="1">
      <c r="A686" s="726"/>
      <c r="B686" s="725"/>
      <c r="C686" s="724"/>
      <c r="D686" s="723"/>
      <c r="E686" s="723"/>
      <c r="F686" s="723"/>
      <c r="G686" s="723" t="str">
        <f t="shared" si="37"/>
        <v/>
      </c>
      <c r="H686" s="723"/>
      <c r="I686" s="723"/>
      <c r="J686" s="723"/>
      <c r="K686" s="723"/>
      <c r="L686" s="723"/>
      <c r="M686" s="723"/>
      <c r="N686" s="723"/>
      <c r="T686" s="718"/>
    </row>
    <row r="687" spans="1:20" ht="12" customHeight="1">
      <c r="A687" s="726"/>
      <c r="B687" s="725"/>
      <c r="C687" s="724"/>
      <c r="D687" s="723"/>
      <c r="E687" s="723"/>
      <c r="F687" s="723"/>
      <c r="G687" s="723" t="str">
        <f t="shared" si="37"/>
        <v/>
      </c>
      <c r="H687" s="723"/>
      <c r="I687" s="723"/>
      <c r="J687" s="723"/>
      <c r="K687" s="723"/>
      <c r="L687" s="723"/>
      <c r="M687" s="723"/>
      <c r="N687" s="723"/>
      <c r="T687" s="718"/>
    </row>
    <row r="688" spans="1:20" ht="12" customHeight="1">
      <c r="A688" s="726"/>
      <c r="B688" s="725"/>
      <c r="C688" s="724"/>
      <c r="D688" s="723"/>
      <c r="E688" s="723"/>
      <c r="F688" s="723"/>
      <c r="G688" s="723" t="str">
        <f t="shared" si="37"/>
        <v/>
      </c>
      <c r="H688" s="723"/>
      <c r="I688" s="723"/>
      <c r="J688" s="723"/>
      <c r="K688" s="723"/>
      <c r="L688" s="723"/>
      <c r="M688" s="723"/>
      <c r="N688" s="723"/>
      <c r="T688" s="718"/>
    </row>
    <row r="689" spans="1:20" ht="12" customHeight="1">
      <c r="A689" s="726"/>
      <c r="B689" s="725"/>
      <c r="C689" s="724"/>
      <c r="D689" s="723"/>
      <c r="E689" s="723"/>
      <c r="F689" s="723"/>
      <c r="G689" s="723" t="str">
        <f t="shared" si="37"/>
        <v/>
      </c>
      <c r="H689" s="723"/>
      <c r="I689" s="723"/>
      <c r="J689" s="723"/>
      <c r="K689" s="723"/>
      <c r="L689" s="723"/>
      <c r="M689" s="723"/>
      <c r="N689" s="723"/>
      <c r="T689" s="718"/>
    </row>
    <row r="690" spans="1:20" ht="12" customHeight="1">
      <c r="A690" s="726"/>
      <c r="B690" s="725"/>
      <c r="C690" s="724"/>
      <c r="D690" s="723"/>
      <c r="E690" s="723"/>
      <c r="F690" s="723"/>
      <c r="G690" s="723" t="str">
        <f t="shared" si="37"/>
        <v/>
      </c>
      <c r="H690" s="723"/>
      <c r="I690" s="723"/>
      <c r="J690" s="723"/>
      <c r="K690" s="723"/>
      <c r="L690" s="723"/>
      <c r="M690" s="723"/>
      <c r="N690" s="723"/>
      <c r="T690" s="718"/>
    </row>
    <row r="691" spans="1:20" ht="12" customHeight="1">
      <c r="A691" s="726"/>
      <c r="B691" s="725"/>
      <c r="C691" s="724"/>
      <c r="D691" s="723"/>
      <c r="E691" s="723"/>
      <c r="F691" s="723"/>
      <c r="G691" s="723" t="str">
        <f t="shared" si="37"/>
        <v/>
      </c>
      <c r="H691" s="723"/>
      <c r="I691" s="723"/>
      <c r="J691" s="723"/>
      <c r="K691" s="723"/>
      <c r="L691" s="723"/>
      <c r="M691" s="723"/>
      <c r="N691" s="723"/>
      <c r="T691" s="718"/>
    </row>
    <row r="692" spans="1:20" ht="12" customHeight="1">
      <c r="A692" s="726"/>
      <c r="B692" s="725"/>
      <c r="C692" s="724"/>
      <c r="D692" s="723"/>
      <c r="E692" s="723"/>
      <c r="F692" s="723"/>
      <c r="G692" s="723" t="str">
        <f t="shared" si="37"/>
        <v/>
      </c>
      <c r="H692" s="723"/>
      <c r="I692" s="723"/>
      <c r="J692" s="723"/>
      <c r="K692" s="723"/>
      <c r="L692" s="723"/>
      <c r="M692" s="723"/>
      <c r="N692" s="723"/>
      <c r="T692" s="718"/>
    </row>
    <row r="693" spans="1:20" ht="12" customHeight="1">
      <c r="A693" s="726"/>
      <c r="B693" s="725"/>
      <c r="C693" s="724"/>
      <c r="D693" s="723"/>
      <c r="E693" s="723"/>
      <c r="F693" s="723"/>
      <c r="G693" s="723" t="str">
        <f t="shared" si="37"/>
        <v/>
      </c>
      <c r="H693" s="723"/>
      <c r="I693" s="723"/>
      <c r="J693" s="723"/>
      <c r="K693" s="723"/>
      <c r="L693" s="723"/>
      <c r="M693" s="723"/>
      <c r="N693" s="723"/>
      <c r="T693" s="718"/>
    </row>
    <row r="694" spans="1:20" ht="12" customHeight="1">
      <c r="A694" s="726"/>
      <c r="B694" s="725"/>
      <c r="C694" s="724"/>
      <c r="D694" s="723"/>
      <c r="E694" s="723"/>
      <c r="F694" s="723"/>
      <c r="G694" s="723" t="str">
        <f t="shared" si="37"/>
        <v/>
      </c>
      <c r="H694" s="723"/>
      <c r="I694" s="723"/>
      <c r="J694" s="723"/>
      <c r="K694" s="723"/>
      <c r="L694" s="723"/>
      <c r="M694" s="723"/>
      <c r="N694" s="723"/>
      <c r="T694" s="718"/>
    </row>
    <row r="695" spans="1:20" ht="12" customHeight="1">
      <c r="A695" s="726"/>
      <c r="B695" s="725"/>
      <c r="C695" s="724"/>
      <c r="D695" s="723"/>
      <c r="E695" s="723"/>
      <c r="F695" s="723"/>
      <c r="G695" s="723" t="str">
        <f t="shared" si="37"/>
        <v/>
      </c>
      <c r="H695" s="723"/>
      <c r="I695" s="723"/>
      <c r="J695" s="723"/>
      <c r="K695" s="723"/>
      <c r="L695" s="723"/>
      <c r="M695" s="723"/>
      <c r="N695" s="723"/>
      <c r="T695" s="718"/>
    </row>
    <row r="696" spans="1:20" ht="12" customHeight="1">
      <c r="A696" s="726"/>
      <c r="B696" s="725"/>
      <c r="C696" s="724"/>
      <c r="D696" s="723"/>
      <c r="E696" s="723"/>
      <c r="F696" s="723"/>
      <c r="G696" s="723" t="str">
        <f t="shared" si="37"/>
        <v/>
      </c>
      <c r="H696" s="723"/>
      <c r="I696" s="723"/>
      <c r="J696" s="723"/>
      <c r="K696" s="723"/>
      <c r="L696" s="723"/>
      <c r="M696" s="723"/>
      <c r="N696" s="723"/>
      <c r="T696" s="718"/>
    </row>
    <row r="697" spans="1:20" ht="12" customHeight="1">
      <c r="A697" s="726"/>
      <c r="B697" s="725"/>
      <c r="C697" s="724"/>
      <c r="D697" s="723"/>
      <c r="E697" s="723"/>
      <c r="F697" s="723"/>
      <c r="G697" s="723" t="str">
        <f t="shared" si="37"/>
        <v/>
      </c>
      <c r="H697" s="723"/>
      <c r="I697" s="723"/>
      <c r="J697" s="723"/>
      <c r="K697" s="723"/>
      <c r="L697" s="723"/>
      <c r="M697" s="723"/>
      <c r="N697" s="723"/>
      <c r="T697" s="718"/>
    </row>
    <row r="698" spans="1:20" ht="12" customHeight="1">
      <c r="A698" s="726"/>
      <c r="B698" s="725"/>
      <c r="C698" s="724"/>
      <c r="D698" s="723"/>
      <c r="E698" s="723"/>
      <c r="F698" s="723"/>
      <c r="G698" s="723" t="str">
        <f t="shared" si="37"/>
        <v/>
      </c>
      <c r="H698" s="723"/>
      <c r="I698" s="723"/>
      <c r="J698" s="723"/>
      <c r="K698" s="723"/>
      <c r="L698" s="723"/>
      <c r="M698" s="723"/>
      <c r="N698" s="723"/>
      <c r="T698" s="718"/>
    </row>
    <row r="699" spans="1:20" ht="12" customHeight="1">
      <c r="A699" s="726"/>
      <c r="B699" s="725"/>
      <c r="C699" s="724"/>
      <c r="D699" s="723"/>
      <c r="E699" s="723"/>
      <c r="F699" s="723"/>
      <c r="G699" s="723" t="str">
        <f t="shared" si="37"/>
        <v/>
      </c>
      <c r="H699" s="723"/>
      <c r="I699" s="723"/>
      <c r="J699" s="723"/>
      <c r="K699" s="723"/>
      <c r="L699" s="723"/>
      <c r="M699" s="723"/>
      <c r="N699" s="723"/>
      <c r="T699" s="718"/>
    </row>
    <row r="700" spans="1:20" ht="12" customHeight="1">
      <c r="A700" s="726"/>
      <c r="B700" s="725"/>
      <c r="C700" s="724"/>
      <c r="D700" s="723"/>
      <c r="E700" s="723"/>
      <c r="F700" s="723"/>
      <c r="G700" s="723" t="str">
        <f t="shared" si="37"/>
        <v/>
      </c>
      <c r="H700" s="723"/>
      <c r="I700" s="723"/>
      <c r="J700" s="723"/>
      <c r="K700" s="723"/>
      <c r="L700" s="723"/>
      <c r="M700" s="723"/>
      <c r="N700" s="723"/>
      <c r="T700" s="718"/>
    </row>
    <row r="701" spans="1:20" ht="12" customHeight="1">
      <c r="A701" s="726"/>
      <c r="B701" s="725"/>
      <c r="C701" s="724"/>
      <c r="D701" s="723"/>
      <c r="E701" s="723"/>
      <c r="F701" s="723"/>
      <c r="G701" s="723" t="str">
        <f t="shared" si="37"/>
        <v/>
      </c>
      <c r="H701" s="723"/>
      <c r="I701" s="723"/>
      <c r="J701" s="723"/>
      <c r="K701" s="723"/>
      <c r="L701" s="723"/>
      <c r="M701" s="723"/>
      <c r="N701" s="723"/>
      <c r="T701" s="718"/>
    </row>
    <row r="702" spans="1:20" ht="12" customHeight="1">
      <c r="A702" s="726"/>
      <c r="B702" s="725"/>
      <c r="C702" s="724"/>
      <c r="D702" s="723"/>
      <c r="E702" s="723"/>
      <c r="F702" s="723"/>
      <c r="G702" s="723" t="str">
        <f t="shared" si="37"/>
        <v/>
      </c>
      <c r="H702" s="723"/>
      <c r="I702" s="723"/>
      <c r="J702" s="723"/>
      <c r="K702" s="723"/>
      <c r="L702" s="723"/>
      <c r="M702" s="723"/>
      <c r="N702" s="723"/>
      <c r="T702" s="718"/>
    </row>
    <row r="703" spans="1:20" ht="12" customHeight="1">
      <c r="A703" s="726"/>
      <c r="B703" s="725"/>
      <c r="C703" s="724"/>
      <c r="D703" s="723"/>
      <c r="E703" s="723"/>
      <c r="F703" s="723"/>
      <c r="G703" s="723" t="str">
        <f t="shared" si="37"/>
        <v/>
      </c>
      <c r="H703" s="723"/>
      <c r="I703" s="723"/>
      <c r="J703" s="723"/>
      <c r="K703" s="723"/>
      <c r="L703" s="723"/>
      <c r="M703" s="723"/>
      <c r="N703" s="723"/>
      <c r="T703" s="718"/>
    </row>
    <row r="704" spans="1:20" ht="12" customHeight="1">
      <c r="A704" s="726"/>
      <c r="B704" s="725"/>
      <c r="C704" s="724"/>
      <c r="D704" s="723"/>
      <c r="E704" s="723"/>
      <c r="F704" s="723"/>
      <c r="G704" s="723" t="str">
        <f t="shared" si="37"/>
        <v/>
      </c>
      <c r="H704" s="723"/>
      <c r="I704" s="723"/>
      <c r="J704" s="723"/>
      <c r="K704" s="723"/>
      <c r="L704" s="723"/>
      <c r="M704" s="723"/>
      <c r="N704" s="723"/>
      <c r="T704" s="718"/>
    </row>
    <row r="705" spans="1:20" ht="12" customHeight="1">
      <c r="A705" s="726"/>
      <c r="B705" s="725"/>
      <c r="C705" s="724"/>
      <c r="D705" s="723"/>
      <c r="E705" s="723"/>
      <c r="F705" s="723"/>
      <c r="G705" s="723" t="str">
        <f t="shared" si="37"/>
        <v/>
      </c>
      <c r="H705" s="723"/>
      <c r="I705" s="723"/>
      <c r="J705" s="723"/>
      <c r="K705" s="723"/>
      <c r="L705" s="723"/>
      <c r="M705" s="723"/>
      <c r="N705" s="723"/>
      <c r="T705" s="718"/>
    </row>
    <row r="706" spans="1:20" ht="12" customHeight="1">
      <c r="A706" s="726"/>
      <c r="B706" s="725"/>
      <c r="C706" s="724"/>
      <c r="D706" s="723"/>
      <c r="E706" s="723"/>
      <c r="F706" s="723"/>
      <c r="G706" s="723" t="str">
        <f t="shared" si="37"/>
        <v/>
      </c>
      <c r="H706" s="723"/>
      <c r="I706" s="723"/>
      <c r="J706" s="723"/>
      <c r="K706" s="723"/>
      <c r="L706" s="723"/>
      <c r="M706" s="723"/>
      <c r="N706" s="723"/>
      <c r="T706" s="718"/>
    </row>
    <row r="707" spans="1:20" ht="12" customHeight="1">
      <c r="A707" s="726"/>
      <c r="B707" s="725"/>
      <c r="C707" s="724"/>
      <c r="D707" s="723"/>
      <c r="E707" s="723"/>
      <c r="F707" s="723"/>
      <c r="G707" s="723" t="str">
        <f t="shared" si="37"/>
        <v/>
      </c>
      <c r="H707" s="723"/>
      <c r="I707" s="723"/>
      <c r="J707" s="723"/>
      <c r="K707" s="723"/>
      <c r="L707" s="723"/>
      <c r="M707" s="723"/>
      <c r="N707" s="723"/>
      <c r="T707" s="718"/>
    </row>
    <row r="708" spans="1:20" ht="12" customHeight="1">
      <c r="A708" s="726"/>
      <c r="B708" s="725"/>
      <c r="C708" s="724"/>
      <c r="D708" s="723"/>
      <c r="E708" s="723"/>
      <c r="F708" s="723"/>
      <c r="G708" s="723" t="str">
        <f t="shared" si="37"/>
        <v/>
      </c>
      <c r="H708" s="723"/>
      <c r="I708" s="723"/>
      <c r="J708" s="723"/>
      <c r="K708" s="723"/>
      <c r="L708" s="723"/>
      <c r="M708" s="723"/>
      <c r="N708" s="723"/>
      <c r="T708" s="718"/>
    </row>
    <row r="709" spans="1:20" ht="12" customHeight="1">
      <c r="A709" s="728"/>
      <c r="B709" s="727" t="str">
        <f>G522</f>
        <v>maj</v>
      </c>
      <c r="C709" s="727"/>
      <c r="D709" s="727" t="s">
        <v>709</v>
      </c>
      <c r="E709" s="727" t="s">
        <v>284</v>
      </c>
      <c r="F709" s="727" t="s">
        <v>286</v>
      </c>
      <c r="G709" s="727" t="s">
        <v>15</v>
      </c>
      <c r="H709" s="727" t="s">
        <v>384</v>
      </c>
      <c r="I709" s="727" t="s">
        <v>14</v>
      </c>
      <c r="J709" s="727"/>
      <c r="K709" s="727"/>
      <c r="L709" s="727"/>
      <c r="M709" s="727"/>
      <c r="N709" s="727"/>
      <c r="T709" s="718"/>
    </row>
    <row r="710" spans="1:20" ht="12" customHeight="1">
      <c r="A710" s="726"/>
      <c r="B710" s="725"/>
      <c r="C710" s="724"/>
      <c r="D710" s="723"/>
      <c r="E710" s="723"/>
      <c r="F710" s="723"/>
      <c r="G710" s="723" t="str">
        <f t="shared" ref="G710:G750" si="38">IF($D710&gt;0,$D710-$E710-$F710-$H710-$I710,"")</f>
        <v/>
      </c>
      <c r="H710" s="723"/>
      <c r="I710" s="723"/>
      <c r="J710" s="723"/>
      <c r="K710" s="723"/>
      <c r="L710" s="723"/>
      <c r="M710" s="723"/>
      <c r="N710" s="723"/>
      <c r="T710" s="718"/>
    </row>
    <row r="711" spans="1:20" ht="12" customHeight="1">
      <c r="A711" s="726"/>
      <c r="B711" s="725"/>
      <c r="C711" s="724"/>
      <c r="D711" s="723"/>
      <c r="E711" s="723"/>
      <c r="F711" s="723"/>
      <c r="G711" s="723" t="str">
        <f t="shared" si="38"/>
        <v/>
      </c>
      <c r="H711" s="723"/>
      <c r="I711" s="723"/>
      <c r="J711" s="723"/>
      <c r="K711" s="723"/>
      <c r="L711" s="723"/>
      <c r="M711" s="723"/>
      <c r="N711" s="723"/>
      <c r="T711" s="718"/>
    </row>
    <row r="712" spans="1:20" ht="12" customHeight="1">
      <c r="A712" s="726"/>
      <c r="B712" s="725"/>
      <c r="C712" s="724"/>
      <c r="D712" s="723"/>
      <c r="E712" s="723"/>
      <c r="F712" s="723"/>
      <c r="G712" s="723" t="str">
        <f t="shared" si="38"/>
        <v/>
      </c>
      <c r="H712" s="723"/>
      <c r="I712" s="723"/>
      <c r="J712" s="723"/>
      <c r="K712" s="723"/>
      <c r="L712" s="723"/>
      <c r="M712" s="723"/>
      <c r="N712" s="723"/>
      <c r="T712" s="718"/>
    </row>
    <row r="713" spans="1:20" ht="12" customHeight="1">
      <c r="A713" s="726"/>
      <c r="B713" s="725"/>
      <c r="C713" s="724"/>
      <c r="D713" s="723"/>
      <c r="E713" s="723"/>
      <c r="F713" s="723"/>
      <c r="G713" s="723" t="str">
        <f t="shared" si="38"/>
        <v/>
      </c>
      <c r="H713" s="723"/>
      <c r="I713" s="723"/>
      <c r="J713" s="723"/>
      <c r="K713" s="723"/>
      <c r="L713" s="723"/>
      <c r="M713" s="723"/>
      <c r="N713" s="723"/>
      <c r="T713" s="718"/>
    </row>
    <row r="714" spans="1:20" ht="12" customHeight="1">
      <c r="A714" s="726"/>
      <c r="B714" s="725"/>
      <c r="C714" s="724"/>
      <c r="D714" s="723"/>
      <c r="E714" s="723"/>
      <c r="F714" s="723"/>
      <c r="G714" s="723" t="str">
        <f t="shared" si="38"/>
        <v/>
      </c>
      <c r="H714" s="723"/>
      <c r="I714" s="723"/>
      <c r="J714" s="723"/>
      <c r="K714" s="723"/>
      <c r="L714" s="723"/>
      <c r="M714" s="723"/>
      <c r="N714" s="723"/>
      <c r="T714" s="718"/>
    </row>
    <row r="715" spans="1:20" ht="12" customHeight="1">
      <c r="A715" s="726"/>
      <c r="B715" s="725"/>
      <c r="C715" s="724"/>
      <c r="D715" s="723"/>
      <c r="E715" s="723"/>
      <c r="F715" s="723"/>
      <c r="G715" s="723" t="str">
        <f t="shared" si="38"/>
        <v/>
      </c>
      <c r="H715" s="723"/>
      <c r="I715" s="723"/>
      <c r="J715" s="723"/>
      <c r="K715" s="723"/>
      <c r="L715" s="723"/>
      <c r="M715" s="723"/>
      <c r="N715" s="723"/>
      <c r="T715" s="718"/>
    </row>
    <row r="716" spans="1:20" ht="12" customHeight="1">
      <c r="A716" s="726"/>
      <c r="B716" s="725"/>
      <c r="C716" s="724"/>
      <c r="D716" s="723"/>
      <c r="E716" s="723"/>
      <c r="F716" s="723"/>
      <c r="G716" s="723" t="str">
        <f t="shared" si="38"/>
        <v/>
      </c>
      <c r="H716" s="723"/>
      <c r="I716" s="723"/>
      <c r="J716" s="723"/>
      <c r="K716" s="723"/>
      <c r="L716" s="723"/>
      <c r="M716" s="723"/>
      <c r="N716" s="723"/>
      <c r="T716" s="718"/>
    </row>
    <row r="717" spans="1:20" ht="12" customHeight="1">
      <c r="A717" s="726"/>
      <c r="B717" s="725"/>
      <c r="C717" s="724"/>
      <c r="D717" s="723"/>
      <c r="E717" s="723"/>
      <c r="F717" s="723"/>
      <c r="G717" s="723" t="str">
        <f t="shared" si="38"/>
        <v/>
      </c>
      <c r="H717" s="723"/>
      <c r="I717" s="723"/>
      <c r="J717" s="723"/>
      <c r="K717" s="723"/>
      <c r="L717" s="723"/>
      <c r="M717" s="723"/>
      <c r="N717" s="723"/>
      <c r="T717" s="718"/>
    </row>
    <row r="718" spans="1:20" ht="12" customHeight="1">
      <c r="A718" s="726"/>
      <c r="B718" s="725"/>
      <c r="C718" s="724"/>
      <c r="D718" s="723"/>
      <c r="E718" s="723"/>
      <c r="F718" s="723"/>
      <c r="G718" s="723" t="str">
        <f t="shared" si="38"/>
        <v/>
      </c>
      <c r="H718" s="723"/>
      <c r="I718" s="723"/>
      <c r="J718" s="723"/>
      <c r="K718" s="723"/>
      <c r="L718" s="723"/>
      <c r="M718" s="723"/>
      <c r="N718" s="723"/>
      <c r="T718" s="718"/>
    </row>
    <row r="719" spans="1:20" ht="12" customHeight="1">
      <c r="A719" s="726"/>
      <c r="B719" s="725"/>
      <c r="C719" s="724"/>
      <c r="D719" s="723"/>
      <c r="E719" s="723"/>
      <c r="F719" s="723"/>
      <c r="G719" s="723" t="str">
        <f t="shared" si="38"/>
        <v/>
      </c>
      <c r="H719" s="723"/>
      <c r="I719" s="723"/>
      <c r="J719" s="723"/>
      <c r="K719" s="723"/>
      <c r="L719" s="723"/>
      <c r="M719" s="723"/>
      <c r="N719" s="723"/>
      <c r="T719" s="718"/>
    </row>
    <row r="720" spans="1:20" ht="12" customHeight="1">
      <c r="A720" s="726"/>
      <c r="B720" s="725"/>
      <c r="C720" s="724"/>
      <c r="D720" s="723"/>
      <c r="E720" s="723"/>
      <c r="F720" s="723"/>
      <c r="G720" s="723" t="str">
        <f t="shared" si="38"/>
        <v/>
      </c>
      <c r="H720" s="723"/>
      <c r="I720" s="723"/>
      <c r="J720" s="723"/>
      <c r="K720" s="723"/>
      <c r="L720" s="723"/>
      <c r="M720" s="723"/>
      <c r="N720" s="723"/>
      <c r="T720" s="718"/>
    </row>
    <row r="721" spans="1:20" ht="12" customHeight="1">
      <c r="A721" s="726"/>
      <c r="B721" s="725"/>
      <c r="C721" s="724"/>
      <c r="D721" s="723"/>
      <c r="E721" s="723"/>
      <c r="F721" s="723"/>
      <c r="G721" s="723" t="str">
        <f t="shared" si="38"/>
        <v/>
      </c>
      <c r="H721" s="723"/>
      <c r="I721" s="723"/>
      <c r="J721" s="723"/>
      <c r="K721" s="723"/>
      <c r="L721" s="723"/>
      <c r="M721" s="723"/>
      <c r="N721" s="723"/>
      <c r="T721" s="718"/>
    </row>
    <row r="722" spans="1:20" ht="12" customHeight="1">
      <c r="A722" s="726"/>
      <c r="B722" s="725"/>
      <c r="C722" s="724"/>
      <c r="D722" s="723"/>
      <c r="E722" s="723"/>
      <c r="F722" s="723"/>
      <c r="G722" s="723" t="str">
        <f t="shared" si="38"/>
        <v/>
      </c>
      <c r="H722" s="723"/>
      <c r="I722" s="723"/>
      <c r="J722" s="723"/>
      <c r="K722" s="723"/>
      <c r="L722" s="723"/>
      <c r="M722" s="723"/>
      <c r="N722" s="723"/>
      <c r="T722" s="718"/>
    </row>
    <row r="723" spans="1:20" ht="12" customHeight="1">
      <c r="A723" s="726"/>
      <c r="B723" s="725"/>
      <c r="C723" s="724"/>
      <c r="D723" s="723"/>
      <c r="E723" s="723"/>
      <c r="F723" s="723"/>
      <c r="G723" s="723" t="str">
        <f t="shared" si="38"/>
        <v/>
      </c>
      <c r="H723" s="723"/>
      <c r="I723" s="723"/>
      <c r="J723" s="723"/>
      <c r="K723" s="723"/>
      <c r="L723" s="723"/>
      <c r="M723" s="723"/>
      <c r="N723" s="723"/>
      <c r="T723" s="718"/>
    </row>
    <row r="724" spans="1:20" ht="12" customHeight="1">
      <c r="A724" s="726"/>
      <c r="B724" s="725"/>
      <c r="C724" s="724"/>
      <c r="D724" s="723"/>
      <c r="E724" s="723"/>
      <c r="F724" s="723"/>
      <c r="G724" s="723" t="str">
        <f t="shared" si="38"/>
        <v/>
      </c>
      <c r="H724" s="723"/>
      <c r="I724" s="723"/>
      <c r="J724" s="723"/>
      <c r="K724" s="723"/>
      <c r="L724" s="723"/>
      <c r="M724" s="723"/>
      <c r="N724" s="723"/>
      <c r="T724" s="718"/>
    </row>
    <row r="725" spans="1:20" ht="12" customHeight="1">
      <c r="A725" s="726"/>
      <c r="B725" s="725"/>
      <c r="C725" s="724"/>
      <c r="D725" s="723"/>
      <c r="E725" s="723"/>
      <c r="F725" s="723"/>
      <c r="G725" s="723" t="str">
        <f t="shared" si="38"/>
        <v/>
      </c>
      <c r="H725" s="723"/>
      <c r="I725" s="723"/>
      <c r="J725" s="723"/>
      <c r="K725" s="723"/>
      <c r="L725" s="723"/>
      <c r="M725" s="723"/>
      <c r="N725" s="723"/>
      <c r="T725" s="718"/>
    </row>
    <row r="726" spans="1:20" ht="12" customHeight="1">
      <c r="A726" s="726"/>
      <c r="B726" s="725"/>
      <c r="C726" s="724"/>
      <c r="D726" s="723"/>
      <c r="E726" s="723"/>
      <c r="F726" s="723"/>
      <c r="G726" s="723" t="str">
        <f t="shared" si="38"/>
        <v/>
      </c>
      <c r="H726" s="723"/>
      <c r="I726" s="723"/>
      <c r="J726" s="723"/>
      <c r="K726" s="723"/>
      <c r="L726" s="723"/>
      <c r="M726" s="723"/>
      <c r="N726" s="723"/>
      <c r="T726" s="718"/>
    </row>
    <row r="727" spans="1:20" ht="12" customHeight="1">
      <c r="A727" s="726"/>
      <c r="B727" s="725"/>
      <c r="C727" s="724"/>
      <c r="D727" s="723"/>
      <c r="E727" s="723"/>
      <c r="F727" s="723"/>
      <c r="G727" s="723" t="str">
        <f t="shared" si="38"/>
        <v/>
      </c>
      <c r="H727" s="723"/>
      <c r="I727" s="723"/>
      <c r="J727" s="723"/>
      <c r="K727" s="723"/>
      <c r="L727" s="723"/>
      <c r="M727" s="723"/>
      <c r="N727" s="723"/>
      <c r="T727" s="718"/>
    </row>
    <row r="728" spans="1:20" ht="12" customHeight="1">
      <c r="A728" s="726"/>
      <c r="B728" s="725"/>
      <c r="C728" s="724"/>
      <c r="D728" s="723"/>
      <c r="E728" s="723"/>
      <c r="F728" s="723"/>
      <c r="G728" s="723" t="str">
        <f t="shared" si="38"/>
        <v/>
      </c>
      <c r="H728" s="723"/>
      <c r="I728" s="723"/>
      <c r="J728" s="723"/>
      <c r="K728" s="723"/>
      <c r="L728" s="723"/>
      <c r="M728" s="723"/>
      <c r="N728" s="723"/>
      <c r="T728" s="718"/>
    </row>
    <row r="729" spans="1:20" ht="12" customHeight="1">
      <c r="A729" s="726"/>
      <c r="B729" s="725"/>
      <c r="C729" s="724"/>
      <c r="D729" s="723"/>
      <c r="E729" s="723"/>
      <c r="F729" s="723"/>
      <c r="G729" s="723" t="str">
        <f t="shared" si="38"/>
        <v/>
      </c>
      <c r="H729" s="723"/>
      <c r="I729" s="723"/>
      <c r="J729" s="723"/>
      <c r="K729" s="723"/>
      <c r="L729" s="723"/>
      <c r="M729" s="723"/>
      <c r="N729" s="723"/>
      <c r="T729" s="718"/>
    </row>
    <row r="730" spans="1:20" ht="12" customHeight="1">
      <c r="A730" s="726"/>
      <c r="B730" s="725"/>
      <c r="C730" s="724"/>
      <c r="D730" s="723"/>
      <c r="E730" s="723"/>
      <c r="F730" s="723"/>
      <c r="G730" s="723" t="str">
        <f t="shared" si="38"/>
        <v/>
      </c>
      <c r="H730" s="723"/>
      <c r="I730" s="723"/>
      <c r="J730" s="723"/>
      <c r="K730" s="723"/>
      <c r="L730" s="723"/>
      <c r="M730" s="723"/>
      <c r="N730" s="723"/>
      <c r="T730" s="718"/>
    </row>
    <row r="731" spans="1:20" ht="12" customHeight="1">
      <c r="A731" s="726"/>
      <c r="B731" s="725"/>
      <c r="C731" s="724"/>
      <c r="D731" s="723"/>
      <c r="E731" s="723"/>
      <c r="F731" s="723"/>
      <c r="G731" s="723" t="str">
        <f t="shared" si="38"/>
        <v/>
      </c>
      <c r="H731" s="723"/>
      <c r="I731" s="723"/>
      <c r="J731" s="723"/>
      <c r="K731" s="723"/>
      <c r="L731" s="723"/>
      <c r="M731" s="723"/>
      <c r="N731" s="723"/>
      <c r="T731" s="718"/>
    </row>
    <row r="732" spans="1:20" ht="12" customHeight="1">
      <c r="A732" s="726"/>
      <c r="B732" s="725"/>
      <c r="C732" s="724"/>
      <c r="D732" s="723"/>
      <c r="E732" s="723"/>
      <c r="F732" s="723"/>
      <c r="G732" s="723" t="str">
        <f t="shared" si="38"/>
        <v/>
      </c>
      <c r="H732" s="723"/>
      <c r="I732" s="723"/>
      <c r="J732" s="723"/>
      <c r="K732" s="723"/>
      <c r="L732" s="723"/>
      <c r="M732" s="723"/>
      <c r="N732" s="723"/>
      <c r="T732" s="718"/>
    </row>
    <row r="733" spans="1:20" ht="12" customHeight="1">
      <c r="A733" s="726"/>
      <c r="B733" s="725"/>
      <c r="C733" s="724"/>
      <c r="D733" s="723"/>
      <c r="E733" s="723"/>
      <c r="F733" s="723"/>
      <c r="G733" s="723" t="str">
        <f t="shared" si="38"/>
        <v/>
      </c>
      <c r="H733" s="723"/>
      <c r="I733" s="723"/>
      <c r="J733" s="723"/>
      <c r="K733" s="723"/>
      <c r="L733" s="723"/>
      <c r="M733" s="723"/>
      <c r="N733" s="723"/>
      <c r="T733" s="718"/>
    </row>
    <row r="734" spans="1:20" ht="12" customHeight="1">
      <c r="A734" s="726"/>
      <c r="B734" s="725"/>
      <c r="C734" s="724"/>
      <c r="D734" s="723"/>
      <c r="E734" s="723"/>
      <c r="F734" s="723"/>
      <c r="G734" s="723" t="str">
        <f t="shared" si="38"/>
        <v/>
      </c>
      <c r="H734" s="723"/>
      <c r="I734" s="723"/>
      <c r="J734" s="723"/>
      <c r="K734" s="723"/>
      <c r="L734" s="723"/>
      <c r="M734" s="723"/>
      <c r="N734" s="723"/>
      <c r="T734" s="718"/>
    </row>
    <row r="735" spans="1:20" ht="12" customHeight="1">
      <c r="A735" s="726"/>
      <c r="B735" s="725"/>
      <c r="C735" s="724"/>
      <c r="D735" s="723"/>
      <c r="E735" s="723"/>
      <c r="F735" s="723"/>
      <c r="G735" s="723" t="str">
        <f t="shared" si="38"/>
        <v/>
      </c>
      <c r="H735" s="723"/>
      <c r="I735" s="723"/>
      <c r="J735" s="723"/>
      <c r="K735" s="723"/>
      <c r="L735" s="723"/>
      <c r="M735" s="723"/>
      <c r="N735" s="723"/>
      <c r="T735" s="718"/>
    </row>
    <row r="736" spans="1:20" ht="12" customHeight="1">
      <c r="A736" s="726"/>
      <c r="B736" s="725"/>
      <c r="C736" s="724"/>
      <c r="D736" s="723"/>
      <c r="E736" s="723"/>
      <c r="F736" s="723"/>
      <c r="G736" s="723" t="str">
        <f t="shared" si="38"/>
        <v/>
      </c>
      <c r="H736" s="723"/>
      <c r="I736" s="723"/>
      <c r="J736" s="723"/>
      <c r="K736" s="723"/>
      <c r="L736" s="723"/>
      <c r="M736" s="723"/>
      <c r="N736" s="723"/>
      <c r="T736" s="718"/>
    </row>
    <row r="737" spans="1:20" ht="12" customHeight="1">
      <c r="A737" s="726"/>
      <c r="B737" s="725"/>
      <c r="C737" s="724"/>
      <c r="D737" s="723"/>
      <c r="E737" s="723"/>
      <c r="F737" s="723"/>
      <c r="G737" s="723" t="str">
        <f t="shared" si="38"/>
        <v/>
      </c>
      <c r="H737" s="723"/>
      <c r="I737" s="723"/>
      <c r="J737" s="723"/>
      <c r="K737" s="723"/>
      <c r="L737" s="723"/>
      <c r="M737" s="723"/>
      <c r="N737" s="723"/>
      <c r="T737" s="718"/>
    </row>
    <row r="738" spans="1:20" ht="12" customHeight="1">
      <c r="A738" s="726"/>
      <c r="B738" s="725"/>
      <c r="C738" s="724"/>
      <c r="D738" s="723"/>
      <c r="E738" s="723"/>
      <c r="F738" s="723"/>
      <c r="G738" s="723" t="str">
        <f t="shared" si="38"/>
        <v/>
      </c>
      <c r="H738" s="723"/>
      <c r="I738" s="723"/>
      <c r="J738" s="723"/>
      <c r="K738" s="723"/>
      <c r="L738" s="723"/>
      <c r="M738" s="723"/>
      <c r="N738" s="723"/>
      <c r="T738" s="718"/>
    </row>
    <row r="739" spans="1:20" ht="12" customHeight="1">
      <c r="A739" s="726"/>
      <c r="B739" s="725"/>
      <c r="C739" s="724"/>
      <c r="D739" s="723"/>
      <c r="E739" s="723"/>
      <c r="F739" s="723"/>
      <c r="G739" s="723" t="str">
        <f t="shared" si="38"/>
        <v/>
      </c>
      <c r="H739" s="723"/>
      <c r="I739" s="723"/>
      <c r="J739" s="723"/>
      <c r="K739" s="723"/>
      <c r="L739" s="723"/>
      <c r="M739" s="723"/>
      <c r="N739" s="723"/>
      <c r="T739" s="718"/>
    </row>
    <row r="740" spans="1:20" ht="12" customHeight="1">
      <c r="A740" s="726"/>
      <c r="B740" s="725"/>
      <c r="C740" s="724"/>
      <c r="D740" s="723"/>
      <c r="E740" s="723"/>
      <c r="F740" s="723"/>
      <c r="G740" s="723" t="str">
        <f t="shared" si="38"/>
        <v/>
      </c>
      <c r="H740" s="723"/>
      <c r="I740" s="723"/>
      <c r="J740" s="723"/>
      <c r="K740" s="723"/>
      <c r="L740" s="723"/>
      <c r="M740" s="723"/>
      <c r="N740" s="723"/>
      <c r="T740" s="718"/>
    </row>
    <row r="741" spans="1:20" ht="12" customHeight="1">
      <c r="A741" s="726"/>
      <c r="B741" s="725"/>
      <c r="C741" s="724"/>
      <c r="D741" s="723"/>
      <c r="E741" s="723"/>
      <c r="F741" s="723"/>
      <c r="G741" s="723" t="str">
        <f t="shared" si="38"/>
        <v/>
      </c>
      <c r="H741" s="723"/>
      <c r="I741" s="723"/>
      <c r="J741" s="723"/>
      <c r="K741" s="723"/>
      <c r="L741" s="723"/>
      <c r="M741" s="723"/>
      <c r="N741" s="723"/>
      <c r="T741" s="718"/>
    </row>
    <row r="742" spans="1:20" ht="12" customHeight="1">
      <c r="A742" s="726"/>
      <c r="B742" s="725"/>
      <c r="C742" s="724"/>
      <c r="D742" s="723"/>
      <c r="E742" s="723"/>
      <c r="F742" s="723"/>
      <c r="G742" s="723" t="str">
        <f t="shared" si="38"/>
        <v/>
      </c>
      <c r="H742" s="723"/>
      <c r="I742" s="723"/>
      <c r="J742" s="723"/>
      <c r="K742" s="723"/>
      <c r="L742" s="723"/>
      <c r="M742" s="723"/>
      <c r="N742" s="723"/>
      <c r="T742" s="718"/>
    </row>
    <row r="743" spans="1:20" ht="12" customHeight="1">
      <c r="A743" s="726"/>
      <c r="B743" s="725"/>
      <c r="C743" s="724"/>
      <c r="D743" s="723"/>
      <c r="E743" s="723"/>
      <c r="F743" s="723"/>
      <c r="G743" s="723" t="str">
        <f t="shared" si="38"/>
        <v/>
      </c>
      <c r="H743" s="723"/>
      <c r="I743" s="723"/>
      <c r="J743" s="723"/>
      <c r="K743" s="723"/>
      <c r="L743" s="723"/>
      <c r="M743" s="723"/>
      <c r="N743" s="723"/>
      <c r="T743" s="718"/>
    </row>
    <row r="744" spans="1:20" ht="12" customHeight="1">
      <c r="A744" s="726"/>
      <c r="B744" s="725"/>
      <c r="C744" s="724"/>
      <c r="D744" s="723"/>
      <c r="E744" s="723"/>
      <c r="F744" s="723"/>
      <c r="G744" s="723" t="str">
        <f t="shared" si="38"/>
        <v/>
      </c>
      <c r="H744" s="723"/>
      <c r="I744" s="723"/>
      <c r="J744" s="723"/>
      <c r="K744" s="723"/>
      <c r="L744" s="723"/>
      <c r="M744" s="723"/>
      <c r="N744" s="723"/>
      <c r="T744" s="718"/>
    </row>
    <row r="745" spans="1:20" ht="12" customHeight="1">
      <c r="A745" s="726"/>
      <c r="B745" s="725"/>
      <c r="C745" s="724"/>
      <c r="D745" s="723"/>
      <c r="E745" s="723"/>
      <c r="F745" s="723"/>
      <c r="G745" s="723" t="str">
        <f t="shared" si="38"/>
        <v/>
      </c>
      <c r="H745" s="723"/>
      <c r="I745" s="723"/>
      <c r="J745" s="723"/>
      <c r="K745" s="723"/>
      <c r="L745" s="723"/>
      <c r="M745" s="723"/>
      <c r="N745" s="723"/>
      <c r="T745" s="718"/>
    </row>
    <row r="746" spans="1:20" ht="12" customHeight="1">
      <c r="A746" s="726"/>
      <c r="B746" s="725"/>
      <c r="C746" s="724"/>
      <c r="D746" s="723"/>
      <c r="E746" s="723"/>
      <c r="F746" s="723"/>
      <c r="G746" s="723" t="str">
        <f t="shared" si="38"/>
        <v/>
      </c>
      <c r="H746" s="723"/>
      <c r="I746" s="723"/>
      <c r="J746" s="723"/>
      <c r="K746" s="723"/>
      <c r="L746" s="723"/>
      <c r="M746" s="723"/>
      <c r="N746" s="723"/>
      <c r="T746" s="718"/>
    </row>
    <row r="747" spans="1:20" ht="12" customHeight="1">
      <c r="A747" s="726"/>
      <c r="B747" s="725"/>
      <c r="C747" s="724"/>
      <c r="D747" s="723"/>
      <c r="E747" s="723"/>
      <c r="F747" s="723"/>
      <c r="G747" s="723" t="str">
        <f t="shared" si="38"/>
        <v/>
      </c>
      <c r="H747" s="723"/>
      <c r="I747" s="723"/>
      <c r="J747" s="723"/>
      <c r="K747" s="723"/>
      <c r="L747" s="723"/>
      <c r="M747" s="723"/>
      <c r="N747" s="723"/>
      <c r="T747" s="718"/>
    </row>
    <row r="748" spans="1:20" ht="12" customHeight="1">
      <c r="A748" s="726"/>
      <c r="B748" s="725"/>
      <c r="C748" s="724"/>
      <c r="D748" s="723"/>
      <c r="E748" s="723"/>
      <c r="F748" s="723"/>
      <c r="G748" s="723" t="str">
        <f t="shared" si="38"/>
        <v/>
      </c>
      <c r="H748" s="723"/>
      <c r="I748" s="723"/>
      <c r="J748" s="723"/>
      <c r="K748" s="723"/>
      <c r="L748" s="723"/>
      <c r="M748" s="723"/>
      <c r="N748" s="723"/>
      <c r="T748" s="718"/>
    </row>
    <row r="749" spans="1:20" ht="12" customHeight="1">
      <c r="A749" s="726"/>
      <c r="B749" s="725"/>
      <c r="C749" s="724"/>
      <c r="D749" s="723"/>
      <c r="E749" s="723"/>
      <c r="F749" s="723"/>
      <c r="G749" s="723" t="str">
        <f t="shared" si="38"/>
        <v/>
      </c>
      <c r="H749" s="723"/>
      <c r="I749" s="723"/>
      <c r="J749" s="723"/>
      <c r="K749" s="723"/>
      <c r="L749" s="723"/>
      <c r="M749" s="723"/>
      <c r="N749" s="723"/>
      <c r="T749" s="718"/>
    </row>
    <row r="750" spans="1:20" ht="12" customHeight="1">
      <c r="A750" s="726"/>
      <c r="B750" s="725"/>
      <c r="C750" s="724"/>
      <c r="D750" s="723"/>
      <c r="E750" s="723"/>
      <c r="F750" s="723"/>
      <c r="G750" s="723" t="str">
        <f t="shared" si="38"/>
        <v/>
      </c>
      <c r="H750" s="723"/>
      <c r="I750" s="723"/>
      <c r="J750" s="723"/>
      <c r="K750" s="723"/>
      <c r="L750" s="723"/>
      <c r="M750" s="723"/>
      <c r="N750" s="723"/>
      <c r="T750" s="718"/>
    </row>
    <row r="751" spans="1:20" ht="12" customHeight="1">
      <c r="A751" s="728"/>
      <c r="B751" s="727" t="str">
        <f>H522</f>
        <v>juni</v>
      </c>
      <c r="C751" s="727"/>
      <c r="D751" s="727" t="s">
        <v>709</v>
      </c>
      <c r="E751" s="727" t="s">
        <v>284</v>
      </c>
      <c r="F751" s="727" t="s">
        <v>286</v>
      </c>
      <c r="G751" s="727" t="s">
        <v>15</v>
      </c>
      <c r="H751" s="727" t="s">
        <v>384</v>
      </c>
      <c r="I751" s="727" t="s">
        <v>14</v>
      </c>
      <c r="J751" s="727"/>
      <c r="K751" s="727"/>
      <c r="L751" s="727"/>
      <c r="M751" s="727"/>
      <c r="N751" s="727"/>
      <c r="T751" s="718"/>
    </row>
    <row r="752" spans="1:20" ht="12" customHeight="1">
      <c r="A752" s="726"/>
      <c r="B752" s="725"/>
      <c r="C752" s="724"/>
      <c r="D752" s="723"/>
      <c r="E752" s="723"/>
      <c r="F752" s="723"/>
      <c r="G752" s="723" t="str">
        <f t="shared" ref="G752:G783" si="39">IF($D752&gt;0,$D752-$E752-$F752-$H752-$I752,"")</f>
        <v/>
      </c>
      <c r="H752" s="723"/>
      <c r="I752" s="723"/>
      <c r="J752" s="723"/>
      <c r="K752" s="723"/>
      <c r="L752" s="723"/>
      <c r="M752" s="723"/>
      <c r="N752" s="723"/>
      <c r="T752" s="718"/>
    </row>
    <row r="753" spans="1:20" ht="12" customHeight="1">
      <c r="A753" s="726"/>
      <c r="B753" s="725"/>
      <c r="C753" s="724"/>
      <c r="D753" s="723"/>
      <c r="E753" s="723"/>
      <c r="F753" s="723"/>
      <c r="G753" s="723" t="str">
        <f t="shared" si="39"/>
        <v/>
      </c>
      <c r="H753" s="723"/>
      <c r="I753" s="723"/>
      <c r="J753" s="723"/>
      <c r="K753" s="723"/>
      <c r="L753" s="723"/>
      <c r="M753" s="723"/>
      <c r="N753" s="723"/>
      <c r="T753" s="718"/>
    </row>
    <row r="754" spans="1:20" ht="12" customHeight="1">
      <c r="A754" s="726"/>
      <c r="B754" s="725"/>
      <c r="C754" s="724"/>
      <c r="D754" s="723"/>
      <c r="E754" s="723"/>
      <c r="F754" s="723"/>
      <c r="G754" s="723" t="str">
        <f t="shared" si="39"/>
        <v/>
      </c>
      <c r="H754" s="723"/>
      <c r="I754" s="723"/>
      <c r="J754" s="723"/>
      <c r="K754" s="723"/>
      <c r="L754" s="723"/>
      <c r="M754" s="723"/>
      <c r="N754" s="723"/>
      <c r="T754" s="718"/>
    </row>
    <row r="755" spans="1:20" ht="12" customHeight="1">
      <c r="A755" s="726"/>
      <c r="B755" s="725"/>
      <c r="C755" s="724"/>
      <c r="D755" s="723"/>
      <c r="E755" s="723"/>
      <c r="F755" s="723"/>
      <c r="G755" s="723" t="str">
        <f t="shared" si="39"/>
        <v/>
      </c>
      <c r="H755" s="723"/>
      <c r="I755" s="723"/>
      <c r="J755" s="723"/>
      <c r="K755" s="723"/>
      <c r="L755" s="723"/>
      <c r="M755" s="723"/>
      <c r="N755" s="723"/>
      <c r="T755" s="718"/>
    </row>
    <row r="756" spans="1:20" ht="12" customHeight="1">
      <c r="A756" s="726"/>
      <c r="B756" s="725"/>
      <c r="C756" s="724"/>
      <c r="D756" s="723"/>
      <c r="E756" s="723"/>
      <c r="F756" s="723"/>
      <c r="G756" s="723" t="str">
        <f t="shared" si="39"/>
        <v/>
      </c>
      <c r="H756" s="723"/>
      <c r="I756" s="723"/>
      <c r="J756" s="723"/>
      <c r="K756" s="723"/>
      <c r="L756" s="723"/>
      <c r="M756" s="723"/>
      <c r="N756" s="723"/>
      <c r="T756" s="718"/>
    </row>
    <row r="757" spans="1:20" ht="12" customHeight="1">
      <c r="A757" s="726"/>
      <c r="B757" s="725"/>
      <c r="C757" s="724"/>
      <c r="D757" s="723"/>
      <c r="E757" s="723"/>
      <c r="F757" s="723"/>
      <c r="G757" s="723" t="str">
        <f t="shared" si="39"/>
        <v/>
      </c>
      <c r="H757" s="723"/>
      <c r="I757" s="723"/>
      <c r="J757" s="723"/>
      <c r="K757" s="723"/>
      <c r="L757" s="723"/>
      <c r="M757" s="723"/>
      <c r="N757" s="723"/>
      <c r="T757" s="718"/>
    </row>
    <row r="758" spans="1:20" ht="12" customHeight="1">
      <c r="A758" s="726"/>
      <c r="B758" s="725"/>
      <c r="C758" s="724"/>
      <c r="D758" s="723"/>
      <c r="E758" s="723"/>
      <c r="F758" s="723"/>
      <c r="G758" s="723" t="str">
        <f t="shared" si="39"/>
        <v/>
      </c>
      <c r="H758" s="723"/>
      <c r="I758" s="723"/>
      <c r="J758" s="723"/>
      <c r="K758" s="723"/>
      <c r="L758" s="723"/>
      <c r="M758" s="723"/>
      <c r="N758" s="723"/>
      <c r="T758" s="718"/>
    </row>
    <row r="759" spans="1:20" ht="12" customHeight="1">
      <c r="A759" s="726"/>
      <c r="B759" s="725"/>
      <c r="C759" s="724"/>
      <c r="D759" s="723"/>
      <c r="E759" s="723"/>
      <c r="F759" s="723"/>
      <c r="G759" s="723" t="str">
        <f t="shared" si="39"/>
        <v/>
      </c>
      <c r="H759" s="723"/>
      <c r="I759" s="723"/>
      <c r="J759" s="723"/>
      <c r="K759" s="723"/>
      <c r="L759" s="723"/>
      <c r="M759" s="723"/>
      <c r="N759" s="723"/>
      <c r="T759" s="718"/>
    </row>
    <row r="760" spans="1:20" ht="12" customHeight="1">
      <c r="A760" s="726"/>
      <c r="B760" s="725"/>
      <c r="C760" s="724"/>
      <c r="D760" s="723"/>
      <c r="E760" s="723"/>
      <c r="F760" s="723"/>
      <c r="G760" s="723" t="str">
        <f t="shared" si="39"/>
        <v/>
      </c>
      <c r="H760" s="723"/>
      <c r="I760" s="723"/>
      <c r="J760" s="723"/>
      <c r="K760" s="723"/>
      <c r="L760" s="723"/>
      <c r="M760" s="723"/>
      <c r="N760" s="723"/>
      <c r="T760" s="718"/>
    </row>
    <row r="761" spans="1:20" ht="12" customHeight="1">
      <c r="A761" s="726"/>
      <c r="B761" s="725"/>
      <c r="C761" s="724"/>
      <c r="D761" s="723"/>
      <c r="E761" s="723"/>
      <c r="F761" s="723"/>
      <c r="G761" s="723" t="str">
        <f t="shared" si="39"/>
        <v/>
      </c>
      <c r="H761" s="723"/>
      <c r="I761" s="723"/>
      <c r="J761" s="723"/>
      <c r="K761" s="723"/>
      <c r="L761" s="723"/>
      <c r="M761" s="723"/>
      <c r="N761" s="723"/>
      <c r="T761" s="718"/>
    </row>
    <row r="762" spans="1:20" ht="12" customHeight="1">
      <c r="A762" s="726"/>
      <c r="B762" s="725"/>
      <c r="C762" s="724"/>
      <c r="D762" s="723"/>
      <c r="E762" s="723"/>
      <c r="F762" s="723"/>
      <c r="G762" s="723" t="str">
        <f t="shared" si="39"/>
        <v/>
      </c>
      <c r="H762" s="723"/>
      <c r="I762" s="723"/>
      <c r="J762" s="723"/>
      <c r="K762" s="723"/>
      <c r="L762" s="723"/>
      <c r="M762" s="723"/>
      <c r="N762" s="723"/>
      <c r="T762" s="718"/>
    </row>
    <row r="763" spans="1:20" ht="12" customHeight="1">
      <c r="A763" s="726"/>
      <c r="B763" s="725"/>
      <c r="C763" s="724"/>
      <c r="D763" s="723"/>
      <c r="E763" s="723"/>
      <c r="F763" s="723"/>
      <c r="G763" s="723" t="str">
        <f t="shared" si="39"/>
        <v/>
      </c>
      <c r="H763" s="723"/>
      <c r="I763" s="723"/>
      <c r="J763" s="723"/>
      <c r="K763" s="723"/>
      <c r="L763" s="723"/>
      <c r="M763" s="723"/>
      <c r="N763" s="723"/>
      <c r="T763" s="718"/>
    </row>
    <row r="764" spans="1:20" ht="12" customHeight="1">
      <c r="A764" s="726"/>
      <c r="B764" s="725"/>
      <c r="C764" s="724"/>
      <c r="D764" s="723"/>
      <c r="E764" s="723"/>
      <c r="F764" s="723"/>
      <c r="G764" s="723" t="str">
        <f t="shared" si="39"/>
        <v/>
      </c>
      <c r="H764" s="723"/>
      <c r="I764" s="723"/>
      <c r="J764" s="723"/>
      <c r="K764" s="723"/>
      <c r="L764" s="723"/>
      <c r="M764" s="723"/>
      <c r="N764" s="723"/>
      <c r="T764" s="718"/>
    </row>
    <row r="765" spans="1:20" ht="12" customHeight="1">
      <c r="A765" s="726"/>
      <c r="B765" s="725"/>
      <c r="C765" s="724"/>
      <c r="D765" s="723"/>
      <c r="E765" s="723"/>
      <c r="F765" s="723"/>
      <c r="G765" s="723" t="str">
        <f t="shared" si="39"/>
        <v/>
      </c>
      <c r="H765" s="723"/>
      <c r="I765" s="723"/>
      <c r="J765" s="723"/>
      <c r="K765" s="723"/>
      <c r="L765" s="723"/>
      <c r="M765" s="723"/>
      <c r="N765" s="723"/>
      <c r="T765" s="718"/>
    </row>
    <row r="766" spans="1:20" ht="12" customHeight="1">
      <c r="A766" s="726"/>
      <c r="B766" s="725"/>
      <c r="C766" s="724"/>
      <c r="D766" s="723"/>
      <c r="E766" s="723"/>
      <c r="F766" s="723"/>
      <c r="G766" s="723" t="str">
        <f t="shared" si="39"/>
        <v/>
      </c>
      <c r="H766" s="723"/>
      <c r="I766" s="723"/>
      <c r="J766" s="723"/>
      <c r="K766" s="723"/>
      <c r="L766" s="723"/>
      <c r="M766" s="723"/>
      <c r="N766" s="723"/>
      <c r="T766" s="718"/>
    </row>
    <row r="767" spans="1:20" ht="12" customHeight="1">
      <c r="A767" s="726"/>
      <c r="B767" s="725"/>
      <c r="C767" s="724"/>
      <c r="D767" s="723"/>
      <c r="E767" s="723"/>
      <c r="F767" s="723"/>
      <c r="G767" s="723" t="str">
        <f t="shared" si="39"/>
        <v/>
      </c>
      <c r="H767" s="723"/>
      <c r="I767" s="723"/>
      <c r="J767" s="723"/>
      <c r="K767" s="723"/>
      <c r="L767" s="723"/>
      <c r="M767" s="723"/>
      <c r="N767" s="723"/>
      <c r="T767" s="718"/>
    </row>
    <row r="768" spans="1:20" ht="12" customHeight="1">
      <c r="A768" s="726"/>
      <c r="B768" s="725"/>
      <c r="C768" s="724"/>
      <c r="D768" s="723"/>
      <c r="E768" s="723"/>
      <c r="F768" s="723"/>
      <c r="G768" s="723" t="str">
        <f t="shared" si="39"/>
        <v/>
      </c>
      <c r="H768" s="723"/>
      <c r="I768" s="723"/>
      <c r="J768" s="723"/>
      <c r="K768" s="723"/>
      <c r="L768" s="723"/>
      <c r="M768" s="723"/>
      <c r="N768" s="723"/>
      <c r="T768" s="718"/>
    </row>
    <row r="769" spans="1:20" ht="12" customHeight="1">
      <c r="A769" s="726"/>
      <c r="B769" s="725"/>
      <c r="C769" s="724"/>
      <c r="D769" s="723"/>
      <c r="E769" s="723"/>
      <c r="F769" s="723"/>
      <c r="G769" s="723" t="str">
        <f t="shared" si="39"/>
        <v/>
      </c>
      <c r="H769" s="723"/>
      <c r="I769" s="723"/>
      <c r="J769" s="723"/>
      <c r="K769" s="723"/>
      <c r="L769" s="723"/>
      <c r="M769" s="723"/>
      <c r="N769" s="723"/>
      <c r="T769" s="718"/>
    </row>
    <row r="770" spans="1:20" ht="12" customHeight="1">
      <c r="A770" s="726"/>
      <c r="B770" s="725"/>
      <c r="C770" s="724"/>
      <c r="D770" s="723"/>
      <c r="E770" s="723"/>
      <c r="F770" s="723"/>
      <c r="G770" s="723" t="str">
        <f t="shared" si="39"/>
        <v/>
      </c>
      <c r="H770" s="723"/>
      <c r="I770" s="723"/>
      <c r="J770" s="723"/>
      <c r="K770" s="723"/>
      <c r="L770" s="723"/>
      <c r="M770" s="723"/>
      <c r="N770" s="723"/>
      <c r="T770" s="718"/>
    </row>
    <row r="771" spans="1:20" ht="12" customHeight="1">
      <c r="A771" s="726"/>
      <c r="B771" s="725"/>
      <c r="C771" s="724"/>
      <c r="D771" s="723"/>
      <c r="E771" s="723"/>
      <c r="F771" s="723"/>
      <c r="G771" s="723" t="str">
        <f t="shared" si="39"/>
        <v/>
      </c>
      <c r="H771" s="723"/>
      <c r="I771" s="723"/>
      <c r="J771" s="723"/>
      <c r="K771" s="723"/>
      <c r="L771" s="723"/>
      <c r="M771" s="723"/>
      <c r="N771" s="723"/>
      <c r="T771" s="718"/>
    </row>
    <row r="772" spans="1:20" ht="12" customHeight="1">
      <c r="A772" s="726"/>
      <c r="B772" s="725"/>
      <c r="C772" s="724"/>
      <c r="D772" s="723"/>
      <c r="E772" s="723"/>
      <c r="F772" s="723"/>
      <c r="G772" s="723" t="str">
        <f t="shared" si="39"/>
        <v/>
      </c>
      <c r="H772" s="723"/>
      <c r="I772" s="723"/>
      <c r="J772" s="723"/>
      <c r="K772" s="723"/>
      <c r="L772" s="723"/>
      <c r="M772" s="723"/>
      <c r="N772" s="723"/>
      <c r="T772" s="718"/>
    </row>
    <row r="773" spans="1:20" ht="12" customHeight="1">
      <c r="A773" s="726"/>
      <c r="B773" s="725"/>
      <c r="C773" s="724"/>
      <c r="D773" s="723"/>
      <c r="E773" s="723"/>
      <c r="F773" s="723"/>
      <c r="G773" s="723" t="str">
        <f t="shared" si="39"/>
        <v/>
      </c>
      <c r="H773" s="723"/>
      <c r="I773" s="723"/>
      <c r="J773" s="723"/>
      <c r="K773" s="723"/>
      <c r="L773" s="723"/>
      <c r="M773" s="723"/>
      <c r="N773" s="723"/>
      <c r="T773" s="718"/>
    </row>
    <row r="774" spans="1:20" ht="12" customHeight="1">
      <c r="A774" s="726"/>
      <c r="B774" s="725"/>
      <c r="C774" s="724"/>
      <c r="D774" s="723"/>
      <c r="E774" s="723"/>
      <c r="F774" s="723"/>
      <c r="G774" s="723" t="str">
        <f t="shared" si="39"/>
        <v/>
      </c>
      <c r="H774" s="723"/>
      <c r="I774" s="723"/>
      <c r="J774" s="723"/>
      <c r="K774" s="723"/>
      <c r="L774" s="723"/>
      <c r="M774" s="723"/>
      <c r="N774" s="723"/>
      <c r="T774" s="718"/>
    </row>
    <row r="775" spans="1:20" ht="12" customHeight="1">
      <c r="A775" s="726"/>
      <c r="B775" s="725"/>
      <c r="C775" s="724"/>
      <c r="D775" s="723"/>
      <c r="E775" s="723"/>
      <c r="F775" s="723"/>
      <c r="G775" s="723" t="str">
        <f t="shared" si="39"/>
        <v/>
      </c>
      <c r="H775" s="723"/>
      <c r="I775" s="723"/>
      <c r="J775" s="723"/>
      <c r="K775" s="723"/>
      <c r="L775" s="723"/>
      <c r="M775" s="723"/>
      <c r="N775" s="723"/>
      <c r="T775" s="718"/>
    </row>
    <row r="776" spans="1:20" ht="12" customHeight="1">
      <c r="A776" s="726"/>
      <c r="B776" s="725"/>
      <c r="C776" s="724"/>
      <c r="D776" s="723"/>
      <c r="E776" s="723"/>
      <c r="F776" s="723"/>
      <c r="G776" s="723" t="str">
        <f t="shared" si="39"/>
        <v/>
      </c>
      <c r="H776" s="723"/>
      <c r="I776" s="723"/>
      <c r="J776" s="723"/>
      <c r="K776" s="723"/>
      <c r="L776" s="723"/>
      <c r="M776" s="723"/>
      <c r="N776" s="723"/>
      <c r="T776" s="718"/>
    </row>
    <row r="777" spans="1:20" ht="12" customHeight="1">
      <c r="A777" s="726"/>
      <c r="B777" s="725"/>
      <c r="C777" s="724"/>
      <c r="D777" s="723"/>
      <c r="E777" s="723"/>
      <c r="F777" s="723"/>
      <c r="G777" s="723" t="str">
        <f t="shared" si="39"/>
        <v/>
      </c>
      <c r="H777" s="723"/>
      <c r="I777" s="723"/>
      <c r="J777" s="723"/>
      <c r="K777" s="723"/>
      <c r="L777" s="723"/>
      <c r="M777" s="723"/>
      <c r="N777" s="723"/>
      <c r="T777" s="718"/>
    </row>
    <row r="778" spans="1:20" ht="12" customHeight="1">
      <c r="A778" s="726"/>
      <c r="B778" s="725"/>
      <c r="C778" s="724"/>
      <c r="D778" s="723"/>
      <c r="E778" s="723"/>
      <c r="F778" s="723"/>
      <c r="G778" s="723" t="str">
        <f t="shared" si="39"/>
        <v/>
      </c>
      <c r="H778" s="723"/>
      <c r="I778" s="723"/>
      <c r="J778" s="723"/>
      <c r="K778" s="723"/>
      <c r="L778" s="723"/>
      <c r="M778" s="723"/>
      <c r="N778" s="723"/>
      <c r="T778" s="718"/>
    </row>
    <row r="779" spans="1:20" ht="12" customHeight="1">
      <c r="A779" s="726"/>
      <c r="B779" s="725"/>
      <c r="C779" s="724"/>
      <c r="D779" s="723"/>
      <c r="E779" s="723"/>
      <c r="F779" s="723"/>
      <c r="G779" s="723" t="str">
        <f t="shared" si="39"/>
        <v/>
      </c>
      <c r="H779" s="723"/>
      <c r="I779" s="723"/>
      <c r="J779" s="723"/>
      <c r="K779" s="723"/>
      <c r="L779" s="723"/>
      <c r="M779" s="723"/>
      <c r="N779" s="723"/>
      <c r="T779" s="718"/>
    </row>
    <row r="780" spans="1:20" ht="12" customHeight="1">
      <c r="A780" s="726"/>
      <c r="B780" s="725"/>
      <c r="C780" s="724"/>
      <c r="D780" s="723"/>
      <c r="E780" s="723"/>
      <c r="F780" s="723"/>
      <c r="G780" s="723" t="str">
        <f t="shared" si="39"/>
        <v/>
      </c>
      <c r="H780" s="723"/>
      <c r="I780" s="723"/>
      <c r="J780" s="723"/>
      <c r="K780" s="723"/>
      <c r="L780" s="723"/>
      <c r="M780" s="723"/>
      <c r="N780" s="723"/>
      <c r="T780" s="718"/>
    </row>
    <row r="781" spans="1:20" ht="12" customHeight="1">
      <c r="A781" s="726"/>
      <c r="B781" s="725"/>
      <c r="C781" s="724"/>
      <c r="D781" s="723"/>
      <c r="E781" s="723"/>
      <c r="F781" s="723"/>
      <c r="G781" s="723" t="str">
        <f t="shared" si="39"/>
        <v/>
      </c>
      <c r="H781" s="723"/>
      <c r="I781" s="723"/>
      <c r="J781" s="723"/>
      <c r="K781" s="723"/>
      <c r="L781" s="723"/>
      <c r="M781" s="723"/>
      <c r="N781" s="723"/>
      <c r="T781" s="718"/>
    </row>
    <row r="782" spans="1:20" ht="12" customHeight="1">
      <c r="A782" s="726"/>
      <c r="B782" s="725"/>
      <c r="C782" s="724"/>
      <c r="D782" s="723"/>
      <c r="E782" s="723"/>
      <c r="F782" s="723"/>
      <c r="G782" s="723" t="str">
        <f t="shared" si="39"/>
        <v/>
      </c>
      <c r="H782" s="723"/>
      <c r="I782" s="723"/>
      <c r="J782" s="723"/>
      <c r="K782" s="723"/>
      <c r="L782" s="723"/>
      <c r="M782" s="723"/>
      <c r="N782" s="723"/>
      <c r="T782" s="718"/>
    </row>
    <row r="783" spans="1:20" ht="12" customHeight="1">
      <c r="A783" s="726"/>
      <c r="B783" s="725"/>
      <c r="C783" s="724"/>
      <c r="D783" s="723"/>
      <c r="E783" s="723"/>
      <c r="F783" s="723"/>
      <c r="G783" s="723" t="str">
        <f t="shared" si="39"/>
        <v/>
      </c>
      <c r="H783" s="723"/>
      <c r="I783" s="723"/>
      <c r="J783" s="723"/>
      <c r="K783" s="723"/>
      <c r="L783" s="723"/>
      <c r="M783" s="723"/>
      <c r="N783" s="723"/>
      <c r="T783" s="718"/>
    </row>
    <row r="784" spans="1:20" ht="12" customHeight="1">
      <c r="A784" s="726"/>
      <c r="B784" s="725"/>
      <c r="C784" s="724"/>
      <c r="D784" s="723"/>
      <c r="E784" s="723"/>
      <c r="F784" s="723"/>
      <c r="G784" s="723" t="str">
        <f t="shared" ref="G784:G800" si="40">IF($D784&gt;0,$D784-$E784-$F784-$H784-$I784,"")</f>
        <v/>
      </c>
      <c r="H784" s="723"/>
      <c r="I784" s="723"/>
      <c r="J784" s="723"/>
      <c r="K784" s="723"/>
      <c r="L784" s="723"/>
      <c r="M784" s="723"/>
      <c r="N784" s="723"/>
      <c r="T784" s="718"/>
    </row>
    <row r="785" spans="1:20" ht="12" customHeight="1">
      <c r="A785" s="726"/>
      <c r="B785" s="725"/>
      <c r="C785" s="724"/>
      <c r="D785" s="723"/>
      <c r="E785" s="723"/>
      <c r="F785" s="723"/>
      <c r="G785" s="723" t="str">
        <f t="shared" si="40"/>
        <v/>
      </c>
      <c r="H785" s="723"/>
      <c r="I785" s="723"/>
      <c r="J785" s="723"/>
      <c r="K785" s="723"/>
      <c r="L785" s="723"/>
      <c r="M785" s="723"/>
      <c r="N785" s="723"/>
      <c r="T785" s="718"/>
    </row>
    <row r="786" spans="1:20" ht="12" customHeight="1">
      <c r="A786" s="726"/>
      <c r="B786" s="725"/>
      <c r="C786" s="724"/>
      <c r="D786" s="723"/>
      <c r="E786" s="723"/>
      <c r="F786" s="723"/>
      <c r="G786" s="723" t="str">
        <f t="shared" si="40"/>
        <v/>
      </c>
      <c r="H786" s="723"/>
      <c r="I786" s="723"/>
      <c r="J786" s="723"/>
      <c r="K786" s="723"/>
      <c r="L786" s="723"/>
      <c r="M786" s="723"/>
      <c r="N786" s="723"/>
      <c r="T786" s="718"/>
    </row>
    <row r="787" spans="1:20" ht="12" customHeight="1">
      <c r="A787" s="726"/>
      <c r="B787" s="725"/>
      <c r="C787" s="724"/>
      <c r="D787" s="723"/>
      <c r="E787" s="723"/>
      <c r="F787" s="723"/>
      <c r="G787" s="723" t="str">
        <f t="shared" si="40"/>
        <v/>
      </c>
      <c r="H787" s="723"/>
      <c r="I787" s="723"/>
      <c r="J787" s="723"/>
      <c r="K787" s="723"/>
      <c r="L787" s="723"/>
      <c r="M787" s="723"/>
      <c r="N787" s="723"/>
      <c r="T787" s="718"/>
    </row>
    <row r="788" spans="1:20" ht="12" customHeight="1">
      <c r="A788" s="726"/>
      <c r="B788" s="725"/>
      <c r="C788" s="724"/>
      <c r="D788" s="723"/>
      <c r="E788" s="723"/>
      <c r="F788" s="723"/>
      <c r="G788" s="723" t="str">
        <f t="shared" si="40"/>
        <v/>
      </c>
      <c r="H788" s="723"/>
      <c r="I788" s="723"/>
      <c r="J788" s="723"/>
      <c r="K788" s="723"/>
      <c r="L788" s="723"/>
      <c r="M788" s="723"/>
      <c r="N788" s="723"/>
      <c r="T788" s="718"/>
    </row>
    <row r="789" spans="1:20" ht="12" customHeight="1">
      <c r="A789" s="726"/>
      <c r="B789" s="725"/>
      <c r="C789" s="724"/>
      <c r="D789" s="723"/>
      <c r="E789" s="723"/>
      <c r="F789" s="723"/>
      <c r="G789" s="723" t="str">
        <f t="shared" si="40"/>
        <v/>
      </c>
      <c r="H789" s="723"/>
      <c r="I789" s="723"/>
      <c r="J789" s="723"/>
      <c r="K789" s="723"/>
      <c r="L789" s="723"/>
      <c r="M789" s="723"/>
      <c r="N789" s="723"/>
      <c r="T789" s="718"/>
    </row>
    <row r="790" spans="1:20" ht="12" customHeight="1">
      <c r="A790" s="726"/>
      <c r="B790" s="725"/>
      <c r="C790" s="724"/>
      <c r="D790" s="723"/>
      <c r="E790" s="723"/>
      <c r="F790" s="723"/>
      <c r="G790" s="723" t="str">
        <f t="shared" si="40"/>
        <v/>
      </c>
      <c r="H790" s="723"/>
      <c r="I790" s="723"/>
      <c r="J790" s="723"/>
      <c r="K790" s="723"/>
      <c r="L790" s="723"/>
      <c r="M790" s="723"/>
      <c r="N790" s="723"/>
      <c r="T790" s="718"/>
    </row>
    <row r="791" spans="1:20" ht="12" customHeight="1">
      <c r="A791" s="726"/>
      <c r="B791" s="725"/>
      <c r="C791" s="724"/>
      <c r="D791" s="723"/>
      <c r="E791" s="723"/>
      <c r="F791" s="723"/>
      <c r="G791" s="723" t="str">
        <f t="shared" si="40"/>
        <v/>
      </c>
      <c r="H791" s="723"/>
      <c r="I791" s="723"/>
      <c r="J791" s="723"/>
      <c r="K791" s="723"/>
      <c r="L791" s="723"/>
      <c r="M791" s="723"/>
      <c r="N791" s="723"/>
      <c r="T791" s="718"/>
    </row>
    <row r="792" spans="1:20" ht="12" customHeight="1">
      <c r="A792" s="726"/>
      <c r="B792" s="725"/>
      <c r="C792" s="724"/>
      <c r="D792" s="723"/>
      <c r="E792" s="723"/>
      <c r="F792" s="723"/>
      <c r="G792" s="723" t="str">
        <f t="shared" si="40"/>
        <v/>
      </c>
      <c r="H792" s="723"/>
      <c r="I792" s="723"/>
      <c r="J792" s="723"/>
      <c r="K792" s="723"/>
      <c r="L792" s="723"/>
      <c r="M792" s="723"/>
      <c r="N792" s="723"/>
      <c r="T792" s="718"/>
    </row>
    <row r="793" spans="1:20" ht="12" customHeight="1">
      <c r="A793" s="726"/>
      <c r="B793" s="725"/>
      <c r="C793" s="724"/>
      <c r="D793" s="723"/>
      <c r="E793" s="723"/>
      <c r="F793" s="723"/>
      <c r="G793" s="723" t="str">
        <f t="shared" si="40"/>
        <v/>
      </c>
      <c r="H793" s="723"/>
      <c r="I793" s="723"/>
      <c r="J793" s="723"/>
      <c r="K793" s="723"/>
      <c r="L793" s="723"/>
      <c r="M793" s="723"/>
      <c r="N793" s="723"/>
      <c r="T793" s="718"/>
    </row>
    <row r="794" spans="1:20" ht="12" customHeight="1">
      <c r="A794" s="726"/>
      <c r="B794" s="725"/>
      <c r="C794" s="724"/>
      <c r="D794" s="723"/>
      <c r="E794" s="723"/>
      <c r="F794" s="723"/>
      <c r="G794" s="723" t="str">
        <f t="shared" si="40"/>
        <v/>
      </c>
      <c r="H794" s="723"/>
      <c r="I794" s="723"/>
      <c r="J794" s="723"/>
      <c r="K794" s="723"/>
      <c r="L794" s="723"/>
      <c r="M794" s="723"/>
      <c r="N794" s="723"/>
      <c r="T794" s="718"/>
    </row>
    <row r="795" spans="1:20" ht="12" customHeight="1">
      <c r="A795" s="726"/>
      <c r="B795" s="725"/>
      <c r="C795" s="724"/>
      <c r="D795" s="723"/>
      <c r="E795" s="723"/>
      <c r="F795" s="723"/>
      <c r="G795" s="723" t="str">
        <f t="shared" si="40"/>
        <v/>
      </c>
      <c r="H795" s="723"/>
      <c r="I795" s="723"/>
      <c r="J795" s="723"/>
      <c r="K795" s="723"/>
      <c r="L795" s="723"/>
      <c r="M795" s="723"/>
      <c r="N795" s="723"/>
      <c r="T795" s="718"/>
    </row>
    <row r="796" spans="1:20" ht="12" customHeight="1">
      <c r="A796" s="726"/>
      <c r="B796" s="725"/>
      <c r="C796" s="724"/>
      <c r="D796" s="723"/>
      <c r="E796" s="723"/>
      <c r="F796" s="723"/>
      <c r="G796" s="723" t="str">
        <f t="shared" si="40"/>
        <v/>
      </c>
      <c r="H796" s="723"/>
      <c r="I796" s="723"/>
      <c r="J796" s="723"/>
      <c r="K796" s="723"/>
      <c r="L796" s="723"/>
      <c r="M796" s="723"/>
      <c r="N796" s="723"/>
      <c r="T796" s="718"/>
    </row>
    <row r="797" spans="1:20" ht="12" customHeight="1">
      <c r="A797" s="726"/>
      <c r="B797" s="725"/>
      <c r="C797" s="724"/>
      <c r="D797" s="723"/>
      <c r="E797" s="723"/>
      <c r="F797" s="723"/>
      <c r="G797" s="723" t="str">
        <f t="shared" si="40"/>
        <v/>
      </c>
      <c r="H797" s="723"/>
      <c r="I797" s="723"/>
      <c r="J797" s="723"/>
      <c r="K797" s="723"/>
      <c r="L797" s="723"/>
      <c r="M797" s="723"/>
      <c r="N797" s="723"/>
      <c r="T797" s="718"/>
    </row>
    <row r="798" spans="1:20" ht="12" customHeight="1">
      <c r="A798" s="726"/>
      <c r="B798" s="725"/>
      <c r="C798" s="724"/>
      <c r="D798" s="723"/>
      <c r="E798" s="723"/>
      <c r="F798" s="723"/>
      <c r="G798" s="723" t="str">
        <f t="shared" si="40"/>
        <v/>
      </c>
      <c r="H798" s="723"/>
      <c r="I798" s="723"/>
      <c r="J798" s="723"/>
      <c r="K798" s="723"/>
      <c r="L798" s="723"/>
      <c r="M798" s="723"/>
      <c r="N798" s="723"/>
      <c r="T798" s="718"/>
    </row>
    <row r="799" spans="1:20" ht="12" customHeight="1">
      <c r="A799" s="726"/>
      <c r="B799" s="725"/>
      <c r="C799" s="724"/>
      <c r="D799" s="723"/>
      <c r="E799" s="723"/>
      <c r="F799" s="723"/>
      <c r="G799" s="723" t="str">
        <f t="shared" si="40"/>
        <v/>
      </c>
      <c r="H799" s="723"/>
      <c r="I799" s="723"/>
      <c r="J799" s="723"/>
      <c r="K799" s="723"/>
      <c r="L799" s="723"/>
      <c r="M799" s="723"/>
      <c r="N799" s="723"/>
      <c r="T799" s="718"/>
    </row>
    <row r="800" spans="1:20" ht="12" customHeight="1">
      <c r="A800" s="726"/>
      <c r="B800" s="725"/>
      <c r="C800" s="724"/>
      <c r="D800" s="723"/>
      <c r="E800" s="723"/>
      <c r="F800" s="723"/>
      <c r="G800" s="723" t="str">
        <f t="shared" si="40"/>
        <v/>
      </c>
      <c r="H800" s="723"/>
      <c r="I800" s="723"/>
      <c r="J800" s="723"/>
      <c r="K800" s="723"/>
      <c r="L800" s="723"/>
      <c r="M800" s="723"/>
      <c r="N800" s="723"/>
      <c r="T800" s="718"/>
    </row>
    <row r="801" spans="1:20" ht="12" customHeight="1">
      <c r="A801" s="728"/>
      <c r="B801" s="727" t="str">
        <f>I522</f>
        <v>juli</v>
      </c>
      <c r="C801" s="727"/>
      <c r="D801" s="727" t="s">
        <v>709</v>
      </c>
      <c r="E801" s="727" t="s">
        <v>284</v>
      </c>
      <c r="F801" s="727" t="s">
        <v>286</v>
      </c>
      <c r="G801" s="727" t="s">
        <v>15</v>
      </c>
      <c r="H801" s="727" t="s">
        <v>384</v>
      </c>
      <c r="I801" s="727" t="s">
        <v>14</v>
      </c>
      <c r="J801" s="727"/>
      <c r="K801" s="727"/>
      <c r="L801" s="727"/>
      <c r="M801" s="727"/>
      <c r="N801" s="727"/>
      <c r="T801" s="718"/>
    </row>
    <row r="802" spans="1:20" ht="12" customHeight="1">
      <c r="A802" s="726"/>
      <c r="B802" s="725"/>
      <c r="C802" s="724"/>
      <c r="D802" s="723"/>
      <c r="E802" s="723"/>
      <c r="F802" s="723"/>
      <c r="G802" s="723" t="str">
        <f t="shared" ref="G802:G833" si="41">IF($D802&gt;0,$D802-$E802-$F802-$H802-$I802,"")</f>
        <v/>
      </c>
      <c r="H802" s="723"/>
      <c r="I802" s="723"/>
      <c r="J802" s="723"/>
      <c r="K802" s="723"/>
      <c r="L802" s="723"/>
      <c r="M802" s="723"/>
      <c r="N802" s="723"/>
      <c r="T802" s="718"/>
    </row>
    <row r="803" spans="1:20" ht="12" customHeight="1">
      <c r="A803" s="726"/>
      <c r="B803" s="725"/>
      <c r="C803" s="724"/>
      <c r="D803" s="723"/>
      <c r="E803" s="723"/>
      <c r="F803" s="723"/>
      <c r="G803" s="723" t="str">
        <f t="shared" si="41"/>
        <v/>
      </c>
      <c r="H803" s="723"/>
      <c r="I803" s="723"/>
      <c r="J803" s="723"/>
      <c r="K803" s="723"/>
      <c r="L803" s="723"/>
      <c r="M803" s="723"/>
      <c r="N803" s="723"/>
      <c r="T803" s="718"/>
    </row>
    <row r="804" spans="1:20" ht="12" customHeight="1">
      <c r="A804" s="726"/>
      <c r="B804" s="725"/>
      <c r="C804" s="724"/>
      <c r="D804" s="723"/>
      <c r="E804" s="723"/>
      <c r="F804" s="723"/>
      <c r="G804" s="723" t="str">
        <f t="shared" si="41"/>
        <v/>
      </c>
      <c r="H804" s="723"/>
      <c r="I804" s="723"/>
      <c r="J804" s="723"/>
      <c r="K804" s="723"/>
      <c r="L804" s="723"/>
      <c r="M804" s="723"/>
      <c r="N804" s="723"/>
      <c r="T804" s="718"/>
    </row>
    <row r="805" spans="1:20" ht="12" customHeight="1">
      <c r="A805" s="726"/>
      <c r="B805" s="725"/>
      <c r="C805" s="724"/>
      <c r="D805" s="723"/>
      <c r="E805" s="723"/>
      <c r="F805" s="723"/>
      <c r="G805" s="723" t="str">
        <f t="shared" si="41"/>
        <v/>
      </c>
      <c r="H805" s="723"/>
      <c r="I805" s="723"/>
      <c r="J805" s="723"/>
      <c r="K805" s="723"/>
      <c r="L805" s="723"/>
      <c r="M805" s="723"/>
      <c r="N805" s="723"/>
      <c r="T805" s="718"/>
    </row>
    <row r="806" spans="1:20" ht="12" customHeight="1">
      <c r="A806" s="726"/>
      <c r="B806" s="725"/>
      <c r="C806" s="724"/>
      <c r="D806" s="723"/>
      <c r="E806" s="723"/>
      <c r="F806" s="723"/>
      <c r="G806" s="723" t="str">
        <f t="shared" si="41"/>
        <v/>
      </c>
      <c r="H806" s="723"/>
      <c r="I806" s="723"/>
      <c r="J806" s="723"/>
      <c r="K806" s="723"/>
      <c r="L806" s="723"/>
      <c r="M806" s="723"/>
      <c r="N806" s="723"/>
      <c r="T806" s="718"/>
    </row>
    <row r="807" spans="1:20" ht="12" customHeight="1">
      <c r="A807" s="726"/>
      <c r="B807" s="725"/>
      <c r="C807" s="724"/>
      <c r="D807" s="723"/>
      <c r="E807" s="723"/>
      <c r="F807" s="723"/>
      <c r="G807" s="723" t="str">
        <f t="shared" si="41"/>
        <v/>
      </c>
      <c r="H807" s="723"/>
      <c r="I807" s="723"/>
      <c r="J807" s="723"/>
      <c r="K807" s="723"/>
      <c r="L807" s="723"/>
      <c r="M807" s="723"/>
      <c r="N807" s="723"/>
      <c r="T807" s="718"/>
    </row>
    <row r="808" spans="1:20" ht="12" customHeight="1">
      <c r="A808" s="726"/>
      <c r="B808" s="725"/>
      <c r="C808" s="724"/>
      <c r="D808" s="723"/>
      <c r="E808" s="723"/>
      <c r="F808" s="723"/>
      <c r="G808" s="723" t="str">
        <f t="shared" si="41"/>
        <v/>
      </c>
      <c r="H808" s="723"/>
      <c r="I808" s="723"/>
      <c r="J808" s="723"/>
      <c r="K808" s="723"/>
      <c r="L808" s="723"/>
      <c r="M808" s="723"/>
      <c r="N808" s="723"/>
      <c r="T808" s="718"/>
    </row>
    <row r="809" spans="1:20" ht="12" customHeight="1">
      <c r="A809" s="726"/>
      <c r="B809" s="725"/>
      <c r="C809" s="724"/>
      <c r="D809" s="723"/>
      <c r="E809" s="723"/>
      <c r="F809" s="723"/>
      <c r="G809" s="723" t="str">
        <f t="shared" si="41"/>
        <v/>
      </c>
      <c r="H809" s="723"/>
      <c r="I809" s="723"/>
      <c r="J809" s="723"/>
      <c r="K809" s="723"/>
      <c r="L809" s="723"/>
      <c r="M809" s="723"/>
      <c r="N809" s="723"/>
      <c r="T809" s="718"/>
    </row>
    <row r="810" spans="1:20" ht="12" customHeight="1">
      <c r="A810" s="726"/>
      <c r="B810" s="725"/>
      <c r="C810" s="724"/>
      <c r="D810" s="723"/>
      <c r="E810" s="723"/>
      <c r="F810" s="723"/>
      <c r="G810" s="723" t="str">
        <f t="shared" si="41"/>
        <v/>
      </c>
      <c r="H810" s="723"/>
      <c r="I810" s="723"/>
      <c r="J810" s="723"/>
      <c r="K810" s="723"/>
      <c r="L810" s="723"/>
      <c r="M810" s="723"/>
      <c r="N810" s="723"/>
      <c r="T810" s="718"/>
    </row>
    <row r="811" spans="1:20" ht="12" customHeight="1">
      <c r="A811" s="726"/>
      <c r="B811" s="725"/>
      <c r="C811" s="724"/>
      <c r="D811" s="723"/>
      <c r="E811" s="723"/>
      <c r="F811" s="723"/>
      <c r="G811" s="723" t="str">
        <f t="shared" si="41"/>
        <v/>
      </c>
      <c r="H811" s="723"/>
      <c r="I811" s="723"/>
      <c r="J811" s="723"/>
      <c r="K811" s="723"/>
      <c r="L811" s="723"/>
      <c r="M811" s="723"/>
      <c r="N811" s="723"/>
      <c r="T811" s="718"/>
    </row>
    <row r="812" spans="1:20" ht="12" customHeight="1">
      <c r="A812" s="726"/>
      <c r="B812" s="725"/>
      <c r="C812" s="724"/>
      <c r="D812" s="723"/>
      <c r="E812" s="723"/>
      <c r="F812" s="723"/>
      <c r="G812" s="723" t="str">
        <f t="shared" si="41"/>
        <v/>
      </c>
      <c r="H812" s="723"/>
      <c r="I812" s="723"/>
      <c r="J812" s="723"/>
      <c r="K812" s="723"/>
      <c r="L812" s="723"/>
      <c r="M812" s="723"/>
      <c r="N812" s="723"/>
      <c r="T812" s="718"/>
    </row>
    <row r="813" spans="1:20" ht="12" customHeight="1">
      <c r="A813" s="726"/>
      <c r="B813" s="725"/>
      <c r="C813" s="724"/>
      <c r="D813" s="723"/>
      <c r="E813" s="723"/>
      <c r="F813" s="723"/>
      <c r="G813" s="723" t="str">
        <f t="shared" si="41"/>
        <v/>
      </c>
      <c r="H813" s="723"/>
      <c r="I813" s="723"/>
      <c r="J813" s="723"/>
      <c r="K813" s="723"/>
      <c r="L813" s="723"/>
      <c r="M813" s="723"/>
      <c r="N813" s="723"/>
      <c r="T813" s="718"/>
    </row>
    <row r="814" spans="1:20" ht="12" customHeight="1">
      <c r="A814" s="726"/>
      <c r="B814" s="725"/>
      <c r="C814" s="724"/>
      <c r="D814" s="723"/>
      <c r="E814" s="723"/>
      <c r="F814" s="723"/>
      <c r="G814" s="723" t="str">
        <f t="shared" si="41"/>
        <v/>
      </c>
      <c r="H814" s="723"/>
      <c r="I814" s="723"/>
      <c r="J814" s="723"/>
      <c r="K814" s="723"/>
      <c r="L814" s="723"/>
      <c r="M814" s="723"/>
      <c r="N814" s="723"/>
      <c r="T814" s="718"/>
    </row>
    <row r="815" spans="1:20" ht="12" customHeight="1">
      <c r="A815" s="726"/>
      <c r="B815" s="725"/>
      <c r="C815" s="724"/>
      <c r="D815" s="723"/>
      <c r="E815" s="723"/>
      <c r="F815" s="723"/>
      <c r="G815" s="723" t="str">
        <f t="shared" si="41"/>
        <v/>
      </c>
      <c r="H815" s="723"/>
      <c r="I815" s="723"/>
      <c r="J815" s="723"/>
      <c r="K815" s="723"/>
      <c r="L815" s="723"/>
      <c r="M815" s="723"/>
      <c r="N815" s="723"/>
      <c r="T815" s="718"/>
    </row>
    <row r="816" spans="1:20" ht="12" customHeight="1">
      <c r="A816" s="726"/>
      <c r="B816" s="725"/>
      <c r="C816" s="724"/>
      <c r="D816" s="723"/>
      <c r="E816" s="723"/>
      <c r="F816" s="723"/>
      <c r="G816" s="723" t="str">
        <f t="shared" si="41"/>
        <v/>
      </c>
      <c r="H816" s="723"/>
      <c r="I816" s="723"/>
      <c r="J816" s="723"/>
      <c r="K816" s="723"/>
      <c r="L816" s="723"/>
      <c r="M816" s="723"/>
      <c r="N816" s="723"/>
      <c r="T816" s="718"/>
    </row>
    <row r="817" spans="1:20" ht="12" customHeight="1">
      <c r="A817" s="726"/>
      <c r="B817" s="725"/>
      <c r="C817" s="724"/>
      <c r="D817" s="723"/>
      <c r="E817" s="723"/>
      <c r="F817" s="723"/>
      <c r="G817" s="723" t="str">
        <f t="shared" si="41"/>
        <v/>
      </c>
      <c r="H817" s="723"/>
      <c r="I817" s="723"/>
      <c r="J817" s="723"/>
      <c r="K817" s="723"/>
      <c r="L817" s="723"/>
      <c r="M817" s="723"/>
      <c r="N817" s="723"/>
      <c r="T817" s="718"/>
    </row>
    <row r="818" spans="1:20" ht="12" customHeight="1">
      <c r="A818" s="726"/>
      <c r="B818" s="725"/>
      <c r="C818" s="724"/>
      <c r="D818" s="723"/>
      <c r="E818" s="723"/>
      <c r="F818" s="723"/>
      <c r="G818" s="723" t="str">
        <f t="shared" si="41"/>
        <v/>
      </c>
      <c r="H818" s="723"/>
      <c r="I818" s="723"/>
      <c r="J818" s="723"/>
      <c r="K818" s="723"/>
      <c r="L818" s="723"/>
      <c r="M818" s="723"/>
      <c r="N818" s="723"/>
      <c r="T818" s="718"/>
    </row>
    <row r="819" spans="1:20" ht="12" customHeight="1">
      <c r="A819" s="726"/>
      <c r="B819" s="725"/>
      <c r="C819" s="724"/>
      <c r="D819" s="723"/>
      <c r="E819" s="723"/>
      <c r="F819" s="723"/>
      <c r="G819" s="723" t="str">
        <f t="shared" si="41"/>
        <v/>
      </c>
      <c r="H819" s="723"/>
      <c r="I819" s="723"/>
      <c r="J819" s="723"/>
      <c r="K819" s="723"/>
      <c r="L819" s="723"/>
      <c r="M819" s="723"/>
      <c r="N819" s="723"/>
      <c r="T819" s="718"/>
    </row>
    <row r="820" spans="1:20" ht="12" customHeight="1">
      <c r="A820" s="726"/>
      <c r="B820" s="725"/>
      <c r="C820" s="724"/>
      <c r="D820" s="723"/>
      <c r="E820" s="723"/>
      <c r="F820" s="723"/>
      <c r="G820" s="723" t="str">
        <f t="shared" si="41"/>
        <v/>
      </c>
      <c r="H820" s="723"/>
      <c r="I820" s="723"/>
      <c r="J820" s="723"/>
      <c r="K820" s="723"/>
      <c r="L820" s="723"/>
      <c r="M820" s="723"/>
      <c r="N820" s="723"/>
      <c r="T820" s="718"/>
    </row>
    <row r="821" spans="1:20" ht="12" customHeight="1">
      <c r="A821" s="726"/>
      <c r="B821" s="725"/>
      <c r="C821" s="724"/>
      <c r="D821" s="723"/>
      <c r="E821" s="723"/>
      <c r="F821" s="723"/>
      <c r="G821" s="723" t="str">
        <f t="shared" si="41"/>
        <v/>
      </c>
      <c r="H821" s="723"/>
      <c r="I821" s="723"/>
      <c r="J821" s="723"/>
      <c r="K821" s="723"/>
      <c r="L821" s="723"/>
      <c r="M821" s="723"/>
      <c r="N821" s="723"/>
      <c r="T821" s="718"/>
    </row>
    <row r="822" spans="1:20" ht="12" customHeight="1">
      <c r="A822" s="726"/>
      <c r="B822" s="725"/>
      <c r="C822" s="724"/>
      <c r="D822" s="723"/>
      <c r="E822" s="723"/>
      <c r="F822" s="723"/>
      <c r="G822" s="723" t="str">
        <f t="shared" si="41"/>
        <v/>
      </c>
      <c r="H822" s="723"/>
      <c r="I822" s="723"/>
      <c r="J822" s="723"/>
      <c r="K822" s="723"/>
      <c r="L822" s="723"/>
      <c r="M822" s="723"/>
      <c r="N822" s="723"/>
      <c r="T822" s="718"/>
    </row>
    <row r="823" spans="1:20" ht="12" customHeight="1">
      <c r="A823" s="726"/>
      <c r="B823" s="725"/>
      <c r="C823" s="724"/>
      <c r="D823" s="723"/>
      <c r="E823" s="723"/>
      <c r="F823" s="723"/>
      <c r="G823" s="723" t="str">
        <f t="shared" si="41"/>
        <v/>
      </c>
      <c r="H823" s="723"/>
      <c r="I823" s="723"/>
      <c r="J823" s="723"/>
      <c r="K823" s="723"/>
      <c r="L823" s="723"/>
      <c r="M823" s="723"/>
      <c r="N823" s="723"/>
      <c r="T823" s="718"/>
    </row>
    <row r="824" spans="1:20" ht="12" customHeight="1">
      <c r="A824" s="726"/>
      <c r="B824" s="725"/>
      <c r="C824" s="724"/>
      <c r="D824" s="723"/>
      <c r="E824" s="723"/>
      <c r="F824" s="723"/>
      <c r="G824" s="723" t="str">
        <f t="shared" si="41"/>
        <v/>
      </c>
      <c r="H824" s="723"/>
      <c r="I824" s="723"/>
      <c r="J824" s="723"/>
      <c r="K824" s="723"/>
      <c r="L824" s="723"/>
      <c r="M824" s="723"/>
      <c r="N824" s="723"/>
      <c r="T824" s="718"/>
    </row>
    <row r="825" spans="1:20" ht="12" customHeight="1">
      <c r="A825" s="726"/>
      <c r="B825" s="725"/>
      <c r="C825" s="724"/>
      <c r="D825" s="723"/>
      <c r="E825" s="723"/>
      <c r="F825" s="723"/>
      <c r="G825" s="723" t="str">
        <f t="shared" si="41"/>
        <v/>
      </c>
      <c r="H825" s="723"/>
      <c r="I825" s="723"/>
      <c r="J825" s="723"/>
      <c r="K825" s="723"/>
      <c r="L825" s="723"/>
      <c r="M825" s="723"/>
      <c r="N825" s="723"/>
      <c r="T825" s="718"/>
    </row>
    <row r="826" spans="1:20" ht="12" customHeight="1">
      <c r="A826" s="726"/>
      <c r="B826" s="725"/>
      <c r="C826" s="724"/>
      <c r="D826" s="723"/>
      <c r="E826" s="723"/>
      <c r="F826" s="723"/>
      <c r="G826" s="723" t="str">
        <f t="shared" si="41"/>
        <v/>
      </c>
      <c r="H826" s="723"/>
      <c r="I826" s="723"/>
      <c r="J826" s="723"/>
      <c r="K826" s="723"/>
      <c r="L826" s="723"/>
      <c r="M826" s="723"/>
      <c r="N826" s="723"/>
      <c r="T826" s="718"/>
    </row>
    <row r="827" spans="1:20" ht="12" customHeight="1">
      <c r="A827" s="726"/>
      <c r="B827" s="725"/>
      <c r="C827" s="724"/>
      <c r="D827" s="723"/>
      <c r="E827" s="723"/>
      <c r="F827" s="723"/>
      <c r="G827" s="723" t="str">
        <f t="shared" si="41"/>
        <v/>
      </c>
      <c r="H827" s="723"/>
      <c r="I827" s="723"/>
      <c r="J827" s="723"/>
      <c r="K827" s="723"/>
      <c r="L827" s="723"/>
      <c r="M827" s="723"/>
      <c r="N827" s="723"/>
      <c r="T827" s="718"/>
    </row>
    <row r="828" spans="1:20" ht="12" customHeight="1">
      <c r="A828" s="726"/>
      <c r="B828" s="725"/>
      <c r="C828" s="724"/>
      <c r="D828" s="723"/>
      <c r="E828" s="723"/>
      <c r="F828" s="723"/>
      <c r="G828" s="723" t="str">
        <f t="shared" si="41"/>
        <v/>
      </c>
      <c r="H828" s="723"/>
      <c r="I828" s="723"/>
      <c r="J828" s="723"/>
      <c r="K828" s="723"/>
      <c r="L828" s="723"/>
      <c r="M828" s="723"/>
      <c r="N828" s="723"/>
      <c r="T828" s="718"/>
    </row>
    <row r="829" spans="1:20" ht="12" customHeight="1">
      <c r="A829" s="726"/>
      <c r="B829" s="725"/>
      <c r="C829" s="724"/>
      <c r="D829" s="723"/>
      <c r="E829" s="723"/>
      <c r="F829" s="723"/>
      <c r="G829" s="723" t="str">
        <f t="shared" si="41"/>
        <v/>
      </c>
      <c r="H829" s="723"/>
      <c r="I829" s="723"/>
      <c r="J829" s="723"/>
      <c r="K829" s="723"/>
      <c r="L829" s="723"/>
      <c r="M829" s="723"/>
      <c r="N829" s="723"/>
      <c r="T829" s="718"/>
    </row>
    <row r="830" spans="1:20" ht="12" customHeight="1">
      <c r="A830" s="726"/>
      <c r="B830" s="725"/>
      <c r="C830" s="724"/>
      <c r="D830" s="723"/>
      <c r="E830" s="723"/>
      <c r="F830" s="723"/>
      <c r="G830" s="723" t="str">
        <f t="shared" si="41"/>
        <v/>
      </c>
      <c r="H830" s="723"/>
      <c r="I830" s="723"/>
      <c r="J830" s="723"/>
      <c r="K830" s="723"/>
      <c r="L830" s="723"/>
      <c r="M830" s="723"/>
      <c r="N830" s="723"/>
      <c r="T830" s="718"/>
    </row>
    <row r="831" spans="1:20" ht="12" customHeight="1">
      <c r="A831" s="726"/>
      <c r="B831" s="725"/>
      <c r="C831" s="724"/>
      <c r="D831" s="723"/>
      <c r="E831" s="723"/>
      <c r="F831" s="723"/>
      <c r="G831" s="723" t="str">
        <f t="shared" si="41"/>
        <v/>
      </c>
      <c r="H831" s="723"/>
      <c r="I831" s="723"/>
      <c r="J831" s="723"/>
      <c r="K831" s="723"/>
      <c r="L831" s="723"/>
      <c r="M831" s="723"/>
      <c r="N831" s="723"/>
      <c r="T831" s="718"/>
    </row>
    <row r="832" spans="1:20" ht="12" customHeight="1">
      <c r="A832" s="726"/>
      <c r="B832" s="725"/>
      <c r="C832" s="724"/>
      <c r="D832" s="723"/>
      <c r="E832" s="723"/>
      <c r="F832" s="723"/>
      <c r="G832" s="723" t="str">
        <f t="shared" si="41"/>
        <v/>
      </c>
      <c r="H832" s="723"/>
      <c r="I832" s="723"/>
      <c r="J832" s="723"/>
      <c r="K832" s="723"/>
      <c r="L832" s="723"/>
      <c r="M832" s="723"/>
      <c r="N832" s="723"/>
      <c r="T832" s="718"/>
    </row>
    <row r="833" spans="1:20" ht="12" customHeight="1">
      <c r="A833" s="726"/>
      <c r="B833" s="725"/>
      <c r="C833" s="724"/>
      <c r="D833" s="723"/>
      <c r="E833" s="723"/>
      <c r="F833" s="723"/>
      <c r="G833" s="723" t="str">
        <f t="shared" si="41"/>
        <v/>
      </c>
      <c r="H833" s="723"/>
      <c r="I833" s="723"/>
      <c r="J833" s="723"/>
      <c r="K833" s="723"/>
      <c r="L833" s="723"/>
      <c r="M833" s="723"/>
      <c r="N833" s="723"/>
      <c r="T833" s="718"/>
    </row>
    <row r="834" spans="1:20" ht="12" customHeight="1">
      <c r="A834" s="726"/>
      <c r="B834" s="725"/>
      <c r="C834" s="724"/>
      <c r="D834" s="723"/>
      <c r="E834" s="723"/>
      <c r="F834" s="723"/>
      <c r="G834" s="723" t="str">
        <f t="shared" ref="G834:G850" si="42">IF($D834&gt;0,$D834-$E834-$F834-$H834-$I834,"")</f>
        <v/>
      </c>
      <c r="H834" s="723"/>
      <c r="I834" s="723"/>
      <c r="J834" s="723"/>
      <c r="K834" s="723"/>
      <c r="L834" s="723"/>
      <c r="M834" s="723"/>
      <c r="N834" s="723"/>
      <c r="T834" s="718"/>
    </row>
    <row r="835" spans="1:20" ht="12" customHeight="1">
      <c r="A835" s="726"/>
      <c r="B835" s="725"/>
      <c r="C835" s="724"/>
      <c r="D835" s="723"/>
      <c r="E835" s="723"/>
      <c r="F835" s="723"/>
      <c r="G835" s="723" t="str">
        <f t="shared" si="42"/>
        <v/>
      </c>
      <c r="H835" s="723"/>
      <c r="I835" s="723"/>
      <c r="J835" s="723"/>
      <c r="K835" s="723"/>
      <c r="L835" s="723"/>
      <c r="M835" s="723"/>
      <c r="N835" s="723"/>
      <c r="T835" s="718"/>
    </row>
    <row r="836" spans="1:20" ht="12" customHeight="1">
      <c r="A836" s="726"/>
      <c r="B836" s="725"/>
      <c r="C836" s="724"/>
      <c r="D836" s="723"/>
      <c r="E836" s="723"/>
      <c r="F836" s="723"/>
      <c r="G836" s="723" t="str">
        <f t="shared" si="42"/>
        <v/>
      </c>
      <c r="H836" s="723"/>
      <c r="I836" s="723"/>
      <c r="J836" s="723"/>
      <c r="K836" s="723"/>
      <c r="L836" s="723"/>
      <c r="M836" s="723"/>
      <c r="N836" s="723"/>
      <c r="T836" s="718"/>
    </row>
    <row r="837" spans="1:20" ht="12" customHeight="1">
      <c r="A837" s="726"/>
      <c r="B837" s="725"/>
      <c r="C837" s="724"/>
      <c r="D837" s="723"/>
      <c r="E837" s="723"/>
      <c r="F837" s="723"/>
      <c r="G837" s="723" t="str">
        <f t="shared" si="42"/>
        <v/>
      </c>
      <c r="H837" s="723"/>
      <c r="I837" s="723"/>
      <c r="J837" s="723"/>
      <c r="K837" s="723"/>
      <c r="L837" s="723"/>
      <c r="M837" s="723"/>
      <c r="N837" s="723"/>
      <c r="T837" s="718"/>
    </row>
    <row r="838" spans="1:20" ht="12" customHeight="1">
      <c r="A838" s="726"/>
      <c r="B838" s="725"/>
      <c r="C838" s="724"/>
      <c r="D838" s="723"/>
      <c r="E838" s="723"/>
      <c r="F838" s="723"/>
      <c r="G838" s="723" t="str">
        <f t="shared" si="42"/>
        <v/>
      </c>
      <c r="H838" s="723"/>
      <c r="I838" s="723"/>
      <c r="J838" s="723"/>
      <c r="K838" s="723"/>
      <c r="L838" s="723"/>
      <c r="M838" s="723"/>
      <c r="N838" s="723"/>
      <c r="T838" s="718"/>
    </row>
    <row r="839" spans="1:20" ht="12" customHeight="1">
      <c r="A839" s="726"/>
      <c r="B839" s="725"/>
      <c r="C839" s="724"/>
      <c r="D839" s="723"/>
      <c r="E839" s="723"/>
      <c r="F839" s="723"/>
      <c r="G839" s="723" t="str">
        <f t="shared" si="42"/>
        <v/>
      </c>
      <c r="H839" s="723"/>
      <c r="I839" s="723"/>
      <c r="J839" s="723"/>
      <c r="K839" s="723"/>
      <c r="L839" s="723"/>
      <c r="M839" s="723"/>
      <c r="N839" s="723"/>
      <c r="T839" s="718"/>
    </row>
    <row r="840" spans="1:20" ht="12" customHeight="1">
      <c r="A840" s="726"/>
      <c r="B840" s="725"/>
      <c r="C840" s="724"/>
      <c r="D840" s="723"/>
      <c r="E840" s="723"/>
      <c r="F840" s="723"/>
      <c r="G840" s="723" t="str">
        <f t="shared" si="42"/>
        <v/>
      </c>
      <c r="H840" s="723"/>
      <c r="I840" s="723"/>
      <c r="J840" s="723"/>
      <c r="K840" s="723"/>
      <c r="L840" s="723"/>
      <c r="M840" s="723"/>
      <c r="N840" s="723"/>
      <c r="T840" s="718"/>
    </row>
    <row r="841" spans="1:20" ht="12" customHeight="1">
      <c r="A841" s="726"/>
      <c r="B841" s="725"/>
      <c r="C841" s="724"/>
      <c r="D841" s="723"/>
      <c r="E841" s="723"/>
      <c r="F841" s="723"/>
      <c r="G841" s="723" t="str">
        <f t="shared" si="42"/>
        <v/>
      </c>
      <c r="H841" s="723"/>
      <c r="I841" s="723"/>
      <c r="J841" s="723"/>
      <c r="K841" s="723"/>
      <c r="L841" s="723"/>
      <c r="M841" s="723"/>
      <c r="N841" s="723"/>
      <c r="T841" s="718"/>
    </row>
    <row r="842" spans="1:20" ht="12" customHeight="1">
      <c r="A842" s="726"/>
      <c r="B842" s="725"/>
      <c r="C842" s="724"/>
      <c r="D842" s="723"/>
      <c r="E842" s="723"/>
      <c r="F842" s="723"/>
      <c r="G842" s="723" t="str">
        <f t="shared" si="42"/>
        <v/>
      </c>
      <c r="H842" s="723"/>
      <c r="I842" s="723"/>
      <c r="J842" s="723"/>
      <c r="K842" s="723"/>
      <c r="L842" s="723"/>
      <c r="M842" s="723"/>
      <c r="N842" s="723"/>
      <c r="T842" s="718"/>
    </row>
    <row r="843" spans="1:20" ht="12" customHeight="1">
      <c r="A843" s="726"/>
      <c r="B843" s="725"/>
      <c r="C843" s="724"/>
      <c r="D843" s="723"/>
      <c r="E843" s="723"/>
      <c r="F843" s="723"/>
      <c r="G843" s="723" t="str">
        <f t="shared" si="42"/>
        <v/>
      </c>
      <c r="H843" s="723"/>
      <c r="I843" s="723"/>
      <c r="J843" s="723"/>
      <c r="K843" s="723"/>
      <c r="L843" s="723"/>
      <c r="M843" s="723"/>
      <c r="N843" s="723"/>
      <c r="T843" s="718"/>
    </row>
    <row r="844" spans="1:20" ht="12" customHeight="1">
      <c r="A844" s="726"/>
      <c r="B844" s="725"/>
      <c r="C844" s="724"/>
      <c r="D844" s="723"/>
      <c r="E844" s="723"/>
      <c r="F844" s="723"/>
      <c r="G844" s="723" t="str">
        <f t="shared" si="42"/>
        <v/>
      </c>
      <c r="H844" s="723"/>
      <c r="I844" s="723"/>
      <c r="J844" s="723"/>
      <c r="K844" s="723"/>
      <c r="L844" s="723"/>
      <c r="M844" s="723"/>
      <c r="N844" s="723"/>
      <c r="T844" s="718"/>
    </row>
    <row r="845" spans="1:20" ht="12" customHeight="1">
      <c r="A845" s="726"/>
      <c r="B845" s="725"/>
      <c r="C845" s="724"/>
      <c r="D845" s="723"/>
      <c r="E845" s="723"/>
      <c r="F845" s="723"/>
      <c r="G845" s="723" t="str">
        <f t="shared" si="42"/>
        <v/>
      </c>
      <c r="H845" s="723"/>
      <c r="I845" s="723"/>
      <c r="J845" s="723"/>
      <c r="K845" s="723"/>
      <c r="L845" s="723"/>
      <c r="M845" s="723"/>
      <c r="N845" s="723"/>
      <c r="T845" s="718"/>
    </row>
    <row r="846" spans="1:20" ht="12" customHeight="1">
      <c r="A846" s="726"/>
      <c r="B846" s="725"/>
      <c r="C846" s="724"/>
      <c r="D846" s="723"/>
      <c r="E846" s="723"/>
      <c r="F846" s="723"/>
      <c r="G846" s="723" t="str">
        <f t="shared" si="42"/>
        <v/>
      </c>
      <c r="H846" s="723"/>
      <c r="I846" s="723"/>
      <c r="J846" s="723"/>
      <c r="K846" s="723"/>
      <c r="L846" s="723"/>
      <c r="M846" s="723"/>
      <c r="N846" s="723"/>
      <c r="T846" s="718"/>
    </row>
    <row r="847" spans="1:20" ht="12" customHeight="1">
      <c r="A847" s="726"/>
      <c r="B847" s="725"/>
      <c r="C847" s="724"/>
      <c r="D847" s="723"/>
      <c r="E847" s="723"/>
      <c r="F847" s="723"/>
      <c r="G847" s="723" t="str">
        <f t="shared" si="42"/>
        <v/>
      </c>
      <c r="H847" s="723"/>
      <c r="I847" s="723"/>
      <c r="J847" s="723"/>
      <c r="K847" s="723"/>
      <c r="L847" s="723"/>
      <c r="M847" s="723"/>
      <c r="N847" s="723"/>
      <c r="T847" s="718"/>
    </row>
    <row r="848" spans="1:20" ht="12" customHeight="1">
      <c r="A848" s="726"/>
      <c r="B848" s="725"/>
      <c r="C848" s="724"/>
      <c r="D848" s="723"/>
      <c r="E848" s="723"/>
      <c r="F848" s="723"/>
      <c r="G848" s="723" t="str">
        <f t="shared" si="42"/>
        <v/>
      </c>
      <c r="H848" s="723"/>
      <c r="I848" s="723"/>
      <c r="J848" s="723"/>
      <c r="K848" s="723"/>
      <c r="L848" s="723"/>
      <c r="M848" s="723"/>
      <c r="N848" s="723"/>
      <c r="T848" s="718"/>
    </row>
    <row r="849" spans="1:20" ht="12" customHeight="1">
      <c r="A849" s="726"/>
      <c r="B849" s="725"/>
      <c r="C849" s="724"/>
      <c r="D849" s="723"/>
      <c r="E849" s="723"/>
      <c r="F849" s="723"/>
      <c r="G849" s="723" t="str">
        <f t="shared" si="42"/>
        <v/>
      </c>
      <c r="H849" s="723"/>
      <c r="I849" s="723"/>
      <c r="J849" s="723"/>
      <c r="K849" s="723"/>
      <c r="L849" s="723"/>
      <c r="M849" s="723"/>
      <c r="N849" s="723"/>
      <c r="T849" s="718"/>
    </row>
    <row r="850" spans="1:20" ht="12" customHeight="1">
      <c r="A850" s="726"/>
      <c r="B850" s="725"/>
      <c r="C850" s="724"/>
      <c r="D850" s="723"/>
      <c r="E850" s="723"/>
      <c r="F850" s="723"/>
      <c r="G850" s="723" t="str">
        <f t="shared" si="42"/>
        <v/>
      </c>
      <c r="H850" s="723"/>
      <c r="I850" s="723"/>
      <c r="J850" s="723"/>
      <c r="K850" s="723"/>
      <c r="L850" s="723"/>
      <c r="M850" s="723"/>
      <c r="N850" s="723"/>
      <c r="T850" s="718"/>
    </row>
    <row r="851" spans="1:20" ht="12" customHeight="1">
      <c r="A851" s="728"/>
      <c r="B851" s="727" t="str">
        <f>J522</f>
        <v>august</v>
      </c>
      <c r="C851" s="727"/>
      <c r="D851" s="727" t="s">
        <v>709</v>
      </c>
      <c r="E851" s="727" t="s">
        <v>284</v>
      </c>
      <c r="F851" s="727" t="s">
        <v>286</v>
      </c>
      <c r="G851" s="727" t="s">
        <v>15</v>
      </c>
      <c r="H851" s="727" t="s">
        <v>384</v>
      </c>
      <c r="I851" s="727" t="s">
        <v>14</v>
      </c>
      <c r="J851" s="727"/>
      <c r="K851" s="727"/>
      <c r="L851" s="727"/>
      <c r="M851" s="727"/>
      <c r="N851" s="727"/>
      <c r="T851" s="718"/>
    </row>
    <row r="852" spans="1:20" ht="12" customHeight="1">
      <c r="A852" s="726"/>
      <c r="B852" s="725"/>
      <c r="C852" s="724"/>
      <c r="D852" s="723"/>
      <c r="E852" s="723"/>
      <c r="F852" s="723"/>
      <c r="G852" s="723" t="str">
        <f t="shared" ref="G852:G883" si="43">IF($D852&gt;0,$D852-$E852-$F852-$H852-$I852,"")</f>
        <v/>
      </c>
      <c r="H852" s="723"/>
      <c r="I852" s="723"/>
      <c r="J852" s="723"/>
      <c r="K852" s="723"/>
      <c r="L852" s="723"/>
      <c r="M852" s="723"/>
      <c r="N852" s="723"/>
      <c r="T852" s="718"/>
    </row>
    <row r="853" spans="1:20" ht="12" customHeight="1">
      <c r="A853" s="726"/>
      <c r="B853" s="725"/>
      <c r="C853" s="724"/>
      <c r="D853" s="723"/>
      <c r="E853" s="723"/>
      <c r="F853" s="723"/>
      <c r="G853" s="723" t="str">
        <f t="shared" si="43"/>
        <v/>
      </c>
      <c r="H853" s="723"/>
      <c r="I853" s="723"/>
      <c r="J853" s="723"/>
      <c r="K853" s="723"/>
      <c r="L853" s="723"/>
      <c r="M853" s="723"/>
      <c r="N853" s="723"/>
      <c r="T853" s="718"/>
    </row>
    <row r="854" spans="1:20" ht="12" customHeight="1">
      <c r="A854" s="726"/>
      <c r="B854" s="725"/>
      <c r="C854" s="724"/>
      <c r="D854" s="723"/>
      <c r="E854" s="723"/>
      <c r="F854" s="723"/>
      <c r="G854" s="723" t="str">
        <f t="shared" si="43"/>
        <v/>
      </c>
      <c r="H854" s="723"/>
      <c r="I854" s="723"/>
      <c r="J854" s="723"/>
      <c r="K854" s="723"/>
      <c r="L854" s="723"/>
      <c r="M854" s="723"/>
      <c r="N854" s="723"/>
      <c r="T854" s="718"/>
    </row>
    <row r="855" spans="1:20" ht="12" customHeight="1">
      <c r="A855" s="726"/>
      <c r="B855" s="725"/>
      <c r="C855" s="724"/>
      <c r="D855" s="723"/>
      <c r="E855" s="723"/>
      <c r="F855" s="723"/>
      <c r="G855" s="723" t="str">
        <f t="shared" si="43"/>
        <v/>
      </c>
      <c r="H855" s="723"/>
      <c r="I855" s="723"/>
      <c r="J855" s="723"/>
      <c r="K855" s="723"/>
      <c r="L855" s="723"/>
      <c r="M855" s="723"/>
      <c r="N855" s="723"/>
      <c r="T855" s="718"/>
    </row>
    <row r="856" spans="1:20" ht="12" customHeight="1">
      <c r="A856" s="726"/>
      <c r="B856" s="725"/>
      <c r="C856" s="724"/>
      <c r="D856" s="723"/>
      <c r="E856" s="723"/>
      <c r="F856" s="723"/>
      <c r="G856" s="723" t="str">
        <f t="shared" si="43"/>
        <v/>
      </c>
      <c r="H856" s="723"/>
      <c r="I856" s="723"/>
      <c r="J856" s="723"/>
      <c r="K856" s="723"/>
      <c r="L856" s="723"/>
      <c r="M856" s="723"/>
      <c r="N856" s="723"/>
      <c r="T856" s="718"/>
    </row>
    <row r="857" spans="1:20" ht="12" customHeight="1">
      <c r="A857" s="726"/>
      <c r="B857" s="725"/>
      <c r="C857" s="724"/>
      <c r="D857" s="723"/>
      <c r="E857" s="723"/>
      <c r="F857" s="723"/>
      <c r="G857" s="723" t="str">
        <f t="shared" si="43"/>
        <v/>
      </c>
      <c r="H857" s="723"/>
      <c r="I857" s="723"/>
      <c r="J857" s="723"/>
      <c r="K857" s="723"/>
      <c r="L857" s="723"/>
      <c r="M857" s="723"/>
      <c r="N857" s="723"/>
      <c r="T857" s="718"/>
    </row>
    <row r="858" spans="1:20" ht="12" customHeight="1">
      <c r="A858" s="726"/>
      <c r="B858" s="725"/>
      <c r="C858" s="724"/>
      <c r="D858" s="723"/>
      <c r="E858" s="723"/>
      <c r="F858" s="723"/>
      <c r="G858" s="723" t="str">
        <f t="shared" si="43"/>
        <v/>
      </c>
      <c r="H858" s="723"/>
      <c r="I858" s="723"/>
      <c r="J858" s="723"/>
      <c r="K858" s="723"/>
      <c r="L858" s="723"/>
      <c r="M858" s="723"/>
      <c r="N858" s="723"/>
      <c r="T858" s="718"/>
    </row>
    <row r="859" spans="1:20" ht="12" customHeight="1">
      <c r="A859" s="726"/>
      <c r="B859" s="725"/>
      <c r="C859" s="724"/>
      <c r="D859" s="723"/>
      <c r="E859" s="723"/>
      <c r="F859" s="723"/>
      <c r="G859" s="723" t="str">
        <f t="shared" si="43"/>
        <v/>
      </c>
      <c r="H859" s="723"/>
      <c r="I859" s="723"/>
      <c r="J859" s="723"/>
      <c r="K859" s="723"/>
      <c r="L859" s="723"/>
      <c r="M859" s="723"/>
      <c r="N859" s="723"/>
      <c r="T859" s="718"/>
    </row>
    <row r="860" spans="1:20" ht="12" customHeight="1">
      <c r="A860" s="726"/>
      <c r="B860" s="725"/>
      <c r="C860" s="724"/>
      <c r="D860" s="723"/>
      <c r="E860" s="723"/>
      <c r="F860" s="723"/>
      <c r="G860" s="723" t="str">
        <f t="shared" si="43"/>
        <v/>
      </c>
      <c r="H860" s="723"/>
      <c r="I860" s="723"/>
      <c r="J860" s="723"/>
      <c r="K860" s="723"/>
      <c r="L860" s="723"/>
      <c r="M860" s="723"/>
      <c r="N860" s="723"/>
      <c r="T860" s="718"/>
    </row>
    <row r="861" spans="1:20" ht="12" customHeight="1">
      <c r="A861" s="726"/>
      <c r="B861" s="725"/>
      <c r="C861" s="724"/>
      <c r="D861" s="723"/>
      <c r="E861" s="723"/>
      <c r="F861" s="723"/>
      <c r="G861" s="723" t="str">
        <f t="shared" si="43"/>
        <v/>
      </c>
      <c r="H861" s="723"/>
      <c r="I861" s="723"/>
      <c r="J861" s="723"/>
      <c r="K861" s="723"/>
      <c r="L861" s="723"/>
      <c r="M861" s="723"/>
      <c r="N861" s="723"/>
      <c r="T861" s="718"/>
    </row>
    <row r="862" spans="1:20" ht="12" customHeight="1">
      <c r="A862" s="726"/>
      <c r="B862" s="725"/>
      <c r="C862" s="724"/>
      <c r="D862" s="723"/>
      <c r="E862" s="723"/>
      <c r="F862" s="723"/>
      <c r="G862" s="723" t="str">
        <f t="shared" si="43"/>
        <v/>
      </c>
      <c r="H862" s="723"/>
      <c r="I862" s="723"/>
      <c r="J862" s="723"/>
      <c r="K862" s="723"/>
      <c r="L862" s="723"/>
      <c r="M862" s="723"/>
      <c r="N862" s="723"/>
      <c r="T862" s="718"/>
    </row>
    <row r="863" spans="1:20" ht="12" customHeight="1">
      <c r="A863" s="726"/>
      <c r="B863" s="725"/>
      <c r="C863" s="724"/>
      <c r="D863" s="723"/>
      <c r="E863" s="723"/>
      <c r="F863" s="723"/>
      <c r="G863" s="723" t="str">
        <f t="shared" si="43"/>
        <v/>
      </c>
      <c r="H863" s="723"/>
      <c r="I863" s="723"/>
      <c r="J863" s="723"/>
      <c r="K863" s="723"/>
      <c r="L863" s="723"/>
      <c r="M863" s="723"/>
      <c r="N863" s="723"/>
      <c r="T863" s="718"/>
    </row>
    <row r="864" spans="1:20" ht="12" customHeight="1">
      <c r="A864" s="726"/>
      <c r="B864" s="725"/>
      <c r="C864" s="724"/>
      <c r="D864" s="723"/>
      <c r="E864" s="723"/>
      <c r="F864" s="723"/>
      <c r="G864" s="723" t="str">
        <f t="shared" si="43"/>
        <v/>
      </c>
      <c r="H864" s="723"/>
      <c r="I864" s="723"/>
      <c r="J864" s="723"/>
      <c r="K864" s="723"/>
      <c r="L864" s="723"/>
      <c r="M864" s="723"/>
      <c r="N864" s="723"/>
      <c r="T864" s="718"/>
    </row>
    <row r="865" spans="1:20" ht="12" customHeight="1">
      <c r="A865" s="726"/>
      <c r="B865" s="725"/>
      <c r="C865" s="724"/>
      <c r="D865" s="723"/>
      <c r="E865" s="723"/>
      <c r="F865" s="723"/>
      <c r="G865" s="723" t="str">
        <f t="shared" si="43"/>
        <v/>
      </c>
      <c r="H865" s="723"/>
      <c r="I865" s="723"/>
      <c r="J865" s="723"/>
      <c r="K865" s="723"/>
      <c r="L865" s="723"/>
      <c r="M865" s="723"/>
      <c r="N865" s="723"/>
      <c r="T865" s="718"/>
    </row>
    <row r="866" spans="1:20" ht="12" customHeight="1">
      <c r="A866" s="726"/>
      <c r="B866" s="725"/>
      <c r="C866" s="724"/>
      <c r="D866" s="723"/>
      <c r="E866" s="723"/>
      <c r="F866" s="723"/>
      <c r="G866" s="723" t="str">
        <f t="shared" si="43"/>
        <v/>
      </c>
      <c r="H866" s="723"/>
      <c r="I866" s="723"/>
      <c r="J866" s="723"/>
      <c r="K866" s="723"/>
      <c r="L866" s="723"/>
      <c r="M866" s="723"/>
      <c r="N866" s="723"/>
      <c r="T866" s="718"/>
    </row>
    <row r="867" spans="1:20" ht="12" customHeight="1">
      <c r="A867" s="726"/>
      <c r="B867" s="725"/>
      <c r="C867" s="724"/>
      <c r="D867" s="723"/>
      <c r="E867" s="723"/>
      <c r="F867" s="723"/>
      <c r="G867" s="723" t="str">
        <f t="shared" si="43"/>
        <v/>
      </c>
      <c r="H867" s="723"/>
      <c r="I867" s="723"/>
      <c r="J867" s="723"/>
      <c r="K867" s="723"/>
      <c r="L867" s="723"/>
      <c r="M867" s="723"/>
      <c r="N867" s="723"/>
      <c r="T867" s="718"/>
    </row>
    <row r="868" spans="1:20" ht="12" customHeight="1">
      <c r="A868" s="726"/>
      <c r="B868" s="725"/>
      <c r="C868" s="724"/>
      <c r="D868" s="723"/>
      <c r="E868" s="723"/>
      <c r="F868" s="723"/>
      <c r="G868" s="723" t="str">
        <f t="shared" si="43"/>
        <v/>
      </c>
      <c r="H868" s="723"/>
      <c r="I868" s="723"/>
      <c r="J868" s="723"/>
      <c r="K868" s="723"/>
      <c r="L868" s="723"/>
      <c r="M868" s="723"/>
      <c r="N868" s="723"/>
      <c r="T868" s="718"/>
    </row>
    <row r="869" spans="1:20" ht="12" customHeight="1">
      <c r="A869" s="726"/>
      <c r="B869" s="725"/>
      <c r="C869" s="724"/>
      <c r="D869" s="723"/>
      <c r="E869" s="723"/>
      <c r="F869" s="723"/>
      <c r="G869" s="723" t="str">
        <f t="shared" si="43"/>
        <v/>
      </c>
      <c r="H869" s="723"/>
      <c r="I869" s="723"/>
      <c r="J869" s="723"/>
      <c r="K869" s="723"/>
      <c r="L869" s="723"/>
      <c r="M869" s="723"/>
      <c r="N869" s="723"/>
      <c r="T869" s="718"/>
    </row>
    <row r="870" spans="1:20" ht="12" customHeight="1">
      <c r="A870" s="726"/>
      <c r="B870" s="725"/>
      <c r="C870" s="724"/>
      <c r="D870" s="723"/>
      <c r="E870" s="723"/>
      <c r="F870" s="723"/>
      <c r="G870" s="723" t="str">
        <f t="shared" si="43"/>
        <v/>
      </c>
      <c r="H870" s="723"/>
      <c r="I870" s="723"/>
      <c r="J870" s="723"/>
      <c r="K870" s="723"/>
      <c r="L870" s="723"/>
      <c r="M870" s="723"/>
      <c r="N870" s="723"/>
      <c r="T870" s="718"/>
    </row>
    <row r="871" spans="1:20" ht="12" customHeight="1">
      <c r="A871" s="726"/>
      <c r="B871" s="725"/>
      <c r="C871" s="724"/>
      <c r="D871" s="723"/>
      <c r="E871" s="723"/>
      <c r="F871" s="723"/>
      <c r="G871" s="723" t="str">
        <f t="shared" si="43"/>
        <v/>
      </c>
      <c r="H871" s="723"/>
      <c r="I871" s="723"/>
      <c r="J871" s="723"/>
      <c r="K871" s="723"/>
      <c r="L871" s="723"/>
      <c r="M871" s="723"/>
      <c r="N871" s="723"/>
      <c r="T871" s="718"/>
    </row>
    <row r="872" spans="1:20" ht="12" customHeight="1">
      <c r="A872" s="726"/>
      <c r="B872" s="725"/>
      <c r="C872" s="724"/>
      <c r="D872" s="723"/>
      <c r="E872" s="723"/>
      <c r="F872" s="723"/>
      <c r="G872" s="723" t="str">
        <f t="shared" si="43"/>
        <v/>
      </c>
      <c r="H872" s="723"/>
      <c r="I872" s="723"/>
      <c r="J872" s="723"/>
      <c r="K872" s="723"/>
      <c r="L872" s="723"/>
      <c r="M872" s="723"/>
      <c r="N872" s="723"/>
      <c r="T872" s="718"/>
    </row>
    <row r="873" spans="1:20" ht="12" customHeight="1">
      <c r="A873" s="726"/>
      <c r="B873" s="725"/>
      <c r="C873" s="724"/>
      <c r="D873" s="723"/>
      <c r="E873" s="723"/>
      <c r="F873" s="723"/>
      <c r="G873" s="723" t="str">
        <f t="shared" si="43"/>
        <v/>
      </c>
      <c r="H873" s="723"/>
      <c r="I873" s="723"/>
      <c r="J873" s="723"/>
      <c r="K873" s="723"/>
      <c r="L873" s="723"/>
      <c r="M873" s="723"/>
      <c r="N873" s="723"/>
      <c r="T873" s="718"/>
    </row>
    <row r="874" spans="1:20" ht="12" customHeight="1">
      <c r="A874" s="726"/>
      <c r="B874" s="725"/>
      <c r="C874" s="724"/>
      <c r="D874" s="723"/>
      <c r="E874" s="723"/>
      <c r="F874" s="723"/>
      <c r="G874" s="723" t="str">
        <f t="shared" si="43"/>
        <v/>
      </c>
      <c r="H874" s="723"/>
      <c r="I874" s="723"/>
      <c r="J874" s="723"/>
      <c r="K874" s="723"/>
      <c r="L874" s="723"/>
      <c r="M874" s="723"/>
      <c r="N874" s="723"/>
      <c r="T874" s="718"/>
    </row>
    <row r="875" spans="1:20" ht="12" customHeight="1">
      <c r="A875" s="726"/>
      <c r="B875" s="725"/>
      <c r="C875" s="724"/>
      <c r="D875" s="723"/>
      <c r="E875" s="723"/>
      <c r="F875" s="723"/>
      <c r="G875" s="723" t="str">
        <f t="shared" si="43"/>
        <v/>
      </c>
      <c r="H875" s="723"/>
      <c r="I875" s="723"/>
      <c r="J875" s="723"/>
      <c r="K875" s="723"/>
      <c r="L875" s="723"/>
      <c r="M875" s="723"/>
      <c r="N875" s="723"/>
      <c r="T875" s="718"/>
    </row>
    <row r="876" spans="1:20" ht="12" customHeight="1">
      <c r="A876" s="726"/>
      <c r="B876" s="725"/>
      <c r="C876" s="724"/>
      <c r="D876" s="723"/>
      <c r="E876" s="723"/>
      <c r="F876" s="723"/>
      <c r="G876" s="723" t="str">
        <f t="shared" si="43"/>
        <v/>
      </c>
      <c r="H876" s="723"/>
      <c r="I876" s="723"/>
      <c r="J876" s="723"/>
      <c r="K876" s="723"/>
      <c r="L876" s="723"/>
      <c r="M876" s="723"/>
      <c r="N876" s="723"/>
      <c r="T876" s="718"/>
    </row>
    <row r="877" spans="1:20" ht="12" customHeight="1">
      <c r="A877" s="726"/>
      <c r="B877" s="725"/>
      <c r="C877" s="724"/>
      <c r="D877" s="723"/>
      <c r="E877" s="723"/>
      <c r="F877" s="723"/>
      <c r="G877" s="723" t="str">
        <f t="shared" si="43"/>
        <v/>
      </c>
      <c r="H877" s="723"/>
      <c r="I877" s="723"/>
      <c r="J877" s="723"/>
      <c r="K877" s="723"/>
      <c r="L877" s="723"/>
      <c r="M877" s="723"/>
      <c r="N877" s="723"/>
      <c r="T877" s="718"/>
    </row>
    <row r="878" spans="1:20" ht="12" customHeight="1">
      <c r="A878" s="726"/>
      <c r="B878" s="725"/>
      <c r="C878" s="724"/>
      <c r="D878" s="723"/>
      <c r="E878" s="723"/>
      <c r="F878" s="723"/>
      <c r="G878" s="723" t="str">
        <f t="shared" si="43"/>
        <v/>
      </c>
      <c r="H878" s="723"/>
      <c r="I878" s="723"/>
      <c r="J878" s="723"/>
      <c r="K878" s="723"/>
      <c r="L878" s="723"/>
      <c r="M878" s="723"/>
      <c r="N878" s="723"/>
      <c r="T878" s="718"/>
    </row>
    <row r="879" spans="1:20" ht="12" customHeight="1">
      <c r="A879" s="726"/>
      <c r="B879" s="725"/>
      <c r="C879" s="724"/>
      <c r="D879" s="723"/>
      <c r="E879" s="723"/>
      <c r="F879" s="723"/>
      <c r="G879" s="723" t="str">
        <f t="shared" si="43"/>
        <v/>
      </c>
      <c r="H879" s="723"/>
      <c r="I879" s="723"/>
      <c r="J879" s="723"/>
      <c r="K879" s="723"/>
      <c r="L879" s="723"/>
      <c r="M879" s="723"/>
      <c r="N879" s="723"/>
      <c r="T879" s="718"/>
    </row>
    <row r="880" spans="1:20" ht="12" customHeight="1">
      <c r="A880" s="726"/>
      <c r="B880" s="725"/>
      <c r="C880" s="724"/>
      <c r="D880" s="723"/>
      <c r="E880" s="723"/>
      <c r="F880" s="723"/>
      <c r="G880" s="723" t="str">
        <f t="shared" si="43"/>
        <v/>
      </c>
      <c r="H880" s="723"/>
      <c r="I880" s="723"/>
      <c r="J880" s="723"/>
      <c r="K880" s="723"/>
      <c r="L880" s="723"/>
      <c r="M880" s="723"/>
      <c r="N880" s="723"/>
      <c r="T880" s="718"/>
    </row>
    <row r="881" spans="1:20" ht="12" customHeight="1">
      <c r="A881" s="726"/>
      <c r="B881" s="725"/>
      <c r="C881" s="724"/>
      <c r="D881" s="723"/>
      <c r="E881" s="723"/>
      <c r="F881" s="723"/>
      <c r="G881" s="723" t="str">
        <f t="shared" si="43"/>
        <v/>
      </c>
      <c r="H881" s="723"/>
      <c r="I881" s="723"/>
      <c r="J881" s="723"/>
      <c r="K881" s="723"/>
      <c r="L881" s="723"/>
      <c r="M881" s="723"/>
      <c r="N881" s="723"/>
      <c r="T881" s="718"/>
    </row>
    <row r="882" spans="1:20" ht="12" customHeight="1">
      <c r="A882" s="726"/>
      <c r="B882" s="725"/>
      <c r="C882" s="724"/>
      <c r="D882" s="723"/>
      <c r="E882" s="723"/>
      <c r="F882" s="723"/>
      <c r="G882" s="723" t="str">
        <f t="shared" si="43"/>
        <v/>
      </c>
      <c r="H882" s="723"/>
      <c r="I882" s="723"/>
      <c r="J882" s="723"/>
      <c r="K882" s="723"/>
      <c r="L882" s="723"/>
      <c r="M882" s="723"/>
      <c r="N882" s="723"/>
      <c r="T882" s="718"/>
    </row>
    <row r="883" spans="1:20" ht="12" customHeight="1">
      <c r="A883" s="726"/>
      <c r="B883" s="725"/>
      <c r="C883" s="724"/>
      <c r="D883" s="723"/>
      <c r="E883" s="723"/>
      <c r="F883" s="723"/>
      <c r="G883" s="723" t="str">
        <f t="shared" si="43"/>
        <v/>
      </c>
      <c r="H883" s="723"/>
      <c r="I883" s="723"/>
      <c r="J883" s="723"/>
      <c r="K883" s="723"/>
      <c r="L883" s="723"/>
      <c r="M883" s="723"/>
      <c r="N883" s="723"/>
      <c r="T883" s="718"/>
    </row>
    <row r="884" spans="1:20" ht="12" customHeight="1">
      <c r="A884" s="726"/>
      <c r="B884" s="725"/>
      <c r="C884" s="724"/>
      <c r="D884" s="723"/>
      <c r="E884" s="723"/>
      <c r="F884" s="723"/>
      <c r="G884" s="723" t="str">
        <f t="shared" ref="G884:G901" si="44">IF($D884&gt;0,$D884-$E884-$F884-$H884-$I884,"")</f>
        <v/>
      </c>
      <c r="H884" s="723"/>
      <c r="I884" s="723"/>
      <c r="J884" s="723"/>
      <c r="K884" s="723"/>
      <c r="L884" s="723"/>
      <c r="M884" s="723"/>
      <c r="N884" s="723"/>
      <c r="T884" s="718"/>
    </row>
    <row r="885" spans="1:20" ht="12" customHeight="1">
      <c r="A885" s="726"/>
      <c r="B885" s="725"/>
      <c r="C885" s="724"/>
      <c r="D885" s="723"/>
      <c r="E885" s="723"/>
      <c r="F885" s="723"/>
      <c r="G885" s="723" t="str">
        <f t="shared" si="44"/>
        <v/>
      </c>
      <c r="H885" s="723"/>
      <c r="I885" s="723"/>
      <c r="J885" s="723"/>
      <c r="K885" s="723"/>
      <c r="L885" s="723"/>
      <c r="M885" s="723"/>
      <c r="N885" s="723"/>
      <c r="T885" s="718"/>
    </row>
    <row r="886" spans="1:20" ht="12" customHeight="1">
      <c r="A886" s="726"/>
      <c r="B886" s="725"/>
      <c r="C886" s="724"/>
      <c r="D886" s="723"/>
      <c r="E886" s="723"/>
      <c r="F886" s="723"/>
      <c r="G886" s="723" t="str">
        <f t="shared" si="44"/>
        <v/>
      </c>
      <c r="H886" s="723"/>
      <c r="I886" s="723"/>
      <c r="J886" s="723"/>
      <c r="K886" s="723"/>
      <c r="L886" s="723"/>
      <c r="M886" s="723"/>
      <c r="N886" s="723"/>
      <c r="T886" s="718"/>
    </row>
    <row r="887" spans="1:20" ht="12" customHeight="1">
      <c r="A887" s="726"/>
      <c r="B887" s="725"/>
      <c r="C887" s="724"/>
      <c r="D887" s="723"/>
      <c r="E887" s="723"/>
      <c r="F887" s="723"/>
      <c r="G887" s="723" t="str">
        <f t="shared" si="44"/>
        <v/>
      </c>
      <c r="H887" s="723"/>
      <c r="I887" s="723"/>
      <c r="J887" s="723"/>
      <c r="K887" s="723"/>
      <c r="L887" s="723"/>
      <c r="M887" s="723"/>
      <c r="N887" s="723"/>
      <c r="T887" s="718"/>
    </row>
    <row r="888" spans="1:20" ht="12" customHeight="1">
      <c r="A888" s="726"/>
      <c r="B888" s="725"/>
      <c r="C888" s="724"/>
      <c r="D888" s="723"/>
      <c r="E888" s="723"/>
      <c r="F888" s="723"/>
      <c r="G888" s="723" t="str">
        <f t="shared" si="44"/>
        <v/>
      </c>
      <c r="H888" s="723"/>
      <c r="I888" s="723"/>
      <c r="J888" s="723"/>
      <c r="K888" s="723"/>
      <c r="L888" s="723"/>
      <c r="M888" s="723"/>
      <c r="N888" s="723"/>
      <c r="T888" s="718"/>
    </row>
    <row r="889" spans="1:20" ht="12" customHeight="1">
      <c r="A889" s="726"/>
      <c r="B889" s="725"/>
      <c r="C889" s="724"/>
      <c r="D889" s="723"/>
      <c r="E889" s="723"/>
      <c r="F889" s="723"/>
      <c r="G889" s="723" t="str">
        <f t="shared" si="44"/>
        <v/>
      </c>
      <c r="H889" s="723"/>
      <c r="I889" s="723"/>
      <c r="J889" s="723"/>
      <c r="K889" s="723"/>
      <c r="L889" s="723"/>
      <c r="M889" s="723"/>
      <c r="N889" s="723"/>
      <c r="T889" s="718"/>
    </row>
    <row r="890" spans="1:20" ht="12" customHeight="1">
      <c r="A890" s="726"/>
      <c r="B890" s="725"/>
      <c r="C890" s="724"/>
      <c r="D890" s="723"/>
      <c r="E890" s="723"/>
      <c r="F890" s="723"/>
      <c r="G890" s="723" t="str">
        <f t="shared" si="44"/>
        <v/>
      </c>
      <c r="H890" s="723"/>
      <c r="I890" s="723"/>
      <c r="J890" s="723"/>
      <c r="K890" s="723"/>
      <c r="L890" s="723"/>
      <c r="M890" s="723"/>
      <c r="N890" s="723"/>
      <c r="T890" s="718"/>
    </row>
    <row r="891" spans="1:20" ht="12" customHeight="1">
      <c r="A891" s="726"/>
      <c r="B891" s="725"/>
      <c r="C891" s="724"/>
      <c r="D891" s="723"/>
      <c r="E891" s="723"/>
      <c r="F891" s="723"/>
      <c r="G891" s="723" t="str">
        <f t="shared" si="44"/>
        <v/>
      </c>
      <c r="H891" s="723"/>
      <c r="I891" s="723"/>
      <c r="J891" s="723"/>
      <c r="K891" s="723"/>
      <c r="L891" s="723"/>
      <c r="M891" s="723"/>
      <c r="N891" s="723"/>
      <c r="T891" s="718"/>
    </row>
    <row r="892" spans="1:20" ht="12" customHeight="1">
      <c r="A892" s="726"/>
      <c r="B892" s="725"/>
      <c r="C892" s="724"/>
      <c r="D892" s="723"/>
      <c r="E892" s="723"/>
      <c r="F892" s="723"/>
      <c r="G892" s="723" t="str">
        <f t="shared" si="44"/>
        <v/>
      </c>
      <c r="H892" s="723"/>
      <c r="I892" s="723"/>
      <c r="J892" s="723"/>
      <c r="K892" s="723"/>
      <c r="L892" s="723"/>
      <c r="M892" s="723"/>
      <c r="N892" s="723"/>
      <c r="T892" s="718"/>
    </row>
    <row r="893" spans="1:20" ht="12" customHeight="1">
      <c r="A893" s="726"/>
      <c r="B893" s="725"/>
      <c r="C893" s="724"/>
      <c r="D893" s="723"/>
      <c r="E893" s="723"/>
      <c r="F893" s="723"/>
      <c r="G893" s="723" t="str">
        <f t="shared" si="44"/>
        <v/>
      </c>
      <c r="H893" s="723"/>
      <c r="I893" s="723"/>
      <c r="J893" s="723"/>
      <c r="K893" s="723"/>
      <c r="L893" s="723"/>
      <c r="M893" s="723"/>
      <c r="N893" s="723"/>
      <c r="T893" s="718"/>
    </row>
    <row r="894" spans="1:20" ht="12" customHeight="1">
      <c r="A894" s="726"/>
      <c r="B894" s="725"/>
      <c r="C894" s="724"/>
      <c r="D894" s="723"/>
      <c r="E894" s="723"/>
      <c r="F894" s="723"/>
      <c r="G894" s="723" t="str">
        <f t="shared" si="44"/>
        <v/>
      </c>
      <c r="H894" s="723"/>
      <c r="I894" s="723"/>
      <c r="J894" s="723"/>
      <c r="K894" s="723"/>
      <c r="L894" s="723"/>
      <c r="M894" s="723"/>
      <c r="N894" s="723"/>
      <c r="T894" s="718"/>
    </row>
    <row r="895" spans="1:20" ht="12" customHeight="1">
      <c r="A895" s="726"/>
      <c r="B895" s="725"/>
      <c r="C895" s="724"/>
      <c r="D895" s="723"/>
      <c r="E895" s="723"/>
      <c r="F895" s="723"/>
      <c r="G895" s="723" t="str">
        <f t="shared" si="44"/>
        <v/>
      </c>
      <c r="H895" s="723"/>
      <c r="I895" s="723"/>
      <c r="J895" s="723"/>
      <c r="K895" s="723"/>
      <c r="L895" s="723"/>
      <c r="M895" s="723"/>
      <c r="N895" s="723"/>
      <c r="T895" s="718"/>
    </row>
    <row r="896" spans="1:20" ht="12" customHeight="1">
      <c r="A896" s="726"/>
      <c r="B896" s="725"/>
      <c r="C896" s="724"/>
      <c r="D896" s="723"/>
      <c r="E896" s="723"/>
      <c r="F896" s="723"/>
      <c r="G896" s="723" t="str">
        <f t="shared" si="44"/>
        <v/>
      </c>
      <c r="H896" s="723"/>
      <c r="I896" s="723"/>
      <c r="J896" s="723"/>
      <c r="K896" s="723"/>
      <c r="L896" s="723"/>
      <c r="M896" s="723"/>
      <c r="N896" s="723"/>
      <c r="T896" s="718"/>
    </row>
    <row r="897" spans="1:20" ht="12" customHeight="1">
      <c r="A897" s="726"/>
      <c r="B897" s="725"/>
      <c r="C897" s="724"/>
      <c r="D897" s="723"/>
      <c r="E897" s="723"/>
      <c r="F897" s="723"/>
      <c r="G897" s="723" t="str">
        <f t="shared" si="44"/>
        <v/>
      </c>
      <c r="H897" s="723"/>
      <c r="I897" s="723"/>
      <c r="J897" s="723"/>
      <c r="K897" s="723"/>
      <c r="L897" s="723"/>
      <c r="M897" s="723"/>
      <c r="N897" s="723"/>
      <c r="T897" s="718"/>
    </row>
    <row r="898" spans="1:20" ht="12" customHeight="1">
      <c r="A898" s="726"/>
      <c r="B898" s="725"/>
      <c r="C898" s="724"/>
      <c r="D898" s="723"/>
      <c r="E898" s="723"/>
      <c r="F898" s="723"/>
      <c r="G898" s="723" t="str">
        <f t="shared" si="44"/>
        <v/>
      </c>
      <c r="H898" s="723"/>
      <c r="I898" s="723"/>
      <c r="J898" s="723"/>
      <c r="K898" s="723"/>
      <c r="L898" s="723"/>
      <c r="M898" s="723"/>
      <c r="N898" s="723"/>
      <c r="T898" s="718"/>
    </row>
    <row r="899" spans="1:20" ht="12" customHeight="1">
      <c r="A899" s="726"/>
      <c r="B899" s="725"/>
      <c r="C899" s="724"/>
      <c r="D899" s="723"/>
      <c r="E899" s="723"/>
      <c r="F899" s="723"/>
      <c r="G899" s="723" t="str">
        <f t="shared" si="44"/>
        <v/>
      </c>
      <c r="H899" s="723"/>
      <c r="I899" s="723"/>
      <c r="J899" s="723"/>
      <c r="K899" s="723"/>
      <c r="L899" s="723"/>
      <c r="M899" s="723"/>
      <c r="N899" s="723"/>
      <c r="T899" s="718"/>
    </row>
    <row r="900" spans="1:20" ht="12" customHeight="1">
      <c r="A900" s="726"/>
      <c r="B900" s="725"/>
      <c r="C900" s="724"/>
      <c r="D900" s="723"/>
      <c r="E900" s="723"/>
      <c r="F900" s="723"/>
      <c r="G900" s="723" t="str">
        <f t="shared" si="44"/>
        <v/>
      </c>
      <c r="H900" s="723"/>
      <c r="I900" s="723"/>
      <c r="J900" s="723"/>
      <c r="K900" s="723"/>
      <c r="L900" s="723"/>
      <c r="M900" s="723"/>
      <c r="N900" s="723"/>
      <c r="T900" s="718"/>
    </row>
    <row r="901" spans="1:20" ht="12" customHeight="1">
      <c r="A901" s="726"/>
      <c r="B901" s="725"/>
      <c r="C901" s="724"/>
      <c r="D901" s="723"/>
      <c r="E901" s="723"/>
      <c r="F901" s="723"/>
      <c r="G901" s="723" t="str">
        <f t="shared" si="44"/>
        <v/>
      </c>
      <c r="H901" s="723"/>
      <c r="I901" s="723"/>
      <c r="J901" s="723"/>
      <c r="K901" s="723"/>
      <c r="L901" s="723"/>
      <c r="M901" s="723"/>
      <c r="N901" s="723"/>
      <c r="T901" s="718"/>
    </row>
    <row r="902" spans="1:20" ht="12" customHeight="1">
      <c r="A902" s="728"/>
      <c r="B902" s="727" t="str">
        <f>K522</f>
        <v>september</v>
      </c>
      <c r="C902" s="727"/>
      <c r="D902" s="727" t="s">
        <v>709</v>
      </c>
      <c r="E902" s="727" t="s">
        <v>284</v>
      </c>
      <c r="F902" s="727" t="s">
        <v>286</v>
      </c>
      <c r="G902" s="727" t="s">
        <v>15</v>
      </c>
      <c r="H902" s="727" t="s">
        <v>384</v>
      </c>
      <c r="I902" s="727" t="s">
        <v>14</v>
      </c>
      <c r="J902" s="727"/>
      <c r="K902" s="727"/>
      <c r="L902" s="727"/>
      <c r="M902" s="727"/>
      <c r="N902" s="727"/>
      <c r="T902" s="718"/>
    </row>
    <row r="903" spans="1:20" ht="12" customHeight="1">
      <c r="A903" s="726"/>
      <c r="B903" s="725"/>
      <c r="C903" s="724"/>
      <c r="D903" s="723"/>
      <c r="E903" s="723"/>
      <c r="F903" s="723"/>
      <c r="G903" s="723" t="str">
        <f t="shared" ref="G903:G940" si="45">IF($D903&gt;0,$D903-$E903-$F903-$H903-$I903,"")</f>
        <v/>
      </c>
      <c r="H903" s="723"/>
      <c r="I903" s="723"/>
      <c r="J903" s="723"/>
      <c r="K903" s="723"/>
      <c r="L903" s="723"/>
      <c r="M903" s="723"/>
      <c r="N903" s="723"/>
      <c r="T903" s="718"/>
    </row>
    <row r="904" spans="1:20" ht="12" customHeight="1">
      <c r="A904" s="726"/>
      <c r="B904" s="725"/>
      <c r="C904" s="724"/>
      <c r="D904" s="723"/>
      <c r="E904" s="723"/>
      <c r="F904" s="723"/>
      <c r="G904" s="723" t="str">
        <f t="shared" si="45"/>
        <v/>
      </c>
      <c r="H904" s="723"/>
      <c r="I904" s="723"/>
      <c r="J904" s="723"/>
      <c r="K904" s="723"/>
      <c r="L904" s="723"/>
      <c r="M904" s="723"/>
      <c r="N904" s="723"/>
      <c r="T904" s="718"/>
    </row>
    <row r="905" spans="1:20" ht="12" customHeight="1">
      <c r="A905" s="726"/>
      <c r="B905" s="725"/>
      <c r="C905" s="724"/>
      <c r="D905" s="723"/>
      <c r="E905" s="723"/>
      <c r="F905" s="723"/>
      <c r="G905" s="723" t="str">
        <f t="shared" si="45"/>
        <v/>
      </c>
      <c r="H905" s="723"/>
      <c r="I905" s="723"/>
      <c r="J905" s="723"/>
      <c r="K905" s="723"/>
      <c r="L905" s="723"/>
      <c r="M905" s="723"/>
      <c r="N905" s="723"/>
      <c r="T905" s="718"/>
    </row>
    <row r="906" spans="1:20" ht="12" customHeight="1">
      <c r="A906" s="726"/>
      <c r="B906" s="725"/>
      <c r="C906" s="724"/>
      <c r="D906" s="723"/>
      <c r="E906" s="723"/>
      <c r="F906" s="723"/>
      <c r="G906" s="723" t="str">
        <f t="shared" si="45"/>
        <v/>
      </c>
      <c r="H906" s="723"/>
      <c r="I906" s="723"/>
      <c r="J906" s="723"/>
      <c r="K906" s="723"/>
      <c r="L906" s="723"/>
      <c r="M906" s="723"/>
      <c r="N906" s="723"/>
      <c r="T906" s="718"/>
    </row>
    <row r="907" spans="1:20" ht="12" customHeight="1">
      <c r="A907" s="726"/>
      <c r="B907" s="725"/>
      <c r="C907" s="724"/>
      <c r="D907" s="723"/>
      <c r="E907" s="723"/>
      <c r="F907" s="723"/>
      <c r="G907" s="723" t="str">
        <f t="shared" si="45"/>
        <v/>
      </c>
      <c r="H907" s="723"/>
      <c r="I907" s="723"/>
      <c r="J907" s="723"/>
      <c r="K907" s="723"/>
      <c r="L907" s="723"/>
      <c r="M907" s="723"/>
      <c r="N907" s="723"/>
      <c r="T907" s="718"/>
    </row>
    <row r="908" spans="1:20" ht="12" customHeight="1">
      <c r="A908" s="726"/>
      <c r="B908" s="725"/>
      <c r="C908" s="724"/>
      <c r="D908" s="723"/>
      <c r="E908" s="723"/>
      <c r="F908" s="723"/>
      <c r="G908" s="723" t="str">
        <f t="shared" si="45"/>
        <v/>
      </c>
      <c r="H908" s="723"/>
      <c r="I908" s="723"/>
      <c r="J908" s="723"/>
      <c r="K908" s="723"/>
      <c r="L908" s="723"/>
      <c r="M908" s="723"/>
      <c r="N908" s="723"/>
      <c r="T908" s="718"/>
    </row>
    <row r="909" spans="1:20" ht="12" customHeight="1">
      <c r="A909" s="726"/>
      <c r="B909" s="725"/>
      <c r="C909" s="724"/>
      <c r="D909" s="723"/>
      <c r="E909" s="723"/>
      <c r="F909" s="723"/>
      <c r="G909" s="723" t="str">
        <f t="shared" si="45"/>
        <v/>
      </c>
      <c r="H909" s="723"/>
      <c r="I909" s="723"/>
      <c r="J909" s="723"/>
      <c r="K909" s="723"/>
      <c r="L909" s="723"/>
      <c r="M909" s="723"/>
      <c r="N909" s="723"/>
      <c r="T909" s="718"/>
    </row>
    <row r="910" spans="1:20" ht="12" customHeight="1">
      <c r="A910" s="726"/>
      <c r="B910" s="725"/>
      <c r="C910" s="724"/>
      <c r="D910" s="723"/>
      <c r="E910" s="723"/>
      <c r="F910" s="723"/>
      <c r="G910" s="723" t="str">
        <f t="shared" si="45"/>
        <v/>
      </c>
      <c r="H910" s="723"/>
      <c r="I910" s="723"/>
      <c r="J910" s="723"/>
      <c r="K910" s="723"/>
      <c r="L910" s="723"/>
      <c r="M910" s="723"/>
      <c r="N910" s="723"/>
      <c r="T910" s="718"/>
    </row>
    <row r="911" spans="1:20" ht="12" customHeight="1">
      <c r="A911" s="726"/>
      <c r="B911" s="725"/>
      <c r="C911" s="724"/>
      <c r="D911" s="723"/>
      <c r="E911" s="723"/>
      <c r="F911" s="723"/>
      <c r="G911" s="723" t="str">
        <f t="shared" si="45"/>
        <v/>
      </c>
      <c r="H911" s="723"/>
      <c r="I911" s="723"/>
      <c r="J911" s="723"/>
      <c r="K911" s="723"/>
      <c r="L911" s="723"/>
      <c r="M911" s="723"/>
      <c r="N911" s="723"/>
      <c r="T911" s="718"/>
    </row>
    <row r="912" spans="1:20" ht="12" customHeight="1">
      <c r="A912" s="726"/>
      <c r="B912" s="725"/>
      <c r="C912" s="724"/>
      <c r="D912" s="723"/>
      <c r="E912" s="723"/>
      <c r="F912" s="723"/>
      <c r="G912" s="723" t="str">
        <f t="shared" si="45"/>
        <v/>
      </c>
      <c r="H912" s="723"/>
      <c r="I912" s="723"/>
      <c r="J912" s="723"/>
      <c r="K912" s="723"/>
      <c r="L912" s="723"/>
      <c r="M912" s="723"/>
      <c r="N912" s="723"/>
      <c r="T912" s="718"/>
    </row>
    <row r="913" spans="1:20" ht="12" customHeight="1">
      <c r="A913" s="726"/>
      <c r="B913" s="725"/>
      <c r="C913" s="724"/>
      <c r="D913" s="723"/>
      <c r="E913" s="723"/>
      <c r="F913" s="723"/>
      <c r="G913" s="723" t="str">
        <f t="shared" si="45"/>
        <v/>
      </c>
      <c r="H913" s="723"/>
      <c r="I913" s="723"/>
      <c r="J913" s="723"/>
      <c r="K913" s="723"/>
      <c r="L913" s="723"/>
      <c r="M913" s="723"/>
      <c r="N913" s="723"/>
      <c r="T913" s="718"/>
    </row>
    <row r="914" spans="1:20" ht="12" customHeight="1">
      <c r="A914" s="726"/>
      <c r="B914" s="725"/>
      <c r="C914" s="724"/>
      <c r="D914" s="723"/>
      <c r="E914" s="723"/>
      <c r="F914" s="723"/>
      <c r="G914" s="723" t="str">
        <f t="shared" si="45"/>
        <v/>
      </c>
      <c r="H914" s="723"/>
      <c r="I914" s="723"/>
      <c r="J914" s="723"/>
      <c r="K914" s="723"/>
      <c r="L914" s="723"/>
      <c r="M914" s="723"/>
      <c r="N914" s="723"/>
      <c r="T914" s="718"/>
    </row>
    <row r="915" spans="1:20" ht="12" customHeight="1">
      <c r="A915" s="726"/>
      <c r="B915" s="725"/>
      <c r="C915" s="724"/>
      <c r="D915" s="723"/>
      <c r="E915" s="723"/>
      <c r="F915" s="723"/>
      <c r="G915" s="723" t="str">
        <f t="shared" si="45"/>
        <v/>
      </c>
      <c r="H915" s="723"/>
      <c r="I915" s="723"/>
      <c r="J915" s="723"/>
      <c r="K915" s="723"/>
      <c r="L915" s="723"/>
      <c r="M915" s="723"/>
      <c r="N915" s="723"/>
      <c r="T915" s="718"/>
    </row>
    <row r="916" spans="1:20" ht="12" customHeight="1">
      <c r="A916" s="726"/>
      <c r="B916" s="725"/>
      <c r="C916" s="724"/>
      <c r="D916" s="723"/>
      <c r="E916" s="723"/>
      <c r="F916" s="723"/>
      <c r="G916" s="723" t="str">
        <f t="shared" si="45"/>
        <v/>
      </c>
      <c r="H916" s="723"/>
      <c r="I916" s="723"/>
      <c r="J916" s="723"/>
      <c r="K916" s="723"/>
      <c r="L916" s="723"/>
      <c r="M916" s="723"/>
      <c r="N916" s="723"/>
      <c r="T916" s="718"/>
    </row>
    <row r="917" spans="1:20" ht="12" customHeight="1">
      <c r="A917" s="726"/>
      <c r="B917" s="725"/>
      <c r="C917" s="724"/>
      <c r="D917" s="723"/>
      <c r="E917" s="723"/>
      <c r="F917" s="723"/>
      <c r="G917" s="723" t="str">
        <f t="shared" si="45"/>
        <v/>
      </c>
      <c r="H917" s="723"/>
      <c r="I917" s="723"/>
      <c r="J917" s="723"/>
      <c r="K917" s="723"/>
      <c r="L917" s="723"/>
      <c r="M917" s="723"/>
      <c r="N917" s="723"/>
      <c r="T917" s="718"/>
    </row>
    <row r="918" spans="1:20" ht="12" customHeight="1">
      <c r="A918" s="726"/>
      <c r="B918" s="725"/>
      <c r="C918" s="724"/>
      <c r="D918" s="723"/>
      <c r="E918" s="723"/>
      <c r="F918" s="723"/>
      <c r="G918" s="723" t="str">
        <f t="shared" si="45"/>
        <v/>
      </c>
      <c r="H918" s="723"/>
      <c r="I918" s="723"/>
      <c r="J918" s="723"/>
      <c r="K918" s="723"/>
      <c r="L918" s="723"/>
      <c r="M918" s="723"/>
      <c r="N918" s="723"/>
      <c r="T918" s="718"/>
    </row>
    <row r="919" spans="1:20" ht="12" customHeight="1">
      <c r="A919" s="726"/>
      <c r="B919" s="725"/>
      <c r="C919" s="724"/>
      <c r="D919" s="723"/>
      <c r="E919" s="723"/>
      <c r="F919" s="723"/>
      <c r="G919" s="723" t="str">
        <f t="shared" si="45"/>
        <v/>
      </c>
      <c r="H919" s="723"/>
      <c r="I919" s="723"/>
      <c r="J919" s="723"/>
      <c r="K919" s="723"/>
      <c r="L919" s="723"/>
      <c r="M919" s="723"/>
      <c r="N919" s="723"/>
      <c r="T919" s="718"/>
    </row>
    <row r="920" spans="1:20" ht="12" customHeight="1">
      <c r="A920" s="726"/>
      <c r="B920" s="725"/>
      <c r="C920" s="724"/>
      <c r="D920" s="723"/>
      <c r="E920" s="723"/>
      <c r="F920" s="723"/>
      <c r="G920" s="723" t="str">
        <f t="shared" si="45"/>
        <v/>
      </c>
      <c r="H920" s="723"/>
      <c r="I920" s="723"/>
      <c r="J920" s="723"/>
      <c r="K920" s="723"/>
      <c r="L920" s="723"/>
      <c r="M920" s="723"/>
      <c r="N920" s="723"/>
      <c r="T920" s="718"/>
    </row>
    <row r="921" spans="1:20" ht="12" customHeight="1">
      <c r="A921" s="726"/>
      <c r="B921" s="725"/>
      <c r="C921" s="724"/>
      <c r="D921" s="723"/>
      <c r="E921" s="723"/>
      <c r="F921" s="723"/>
      <c r="G921" s="723" t="str">
        <f t="shared" si="45"/>
        <v/>
      </c>
      <c r="H921" s="723"/>
      <c r="I921" s="723"/>
      <c r="J921" s="723"/>
      <c r="K921" s="723"/>
      <c r="L921" s="723"/>
      <c r="M921" s="723"/>
      <c r="N921" s="723"/>
      <c r="T921" s="718"/>
    </row>
    <row r="922" spans="1:20" ht="12" customHeight="1">
      <c r="A922" s="726"/>
      <c r="B922" s="725"/>
      <c r="C922" s="724"/>
      <c r="D922" s="723"/>
      <c r="E922" s="723"/>
      <c r="F922" s="723"/>
      <c r="G922" s="723" t="str">
        <f t="shared" si="45"/>
        <v/>
      </c>
      <c r="H922" s="723"/>
      <c r="I922" s="723"/>
      <c r="J922" s="723"/>
      <c r="K922" s="723"/>
      <c r="L922" s="723"/>
      <c r="M922" s="723"/>
      <c r="N922" s="723"/>
      <c r="T922" s="718"/>
    </row>
    <row r="923" spans="1:20" ht="12" customHeight="1">
      <c r="A923" s="726"/>
      <c r="B923" s="725"/>
      <c r="C923" s="724"/>
      <c r="D923" s="723"/>
      <c r="E923" s="723"/>
      <c r="F923" s="723"/>
      <c r="G923" s="723" t="str">
        <f t="shared" si="45"/>
        <v/>
      </c>
      <c r="H923" s="723"/>
      <c r="I923" s="723"/>
      <c r="J923" s="723"/>
      <c r="K923" s="723"/>
      <c r="L923" s="723"/>
      <c r="M923" s="723"/>
      <c r="N923" s="723"/>
      <c r="T923" s="718"/>
    </row>
    <row r="924" spans="1:20" ht="12" customHeight="1">
      <c r="A924" s="726"/>
      <c r="B924" s="725"/>
      <c r="C924" s="724"/>
      <c r="D924" s="723"/>
      <c r="E924" s="723"/>
      <c r="F924" s="723"/>
      <c r="G924" s="723" t="str">
        <f t="shared" si="45"/>
        <v/>
      </c>
      <c r="H924" s="723"/>
      <c r="I924" s="723"/>
      <c r="J924" s="723"/>
      <c r="K924" s="723"/>
      <c r="L924" s="723"/>
      <c r="M924" s="723"/>
      <c r="N924" s="723"/>
      <c r="T924" s="718"/>
    </row>
    <row r="925" spans="1:20" ht="12" customHeight="1">
      <c r="A925" s="726"/>
      <c r="B925" s="725"/>
      <c r="C925" s="724"/>
      <c r="D925" s="723"/>
      <c r="E925" s="723"/>
      <c r="F925" s="723"/>
      <c r="G925" s="723" t="str">
        <f t="shared" si="45"/>
        <v/>
      </c>
      <c r="H925" s="723"/>
      <c r="I925" s="723"/>
      <c r="J925" s="723"/>
      <c r="K925" s="723"/>
      <c r="L925" s="723"/>
      <c r="M925" s="723"/>
      <c r="N925" s="723"/>
      <c r="T925" s="718"/>
    </row>
    <row r="926" spans="1:20" ht="12" customHeight="1">
      <c r="A926" s="726"/>
      <c r="B926" s="725"/>
      <c r="C926" s="724"/>
      <c r="D926" s="723"/>
      <c r="E926" s="723"/>
      <c r="F926" s="723"/>
      <c r="G926" s="723" t="str">
        <f t="shared" si="45"/>
        <v/>
      </c>
      <c r="H926" s="723"/>
      <c r="I926" s="723"/>
      <c r="J926" s="723"/>
      <c r="K926" s="723"/>
      <c r="L926" s="723"/>
      <c r="M926" s="723"/>
      <c r="N926" s="723"/>
      <c r="T926" s="718"/>
    </row>
    <row r="927" spans="1:20" ht="12" customHeight="1">
      <c r="A927" s="726"/>
      <c r="B927" s="725"/>
      <c r="C927" s="724"/>
      <c r="D927" s="723"/>
      <c r="E927" s="723"/>
      <c r="F927" s="723"/>
      <c r="G927" s="723" t="str">
        <f t="shared" si="45"/>
        <v/>
      </c>
      <c r="H927" s="723"/>
      <c r="I927" s="723"/>
      <c r="J927" s="723"/>
      <c r="K927" s="723"/>
      <c r="L927" s="723"/>
      <c r="M927" s="723"/>
      <c r="N927" s="723"/>
      <c r="T927" s="718"/>
    </row>
    <row r="928" spans="1:20" ht="12" customHeight="1">
      <c r="A928" s="726"/>
      <c r="B928" s="725"/>
      <c r="C928" s="724"/>
      <c r="D928" s="723"/>
      <c r="E928" s="723"/>
      <c r="F928" s="723"/>
      <c r="G928" s="723" t="str">
        <f t="shared" si="45"/>
        <v/>
      </c>
      <c r="H928" s="723"/>
      <c r="I928" s="723"/>
      <c r="J928" s="723"/>
      <c r="K928" s="723"/>
      <c r="L928" s="723"/>
      <c r="M928" s="723"/>
      <c r="N928" s="723"/>
      <c r="T928" s="718"/>
    </row>
    <row r="929" spans="1:20" ht="12" customHeight="1">
      <c r="A929" s="726"/>
      <c r="B929" s="725"/>
      <c r="C929" s="724"/>
      <c r="D929" s="723"/>
      <c r="E929" s="723"/>
      <c r="F929" s="723"/>
      <c r="G929" s="723" t="str">
        <f t="shared" si="45"/>
        <v/>
      </c>
      <c r="H929" s="723"/>
      <c r="I929" s="723"/>
      <c r="J929" s="723"/>
      <c r="K929" s="723"/>
      <c r="L929" s="723"/>
      <c r="M929" s="723"/>
      <c r="N929" s="723"/>
      <c r="T929" s="718"/>
    </row>
    <row r="930" spans="1:20" ht="12" customHeight="1">
      <c r="A930" s="726"/>
      <c r="B930" s="725"/>
      <c r="C930" s="724"/>
      <c r="D930" s="723"/>
      <c r="E930" s="723"/>
      <c r="F930" s="723"/>
      <c r="G930" s="723" t="str">
        <f t="shared" si="45"/>
        <v/>
      </c>
      <c r="H930" s="723"/>
      <c r="I930" s="723"/>
      <c r="J930" s="723"/>
      <c r="K930" s="723"/>
      <c r="L930" s="723"/>
      <c r="M930" s="723"/>
      <c r="N930" s="723"/>
      <c r="T930" s="718"/>
    </row>
    <row r="931" spans="1:20" ht="12" customHeight="1">
      <c r="A931" s="726"/>
      <c r="B931" s="725"/>
      <c r="C931" s="724"/>
      <c r="D931" s="723"/>
      <c r="E931" s="723"/>
      <c r="F931" s="723"/>
      <c r="G931" s="723" t="str">
        <f t="shared" si="45"/>
        <v/>
      </c>
      <c r="H931" s="723"/>
      <c r="I931" s="723"/>
      <c r="J931" s="723"/>
      <c r="K931" s="723"/>
      <c r="L931" s="723"/>
      <c r="M931" s="723"/>
      <c r="N931" s="723"/>
      <c r="T931" s="718"/>
    </row>
    <row r="932" spans="1:20" ht="12" customHeight="1">
      <c r="A932" s="726"/>
      <c r="B932" s="725"/>
      <c r="C932" s="724"/>
      <c r="D932" s="723"/>
      <c r="E932" s="723"/>
      <c r="F932" s="723"/>
      <c r="G932" s="723" t="str">
        <f t="shared" si="45"/>
        <v/>
      </c>
      <c r="H932" s="723"/>
      <c r="I932" s="723"/>
      <c r="J932" s="723"/>
      <c r="K932" s="723"/>
      <c r="L932" s="723"/>
      <c r="M932" s="723"/>
      <c r="N932" s="723"/>
      <c r="T932" s="718"/>
    </row>
    <row r="933" spans="1:20" ht="12" customHeight="1">
      <c r="A933" s="726"/>
      <c r="B933" s="725"/>
      <c r="C933" s="724"/>
      <c r="D933" s="723"/>
      <c r="E933" s="723"/>
      <c r="F933" s="723"/>
      <c r="G933" s="723" t="str">
        <f t="shared" si="45"/>
        <v/>
      </c>
      <c r="H933" s="723"/>
      <c r="I933" s="723"/>
      <c r="J933" s="723"/>
      <c r="K933" s="723"/>
      <c r="L933" s="723"/>
      <c r="M933" s="723"/>
      <c r="N933" s="723"/>
      <c r="T933" s="718"/>
    </row>
    <row r="934" spans="1:20" ht="12" customHeight="1">
      <c r="A934" s="726"/>
      <c r="B934" s="725"/>
      <c r="C934" s="724"/>
      <c r="D934" s="723"/>
      <c r="E934" s="723"/>
      <c r="F934" s="723"/>
      <c r="G934" s="723" t="str">
        <f t="shared" si="45"/>
        <v/>
      </c>
      <c r="H934" s="723"/>
      <c r="I934" s="723"/>
      <c r="J934" s="723"/>
      <c r="K934" s="723"/>
      <c r="L934" s="723"/>
      <c r="M934" s="723"/>
      <c r="N934" s="723"/>
      <c r="T934" s="718"/>
    </row>
    <row r="935" spans="1:20" ht="12" customHeight="1">
      <c r="A935" s="726"/>
      <c r="B935" s="725"/>
      <c r="C935" s="724"/>
      <c r="D935" s="723"/>
      <c r="E935" s="723"/>
      <c r="F935" s="723"/>
      <c r="G935" s="723" t="str">
        <f t="shared" si="45"/>
        <v/>
      </c>
      <c r="H935" s="723"/>
      <c r="I935" s="723"/>
      <c r="J935" s="723"/>
      <c r="K935" s="723"/>
      <c r="L935" s="723"/>
      <c r="M935" s="723"/>
      <c r="N935" s="723"/>
      <c r="T935" s="718"/>
    </row>
    <row r="936" spans="1:20" ht="12" customHeight="1">
      <c r="A936" s="726"/>
      <c r="B936" s="725"/>
      <c r="C936" s="724"/>
      <c r="D936" s="723"/>
      <c r="E936" s="723"/>
      <c r="F936" s="723"/>
      <c r="G936" s="723" t="str">
        <f t="shared" si="45"/>
        <v/>
      </c>
      <c r="H936" s="723"/>
      <c r="I936" s="723"/>
      <c r="J936" s="723"/>
      <c r="K936" s="723"/>
      <c r="L936" s="723"/>
      <c r="M936" s="723"/>
      <c r="N936" s="723"/>
      <c r="T936" s="718"/>
    </row>
    <row r="937" spans="1:20" ht="12" customHeight="1">
      <c r="A937" s="726"/>
      <c r="B937" s="725"/>
      <c r="C937" s="724"/>
      <c r="D937" s="723"/>
      <c r="E937" s="723"/>
      <c r="F937" s="723"/>
      <c r="G937" s="723" t="str">
        <f t="shared" si="45"/>
        <v/>
      </c>
      <c r="H937" s="723"/>
      <c r="I937" s="723"/>
      <c r="J937" s="723"/>
      <c r="K937" s="723"/>
      <c r="L937" s="723"/>
      <c r="M937" s="723"/>
      <c r="N937" s="723"/>
      <c r="T937" s="718"/>
    </row>
    <row r="938" spans="1:20" ht="12" customHeight="1">
      <c r="A938" s="726"/>
      <c r="B938" s="725"/>
      <c r="C938" s="724"/>
      <c r="D938" s="723"/>
      <c r="E938" s="723"/>
      <c r="F938" s="723"/>
      <c r="G938" s="723" t="str">
        <f t="shared" si="45"/>
        <v/>
      </c>
      <c r="H938" s="723"/>
      <c r="I938" s="723"/>
      <c r="J938" s="723"/>
      <c r="K938" s="723"/>
      <c r="L938" s="723"/>
      <c r="M938" s="723"/>
      <c r="N938" s="723"/>
      <c r="T938" s="718"/>
    </row>
    <row r="939" spans="1:20" ht="12" customHeight="1">
      <c r="A939" s="726"/>
      <c r="B939" s="725"/>
      <c r="C939" s="724"/>
      <c r="D939" s="723"/>
      <c r="E939" s="723"/>
      <c r="F939" s="723"/>
      <c r="G939" s="723" t="str">
        <f t="shared" si="45"/>
        <v/>
      </c>
      <c r="H939" s="723"/>
      <c r="I939" s="723"/>
      <c r="J939" s="723"/>
      <c r="K939" s="723"/>
      <c r="L939" s="723"/>
      <c r="M939" s="723"/>
      <c r="N939" s="723"/>
      <c r="T939" s="718"/>
    </row>
    <row r="940" spans="1:20" ht="12" customHeight="1">
      <c r="A940" s="726"/>
      <c r="B940" s="725"/>
      <c r="C940" s="724"/>
      <c r="D940" s="723"/>
      <c r="E940" s="723"/>
      <c r="F940" s="723"/>
      <c r="G940" s="723" t="str">
        <f t="shared" si="45"/>
        <v/>
      </c>
      <c r="H940" s="723"/>
      <c r="I940" s="723"/>
      <c r="J940" s="723"/>
      <c r="K940" s="723"/>
      <c r="L940" s="723"/>
      <c r="M940" s="723"/>
      <c r="N940" s="723"/>
      <c r="T940" s="718"/>
    </row>
    <row r="941" spans="1:20" ht="12" customHeight="1">
      <c r="A941" s="728"/>
      <c r="B941" s="727" t="str">
        <f>L522</f>
        <v>oktober</v>
      </c>
      <c r="C941" s="727"/>
      <c r="D941" s="727" t="s">
        <v>709</v>
      </c>
      <c r="E941" s="727" t="s">
        <v>284</v>
      </c>
      <c r="F941" s="727" t="s">
        <v>286</v>
      </c>
      <c r="G941" s="727" t="s">
        <v>15</v>
      </c>
      <c r="H941" s="727" t="s">
        <v>384</v>
      </c>
      <c r="I941" s="727" t="s">
        <v>14</v>
      </c>
      <c r="J941" s="727"/>
      <c r="K941" s="727"/>
      <c r="L941" s="727"/>
      <c r="M941" s="727"/>
      <c r="N941" s="727"/>
      <c r="T941" s="718"/>
    </row>
    <row r="942" spans="1:20" ht="12" customHeight="1">
      <c r="A942" s="726"/>
      <c r="B942" s="725"/>
      <c r="C942" s="724"/>
      <c r="D942" s="723"/>
      <c r="E942" s="723"/>
      <c r="F942" s="723"/>
      <c r="G942" s="723" t="str">
        <f t="shared" ref="G942:G969" si="46">IF($D942&gt;0,$D942-$E942-$F942-$H942-$I942,"")</f>
        <v/>
      </c>
      <c r="H942" s="723"/>
      <c r="I942" s="723"/>
      <c r="J942" s="723"/>
      <c r="K942" s="723"/>
      <c r="L942" s="723"/>
      <c r="M942" s="723"/>
      <c r="N942" s="723"/>
      <c r="T942" s="718"/>
    </row>
    <row r="943" spans="1:20" ht="12" customHeight="1">
      <c r="A943" s="726"/>
      <c r="B943" s="725"/>
      <c r="C943" s="724"/>
      <c r="D943" s="723"/>
      <c r="E943" s="723"/>
      <c r="F943" s="723"/>
      <c r="G943" s="723" t="str">
        <f t="shared" si="46"/>
        <v/>
      </c>
      <c r="H943" s="723"/>
      <c r="I943" s="723"/>
      <c r="J943" s="723"/>
      <c r="K943" s="723"/>
      <c r="L943" s="723"/>
      <c r="M943" s="723"/>
      <c r="N943" s="723"/>
      <c r="T943" s="718"/>
    </row>
    <row r="944" spans="1:20" ht="12" customHeight="1">
      <c r="A944" s="726"/>
      <c r="B944" s="725"/>
      <c r="C944" s="724"/>
      <c r="D944" s="723"/>
      <c r="E944" s="723"/>
      <c r="F944" s="723"/>
      <c r="G944" s="723" t="str">
        <f t="shared" si="46"/>
        <v/>
      </c>
      <c r="H944" s="723"/>
      <c r="I944" s="723"/>
      <c r="J944" s="723"/>
      <c r="K944" s="723"/>
      <c r="L944" s="723"/>
      <c r="M944" s="723"/>
      <c r="N944" s="723"/>
      <c r="T944" s="718"/>
    </row>
    <row r="945" spans="1:20" ht="12" customHeight="1">
      <c r="A945" s="726"/>
      <c r="B945" s="725"/>
      <c r="C945" s="724"/>
      <c r="D945" s="723"/>
      <c r="E945" s="723"/>
      <c r="F945" s="723"/>
      <c r="G945" s="723" t="str">
        <f t="shared" si="46"/>
        <v/>
      </c>
      <c r="H945" s="723"/>
      <c r="I945" s="723"/>
      <c r="J945" s="723"/>
      <c r="K945" s="723"/>
      <c r="L945" s="723"/>
      <c r="M945" s="723"/>
      <c r="N945" s="723"/>
      <c r="T945" s="718"/>
    </row>
    <row r="946" spans="1:20" ht="12" customHeight="1">
      <c r="A946" s="726"/>
      <c r="B946" s="725"/>
      <c r="C946" s="724"/>
      <c r="D946" s="723"/>
      <c r="E946" s="723"/>
      <c r="F946" s="723"/>
      <c r="G946" s="723" t="str">
        <f t="shared" si="46"/>
        <v/>
      </c>
      <c r="H946" s="723"/>
      <c r="I946" s="723"/>
      <c r="J946" s="723"/>
      <c r="K946" s="723"/>
      <c r="L946" s="723"/>
      <c r="M946" s="723"/>
      <c r="N946" s="723"/>
      <c r="T946" s="718"/>
    </row>
    <row r="947" spans="1:20" ht="12" customHeight="1">
      <c r="A947" s="726"/>
      <c r="B947" s="725"/>
      <c r="C947" s="724"/>
      <c r="D947" s="723"/>
      <c r="E947" s="723"/>
      <c r="F947" s="723"/>
      <c r="G947" s="723" t="str">
        <f t="shared" si="46"/>
        <v/>
      </c>
      <c r="H947" s="723"/>
      <c r="I947" s="723"/>
      <c r="J947" s="723"/>
      <c r="K947" s="723"/>
      <c r="L947" s="723"/>
      <c r="M947" s="723"/>
      <c r="N947" s="723"/>
      <c r="T947" s="718"/>
    </row>
    <row r="948" spans="1:20" ht="12" customHeight="1">
      <c r="A948" s="726"/>
      <c r="B948" s="725"/>
      <c r="C948" s="724"/>
      <c r="D948" s="723"/>
      <c r="E948" s="723"/>
      <c r="F948" s="723"/>
      <c r="G948" s="723" t="str">
        <f t="shared" si="46"/>
        <v/>
      </c>
      <c r="H948" s="723"/>
      <c r="I948" s="723"/>
      <c r="J948" s="723"/>
      <c r="K948" s="723"/>
      <c r="L948" s="723"/>
      <c r="M948" s="723"/>
      <c r="N948" s="723"/>
      <c r="T948" s="718"/>
    </row>
    <row r="949" spans="1:20" ht="12" customHeight="1">
      <c r="A949" s="726"/>
      <c r="B949" s="725"/>
      <c r="C949" s="724"/>
      <c r="D949" s="723"/>
      <c r="E949" s="723"/>
      <c r="F949" s="723"/>
      <c r="G949" s="723" t="str">
        <f t="shared" si="46"/>
        <v/>
      </c>
      <c r="H949" s="723"/>
      <c r="I949" s="723"/>
      <c r="J949" s="723"/>
      <c r="K949" s="723"/>
      <c r="L949" s="723"/>
      <c r="M949" s="723"/>
      <c r="N949" s="723"/>
      <c r="T949" s="718"/>
    </row>
    <row r="950" spans="1:20" ht="12" customHeight="1">
      <c r="A950" s="726"/>
      <c r="B950" s="725"/>
      <c r="C950" s="724"/>
      <c r="D950" s="723"/>
      <c r="E950" s="723"/>
      <c r="F950" s="723"/>
      <c r="G950" s="723" t="str">
        <f t="shared" si="46"/>
        <v/>
      </c>
      <c r="H950" s="723"/>
      <c r="I950" s="723"/>
      <c r="J950" s="723"/>
      <c r="K950" s="723"/>
      <c r="L950" s="723"/>
      <c r="M950" s="723"/>
      <c r="N950" s="723"/>
      <c r="T950" s="718"/>
    </row>
    <row r="951" spans="1:20" ht="12" customHeight="1">
      <c r="A951" s="726"/>
      <c r="B951" s="725"/>
      <c r="C951" s="724"/>
      <c r="D951" s="723"/>
      <c r="E951" s="723"/>
      <c r="F951" s="723"/>
      <c r="G951" s="723" t="str">
        <f t="shared" si="46"/>
        <v/>
      </c>
      <c r="H951" s="723"/>
      <c r="I951" s="723"/>
      <c r="J951" s="723"/>
      <c r="K951" s="723"/>
      <c r="L951" s="723"/>
      <c r="M951" s="723"/>
      <c r="N951" s="723"/>
      <c r="T951" s="718"/>
    </row>
    <row r="952" spans="1:20" ht="12" customHeight="1">
      <c r="A952" s="726"/>
      <c r="B952" s="725"/>
      <c r="C952" s="724"/>
      <c r="D952" s="723"/>
      <c r="E952" s="723"/>
      <c r="F952" s="723"/>
      <c r="G952" s="723" t="str">
        <f t="shared" si="46"/>
        <v/>
      </c>
      <c r="H952" s="723"/>
      <c r="I952" s="723"/>
      <c r="J952" s="723"/>
      <c r="K952" s="723"/>
      <c r="L952" s="723"/>
      <c r="M952" s="723"/>
      <c r="N952" s="723"/>
      <c r="T952" s="718"/>
    </row>
    <row r="953" spans="1:20" ht="12" customHeight="1">
      <c r="A953" s="726"/>
      <c r="B953" s="725"/>
      <c r="C953" s="724"/>
      <c r="D953" s="723"/>
      <c r="E953" s="723"/>
      <c r="F953" s="723"/>
      <c r="G953" s="723" t="str">
        <f t="shared" si="46"/>
        <v/>
      </c>
      <c r="H953" s="723"/>
      <c r="I953" s="723"/>
      <c r="J953" s="723"/>
      <c r="K953" s="723"/>
      <c r="L953" s="723"/>
      <c r="M953" s="723"/>
      <c r="N953" s="723"/>
      <c r="T953" s="718"/>
    </row>
    <row r="954" spans="1:20" ht="12" customHeight="1">
      <c r="A954" s="726"/>
      <c r="B954" s="725"/>
      <c r="C954" s="724"/>
      <c r="D954" s="723"/>
      <c r="E954" s="723"/>
      <c r="F954" s="723"/>
      <c r="G954" s="723" t="str">
        <f t="shared" si="46"/>
        <v/>
      </c>
      <c r="H954" s="723"/>
      <c r="I954" s="723"/>
      <c r="J954" s="723"/>
      <c r="K954" s="723"/>
      <c r="L954" s="723"/>
      <c r="M954" s="723"/>
      <c r="N954" s="723"/>
      <c r="T954" s="718"/>
    </row>
    <row r="955" spans="1:20" ht="12" customHeight="1">
      <c r="A955" s="726"/>
      <c r="B955" s="725"/>
      <c r="C955" s="724"/>
      <c r="D955" s="723"/>
      <c r="E955" s="723"/>
      <c r="F955" s="723"/>
      <c r="G955" s="723" t="str">
        <f t="shared" si="46"/>
        <v/>
      </c>
      <c r="H955" s="723"/>
      <c r="I955" s="723"/>
      <c r="J955" s="723"/>
      <c r="K955" s="723"/>
      <c r="L955" s="723"/>
      <c r="M955" s="723"/>
      <c r="N955" s="723"/>
      <c r="T955" s="718"/>
    </row>
    <row r="956" spans="1:20" ht="12" customHeight="1">
      <c r="A956" s="726"/>
      <c r="B956" s="725"/>
      <c r="C956" s="724"/>
      <c r="D956" s="723"/>
      <c r="E956" s="723"/>
      <c r="F956" s="723"/>
      <c r="G956" s="723" t="str">
        <f t="shared" si="46"/>
        <v/>
      </c>
      <c r="H956" s="723"/>
      <c r="I956" s="723"/>
      <c r="J956" s="723"/>
      <c r="K956" s="723"/>
      <c r="L956" s="723"/>
      <c r="M956" s="723"/>
      <c r="N956" s="723"/>
      <c r="T956" s="718"/>
    </row>
    <row r="957" spans="1:20" ht="12" customHeight="1">
      <c r="A957" s="726"/>
      <c r="B957" s="725"/>
      <c r="C957" s="724"/>
      <c r="D957" s="723"/>
      <c r="E957" s="723"/>
      <c r="F957" s="723"/>
      <c r="G957" s="723" t="str">
        <f t="shared" si="46"/>
        <v/>
      </c>
      <c r="H957" s="723"/>
      <c r="I957" s="723"/>
      <c r="J957" s="723"/>
      <c r="K957" s="723"/>
      <c r="L957" s="723"/>
      <c r="M957" s="723"/>
      <c r="N957" s="723"/>
      <c r="T957" s="718"/>
    </row>
    <row r="958" spans="1:20" ht="12" customHeight="1">
      <c r="A958" s="726"/>
      <c r="B958" s="725"/>
      <c r="C958" s="724"/>
      <c r="D958" s="723"/>
      <c r="E958" s="723"/>
      <c r="F958" s="723"/>
      <c r="G958" s="723" t="str">
        <f t="shared" si="46"/>
        <v/>
      </c>
      <c r="H958" s="723"/>
      <c r="I958" s="723"/>
      <c r="J958" s="723"/>
      <c r="K958" s="723"/>
      <c r="L958" s="723"/>
      <c r="M958" s="723"/>
      <c r="N958" s="723"/>
      <c r="T958" s="718"/>
    </row>
    <row r="959" spans="1:20" ht="12" customHeight="1">
      <c r="A959" s="726"/>
      <c r="B959" s="725"/>
      <c r="C959" s="724"/>
      <c r="D959" s="723"/>
      <c r="E959" s="723"/>
      <c r="F959" s="723"/>
      <c r="G959" s="723" t="str">
        <f t="shared" si="46"/>
        <v/>
      </c>
      <c r="H959" s="723"/>
      <c r="I959" s="723"/>
      <c r="J959" s="723"/>
      <c r="K959" s="723"/>
      <c r="L959" s="723"/>
      <c r="M959" s="723"/>
      <c r="N959" s="723"/>
      <c r="T959" s="718"/>
    </row>
    <row r="960" spans="1:20" ht="12" customHeight="1">
      <c r="A960" s="726"/>
      <c r="B960" s="725"/>
      <c r="C960" s="724"/>
      <c r="D960" s="723"/>
      <c r="E960" s="723"/>
      <c r="F960" s="723"/>
      <c r="G960" s="723" t="str">
        <f t="shared" si="46"/>
        <v/>
      </c>
      <c r="H960" s="723"/>
      <c r="I960" s="723"/>
      <c r="J960" s="723"/>
      <c r="K960" s="723"/>
      <c r="L960" s="723"/>
      <c r="M960" s="723"/>
      <c r="N960" s="723"/>
      <c r="T960" s="718"/>
    </row>
    <row r="961" spans="1:20" ht="12" customHeight="1">
      <c r="A961" s="726"/>
      <c r="B961" s="725"/>
      <c r="C961" s="724"/>
      <c r="D961" s="723"/>
      <c r="E961" s="723"/>
      <c r="F961" s="723"/>
      <c r="G961" s="723" t="str">
        <f t="shared" si="46"/>
        <v/>
      </c>
      <c r="H961" s="723"/>
      <c r="I961" s="723"/>
      <c r="J961" s="723"/>
      <c r="K961" s="723"/>
      <c r="L961" s="723"/>
      <c r="M961" s="723"/>
      <c r="N961" s="723"/>
      <c r="T961" s="718"/>
    </row>
    <row r="962" spans="1:20" ht="12" customHeight="1">
      <c r="A962" s="726"/>
      <c r="B962" s="725"/>
      <c r="C962" s="724"/>
      <c r="D962" s="723"/>
      <c r="E962" s="723"/>
      <c r="F962" s="723"/>
      <c r="G962" s="723" t="str">
        <f t="shared" si="46"/>
        <v/>
      </c>
      <c r="H962" s="723"/>
      <c r="I962" s="723"/>
      <c r="J962" s="723"/>
      <c r="K962" s="723"/>
      <c r="L962" s="723"/>
      <c r="M962" s="723"/>
      <c r="N962" s="723"/>
      <c r="T962" s="718"/>
    </row>
    <row r="963" spans="1:20" ht="12" customHeight="1">
      <c r="A963" s="726"/>
      <c r="B963" s="725"/>
      <c r="C963" s="724"/>
      <c r="D963" s="723"/>
      <c r="E963" s="723"/>
      <c r="F963" s="723"/>
      <c r="G963" s="723" t="str">
        <f t="shared" si="46"/>
        <v/>
      </c>
      <c r="H963" s="723"/>
      <c r="I963" s="723"/>
      <c r="J963" s="723"/>
      <c r="K963" s="723"/>
      <c r="L963" s="723"/>
      <c r="M963" s="723"/>
      <c r="N963" s="723"/>
      <c r="T963" s="718"/>
    </row>
    <row r="964" spans="1:20" ht="12" customHeight="1">
      <c r="A964" s="726"/>
      <c r="B964" s="725"/>
      <c r="C964" s="724"/>
      <c r="D964" s="723"/>
      <c r="E964" s="723"/>
      <c r="F964" s="723"/>
      <c r="G964" s="723" t="str">
        <f t="shared" si="46"/>
        <v/>
      </c>
      <c r="H964" s="723"/>
      <c r="I964" s="723"/>
      <c r="J964" s="723"/>
      <c r="K964" s="723"/>
      <c r="L964" s="723"/>
      <c r="M964" s="723"/>
      <c r="N964" s="723"/>
      <c r="T964" s="718"/>
    </row>
    <row r="965" spans="1:20" ht="12" customHeight="1">
      <c r="A965" s="726"/>
      <c r="B965" s="725"/>
      <c r="C965" s="724"/>
      <c r="D965" s="723"/>
      <c r="E965" s="723"/>
      <c r="F965" s="723"/>
      <c r="G965" s="723" t="str">
        <f t="shared" si="46"/>
        <v/>
      </c>
      <c r="H965" s="723"/>
      <c r="I965" s="723"/>
      <c r="J965" s="723"/>
      <c r="K965" s="723"/>
      <c r="L965" s="723"/>
      <c r="M965" s="723"/>
      <c r="N965" s="723"/>
      <c r="T965" s="718"/>
    </row>
    <row r="966" spans="1:20" ht="12" customHeight="1">
      <c r="A966" s="726"/>
      <c r="B966" s="725"/>
      <c r="C966" s="724"/>
      <c r="D966" s="723"/>
      <c r="E966" s="723"/>
      <c r="F966" s="723"/>
      <c r="G966" s="723" t="str">
        <f t="shared" si="46"/>
        <v/>
      </c>
      <c r="H966" s="723"/>
      <c r="I966" s="723"/>
      <c r="J966" s="723"/>
      <c r="K966" s="723"/>
      <c r="L966" s="723"/>
      <c r="M966" s="723"/>
      <c r="N966" s="723"/>
      <c r="T966" s="718"/>
    </row>
    <row r="967" spans="1:20" ht="12" customHeight="1">
      <c r="A967" s="726"/>
      <c r="B967" s="725"/>
      <c r="C967" s="724"/>
      <c r="D967" s="723"/>
      <c r="E967" s="723"/>
      <c r="F967" s="723"/>
      <c r="G967" s="723" t="str">
        <f t="shared" si="46"/>
        <v/>
      </c>
      <c r="H967" s="723"/>
      <c r="I967" s="723"/>
      <c r="J967" s="723"/>
      <c r="K967" s="723"/>
      <c r="L967" s="723"/>
      <c r="M967" s="723"/>
      <c r="N967" s="723"/>
      <c r="T967" s="718"/>
    </row>
    <row r="968" spans="1:20" ht="12" customHeight="1">
      <c r="A968" s="726"/>
      <c r="B968" s="725"/>
      <c r="C968" s="724"/>
      <c r="D968" s="723"/>
      <c r="E968" s="723"/>
      <c r="F968" s="723"/>
      <c r="G968" s="723" t="str">
        <f t="shared" si="46"/>
        <v/>
      </c>
      <c r="H968" s="723"/>
      <c r="I968" s="723"/>
      <c r="J968" s="723"/>
      <c r="K968" s="723"/>
      <c r="L968" s="723"/>
      <c r="M968" s="723"/>
      <c r="N968" s="723"/>
      <c r="T968" s="718"/>
    </row>
    <row r="969" spans="1:20" ht="12" customHeight="1">
      <c r="A969" s="726"/>
      <c r="B969" s="725"/>
      <c r="C969" s="724"/>
      <c r="D969" s="723"/>
      <c r="E969" s="723"/>
      <c r="F969" s="723"/>
      <c r="G969" s="723" t="str">
        <f t="shared" si="46"/>
        <v/>
      </c>
      <c r="H969" s="723"/>
      <c r="I969" s="723"/>
      <c r="J969" s="723"/>
      <c r="K969" s="723"/>
      <c r="L969" s="723"/>
      <c r="M969" s="723"/>
      <c r="N969" s="723"/>
      <c r="T969" s="718"/>
    </row>
    <row r="970" spans="1:20" ht="12" customHeight="1">
      <c r="A970" s="728"/>
      <c r="B970" s="727" t="str">
        <f>M522</f>
        <v>november</v>
      </c>
      <c r="C970" s="727"/>
      <c r="D970" s="727" t="s">
        <v>709</v>
      </c>
      <c r="E970" s="727" t="s">
        <v>284</v>
      </c>
      <c r="F970" s="727" t="s">
        <v>286</v>
      </c>
      <c r="G970" s="727" t="s">
        <v>15</v>
      </c>
      <c r="H970" s="727" t="s">
        <v>384</v>
      </c>
      <c r="I970" s="727" t="s">
        <v>14</v>
      </c>
      <c r="J970" s="727"/>
      <c r="K970" s="727"/>
      <c r="L970" s="727"/>
      <c r="M970" s="727"/>
      <c r="N970" s="727"/>
      <c r="T970" s="718"/>
    </row>
    <row r="971" spans="1:20" ht="12" customHeight="1">
      <c r="A971" s="726"/>
      <c r="B971" s="725"/>
      <c r="C971" s="724"/>
      <c r="D971" s="723"/>
      <c r="E971" s="723"/>
      <c r="F971" s="723"/>
      <c r="G971" s="723" t="str">
        <f t="shared" ref="G971:G1011" si="47">IF($D971&gt;0,$D971-$E971-$F971-$H971-$I971,"")</f>
        <v/>
      </c>
      <c r="H971" s="723"/>
      <c r="I971" s="723"/>
      <c r="J971" s="723"/>
      <c r="K971" s="723"/>
      <c r="L971" s="723"/>
      <c r="M971" s="723"/>
      <c r="N971" s="723"/>
      <c r="T971" s="718"/>
    </row>
    <row r="972" spans="1:20" ht="12" customHeight="1">
      <c r="A972" s="726"/>
      <c r="B972" s="725"/>
      <c r="C972" s="724"/>
      <c r="D972" s="723"/>
      <c r="E972" s="723"/>
      <c r="F972" s="723"/>
      <c r="G972" s="723" t="str">
        <f t="shared" si="47"/>
        <v/>
      </c>
      <c r="H972" s="723"/>
      <c r="I972" s="723"/>
      <c r="J972" s="723"/>
      <c r="K972" s="723"/>
      <c r="L972" s="723"/>
      <c r="M972" s="723"/>
      <c r="N972" s="723"/>
      <c r="T972" s="718"/>
    </row>
    <row r="973" spans="1:20" ht="12" customHeight="1">
      <c r="A973" s="726"/>
      <c r="B973" s="725"/>
      <c r="C973" s="724"/>
      <c r="D973" s="723"/>
      <c r="E973" s="723"/>
      <c r="F973" s="723"/>
      <c r="G973" s="723" t="str">
        <f t="shared" si="47"/>
        <v/>
      </c>
      <c r="H973" s="723"/>
      <c r="I973" s="723"/>
      <c r="J973" s="723"/>
      <c r="K973" s="723"/>
      <c r="L973" s="723"/>
      <c r="M973" s="723"/>
      <c r="N973" s="723"/>
      <c r="T973" s="718"/>
    </row>
    <row r="974" spans="1:20" ht="12" customHeight="1">
      <c r="A974" s="726"/>
      <c r="B974" s="725"/>
      <c r="C974" s="724"/>
      <c r="D974" s="723"/>
      <c r="E974" s="723"/>
      <c r="F974" s="723"/>
      <c r="G974" s="723" t="str">
        <f t="shared" si="47"/>
        <v/>
      </c>
      <c r="H974" s="723"/>
      <c r="I974" s="723"/>
      <c r="J974" s="723"/>
      <c r="K974" s="723"/>
      <c r="L974" s="723"/>
      <c r="M974" s="723"/>
      <c r="N974" s="723"/>
      <c r="T974" s="718"/>
    </row>
    <row r="975" spans="1:20" ht="12" customHeight="1">
      <c r="A975" s="726"/>
      <c r="B975" s="725"/>
      <c r="C975" s="724"/>
      <c r="D975" s="723"/>
      <c r="E975" s="723"/>
      <c r="F975" s="723"/>
      <c r="G975" s="723" t="str">
        <f t="shared" si="47"/>
        <v/>
      </c>
      <c r="H975" s="723"/>
      <c r="I975" s="723"/>
      <c r="J975" s="723"/>
      <c r="K975" s="723"/>
      <c r="L975" s="723"/>
      <c r="M975" s="723"/>
      <c r="N975" s="723"/>
      <c r="T975" s="718"/>
    </row>
    <row r="976" spans="1:20" ht="12" customHeight="1">
      <c r="A976" s="726"/>
      <c r="B976" s="725"/>
      <c r="C976" s="724"/>
      <c r="D976" s="723"/>
      <c r="E976" s="723"/>
      <c r="F976" s="723"/>
      <c r="G976" s="723" t="str">
        <f t="shared" si="47"/>
        <v/>
      </c>
      <c r="H976" s="723"/>
      <c r="I976" s="723"/>
      <c r="J976" s="723"/>
      <c r="K976" s="723"/>
      <c r="L976" s="723"/>
      <c r="M976" s="723"/>
      <c r="N976" s="723"/>
      <c r="T976" s="718"/>
    </row>
    <row r="977" spans="1:20" ht="12" customHeight="1">
      <c r="A977" s="726"/>
      <c r="B977" s="725"/>
      <c r="C977" s="724"/>
      <c r="D977" s="723"/>
      <c r="E977" s="723"/>
      <c r="F977" s="723"/>
      <c r="G977" s="723" t="str">
        <f t="shared" si="47"/>
        <v/>
      </c>
      <c r="H977" s="723"/>
      <c r="I977" s="723"/>
      <c r="J977" s="723"/>
      <c r="K977" s="723"/>
      <c r="L977" s="723"/>
      <c r="M977" s="723"/>
      <c r="N977" s="723"/>
      <c r="T977" s="718"/>
    </row>
    <row r="978" spans="1:20" ht="12" customHeight="1">
      <c r="A978" s="726"/>
      <c r="B978" s="725"/>
      <c r="C978" s="724"/>
      <c r="D978" s="723"/>
      <c r="E978" s="723"/>
      <c r="F978" s="723"/>
      <c r="G978" s="723" t="str">
        <f t="shared" si="47"/>
        <v/>
      </c>
      <c r="H978" s="723"/>
      <c r="I978" s="723"/>
      <c r="J978" s="723"/>
      <c r="K978" s="723"/>
      <c r="L978" s="723"/>
      <c r="M978" s="723"/>
      <c r="N978" s="723"/>
      <c r="T978" s="718"/>
    </row>
    <row r="979" spans="1:20" ht="12" customHeight="1">
      <c r="A979" s="726"/>
      <c r="B979" s="725"/>
      <c r="C979" s="724"/>
      <c r="D979" s="723"/>
      <c r="E979" s="723"/>
      <c r="F979" s="723"/>
      <c r="G979" s="723" t="str">
        <f t="shared" si="47"/>
        <v/>
      </c>
      <c r="H979" s="723"/>
      <c r="I979" s="723"/>
      <c r="J979" s="723"/>
      <c r="K979" s="723"/>
      <c r="L979" s="723"/>
      <c r="M979" s="723"/>
      <c r="N979" s="723"/>
      <c r="T979" s="718"/>
    </row>
    <row r="980" spans="1:20" ht="12" customHeight="1">
      <c r="A980" s="726"/>
      <c r="B980" s="725"/>
      <c r="C980" s="724"/>
      <c r="D980" s="723"/>
      <c r="E980" s="723"/>
      <c r="F980" s="723"/>
      <c r="G980" s="723" t="str">
        <f t="shared" si="47"/>
        <v/>
      </c>
      <c r="H980" s="723"/>
      <c r="I980" s="723"/>
      <c r="J980" s="723"/>
      <c r="K980" s="723"/>
      <c r="L980" s="723"/>
      <c r="M980" s="723"/>
      <c r="N980" s="723"/>
      <c r="T980" s="718"/>
    </row>
    <row r="981" spans="1:20" ht="12" customHeight="1">
      <c r="A981" s="726"/>
      <c r="B981" s="725"/>
      <c r="C981" s="724"/>
      <c r="D981" s="723"/>
      <c r="E981" s="723"/>
      <c r="F981" s="723"/>
      <c r="G981" s="723" t="str">
        <f t="shared" si="47"/>
        <v/>
      </c>
      <c r="H981" s="723"/>
      <c r="I981" s="723"/>
      <c r="J981" s="723"/>
      <c r="K981" s="723"/>
      <c r="L981" s="723"/>
      <c r="M981" s="723"/>
      <c r="N981" s="723"/>
      <c r="T981" s="718"/>
    </row>
    <row r="982" spans="1:20" ht="12" customHeight="1">
      <c r="A982" s="726"/>
      <c r="B982" s="725"/>
      <c r="C982" s="724"/>
      <c r="D982" s="723"/>
      <c r="E982" s="723"/>
      <c r="F982" s="723"/>
      <c r="G982" s="723" t="str">
        <f t="shared" si="47"/>
        <v/>
      </c>
      <c r="H982" s="723"/>
      <c r="I982" s="723"/>
      <c r="J982" s="723"/>
      <c r="K982" s="723"/>
      <c r="L982" s="723"/>
      <c r="M982" s="723"/>
      <c r="N982" s="723"/>
      <c r="T982" s="718"/>
    </row>
    <row r="983" spans="1:20" ht="12" customHeight="1">
      <c r="A983" s="726"/>
      <c r="B983" s="725"/>
      <c r="C983" s="724"/>
      <c r="D983" s="723"/>
      <c r="E983" s="723"/>
      <c r="F983" s="723"/>
      <c r="G983" s="723" t="str">
        <f t="shared" si="47"/>
        <v/>
      </c>
      <c r="H983" s="723"/>
      <c r="I983" s="723"/>
      <c r="J983" s="723"/>
      <c r="K983" s="723"/>
      <c r="L983" s="723"/>
      <c r="M983" s="723"/>
      <c r="N983" s="723"/>
      <c r="T983" s="718"/>
    </row>
    <row r="984" spans="1:20" ht="12" customHeight="1">
      <c r="A984" s="726"/>
      <c r="B984" s="725"/>
      <c r="C984" s="724"/>
      <c r="D984" s="723"/>
      <c r="E984" s="723"/>
      <c r="F984" s="723"/>
      <c r="G984" s="723" t="str">
        <f t="shared" si="47"/>
        <v/>
      </c>
      <c r="H984" s="723"/>
      <c r="I984" s="723"/>
      <c r="J984" s="723"/>
      <c r="K984" s="723"/>
      <c r="L984" s="723"/>
      <c r="M984" s="723"/>
      <c r="N984" s="723"/>
      <c r="T984" s="718"/>
    </row>
    <row r="985" spans="1:20" ht="12" customHeight="1">
      <c r="A985" s="726"/>
      <c r="B985" s="725"/>
      <c r="C985" s="724"/>
      <c r="D985" s="723"/>
      <c r="E985" s="723"/>
      <c r="F985" s="723"/>
      <c r="G985" s="723" t="str">
        <f t="shared" si="47"/>
        <v/>
      </c>
      <c r="H985" s="723"/>
      <c r="I985" s="723"/>
      <c r="J985" s="723"/>
      <c r="K985" s="723"/>
      <c r="L985" s="723"/>
      <c r="M985" s="723"/>
      <c r="N985" s="723"/>
      <c r="T985" s="718"/>
    </row>
    <row r="986" spans="1:20" ht="12" customHeight="1">
      <c r="A986" s="726"/>
      <c r="B986" s="725"/>
      <c r="C986" s="724"/>
      <c r="D986" s="723"/>
      <c r="E986" s="723"/>
      <c r="F986" s="723"/>
      <c r="G986" s="723" t="str">
        <f t="shared" si="47"/>
        <v/>
      </c>
      <c r="H986" s="723"/>
      <c r="I986" s="723"/>
      <c r="J986" s="723"/>
      <c r="K986" s="723"/>
      <c r="L986" s="723"/>
      <c r="M986" s="723"/>
      <c r="N986" s="723"/>
      <c r="T986" s="718"/>
    </row>
    <row r="987" spans="1:20" ht="12" customHeight="1">
      <c r="A987" s="726"/>
      <c r="B987" s="725"/>
      <c r="C987" s="724"/>
      <c r="D987" s="723"/>
      <c r="E987" s="723"/>
      <c r="F987" s="723"/>
      <c r="G987" s="723" t="str">
        <f t="shared" si="47"/>
        <v/>
      </c>
      <c r="H987" s="723"/>
      <c r="I987" s="723"/>
      <c r="J987" s="723"/>
      <c r="K987" s="723"/>
      <c r="L987" s="723"/>
      <c r="M987" s="723"/>
      <c r="N987" s="723"/>
      <c r="T987" s="718"/>
    </row>
    <row r="988" spans="1:20" ht="12" customHeight="1">
      <c r="A988" s="726"/>
      <c r="B988" s="725"/>
      <c r="C988" s="724"/>
      <c r="D988" s="723"/>
      <c r="E988" s="723"/>
      <c r="F988" s="723"/>
      <c r="G988" s="723" t="str">
        <f t="shared" si="47"/>
        <v/>
      </c>
      <c r="H988" s="723"/>
      <c r="I988" s="723"/>
      <c r="J988" s="723"/>
      <c r="K988" s="723"/>
      <c r="L988" s="723"/>
      <c r="M988" s="723"/>
      <c r="N988" s="723"/>
      <c r="T988" s="718"/>
    </row>
    <row r="989" spans="1:20" ht="12" customHeight="1">
      <c r="A989" s="726"/>
      <c r="B989" s="725"/>
      <c r="C989" s="724"/>
      <c r="D989" s="723"/>
      <c r="E989" s="723"/>
      <c r="F989" s="723"/>
      <c r="G989" s="723" t="str">
        <f t="shared" si="47"/>
        <v/>
      </c>
      <c r="H989" s="723"/>
      <c r="I989" s="723"/>
      <c r="J989" s="723"/>
      <c r="K989" s="723"/>
      <c r="L989" s="723"/>
      <c r="M989" s="723"/>
      <c r="N989" s="723"/>
      <c r="T989" s="718"/>
    </row>
    <row r="990" spans="1:20" ht="12" customHeight="1">
      <c r="A990" s="726"/>
      <c r="B990" s="725"/>
      <c r="C990" s="724"/>
      <c r="D990" s="723"/>
      <c r="E990" s="723"/>
      <c r="F990" s="723"/>
      <c r="G990" s="723" t="str">
        <f t="shared" si="47"/>
        <v/>
      </c>
      <c r="H990" s="723"/>
      <c r="I990" s="723"/>
      <c r="J990" s="723"/>
      <c r="K990" s="723"/>
      <c r="L990" s="723"/>
      <c r="M990" s="723"/>
      <c r="N990" s="723"/>
      <c r="T990" s="718"/>
    </row>
    <row r="991" spans="1:20" ht="12" customHeight="1">
      <c r="A991" s="726"/>
      <c r="B991" s="725"/>
      <c r="C991" s="724"/>
      <c r="D991" s="723"/>
      <c r="E991" s="723"/>
      <c r="F991" s="723"/>
      <c r="G991" s="723" t="str">
        <f t="shared" si="47"/>
        <v/>
      </c>
      <c r="H991" s="723"/>
      <c r="I991" s="723"/>
      <c r="J991" s="723"/>
      <c r="K991" s="723"/>
      <c r="L991" s="723"/>
      <c r="M991" s="723"/>
      <c r="N991" s="723"/>
      <c r="T991" s="718"/>
    </row>
    <row r="992" spans="1:20" ht="12" customHeight="1">
      <c r="A992" s="726"/>
      <c r="B992" s="725"/>
      <c r="C992" s="724"/>
      <c r="D992" s="723"/>
      <c r="E992" s="723"/>
      <c r="F992" s="723"/>
      <c r="G992" s="723" t="str">
        <f t="shared" si="47"/>
        <v/>
      </c>
      <c r="H992" s="723"/>
      <c r="I992" s="723"/>
      <c r="J992" s="723"/>
      <c r="K992" s="723"/>
      <c r="L992" s="723"/>
      <c r="M992" s="723"/>
      <c r="N992" s="723"/>
      <c r="T992" s="718"/>
    </row>
    <row r="993" spans="1:20" ht="12" customHeight="1">
      <c r="A993" s="726"/>
      <c r="B993" s="725"/>
      <c r="C993" s="724"/>
      <c r="D993" s="723"/>
      <c r="E993" s="723"/>
      <c r="F993" s="723"/>
      <c r="G993" s="723" t="str">
        <f t="shared" si="47"/>
        <v/>
      </c>
      <c r="H993" s="723"/>
      <c r="I993" s="723"/>
      <c r="J993" s="723"/>
      <c r="K993" s="723"/>
      <c r="L993" s="723"/>
      <c r="M993" s="723"/>
      <c r="N993" s="723"/>
      <c r="T993" s="718"/>
    </row>
    <row r="994" spans="1:20" ht="12" customHeight="1">
      <c r="A994" s="726"/>
      <c r="B994" s="725"/>
      <c r="C994" s="724"/>
      <c r="D994" s="723"/>
      <c r="E994" s="723"/>
      <c r="F994" s="723"/>
      <c r="G994" s="723" t="str">
        <f t="shared" si="47"/>
        <v/>
      </c>
      <c r="H994" s="723"/>
      <c r="I994" s="723"/>
      <c r="J994" s="723"/>
      <c r="K994" s="723"/>
      <c r="L994" s="723"/>
      <c r="M994" s="723"/>
      <c r="N994" s="723"/>
      <c r="T994" s="718"/>
    </row>
    <row r="995" spans="1:20" ht="12" customHeight="1">
      <c r="A995" s="726"/>
      <c r="B995" s="725"/>
      <c r="C995" s="724"/>
      <c r="D995" s="723"/>
      <c r="E995" s="723"/>
      <c r="F995" s="723"/>
      <c r="G995" s="723" t="str">
        <f t="shared" si="47"/>
        <v/>
      </c>
      <c r="H995" s="723"/>
      <c r="I995" s="723"/>
      <c r="J995" s="723"/>
      <c r="K995" s="723"/>
      <c r="L995" s="723"/>
      <c r="M995" s="723"/>
      <c r="N995" s="723"/>
      <c r="T995" s="718"/>
    </row>
    <row r="996" spans="1:20" ht="12" customHeight="1">
      <c r="A996" s="726"/>
      <c r="B996" s="725"/>
      <c r="C996" s="724"/>
      <c r="D996" s="723"/>
      <c r="E996" s="723"/>
      <c r="F996" s="723"/>
      <c r="G996" s="723" t="str">
        <f t="shared" si="47"/>
        <v/>
      </c>
      <c r="H996" s="723"/>
      <c r="I996" s="723"/>
      <c r="J996" s="723"/>
      <c r="K996" s="723"/>
      <c r="L996" s="723"/>
      <c r="M996" s="723"/>
      <c r="N996" s="723"/>
      <c r="T996" s="718"/>
    </row>
    <row r="997" spans="1:20" ht="12" customHeight="1">
      <c r="A997" s="726"/>
      <c r="B997" s="725"/>
      <c r="C997" s="724"/>
      <c r="D997" s="723"/>
      <c r="E997" s="723"/>
      <c r="F997" s="723"/>
      <c r="G997" s="723" t="str">
        <f t="shared" si="47"/>
        <v/>
      </c>
      <c r="H997" s="723"/>
      <c r="I997" s="723"/>
      <c r="J997" s="723"/>
      <c r="K997" s="723"/>
      <c r="L997" s="723"/>
      <c r="M997" s="723"/>
      <c r="N997" s="723"/>
      <c r="T997" s="718"/>
    </row>
    <row r="998" spans="1:20" ht="12" customHeight="1">
      <c r="A998" s="726"/>
      <c r="B998" s="725"/>
      <c r="C998" s="724"/>
      <c r="D998" s="723"/>
      <c r="E998" s="723"/>
      <c r="F998" s="723"/>
      <c r="G998" s="723" t="str">
        <f t="shared" si="47"/>
        <v/>
      </c>
      <c r="H998" s="723"/>
      <c r="I998" s="723"/>
      <c r="J998" s="723"/>
      <c r="K998" s="723"/>
      <c r="L998" s="723"/>
      <c r="M998" s="723"/>
      <c r="N998" s="723"/>
      <c r="T998" s="718"/>
    </row>
    <row r="999" spans="1:20" ht="12" customHeight="1">
      <c r="A999" s="726"/>
      <c r="B999" s="725"/>
      <c r="C999" s="724"/>
      <c r="D999" s="723"/>
      <c r="E999" s="723"/>
      <c r="F999" s="723"/>
      <c r="G999" s="723" t="str">
        <f t="shared" si="47"/>
        <v/>
      </c>
      <c r="H999" s="723"/>
      <c r="I999" s="723"/>
      <c r="J999" s="723"/>
      <c r="K999" s="723"/>
      <c r="L999" s="723"/>
      <c r="M999" s="723"/>
      <c r="N999" s="723"/>
      <c r="T999" s="718"/>
    </row>
    <row r="1000" spans="1:20" ht="12" customHeight="1">
      <c r="A1000" s="726"/>
      <c r="B1000" s="725"/>
      <c r="C1000" s="724"/>
      <c r="D1000" s="723"/>
      <c r="E1000" s="723"/>
      <c r="F1000" s="723"/>
      <c r="G1000" s="723" t="str">
        <f t="shared" si="47"/>
        <v/>
      </c>
      <c r="H1000" s="723"/>
      <c r="I1000" s="723"/>
      <c r="J1000" s="723"/>
      <c r="K1000" s="723"/>
      <c r="L1000" s="723"/>
      <c r="M1000" s="723"/>
      <c r="N1000" s="723"/>
      <c r="T1000" s="718"/>
    </row>
    <row r="1001" spans="1:20" ht="12" customHeight="1">
      <c r="A1001" s="726"/>
      <c r="B1001" s="725"/>
      <c r="C1001" s="724"/>
      <c r="D1001" s="723"/>
      <c r="E1001" s="723"/>
      <c r="F1001" s="723"/>
      <c r="G1001" s="723" t="str">
        <f t="shared" si="47"/>
        <v/>
      </c>
      <c r="H1001" s="723"/>
      <c r="I1001" s="723"/>
      <c r="J1001" s="723"/>
      <c r="K1001" s="723"/>
      <c r="L1001" s="723"/>
      <c r="M1001" s="723"/>
      <c r="N1001" s="723"/>
      <c r="T1001" s="718"/>
    </row>
    <row r="1002" spans="1:20" ht="12" customHeight="1">
      <c r="A1002" s="726"/>
      <c r="B1002" s="725"/>
      <c r="C1002" s="724"/>
      <c r="D1002" s="723"/>
      <c r="E1002" s="723"/>
      <c r="F1002" s="723"/>
      <c r="G1002" s="723" t="str">
        <f t="shared" si="47"/>
        <v/>
      </c>
      <c r="H1002" s="723"/>
      <c r="I1002" s="723"/>
      <c r="J1002" s="723"/>
      <c r="K1002" s="723"/>
      <c r="L1002" s="723"/>
      <c r="M1002" s="723"/>
      <c r="N1002" s="723"/>
      <c r="T1002" s="718"/>
    </row>
    <row r="1003" spans="1:20" ht="12" customHeight="1">
      <c r="A1003" s="726"/>
      <c r="B1003" s="725"/>
      <c r="C1003" s="724"/>
      <c r="D1003" s="723"/>
      <c r="E1003" s="723"/>
      <c r="F1003" s="723"/>
      <c r="G1003" s="723" t="str">
        <f t="shared" si="47"/>
        <v/>
      </c>
      <c r="H1003" s="723"/>
      <c r="I1003" s="723"/>
      <c r="J1003" s="723"/>
      <c r="K1003" s="723"/>
      <c r="L1003" s="723"/>
      <c r="M1003" s="723"/>
      <c r="N1003" s="723"/>
      <c r="T1003" s="718"/>
    </row>
    <row r="1004" spans="1:20" ht="12" customHeight="1">
      <c r="A1004" s="726"/>
      <c r="B1004" s="725"/>
      <c r="C1004" s="724"/>
      <c r="D1004" s="723"/>
      <c r="E1004" s="723"/>
      <c r="F1004" s="723"/>
      <c r="G1004" s="723" t="str">
        <f t="shared" si="47"/>
        <v/>
      </c>
      <c r="H1004" s="723"/>
      <c r="I1004" s="723"/>
      <c r="J1004" s="723"/>
      <c r="K1004" s="723"/>
      <c r="L1004" s="723"/>
      <c r="M1004" s="723"/>
      <c r="N1004" s="723"/>
      <c r="T1004" s="718"/>
    </row>
    <row r="1005" spans="1:20" ht="12" customHeight="1">
      <c r="A1005" s="726"/>
      <c r="B1005" s="725"/>
      <c r="C1005" s="724"/>
      <c r="D1005" s="723"/>
      <c r="E1005" s="723"/>
      <c r="F1005" s="723"/>
      <c r="G1005" s="723" t="str">
        <f t="shared" si="47"/>
        <v/>
      </c>
      <c r="H1005" s="723"/>
      <c r="I1005" s="723"/>
      <c r="J1005" s="723"/>
      <c r="K1005" s="723"/>
      <c r="L1005" s="723"/>
      <c r="M1005" s="723"/>
      <c r="N1005" s="723"/>
      <c r="T1005" s="718"/>
    </row>
    <row r="1006" spans="1:20" ht="12" customHeight="1">
      <c r="A1006" s="726"/>
      <c r="B1006" s="725"/>
      <c r="C1006" s="724"/>
      <c r="D1006" s="723"/>
      <c r="E1006" s="723"/>
      <c r="F1006" s="723"/>
      <c r="G1006" s="723" t="str">
        <f t="shared" si="47"/>
        <v/>
      </c>
      <c r="H1006" s="723"/>
      <c r="I1006" s="723"/>
      <c r="J1006" s="723"/>
      <c r="K1006" s="723"/>
      <c r="L1006" s="723"/>
      <c r="M1006" s="723"/>
      <c r="N1006" s="723"/>
      <c r="T1006" s="718"/>
    </row>
    <row r="1007" spans="1:20" ht="12" customHeight="1">
      <c r="A1007" s="726"/>
      <c r="B1007" s="725"/>
      <c r="C1007" s="724"/>
      <c r="D1007" s="723"/>
      <c r="E1007" s="723"/>
      <c r="F1007" s="723"/>
      <c r="G1007" s="723" t="str">
        <f t="shared" si="47"/>
        <v/>
      </c>
      <c r="H1007" s="723"/>
      <c r="I1007" s="723"/>
      <c r="J1007" s="723"/>
      <c r="K1007" s="723"/>
      <c r="L1007" s="723"/>
      <c r="M1007" s="723"/>
      <c r="N1007" s="723"/>
      <c r="T1007" s="718"/>
    </row>
    <row r="1008" spans="1:20" ht="12" customHeight="1">
      <c r="A1008" s="726"/>
      <c r="B1008" s="725"/>
      <c r="C1008" s="724"/>
      <c r="D1008" s="723"/>
      <c r="E1008" s="723"/>
      <c r="F1008" s="723"/>
      <c r="G1008" s="723" t="str">
        <f t="shared" si="47"/>
        <v/>
      </c>
      <c r="H1008" s="723"/>
      <c r="I1008" s="723"/>
      <c r="J1008" s="723"/>
      <c r="K1008" s="723"/>
      <c r="L1008" s="723"/>
      <c r="M1008" s="723"/>
      <c r="N1008" s="723"/>
      <c r="T1008" s="718"/>
    </row>
    <row r="1009" spans="1:20" ht="12" customHeight="1">
      <c r="A1009" s="726"/>
      <c r="B1009" s="725"/>
      <c r="C1009" s="724"/>
      <c r="D1009" s="723"/>
      <c r="E1009" s="723"/>
      <c r="F1009" s="723"/>
      <c r="G1009" s="723" t="str">
        <f t="shared" si="47"/>
        <v/>
      </c>
      <c r="H1009" s="723"/>
      <c r="I1009" s="723"/>
      <c r="J1009" s="723"/>
      <c r="K1009" s="723"/>
      <c r="L1009" s="723"/>
      <c r="M1009" s="723"/>
      <c r="N1009" s="723"/>
      <c r="T1009" s="718"/>
    </row>
    <row r="1010" spans="1:20" ht="12" customHeight="1">
      <c r="A1010" s="726"/>
      <c r="B1010" s="725"/>
      <c r="C1010" s="724"/>
      <c r="D1010" s="723"/>
      <c r="E1010" s="723"/>
      <c r="F1010" s="723"/>
      <c r="G1010" s="723" t="str">
        <f t="shared" si="47"/>
        <v/>
      </c>
      <c r="H1010" s="723"/>
      <c r="I1010" s="723"/>
      <c r="J1010" s="723"/>
      <c r="K1010" s="723"/>
      <c r="L1010" s="723"/>
      <c r="M1010" s="723"/>
      <c r="N1010" s="723"/>
      <c r="T1010" s="718"/>
    </row>
    <row r="1011" spans="1:20" ht="12" customHeight="1">
      <c r="A1011" s="726"/>
      <c r="B1011" s="725"/>
      <c r="C1011" s="724"/>
      <c r="D1011" s="723"/>
      <c r="E1011" s="723"/>
      <c r="F1011" s="723"/>
      <c r="G1011" s="723" t="str">
        <f t="shared" si="47"/>
        <v/>
      </c>
      <c r="H1011" s="723"/>
      <c r="I1011" s="723"/>
      <c r="J1011" s="723"/>
      <c r="K1011" s="723"/>
      <c r="L1011" s="723"/>
      <c r="M1011" s="723"/>
      <c r="N1011" s="723"/>
      <c r="T1011" s="718"/>
    </row>
    <row r="1012" spans="1:20" ht="12" customHeight="1">
      <c r="A1012" s="728"/>
      <c r="B1012" s="727" t="str">
        <f>N522</f>
        <v>december</v>
      </c>
      <c r="C1012" s="727"/>
      <c r="D1012" s="727" t="s">
        <v>709</v>
      </c>
      <c r="E1012" s="727" t="s">
        <v>284</v>
      </c>
      <c r="F1012" s="727" t="s">
        <v>286</v>
      </c>
      <c r="G1012" s="727" t="s">
        <v>15</v>
      </c>
      <c r="H1012" s="727" t="s">
        <v>384</v>
      </c>
      <c r="I1012" s="727" t="s">
        <v>14</v>
      </c>
      <c r="J1012" s="727"/>
      <c r="K1012" s="727"/>
      <c r="L1012" s="727"/>
      <c r="M1012" s="727"/>
      <c r="N1012" s="727"/>
      <c r="T1012" s="718"/>
    </row>
    <row r="1013" spans="1:20" ht="12" customHeight="1">
      <c r="A1013" s="726"/>
      <c r="B1013" s="725"/>
      <c r="C1013" s="724"/>
      <c r="D1013" s="723"/>
      <c r="E1013" s="723"/>
      <c r="F1013" s="723"/>
      <c r="G1013" s="723" t="str">
        <f t="shared" ref="G1013:G1037" si="48">IF($D1013&gt;0,$D1013-$E1013-$F1013-$H1013-$I1013,"")</f>
        <v/>
      </c>
      <c r="H1013" s="723"/>
      <c r="I1013" s="723"/>
      <c r="J1013" s="723"/>
      <c r="K1013" s="723"/>
      <c r="L1013" s="723"/>
      <c r="M1013" s="723"/>
      <c r="N1013" s="723"/>
      <c r="T1013" s="718"/>
    </row>
    <row r="1014" spans="1:20" ht="12" customHeight="1">
      <c r="A1014" s="726"/>
      <c r="B1014" s="725"/>
      <c r="C1014" s="724"/>
      <c r="D1014" s="723"/>
      <c r="E1014" s="723"/>
      <c r="F1014" s="723"/>
      <c r="G1014" s="723" t="str">
        <f t="shared" si="48"/>
        <v/>
      </c>
      <c r="H1014" s="723"/>
      <c r="I1014" s="723"/>
      <c r="J1014" s="723"/>
      <c r="K1014" s="723"/>
      <c r="L1014" s="723"/>
      <c r="M1014" s="723"/>
      <c r="N1014" s="723"/>
      <c r="T1014" s="718"/>
    </row>
    <row r="1015" spans="1:20" ht="12" customHeight="1">
      <c r="A1015" s="726"/>
      <c r="B1015" s="725"/>
      <c r="C1015" s="724"/>
      <c r="D1015" s="723"/>
      <c r="E1015" s="723"/>
      <c r="F1015" s="723"/>
      <c r="G1015" s="723" t="str">
        <f t="shared" si="48"/>
        <v/>
      </c>
      <c r="H1015" s="723"/>
      <c r="I1015" s="723"/>
      <c r="J1015" s="723"/>
      <c r="K1015" s="723"/>
      <c r="L1015" s="723"/>
      <c r="M1015" s="723"/>
      <c r="N1015" s="723"/>
      <c r="T1015" s="718"/>
    </row>
    <row r="1016" spans="1:20" ht="12" customHeight="1">
      <c r="A1016" s="726"/>
      <c r="B1016" s="725"/>
      <c r="C1016" s="724"/>
      <c r="D1016" s="723"/>
      <c r="E1016" s="723"/>
      <c r="F1016" s="723"/>
      <c r="G1016" s="723" t="str">
        <f t="shared" si="48"/>
        <v/>
      </c>
      <c r="H1016" s="723"/>
      <c r="I1016" s="723"/>
      <c r="J1016" s="723"/>
      <c r="K1016" s="723"/>
      <c r="L1016" s="723"/>
      <c r="M1016" s="723"/>
      <c r="N1016" s="723"/>
      <c r="T1016" s="718"/>
    </row>
    <row r="1017" spans="1:20" ht="12" customHeight="1">
      <c r="A1017" s="726"/>
      <c r="B1017" s="725"/>
      <c r="C1017" s="724"/>
      <c r="D1017" s="723"/>
      <c r="E1017" s="723"/>
      <c r="F1017" s="723"/>
      <c r="G1017" s="723" t="str">
        <f t="shared" si="48"/>
        <v/>
      </c>
      <c r="H1017" s="723"/>
      <c r="I1017" s="723"/>
      <c r="J1017" s="723"/>
      <c r="K1017" s="723"/>
      <c r="L1017" s="723"/>
      <c r="M1017" s="723"/>
      <c r="N1017" s="723"/>
      <c r="T1017" s="718"/>
    </row>
    <row r="1018" spans="1:20" ht="12" customHeight="1">
      <c r="A1018" s="726"/>
      <c r="B1018" s="725"/>
      <c r="C1018" s="724"/>
      <c r="D1018" s="723"/>
      <c r="E1018" s="723"/>
      <c r="F1018" s="723"/>
      <c r="G1018" s="723" t="str">
        <f t="shared" si="48"/>
        <v/>
      </c>
      <c r="H1018" s="723"/>
      <c r="I1018" s="723"/>
      <c r="J1018" s="723"/>
      <c r="K1018" s="723"/>
      <c r="L1018" s="723"/>
      <c r="M1018" s="723"/>
      <c r="N1018" s="723"/>
      <c r="T1018" s="718"/>
    </row>
    <row r="1019" spans="1:20" ht="12" customHeight="1">
      <c r="A1019" s="726"/>
      <c r="B1019" s="725"/>
      <c r="C1019" s="724"/>
      <c r="D1019" s="723"/>
      <c r="E1019" s="723"/>
      <c r="F1019" s="723"/>
      <c r="G1019" s="723" t="str">
        <f t="shared" si="48"/>
        <v/>
      </c>
      <c r="H1019" s="723"/>
      <c r="I1019" s="723"/>
      <c r="J1019" s="723"/>
      <c r="K1019" s="723"/>
      <c r="L1019" s="723"/>
      <c r="M1019" s="723"/>
      <c r="N1019" s="723"/>
      <c r="T1019" s="718"/>
    </row>
    <row r="1020" spans="1:20" ht="12" customHeight="1">
      <c r="A1020" s="726"/>
      <c r="B1020" s="725"/>
      <c r="C1020" s="724"/>
      <c r="D1020" s="723"/>
      <c r="E1020" s="723"/>
      <c r="F1020" s="723"/>
      <c r="G1020" s="723" t="str">
        <f t="shared" si="48"/>
        <v/>
      </c>
      <c r="H1020" s="723"/>
      <c r="I1020" s="723"/>
      <c r="J1020" s="723"/>
      <c r="K1020" s="723"/>
      <c r="L1020" s="723"/>
      <c r="M1020" s="723"/>
      <c r="N1020" s="723"/>
      <c r="T1020" s="718"/>
    </row>
    <row r="1021" spans="1:20" ht="12" customHeight="1">
      <c r="A1021" s="726"/>
      <c r="B1021" s="725"/>
      <c r="C1021" s="724"/>
      <c r="D1021" s="723"/>
      <c r="E1021" s="723"/>
      <c r="F1021" s="723"/>
      <c r="G1021" s="723" t="str">
        <f t="shared" si="48"/>
        <v/>
      </c>
      <c r="H1021" s="723"/>
      <c r="I1021" s="723"/>
      <c r="J1021" s="723"/>
      <c r="K1021" s="723"/>
      <c r="L1021" s="723"/>
      <c r="M1021" s="723"/>
      <c r="N1021" s="723"/>
      <c r="T1021" s="718"/>
    </row>
    <row r="1022" spans="1:20" ht="12" customHeight="1">
      <c r="A1022" s="726"/>
      <c r="B1022" s="725"/>
      <c r="C1022" s="724"/>
      <c r="D1022" s="723"/>
      <c r="E1022" s="723"/>
      <c r="F1022" s="723"/>
      <c r="G1022" s="723" t="str">
        <f t="shared" si="48"/>
        <v/>
      </c>
      <c r="H1022" s="723"/>
      <c r="I1022" s="723"/>
      <c r="J1022" s="723"/>
      <c r="K1022" s="723"/>
      <c r="L1022" s="723"/>
      <c r="M1022" s="723"/>
      <c r="N1022" s="723"/>
      <c r="T1022" s="718"/>
    </row>
    <row r="1023" spans="1:20" ht="12" customHeight="1">
      <c r="A1023" s="726"/>
      <c r="B1023" s="725"/>
      <c r="C1023" s="724"/>
      <c r="D1023" s="723"/>
      <c r="E1023" s="723"/>
      <c r="F1023" s="723"/>
      <c r="G1023" s="723" t="str">
        <f t="shared" si="48"/>
        <v/>
      </c>
      <c r="H1023" s="723"/>
      <c r="I1023" s="723"/>
      <c r="J1023" s="723"/>
      <c r="K1023" s="723"/>
      <c r="L1023" s="723"/>
      <c r="M1023" s="723"/>
      <c r="N1023" s="723"/>
      <c r="T1023" s="718"/>
    </row>
    <row r="1024" spans="1:20" ht="12" customHeight="1">
      <c r="A1024" s="726"/>
      <c r="B1024" s="725"/>
      <c r="C1024" s="724"/>
      <c r="D1024" s="723"/>
      <c r="E1024" s="723"/>
      <c r="F1024" s="723"/>
      <c r="G1024" s="723" t="str">
        <f t="shared" si="48"/>
        <v/>
      </c>
      <c r="H1024" s="723"/>
      <c r="I1024" s="723"/>
      <c r="J1024" s="723"/>
      <c r="K1024" s="723"/>
      <c r="L1024" s="723"/>
      <c r="M1024" s="723"/>
      <c r="N1024" s="723"/>
      <c r="T1024" s="718"/>
    </row>
    <row r="1025" spans="1:20" ht="12" customHeight="1">
      <c r="A1025" s="726"/>
      <c r="B1025" s="725"/>
      <c r="C1025" s="724"/>
      <c r="D1025" s="723"/>
      <c r="E1025" s="723"/>
      <c r="F1025" s="723"/>
      <c r="G1025" s="723" t="str">
        <f t="shared" si="48"/>
        <v/>
      </c>
      <c r="H1025" s="723"/>
      <c r="I1025" s="723"/>
      <c r="J1025" s="723"/>
      <c r="K1025" s="723"/>
      <c r="L1025" s="723"/>
      <c r="M1025" s="723"/>
      <c r="N1025" s="723"/>
      <c r="T1025" s="718"/>
    </row>
    <row r="1026" spans="1:20" ht="12" customHeight="1">
      <c r="A1026" s="726"/>
      <c r="B1026" s="725"/>
      <c r="C1026" s="724"/>
      <c r="D1026" s="723"/>
      <c r="E1026" s="723"/>
      <c r="F1026" s="723"/>
      <c r="G1026" s="723" t="str">
        <f t="shared" si="48"/>
        <v/>
      </c>
      <c r="H1026" s="723"/>
      <c r="I1026" s="723"/>
      <c r="J1026" s="723"/>
      <c r="K1026" s="723"/>
      <c r="L1026" s="723"/>
      <c r="M1026" s="723"/>
      <c r="N1026" s="723"/>
      <c r="T1026" s="718"/>
    </row>
    <row r="1027" spans="1:20" ht="12" customHeight="1">
      <c r="A1027" s="726"/>
      <c r="B1027" s="725"/>
      <c r="C1027" s="724"/>
      <c r="D1027" s="723"/>
      <c r="E1027" s="723"/>
      <c r="F1027" s="723"/>
      <c r="G1027" s="723" t="str">
        <f t="shared" si="48"/>
        <v/>
      </c>
      <c r="H1027" s="723"/>
      <c r="I1027" s="723"/>
      <c r="J1027" s="723"/>
      <c r="K1027" s="723"/>
      <c r="L1027" s="723"/>
      <c r="M1027" s="723"/>
      <c r="N1027" s="723"/>
      <c r="T1027" s="718"/>
    </row>
    <row r="1028" spans="1:20" ht="12" customHeight="1">
      <c r="A1028" s="726"/>
      <c r="B1028" s="725"/>
      <c r="C1028" s="724"/>
      <c r="D1028" s="723"/>
      <c r="E1028" s="723"/>
      <c r="F1028" s="723"/>
      <c r="G1028" s="723" t="str">
        <f t="shared" si="48"/>
        <v/>
      </c>
      <c r="H1028" s="723"/>
      <c r="I1028" s="723"/>
      <c r="J1028" s="723"/>
      <c r="K1028" s="723"/>
      <c r="L1028" s="723"/>
      <c r="M1028" s="723"/>
      <c r="N1028" s="723"/>
      <c r="T1028" s="718"/>
    </row>
    <row r="1029" spans="1:20" ht="12" customHeight="1">
      <c r="A1029" s="726"/>
      <c r="B1029" s="725"/>
      <c r="C1029" s="724"/>
      <c r="D1029" s="723"/>
      <c r="E1029" s="723"/>
      <c r="F1029" s="723"/>
      <c r="G1029" s="723" t="str">
        <f t="shared" si="48"/>
        <v/>
      </c>
      <c r="H1029" s="723"/>
      <c r="I1029" s="723"/>
      <c r="J1029" s="723"/>
      <c r="K1029" s="723"/>
      <c r="L1029" s="723"/>
      <c r="M1029" s="723"/>
      <c r="N1029" s="723"/>
      <c r="T1029" s="718"/>
    </row>
    <row r="1030" spans="1:20" ht="12" customHeight="1">
      <c r="A1030" s="726"/>
      <c r="B1030" s="725"/>
      <c r="C1030" s="724"/>
      <c r="D1030" s="723"/>
      <c r="E1030" s="723"/>
      <c r="F1030" s="723"/>
      <c r="G1030" s="723" t="str">
        <f t="shared" si="48"/>
        <v/>
      </c>
      <c r="H1030" s="723"/>
      <c r="I1030" s="723"/>
      <c r="J1030" s="723"/>
      <c r="K1030" s="723"/>
      <c r="L1030" s="723"/>
      <c r="M1030" s="723"/>
      <c r="N1030" s="723"/>
      <c r="T1030" s="718"/>
    </row>
    <row r="1031" spans="1:20" ht="12" customHeight="1">
      <c r="A1031" s="726"/>
      <c r="B1031" s="725"/>
      <c r="C1031" s="724"/>
      <c r="D1031" s="723"/>
      <c r="E1031" s="723"/>
      <c r="F1031" s="723"/>
      <c r="G1031" s="723" t="str">
        <f t="shared" si="48"/>
        <v/>
      </c>
      <c r="H1031" s="723"/>
      <c r="I1031" s="723"/>
      <c r="J1031" s="723"/>
      <c r="K1031" s="723"/>
      <c r="L1031" s="723"/>
      <c r="M1031" s="723"/>
      <c r="N1031" s="723"/>
      <c r="T1031" s="718"/>
    </row>
    <row r="1032" spans="1:20" ht="12" customHeight="1">
      <c r="A1032" s="726"/>
      <c r="B1032" s="725"/>
      <c r="C1032" s="724"/>
      <c r="D1032" s="723"/>
      <c r="E1032" s="723"/>
      <c r="F1032" s="723"/>
      <c r="G1032" s="723" t="str">
        <f t="shared" si="48"/>
        <v/>
      </c>
      <c r="H1032" s="723"/>
      <c r="I1032" s="723"/>
      <c r="J1032" s="723"/>
      <c r="K1032" s="723"/>
      <c r="L1032" s="723"/>
      <c r="M1032" s="723"/>
      <c r="N1032" s="723"/>
      <c r="T1032" s="718"/>
    </row>
    <row r="1033" spans="1:20" ht="12" customHeight="1">
      <c r="A1033" s="726"/>
      <c r="B1033" s="725"/>
      <c r="C1033" s="724"/>
      <c r="D1033" s="723"/>
      <c r="E1033" s="723"/>
      <c r="F1033" s="723"/>
      <c r="G1033" s="723" t="str">
        <f t="shared" si="48"/>
        <v/>
      </c>
      <c r="H1033" s="723"/>
      <c r="I1033" s="723"/>
      <c r="J1033" s="723"/>
      <c r="K1033" s="723"/>
      <c r="L1033" s="723"/>
      <c r="M1033" s="723"/>
      <c r="N1033" s="723"/>
      <c r="T1033" s="718"/>
    </row>
    <row r="1034" spans="1:20" ht="12" customHeight="1">
      <c r="A1034" s="726"/>
      <c r="B1034" s="725"/>
      <c r="C1034" s="724"/>
      <c r="D1034" s="723"/>
      <c r="E1034" s="723"/>
      <c r="F1034" s="723"/>
      <c r="G1034" s="723" t="str">
        <f t="shared" si="48"/>
        <v/>
      </c>
      <c r="H1034" s="723"/>
      <c r="I1034" s="723"/>
      <c r="J1034" s="723"/>
      <c r="K1034" s="723"/>
      <c r="L1034" s="723"/>
      <c r="M1034" s="723"/>
      <c r="N1034" s="723"/>
      <c r="T1034" s="718"/>
    </row>
    <row r="1035" spans="1:20" ht="12" customHeight="1">
      <c r="A1035" s="726"/>
      <c r="B1035" s="725"/>
      <c r="C1035" s="724"/>
      <c r="D1035" s="723"/>
      <c r="E1035" s="723"/>
      <c r="F1035" s="723"/>
      <c r="G1035" s="723" t="str">
        <f t="shared" si="48"/>
        <v/>
      </c>
      <c r="H1035" s="723"/>
      <c r="I1035" s="723"/>
      <c r="J1035" s="723"/>
      <c r="K1035" s="723"/>
      <c r="L1035" s="723"/>
      <c r="M1035" s="723"/>
      <c r="N1035" s="723"/>
      <c r="T1035" s="718"/>
    </row>
    <row r="1036" spans="1:20" ht="12" customHeight="1">
      <c r="A1036" s="726"/>
      <c r="B1036" s="725"/>
      <c r="C1036" s="724"/>
      <c r="D1036" s="723"/>
      <c r="E1036" s="723"/>
      <c r="F1036" s="723"/>
      <c r="G1036" s="723" t="str">
        <f t="shared" si="48"/>
        <v/>
      </c>
      <c r="H1036" s="723"/>
      <c r="I1036" s="723"/>
      <c r="J1036" s="723"/>
      <c r="K1036" s="723"/>
      <c r="L1036" s="723"/>
      <c r="M1036" s="723"/>
      <c r="N1036" s="723"/>
      <c r="T1036" s="718"/>
    </row>
    <row r="1037" spans="1:20" ht="12" customHeight="1">
      <c r="A1037" s="726"/>
      <c r="B1037" s="725"/>
      <c r="C1037" s="724"/>
      <c r="D1037" s="723"/>
      <c r="E1037" s="723"/>
      <c r="F1037" s="723"/>
      <c r="G1037" s="723" t="str">
        <f t="shared" si="48"/>
        <v/>
      </c>
      <c r="H1037" s="723"/>
      <c r="I1037" s="723"/>
      <c r="J1037" s="723"/>
      <c r="K1037" s="723"/>
      <c r="L1037" s="723"/>
      <c r="M1037" s="723"/>
      <c r="N1037" s="723"/>
      <c r="T1037" s="718"/>
    </row>
    <row r="1038" spans="1:20">
      <c r="T1038" s="71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Q877"/>
  <sheetViews>
    <sheetView topLeftCell="AM1" workbookViewId="0">
      <pane ySplit="2" topLeftCell="A18" activePane="bottomLeft" state="frozen"/>
      <selection activeCell="AO615" sqref="AO615"/>
      <selection pane="bottomLeft" activeCell="AR29" sqref="AR29"/>
    </sheetView>
  </sheetViews>
  <sheetFormatPr defaultColWidth="9.109375" defaultRowHeight="13.8"/>
  <cols>
    <col min="1" max="1" width="1.6640625" style="1018" customWidth="1"/>
    <col min="2" max="2" width="18.44140625" style="1025" customWidth="1"/>
    <col min="3" max="3" width="8.6640625" style="1031" customWidth="1"/>
    <col min="4" max="4" width="8.6640625" style="1019" customWidth="1"/>
    <col min="5" max="5" width="12.6640625" style="1030" customWidth="1"/>
    <col min="6" max="6" width="12.6640625" style="1029" customWidth="1"/>
    <col min="7" max="7" width="12.6640625" style="1028" customWidth="1"/>
    <col min="8" max="8" width="1.6640625" style="1018" customWidth="1"/>
    <col min="9" max="9" width="18.44140625" style="1025" customWidth="1"/>
    <col min="10" max="11" width="8.6640625" style="1027" customWidth="1"/>
    <col min="12" max="12" width="12.6640625" style="1023" customWidth="1"/>
    <col min="13" max="13" width="12.6640625" style="1026" customWidth="1"/>
    <col min="14" max="14" width="12.6640625" style="1020" customWidth="1"/>
    <col min="15" max="15" width="1.6640625" style="1018" customWidth="1"/>
    <col min="16" max="16" width="18.44140625" style="1025" customWidth="1"/>
    <col min="17" max="18" width="8.6640625" style="1024" customWidth="1"/>
    <col min="19" max="19" width="12.6640625" style="1023" customWidth="1"/>
    <col min="20" max="20" width="12.6640625" style="1022" customWidth="1"/>
    <col min="21" max="21" width="12.6640625" style="1021" customWidth="1"/>
    <col min="22" max="22" width="12.6640625" style="1020" customWidth="1"/>
    <col min="23" max="23" width="1.6640625" style="1018" customWidth="1"/>
    <col min="24" max="24" width="11.109375" style="1019" bestFit="1" customWidth="1"/>
    <col min="25" max="25" width="1.6640625" style="1018" customWidth="1"/>
    <col min="26" max="26" width="11.109375" style="1017" bestFit="1" customWidth="1"/>
    <col min="27" max="27" width="18.44140625" style="1025" customWidth="1"/>
    <col min="28" max="29" width="8.6640625" style="1024" customWidth="1"/>
    <col min="30" max="30" width="12.6640625" style="1023" customWidth="1"/>
    <col min="31" max="31" width="12.6640625" style="1022" customWidth="1"/>
    <col min="32" max="32" width="12.6640625" style="1021" customWidth="1"/>
    <col min="33" max="33" width="12.6640625" style="1020" customWidth="1"/>
    <col min="34" max="34" width="1.6640625" style="1018" customWidth="1"/>
    <col min="35" max="35" width="11.109375" style="1019" bestFit="1" customWidth="1"/>
    <col min="36" max="36" width="1.6640625" style="1018" customWidth="1"/>
    <col min="37" max="37" width="11.109375" style="1017" bestFit="1" customWidth="1"/>
    <col min="38" max="38" width="1.6640625" style="1018" customWidth="1"/>
    <col min="39" max="39" width="18.44140625" style="1025" customWidth="1"/>
    <col min="40" max="41" width="8.6640625" style="1024" customWidth="1"/>
    <col min="42" max="42" width="12.6640625" style="1023" customWidth="1"/>
    <col min="43" max="43" width="12.6640625" style="1752" customWidth="1"/>
    <col min="44" max="44" width="12.6640625" style="1754" customWidth="1"/>
    <col min="45" max="45" width="12.6640625" style="1020" customWidth="1"/>
    <col min="46" max="46" width="1.6640625" style="1018" customWidth="1"/>
    <col min="47" max="47" width="11.109375" style="1019" bestFit="1" customWidth="1"/>
    <col min="48" max="48" width="1.6640625" style="1018" customWidth="1"/>
    <col min="49" max="49" width="18.44140625" style="1025" customWidth="1"/>
    <col min="50" max="51" width="8.6640625" style="1024" customWidth="1"/>
    <col min="52" max="52" width="12.6640625" style="1023" customWidth="1"/>
    <col min="53" max="53" width="12.6640625" style="1756" customWidth="1"/>
    <col min="54" max="54" width="12.6640625" style="1020" customWidth="1"/>
    <col min="55" max="55" width="1.6640625" style="1018" customWidth="1"/>
    <col min="56" max="56" width="11.109375" style="1019" bestFit="1" customWidth="1"/>
    <col min="57" max="57" width="1.6640625" style="1018" customWidth="1"/>
    <col min="58" max="58" width="18.44140625" style="1025" customWidth="1"/>
    <col min="59" max="60" width="6.6640625" style="1024" customWidth="1"/>
    <col min="61" max="61" width="10.6640625" style="1876" customWidth="1"/>
    <col min="62" max="62" width="10.6640625" style="1756" customWidth="1"/>
    <col min="63" max="63" width="1.6640625" style="1018" customWidth="1"/>
    <col min="64" max="64" width="18.44140625" style="1025" customWidth="1"/>
    <col min="65" max="66" width="8.6640625" style="1024" customWidth="1"/>
    <col min="67" max="67" width="12.6640625" style="1023" customWidth="1"/>
    <col min="68" max="68" width="12.6640625" style="1756" customWidth="1"/>
    <col min="69" max="69" width="1.6640625" style="1018" customWidth="1"/>
    <col min="70" max="16384" width="9.109375" style="1017"/>
  </cols>
  <sheetData>
    <row r="1" spans="1:69" s="1027" customFormat="1">
      <c r="A1" s="1036"/>
      <c r="B1" s="1104"/>
      <c r="C1" s="1126"/>
      <c r="D1" s="1126"/>
      <c r="E1" s="1122"/>
      <c r="F1" s="1119"/>
      <c r="G1" s="1175"/>
      <c r="H1" s="1104"/>
      <c r="I1" s="1104"/>
      <c r="J1" s="1125"/>
      <c r="K1" s="1125"/>
      <c r="L1" s="1122"/>
      <c r="M1" s="1174"/>
      <c r="N1" s="1172"/>
      <c r="O1" s="1104"/>
      <c r="P1" s="1104"/>
      <c r="Q1" s="1126"/>
      <c r="R1" s="1126"/>
      <c r="S1" s="1122"/>
      <c r="T1" s="1041"/>
      <c r="U1" s="1173"/>
      <c r="V1" s="1172"/>
      <c r="W1" s="1036"/>
      <c r="X1" s="1119"/>
      <c r="Y1" s="1036"/>
      <c r="Z1" s="1118"/>
      <c r="AA1" s="1104"/>
      <c r="AB1" s="1126"/>
      <c r="AC1" s="1126"/>
      <c r="AD1" s="1122"/>
      <c r="AE1" s="1041"/>
      <c r="AF1" s="1173"/>
      <c r="AG1" s="1172"/>
      <c r="AH1" s="1036"/>
      <c r="AI1" s="1119"/>
      <c r="AJ1" s="1036"/>
      <c r="AK1" s="1118"/>
      <c r="AL1" s="1036"/>
      <c r="AM1" s="1104"/>
      <c r="AN1" s="1126"/>
      <c r="AO1" s="1126"/>
      <c r="AP1" s="1122"/>
      <c r="AQ1" s="1730"/>
      <c r="AR1" s="1731"/>
      <c r="AS1" s="1172"/>
      <c r="AT1" s="1036"/>
      <c r="AU1" s="1119"/>
      <c r="AV1" s="1036"/>
      <c r="AW1" s="1104"/>
      <c r="AX1" s="1126"/>
      <c r="AY1" s="1126"/>
      <c r="AZ1" s="1122"/>
      <c r="BA1" s="1174"/>
      <c r="BB1" s="1172"/>
      <c r="BC1" s="1036"/>
      <c r="BD1" s="1119"/>
      <c r="BE1" s="1036"/>
      <c r="BF1" s="1104"/>
      <c r="BG1" s="1126"/>
      <c r="BH1" s="1126"/>
      <c r="BI1" s="1122"/>
      <c r="BJ1" s="1174"/>
      <c r="BK1" s="1036"/>
      <c r="BL1" s="1104"/>
      <c r="BM1" s="1126"/>
      <c r="BN1" s="1126"/>
      <c r="BO1" s="1122"/>
      <c r="BP1" s="1174"/>
      <c r="BQ1" s="1036"/>
    </row>
    <row r="2" spans="1:69" s="1160" customFormat="1" ht="18" customHeight="1" thickBot="1">
      <c r="A2" s="1049"/>
      <c r="B2" s="1171"/>
      <c r="C2" s="1170" t="s">
        <v>579</v>
      </c>
      <c r="D2" s="1170"/>
      <c r="E2" s="1166" t="s">
        <v>1147</v>
      </c>
      <c r="F2" s="1166" t="s">
        <v>708</v>
      </c>
      <c r="G2" s="1169" t="s">
        <v>1146</v>
      </c>
      <c r="H2" s="1049"/>
      <c r="I2" s="1167"/>
      <c r="J2" s="2757">
        <f ca="1">TODAY()</f>
        <v>45428</v>
      </c>
      <c r="K2" s="2757"/>
      <c r="L2" s="1166" t="s">
        <v>1147</v>
      </c>
      <c r="M2" s="1168" t="s">
        <v>708</v>
      </c>
      <c r="N2" s="1163" t="s">
        <v>1146</v>
      </c>
      <c r="O2" s="1049"/>
      <c r="P2" s="1167"/>
      <c r="Q2" s="2758">
        <f ca="1">TODAY()</f>
        <v>45428</v>
      </c>
      <c r="R2" s="2758"/>
      <c r="S2" s="1166" t="s">
        <v>1147</v>
      </c>
      <c r="T2" s="1165" t="s">
        <v>41</v>
      </c>
      <c r="U2" s="1164" t="s">
        <v>708</v>
      </c>
      <c r="V2" s="1163" t="s">
        <v>1146</v>
      </c>
      <c r="W2" s="1049"/>
      <c r="X2" s="1162" t="s">
        <v>1148</v>
      </c>
      <c r="Y2" s="1049"/>
      <c r="Z2" s="1161" t="s">
        <v>1144</v>
      </c>
      <c r="AA2" s="1167"/>
      <c r="AB2" s="2758">
        <f ca="1">TODAY()</f>
        <v>45428</v>
      </c>
      <c r="AC2" s="2758"/>
      <c r="AD2" s="1166" t="s">
        <v>1147</v>
      </c>
      <c r="AE2" s="1165" t="s">
        <v>41</v>
      </c>
      <c r="AF2" s="1164" t="s">
        <v>708</v>
      </c>
      <c r="AG2" s="1163" t="s">
        <v>1146</v>
      </c>
      <c r="AH2" s="1049"/>
      <c r="AI2" s="1162" t="s">
        <v>1145</v>
      </c>
      <c r="AJ2" s="1049"/>
      <c r="AK2" s="1161" t="s">
        <v>1144</v>
      </c>
      <c r="AL2" s="1049"/>
      <c r="AM2" s="1167"/>
      <c r="AN2" s="2758">
        <f ca="1">TODAY()</f>
        <v>45428</v>
      </c>
      <c r="AO2" s="2758"/>
      <c r="AP2" s="1166" t="s">
        <v>1147</v>
      </c>
      <c r="AQ2" s="1732" t="s">
        <v>41</v>
      </c>
      <c r="AR2" s="1733" t="s">
        <v>708</v>
      </c>
      <c r="AS2" s="1163" t="s">
        <v>1146</v>
      </c>
      <c r="AT2" s="1049"/>
      <c r="AU2" s="1162" t="s">
        <v>1145</v>
      </c>
      <c r="AV2" s="1049"/>
      <c r="AW2" s="1167"/>
      <c r="AX2" s="2762">
        <f ca="1">TODAY()</f>
        <v>45428</v>
      </c>
      <c r="AY2" s="2762"/>
      <c r="AZ2" s="1166" t="s">
        <v>1147</v>
      </c>
      <c r="BA2" s="1168" t="s">
        <v>708</v>
      </c>
      <c r="BB2" s="1163" t="s">
        <v>1146</v>
      </c>
      <c r="BC2" s="1049"/>
      <c r="BD2" s="1162" t="s">
        <v>1145</v>
      </c>
      <c r="BE2" s="1049"/>
      <c r="BF2" s="1167"/>
      <c r="BG2" s="2762">
        <f ca="1">TODAY()</f>
        <v>45428</v>
      </c>
      <c r="BH2" s="2762"/>
      <c r="BI2" s="1166" t="s">
        <v>1147</v>
      </c>
      <c r="BJ2" s="1168" t="s">
        <v>708</v>
      </c>
      <c r="BK2" s="1049"/>
      <c r="BL2" s="1167"/>
      <c r="BM2" s="2762">
        <f ca="1">TODAY()</f>
        <v>45428</v>
      </c>
      <c r="BN2" s="2762"/>
      <c r="BO2" s="1166" t="s">
        <v>1147</v>
      </c>
      <c r="BP2" s="1168" t="s">
        <v>708</v>
      </c>
      <c r="BQ2" s="1049"/>
    </row>
    <row r="3" spans="1:69" ht="14.4">
      <c r="A3" s="1036"/>
      <c r="B3" s="1044"/>
      <c r="C3" s="1135"/>
      <c r="D3" s="1135"/>
      <c r="E3" s="1134"/>
      <c r="F3" s="1133"/>
      <c r="G3" s="1132"/>
      <c r="H3" s="1044"/>
      <c r="I3" s="1044" t="s">
        <v>1137</v>
      </c>
      <c r="J3" s="1046"/>
      <c r="K3" s="1046"/>
      <c r="L3" s="1129">
        <f>AVERAGE(L4:L27)</f>
        <v>0.51458333333333328</v>
      </c>
      <c r="M3" s="1131">
        <f>AVERAGE(M4:M27)</f>
        <v>1.3366666666666667</v>
      </c>
      <c r="N3" s="1039">
        <f>AVERAGE(N4:N27)</f>
        <v>2.3921100314889912</v>
      </c>
      <c r="O3" s="1044"/>
      <c r="P3" s="1130" t="s">
        <v>1136</v>
      </c>
      <c r="Q3" s="1046"/>
      <c r="R3" s="1046"/>
      <c r="S3" s="1129">
        <f>AVERAGE(S4:S27)</f>
        <v>1.4777916666666666</v>
      </c>
      <c r="T3" s="1128">
        <f>SUM(T4:T27)</f>
        <v>139.96013999999997</v>
      </c>
      <c r="U3" s="1040">
        <f>AVERAGE(U4:U27)</f>
        <v>7.1895833333333323</v>
      </c>
      <c r="V3" s="1039">
        <f>AVERAGE(V4:V27)</f>
        <v>4.8413333899259969</v>
      </c>
      <c r="W3" s="1036"/>
      <c r="X3" s="1038">
        <f>AVERAGE(X4:X27)</f>
        <v>3.9225000000000012</v>
      </c>
      <c r="Y3" s="1036"/>
      <c r="Z3" s="1127">
        <f>SUM(Z4:Z27)</f>
        <v>111.58654000000001</v>
      </c>
      <c r="AA3" s="1130" t="s">
        <v>1143</v>
      </c>
      <c r="AB3" s="1046"/>
      <c r="AC3" s="1046"/>
      <c r="AD3" s="1129">
        <f>AVERAGE(AD4:AD27)</f>
        <v>2.19875</v>
      </c>
      <c r="AE3" s="1128">
        <f>SUM(AE4:AE27)</f>
        <v>15.902200000000002</v>
      </c>
      <c r="AF3" s="1040">
        <f>AVERAGE(AF4:AF27)</f>
        <v>2.4312499999999995</v>
      </c>
      <c r="AG3" s="1039">
        <f>AVERAGE(AG4:AG27)</f>
        <v>1.0735064223456725</v>
      </c>
      <c r="AH3" s="1036"/>
      <c r="AI3" s="1038">
        <f>AVERAGE(AI4:AI27)</f>
        <v>0.27708333333333329</v>
      </c>
      <c r="AJ3" s="1036"/>
      <c r="AK3" s="1127">
        <f>SUM(AK4:AK27)</f>
        <v>-26.313800000000001</v>
      </c>
      <c r="AL3" s="1036"/>
      <c r="AM3" s="1130"/>
      <c r="AN3" s="1046"/>
      <c r="AO3" s="1046"/>
      <c r="AP3" s="1129">
        <f>AVERAGE(AP4:AP27)</f>
        <v>0.10416666666666669</v>
      </c>
      <c r="AQ3" s="1734">
        <f>SUM(AQ4:AQ27)/24</f>
        <v>0</v>
      </c>
      <c r="AR3" s="1735">
        <f>AVERAGE(AR4:AR27)</f>
        <v>0.20499999999999999</v>
      </c>
      <c r="AS3" s="1039" t="e">
        <f>AVERAGE(AS4:AS27)</f>
        <v>#DIV/0!</v>
      </c>
      <c r="AT3" s="1036"/>
      <c r="AU3" s="1038" t="e">
        <f>AVERAGE(AU4:AU27)</f>
        <v>#DIV/0!</v>
      </c>
      <c r="AV3" s="1036"/>
      <c r="AW3" s="1130" t="s">
        <v>1131</v>
      </c>
      <c r="AX3" s="1046"/>
      <c r="AY3" s="1046"/>
      <c r="AZ3" s="1129">
        <f>AVERAGE(AZ4:AZ27)</f>
        <v>0.255</v>
      </c>
      <c r="BA3" s="1045">
        <f>AVERAGE(BA4:BA27)</f>
        <v>0.59791666666666654</v>
      </c>
      <c r="BB3" s="1039">
        <f>AVERAGE(BB4:BB27)</f>
        <v>2.2441538884177854</v>
      </c>
      <c r="BC3" s="1036"/>
      <c r="BD3" s="1038" t="e">
        <f>AVERAGE(BD4:BD27)</f>
        <v>#DIV/0!</v>
      </c>
      <c r="BE3" s="1036"/>
      <c r="BF3" s="1130" t="s">
        <v>1128</v>
      </c>
      <c r="BG3" s="2763">
        <v>45017</v>
      </c>
      <c r="BH3" s="2763"/>
      <c r="BI3" s="1877">
        <f>SUM(BI4:BI27)</f>
        <v>5.8900000000000006</v>
      </c>
      <c r="BJ3" s="1878">
        <f>SUM(BJ4:BJ27)</f>
        <v>7.9399999999999986</v>
      </c>
      <c r="BK3" s="1036"/>
      <c r="BL3" s="1130" t="s">
        <v>1138</v>
      </c>
      <c r="BM3" s="1046"/>
      <c r="BN3" s="1046"/>
      <c r="BO3" s="1129">
        <f>AVERAGE(BO4:BO27)</f>
        <v>0.25458333333333333</v>
      </c>
      <c r="BP3" s="1045" t="e">
        <f>AVERAGE(BP4:BP27)</f>
        <v>#DIV/0!</v>
      </c>
      <c r="BQ3" s="1036"/>
    </row>
    <row r="4" spans="1:69" ht="14.4">
      <c r="A4" s="1049"/>
      <c r="B4" s="1126">
        <v>44835</v>
      </c>
      <c r="C4" s="1057">
        <v>0</v>
      </c>
      <c r="D4" s="1056">
        <v>1</v>
      </c>
      <c r="E4" s="1063">
        <v>0.23</v>
      </c>
      <c r="F4" s="1062">
        <v>0.68</v>
      </c>
      <c r="G4" s="1061">
        <f t="shared" ref="G4:G27" si="0">F4/E4</f>
        <v>2.956521739130435</v>
      </c>
      <c r="H4" s="1049"/>
      <c r="I4" s="1126">
        <v>44866</v>
      </c>
      <c r="J4" s="1057">
        <v>0</v>
      </c>
      <c r="K4" s="1056">
        <v>1</v>
      </c>
      <c r="L4" s="1055">
        <v>0.22</v>
      </c>
      <c r="M4" s="1059">
        <v>0.53</v>
      </c>
      <c r="N4" s="1052">
        <f t="shared" ref="N4:N27" si="1">M4/L4</f>
        <v>2.4090909090909092</v>
      </c>
      <c r="O4" s="1049"/>
      <c r="P4" s="1125">
        <v>44896</v>
      </c>
      <c r="Q4" s="1057">
        <v>0</v>
      </c>
      <c r="R4" s="1056">
        <v>1</v>
      </c>
      <c r="S4" s="1055">
        <v>1.4390000000000001</v>
      </c>
      <c r="T4" s="1054">
        <f t="shared" ref="T4:T27" si="2">S4*X4</f>
        <v>4.2738300000000002</v>
      </c>
      <c r="U4" s="1136">
        <v>5.6</v>
      </c>
      <c r="V4" s="1052">
        <f t="shared" ref="V4:V27" si="3">U4/S4</f>
        <v>3.8915913829047946</v>
      </c>
      <c r="W4" s="1049"/>
      <c r="X4" s="1051">
        <v>2.97</v>
      </c>
      <c r="Y4" s="1049"/>
      <c r="Z4" s="1050">
        <f t="shared" ref="Z4:Z27" si="4">S4*(X4-0.8)</f>
        <v>3.12263</v>
      </c>
      <c r="AA4" s="1125">
        <v>44927</v>
      </c>
      <c r="AB4" s="1057">
        <v>0</v>
      </c>
      <c r="AC4" s="1056">
        <v>1</v>
      </c>
      <c r="AD4" s="1055">
        <v>2.5</v>
      </c>
      <c r="AE4" s="1054">
        <f t="shared" ref="AE4:AE27" si="5">AD4*AI4</f>
        <v>0.375</v>
      </c>
      <c r="AF4" s="1136">
        <v>2.1</v>
      </c>
      <c r="AG4" s="1052">
        <f t="shared" ref="AG4:AG27" si="6">AF4/AD4</f>
        <v>0.84000000000000008</v>
      </c>
      <c r="AH4" s="1049"/>
      <c r="AI4" s="1051">
        <v>0.15</v>
      </c>
      <c r="AJ4" s="1049"/>
      <c r="AK4" s="1050">
        <f t="shared" ref="AK4:AK27" si="7">AD4*(AI4-0.8)</f>
        <v>-1.625</v>
      </c>
      <c r="AL4" s="1049"/>
      <c r="AM4" s="1125">
        <v>44958</v>
      </c>
      <c r="AN4" s="1057">
        <v>0</v>
      </c>
      <c r="AO4" s="1056">
        <v>1</v>
      </c>
      <c r="AP4" s="1055">
        <v>0</v>
      </c>
      <c r="AQ4" s="1736">
        <f t="shared" ref="AQ4:AQ27" si="8">AP4*AU4</f>
        <v>0</v>
      </c>
      <c r="AR4" s="1737">
        <v>0</v>
      </c>
      <c r="AS4" s="1052" t="e">
        <f t="shared" ref="AS4:AS27" si="9">AR4/AP4</f>
        <v>#DIV/0!</v>
      </c>
      <c r="AT4" s="1049"/>
      <c r="AU4" s="1051"/>
      <c r="AV4" s="1049"/>
      <c r="AW4" s="1125">
        <v>44986</v>
      </c>
      <c r="AX4" s="1057">
        <v>0</v>
      </c>
      <c r="AY4" s="1056">
        <v>1</v>
      </c>
      <c r="AZ4" s="1055">
        <v>0.12</v>
      </c>
      <c r="BA4" s="1736">
        <v>0.25</v>
      </c>
      <c r="BB4" s="1737">
        <f t="shared" ref="BB4:BB27" si="10">BA4/AZ4</f>
        <v>2.0833333333333335</v>
      </c>
      <c r="BC4" s="1049"/>
      <c r="BD4" s="1051"/>
      <c r="BE4" s="1049"/>
      <c r="BF4" s="1125">
        <v>45017</v>
      </c>
      <c r="BG4" s="1879">
        <v>0</v>
      </c>
      <c r="BH4" s="1880">
        <v>1</v>
      </c>
      <c r="BI4" s="1881">
        <v>0.06</v>
      </c>
      <c r="BJ4" s="1882">
        <v>0.1</v>
      </c>
      <c r="BK4" s="1049"/>
      <c r="BL4" s="1125">
        <v>45047</v>
      </c>
      <c r="BM4" s="1057">
        <v>0</v>
      </c>
      <c r="BN4" s="1056">
        <v>1</v>
      </c>
      <c r="BO4" s="1055">
        <v>0.16</v>
      </c>
      <c r="BP4" s="1055"/>
      <c r="BQ4" s="1049"/>
    </row>
    <row r="5" spans="1:69" ht="14.4">
      <c r="A5" s="1049"/>
      <c r="B5" s="1124"/>
      <c r="C5" s="1057">
        <v>1</v>
      </c>
      <c r="D5" s="1056">
        <v>2</v>
      </c>
      <c r="E5" s="1063">
        <v>0.13</v>
      </c>
      <c r="F5" s="1062">
        <v>0.38</v>
      </c>
      <c r="G5" s="1061">
        <f t="shared" si="0"/>
        <v>2.9230769230769229</v>
      </c>
      <c r="H5" s="1049"/>
      <c r="I5" s="1124"/>
      <c r="J5" s="1057">
        <v>1</v>
      </c>
      <c r="K5" s="1056">
        <v>2</v>
      </c>
      <c r="L5" s="1055">
        <v>0.19</v>
      </c>
      <c r="M5" s="1059">
        <v>0.46</v>
      </c>
      <c r="N5" s="1052">
        <f t="shared" si="1"/>
        <v>2.4210526315789473</v>
      </c>
      <c r="O5" s="1049"/>
      <c r="P5" s="1123"/>
      <c r="Q5" s="1057">
        <v>1</v>
      </c>
      <c r="R5" s="1056">
        <v>2</v>
      </c>
      <c r="S5" s="1055">
        <v>1.2949999999999999</v>
      </c>
      <c r="T5" s="1054">
        <f t="shared" si="2"/>
        <v>3.8461500000000002</v>
      </c>
      <c r="U5" s="1136">
        <v>5.03</v>
      </c>
      <c r="V5" s="1052">
        <f t="shared" si="3"/>
        <v>3.8841698841698844</v>
      </c>
      <c r="W5" s="1049"/>
      <c r="X5" s="1051">
        <v>2.97</v>
      </c>
      <c r="Y5" s="1049"/>
      <c r="Z5" s="1050">
        <f t="shared" si="4"/>
        <v>2.8101499999999997</v>
      </c>
      <c r="AA5" s="1123"/>
      <c r="AB5" s="1057">
        <v>1</v>
      </c>
      <c r="AC5" s="1056">
        <v>2</v>
      </c>
      <c r="AD5" s="1055">
        <v>1.85</v>
      </c>
      <c r="AE5" s="1054">
        <f t="shared" si="5"/>
        <v>0.25900000000000006</v>
      </c>
      <c r="AF5" s="1136">
        <v>1.54</v>
      </c>
      <c r="AG5" s="1052">
        <f t="shared" si="6"/>
        <v>0.83243243243243237</v>
      </c>
      <c r="AH5" s="1049"/>
      <c r="AI5" s="1051">
        <v>0.14000000000000001</v>
      </c>
      <c r="AJ5" s="1049"/>
      <c r="AK5" s="1050">
        <f t="shared" si="7"/>
        <v>-1.2210000000000001</v>
      </c>
      <c r="AL5" s="1049"/>
      <c r="AM5" s="1123"/>
      <c r="AN5" s="1057">
        <v>1</v>
      </c>
      <c r="AO5" s="1056">
        <v>2</v>
      </c>
      <c r="AP5" s="1055">
        <v>0</v>
      </c>
      <c r="AQ5" s="1736">
        <f t="shared" si="8"/>
        <v>0</v>
      </c>
      <c r="AR5" s="1737">
        <v>0</v>
      </c>
      <c r="AS5" s="1052" t="e">
        <f t="shared" si="9"/>
        <v>#DIV/0!</v>
      </c>
      <c r="AT5" s="1049"/>
      <c r="AU5" s="1051"/>
      <c r="AV5" s="1049"/>
      <c r="AW5" s="1123"/>
      <c r="AX5" s="1057">
        <v>1</v>
      </c>
      <c r="AY5" s="1056">
        <v>2</v>
      </c>
      <c r="AZ5" s="1055">
        <v>0.13</v>
      </c>
      <c r="BA5" s="1736">
        <v>0.26</v>
      </c>
      <c r="BB5" s="1737">
        <f t="shared" si="10"/>
        <v>2</v>
      </c>
      <c r="BC5" s="1049"/>
      <c r="BD5" s="1051"/>
      <c r="BE5" s="1049"/>
      <c r="BF5" s="1123"/>
      <c r="BG5" s="1883">
        <v>1</v>
      </c>
      <c r="BH5" s="1871">
        <v>2</v>
      </c>
      <c r="BI5" s="1862">
        <v>0.11</v>
      </c>
      <c r="BJ5" s="1884">
        <v>0.16</v>
      </c>
      <c r="BK5" s="1049"/>
      <c r="BL5" s="1123"/>
      <c r="BM5" s="1057">
        <v>1</v>
      </c>
      <c r="BN5" s="1056">
        <v>2</v>
      </c>
      <c r="BO5" s="1055">
        <v>0.2</v>
      </c>
      <c r="BP5" s="1055"/>
      <c r="BQ5" s="1049"/>
    </row>
    <row r="6" spans="1:69" ht="14.4">
      <c r="A6" s="1049"/>
      <c r="B6" s="1122">
        <f>SUM(E4:E27)</f>
        <v>16.750000000000004</v>
      </c>
      <c r="C6" s="1057">
        <v>2</v>
      </c>
      <c r="D6" s="1056">
        <v>3</v>
      </c>
      <c r="E6" s="1063">
        <v>0.23</v>
      </c>
      <c r="F6" s="1062">
        <v>0.67</v>
      </c>
      <c r="G6" s="1061">
        <f t="shared" si="0"/>
        <v>2.9130434782608696</v>
      </c>
      <c r="H6" s="1049"/>
      <c r="I6" s="1122">
        <f>SUM(L4:L27)</f>
        <v>12.35</v>
      </c>
      <c r="J6" s="1057">
        <v>2</v>
      </c>
      <c r="K6" s="1056">
        <v>3</v>
      </c>
      <c r="L6" s="1055">
        <v>0.21</v>
      </c>
      <c r="M6" s="1059">
        <v>0.45</v>
      </c>
      <c r="N6" s="1052">
        <f t="shared" si="1"/>
        <v>2.1428571428571428</v>
      </c>
      <c r="O6" s="1049"/>
      <c r="P6" s="1121">
        <f>SUM(S4:S27)</f>
        <v>35.466999999999999</v>
      </c>
      <c r="Q6" s="1057">
        <v>2</v>
      </c>
      <c r="R6" s="1056">
        <v>3</v>
      </c>
      <c r="S6" s="1055">
        <v>1.327</v>
      </c>
      <c r="T6" s="1054">
        <f t="shared" si="2"/>
        <v>3.8615699999999999</v>
      </c>
      <c r="U6" s="1136">
        <v>5.07</v>
      </c>
      <c r="V6" s="1052">
        <f t="shared" si="3"/>
        <v>3.8206480783722685</v>
      </c>
      <c r="W6" s="1049"/>
      <c r="X6" s="1051">
        <v>2.91</v>
      </c>
      <c r="Y6" s="1049"/>
      <c r="Z6" s="1050">
        <f t="shared" si="4"/>
        <v>2.7999700000000005</v>
      </c>
      <c r="AA6" s="1121">
        <f>SUM(AD4:AD27)</f>
        <v>52.769999999999996</v>
      </c>
      <c r="AB6" s="1057">
        <v>2</v>
      </c>
      <c r="AC6" s="1056">
        <v>3</v>
      </c>
      <c r="AD6" s="1055">
        <v>1.82</v>
      </c>
      <c r="AE6" s="1054">
        <f t="shared" si="5"/>
        <v>0.2366</v>
      </c>
      <c r="AF6" s="1136">
        <v>1.5</v>
      </c>
      <c r="AG6" s="1052">
        <f t="shared" si="6"/>
        <v>0.82417582417582413</v>
      </c>
      <c r="AH6" s="1049"/>
      <c r="AI6" s="1051">
        <v>0.13</v>
      </c>
      <c r="AJ6" s="1049"/>
      <c r="AK6" s="1050">
        <f t="shared" si="7"/>
        <v>-1.2194</v>
      </c>
      <c r="AL6" s="1049"/>
      <c r="AM6" s="1121">
        <f>SUM(AP4:AP27)</f>
        <v>2.5000000000000004</v>
      </c>
      <c r="AN6" s="1057">
        <v>2</v>
      </c>
      <c r="AO6" s="1056">
        <v>3</v>
      </c>
      <c r="AP6" s="1055">
        <v>0</v>
      </c>
      <c r="AQ6" s="1736">
        <f t="shared" si="8"/>
        <v>0</v>
      </c>
      <c r="AR6" s="1737">
        <v>0</v>
      </c>
      <c r="AS6" s="1052" t="e">
        <f t="shared" si="9"/>
        <v>#DIV/0!</v>
      </c>
      <c r="AT6" s="1049"/>
      <c r="AU6" s="1051"/>
      <c r="AV6" s="1049"/>
      <c r="AW6" s="1121">
        <f>SUM(AZ4:AZ27)</f>
        <v>6.12</v>
      </c>
      <c r="AX6" s="1057">
        <v>2</v>
      </c>
      <c r="AY6" s="1056">
        <v>3</v>
      </c>
      <c r="AZ6" s="1055">
        <v>0.08</v>
      </c>
      <c r="BA6" s="1736">
        <v>0.16</v>
      </c>
      <c r="BB6" s="1737">
        <f t="shared" si="10"/>
        <v>2</v>
      </c>
      <c r="BC6" s="1049"/>
      <c r="BD6" s="1051"/>
      <c r="BE6" s="1049"/>
      <c r="BF6" s="1121">
        <f>SUM(BI4:BI27)</f>
        <v>5.8900000000000006</v>
      </c>
      <c r="BG6" s="1883">
        <v>2</v>
      </c>
      <c r="BH6" s="1871">
        <v>3</v>
      </c>
      <c r="BI6" s="1862">
        <v>0.11</v>
      </c>
      <c r="BJ6" s="1884">
        <v>0.15</v>
      </c>
      <c r="BK6" s="1049"/>
      <c r="BL6" s="1121">
        <f>SUM(BO4:BO27)</f>
        <v>6.1099999999999994</v>
      </c>
      <c r="BM6" s="1057">
        <v>2</v>
      </c>
      <c r="BN6" s="1056">
        <v>3</v>
      </c>
      <c r="BO6" s="1055">
        <v>0.17</v>
      </c>
      <c r="BP6" s="1055"/>
      <c r="BQ6" s="1049"/>
    </row>
    <row r="7" spans="1:69" ht="14.4">
      <c r="A7" s="1049"/>
      <c r="B7" s="1120">
        <f>B6/24</f>
        <v>0.69791666666666685</v>
      </c>
      <c r="C7" s="1057">
        <v>3</v>
      </c>
      <c r="D7" s="1056">
        <v>4</v>
      </c>
      <c r="E7" s="1063">
        <v>0.2</v>
      </c>
      <c r="F7" s="1062">
        <v>0.56999999999999995</v>
      </c>
      <c r="G7" s="1061">
        <f t="shared" si="0"/>
        <v>2.8499999999999996</v>
      </c>
      <c r="H7" s="1049"/>
      <c r="I7" s="1120">
        <f>I6/24</f>
        <v>0.51458333333333328</v>
      </c>
      <c r="J7" s="1057">
        <v>3</v>
      </c>
      <c r="K7" s="1056">
        <v>4</v>
      </c>
      <c r="L7" s="1055">
        <v>0.31</v>
      </c>
      <c r="M7" s="1059">
        <v>0.62</v>
      </c>
      <c r="N7" s="1052">
        <f t="shared" si="1"/>
        <v>2</v>
      </c>
      <c r="O7" s="1049"/>
      <c r="P7" s="1120">
        <f>P6/24</f>
        <v>1.4777916666666666</v>
      </c>
      <c r="Q7" s="1057">
        <v>3</v>
      </c>
      <c r="R7" s="1056">
        <v>4</v>
      </c>
      <c r="S7" s="1055">
        <v>1.448</v>
      </c>
      <c r="T7" s="1054">
        <f t="shared" si="2"/>
        <v>4.0688800000000001</v>
      </c>
      <c r="U7" s="1136">
        <v>5.4</v>
      </c>
      <c r="V7" s="1052">
        <f t="shared" si="3"/>
        <v>3.7292817679558015</v>
      </c>
      <c r="W7" s="1049"/>
      <c r="X7" s="1051">
        <v>2.81</v>
      </c>
      <c r="Y7" s="1049"/>
      <c r="Z7" s="1050">
        <f t="shared" si="4"/>
        <v>2.9104799999999997</v>
      </c>
      <c r="AA7" s="1120">
        <f>AA6/24</f>
        <v>2.19875</v>
      </c>
      <c r="AB7" s="1057">
        <v>3</v>
      </c>
      <c r="AC7" s="1056">
        <v>4</v>
      </c>
      <c r="AD7" s="1055">
        <v>1.81</v>
      </c>
      <c r="AE7" s="1054">
        <f t="shared" si="5"/>
        <v>0.23530000000000001</v>
      </c>
      <c r="AF7" s="1136">
        <v>1.49</v>
      </c>
      <c r="AG7" s="1052">
        <f t="shared" si="6"/>
        <v>0.82320441988950277</v>
      </c>
      <c r="AH7" s="1049"/>
      <c r="AI7" s="1051">
        <v>0.13</v>
      </c>
      <c r="AJ7" s="1049"/>
      <c r="AK7" s="1050">
        <f t="shared" si="7"/>
        <v>-1.2127000000000001</v>
      </c>
      <c r="AL7" s="1049"/>
      <c r="AM7" s="1120">
        <f>AM6/24</f>
        <v>0.10416666666666669</v>
      </c>
      <c r="AN7" s="1057">
        <v>3</v>
      </c>
      <c r="AO7" s="1056">
        <v>4</v>
      </c>
      <c r="AP7" s="1055">
        <v>0</v>
      </c>
      <c r="AQ7" s="1736">
        <f t="shared" si="8"/>
        <v>0</v>
      </c>
      <c r="AR7" s="1737">
        <v>0</v>
      </c>
      <c r="AS7" s="1052" t="e">
        <f t="shared" si="9"/>
        <v>#DIV/0!</v>
      </c>
      <c r="AT7" s="1049"/>
      <c r="AU7" s="1051"/>
      <c r="AV7" s="1049"/>
      <c r="AW7" s="1120">
        <f>AW6/24</f>
        <v>0.255</v>
      </c>
      <c r="AX7" s="1057">
        <v>3</v>
      </c>
      <c r="AY7" s="1056">
        <v>4</v>
      </c>
      <c r="AZ7" s="1055">
        <v>0.1</v>
      </c>
      <c r="BA7" s="1736">
        <v>0.2</v>
      </c>
      <c r="BB7" s="1737">
        <f t="shared" si="10"/>
        <v>2</v>
      </c>
      <c r="BC7" s="1049"/>
      <c r="BD7" s="1051"/>
      <c r="BE7" s="1049"/>
      <c r="BF7" s="1120">
        <f>BF6/24</f>
        <v>0.2454166666666667</v>
      </c>
      <c r="BG7" s="1883">
        <v>3</v>
      </c>
      <c r="BH7" s="1871">
        <v>4</v>
      </c>
      <c r="BI7" s="1862">
        <v>0.11</v>
      </c>
      <c r="BJ7" s="1884">
        <v>0.13</v>
      </c>
      <c r="BK7" s="1049"/>
      <c r="BL7" s="1120">
        <f>BL6/24</f>
        <v>0.25458333333333333</v>
      </c>
      <c r="BM7" s="1057">
        <v>3</v>
      </c>
      <c r="BN7" s="1056">
        <v>4</v>
      </c>
      <c r="BO7" s="1055">
        <v>0.19</v>
      </c>
      <c r="BP7" s="1055"/>
      <c r="BQ7" s="1049"/>
    </row>
    <row r="8" spans="1:69" ht="14.4">
      <c r="A8" s="1049"/>
      <c r="B8" s="1119"/>
      <c r="C8" s="1057">
        <v>4</v>
      </c>
      <c r="D8" s="1056">
        <v>5</v>
      </c>
      <c r="E8" s="1063">
        <v>0.37</v>
      </c>
      <c r="F8" s="1062">
        <v>1.07</v>
      </c>
      <c r="G8" s="1061">
        <f t="shared" si="0"/>
        <v>2.8918918918918921</v>
      </c>
      <c r="H8" s="1049"/>
      <c r="I8" s="1119"/>
      <c r="J8" s="1057">
        <v>4</v>
      </c>
      <c r="K8" s="1056">
        <v>5</v>
      </c>
      <c r="L8" s="1055">
        <v>0.2</v>
      </c>
      <c r="M8" s="1059">
        <v>0.41</v>
      </c>
      <c r="N8" s="1052">
        <f t="shared" si="1"/>
        <v>2.0499999999999998</v>
      </c>
      <c r="O8" s="1049"/>
      <c r="P8" s="1118"/>
      <c r="Q8" s="1057">
        <v>4</v>
      </c>
      <c r="R8" s="1056">
        <v>5</v>
      </c>
      <c r="S8" s="1055">
        <v>1.3320000000000001</v>
      </c>
      <c r="T8" s="1054">
        <f t="shared" si="2"/>
        <v>3.70296</v>
      </c>
      <c r="U8" s="1136">
        <v>4.93</v>
      </c>
      <c r="V8" s="1052">
        <f t="shared" si="3"/>
        <v>3.7012012012012008</v>
      </c>
      <c r="W8" s="1049"/>
      <c r="X8" s="1051">
        <v>2.78</v>
      </c>
      <c r="Y8" s="1049"/>
      <c r="Z8" s="1050">
        <f t="shared" si="4"/>
        <v>2.6373599999999997</v>
      </c>
      <c r="AA8" s="1118"/>
      <c r="AB8" s="1057">
        <v>4</v>
      </c>
      <c r="AC8" s="1056">
        <v>5</v>
      </c>
      <c r="AD8" s="1055">
        <v>1.95</v>
      </c>
      <c r="AE8" s="1054">
        <f t="shared" si="5"/>
        <v>0.2535</v>
      </c>
      <c r="AF8" s="1136">
        <v>1.6</v>
      </c>
      <c r="AG8" s="1052">
        <f t="shared" si="6"/>
        <v>0.8205128205128206</v>
      </c>
      <c r="AH8" s="1049"/>
      <c r="AI8" s="1051">
        <v>0.13</v>
      </c>
      <c r="AJ8" s="1049"/>
      <c r="AK8" s="1050">
        <f t="shared" si="7"/>
        <v>-1.3065</v>
      </c>
      <c r="AL8" s="1049"/>
      <c r="AM8" s="1118"/>
      <c r="AN8" s="1057">
        <v>4</v>
      </c>
      <c r="AO8" s="1056">
        <v>5</v>
      </c>
      <c r="AP8" s="1055">
        <v>0</v>
      </c>
      <c r="AQ8" s="1736">
        <f t="shared" si="8"/>
        <v>0</v>
      </c>
      <c r="AR8" s="1737">
        <v>0</v>
      </c>
      <c r="AS8" s="1052" t="e">
        <f t="shared" si="9"/>
        <v>#DIV/0!</v>
      </c>
      <c r="AT8" s="1049"/>
      <c r="AU8" s="1051"/>
      <c r="AV8" s="1049"/>
      <c r="AW8" s="1118"/>
      <c r="AX8" s="1057">
        <v>4</v>
      </c>
      <c r="AY8" s="1056">
        <v>5</v>
      </c>
      <c r="AZ8" s="1055">
        <v>0.11</v>
      </c>
      <c r="BA8" s="1736">
        <v>0.22</v>
      </c>
      <c r="BB8" s="1737">
        <f t="shared" si="10"/>
        <v>2</v>
      </c>
      <c r="BC8" s="1049"/>
      <c r="BD8" s="1051"/>
      <c r="BE8" s="1049"/>
      <c r="BF8" s="1118"/>
      <c r="BG8" s="1883">
        <v>4</v>
      </c>
      <c r="BH8" s="1871">
        <v>5</v>
      </c>
      <c r="BI8" s="1862">
        <v>0.12</v>
      </c>
      <c r="BJ8" s="1884">
        <v>0.14000000000000001</v>
      </c>
      <c r="BK8" s="1049"/>
      <c r="BL8" s="1118"/>
      <c r="BM8" s="1057">
        <v>4</v>
      </c>
      <c r="BN8" s="1056">
        <v>5</v>
      </c>
      <c r="BO8" s="1055">
        <v>0.18</v>
      </c>
      <c r="BP8" s="1055"/>
      <c r="BQ8" s="1049"/>
    </row>
    <row r="9" spans="1:69" ht="15" thickBot="1">
      <c r="A9" s="1049"/>
      <c r="B9" s="1058">
        <f>SUM(F4:F27)</f>
        <v>49.370000000000005</v>
      </c>
      <c r="C9" s="1111">
        <v>5</v>
      </c>
      <c r="D9" s="1110">
        <v>6</v>
      </c>
      <c r="E9" s="1117">
        <v>0.54</v>
      </c>
      <c r="F9" s="1116">
        <v>1.56</v>
      </c>
      <c r="G9" s="1115">
        <f t="shared" si="0"/>
        <v>2.8888888888888888</v>
      </c>
      <c r="H9" s="1049"/>
      <c r="I9" s="1058">
        <f>SUM(M4:M27)</f>
        <v>32.08</v>
      </c>
      <c r="J9" s="1111">
        <v>5</v>
      </c>
      <c r="K9" s="1110">
        <v>6</v>
      </c>
      <c r="L9" s="1109">
        <v>0.31</v>
      </c>
      <c r="M9" s="1114">
        <v>0.67</v>
      </c>
      <c r="N9" s="1113">
        <f t="shared" si="1"/>
        <v>2.1612903225806455</v>
      </c>
      <c r="O9" s="1049"/>
      <c r="P9" s="1112">
        <f>SUM(U4:U27)</f>
        <v>172.54999999999998</v>
      </c>
      <c r="Q9" s="1111">
        <v>5</v>
      </c>
      <c r="R9" s="1110">
        <v>6</v>
      </c>
      <c r="S9" s="1109">
        <v>1.3640000000000001</v>
      </c>
      <c r="T9" s="1054">
        <f t="shared" si="2"/>
        <v>3.9419600000000004</v>
      </c>
      <c r="U9" s="1146">
        <v>5.2</v>
      </c>
      <c r="V9" s="1052">
        <f t="shared" si="3"/>
        <v>3.8123167155425217</v>
      </c>
      <c r="W9" s="1049"/>
      <c r="X9" s="1074">
        <v>2.89</v>
      </c>
      <c r="Y9" s="1049"/>
      <c r="Z9" s="1050">
        <f t="shared" si="4"/>
        <v>2.8507600000000002</v>
      </c>
      <c r="AA9" s="1112">
        <f>SUM(AF4:AF27)</f>
        <v>58.349999999999987</v>
      </c>
      <c r="AB9" s="1111">
        <v>5</v>
      </c>
      <c r="AC9" s="1110">
        <v>6</v>
      </c>
      <c r="AD9" s="1109">
        <v>1.87</v>
      </c>
      <c r="AE9" s="1153">
        <f t="shared" si="5"/>
        <v>0.24310000000000001</v>
      </c>
      <c r="AF9" s="1146">
        <v>1.54</v>
      </c>
      <c r="AG9" s="1113">
        <f t="shared" si="6"/>
        <v>0.82352941176470584</v>
      </c>
      <c r="AH9" s="1049"/>
      <c r="AI9" s="1074">
        <v>0.13</v>
      </c>
      <c r="AJ9" s="1049"/>
      <c r="AK9" s="1159">
        <f t="shared" si="7"/>
        <v>-1.2529000000000001</v>
      </c>
      <c r="AL9" s="1049"/>
      <c r="AM9" s="1112">
        <f>SUM(AR4:AR27)</f>
        <v>4.92</v>
      </c>
      <c r="AN9" s="1111">
        <v>5</v>
      </c>
      <c r="AO9" s="1110">
        <v>6</v>
      </c>
      <c r="AP9" s="1109">
        <v>0</v>
      </c>
      <c r="AQ9" s="1738">
        <f t="shared" si="8"/>
        <v>0</v>
      </c>
      <c r="AR9" s="1739">
        <v>0</v>
      </c>
      <c r="AS9" s="1113" t="e">
        <f t="shared" si="9"/>
        <v>#DIV/0!</v>
      </c>
      <c r="AT9" s="1049"/>
      <c r="AU9" s="1074"/>
      <c r="AV9" s="1049"/>
      <c r="AW9" s="1112">
        <f>SUM(BA4:BA27)</f>
        <v>14.349999999999998</v>
      </c>
      <c r="AX9" s="1111">
        <v>5</v>
      </c>
      <c r="AY9" s="1110">
        <v>6</v>
      </c>
      <c r="AZ9" s="1109">
        <v>0.13</v>
      </c>
      <c r="BA9" s="1738">
        <v>0.28000000000000003</v>
      </c>
      <c r="BB9" s="1739">
        <f t="shared" si="10"/>
        <v>2.1538461538461542</v>
      </c>
      <c r="BC9" s="1049"/>
      <c r="BD9" s="1074"/>
      <c r="BE9" s="1049"/>
      <c r="BF9" s="1112">
        <f>SUM(BJ4:BJ27)</f>
        <v>7.9399999999999986</v>
      </c>
      <c r="BG9" s="1883">
        <v>5</v>
      </c>
      <c r="BH9" s="1871">
        <v>6</v>
      </c>
      <c r="BI9" s="1862">
        <v>0.06</v>
      </c>
      <c r="BJ9" s="1884">
        <v>7.0000000000000007E-2</v>
      </c>
      <c r="BK9" s="1049"/>
      <c r="BL9" s="1112">
        <f>SUM(BP4:BP27)</f>
        <v>0</v>
      </c>
      <c r="BM9" s="1111">
        <v>5</v>
      </c>
      <c r="BN9" s="1110">
        <v>6</v>
      </c>
      <c r="BO9" s="1109">
        <v>0.13</v>
      </c>
      <c r="BP9" s="1109"/>
      <c r="BQ9" s="1049"/>
    </row>
    <row r="10" spans="1:69" ht="14.4">
      <c r="A10" s="1049"/>
      <c r="B10" s="1093">
        <f>B9/B6</f>
        <v>2.9474626865671638</v>
      </c>
      <c r="C10" s="1100">
        <v>6</v>
      </c>
      <c r="D10" s="1099">
        <v>7</v>
      </c>
      <c r="E10" s="1107">
        <v>0.47</v>
      </c>
      <c r="F10" s="1106">
        <v>1.36</v>
      </c>
      <c r="G10" s="1105">
        <f t="shared" si="0"/>
        <v>2.8936170212765959</v>
      </c>
      <c r="H10" s="1049"/>
      <c r="I10" s="1093">
        <f>I9/I6</f>
        <v>2.5975708502024291</v>
      </c>
      <c r="J10" s="1100">
        <v>6</v>
      </c>
      <c r="K10" s="1099">
        <v>7</v>
      </c>
      <c r="L10" s="1098">
        <v>0.41</v>
      </c>
      <c r="M10" s="1103">
        <v>0.91</v>
      </c>
      <c r="N10" s="1102">
        <f t="shared" si="1"/>
        <v>2.2195121951219514</v>
      </c>
      <c r="O10" s="1049"/>
      <c r="P10" s="1093">
        <f>P9/P6</f>
        <v>4.8650858544562547</v>
      </c>
      <c r="Q10" s="1100">
        <v>6</v>
      </c>
      <c r="R10" s="1099">
        <v>7</v>
      </c>
      <c r="S10" s="1098">
        <v>1.4430000000000001</v>
      </c>
      <c r="T10" s="1054">
        <f t="shared" si="2"/>
        <v>5.1082200000000002</v>
      </c>
      <c r="U10" s="1144">
        <v>6.43</v>
      </c>
      <c r="V10" s="1052">
        <f t="shared" si="3"/>
        <v>4.455994455994456</v>
      </c>
      <c r="W10" s="1049"/>
      <c r="X10" s="1108">
        <v>3.54</v>
      </c>
      <c r="Y10" s="1049"/>
      <c r="Z10" s="1050">
        <f t="shared" si="4"/>
        <v>3.9538200000000003</v>
      </c>
      <c r="AA10" s="1093">
        <f>AA9/AA6</f>
        <v>1.1057418988061396</v>
      </c>
      <c r="AB10" s="1100">
        <v>6</v>
      </c>
      <c r="AC10" s="1099">
        <v>7</v>
      </c>
      <c r="AD10" s="1098">
        <v>1.94</v>
      </c>
      <c r="AE10" s="1151">
        <f t="shared" si="5"/>
        <v>0.25219999999999998</v>
      </c>
      <c r="AF10" s="1144">
        <v>1.59</v>
      </c>
      <c r="AG10" s="1069">
        <f t="shared" si="6"/>
        <v>0.81958762886597947</v>
      </c>
      <c r="AH10" s="1049"/>
      <c r="AI10" s="1108">
        <v>0.13</v>
      </c>
      <c r="AJ10" s="1049"/>
      <c r="AK10" s="1158">
        <f t="shared" si="7"/>
        <v>-1.2998000000000001</v>
      </c>
      <c r="AL10" s="1049"/>
      <c r="AM10" s="1093">
        <f>AM9/AM6</f>
        <v>1.9679999999999995</v>
      </c>
      <c r="AN10" s="1100">
        <v>6</v>
      </c>
      <c r="AO10" s="1099">
        <v>7</v>
      </c>
      <c r="AP10" s="1098">
        <v>0</v>
      </c>
      <c r="AQ10" s="1740">
        <f t="shared" si="8"/>
        <v>0</v>
      </c>
      <c r="AR10" s="1741">
        <v>0</v>
      </c>
      <c r="AS10" s="1069" t="e">
        <f t="shared" si="9"/>
        <v>#DIV/0!</v>
      </c>
      <c r="AT10" s="1049"/>
      <c r="AU10" s="1108"/>
      <c r="AV10" s="1049"/>
      <c r="AW10" s="1093">
        <f>AW9/AW6</f>
        <v>2.344771241830065</v>
      </c>
      <c r="AX10" s="1100">
        <v>6</v>
      </c>
      <c r="AY10" s="1099">
        <v>7</v>
      </c>
      <c r="AZ10" s="1098">
        <v>0.11</v>
      </c>
      <c r="BA10" s="1740">
        <v>0.26</v>
      </c>
      <c r="BB10" s="1741">
        <f t="shared" si="10"/>
        <v>2.3636363636363638</v>
      </c>
      <c r="BC10" s="1049"/>
      <c r="BD10" s="1108"/>
      <c r="BE10" s="1049"/>
      <c r="BF10" s="1093">
        <f>BF9/BF6</f>
        <v>1.3480475382003392</v>
      </c>
      <c r="BG10" s="1883">
        <v>6</v>
      </c>
      <c r="BH10" s="1871">
        <v>7</v>
      </c>
      <c r="BI10" s="1862">
        <v>0.18</v>
      </c>
      <c r="BJ10" s="1884">
        <v>0.21</v>
      </c>
      <c r="BK10" s="1049"/>
      <c r="BL10" s="1093">
        <f>BL9/BL6</f>
        <v>0</v>
      </c>
      <c r="BM10" s="1100">
        <v>6</v>
      </c>
      <c r="BN10" s="1099">
        <v>7</v>
      </c>
      <c r="BO10" s="1098">
        <v>0.19</v>
      </c>
      <c r="BP10" s="1098"/>
      <c r="BQ10" s="1049"/>
    </row>
    <row r="11" spans="1:69" ht="14.4">
      <c r="A11" s="1049"/>
      <c r="B11" s="1104"/>
      <c r="C11" s="1100">
        <v>7</v>
      </c>
      <c r="D11" s="1099">
        <v>8</v>
      </c>
      <c r="E11" s="1107">
        <v>0.36</v>
      </c>
      <c r="F11" s="1106">
        <v>1.04</v>
      </c>
      <c r="G11" s="1105">
        <f t="shared" si="0"/>
        <v>2.8888888888888893</v>
      </c>
      <c r="H11" s="1049"/>
      <c r="I11" s="1104"/>
      <c r="J11" s="1100">
        <v>7</v>
      </c>
      <c r="K11" s="1099">
        <v>8</v>
      </c>
      <c r="L11" s="1098">
        <v>1.05</v>
      </c>
      <c r="M11" s="1103">
        <v>2.52</v>
      </c>
      <c r="N11" s="1102">
        <f t="shared" si="1"/>
        <v>2.4</v>
      </c>
      <c r="O11" s="1049"/>
      <c r="P11" s="1101"/>
      <c r="Q11" s="1100">
        <v>7</v>
      </c>
      <c r="R11" s="1099">
        <v>8</v>
      </c>
      <c r="S11" s="1098">
        <v>1.681</v>
      </c>
      <c r="T11" s="1054">
        <f t="shared" si="2"/>
        <v>7.4636400000000007</v>
      </c>
      <c r="U11" s="1144">
        <v>9.02</v>
      </c>
      <c r="V11" s="1052">
        <f t="shared" si="3"/>
        <v>5.3658536585365848</v>
      </c>
      <c r="W11" s="1049"/>
      <c r="X11" s="1065">
        <v>4.4400000000000004</v>
      </c>
      <c r="Y11" s="1049"/>
      <c r="Z11" s="1050">
        <f t="shared" si="4"/>
        <v>6.1188400000000014</v>
      </c>
      <c r="AA11" s="1101"/>
      <c r="AB11" s="1100">
        <v>7</v>
      </c>
      <c r="AC11" s="1099">
        <v>8</v>
      </c>
      <c r="AD11" s="1098">
        <v>1.93</v>
      </c>
      <c r="AE11" s="1054">
        <f t="shared" si="5"/>
        <v>0.25090000000000001</v>
      </c>
      <c r="AF11" s="1144">
        <v>1.59</v>
      </c>
      <c r="AG11" s="1052">
        <f t="shared" si="6"/>
        <v>0.82383419689119175</v>
      </c>
      <c r="AH11" s="1049"/>
      <c r="AI11" s="1065">
        <v>0.13</v>
      </c>
      <c r="AJ11" s="1049"/>
      <c r="AK11" s="1050">
        <f t="shared" si="7"/>
        <v>-1.2931000000000001</v>
      </c>
      <c r="AL11" s="1049"/>
      <c r="AM11" s="1101"/>
      <c r="AN11" s="1100">
        <v>7</v>
      </c>
      <c r="AO11" s="1099">
        <v>8</v>
      </c>
      <c r="AP11" s="1098">
        <v>0</v>
      </c>
      <c r="AQ11" s="1736">
        <f t="shared" si="8"/>
        <v>0</v>
      </c>
      <c r="AR11" s="1741">
        <v>0</v>
      </c>
      <c r="AS11" s="1052" t="e">
        <f t="shared" si="9"/>
        <v>#DIV/0!</v>
      </c>
      <c r="AT11" s="1049"/>
      <c r="AU11" s="1065"/>
      <c r="AV11" s="1049"/>
      <c r="AW11" s="1101"/>
      <c r="AX11" s="1100">
        <v>7</v>
      </c>
      <c r="AY11" s="1099">
        <v>8</v>
      </c>
      <c r="AZ11" s="1098">
        <v>0.17</v>
      </c>
      <c r="BA11" s="1736">
        <v>0.43</v>
      </c>
      <c r="BB11" s="1741">
        <f t="shared" si="10"/>
        <v>2.5294117647058822</v>
      </c>
      <c r="BC11" s="1049"/>
      <c r="BD11" s="1065"/>
      <c r="BE11" s="1049"/>
      <c r="BF11" s="1101"/>
      <c r="BG11" s="1885">
        <v>7</v>
      </c>
      <c r="BH11" s="1886">
        <v>8</v>
      </c>
      <c r="BI11" s="1887">
        <v>0.24</v>
      </c>
      <c r="BJ11" s="1888">
        <v>0.31</v>
      </c>
      <c r="BK11" s="1049"/>
      <c r="BL11" s="1101"/>
      <c r="BM11" s="1100">
        <v>7</v>
      </c>
      <c r="BN11" s="1099">
        <v>8</v>
      </c>
      <c r="BO11" s="1098">
        <v>0.2</v>
      </c>
      <c r="BP11" s="1098"/>
      <c r="BQ11" s="1049"/>
    </row>
    <row r="12" spans="1:69" ht="14.4">
      <c r="A12" s="1049"/>
      <c r="B12" s="1097">
        <f>B9/24</f>
        <v>2.0570833333333334</v>
      </c>
      <c r="C12" s="1086">
        <v>8</v>
      </c>
      <c r="D12" s="1085">
        <v>9</v>
      </c>
      <c r="E12" s="1091">
        <v>0.43</v>
      </c>
      <c r="F12" s="1090">
        <v>1.25</v>
      </c>
      <c r="G12" s="1089">
        <f t="shared" si="0"/>
        <v>2.9069767441860463</v>
      </c>
      <c r="H12" s="1049"/>
      <c r="I12" s="1097">
        <f>I9/24</f>
        <v>1.3366666666666667</v>
      </c>
      <c r="J12" s="1086">
        <v>8</v>
      </c>
      <c r="K12" s="1085">
        <v>9</v>
      </c>
      <c r="L12" s="1084">
        <v>1.23</v>
      </c>
      <c r="M12" s="1088">
        <v>3.02</v>
      </c>
      <c r="N12" s="1087">
        <f t="shared" si="1"/>
        <v>2.4552845528455287</v>
      </c>
      <c r="O12" s="1049"/>
      <c r="P12" s="1096">
        <f>P9/24</f>
        <v>7.1895833333333323</v>
      </c>
      <c r="Q12" s="1086">
        <v>8</v>
      </c>
      <c r="R12" s="1085">
        <v>9</v>
      </c>
      <c r="S12" s="1084">
        <v>2.242</v>
      </c>
      <c r="T12" s="1054">
        <f t="shared" si="2"/>
        <v>10.245940000000001</v>
      </c>
      <c r="U12" s="1142">
        <v>12.3</v>
      </c>
      <c r="V12" s="1052">
        <f t="shared" si="3"/>
        <v>5.4861730597680642</v>
      </c>
      <c r="W12" s="1049"/>
      <c r="X12" s="1051">
        <v>4.57</v>
      </c>
      <c r="Y12" s="1049"/>
      <c r="Z12" s="1050">
        <f t="shared" si="4"/>
        <v>8.4523400000000013</v>
      </c>
      <c r="AA12" s="1096">
        <f>AA9/24</f>
        <v>2.4312499999999995</v>
      </c>
      <c r="AB12" s="1086">
        <v>8</v>
      </c>
      <c r="AC12" s="1085">
        <v>9</v>
      </c>
      <c r="AD12" s="1084">
        <v>1.87</v>
      </c>
      <c r="AE12" s="1054">
        <f t="shared" si="5"/>
        <v>0.24310000000000001</v>
      </c>
      <c r="AF12" s="1142">
        <v>1.54</v>
      </c>
      <c r="AG12" s="1052">
        <f t="shared" si="6"/>
        <v>0.82352941176470584</v>
      </c>
      <c r="AH12" s="1049"/>
      <c r="AI12" s="1051">
        <v>0.13</v>
      </c>
      <c r="AJ12" s="1049"/>
      <c r="AK12" s="1050">
        <f t="shared" si="7"/>
        <v>-1.2529000000000001</v>
      </c>
      <c r="AL12" s="1049"/>
      <c r="AM12" s="1096">
        <f>AM9/24</f>
        <v>0.20499999999999999</v>
      </c>
      <c r="AN12" s="1086">
        <v>8</v>
      </c>
      <c r="AO12" s="1085">
        <v>9</v>
      </c>
      <c r="AP12" s="1084">
        <v>0</v>
      </c>
      <c r="AQ12" s="1736">
        <f t="shared" si="8"/>
        <v>0</v>
      </c>
      <c r="AR12" s="1742">
        <v>0</v>
      </c>
      <c r="AS12" s="1052" t="e">
        <f t="shared" si="9"/>
        <v>#DIV/0!</v>
      </c>
      <c r="AT12" s="1049"/>
      <c r="AU12" s="1051"/>
      <c r="AV12" s="1049"/>
      <c r="AW12" s="1096">
        <f>AW9/24</f>
        <v>0.59791666666666654</v>
      </c>
      <c r="AX12" s="1086">
        <v>8</v>
      </c>
      <c r="AY12" s="1085">
        <v>9</v>
      </c>
      <c r="AZ12" s="1084">
        <v>0.32</v>
      </c>
      <c r="BA12" s="1736">
        <v>0.82</v>
      </c>
      <c r="BB12" s="1742">
        <f t="shared" si="10"/>
        <v>2.5625</v>
      </c>
      <c r="BC12" s="1049"/>
      <c r="BD12" s="1051"/>
      <c r="BE12" s="1049"/>
      <c r="BF12" s="1096">
        <f>BF9/24</f>
        <v>0.33083333333333326</v>
      </c>
      <c r="BG12" s="1890">
        <v>8</v>
      </c>
      <c r="BH12" s="1891">
        <v>9</v>
      </c>
      <c r="BI12" s="1892">
        <v>0.21</v>
      </c>
      <c r="BJ12" s="1882">
        <v>0.28999999999999998</v>
      </c>
      <c r="BK12" s="1049"/>
      <c r="BL12" s="1096">
        <f>BL9/24</f>
        <v>0</v>
      </c>
      <c r="BM12" s="1086">
        <v>8</v>
      </c>
      <c r="BN12" s="1085">
        <v>9</v>
      </c>
      <c r="BO12" s="1084">
        <v>0.27</v>
      </c>
      <c r="BP12" s="1084"/>
      <c r="BQ12" s="1049"/>
    </row>
    <row r="13" spans="1:69" ht="14.4">
      <c r="A13" s="1049"/>
      <c r="B13" s="1097"/>
      <c r="C13" s="1086">
        <v>9</v>
      </c>
      <c r="D13" s="1085">
        <v>10</v>
      </c>
      <c r="E13" s="1091">
        <v>1.23</v>
      </c>
      <c r="F13" s="1090">
        <v>3.55</v>
      </c>
      <c r="G13" s="1089">
        <f t="shared" si="0"/>
        <v>2.8861788617886179</v>
      </c>
      <c r="H13" s="1049"/>
      <c r="I13" s="1097"/>
      <c r="J13" s="1086">
        <v>9</v>
      </c>
      <c r="K13" s="1085">
        <v>10</v>
      </c>
      <c r="L13" s="1084">
        <v>0.85</v>
      </c>
      <c r="M13" s="1088">
        <v>1.96</v>
      </c>
      <c r="N13" s="1087">
        <f t="shared" si="1"/>
        <v>2.3058823529411763</v>
      </c>
      <c r="O13" s="1049"/>
      <c r="P13" s="1096"/>
      <c r="Q13" s="1086">
        <v>9</v>
      </c>
      <c r="R13" s="1085">
        <v>10</v>
      </c>
      <c r="S13" s="1084">
        <v>1.9119999999999999</v>
      </c>
      <c r="T13" s="1054">
        <f t="shared" si="2"/>
        <v>8.7187199999999994</v>
      </c>
      <c r="U13" s="1142">
        <v>10.46</v>
      </c>
      <c r="V13" s="1052">
        <f t="shared" si="3"/>
        <v>5.47071129707113</v>
      </c>
      <c r="W13" s="1049"/>
      <c r="X13" s="1051">
        <v>4.5599999999999996</v>
      </c>
      <c r="Y13" s="1049"/>
      <c r="Z13" s="1050">
        <f t="shared" si="4"/>
        <v>7.1891199999999991</v>
      </c>
      <c r="AA13" s="1096"/>
      <c r="AB13" s="1086">
        <v>9</v>
      </c>
      <c r="AC13" s="1085">
        <v>10</v>
      </c>
      <c r="AD13" s="1084">
        <v>1.9</v>
      </c>
      <c r="AE13" s="1054">
        <f t="shared" si="5"/>
        <v>0.247</v>
      </c>
      <c r="AF13" s="1142">
        <v>1.56</v>
      </c>
      <c r="AG13" s="1052">
        <f t="shared" si="6"/>
        <v>0.82105263157894748</v>
      </c>
      <c r="AH13" s="1049"/>
      <c r="AI13" s="1051">
        <v>0.13</v>
      </c>
      <c r="AJ13" s="1049"/>
      <c r="AK13" s="1050">
        <f t="shared" si="7"/>
        <v>-1.2729999999999999</v>
      </c>
      <c r="AL13" s="1049"/>
      <c r="AM13" s="1096"/>
      <c r="AN13" s="1086">
        <v>9</v>
      </c>
      <c r="AO13" s="1085">
        <v>10</v>
      </c>
      <c r="AP13" s="1084">
        <v>0</v>
      </c>
      <c r="AQ13" s="1736">
        <f t="shared" si="8"/>
        <v>0</v>
      </c>
      <c r="AR13" s="1742">
        <v>0</v>
      </c>
      <c r="AS13" s="1052" t="e">
        <f t="shared" si="9"/>
        <v>#DIV/0!</v>
      </c>
      <c r="AT13" s="1049"/>
      <c r="AU13" s="1051"/>
      <c r="AV13" s="1049"/>
      <c r="AW13" s="1096"/>
      <c r="AX13" s="1086">
        <v>9</v>
      </c>
      <c r="AY13" s="1085">
        <v>10</v>
      </c>
      <c r="AZ13" s="1084">
        <v>0.24</v>
      </c>
      <c r="BA13" s="1736">
        <v>0.54</v>
      </c>
      <c r="BB13" s="1742">
        <f t="shared" si="10"/>
        <v>2.2500000000000004</v>
      </c>
      <c r="BC13" s="1049"/>
      <c r="BD13" s="1051"/>
      <c r="BE13" s="1049"/>
      <c r="BF13" s="1096"/>
      <c r="BG13" s="1893">
        <v>9</v>
      </c>
      <c r="BH13" s="1872">
        <v>10</v>
      </c>
      <c r="BI13" s="1864">
        <v>0.11</v>
      </c>
      <c r="BJ13" s="1884">
        <v>0.15</v>
      </c>
      <c r="BK13" s="1049"/>
      <c r="BL13" s="1096"/>
      <c r="BM13" s="1086">
        <v>9</v>
      </c>
      <c r="BN13" s="1085">
        <v>10</v>
      </c>
      <c r="BO13" s="1084">
        <v>0.22</v>
      </c>
      <c r="BP13" s="1084"/>
      <c r="BQ13" s="1049"/>
    </row>
    <row r="14" spans="1:69" ht="14.4">
      <c r="A14" s="1049"/>
      <c r="B14" s="1060"/>
      <c r="C14" s="1086">
        <v>10</v>
      </c>
      <c r="D14" s="1085">
        <v>11</v>
      </c>
      <c r="E14" s="1091">
        <v>1.38</v>
      </c>
      <c r="F14" s="1090">
        <v>3.99</v>
      </c>
      <c r="G14" s="1089">
        <f t="shared" si="0"/>
        <v>2.8913043478260874</v>
      </c>
      <c r="H14" s="1049"/>
      <c r="I14" s="1060"/>
      <c r="J14" s="1086">
        <v>10</v>
      </c>
      <c r="K14" s="1085">
        <v>11</v>
      </c>
      <c r="L14" s="1084">
        <v>0.3</v>
      </c>
      <c r="M14" s="1088">
        <v>0.67</v>
      </c>
      <c r="N14" s="1087">
        <f t="shared" si="1"/>
        <v>2.2333333333333334</v>
      </c>
      <c r="O14" s="1049"/>
      <c r="P14" s="1095">
        <f>SUM(Z4:Z27)</f>
        <v>111.58654000000001</v>
      </c>
      <c r="Q14" s="1086">
        <v>10</v>
      </c>
      <c r="R14" s="1085">
        <v>11</v>
      </c>
      <c r="S14" s="1084">
        <v>1.5609999999999999</v>
      </c>
      <c r="T14" s="1054">
        <f t="shared" si="2"/>
        <v>6.9776699999999989</v>
      </c>
      <c r="U14" s="1142">
        <v>8.41</v>
      </c>
      <c r="V14" s="1052">
        <f t="shared" si="3"/>
        <v>5.3875720691864188</v>
      </c>
      <c r="W14" s="1049"/>
      <c r="X14" s="1051">
        <v>4.47</v>
      </c>
      <c r="Y14" s="1049"/>
      <c r="Z14" s="1050">
        <f t="shared" si="4"/>
        <v>5.7288699999999997</v>
      </c>
      <c r="AA14" s="1095">
        <f>SUM(AK4:AK27)</f>
        <v>-26.313800000000001</v>
      </c>
      <c r="AB14" s="1086">
        <v>10</v>
      </c>
      <c r="AC14" s="1085">
        <v>11</v>
      </c>
      <c r="AD14" s="1084">
        <v>2.33</v>
      </c>
      <c r="AE14" s="1054">
        <f t="shared" si="5"/>
        <v>0.32620000000000005</v>
      </c>
      <c r="AF14" s="1142">
        <v>1.93</v>
      </c>
      <c r="AG14" s="1052">
        <f t="shared" si="6"/>
        <v>0.8283261802575107</v>
      </c>
      <c r="AH14" s="1049"/>
      <c r="AI14" s="1051">
        <v>0.14000000000000001</v>
      </c>
      <c r="AJ14" s="1049"/>
      <c r="AK14" s="1050">
        <f t="shared" si="7"/>
        <v>-1.5378000000000001</v>
      </c>
      <c r="AL14" s="1049"/>
      <c r="AM14" s="1095" t="e">
        <f>SUM(#REF!)</f>
        <v>#REF!</v>
      </c>
      <c r="AN14" s="1086">
        <v>10</v>
      </c>
      <c r="AO14" s="1085">
        <v>11</v>
      </c>
      <c r="AP14" s="1084">
        <v>0</v>
      </c>
      <c r="AQ14" s="1736">
        <f t="shared" si="8"/>
        <v>0</v>
      </c>
      <c r="AR14" s="1742">
        <v>0</v>
      </c>
      <c r="AS14" s="1052" t="e">
        <f t="shared" si="9"/>
        <v>#DIV/0!</v>
      </c>
      <c r="AT14" s="1049"/>
      <c r="AU14" s="1051"/>
      <c r="AV14" s="1049"/>
      <c r="AW14" s="1095" t="e">
        <f>SUM(#REF!)</f>
        <v>#REF!</v>
      </c>
      <c r="AX14" s="1086">
        <v>10</v>
      </c>
      <c r="AY14" s="1085">
        <v>11</v>
      </c>
      <c r="AZ14" s="1084">
        <v>0.23</v>
      </c>
      <c r="BA14" s="1736">
        <v>0.46</v>
      </c>
      <c r="BB14" s="1742">
        <f t="shared" si="10"/>
        <v>2</v>
      </c>
      <c r="BC14" s="1049"/>
      <c r="BD14" s="1051"/>
      <c r="BE14" s="1049"/>
      <c r="BF14" s="1095" t="e">
        <f>SUM(#REF!)</f>
        <v>#REF!</v>
      </c>
      <c r="BG14" s="1893">
        <v>10</v>
      </c>
      <c r="BH14" s="1872">
        <v>11</v>
      </c>
      <c r="BI14" s="1864">
        <v>0.25</v>
      </c>
      <c r="BJ14" s="1884">
        <v>0.32</v>
      </c>
      <c r="BK14" s="1049"/>
      <c r="BL14" s="1095" t="e">
        <f>SUM(#REF!)</f>
        <v>#REF!</v>
      </c>
      <c r="BM14" s="1086">
        <v>10</v>
      </c>
      <c r="BN14" s="1085">
        <v>11</v>
      </c>
      <c r="BO14" s="1084">
        <v>0.19</v>
      </c>
      <c r="BP14" s="1084"/>
      <c r="BQ14" s="1049"/>
    </row>
    <row r="15" spans="1:69" ht="14.4">
      <c r="A15" s="1049"/>
      <c r="B15" s="1060"/>
      <c r="C15" s="1086">
        <v>11</v>
      </c>
      <c r="D15" s="1085">
        <v>12</v>
      </c>
      <c r="E15" s="1091">
        <v>2.63</v>
      </c>
      <c r="F15" s="1090">
        <v>7.6</v>
      </c>
      <c r="G15" s="1089">
        <f t="shared" si="0"/>
        <v>2.8897338403041823</v>
      </c>
      <c r="H15" s="1049"/>
      <c r="I15" s="1060"/>
      <c r="J15" s="1086">
        <v>11</v>
      </c>
      <c r="K15" s="1085">
        <v>12</v>
      </c>
      <c r="L15" s="1084">
        <v>0.23</v>
      </c>
      <c r="M15" s="1088">
        <v>0.49</v>
      </c>
      <c r="N15" s="1087">
        <f t="shared" si="1"/>
        <v>2.1304347826086953</v>
      </c>
      <c r="O15" s="1049"/>
      <c r="P15" s="1093">
        <f>P14/P6</f>
        <v>3.1462074604561994</v>
      </c>
      <c r="Q15" s="1086">
        <v>11</v>
      </c>
      <c r="R15" s="1085">
        <v>12</v>
      </c>
      <c r="S15" s="1084">
        <v>0.85899999999999999</v>
      </c>
      <c r="T15" s="1054">
        <f t="shared" si="2"/>
        <v>3.7881900000000002</v>
      </c>
      <c r="U15" s="1142">
        <v>4.57</v>
      </c>
      <c r="V15" s="1052">
        <f t="shared" si="3"/>
        <v>5.3201396973224684</v>
      </c>
      <c r="W15" s="1049"/>
      <c r="X15" s="1051">
        <v>4.41</v>
      </c>
      <c r="Y15" s="1049"/>
      <c r="Z15" s="1050">
        <f t="shared" si="4"/>
        <v>3.1009900000000004</v>
      </c>
      <c r="AA15" s="1093">
        <f>AA14/AA6</f>
        <v>-0.49865074853136254</v>
      </c>
      <c r="AB15" s="1086">
        <v>11</v>
      </c>
      <c r="AC15" s="1085">
        <v>12</v>
      </c>
      <c r="AD15" s="1084">
        <v>1.87</v>
      </c>
      <c r="AE15" s="1054">
        <f t="shared" si="5"/>
        <v>0.24310000000000001</v>
      </c>
      <c r="AF15" s="1142">
        <v>1.54</v>
      </c>
      <c r="AG15" s="1052">
        <f t="shared" si="6"/>
        <v>0.82352941176470584</v>
      </c>
      <c r="AH15" s="1049"/>
      <c r="AI15" s="1051">
        <v>0.13</v>
      </c>
      <c r="AJ15" s="1049"/>
      <c r="AK15" s="1050">
        <f t="shared" si="7"/>
        <v>-1.2529000000000001</v>
      </c>
      <c r="AL15" s="1049"/>
      <c r="AM15" s="1093" t="e">
        <f>AM14/AM6</f>
        <v>#REF!</v>
      </c>
      <c r="AN15" s="1086">
        <v>11</v>
      </c>
      <c r="AO15" s="1085">
        <v>12</v>
      </c>
      <c r="AP15" s="1084">
        <v>0</v>
      </c>
      <c r="AQ15" s="1736">
        <f t="shared" si="8"/>
        <v>0</v>
      </c>
      <c r="AR15" s="1742">
        <v>0</v>
      </c>
      <c r="AS15" s="1052" t="e">
        <f t="shared" si="9"/>
        <v>#DIV/0!</v>
      </c>
      <c r="AT15" s="1049"/>
      <c r="AU15" s="1051"/>
      <c r="AV15" s="1049"/>
      <c r="AW15" s="1093" t="e">
        <f>AW14/AW6</f>
        <v>#REF!</v>
      </c>
      <c r="AX15" s="1086">
        <v>11</v>
      </c>
      <c r="AY15" s="1085">
        <v>12</v>
      </c>
      <c r="AZ15" s="1084">
        <v>0.3</v>
      </c>
      <c r="BA15" s="1736">
        <v>0.57999999999999996</v>
      </c>
      <c r="BB15" s="1742">
        <f t="shared" si="10"/>
        <v>1.9333333333333333</v>
      </c>
      <c r="BC15" s="1049"/>
      <c r="BD15" s="1051"/>
      <c r="BE15" s="1049"/>
      <c r="BF15" s="1093" t="e">
        <f>BF14/BF6</f>
        <v>#REF!</v>
      </c>
      <c r="BG15" s="1893">
        <v>11</v>
      </c>
      <c r="BH15" s="1872">
        <v>12</v>
      </c>
      <c r="BI15" s="1864">
        <v>0.2</v>
      </c>
      <c r="BJ15" s="1884">
        <v>0.25</v>
      </c>
      <c r="BK15" s="1049"/>
      <c r="BL15" s="1093" t="e">
        <f>BL14/BL6</f>
        <v>#REF!</v>
      </c>
      <c r="BM15" s="1086">
        <v>11</v>
      </c>
      <c r="BN15" s="1085">
        <v>12</v>
      </c>
      <c r="BO15" s="1084">
        <v>0.37</v>
      </c>
      <c r="BP15" s="1084"/>
      <c r="BQ15" s="1049"/>
    </row>
    <row r="16" spans="1:69" ht="14.4">
      <c r="A16" s="1049"/>
      <c r="B16" s="1060"/>
      <c r="C16" s="1086">
        <v>12</v>
      </c>
      <c r="D16" s="1085">
        <v>13</v>
      </c>
      <c r="E16" s="1091">
        <v>1.93</v>
      </c>
      <c r="F16" s="1090">
        <v>5.59</v>
      </c>
      <c r="G16" s="1089">
        <f t="shared" si="0"/>
        <v>2.8963730569948187</v>
      </c>
      <c r="H16" s="1049"/>
      <c r="I16" s="1060"/>
      <c r="J16" s="1086">
        <v>12</v>
      </c>
      <c r="K16" s="1085">
        <v>13</v>
      </c>
      <c r="L16" s="1084">
        <v>0.28000000000000003</v>
      </c>
      <c r="M16" s="1088">
        <v>0.56000000000000005</v>
      </c>
      <c r="N16" s="1087">
        <f t="shared" si="1"/>
        <v>2</v>
      </c>
      <c r="O16" s="1049"/>
      <c r="P16" s="1060"/>
      <c r="Q16" s="1086">
        <v>12</v>
      </c>
      <c r="R16" s="1085">
        <v>13</v>
      </c>
      <c r="S16" s="1084">
        <v>0.96799999999999997</v>
      </c>
      <c r="T16" s="1054">
        <f t="shared" si="2"/>
        <v>4.1914400000000001</v>
      </c>
      <c r="U16" s="1142">
        <v>5.08</v>
      </c>
      <c r="V16" s="1052">
        <f t="shared" si="3"/>
        <v>5.2479338842975212</v>
      </c>
      <c r="W16" s="1049"/>
      <c r="X16" s="1051">
        <v>4.33</v>
      </c>
      <c r="Y16" s="1049"/>
      <c r="Z16" s="1050">
        <f t="shared" si="4"/>
        <v>3.4170400000000001</v>
      </c>
      <c r="AA16" s="1060"/>
      <c r="AB16" s="1086">
        <v>12</v>
      </c>
      <c r="AC16" s="1085">
        <v>13</v>
      </c>
      <c r="AD16" s="1084">
        <v>1.87</v>
      </c>
      <c r="AE16" s="1054">
        <f t="shared" si="5"/>
        <v>0.24310000000000001</v>
      </c>
      <c r="AF16" s="1142">
        <v>1.54</v>
      </c>
      <c r="AG16" s="1052">
        <f t="shared" si="6"/>
        <v>0.82352941176470584</v>
      </c>
      <c r="AH16" s="1049"/>
      <c r="AI16" s="1051">
        <v>0.13</v>
      </c>
      <c r="AJ16" s="1049"/>
      <c r="AK16" s="1050">
        <f t="shared" si="7"/>
        <v>-1.2529000000000001</v>
      </c>
      <c r="AL16" s="1049"/>
      <c r="AM16" s="1060"/>
      <c r="AN16" s="1086">
        <v>12</v>
      </c>
      <c r="AO16" s="1085">
        <v>13</v>
      </c>
      <c r="AP16" s="1084">
        <v>0</v>
      </c>
      <c r="AQ16" s="1736">
        <f t="shared" si="8"/>
        <v>0</v>
      </c>
      <c r="AR16" s="1742">
        <v>0</v>
      </c>
      <c r="AS16" s="1052" t="e">
        <f t="shared" si="9"/>
        <v>#DIV/0!</v>
      </c>
      <c r="AT16" s="1049"/>
      <c r="AU16" s="1051"/>
      <c r="AV16" s="1049"/>
      <c r="AW16" s="1060"/>
      <c r="AX16" s="1086">
        <v>12</v>
      </c>
      <c r="AY16" s="1085">
        <v>13</v>
      </c>
      <c r="AZ16" s="1084">
        <v>0.33</v>
      </c>
      <c r="BA16" s="1736">
        <v>0.63</v>
      </c>
      <c r="BB16" s="1742">
        <f t="shared" si="10"/>
        <v>1.9090909090909089</v>
      </c>
      <c r="BC16" s="1049"/>
      <c r="BD16" s="1051"/>
      <c r="BE16" s="1049"/>
      <c r="BF16" s="1060"/>
      <c r="BG16" s="1893">
        <v>12</v>
      </c>
      <c r="BH16" s="1872">
        <v>13</v>
      </c>
      <c r="BI16" s="1864">
        <v>0.38</v>
      </c>
      <c r="BJ16" s="1884">
        <v>0.46</v>
      </c>
      <c r="BK16" s="1049"/>
      <c r="BL16" s="1060"/>
      <c r="BM16" s="1086">
        <v>12</v>
      </c>
      <c r="BN16" s="1085">
        <v>13</v>
      </c>
      <c r="BO16" s="1084">
        <v>0.31</v>
      </c>
      <c r="BP16" s="1084"/>
      <c r="BQ16" s="1049"/>
    </row>
    <row r="17" spans="1:69" ht="14.4">
      <c r="A17" s="1049"/>
      <c r="B17" s="1060"/>
      <c r="C17" s="1086">
        <v>13</v>
      </c>
      <c r="D17" s="1085">
        <v>14</v>
      </c>
      <c r="E17" s="1091">
        <v>1.07</v>
      </c>
      <c r="F17" s="1090">
        <v>3.08</v>
      </c>
      <c r="G17" s="1089">
        <f t="shared" si="0"/>
        <v>2.8785046728971961</v>
      </c>
      <c r="H17" s="1049"/>
      <c r="I17" s="1060"/>
      <c r="J17" s="1086">
        <v>13</v>
      </c>
      <c r="K17" s="1085">
        <v>14</v>
      </c>
      <c r="L17" s="1084">
        <v>0.36</v>
      </c>
      <c r="M17" s="1088">
        <v>0.73</v>
      </c>
      <c r="N17" s="1087">
        <f t="shared" si="1"/>
        <v>2.0277777777777777</v>
      </c>
      <c r="O17" s="1049"/>
      <c r="P17" s="1092" t="s">
        <v>1127</v>
      </c>
      <c r="Q17" s="1086">
        <v>13</v>
      </c>
      <c r="R17" s="1085">
        <v>14</v>
      </c>
      <c r="S17" s="1084">
        <v>0.96399999999999997</v>
      </c>
      <c r="T17" s="1054">
        <f t="shared" si="2"/>
        <v>4.2512400000000001</v>
      </c>
      <c r="U17" s="1142">
        <v>5.14</v>
      </c>
      <c r="V17" s="1052">
        <f t="shared" si="3"/>
        <v>5.3319502074688794</v>
      </c>
      <c r="W17" s="1049"/>
      <c r="X17" s="1051">
        <v>4.41</v>
      </c>
      <c r="Y17" s="1049"/>
      <c r="Z17" s="1050">
        <f t="shared" si="4"/>
        <v>3.4800400000000002</v>
      </c>
      <c r="AA17" s="1092" t="s">
        <v>1127</v>
      </c>
      <c r="AB17" s="1086">
        <v>13</v>
      </c>
      <c r="AC17" s="1085">
        <v>14</v>
      </c>
      <c r="AD17" s="1084">
        <v>2.0499999999999998</v>
      </c>
      <c r="AE17" s="1054">
        <f t="shared" si="5"/>
        <v>0.26649999999999996</v>
      </c>
      <c r="AF17" s="1142">
        <v>1.69</v>
      </c>
      <c r="AG17" s="1052">
        <f t="shared" si="6"/>
        <v>0.82439024390243909</v>
      </c>
      <c r="AH17" s="1049"/>
      <c r="AI17" s="1051">
        <v>0.13</v>
      </c>
      <c r="AJ17" s="1049"/>
      <c r="AK17" s="1050">
        <f t="shared" si="7"/>
        <v>-1.3734999999999999</v>
      </c>
      <c r="AL17" s="1049"/>
      <c r="AM17" s="1092" t="s">
        <v>1127</v>
      </c>
      <c r="AN17" s="1086">
        <v>13</v>
      </c>
      <c r="AO17" s="1085">
        <v>14</v>
      </c>
      <c r="AP17" s="1084">
        <v>0.1</v>
      </c>
      <c r="AQ17" s="1736">
        <f t="shared" si="8"/>
        <v>0</v>
      </c>
      <c r="AR17" s="1742">
        <v>0.17</v>
      </c>
      <c r="AS17" s="1052">
        <f t="shared" si="9"/>
        <v>1.7</v>
      </c>
      <c r="AT17" s="1049"/>
      <c r="AU17" s="1051"/>
      <c r="AV17" s="1049"/>
      <c r="AW17" s="1092" t="s">
        <v>1127</v>
      </c>
      <c r="AX17" s="1086">
        <v>13</v>
      </c>
      <c r="AY17" s="1085">
        <v>14</v>
      </c>
      <c r="AZ17" s="1084">
        <v>0.41</v>
      </c>
      <c r="BA17" s="1736">
        <v>0.77</v>
      </c>
      <c r="BB17" s="1742">
        <f t="shared" si="10"/>
        <v>1.878048780487805</v>
      </c>
      <c r="BC17" s="1049"/>
      <c r="BD17" s="1051"/>
      <c r="BE17" s="1049"/>
      <c r="BF17" s="1092" t="s">
        <v>1127</v>
      </c>
      <c r="BG17" s="1893">
        <v>13</v>
      </c>
      <c r="BH17" s="1872">
        <v>14</v>
      </c>
      <c r="BI17" s="1864">
        <v>0.4</v>
      </c>
      <c r="BJ17" s="1884">
        <v>0.47</v>
      </c>
      <c r="BK17" s="1049"/>
      <c r="BL17" s="1092" t="s">
        <v>1127</v>
      </c>
      <c r="BM17" s="1086">
        <v>13</v>
      </c>
      <c r="BN17" s="1085">
        <v>14</v>
      </c>
      <c r="BO17" s="1084">
        <v>0.27</v>
      </c>
      <c r="BP17" s="1084"/>
      <c r="BQ17" s="1049"/>
    </row>
    <row r="18" spans="1:69" ht="14.4">
      <c r="A18" s="1049"/>
      <c r="B18" s="1060"/>
      <c r="C18" s="1086">
        <v>14</v>
      </c>
      <c r="D18" s="1085">
        <v>15</v>
      </c>
      <c r="E18" s="1091">
        <v>1.07</v>
      </c>
      <c r="F18" s="1090">
        <v>3.09</v>
      </c>
      <c r="G18" s="1089">
        <f t="shared" si="0"/>
        <v>2.8878504672897192</v>
      </c>
      <c r="H18" s="1049"/>
      <c r="I18" s="1060"/>
      <c r="J18" s="1086">
        <v>14</v>
      </c>
      <c r="K18" s="1085">
        <v>15</v>
      </c>
      <c r="L18" s="1084">
        <v>0.39</v>
      </c>
      <c r="M18" s="1088">
        <v>0.9</v>
      </c>
      <c r="N18" s="1087">
        <f t="shared" si="1"/>
        <v>2.3076923076923075</v>
      </c>
      <c r="O18" s="1049"/>
      <c r="P18" s="1058">
        <f>P6*0.8</f>
        <v>28.3736</v>
      </c>
      <c r="Q18" s="1086">
        <v>14</v>
      </c>
      <c r="R18" s="1085">
        <v>15</v>
      </c>
      <c r="S18" s="1084">
        <v>0.99099999999999999</v>
      </c>
      <c r="T18" s="1054">
        <f t="shared" si="2"/>
        <v>4.5288700000000004</v>
      </c>
      <c r="U18" s="1142">
        <v>5.44</v>
      </c>
      <c r="V18" s="1052">
        <f t="shared" si="3"/>
        <v>5.4894046417759839</v>
      </c>
      <c r="W18" s="1049"/>
      <c r="X18" s="1051">
        <v>4.57</v>
      </c>
      <c r="Y18" s="1049"/>
      <c r="Z18" s="1050">
        <f t="shared" si="4"/>
        <v>3.7360700000000002</v>
      </c>
      <c r="AA18" s="1058">
        <f>AA6*0.8</f>
        <v>42.216000000000001</v>
      </c>
      <c r="AB18" s="1086">
        <v>14</v>
      </c>
      <c r="AC18" s="1085">
        <v>15</v>
      </c>
      <c r="AD18" s="1084">
        <v>2.2200000000000002</v>
      </c>
      <c r="AE18" s="1054">
        <f t="shared" si="5"/>
        <v>0.31080000000000008</v>
      </c>
      <c r="AF18" s="1142">
        <v>1.84</v>
      </c>
      <c r="AG18" s="1052">
        <f t="shared" si="6"/>
        <v>0.8288288288288288</v>
      </c>
      <c r="AH18" s="1049"/>
      <c r="AI18" s="1051">
        <v>0.14000000000000001</v>
      </c>
      <c r="AJ18" s="1049"/>
      <c r="AK18" s="1050">
        <f t="shared" si="7"/>
        <v>-1.4652000000000003</v>
      </c>
      <c r="AL18" s="1049"/>
      <c r="AM18" s="1058">
        <f>AM6*0.8</f>
        <v>2.0000000000000004</v>
      </c>
      <c r="AN18" s="1086">
        <v>14</v>
      </c>
      <c r="AO18" s="1085">
        <v>15</v>
      </c>
      <c r="AP18" s="1084">
        <v>0.28000000000000003</v>
      </c>
      <c r="AQ18" s="1736">
        <f t="shared" si="8"/>
        <v>0</v>
      </c>
      <c r="AR18" s="1742">
        <v>0.48</v>
      </c>
      <c r="AS18" s="1052">
        <f t="shared" si="9"/>
        <v>1.714285714285714</v>
      </c>
      <c r="AT18" s="1049"/>
      <c r="AU18" s="1051"/>
      <c r="AV18" s="1049"/>
      <c r="AW18" s="1058">
        <f>AW6*0.8</f>
        <v>4.8960000000000008</v>
      </c>
      <c r="AX18" s="1086">
        <v>14</v>
      </c>
      <c r="AY18" s="1085">
        <v>15</v>
      </c>
      <c r="AZ18" s="1084">
        <v>0.3</v>
      </c>
      <c r="BA18" s="1736">
        <v>0.56999999999999995</v>
      </c>
      <c r="BB18" s="1742">
        <f t="shared" si="10"/>
        <v>1.9</v>
      </c>
      <c r="BC18" s="1049"/>
      <c r="BD18" s="1051"/>
      <c r="BE18" s="1049"/>
      <c r="BF18" s="1058">
        <f>BF6*0.8</f>
        <v>4.7120000000000006</v>
      </c>
      <c r="BG18" s="1893">
        <v>14</v>
      </c>
      <c r="BH18" s="1872">
        <v>15</v>
      </c>
      <c r="BI18" s="1864">
        <v>0.28999999999999998</v>
      </c>
      <c r="BJ18" s="1884">
        <v>0.33</v>
      </c>
      <c r="BK18" s="1049"/>
      <c r="BL18" s="1058">
        <f>BL6*0.8</f>
        <v>4.8879999999999999</v>
      </c>
      <c r="BM18" s="1086">
        <v>14</v>
      </c>
      <c r="BN18" s="1085">
        <v>15</v>
      </c>
      <c r="BO18" s="1084">
        <v>0.31</v>
      </c>
      <c r="BP18" s="1084"/>
      <c r="BQ18" s="1049"/>
    </row>
    <row r="19" spans="1:69" ht="14.4">
      <c r="A19" s="1049"/>
      <c r="B19" s="1060"/>
      <c r="C19" s="1086">
        <v>15</v>
      </c>
      <c r="D19" s="1085">
        <v>16</v>
      </c>
      <c r="E19" s="1091">
        <v>0.46</v>
      </c>
      <c r="F19" s="1090">
        <v>1.33</v>
      </c>
      <c r="G19" s="1089">
        <f t="shared" si="0"/>
        <v>2.8913043478260869</v>
      </c>
      <c r="H19" s="1049"/>
      <c r="I19" s="1060"/>
      <c r="J19" s="1086">
        <v>15</v>
      </c>
      <c r="K19" s="1085">
        <v>16</v>
      </c>
      <c r="L19" s="1084">
        <v>0.49</v>
      </c>
      <c r="M19" s="1088">
        <v>1.17</v>
      </c>
      <c r="N19" s="1087">
        <f t="shared" si="1"/>
        <v>2.3877551020408161</v>
      </c>
      <c r="O19" s="1049"/>
      <c r="P19" s="1058" t="s">
        <v>1126</v>
      </c>
      <c r="Q19" s="1086">
        <v>15</v>
      </c>
      <c r="R19" s="1085">
        <v>16</v>
      </c>
      <c r="S19" s="1084">
        <v>1.284</v>
      </c>
      <c r="T19" s="1054">
        <f t="shared" si="2"/>
        <v>5.8550399999999998</v>
      </c>
      <c r="U19" s="1142">
        <v>7.04</v>
      </c>
      <c r="V19" s="1052">
        <f t="shared" si="3"/>
        <v>5.4828660436137069</v>
      </c>
      <c r="W19" s="1049"/>
      <c r="X19" s="1051">
        <v>4.5599999999999996</v>
      </c>
      <c r="Y19" s="1049"/>
      <c r="Z19" s="1050">
        <f t="shared" si="4"/>
        <v>4.8278400000000001</v>
      </c>
      <c r="AA19" s="1058" t="s">
        <v>1126</v>
      </c>
      <c r="AB19" s="1086">
        <v>15</v>
      </c>
      <c r="AC19" s="1085">
        <v>16</v>
      </c>
      <c r="AD19" s="1084">
        <v>2.19</v>
      </c>
      <c r="AE19" s="1054">
        <f t="shared" si="5"/>
        <v>0.76649999999999996</v>
      </c>
      <c r="AF19" s="1142">
        <v>2.2799999999999998</v>
      </c>
      <c r="AG19" s="1052">
        <f t="shared" si="6"/>
        <v>1.0410958904109588</v>
      </c>
      <c r="AH19" s="1049"/>
      <c r="AI19" s="1051">
        <v>0.35</v>
      </c>
      <c r="AJ19" s="1049"/>
      <c r="AK19" s="1050">
        <f t="shared" si="7"/>
        <v>-0.98550000000000015</v>
      </c>
      <c r="AL19" s="1049"/>
      <c r="AM19" s="1058" t="s">
        <v>1126</v>
      </c>
      <c r="AN19" s="1086">
        <v>15</v>
      </c>
      <c r="AO19" s="1085">
        <v>16</v>
      </c>
      <c r="AP19" s="1084">
        <v>0.17</v>
      </c>
      <c r="AQ19" s="1736">
        <f t="shared" si="8"/>
        <v>0</v>
      </c>
      <c r="AR19" s="1742">
        <v>0.3</v>
      </c>
      <c r="AS19" s="1052">
        <f t="shared" si="9"/>
        <v>1.7647058823529409</v>
      </c>
      <c r="AT19" s="1049"/>
      <c r="AU19" s="1051"/>
      <c r="AV19" s="1049"/>
      <c r="AW19" s="1058" t="s">
        <v>1126</v>
      </c>
      <c r="AX19" s="1086">
        <v>15</v>
      </c>
      <c r="AY19" s="1085">
        <v>16</v>
      </c>
      <c r="AZ19" s="1084">
        <v>0.37</v>
      </c>
      <c r="BA19" s="1736">
        <v>0.72</v>
      </c>
      <c r="BB19" s="1742">
        <f t="shared" si="10"/>
        <v>1.9459459459459458</v>
      </c>
      <c r="BC19" s="1049"/>
      <c r="BD19" s="1051"/>
      <c r="BE19" s="1049"/>
      <c r="BF19" s="1058" t="s">
        <v>1126</v>
      </c>
      <c r="BG19" s="1893">
        <v>15</v>
      </c>
      <c r="BH19" s="1872">
        <v>16</v>
      </c>
      <c r="BI19" s="1864">
        <v>0.26</v>
      </c>
      <c r="BJ19" s="1884">
        <v>0.3</v>
      </c>
      <c r="BK19" s="1049"/>
      <c r="BL19" s="1058" t="s">
        <v>1126</v>
      </c>
      <c r="BM19" s="1086">
        <v>15</v>
      </c>
      <c r="BN19" s="1085">
        <v>16</v>
      </c>
      <c r="BO19" s="1084">
        <v>0.34</v>
      </c>
      <c r="BP19" s="1084"/>
      <c r="BQ19" s="1049"/>
    </row>
    <row r="20" spans="1:69" ht="15" thickBot="1">
      <c r="A20" s="1049"/>
      <c r="B20" s="1060"/>
      <c r="C20" s="1077">
        <v>16</v>
      </c>
      <c r="D20" s="1076">
        <v>17</v>
      </c>
      <c r="E20" s="1083">
        <v>0.39</v>
      </c>
      <c r="F20" s="1082">
        <v>1.1200000000000001</v>
      </c>
      <c r="G20" s="1081">
        <f t="shared" si="0"/>
        <v>2.8717948717948718</v>
      </c>
      <c r="H20" s="1049"/>
      <c r="I20" s="1060"/>
      <c r="J20" s="1077">
        <v>16</v>
      </c>
      <c r="K20" s="1076">
        <v>17</v>
      </c>
      <c r="L20" s="1075">
        <v>0.84</v>
      </c>
      <c r="M20" s="1080">
        <v>2.09</v>
      </c>
      <c r="N20" s="1079">
        <f t="shared" si="1"/>
        <v>2.4880952380952381</v>
      </c>
      <c r="O20" s="1049"/>
      <c r="P20" s="1078">
        <f>P6*(X3-0.8)</f>
        <v>110.74570750000005</v>
      </c>
      <c r="Q20" s="1077">
        <v>16</v>
      </c>
      <c r="R20" s="1076">
        <v>17</v>
      </c>
      <c r="S20" s="1075">
        <v>1.712</v>
      </c>
      <c r="T20" s="1054">
        <f t="shared" si="2"/>
        <v>7.7382399999999993</v>
      </c>
      <c r="U20" s="1140">
        <v>9.3000000000000007</v>
      </c>
      <c r="V20" s="1052">
        <f t="shared" si="3"/>
        <v>5.4322429906542062</v>
      </c>
      <c r="W20" s="1049"/>
      <c r="X20" s="1074">
        <v>4.5199999999999996</v>
      </c>
      <c r="Y20" s="1049"/>
      <c r="Z20" s="1050">
        <f t="shared" si="4"/>
        <v>6.3686399999999992</v>
      </c>
      <c r="AA20" s="1078">
        <f>AA6*(AI3-0.8)</f>
        <v>-27.594312500000001</v>
      </c>
      <c r="AB20" s="1077">
        <v>16</v>
      </c>
      <c r="AC20" s="1076">
        <v>17</v>
      </c>
      <c r="AD20" s="1075">
        <v>2.16</v>
      </c>
      <c r="AE20" s="1153">
        <f t="shared" si="5"/>
        <v>1.0152000000000001</v>
      </c>
      <c r="AF20" s="1140">
        <v>2.5099999999999998</v>
      </c>
      <c r="AG20" s="1113">
        <f t="shared" si="6"/>
        <v>1.1620370370370368</v>
      </c>
      <c r="AH20" s="1049"/>
      <c r="AI20" s="1074">
        <v>0.47</v>
      </c>
      <c r="AJ20" s="1049"/>
      <c r="AK20" s="1159">
        <f t="shared" si="7"/>
        <v>-0.71280000000000021</v>
      </c>
      <c r="AL20" s="1049"/>
      <c r="AM20" s="1078" t="e">
        <f>AM6*(AU3-0.8)</f>
        <v>#DIV/0!</v>
      </c>
      <c r="AN20" s="1077">
        <v>16</v>
      </c>
      <c r="AO20" s="1076">
        <v>17</v>
      </c>
      <c r="AP20" s="1075">
        <v>0.11</v>
      </c>
      <c r="AQ20" s="1738">
        <f t="shared" si="8"/>
        <v>0</v>
      </c>
      <c r="AR20" s="1743">
        <v>0.2</v>
      </c>
      <c r="AS20" s="1113">
        <f t="shared" si="9"/>
        <v>1.8181818181818183</v>
      </c>
      <c r="AT20" s="1049"/>
      <c r="AU20" s="1074"/>
      <c r="AV20" s="1049"/>
      <c r="AW20" s="1078" t="e">
        <f>AW6*(BD3-0.8)</f>
        <v>#DIV/0!</v>
      </c>
      <c r="AX20" s="1077">
        <v>16</v>
      </c>
      <c r="AY20" s="1076">
        <v>17</v>
      </c>
      <c r="AZ20" s="1075">
        <v>0.35</v>
      </c>
      <c r="BA20" s="1738">
        <v>0.72</v>
      </c>
      <c r="BB20" s="1743">
        <f t="shared" si="10"/>
        <v>2.0571428571428574</v>
      </c>
      <c r="BC20" s="1049"/>
      <c r="BD20" s="1074"/>
      <c r="BE20" s="1049"/>
      <c r="BF20" s="1078">
        <f>BF6*(BM3-0.8)</f>
        <v>-4.7120000000000006</v>
      </c>
      <c r="BG20" s="1893">
        <v>16</v>
      </c>
      <c r="BH20" s="1872">
        <v>17</v>
      </c>
      <c r="BI20" s="1864">
        <v>0.28999999999999998</v>
      </c>
      <c r="BJ20" s="1884">
        <v>0.35</v>
      </c>
      <c r="BK20" s="1049"/>
      <c r="BL20" s="1078">
        <f>BL6*(BS3-0.8)</f>
        <v>-4.8879999999999999</v>
      </c>
      <c r="BM20" s="1077">
        <v>16</v>
      </c>
      <c r="BN20" s="1076">
        <v>17</v>
      </c>
      <c r="BO20" s="1075">
        <v>0.28999999999999998</v>
      </c>
      <c r="BP20" s="1075"/>
      <c r="BQ20" s="1049"/>
    </row>
    <row r="21" spans="1:69" ht="14.4">
      <c r="A21" s="1049"/>
      <c r="B21" s="1060"/>
      <c r="C21" s="1068">
        <v>17</v>
      </c>
      <c r="D21" s="1067">
        <v>18</v>
      </c>
      <c r="E21" s="1073">
        <v>0.44</v>
      </c>
      <c r="F21" s="1072">
        <v>1.53</v>
      </c>
      <c r="G21" s="1071">
        <f t="shared" si="0"/>
        <v>3.4772727272727275</v>
      </c>
      <c r="H21" s="1049"/>
      <c r="I21" s="1060"/>
      <c r="J21" s="1068">
        <v>17</v>
      </c>
      <c r="K21" s="1067">
        <v>18</v>
      </c>
      <c r="L21" s="1066">
        <v>1.08</v>
      </c>
      <c r="M21" s="1070">
        <v>3.71</v>
      </c>
      <c r="N21" s="1069">
        <f t="shared" si="1"/>
        <v>3.4351851851851851</v>
      </c>
      <c r="O21" s="1049"/>
      <c r="P21" s="1058"/>
      <c r="Q21" s="1068">
        <v>17</v>
      </c>
      <c r="R21" s="1067">
        <v>18</v>
      </c>
      <c r="S21" s="1066">
        <v>1.4570000000000001</v>
      </c>
      <c r="T21" s="1054">
        <f t="shared" si="2"/>
        <v>6.9353199999999999</v>
      </c>
      <c r="U21" s="1138">
        <v>8.27</v>
      </c>
      <c r="V21" s="1052">
        <f t="shared" si="3"/>
        <v>5.6760466712422781</v>
      </c>
      <c r="W21" s="1049"/>
      <c r="X21" s="1065">
        <v>4.76</v>
      </c>
      <c r="Y21" s="1049"/>
      <c r="Z21" s="1050">
        <f t="shared" si="4"/>
        <v>5.7697200000000004</v>
      </c>
      <c r="AA21" s="1058"/>
      <c r="AB21" s="1068">
        <v>17</v>
      </c>
      <c r="AC21" s="1067">
        <v>18</v>
      </c>
      <c r="AD21" s="1066">
        <v>2.15</v>
      </c>
      <c r="AE21" s="1151">
        <f t="shared" si="5"/>
        <v>1.204</v>
      </c>
      <c r="AF21" s="1138">
        <v>4.3600000000000003</v>
      </c>
      <c r="AG21" s="1069">
        <f t="shared" si="6"/>
        <v>2.0279069767441862</v>
      </c>
      <c r="AH21" s="1049"/>
      <c r="AI21" s="1065">
        <v>0.56000000000000005</v>
      </c>
      <c r="AJ21" s="1049"/>
      <c r="AK21" s="1158">
        <f t="shared" si="7"/>
        <v>-0.51600000000000001</v>
      </c>
      <c r="AL21" s="1049"/>
      <c r="AM21" s="1058"/>
      <c r="AN21" s="1068">
        <v>17</v>
      </c>
      <c r="AO21" s="1067">
        <v>18</v>
      </c>
      <c r="AP21" s="1066">
        <v>0.08</v>
      </c>
      <c r="AQ21" s="1740">
        <f t="shared" si="8"/>
        <v>0</v>
      </c>
      <c r="AR21" s="1744">
        <v>0.21</v>
      </c>
      <c r="AS21" s="1069">
        <f t="shared" si="9"/>
        <v>2.625</v>
      </c>
      <c r="AT21" s="1049"/>
      <c r="AU21" s="1065"/>
      <c r="AV21" s="1049"/>
      <c r="AW21" s="1058"/>
      <c r="AX21" s="1068">
        <v>17</v>
      </c>
      <c r="AY21" s="1067">
        <v>18</v>
      </c>
      <c r="AZ21" s="1066">
        <v>0.34</v>
      </c>
      <c r="BA21" s="1740">
        <v>1.06</v>
      </c>
      <c r="BB21" s="1744">
        <f t="shared" si="10"/>
        <v>3.1176470588235294</v>
      </c>
      <c r="BC21" s="1049"/>
      <c r="BD21" s="1065"/>
      <c r="BE21" s="1049"/>
      <c r="BF21" s="1058"/>
      <c r="BG21" s="1894">
        <v>17</v>
      </c>
      <c r="BH21" s="1895">
        <v>18</v>
      </c>
      <c r="BI21" s="1896">
        <v>0.86</v>
      </c>
      <c r="BJ21" s="1888">
        <v>1.1200000000000001</v>
      </c>
      <c r="BK21" s="1049"/>
      <c r="BL21" s="1058"/>
      <c r="BM21" s="1068">
        <v>17</v>
      </c>
      <c r="BN21" s="1067">
        <v>18</v>
      </c>
      <c r="BO21" s="1066">
        <v>0.51</v>
      </c>
      <c r="BP21" s="1066"/>
      <c r="BQ21" s="1049"/>
    </row>
    <row r="22" spans="1:69" ht="14.4">
      <c r="A22" s="1049"/>
      <c r="B22" s="1060"/>
      <c r="C22" s="1057">
        <v>18</v>
      </c>
      <c r="D22" s="1056">
        <v>19</v>
      </c>
      <c r="E22" s="1063">
        <v>0.4</v>
      </c>
      <c r="F22" s="1062">
        <v>1.39</v>
      </c>
      <c r="G22" s="1061">
        <f t="shared" si="0"/>
        <v>3.4749999999999996</v>
      </c>
      <c r="H22" s="1049"/>
      <c r="I22" s="1060"/>
      <c r="J22" s="1057">
        <v>18</v>
      </c>
      <c r="K22" s="1056">
        <v>19</v>
      </c>
      <c r="L22" s="1055">
        <v>1.57</v>
      </c>
      <c r="M22" s="1059">
        <v>5.59</v>
      </c>
      <c r="N22" s="1052">
        <f t="shared" si="1"/>
        <v>3.5605095541401273</v>
      </c>
      <c r="O22" s="1049"/>
      <c r="P22" s="1058"/>
      <c r="Q22" s="1057">
        <v>18</v>
      </c>
      <c r="R22" s="1056">
        <v>19</v>
      </c>
      <c r="S22" s="1055">
        <v>2.0699999999999998</v>
      </c>
      <c r="T22" s="1054">
        <f t="shared" si="2"/>
        <v>9.5633999999999997</v>
      </c>
      <c r="U22" s="1136">
        <v>11.47</v>
      </c>
      <c r="V22" s="1052">
        <f t="shared" si="3"/>
        <v>5.5410628019323678</v>
      </c>
      <c r="W22" s="1049"/>
      <c r="X22" s="1051">
        <v>4.62</v>
      </c>
      <c r="Y22" s="1049"/>
      <c r="Z22" s="1050">
        <f t="shared" si="4"/>
        <v>7.9074</v>
      </c>
      <c r="AA22" s="1058"/>
      <c r="AB22" s="1057">
        <v>18</v>
      </c>
      <c r="AC22" s="1056">
        <v>19</v>
      </c>
      <c r="AD22" s="1055">
        <v>2.2000000000000002</v>
      </c>
      <c r="AE22" s="1054">
        <f t="shared" si="5"/>
        <v>1.4300000000000002</v>
      </c>
      <c r="AF22" s="1136">
        <v>4.66</v>
      </c>
      <c r="AG22" s="1052">
        <f t="shared" si="6"/>
        <v>2.1181818181818182</v>
      </c>
      <c r="AH22" s="1049"/>
      <c r="AI22" s="1051">
        <v>0.65</v>
      </c>
      <c r="AJ22" s="1049"/>
      <c r="AK22" s="1050">
        <f t="shared" si="7"/>
        <v>-0.33000000000000007</v>
      </c>
      <c r="AL22" s="1049"/>
      <c r="AM22" s="1058"/>
      <c r="AN22" s="1057">
        <v>18</v>
      </c>
      <c r="AO22" s="1056">
        <v>19</v>
      </c>
      <c r="AP22" s="1055">
        <v>0.27</v>
      </c>
      <c r="AQ22" s="1736">
        <f t="shared" si="8"/>
        <v>0</v>
      </c>
      <c r="AR22" s="1737">
        <v>0.71</v>
      </c>
      <c r="AS22" s="1052">
        <f t="shared" si="9"/>
        <v>2.6296296296296293</v>
      </c>
      <c r="AT22" s="1049"/>
      <c r="AU22" s="1051"/>
      <c r="AV22" s="1049"/>
      <c r="AW22" s="1058"/>
      <c r="AX22" s="1057">
        <v>18</v>
      </c>
      <c r="AY22" s="1056">
        <v>19</v>
      </c>
      <c r="AZ22" s="1055">
        <v>0.72</v>
      </c>
      <c r="BA22" s="1736">
        <v>2.38</v>
      </c>
      <c r="BB22" s="1737">
        <f t="shared" si="10"/>
        <v>3.3055555555555554</v>
      </c>
      <c r="BC22" s="1049"/>
      <c r="BD22" s="1051"/>
      <c r="BE22" s="1049"/>
      <c r="BF22" s="1058"/>
      <c r="BG22" s="1899">
        <v>18</v>
      </c>
      <c r="BH22" s="1900">
        <v>19</v>
      </c>
      <c r="BI22" s="1901">
        <v>0.6</v>
      </c>
      <c r="BJ22" s="1882">
        <v>0.97</v>
      </c>
      <c r="BK22" s="1049"/>
      <c r="BL22" s="1058"/>
      <c r="BM22" s="1057">
        <v>18</v>
      </c>
      <c r="BN22" s="1056">
        <v>19</v>
      </c>
      <c r="BO22" s="1055">
        <v>0.28999999999999998</v>
      </c>
      <c r="BP22" s="1055"/>
      <c r="BQ22" s="1049"/>
    </row>
    <row r="23" spans="1:69" ht="14.4">
      <c r="A23" s="1049"/>
      <c r="B23" s="1060"/>
      <c r="C23" s="1057">
        <v>19</v>
      </c>
      <c r="D23" s="1056">
        <v>20</v>
      </c>
      <c r="E23" s="1063">
        <v>0.76</v>
      </c>
      <c r="F23" s="1062">
        <v>2.66</v>
      </c>
      <c r="G23" s="1061">
        <f t="shared" si="0"/>
        <v>3.5</v>
      </c>
      <c r="H23" s="1049"/>
      <c r="I23" s="1060"/>
      <c r="J23" s="1057">
        <v>19</v>
      </c>
      <c r="K23" s="1056">
        <v>20</v>
      </c>
      <c r="L23" s="1055">
        <v>0.44</v>
      </c>
      <c r="M23" s="1059">
        <v>1.46</v>
      </c>
      <c r="N23" s="1052">
        <f t="shared" si="1"/>
        <v>3.3181818181818179</v>
      </c>
      <c r="O23" s="1049"/>
      <c r="P23" s="1058"/>
      <c r="Q23" s="1057">
        <v>19</v>
      </c>
      <c r="R23" s="1056">
        <v>20</v>
      </c>
      <c r="S23" s="1055">
        <v>1.5660000000000001</v>
      </c>
      <c r="T23" s="1054">
        <f t="shared" si="2"/>
        <v>7.0626600000000002</v>
      </c>
      <c r="U23" s="1136">
        <v>8.51</v>
      </c>
      <c r="V23" s="1052">
        <f t="shared" si="3"/>
        <v>5.4342273307790547</v>
      </c>
      <c r="W23" s="1049"/>
      <c r="X23" s="1051">
        <v>4.51</v>
      </c>
      <c r="Y23" s="1049"/>
      <c r="Z23" s="1050">
        <f t="shared" si="4"/>
        <v>5.8098600000000005</v>
      </c>
      <c r="AA23" s="1058"/>
      <c r="AB23" s="1057">
        <v>19</v>
      </c>
      <c r="AC23" s="1056">
        <v>20</v>
      </c>
      <c r="AD23" s="1055">
        <v>2.67</v>
      </c>
      <c r="AE23" s="1054">
        <f t="shared" si="5"/>
        <v>1.7088000000000001</v>
      </c>
      <c r="AF23" s="1136">
        <v>5.65</v>
      </c>
      <c r="AG23" s="1052">
        <f t="shared" si="6"/>
        <v>2.1161048689138577</v>
      </c>
      <c r="AH23" s="1049"/>
      <c r="AI23" s="1051">
        <v>0.64</v>
      </c>
      <c r="AJ23" s="1049"/>
      <c r="AK23" s="1050">
        <f t="shared" si="7"/>
        <v>-0.42720000000000008</v>
      </c>
      <c r="AL23" s="1049"/>
      <c r="AM23" s="1058"/>
      <c r="AN23" s="1057">
        <v>19</v>
      </c>
      <c r="AO23" s="1056">
        <v>20</v>
      </c>
      <c r="AP23" s="1055">
        <v>0.3</v>
      </c>
      <c r="AQ23" s="1736">
        <f t="shared" si="8"/>
        <v>0</v>
      </c>
      <c r="AR23" s="1737">
        <v>0.76</v>
      </c>
      <c r="AS23" s="1052">
        <f t="shared" si="9"/>
        <v>2.5333333333333337</v>
      </c>
      <c r="AT23" s="1049"/>
      <c r="AU23" s="1051"/>
      <c r="AV23" s="1049"/>
      <c r="AW23" s="1058"/>
      <c r="AX23" s="1057">
        <v>19</v>
      </c>
      <c r="AY23" s="1056">
        <v>20</v>
      </c>
      <c r="AZ23" s="1055">
        <v>0.26</v>
      </c>
      <c r="BA23" s="1736">
        <v>0.85</v>
      </c>
      <c r="BB23" s="1737">
        <f t="shared" si="10"/>
        <v>3.2692307692307692</v>
      </c>
      <c r="BC23" s="1049"/>
      <c r="BD23" s="1051"/>
      <c r="BE23" s="1049"/>
      <c r="BF23" s="1058"/>
      <c r="BG23" s="1902">
        <v>19</v>
      </c>
      <c r="BH23" s="1873">
        <v>20</v>
      </c>
      <c r="BI23" s="1863">
        <v>0.28000000000000003</v>
      </c>
      <c r="BJ23" s="1884">
        <v>0.47</v>
      </c>
      <c r="BK23" s="1049"/>
      <c r="BL23" s="1058"/>
      <c r="BM23" s="1057">
        <v>19</v>
      </c>
      <c r="BN23" s="1056">
        <v>20</v>
      </c>
      <c r="BO23" s="1055">
        <v>0.36</v>
      </c>
      <c r="BP23" s="1055"/>
      <c r="BQ23" s="1049"/>
    </row>
    <row r="24" spans="1:69" ht="14.4">
      <c r="A24" s="1049"/>
      <c r="B24" s="1060"/>
      <c r="C24" s="1057">
        <v>20</v>
      </c>
      <c r="D24" s="1056">
        <v>21</v>
      </c>
      <c r="E24" s="1063">
        <v>0.83</v>
      </c>
      <c r="F24" s="1062">
        <v>2.39</v>
      </c>
      <c r="G24" s="1061">
        <f t="shared" si="0"/>
        <v>2.8795180722891569</v>
      </c>
      <c r="H24" s="1049"/>
      <c r="I24" s="1060"/>
      <c r="J24" s="1057">
        <v>20</v>
      </c>
      <c r="K24" s="1056">
        <v>21</v>
      </c>
      <c r="L24" s="1055">
        <v>0.41</v>
      </c>
      <c r="M24" s="1059">
        <v>1</v>
      </c>
      <c r="N24" s="1052">
        <f t="shared" si="1"/>
        <v>2.4390243902439024</v>
      </c>
      <c r="O24" s="1049"/>
      <c r="P24" s="1058"/>
      <c r="Q24" s="1057">
        <v>20</v>
      </c>
      <c r="R24" s="1056">
        <v>21</v>
      </c>
      <c r="S24" s="1055">
        <v>1.4750000000000001</v>
      </c>
      <c r="T24" s="1054">
        <f t="shared" si="2"/>
        <v>6.2835000000000001</v>
      </c>
      <c r="U24" s="1136">
        <v>7.64</v>
      </c>
      <c r="V24" s="1052">
        <f t="shared" si="3"/>
        <v>5.1796610169491517</v>
      </c>
      <c r="W24" s="1049"/>
      <c r="X24" s="1051">
        <v>4.26</v>
      </c>
      <c r="Y24" s="1049"/>
      <c r="Z24" s="1050">
        <f t="shared" si="4"/>
        <v>5.1035000000000004</v>
      </c>
      <c r="AA24" s="1058"/>
      <c r="AB24" s="1057">
        <v>20</v>
      </c>
      <c r="AC24" s="1056">
        <v>21</v>
      </c>
      <c r="AD24" s="1055">
        <v>2.83</v>
      </c>
      <c r="AE24" s="1054">
        <f t="shared" si="5"/>
        <v>1.6697</v>
      </c>
      <c r="AF24" s="1136">
        <v>3.62</v>
      </c>
      <c r="AG24" s="1052">
        <f t="shared" si="6"/>
        <v>1.2791519434628975</v>
      </c>
      <c r="AH24" s="1049"/>
      <c r="AI24" s="1051">
        <v>0.59</v>
      </c>
      <c r="AJ24" s="1049"/>
      <c r="AK24" s="1050">
        <f t="shared" si="7"/>
        <v>-0.59430000000000027</v>
      </c>
      <c r="AL24" s="1049"/>
      <c r="AM24" s="1058"/>
      <c r="AN24" s="1057">
        <v>20</v>
      </c>
      <c r="AO24" s="1056">
        <v>21</v>
      </c>
      <c r="AP24" s="1055">
        <v>0.35</v>
      </c>
      <c r="AQ24" s="1736">
        <f t="shared" si="8"/>
        <v>0</v>
      </c>
      <c r="AR24" s="1737">
        <v>0.61</v>
      </c>
      <c r="AS24" s="1052">
        <f t="shared" si="9"/>
        <v>1.7428571428571429</v>
      </c>
      <c r="AT24" s="1049"/>
      <c r="AU24" s="1051"/>
      <c r="AV24" s="1049"/>
      <c r="AW24" s="1058"/>
      <c r="AX24" s="1057">
        <v>20</v>
      </c>
      <c r="AY24" s="1056">
        <v>21</v>
      </c>
      <c r="AZ24" s="1055">
        <v>0.35</v>
      </c>
      <c r="BA24" s="1736">
        <v>0.81</v>
      </c>
      <c r="BB24" s="1737">
        <f t="shared" si="10"/>
        <v>2.3142857142857145</v>
      </c>
      <c r="BC24" s="1049"/>
      <c r="BD24" s="1051"/>
      <c r="BE24" s="1049"/>
      <c r="BF24" s="1058"/>
      <c r="BG24" s="1902">
        <v>20</v>
      </c>
      <c r="BH24" s="1873">
        <v>21</v>
      </c>
      <c r="BI24" s="1863">
        <v>0.24</v>
      </c>
      <c r="BJ24" s="1884">
        <v>0.39</v>
      </c>
      <c r="BK24" s="1049"/>
      <c r="BL24" s="1058"/>
      <c r="BM24" s="1057">
        <v>20</v>
      </c>
      <c r="BN24" s="1056">
        <v>21</v>
      </c>
      <c r="BO24" s="1055">
        <v>0.31</v>
      </c>
      <c r="BP24" s="1055"/>
      <c r="BQ24" s="1049"/>
    </row>
    <row r="25" spans="1:69" ht="14.4">
      <c r="A25" s="1049"/>
      <c r="B25" s="1060"/>
      <c r="C25" s="1057">
        <v>21</v>
      </c>
      <c r="D25" s="1056">
        <v>22</v>
      </c>
      <c r="E25" s="1063">
        <v>0.48</v>
      </c>
      <c r="F25" s="1062">
        <v>1.38</v>
      </c>
      <c r="G25" s="1061">
        <f t="shared" si="0"/>
        <v>2.875</v>
      </c>
      <c r="H25" s="1049"/>
      <c r="I25" s="1060"/>
      <c r="J25" s="1057">
        <v>21</v>
      </c>
      <c r="K25" s="1056">
        <v>22</v>
      </c>
      <c r="L25" s="1055">
        <v>0.46</v>
      </c>
      <c r="M25" s="1059">
        <v>1.06</v>
      </c>
      <c r="N25" s="1052">
        <f t="shared" si="1"/>
        <v>2.3043478260869565</v>
      </c>
      <c r="O25" s="1049"/>
      <c r="P25" s="1058"/>
      <c r="Q25" s="1057">
        <v>21</v>
      </c>
      <c r="R25" s="1056">
        <v>22</v>
      </c>
      <c r="S25" s="1055">
        <v>1.8009999999999999</v>
      </c>
      <c r="T25" s="1054">
        <f t="shared" si="2"/>
        <v>6.8077799999999993</v>
      </c>
      <c r="U25" s="1136">
        <v>8.4700000000000006</v>
      </c>
      <c r="V25" s="1052">
        <f t="shared" si="3"/>
        <v>4.7029428095502501</v>
      </c>
      <c r="W25" s="1049"/>
      <c r="X25" s="1051">
        <v>3.78</v>
      </c>
      <c r="Y25" s="1049"/>
      <c r="Z25" s="1050">
        <f t="shared" si="4"/>
        <v>5.366979999999999</v>
      </c>
      <c r="AA25" s="1058"/>
      <c r="AB25" s="1057">
        <v>21</v>
      </c>
      <c r="AC25" s="1056">
        <v>22</v>
      </c>
      <c r="AD25" s="1055">
        <v>3.26</v>
      </c>
      <c r="AE25" s="1054">
        <f t="shared" si="5"/>
        <v>1.7929999999999999</v>
      </c>
      <c r="AF25" s="1136">
        <v>4.05</v>
      </c>
      <c r="AG25" s="1052">
        <f t="shared" si="6"/>
        <v>1.2423312883435582</v>
      </c>
      <c r="AH25" s="1049"/>
      <c r="AI25" s="1051">
        <v>0.55000000000000004</v>
      </c>
      <c r="AJ25" s="1049"/>
      <c r="AK25" s="1050">
        <f t="shared" si="7"/>
        <v>-0.81499999999999995</v>
      </c>
      <c r="AL25" s="1049"/>
      <c r="AM25" s="1058"/>
      <c r="AN25" s="1057">
        <v>21</v>
      </c>
      <c r="AO25" s="1056">
        <v>22</v>
      </c>
      <c r="AP25" s="1055">
        <v>0.33</v>
      </c>
      <c r="AQ25" s="1736">
        <f t="shared" si="8"/>
        <v>0</v>
      </c>
      <c r="AR25" s="1737">
        <v>0.66</v>
      </c>
      <c r="AS25" s="1052">
        <f t="shared" si="9"/>
        <v>2</v>
      </c>
      <c r="AT25" s="1049"/>
      <c r="AU25" s="1051"/>
      <c r="AV25" s="1049"/>
      <c r="AW25" s="1058"/>
      <c r="AX25" s="1057">
        <v>21</v>
      </c>
      <c r="AY25" s="1056">
        <v>22</v>
      </c>
      <c r="AZ25" s="1055">
        <v>0.32</v>
      </c>
      <c r="BA25" s="1736">
        <v>0.69</v>
      </c>
      <c r="BB25" s="1737">
        <f t="shared" si="10"/>
        <v>2.15625</v>
      </c>
      <c r="BC25" s="1049"/>
      <c r="BD25" s="1051"/>
      <c r="BE25" s="1049"/>
      <c r="BF25" s="1058"/>
      <c r="BG25" s="1902">
        <v>21</v>
      </c>
      <c r="BH25" s="1873">
        <v>22</v>
      </c>
      <c r="BI25" s="1863">
        <v>0.27</v>
      </c>
      <c r="BJ25" s="1884">
        <v>0.41</v>
      </c>
      <c r="BK25" s="1049"/>
      <c r="BL25" s="1058"/>
      <c r="BM25" s="1057">
        <v>21</v>
      </c>
      <c r="BN25" s="1056">
        <v>22</v>
      </c>
      <c r="BO25" s="1055">
        <v>0.34</v>
      </c>
      <c r="BP25" s="1055"/>
      <c r="BQ25" s="1049"/>
    </row>
    <row r="26" spans="1:69" ht="14.4">
      <c r="A26" s="1049"/>
      <c r="B26" s="1060"/>
      <c r="C26" s="1057">
        <v>22</v>
      </c>
      <c r="D26" s="1056">
        <v>23</v>
      </c>
      <c r="E26" s="1063">
        <v>0.42</v>
      </c>
      <c r="F26" s="1062">
        <v>1.22</v>
      </c>
      <c r="G26" s="1061">
        <f t="shared" si="0"/>
        <v>2.9047619047619047</v>
      </c>
      <c r="H26" s="1049"/>
      <c r="I26" s="1060"/>
      <c r="J26" s="1057">
        <v>22</v>
      </c>
      <c r="K26" s="1056">
        <v>23</v>
      </c>
      <c r="L26" s="1055">
        <v>0.27</v>
      </c>
      <c r="M26" s="1059">
        <v>0.63</v>
      </c>
      <c r="N26" s="1052">
        <f t="shared" si="1"/>
        <v>2.333333333333333</v>
      </c>
      <c r="O26" s="1049"/>
      <c r="P26" s="1058"/>
      <c r="Q26" s="1057">
        <v>22</v>
      </c>
      <c r="R26" s="1056">
        <v>23</v>
      </c>
      <c r="S26" s="1055">
        <v>1.9259999999999999</v>
      </c>
      <c r="T26" s="1054">
        <f t="shared" si="2"/>
        <v>6.5869199999999992</v>
      </c>
      <c r="U26" s="1136">
        <v>8.36</v>
      </c>
      <c r="V26" s="1052">
        <f t="shared" si="3"/>
        <v>4.3406022845275176</v>
      </c>
      <c r="W26" s="1049"/>
      <c r="X26" s="1051">
        <v>3.42</v>
      </c>
      <c r="Y26" s="1049"/>
      <c r="Z26" s="1050">
        <f t="shared" si="4"/>
        <v>5.0461200000000002</v>
      </c>
      <c r="AA26" s="1058"/>
      <c r="AB26" s="1057">
        <v>22</v>
      </c>
      <c r="AC26" s="1056">
        <v>23</v>
      </c>
      <c r="AD26" s="1055">
        <v>2.79</v>
      </c>
      <c r="AE26" s="1054">
        <f t="shared" si="5"/>
        <v>1.5624000000000002</v>
      </c>
      <c r="AF26" s="1136">
        <v>3.49</v>
      </c>
      <c r="AG26" s="1052">
        <f t="shared" si="6"/>
        <v>1.2508960573476704</v>
      </c>
      <c r="AH26" s="1049"/>
      <c r="AI26" s="1051">
        <v>0.56000000000000005</v>
      </c>
      <c r="AJ26" s="1049"/>
      <c r="AK26" s="1050">
        <f t="shared" si="7"/>
        <v>-0.66959999999999997</v>
      </c>
      <c r="AL26" s="1049"/>
      <c r="AM26" s="1058"/>
      <c r="AN26" s="1057">
        <v>22</v>
      </c>
      <c r="AO26" s="1056">
        <v>23</v>
      </c>
      <c r="AP26" s="1055">
        <v>0.35</v>
      </c>
      <c r="AQ26" s="1736">
        <f t="shared" si="8"/>
        <v>0</v>
      </c>
      <c r="AR26" s="1737">
        <v>0.56999999999999995</v>
      </c>
      <c r="AS26" s="1052">
        <f t="shared" si="9"/>
        <v>1.6285714285714286</v>
      </c>
      <c r="AT26" s="1049"/>
      <c r="AU26" s="1051"/>
      <c r="AV26" s="1049"/>
      <c r="AW26" s="1058"/>
      <c r="AX26" s="1057">
        <v>22</v>
      </c>
      <c r="AY26" s="1056">
        <v>23</v>
      </c>
      <c r="AZ26" s="1055">
        <v>0.23</v>
      </c>
      <c r="BA26" s="1736">
        <v>0.49</v>
      </c>
      <c r="BB26" s="1737">
        <f t="shared" si="10"/>
        <v>2.1304347826086953</v>
      </c>
      <c r="BC26" s="1049"/>
      <c r="BD26" s="1051"/>
      <c r="BE26" s="1049"/>
      <c r="BF26" s="1058"/>
      <c r="BG26" s="1902">
        <v>22</v>
      </c>
      <c r="BH26" s="1873">
        <v>23</v>
      </c>
      <c r="BI26" s="1863">
        <v>0.14000000000000001</v>
      </c>
      <c r="BJ26" s="1884">
        <v>0.22</v>
      </c>
      <c r="BK26" s="1049"/>
      <c r="BL26" s="1058"/>
      <c r="BM26" s="1057">
        <v>22</v>
      </c>
      <c r="BN26" s="1056">
        <v>23</v>
      </c>
      <c r="BO26" s="1055">
        <v>0.17</v>
      </c>
      <c r="BP26" s="1055"/>
      <c r="BQ26" s="1049"/>
    </row>
    <row r="27" spans="1:69" ht="14.4">
      <c r="A27" s="1049"/>
      <c r="B27" s="1060"/>
      <c r="C27" s="1057">
        <v>23</v>
      </c>
      <c r="D27" s="1056">
        <v>24</v>
      </c>
      <c r="E27" s="1063">
        <v>0.3</v>
      </c>
      <c r="F27" s="1062">
        <v>0.87</v>
      </c>
      <c r="G27" s="1061">
        <f t="shared" si="0"/>
        <v>2.9</v>
      </c>
      <c r="H27" s="1049"/>
      <c r="I27" s="1060"/>
      <c r="J27" s="1057">
        <v>23</v>
      </c>
      <c r="K27" s="1056">
        <v>24</v>
      </c>
      <c r="L27" s="1055">
        <v>0.25</v>
      </c>
      <c r="M27" s="1059">
        <v>0.47</v>
      </c>
      <c r="N27" s="1052">
        <f t="shared" si="1"/>
        <v>1.88</v>
      </c>
      <c r="O27" s="1049"/>
      <c r="P27" s="1058"/>
      <c r="Q27" s="1057">
        <v>23</v>
      </c>
      <c r="R27" s="1056">
        <v>24</v>
      </c>
      <c r="S27" s="1055">
        <v>1.35</v>
      </c>
      <c r="T27" s="1054">
        <f t="shared" si="2"/>
        <v>4.1580000000000004</v>
      </c>
      <c r="U27" s="1136">
        <v>5.41</v>
      </c>
      <c r="V27" s="1052">
        <f t="shared" si="3"/>
        <v>4.0074074074074071</v>
      </c>
      <c r="W27" s="1049"/>
      <c r="X27" s="1051">
        <v>3.08</v>
      </c>
      <c r="Y27" s="1049"/>
      <c r="Z27" s="1050">
        <f t="shared" si="4"/>
        <v>3.0780000000000007</v>
      </c>
      <c r="AA27" s="1058"/>
      <c r="AB27" s="1057">
        <v>23</v>
      </c>
      <c r="AC27" s="1056">
        <v>24</v>
      </c>
      <c r="AD27" s="1055">
        <v>2.74</v>
      </c>
      <c r="AE27" s="1054">
        <f t="shared" si="5"/>
        <v>0.7672000000000001</v>
      </c>
      <c r="AF27" s="1136">
        <v>3.14</v>
      </c>
      <c r="AG27" s="1052">
        <f t="shared" si="6"/>
        <v>1.1459854014598541</v>
      </c>
      <c r="AH27" s="1049"/>
      <c r="AI27" s="1051">
        <v>0.28000000000000003</v>
      </c>
      <c r="AJ27" s="1049"/>
      <c r="AK27" s="1050">
        <f t="shared" si="7"/>
        <v>-1.4248000000000001</v>
      </c>
      <c r="AL27" s="1049"/>
      <c r="AM27" s="1058"/>
      <c r="AN27" s="1057">
        <v>23</v>
      </c>
      <c r="AO27" s="1056">
        <v>24</v>
      </c>
      <c r="AP27" s="1055">
        <v>0.16</v>
      </c>
      <c r="AQ27" s="1736">
        <f t="shared" si="8"/>
        <v>0</v>
      </c>
      <c r="AR27" s="1737">
        <v>0.25</v>
      </c>
      <c r="AS27" s="1052">
        <f t="shared" si="9"/>
        <v>1.5625</v>
      </c>
      <c r="AT27" s="1049"/>
      <c r="AU27" s="1051"/>
      <c r="AV27" s="1049"/>
      <c r="AW27" s="1058"/>
      <c r="AX27" s="1057">
        <v>23</v>
      </c>
      <c r="AY27" s="1056">
        <v>24</v>
      </c>
      <c r="AZ27" s="1055">
        <v>0.1</v>
      </c>
      <c r="BA27" s="1736">
        <v>0.2</v>
      </c>
      <c r="BB27" s="1737">
        <f t="shared" si="10"/>
        <v>2</v>
      </c>
      <c r="BC27" s="1049"/>
      <c r="BD27" s="1051"/>
      <c r="BE27" s="1049"/>
      <c r="BF27" s="1058"/>
      <c r="BG27" s="1903">
        <v>23</v>
      </c>
      <c r="BH27" s="1904">
        <v>24</v>
      </c>
      <c r="BI27" s="1905">
        <v>0.12</v>
      </c>
      <c r="BJ27" s="1888">
        <v>0.17</v>
      </c>
      <c r="BK27" s="1049"/>
      <c r="BL27" s="1058"/>
      <c r="BM27" s="1057">
        <v>23</v>
      </c>
      <c r="BN27" s="1056">
        <v>24</v>
      </c>
      <c r="BO27" s="1055">
        <v>0.14000000000000001</v>
      </c>
      <c r="BP27" s="1055"/>
      <c r="BQ27" s="1049"/>
    </row>
    <row r="28" spans="1:69" ht="14.4">
      <c r="A28" s="1036"/>
      <c r="B28" s="1044"/>
      <c r="C28" s="1135"/>
      <c r="D28" s="1135"/>
      <c r="E28" s="1134"/>
      <c r="F28" s="1133"/>
      <c r="G28" s="1132"/>
      <c r="H28" s="1044"/>
      <c r="I28" s="1044" t="s">
        <v>1131</v>
      </c>
      <c r="J28" s="1046"/>
      <c r="K28" s="1046"/>
      <c r="L28" s="1129">
        <f>AVERAGE(L29:L52)</f>
        <v>0.57708333333333339</v>
      </c>
      <c r="M28" s="1131">
        <f>AVERAGE(M29:M52)</f>
        <v>1.4983333333333333</v>
      </c>
      <c r="N28" s="1039">
        <f>AVERAGE(N29:N52)</f>
        <v>2.3919774988383113</v>
      </c>
      <c r="O28" s="1044"/>
      <c r="P28" s="1130" t="s">
        <v>1130</v>
      </c>
      <c r="Q28" s="1046"/>
      <c r="R28" s="1046"/>
      <c r="S28" s="1129">
        <f>AVERAGE(S29:S52)</f>
        <v>1.4765833333333334</v>
      </c>
      <c r="T28" s="1128">
        <f>SUM(T29:T52)</f>
        <v>118.91843</v>
      </c>
      <c r="U28" s="1040">
        <f>AVERAGE(U29:U52)</f>
        <v>6.3116666666666665</v>
      </c>
      <c r="V28" s="1039">
        <f>AVERAGE(V29:V52)</f>
        <v>4.2738900460647082</v>
      </c>
      <c r="W28" s="1036"/>
      <c r="X28" s="1038">
        <f>AVERAGE(X29:X52)</f>
        <v>3.3549999999999991</v>
      </c>
      <c r="Y28" s="1036"/>
      <c r="Z28" s="1127">
        <f>SUM(Z29:Z52)</f>
        <v>90.568029999999993</v>
      </c>
      <c r="AA28" s="1130" t="s">
        <v>1138</v>
      </c>
      <c r="AB28" s="1046"/>
      <c r="AC28" s="1046"/>
      <c r="AD28" s="1157">
        <f>AVERAGE(AD29:AD52)</f>
        <v>2.3986666666666667</v>
      </c>
      <c r="AE28" s="1156">
        <f>SUM(AE29:AE52)</f>
        <v>77.132170000000002</v>
      </c>
      <c r="AF28" s="1155">
        <f>AVERAGE(AF29:AF52)</f>
        <v>5.1241666666666665</v>
      </c>
      <c r="AG28" s="1154">
        <f>AVERAGE(AG29:AG52)</f>
        <v>2.0740084192586132</v>
      </c>
      <c r="AH28" s="1036"/>
      <c r="AI28" s="1038">
        <f>AVERAGE(AI29:AI52)</f>
        <v>1.2862500000000001</v>
      </c>
      <c r="AJ28" s="1036"/>
      <c r="AK28" s="1127">
        <f>SUM(AK29:AK52)</f>
        <v>31.077770000000001</v>
      </c>
      <c r="AL28" s="1036"/>
      <c r="AM28" s="1130"/>
      <c r="AN28" s="1046"/>
      <c r="AO28" s="1046"/>
      <c r="AP28" s="1129">
        <f>AVERAGE(AP29:AP52)</f>
        <v>0.23291666666666666</v>
      </c>
      <c r="AQ28" s="1734">
        <f>SUM(AQ29:AQ52)/24</f>
        <v>0</v>
      </c>
      <c r="AR28" s="1735">
        <f>AVERAGE(AR29:AR52)</f>
        <v>0.57624999999999993</v>
      </c>
      <c r="AS28" s="1039">
        <f>AVERAGE(AS29:AS52)</f>
        <v>2.179199844808009</v>
      </c>
      <c r="AT28" s="1036"/>
      <c r="AU28" s="1038" t="e">
        <f>AVERAGE(AU29:AU52)</f>
        <v>#DIV/0!</v>
      </c>
      <c r="AV28" s="1036"/>
      <c r="AW28" s="1130" t="s">
        <v>1136</v>
      </c>
      <c r="AX28" s="1046"/>
      <c r="AY28" s="1046"/>
      <c r="AZ28" s="1129">
        <f>AVERAGE(AZ29:AZ52)</f>
        <v>0.28625</v>
      </c>
      <c r="BA28" s="1045">
        <f>AVERAGE(BA29:BA52)</f>
        <v>0.6741666666666668</v>
      </c>
      <c r="BB28" s="1039">
        <f>AVERAGE(BB29:BB52)</f>
        <v>2.2480973577079419</v>
      </c>
      <c r="BC28" s="1036"/>
      <c r="BD28" s="1038" t="e">
        <f>AVERAGE(BD29:BD52)</f>
        <v>#DIV/0!</v>
      </c>
      <c r="BE28" s="1036"/>
      <c r="BF28" s="1130" t="s">
        <v>1139</v>
      </c>
      <c r="BG28" s="2756">
        <v>45018</v>
      </c>
      <c r="BH28" s="2756"/>
      <c r="BI28" s="1897">
        <f>SUM(BI29:BI52)</f>
        <v>7.62</v>
      </c>
      <c r="BJ28" s="1898">
        <f>SUM(BJ29:BJ52)</f>
        <v>10.84</v>
      </c>
      <c r="BK28" s="1036"/>
      <c r="BL28" s="1130" t="s">
        <v>1137</v>
      </c>
      <c r="BM28" s="1046"/>
      <c r="BN28" s="1046"/>
      <c r="BO28" s="1129">
        <f>AVERAGE(BO29:BO52)</f>
        <v>0.28250000000000003</v>
      </c>
      <c r="BP28" s="1045" t="e">
        <f>AVERAGE(BP29:BP52)</f>
        <v>#DIV/0!</v>
      </c>
      <c r="BQ28" s="1036"/>
    </row>
    <row r="29" spans="1:69" ht="14.4">
      <c r="A29" s="1049"/>
      <c r="B29" s="1126">
        <v>44836</v>
      </c>
      <c r="C29" s="1057">
        <v>0</v>
      </c>
      <c r="D29" s="1056">
        <v>1</v>
      </c>
      <c r="E29" s="1063">
        <v>0.23</v>
      </c>
      <c r="F29" s="1062">
        <v>0.68</v>
      </c>
      <c r="G29" s="1061">
        <f t="shared" ref="G29:G52" si="11">F29/E29</f>
        <v>2.956521739130435</v>
      </c>
      <c r="H29" s="1049"/>
      <c r="I29" s="1126">
        <v>44867</v>
      </c>
      <c r="J29" s="1057">
        <v>0</v>
      </c>
      <c r="K29" s="1056">
        <v>1</v>
      </c>
      <c r="L29" s="1055">
        <v>0.19</v>
      </c>
      <c r="M29" s="1059">
        <v>0.4</v>
      </c>
      <c r="N29" s="1052">
        <f t="shared" ref="N29:N52" si="12">M29/L29</f>
        <v>2.1052631578947367</v>
      </c>
      <c r="O29" s="1049"/>
      <c r="P29" s="1125">
        <v>44897</v>
      </c>
      <c r="Q29" s="1057">
        <v>0</v>
      </c>
      <c r="R29" s="1056">
        <v>1</v>
      </c>
      <c r="S29" s="1055">
        <v>0.78700000000000003</v>
      </c>
      <c r="T29" s="1054">
        <f t="shared" ref="T29:T52" si="13">S29*X29</f>
        <v>2.4475699999999998</v>
      </c>
      <c r="U29" s="1136">
        <v>3.17</v>
      </c>
      <c r="V29" s="1052">
        <f t="shared" ref="V29:V52" si="14">U29/S29</f>
        <v>4.0279542566709017</v>
      </c>
      <c r="W29" s="1049"/>
      <c r="X29" s="1051">
        <v>3.11</v>
      </c>
      <c r="Y29" s="1049"/>
      <c r="Z29" s="1050">
        <f t="shared" ref="Z29:Z52" si="15">S29*(X29-0.8)</f>
        <v>1.8179699999999999</v>
      </c>
      <c r="AA29" s="1125">
        <v>44928</v>
      </c>
      <c r="AB29" s="1057">
        <v>0</v>
      </c>
      <c r="AC29" s="1056">
        <v>1</v>
      </c>
      <c r="AD29" s="1055">
        <v>1.877</v>
      </c>
      <c r="AE29" s="1054">
        <f t="shared" ref="AE29:AE52" si="16">AD29*AI29</f>
        <v>1.25759</v>
      </c>
      <c r="AF29" s="1136">
        <v>2.5499999999999998</v>
      </c>
      <c r="AG29" s="1052">
        <f t="shared" ref="AG29:AG52" si="17">AF29/AD29</f>
        <v>1.3585508790623335</v>
      </c>
      <c r="AH29" s="1049"/>
      <c r="AI29" s="1051">
        <v>0.67</v>
      </c>
      <c r="AJ29" s="1049"/>
      <c r="AK29" s="1050">
        <f t="shared" ref="AK29:AK52" si="18">AD29*(AI29-0.8)</f>
        <v>-0.24401</v>
      </c>
      <c r="AL29" s="1049"/>
      <c r="AM29" s="1125">
        <v>44959</v>
      </c>
      <c r="AN29" s="1057">
        <v>0</v>
      </c>
      <c r="AO29" s="1056">
        <v>1</v>
      </c>
      <c r="AP29" s="1055">
        <v>0.12</v>
      </c>
      <c r="AQ29" s="1736">
        <f t="shared" ref="AQ29:AQ52" si="19">AP29*AU29</f>
        <v>0</v>
      </c>
      <c r="AR29" s="1737">
        <v>0.18</v>
      </c>
      <c r="AS29" s="1052">
        <f t="shared" ref="AS29:AS52" si="20">AR29/AP29</f>
        <v>1.5</v>
      </c>
      <c r="AT29" s="1049"/>
      <c r="AU29" s="1051"/>
      <c r="AV29" s="1049"/>
      <c r="AW29" s="1125">
        <v>44987</v>
      </c>
      <c r="AX29" s="1057">
        <v>0</v>
      </c>
      <c r="AY29" s="1056">
        <v>1</v>
      </c>
      <c r="AZ29" s="1055">
        <v>0.11</v>
      </c>
      <c r="BA29" s="1736">
        <v>0.22</v>
      </c>
      <c r="BB29" s="1737">
        <f t="shared" ref="BB29:BB52" si="21">BA29/AZ29</f>
        <v>2</v>
      </c>
      <c r="BC29" s="1049"/>
      <c r="BD29" s="1051"/>
      <c r="BE29" s="1049"/>
      <c r="BF29" s="1125">
        <v>45018</v>
      </c>
      <c r="BG29" s="1879">
        <v>0</v>
      </c>
      <c r="BH29" s="1880">
        <v>1</v>
      </c>
      <c r="BI29" s="1881">
        <v>7.0000000000000007E-2</v>
      </c>
      <c r="BJ29" s="1882">
        <v>0.1</v>
      </c>
      <c r="BK29" s="1049"/>
      <c r="BL29" s="1125">
        <v>45048</v>
      </c>
      <c r="BM29" s="1057">
        <v>0</v>
      </c>
      <c r="BN29" s="1056">
        <v>1</v>
      </c>
      <c r="BO29" s="1055">
        <v>0.12</v>
      </c>
      <c r="BP29" s="1055"/>
      <c r="BQ29" s="1049"/>
    </row>
    <row r="30" spans="1:69" ht="14.4">
      <c r="A30" s="1049"/>
      <c r="B30" s="1124"/>
      <c r="C30" s="1057">
        <v>1</v>
      </c>
      <c r="D30" s="1056">
        <v>2</v>
      </c>
      <c r="E30" s="1063">
        <v>0.21</v>
      </c>
      <c r="F30" s="1062">
        <v>0.59</v>
      </c>
      <c r="G30" s="1061">
        <f t="shared" si="11"/>
        <v>2.8095238095238093</v>
      </c>
      <c r="H30" s="1049"/>
      <c r="I30" s="1124"/>
      <c r="J30" s="1057">
        <v>1</v>
      </c>
      <c r="K30" s="1056">
        <v>2</v>
      </c>
      <c r="L30" s="1055">
        <v>0.23</v>
      </c>
      <c r="M30" s="1059">
        <v>0.42</v>
      </c>
      <c r="N30" s="1052">
        <f t="shared" si="12"/>
        <v>1.826086956521739</v>
      </c>
      <c r="O30" s="1049"/>
      <c r="P30" s="1123"/>
      <c r="Q30" s="1057">
        <v>1</v>
      </c>
      <c r="R30" s="1056">
        <v>2</v>
      </c>
      <c r="S30" s="1055">
        <v>0.88200000000000001</v>
      </c>
      <c r="T30" s="1054">
        <f t="shared" si="13"/>
        <v>2.6371800000000003</v>
      </c>
      <c r="U30" s="1136">
        <v>3.45</v>
      </c>
      <c r="V30" s="1052">
        <f t="shared" si="14"/>
        <v>3.9115646258503403</v>
      </c>
      <c r="W30" s="1049"/>
      <c r="X30" s="1051">
        <v>2.99</v>
      </c>
      <c r="Y30" s="1049"/>
      <c r="Z30" s="1050">
        <f t="shared" si="15"/>
        <v>1.9315800000000003</v>
      </c>
      <c r="AA30" s="1123"/>
      <c r="AB30" s="1057">
        <v>1</v>
      </c>
      <c r="AC30" s="1056">
        <v>2</v>
      </c>
      <c r="AD30" s="1055">
        <v>1.7909999999999999</v>
      </c>
      <c r="AE30" s="1054">
        <f t="shared" si="16"/>
        <v>1.0925099999999999</v>
      </c>
      <c r="AF30" s="1136">
        <v>2.33</v>
      </c>
      <c r="AG30" s="1052">
        <f t="shared" si="17"/>
        <v>1.3009491903964268</v>
      </c>
      <c r="AH30" s="1049"/>
      <c r="AI30" s="1051">
        <v>0.61</v>
      </c>
      <c r="AJ30" s="1049"/>
      <c r="AK30" s="1050">
        <f t="shared" si="18"/>
        <v>-0.34029000000000009</v>
      </c>
      <c r="AL30" s="1049"/>
      <c r="AM30" s="1123"/>
      <c r="AN30" s="1057">
        <v>1</v>
      </c>
      <c r="AO30" s="1056">
        <v>2</v>
      </c>
      <c r="AP30" s="1055">
        <v>0.12</v>
      </c>
      <c r="AQ30" s="1736">
        <f t="shared" si="19"/>
        <v>0</v>
      </c>
      <c r="AR30" s="1737">
        <v>0.17</v>
      </c>
      <c r="AS30" s="1052">
        <f t="shared" si="20"/>
        <v>1.4166666666666667</v>
      </c>
      <c r="AT30" s="1049"/>
      <c r="AU30" s="1051"/>
      <c r="AV30" s="1049"/>
      <c r="AW30" s="1123"/>
      <c r="AX30" s="1057">
        <v>1</v>
      </c>
      <c r="AY30" s="1056">
        <v>2</v>
      </c>
      <c r="AZ30" s="1055">
        <v>0.17</v>
      </c>
      <c r="BA30" s="1736">
        <v>0.34</v>
      </c>
      <c r="BB30" s="1737">
        <f t="shared" si="21"/>
        <v>2</v>
      </c>
      <c r="BC30" s="1049"/>
      <c r="BD30" s="1051"/>
      <c r="BE30" s="1049"/>
      <c r="BF30" s="1123"/>
      <c r="BG30" s="1883">
        <v>1</v>
      </c>
      <c r="BH30" s="1871">
        <v>2</v>
      </c>
      <c r="BI30" s="1862">
        <v>0.09</v>
      </c>
      <c r="BJ30" s="1884">
        <v>0.12</v>
      </c>
      <c r="BK30" s="1049"/>
      <c r="BL30" s="1123"/>
      <c r="BM30" s="1057">
        <v>1</v>
      </c>
      <c r="BN30" s="1056">
        <v>2</v>
      </c>
      <c r="BO30" s="1055">
        <v>0.08</v>
      </c>
      <c r="BP30" s="1055"/>
      <c r="BQ30" s="1049"/>
    </row>
    <row r="31" spans="1:69" ht="14.4">
      <c r="A31" s="1049"/>
      <c r="B31" s="1122">
        <f>SUM(E29:E52)</f>
        <v>13.540000000000001</v>
      </c>
      <c r="C31" s="1057">
        <v>2</v>
      </c>
      <c r="D31" s="1056">
        <v>3</v>
      </c>
      <c r="E31" s="1063">
        <v>0.23</v>
      </c>
      <c r="F31" s="1062">
        <v>0.67</v>
      </c>
      <c r="G31" s="1061">
        <f t="shared" si="11"/>
        <v>2.9130434782608696</v>
      </c>
      <c r="H31" s="1049"/>
      <c r="I31" s="1122">
        <f>SUM(L29:L52)</f>
        <v>13.850000000000001</v>
      </c>
      <c r="J31" s="1057">
        <v>2</v>
      </c>
      <c r="K31" s="1056">
        <v>3</v>
      </c>
      <c r="L31" s="1055">
        <v>0.68</v>
      </c>
      <c r="M31" s="1059">
        <v>1.24</v>
      </c>
      <c r="N31" s="1052">
        <f t="shared" si="12"/>
        <v>1.8235294117647058</v>
      </c>
      <c r="O31" s="1049"/>
      <c r="P31" s="1121">
        <f>SUM(S29:S52)</f>
        <v>35.438000000000002</v>
      </c>
      <c r="Q31" s="1057">
        <v>2</v>
      </c>
      <c r="R31" s="1056">
        <v>3</v>
      </c>
      <c r="S31" s="1055">
        <v>0.83499999999999996</v>
      </c>
      <c r="T31" s="1054">
        <f t="shared" si="13"/>
        <v>2.5300499999999997</v>
      </c>
      <c r="U31" s="1136">
        <v>3.3</v>
      </c>
      <c r="V31" s="1052">
        <f t="shared" si="14"/>
        <v>3.9520958083832336</v>
      </c>
      <c r="W31" s="1049"/>
      <c r="X31" s="1051">
        <v>3.03</v>
      </c>
      <c r="Y31" s="1049"/>
      <c r="Z31" s="1050">
        <f t="shared" si="15"/>
        <v>1.8620499999999995</v>
      </c>
      <c r="AA31" s="1121">
        <f>SUM(AD29:AD52)</f>
        <v>57.568000000000005</v>
      </c>
      <c r="AB31" s="1057">
        <v>2</v>
      </c>
      <c r="AC31" s="1056">
        <v>3</v>
      </c>
      <c r="AD31" s="1055">
        <v>1.8380000000000001</v>
      </c>
      <c r="AE31" s="1054">
        <f t="shared" si="16"/>
        <v>1.1395600000000001</v>
      </c>
      <c r="AF31" s="1136">
        <v>2.42</v>
      </c>
      <c r="AG31" s="1052">
        <f t="shared" si="17"/>
        <v>1.3166485310119695</v>
      </c>
      <c r="AH31" s="1049"/>
      <c r="AI31" s="1051">
        <v>0.62</v>
      </c>
      <c r="AJ31" s="1049"/>
      <c r="AK31" s="1050">
        <f t="shared" si="18"/>
        <v>-0.33084000000000008</v>
      </c>
      <c r="AL31" s="1049"/>
      <c r="AM31" s="1121">
        <f>SUM(AP29:AP52)</f>
        <v>5.59</v>
      </c>
      <c r="AN31" s="1057">
        <v>2</v>
      </c>
      <c r="AO31" s="1056">
        <v>3</v>
      </c>
      <c r="AP31" s="1055">
        <v>0.06</v>
      </c>
      <c r="AQ31" s="1736">
        <f t="shared" si="19"/>
        <v>0</v>
      </c>
      <c r="AR31" s="1737">
        <v>0.09</v>
      </c>
      <c r="AS31" s="1052">
        <f t="shared" si="20"/>
        <v>1.5</v>
      </c>
      <c r="AT31" s="1049"/>
      <c r="AU31" s="1051"/>
      <c r="AV31" s="1049"/>
      <c r="AW31" s="1121">
        <f>SUM(AZ29:AZ52)</f>
        <v>6.87</v>
      </c>
      <c r="AX31" s="1057">
        <v>2</v>
      </c>
      <c r="AY31" s="1056">
        <v>3</v>
      </c>
      <c r="AZ31" s="1055">
        <v>0.17</v>
      </c>
      <c r="BA31" s="1736">
        <v>0.35</v>
      </c>
      <c r="BB31" s="1737">
        <f t="shared" si="21"/>
        <v>2.0588235294117645</v>
      </c>
      <c r="BC31" s="1049"/>
      <c r="BD31" s="1051"/>
      <c r="BE31" s="1049"/>
      <c r="BF31" s="1121">
        <f>SUM(BI29:BI52)</f>
        <v>7.62</v>
      </c>
      <c r="BG31" s="1883">
        <v>2</v>
      </c>
      <c r="BH31" s="1871">
        <v>3</v>
      </c>
      <c r="BI31" s="1862">
        <v>0.13</v>
      </c>
      <c r="BJ31" s="1884">
        <v>0.18</v>
      </c>
      <c r="BK31" s="1049"/>
      <c r="BL31" s="1121">
        <f>SUM(BO29:BO52)</f>
        <v>6.7800000000000011</v>
      </c>
      <c r="BM31" s="1057">
        <v>2</v>
      </c>
      <c r="BN31" s="1056">
        <v>3</v>
      </c>
      <c r="BO31" s="1055">
        <v>0.15</v>
      </c>
      <c r="BP31" s="1055"/>
      <c r="BQ31" s="1049"/>
    </row>
    <row r="32" spans="1:69" ht="14.4">
      <c r="A32" s="1049"/>
      <c r="B32" s="1120">
        <f>B31/24</f>
        <v>0.56416666666666671</v>
      </c>
      <c r="C32" s="1057">
        <v>3</v>
      </c>
      <c r="D32" s="1056">
        <v>4</v>
      </c>
      <c r="E32" s="1063">
        <v>0.21</v>
      </c>
      <c r="F32" s="1062">
        <v>0.6</v>
      </c>
      <c r="G32" s="1061">
        <f t="shared" si="11"/>
        <v>2.8571428571428572</v>
      </c>
      <c r="H32" s="1049"/>
      <c r="I32" s="1120">
        <f>I31/24</f>
        <v>0.57708333333333339</v>
      </c>
      <c r="J32" s="1057">
        <v>3</v>
      </c>
      <c r="K32" s="1056">
        <v>4</v>
      </c>
      <c r="L32" s="1055">
        <v>0.2</v>
      </c>
      <c r="M32" s="1059">
        <v>0.36</v>
      </c>
      <c r="N32" s="1052">
        <f t="shared" si="12"/>
        <v>1.7999999999999998</v>
      </c>
      <c r="O32" s="1049"/>
      <c r="P32" s="1120">
        <f>P31/24</f>
        <v>1.4765833333333334</v>
      </c>
      <c r="Q32" s="1057">
        <v>3</v>
      </c>
      <c r="R32" s="1056">
        <v>4</v>
      </c>
      <c r="S32" s="1055">
        <v>1.075</v>
      </c>
      <c r="T32" s="1054">
        <f t="shared" si="13"/>
        <v>3.2572499999999995</v>
      </c>
      <c r="U32" s="1136">
        <v>4.25</v>
      </c>
      <c r="V32" s="1052">
        <f t="shared" si="14"/>
        <v>3.9534883720930236</v>
      </c>
      <c r="W32" s="1049"/>
      <c r="X32" s="1051">
        <v>3.03</v>
      </c>
      <c r="Y32" s="1049"/>
      <c r="Z32" s="1050">
        <f t="shared" si="15"/>
        <v>2.3972499999999992</v>
      </c>
      <c r="AA32" s="1120">
        <f>AA31/24</f>
        <v>2.3986666666666667</v>
      </c>
      <c r="AB32" s="1057">
        <v>3</v>
      </c>
      <c r="AC32" s="1056">
        <v>4</v>
      </c>
      <c r="AD32" s="1055">
        <v>1.7470000000000001</v>
      </c>
      <c r="AE32" s="1054">
        <f t="shared" si="16"/>
        <v>0.94338000000000011</v>
      </c>
      <c r="AF32" s="1136">
        <v>2.15</v>
      </c>
      <c r="AG32" s="1052">
        <f t="shared" si="17"/>
        <v>1.2306811677160845</v>
      </c>
      <c r="AH32" s="1049"/>
      <c r="AI32" s="1051">
        <v>0.54</v>
      </c>
      <c r="AJ32" s="1049"/>
      <c r="AK32" s="1050">
        <f t="shared" si="18"/>
        <v>-0.45422000000000007</v>
      </c>
      <c r="AL32" s="1049"/>
      <c r="AM32" s="1120">
        <f>AM31/24</f>
        <v>0.23291666666666666</v>
      </c>
      <c r="AN32" s="1057">
        <v>3</v>
      </c>
      <c r="AO32" s="1056">
        <v>4</v>
      </c>
      <c r="AP32" s="1055">
        <v>0.1</v>
      </c>
      <c r="AQ32" s="1736">
        <f t="shared" si="19"/>
        <v>0</v>
      </c>
      <c r="AR32" s="1737">
        <v>0.15</v>
      </c>
      <c r="AS32" s="1052">
        <f t="shared" si="20"/>
        <v>1.4999999999999998</v>
      </c>
      <c r="AT32" s="1049"/>
      <c r="AU32" s="1051"/>
      <c r="AV32" s="1049"/>
      <c r="AW32" s="1120">
        <f>AW31/24</f>
        <v>0.28625</v>
      </c>
      <c r="AX32" s="1057">
        <v>3</v>
      </c>
      <c r="AY32" s="1056">
        <v>4</v>
      </c>
      <c r="AZ32" s="1055">
        <v>0.11</v>
      </c>
      <c r="BA32" s="1736">
        <v>0.23</v>
      </c>
      <c r="BB32" s="1737">
        <f t="shared" si="21"/>
        <v>2.0909090909090908</v>
      </c>
      <c r="BC32" s="1049"/>
      <c r="BD32" s="1051"/>
      <c r="BE32" s="1049"/>
      <c r="BF32" s="1120">
        <f>BF31/24</f>
        <v>0.3175</v>
      </c>
      <c r="BG32" s="1883">
        <v>3</v>
      </c>
      <c r="BH32" s="1871">
        <v>4</v>
      </c>
      <c r="BI32" s="1862">
        <v>0.1</v>
      </c>
      <c r="BJ32" s="1884">
        <v>0.14000000000000001</v>
      </c>
      <c r="BK32" s="1049"/>
      <c r="BL32" s="1120">
        <f>BL31/24</f>
        <v>0.28250000000000003</v>
      </c>
      <c r="BM32" s="1057">
        <v>3</v>
      </c>
      <c r="BN32" s="1056">
        <v>4</v>
      </c>
      <c r="BO32" s="1055">
        <v>0.14000000000000001</v>
      </c>
      <c r="BP32" s="1055"/>
      <c r="BQ32" s="1049"/>
    </row>
    <row r="33" spans="1:69" ht="14.4">
      <c r="A33" s="1049"/>
      <c r="B33" s="1119"/>
      <c r="C33" s="1057">
        <v>4</v>
      </c>
      <c r="D33" s="1056">
        <v>5</v>
      </c>
      <c r="E33" s="1063">
        <v>0.23</v>
      </c>
      <c r="F33" s="1062">
        <v>0.68</v>
      </c>
      <c r="G33" s="1061">
        <f t="shared" si="11"/>
        <v>2.956521739130435</v>
      </c>
      <c r="H33" s="1049"/>
      <c r="I33" s="1119"/>
      <c r="J33" s="1057">
        <v>4</v>
      </c>
      <c r="K33" s="1056">
        <v>5</v>
      </c>
      <c r="L33" s="1055">
        <v>0.2</v>
      </c>
      <c r="M33" s="1059">
        <v>0.37</v>
      </c>
      <c r="N33" s="1052">
        <f t="shared" si="12"/>
        <v>1.8499999999999999</v>
      </c>
      <c r="O33" s="1049"/>
      <c r="P33" s="1118"/>
      <c r="Q33" s="1057">
        <v>4</v>
      </c>
      <c r="R33" s="1056">
        <v>5</v>
      </c>
      <c r="S33" s="1055">
        <v>1.1619999999999999</v>
      </c>
      <c r="T33" s="1054">
        <f t="shared" si="13"/>
        <v>3.5324799999999996</v>
      </c>
      <c r="U33" s="1136">
        <v>4.6100000000000003</v>
      </c>
      <c r="V33" s="1052">
        <f t="shared" si="14"/>
        <v>3.967297762478486</v>
      </c>
      <c r="W33" s="1049"/>
      <c r="X33" s="1051">
        <v>3.04</v>
      </c>
      <c r="Y33" s="1049"/>
      <c r="Z33" s="1050">
        <f t="shared" si="15"/>
        <v>2.6028799999999999</v>
      </c>
      <c r="AA33" s="1118"/>
      <c r="AB33" s="1057">
        <v>4</v>
      </c>
      <c r="AC33" s="1056">
        <v>5</v>
      </c>
      <c r="AD33" s="1055">
        <v>1.845</v>
      </c>
      <c r="AE33" s="1054">
        <f t="shared" si="16"/>
        <v>1.107</v>
      </c>
      <c r="AF33" s="1136">
        <v>2.38</v>
      </c>
      <c r="AG33" s="1052">
        <f t="shared" si="17"/>
        <v>1.2899728997289972</v>
      </c>
      <c r="AH33" s="1049"/>
      <c r="AI33" s="1051">
        <v>0.6</v>
      </c>
      <c r="AJ33" s="1049"/>
      <c r="AK33" s="1050">
        <f t="shared" si="18"/>
        <v>-0.36900000000000011</v>
      </c>
      <c r="AL33" s="1049"/>
      <c r="AM33" s="1118"/>
      <c r="AN33" s="1057">
        <v>4</v>
      </c>
      <c r="AO33" s="1056">
        <v>5</v>
      </c>
      <c r="AP33" s="1055">
        <v>0.12</v>
      </c>
      <c r="AQ33" s="1736">
        <f t="shared" si="19"/>
        <v>0</v>
      </c>
      <c r="AR33" s="1737">
        <v>0.2</v>
      </c>
      <c r="AS33" s="1052">
        <f t="shared" si="20"/>
        <v>1.6666666666666667</v>
      </c>
      <c r="AT33" s="1049"/>
      <c r="AU33" s="1051"/>
      <c r="AV33" s="1049"/>
      <c r="AW33" s="1118"/>
      <c r="AX33" s="1057">
        <v>4</v>
      </c>
      <c r="AY33" s="1056">
        <v>5</v>
      </c>
      <c r="AZ33" s="1055">
        <v>0.21</v>
      </c>
      <c r="BA33" s="1736">
        <v>0.43</v>
      </c>
      <c r="BB33" s="1737">
        <f t="shared" si="21"/>
        <v>2.0476190476190474</v>
      </c>
      <c r="BC33" s="1049"/>
      <c r="BD33" s="1051"/>
      <c r="BE33" s="1049"/>
      <c r="BF33" s="1118"/>
      <c r="BG33" s="1883">
        <v>4</v>
      </c>
      <c r="BH33" s="1871">
        <v>5</v>
      </c>
      <c r="BI33" s="1862">
        <v>0.11</v>
      </c>
      <c r="BJ33" s="1884">
        <v>0.15</v>
      </c>
      <c r="BK33" s="1049"/>
      <c r="BL33" s="1118"/>
      <c r="BM33" s="1057">
        <v>4</v>
      </c>
      <c r="BN33" s="1056">
        <v>5</v>
      </c>
      <c r="BO33" s="1055">
        <v>0.1</v>
      </c>
      <c r="BP33" s="1055"/>
      <c r="BQ33" s="1049"/>
    </row>
    <row r="34" spans="1:69" ht="15" thickBot="1">
      <c r="A34" s="1049"/>
      <c r="B34" s="1058">
        <f>SUM(F29:F52)</f>
        <v>40.24</v>
      </c>
      <c r="C34" s="1111">
        <v>5</v>
      </c>
      <c r="D34" s="1110">
        <v>6</v>
      </c>
      <c r="E34" s="1117">
        <v>0.19</v>
      </c>
      <c r="F34" s="1116">
        <v>0.55000000000000004</v>
      </c>
      <c r="G34" s="1115">
        <f t="shared" si="11"/>
        <v>2.8947368421052633</v>
      </c>
      <c r="H34" s="1049"/>
      <c r="I34" s="1058">
        <f>SUM(M29:M52)</f>
        <v>35.96</v>
      </c>
      <c r="J34" s="1111">
        <v>5</v>
      </c>
      <c r="K34" s="1110">
        <v>6</v>
      </c>
      <c r="L34" s="1109">
        <v>0.22</v>
      </c>
      <c r="M34" s="1114">
        <v>0.42</v>
      </c>
      <c r="N34" s="1113">
        <f t="shared" si="12"/>
        <v>1.9090909090909089</v>
      </c>
      <c r="O34" s="1049"/>
      <c r="P34" s="1112">
        <f>SUM(U29:U52)</f>
        <v>151.47999999999999</v>
      </c>
      <c r="Q34" s="1111">
        <v>5</v>
      </c>
      <c r="R34" s="1110">
        <v>6</v>
      </c>
      <c r="S34" s="1109">
        <v>0.81599999999999995</v>
      </c>
      <c r="T34" s="1054">
        <f t="shared" si="13"/>
        <v>2.5377599999999996</v>
      </c>
      <c r="U34" s="1146">
        <v>3.28</v>
      </c>
      <c r="V34" s="1052">
        <f t="shared" si="14"/>
        <v>4.0196078431372548</v>
      </c>
      <c r="W34" s="1049"/>
      <c r="X34" s="1074">
        <v>3.11</v>
      </c>
      <c r="Y34" s="1049"/>
      <c r="Z34" s="1050">
        <f t="shared" si="15"/>
        <v>1.8849599999999995</v>
      </c>
      <c r="AA34" s="1112">
        <f>SUM(AF29:AF52)</f>
        <v>122.97999999999999</v>
      </c>
      <c r="AB34" s="1111">
        <v>5</v>
      </c>
      <c r="AC34" s="1110">
        <v>6</v>
      </c>
      <c r="AD34" s="1109">
        <v>1.9790000000000001</v>
      </c>
      <c r="AE34" s="1153">
        <f t="shared" si="16"/>
        <v>1.68215</v>
      </c>
      <c r="AF34" s="1146">
        <v>3.05</v>
      </c>
      <c r="AG34" s="1113">
        <f t="shared" si="17"/>
        <v>1.5411824153612934</v>
      </c>
      <c r="AH34" s="1049"/>
      <c r="AI34" s="1074">
        <v>0.85</v>
      </c>
      <c r="AJ34" s="1049"/>
      <c r="AK34" s="1050">
        <f t="shared" si="18"/>
        <v>9.8949999999999871E-2</v>
      </c>
      <c r="AL34" s="1049"/>
      <c r="AM34" s="1112">
        <f>SUM(AR29:AR52)</f>
        <v>13.829999999999998</v>
      </c>
      <c r="AN34" s="1111">
        <v>5</v>
      </c>
      <c r="AO34" s="1110">
        <v>6</v>
      </c>
      <c r="AP34" s="1109">
        <v>0.09</v>
      </c>
      <c r="AQ34" s="1738">
        <f t="shared" si="19"/>
        <v>0</v>
      </c>
      <c r="AR34" s="1739">
        <v>0.15</v>
      </c>
      <c r="AS34" s="1113">
        <f t="shared" si="20"/>
        <v>1.6666666666666667</v>
      </c>
      <c r="AT34" s="1049"/>
      <c r="AU34" s="1074"/>
      <c r="AV34" s="1049"/>
      <c r="AW34" s="1112">
        <f>SUM(BA29:BA52)</f>
        <v>16.180000000000003</v>
      </c>
      <c r="AX34" s="1111">
        <v>5</v>
      </c>
      <c r="AY34" s="1110">
        <v>6</v>
      </c>
      <c r="AZ34" s="1109">
        <v>0.19</v>
      </c>
      <c r="BA34" s="1738">
        <v>0.4</v>
      </c>
      <c r="BB34" s="1739">
        <f t="shared" si="21"/>
        <v>2.1052631578947367</v>
      </c>
      <c r="BC34" s="1049"/>
      <c r="BD34" s="1074"/>
      <c r="BE34" s="1049"/>
      <c r="BF34" s="1112">
        <f>SUM(BJ29:BJ52)</f>
        <v>10.84</v>
      </c>
      <c r="BG34" s="1883">
        <v>5</v>
      </c>
      <c r="BH34" s="1871">
        <v>6</v>
      </c>
      <c r="BI34" s="1862">
        <v>0.1</v>
      </c>
      <c r="BJ34" s="1884">
        <v>0.14000000000000001</v>
      </c>
      <c r="BK34" s="1049"/>
      <c r="BL34" s="1112">
        <f>SUM(BP29:BP52)</f>
        <v>0</v>
      </c>
      <c r="BM34" s="1111">
        <v>5</v>
      </c>
      <c r="BN34" s="1110">
        <v>6</v>
      </c>
      <c r="BO34" s="1109">
        <v>0.11</v>
      </c>
      <c r="BP34" s="1109"/>
      <c r="BQ34" s="1049"/>
    </row>
    <row r="35" spans="1:69" ht="14.4">
      <c r="A35" s="1049"/>
      <c r="B35" s="1093">
        <f>B34/B31</f>
        <v>2.9719350073855244</v>
      </c>
      <c r="C35" s="1100">
        <v>6</v>
      </c>
      <c r="D35" s="1099">
        <v>7</v>
      </c>
      <c r="E35" s="1107">
        <v>0.7</v>
      </c>
      <c r="F35" s="1106">
        <v>2.02</v>
      </c>
      <c r="G35" s="1105">
        <f t="shared" si="11"/>
        <v>2.8857142857142861</v>
      </c>
      <c r="H35" s="1049"/>
      <c r="I35" s="1093">
        <f>I34/I31</f>
        <v>2.5963898916967505</v>
      </c>
      <c r="J35" s="1100">
        <v>6</v>
      </c>
      <c r="K35" s="1099">
        <v>7</v>
      </c>
      <c r="L35" s="1098">
        <v>0.37</v>
      </c>
      <c r="M35" s="1103">
        <v>0.85</v>
      </c>
      <c r="N35" s="1102">
        <f t="shared" si="12"/>
        <v>2.2972972972972974</v>
      </c>
      <c r="O35" s="1049"/>
      <c r="P35" s="1093">
        <f>P34/P31</f>
        <v>4.2745075907218233</v>
      </c>
      <c r="Q35" s="1100">
        <v>6</v>
      </c>
      <c r="R35" s="1099">
        <v>7</v>
      </c>
      <c r="S35" s="1098">
        <v>0.92700000000000005</v>
      </c>
      <c r="T35" s="1054">
        <f t="shared" si="13"/>
        <v>3.2723100000000001</v>
      </c>
      <c r="U35" s="1144">
        <v>4.13</v>
      </c>
      <c r="V35" s="1052">
        <f t="shared" si="14"/>
        <v>4.4552319309600863</v>
      </c>
      <c r="W35" s="1049"/>
      <c r="X35" s="1108">
        <v>3.53</v>
      </c>
      <c r="Y35" s="1049"/>
      <c r="Z35" s="1050">
        <f t="shared" si="15"/>
        <v>2.5307099999999996</v>
      </c>
      <c r="AA35" s="1093">
        <f>AA34/AA31</f>
        <v>2.1362562534741518</v>
      </c>
      <c r="AB35" s="1100">
        <v>6</v>
      </c>
      <c r="AC35" s="1099">
        <v>7</v>
      </c>
      <c r="AD35" s="1098">
        <v>1.917</v>
      </c>
      <c r="AE35" s="1151">
        <f t="shared" si="16"/>
        <v>2.1278700000000002</v>
      </c>
      <c r="AF35" s="1144">
        <v>3.45</v>
      </c>
      <c r="AG35" s="1069">
        <f t="shared" si="17"/>
        <v>1.7996870109546166</v>
      </c>
      <c r="AH35" s="1049"/>
      <c r="AI35" s="1108">
        <v>1.1100000000000001</v>
      </c>
      <c r="AJ35" s="1049"/>
      <c r="AK35" s="1152">
        <f t="shared" si="18"/>
        <v>0.59427000000000008</v>
      </c>
      <c r="AL35" s="1049"/>
      <c r="AM35" s="1093">
        <f>AM34/AM31</f>
        <v>2.4740608228980321</v>
      </c>
      <c r="AN35" s="1100">
        <v>6</v>
      </c>
      <c r="AO35" s="1099">
        <v>7</v>
      </c>
      <c r="AP35" s="1098">
        <v>0.06</v>
      </c>
      <c r="AQ35" s="1740">
        <f t="shared" si="19"/>
        <v>0</v>
      </c>
      <c r="AR35" s="1741">
        <v>0.11</v>
      </c>
      <c r="AS35" s="1069">
        <f t="shared" si="20"/>
        <v>1.8333333333333335</v>
      </c>
      <c r="AT35" s="1049"/>
      <c r="AU35" s="1108"/>
      <c r="AV35" s="1049"/>
      <c r="AW35" s="1093">
        <f>AW34/AW31</f>
        <v>2.355167394468705</v>
      </c>
      <c r="AX35" s="1100">
        <v>6</v>
      </c>
      <c r="AY35" s="1099">
        <v>7</v>
      </c>
      <c r="AZ35" s="1098">
        <v>0.28000000000000003</v>
      </c>
      <c r="BA35" s="1740">
        <v>0.66</v>
      </c>
      <c r="BB35" s="1741">
        <f t="shared" si="21"/>
        <v>2.3571428571428572</v>
      </c>
      <c r="BC35" s="1049"/>
      <c r="BD35" s="1108"/>
      <c r="BE35" s="1049"/>
      <c r="BF35" s="1093">
        <f>BF34/BF31</f>
        <v>1.4225721784776904</v>
      </c>
      <c r="BG35" s="1883">
        <v>6</v>
      </c>
      <c r="BH35" s="1871">
        <v>7</v>
      </c>
      <c r="BI35" s="1862">
        <v>0.25</v>
      </c>
      <c r="BJ35" s="1884">
        <v>0.34</v>
      </c>
      <c r="BK35" s="1049"/>
      <c r="BL35" s="1093">
        <f>BL34/BL31</f>
        <v>0</v>
      </c>
      <c r="BM35" s="1100">
        <v>6</v>
      </c>
      <c r="BN35" s="1099">
        <v>7</v>
      </c>
      <c r="BO35" s="1098">
        <v>0.1</v>
      </c>
      <c r="BP35" s="1098"/>
      <c r="BQ35" s="1049"/>
    </row>
    <row r="36" spans="1:69" ht="14.4">
      <c r="A36" s="1049"/>
      <c r="B36" s="1104"/>
      <c r="C36" s="1100">
        <v>7</v>
      </c>
      <c r="D36" s="1099">
        <v>8</v>
      </c>
      <c r="E36" s="1107">
        <v>0.4</v>
      </c>
      <c r="F36" s="1106">
        <v>1.1399999999999999</v>
      </c>
      <c r="G36" s="1105">
        <f t="shared" si="11"/>
        <v>2.8499999999999996</v>
      </c>
      <c r="H36" s="1049"/>
      <c r="I36" s="1104"/>
      <c r="J36" s="1100">
        <v>7</v>
      </c>
      <c r="K36" s="1099">
        <v>8</v>
      </c>
      <c r="L36" s="1098">
        <v>0.36</v>
      </c>
      <c r="M36" s="1103">
        <v>0.92</v>
      </c>
      <c r="N36" s="1102">
        <f t="shared" si="12"/>
        <v>2.5555555555555558</v>
      </c>
      <c r="O36" s="1049"/>
      <c r="P36" s="1101"/>
      <c r="Q36" s="1100">
        <v>7</v>
      </c>
      <c r="R36" s="1099">
        <v>8</v>
      </c>
      <c r="S36" s="1098">
        <v>1.2230000000000001</v>
      </c>
      <c r="T36" s="1054">
        <f t="shared" si="13"/>
        <v>5.0265300000000011</v>
      </c>
      <c r="U36" s="1144">
        <v>6.14</v>
      </c>
      <c r="V36" s="1052">
        <f t="shared" si="14"/>
        <v>5.0204415372035971</v>
      </c>
      <c r="W36" s="1049"/>
      <c r="X36" s="1065">
        <v>4.1100000000000003</v>
      </c>
      <c r="Y36" s="1049"/>
      <c r="Z36" s="1050">
        <f t="shared" si="15"/>
        <v>4.0481300000000013</v>
      </c>
      <c r="AA36" s="1101"/>
      <c r="AB36" s="1100">
        <v>7</v>
      </c>
      <c r="AC36" s="1099">
        <v>8</v>
      </c>
      <c r="AD36" s="1098">
        <v>1.988</v>
      </c>
      <c r="AE36" s="1054">
        <f t="shared" si="16"/>
        <v>2.8627199999999999</v>
      </c>
      <c r="AF36" s="1144">
        <v>4.2300000000000004</v>
      </c>
      <c r="AG36" s="1052">
        <f t="shared" si="17"/>
        <v>2.1277665995975856</v>
      </c>
      <c r="AH36" s="1049"/>
      <c r="AI36" s="1065">
        <v>1.44</v>
      </c>
      <c r="AJ36" s="1049"/>
      <c r="AK36" s="1152">
        <f t="shared" si="18"/>
        <v>1.2723199999999999</v>
      </c>
      <c r="AL36" s="1049"/>
      <c r="AM36" s="1101"/>
      <c r="AN36" s="1100">
        <v>7</v>
      </c>
      <c r="AO36" s="1099">
        <v>8</v>
      </c>
      <c r="AP36" s="1098">
        <v>0.24</v>
      </c>
      <c r="AQ36" s="1736">
        <f t="shared" si="19"/>
        <v>0</v>
      </c>
      <c r="AR36" s="1741">
        <v>0.51</v>
      </c>
      <c r="AS36" s="1052">
        <f t="shared" si="20"/>
        <v>2.125</v>
      </c>
      <c r="AT36" s="1049"/>
      <c r="AU36" s="1065"/>
      <c r="AV36" s="1049"/>
      <c r="AW36" s="1101"/>
      <c r="AX36" s="1100">
        <v>7</v>
      </c>
      <c r="AY36" s="1099">
        <v>8</v>
      </c>
      <c r="AZ36" s="1098">
        <v>0.3</v>
      </c>
      <c r="BA36" s="1736">
        <v>0.75</v>
      </c>
      <c r="BB36" s="1741">
        <f t="shared" si="21"/>
        <v>2.5</v>
      </c>
      <c r="BC36" s="1049"/>
      <c r="BD36" s="1065"/>
      <c r="BE36" s="1049"/>
      <c r="BF36" s="1101"/>
      <c r="BG36" s="1885">
        <v>7</v>
      </c>
      <c r="BH36" s="1886">
        <v>8</v>
      </c>
      <c r="BI36" s="1887">
        <v>0.21</v>
      </c>
      <c r="BJ36" s="1888">
        <v>0.31</v>
      </c>
      <c r="BK36" s="1049"/>
      <c r="BL36" s="1101"/>
      <c r="BM36" s="1100">
        <v>7</v>
      </c>
      <c r="BN36" s="1099">
        <v>8</v>
      </c>
      <c r="BO36" s="1098">
        <v>0.09</v>
      </c>
      <c r="BP36" s="1098"/>
      <c r="BQ36" s="1049"/>
    </row>
    <row r="37" spans="1:69" ht="14.4">
      <c r="A37" s="1049"/>
      <c r="B37" s="1097">
        <f>B34/24</f>
        <v>1.6766666666666667</v>
      </c>
      <c r="C37" s="1086">
        <v>8</v>
      </c>
      <c r="D37" s="1085">
        <v>9</v>
      </c>
      <c r="E37" s="1091">
        <v>0.47</v>
      </c>
      <c r="F37" s="1090">
        <v>1.36</v>
      </c>
      <c r="G37" s="1089">
        <f t="shared" si="11"/>
        <v>2.8936170212765959</v>
      </c>
      <c r="H37" s="1049"/>
      <c r="I37" s="1097">
        <f>I34/24</f>
        <v>1.4983333333333333</v>
      </c>
      <c r="J37" s="1086">
        <v>8</v>
      </c>
      <c r="K37" s="1085">
        <v>9</v>
      </c>
      <c r="L37" s="1084">
        <v>0.35</v>
      </c>
      <c r="M37" s="1088">
        <v>0.89</v>
      </c>
      <c r="N37" s="1087">
        <f t="shared" si="12"/>
        <v>2.5428571428571431</v>
      </c>
      <c r="O37" s="1049"/>
      <c r="P37" s="1096">
        <f>P34/24</f>
        <v>6.3116666666666665</v>
      </c>
      <c r="Q37" s="1086">
        <v>8</v>
      </c>
      <c r="R37" s="1085">
        <v>9</v>
      </c>
      <c r="S37" s="1084">
        <v>1.1599999999999999</v>
      </c>
      <c r="T37" s="1054">
        <f t="shared" si="13"/>
        <v>5.0691999999999995</v>
      </c>
      <c r="U37" s="1142">
        <v>6.14</v>
      </c>
      <c r="V37" s="1052">
        <f t="shared" si="14"/>
        <v>5.2931034482758621</v>
      </c>
      <c r="W37" s="1049"/>
      <c r="X37" s="1051">
        <v>4.37</v>
      </c>
      <c r="Y37" s="1049"/>
      <c r="Z37" s="1050">
        <f t="shared" si="15"/>
        <v>4.1412000000000004</v>
      </c>
      <c r="AA37" s="1096">
        <f>AA34/24</f>
        <v>5.1241666666666665</v>
      </c>
      <c r="AB37" s="1086">
        <v>8</v>
      </c>
      <c r="AC37" s="1085">
        <v>9</v>
      </c>
      <c r="AD37" s="1084">
        <v>2.343</v>
      </c>
      <c r="AE37" s="1054">
        <f t="shared" si="16"/>
        <v>3.4910700000000001</v>
      </c>
      <c r="AF37" s="1142">
        <v>5.1100000000000003</v>
      </c>
      <c r="AG37" s="1052">
        <f t="shared" si="17"/>
        <v>2.1809645753307727</v>
      </c>
      <c r="AH37" s="1049"/>
      <c r="AI37" s="1051">
        <v>1.49</v>
      </c>
      <c r="AJ37" s="1049"/>
      <c r="AK37" s="1152">
        <f t="shared" si="18"/>
        <v>1.6166699999999998</v>
      </c>
      <c r="AL37" s="1049"/>
      <c r="AM37" s="1096">
        <f>AM34/24</f>
        <v>0.57624999999999993</v>
      </c>
      <c r="AN37" s="1086">
        <v>8</v>
      </c>
      <c r="AO37" s="1085">
        <v>9</v>
      </c>
      <c r="AP37" s="1084">
        <v>0.16</v>
      </c>
      <c r="AQ37" s="1736">
        <f t="shared" si="19"/>
        <v>0</v>
      </c>
      <c r="AR37" s="1742">
        <v>0.38</v>
      </c>
      <c r="AS37" s="1052">
        <f t="shared" si="20"/>
        <v>2.375</v>
      </c>
      <c r="AT37" s="1049"/>
      <c r="AU37" s="1051"/>
      <c r="AV37" s="1049"/>
      <c r="AW37" s="1096">
        <f>AW34/24</f>
        <v>0.6741666666666668</v>
      </c>
      <c r="AX37" s="1086">
        <v>8</v>
      </c>
      <c r="AY37" s="1085">
        <v>9</v>
      </c>
      <c r="AZ37" s="1084">
        <v>0.34</v>
      </c>
      <c r="BA37" s="1736">
        <v>0.84</v>
      </c>
      <c r="BB37" s="1742">
        <f t="shared" si="21"/>
        <v>2.4705882352941173</v>
      </c>
      <c r="BC37" s="1049"/>
      <c r="BD37" s="1051"/>
      <c r="BE37" s="1049"/>
      <c r="BF37" s="1096">
        <f>BF34/24</f>
        <v>0.45166666666666666</v>
      </c>
      <c r="BG37" s="1890">
        <v>8</v>
      </c>
      <c r="BH37" s="1891">
        <v>9</v>
      </c>
      <c r="BI37" s="1892">
        <v>0.28000000000000003</v>
      </c>
      <c r="BJ37" s="1882">
        <v>0.43</v>
      </c>
      <c r="BK37" s="1049"/>
      <c r="BL37" s="1096">
        <f>BL34/24</f>
        <v>0</v>
      </c>
      <c r="BM37" s="1086">
        <v>8</v>
      </c>
      <c r="BN37" s="1085">
        <v>9</v>
      </c>
      <c r="BO37" s="1084">
        <v>0.42</v>
      </c>
      <c r="BP37" s="1084"/>
      <c r="BQ37" s="1049"/>
    </row>
    <row r="38" spans="1:69" ht="14.4">
      <c r="A38" s="1049"/>
      <c r="B38" s="1097"/>
      <c r="C38" s="1086">
        <v>9</v>
      </c>
      <c r="D38" s="1085">
        <v>10</v>
      </c>
      <c r="E38" s="1091">
        <v>0.56999999999999995</v>
      </c>
      <c r="F38" s="1090">
        <v>1.65</v>
      </c>
      <c r="G38" s="1089">
        <f t="shared" si="11"/>
        <v>2.8947368421052633</v>
      </c>
      <c r="H38" s="1049"/>
      <c r="I38" s="1097"/>
      <c r="J38" s="1086">
        <v>9</v>
      </c>
      <c r="K38" s="1085">
        <v>10</v>
      </c>
      <c r="L38" s="1084">
        <v>0.57999999999999996</v>
      </c>
      <c r="M38" s="1088">
        <v>1.35</v>
      </c>
      <c r="N38" s="1087">
        <f t="shared" si="12"/>
        <v>2.327586206896552</v>
      </c>
      <c r="O38" s="1049"/>
      <c r="P38" s="1096"/>
      <c r="Q38" s="1086">
        <v>9</v>
      </c>
      <c r="R38" s="1085">
        <v>10</v>
      </c>
      <c r="S38" s="1084">
        <v>1.2130000000000001</v>
      </c>
      <c r="T38" s="1054">
        <f t="shared" si="13"/>
        <v>5.1916400000000005</v>
      </c>
      <c r="U38" s="1142">
        <v>6.31</v>
      </c>
      <c r="V38" s="1052">
        <f t="shared" si="14"/>
        <v>5.2019785655399833</v>
      </c>
      <c r="W38" s="1049"/>
      <c r="X38" s="1051">
        <v>4.28</v>
      </c>
      <c r="Y38" s="1049"/>
      <c r="Z38" s="1050">
        <f t="shared" si="15"/>
        <v>4.2212400000000008</v>
      </c>
      <c r="AA38" s="1096"/>
      <c r="AB38" s="1086">
        <v>9</v>
      </c>
      <c r="AC38" s="1085">
        <v>11</v>
      </c>
      <c r="AD38" s="1084">
        <v>1.8979999999999999</v>
      </c>
      <c r="AE38" s="1054">
        <f t="shared" si="16"/>
        <v>2.847</v>
      </c>
      <c r="AF38" s="1142">
        <v>4.16</v>
      </c>
      <c r="AG38" s="1052">
        <f t="shared" si="17"/>
        <v>2.1917808219178085</v>
      </c>
      <c r="AH38" s="1049"/>
      <c r="AI38" s="1051">
        <v>1.5</v>
      </c>
      <c r="AJ38" s="1049"/>
      <c r="AK38" s="1152">
        <f t="shared" si="18"/>
        <v>1.3285999999999998</v>
      </c>
      <c r="AL38" s="1049"/>
      <c r="AM38" s="1096"/>
      <c r="AN38" s="1086">
        <v>9</v>
      </c>
      <c r="AO38" s="1085">
        <v>11</v>
      </c>
      <c r="AP38" s="1084">
        <v>0.2</v>
      </c>
      <c r="AQ38" s="1736">
        <f t="shared" si="19"/>
        <v>0</v>
      </c>
      <c r="AR38" s="1742">
        <v>0.5</v>
      </c>
      <c r="AS38" s="1052">
        <f t="shared" si="20"/>
        <v>2.5</v>
      </c>
      <c r="AT38" s="1049"/>
      <c r="AU38" s="1051"/>
      <c r="AV38" s="1049"/>
      <c r="AW38" s="1096"/>
      <c r="AX38" s="1086">
        <v>9</v>
      </c>
      <c r="AY38" s="1085">
        <v>11</v>
      </c>
      <c r="AZ38" s="1084">
        <v>0.37</v>
      </c>
      <c r="BA38" s="1736">
        <v>0.79</v>
      </c>
      <c r="BB38" s="1742">
        <f t="shared" si="21"/>
        <v>2.1351351351351351</v>
      </c>
      <c r="BC38" s="1049"/>
      <c r="BD38" s="1051"/>
      <c r="BE38" s="1049"/>
      <c r="BF38" s="1096"/>
      <c r="BG38" s="1893">
        <v>9</v>
      </c>
      <c r="BH38" s="1872">
        <v>11</v>
      </c>
      <c r="BI38" s="1864">
        <v>0.33</v>
      </c>
      <c r="BJ38" s="1884">
        <v>0.47</v>
      </c>
      <c r="BK38" s="1049"/>
      <c r="BL38" s="1096"/>
      <c r="BM38" s="1086">
        <v>9</v>
      </c>
      <c r="BN38" s="1085">
        <v>11</v>
      </c>
      <c r="BO38" s="1084">
        <v>0.36</v>
      </c>
      <c r="BP38" s="1084"/>
      <c r="BQ38" s="1049"/>
    </row>
    <row r="39" spans="1:69" ht="14.4">
      <c r="A39" s="1049"/>
      <c r="B39" s="1060"/>
      <c r="C39" s="1086">
        <v>10</v>
      </c>
      <c r="D39" s="1085">
        <v>11</v>
      </c>
      <c r="E39" s="1091">
        <v>0.56999999999999995</v>
      </c>
      <c r="F39" s="1090">
        <v>1.64</v>
      </c>
      <c r="G39" s="1089">
        <f t="shared" si="11"/>
        <v>2.8771929824561404</v>
      </c>
      <c r="H39" s="1049"/>
      <c r="I39" s="1060"/>
      <c r="J39" s="1086">
        <v>10</v>
      </c>
      <c r="K39" s="1085">
        <v>11</v>
      </c>
      <c r="L39" s="1084">
        <v>0.41</v>
      </c>
      <c r="M39" s="1088">
        <v>0.86</v>
      </c>
      <c r="N39" s="1087">
        <f t="shared" si="12"/>
        <v>2.0975609756097562</v>
      </c>
      <c r="O39" s="1049"/>
      <c r="P39" s="1095">
        <f>SUM(Z29:Z52)</f>
        <v>90.568029999999993</v>
      </c>
      <c r="Q39" s="1086">
        <v>10</v>
      </c>
      <c r="R39" s="1085">
        <v>11</v>
      </c>
      <c r="S39" s="1084">
        <v>1.1759999999999999</v>
      </c>
      <c r="T39" s="1054">
        <f t="shared" si="13"/>
        <v>4.9744799999999998</v>
      </c>
      <c r="U39" s="1142">
        <v>6.05</v>
      </c>
      <c r="V39" s="1052">
        <f t="shared" si="14"/>
        <v>5.1445578231292517</v>
      </c>
      <c r="W39" s="1049"/>
      <c r="X39" s="1051">
        <v>4.2300000000000004</v>
      </c>
      <c r="Y39" s="1049"/>
      <c r="Z39" s="1050">
        <f t="shared" si="15"/>
        <v>4.0336800000000004</v>
      </c>
      <c r="AA39" s="1095">
        <f>SUM(AK29:AK52)</f>
        <v>31.077770000000001</v>
      </c>
      <c r="AB39" s="1086">
        <v>10</v>
      </c>
      <c r="AC39" s="1085">
        <v>12</v>
      </c>
      <c r="AD39" s="1084">
        <v>1.9750000000000001</v>
      </c>
      <c r="AE39" s="1054">
        <f t="shared" si="16"/>
        <v>2.9427500000000002</v>
      </c>
      <c r="AF39" s="1142">
        <v>4.3</v>
      </c>
      <c r="AG39" s="1052">
        <f t="shared" si="17"/>
        <v>2.1772151898734173</v>
      </c>
      <c r="AH39" s="1049"/>
      <c r="AI39" s="1051">
        <v>1.49</v>
      </c>
      <c r="AJ39" s="1049"/>
      <c r="AK39" s="1152">
        <f t="shared" si="18"/>
        <v>1.3627499999999999</v>
      </c>
      <c r="AL39" s="1049"/>
      <c r="AM39" s="1095" t="e">
        <f>SUM(#REF!)</f>
        <v>#REF!</v>
      </c>
      <c r="AN39" s="1086">
        <v>10</v>
      </c>
      <c r="AO39" s="1085">
        <v>12</v>
      </c>
      <c r="AP39" s="1084">
        <v>0.18</v>
      </c>
      <c r="AQ39" s="1736">
        <f t="shared" si="19"/>
        <v>0</v>
      </c>
      <c r="AR39" s="1742">
        <v>0.43</v>
      </c>
      <c r="AS39" s="1052">
        <f t="shared" si="20"/>
        <v>2.3888888888888888</v>
      </c>
      <c r="AT39" s="1049"/>
      <c r="AU39" s="1051"/>
      <c r="AV39" s="1049"/>
      <c r="AW39" s="1095" t="e">
        <f>SUM(#REF!)</f>
        <v>#REF!</v>
      </c>
      <c r="AX39" s="1086">
        <v>10</v>
      </c>
      <c r="AY39" s="1085">
        <v>12</v>
      </c>
      <c r="AZ39" s="1084">
        <v>0.26</v>
      </c>
      <c r="BA39" s="1736">
        <v>0.51</v>
      </c>
      <c r="BB39" s="1742">
        <f t="shared" si="21"/>
        <v>1.9615384615384615</v>
      </c>
      <c r="BC39" s="1049"/>
      <c r="BD39" s="1051"/>
      <c r="BE39" s="1049"/>
      <c r="BF39" s="1095" t="e">
        <f>SUM(#REF!)</f>
        <v>#REF!</v>
      </c>
      <c r="BG39" s="1893">
        <v>10</v>
      </c>
      <c r="BH39" s="1872">
        <v>12</v>
      </c>
      <c r="BI39" s="1864">
        <v>0.34</v>
      </c>
      <c r="BJ39" s="1884">
        <v>0.44</v>
      </c>
      <c r="BK39" s="1049"/>
      <c r="BL39" s="1095" t="e">
        <f>SUM(#REF!)</f>
        <v>#REF!</v>
      </c>
      <c r="BM39" s="1086">
        <v>10</v>
      </c>
      <c r="BN39" s="1085">
        <v>12</v>
      </c>
      <c r="BO39" s="1084">
        <v>0.7</v>
      </c>
      <c r="BP39" s="1084"/>
      <c r="BQ39" s="1049"/>
    </row>
    <row r="40" spans="1:69" ht="14.4">
      <c r="A40" s="1049"/>
      <c r="B40" s="1060"/>
      <c r="C40" s="1086">
        <v>11</v>
      </c>
      <c r="D40" s="1085">
        <v>12</v>
      </c>
      <c r="E40" s="1091">
        <v>0.54</v>
      </c>
      <c r="F40" s="1090">
        <v>1.55</v>
      </c>
      <c r="G40" s="1089">
        <f t="shared" si="11"/>
        <v>2.8703703703703702</v>
      </c>
      <c r="H40" s="1049"/>
      <c r="I40" s="1060"/>
      <c r="J40" s="1086">
        <v>11</v>
      </c>
      <c r="K40" s="1085">
        <v>12</v>
      </c>
      <c r="L40" s="1084">
        <v>0.4</v>
      </c>
      <c r="M40" s="1088">
        <v>0.83</v>
      </c>
      <c r="N40" s="1087">
        <f t="shared" si="12"/>
        <v>2.0749999999999997</v>
      </c>
      <c r="O40" s="1049"/>
      <c r="P40" s="1093">
        <f>P39/P31</f>
        <v>2.5556755460240415</v>
      </c>
      <c r="Q40" s="1086">
        <v>11</v>
      </c>
      <c r="R40" s="1085" t="s">
        <v>144</v>
      </c>
      <c r="S40" s="1084">
        <v>2.036</v>
      </c>
      <c r="T40" s="1054">
        <f t="shared" si="13"/>
        <v>8.2865200000000012</v>
      </c>
      <c r="U40" s="1142">
        <v>10.15</v>
      </c>
      <c r="V40" s="1052">
        <f t="shared" si="14"/>
        <v>4.9852652259332029</v>
      </c>
      <c r="W40" s="1049"/>
      <c r="X40" s="1051">
        <v>4.07</v>
      </c>
      <c r="Y40" s="1049"/>
      <c r="Z40" s="1050">
        <f t="shared" si="15"/>
        <v>6.6577200000000012</v>
      </c>
      <c r="AA40" s="1093">
        <f>AA39/AA31</f>
        <v>0.53984453168426905</v>
      </c>
      <c r="AB40" s="1086">
        <v>11</v>
      </c>
      <c r="AC40" s="1085">
        <v>12</v>
      </c>
      <c r="AD40" s="1084">
        <v>2.5409999999999999</v>
      </c>
      <c r="AE40" s="1054">
        <f t="shared" si="16"/>
        <v>3.7098599999999999</v>
      </c>
      <c r="AF40" s="1142">
        <v>5.48</v>
      </c>
      <c r="AG40" s="1052">
        <f t="shared" si="17"/>
        <v>2.1566312475403389</v>
      </c>
      <c r="AH40" s="1049"/>
      <c r="AI40" s="1051">
        <v>1.46</v>
      </c>
      <c r="AJ40" s="1049"/>
      <c r="AK40" s="1152">
        <f t="shared" si="18"/>
        <v>1.6770599999999998</v>
      </c>
      <c r="AL40" s="1049"/>
      <c r="AM40" s="1093" t="e">
        <f>AM39/AM31</f>
        <v>#REF!</v>
      </c>
      <c r="AN40" s="1086">
        <v>11</v>
      </c>
      <c r="AO40" s="1085">
        <v>12</v>
      </c>
      <c r="AP40" s="1084">
        <v>0.19</v>
      </c>
      <c r="AQ40" s="1736">
        <f t="shared" si="19"/>
        <v>0</v>
      </c>
      <c r="AR40" s="1742">
        <v>0.45</v>
      </c>
      <c r="AS40" s="1052">
        <f t="shared" si="20"/>
        <v>2.3684210526315788</v>
      </c>
      <c r="AT40" s="1049"/>
      <c r="AU40" s="1051"/>
      <c r="AV40" s="1049"/>
      <c r="AW40" s="1093" t="e">
        <f>AW39/AW31</f>
        <v>#REF!</v>
      </c>
      <c r="AX40" s="1086">
        <v>11</v>
      </c>
      <c r="AY40" s="1085">
        <v>12</v>
      </c>
      <c r="AZ40" s="1084">
        <v>0.32</v>
      </c>
      <c r="BA40" s="1736">
        <v>0.61</v>
      </c>
      <c r="BB40" s="1742">
        <f t="shared" si="21"/>
        <v>1.90625</v>
      </c>
      <c r="BC40" s="1049"/>
      <c r="BD40" s="1051"/>
      <c r="BE40" s="1049"/>
      <c r="BF40" s="1093" t="e">
        <f>BF39/BF31</f>
        <v>#REF!</v>
      </c>
      <c r="BG40" s="1893">
        <v>11</v>
      </c>
      <c r="BH40" s="1872">
        <v>12</v>
      </c>
      <c r="BI40" s="1864">
        <v>0.33</v>
      </c>
      <c r="BJ40" s="1884">
        <v>0.43</v>
      </c>
      <c r="BK40" s="1049"/>
      <c r="BL40" s="1093" t="e">
        <f>BL39/BL31</f>
        <v>#REF!</v>
      </c>
      <c r="BM40" s="1086">
        <v>11</v>
      </c>
      <c r="BN40" s="1085">
        <v>12</v>
      </c>
      <c r="BO40" s="1084">
        <v>0.36</v>
      </c>
      <c r="BP40" s="1084"/>
      <c r="BQ40" s="1049"/>
    </row>
    <row r="41" spans="1:69" ht="14.4">
      <c r="A41" s="1049"/>
      <c r="B41" s="1060"/>
      <c r="C41" s="1086">
        <v>12</v>
      </c>
      <c r="D41" s="1085">
        <v>13</v>
      </c>
      <c r="E41" s="1091">
        <v>0.71</v>
      </c>
      <c r="F41" s="1090">
        <v>2.04</v>
      </c>
      <c r="G41" s="1089">
        <f t="shared" si="11"/>
        <v>2.8732394366197185</v>
      </c>
      <c r="H41" s="1049"/>
      <c r="I41" s="1060"/>
      <c r="J41" s="1086">
        <v>12</v>
      </c>
      <c r="K41" s="1085">
        <v>13</v>
      </c>
      <c r="L41" s="1084">
        <v>0.73</v>
      </c>
      <c r="M41" s="1088">
        <v>1.49</v>
      </c>
      <c r="N41" s="1087">
        <f t="shared" si="12"/>
        <v>2.0410958904109591</v>
      </c>
      <c r="O41" s="1049"/>
      <c r="P41" s="1060"/>
      <c r="Q41" s="1086">
        <v>12</v>
      </c>
      <c r="R41" s="1085"/>
      <c r="S41" s="1084">
        <v>2.1779999999999999</v>
      </c>
      <c r="T41" s="1054">
        <f t="shared" si="13"/>
        <v>8.7337799999999994</v>
      </c>
      <c r="U41" s="1142">
        <v>10.74</v>
      </c>
      <c r="V41" s="1052">
        <f t="shared" si="14"/>
        <v>4.9311294765840223</v>
      </c>
      <c r="W41" s="1049"/>
      <c r="X41" s="1051">
        <v>4.01</v>
      </c>
      <c r="Y41" s="1049"/>
      <c r="Z41" s="1050">
        <f t="shared" si="15"/>
        <v>6.9913799999999995</v>
      </c>
      <c r="AA41" s="1060"/>
      <c r="AB41" s="1086">
        <v>12</v>
      </c>
      <c r="AC41" s="1085">
        <v>13</v>
      </c>
      <c r="AD41" s="1084">
        <v>2.887</v>
      </c>
      <c r="AE41" s="1054">
        <f t="shared" si="16"/>
        <v>4.2438899999999995</v>
      </c>
      <c r="AF41" s="1142">
        <v>6.25</v>
      </c>
      <c r="AG41" s="1052">
        <f t="shared" si="17"/>
        <v>2.1648770349844129</v>
      </c>
      <c r="AH41" s="1049"/>
      <c r="AI41" s="1051">
        <v>1.47</v>
      </c>
      <c r="AJ41" s="1049"/>
      <c r="AK41" s="1152">
        <f t="shared" si="18"/>
        <v>1.9342899999999998</v>
      </c>
      <c r="AL41" s="1049"/>
      <c r="AM41" s="1060"/>
      <c r="AN41" s="1086">
        <v>12</v>
      </c>
      <c r="AO41" s="1085">
        <v>13</v>
      </c>
      <c r="AP41" s="1084">
        <v>0.18</v>
      </c>
      <c r="AQ41" s="1736">
        <f t="shared" si="19"/>
        <v>0</v>
      </c>
      <c r="AR41" s="1742">
        <v>0.41</v>
      </c>
      <c r="AS41" s="1052">
        <f t="shared" si="20"/>
        <v>2.2777777777777777</v>
      </c>
      <c r="AT41" s="1049"/>
      <c r="AU41" s="1051"/>
      <c r="AV41" s="1049"/>
      <c r="AW41" s="1060"/>
      <c r="AX41" s="1086">
        <v>12</v>
      </c>
      <c r="AY41" s="1085">
        <v>13</v>
      </c>
      <c r="AZ41" s="1084">
        <v>0.28000000000000003</v>
      </c>
      <c r="BA41" s="1736">
        <v>0.53</v>
      </c>
      <c r="BB41" s="1742">
        <f t="shared" si="21"/>
        <v>1.8928571428571428</v>
      </c>
      <c r="BC41" s="1049"/>
      <c r="BD41" s="1051"/>
      <c r="BE41" s="1049"/>
      <c r="BF41" s="1060"/>
      <c r="BG41" s="1893">
        <v>12</v>
      </c>
      <c r="BH41" s="1872">
        <v>13</v>
      </c>
      <c r="BI41" s="1864">
        <v>0.28999999999999998</v>
      </c>
      <c r="BJ41" s="1884">
        <v>0.35</v>
      </c>
      <c r="BK41" s="1049"/>
      <c r="BL41" s="1060"/>
      <c r="BM41" s="1086">
        <v>12</v>
      </c>
      <c r="BN41" s="1085">
        <v>13</v>
      </c>
      <c r="BO41" s="1084">
        <v>0.28999999999999998</v>
      </c>
      <c r="BP41" s="1084"/>
      <c r="BQ41" s="1049"/>
    </row>
    <row r="42" spans="1:69" ht="14.4">
      <c r="A42" s="1049"/>
      <c r="B42" s="1060"/>
      <c r="C42" s="1086">
        <v>13</v>
      </c>
      <c r="D42" s="1085">
        <v>14</v>
      </c>
      <c r="E42" s="1091">
        <v>1.53</v>
      </c>
      <c r="F42" s="1090">
        <v>4.42</v>
      </c>
      <c r="G42" s="1089">
        <f t="shared" si="11"/>
        <v>2.8888888888888888</v>
      </c>
      <c r="H42" s="1049"/>
      <c r="I42" s="1060"/>
      <c r="J42" s="1086">
        <v>13</v>
      </c>
      <c r="K42" s="1085">
        <v>14</v>
      </c>
      <c r="L42" s="1084">
        <v>1.23</v>
      </c>
      <c r="M42" s="1088">
        <v>2.65</v>
      </c>
      <c r="N42" s="1087">
        <f t="shared" si="12"/>
        <v>2.154471544715447</v>
      </c>
      <c r="O42" s="1049"/>
      <c r="P42" s="1092" t="s">
        <v>1127</v>
      </c>
      <c r="Q42" s="1086">
        <v>13</v>
      </c>
      <c r="R42" s="1085"/>
      <c r="S42" s="1084">
        <v>2.1589999999999998</v>
      </c>
      <c r="T42" s="1054">
        <f t="shared" si="13"/>
        <v>8.2689699999999995</v>
      </c>
      <c r="U42" s="1142">
        <v>10.25</v>
      </c>
      <c r="V42" s="1052">
        <f t="shared" si="14"/>
        <v>4.7475683186660493</v>
      </c>
      <c r="W42" s="1049"/>
      <c r="X42" s="1051">
        <v>3.83</v>
      </c>
      <c r="Y42" s="1049"/>
      <c r="Z42" s="1050">
        <f t="shared" si="15"/>
        <v>6.5417699999999996</v>
      </c>
      <c r="AA42" s="1092" t="s">
        <v>1127</v>
      </c>
      <c r="AB42" s="1086">
        <v>13</v>
      </c>
      <c r="AC42" s="1085">
        <v>14</v>
      </c>
      <c r="AD42" s="1084">
        <v>3.1219999999999999</v>
      </c>
      <c r="AE42" s="1054">
        <f t="shared" si="16"/>
        <v>4.58934</v>
      </c>
      <c r="AF42" s="1142">
        <v>6.74</v>
      </c>
      <c r="AG42" s="1052">
        <f t="shared" si="17"/>
        <v>2.1588725176169126</v>
      </c>
      <c r="AH42" s="1049"/>
      <c r="AI42" s="1051">
        <v>1.47</v>
      </c>
      <c r="AJ42" s="1049"/>
      <c r="AK42" s="1152">
        <f t="shared" si="18"/>
        <v>2.0917399999999997</v>
      </c>
      <c r="AL42" s="1049"/>
      <c r="AM42" s="1092" t="s">
        <v>1127</v>
      </c>
      <c r="AN42" s="1086">
        <v>13</v>
      </c>
      <c r="AO42" s="1085">
        <v>14</v>
      </c>
      <c r="AP42" s="1084">
        <v>0.22</v>
      </c>
      <c r="AQ42" s="1736">
        <f t="shared" si="19"/>
        <v>0</v>
      </c>
      <c r="AR42" s="1742">
        <v>0.49</v>
      </c>
      <c r="AS42" s="1052">
        <f t="shared" si="20"/>
        <v>2.2272727272727271</v>
      </c>
      <c r="AT42" s="1049"/>
      <c r="AU42" s="1051"/>
      <c r="AV42" s="1049"/>
      <c r="AW42" s="1092" t="s">
        <v>1127</v>
      </c>
      <c r="AX42" s="1086">
        <v>13</v>
      </c>
      <c r="AY42" s="1085">
        <v>14</v>
      </c>
      <c r="AZ42" s="1084">
        <v>0.38</v>
      </c>
      <c r="BA42" s="1736">
        <v>0.71</v>
      </c>
      <c r="BB42" s="1742">
        <f t="shared" si="21"/>
        <v>1.8684210526315788</v>
      </c>
      <c r="BC42" s="1049"/>
      <c r="BD42" s="1051"/>
      <c r="BE42" s="1049"/>
      <c r="BF42" s="1092" t="s">
        <v>1127</v>
      </c>
      <c r="BG42" s="1893">
        <v>13</v>
      </c>
      <c r="BH42" s="1872">
        <v>14</v>
      </c>
      <c r="BI42" s="1864">
        <v>0.26</v>
      </c>
      <c r="BJ42" s="1884">
        <v>0.28000000000000003</v>
      </c>
      <c r="BK42" s="1049"/>
      <c r="BL42" s="1092" t="s">
        <v>1127</v>
      </c>
      <c r="BM42" s="1086">
        <v>13</v>
      </c>
      <c r="BN42" s="1085">
        <v>14</v>
      </c>
      <c r="BO42" s="1084">
        <v>0.25</v>
      </c>
      <c r="BP42" s="1084"/>
      <c r="BQ42" s="1049"/>
    </row>
    <row r="43" spans="1:69" ht="14.4">
      <c r="A43" s="1049"/>
      <c r="B43" s="1060"/>
      <c r="C43" s="1086">
        <v>14</v>
      </c>
      <c r="D43" s="1085">
        <v>15</v>
      </c>
      <c r="E43" s="1091">
        <v>1.58</v>
      </c>
      <c r="F43" s="1090">
        <v>4.55</v>
      </c>
      <c r="G43" s="1089">
        <f t="shared" si="11"/>
        <v>2.8797468354430378</v>
      </c>
      <c r="H43" s="1049"/>
      <c r="I43" s="1060"/>
      <c r="J43" s="1086">
        <v>14</v>
      </c>
      <c r="K43" s="1085">
        <v>15</v>
      </c>
      <c r="L43" s="1084">
        <v>1.33</v>
      </c>
      <c r="M43" s="1088">
        <v>3.09</v>
      </c>
      <c r="N43" s="1087">
        <f t="shared" si="12"/>
        <v>2.3233082706766917</v>
      </c>
      <c r="O43" s="1049"/>
      <c r="P43" s="1058">
        <f>P31*0.8</f>
        <v>28.350400000000004</v>
      </c>
      <c r="Q43" s="1086">
        <v>14</v>
      </c>
      <c r="R43" s="1085"/>
      <c r="S43" s="1084">
        <v>2.12</v>
      </c>
      <c r="T43" s="1054">
        <f t="shared" si="13"/>
        <v>6.6144000000000007</v>
      </c>
      <c r="U43" s="1142">
        <v>8.56</v>
      </c>
      <c r="V43" s="1052">
        <f t="shared" si="14"/>
        <v>4.0377358490566042</v>
      </c>
      <c r="W43" s="1049"/>
      <c r="X43" s="1051">
        <v>3.12</v>
      </c>
      <c r="Y43" s="1049"/>
      <c r="Z43" s="1050">
        <f t="shared" si="15"/>
        <v>4.918400000000001</v>
      </c>
      <c r="AA43" s="1058">
        <f>AA31*0.8</f>
        <v>46.054400000000008</v>
      </c>
      <c r="AB43" s="1086">
        <v>14</v>
      </c>
      <c r="AC43" s="1085">
        <v>15</v>
      </c>
      <c r="AD43" s="1084">
        <v>3.3380000000000001</v>
      </c>
      <c r="AE43" s="1054">
        <f t="shared" si="16"/>
        <v>5.0403799999999999</v>
      </c>
      <c r="AF43" s="1142">
        <v>7.34</v>
      </c>
      <c r="AG43" s="1052">
        <f t="shared" si="17"/>
        <v>2.1989215098861594</v>
      </c>
      <c r="AH43" s="1049"/>
      <c r="AI43" s="1051">
        <v>1.51</v>
      </c>
      <c r="AJ43" s="1049"/>
      <c r="AK43" s="1152">
        <f t="shared" si="18"/>
        <v>2.36998</v>
      </c>
      <c r="AL43" s="1049"/>
      <c r="AM43" s="1058">
        <f>AM31*0.8</f>
        <v>4.4720000000000004</v>
      </c>
      <c r="AN43" s="1086">
        <v>14</v>
      </c>
      <c r="AO43" s="1085">
        <v>15</v>
      </c>
      <c r="AP43" s="1084">
        <v>0.18</v>
      </c>
      <c r="AQ43" s="1736">
        <f t="shared" si="19"/>
        <v>0</v>
      </c>
      <c r="AR43" s="1742">
        <v>0.42</v>
      </c>
      <c r="AS43" s="1052">
        <f t="shared" si="20"/>
        <v>2.3333333333333335</v>
      </c>
      <c r="AT43" s="1049"/>
      <c r="AU43" s="1051"/>
      <c r="AV43" s="1049"/>
      <c r="AW43" s="1058">
        <f>AW31*0.8</f>
        <v>5.4960000000000004</v>
      </c>
      <c r="AX43" s="1086">
        <v>14</v>
      </c>
      <c r="AY43" s="1085">
        <v>15</v>
      </c>
      <c r="AZ43" s="1084">
        <v>0.37</v>
      </c>
      <c r="BA43" s="1736">
        <v>0.71</v>
      </c>
      <c r="BB43" s="1742">
        <f t="shared" si="21"/>
        <v>1.9189189189189189</v>
      </c>
      <c r="BC43" s="1049"/>
      <c r="BD43" s="1051"/>
      <c r="BE43" s="1049"/>
      <c r="BF43" s="1058">
        <f>BF31*0.8</f>
        <v>6.0960000000000001</v>
      </c>
      <c r="BG43" s="1893">
        <v>14</v>
      </c>
      <c r="BH43" s="1872">
        <v>15</v>
      </c>
      <c r="BI43" s="1864">
        <v>0.5</v>
      </c>
      <c r="BJ43" s="1884">
        <v>0.48</v>
      </c>
      <c r="BK43" s="1049"/>
      <c r="BL43" s="1058">
        <f>BL31*0.8</f>
        <v>5.4240000000000013</v>
      </c>
      <c r="BM43" s="1086">
        <v>14</v>
      </c>
      <c r="BN43" s="1085">
        <v>15</v>
      </c>
      <c r="BO43" s="1084">
        <v>0.12</v>
      </c>
      <c r="BP43" s="1084"/>
      <c r="BQ43" s="1049"/>
    </row>
    <row r="44" spans="1:69" ht="14.4">
      <c r="A44" s="1049"/>
      <c r="B44" s="1060"/>
      <c r="C44" s="1086">
        <v>15</v>
      </c>
      <c r="D44" s="1085">
        <v>16</v>
      </c>
      <c r="E44" s="1091">
        <v>0.72</v>
      </c>
      <c r="F44" s="1090">
        <v>2.08</v>
      </c>
      <c r="G44" s="1089">
        <f t="shared" si="11"/>
        <v>2.8888888888888893</v>
      </c>
      <c r="H44" s="1049"/>
      <c r="I44" s="1060"/>
      <c r="J44" s="1086">
        <v>15</v>
      </c>
      <c r="K44" s="1085">
        <v>16</v>
      </c>
      <c r="L44" s="1084">
        <v>1.1200000000000001</v>
      </c>
      <c r="M44" s="1088">
        <v>2.82</v>
      </c>
      <c r="N44" s="1087">
        <f t="shared" si="12"/>
        <v>2.5178571428571423</v>
      </c>
      <c r="O44" s="1049"/>
      <c r="P44" s="1058" t="s">
        <v>1126</v>
      </c>
      <c r="Q44" s="1086">
        <v>15</v>
      </c>
      <c r="R44" s="1085">
        <v>16</v>
      </c>
      <c r="S44" s="1084">
        <v>2.46</v>
      </c>
      <c r="T44" s="1054">
        <f t="shared" si="13"/>
        <v>7.2078000000000007</v>
      </c>
      <c r="U44" s="1142">
        <v>9.48</v>
      </c>
      <c r="V44" s="1052">
        <f t="shared" si="14"/>
        <v>3.8536585365853662</v>
      </c>
      <c r="W44" s="1049"/>
      <c r="X44" s="1051">
        <v>2.93</v>
      </c>
      <c r="Y44" s="1049"/>
      <c r="Z44" s="1050">
        <f t="shared" si="15"/>
        <v>5.2397999999999998</v>
      </c>
      <c r="AA44" s="1058" t="s">
        <v>1126</v>
      </c>
      <c r="AB44" s="1086">
        <v>15</v>
      </c>
      <c r="AC44" s="1085">
        <v>16</v>
      </c>
      <c r="AD44" s="1084">
        <v>2.9540000000000002</v>
      </c>
      <c r="AE44" s="1054">
        <f t="shared" si="16"/>
        <v>4.6673200000000001</v>
      </c>
      <c r="AF44" s="1142">
        <v>6.69</v>
      </c>
      <c r="AG44" s="1052">
        <f t="shared" si="17"/>
        <v>2.2647257955314828</v>
      </c>
      <c r="AH44" s="1049"/>
      <c r="AI44" s="1051">
        <v>1.58</v>
      </c>
      <c r="AJ44" s="1049"/>
      <c r="AK44" s="1152">
        <f t="shared" si="18"/>
        <v>2.3041200000000002</v>
      </c>
      <c r="AL44" s="1049"/>
      <c r="AM44" s="1058" t="s">
        <v>1126</v>
      </c>
      <c r="AN44" s="1086">
        <v>15</v>
      </c>
      <c r="AO44" s="1085">
        <v>16</v>
      </c>
      <c r="AP44" s="1084">
        <v>0.06</v>
      </c>
      <c r="AQ44" s="1736">
        <f t="shared" si="19"/>
        <v>0</v>
      </c>
      <c r="AR44" s="1742">
        <v>0.14000000000000001</v>
      </c>
      <c r="AS44" s="1052">
        <f t="shared" si="20"/>
        <v>2.3333333333333335</v>
      </c>
      <c r="AT44" s="1049"/>
      <c r="AU44" s="1051"/>
      <c r="AV44" s="1049"/>
      <c r="AW44" s="1058" t="s">
        <v>1126</v>
      </c>
      <c r="AX44" s="1086">
        <v>15</v>
      </c>
      <c r="AY44" s="1085">
        <v>16</v>
      </c>
      <c r="AZ44" s="1084">
        <v>0.34</v>
      </c>
      <c r="BA44" s="1736">
        <v>0.69</v>
      </c>
      <c r="BB44" s="1742">
        <f t="shared" si="21"/>
        <v>2.0294117647058822</v>
      </c>
      <c r="BC44" s="1049"/>
      <c r="BD44" s="1051"/>
      <c r="BE44" s="1049"/>
      <c r="BF44" s="1058" t="s">
        <v>1126</v>
      </c>
      <c r="BG44" s="1893">
        <v>15</v>
      </c>
      <c r="BH44" s="1872">
        <v>16</v>
      </c>
      <c r="BI44" s="1864">
        <v>0.41</v>
      </c>
      <c r="BJ44" s="1884">
        <v>0.39</v>
      </c>
      <c r="BK44" s="1049"/>
      <c r="BL44" s="1058" t="s">
        <v>1126</v>
      </c>
      <c r="BM44" s="1086">
        <v>15</v>
      </c>
      <c r="BN44" s="1085">
        <v>16</v>
      </c>
      <c r="BO44" s="1084">
        <v>0.3</v>
      </c>
      <c r="BP44" s="1084"/>
      <c r="BQ44" s="1049"/>
    </row>
    <row r="45" spans="1:69" ht="15" thickBot="1">
      <c r="A45" s="1049"/>
      <c r="B45" s="1060"/>
      <c r="C45" s="1077">
        <v>16</v>
      </c>
      <c r="D45" s="1076">
        <v>17</v>
      </c>
      <c r="E45" s="1083">
        <v>0.52</v>
      </c>
      <c r="F45" s="1082">
        <v>1.5</v>
      </c>
      <c r="G45" s="1081">
        <f t="shared" si="11"/>
        <v>2.8846153846153846</v>
      </c>
      <c r="H45" s="1049"/>
      <c r="I45" s="1060"/>
      <c r="J45" s="1077">
        <v>16</v>
      </c>
      <c r="K45" s="1076">
        <v>17</v>
      </c>
      <c r="L45" s="1075">
        <v>0.62</v>
      </c>
      <c r="M45" s="1080">
        <v>1.59</v>
      </c>
      <c r="N45" s="1079">
        <f t="shared" si="12"/>
        <v>2.564516129032258</v>
      </c>
      <c r="O45" s="1049"/>
      <c r="P45" s="1078">
        <f>P31*(X28-0.8)</f>
        <v>90.544089999999969</v>
      </c>
      <c r="Q45" s="1077">
        <v>16</v>
      </c>
      <c r="R45" s="1076">
        <v>17</v>
      </c>
      <c r="S45" s="1075">
        <v>1.847</v>
      </c>
      <c r="T45" s="1054">
        <f t="shared" si="13"/>
        <v>5.3193599999999996</v>
      </c>
      <c r="U45" s="1140">
        <v>7.01</v>
      </c>
      <c r="V45" s="1052">
        <f t="shared" si="14"/>
        <v>3.7953438007579861</v>
      </c>
      <c r="W45" s="1049"/>
      <c r="X45" s="1074">
        <v>2.88</v>
      </c>
      <c r="Y45" s="1049"/>
      <c r="Z45" s="1050">
        <f t="shared" si="15"/>
        <v>3.8417600000000003</v>
      </c>
      <c r="AA45" s="1078">
        <f>AA31*(AI28-0.8)</f>
        <v>27.992440000000006</v>
      </c>
      <c r="AB45" s="1077">
        <v>16</v>
      </c>
      <c r="AC45" s="1076">
        <v>17</v>
      </c>
      <c r="AD45" s="1075">
        <v>2.3359999999999999</v>
      </c>
      <c r="AE45" s="1153">
        <f t="shared" si="16"/>
        <v>3.8543999999999996</v>
      </c>
      <c r="AF45" s="1140">
        <v>5.46</v>
      </c>
      <c r="AG45" s="1113">
        <f t="shared" si="17"/>
        <v>2.3373287671232879</v>
      </c>
      <c r="AH45" s="1049"/>
      <c r="AI45" s="1074">
        <v>1.65</v>
      </c>
      <c r="AJ45" s="1049"/>
      <c r="AK45" s="1152">
        <f t="shared" si="18"/>
        <v>1.9855999999999996</v>
      </c>
      <c r="AL45" s="1049"/>
      <c r="AM45" s="1078" t="e">
        <f>AM31*(AU28-0.8)</f>
        <v>#DIV/0!</v>
      </c>
      <c r="AN45" s="1077">
        <v>16</v>
      </c>
      <c r="AO45" s="1076">
        <v>17</v>
      </c>
      <c r="AP45" s="1075">
        <v>0.59</v>
      </c>
      <c r="AQ45" s="1738">
        <f t="shared" si="19"/>
        <v>0</v>
      </c>
      <c r="AR45" s="1743">
        <v>1.4</v>
      </c>
      <c r="AS45" s="1113">
        <f t="shared" si="20"/>
        <v>2.3728813559322033</v>
      </c>
      <c r="AT45" s="1049"/>
      <c r="AU45" s="1074"/>
      <c r="AV45" s="1049"/>
      <c r="AW45" s="1078" t="e">
        <f>AW31*(BD28-0.8)</f>
        <v>#DIV/0!</v>
      </c>
      <c r="AX45" s="1077">
        <v>16</v>
      </c>
      <c r="AY45" s="1076">
        <v>17</v>
      </c>
      <c r="AZ45" s="1075">
        <v>0.28000000000000003</v>
      </c>
      <c r="BA45" s="1738">
        <v>0.63</v>
      </c>
      <c r="BB45" s="1743">
        <f t="shared" si="21"/>
        <v>2.25</v>
      </c>
      <c r="BC45" s="1049"/>
      <c r="BD45" s="1074"/>
      <c r="BE45" s="1049"/>
      <c r="BF45" s="1078">
        <f>BF31*(BM28-0.8)</f>
        <v>-6.0960000000000001</v>
      </c>
      <c r="BG45" s="1893">
        <v>16</v>
      </c>
      <c r="BH45" s="1872">
        <v>17</v>
      </c>
      <c r="BI45" s="1864">
        <v>0.27</v>
      </c>
      <c r="BJ45" s="1884">
        <v>0.3</v>
      </c>
      <c r="BK45" s="1049"/>
      <c r="BL45" s="1078">
        <f>BL31*(BS28-0.8)</f>
        <v>-5.4240000000000013</v>
      </c>
      <c r="BM45" s="1077">
        <v>16</v>
      </c>
      <c r="BN45" s="1076">
        <v>17</v>
      </c>
      <c r="BO45" s="1075">
        <v>0.25</v>
      </c>
      <c r="BP45" s="1075"/>
      <c r="BQ45" s="1049"/>
    </row>
    <row r="46" spans="1:69" ht="14.4">
      <c r="A46" s="1049"/>
      <c r="B46" s="1060"/>
      <c r="C46" s="1068">
        <v>17</v>
      </c>
      <c r="D46" s="1067">
        <v>18</v>
      </c>
      <c r="E46" s="1073">
        <v>0.68</v>
      </c>
      <c r="F46" s="1072">
        <v>2.36</v>
      </c>
      <c r="G46" s="1071">
        <f t="shared" si="11"/>
        <v>3.4705882352941173</v>
      </c>
      <c r="H46" s="1049"/>
      <c r="I46" s="1060"/>
      <c r="J46" s="1068">
        <v>17</v>
      </c>
      <c r="K46" s="1067">
        <v>18</v>
      </c>
      <c r="L46" s="1066">
        <v>2.21</v>
      </c>
      <c r="M46" s="1070">
        <v>8.31</v>
      </c>
      <c r="N46" s="1069">
        <f t="shared" si="12"/>
        <v>3.7601809954751135</v>
      </c>
      <c r="O46" s="1049"/>
      <c r="P46" s="1058"/>
      <c r="Q46" s="1068">
        <v>17</v>
      </c>
      <c r="R46" s="1067">
        <v>18</v>
      </c>
      <c r="S46" s="1066">
        <v>1.8029999999999999</v>
      </c>
      <c r="T46" s="1054">
        <f t="shared" si="13"/>
        <v>6.6530699999999996</v>
      </c>
      <c r="U46" s="1138">
        <v>8.32</v>
      </c>
      <c r="V46" s="1052">
        <f t="shared" si="14"/>
        <v>4.6145313366611207</v>
      </c>
      <c r="W46" s="1049"/>
      <c r="X46" s="1065">
        <v>3.69</v>
      </c>
      <c r="Y46" s="1049"/>
      <c r="Z46" s="1050">
        <f t="shared" si="15"/>
        <v>5.2106699999999995</v>
      </c>
      <c r="AA46" s="1058"/>
      <c r="AB46" s="1068">
        <v>17</v>
      </c>
      <c r="AC46" s="1067">
        <v>18</v>
      </c>
      <c r="AD46" s="1066">
        <v>2.399</v>
      </c>
      <c r="AE46" s="1151">
        <f t="shared" si="16"/>
        <v>4.10229</v>
      </c>
      <c r="AF46" s="1138">
        <v>7.64</v>
      </c>
      <c r="AG46" s="1069">
        <f t="shared" si="17"/>
        <v>3.1846602751146311</v>
      </c>
      <c r="AH46" s="1049"/>
      <c r="AI46" s="1065">
        <v>1.71</v>
      </c>
      <c r="AJ46" s="1049"/>
      <c r="AK46" s="1050">
        <f t="shared" si="18"/>
        <v>2.18309</v>
      </c>
      <c r="AL46" s="1049"/>
      <c r="AM46" s="1058"/>
      <c r="AN46" s="1068">
        <v>17</v>
      </c>
      <c r="AO46" s="1067">
        <v>18</v>
      </c>
      <c r="AP46" s="1066">
        <v>0.45</v>
      </c>
      <c r="AQ46" s="1740">
        <f t="shared" si="19"/>
        <v>0</v>
      </c>
      <c r="AR46" s="1744">
        <v>1.47</v>
      </c>
      <c r="AS46" s="1069">
        <f t="shared" si="20"/>
        <v>3.2666666666666666</v>
      </c>
      <c r="AT46" s="1049"/>
      <c r="AU46" s="1065"/>
      <c r="AV46" s="1049"/>
      <c r="AW46" s="1058"/>
      <c r="AX46" s="1068">
        <v>17</v>
      </c>
      <c r="AY46" s="1067">
        <v>18</v>
      </c>
      <c r="AZ46" s="1066">
        <v>0.77</v>
      </c>
      <c r="BA46" s="1740">
        <v>2.4300000000000002</v>
      </c>
      <c r="BB46" s="1744">
        <f t="shared" si="21"/>
        <v>3.1558441558441559</v>
      </c>
      <c r="BC46" s="1049"/>
      <c r="BD46" s="1065"/>
      <c r="BE46" s="1049"/>
      <c r="BF46" s="1058"/>
      <c r="BG46" s="1894">
        <v>17</v>
      </c>
      <c r="BH46" s="1895">
        <v>18</v>
      </c>
      <c r="BI46" s="1896">
        <v>1.5</v>
      </c>
      <c r="BJ46" s="1888">
        <v>1.82</v>
      </c>
      <c r="BK46" s="1049"/>
      <c r="BL46" s="1058"/>
      <c r="BM46" s="1068">
        <v>17</v>
      </c>
      <c r="BN46" s="1067">
        <v>18</v>
      </c>
      <c r="BO46" s="1066">
        <v>0.67</v>
      </c>
      <c r="BP46" s="1066"/>
      <c r="BQ46" s="1049"/>
    </row>
    <row r="47" spans="1:69" ht="14.4">
      <c r="A47" s="1049"/>
      <c r="B47" s="1060"/>
      <c r="C47" s="1057">
        <v>18</v>
      </c>
      <c r="D47" s="1056">
        <v>19</v>
      </c>
      <c r="E47" s="1063">
        <v>0.6</v>
      </c>
      <c r="F47" s="1062">
        <v>2.08</v>
      </c>
      <c r="G47" s="1061">
        <f t="shared" si="11"/>
        <v>3.4666666666666668</v>
      </c>
      <c r="H47" s="1049"/>
      <c r="I47" s="1060"/>
      <c r="J47" s="1057">
        <v>18</v>
      </c>
      <c r="K47" s="1056">
        <v>19</v>
      </c>
      <c r="L47" s="1055">
        <v>0.57999999999999996</v>
      </c>
      <c r="M47" s="1059">
        <v>2.13</v>
      </c>
      <c r="N47" s="1052">
        <f t="shared" si="12"/>
        <v>3.6724137931034484</v>
      </c>
      <c r="O47" s="1049"/>
      <c r="P47" s="1058"/>
      <c r="Q47" s="1057">
        <v>18</v>
      </c>
      <c r="R47" s="1056">
        <v>19</v>
      </c>
      <c r="S47" s="1055">
        <v>1.514</v>
      </c>
      <c r="T47" s="1054">
        <f t="shared" si="13"/>
        <v>4.9659199999999997</v>
      </c>
      <c r="U47" s="1136">
        <v>6.37</v>
      </c>
      <c r="V47" s="1052">
        <f t="shared" si="14"/>
        <v>4.2073976221928664</v>
      </c>
      <c r="W47" s="1049"/>
      <c r="X47" s="1051">
        <v>3.28</v>
      </c>
      <c r="Y47" s="1049"/>
      <c r="Z47" s="1050">
        <f t="shared" si="15"/>
        <v>3.7547199999999994</v>
      </c>
      <c r="AA47" s="1058"/>
      <c r="AB47" s="1057">
        <v>18</v>
      </c>
      <c r="AC47" s="1056">
        <v>19</v>
      </c>
      <c r="AD47" s="1055">
        <v>2.5230000000000001</v>
      </c>
      <c r="AE47" s="1054">
        <f t="shared" si="16"/>
        <v>4.44048</v>
      </c>
      <c r="AF47" s="1136">
        <v>8.14</v>
      </c>
      <c r="AG47" s="1052">
        <f t="shared" si="17"/>
        <v>3.2263178755449862</v>
      </c>
      <c r="AH47" s="1049"/>
      <c r="AI47" s="1051">
        <v>1.76</v>
      </c>
      <c r="AJ47" s="1049"/>
      <c r="AK47" s="1050">
        <f t="shared" si="18"/>
        <v>2.4220800000000002</v>
      </c>
      <c r="AL47" s="1049"/>
      <c r="AM47" s="1058"/>
      <c r="AN47" s="1057">
        <v>18</v>
      </c>
      <c r="AO47" s="1056">
        <v>19</v>
      </c>
      <c r="AP47" s="1055">
        <v>0.71</v>
      </c>
      <c r="AQ47" s="1736">
        <f t="shared" si="19"/>
        <v>0</v>
      </c>
      <c r="AR47" s="1737">
        <v>2.35</v>
      </c>
      <c r="AS47" s="1052">
        <f t="shared" si="20"/>
        <v>3.3098591549295779</v>
      </c>
      <c r="AT47" s="1049"/>
      <c r="AU47" s="1051"/>
      <c r="AV47" s="1049"/>
      <c r="AW47" s="1058"/>
      <c r="AX47" s="1057">
        <v>18</v>
      </c>
      <c r="AY47" s="1056">
        <v>19</v>
      </c>
      <c r="AZ47" s="1055">
        <v>0.39</v>
      </c>
      <c r="BA47" s="1736">
        <v>1.3</v>
      </c>
      <c r="BB47" s="1737">
        <f t="shared" si="21"/>
        <v>3.3333333333333335</v>
      </c>
      <c r="BC47" s="1049"/>
      <c r="BD47" s="1051"/>
      <c r="BE47" s="1049"/>
      <c r="BF47" s="1058"/>
      <c r="BG47" s="1899">
        <v>18</v>
      </c>
      <c r="BH47" s="1900">
        <v>19</v>
      </c>
      <c r="BI47" s="1901">
        <v>0.39</v>
      </c>
      <c r="BJ47" s="1882">
        <v>0.69</v>
      </c>
      <c r="BK47" s="1049"/>
      <c r="BL47" s="1058"/>
      <c r="BM47" s="1057">
        <v>18</v>
      </c>
      <c r="BN47" s="1056">
        <v>19</v>
      </c>
      <c r="BO47" s="1055">
        <v>0.99</v>
      </c>
      <c r="BP47" s="1055"/>
      <c r="BQ47" s="1049"/>
    </row>
    <row r="48" spans="1:69" ht="14.4">
      <c r="A48" s="1049"/>
      <c r="B48" s="1060"/>
      <c r="C48" s="1057">
        <v>19</v>
      </c>
      <c r="D48" s="1056">
        <v>20</v>
      </c>
      <c r="E48" s="1063">
        <v>0.75</v>
      </c>
      <c r="F48" s="1062">
        <v>2.61</v>
      </c>
      <c r="G48" s="1061">
        <f t="shared" si="11"/>
        <v>3.48</v>
      </c>
      <c r="H48" s="1049"/>
      <c r="I48" s="1060"/>
      <c r="J48" s="1057">
        <v>19</v>
      </c>
      <c r="K48" s="1056">
        <v>20</v>
      </c>
      <c r="L48" s="1055">
        <v>0.49</v>
      </c>
      <c r="M48" s="1059">
        <v>1.64</v>
      </c>
      <c r="N48" s="1052">
        <f t="shared" si="12"/>
        <v>3.3469387755102038</v>
      </c>
      <c r="O48" s="1049"/>
      <c r="P48" s="1058"/>
      <c r="Q48" s="1057">
        <v>19</v>
      </c>
      <c r="R48" s="1056">
        <v>20</v>
      </c>
      <c r="S48" s="1055">
        <v>1.47</v>
      </c>
      <c r="T48" s="1054">
        <f t="shared" si="13"/>
        <v>4.5423</v>
      </c>
      <c r="U48" s="1136">
        <v>5.89</v>
      </c>
      <c r="V48" s="1052">
        <f t="shared" si="14"/>
        <v>4.0068027210884356</v>
      </c>
      <c r="W48" s="1049"/>
      <c r="X48" s="1051">
        <v>3.09</v>
      </c>
      <c r="Y48" s="1049"/>
      <c r="Z48" s="1050">
        <f t="shared" si="15"/>
        <v>3.3662999999999998</v>
      </c>
      <c r="AA48" s="1058"/>
      <c r="AB48" s="1057">
        <v>19</v>
      </c>
      <c r="AC48" s="1056">
        <v>20</v>
      </c>
      <c r="AD48" s="1055">
        <v>2.919</v>
      </c>
      <c r="AE48" s="1054">
        <f t="shared" si="16"/>
        <v>4.8455399999999997</v>
      </c>
      <c r="AF48" s="1136">
        <v>9.14</v>
      </c>
      <c r="AG48" s="1052">
        <f t="shared" si="17"/>
        <v>3.1312093182596783</v>
      </c>
      <c r="AH48" s="1049"/>
      <c r="AI48" s="1051">
        <v>1.66</v>
      </c>
      <c r="AJ48" s="1049"/>
      <c r="AK48" s="1050">
        <f t="shared" si="18"/>
        <v>2.5103399999999998</v>
      </c>
      <c r="AL48" s="1049"/>
      <c r="AM48" s="1058"/>
      <c r="AN48" s="1057">
        <v>19</v>
      </c>
      <c r="AO48" s="1056">
        <v>20</v>
      </c>
      <c r="AP48" s="1055">
        <v>0.53</v>
      </c>
      <c r="AQ48" s="1736">
        <f t="shared" si="19"/>
        <v>0</v>
      </c>
      <c r="AR48" s="1737">
        <v>1.7</v>
      </c>
      <c r="AS48" s="1052">
        <f t="shared" si="20"/>
        <v>3.2075471698113205</v>
      </c>
      <c r="AT48" s="1049"/>
      <c r="AU48" s="1051"/>
      <c r="AV48" s="1049"/>
      <c r="AW48" s="1058"/>
      <c r="AX48" s="1057">
        <v>19</v>
      </c>
      <c r="AY48" s="1056">
        <v>20</v>
      </c>
      <c r="AZ48" s="1055">
        <v>0.38</v>
      </c>
      <c r="BA48" s="1736">
        <v>1.17</v>
      </c>
      <c r="BB48" s="1737">
        <f t="shared" si="21"/>
        <v>3.0789473684210522</v>
      </c>
      <c r="BC48" s="1049"/>
      <c r="BD48" s="1051"/>
      <c r="BE48" s="1049"/>
      <c r="BF48" s="1058"/>
      <c r="BG48" s="1902">
        <v>19</v>
      </c>
      <c r="BH48" s="1873">
        <v>20</v>
      </c>
      <c r="BI48" s="1863">
        <v>0.32</v>
      </c>
      <c r="BJ48" s="1884">
        <v>0.65</v>
      </c>
      <c r="BK48" s="1049"/>
      <c r="BL48" s="1058"/>
      <c r="BM48" s="1057">
        <v>19</v>
      </c>
      <c r="BN48" s="1056">
        <v>20</v>
      </c>
      <c r="BO48" s="1055">
        <v>0.32</v>
      </c>
      <c r="BP48" s="1055"/>
      <c r="BQ48" s="1049"/>
    </row>
    <row r="49" spans="1:69" ht="14.4">
      <c r="A49" s="1049"/>
      <c r="B49" s="1060"/>
      <c r="C49" s="1057">
        <v>20</v>
      </c>
      <c r="D49" s="1056">
        <v>21</v>
      </c>
      <c r="E49" s="1063">
        <v>0.61</v>
      </c>
      <c r="F49" s="1062">
        <v>1.76</v>
      </c>
      <c r="G49" s="1061">
        <f t="shared" si="11"/>
        <v>2.8852459016393444</v>
      </c>
      <c r="H49" s="1049"/>
      <c r="I49" s="1060"/>
      <c r="J49" s="1057">
        <v>20</v>
      </c>
      <c r="K49" s="1056">
        <v>21</v>
      </c>
      <c r="L49" s="1055">
        <v>0.45</v>
      </c>
      <c r="M49" s="1059">
        <v>1.1399999999999999</v>
      </c>
      <c r="N49" s="1052">
        <f t="shared" si="12"/>
        <v>2.5333333333333332</v>
      </c>
      <c r="O49" s="1049"/>
      <c r="P49" s="1058"/>
      <c r="Q49" s="1057">
        <v>20</v>
      </c>
      <c r="R49" s="1056">
        <v>21</v>
      </c>
      <c r="S49" s="1055">
        <v>1.5449999999999999</v>
      </c>
      <c r="T49" s="1054">
        <f t="shared" si="13"/>
        <v>4.0324499999999999</v>
      </c>
      <c r="U49" s="1136">
        <v>5.44</v>
      </c>
      <c r="V49" s="1052">
        <f t="shared" si="14"/>
        <v>3.521035598705502</v>
      </c>
      <c r="W49" s="1049"/>
      <c r="X49" s="1051">
        <v>2.61</v>
      </c>
      <c r="Y49" s="1049"/>
      <c r="Z49" s="1050">
        <f t="shared" si="15"/>
        <v>2.7964499999999997</v>
      </c>
      <c r="AA49" s="1058"/>
      <c r="AB49" s="1057">
        <v>20</v>
      </c>
      <c r="AC49" s="1056">
        <v>21</v>
      </c>
      <c r="AD49" s="1055">
        <v>2.92</v>
      </c>
      <c r="AE49" s="1054">
        <f t="shared" si="16"/>
        <v>4.5259999999999998</v>
      </c>
      <c r="AF49" s="1136">
        <v>6.55</v>
      </c>
      <c r="AG49" s="1052">
        <f t="shared" si="17"/>
        <v>2.243150684931507</v>
      </c>
      <c r="AH49" s="1049"/>
      <c r="AI49" s="1051">
        <v>1.55</v>
      </c>
      <c r="AJ49" s="1049"/>
      <c r="AK49" s="1050">
        <f t="shared" si="18"/>
        <v>2.19</v>
      </c>
      <c r="AL49" s="1049"/>
      <c r="AM49" s="1058"/>
      <c r="AN49" s="1057">
        <v>20</v>
      </c>
      <c r="AO49" s="1056">
        <v>21</v>
      </c>
      <c r="AP49" s="1055">
        <v>0.4</v>
      </c>
      <c r="AQ49" s="1736">
        <f t="shared" si="19"/>
        <v>0</v>
      </c>
      <c r="AR49" s="1737">
        <v>0.86</v>
      </c>
      <c r="AS49" s="1052">
        <f t="shared" si="20"/>
        <v>2.15</v>
      </c>
      <c r="AT49" s="1049"/>
      <c r="AU49" s="1051"/>
      <c r="AV49" s="1049"/>
      <c r="AW49" s="1058"/>
      <c r="AX49" s="1057">
        <v>20</v>
      </c>
      <c r="AY49" s="1056">
        <v>21</v>
      </c>
      <c r="AZ49" s="1055">
        <v>0.28000000000000003</v>
      </c>
      <c r="BA49" s="1736">
        <v>0.63</v>
      </c>
      <c r="BB49" s="1737">
        <f t="shared" si="21"/>
        <v>2.25</v>
      </c>
      <c r="BC49" s="1049"/>
      <c r="BD49" s="1051"/>
      <c r="BE49" s="1049"/>
      <c r="BF49" s="1058"/>
      <c r="BG49" s="1902">
        <v>20</v>
      </c>
      <c r="BH49" s="1873">
        <v>21</v>
      </c>
      <c r="BI49" s="1863">
        <v>0.54</v>
      </c>
      <c r="BJ49" s="1884">
        <v>1.1100000000000001</v>
      </c>
      <c r="BK49" s="1049"/>
      <c r="BL49" s="1058"/>
      <c r="BM49" s="1057">
        <v>20</v>
      </c>
      <c r="BN49" s="1056">
        <v>21</v>
      </c>
      <c r="BO49" s="1055">
        <v>0.32</v>
      </c>
      <c r="BP49" s="1055"/>
      <c r="BQ49" s="1049"/>
    </row>
    <row r="50" spans="1:69" ht="14.4">
      <c r="A50" s="1049"/>
      <c r="B50" s="1060"/>
      <c r="C50" s="1057">
        <v>21</v>
      </c>
      <c r="D50" s="1056">
        <v>22</v>
      </c>
      <c r="E50" s="1063">
        <v>0.5</v>
      </c>
      <c r="F50" s="1062">
        <v>1.44</v>
      </c>
      <c r="G50" s="1061">
        <f t="shared" si="11"/>
        <v>2.88</v>
      </c>
      <c r="H50" s="1049"/>
      <c r="I50" s="1060"/>
      <c r="J50" s="1057">
        <v>21</v>
      </c>
      <c r="K50" s="1056">
        <v>22</v>
      </c>
      <c r="L50" s="1055">
        <v>0.39</v>
      </c>
      <c r="M50" s="1059">
        <v>0.95</v>
      </c>
      <c r="N50" s="1052">
        <f t="shared" si="12"/>
        <v>2.4358974358974357</v>
      </c>
      <c r="O50" s="1049"/>
      <c r="P50" s="1058"/>
      <c r="Q50" s="1057">
        <v>21</v>
      </c>
      <c r="R50" s="1056">
        <v>22</v>
      </c>
      <c r="S50" s="1055">
        <v>1.7729999999999999</v>
      </c>
      <c r="T50" s="1054">
        <f t="shared" si="13"/>
        <v>5.0353199999999996</v>
      </c>
      <c r="U50" s="1136">
        <v>6.66</v>
      </c>
      <c r="V50" s="1052">
        <f t="shared" si="14"/>
        <v>3.7563451776649748</v>
      </c>
      <c r="W50" s="1049"/>
      <c r="X50" s="1051">
        <v>2.84</v>
      </c>
      <c r="Y50" s="1049"/>
      <c r="Z50" s="1050">
        <f t="shared" si="15"/>
        <v>3.6169199999999999</v>
      </c>
      <c r="AA50" s="1058"/>
      <c r="AB50" s="1057">
        <v>21</v>
      </c>
      <c r="AC50" s="1056">
        <v>22</v>
      </c>
      <c r="AD50" s="1055">
        <v>2.8980000000000001</v>
      </c>
      <c r="AE50" s="1054">
        <f t="shared" si="16"/>
        <v>4.2020999999999997</v>
      </c>
      <c r="AF50" s="1136">
        <v>6.2</v>
      </c>
      <c r="AG50" s="1052">
        <f t="shared" si="17"/>
        <v>2.139406487232574</v>
      </c>
      <c r="AH50" s="1049"/>
      <c r="AI50" s="1051">
        <v>1.45</v>
      </c>
      <c r="AJ50" s="1049"/>
      <c r="AK50" s="1050">
        <f t="shared" si="18"/>
        <v>1.8836999999999999</v>
      </c>
      <c r="AL50" s="1049"/>
      <c r="AM50" s="1058"/>
      <c r="AN50" s="1057">
        <v>21</v>
      </c>
      <c r="AO50" s="1056">
        <v>22</v>
      </c>
      <c r="AP50" s="1055">
        <v>0.27</v>
      </c>
      <c r="AQ50" s="1736">
        <f t="shared" si="19"/>
        <v>0</v>
      </c>
      <c r="AR50" s="1737">
        <v>0.57999999999999996</v>
      </c>
      <c r="AS50" s="1052">
        <f t="shared" si="20"/>
        <v>2.1481481481481479</v>
      </c>
      <c r="AT50" s="1049"/>
      <c r="AU50" s="1051"/>
      <c r="AV50" s="1049"/>
      <c r="AW50" s="1058"/>
      <c r="AX50" s="1057">
        <v>21</v>
      </c>
      <c r="AY50" s="1056">
        <v>22</v>
      </c>
      <c r="AZ50" s="1055">
        <v>0.2</v>
      </c>
      <c r="BA50" s="1736">
        <v>0.46</v>
      </c>
      <c r="BB50" s="1737">
        <f t="shared" si="21"/>
        <v>2.2999999999999998</v>
      </c>
      <c r="BC50" s="1049"/>
      <c r="BD50" s="1051"/>
      <c r="BE50" s="1049"/>
      <c r="BF50" s="1058"/>
      <c r="BG50" s="1902">
        <v>21</v>
      </c>
      <c r="BH50" s="1873">
        <v>22</v>
      </c>
      <c r="BI50" s="1863">
        <v>0.42</v>
      </c>
      <c r="BJ50" s="1884">
        <v>0.82</v>
      </c>
      <c r="BK50" s="1049"/>
      <c r="BL50" s="1058"/>
      <c r="BM50" s="1057">
        <v>21</v>
      </c>
      <c r="BN50" s="1056">
        <v>22</v>
      </c>
      <c r="BO50" s="1055">
        <v>0.25</v>
      </c>
      <c r="BP50" s="1055"/>
      <c r="BQ50" s="1049"/>
    </row>
    <row r="51" spans="1:69" ht="14.4">
      <c r="A51" s="1049"/>
      <c r="B51" s="1060"/>
      <c r="C51" s="1057">
        <v>22</v>
      </c>
      <c r="D51" s="1056">
        <v>23</v>
      </c>
      <c r="E51" s="1063">
        <v>0.46</v>
      </c>
      <c r="F51" s="1062">
        <v>1.31</v>
      </c>
      <c r="G51" s="1061">
        <f t="shared" si="11"/>
        <v>2.847826086956522</v>
      </c>
      <c r="H51" s="1049"/>
      <c r="I51" s="1060"/>
      <c r="J51" s="1057">
        <v>22</v>
      </c>
      <c r="K51" s="1056">
        <v>23</v>
      </c>
      <c r="L51" s="1055">
        <v>0.3</v>
      </c>
      <c r="M51" s="1059">
        <v>0.74</v>
      </c>
      <c r="N51" s="1052">
        <f t="shared" si="12"/>
        <v>2.4666666666666668</v>
      </c>
      <c r="O51" s="1049"/>
      <c r="P51" s="1058"/>
      <c r="Q51" s="1057">
        <v>22</v>
      </c>
      <c r="R51" s="1056">
        <v>23</v>
      </c>
      <c r="S51" s="1055">
        <v>1.8009999999999999</v>
      </c>
      <c r="T51" s="1054">
        <f t="shared" si="13"/>
        <v>4.9887699999999997</v>
      </c>
      <c r="U51" s="1136">
        <v>6.64</v>
      </c>
      <c r="V51" s="1052">
        <f t="shared" si="14"/>
        <v>3.6868406440866184</v>
      </c>
      <c r="W51" s="1049"/>
      <c r="X51" s="1051">
        <v>2.77</v>
      </c>
      <c r="Y51" s="1049"/>
      <c r="Z51" s="1050">
        <f t="shared" si="15"/>
        <v>3.5479699999999998</v>
      </c>
      <c r="AA51" s="1058"/>
      <c r="AB51" s="1057">
        <v>22</v>
      </c>
      <c r="AC51" s="1056">
        <v>23</v>
      </c>
      <c r="AD51" s="1055">
        <v>2.794</v>
      </c>
      <c r="AE51" s="1054">
        <f t="shared" si="16"/>
        <v>3.8836599999999999</v>
      </c>
      <c r="AF51" s="1136">
        <v>5.8</v>
      </c>
      <c r="AG51" s="1052">
        <f t="shared" si="17"/>
        <v>2.0758768790264854</v>
      </c>
      <c r="AH51" s="1049"/>
      <c r="AI51" s="1051">
        <v>1.39</v>
      </c>
      <c r="AJ51" s="1049"/>
      <c r="AK51" s="1050">
        <f t="shared" si="18"/>
        <v>1.6484599999999996</v>
      </c>
      <c r="AL51" s="1049"/>
      <c r="AM51" s="1058"/>
      <c r="AN51" s="1057">
        <v>22</v>
      </c>
      <c r="AO51" s="1056">
        <v>23</v>
      </c>
      <c r="AP51" s="1055">
        <v>0.18</v>
      </c>
      <c r="AQ51" s="1736">
        <f t="shared" si="19"/>
        <v>0</v>
      </c>
      <c r="AR51" s="1737">
        <v>0.37</v>
      </c>
      <c r="AS51" s="1052">
        <f t="shared" si="20"/>
        <v>2.0555555555555558</v>
      </c>
      <c r="AT51" s="1049"/>
      <c r="AU51" s="1051"/>
      <c r="AV51" s="1049"/>
      <c r="AW51" s="1058"/>
      <c r="AX51" s="1057">
        <v>22</v>
      </c>
      <c r="AY51" s="1056">
        <v>23</v>
      </c>
      <c r="AZ51" s="1055">
        <v>0.25</v>
      </c>
      <c r="BA51" s="1736">
        <v>0.54</v>
      </c>
      <c r="BB51" s="1737">
        <f t="shared" si="21"/>
        <v>2.16</v>
      </c>
      <c r="BC51" s="1049"/>
      <c r="BD51" s="1051"/>
      <c r="BE51" s="1049"/>
      <c r="BF51" s="1058"/>
      <c r="BG51" s="1902">
        <v>22</v>
      </c>
      <c r="BH51" s="1873">
        <v>23</v>
      </c>
      <c r="BI51" s="1863">
        <v>0.21</v>
      </c>
      <c r="BJ51" s="1884">
        <v>0.39</v>
      </c>
      <c r="BK51" s="1049"/>
      <c r="BL51" s="1058"/>
      <c r="BM51" s="1057">
        <v>22</v>
      </c>
      <c r="BN51" s="1056">
        <v>23</v>
      </c>
      <c r="BO51" s="1055">
        <v>0.14000000000000001</v>
      </c>
      <c r="BP51" s="1055"/>
      <c r="BQ51" s="1049"/>
    </row>
    <row r="52" spans="1:69" ht="14.4">
      <c r="A52" s="1049"/>
      <c r="B52" s="1060"/>
      <c r="C52" s="1057">
        <v>23</v>
      </c>
      <c r="D52" s="1056">
        <v>24</v>
      </c>
      <c r="E52" s="1063">
        <v>0.33</v>
      </c>
      <c r="F52" s="1062">
        <v>0.96</v>
      </c>
      <c r="G52" s="1061">
        <f t="shared" si="11"/>
        <v>2.9090909090909087</v>
      </c>
      <c r="H52" s="1049"/>
      <c r="I52" s="1060"/>
      <c r="J52" s="1057">
        <v>23</v>
      </c>
      <c r="K52" s="1056">
        <v>24</v>
      </c>
      <c r="L52" s="1055">
        <v>0.21</v>
      </c>
      <c r="M52" s="1059">
        <v>0.5</v>
      </c>
      <c r="N52" s="1052">
        <f t="shared" si="12"/>
        <v>2.3809523809523809</v>
      </c>
      <c r="O52" s="1049"/>
      <c r="P52" s="1058"/>
      <c r="Q52" s="1057">
        <v>23</v>
      </c>
      <c r="R52" s="1056">
        <v>24</v>
      </c>
      <c r="S52" s="1055">
        <v>1.476</v>
      </c>
      <c r="T52" s="1054">
        <f t="shared" si="13"/>
        <v>3.7933199999999996</v>
      </c>
      <c r="U52" s="1136">
        <v>5.14</v>
      </c>
      <c r="V52" s="1052">
        <f t="shared" si="14"/>
        <v>3.4823848238482382</v>
      </c>
      <c r="W52" s="1049"/>
      <c r="X52" s="1051">
        <v>2.57</v>
      </c>
      <c r="Y52" s="1049"/>
      <c r="Z52" s="1050">
        <f t="shared" si="15"/>
        <v>2.6125199999999995</v>
      </c>
      <c r="AA52" s="1058"/>
      <c r="AB52" s="1057">
        <v>23</v>
      </c>
      <c r="AC52" s="1056">
        <v>24</v>
      </c>
      <c r="AD52" s="1055">
        <v>2.7389999999999999</v>
      </c>
      <c r="AE52" s="1054">
        <f t="shared" si="16"/>
        <v>3.5333099999999997</v>
      </c>
      <c r="AF52" s="1136">
        <v>5.42</v>
      </c>
      <c r="AG52" s="1052">
        <f t="shared" si="17"/>
        <v>1.9788243884629428</v>
      </c>
      <c r="AH52" s="1049"/>
      <c r="AI52" s="1051">
        <v>1.29</v>
      </c>
      <c r="AJ52" s="1049"/>
      <c r="AK52" s="1050">
        <f t="shared" si="18"/>
        <v>1.3421099999999999</v>
      </c>
      <c r="AL52" s="1049"/>
      <c r="AM52" s="1058"/>
      <c r="AN52" s="1057">
        <v>23</v>
      </c>
      <c r="AO52" s="1056">
        <v>24</v>
      </c>
      <c r="AP52" s="1055">
        <v>0.18</v>
      </c>
      <c r="AQ52" s="1736">
        <f t="shared" si="19"/>
        <v>0</v>
      </c>
      <c r="AR52" s="1737">
        <v>0.32</v>
      </c>
      <c r="AS52" s="1052">
        <f t="shared" si="20"/>
        <v>1.7777777777777779</v>
      </c>
      <c r="AT52" s="1049"/>
      <c r="AU52" s="1051"/>
      <c r="AV52" s="1049"/>
      <c r="AW52" s="1058"/>
      <c r="AX52" s="1057">
        <v>23</v>
      </c>
      <c r="AY52" s="1056">
        <v>24</v>
      </c>
      <c r="AZ52" s="1055">
        <v>0.12</v>
      </c>
      <c r="BA52" s="1736">
        <v>0.25</v>
      </c>
      <c r="BB52" s="1737">
        <f t="shared" si="21"/>
        <v>2.0833333333333335</v>
      </c>
      <c r="BC52" s="1049"/>
      <c r="BD52" s="1051"/>
      <c r="BE52" s="1049"/>
      <c r="BF52" s="1058"/>
      <c r="BG52" s="1903">
        <v>23</v>
      </c>
      <c r="BH52" s="1904">
        <v>24</v>
      </c>
      <c r="BI52" s="1905">
        <v>0.17</v>
      </c>
      <c r="BJ52" s="1888">
        <v>0.31</v>
      </c>
      <c r="BK52" s="1049"/>
      <c r="BL52" s="1058"/>
      <c r="BM52" s="1057">
        <v>23</v>
      </c>
      <c r="BN52" s="1056">
        <v>24</v>
      </c>
      <c r="BO52" s="1055">
        <v>0.15</v>
      </c>
      <c r="BP52" s="1055"/>
      <c r="BQ52" s="1049"/>
    </row>
    <row r="53" spans="1:69" ht="14.4">
      <c r="A53" s="1036"/>
      <c r="B53" s="1044"/>
      <c r="C53" s="1135"/>
      <c r="D53" s="1135"/>
      <c r="E53" s="1134"/>
      <c r="F53" s="1133"/>
      <c r="G53" s="1132"/>
      <c r="H53" s="1044"/>
      <c r="I53" s="1044" t="s">
        <v>1136</v>
      </c>
      <c r="J53" s="1046"/>
      <c r="K53" s="1046"/>
      <c r="L53" s="1129">
        <f>AVERAGE(L54:L77)</f>
        <v>0.49449999999999977</v>
      </c>
      <c r="M53" s="1131">
        <f>AVERAGE(M54:M77)</f>
        <v>1.2766666666666666</v>
      </c>
      <c r="N53" s="1039">
        <f>AVERAGE(N54:N77)</f>
        <v>2.5433516362706698</v>
      </c>
      <c r="O53" s="1044"/>
      <c r="P53" s="1130" t="s">
        <v>1128</v>
      </c>
      <c r="Q53" s="1046"/>
      <c r="R53" s="1046"/>
      <c r="S53" s="1129">
        <f>AVERAGE(S54:S77)</f>
        <v>1.30375</v>
      </c>
      <c r="T53" s="1128">
        <f>SUM(T54:T77)</f>
        <v>84.119030000000009</v>
      </c>
      <c r="U53" s="1040">
        <f>AVERAGE(U54:U77)</f>
        <v>4.7483333333333331</v>
      </c>
      <c r="V53" s="1039">
        <f>AVERAGE(V54:V77)</f>
        <v>3.6122661366985511</v>
      </c>
      <c r="W53" s="1036"/>
      <c r="X53" s="1038">
        <f>AVERAGE(X54:X77)</f>
        <v>2.6495833333333336</v>
      </c>
      <c r="Y53" s="1036"/>
      <c r="Z53" s="1127">
        <f>SUM(Z54:Z77)</f>
        <v>59.087029999999999</v>
      </c>
      <c r="AA53" s="1130" t="s">
        <v>1137</v>
      </c>
      <c r="AB53" s="1046"/>
      <c r="AC53" s="1046"/>
      <c r="AD53" s="1129">
        <f>AVERAGE(AD54:AD77)</f>
        <v>2.4983333333333326</v>
      </c>
      <c r="AE53" s="1128">
        <f>SUM(AE54:AE77)</f>
        <v>90.147300000000016</v>
      </c>
      <c r="AF53" s="1040">
        <f>AVERAGE(AF54:AF77)</f>
        <v>5.8316666666666661</v>
      </c>
      <c r="AG53" s="1039">
        <f>AVERAGE(AG54:AG77)</f>
        <v>2.2760396143818804</v>
      </c>
      <c r="AH53" s="1036"/>
      <c r="AI53" s="1038">
        <f>AVERAGE(AI54:AI77)</f>
        <v>1.4883333333333333</v>
      </c>
      <c r="AJ53" s="1036"/>
      <c r="AK53" s="1127">
        <f>SUM(AK54:AK77)</f>
        <v>42.179299999999998</v>
      </c>
      <c r="AL53" s="1036"/>
      <c r="AM53" s="1130"/>
      <c r="AN53" s="1046"/>
      <c r="AO53" s="1046"/>
      <c r="AP53" s="1129">
        <f>AVERAGE(AP54:AP77)</f>
        <v>0.21125000000000002</v>
      </c>
      <c r="AQ53" s="1734">
        <f>SUM(AQ54:AQ77)/24</f>
        <v>0</v>
      </c>
      <c r="AR53" s="1735">
        <f>AVERAGE(AR54:AR77)</f>
        <v>0.4137499999999999</v>
      </c>
      <c r="AS53" s="1039">
        <f>AVERAGE(AS54:AS77)</f>
        <v>1.8701940648651012</v>
      </c>
      <c r="AT53" s="1036"/>
      <c r="AU53" s="1038" t="e">
        <f>AVERAGE(AU54:AU77)</f>
        <v>#DIV/0!</v>
      </c>
      <c r="AV53" s="1036"/>
      <c r="AW53" s="1130" t="s">
        <v>1130</v>
      </c>
      <c r="AX53" s="1046"/>
      <c r="AY53" s="1046"/>
      <c r="AZ53" s="1129">
        <f>AVERAGE(AZ54:AZ77)</f>
        <v>0.30166666666666669</v>
      </c>
      <c r="BA53" s="1045">
        <f>AVERAGE(BA54:BA77)</f>
        <v>0.62583333333333324</v>
      </c>
      <c r="BB53" s="1039">
        <f>AVERAGE(BB54:BB77)</f>
        <v>2.0185042104588571</v>
      </c>
      <c r="BC53" s="1036"/>
      <c r="BD53" s="1038" t="e">
        <f>AVERAGE(BD54:BD77)</f>
        <v>#DIV/0!</v>
      </c>
      <c r="BE53" s="1036"/>
      <c r="BF53" s="1130" t="s">
        <v>1138</v>
      </c>
      <c r="BG53" s="2756">
        <f>BF54</f>
        <v>45019</v>
      </c>
      <c r="BH53" s="2756"/>
      <c r="BI53" s="1897">
        <f>SUM(BI54:BI77)</f>
        <v>7.3999999999999995</v>
      </c>
      <c r="BJ53" s="1898">
        <f>SUM(BJ54:BJ77)</f>
        <v>0</v>
      </c>
      <c r="BK53" s="1036"/>
      <c r="BL53" s="1130" t="s">
        <v>1131</v>
      </c>
      <c r="BM53" s="1046"/>
      <c r="BN53" s="1046"/>
      <c r="BO53" s="1129">
        <f>AVERAGE(BO54:BO77)</f>
        <v>0.32875000000000004</v>
      </c>
      <c r="BP53" s="1045" t="e">
        <f>AVERAGE(BP54:BP77)</f>
        <v>#DIV/0!</v>
      </c>
      <c r="BQ53" s="1036"/>
    </row>
    <row r="54" spans="1:69" ht="14.4">
      <c r="A54" s="1049"/>
      <c r="B54" s="1126">
        <v>44837</v>
      </c>
      <c r="C54" s="1057">
        <v>0</v>
      </c>
      <c r="D54" s="1056">
        <v>1</v>
      </c>
      <c r="E54" s="1063">
        <v>0.21</v>
      </c>
      <c r="F54" s="1062">
        <v>0.62</v>
      </c>
      <c r="G54" s="1061">
        <f t="shared" ref="G54:G77" si="22">F54/E54</f>
        <v>2.9523809523809526</v>
      </c>
      <c r="H54" s="1049"/>
      <c r="I54" s="1126">
        <v>44868</v>
      </c>
      <c r="J54" s="1057">
        <v>0</v>
      </c>
      <c r="K54" s="1056">
        <v>1</v>
      </c>
      <c r="L54" s="1055">
        <v>0.64300000000000002</v>
      </c>
      <c r="M54" s="1059">
        <v>1.47</v>
      </c>
      <c r="N54" s="1052">
        <f t="shared" ref="N54:N77" si="23">M54/L54</f>
        <v>2.2861586314152409</v>
      </c>
      <c r="O54" s="1049"/>
      <c r="P54" s="1125">
        <v>44898</v>
      </c>
      <c r="Q54" s="1057">
        <v>0</v>
      </c>
      <c r="R54" s="1056">
        <v>1</v>
      </c>
      <c r="S54" s="1055">
        <v>1.161</v>
      </c>
      <c r="T54" s="1054">
        <f t="shared" ref="T54:T77" si="24">S54*X54</f>
        <v>2.65869</v>
      </c>
      <c r="U54" s="1136">
        <v>3.87</v>
      </c>
      <c r="V54" s="1052">
        <f t="shared" ref="V54:V77" si="25">U54/S54</f>
        <v>3.3333333333333335</v>
      </c>
      <c r="W54" s="1049"/>
      <c r="X54" s="1051">
        <v>2.29</v>
      </c>
      <c r="Y54" s="1049"/>
      <c r="Z54" s="1050">
        <f t="shared" ref="Z54:Z77" si="26">S54*(X54-0.8)</f>
        <v>1.7298899999999999</v>
      </c>
      <c r="AA54" s="1125">
        <v>44929</v>
      </c>
      <c r="AB54" s="1057">
        <v>0</v>
      </c>
      <c r="AC54" s="1056">
        <v>1</v>
      </c>
      <c r="AD54" s="1055">
        <v>1.86</v>
      </c>
      <c r="AE54" s="1054">
        <f t="shared" ref="AE54:AE77" si="27">AD54*AI54</f>
        <v>2.4924000000000004</v>
      </c>
      <c r="AF54" s="1136">
        <v>3.77</v>
      </c>
      <c r="AG54" s="1052">
        <f t="shared" ref="AG54:AG77" si="28">AF54/AD54</f>
        <v>2.0268817204301075</v>
      </c>
      <c r="AH54" s="1049"/>
      <c r="AI54" s="1051">
        <v>1.34</v>
      </c>
      <c r="AJ54" s="1049"/>
      <c r="AK54" s="1050">
        <f t="shared" ref="AK54:AK77" si="29">AD54*(AI54-0.8)</f>
        <v>1.0044000000000002</v>
      </c>
      <c r="AL54" s="1049"/>
      <c r="AM54" s="1125">
        <v>44960</v>
      </c>
      <c r="AN54" s="1057">
        <v>0</v>
      </c>
      <c r="AO54" s="1056">
        <v>1</v>
      </c>
      <c r="AP54" s="1055">
        <v>0.14000000000000001</v>
      </c>
      <c r="AQ54" s="1736">
        <f t="shared" ref="AQ54:AQ77" si="30">AP54*AU54</f>
        <v>0</v>
      </c>
      <c r="AR54" s="1737">
        <v>0.26</v>
      </c>
      <c r="AS54" s="1052">
        <f t="shared" ref="AS54:AS77" si="31">AR54/AP54</f>
        <v>1.857142857142857</v>
      </c>
      <c r="AT54" s="1049"/>
      <c r="AU54" s="1051"/>
      <c r="AV54" s="1049"/>
      <c r="AW54" s="1125">
        <v>44988</v>
      </c>
      <c r="AX54" s="1057">
        <v>0</v>
      </c>
      <c r="AY54" s="1056">
        <v>1</v>
      </c>
      <c r="AZ54" s="1055">
        <v>0.08</v>
      </c>
      <c r="BA54" s="1736">
        <v>0.17</v>
      </c>
      <c r="BB54" s="1737">
        <f t="shared" ref="BB54:BB77" si="32">BA54/AZ54</f>
        <v>2.125</v>
      </c>
      <c r="BC54" s="1049"/>
      <c r="BD54" s="1051"/>
      <c r="BE54" s="1049"/>
      <c r="BF54" s="1125">
        <v>45019</v>
      </c>
      <c r="BG54" s="1057">
        <v>0</v>
      </c>
      <c r="BH54" s="1056">
        <v>1</v>
      </c>
      <c r="BI54" s="1055">
        <v>0.14000000000000001</v>
      </c>
      <c r="BJ54" s="1736" t="s">
        <v>1392</v>
      </c>
      <c r="BK54" s="1049"/>
      <c r="BL54" s="1125">
        <v>45049</v>
      </c>
      <c r="BM54" s="1057">
        <v>0</v>
      </c>
      <c r="BN54" s="1056">
        <v>1</v>
      </c>
      <c r="BO54" s="1055">
        <v>0.14000000000000001</v>
      </c>
      <c r="BP54" s="1055"/>
      <c r="BQ54" s="1049"/>
    </row>
    <row r="55" spans="1:69" ht="14.4">
      <c r="A55" s="1049"/>
      <c r="B55" s="1124"/>
      <c r="C55" s="1057">
        <v>1</v>
      </c>
      <c r="D55" s="1056">
        <v>2</v>
      </c>
      <c r="E55" s="1063">
        <v>0.72</v>
      </c>
      <c r="F55" s="1062">
        <v>2.0699999999999998</v>
      </c>
      <c r="G55" s="1061">
        <f t="shared" si="22"/>
        <v>2.875</v>
      </c>
      <c r="H55" s="1049"/>
      <c r="I55" s="1124"/>
      <c r="J55" s="1057">
        <v>1</v>
      </c>
      <c r="K55" s="1056">
        <v>2</v>
      </c>
      <c r="L55" s="1055">
        <v>0.20599999999999999</v>
      </c>
      <c r="M55" s="1059">
        <v>0.43</v>
      </c>
      <c r="N55" s="1052">
        <f t="shared" si="23"/>
        <v>2.087378640776699</v>
      </c>
      <c r="O55" s="1049"/>
      <c r="P55" s="1123"/>
      <c r="Q55" s="1057">
        <v>1</v>
      </c>
      <c r="R55" s="1056">
        <v>2</v>
      </c>
      <c r="S55" s="1055">
        <v>0.91300000000000003</v>
      </c>
      <c r="T55" s="1054">
        <f t="shared" si="24"/>
        <v>2.0725100000000003</v>
      </c>
      <c r="U55" s="1136">
        <v>3.03</v>
      </c>
      <c r="V55" s="1052">
        <f t="shared" si="25"/>
        <v>3.3187294633077764</v>
      </c>
      <c r="W55" s="1049"/>
      <c r="X55" s="1051">
        <v>2.27</v>
      </c>
      <c r="Y55" s="1049"/>
      <c r="Z55" s="1050">
        <f t="shared" si="26"/>
        <v>1.3421100000000001</v>
      </c>
      <c r="AA55" s="1123"/>
      <c r="AB55" s="1057">
        <v>1</v>
      </c>
      <c r="AC55" s="1056">
        <v>2</v>
      </c>
      <c r="AD55" s="1055">
        <v>2.27</v>
      </c>
      <c r="AE55" s="1054">
        <f t="shared" si="27"/>
        <v>2.8374999999999999</v>
      </c>
      <c r="AF55" s="1136">
        <v>4.4000000000000004</v>
      </c>
      <c r="AG55" s="1052">
        <f t="shared" si="28"/>
        <v>1.9383259911894275</v>
      </c>
      <c r="AH55" s="1049"/>
      <c r="AI55" s="1051">
        <v>1.25</v>
      </c>
      <c r="AJ55" s="1049"/>
      <c r="AK55" s="1050">
        <f t="shared" si="29"/>
        <v>1.0214999999999999</v>
      </c>
      <c r="AL55" s="1049"/>
      <c r="AM55" s="1123"/>
      <c r="AN55" s="1057">
        <v>1</v>
      </c>
      <c r="AO55" s="1056">
        <v>2</v>
      </c>
      <c r="AP55" s="1055">
        <v>0.12</v>
      </c>
      <c r="AQ55" s="1736">
        <f t="shared" si="30"/>
        <v>0</v>
      </c>
      <c r="AR55" s="1737">
        <v>0.21</v>
      </c>
      <c r="AS55" s="1052">
        <f t="shared" si="31"/>
        <v>1.75</v>
      </c>
      <c r="AT55" s="1049"/>
      <c r="AU55" s="1051"/>
      <c r="AV55" s="1049"/>
      <c r="AW55" s="1123"/>
      <c r="AX55" s="1057">
        <v>1</v>
      </c>
      <c r="AY55" s="1056">
        <v>2</v>
      </c>
      <c r="AZ55" s="1055">
        <v>0.12</v>
      </c>
      <c r="BA55" s="1736">
        <v>0.24</v>
      </c>
      <c r="BB55" s="1737">
        <f t="shared" si="32"/>
        <v>2</v>
      </c>
      <c r="BC55" s="1049"/>
      <c r="BD55" s="1051"/>
      <c r="BE55" s="1049"/>
      <c r="BF55" s="1123"/>
      <c r="BG55" s="1057">
        <v>1</v>
      </c>
      <c r="BH55" s="1056">
        <v>2</v>
      </c>
      <c r="BI55" s="1055">
        <v>0.14000000000000001</v>
      </c>
      <c r="BJ55" s="1736" t="s">
        <v>1392</v>
      </c>
      <c r="BK55" s="1049"/>
      <c r="BL55" s="1123"/>
      <c r="BM55" s="1057">
        <v>1</v>
      </c>
      <c r="BN55" s="1056">
        <v>2</v>
      </c>
      <c r="BO55" s="1055">
        <v>7.0000000000000007E-2</v>
      </c>
      <c r="BP55" s="1055"/>
      <c r="BQ55" s="1049"/>
    </row>
    <row r="56" spans="1:69" ht="14.4">
      <c r="A56" s="1049"/>
      <c r="B56" s="1122">
        <f>SUM(E54:E77)</f>
        <v>15.330000000000004</v>
      </c>
      <c r="C56" s="1057">
        <v>2</v>
      </c>
      <c r="D56" s="1056">
        <v>3</v>
      </c>
      <c r="E56" s="1063">
        <v>0.25</v>
      </c>
      <c r="F56" s="1062">
        <v>0.72</v>
      </c>
      <c r="G56" s="1061">
        <f t="shared" si="22"/>
        <v>2.88</v>
      </c>
      <c r="H56" s="1049"/>
      <c r="I56" s="1122">
        <f>SUM(L54:L77)</f>
        <v>11.867999999999995</v>
      </c>
      <c r="J56" s="1057">
        <v>2</v>
      </c>
      <c r="K56" s="1056">
        <v>3</v>
      </c>
      <c r="L56" s="1055">
        <v>0.183</v>
      </c>
      <c r="M56" s="1059">
        <v>0.37</v>
      </c>
      <c r="N56" s="1052">
        <f t="shared" si="23"/>
        <v>2.0218579234972678</v>
      </c>
      <c r="O56" s="1049"/>
      <c r="P56" s="1121">
        <f>SUM(S54:S77)</f>
        <v>31.29</v>
      </c>
      <c r="Q56" s="1057">
        <v>2</v>
      </c>
      <c r="R56" s="1056">
        <v>3</v>
      </c>
      <c r="S56" s="1055">
        <v>0.873</v>
      </c>
      <c r="T56" s="1054">
        <f t="shared" si="24"/>
        <v>1.94679</v>
      </c>
      <c r="U56" s="1136">
        <v>2.86</v>
      </c>
      <c r="V56" s="1052">
        <f t="shared" si="25"/>
        <v>3.2760595647193584</v>
      </c>
      <c r="W56" s="1049"/>
      <c r="X56" s="1051">
        <v>2.23</v>
      </c>
      <c r="Y56" s="1049"/>
      <c r="Z56" s="1050">
        <f t="shared" si="26"/>
        <v>1.2483899999999999</v>
      </c>
      <c r="AA56" s="1121">
        <f>SUM(AD54:AD77)</f>
        <v>59.959999999999987</v>
      </c>
      <c r="AB56" s="1057">
        <v>2</v>
      </c>
      <c r="AC56" s="1056">
        <v>3</v>
      </c>
      <c r="AD56" s="1055">
        <v>1.86</v>
      </c>
      <c r="AE56" s="1054">
        <f t="shared" si="27"/>
        <v>2.3064</v>
      </c>
      <c r="AF56" s="1136">
        <v>3.59</v>
      </c>
      <c r="AG56" s="1052">
        <f t="shared" si="28"/>
        <v>1.9301075268817203</v>
      </c>
      <c r="AH56" s="1049"/>
      <c r="AI56" s="1051">
        <v>1.24</v>
      </c>
      <c r="AJ56" s="1049"/>
      <c r="AK56" s="1050">
        <f t="shared" si="29"/>
        <v>0.81839999999999991</v>
      </c>
      <c r="AL56" s="1049"/>
      <c r="AM56" s="1121">
        <f>SUM(AP54:AP77)</f>
        <v>5.07</v>
      </c>
      <c r="AN56" s="1057">
        <v>2</v>
      </c>
      <c r="AO56" s="1056">
        <v>3</v>
      </c>
      <c r="AP56" s="1055">
        <v>0.12</v>
      </c>
      <c r="AQ56" s="1736">
        <f t="shared" si="30"/>
        <v>0</v>
      </c>
      <c r="AR56" s="1737">
        <v>0.2</v>
      </c>
      <c r="AS56" s="1052">
        <f t="shared" si="31"/>
        <v>1.6666666666666667</v>
      </c>
      <c r="AT56" s="1049"/>
      <c r="AU56" s="1051"/>
      <c r="AV56" s="1049"/>
      <c r="AW56" s="1121">
        <f>SUM(AZ54:AZ77)</f>
        <v>7.24</v>
      </c>
      <c r="AX56" s="1057">
        <v>2</v>
      </c>
      <c r="AY56" s="1056">
        <v>3</v>
      </c>
      <c r="AZ56" s="1055">
        <v>0.13</v>
      </c>
      <c r="BA56" s="1736">
        <v>0.26</v>
      </c>
      <c r="BB56" s="1737">
        <f t="shared" si="32"/>
        <v>2</v>
      </c>
      <c r="BC56" s="1049"/>
      <c r="BD56" s="1051"/>
      <c r="BE56" s="1049"/>
      <c r="BF56" s="1121">
        <f>SUM(BI54:BI77)</f>
        <v>7.3999999999999995</v>
      </c>
      <c r="BG56" s="1057">
        <v>2</v>
      </c>
      <c r="BH56" s="1056">
        <v>3</v>
      </c>
      <c r="BI56" s="1055">
        <v>0.13</v>
      </c>
      <c r="BJ56" s="1736" t="s">
        <v>1393</v>
      </c>
      <c r="BK56" s="1049"/>
      <c r="BL56" s="1121">
        <f>SUM(BO54:BO77)</f>
        <v>7.8900000000000015</v>
      </c>
      <c r="BM56" s="1057">
        <v>2</v>
      </c>
      <c r="BN56" s="1056">
        <v>3</v>
      </c>
      <c r="BO56" s="1055">
        <v>0.1</v>
      </c>
      <c r="BP56" s="1055"/>
      <c r="BQ56" s="1049"/>
    </row>
    <row r="57" spans="1:69" ht="14.4">
      <c r="A57" s="1049"/>
      <c r="B57" s="1120">
        <f>B56/24</f>
        <v>0.63875000000000015</v>
      </c>
      <c r="C57" s="1057">
        <v>3</v>
      </c>
      <c r="D57" s="1056">
        <v>4</v>
      </c>
      <c r="E57" s="1063">
        <v>0.28000000000000003</v>
      </c>
      <c r="F57" s="1062">
        <v>0.81</v>
      </c>
      <c r="G57" s="1061">
        <f t="shared" si="22"/>
        <v>2.8928571428571428</v>
      </c>
      <c r="H57" s="1049"/>
      <c r="I57" s="1120">
        <f>I56/24</f>
        <v>0.49449999999999977</v>
      </c>
      <c r="J57" s="1057">
        <v>3</v>
      </c>
      <c r="K57" s="1056">
        <v>4</v>
      </c>
      <c r="L57" s="1055">
        <v>0.22500000000000001</v>
      </c>
      <c r="M57" s="1059">
        <v>0.46</v>
      </c>
      <c r="N57" s="1052">
        <f t="shared" si="23"/>
        <v>2.0444444444444443</v>
      </c>
      <c r="O57" s="1049"/>
      <c r="P57" s="1120">
        <f>P56/24</f>
        <v>1.30375</v>
      </c>
      <c r="Q57" s="1057">
        <v>3</v>
      </c>
      <c r="R57" s="1056">
        <v>4</v>
      </c>
      <c r="S57" s="1055">
        <v>0.98</v>
      </c>
      <c r="T57" s="1054">
        <f t="shared" si="24"/>
        <v>2.1364000000000001</v>
      </c>
      <c r="U57" s="1136">
        <v>3.16</v>
      </c>
      <c r="V57" s="1052">
        <f t="shared" si="25"/>
        <v>3.2244897959183674</v>
      </c>
      <c r="W57" s="1049"/>
      <c r="X57" s="1051">
        <v>2.1800000000000002</v>
      </c>
      <c r="Y57" s="1049"/>
      <c r="Z57" s="1050">
        <f t="shared" si="26"/>
        <v>1.3524</v>
      </c>
      <c r="AA57" s="1120">
        <f>AA56/24</f>
        <v>2.4983333333333326</v>
      </c>
      <c r="AB57" s="1057">
        <v>3</v>
      </c>
      <c r="AC57" s="1056">
        <v>4</v>
      </c>
      <c r="AD57" s="1055">
        <v>1.78</v>
      </c>
      <c r="AE57" s="1054">
        <f t="shared" si="27"/>
        <v>2.1360000000000001</v>
      </c>
      <c r="AF57" s="1136">
        <v>3.37</v>
      </c>
      <c r="AG57" s="1052">
        <f t="shared" si="28"/>
        <v>1.8932584269662922</v>
      </c>
      <c r="AH57" s="1049"/>
      <c r="AI57" s="1051">
        <v>1.2</v>
      </c>
      <c r="AJ57" s="1049"/>
      <c r="AK57" s="1050">
        <f t="shared" si="29"/>
        <v>0.71199999999999986</v>
      </c>
      <c r="AL57" s="1049"/>
      <c r="AM57" s="1120">
        <f>AM56/24</f>
        <v>0.21125000000000002</v>
      </c>
      <c r="AN57" s="1057">
        <v>3</v>
      </c>
      <c r="AO57" s="1056">
        <v>4</v>
      </c>
      <c r="AP57" s="1055">
        <v>0.1</v>
      </c>
      <c r="AQ57" s="1736">
        <f t="shared" si="30"/>
        <v>0</v>
      </c>
      <c r="AR57" s="1737">
        <v>0.16</v>
      </c>
      <c r="AS57" s="1052">
        <f t="shared" si="31"/>
        <v>1.5999999999999999</v>
      </c>
      <c r="AT57" s="1049"/>
      <c r="AU57" s="1051"/>
      <c r="AV57" s="1049"/>
      <c r="AW57" s="1120">
        <f>AW56/24</f>
        <v>0.30166666666666669</v>
      </c>
      <c r="AX57" s="1057">
        <v>3</v>
      </c>
      <c r="AY57" s="1056">
        <v>4</v>
      </c>
      <c r="AZ57" s="1055">
        <v>0.13</v>
      </c>
      <c r="BA57" s="1736">
        <v>0.26</v>
      </c>
      <c r="BB57" s="1737">
        <f t="shared" si="32"/>
        <v>2</v>
      </c>
      <c r="BC57" s="1049"/>
      <c r="BD57" s="1051"/>
      <c r="BE57" s="1049"/>
      <c r="BF57" s="1120">
        <f>BF56/24</f>
        <v>0.30833333333333329</v>
      </c>
      <c r="BG57" s="1057">
        <v>3</v>
      </c>
      <c r="BH57" s="1056">
        <v>4</v>
      </c>
      <c r="BI57" s="1055">
        <v>0.11</v>
      </c>
      <c r="BJ57" s="1736" t="s">
        <v>1394</v>
      </c>
      <c r="BK57" s="1049"/>
      <c r="BL57" s="1120">
        <f>BL56/24</f>
        <v>0.32875000000000004</v>
      </c>
      <c r="BM57" s="1057">
        <v>3</v>
      </c>
      <c r="BN57" s="1056">
        <v>4</v>
      </c>
      <c r="BO57" s="1055">
        <v>0.14000000000000001</v>
      </c>
      <c r="BP57" s="1055"/>
      <c r="BQ57" s="1049"/>
    </row>
    <row r="58" spans="1:69" ht="14.4">
      <c r="A58" s="1049"/>
      <c r="B58" s="1119"/>
      <c r="C58" s="1057">
        <v>4</v>
      </c>
      <c r="D58" s="1056">
        <v>5</v>
      </c>
      <c r="E58" s="1063">
        <v>0.27</v>
      </c>
      <c r="F58" s="1062">
        <v>0.79</v>
      </c>
      <c r="G58" s="1061">
        <f t="shared" si="22"/>
        <v>2.925925925925926</v>
      </c>
      <c r="H58" s="1049"/>
      <c r="I58" s="1119"/>
      <c r="J58" s="1057">
        <v>4</v>
      </c>
      <c r="K58" s="1056">
        <v>5</v>
      </c>
      <c r="L58" s="1055">
        <v>0.34</v>
      </c>
      <c r="M58" s="1059">
        <v>0.7</v>
      </c>
      <c r="N58" s="1052">
        <f t="shared" si="23"/>
        <v>2.0588235294117645</v>
      </c>
      <c r="O58" s="1049"/>
      <c r="P58" s="1118"/>
      <c r="Q58" s="1057">
        <v>4</v>
      </c>
      <c r="R58" s="1056">
        <v>5</v>
      </c>
      <c r="S58" s="1055">
        <v>0.91300000000000003</v>
      </c>
      <c r="T58" s="1054">
        <f t="shared" si="24"/>
        <v>2.0268600000000001</v>
      </c>
      <c r="U58" s="1136">
        <v>2.98</v>
      </c>
      <c r="V58" s="1052">
        <f t="shared" si="25"/>
        <v>3.2639649507119386</v>
      </c>
      <c r="W58" s="1049"/>
      <c r="X58" s="1051">
        <v>2.2200000000000002</v>
      </c>
      <c r="Y58" s="1049"/>
      <c r="Z58" s="1050">
        <f t="shared" si="26"/>
        <v>1.2964600000000002</v>
      </c>
      <c r="AA58" s="1118"/>
      <c r="AB58" s="1057">
        <v>4</v>
      </c>
      <c r="AC58" s="1056">
        <v>5</v>
      </c>
      <c r="AD58" s="1055">
        <v>1.74</v>
      </c>
      <c r="AE58" s="1054">
        <f t="shared" si="27"/>
        <v>2.0705999999999998</v>
      </c>
      <c r="AF58" s="1136">
        <v>3.27</v>
      </c>
      <c r="AG58" s="1052">
        <f t="shared" si="28"/>
        <v>1.8793103448275863</v>
      </c>
      <c r="AH58" s="1049"/>
      <c r="AI58" s="1051">
        <v>1.19</v>
      </c>
      <c r="AJ58" s="1049"/>
      <c r="AK58" s="1050">
        <f t="shared" si="29"/>
        <v>0.67859999999999987</v>
      </c>
      <c r="AL58" s="1049"/>
      <c r="AM58" s="1118"/>
      <c r="AN58" s="1057">
        <v>4</v>
      </c>
      <c r="AO58" s="1056">
        <v>5</v>
      </c>
      <c r="AP58" s="1055">
        <v>0.08</v>
      </c>
      <c r="AQ58" s="1736">
        <f t="shared" si="30"/>
        <v>0</v>
      </c>
      <c r="AR58" s="1737">
        <v>0.13</v>
      </c>
      <c r="AS58" s="1052">
        <f t="shared" si="31"/>
        <v>1.625</v>
      </c>
      <c r="AT58" s="1049"/>
      <c r="AU58" s="1051"/>
      <c r="AV58" s="1049"/>
      <c r="AW58" s="1118"/>
      <c r="AX58" s="1057">
        <v>4</v>
      </c>
      <c r="AY58" s="1056">
        <v>5</v>
      </c>
      <c r="AZ58" s="1055">
        <v>0.09</v>
      </c>
      <c r="BA58" s="1736">
        <v>0.18</v>
      </c>
      <c r="BB58" s="1737">
        <f t="shared" si="32"/>
        <v>2</v>
      </c>
      <c r="BC58" s="1049"/>
      <c r="BD58" s="1051"/>
      <c r="BE58" s="1049"/>
      <c r="BF58" s="1118"/>
      <c r="BG58" s="1057">
        <v>4</v>
      </c>
      <c r="BH58" s="1056">
        <v>5</v>
      </c>
      <c r="BI58" s="1055">
        <v>0.09</v>
      </c>
      <c r="BJ58" s="1736" t="s">
        <v>1363</v>
      </c>
      <c r="BK58" s="1049"/>
      <c r="BL58" s="1118"/>
      <c r="BM58" s="1057">
        <v>4</v>
      </c>
      <c r="BN58" s="1056">
        <v>5</v>
      </c>
      <c r="BO58" s="1055">
        <v>0.28000000000000003</v>
      </c>
      <c r="BP58" s="1055"/>
      <c r="BQ58" s="1049"/>
    </row>
    <row r="59" spans="1:69" ht="15" thickBot="1">
      <c r="A59" s="1049"/>
      <c r="B59" s="1058">
        <f>SUM(F54:F77)</f>
        <v>45.879999999999995</v>
      </c>
      <c r="C59" s="1111">
        <v>5</v>
      </c>
      <c r="D59" s="1110">
        <v>6</v>
      </c>
      <c r="E59" s="1117">
        <v>0.36</v>
      </c>
      <c r="F59" s="1116">
        <v>1.04</v>
      </c>
      <c r="G59" s="1115">
        <f t="shared" si="22"/>
        <v>2.8888888888888893</v>
      </c>
      <c r="H59" s="1049"/>
      <c r="I59" s="1058">
        <f>SUM(M54:M77)</f>
        <v>30.64</v>
      </c>
      <c r="J59" s="1111">
        <v>5</v>
      </c>
      <c r="K59" s="1110">
        <v>6</v>
      </c>
      <c r="L59" s="1109">
        <v>0.29899999999999999</v>
      </c>
      <c r="M59" s="1114">
        <v>0.64</v>
      </c>
      <c r="N59" s="1113">
        <f t="shared" si="23"/>
        <v>2.1404682274247495</v>
      </c>
      <c r="O59" s="1049"/>
      <c r="P59" s="1112">
        <f>SUM(U54:U77)</f>
        <v>113.96</v>
      </c>
      <c r="Q59" s="1111">
        <v>5</v>
      </c>
      <c r="R59" s="1110">
        <v>6</v>
      </c>
      <c r="S59" s="1109">
        <v>1.0289999999999999</v>
      </c>
      <c r="T59" s="1054">
        <f t="shared" si="24"/>
        <v>2.4078599999999994</v>
      </c>
      <c r="U59" s="1146">
        <v>3.48</v>
      </c>
      <c r="V59" s="1052">
        <f t="shared" si="25"/>
        <v>3.3819241982507293</v>
      </c>
      <c r="W59" s="1049"/>
      <c r="X59" s="1074">
        <v>2.34</v>
      </c>
      <c r="Y59" s="1049"/>
      <c r="Z59" s="1050">
        <f t="shared" si="26"/>
        <v>1.5846599999999997</v>
      </c>
      <c r="AA59" s="1112">
        <f>SUM(AF54:AF77)</f>
        <v>139.95999999999998</v>
      </c>
      <c r="AB59" s="1111">
        <v>5</v>
      </c>
      <c r="AC59" s="1110">
        <v>6</v>
      </c>
      <c r="AD59" s="1109">
        <v>2</v>
      </c>
      <c r="AE59" s="1153">
        <f t="shared" si="27"/>
        <v>2.42</v>
      </c>
      <c r="AF59" s="1146">
        <v>3.81</v>
      </c>
      <c r="AG59" s="1113">
        <f t="shared" si="28"/>
        <v>1.905</v>
      </c>
      <c r="AH59" s="1049"/>
      <c r="AI59" s="1074">
        <v>1.21</v>
      </c>
      <c r="AJ59" s="1049"/>
      <c r="AK59" s="1050">
        <f t="shared" si="29"/>
        <v>0.81999999999999984</v>
      </c>
      <c r="AL59" s="1049"/>
      <c r="AM59" s="1112">
        <f>SUM(AR54:AR77)</f>
        <v>9.9299999999999979</v>
      </c>
      <c r="AN59" s="1111">
        <v>5</v>
      </c>
      <c r="AO59" s="1110">
        <v>6</v>
      </c>
      <c r="AP59" s="1109">
        <v>0.12</v>
      </c>
      <c r="AQ59" s="1738">
        <f t="shared" si="30"/>
        <v>0</v>
      </c>
      <c r="AR59" s="1739">
        <v>0.2</v>
      </c>
      <c r="AS59" s="1113">
        <f t="shared" si="31"/>
        <v>1.6666666666666667</v>
      </c>
      <c r="AT59" s="1049"/>
      <c r="AU59" s="1074"/>
      <c r="AV59" s="1049"/>
      <c r="AW59" s="1112">
        <f>SUM(BA54:BA77)</f>
        <v>15.019999999999998</v>
      </c>
      <c r="AX59" s="1111">
        <v>5</v>
      </c>
      <c r="AY59" s="1110">
        <v>6</v>
      </c>
      <c r="AZ59" s="1109">
        <v>0.09</v>
      </c>
      <c r="BA59" s="1738">
        <v>0.19</v>
      </c>
      <c r="BB59" s="1739">
        <f t="shared" si="32"/>
        <v>2.1111111111111112</v>
      </c>
      <c r="BC59" s="1049"/>
      <c r="BD59" s="1074"/>
      <c r="BE59" s="1049"/>
      <c r="BF59" s="1112">
        <f>SUM(BJ54:BJ77)</f>
        <v>0</v>
      </c>
      <c r="BG59" s="1111">
        <v>5</v>
      </c>
      <c r="BH59" s="1110">
        <v>6</v>
      </c>
      <c r="BI59" s="1109">
        <v>7.0000000000000007E-2</v>
      </c>
      <c r="BJ59" s="1738" t="s">
        <v>1365</v>
      </c>
      <c r="BK59" s="1049"/>
      <c r="BL59" s="1112">
        <f>SUM(BP54:BP77)</f>
        <v>0</v>
      </c>
      <c r="BM59" s="1111">
        <v>5</v>
      </c>
      <c r="BN59" s="1110">
        <v>6</v>
      </c>
      <c r="BO59" s="1109">
        <v>0.34</v>
      </c>
      <c r="BP59" s="1109"/>
      <c r="BQ59" s="1049"/>
    </row>
    <row r="60" spans="1:69" ht="14.4">
      <c r="A60" s="1049"/>
      <c r="B60" s="1093">
        <f>B59/B56</f>
        <v>2.9928245270711016</v>
      </c>
      <c r="C60" s="1100">
        <v>6</v>
      </c>
      <c r="D60" s="1099">
        <v>7</v>
      </c>
      <c r="E60" s="1107">
        <v>0.52</v>
      </c>
      <c r="F60" s="1106">
        <v>1.5</v>
      </c>
      <c r="G60" s="1105">
        <f t="shared" si="22"/>
        <v>2.8846153846153846</v>
      </c>
      <c r="H60" s="1049"/>
      <c r="I60" s="1093">
        <f>I59/I56</f>
        <v>2.5817323896191451</v>
      </c>
      <c r="J60" s="1100">
        <v>6</v>
      </c>
      <c r="K60" s="1099">
        <v>7</v>
      </c>
      <c r="L60" s="1098">
        <v>0.26300000000000001</v>
      </c>
      <c r="M60" s="1103">
        <v>0.62</v>
      </c>
      <c r="N60" s="1102">
        <f t="shared" si="23"/>
        <v>2.3574144486692012</v>
      </c>
      <c r="O60" s="1049"/>
      <c r="P60" s="1093">
        <f>P59/P56</f>
        <v>3.6420581655480984</v>
      </c>
      <c r="Q60" s="1100">
        <v>6</v>
      </c>
      <c r="R60" s="1099">
        <v>7</v>
      </c>
      <c r="S60" s="1098">
        <v>0.97099999999999997</v>
      </c>
      <c r="T60" s="1054">
        <f t="shared" si="24"/>
        <v>2.3304</v>
      </c>
      <c r="U60" s="1144">
        <v>3.35</v>
      </c>
      <c r="V60" s="1052">
        <f t="shared" si="25"/>
        <v>3.4500514933058706</v>
      </c>
      <c r="W60" s="1049"/>
      <c r="X60" s="1108">
        <v>2.4</v>
      </c>
      <c r="Y60" s="1049"/>
      <c r="Z60" s="1050">
        <f t="shared" si="26"/>
        <v>1.5535999999999999</v>
      </c>
      <c r="AA60" s="1093">
        <f>AA59/AA56</f>
        <v>2.3342228152101403</v>
      </c>
      <c r="AB60" s="1100">
        <v>6</v>
      </c>
      <c r="AC60" s="1099">
        <v>7</v>
      </c>
      <c r="AD60" s="1098">
        <v>1.88</v>
      </c>
      <c r="AE60" s="1151">
        <f t="shared" si="27"/>
        <v>2.6695999999999995</v>
      </c>
      <c r="AF60" s="1144">
        <v>3.97</v>
      </c>
      <c r="AG60" s="1069">
        <f t="shared" si="28"/>
        <v>2.1117021276595747</v>
      </c>
      <c r="AH60" s="1049"/>
      <c r="AI60" s="1108">
        <v>1.42</v>
      </c>
      <c r="AJ60" s="1049"/>
      <c r="AK60" s="1152">
        <f t="shared" si="29"/>
        <v>1.1655999999999997</v>
      </c>
      <c r="AL60" s="1049"/>
      <c r="AM60" s="1093">
        <f>AM59/AM56</f>
        <v>1.9585798816568043</v>
      </c>
      <c r="AN60" s="1100">
        <v>6</v>
      </c>
      <c r="AO60" s="1099">
        <v>7</v>
      </c>
      <c r="AP60" s="1098">
        <v>0.39</v>
      </c>
      <c r="AQ60" s="1740">
        <f t="shared" si="30"/>
        <v>0</v>
      </c>
      <c r="AR60" s="1741">
        <v>0.68</v>
      </c>
      <c r="AS60" s="1069">
        <f t="shared" si="31"/>
        <v>1.7435897435897436</v>
      </c>
      <c r="AT60" s="1049"/>
      <c r="AU60" s="1108"/>
      <c r="AV60" s="1049"/>
      <c r="AW60" s="1093">
        <f>AW59/AW56</f>
        <v>2.0745856353591154</v>
      </c>
      <c r="AX60" s="1100">
        <v>6</v>
      </c>
      <c r="AY60" s="1099">
        <v>7</v>
      </c>
      <c r="AZ60" s="1098">
        <v>0.16</v>
      </c>
      <c r="BA60" s="1740">
        <v>0.37</v>
      </c>
      <c r="BB60" s="1741">
        <f t="shared" si="32"/>
        <v>2.3125</v>
      </c>
      <c r="BC60" s="1049"/>
      <c r="BD60" s="1108"/>
      <c r="BE60" s="1049"/>
      <c r="BF60" s="1093">
        <f>BF59/BF56</f>
        <v>0</v>
      </c>
      <c r="BG60" s="1100">
        <v>6</v>
      </c>
      <c r="BH60" s="1099">
        <v>7</v>
      </c>
      <c r="BI60" s="1098">
        <v>0.13</v>
      </c>
      <c r="BJ60" s="1740" t="s">
        <v>1387</v>
      </c>
      <c r="BK60" s="1049"/>
      <c r="BL60" s="1093">
        <f>BL59/BL56</f>
        <v>0</v>
      </c>
      <c r="BM60" s="1100">
        <v>6</v>
      </c>
      <c r="BN60" s="1099">
        <v>7</v>
      </c>
      <c r="BO60" s="1098">
        <v>0.28999999999999998</v>
      </c>
      <c r="BP60" s="1098"/>
      <c r="BQ60" s="1049"/>
    </row>
    <row r="61" spans="1:69" ht="14.4">
      <c r="A61" s="1049"/>
      <c r="B61" s="1104"/>
      <c r="C61" s="1100">
        <v>7</v>
      </c>
      <c r="D61" s="1099">
        <v>8</v>
      </c>
      <c r="E61" s="1107">
        <v>0.87</v>
      </c>
      <c r="F61" s="1106">
        <v>2.5</v>
      </c>
      <c r="G61" s="1105">
        <f t="shared" si="22"/>
        <v>2.8735632183908044</v>
      </c>
      <c r="H61" s="1049"/>
      <c r="I61" s="1104"/>
      <c r="J61" s="1100">
        <v>7</v>
      </c>
      <c r="K61" s="1099">
        <v>8</v>
      </c>
      <c r="L61" s="1098">
        <v>0.42499999999999999</v>
      </c>
      <c r="M61" s="1103">
        <v>1.05</v>
      </c>
      <c r="N61" s="1102">
        <f t="shared" si="23"/>
        <v>2.4705882352941178</v>
      </c>
      <c r="O61" s="1049"/>
      <c r="P61" s="1101"/>
      <c r="Q61" s="1100">
        <v>7</v>
      </c>
      <c r="R61" s="1099">
        <v>8</v>
      </c>
      <c r="S61" s="1098">
        <v>1.357</v>
      </c>
      <c r="T61" s="1054">
        <f t="shared" si="24"/>
        <v>3.2703700000000002</v>
      </c>
      <c r="U61" s="1144">
        <v>4.6900000000000004</v>
      </c>
      <c r="V61" s="1052">
        <f t="shared" si="25"/>
        <v>3.4561532792925576</v>
      </c>
      <c r="W61" s="1049"/>
      <c r="X61" s="1065">
        <v>2.41</v>
      </c>
      <c r="Y61" s="1049"/>
      <c r="Z61" s="1050">
        <f t="shared" si="26"/>
        <v>2.1847700000000003</v>
      </c>
      <c r="AA61" s="1101"/>
      <c r="AB61" s="1100">
        <v>7</v>
      </c>
      <c r="AC61" s="1099">
        <v>8</v>
      </c>
      <c r="AD61" s="1098">
        <v>1.95</v>
      </c>
      <c r="AE61" s="1054">
        <f t="shared" si="27"/>
        <v>3.1590000000000003</v>
      </c>
      <c r="AF61" s="1144">
        <v>4.49</v>
      </c>
      <c r="AG61" s="1052">
        <f t="shared" si="28"/>
        <v>2.3025641025641028</v>
      </c>
      <c r="AH61" s="1049"/>
      <c r="AI61" s="1065">
        <v>1.62</v>
      </c>
      <c r="AJ61" s="1049"/>
      <c r="AK61" s="1152">
        <f t="shared" si="29"/>
        <v>1.599</v>
      </c>
      <c r="AL61" s="1049"/>
      <c r="AM61" s="1101"/>
      <c r="AN61" s="1100">
        <v>7</v>
      </c>
      <c r="AO61" s="1099">
        <v>8</v>
      </c>
      <c r="AP61" s="1098">
        <v>0.32</v>
      </c>
      <c r="AQ61" s="1736">
        <f t="shared" si="30"/>
        <v>0</v>
      </c>
      <c r="AR61" s="1741">
        <v>0.57999999999999996</v>
      </c>
      <c r="AS61" s="1052">
        <f t="shared" si="31"/>
        <v>1.8124999999999998</v>
      </c>
      <c r="AT61" s="1049"/>
      <c r="AU61" s="1065"/>
      <c r="AV61" s="1049"/>
      <c r="AW61" s="1101"/>
      <c r="AX61" s="1100">
        <v>7</v>
      </c>
      <c r="AY61" s="1099">
        <v>8</v>
      </c>
      <c r="AZ61" s="1098">
        <v>0.23</v>
      </c>
      <c r="BA61" s="1736">
        <v>0.59</v>
      </c>
      <c r="BB61" s="1741">
        <f t="shared" si="32"/>
        <v>2.5652173913043477</v>
      </c>
      <c r="BC61" s="1049"/>
      <c r="BD61" s="1065"/>
      <c r="BE61" s="1049"/>
      <c r="BF61" s="1101"/>
      <c r="BG61" s="1100">
        <v>7</v>
      </c>
      <c r="BH61" s="1099">
        <v>8</v>
      </c>
      <c r="BI61" s="1098">
        <v>0.17</v>
      </c>
      <c r="BJ61" s="1736" t="s">
        <v>1379</v>
      </c>
      <c r="BK61" s="1049"/>
      <c r="BL61" s="1101"/>
      <c r="BM61" s="1100">
        <v>7</v>
      </c>
      <c r="BN61" s="1099">
        <v>8</v>
      </c>
      <c r="BO61" s="1098">
        <v>0.09</v>
      </c>
      <c r="BP61" s="1098"/>
      <c r="BQ61" s="1049"/>
    </row>
    <row r="62" spans="1:69" ht="14.4">
      <c r="A62" s="1049"/>
      <c r="B62" s="1097">
        <f>B59/24</f>
        <v>1.9116666666666664</v>
      </c>
      <c r="C62" s="1086">
        <v>8</v>
      </c>
      <c r="D62" s="1085">
        <v>9</v>
      </c>
      <c r="E62" s="1091">
        <v>1.37</v>
      </c>
      <c r="F62" s="1090">
        <v>3.96</v>
      </c>
      <c r="G62" s="1089">
        <f t="shared" si="22"/>
        <v>2.8905109489051091</v>
      </c>
      <c r="H62" s="1049"/>
      <c r="I62" s="1097">
        <f>I59/24</f>
        <v>1.2766666666666666</v>
      </c>
      <c r="J62" s="1086">
        <v>8</v>
      </c>
      <c r="K62" s="1085">
        <v>9</v>
      </c>
      <c r="L62" s="1084">
        <v>1.304</v>
      </c>
      <c r="M62" s="1088">
        <v>3.18</v>
      </c>
      <c r="N62" s="1087">
        <f t="shared" si="23"/>
        <v>2.4386503067484662</v>
      </c>
      <c r="O62" s="1049"/>
      <c r="P62" s="1096">
        <f>P59/24</f>
        <v>4.7483333333333331</v>
      </c>
      <c r="Q62" s="1086">
        <v>8</v>
      </c>
      <c r="R62" s="1085">
        <v>9</v>
      </c>
      <c r="S62" s="1084">
        <v>1.18</v>
      </c>
      <c r="T62" s="1054">
        <f t="shared" si="24"/>
        <v>3.0325999999999995</v>
      </c>
      <c r="U62" s="1142">
        <v>4.12</v>
      </c>
      <c r="V62" s="1052">
        <f t="shared" si="25"/>
        <v>3.491525423728814</v>
      </c>
      <c r="W62" s="1049"/>
      <c r="X62" s="1051">
        <v>2.57</v>
      </c>
      <c r="Y62" s="1049"/>
      <c r="Z62" s="1050">
        <f t="shared" si="26"/>
        <v>2.0885999999999996</v>
      </c>
      <c r="AA62" s="1096">
        <f>AA59/24</f>
        <v>5.8316666666666661</v>
      </c>
      <c r="AB62" s="1086">
        <v>8</v>
      </c>
      <c r="AC62" s="1085">
        <v>9</v>
      </c>
      <c r="AD62" s="1084">
        <v>2</v>
      </c>
      <c r="AE62" s="1054">
        <f t="shared" si="27"/>
        <v>3.4</v>
      </c>
      <c r="AF62" s="1142">
        <v>4.79</v>
      </c>
      <c r="AG62" s="1052">
        <f t="shared" si="28"/>
        <v>2.395</v>
      </c>
      <c r="AH62" s="1049"/>
      <c r="AI62" s="1051">
        <v>1.7</v>
      </c>
      <c r="AJ62" s="1049"/>
      <c r="AK62" s="1152">
        <f t="shared" si="29"/>
        <v>1.7999999999999998</v>
      </c>
      <c r="AL62" s="1049"/>
      <c r="AM62" s="1096">
        <f>AM59/24</f>
        <v>0.4137499999999999</v>
      </c>
      <c r="AN62" s="1086">
        <v>8</v>
      </c>
      <c r="AO62" s="1085">
        <v>9</v>
      </c>
      <c r="AP62" s="1084">
        <v>0.19</v>
      </c>
      <c r="AQ62" s="1736">
        <f t="shared" si="30"/>
        <v>0</v>
      </c>
      <c r="AR62" s="1742">
        <v>0.35</v>
      </c>
      <c r="AS62" s="1052">
        <f t="shared" si="31"/>
        <v>1.8421052631578947</v>
      </c>
      <c r="AT62" s="1049"/>
      <c r="AU62" s="1051"/>
      <c r="AV62" s="1049"/>
      <c r="AW62" s="1096">
        <f>AW59/24</f>
        <v>0.62583333333333324</v>
      </c>
      <c r="AX62" s="1086">
        <v>8</v>
      </c>
      <c r="AY62" s="1085">
        <v>9</v>
      </c>
      <c r="AZ62" s="1084">
        <v>0.3</v>
      </c>
      <c r="BA62" s="1736">
        <v>0.79</v>
      </c>
      <c r="BB62" s="1742">
        <f t="shared" si="32"/>
        <v>2.6333333333333337</v>
      </c>
      <c r="BC62" s="1049"/>
      <c r="BD62" s="1051"/>
      <c r="BE62" s="1049"/>
      <c r="BF62" s="1096">
        <f>BF59/24</f>
        <v>0</v>
      </c>
      <c r="BG62" s="1086">
        <v>8</v>
      </c>
      <c r="BH62" s="1085">
        <v>9</v>
      </c>
      <c r="BI62" s="1084">
        <v>0.26</v>
      </c>
      <c r="BJ62" s="1736" t="s">
        <v>1395</v>
      </c>
      <c r="BK62" s="1049"/>
      <c r="BL62" s="1096">
        <f>BL59/24</f>
        <v>0</v>
      </c>
      <c r="BM62" s="1086">
        <v>8</v>
      </c>
      <c r="BN62" s="1085">
        <v>9</v>
      </c>
      <c r="BO62" s="1084">
        <v>0.15</v>
      </c>
      <c r="BP62" s="1084"/>
      <c r="BQ62" s="1049"/>
    </row>
    <row r="63" spans="1:69" ht="14.4">
      <c r="A63" s="1049"/>
      <c r="B63" s="1097"/>
      <c r="C63" s="1086">
        <v>9</v>
      </c>
      <c r="D63" s="1085">
        <v>10</v>
      </c>
      <c r="E63" s="1091">
        <v>1.37</v>
      </c>
      <c r="F63" s="1090">
        <v>3.97</v>
      </c>
      <c r="G63" s="1089">
        <f t="shared" si="22"/>
        <v>2.8978102189781021</v>
      </c>
      <c r="H63" s="1049"/>
      <c r="I63" s="1097"/>
      <c r="J63" s="1086">
        <v>9</v>
      </c>
      <c r="K63" s="1085">
        <v>10</v>
      </c>
      <c r="L63" s="1084">
        <v>1.3109999999999999</v>
      </c>
      <c r="M63" s="1088">
        <v>3.27</v>
      </c>
      <c r="N63" s="1087">
        <f t="shared" si="23"/>
        <v>2.4942791762013732</v>
      </c>
      <c r="O63" s="1049"/>
      <c r="P63" s="1096"/>
      <c r="Q63" s="1086">
        <v>9</v>
      </c>
      <c r="R63" s="1085">
        <v>10</v>
      </c>
      <c r="S63" s="1084">
        <v>1.766</v>
      </c>
      <c r="T63" s="1054">
        <f t="shared" si="24"/>
        <v>4.8388400000000003</v>
      </c>
      <c r="U63" s="1142">
        <v>6.48</v>
      </c>
      <c r="V63" s="1052">
        <f t="shared" si="25"/>
        <v>3.6693091732729335</v>
      </c>
      <c r="W63" s="1049"/>
      <c r="X63" s="1051">
        <v>2.74</v>
      </c>
      <c r="Y63" s="1049"/>
      <c r="Z63" s="1050">
        <f t="shared" si="26"/>
        <v>3.4260400000000004</v>
      </c>
      <c r="AA63" s="1096"/>
      <c r="AB63" s="1086">
        <v>9</v>
      </c>
      <c r="AC63" s="1085">
        <v>10</v>
      </c>
      <c r="AD63" s="1084">
        <v>1.96</v>
      </c>
      <c r="AE63" s="1054">
        <f t="shared" si="27"/>
        <v>3.3712</v>
      </c>
      <c r="AF63" s="1142">
        <v>4.7300000000000004</v>
      </c>
      <c r="AG63" s="1052">
        <f t="shared" si="28"/>
        <v>2.4132653061224492</v>
      </c>
      <c r="AH63" s="1049"/>
      <c r="AI63" s="1051">
        <v>1.72</v>
      </c>
      <c r="AJ63" s="1049"/>
      <c r="AK63" s="1152">
        <f t="shared" si="29"/>
        <v>1.8031999999999999</v>
      </c>
      <c r="AL63" s="1049"/>
      <c r="AM63" s="1096"/>
      <c r="AN63" s="1086">
        <v>9</v>
      </c>
      <c r="AO63" s="1085">
        <v>10</v>
      </c>
      <c r="AP63" s="1084">
        <v>0.2</v>
      </c>
      <c r="AQ63" s="1736">
        <f t="shared" si="30"/>
        <v>0</v>
      </c>
      <c r="AR63" s="1742">
        <v>0.36</v>
      </c>
      <c r="AS63" s="1052">
        <f t="shared" si="31"/>
        <v>1.7999999999999998</v>
      </c>
      <c r="AT63" s="1049"/>
      <c r="AU63" s="1051"/>
      <c r="AV63" s="1049"/>
      <c r="AW63" s="1096"/>
      <c r="AX63" s="1086">
        <v>9</v>
      </c>
      <c r="AY63" s="1085">
        <v>10</v>
      </c>
      <c r="AZ63" s="1084">
        <v>0.34</v>
      </c>
      <c r="BA63" s="1736">
        <v>0.81</v>
      </c>
      <c r="BB63" s="1742">
        <f t="shared" si="32"/>
        <v>2.3823529411764706</v>
      </c>
      <c r="BC63" s="1049"/>
      <c r="BD63" s="1051"/>
      <c r="BE63" s="1049"/>
      <c r="BF63" s="1096"/>
      <c r="BG63" s="1086">
        <v>9</v>
      </c>
      <c r="BH63" s="1085">
        <v>10</v>
      </c>
      <c r="BI63" s="1084">
        <v>0.17</v>
      </c>
      <c r="BJ63" s="1736" t="s">
        <v>1384</v>
      </c>
      <c r="BK63" s="1049"/>
      <c r="BL63" s="1096"/>
      <c r="BM63" s="1086">
        <v>9</v>
      </c>
      <c r="BN63" s="1085">
        <v>10</v>
      </c>
      <c r="BO63" s="1084">
        <v>0.91</v>
      </c>
      <c r="BP63" s="1084"/>
      <c r="BQ63" s="1049"/>
    </row>
    <row r="64" spans="1:69" ht="14.4">
      <c r="A64" s="1049"/>
      <c r="B64" s="1060"/>
      <c r="C64" s="1086">
        <v>10</v>
      </c>
      <c r="D64" s="1085">
        <v>11</v>
      </c>
      <c r="E64" s="1091">
        <v>1.32</v>
      </c>
      <c r="F64" s="1090">
        <v>3.81</v>
      </c>
      <c r="G64" s="1089">
        <f t="shared" si="22"/>
        <v>2.8863636363636362</v>
      </c>
      <c r="H64" s="1049"/>
      <c r="I64" s="1060"/>
      <c r="J64" s="1086">
        <v>10</v>
      </c>
      <c r="K64" s="1085">
        <v>11</v>
      </c>
      <c r="L64" s="1084">
        <v>0.82</v>
      </c>
      <c r="M64" s="1088">
        <v>2.06</v>
      </c>
      <c r="N64" s="1087">
        <f t="shared" si="23"/>
        <v>2.5121951219512195</v>
      </c>
      <c r="O64" s="1049"/>
      <c r="P64" s="1095">
        <f>SUM(Z54:Z77)</f>
        <v>59.087029999999999</v>
      </c>
      <c r="Q64" s="1086">
        <v>10</v>
      </c>
      <c r="R64" s="1085">
        <v>11</v>
      </c>
      <c r="S64" s="1084">
        <v>1.504</v>
      </c>
      <c r="T64" s="1054">
        <f t="shared" si="24"/>
        <v>4.4217599999999999</v>
      </c>
      <c r="U64" s="1142">
        <v>5.81</v>
      </c>
      <c r="V64" s="1052">
        <f t="shared" si="25"/>
        <v>3.8630319148936167</v>
      </c>
      <c r="W64" s="1049"/>
      <c r="X64" s="1051">
        <v>2.94</v>
      </c>
      <c r="Y64" s="1049"/>
      <c r="Z64" s="1050">
        <f t="shared" si="26"/>
        <v>3.2185599999999996</v>
      </c>
      <c r="AA64" s="1095">
        <f>SUM(AK54:AK77)</f>
        <v>42.179299999999998</v>
      </c>
      <c r="AB64" s="1086">
        <v>10</v>
      </c>
      <c r="AC64" s="1085">
        <v>11</v>
      </c>
      <c r="AD64" s="1084">
        <v>1.82</v>
      </c>
      <c r="AE64" s="1054">
        <f t="shared" si="27"/>
        <v>3.0939999999999999</v>
      </c>
      <c r="AF64" s="1142">
        <v>4.3499999999999996</v>
      </c>
      <c r="AG64" s="1052">
        <f t="shared" si="28"/>
        <v>2.3901098901098896</v>
      </c>
      <c r="AH64" s="1049"/>
      <c r="AI64" s="1051">
        <v>1.7</v>
      </c>
      <c r="AJ64" s="1049"/>
      <c r="AK64" s="1152">
        <f t="shared" si="29"/>
        <v>1.6379999999999999</v>
      </c>
      <c r="AL64" s="1049"/>
      <c r="AM64" s="1095" t="e">
        <f>SUM(#REF!)</f>
        <v>#REF!</v>
      </c>
      <c r="AN64" s="1086">
        <v>10</v>
      </c>
      <c r="AO64" s="1085">
        <v>11</v>
      </c>
      <c r="AP64" s="1084">
        <v>0.32</v>
      </c>
      <c r="AQ64" s="1736">
        <f t="shared" si="30"/>
        <v>0</v>
      </c>
      <c r="AR64" s="1742">
        <v>0.55000000000000004</v>
      </c>
      <c r="AS64" s="1052">
        <f t="shared" si="31"/>
        <v>1.71875</v>
      </c>
      <c r="AT64" s="1049"/>
      <c r="AU64" s="1051"/>
      <c r="AV64" s="1049"/>
      <c r="AW64" s="1095" t="e">
        <f>SUM(#REF!)</f>
        <v>#REF!</v>
      </c>
      <c r="AX64" s="1086">
        <v>10</v>
      </c>
      <c r="AY64" s="1085">
        <v>11</v>
      </c>
      <c r="AZ64" s="1084">
        <v>0.49</v>
      </c>
      <c r="BA64" s="1736">
        <v>1</v>
      </c>
      <c r="BB64" s="1742">
        <f t="shared" si="32"/>
        <v>2.0408163265306123</v>
      </c>
      <c r="BC64" s="1049"/>
      <c r="BD64" s="1051"/>
      <c r="BE64" s="1049"/>
      <c r="BF64" s="1095" t="e">
        <f>SUM(#REF!)</f>
        <v>#REF!</v>
      </c>
      <c r="BG64" s="1086">
        <v>10</v>
      </c>
      <c r="BH64" s="1085">
        <v>11</v>
      </c>
      <c r="BI64" s="1084">
        <v>0.37</v>
      </c>
      <c r="BJ64" s="1736" t="s">
        <v>1396</v>
      </c>
      <c r="BK64" s="1049"/>
      <c r="BL64" s="1095" t="e">
        <f>SUM(#REF!)</f>
        <v>#REF!</v>
      </c>
      <c r="BM64" s="1086">
        <v>10</v>
      </c>
      <c r="BN64" s="1085">
        <v>11</v>
      </c>
      <c r="BO64" s="1084">
        <v>0.79</v>
      </c>
      <c r="BP64" s="1084"/>
      <c r="BQ64" s="1049"/>
    </row>
    <row r="65" spans="1:69" ht="14.4">
      <c r="A65" s="1049"/>
      <c r="B65" s="1060"/>
      <c r="C65" s="1086">
        <v>11</v>
      </c>
      <c r="D65" s="1085">
        <v>12</v>
      </c>
      <c r="E65" s="1091">
        <v>0.68</v>
      </c>
      <c r="F65" s="1090">
        <v>1.96</v>
      </c>
      <c r="G65" s="1089">
        <f t="shared" si="22"/>
        <v>2.8823529411764701</v>
      </c>
      <c r="H65" s="1049"/>
      <c r="I65" s="1060"/>
      <c r="J65" s="1086">
        <v>11</v>
      </c>
      <c r="K65" s="1085">
        <v>12</v>
      </c>
      <c r="L65" s="1084">
        <v>0.34499999999999997</v>
      </c>
      <c r="M65" s="1088">
        <v>0.9</v>
      </c>
      <c r="N65" s="1087">
        <f t="shared" si="23"/>
        <v>2.6086956521739135</v>
      </c>
      <c r="O65" s="1049"/>
      <c r="P65" s="1093">
        <f>P64/P56</f>
        <v>1.888367849153084</v>
      </c>
      <c r="Q65" s="1086">
        <v>11</v>
      </c>
      <c r="R65" s="1085">
        <v>12</v>
      </c>
      <c r="S65" s="1084">
        <v>1.298</v>
      </c>
      <c r="T65" s="1054">
        <f t="shared" si="24"/>
        <v>3.8680400000000001</v>
      </c>
      <c r="U65" s="1142">
        <v>5.07</v>
      </c>
      <c r="V65" s="1052">
        <f t="shared" si="25"/>
        <v>3.9060092449922958</v>
      </c>
      <c r="W65" s="1049"/>
      <c r="X65" s="1051">
        <v>2.98</v>
      </c>
      <c r="Y65" s="1049"/>
      <c r="Z65" s="1050">
        <f t="shared" si="26"/>
        <v>2.8296399999999999</v>
      </c>
      <c r="AA65" s="1093">
        <f>AA64/AA56</f>
        <v>0.70345730486991342</v>
      </c>
      <c r="AB65" s="1086">
        <v>11</v>
      </c>
      <c r="AC65" s="1085">
        <v>12</v>
      </c>
      <c r="AD65" s="1084">
        <v>2.2400000000000002</v>
      </c>
      <c r="AE65" s="1054">
        <f t="shared" si="27"/>
        <v>3.8304000000000005</v>
      </c>
      <c r="AF65" s="1142">
        <v>5.36</v>
      </c>
      <c r="AG65" s="1052">
        <f t="shared" si="28"/>
        <v>2.3928571428571428</v>
      </c>
      <c r="AH65" s="1049"/>
      <c r="AI65" s="1051">
        <v>1.71</v>
      </c>
      <c r="AJ65" s="1049"/>
      <c r="AK65" s="1152">
        <f t="shared" si="29"/>
        <v>2.0384000000000002</v>
      </c>
      <c r="AL65" s="1049"/>
      <c r="AM65" s="1093" t="e">
        <f>AM64/AM56</f>
        <v>#REF!</v>
      </c>
      <c r="AN65" s="1086">
        <v>11</v>
      </c>
      <c r="AO65" s="1085">
        <v>12</v>
      </c>
      <c r="AP65" s="1084">
        <v>0.17</v>
      </c>
      <c r="AQ65" s="1736">
        <f t="shared" si="30"/>
        <v>0</v>
      </c>
      <c r="AR65" s="1742">
        <v>0.3</v>
      </c>
      <c r="AS65" s="1052">
        <f t="shared" si="31"/>
        <v>1.7647058823529409</v>
      </c>
      <c r="AT65" s="1049"/>
      <c r="AU65" s="1051"/>
      <c r="AV65" s="1049"/>
      <c r="AW65" s="1093" t="e">
        <f>AW64/AW56</f>
        <v>#REF!</v>
      </c>
      <c r="AX65" s="1086">
        <v>11</v>
      </c>
      <c r="AY65" s="1085">
        <v>12</v>
      </c>
      <c r="AZ65" s="1084">
        <v>0.8</v>
      </c>
      <c r="BA65" s="1736">
        <v>1.57</v>
      </c>
      <c r="BB65" s="1742">
        <f t="shared" si="32"/>
        <v>1.9624999999999999</v>
      </c>
      <c r="BC65" s="1049"/>
      <c r="BD65" s="1051"/>
      <c r="BE65" s="1049"/>
      <c r="BF65" s="1093" t="e">
        <f>BF64/BF56</f>
        <v>#REF!</v>
      </c>
      <c r="BG65" s="1086">
        <v>11</v>
      </c>
      <c r="BH65" s="1085">
        <v>12</v>
      </c>
      <c r="BI65" s="1084">
        <v>0.28999999999999998</v>
      </c>
      <c r="BJ65" s="1736" t="s">
        <v>1388</v>
      </c>
      <c r="BK65" s="1049"/>
      <c r="BL65" s="1093" t="e">
        <f>BL64/BL56</f>
        <v>#REF!</v>
      </c>
      <c r="BM65" s="1086">
        <v>11</v>
      </c>
      <c r="BN65" s="1085">
        <v>12</v>
      </c>
      <c r="BO65" s="1084">
        <v>0.33</v>
      </c>
      <c r="BP65" s="1084"/>
      <c r="BQ65" s="1049"/>
    </row>
    <row r="66" spans="1:69" ht="14.4">
      <c r="A66" s="1049"/>
      <c r="B66" s="1060"/>
      <c r="C66" s="1086">
        <v>12</v>
      </c>
      <c r="D66" s="1085">
        <v>13</v>
      </c>
      <c r="E66" s="1091">
        <v>0.71</v>
      </c>
      <c r="F66" s="1090">
        <v>2.04</v>
      </c>
      <c r="G66" s="1089">
        <f t="shared" si="22"/>
        <v>2.8732394366197185</v>
      </c>
      <c r="H66" s="1049"/>
      <c r="I66" s="1060"/>
      <c r="J66" s="1086">
        <v>12</v>
      </c>
      <c r="K66" s="1085">
        <v>13</v>
      </c>
      <c r="L66" s="1084">
        <v>0.47499999999999998</v>
      </c>
      <c r="M66" s="1088">
        <v>1.23</v>
      </c>
      <c r="N66" s="1087">
        <f t="shared" si="23"/>
        <v>2.5894736842105264</v>
      </c>
      <c r="O66" s="1049"/>
      <c r="P66" s="1060"/>
      <c r="Q66" s="1086">
        <v>12</v>
      </c>
      <c r="R66" s="1085">
        <v>13</v>
      </c>
      <c r="S66" s="1084">
        <v>1.256</v>
      </c>
      <c r="T66" s="1054">
        <f t="shared" si="24"/>
        <v>3.6047200000000004</v>
      </c>
      <c r="U66" s="1142">
        <v>4.76</v>
      </c>
      <c r="V66" s="1052">
        <f t="shared" si="25"/>
        <v>3.7898089171974521</v>
      </c>
      <c r="W66" s="1049"/>
      <c r="X66" s="1051">
        <v>2.87</v>
      </c>
      <c r="Y66" s="1049"/>
      <c r="Z66" s="1050">
        <f t="shared" si="26"/>
        <v>2.5999200000000005</v>
      </c>
      <c r="AA66" s="1060"/>
      <c r="AB66" s="1086">
        <v>12</v>
      </c>
      <c r="AC66" s="1085">
        <v>13</v>
      </c>
      <c r="AD66" s="1084">
        <v>1.93</v>
      </c>
      <c r="AE66" s="1054">
        <f t="shared" si="27"/>
        <v>3.2037999999999998</v>
      </c>
      <c r="AF66" s="1142">
        <v>4.54</v>
      </c>
      <c r="AG66" s="1052">
        <f t="shared" si="28"/>
        <v>2.3523316062176165</v>
      </c>
      <c r="AH66" s="1049"/>
      <c r="AI66" s="1051">
        <v>1.66</v>
      </c>
      <c r="AJ66" s="1049"/>
      <c r="AK66" s="1152">
        <f t="shared" si="29"/>
        <v>1.6597999999999997</v>
      </c>
      <c r="AL66" s="1049"/>
      <c r="AM66" s="1060"/>
      <c r="AN66" s="1086">
        <v>12</v>
      </c>
      <c r="AO66" s="1085">
        <v>13</v>
      </c>
      <c r="AP66" s="1084">
        <v>0.09</v>
      </c>
      <c r="AQ66" s="1736">
        <f t="shared" si="30"/>
        <v>0</v>
      </c>
      <c r="AR66" s="1742">
        <v>0.16</v>
      </c>
      <c r="AS66" s="1052">
        <f t="shared" si="31"/>
        <v>1.7777777777777779</v>
      </c>
      <c r="AT66" s="1049"/>
      <c r="AU66" s="1051"/>
      <c r="AV66" s="1049"/>
      <c r="AW66" s="1060"/>
      <c r="AX66" s="1086">
        <v>12</v>
      </c>
      <c r="AY66" s="1085">
        <v>13</v>
      </c>
      <c r="AZ66" s="1084">
        <v>0.37</v>
      </c>
      <c r="BA66" s="1736">
        <v>0.69</v>
      </c>
      <c r="BB66" s="1742">
        <f t="shared" si="32"/>
        <v>1.8648648648648647</v>
      </c>
      <c r="BC66" s="1049"/>
      <c r="BD66" s="1051"/>
      <c r="BE66" s="1049"/>
      <c r="BF66" s="1060"/>
      <c r="BG66" s="1086">
        <v>12</v>
      </c>
      <c r="BH66" s="1085">
        <v>13</v>
      </c>
      <c r="BI66" s="1084">
        <v>0.82</v>
      </c>
      <c r="BJ66" s="1736" t="s">
        <v>1397</v>
      </c>
      <c r="BK66" s="1049"/>
      <c r="BL66" s="1060"/>
      <c r="BM66" s="1086">
        <v>12</v>
      </c>
      <c r="BN66" s="1085">
        <v>13</v>
      </c>
      <c r="BO66" s="1084">
        <v>0.22</v>
      </c>
      <c r="BP66" s="1084"/>
      <c r="BQ66" s="1049"/>
    </row>
    <row r="67" spans="1:69" ht="14.4">
      <c r="A67" s="1049"/>
      <c r="B67" s="1060"/>
      <c r="C67" s="1086">
        <v>13</v>
      </c>
      <c r="D67" s="1085">
        <v>14</v>
      </c>
      <c r="E67" s="1091">
        <v>0.47</v>
      </c>
      <c r="F67" s="1090">
        <v>1.36</v>
      </c>
      <c r="G67" s="1089">
        <f t="shared" si="22"/>
        <v>2.8936170212765959</v>
      </c>
      <c r="H67" s="1049"/>
      <c r="I67" s="1060"/>
      <c r="J67" s="1086">
        <v>13</v>
      </c>
      <c r="K67" s="1085">
        <v>14</v>
      </c>
      <c r="L67" s="1084">
        <v>0.36099999999999999</v>
      </c>
      <c r="M67" s="1088">
        <v>0.96</v>
      </c>
      <c r="N67" s="1087">
        <f t="shared" si="23"/>
        <v>2.6592797783933517</v>
      </c>
      <c r="O67" s="1049"/>
      <c r="P67" s="1092" t="s">
        <v>1127</v>
      </c>
      <c r="Q67" s="1086">
        <v>13</v>
      </c>
      <c r="R67" s="1085">
        <v>14</v>
      </c>
      <c r="S67" s="1084">
        <v>1.1140000000000001</v>
      </c>
      <c r="T67" s="1054">
        <f t="shared" si="24"/>
        <v>3.1637600000000003</v>
      </c>
      <c r="U67" s="1142">
        <v>4.1900000000000004</v>
      </c>
      <c r="V67" s="1052">
        <f t="shared" si="25"/>
        <v>3.7612208258527828</v>
      </c>
      <c r="W67" s="1049"/>
      <c r="X67" s="1051">
        <v>2.84</v>
      </c>
      <c r="Y67" s="1049"/>
      <c r="Z67" s="1050">
        <f t="shared" si="26"/>
        <v>2.2725600000000004</v>
      </c>
      <c r="AA67" s="1092" t="s">
        <v>1127</v>
      </c>
      <c r="AB67" s="1086">
        <v>13</v>
      </c>
      <c r="AC67" s="1085">
        <v>14</v>
      </c>
      <c r="AD67" s="1084">
        <v>2.16</v>
      </c>
      <c r="AE67" s="1054">
        <f t="shared" si="27"/>
        <v>3.5207999999999999</v>
      </c>
      <c r="AF67" s="1142">
        <v>5.0199999999999996</v>
      </c>
      <c r="AG67" s="1052">
        <f t="shared" si="28"/>
        <v>2.3240740740740735</v>
      </c>
      <c r="AH67" s="1049"/>
      <c r="AI67" s="1051">
        <v>1.63</v>
      </c>
      <c r="AJ67" s="1049"/>
      <c r="AK67" s="1152">
        <f t="shared" si="29"/>
        <v>1.7927999999999997</v>
      </c>
      <c r="AL67" s="1049"/>
      <c r="AM67" s="1092" t="s">
        <v>1127</v>
      </c>
      <c r="AN67" s="1086">
        <v>13</v>
      </c>
      <c r="AO67" s="1085">
        <v>14</v>
      </c>
      <c r="AP67" s="1084">
        <v>0.08</v>
      </c>
      <c r="AQ67" s="1736">
        <f t="shared" si="30"/>
        <v>0</v>
      </c>
      <c r="AR67" s="1742">
        <v>0.14000000000000001</v>
      </c>
      <c r="AS67" s="1052">
        <f t="shared" si="31"/>
        <v>1.7500000000000002</v>
      </c>
      <c r="AT67" s="1049"/>
      <c r="AU67" s="1051"/>
      <c r="AV67" s="1049"/>
      <c r="AW67" s="1092" t="s">
        <v>1127</v>
      </c>
      <c r="AX67" s="1086">
        <v>13</v>
      </c>
      <c r="AY67" s="1085">
        <v>14</v>
      </c>
      <c r="AZ67" s="1084">
        <v>0.25</v>
      </c>
      <c r="BA67" s="1736">
        <v>0.45</v>
      </c>
      <c r="BB67" s="1742">
        <f t="shared" si="32"/>
        <v>1.8</v>
      </c>
      <c r="BC67" s="1049"/>
      <c r="BD67" s="1051"/>
      <c r="BE67" s="1049"/>
      <c r="BF67" s="1092" t="s">
        <v>1127</v>
      </c>
      <c r="BG67" s="1086">
        <v>13</v>
      </c>
      <c r="BH67" s="1085">
        <v>14</v>
      </c>
      <c r="BI67" s="1084">
        <v>0.54</v>
      </c>
      <c r="BJ67" s="1736" t="s">
        <v>1391</v>
      </c>
      <c r="BK67" s="1049"/>
      <c r="BL67" s="1092" t="s">
        <v>1127</v>
      </c>
      <c r="BM67" s="1086">
        <v>13</v>
      </c>
      <c r="BN67" s="1085">
        <v>14</v>
      </c>
      <c r="BO67" s="1084">
        <v>0.32</v>
      </c>
      <c r="BP67" s="1084"/>
      <c r="BQ67" s="1049"/>
    </row>
    <row r="68" spans="1:69" ht="14.4">
      <c r="A68" s="1049"/>
      <c r="B68" s="1060"/>
      <c r="C68" s="1086">
        <v>14</v>
      </c>
      <c r="D68" s="1085">
        <v>15</v>
      </c>
      <c r="E68" s="1091">
        <v>0.46</v>
      </c>
      <c r="F68" s="1090">
        <v>1.33</v>
      </c>
      <c r="G68" s="1089">
        <f t="shared" si="22"/>
        <v>2.8913043478260869</v>
      </c>
      <c r="H68" s="1049"/>
      <c r="I68" s="1060"/>
      <c r="J68" s="1086">
        <v>14</v>
      </c>
      <c r="K68" s="1085">
        <v>15</v>
      </c>
      <c r="L68" s="1084">
        <v>0.434</v>
      </c>
      <c r="M68" s="1088">
        <v>1.17</v>
      </c>
      <c r="N68" s="1087">
        <f t="shared" si="23"/>
        <v>2.6958525345622117</v>
      </c>
      <c r="O68" s="1049"/>
      <c r="P68" s="1058">
        <f>P56*0.8</f>
        <v>25.032</v>
      </c>
      <c r="Q68" s="1086">
        <v>14</v>
      </c>
      <c r="R68" s="1085">
        <v>15</v>
      </c>
      <c r="S68" s="1084">
        <v>1.016</v>
      </c>
      <c r="T68" s="1054">
        <f t="shared" si="24"/>
        <v>2.9057599999999999</v>
      </c>
      <c r="U68" s="1142">
        <v>3.84</v>
      </c>
      <c r="V68" s="1052">
        <f t="shared" si="25"/>
        <v>3.7795275590551181</v>
      </c>
      <c r="W68" s="1049"/>
      <c r="X68" s="1051">
        <v>2.86</v>
      </c>
      <c r="Y68" s="1049"/>
      <c r="Z68" s="1050">
        <f t="shared" si="26"/>
        <v>2.0929599999999997</v>
      </c>
      <c r="AA68" s="1058">
        <f>AA56*0.8</f>
        <v>47.967999999999989</v>
      </c>
      <c r="AB68" s="1086">
        <v>14</v>
      </c>
      <c r="AC68" s="1085">
        <v>15</v>
      </c>
      <c r="AD68" s="1084">
        <v>2.33</v>
      </c>
      <c r="AE68" s="1054">
        <f t="shared" si="27"/>
        <v>3.8445</v>
      </c>
      <c r="AF68" s="1142">
        <v>5.44</v>
      </c>
      <c r="AG68" s="1052">
        <f t="shared" si="28"/>
        <v>2.3347639484978542</v>
      </c>
      <c r="AH68" s="1049"/>
      <c r="AI68" s="1051">
        <v>1.65</v>
      </c>
      <c r="AJ68" s="1049"/>
      <c r="AK68" s="1152">
        <f t="shared" si="29"/>
        <v>1.9804999999999997</v>
      </c>
      <c r="AL68" s="1049"/>
      <c r="AM68" s="1058">
        <f>AM56*0.8</f>
        <v>4.056</v>
      </c>
      <c r="AN68" s="1086">
        <v>14</v>
      </c>
      <c r="AO68" s="1085">
        <v>15</v>
      </c>
      <c r="AP68" s="1084">
        <v>0.2</v>
      </c>
      <c r="AQ68" s="1736">
        <f t="shared" si="30"/>
        <v>0</v>
      </c>
      <c r="AR68" s="1742">
        <v>0.36</v>
      </c>
      <c r="AS68" s="1052">
        <f t="shared" si="31"/>
        <v>1.7999999999999998</v>
      </c>
      <c r="AT68" s="1049"/>
      <c r="AU68" s="1051"/>
      <c r="AV68" s="1049"/>
      <c r="AW68" s="1058">
        <f>AW56*0.8</f>
        <v>5.7920000000000007</v>
      </c>
      <c r="AX68" s="1086">
        <v>14</v>
      </c>
      <c r="AY68" s="1085">
        <v>15</v>
      </c>
      <c r="AZ68" s="1084">
        <v>0.37</v>
      </c>
      <c r="BA68" s="1736">
        <v>0.63</v>
      </c>
      <c r="BB68" s="1742">
        <f t="shared" si="32"/>
        <v>1.7027027027027026</v>
      </c>
      <c r="BC68" s="1049"/>
      <c r="BD68" s="1051"/>
      <c r="BE68" s="1049"/>
      <c r="BF68" s="1058">
        <f>BF56*0.8</f>
        <v>5.92</v>
      </c>
      <c r="BG68" s="1086">
        <v>14</v>
      </c>
      <c r="BH68" s="1085">
        <v>15</v>
      </c>
      <c r="BI68" s="1084">
        <v>0.13</v>
      </c>
      <c r="BJ68" s="1736" t="s">
        <v>1398</v>
      </c>
      <c r="BK68" s="1049"/>
      <c r="BL68" s="1058">
        <f>BL56*0.8</f>
        <v>6.3120000000000012</v>
      </c>
      <c r="BM68" s="1086">
        <v>14</v>
      </c>
      <c r="BN68" s="1085">
        <v>15</v>
      </c>
      <c r="BO68" s="1084">
        <v>0.21</v>
      </c>
      <c r="BP68" s="1084"/>
      <c r="BQ68" s="1049"/>
    </row>
    <row r="69" spans="1:69" ht="14.4">
      <c r="A69" s="1049"/>
      <c r="B69" s="1060"/>
      <c r="C69" s="1086">
        <v>15</v>
      </c>
      <c r="D69" s="1085">
        <v>16</v>
      </c>
      <c r="E69" s="1091">
        <v>0.66</v>
      </c>
      <c r="F69" s="1090">
        <v>1.92</v>
      </c>
      <c r="G69" s="1089">
        <f t="shared" si="22"/>
        <v>2.9090909090909087</v>
      </c>
      <c r="H69" s="1049"/>
      <c r="I69" s="1060"/>
      <c r="J69" s="1086">
        <v>15</v>
      </c>
      <c r="K69" s="1085">
        <v>16</v>
      </c>
      <c r="L69" s="1084">
        <v>0.42199999999999999</v>
      </c>
      <c r="M69" s="1088">
        <v>1.1000000000000001</v>
      </c>
      <c r="N69" s="1087">
        <f t="shared" si="23"/>
        <v>2.6066350710900479</v>
      </c>
      <c r="O69" s="1049"/>
      <c r="P69" s="1058" t="s">
        <v>1126</v>
      </c>
      <c r="Q69" s="1086">
        <v>15</v>
      </c>
      <c r="R69" s="1085">
        <v>16</v>
      </c>
      <c r="S69" s="1084">
        <v>1.3759999999999999</v>
      </c>
      <c r="T69" s="1054">
        <f t="shared" si="24"/>
        <v>4.0867199999999997</v>
      </c>
      <c r="U69" s="1142">
        <v>5.36</v>
      </c>
      <c r="V69" s="1052">
        <f t="shared" si="25"/>
        <v>3.895348837209303</v>
      </c>
      <c r="W69" s="1049"/>
      <c r="X69" s="1051">
        <v>2.97</v>
      </c>
      <c r="Y69" s="1049"/>
      <c r="Z69" s="1050">
        <f t="shared" si="26"/>
        <v>2.9859199999999997</v>
      </c>
      <c r="AA69" s="1058" t="s">
        <v>1126</v>
      </c>
      <c r="AB69" s="1086">
        <v>15</v>
      </c>
      <c r="AC69" s="1085">
        <v>16</v>
      </c>
      <c r="AD69" s="1084">
        <v>3.33</v>
      </c>
      <c r="AE69" s="1054">
        <f t="shared" si="27"/>
        <v>5.6276999999999999</v>
      </c>
      <c r="AF69" s="1142">
        <v>7.93</v>
      </c>
      <c r="AG69" s="1052">
        <f t="shared" si="28"/>
        <v>2.3813813813813813</v>
      </c>
      <c r="AH69" s="1049"/>
      <c r="AI69" s="1051">
        <v>1.69</v>
      </c>
      <c r="AJ69" s="1049"/>
      <c r="AK69" s="1152">
        <f t="shared" si="29"/>
        <v>2.9636999999999998</v>
      </c>
      <c r="AL69" s="1049"/>
      <c r="AM69" s="1058" t="s">
        <v>1126</v>
      </c>
      <c r="AN69" s="1086">
        <v>15</v>
      </c>
      <c r="AO69" s="1085">
        <v>16</v>
      </c>
      <c r="AP69" s="1084">
        <v>0.28999999999999998</v>
      </c>
      <c r="AQ69" s="1736">
        <f t="shared" si="30"/>
        <v>0</v>
      </c>
      <c r="AR69" s="1742">
        <v>0.51</v>
      </c>
      <c r="AS69" s="1052">
        <f t="shared" si="31"/>
        <v>1.7586206896551726</v>
      </c>
      <c r="AT69" s="1049"/>
      <c r="AU69" s="1051"/>
      <c r="AV69" s="1049"/>
      <c r="AW69" s="1058" t="s">
        <v>1126</v>
      </c>
      <c r="AX69" s="1086">
        <v>15</v>
      </c>
      <c r="AY69" s="1085">
        <v>16</v>
      </c>
      <c r="AZ69" s="1084">
        <v>0.37</v>
      </c>
      <c r="BA69" s="1736">
        <v>0.62</v>
      </c>
      <c r="BB69" s="1742">
        <f t="shared" si="32"/>
        <v>1.6756756756756757</v>
      </c>
      <c r="BC69" s="1049"/>
      <c r="BD69" s="1051"/>
      <c r="BE69" s="1049"/>
      <c r="BF69" s="1058" t="s">
        <v>1126</v>
      </c>
      <c r="BG69" s="1086">
        <v>15</v>
      </c>
      <c r="BH69" s="1085">
        <v>16</v>
      </c>
      <c r="BI69" s="1084">
        <v>0.19</v>
      </c>
      <c r="BJ69" s="1736" t="s">
        <v>1375</v>
      </c>
      <c r="BK69" s="1049"/>
      <c r="BL69" s="1058" t="s">
        <v>1126</v>
      </c>
      <c r="BM69" s="1086">
        <v>15</v>
      </c>
      <c r="BN69" s="1085">
        <v>16</v>
      </c>
      <c r="BO69" s="1084">
        <v>0.3</v>
      </c>
      <c r="BP69" s="1084"/>
      <c r="BQ69" s="1049"/>
    </row>
    <row r="70" spans="1:69" ht="15" thickBot="1">
      <c r="A70" s="1049"/>
      <c r="B70" s="1060"/>
      <c r="C70" s="1077">
        <v>16</v>
      </c>
      <c r="D70" s="1076">
        <v>17</v>
      </c>
      <c r="E70" s="1083">
        <v>0.55000000000000004</v>
      </c>
      <c r="F70" s="1082">
        <v>1.58</v>
      </c>
      <c r="G70" s="1081">
        <f t="shared" si="22"/>
        <v>2.8727272727272726</v>
      </c>
      <c r="H70" s="1049"/>
      <c r="I70" s="1060"/>
      <c r="J70" s="1077">
        <v>16</v>
      </c>
      <c r="K70" s="1076">
        <v>17</v>
      </c>
      <c r="L70" s="1075">
        <v>0.39200000000000002</v>
      </c>
      <c r="M70" s="1080">
        <v>1.06</v>
      </c>
      <c r="N70" s="1079">
        <f t="shared" si="23"/>
        <v>2.7040816326530615</v>
      </c>
      <c r="O70" s="1049"/>
      <c r="P70" s="1078">
        <f>P56*(X53-0.8)</f>
        <v>57.873462500000009</v>
      </c>
      <c r="Q70" s="1077">
        <v>16</v>
      </c>
      <c r="R70" s="1076">
        <v>17</v>
      </c>
      <c r="S70" s="1075">
        <v>1.454</v>
      </c>
      <c r="T70" s="1054">
        <f t="shared" si="24"/>
        <v>4.4201600000000001</v>
      </c>
      <c r="U70" s="1140">
        <v>5.76</v>
      </c>
      <c r="V70" s="1052">
        <f t="shared" si="25"/>
        <v>3.9614855570839063</v>
      </c>
      <c r="W70" s="1049"/>
      <c r="X70" s="1074">
        <v>3.04</v>
      </c>
      <c r="Y70" s="1049"/>
      <c r="Z70" s="1050">
        <f t="shared" si="26"/>
        <v>3.2569600000000003</v>
      </c>
      <c r="AA70" s="1078">
        <f>AA56*(AI53-0.8)</f>
        <v>41.272466666666652</v>
      </c>
      <c r="AB70" s="1077">
        <v>16</v>
      </c>
      <c r="AC70" s="1076">
        <v>17</v>
      </c>
      <c r="AD70" s="1075">
        <v>3.37</v>
      </c>
      <c r="AE70" s="1153">
        <f t="shared" si="27"/>
        <v>5.6616</v>
      </c>
      <c r="AF70" s="1140">
        <v>8</v>
      </c>
      <c r="AG70" s="1113">
        <f t="shared" si="28"/>
        <v>2.3738872403560829</v>
      </c>
      <c r="AH70" s="1049"/>
      <c r="AI70" s="1074">
        <v>1.68</v>
      </c>
      <c r="AJ70" s="1049"/>
      <c r="AK70" s="1152">
        <f t="shared" si="29"/>
        <v>2.9655999999999998</v>
      </c>
      <c r="AL70" s="1049"/>
      <c r="AM70" s="1078" t="e">
        <f>AM56*(AU53-0.8)</f>
        <v>#DIV/0!</v>
      </c>
      <c r="AN70" s="1077">
        <v>16</v>
      </c>
      <c r="AO70" s="1076">
        <v>17</v>
      </c>
      <c r="AP70" s="1075">
        <v>0.25</v>
      </c>
      <c r="AQ70" s="1738">
        <f t="shared" si="30"/>
        <v>0</v>
      </c>
      <c r="AR70" s="1743">
        <v>0.46</v>
      </c>
      <c r="AS70" s="1113">
        <f t="shared" si="31"/>
        <v>1.84</v>
      </c>
      <c r="AT70" s="1049"/>
      <c r="AU70" s="1074"/>
      <c r="AV70" s="1049"/>
      <c r="AW70" s="1078" t="e">
        <f>AW56*(BD53-0.8)</f>
        <v>#DIV/0!</v>
      </c>
      <c r="AX70" s="1077">
        <v>16</v>
      </c>
      <c r="AY70" s="1076">
        <v>17</v>
      </c>
      <c r="AZ70" s="1075">
        <v>0.41</v>
      </c>
      <c r="BA70" s="1738">
        <v>0.69</v>
      </c>
      <c r="BB70" s="1743">
        <f t="shared" si="32"/>
        <v>1.6829268292682926</v>
      </c>
      <c r="BC70" s="1049"/>
      <c r="BD70" s="1074"/>
      <c r="BE70" s="1049"/>
      <c r="BF70" s="1078">
        <f>BF56*(BM53-0.8)</f>
        <v>-5.92</v>
      </c>
      <c r="BG70" s="1077">
        <v>16</v>
      </c>
      <c r="BH70" s="1076">
        <v>17</v>
      </c>
      <c r="BI70" s="1075">
        <v>0.44</v>
      </c>
      <c r="BJ70" s="1738" t="s">
        <v>1399</v>
      </c>
      <c r="BK70" s="1049"/>
      <c r="BL70" s="1078">
        <f>BL56*(BS53-0.8)</f>
        <v>-6.3120000000000012</v>
      </c>
      <c r="BM70" s="1077">
        <v>16</v>
      </c>
      <c r="BN70" s="1076">
        <v>17</v>
      </c>
      <c r="BO70" s="1075">
        <v>0.43</v>
      </c>
      <c r="BP70" s="1075"/>
      <c r="BQ70" s="1049"/>
    </row>
    <row r="71" spans="1:69" ht="14.4">
      <c r="A71" s="1049"/>
      <c r="B71" s="1060"/>
      <c r="C71" s="1068">
        <v>17</v>
      </c>
      <c r="D71" s="1067">
        <v>18</v>
      </c>
      <c r="E71" s="1073">
        <v>1.3</v>
      </c>
      <c r="F71" s="1072">
        <v>4.53</v>
      </c>
      <c r="G71" s="1071">
        <f t="shared" si="22"/>
        <v>3.4846153846153847</v>
      </c>
      <c r="H71" s="1049"/>
      <c r="I71" s="1060"/>
      <c r="J71" s="1068">
        <v>17</v>
      </c>
      <c r="K71" s="1067">
        <v>18</v>
      </c>
      <c r="L71" s="1066">
        <v>0.40200000000000002</v>
      </c>
      <c r="M71" s="1070">
        <v>1.41</v>
      </c>
      <c r="N71" s="1069">
        <f t="shared" si="23"/>
        <v>3.5074626865671639</v>
      </c>
      <c r="O71" s="1049"/>
      <c r="P71" s="1058"/>
      <c r="Q71" s="1068">
        <v>17</v>
      </c>
      <c r="R71" s="1067">
        <v>18</v>
      </c>
      <c r="S71" s="1066">
        <v>1.4490000000000001</v>
      </c>
      <c r="T71" s="1054">
        <f t="shared" si="24"/>
        <v>4.4484300000000001</v>
      </c>
      <c r="U71" s="1138">
        <v>5.78</v>
      </c>
      <c r="V71" s="1052">
        <f t="shared" si="25"/>
        <v>3.9889579020013803</v>
      </c>
      <c r="W71" s="1049"/>
      <c r="X71" s="1065">
        <v>3.07</v>
      </c>
      <c r="Y71" s="1049"/>
      <c r="Z71" s="1050">
        <f t="shared" si="26"/>
        <v>3.2892299999999994</v>
      </c>
      <c r="AA71" s="1058"/>
      <c r="AB71" s="1068">
        <v>17</v>
      </c>
      <c r="AC71" s="1067">
        <v>18</v>
      </c>
      <c r="AD71" s="1066">
        <v>3.47</v>
      </c>
      <c r="AE71" s="1151">
        <f t="shared" si="27"/>
        <v>5.9683999999999999</v>
      </c>
      <c r="AF71" s="1138">
        <v>11.06</v>
      </c>
      <c r="AG71" s="1069">
        <f t="shared" si="28"/>
        <v>3.1873198847262247</v>
      </c>
      <c r="AH71" s="1049"/>
      <c r="AI71" s="1065">
        <v>1.72</v>
      </c>
      <c r="AJ71" s="1049"/>
      <c r="AK71" s="1050">
        <f t="shared" si="29"/>
        <v>3.1924000000000001</v>
      </c>
      <c r="AL71" s="1049"/>
      <c r="AM71" s="1058"/>
      <c r="AN71" s="1068">
        <v>17</v>
      </c>
      <c r="AO71" s="1067">
        <v>18</v>
      </c>
      <c r="AP71" s="1066">
        <v>0.28999999999999998</v>
      </c>
      <c r="AQ71" s="1740">
        <f t="shared" si="30"/>
        <v>0</v>
      </c>
      <c r="AR71" s="1744">
        <v>0.77</v>
      </c>
      <c r="AS71" s="1069">
        <f t="shared" si="31"/>
        <v>2.6551724137931036</v>
      </c>
      <c r="AT71" s="1049"/>
      <c r="AU71" s="1065"/>
      <c r="AV71" s="1049"/>
      <c r="AW71" s="1058"/>
      <c r="AX71" s="1068">
        <v>17</v>
      </c>
      <c r="AY71" s="1067">
        <v>18</v>
      </c>
      <c r="AZ71" s="1066">
        <v>0.99</v>
      </c>
      <c r="BA71" s="1740">
        <v>2.46</v>
      </c>
      <c r="BB71" s="1744">
        <f t="shared" si="32"/>
        <v>2.4848484848484849</v>
      </c>
      <c r="BC71" s="1049"/>
      <c r="BD71" s="1065"/>
      <c r="BE71" s="1049"/>
      <c r="BF71" s="1058"/>
      <c r="BG71" s="1068">
        <v>17</v>
      </c>
      <c r="BH71" s="1067">
        <v>18</v>
      </c>
      <c r="BI71" s="1066">
        <v>1.03</v>
      </c>
      <c r="BJ71" s="1740" t="s">
        <v>1400</v>
      </c>
      <c r="BK71" s="1049"/>
      <c r="BL71" s="1058"/>
      <c r="BM71" s="1068">
        <v>17</v>
      </c>
      <c r="BN71" s="1067">
        <v>18</v>
      </c>
      <c r="BO71" s="1066">
        <v>1.1399999999999999</v>
      </c>
      <c r="BP71" s="1066"/>
      <c r="BQ71" s="1049"/>
    </row>
    <row r="72" spans="1:69" ht="14.4">
      <c r="A72" s="1049"/>
      <c r="B72" s="1060"/>
      <c r="C72" s="1057">
        <v>18</v>
      </c>
      <c r="D72" s="1056">
        <v>19</v>
      </c>
      <c r="E72" s="1063">
        <v>0.57999999999999996</v>
      </c>
      <c r="F72" s="1062">
        <v>2.04</v>
      </c>
      <c r="G72" s="1061">
        <f t="shared" si="22"/>
        <v>3.5172413793103452</v>
      </c>
      <c r="H72" s="1049"/>
      <c r="I72" s="1060"/>
      <c r="J72" s="1057">
        <v>18</v>
      </c>
      <c r="K72" s="1056">
        <v>19</v>
      </c>
      <c r="L72" s="1055">
        <v>0.62</v>
      </c>
      <c r="M72" s="1059">
        <v>2.12</v>
      </c>
      <c r="N72" s="1052">
        <f t="shared" si="23"/>
        <v>3.4193548387096775</v>
      </c>
      <c r="O72" s="1049"/>
      <c r="P72" s="1058"/>
      <c r="Q72" s="1057">
        <v>18</v>
      </c>
      <c r="R72" s="1056">
        <v>19</v>
      </c>
      <c r="S72" s="1055">
        <v>1.6759999999999999</v>
      </c>
      <c r="T72" s="1054">
        <f t="shared" si="24"/>
        <v>5.0112399999999999</v>
      </c>
      <c r="U72" s="1136">
        <v>6.55</v>
      </c>
      <c r="V72" s="1052">
        <f t="shared" si="25"/>
        <v>3.9081145584725538</v>
      </c>
      <c r="W72" s="1049"/>
      <c r="X72" s="1051">
        <v>2.99</v>
      </c>
      <c r="Y72" s="1049"/>
      <c r="Z72" s="1050">
        <f t="shared" si="26"/>
        <v>3.6704400000000006</v>
      </c>
      <c r="AA72" s="1058"/>
      <c r="AB72" s="1057">
        <v>18</v>
      </c>
      <c r="AC72" s="1056">
        <v>19</v>
      </c>
      <c r="AD72" s="1055">
        <v>3.43</v>
      </c>
      <c r="AE72" s="1054">
        <f t="shared" si="27"/>
        <v>5.8310000000000004</v>
      </c>
      <c r="AF72" s="1136">
        <v>10.87</v>
      </c>
      <c r="AG72" s="1052">
        <f t="shared" si="28"/>
        <v>3.1690962099125359</v>
      </c>
      <c r="AH72" s="1049"/>
      <c r="AI72" s="1051">
        <v>1.7</v>
      </c>
      <c r="AJ72" s="1049"/>
      <c r="AK72" s="1050">
        <f t="shared" si="29"/>
        <v>3.0869999999999997</v>
      </c>
      <c r="AL72" s="1049"/>
      <c r="AM72" s="1058"/>
      <c r="AN72" s="1057">
        <v>18</v>
      </c>
      <c r="AO72" s="1056">
        <v>19</v>
      </c>
      <c r="AP72" s="1055">
        <v>0.42</v>
      </c>
      <c r="AQ72" s="1736">
        <f t="shared" si="30"/>
        <v>0</v>
      </c>
      <c r="AR72" s="1737">
        <v>1.1200000000000001</v>
      </c>
      <c r="AS72" s="1052">
        <f t="shared" si="31"/>
        <v>2.666666666666667</v>
      </c>
      <c r="AT72" s="1049"/>
      <c r="AU72" s="1051"/>
      <c r="AV72" s="1049"/>
      <c r="AW72" s="1058"/>
      <c r="AX72" s="1057">
        <v>18</v>
      </c>
      <c r="AY72" s="1056">
        <v>19</v>
      </c>
      <c r="AZ72" s="1055">
        <v>0.43</v>
      </c>
      <c r="BA72" s="1736">
        <v>1.07</v>
      </c>
      <c r="BB72" s="1737">
        <f t="shared" si="32"/>
        <v>2.4883720930232558</v>
      </c>
      <c r="BC72" s="1049"/>
      <c r="BD72" s="1051"/>
      <c r="BE72" s="1049"/>
      <c r="BF72" s="1058"/>
      <c r="BG72" s="1057">
        <v>18</v>
      </c>
      <c r="BH72" s="1056">
        <v>19</v>
      </c>
      <c r="BI72" s="1055">
        <v>0.73</v>
      </c>
      <c r="BJ72" s="1736" t="s">
        <v>1401</v>
      </c>
      <c r="BK72" s="1049"/>
      <c r="BL72" s="1058"/>
      <c r="BM72" s="1057">
        <v>18</v>
      </c>
      <c r="BN72" s="1056">
        <v>19</v>
      </c>
      <c r="BO72" s="1055">
        <v>0.37</v>
      </c>
      <c r="BP72" s="1055"/>
      <c r="BQ72" s="1049"/>
    </row>
    <row r="73" spans="1:69" ht="14.4">
      <c r="A73" s="1049"/>
      <c r="B73" s="1060"/>
      <c r="C73" s="1057">
        <v>19</v>
      </c>
      <c r="D73" s="1056">
        <v>20</v>
      </c>
      <c r="E73" s="1063">
        <v>0.81</v>
      </c>
      <c r="F73" s="1062">
        <v>2.82</v>
      </c>
      <c r="G73" s="1061">
        <f t="shared" si="22"/>
        <v>3.481481481481481</v>
      </c>
      <c r="H73" s="1049"/>
      <c r="I73" s="1060"/>
      <c r="J73" s="1057">
        <v>19</v>
      </c>
      <c r="K73" s="1056">
        <v>20</v>
      </c>
      <c r="L73" s="1055">
        <v>0.51300000000000001</v>
      </c>
      <c r="M73" s="1059">
        <v>1.69</v>
      </c>
      <c r="N73" s="1052">
        <f t="shared" si="23"/>
        <v>3.2943469785575048</v>
      </c>
      <c r="O73" s="1049"/>
      <c r="P73" s="1058"/>
      <c r="Q73" s="1057">
        <v>19</v>
      </c>
      <c r="R73" s="1056">
        <v>20</v>
      </c>
      <c r="S73" s="1055">
        <v>1.448</v>
      </c>
      <c r="T73" s="1054">
        <f t="shared" si="24"/>
        <v>4.0833599999999999</v>
      </c>
      <c r="U73" s="1136">
        <v>5.41</v>
      </c>
      <c r="V73" s="1052">
        <f t="shared" si="25"/>
        <v>3.7361878453038675</v>
      </c>
      <c r="W73" s="1049"/>
      <c r="X73" s="1051">
        <v>2.82</v>
      </c>
      <c r="Y73" s="1049"/>
      <c r="Z73" s="1050">
        <f t="shared" si="26"/>
        <v>2.9249599999999991</v>
      </c>
      <c r="AA73" s="1058"/>
      <c r="AB73" s="1057">
        <v>19</v>
      </c>
      <c r="AC73" s="1056">
        <v>20</v>
      </c>
      <c r="AD73" s="1055">
        <v>3.91</v>
      </c>
      <c r="AE73" s="1054">
        <f t="shared" si="27"/>
        <v>6.3732999999999995</v>
      </c>
      <c r="AF73" s="1136">
        <v>12.1</v>
      </c>
      <c r="AG73" s="1052">
        <f t="shared" si="28"/>
        <v>3.0946291560102299</v>
      </c>
      <c r="AH73" s="1049"/>
      <c r="AI73" s="1051">
        <v>1.63</v>
      </c>
      <c r="AJ73" s="1049"/>
      <c r="AK73" s="1050">
        <f t="shared" si="29"/>
        <v>3.2452999999999994</v>
      </c>
      <c r="AL73" s="1049"/>
      <c r="AM73" s="1058"/>
      <c r="AN73" s="1057">
        <v>19</v>
      </c>
      <c r="AO73" s="1056">
        <v>20</v>
      </c>
      <c r="AP73" s="1055">
        <v>0.4</v>
      </c>
      <c r="AQ73" s="1736">
        <f t="shared" si="30"/>
        <v>0</v>
      </c>
      <c r="AR73" s="1737">
        <v>1.04</v>
      </c>
      <c r="AS73" s="1052">
        <f t="shared" si="31"/>
        <v>2.6</v>
      </c>
      <c r="AT73" s="1049"/>
      <c r="AU73" s="1051"/>
      <c r="AV73" s="1049"/>
      <c r="AW73" s="1058"/>
      <c r="AX73" s="1057">
        <v>19</v>
      </c>
      <c r="AY73" s="1056">
        <v>20</v>
      </c>
      <c r="AZ73" s="1055">
        <v>0.33</v>
      </c>
      <c r="BA73" s="1736">
        <v>0.82</v>
      </c>
      <c r="BB73" s="1737">
        <f t="shared" si="32"/>
        <v>2.4848484848484844</v>
      </c>
      <c r="BC73" s="1049"/>
      <c r="BD73" s="1051"/>
      <c r="BE73" s="1049"/>
      <c r="BF73" s="1058"/>
      <c r="BG73" s="1057">
        <v>19</v>
      </c>
      <c r="BH73" s="1056">
        <v>20</v>
      </c>
      <c r="BI73" s="1055">
        <v>0.37</v>
      </c>
      <c r="BJ73" s="1736" t="s">
        <v>1402</v>
      </c>
      <c r="BK73" s="1049"/>
      <c r="BL73" s="1058"/>
      <c r="BM73" s="1057">
        <v>19</v>
      </c>
      <c r="BN73" s="1056">
        <v>20</v>
      </c>
      <c r="BO73" s="1055">
        <v>0.42</v>
      </c>
      <c r="BP73" s="1055"/>
      <c r="BQ73" s="1049"/>
    </row>
    <row r="74" spans="1:69" ht="14.4">
      <c r="A74" s="1049"/>
      <c r="B74" s="1060"/>
      <c r="C74" s="1057">
        <v>20</v>
      </c>
      <c r="D74" s="1056">
        <v>21</v>
      </c>
      <c r="E74" s="1063">
        <v>0.47</v>
      </c>
      <c r="F74" s="1062">
        <v>1.36</v>
      </c>
      <c r="G74" s="1061">
        <f t="shared" si="22"/>
        <v>2.8936170212765959</v>
      </c>
      <c r="H74" s="1049"/>
      <c r="I74" s="1060"/>
      <c r="J74" s="1057">
        <v>20</v>
      </c>
      <c r="K74" s="1056">
        <v>21</v>
      </c>
      <c r="L74" s="1055">
        <v>0.81799999999999995</v>
      </c>
      <c r="M74" s="1059">
        <v>2.0699999999999998</v>
      </c>
      <c r="N74" s="1052">
        <f t="shared" si="23"/>
        <v>2.5305623471882641</v>
      </c>
      <c r="O74" s="1049"/>
      <c r="P74" s="1058"/>
      <c r="Q74" s="1057">
        <v>20</v>
      </c>
      <c r="R74" s="1056">
        <v>21</v>
      </c>
      <c r="S74" s="1055">
        <v>1.9750000000000001</v>
      </c>
      <c r="T74" s="1054">
        <f t="shared" si="24"/>
        <v>5.3720000000000008</v>
      </c>
      <c r="U74" s="1136">
        <v>7.18</v>
      </c>
      <c r="V74" s="1052">
        <f t="shared" si="25"/>
        <v>3.6354430379746834</v>
      </c>
      <c r="W74" s="1049"/>
      <c r="X74" s="1051">
        <v>2.72</v>
      </c>
      <c r="Y74" s="1049"/>
      <c r="Z74" s="1050">
        <f t="shared" si="26"/>
        <v>3.7920000000000003</v>
      </c>
      <c r="AA74" s="1058"/>
      <c r="AB74" s="1057">
        <v>20</v>
      </c>
      <c r="AC74" s="1056">
        <v>21</v>
      </c>
      <c r="AD74" s="1055">
        <v>3.91</v>
      </c>
      <c r="AE74" s="1054">
        <f t="shared" si="27"/>
        <v>5.9432</v>
      </c>
      <c r="AF74" s="1136">
        <v>8.65</v>
      </c>
      <c r="AG74" s="1052">
        <f t="shared" si="28"/>
        <v>2.2122762148337598</v>
      </c>
      <c r="AH74" s="1049"/>
      <c r="AI74" s="1051">
        <v>1.52</v>
      </c>
      <c r="AJ74" s="1049"/>
      <c r="AK74" s="1050">
        <f t="shared" si="29"/>
        <v>2.8151999999999999</v>
      </c>
      <c r="AL74" s="1049"/>
      <c r="AM74" s="1058"/>
      <c r="AN74" s="1057">
        <v>20</v>
      </c>
      <c r="AO74" s="1056">
        <v>21</v>
      </c>
      <c r="AP74" s="1055">
        <v>0.36</v>
      </c>
      <c r="AQ74" s="1736">
        <f t="shared" si="30"/>
        <v>0</v>
      </c>
      <c r="AR74" s="1737">
        <v>0.64</v>
      </c>
      <c r="AS74" s="1052">
        <f t="shared" si="31"/>
        <v>1.7777777777777779</v>
      </c>
      <c r="AT74" s="1049"/>
      <c r="AU74" s="1051"/>
      <c r="AV74" s="1049"/>
      <c r="AW74" s="1058"/>
      <c r="AX74" s="1057">
        <v>20</v>
      </c>
      <c r="AY74" s="1056">
        <v>21</v>
      </c>
      <c r="AZ74" s="1055">
        <v>0.35</v>
      </c>
      <c r="BA74" s="1736">
        <v>0.53</v>
      </c>
      <c r="BB74" s="1737">
        <f t="shared" si="32"/>
        <v>1.5142857142857145</v>
      </c>
      <c r="BC74" s="1049"/>
      <c r="BD74" s="1051"/>
      <c r="BE74" s="1049"/>
      <c r="BF74" s="1058"/>
      <c r="BG74" s="1057">
        <v>20</v>
      </c>
      <c r="BH74" s="1056">
        <v>21</v>
      </c>
      <c r="BI74" s="1055">
        <v>0.34</v>
      </c>
      <c r="BJ74" s="1736" t="s">
        <v>1403</v>
      </c>
      <c r="BK74" s="1049"/>
      <c r="BL74" s="1058"/>
      <c r="BM74" s="1057">
        <v>20</v>
      </c>
      <c r="BN74" s="1056">
        <v>21</v>
      </c>
      <c r="BO74" s="1055">
        <v>0.27</v>
      </c>
      <c r="BP74" s="1055"/>
      <c r="BQ74" s="1049"/>
    </row>
    <row r="75" spans="1:69" ht="14.4">
      <c r="A75" s="1049"/>
      <c r="B75" s="1060"/>
      <c r="C75" s="1057">
        <v>21</v>
      </c>
      <c r="D75" s="1056">
        <v>22</v>
      </c>
      <c r="E75" s="1063">
        <v>0.45</v>
      </c>
      <c r="F75" s="1062">
        <v>1.29</v>
      </c>
      <c r="G75" s="1061">
        <f t="shared" si="22"/>
        <v>2.8666666666666667</v>
      </c>
      <c r="H75" s="1049"/>
      <c r="I75" s="1060"/>
      <c r="J75" s="1057">
        <v>21</v>
      </c>
      <c r="K75" s="1056">
        <v>22</v>
      </c>
      <c r="L75" s="1055">
        <v>0.45</v>
      </c>
      <c r="M75" s="1059">
        <v>1.1299999999999999</v>
      </c>
      <c r="N75" s="1052">
        <f t="shared" si="23"/>
        <v>2.5111111111111106</v>
      </c>
      <c r="O75" s="1049"/>
      <c r="P75" s="1058"/>
      <c r="Q75" s="1057">
        <v>21</v>
      </c>
      <c r="R75" s="1056">
        <v>22</v>
      </c>
      <c r="S75" s="1055">
        <v>1.5660000000000001</v>
      </c>
      <c r="T75" s="1054">
        <f t="shared" si="24"/>
        <v>4.2438599999999997</v>
      </c>
      <c r="U75" s="1136">
        <v>5.67</v>
      </c>
      <c r="V75" s="1052">
        <f t="shared" si="25"/>
        <v>3.6206896551724137</v>
      </c>
      <c r="W75" s="1049"/>
      <c r="X75" s="1051">
        <v>2.71</v>
      </c>
      <c r="Y75" s="1049"/>
      <c r="Z75" s="1050">
        <f t="shared" si="26"/>
        <v>2.9910600000000001</v>
      </c>
      <c r="AA75" s="1058"/>
      <c r="AB75" s="1057">
        <v>21</v>
      </c>
      <c r="AC75" s="1056">
        <v>22</v>
      </c>
      <c r="AD75" s="1055">
        <v>3.12</v>
      </c>
      <c r="AE75" s="1054">
        <f t="shared" si="27"/>
        <v>4.2120000000000006</v>
      </c>
      <c r="AF75" s="1136">
        <v>6.37</v>
      </c>
      <c r="AG75" s="1052">
        <f t="shared" si="28"/>
        <v>2.0416666666666665</v>
      </c>
      <c r="AH75" s="1049"/>
      <c r="AI75" s="1051">
        <v>1.35</v>
      </c>
      <c r="AJ75" s="1049"/>
      <c r="AK75" s="1050">
        <f t="shared" si="29"/>
        <v>1.7160000000000002</v>
      </c>
      <c r="AL75" s="1049"/>
      <c r="AM75" s="1058"/>
      <c r="AN75" s="1057">
        <v>21</v>
      </c>
      <c r="AO75" s="1056">
        <v>22</v>
      </c>
      <c r="AP75" s="1055">
        <v>0.25</v>
      </c>
      <c r="AQ75" s="1736">
        <f t="shared" si="30"/>
        <v>0</v>
      </c>
      <c r="AR75" s="1737">
        <v>0.44</v>
      </c>
      <c r="AS75" s="1052">
        <f t="shared" si="31"/>
        <v>1.76</v>
      </c>
      <c r="AT75" s="1049"/>
      <c r="AU75" s="1051"/>
      <c r="AV75" s="1049"/>
      <c r="AW75" s="1058"/>
      <c r="AX75" s="1057">
        <v>21</v>
      </c>
      <c r="AY75" s="1056">
        <v>22</v>
      </c>
      <c r="AZ75" s="1055">
        <v>0.17</v>
      </c>
      <c r="BA75" s="1736">
        <v>0.26</v>
      </c>
      <c r="BB75" s="1737">
        <f t="shared" si="32"/>
        <v>1.5294117647058822</v>
      </c>
      <c r="BC75" s="1049"/>
      <c r="BD75" s="1051"/>
      <c r="BE75" s="1049"/>
      <c r="BF75" s="1058"/>
      <c r="BG75" s="1057">
        <v>21</v>
      </c>
      <c r="BH75" s="1056">
        <v>22</v>
      </c>
      <c r="BI75" s="1055">
        <v>0.38</v>
      </c>
      <c r="BJ75" s="1736" t="s">
        <v>1391</v>
      </c>
      <c r="BK75" s="1049"/>
      <c r="BL75" s="1058"/>
      <c r="BM75" s="1057">
        <v>21</v>
      </c>
      <c r="BN75" s="1056">
        <v>22</v>
      </c>
      <c r="BO75" s="1055">
        <v>0.2</v>
      </c>
      <c r="BP75" s="1055"/>
      <c r="BQ75" s="1049"/>
    </row>
    <row r="76" spans="1:69" ht="14.4">
      <c r="A76" s="1049"/>
      <c r="B76" s="1060"/>
      <c r="C76" s="1057">
        <v>22</v>
      </c>
      <c r="D76" s="1056">
        <v>23</v>
      </c>
      <c r="E76" s="1063">
        <v>0.39</v>
      </c>
      <c r="F76" s="1062">
        <v>1.1200000000000001</v>
      </c>
      <c r="G76" s="1061">
        <f t="shared" si="22"/>
        <v>2.8717948717948718</v>
      </c>
      <c r="H76" s="1049"/>
      <c r="I76" s="1060"/>
      <c r="J76" s="1057">
        <v>22</v>
      </c>
      <c r="K76" s="1056">
        <v>23</v>
      </c>
      <c r="L76" s="1055">
        <v>0.376</v>
      </c>
      <c r="M76" s="1059">
        <v>0.96</v>
      </c>
      <c r="N76" s="1052">
        <f t="shared" si="23"/>
        <v>2.5531914893617018</v>
      </c>
      <c r="O76" s="1049"/>
      <c r="P76" s="1058"/>
      <c r="Q76" s="1057">
        <v>22</v>
      </c>
      <c r="R76" s="1056">
        <v>23</v>
      </c>
      <c r="S76" s="1055">
        <v>1.7370000000000001</v>
      </c>
      <c r="T76" s="1054">
        <f t="shared" si="24"/>
        <v>4.5856800000000009</v>
      </c>
      <c r="U76" s="1136">
        <v>6.19</v>
      </c>
      <c r="V76" s="1052">
        <f t="shared" si="25"/>
        <v>3.5636154289004032</v>
      </c>
      <c r="W76" s="1049"/>
      <c r="X76" s="1051">
        <v>2.64</v>
      </c>
      <c r="Y76" s="1049"/>
      <c r="Z76" s="1050">
        <f t="shared" si="26"/>
        <v>3.1960800000000003</v>
      </c>
      <c r="AA76" s="1058"/>
      <c r="AB76" s="1057">
        <v>22</v>
      </c>
      <c r="AC76" s="1056">
        <v>23</v>
      </c>
      <c r="AD76" s="1055">
        <v>2.81</v>
      </c>
      <c r="AE76" s="1054">
        <f t="shared" si="27"/>
        <v>3.3439000000000001</v>
      </c>
      <c r="AF76" s="1136">
        <v>5.29</v>
      </c>
      <c r="AG76" s="1052">
        <f t="shared" si="28"/>
        <v>1.8825622775800712</v>
      </c>
      <c r="AH76" s="1049"/>
      <c r="AI76" s="1051">
        <v>1.19</v>
      </c>
      <c r="AJ76" s="1049"/>
      <c r="AK76" s="1050">
        <f t="shared" si="29"/>
        <v>1.0958999999999997</v>
      </c>
      <c r="AL76" s="1049"/>
      <c r="AM76" s="1058"/>
      <c r="AN76" s="1057">
        <v>22</v>
      </c>
      <c r="AO76" s="1056">
        <v>23</v>
      </c>
      <c r="AP76" s="1055">
        <v>0.06</v>
      </c>
      <c r="AQ76" s="1736">
        <f t="shared" si="30"/>
        <v>0</v>
      </c>
      <c r="AR76" s="1737">
        <v>0.11</v>
      </c>
      <c r="AS76" s="1052">
        <f t="shared" si="31"/>
        <v>1.8333333333333335</v>
      </c>
      <c r="AT76" s="1049"/>
      <c r="AU76" s="1051"/>
      <c r="AV76" s="1049"/>
      <c r="AW76" s="1058"/>
      <c r="AX76" s="1057">
        <v>22</v>
      </c>
      <c r="AY76" s="1056">
        <v>23</v>
      </c>
      <c r="AZ76" s="1055">
        <v>0.12</v>
      </c>
      <c r="BA76" s="1736">
        <v>0.18</v>
      </c>
      <c r="BB76" s="1737">
        <f t="shared" si="32"/>
        <v>1.5</v>
      </c>
      <c r="BC76" s="1049"/>
      <c r="BD76" s="1051"/>
      <c r="BE76" s="1049"/>
      <c r="BF76" s="1058"/>
      <c r="BG76" s="1057">
        <v>22</v>
      </c>
      <c r="BH76" s="1056">
        <v>23</v>
      </c>
      <c r="BI76" s="1055">
        <v>0.24</v>
      </c>
      <c r="BJ76" s="1736" t="s">
        <v>1404</v>
      </c>
      <c r="BK76" s="1049"/>
      <c r="BL76" s="1058"/>
      <c r="BM76" s="1057">
        <v>22</v>
      </c>
      <c r="BN76" s="1056">
        <v>23</v>
      </c>
      <c r="BO76" s="1055">
        <v>0.15</v>
      </c>
      <c r="BP76" s="1055"/>
      <c r="BQ76" s="1049"/>
    </row>
    <row r="77" spans="1:69" ht="14.4">
      <c r="A77" s="1049"/>
      <c r="B77" s="1060"/>
      <c r="C77" s="1057">
        <v>23</v>
      </c>
      <c r="D77" s="1056">
        <v>24</v>
      </c>
      <c r="E77" s="1063">
        <v>0.26</v>
      </c>
      <c r="F77" s="1062">
        <v>0.74</v>
      </c>
      <c r="G77" s="1061">
        <f t="shared" si="22"/>
        <v>2.8461538461538458</v>
      </c>
      <c r="H77" s="1049"/>
      <c r="I77" s="1060"/>
      <c r="J77" s="1057">
        <v>23</v>
      </c>
      <c r="K77" s="1056">
        <v>24</v>
      </c>
      <c r="L77" s="1055">
        <v>0.24099999999999999</v>
      </c>
      <c r="M77" s="1059">
        <v>0.59</v>
      </c>
      <c r="N77" s="1052">
        <f t="shared" si="23"/>
        <v>2.4481327800829873</v>
      </c>
      <c r="O77" s="1049"/>
      <c r="P77" s="1058"/>
      <c r="Q77" s="1057">
        <v>23</v>
      </c>
      <c r="R77" s="1056">
        <v>24</v>
      </c>
      <c r="S77" s="1055">
        <v>1.278</v>
      </c>
      <c r="T77" s="1054">
        <f t="shared" si="24"/>
        <v>3.1822200000000005</v>
      </c>
      <c r="U77" s="1136">
        <v>4.37</v>
      </c>
      <c r="V77" s="1052">
        <f t="shared" si="25"/>
        <v>3.4194053208137714</v>
      </c>
      <c r="W77" s="1049"/>
      <c r="X77" s="1051">
        <v>2.4900000000000002</v>
      </c>
      <c r="Y77" s="1049"/>
      <c r="Z77" s="1050">
        <f t="shared" si="26"/>
        <v>2.1598200000000003</v>
      </c>
      <c r="AA77" s="1058"/>
      <c r="AB77" s="1057">
        <v>23</v>
      </c>
      <c r="AC77" s="1056">
        <v>24</v>
      </c>
      <c r="AD77" s="1055">
        <v>2.83</v>
      </c>
      <c r="AE77" s="1054">
        <f t="shared" si="27"/>
        <v>2.83</v>
      </c>
      <c r="AF77" s="1136">
        <v>4.79</v>
      </c>
      <c r="AG77" s="1052">
        <f t="shared" si="28"/>
        <v>1.6925795053003534</v>
      </c>
      <c r="AH77" s="1049"/>
      <c r="AI77" s="1051">
        <v>1</v>
      </c>
      <c r="AJ77" s="1049"/>
      <c r="AK77" s="1050">
        <f t="shared" si="29"/>
        <v>0.56599999999999984</v>
      </c>
      <c r="AL77" s="1049"/>
      <c r="AM77" s="1058"/>
      <c r="AN77" s="1057">
        <v>23</v>
      </c>
      <c r="AO77" s="1056">
        <v>24</v>
      </c>
      <c r="AP77" s="1055">
        <v>0.11</v>
      </c>
      <c r="AQ77" s="1736">
        <f t="shared" si="30"/>
        <v>0</v>
      </c>
      <c r="AR77" s="1737">
        <v>0.2</v>
      </c>
      <c r="AS77" s="1052">
        <f t="shared" si="31"/>
        <v>1.8181818181818183</v>
      </c>
      <c r="AT77" s="1049"/>
      <c r="AU77" s="1051"/>
      <c r="AV77" s="1049"/>
      <c r="AW77" s="1058"/>
      <c r="AX77" s="1057">
        <v>23</v>
      </c>
      <c r="AY77" s="1056">
        <v>24</v>
      </c>
      <c r="AZ77" s="1055">
        <v>0.12</v>
      </c>
      <c r="BA77" s="1736">
        <v>0.19</v>
      </c>
      <c r="BB77" s="1737">
        <f t="shared" si="32"/>
        <v>1.5833333333333335</v>
      </c>
      <c r="BC77" s="1049"/>
      <c r="BD77" s="1051"/>
      <c r="BE77" s="1049"/>
      <c r="BF77" s="1058"/>
      <c r="BG77" s="1057">
        <v>23</v>
      </c>
      <c r="BH77" s="1056">
        <v>24</v>
      </c>
      <c r="BI77" s="1055">
        <v>0.12</v>
      </c>
      <c r="BJ77" s="1736" t="s">
        <v>1405</v>
      </c>
      <c r="BK77" s="1049"/>
      <c r="BL77" s="1058"/>
      <c r="BM77" s="1057">
        <v>23</v>
      </c>
      <c r="BN77" s="1056">
        <v>24</v>
      </c>
      <c r="BO77" s="1055">
        <v>0.23</v>
      </c>
      <c r="BP77" s="1055"/>
      <c r="BQ77" s="1049"/>
    </row>
    <row r="78" spans="1:69" ht="14.4">
      <c r="A78" s="1036"/>
      <c r="B78" s="1044"/>
      <c r="C78" s="1135"/>
      <c r="D78" s="1135"/>
      <c r="E78" s="1134"/>
      <c r="F78" s="1133"/>
      <c r="G78" s="1132"/>
      <c r="H78" s="1044"/>
      <c r="I78" s="1044" t="s">
        <v>1130</v>
      </c>
      <c r="J78" s="1046"/>
      <c r="K78" s="1046"/>
      <c r="L78" s="1129">
        <f>AVERAGE(L79:L102)</f>
        <v>0.69999999999999973</v>
      </c>
      <c r="M78" s="1131">
        <f>AVERAGE(M79:M102)</f>
        <v>1.9400000000000002</v>
      </c>
      <c r="N78" s="1039">
        <f>AVERAGE(N79:N102)</f>
        <v>2.7199351698218752</v>
      </c>
      <c r="O78" s="1044"/>
      <c r="P78" s="1130" t="s">
        <v>1139</v>
      </c>
      <c r="Q78" s="1046"/>
      <c r="R78" s="1046"/>
      <c r="S78" s="1129">
        <f>AVERAGE(S79:S102)</f>
        <v>1.3304166666666668</v>
      </c>
      <c r="T78" s="1128">
        <f>SUM(T79:T102)</f>
        <v>89.196899999999999</v>
      </c>
      <c r="U78" s="1040">
        <f>AVERAGE(U79:U102)</f>
        <v>4.9379166666666672</v>
      </c>
      <c r="V78" s="1039">
        <f>AVERAGE(V79:V102)</f>
        <v>3.6274879943507847</v>
      </c>
      <c r="W78" s="1036"/>
      <c r="X78" s="1038">
        <f>AVERAGE(X79:X102)</f>
        <v>2.7095833333333332</v>
      </c>
      <c r="Y78" s="1036"/>
      <c r="Z78" s="1127">
        <f>SUM(Z79:Z102)</f>
        <v>63.652899999999995</v>
      </c>
      <c r="AA78" s="1130" t="s">
        <v>1131</v>
      </c>
      <c r="AB78" s="1046"/>
      <c r="AC78" s="1046"/>
      <c r="AD78" s="1129">
        <f>AVERAGE(AD79:AD102)</f>
        <v>2.5220833333333332</v>
      </c>
      <c r="AE78" s="1128">
        <f>SUM(AE79:AE102)</f>
        <v>42.249000000000002</v>
      </c>
      <c r="AF78" s="1040">
        <f>AVERAGE(AF79:AF102)</f>
        <v>3.762083333333333</v>
      </c>
      <c r="AG78" s="1039">
        <f>AVERAGE(AG79:AG102)</f>
        <v>1.4679141537536025</v>
      </c>
      <c r="AH78" s="1036"/>
      <c r="AI78" s="1038">
        <f>AVERAGE(AI79:AI102)</f>
        <v>0.67833333333333334</v>
      </c>
      <c r="AJ78" s="1036"/>
      <c r="AK78" s="1127">
        <f>SUM(AK79:AK102)</f>
        <v>-6.1750000000000025</v>
      </c>
      <c r="AL78" s="1036"/>
      <c r="AM78" s="1130"/>
      <c r="AN78" s="1046"/>
      <c r="AO78" s="1046"/>
      <c r="AP78" s="1129">
        <f>AVERAGE(AP79:AP102)</f>
        <v>0.21500000000000005</v>
      </c>
      <c r="AQ78" s="1734">
        <f>SUM(AQ79:AQ102)</f>
        <v>0</v>
      </c>
      <c r="AR78" s="1735">
        <f>AVERAGE(AR79:AR102)</f>
        <v>0.51999999999999991</v>
      </c>
      <c r="AS78" s="1039">
        <f>AVERAGE(AS79:AS102)</f>
        <v>2.2647084950196499</v>
      </c>
      <c r="AT78" s="1036"/>
      <c r="AU78" s="1038" t="e">
        <f>AVERAGE(AU79:AU102)</f>
        <v>#DIV/0!</v>
      </c>
      <c r="AV78" s="1036"/>
      <c r="AW78" s="1130" t="s">
        <v>1128</v>
      </c>
      <c r="AX78" s="1046"/>
      <c r="AY78" s="1046"/>
      <c r="AZ78" s="1129">
        <f>AVERAGE(AZ79:AZ102)</f>
        <v>0.27083333333333331</v>
      </c>
      <c r="BA78" s="1045">
        <f>AVERAGE(BA79:BA102)</f>
        <v>0.53374999999999984</v>
      </c>
      <c r="BB78" s="1039">
        <f>AVERAGE(BB79:BB102)</f>
        <v>1.8967872848811178</v>
      </c>
      <c r="BC78" s="1036"/>
      <c r="BD78" s="1038" t="e">
        <f>AVERAGE(BD79:BD102)</f>
        <v>#DIV/0!</v>
      </c>
      <c r="BE78" s="1036"/>
      <c r="BF78" s="1130" t="s">
        <v>1137</v>
      </c>
      <c r="BG78" s="2756">
        <f>BF79</f>
        <v>45020</v>
      </c>
      <c r="BH78" s="2756"/>
      <c r="BI78" s="1897">
        <f>SUM(BI79:BI102)</f>
        <v>5.77</v>
      </c>
      <c r="BJ78" s="1898">
        <f>SUM(BJ79:BJ102)</f>
        <v>0</v>
      </c>
      <c r="BK78" s="1036"/>
      <c r="BL78" s="1130" t="s">
        <v>1136</v>
      </c>
      <c r="BM78" s="1046"/>
      <c r="BN78" s="1046"/>
      <c r="BO78" s="1129">
        <f>AVERAGE(BO79:BO102)</f>
        <v>0.33749999999999997</v>
      </c>
      <c r="BP78" s="1045" t="e">
        <f>AVERAGE(BP79:BP102)</f>
        <v>#DIV/0!</v>
      </c>
      <c r="BQ78" s="1036"/>
    </row>
    <row r="79" spans="1:69" ht="14.4">
      <c r="A79" s="1049"/>
      <c r="B79" s="1126">
        <v>44838</v>
      </c>
      <c r="C79" s="1057">
        <v>0</v>
      </c>
      <c r="D79" s="1056">
        <v>1</v>
      </c>
      <c r="E79" s="1063">
        <v>0.21</v>
      </c>
      <c r="F79" s="1062">
        <v>0.6</v>
      </c>
      <c r="G79" s="1061">
        <f t="shared" ref="G79:G102" si="33">F79/E79</f>
        <v>2.8571428571428572</v>
      </c>
      <c r="H79" s="1049"/>
      <c r="I79" s="1126">
        <v>44869</v>
      </c>
      <c r="J79" s="1057">
        <v>0</v>
      </c>
      <c r="K79" s="1056">
        <v>1</v>
      </c>
      <c r="L79" s="1055">
        <v>0.22</v>
      </c>
      <c r="M79" s="1059">
        <v>0.45</v>
      </c>
      <c r="N79" s="1052">
        <f t="shared" ref="N79:N102" si="34">M79/L79</f>
        <v>2.0454545454545454</v>
      </c>
      <c r="O79" s="1049"/>
      <c r="P79" s="1125">
        <v>44899</v>
      </c>
      <c r="Q79" s="1057">
        <v>0</v>
      </c>
      <c r="R79" s="1056">
        <v>1</v>
      </c>
      <c r="S79" s="1055">
        <v>0.871</v>
      </c>
      <c r="T79" s="1054">
        <f t="shared" ref="T79:T102" si="35">S79*X79</f>
        <v>2.09911</v>
      </c>
      <c r="U79" s="1136">
        <v>2.89</v>
      </c>
      <c r="V79" s="1052">
        <f t="shared" ref="V79:V102" si="36">U79/S79</f>
        <v>3.3180252583237659</v>
      </c>
      <c r="W79" s="1049"/>
      <c r="X79" s="1051">
        <v>2.41</v>
      </c>
      <c r="Y79" s="1049"/>
      <c r="Z79" s="1050">
        <f t="shared" ref="Z79:Z102" si="37">S79*(X79-0.8)</f>
        <v>1.4023100000000002</v>
      </c>
      <c r="AA79" s="1125">
        <v>44930</v>
      </c>
      <c r="AB79" s="1057">
        <v>0</v>
      </c>
      <c r="AC79" s="1056">
        <v>1</v>
      </c>
      <c r="AD79" s="1055">
        <v>1.97</v>
      </c>
      <c r="AE79" s="1137">
        <f t="shared" ref="AE79:AE102" si="38">AD79*AI79</f>
        <v>1.7336</v>
      </c>
      <c r="AF79" s="1136">
        <v>3.1</v>
      </c>
      <c r="AG79" s="1052">
        <f t="shared" ref="AG79:AG102" si="39">AF79/AD79</f>
        <v>1.5736040609137056</v>
      </c>
      <c r="AH79" s="1049"/>
      <c r="AI79" s="1051">
        <v>0.88</v>
      </c>
      <c r="AJ79" s="1049"/>
      <c r="AK79" s="1050">
        <f t="shared" ref="AK79:AK102" si="40">AD79*(AI79-0.8)</f>
        <v>0.15759999999999991</v>
      </c>
      <c r="AL79" s="1049"/>
      <c r="AM79" s="1125">
        <v>44961</v>
      </c>
      <c r="AN79" s="1057">
        <v>0</v>
      </c>
      <c r="AO79" s="1056">
        <v>1</v>
      </c>
      <c r="AP79" s="1055">
        <v>0.2</v>
      </c>
      <c r="AQ79" s="1745">
        <f t="shared" ref="AQ79:AQ102" si="41">AP79*AU79</f>
        <v>0</v>
      </c>
      <c r="AR79" s="1737">
        <v>0.35</v>
      </c>
      <c r="AS79" s="1052">
        <f t="shared" ref="AS79:AS102" si="42">AR79/AP79</f>
        <v>1.7499999999999998</v>
      </c>
      <c r="AT79" s="1049"/>
      <c r="AU79" s="1051"/>
      <c r="AV79" s="1049"/>
      <c r="AW79" s="1125">
        <v>44989</v>
      </c>
      <c r="AX79" s="1057">
        <v>0</v>
      </c>
      <c r="AY79" s="1056">
        <v>1</v>
      </c>
      <c r="AZ79" s="1055">
        <v>0.23</v>
      </c>
      <c r="BA79" s="1736">
        <v>0.39</v>
      </c>
      <c r="BB79" s="1737">
        <f t="shared" ref="BB79:BB102" si="43">BA79/AZ79</f>
        <v>1.6956521739130435</v>
      </c>
      <c r="BC79" s="1049"/>
      <c r="BD79" s="1051"/>
      <c r="BE79" s="1049"/>
      <c r="BF79" s="1125">
        <v>45020</v>
      </c>
      <c r="BG79" s="1057">
        <v>0</v>
      </c>
      <c r="BH79" s="1056">
        <v>1</v>
      </c>
      <c r="BI79" s="1055">
        <v>0.11</v>
      </c>
      <c r="BJ79" s="1736" t="s">
        <v>1394</v>
      </c>
      <c r="BK79" s="1049"/>
      <c r="BL79" s="1125">
        <v>45050</v>
      </c>
      <c r="BM79" s="1057">
        <v>0</v>
      </c>
      <c r="BN79" s="1056">
        <v>1</v>
      </c>
      <c r="BO79" s="1055">
        <v>0.16</v>
      </c>
      <c r="BP79" s="1055"/>
      <c r="BQ79" s="1049"/>
    </row>
    <row r="80" spans="1:69" ht="14.4">
      <c r="A80" s="1049"/>
      <c r="B80" s="1124"/>
      <c r="C80" s="1057">
        <v>1</v>
      </c>
      <c r="D80" s="1056">
        <v>2</v>
      </c>
      <c r="E80" s="1063">
        <v>0.72</v>
      </c>
      <c r="F80" s="1062">
        <v>2.0699999999999998</v>
      </c>
      <c r="G80" s="1061">
        <f t="shared" si="33"/>
        <v>2.875</v>
      </c>
      <c r="H80" s="1049"/>
      <c r="I80" s="1124"/>
      <c r="J80" s="1057">
        <v>1</v>
      </c>
      <c r="K80" s="1056">
        <v>2</v>
      </c>
      <c r="L80" s="1055">
        <v>0.17</v>
      </c>
      <c r="M80" s="1059">
        <v>0.36</v>
      </c>
      <c r="N80" s="1052">
        <f t="shared" si="34"/>
        <v>2.117647058823529</v>
      </c>
      <c r="O80" s="1049"/>
      <c r="P80" s="1123"/>
      <c r="Q80" s="1057">
        <v>1</v>
      </c>
      <c r="R80" s="1056">
        <v>2</v>
      </c>
      <c r="S80" s="1055">
        <v>0.80300000000000005</v>
      </c>
      <c r="T80" s="1054">
        <f t="shared" si="35"/>
        <v>1.8549300000000002</v>
      </c>
      <c r="U80" s="1136">
        <v>2.59</v>
      </c>
      <c r="V80" s="1052">
        <f t="shared" si="36"/>
        <v>3.2254047322540469</v>
      </c>
      <c r="W80" s="1049"/>
      <c r="X80" s="1051">
        <v>2.31</v>
      </c>
      <c r="Y80" s="1049"/>
      <c r="Z80" s="1050">
        <f t="shared" si="37"/>
        <v>1.2125300000000001</v>
      </c>
      <c r="AA80" s="1123"/>
      <c r="AB80" s="1057">
        <v>1</v>
      </c>
      <c r="AC80" s="1056">
        <v>2</v>
      </c>
      <c r="AD80" s="1055">
        <v>1.78</v>
      </c>
      <c r="AE80" s="1137">
        <f t="shared" si="38"/>
        <v>1.4062000000000001</v>
      </c>
      <c r="AF80" s="1136">
        <v>2.63</v>
      </c>
      <c r="AG80" s="1052">
        <f t="shared" si="39"/>
        <v>1.4775280898876404</v>
      </c>
      <c r="AH80" s="1049"/>
      <c r="AI80" s="1051">
        <v>0.79</v>
      </c>
      <c r="AJ80" s="1049"/>
      <c r="AK80" s="1050">
        <f t="shared" si="40"/>
        <v>-1.7800000000000017E-2</v>
      </c>
      <c r="AL80" s="1049"/>
      <c r="AM80" s="1123"/>
      <c r="AN80" s="1057">
        <v>1</v>
      </c>
      <c r="AO80" s="1056">
        <v>2</v>
      </c>
      <c r="AP80" s="1055">
        <v>0.12</v>
      </c>
      <c r="AQ80" s="1745">
        <f t="shared" si="41"/>
        <v>0</v>
      </c>
      <c r="AR80" s="1737">
        <v>0.22</v>
      </c>
      <c r="AS80" s="1052">
        <f t="shared" si="42"/>
        <v>1.8333333333333335</v>
      </c>
      <c r="AT80" s="1049"/>
      <c r="AU80" s="1051"/>
      <c r="AV80" s="1049"/>
      <c r="AW80" s="1123"/>
      <c r="AX80" s="1057">
        <v>1</v>
      </c>
      <c r="AY80" s="1056">
        <v>2</v>
      </c>
      <c r="AZ80" s="1055">
        <v>0.09</v>
      </c>
      <c r="BA80" s="1736">
        <v>0.15</v>
      </c>
      <c r="BB80" s="1737">
        <f t="shared" si="43"/>
        <v>1.6666666666666667</v>
      </c>
      <c r="BC80" s="1049"/>
      <c r="BD80" s="1051"/>
      <c r="BE80" s="1049"/>
      <c r="BF80" s="1123"/>
      <c r="BG80" s="1057">
        <v>1</v>
      </c>
      <c r="BH80" s="1056">
        <v>2</v>
      </c>
      <c r="BI80" s="1055">
        <v>0.11</v>
      </c>
      <c r="BJ80" s="1736" t="s">
        <v>1394</v>
      </c>
      <c r="BK80" s="1049"/>
      <c r="BL80" s="1123"/>
      <c r="BM80" s="1057">
        <v>1</v>
      </c>
      <c r="BN80" s="1056">
        <v>2</v>
      </c>
      <c r="BO80" s="1055">
        <v>0.21</v>
      </c>
      <c r="BP80" s="1055"/>
      <c r="BQ80" s="1049"/>
    </row>
    <row r="81" spans="1:69" ht="14.4">
      <c r="A81" s="1049"/>
      <c r="B81" s="1122">
        <f>SUM(E79:E102)</f>
        <v>11.500000000000002</v>
      </c>
      <c r="C81" s="1057">
        <v>2</v>
      </c>
      <c r="D81" s="1056">
        <v>3</v>
      </c>
      <c r="E81" s="1063">
        <v>0.21</v>
      </c>
      <c r="F81" s="1062">
        <v>0.61</v>
      </c>
      <c r="G81" s="1061">
        <f t="shared" si="33"/>
        <v>2.9047619047619047</v>
      </c>
      <c r="H81" s="1049"/>
      <c r="I81" s="1122">
        <f>SUM(L79:L102)</f>
        <v>16.799999999999994</v>
      </c>
      <c r="J81" s="1057">
        <v>2</v>
      </c>
      <c r="K81" s="1056">
        <v>3</v>
      </c>
      <c r="L81" s="1055">
        <v>0.22</v>
      </c>
      <c r="M81" s="1059">
        <v>0.47</v>
      </c>
      <c r="N81" s="1052">
        <f t="shared" si="34"/>
        <v>2.1363636363636362</v>
      </c>
      <c r="O81" s="1049"/>
      <c r="P81" s="1121">
        <f>SUM(S79:S102)</f>
        <v>31.930000000000003</v>
      </c>
      <c r="Q81" s="1057">
        <v>2</v>
      </c>
      <c r="R81" s="1056">
        <v>3</v>
      </c>
      <c r="S81" s="1055">
        <v>0.83399999999999996</v>
      </c>
      <c r="T81" s="1054">
        <f t="shared" si="35"/>
        <v>2.0099399999999998</v>
      </c>
      <c r="U81" s="1136">
        <v>2.77</v>
      </c>
      <c r="V81" s="1052">
        <f t="shared" si="36"/>
        <v>3.3213429256594726</v>
      </c>
      <c r="W81" s="1049"/>
      <c r="X81" s="1051">
        <v>2.41</v>
      </c>
      <c r="Y81" s="1049"/>
      <c r="Z81" s="1050">
        <f t="shared" si="37"/>
        <v>1.34274</v>
      </c>
      <c r="AA81" s="1121">
        <f>SUM(AD79:AD102)</f>
        <v>60.529999999999994</v>
      </c>
      <c r="AB81" s="1057">
        <v>2</v>
      </c>
      <c r="AC81" s="1056">
        <v>3</v>
      </c>
      <c r="AD81" s="1055">
        <v>1.78</v>
      </c>
      <c r="AE81" s="1137">
        <f t="shared" si="38"/>
        <v>0.89</v>
      </c>
      <c r="AF81" s="1136">
        <v>2.12</v>
      </c>
      <c r="AG81" s="1052">
        <f t="shared" si="39"/>
        <v>1.1910112359550562</v>
      </c>
      <c r="AH81" s="1049"/>
      <c r="AI81" s="1051">
        <v>0.5</v>
      </c>
      <c r="AJ81" s="1049"/>
      <c r="AK81" s="1050">
        <f t="shared" si="40"/>
        <v>-0.53400000000000014</v>
      </c>
      <c r="AL81" s="1049"/>
      <c r="AM81" s="1121">
        <f>SUM(AP79:AP102)</f>
        <v>5.160000000000001</v>
      </c>
      <c r="AN81" s="1057">
        <v>2</v>
      </c>
      <c r="AO81" s="1056">
        <v>3</v>
      </c>
      <c r="AP81" s="1055">
        <v>0.09</v>
      </c>
      <c r="AQ81" s="1745">
        <f t="shared" si="41"/>
        <v>0</v>
      </c>
      <c r="AR81" s="1737">
        <v>0.17</v>
      </c>
      <c r="AS81" s="1052">
        <f t="shared" si="42"/>
        <v>1.8888888888888891</v>
      </c>
      <c r="AT81" s="1049"/>
      <c r="AU81" s="1051"/>
      <c r="AV81" s="1049"/>
      <c r="AW81" s="1121">
        <f>SUM(AZ79:AZ102)</f>
        <v>6.5</v>
      </c>
      <c r="AX81" s="1057">
        <v>2</v>
      </c>
      <c r="AY81" s="1056">
        <v>3</v>
      </c>
      <c r="AZ81" s="1055">
        <v>0.11</v>
      </c>
      <c r="BA81" s="1736">
        <v>0.18</v>
      </c>
      <c r="BB81" s="1737">
        <f t="shared" si="43"/>
        <v>1.6363636363636362</v>
      </c>
      <c r="BC81" s="1049"/>
      <c r="BD81" s="1051"/>
      <c r="BE81" s="1049"/>
      <c r="BF81" s="1121">
        <f>SUM(BI79:BI102)</f>
        <v>5.77</v>
      </c>
      <c r="BG81" s="1057">
        <v>2</v>
      </c>
      <c r="BH81" s="1056">
        <v>3</v>
      </c>
      <c r="BI81" s="1055">
        <v>0.13</v>
      </c>
      <c r="BJ81" s="1736" t="s">
        <v>1393</v>
      </c>
      <c r="BK81" s="1049"/>
      <c r="BL81" s="1121">
        <f>SUM(BO79:BO102)</f>
        <v>8.1</v>
      </c>
      <c r="BM81" s="1057">
        <v>2</v>
      </c>
      <c r="BN81" s="1056">
        <v>3</v>
      </c>
      <c r="BO81" s="1055">
        <v>0.22</v>
      </c>
      <c r="BP81" s="1055"/>
      <c r="BQ81" s="1049"/>
    </row>
    <row r="82" spans="1:69" ht="14.4">
      <c r="A82" s="1049"/>
      <c r="B82" s="1120">
        <f>B81/24</f>
        <v>0.47916666666666674</v>
      </c>
      <c r="C82" s="1057">
        <v>3</v>
      </c>
      <c r="D82" s="1056">
        <v>4</v>
      </c>
      <c r="E82" s="1063">
        <v>0.2</v>
      </c>
      <c r="F82" s="1062">
        <v>0.56999999999999995</v>
      </c>
      <c r="G82" s="1061">
        <f t="shared" si="33"/>
        <v>2.8499999999999996</v>
      </c>
      <c r="H82" s="1049"/>
      <c r="I82" s="1120">
        <f>I81/24</f>
        <v>0.69999999999999973</v>
      </c>
      <c r="J82" s="1057">
        <v>3</v>
      </c>
      <c r="K82" s="1056">
        <v>4</v>
      </c>
      <c r="L82" s="1055">
        <v>0.19</v>
      </c>
      <c r="M82" s="1059">
        <v>0.39</v>
      </c>
      <c r="N82" s="1052">
        <f t="shared" si="34"/>
        <v>2.0526315789473686</v>
      </c>
      <c r="O82" s="1049"/>
      <c r="P82" s="1120">
        <f>P81/24</f>
        <v>1.3304166666666668</v>
      </c>
      <c r="Q82" s="1057">
        <v>3</v>
      </c>
      <c r="R82" s="1056">
        <v>4</v>
      </c>
      <c r="S82" s="1055">
        <v>0.873</v>
      </c>
      <c r="T82" s="1054">
        <f t="shared" si="35"/>
        <v>1.91187</v>
      </c>
      <c r="U82" s="1136">
        <v>2.72</v>
      </c>
      <c r="V82" s="1052">
        <f t="shared" si="36"/>
        <v>3.1156930126002291</v>
      </c>
      <c r="W82" s="1049"/>
      <c r="X82" s="1051">
        <v>2.19</v>
      </c>
      <c r="Y82" s="1049"/>
      <c r="Z82" s="1050">
        <f t="shared" si="37"/>
        <v>1.2134699999999998</v>
      </c>
      <c r="AA82" s="1120">
        <f>AA81/24</f>
        <v>2.5220833333333332</v>
      </c>
      <c r="AB82" s="1057">
        <v>3</v>
      </c>
      <c r="AC82" s="1056">
        <v>4</v>
      </c>
      <c r="AD82" s="1055">
        <v>1.72</v>
      </c>
      <c r="AE82" s="1137">
        <f t="shared" si="38"/>
        <v>0.36119999999999997</v>
      </c>
      <c r="AF82" s="1136">
        <v>1.55</v>
      </c>
      <c r="AG82" s="1052">
        <f t="shared" si="39"/>
        <v>0.90116279069767447</v>
      </c>
      <c r="AH82" s="1049"/>
      <c r="AI82" s="1051">
        <v>0.21</v>
      </c>
      <c r="AJ82" s="1049"/>
      <c r="AK82" s="1050">
        <f t="shared" si="40"/>
        <v>-1.0148000000000001</v>
      </c>
      <c r="AL82" s="1049"/>
      <c r="AM82" s="1120">
        <f>AM81/24</f>
        <v>0.21500000000000005</v>
      </c>
      <c r="AN82" s="1057">
        <v>3</v>
      </c>
      <c r="AO82" s="1056">
        <v>4</v>
      </c>
      <c r="AP82" s="1055">
        <v>7.0000000000000007E-2</v>
      </c>
      <c r="AQ82" s="1745">
        <f t="shared" si="41"/>
        <v>0</v>
      </c>
      <c r="AR82" s="1737">
        <v>0.14000000000000001</v>
      </c>
      <c r="AS82" s="1052">
        <f t="shared" si="42"/>
        <v>2</v>
      </c>
      <c r="AT82" s="1049"/>
      <c r="AU82" s="1051"/>
      <c r="AV82" s="1049"/>
      <c r="AW82" s="1120">
        <f>AW81/24</f>
        <v>0.27083333333333331</v>
      </c>
      <c r="AX82" s="1057">
        <v>3</v>
      </c>
      <c r="AY82" s="1056">
        <v>4</v>
      </c>
      <c r="AZ82" s="1055">
        <v>0.12</v>
      </c>
      <c r="BA82" s="1736">
        <v>0.2</v>
      </c>
      <c r="BB82" s="1737">
        <f t="shared" si="43"/>
        <v>1.6666666666666667</v>
      </c>
      <c r="BC82" s="1049"/>
      <c r="BD82" s="1051"/>
      <c r="BE82" s="1049"/>
      <c r="BF82" s="1120">
        <f>BF81/24</f>
        <v>0.24041666666666664</v>
      </c>
      <c r="BG82" s="1057">
        <v>3</v>
      </c>
      <c r="BH82" s="1056">
        <v>4</v>
      </c>
      <c r="BI82" s="1055">
        <v>0.08</v>
      </c>
      <c r="BJ82" s="1736" t="s">
        <v>1364</v>
      </c>
      <c r="BK82" s="1049"/>
      <c r="BL82" s="1120">
        <f>BL81/24</f>
        <v>0.33749999999999997</v>
      </c>
      <c r="BM82" s="1057">
        <v>3</v>
      </c>
      <c r="BN82" s="1056">
        <v>4</v>
      </c>
      <c r="BO82" s="1055">
        <v>0.23</v>
      </c>
      <c r="BP82" s="1055"/>
      <c r="BQ82" s="1049"/>
    </row>
    <row r="83" spans="1:69" ht="14.4">
      <c r="A83" s="1049"/>
      <c r="B83" s="1119"/>
      <c r="C83" s="1057">
        <v>4</v>
      </c>
      <c r="D83" s="1056">
        <v>5</v>
      </c>
      <c r="E83" s="1063">
        <v>0.36</v>
      </c>
      <c r="F83" s="1062">
        <v>1.05</v>
      </c>
      <c r="G83" s="1061">
        <f t="shared" si="33"/>
        <v>2.916666666666667</v>
      </c>
      <c r="H83" s="1049"/>
      <c r="I83" s="1119"/>
      <c r="J83" s="1057">
        <v>4</v>
      </c>
      <c r="K83" s="1056">
        <v>5</v>
      </c>
      <c r="L83" s="1055">
        <v>0.17</v>
      </c>
      <c r="M83" s="1059">
        <v>0.36</v>
      </c>
      <c r="N83" s="1052">
        <f t="shared" si="34"/>
        <v>2.117647058823529</v>
      </c>
      <c r="O83" s="1049"/>
      <c r="P83" s="1118"/>
      <c r="Q83" s="1057">
        <v>4</v>
      </c>
      <c r="R83" s="1056">
        <v>5</v>
      </c>
      <c r="S83" s="1055">
        <v>0.82699999999999996</v>
      </c>
      <c r="T83" s="1054">
        <f t="shared" si="35"/>
        <v>1.8111299999999999</v>
      </c>
      <c r="U83" s="1136">
        <v>2.58</v>
      </c>
      <c r="V83" s="1052">
        <f t="shared" si="36"/>
        <v>3.119709794437727</v>
      </c>
      <c r="W83" s="1049"/>
      <c r="X83" s="1051">
        <v>2.19</v>
      </c>
      <c r="Y83" s="1049"/>
      <c r="Z83" s="1050">
        <f t="shared" si="37"/>
        <v>1.1495299999999999</v>
      </c>
      <c r="AA83" s="1118"/>
      <c r="AB83" s="1057">
        <v>4</v>
      </c>
      <c r="AC83" s="1056">
        <v>5</v>
      </c>
      <c r="AD83" s="1055">
        <v>2.09</v>
      </c>
      <c r="AE83" s="1137">
        <f t="shared" si="38"/>
        <v>0.29260000000000003</v>
      </c>
      <c r="AF83" s="1136">
        <v>1.74</v>
      </c>
      <c r="AG83" s="1052">
        <f t="shared" si="39"/>
        <v>0.83253588516746413</v>
      </c>
      <c r="AH83" s="1049"/>
      <c r="AI83" s="1051">
        <v>0.14000000000000001</v>
      </c>
      <c r="AJ83" s="1049"/>
      <c r="AK83" s="1050">
        <f t="shared" si="40"/>
        <v>-1.3794</v>
      </c>
      <c r="AL83" s="1049"/>
      <c r="AM83" s="1118"/>
      <c r="AN83" s="1057">
        <v>4</v>
      </c>
      <c r="AO83" s="1056">
        <v>5</v>
      </c>
      <c r="AP83" s="1055">
        <v>0.1</v>
      </c>
      <c r="AQ83" s="1745">
        <f t="shared" si="41"/>
        <v>0</v>
      </c>
      <c r="AR83" s="1737">
        <v>0.2</v>
      </c>
      <c r="AS83" s="1052">
        <f t="shared" si="42"/>
        <v>2</v>
      </c>
      <c r="AT83" s="1049"/>
      <c r="AU83" s="1051"/>
      <c r="AV83" s="1049"/>
      <c r="AW83" s="1118"/>
      <c r="AX83" s="1057">
        <v>4</v>
      </c>
      <c r="AY83" s="1056">
        <v>5</v>
      </c>
      <c r="AZ83" s="1055">
        <v>0.26</v>
      </c>
      <c r="BA83" s="1736">
        <v>0.45</v>
      </c>
      <c r="BB83" s="1737">
        <f t="shared" si="43"/>
        <v>1.7307692307692308</v>
      </c>
      <c r="BC83" s="1049"/>
      <c r="BD83" s="1051"/>
      <c r="BE83" s="1049"/>
      <c r="BF83" s="1118"/>
      <c r="BG83" s="1057">
        <v>4</v>
      </c>
      <c r="BH83" s="1056">
        <v>5</v>
      </c>
      <c r="BI83" s="1055">
        <v>0.11</v>
      </c>
      <c r="BJ83" s="1736" t="s">
        <v>1367</v>
      </c>
      <c r="BK83" s="1049"/>
      <c r="BL83" s="1118"/>
      <c r="BM83" s="1057">
        <v>4</v>
      </c>
      <c r="BN83" s="1056">
        <v>5</v>
      </c>
      <c r="BO83" s="1055">
        <v>0.3</v>
      </c>
      <c r="BP83" s="1055"/>
      <c r="BQ83" s="1049"/>
    </row>
    <row r="84" spans="1:69" ht="15" thickBot="1">
      <c r="A84" s="1049"/>
      <c r="B84" s="1058">
        <f>SUM(F79:F102)</f>
        <v>34.139999999999993</v>
      </c>
      <c r="C84" s="1111">
        <v>5</v>
      </c>
      <c r="D84" s="1110">
        <v>6</v>
      </c>
      <c r="E84" s="1117">
        <v>0.34</v>
      </c>
      <c r="F84" s="1116">
        <v>0.97</v>
      </c>
      <c r="G84" s="1115">
        <f t="shared" si="33"/>
        <v>2.8529411764705879</v>
      </c>
      <c r="H84" s="1049"/>
      <c r="I84" s="1058">
        <f>SUM(M79:M102)</f>
        <v>46.56</v>
      </c>
      <c r="J84" s="1111">
        <v>5</v>
      </c>
      <c r="K84" s="1110">
        <v>6</v>
      </c>
      <c r="L84" s="1109">
        <v>0.14000000000000001</v>
      </c>
      <c r="M84" s="1114">
        <v>0.31</v>
      </c>
      <c r="N84" s="1113">
        <f t="shared" si="34"/>
        <v>2.214285714285714</v>
      </c>
      <c r="O84" s="1049"/>
      <c r="P84" s="1112">
        <f>SUM(U79:U102)</f>
        <v>118.51</v>
      </c>
      <c r="Q84" s="1111">
        <v>5</v>
      </c>
      <c r="R84" s="1110">
        <v>6</v>
      </c>
      <c r="S84" s="1109">
        <v>0.89800000000000002</v>
      </c>
      <c r="T84" s="1054">
        <f t="shared" si="35"/>
        <v>2.0025400000000002</v>
      </c>
      <c r="U84" s="1146">
        <v>2.83</v>
      </c>
      <c r="V84" s="1052">
        <f t="shared" si="36"/>
        <v>3.1514476614699332</v>
      </c>
      <c r="W84" s="1049"/>
      <c r="X84" s="1074">
        <v>2.23</v>
      </c>
      <c r="Y84" s="1049"/>
      <c r="Z84" s="1050">
        <f t="shared" si="37"/>
        <v>1.2841400000000001</v>
      </c>
      <c r="AA84" s="1112">
        <f>SUM(AF79:AF102)</f>
        <v>90.289999999999992</v>
      </c>
      <c r="AB84" s="1111">
        <v>5</v>
      </c>
      <c r="AC84" s="1110">
        <v>6</v>
      </c>
      <c r="AD84" s="1109">
        <v>2.16</v>
      </c>
      <c r="AE84" s="1147">
        <f t="shared" si="38"/>
        <v>0.49680000000000007</v>
      </c>
      <c r="AF84" s="1146">
        <v>1.99</v>
      </c>
      <c r="AG84" s="1052">
        <f t="shared" si="39"/>
        <v>0.92129629629629628</v>
      </c>
      <c r="AH84" s="1049"/>
      <c r="AI84" s="1074">
        <v>0.23</v>
      </c>
      <c r="AJ84" s="1049"/>
      <c r="AK84" s="1050">
        <f t="shared" si="40"/>
        <v>-1.2312000000000003</v>
      </c>
      <c r="AL84" s="1049"/>
      <c r="AM84" s="1112">
        <f>SUM(AR79:AR102)</f>
        <v>12.479999999999999</v>
      </c>
      <c r="AN84" s="1111">
        <v>5</v>
      </c>
      <c r="AO84" s="1110">
        <v>6</v>
      </c>
      <c r="AP84" s="1109">
        <v>0.11</v>
      </c>
      <c r="AQ84" s="1746">
        <f t="shared" si="41"/>
        <v>0</v>
      </c>
      <c r="AR84" s="1739">
        <v>0.22</v>
      </c>
      <c r="AS84" s="1052">
        <f t="shared" si="42"/>
        <v>2</v>
      </c>
      <c r="AT84" s="1049"/>
      <c r="AU84" s="1074"/>
      <c r="AV84" s="1049"/>
      <c r="AW84" s="1112">
        <f>SUM(BA79:BA102)</f>
        <v>12.809999999999997</v>
      </c>
      <c r="AX84" s="1111">
        <v>5</v>
      </c>
      <c r="AY84" s="1110">
        <v>6</v>
      </c>
      <c r="AZ84" s="1109">
        <v>0.23</v>
      </c>
      <c r="BA84" s="1738">
        <v>0.4</v>
      </c>
      <c r="BB84" s="1739">
        <f t="shared" si="43"/>
        <v>1.7391304347826086</v>
      </c>
      <c r="BC84" s="1049"/>
      <c r="BD84" s="1074"/>
      <c r="BE84" s="1049"/>
      <c r="BF84" s="1112">
        <f>SUM(BJ79:BJ102)</f>
        <v>0</v>
      </c>
      <c r="BG84" s="1111">
        <v>5</v>
      </c>
      <c r="BH84" s="1110">
        <v>6</v>
      </c>
      <c r="BI84" s="1109">
        <v>0.12</v>
      </c>
      <c r="BJ84" s="1738" t="s">
        <v>1405</v>
      </c>
      <c r="BK84" s="1049"/>
      <c r="BL84" s="1112">
        <f>SUM(BP79:BP102)</f>
        <v>0</v>
      </c>
      <c r="BM84" s="1111">
        <v>5</v>
      </c>
      <c r="BN84" s="1110">
        <v>6</v>
      </c>
      <c r="BO84" s="1109">
        <v>0.12</v>
      </c>
      <c r="BP84" s="1109"/>
      <c r="BQ84" s="1049"/>
    </row>
    <row r="85" spans="1:69" ht="14.4">
      <c r="A85" s="1049"/>
      <c r="B85" s="1093">
        <f>B84/B81</f>
        <v>2.9686956521739121</v>
      </c>
      <c r="C85" s="1100">
        <v>6</v>
      </c>
      <c r="D85" s="1099">
        <v>7</v>
      </c>
      <c r="E85" s="1107">
        <v>0.25</v>
      </c>
      <c r="F85" s="1106">
        <v>0.72</v>
      </c>
      <c r="G85" s="1105">
        <f t="shared" si="33"/>
        <v>2.88</v>
      </c>
      <c r="H85" s="1049"/>
      <c r="I85" s="1093">
        <f>I84/I81</f>
        <v>2.7714285714285727</v>
      </c>
      <c r="J85" s="1100">
        <v>6</v>
      </c>
      <c r="K85" s="1099">
        <v>7</v>
      </c>
      <c r="L85" s="1098">
        <v>0.21</v>
      </c>
      <c r="M85" s="1103">
        <v>0.48</v>
      </c>
      <c r="N85" s="1102">
        <f t="shared" si="34"/>
        <v>2.2857142857142856</v>
      </c>
      <c r="O85" s="1049"/>
      <c r="P85" s="1093">
        <f>P84/P81</f>
        <v>3.7115565299091759</v>
      </c>
      <c r="Q85" s="1100">
        <v>6</v>
      </c>
      <c r="R85" s="1099">
        <v>7</v>
      </c>
      <c r="S85" s="1098">
        <v>1.546</v>
      </c>
      <c r="T85" s="1054">
        <f t="shared" si="35"/>
        <v>3.4475799999999999</v>
      </c>
      <c r="U85" s="1144">
        <v>4.8600000000000003</v>
      </c>
      <c r="V85" s="1052">
        <f t="shared" si="36"/>
        <v>3.1435963777490299</v>
      </c>
      <c r="W85" s="1049"/>
      <c r="X85" s="1108">
        <v>2.23</v>
      </c>
      <c r="Y85" s="1049"/>
      <c r="Z85" s="1050">
        <f t="shared" si="37"/>
        <v>2.2107799999999997</v>
      </c>
      <c r="AA85" s="1093">
        <f>AA84/AA81</f>
        <v>1.491657029572113</v>
      </c>
      <c r="AB85" s="1100">
        <v>6</v>
      </c>
      <c r="AC85" s="1099">
        <v>7</v>
      </c>
      <c r="AD85" s="1098">
        <v>2.79</v>
      </c>
      <c r="AE85" s="1145">
        <f t="shared" si="38"/>
        <v>1.9529999999999998</v>
      </c>
      <c r="AF85" s="1144">
        <v>3.88</v>
      </c>
      <c r="AG85" s="1052">
        <f t="shared" si="39"/>
        <v>1.3906810035842294</v>
      </c>
      <c r="AH85" s="1049"/>
      <c r="AI85" s="1108">
        <v>0.7</v>
      </c>
      <c r="AJ85" s="1049"/>
      <c r="AK85" s="1050">
        <f t="shared" si="40"/>
        <v>-0.27900000000000025</v>
      </c>
      <c r="AL85" s="1049"/>
      <c r="AM85" s="1093">
        <f>AM84/AM81</f>
        <v>2.4186046511627901</v>
      </c>
      <c r="AN85" s="1100">
        <v>6</v>
      </c>
      <c r="AO85" s="1099">
        <v>7</v>
      </c>
      <c r="AP85" s="1098">
        <v>0.11</v>
      </c>
      <c r="AQ85" s="1747">
        <f t="shared" si="41"/>
        <v>0</v>
      </c>
      <c r="AR85" s="1741">
        <v>0.23</v>
      </c>
      <c r="AS85" s="1052">
        <f t="shared" si="42"/>
        <v>2.0909090909090908</v>
      </c>
      <c r="AT85" s="1049"/>
      <c r="AU85" s="1108"/>
      <c r="AV85" s="1049"/>
      <c r="AW85" s="1093">
        <f>AW84/AW81</f>
        <v>1.9707692307692304</v>
      </c>
      <c r="AX85" s="1100">
        <v>6</v>
      </c>
      <c r="AY85" s="1099">
        <v>7</v>
      </c>
      <c r="AZ85" s="1098">
        <v>0.21</v>
      </c>
      <c r="BA85" s="1740">
        <v>0.36</v>
      </c>
      <c r="BB85" s="1741">
        <f t="shared" si="43"/>
        <v>1.7142857142857142</v>
      </c>
      <c r="BC85" s="1049"/>
      <c r="BD85" s="1108"/>
      <c r="BE85" s="1049"/>
      <c r="BF85" s="1093">
        <f>BF84/BF81</f>
        <v>0</v>
      </c>
      <c r="BG85" s="1100">
        <v>6</v>
      </c>
      <c r="BH85" s="1099">
        <v>7</v>
      </c>
      <c r="BI85" s="1098">
        <v>0.14000000000000001</v>
      </c>
      <c r="BJ85" s="1740" t="s">
        <v>1375</v>
      </c>
      <c r="BK85" s="1049"/>
      <c r="BL85" s="1093">
        <f>BL84/BL81</f>
        <v>0</v>
      </c>
      <c r="BM85" s="1100">
        <v>6</v>
      </c>
      <c r="BN85" s="1099">
        <v>7</v>
      </c>
      <c r="BO85" s="1098">
        <v>0.15</v>
      </c>
      <c r="BP85" s="1098"/>
      <c r="BQ85" s="1049"/>
    </row>
    <row r="86" spans="1:69" ht="14.4">
      <c r="A86" s="1049"/>
      <c r="B86" s="1104"/>
      <c r="C86" s="1100">
        <v>7</v>
      </c>
      <c r="D86" s="1099">
        <v>8</v>
      </c>
      <c r="E86" s="1107">
        <v>0.51</v>
      </c>
      <c r="F86" s="1106">
        <v>1.46</v>
      </c>
      <c r="G86" s="1105">
        <f t="shared" si="33"/>
        <v>2.8627450980392157</v>
      </c>
      <c r="H86" s="1049"/>
      <c r="I86" s="1104"/>
      <c r="J86" s="1100">
        <v>7</v>
      </c>
      <c r="K86" s="1099">
        <v>8</v>
      </c>
      <c r="L86" s="1098">
        <v>0.82</v>
      </c>
      <c r="M86" s="1103">
        <v>2.12</v>
      </c>
      <c r="N86" s="1102">
        <f t="shared" si="34"/>
        <v>2.5853658536585367</v>
      </c>
      <c r="O86" s="1049"/>
      <c r="P86" s="1101"/>
      <c r="Q86" s="1100">
        <v>7</v>
      </c>
      <c r="R86" s="1099">
        <v>8</v>
      </c>
      <c r="S86" s="1098">
        <v>1.1859999999999999</v>
      </c>
      <c r="T86" s="1054">
        <f t="shared" si="35"/>
        <v>2.7159399999999998</v>
      </c>
      <c r="U86" s="1144">
        <v>3.81</v>
      </c>
      <c r="V86" s="1052">
        <f t="shared" si="36"/>
        <v>3.2124789207419902</v>
      </c>
      <c r="W86" s="1049"/>
      <c r="X86" s="1065">
        <v>2.29</v>
      </c>
      <c r="Y86" s="1049"/>
      <c r="Z86" s="1050">
        <f t="shared" si="37"/>
        <v>1.7671399999999999</v>
      </c>
      <c r="AA86" s="1101"/>
      <c r="AB86" s="1100">
        <v>7</v>
      </c>
      <c r="AC86" s="1099">
        <v>8</v>
      </c>
      <c r="AD86" s="1098">
        <v>2.2599999999999998</v>
      </c>
      <c r="AE86" s="1145">
        <f t="shared" si="38"/>
        <v>1.9661999999999997</v>
      </c>
      <c r="AF86" s="1144">
        <v>3.52</v>
      </c>
      <c r="AG86" s="1052">
        <f t="shared" si="39"/>
        <v>1.5575221238938055</v>
      </c>
      <c r="AH86" s="1049"/>
      <c r="AI86" s="1065">
        <v>0.87</v>
      </c>
      <c r="AJ86" s="1049"/>
      <c r="AK86" s="1050">
        <f t="shared" si="40"/>
        <v>0.15819999999999987</v>
      </c>
      <c r="AL86" s="1049"/>
      <c r="AM86" s="1101"/>
      <c r="AN86" s="1100">
        <v>7</v>
      </c>
      <c r="AO86" s="1099">
        <v>8</v>
      </c>
      <c r="AP86" s="1098">
        <v>0.31</v>
      </c>
      <c r="AQ86" s="1747">
        <f t="shared" si="41"/>
        <v>0</v>
      </c>
      <c r="AR86" s="1741">
        <v>0.71</v>
      </c>
      <c r="AS86" s="1052">
        <f t="shared" si="42"/>
        <v>2.290322580645161</v>
      </c>
      <c r="AT86" s="1049"/>
      <c r="AU86" s="1065"/>
      <c r="AV86" s="1049"/>
      <c r="AW86" s="1101"/>
      <c r="AX86" s="1100">
        <v>7</v>
      </c>
      <c r="AY86" s="1099">
        <v>8</v>
      </c>
      <c r="AZ86" s="1098">
        <v>0.54</v>
      </c>
      <c r="BA86" s="1736">
        <v>0.94</v>
      </c>
      <c r="BB86" s="1741">
        <f t="shared" si="43"/>
        <v>1.7407407407407405</v>
      </c>
      <c r="BC86" s="1049"/>
      <c r="BD86" s="1065"/>
      <c r="BE86" s="1049"/>
      <c r="BF86" s="1101"/>
      <c r="BG86" s="1100">
        <v>7</v>
      </c>
      <c r="BH86" s="1099">
        <v>8</v>
      </c>
      <c r="BI86" s="1098">
        <v>7.0000000000000007E-2</v>
      </c>
      <c r="BJ86" s="1736" t="s">
        <v>1383</v>
      </c>
      <c r="BK86" s="1049"/>
      <c r="BL86" s="1101"/>
      <c r="BM86" s="1100">
        <v>7</v>
      </c>
      <c r="BN86" s="1099">
        <v>8</v>
      </c>
      <c r="BO86" s="1098">
        <v>0.12</v>
      </c>
      <c r="BP86" s="1098"/>
      <c r="BQ86" s="1049"/>
    </row>
    <row r="87" spans="1:69" ht="14.4">
      <c r="A87" s="1049"/>
      <c r="B87" s="1097">
        <f>B84/24</f>
        <v>1.4224999999999997</v>
      </c>
      <c r="C87" s="1086">
        <v>8</v>
      </c>
      <c r="D87" s="1085">
        <v>9</v>
      </c>
      <c r="E87" s="1091">
        <v>1.38</v>
      </c>
      <c r="F87" s="1090">
        <v>3.98</v>
      </c>
      <c r="G87" s="1089">
        <f t="shared" si="33"/>
        <v>2.8840579710144931</v>
      </c>
      <c r="H87" s="1049"/>
      <c r="I87" s="1097">
        <f>I84/24</f>
        <v>1.9400000000000002</v>
      </c>
      <c r="J87" s="1086">
        <v>8</v>
      </c>
      <c r="K87" s="1085">
        <v>9</v>
      </c>
      <c r="L87" s="1084">
        <v>0.32</v>
      </c>
      <c r="M87" s="1088">
        <v>0.84</v>
      </c>
      <c r="N87" s="1087">
        <f t="shared" si="34"/>
        <v>2.625</v>
      </c>
      <c r="O87" s="1049"/>
      <c r="P87" s="1096">
        <f>P84/24</f>
        <v>4.9379166666666672</v>
      </c>
      <c r="Q87" s="1086">
        <v>8</v>
      </c>
      <c r="R87" s="1085">
        <v>9</v>
      </c>
      <c r="S87" s="1084">
        <v>0.97699999999999998</v>
      </c>
      <c r="T87" s="1054">
        <f t="shared" si="35"/>
        <v>2.5695099999999997</v>
      </c>
      <c r="U87" s="1142">
        <v>3.47</v>
      </c>
      <c r="V87" s="1052">
        <f t="shared" si="36"/>
        <v>3.5516888433981579</v>
      </c>
      <c r="W87" s="1049"/>
      <c r="X87" s="1051">
        <v>2.63</v>
      </c>
      <c r="Y87" s="1049"/>
      <c r="Z87" s="1050">
        <f t="shared" si="37"/>
        <v>1.7879099999999999</v>
      </c>
      <c r="AA87" s="1096">
        <f>AA84/24</f>
        <v>3.762083333333333</v>
      </c>
      <c r="AB87" s="1086">
        <v>8</v>
      </c>
      <c r="AC87" s="1085">
        <v>9</v>
      </c>
      <c r="AD87" s="1084">
        <v>2.2599999999999998</v>
      </c>
      <c r="AE87" s="1143">
        <f t="shared" si="38"/>
        <v>2.0566</v>
      </c>
      <c r="AF87" s="1142">
        <v>3.62</v>
      </c>
      <c r="AG87" s="1052">
        <f t="shared" si="39"/>
        <v>1.601769911504425</v>
      </c>
      <c r="AH87" s="1049"/>
      <c r="AI87" s="1051">
        <v>0.91</v>
      </c>
      <c r="AJ87" s="1049"/>
      <c r="AK87" s="1050">
        <f t="shared" si="40"/>
        <v>0.24859999999999996</v>
      </c>
      <c r="AL87" s="1049"/>
      <c r="AM87" s="1096">
        <f>AM84/24</f>
        <v>0.51999999999999991</v>
      </c>
      <c r="AN87" s="1086">
        <v>8</v>
      </c>
      <c r="AO87" s="1085">
        <v>9</v>
      </c>
      <c r="AP87" s="1084">
        <v>0.23</v>
      </c>
      <c r="AQ87" s="1748">
        <f t="shared" si="41"/>
        <v>0</v>
      </c>
      <c r="AR87" s="1742">
        <v>0.54</v>
      </c>
      <c r="AS87" s="1052">
        <f t="shared" si="42"/>
        <v>2.347826086956522</v>
      </c>
      <c r="AT87" s="1049"/>
      <c r="AU87" s="1051"/>
      <c r="AV87" s="1049"/>
      <c r="AW87" s="1096">
        <f>AW84/24</f>
        <v>0.53374999999999984</v>
      </c>
      <c r="AX87" s="1086">
        <v>8</v>
      </c>
      <c r="AY87" s="1085">
        <v>9</v>
      </c>
      <c r="AZ87" s="1084">
        <v>0.33</v>
      </c>
      <c r="BA87" s="1736">
        <v>0.57999999999999996</v>
      </c>
      <c r="BB87" s="1742">
        <f t="shared" si="43"/>
        <v>1.7575757575757573</v>
      </c>
      <c r="BC87" s="1049"/>
      <c r="BD87" s="1051"/>
      <c r="BE87" s="1049"/>
      <c r="BF87" s="1096">
        <f>BF84/24</f>
        <v>0</v>
      </c>
      <c r="BG87" s="1086">
        <v>8</v>
      </c>
      <c r="BH87" s="1085">
        <v>9</v>
      </c>
      <c r="BI87" s="1084">
        <v>0.14000000000000001</v>
      </c>
      <c r="BJ87" s="1736" t="s">
        <v>1376</v>
      </c>
      <c r="BK87" s="1049"/>
      <c r="BL87" s="1096">
        <f>BL84/24</f>
        <v>0</v>
      </c>
      <c r="BM87" s="1086">
        <v>8</v>
      </c>
      <c r="BN87" s="1085">
        <v>9</v>
      </c>
      <c r="BO87" s="1084">
        <v>0.32</v>
      </c>
      <c r="BP87" s="1084"/>
      <c r="BQ87" s="1049"/>
    </row>
    <row r="88" spans="1:69" ht="14.4">
      <c r="A88" s="1049"/>
      <c r="B88" s="1097"/>
      <c r="C88" s="1086">
        <v>9</v>
      </c>
      <c r="D88" s="1085">
        <v>10</v>
      </c>
      <c r="E88" s="1091">
        <v>0.99</v>
      </c>
      <c r="F88" s="1090">
        <v>2.85</v>
      </c>
      <c r="G88" s="1089">
        <f t="shared" si="33"/>
        <v>2.8787878787878789</v>
      </c>
      <c r="H88" s="1049"/>
      <c r="I88" s="1097"/>
      <c r="J88" s="1086">
        <v>9</v>
      </c>
      <c r="K88" s="1085">
        <v>10</v>
      </c>
      <c r="L88" s="1084">
        <v>1.52</v>
      </c>
      <c r="M88" s="1088">
        <v>3.91</v>
      </c>
      <c r="N88" s="1087">
        <f t="shared" si="34"/>
        <v>2.5723684210526319</v>
      </c>
      <c r="O88" s="1049"/>
      <c r="P88" s="1096"/>
      <c r="Q88" s="1086">
        <v>9</v>
      </c>
      <c r="R88" s="1085">
        <v>10</v>
      </c>
      <c r="S88" s="1084">
        <v>1.01</v>
      </c>
      <c r="T88" s="1054">
        <f t="shared" si="35"/>
        <v>2.9087999999999998</v>
      </c>
      <c r="U88" s="1142">
        <v>3.83</v>
      </c>
      <c r="V88" s="1052">
        <f t="shared" si="36"/>
        <v>3.7920792079207919</v>
      </c>
      <c r="W88" s="1049"/>
      <c r="X88" s="1051">
        <v>2.88</v>
      </c>
      <c r="Y88" s="1049"/>
      <c r="Z88" s="1050">
        <f t="shared" si="37"/>
        <v>2.1008</v>
      </c>
      <c r="AA88" s="1096"/>
      <c r="AB88" s="1086">
        <v>9</v>
      </c>
      <c r="AC88" s="1085">
        <v>10</v>
      </c>
      <c r="AD88" s="1084">
        <v>2.98</v>
      </c>
      <c r="AE88" s="1143">
        <f t="shared" si="38"/>
        <v>2.7118000000000002</v>
      </c>
      <c r="AF88" s="1142">
        <v>4.7699999999999996</v>
      </c>
      <c r="AG88" s="1052">
        <f t="shared" si="39"/>
        <v>1.6006711409395973</v>
      </c>
      <c r="AH88" s="1049"/>
      <c r="AI88" s="1051">
        <v>0.91</v>
      </c>
      <c r="AJ88" s="1049"/>
      <c r="AK88" s="1050">
        <f t="shared" si="40"/>
        <v>0.32779999999999998</v>
      </c>
      <c r="AL88" s="1049"/>
      <c r="AM88" s="1096"/>
      <c r="AN88" s="1086">
        <v>9</v>
      </c>
      <c r="AO88" s="1085">
        <v>10</v>
      </c>
      <c r="AP88" s="1084">
        <v>0.27</v>
      </c>
      <c r="AQ88" s="1748">
        <f t="shared" si="41"/>
        <v>0</v>
      </c>
      <c r="AR88" s="1742">
        <v>0.65</v>
      </c>
      <c r="AS88" s="1052">
        <f t="shared" si="42"/>
        <v>2.4074074074074074</v>
      </c>
      <c r="AT88" s="1049"/>
      <c r="AU88" s="1051"/>
      <c r="AV88" s="1049"/>
      <c r="AW88" s="1096"/>
      <c r="AX88" s="1086">
        <v>9</v>
      </c>
      <c r="AY88" s="1085">
        <v>10</v>
      </c>
      <c r="AZ88" s="1084">
        <v>0.33</v>
      </c>
      <c r="BA88" s="1736">
        <v>0.56999999999999995</v>
      </c>
      <c r="BB88" s="1742">
        <f t="shared" si="43"/>
        <v>1.7272727272727271</v>
      </c>
      <c r="BC88" s="1049"/>
      <c r="BD88" s="1051"/>
      <c r="BE88" s="1049"/>
      <c r="BF88" s="1096"/>
      <c r="BG88" s="1086">
        <v>9</v>
      </c>
      <c r="BH88" s="1085">
        <v>10</v>
      </c>
      <c r="BI88" s="1084">
        <v>0.37</v>
      </c>
      <c r="BJ88" s="1736" t="s">
        <v>1406</v>
      </c>
      <c r="BK88" s="1049"/>
      <c r="BL88" s="1096"/>
      <c r="BM88" s="1086">
        <v>9</v>
      </c>
      <c r="BN88" s="1085">
        <v>10</v>
      </c>
      <c r="BO88" s="1084">
        <v>0.32</v>
      </c>
      <c r="BP88" s="1084"/>
      <c r="BQ88" s="1049"/>
    </row>
    <row r="89" spans="1:69" ht="14.4">
      <c r="A89" s="1049"/>
      <c r="B89" s="1060"/>
      <c r="C89" s="1086">
        <v>10</v>
      </c>
      <c r="D89" s="1085">
        <v>11</v>
      </c>
      <c r="E89" s="1091">
        <v>0.45</v>
      </c>
      <c r="F89" s="1090">
        <v>1.29</v>
      </c>
      <c r="G89" s="1089">
        <f t="shared" si="33"/>
        <v>2.8666666666666667</v>
      </c>
      <c r="H89" s="1049"/>
      <c r="I89" s="1060"/>
      <c r="J89" s="1086">
        <v>10</v>
      </c>
      <c r="K89" s="1085">
        <v>11</v>
      </c>
      <c r="L89" s="1084">
        <v>1.56</v>
      </c>
      <c r="M89" s="1088">
        <v>3.93</v>
      </c>
      <c r="N89" s="1087">
        <f t="shared" si="34"/>
        <v>2.5192307692307692</v>
      </c>
      <c r="O89" s="1049"/>
      <c r="P89" s="1095">
        <f>SUM(Z79:Z102)</f>
        <v>63.652899999999995</v>
      </c>
      <c r="Q89" s="1086">
        <v>10</v>
      </c>
      <c r="R89" s="1085">
        <v>11</v>
      </c>
      <c r="S89" s="1084">
        <v>1.1779999999999999</v>
      </c>
      <c r="T89" s="1054">
        <f t="shared" si="35"/>
        <v>3.51044</v>
      </c>
      <c r="U89" s="1142">
        <v>4.5999999999999996</v>
      </c>
      <c r="V89" s="1052">
        <f t="shared" si="36"/>
        <v>3.9049235993208828</v>
      </c>
      <c r="W89" s="1049"/>
      <c r="X89" s="1051">
        <v>2.98</v>
      </c>
      <c r="Y89" s="1049"/>
      <c r="Z89" s="1050">
        <f t="shared" si="37"/>
        <v>2.5680399999999994</v>
      </c>
      <c r="AA89" s="1095">
        <f>SUM(AK79:AK102)</f>
        <v>-6.1750000000000025</v>
      </c>
      <c r="AB89" s="1086">
        <v>10</v>
      </c>
      <c r="AC89" s="1085">
        <v>11</v>
      </c>
      <c r="AD89" s="1084">
        <v>3.13</v>
      </c>
      <c r="AE89" s="1143">
        <f t="shared" si="38"/>
        <v>2.4413999999999998</v>
      </c>
      <c r="AF89" s="1142">
        <v>4.62</v>
      </c>
      <c r="AG89" s="1052">
        <f t="shared" si="39"/>
        <v>1.476038338658147</v>
      </c>
      <c r="AH89" s="1049"/>
      <c r="AI89" s="1051">
        <v>0.78</v>
      </c>
      <c r="AJ89" s="1049"/>
      <c r="AK89" s="1050">
        <f t="shared" si="40"/>
        <v>-6.2600000000000058E-2</v>
      </c>
      <c r="AL89" s="1049"/>
      <c r="AM89" s="1095" t="e">
        <f>SUM(#REF!)</f>
        <v>#REF!</v>
      </c>
      <c r="AN89" s="1086">
        <v>10</v>
      </c>
      <c r="AO89" s="1085">
        <v>11</v>
      </c>
      <c r="AP89" s="1084">
        <v>0.32</v>
      </c>
      <c r="AQ89" s="1748">
        <f t="shared" si="41"/>
        <v>0</v>
      </c>
      <c r="AR89" s="1742">
        <v>0.75</v>
      </c>
      <c r="AS89" s="1052">
        <f t="shared" si="42"/>
        <v>2.34375</v>
      </c>
      <c r="AT89" s="1049"/>
      <c r="AU89" s="1051"/>
      <c r="AV89" s="1049"/>
      <c r="AW89" s="1095" t="e">
        <f>SUM(#REF!)</f>
        <v>#REF!</v>
      </c>
      <c r="AX89" s="1086">
        <v>10</v>
      </c>
      <c r="AY89" s="1085">
        <v>11</v>
      </c>
      <c r="AZ89" s="1084">
        <v>0.25</v>
      </c>
      <c r="BA89" s="1736">
        <v>0.43</v>
      </c>
      <c r="BB89" s="1742">
        <f t="shared" si="43"/>
        <v>1.72</v>
      </c>
      <c r="BC89" s="1049"/>
      <c r="BD89" s="1051"/>
      <c r="BE89" s="1049"/>
      <c r="BF89" s="1095" t="e">
        <f>SUM(#REF!)</f>
        <v>#REF!</v>
      </c>
      <c r="BG89" s="1086">
        <v>10</v>
      </c>
      <c r="BH89" s="1085">
        <v>11</v>
      </c>
      <c r="BI89" s="1084">
        <v>0.23</v>
      </c>
      <c r="BJ89" s="1736" t="s">
        <v>1386</v>
      </c>
      <c r="BK89" s="1049"/>
      <c r="BL89" s="1095" t="e">
        <f>SUM(#REF!)</f>
        <v>#REF!</v>
      </c>
      <c r="BM89" s="1086">
        <v>10</v>
      </c>
      <c r="BN89" s="1085">
        <v>11</v>
      </c>
      <c r="BO89" s="1084">
        <v>0.86</v>
      </c>
      <c r="BP89" s="1084"/>
      <c r="BQ89" s="1049"/>
    </row>
    <row r="90" spans="1:69" ht="14.4">
      <c r="A90" s="1049"/>
      <c r="B90" s="1060"/>
      <c r="C90" s="1086">
        <v>11</v>
      </c>
      <c r="D90" s="1085">
        <v>12</v>
      </c>
      <c r="E90" s="1091">
        <v>0.44</v>
      </c>
      <c r="F90" s="1090">
        <v>1.28</v>
      </c>
      <c r="G90" s="1089">
        <f t="shared" si="33"/>
        <v>2.9090909090909092</v>
      </c>
      <c r="H90" s="1049"/>
      <c r="I90" s="1060"/>
      <c r="J90" s="1086">
        <v>11</v>
      </c>
      <c r="K90" s="1085">
        <v>12</v>
      </c>
      <c r="L90" s="1084">
        <v>1.4</v>
      </c>
      <c r="M90" s="1088">
        <v>3.43</v>
      </c>
      <c r="N90" s="1087">
        <f t="shared" si="34"/>
        <v>2.4500000000000002</v>
      </c>
      <c r="O90" s="1049"/>
      <c r="P90" s="1093">
        <f>P89/P81</f>
        <v>1.993513936736611</v>
      </c>
      <c r="Q90" s="1086">
        <v>11</v>
      </c>
      <c r="R90" s="1085">
        <v>12</v>
      </c>
      <c r="S90" s="1084">
        <v>1.111</v>
      </c>
      <c r="T90" s="1054">
        <f t="shared" si="35"/>
        <v>3.37744</v>
      </c>
      <c r="U90" s="1142">
        <v>4.4000000000000004</v>
      </c>
      <c r="V90" s="1052">
        <f t="shared" si="36"/>
        <v>3.9603960396039608</v>
      </c>
      <c r="W90" s="1049"/>
      <c r="X90" s="1051">
        <v>3.04</v>
      </c>
      <c r="Y90" s="1049"/>
      <c r="Z90" s="1050">
        <f t="shared" si="37"/>
        <v>2.4886400000000002</v>
      </c>
      <c r="AA90" s="1093">
        <f>AA89/AA81</f>
        <v>-0.10201552948950939</v>
      </c>
      <c r="AB90" s="1086">
        <v>11</v>
      </c>
      <c r="AC90" s="1085">
        <v>12</v>
      </c>
      <c r="AD90" s="1084">
        <v>3.08</v>
      </c>
      <c r="AE90" s="1143">
        <f t="shared" si="38"/>
        <v>2.6796000000000002</v>
      </c>
      <c r="AF90" s="1142">
        <v>4.8099999999999996</v>
      </c>
      <c r="AG90" s="1052">
        <f t="shared" si="39"/>
        <v>1.5616883116883116</v>
      </c>
      <c r="AH90" s="1049"/>
      <c r="AI90" s="1051">
        <v>0.87</v>
      </c>
      <c r="AJ90" s="1049"/>
      <c r="AK90" s="1050">
        <f t="shared" si="40"/>
        <v>0.21559999999999985</v>
      </c>
      <c r="AL90" s="1049"/>
      <c r="AM90" s="1093" t="e">
        <f>AM89/AM81</f>
        <v>#REF!</v>
      </c>
      <c r="AN90" s="1086">
        <v>11</v>
      </c>
      <c r="AO90" s="1085">
        <v>12</v>
      </c>
      <c r="AP90" s="1084">
        <v>0.21</v>
      </c>
      <c r="AQ90" s="1748">
        <f t="shared" si="41"/>
        <v>0</v>
      </c>
      <c r="AR90" s="1742">
        <v>0.48</v>
      </c>
      <c r="AS90" s="1052">
        <f t="shared" si="42"/>
        <v>2.2857142857142856</v>
      </c>
      <c r="AT90" s="1049"/>
      <c r="AU90" s="1051"/>
      <c r="AV90" s="1049"/>
      <c r="AW90" s="1093" t="e">
        <f>AW89/AW81</f>
        <v>#REF!</v>
      </c>
      <c r="AX90" s="1086">
        <v>11</v>
      </c>
      <c r="AY90" s="1085">
        <v>12</v>
      </c>
      <c r="AZ90" s="1084">
        <v>0.24</v>
      </c>
      <c r="BA90" s="1736">
        <v>0.41</v>
      </c>
      <c r="BB90" s="1742">
        <f t="shared" si="43"/>
        <v>1.7083333333333333</v>
      </c>
      <c r="BC90" s="1049"/>
      <c r="BD90" s="1051"/>
      <c r="BE90" s="1049"/>
      <c r="BF90" s="1093" t="e">
        <f>BF89/BF81</f>
        <v>#REF!</v>
      </c>
      <c r="BG90" s="1086">
        <v>11</v>
      </c>
      <c r="BH90" s="1085">
        <v>12</v>
      </c>
      <c r="BI90" s="1084">
        <v>0.12</v>
      </c>
      <c r="BJ90" s="1736" t="s">
        <v>1380</v>
      </c>
      <c r="BK90" s="1049"/>
      <c r="BL90" s="1093" t="e">
        <f>BL89/BL81</f>
        <v>#REF!</v>
      </c>
      <c r="BM90" s="1086">
        <v>11</v>
      </c>
      <c r="BN90" s="1085">
        <v>12</v>
      </c>
      <c r="BO90" s="1084">
        <v>0.34</v>
      </c>
      <c r="BP90" s="1084"/>
      <c r="BQ90" s="1049"/>
    </row>
    <row r="91" spans="1:69" ht="14.4">
      <c r="A91" s="1049"/>
      <c r="B91" s="1060"/>
      <c r="C91" s="1086">
        <v>12</v>
      </c>
      <c r="D91" s="1085">
        <v>13</v>
      </c>
      <c r="E91" s="1091">
        <v>0.42</v>
      </c>
      <c r="F91" s="1090">
        <v>1.2</v>
      </c>
      <c r="G91" s="1089">
        <f t="shared" si="33"/>
        <v>2.8571428571428572</v>
      </c>
      <c r="H91" s="1049"/>
      <c r="I91" s="1060"/>
      <c r="J91" s="1086">
        <v>12</v>
      </c>
      <c r="K91" s="1085">
        <v>13</v>
      </c>
      <c r="L91" s="1084">
        <v>0.59</v>
      </c>
      <c r="M91" s="1088">
        <v>1.37</v>
      </c>
      <c r="N91" s="1087">
        <f t="shared" si="34"/>
        <v>2.3220338983050852</v>
      </c>
      <c r="O91" s="1049"/>
      <c r="P91" s="1060"/>
      <c r="Q91" s="1086">
        <v>12</v>
      </c>
      <c r="R91" s="1085" t="s">
        <v>144</v>
      </c>
      <c r="S91" s="1084">
        <v>2.4620000000000002</v>
      </c>
      <c r="T91" s="1054">
        <f t="shared" si="35"/>
        <v>7.4352400000000003</v>
      </c>
      <c r="U91" s="1142">
        <v>9.7100000000000009</v>
      </c>
      <c r="V91" s="1052">
        <f t="shared" si="36"/>
        <v>3.9439480097481723</v>
      </c>
      <c r="W91" s="1049"/>
      <c r="X91" s="1051">
        <v>3.02</v>
      </c>
      <c r="Y91" s="1049"/>
      <c r="Z91" s="1050">
        <f t="shared" si="37"/>
        <v>5.4656399999999996</v>
      </c>
      <c r="AA91" s="1060"/>
      <c r="AB91" s="1086">
        <v>12</v>
      </c>
      <c r="AC91" s="1085">
        <v>13</v>
      </c>
      <c r="AD91" s="1084">
        <v>3.11</v>
      </c>
      <c r="AE91" s="1143">
        <f t="shared" si="38"/>
        <v>2.7368000000000001</v>
      </c>
      <c r="AF91" s="1142">
        <v>4.9000000000000004</v>
      </c>
      <c r="AG91" s="1052">
        <f t="shared" si="39"/>
        <v>1.5755627009646305</v>
      </c>
      <c r="AH91" s="1049"/>
      <c r="AI91" s="1051">
        <v>0.88</v>
      </c>
      <c r="AJ91" s="1049"/>
      <c r="AK91" s="1050">
        <f t="shared" si="40"/>
        <v>0.24879999999999985</v>
      </c>
      <c r="AL91" s="1049"/>
      <c r="AM91" s="1060"/>
      <c r="AN91" s="1086">
        <v>12</v>
      </c>
      <c r="AO91" s="1085">
        <v>13</v>
      </c>
      <c r="AP91" s="1084">
        <v>0.23</v>
      </c>
      <c r="AQ91" s="1748">
        <f t="shared" si="41"/>
        <v>0</v>
      </c>
      <c r="AR91" s="1742">
        <v>0.51</v>
      </c>
      <c r="AS91" s="1052">
        <f t="shared" si="42"/>
        <v>2.2173913043478262</v>
      </c>
      <c r="AT91" s="1049"/>
      <c r="AU91" s="1051"/>
      <c r="AV91" s="1049"/>
      <c r="AW91" s="1060"/>
      <c r="AX91" s="1086">
        <v>12</v>
      </c>
      <c r="AY91" s="1085">
        <v>13</v>
      </c>
      <c r="AZ91" s="1084">
        <v>0.21</v>
      </c>
      <c r="BA91" s="1736">
        <v>0.35</v>
      </c>
      <c r="BB91" s="1742">
        <f t="shared" si="43"/>
        <v>1.6666666666666665</v>
      </c>
      <c r="BC91" s="1049"/>
      <c r="BD91" s="1051"/>
      <c r="BE91" s="1049"/>
      <c r="BF91" s="1060"/>
      <c r="BG91" s="1086">
        <v>12</v>
      </c>
      <c r="BH91" s="1085">
        <v>13</v>
      </c>
      <c r="BI91" s="1084">
        <v>0.24</v>
      </c>
      <c r="BJ91" s="1736" t="s">
        <v>1386</v>
      </c>
      <c r="BK91" s="1049"/>
      <c r="BL91" s="1060"/>
      <c r="BM91" s="1086">
        <v>12</v>
      </c>
      <c r="BN91" s="1085">
        <v>13</v>
      </c>
      <c r="BO91" s="1084">
        <v>0.87</v>
      </c>
      <c r="BP91" s="1084"/>
      <c r="BQ91" s="1049"/>
    </row>
    <row r="92" spans="1:69" ht="14.4">
      <c r="A92" s="1049"/>
      <c r="B92" s="1060"/>
      <c r="C92" s="1086">
        <v>13</v>
      </c>
      <c r="D92" s="1085">
        <v>14</v>
      </c>
      <c r="E92" s="1091">
        <v>0.34</v>
      </c>
      <c r="F92" s="1090">
        <v>0.99</v>
      </c>
      <c r="G92" s="1089">
        <f t="shared" si="33"/>
        <v>2.9117647058823528</v>
      </c>
      <c r="H92" s="1049"/>
      <c r="I92" s="1060"/>
      <c r="J92" s="1086">
        <v>13</v>
      </c>
      <c r="K92" s="1085" t="s">
        <v>238</v>
      </c>
      <c r="L92" s="1084">
        <v>1.1499999999999999</v>
      </c>
      <c r="M92" s="1088">
        <v>2.65</v>
      </c>
      <c r="N92" s="1087">
        <f t="shared" si="34"/>
        <v>2.3043478260869565</v>
      </c>
      <c r="O92" s="1049"/>
      <c r="P92" s="1092" t="s">
        <v>1127</v>
      </c>
      <c r="Q92" s="1086">
        <v>13</v>
      </c>
      <c r="R92" s="1085"/>
      <c r="S92" s="1084">
        <v>2.3610000000000002</v>
      </c>
      <c r="T92" s="1054">
        <f t="shared" si="35"/>
        <v>7.0593900000000014</v>
      </c>
      <c r="U92" s="1142">
        <v>9.24</v>
      </c>
      <c r="V92" s="1052">
        <f t="shared" si="36"/>
        <v>3.913595933926302</v>
      </c>
      <c r="W92" s="1049"/>
      <c r="X92" s="1051">
        <v>2.99</v>
      </c>
      <c r="Y92" s="1049"/>
      <c r="Z92" s="1050">
        <f t="shared" si="37"/>
        <v>5.1705900000000016</v>
      </c>
      <c r="AA92" s="1092" t="s">
        <v>1127</v>
      </c>
      <c r="AB92" s="1150">
        <v>13</v>
      </c>
      <c r="AC92" s="1085">
        <v>14</v>
      </c>
      <c r="AD92" s="1084">
        <v>3.17</v>
      </c>
      <c r="AE92" s="1143">
        <f t="shared" si="38"/>
        <v>2.7578999999999998</v>
      </c>
      <c r="AF92" s="1142">
        <v>4.95</v>
      </c>
      <c r="AG92" s="1052">
        <f t="shared" si="39"/>
        <v>1.5615141955835963</v>
      </c>
      <c r="AH92" s="1049"/>
      <c r="AI92" s="1051">
        <v>0.87</v>
      </c>
      <c r="AJ92" s="1049"/>
      <c r="AK92" s="1050">
        <f t="shared" si="40"/>
        <v>0.22189999999999985</v>
      </c>
      <c r="AL92" s="1049"/>
      <c r="AM92" s="1092" t="s">
        <v>1127</v>
      </c>
      <c r="AN92" s="1150">
        <v>13</v>
      </c>
      <c r="AO92" s="1085">
        <v>14</v>
      </c>
      <c r="AP92" s="1084">
        <v>7.0000000000000007E-2</v>
      </c>
      <c r="AQ92" s="1748">
        <f t="shared" si="41"/>
        <v>0</v>
      </c>
      <c r="AR92" s="1742">
        <v>0.14000000000000001</v>
      </c>
      <c r="AS92" s="1052">
        <f t="shared" si="42"/>
        <v>2</v>
      </c>
      <c r="AT92" s="1049"/>
      <c r="AU92" s="1051"/>
      <c r="AV92" s="1049"/>
      <c r="AW92" s="1092" t="s">
        <v>1127</v>
      </c>
      <c r="AX92" s="1086">
        <v>13</v>
      </c>
      <c r="AY92" s="1085">
        <v>14</v>
      </c>
      <c r="AZ92" s="1084">
        <v>0.24</v>
      </c>
      <c r="BA92" s="1736">
        <v>0.4</v>
      </c>
      <c r="BB92" s="1742">
        <f t="shared" si="43"/>
        <v>1.6666666666666667</v>
      </c>
      <c r="BC92" s="1049"/>
      <c r="BD92" s="1051"/>
      <c r="BE92" s="1049"/>
      <c r="BF92" s="1092" t="s">
        <v>1127</v>
      </c>
      <c r="BG92" s="1086">
        <v>13</v>
      </c>
      <c r="BH92" s="1085">
        <v>14</v>
      </c>
      <c r="BI92" s="1084">
        <v>0.24</v>
      </c>
      <c r="BJ92" s="1736" t="s">
        <v>1386</v>
      </c>
      <c r="BK92" s="1049"/>
      <c r="BL92" s="1092" t="s">
        <v>1127</v>
      </c>
      <c r="BM92" s="1086">
        <v>13</v>
      </c>
      <c r="BN92" s="1085">
        <v>14</v>
      </c>
      <c r="BO92" s="1084">
        <v>0.32</v>
      </c>
      <c r="BP92" s="1084"/>
      <c r="BQ92" s="1049"/>
    </row>
    <row r="93" spans="1:69" ht="14.4">
      <c r="A93" s="1049"/>
      <c r="B93" s="1060"/>
      <c r="C93" s="1086">
        <v>14</v>
      </c>
      <c r="D93" s="1085">
        <v>15</v>
      </c>
      <c r="E93" s="1091">
        <v>0.54</v>
      </c>
      <c r="F93" s="1090">
        <v>1.57</v>
      </c>
      <c r="G93" s="1089">
        <f t="shared" si="33"/>
        <v>2.9074074074074074</v>
      </c>
      <c r="H93" s="1049"/>
      <c r="I93" s="1060"/>
      <c r="J93" s="1086">
        <v>14</v>
      </c>
      <c r="K93" s="1085"/>
      <c r="L93" s="1084">
        <v>1.93</v>
      </c>
      <c r="M93" s="1088">
        <v>4.45</v>
      </c>
      <c r="N93" s="1087">
        <f t="shared" si="34"/>
        <v>2.3056994818652852</v>
      </c>
      <c r="O93" s="1049"/>
      <c r="P93" s="1058">
        <f>P81*0.8</f>
        <v>25.544000000000004</v>
      </c>
      <c r="Q93" s="1086">
        <v>14</v>
      </c>
      <c r="R93" s="1085"/>
      <c r="S93" s="1084">
        <v>2.11</v>
      </c>
      <c r="T93" s="1054">
        <f t="shared" si="35"/>
        <v>6.3721999999999994</v>
      </c>
      <c r="U93" s="1142">
        <v>8.3000000000000007</v>
      </c>
      <c r="V93" s="1052">
        <f t="shared" si="36"/>
        <v>3.9336492890995265</v>
      </c>
      <c r="W93" s="1049"/>
      <c r="X93" s="1051">
        <v>3.02</v>
      </c>
      <c r="Y93" s="1049"/>
      <c r="Z93" s="1050">
        <f t="shared" si="37"/>
        <v>4.6841999999999988</v>
      </c>
      <c r="AA93" s="1058">
        <f>AA81*0.8</f>
        <v>48.423999999999999</v>
      </c>
      <c r="AB93" s="1150">
        <v>14</v>
      </c>
      <c r="AC93" s="1085">
        <v>15</v>
      </c>
      <c r="AD93" s="1084">
        <v>2.68</v>
      </c>
      <c r="AE93" s="1143">
        <f t="shared" si="38"/>
        <v>2.3584000000000001</v>
      </c>
      <c r="AF93" s="1142">
        <v>4.21</v>
      </c>
      <c r="AG93" s="1052">
        <f t="shared" si="39"/>
        <v>1.5708955223880596</v>
      </c>
      <c r="AH93" s="1049"/>
      <c r="AI93" s="1051">
        <v>0.88</v>
      </c>
      <c r="AJ93" s="1049"/>
      <c r="AK93" s="1050">
        <f t="shared" si="40"/>
        <v>0.2143999999999999</v>
      </c>
      <c r="AL93" s="1049"/>
      <c r="AM93" s="1058">
        <f>AM81*0.8</f>
        <v>4.128000000000001</v>
      </c>
      <c r="AN93" s="1150">
        <v>14</v>
      </c>
      <c r="AO93" s="1085">
        <v>15</v>
      </c>
      <c r="AP93" s="1084">
        <v>0.22</v>
      </c>
      <c r="AQ93" s="1748">
        <f t="shared" si="41"/>
        <v>0</v>
      </c>
      <c r="AR93" s="1742">
        <v>0.46</v>
      </c>
      <c r="AS93" s="1052">
        <f t="shared" si="42"/>
        <v>2.0909090909090908</v>
      </c>
      <c r="AT93" s="1049"/>
      <c r="AU93" s="1051"/>
      <c r="AV93" s="1049"/>
      <c r="AW93" s="1058">
        <f>AW81*0.8</f>
        <v>5.2</v>
      </c>
      <c r="AX93" s="1086">
        <v>14</v>
      </c>
      <c r="AY93" s="1085">
        <v>15</v>
      </c>
      <c r="AZ93" s="1084">
        <v>0.41</v>
      </c>
      <c r="BA93" s="1736">
        <v>0.7</v>
      </c>
      <c r="BB93" s="1742">
        <f t="shared" si="43"/>
        <v>1.7073170731707317</v>
      </c>
      <c r="BC93" s="1049"/>
      <c r="BD93" s="1051"/>
      <c r="BE93" s="1049"/>
      <c r="BF93" s="1058">
        <f>BF81*0.8</f>
        <v>4.6159999999999997</v>
      </c>
      <c r="BG93" s="1086">
        <v>14</v>
      </c>
      <c r="BH93" s="1085">
        <v>15</v>
      </c>
      <c r="BI93" s="1084">
        <v>0.3</v>
      </c>
      <c r="BJ93" s="1736" t="s">
        <v>1407</v>
      </c>
      <c r="BK93" s="1049"/>
      <c r="BL93" s="1058">
        <f>BL81*0.8</f>
        <v>6.48</v>
      </c>
      <c r="BM93" s="1086">
        <v>14</v>
      </c>
      <c r="BN93" s="1085">
        <v>15</v>
      </c>
      <c r="BO93" s="1084">
        <v>0.14000000000000001</v>
      </c>
      <c r="BP93" s="1084"/>
      <c r="BQ93" s="1049"/>
    </row>
    <row r="94" spans="1:69" ht="14.4">
      <c r="A94" s="1049"/>
      <c r="B94" s="1060"/>
      <c r="C94" s="1086">
        <v>15</v>
      </c>
      <c r="D94" s="1085">
        <v>16</v>
      </c>
      <c r="E94" s="1091">
        <v>0.43</v>
      </c>
      <c r="F94" s="1090">
        <v>1.24</v>
      </c>
      <c r="G94" s="1089">
        <f t="shared" si="33"/>
        <v>2.8837209302325584</v>
      </c>
      <c r="H94" s="1049"/>
      <c r="I94" s="1060"/>
      <c r="J94" s="1086">
        <v>15</v>
      </c>
      <c r="K94" s="1085"/>
      <c r="L94" s="1084">
        <v>0.7</v>
      </c>
      <c r="M94" s="1088">
        <v>1.65</v>
      </c>
      <c r="N94" s="1087">
        <f t="shared" si="34"/>
        <v>2.3571428571428572</v>
      </c>
      <c r="O94" s="1049"/>
      <c r="P94" s="1058" t="s">
        <v>1126</v>
      </c>
      <c r="Q94" s="1086">
        <v>15</v>
      </c>
      <c r="R94" s="1085"/>
      <c r="S94" s="1084">
        <v>2.2679999999999998</v>
      </c>
      <c r="T94" s="1054">
        <f t="shared" si="35"/>
        <v>6.8720399999999993</v>
      </c>
      <c r="U94" s="1142">
        <v>8.9600000000000009</v>
      </c>
      <c r="V94" s="1052">
        <f t="shared" si="36"/>
        <v>3.950617283950618</v>
      </c>
      <c r="W94" s="1049"/>
      <c r="X94" s="1051">
        <v>3.03</v>
      </c>
      <c r="Y94" s="1049"/>
      <c r="Z94" s="1050">
        <f t="shared" si="37"/>
        <v>5.0576399999999984</v>
      </c>
      <c r="AA94" s="1058" t="s">
        <v>1126</v>
      </c>
      <c r="AB94" s="1150">
        <v>15</v>
      </c>
      <c r="AC94" s="1085">
        <v>16</v>
      </c>
      <c r="AD94" s="1084">
        <v>2.59</v>
      </c>
      <c r="AE94" s="1143">
        <f t="shared" si="38"/>
        <v>2.2532999999999999</v>
      </c>
      <c r="AF94" s="1142">
        <v>4.0599999999999996</v>
      </c>
      <c r="AG94" s="1052">
        <f t="shared" si="39"/>
        <v>1.5675675675675675</v>
      </c>
      <c r="AH94" s="1049"/>
      <c r="AI94" s="1051">
        <v>0.87</v>
      </c>
      <c r="AJ94" s="1049"/>
      <c r="AK94" s="1050">
        <f t="shared" si="40"/>
        <v>0.18129999999999985</v>
      </c>
      <c r="AL94" s="1049"/>
      <c r="AM94" s="1058" t="s">
        <v>1126</v>
      </c>
      <c r="AN94" s="1150">
        <v>15</v>
      </c>
      <c r="AO94" s="1085">
        <v>16</v>
      </c>
      <c r="AP94" s="1084">
        <v>0.17</v>
      </c>
      <c r="AQ94" s="1748">
        <f t="shared" si="41"/>
        <v>0</v>
      </c>
      <c r="AR94" s="1742">
        <v>0.36</v>
      </c>
      <c r="AS94" s="1052">
        <f t="shared" si="42"/>
        <v>2.117647058823529</v>
      </c>
      <c r="AT94" s="1049"/>
      <c r="AU94" s="1051"/>
      <c r="AV94" s="1049"/>
      <c r="AW94" s="1058" t="s">
        <v>1126</v>
      </c>
      <c r="AX94" s="1086">
        <v>15</v>
      </c>
      <c r="AY94" s="1085">
        <v>16</v>
      </c>
      <c r="AZ94" s="1084">
        <v>0.36</v>
      </c>
      <c r="BA94" s="1736">
        <v>0.64</v>
      </c>
      <c r="BB94" s="1742">
        <f t="shared" si="43"/>
        <v>1.7777777777777779</v>
      </c>
      <c r="BC94" s="1049"/>
      <c r="BD94" s="1051"/>
      <c r="BE94" s="1049"/>
      <c r="BF94" s="1058" t="s">
        <v>1126</v>
      </c>
      <c r="BG94" s="1086">
        <v>15</v>
      </c>
      <c r="BH94" s="1085">
        <v>16</v>
      </c>
      <c r="BI94" s="1084">
        <v>0.28000000000000003</v>
      </c>
      <c r="BJ94" s="1736" t="s">
        <v>1408</v>
      </c>
      <c r="BK94" s="1049"/>
      <c r="BL94" s="1058" t="s">
        <v>1126</v>
      </c>
      <c r="BM94" s="1086">
        <v>15</v>
      </c>
      <c r="BN94" s="1085">
        <v>16</v>
      </c>
      <c r="BO94" s="1084">
        <v>0.23</v>
      </c>
      <c r="BP94" s="1084"/>
      <c r="BQ94" s="1049"/>
    </row>
    <row r="95" spans="1:69" ht="15" thickBot="1">
      <c r="A95" s="1049"/>
      <c r="B95" s="1060"/>
      <c r="C95" s="1077">
        <v>16</v>
      </c>
      <c r="D95" s="1076">
        <v>17</v>
      </c>
      <c r="E95" s="1083">
        <v>0.52</v>
      </c>
      <c r="F95" s="1082">
        <v>1.5</v>
      </c>
      <c r="G95" s="1081">
        <f t="shared" si="33"/>
        <v>2.8846153846153846</v>
      </c>
      <c r="H95" s="1049"/>
      <c r="I95" s="1060"/>
      <c r="J95" s="1077">
        <v>16</v>
      </c>
      <c r="K95" s="1076">
        <v>17</v>
      </c>
      <c r="L95" s="1075">
        <v>1.02</v>
      </c>
      <c r="M95" s="1080">
        <v>2.39</v>
      </c>
      <c r="N95" s="1079">
        <f t="shared" si="34"/>
        <v>2.3431372549019609</v>
      </c>
      <c r="O95" s="1049"/>
      <c r="P95" s="1078">
        <f>P81*(X78-0.8)</f>
        <v>60.972995833333336</v>
      </c>
      <c r="Q95" s="1077">
        <v>16</v>
      </c>
      <c r="R95" s="1076">
        <v>17</v>
      </c>
      <c r="S95" s="1075">
        <v>2.1629999999999998</v>
      </c>
      <c r="T95" s="1054">
        <f t="shared" si="35"/>
        <v>6.8783399999999997</v>
      </c>
      <c r="U95" s="1140">
        <v>8.8699999999999992</v>
      </c>
      <c r="V95" s="1052">
        <f t="shared" si="36"/>
        <v>4.1007859454461393</v>
      </c>
      <c r="W95" s="1049"/>
      <c r="X95" s="1074">
        <v>3.18</v>
      </c>
      <c r="Y95" s="1049"/>
      <c r="Z95" s="1050">
        <f t="shared" si="37"/>
        <v>5.1479399999999993</v>
      </c>
      <c r="AA95" s="1078">
        <f>AA81*(AI78-0.8)</f>
        <v>-7.364483333333335</v>
      </c>
      <c r="AB95" s="1149">
        <v>16</v>
      </c>
      <c r="AC95" s="1076">
        <v>17</v>
      </c>
      <c r="AD95" s="1075">
        <v>2.56</v>
      </c>
      <c r="AE95" s="1141">
        <f t="shared" si="38"/>
        <v>2.2528000000000001</v>
      </c>
      <c r="AF95" s="1140">
        <v>4.03</v>
      </c>
      <c r="AG95" s="1052">
        <f t="shared" si="39"/>
        <v>1.57421875</v>
      </c>
      <c r="AH95" s="1049"/>
      <c r="AI95" s="1074">
        <v>0.88</v>
      </c>
      <c r="AJ95" s="1049"/>
      <c r="AK95" s="1050">
        <f t="shared" si="40"/>
        <v>0.2047999999999999</v>
      </c>
      <c r="AL95" s="1049"/>
      <c r="AM95" s="1078" t="e">
        <f>AM81*(AU78-0.8)</f>
        <v>#DIV/0!</v>
      </c>
      <c r="AN95" s="1149">
        <v>16</v>
      </c>
      <c r="AO95" s="1076">
        <v>17</v>
      </c>
      <c r="AP95" s="1075">
        <v>0.21</v>
      </c>
      <c r="AQ95" s="1749">
        <f t="shared" si="41"/>
        <v>0</v>
      </c>
      <c r="AR95" s="1743">
        <v>0.48</v>
      </c>
      <c r="AS95" s="1052">
        <f t="shared" si="42"/>
        <v>2.2857142857142856</v>
      </c>
      <c r="AT95" s="1049"/>
      <c r="AU95" s="1074"/>
      <c r="AV95" s="1049"/>
      <c r="AW95" s="1078" t="e">
        <f>AW81*(BD78-0.8)</f>
        <v>#DIV/0!</v>
      </c>
      <c r="AX95" s="1077">
        <v>16</v>
      </c>
      <c r="AY95" s="1076">
        <v>17</v>
      </c>
      <c r="AZ95" s="1075">
        <v>0.34</v>
      </c>
      <c r="BA95" s="1738">
        <v>0.62</v>
      </c>
      <c r="BB95" s="1743">
        <f t="shared" si="43"/>
        <v>1.8235294117647058</v>
      </c>
      <c r="BC95" s="1049"/>
      <c r="BD95" s="1074"/>
      <c r="BE95" s="1049"/>
      <c r="BF95" s="1078">
        <f>BF81*(BM78-0.8)</f>
        <v>-4.6159999999999997</v>
      </c>
      <c r="BG95" s="1077">
        <v>16</v>
      </c>
      <c r="BH95" s="1076">
        <v>17</v>
      </c>
      <c r="BI95" s="1075">
        <v>0.3</v>
      </c>
      <c r="BJ95" s="1738" t="s">
        <v>1409</v>
      </c>
      <c r="BK95" s="1049"/>
      <c r="BL95" s="1078">
        <f>BL81*(BS78-0.8)</f>
        <v>-6.48</v>
      </c>
      <c r="BM95" s="1077">
        <v>16</v>
      </c>
      <c r="BN95" s="1076">
        <v>17</v>
      </c>
      <c r="BO95" s="1075">
        <v>0.32</v>
      </c>
      <c r="BP95" s="1075"/>
      <c r="BQ95" s="1049"/>
    </row>
    <row r="96" spans="1:69" ht="14.4">
      <c r="A96" s="1049"/>
      <c r="B96" s="1060"/>
      <c r="C96" s="1068">
        <v>17</v>
      </c>
      <c r="D96" s="1067">
        <v>18</v>
      </c>
      <c r="E96" s="1073">
        <v>0.7</v>
      </c>
      <c r="F96" s="1072">
        <v>2.4300000000000002</v>
      </c>
      <c r="G96" s="1071">
        <f t="shared" si="33"/>
        <v>3.471428571428572</v>
      </c>
      <c r="H96" s="1049"/>
      <c r="I96" s="1060"/>
      <c r="J96" s="1068">
        <v>17</v>
      </c>
      <c r="K96" s="1067">
        <v>18</v>
      </c>
      <c r="L96" s="1066">
        <v>1.65</v>
      </c>
      <c r="M96" s="1070">
        <v>5.84</v>
      </c>
      <c r="N96" s="1069">
        <f t="shared" si="34"/>
        <v>3.5393939393939395</v>
      </c>
      <c r="O96" s="1049"/>
      <c r="P96" s="1058"/>
      <c r="Q96" s="1068">
        <v>17</v>
      </c>
      <c r="R96" s="1067">
        <v>18</v>
      </c>
      <c r="S96" s="1066">
        <v>1.4810000000000001</v>
      </c>
      <c r="T96" s="1054">
        <f t="shared" si="35"/>
        <v>5.0057800000000006</v>
      </c>
      <c r="U96" s="1138">
        <v>6.38</v>
      </c>
      <c r="V96" s="1052">
        <f t="shared" si="36"/>
        <v>4.3079000675219445</v>
      </c>
      <c r="W96" s="1049"/>
      <c r="X96" s="1065">
        <v>3.38</v>
      </c>
      <c r="Y96" s="1049"/>
      <c r="Z96" s="1050">
        <f t="shared" si="37"/>
        <v>3.8209800000000005</v>
      </c>
      <c r="AA96" s="1058"/>
      <c r="AB96" s="1068">
        <v>17</v>
      </c>
      <c r="AC96" s="1067">
        <v>18</v>
      </c>
      <c r="AD96" s="1066">
        <v>2.91</v>
      </c>
      <c r="AE96" s="1139">
        <f t="shared" si="38"/>
        <v>2.7063000000000001</v>
      </c>
      <c r="AF96" s="1138">
        <v>7</v>
      </c>
      <c r="AG96" s="1052">
        <f t="shared" si="39"/>
        <v>2.4054982817869415</v>
      </c>
      <c r="AH96" s="1049"/>
      <c r="AI96" s="1065">
        <v>0.93</v>
      </c>
      <c r="AJ96" s="1049"/>
      <c r="AK96" s="1050">
        <f t="shared" si="40"/>
        <v>0.37830000000000003</v>
      </c>
      <c r="AL96" s="1049"/>
      <c r="AM96" s="1058"/>
      <c r="AN96" s="1068">
        <v>17</v>
      </c>
      <c r="AO96" s="1067">
        <v>18</v>
      </c>
      <c r="AP96" s="1066">
        <v>0.35</v>
      </c>
      <c r="AQ96" s="1750">
        <f t="shared" si="41"/>
        <v>0</v>
      </c>
      <c r="AR96" s="1744">
        <v>1.1200000000000001</v>
      </c>
      <c r="AS96" s="1052">
        <f t="shared" si="42"/>
        <v>3.2000000000000006</v>
      </c>
      <c r="AT96" s="1049"/>
      <c r="AU96" s="1065"/>
      <c r="AV96" s="1049"/>
      <c r="AW96" s="1058"/>
      <c r="AX96" s="1068">
        <v>17</v>
      </c>
      <c r="AY96" s="1067">
        <v>18</v>
      </c>
      <c r="AZ96" s="1066">
        <v>0.35</v>
      </c>
      <c r="BA96" s="1740">
        <v>1.02</v>
      </c>
      <c r="BB96" s="1744">
        <f t="shared" si="43"/>
        <v>2.9142857142857146</v>
      </c>
      <c r="BC96" s="1049"/>
      <c r="BD96" s="1065"/>
      <c r="BE96" s="1049"/>
      <c r="BF96" s="1058"/>
      <c r="BG96" s="1068">
        <v>17</v>
      </c>
      <c r="BH96" s="1067">
        <v>18</v>
      </c>
      <c r="BI96" s="1066">
        <v>0.66</v>
      </c>
      <c r="BJ96" s="1740" t="s">
        <v>1397</v>
      </c>
      <c r="BK96" s="1049"/>
      <c r="BL96" s="1058"/>
      <c r="BM96" s="1068">
        <v>17</v>
      </c>
      <c r="BN96" s="1067">
        <v>18</v>
      </c>
      <c r="BO96" s="1066">
        <v>1.19</v>
      </c>
      <c r="BP96" s="1066"/>
      <c r="BQ96" s="1049"/>
    </row>
    <row r="97" spans="1:69" ht="14.4">
      <c r="A97" s="1049"/>
      <c r="B97" s="1060"/>
      <c r="C97" s="1057">
        <v>18</v>
      </c>
      <c r="D97" s="1056">
        <v>19</v>
      </c>
      <c r="E97" s="1063">
        <v>0.38</v>
      </c>
      <c r="F97" s="1062">
        <v>1.32</v>
      </c>
      <c r="G97" s="1061">
        <f t="shared" si="33"/>
        <v>3.4736842105263159</v>
      </c>
      <c r="H97" s="1049"/>
      <c r="I97" s="1060"/>
      <c r="J97" s="1057">
        <v>18</v>
      </c>
      <c r="K97" s="1056">
        <v>19</v>
      </c>
      <c r="L97" s="1055">
        <v>0.92</v>
      </c>
      <c r="M97" s="1059">
        <v>4.2699999999999996</v>
      </c>
      <c r="N97" s="1052">
        <f t="shared" si="34"/>
        <v>4.641304347826086</v>
      </c>
      <c r="O97" s="1049"/>
      <c r="P97" s="1058"/>
      <c r="Q97" s="1057">
        <v>18</v>
      </c>
      <c r="R97" s="1056">
        <v>19</v>
      </c>
      <c r="S97" s="1055">
        <v>1.1140000000000001</v>
      </c>
      <c r="T97" s="1054">
        <f t="shared" si="35"/>
        <v>3.3531400000000002</v>
      </c>
      <c r="U97" s="1136">
        <v>4.37</v>
      </c>
      <c r="V97" s="1052">
        <f t="shared" si="36"/>
        <v>3.9228007181328541</v>
      </c>
      <c r="W97" s="1049"/>
      <c r="X97" s="1051">
        <v>3.01</v>
      </c>
      <c r="Y97" s="1049"/>
      <c r="Z97" s="1050">
        <f t="shared" si="37"/>
        <v>2.4619400000000002</v>
      </c>
      <c r="AA97" s="1058"/>
      <c r="AB97" s="1057">
        <v>18</v>
      </c>
      <c r="AC97" s="1056">
        <v>19</v>
      </c>
      <c r="AD97" s="1055">
        <v>2.6</v>
      </c>
      <c r="AE97" s="1137">
        <f t="shared" si="38"/>
        <v>2.08</v>
      </c>
      <c r="AF97" s="1136">
        <v>5.9</v>
      </c>
      <c r="AG97" s="1052">
        <f t="shared" si="39"/>
        <v>2.2692307692307692</v>
      </c>
      <c r="AH97" s="1049"/>
      <c r="AI97" s="1051">
        <v>0.8</v>
      </c>
      <c r="AJ97" s="1049"/>
      <c r="AK97" s="1050">
        <f t="shared" si="40"/>
        <v>0</v>
      </c>
      <c r="AL97" s="1049"/>
      <c r="AM97" s="1058"/>
      <c r="AN97" s="1057">
        <v>18</v>
      </c>
      <c r="AO97" s="1056">
        <v>19</v>
      </c>
      <c r="AP97" s="1055">
        <v>0.25</v>
      </c>
      <c r="AQ97" s="1745">
        <f t="shared" si="41"/>
        <v>0</v>
      </c>
      <c r="AR97" s="1737">
        <v>0.83</v>
      </c>
      <c r="AS97" s="1052">
        <f t="shared" si="42"/>
        <v>3.32</v>
      </c>
      <c r="AT97" s="1049"/>
      <c r="AU97" s="1051"/>
      <c r="AV97" s="1049"/>
      <c r="AW97" s="1058"/>
      <c r="AX97" s="1057">
        <v>18</v>
      </c>
      <c r="AY97" s="1056">
        <v>19</v>
      </c>
      <c r="AZ97" s="1055">
        <v>0.54</v>
      </c>
      <c r="BA97" s="1736">
        <v>1.63</v>
      </c>
      <c r="BB97" s="1737">
        <f t="shared" si="43"/>
        <v>3.0185185185185182</v>
      </c>
      <c r="BC97" s="1049"/>
      <c r="BD97" s="1051"/>
      <c r="BE97" s="1049"/>
      <c r="BF97" s="1058"/>
      <c r="BG97" s="1057">
        <v>18</v>
      </c>
      <c r="BH97" s="1056">
        <v>19</v>
      </c>
      <c r="BI97" s="1055">
        <v>0.51</v>
      </c>
      <c r="BJ97" s="1736" t="s">
        <v>1377</v>
      </c>
      <c r="BK97" s="1049"/>
      <c r="BL97" s="1058"/>
      <c r="BM97" s="1057">
        <v>18</v>
      </c>
      <c r="BN97" s="1056">
        <v>19</v>
      </c>
      <c r="BO97" s="1055">
        <v>0.38</v>
      </c>
      <c r="BP97" s="1055"/>
      <c r="BQ97" s="1049"/>
    </row>
    <row r="98" spans="1:69" ht="14.4">
      <c r="A98" s="1049"/>
      <c r="B98" s="1060"/>
      <c r="C98" s="1057">
        <v>19</v>
      </c>
      <c r="D98" s="1056">
        <v>20</v>
      </c>
      <c r="E98" s="1063">
        <v>0.55000000000000004</v>
      </c>
      <c r="F98" s="1062">
        <v>1.93</v>
      </c>
      <c r="G98" s="1061">
        <f t="shared" si="33"/>
        <v>3.5090909090909088</v>
      </c>
      <c r="H98" s="1049"/>
      <c r="I98" s="1060"/>
      <c r="J98" s="1057">
        <v>19</v>
      </c>
      <c r="K98" s="1056">
        <v>20</v>
      </c>
      <c r="L98" s="1055">
        <v>0.49</v>
      </c>
      <c r="M98" s="1059">
        <v>2.16</v>
      </c>
      <c r="N98" s="1052">
        <f t="shared" si="34"/>
        <v>4.4081632653061229</v>
      </c>
      <c r="O98" s="1049"/>
      <c r="P98" s="1058"/>
      <c r="Q98" s="1057">
        <v>19</v>
      </c>
      <c r="R98" s="1056">
        <v>20</v>
      </c>
      <c r="S98" s="1055">
        <v>1.1279999999999999</v>
      </c>
      <c r="T98" s="1054">
        <f t="shared" si="35"/>
        <v>3.3614399999999995</v>
      </c>
      <c r="U98" s="1136">
        <v>4.4000000000000004</v>
      </c>
      <c r="V98" s="1052">
        <f t="shared" si="36"/>
        <v>3.9007092198581566</v>
      </c>
      <c r="W98" s="1049"/>
      <c r="X98" s="1051">
        <v>2.98</v>
      </c>
      <c r="Y98" s="1049"/>
      <c r="Z98" s="1050">
        <f t="shared" si="37"/>
        <v>2.4590399999999994</v>
      </c>
      <c r="AA98" s="1058"/>
      <c r="AB98" s="1057">
        <v>19</v>
      </c>
      <c r="AC98" s="1056">
        <v>20</v>
      </c>
      <c r="AD98" s="1055">
        <v>2.36</v>
      </c>
      <c r="AE98" s="1137">
        <f t="shared" si="38"/>
        <v>1.77</v>
      </c>
      <c r="AF98" s="1136">
        <v>5.25</v>
      </c>
      <c r="AG98" s="1052">
        <f t="shared" si="39"/>
        <v>2.2245762711864407</v>
      </c>
      <c r="AH98" s="1049"/>
      <c r="AI98" s="1051">
        <v>0.75</v>
      </c>
      <c r="AJ98" s="1049"/>
      <c r="AK98" s="1050">
        <f t="shared" si="40"/>
        <v>-0.1180000000000001</v>
      </c>
      <c r="AL98" s="1049"/>
      <c r="AM98" s="1058"/>
      <c r="AN98" s="1057">
        <v>19</v>
      </c>
      <c r="AO98" s="1056">
        <v>20</v>
      </c>
      <c r="AP98" s="1055">
        <v>0.46</v>
      </c>
      <c r="AQ98" s="1745">
        <f t="shared" si="41"/>
        <v>0</v>
      </c>
      <c r="AR98" s="1737">
        <v>1.51</v>
      </c>
      <c r="AS98" s="1052">
        <f t="shared" si="42"/>
        <v>3.2826086956521738</v>
      </c>
      <c r="AT98" s="1049"/>
      <c r="AU98" s="1051"/>
      <c r="AV98" s="1049"/>
      <c r="AW98" s="1058"/>
      <c r="AX98" s="1057">
        <v>19</v>
      </c>
      <c r="AY98" s="1056">
        <v>20</v>
      </c>
      <c r="AZ98" s="1055">
        <v>0.27</v>
      </c>
      <c r="BA98" s="1736">
        <v>0.79</v>
      </c>
      <c r="BB98" s="1737">
        <f t="shared" si="43"/>
        <v>2.925925925925926</v>
      </c>
      <c r="BC98" s="1049"/>
      <c r="BD98" s="1051"/>
      <c r="BE98" s="1049"/>
      <c r="BF98" s="1058"/>
      <c r="BG98" s="1057">
        <v>19</v>
      </c>
      <c r="BH98" s="1056">
        <v>20</v>
      </c>
      <c r="BI98" s="1055">
        <v>0.32</v>
      </c>
      <c r="BJ98" s="1736" t="s">
        <v>1410</v>
      </c>
      <c r="BK98" s="1049"/>
      <c r="BL98" s="1058"/>
      <c r="BM98" s="1057">
        <v>19</v>
      </c>
      <c r="BN98" s="1056">
        <v>20</v>
      </c>
      <c r="BO98" s="1055">
        <v>0.27</v>
      </c>
      <c r="BP98" s="1055"/>
      <c r="BQ98" s="1049"/>
    </row>
    <row r="99" spans="1:69" ht="14.4">
      <c r="A99" s="1049"/>
      <c r="B99" s="1060"/>
      <c r="C99" s="1057">
        <v>20</v>
      </c>
      <c r="D99" s="1056">
        <v>21</v>
      </c>
      <c r="E99" s="1063">
        <v>0.42</v>
      </c>
      <c r="F99" s="1062">
        <v>1.22</v>
      </c>
      <c r="G99" s="1061">
        <f t="shared" si="33"/>
        <v>2.9047619047619047</v>
      </c>
      <c r="H99" s="1049"/>
      <c r="I99" s="1060"/>
      <c r="J99" s="1057">
        <v>20</v>
      </c>
      <c r="K99" s="1056">
        <v>21</v>
      </c>
      <c r="L99" s="1055">
        <v>0.45</v>
      </c>
      <c r="M99" s="1059">
        <v>1.54</v>
      </c>
      <c r="N99" s="1052">
        <f t="shared" si="34"/>
        <v>3.4222222222222221</v>
      </c>
      <c r="O99" s="1049"/>
      <c r="P99" s="1058"/>
      <c r="Q99" s="1057">
        <v>20</v>
      </c>
      <c r="R99" s="1056">
        <v>21</v>
      </c>
      <c r="S99" s="1055">
        <v>1.0269999999999999</v>
      </c>
      <c r="T99" s="1054">
        <f t="shared" si="35"/>
        <v>2.7523599999999999</v>
      </c>
      <c r="U99" s="1136">
        <v>3.7</v>
      </c>
      <c r="V99" s="1052">
        <f t="shared" si="36"/>
        <v>3.6027263875365145</v>
      </c>
      <c r="W99" s="1049"/>
      <c r="X99" s="1051">
        <v>2.68</v>
      </c>
      <c r="Y99" s="1049"/>
      <c r="Z99" s="1050">
        <f t="shared" si="37"/>
        <v>1.93076</v>
      </c>
      <c r="AA99" s="1058"/>
      <c r="AB99" s="1057">
        <v>20</v>
      </c>
      <c r="AC99" s="1056">
        <v>21</v>
      </c>
      <c r="AD99" s="1055">
        <v>2.69</v>
      </c>
      <c r="AE99" s="1137">
        <f t="shared" si="38"/>
        <v>1.4257</v>
      </c>
      <c r="AF99" s="1136">
        <v>3.3</v>
      </c>
      <c r="AG99" s="1052">
        <f t="shared" si="39"/>
        <v>1.2267657992565055</v>
      </c>
      <c r="AH99" s="1049"/>
      <c r="AI99" s="1051">
        <v>0.53</v>
      </c>
      <c r="AJ99" s="1049"/>
      <c r="AK99" s="1050">
        <f t="shared" si="40"/>
        <v>-0.72630000000000006</v>
      </c>
      <c r="AL99" s="1049"/>
      <c r="AM99" s="1058"/>
      <c r="AN99" s="1057">
        <v>20</v>
      </c>
      <c r="AO99" s="1056">
        <v>21</v>
      </c>
      <c r="AP99" s="1055">
        <v>0.52</v>
      </c>
      <c r="AQ99" s="1745">
        <f t="shared" si="41"/>
        <v>0</v>
      </c>
      <c r="AR99" s="1737">
        <v>1.24</v>
      </c>
      <c r="AS99" s="1052">
        <f t="shared" si="42"/>
        <v>2.3846153846153846</v>
      </c>
      <c r="AT99" s="1049"/>
      <c r="AU99" s="1051"/>
      <c r="AV99" s="1049"/>
      <c r="AW99" s="1058"/>
      <c r="AX99" s="1057">
        <v>20</v>
      </c>
      <c r="AY99" s="1056">
        <v>21</v>
      </c>
      <c r="AZ99" s="1055">
        <v>0.32</v>
      </c>
      <c r="BA99" s="1736">
        <v>0.63</v>
      </c>
      <c r="BB99" s="1737">
        <f t="shared" si="43"/>
        <v>1.96875</v>
      </c>
      <c r="BC99" s="1049"/>
      <c r="BD99" s="1051"/>
      <c r="BE99" s="1049"/>
      <c r="BF99" s="1058"/>
      <c r="BG99" s="1057">
        <v>20</v>
      </c>
      <c r="BH99" s="1056">
        <v>21</v>
      </c>
      <c r="BI99" s="1055">
        <v>0.39</v>
      </c>
      <c r="BJ99" s="1736" t="s">
        <v>1411</v>
      </c>
      <c r="BK99" s="1049"/>
      <c r="BL99" s="1058"/>
      <c r="BM99" s="1057">
        <v>20</v>
      </c>
      <c r="BN99" s="1056">
        <v>21</v>
      </c>
      <c r="BO99" s="1055">
        <v>0.34</v>
      </c>
      <c r="BP99" s="1055"/>
      <c r="BQ99" s="1049"/>
    </row>
    <row r="100" spans="1:69" ht="14.4">
      <c r="A100" s="1049"/>
      <c r="B100" s="1060"/>
      <c r="C100" s="1057">
        <v>21</v>
      </c>
      <c r="D100" s="1056">
        <v>22</v>
      </c>
      <c r="E100" s="1063">
        <v>0.48</v>
      </c>
      <c r="F100" s="1062">
        <v>1.38</v>
      </c>
      <c r="G100" s="1061">
        <f t="shared" si="33"/>
        <v>2.875</v>
      </c>
      <c r="H100" s="1049"/>
      <c r="I100" s="1060"/>
      <c r="J100" s="1057">
        <v>21</v>
      </c>
      <c r="K100" s="1056">
        <v>22</v>
      </c>
      <c r="L100" s="1055">
        <v>0.41</v>
      </c>
      <c r="M100" s="1059">
        <v>1.4</v>
      </c>
      <c r="N100" s="1052">
        <f t="shared" si="34"/>
        <v>3.4146341463414633</v>
      </c>
      <c r="O100" s="1049"/>
      <c r="P100" s="1058"/>
      <c r="Q100" s="1057">
        <v>21</v>
      </c>
      <c r="R100" s="1056">
        <v>22</v>
      </c>
      <c r="S100" s="1055">
        <v>1.3320000000000001</v>
      </c>
      <c r="T100" s="1054">
        <f t="shared" si="35"/>
        <v>3.6896400000000003</v>
      </c>
      <c r="U100" s="1136">
        <v>4.91</v>
      </c>
      <c r="V100" s="1052">
        <f t="shared" si="36"/>
        <v>3.6861861861861862</v>
      </c>
      <c r="W100" s="1049"/>
      <c r="X100" s="1051">
        <v>2.77</v>
      </c>
      <c r="Y100" s="1049"/>
      <c r="Z100" s="1050">
        <f t="shared" si="37"/>
        <v>2.6240399999999999</v>
      </c>
      <c r="AA100" s="1058"/>
      <c r="AB100" s="1057">
        <v>21</v>
      </c>
      <c r="AC100" s="1056">
        <v>22</v>
      </c>
      <c r="AD100" s="1055">
        <v>3.14</v>
      </c>
      <c r="AE100" s="1137">
        <f t="shared" si="38"/>
        <v>1.3188</v>
      </c>
      <c r="AF100" s="1136">
        <v>3.49</v>
      </c>
      <c r="AG100" s="1052">
        <f t="shared" si="39"/>
        <v>1.1114649681528663</v>
      </c>
      <c r="AH100" s="1049"/>
      <c r="AI100" s="1051">
        <v>0.42</v>
      </c>
      <c r="AJ100" s="1049"/>
      <c r="AK100" s="1050">
        <f t="shared" si="40"/>
        <v>-1.1932000000000003</v>
      </c>
      <c r="AL100" s="1049"/>
      <c r="AM100" s="1058"/>
      <c r="AN100" s="1057">
        <v>21</v>
      </c>
      <c r="AO100" s="1056">
        <v>22</v>
      </c>
      <c r="AP100" s="1055">
        <v>0.3</v>
      </c>
      <c r="AQ100" s="1745">
        <f t="shared" si="41"/>
        <v>0</v>
      </c>
      <c r="AR100" s="1737">
        <v>0.69</v>
      </c>
      <c r="AS100" s="1052">
        <f t="shared" si="42"/>
        <v>2.2999999999999998</v>
      </c>
      <c r="AT100" s="1049"/>
      <c r="AU100" s="1051"/>
      <c r="AV100" s="1049"/>
      <c r="AW100" s="1058"/>
      <c r="AX100" s="1057">
        <v>21</v>
      </c>
      <c r="AY100" s="1056">
        <v>22</v>
      </c>
      <c r="AZ100" s="1055">
        <v>0.28000000000000003</v>
      </c>
      <c r="BA100" s="1736">
        <v>0.53</v>
      </c>
      <c r="BB100" s="1737">
        <f t="shared" si="43"/>
        <v>1.8928571428571428</v>
      </c>
      <c r="BC100" s="1049"/>
      <c r="BD100" s="1051"/>
      <c r="BE100" s="1049"/>
      <c r="BF100" s="1058"/>
      <c r="BG100" s="1057">
        <v>21</v>
      </c>
      <c r="BH100" s="1056">
        <v>22</v>
      </c>
      <c r="BI100" s="1055">
        <v>0.28999999999999998</v>
      </c>
      <c r="BJ100" s="1736" t="s">
        <v>1396</v>
      </c>
      <c r="BK100" s="1049"/>
      <c r="BL100" s="1058"/>
      <c r="BM100" s="1057">
        <v>21</v>
      </c>
      <c r="BN100" s="1056">
        <v>22</v>
      </c>
      <c r="BO100" s="1055">
        <v>0.33</v>
      </c>
      <c r="BP100" s="1055"/>
      <c r="BQ100" s="1049"/>
    </row>
    <row r="101" spans="1:69" ht="14.4">
      <c r="A101" s="1049"/>
      <c r="B101" s="1060"/>
      <c r="C101" s="1057">
        <v>22</v>
      </c>
      <c r="D101" s="1056">
        <v>23</v>
      </c>
      <c r="E101" s="1063">
        <v>0.39</v>
      </c>
      <c r="F101" s="1062">
        <v>1.1200000000000001</v>
      </c>
      <c r="G101" s="1061">
        <f t="shared" si="33"/>
        <v>2.8717948717948718</v>
      </c>
      <c r="H101" s="1049"/>
      <c r="I101" s="1060"/>
      <c r="J101" s="1057">
        <v>22</v>
      </c>
      <c r="K101" s="1056">
        <v>23</v>
      </c>
      <c r="L101" s="1055">
        <v>0.31</v>
      </c>
      <c r="M101" s="1059">
        <v>1.02</v>
      </c>
      <c r="N101" s="1052">
        <f t="shared" si="34"/>
        <v>3.2903225806451615</v>
      </c>
      <c r="O101" s="1049"/>
      <c r="P101" s="1058"/>
      <c r="Q101" s="1057">
        <v>22</v>
      </c>
      <c r="R101" s="1056">
        <v>23</v>
      </c>
      <c r="S101" s="1055">
        <v>1.484</v>
      </c>
      <c r="T101" s="1054">
        <f t="shared" si="35"/>
        <v>3.9919599999999997</v>
      </c>
      <c r="U101" s="1136">
        <v>5.3</v>
      </c>
      <c r="V101" s="1052">
        <f t="shared" si="36"/>
        <v>3.5714285714285712</v>
      </c>
      <c r="W101" s="1049"/>
      <c r="X101" s="1051">
        <v>2.69</v>
      </c>
      <c r="Y101" s="1049"/>
      <c r="Z101" s="1050">
        <f t="shared" si="37"/>
        <v>2.8047599999999999</v>
      </c>
      <c r="AA101" s="1058"/>
      <c r="AB101" s="1057">
        <v>22</v>
      </c>
      <c r="AC101" s="1056">
        <v>23</v>
      </c>
      <c r="AD101" s="1055">
        <v>2.34</v>
      </c>
      <c r="AE101" s="1137">
        <f t="shared" si="38"/>
        <v>1.0764</v>
      </c>
      <c r="AF101" s="1136">
        <v>2.69</v>
      </c>
      <c r="AG101" s="1052">
        <f t="shared" si="39"/>
        <v>1.1495726495726497</v>
      </c>
      <c r="AH101" s="1049"/>
      <c r="AI101" s="1051">
        <v>0.46</v>
      </c>
      <c r="AJ101" s="1049"/>
      <c r="AK101" s="1050">
        <f t="shared" si="40"/>
        <v>-0.79559999999999997</v>
      </c>
      <c r="AL101" s="1049"/>
      <c r="AM101" s="1058"/>
      <c r="AN101" s="1057">
        <v>22</v>
      </c>
      <c r="AO101" s="1056">
        <v>23</v>
      </c>
      <c r="AP101" s="1055">
        <v>0.17</v>
      </c>
      <c r="AQ101" s="1745">
        <f t="shared" si="41"/>
        <v>0</v>
      </c>
      <c r="AR101" s="1737">
        <v>0.35</v>
      </c>
      <c r="AS101" s="1052">
        <f t="shared" si="42"/>
        <v>2.0588235294117645</v>
      </c>
      <c r="AT101" s="1049"/>
      <c r="AU101" s="1051"/>
      <c r="AV101" s="1049"/>
      <c r="AW101" s="1058"/>
      <c r="AX101" s="1057">
        <v>22</v>
      </c>
      <c r="AY101" s="1056">
        <v>23</v>
      </c>
      <c r="AZ101" s="1055">
        <v>0.14000000000000001</v>
      </c>
      <c r="BA101" s="1736">
        <v>0.26</v>
      </c>
      <c r="BB101" s="1737">
        <f t="shared" si="43"/>
        <v>1.857142857142857</v>
      </c>
      <c r="BC101" s="1049"/>
      <c r="BD101" s="1051"/>
      <c r="BE101" s="1049"/>
      <c r="BF101" s="1058"/>
      <c r="BG101" s="1057">
        <v>22</v>
      </c>
      <c r="BH101" s="1056">
        <v>23</v>
      </c>
      <c r="BI101" s="1055">
        <v>0.21</v>
      </c>
      <c r="BJ101" s="1736" t="s">
        <v>1412</v>
      </c>
      <c r="BK101" s="1049"/>
      <c r="BL101" s="1058"/>
      <c r="BM101" s="1057">
        <v>22</v>
      </c>
      <c r="BN101" s="1056">
        <v>23</v>
      </c>
      <c r="BO101" s="1055">
        <v>0.24</v>
      </c>
      <c r="BP101" s="1055"/>
      <c r="BQ101" s="1049"/>
    </row>
    <row r="102" spans="1:69" ht="14.4">
      <c r="A102" s="1049"/>
      <c r="B102" s="1060"/>
      <c r="C102" s="1057">
        <v>23</v>
      </c>
      <c r="D102" s="1056">
        <v>24</v>
      </c>
      <c r="E102" s="1063">
        <v>0.27</v>
      </c>
      <c r="F102" s="1062">
        <v>0.79</v>
      </c>
      <c r="G102" s="1061">
        <f t="shared" si="33"/>
        <v>2.925925925925926</v>
      </c>
      <c r="H102" s="1049"/>
      <c r="I102" s="1060"/>
      <c r="J102" s="1057">
        <v>23</v>
      </c>
      <c r="K102" s="1056">
        <v>24</v>
      </c>
      <c r="L102" s="1055">
        <v>0.24</v>
      </c>
      <c r="M102" s="1059">
        <v>0.77</v>
      </c>
      <c r="N102" s="1052">
        <f t="shared" si="34"/>
        <v>3.2083333333333335</v>
      </c>
      <c r="O102" s="1049"/>
      <c r="P102" s="1058"/>
      <c r="Q102" s="1057">
        <v>23</v>
      </c>
      <c r="R102" s="1056">
        <v>24</v>
      </c>
      <c r="S102" s="1055">
        <v>0.88600000000000001</v>
      </c>
      <c r="T102" s="1054">
        <f t="shared" si="35"/>
        <v>2.2061400000000004</v>
      </c>
      <c r="U102" s="1136">
        <v>3.02</v>
      </c>
      <c r="V102" s="1052">
        <f t="shared" si="36"/>
        <v>3.4085778781038374</v>
      </c>
      <c r="W102" s="1049"/>
      <c r="X102" s="1051">
        <v>2.4900000000000002</v>
      </c>
      <c r="Y102" s="1049"/>
      <c r="Z102" s="1050">
        <f t="shared" si="37"/>
        <v>1.4973400000000001</v>
      </c>
      <c r="AA102" s="1058"/>
      <c r="AB102" s="1057">
        <v>23</v>
      </c>
      <c r="AC102" s="1056">
        <v>24</v>
      </c>
      <c r="AD102" s="1055">
        <v>2.38</v>
      </c>
      <c r="AE102" s="1137">
        <f t="shared" si="38"/>
        <v>0.52359999999999995</v>
      </c>
      <c r="AF102" s="1136">
        <v>2.16</v>
      </c>
      <c r="AG102" s="1052">
        <f t="shared" si="39"/>
        <v>0.90756302521008414</v>
      </c>
      <c r="AH102" s="1049"/>
      <c r="AI102" s="1051">
        <v>0.22</v>
      </c>
      <c r="AJ102" s="1049"/>
      <c r="AK102" s="1050">
        <f t="shared" si="40"/>
        <v>-1.3804000000000001</v>
      </c>
      <c r="AL102" s="1049"/>
      <c r="AM102" s="1058"/>
      <c r="AN102" s="1057">
        <v>23</v>
      </c>
      <c r="AO102" s="1056">
        <v>24</v>
      </c>
      <c r="AP102" s="1055">
        <v>7.0000000000000007E-2</v>
      </c>
      <c r="AQ102" s="1745">
        <f t="shared" si="41"/>
        <v>0</v>
      </c>
      <c r="AR102" s="1737">
        <v>0.13</v>
      </c>
      <c r="AS102" s="1052">
        <f t="shared" si="42"/>
        <v>1.857142857142857</v>
      </c>
      <c r="AT102" s="1049"/>
      <c r="AU102" s="1051"/>
      <c r="AV102" s="1049"/>
      <c r="AW102" s="1058"/>
      <c r="AX102" s="1057">
        <v>23</v>
      </c>
      <c r="AY102" s="1056">
        <v>24</v>
      </c>
      <c r="AZ102" s="1055">
        <v>0.1</v>
      </c>
      <c r="BA102" s="1736">
        <v>0.18</v>
      </c>
      <c r="BB102" s="1737">
        <f t="shared" si="43"/>
        <v>1.7999999999999998</v>
      </c>
      <c r="BC102" s="1049"/>
      <c r="BD102" s="1051"/>
      <c r="BE102" s="1049"/>
      <c r="BF102" s="1058"/>
      <c r="BG102" s="1057">
        <v>23</v>
      </c>
      <c r="BH102" s="1056">
        <v>24</v>
      </c>
      <c r="BI102" s="1055">
        <v>0.3</v>
      </c>
      <c r="BJ102" s="1736" t="s">
        <v>1395</v>
      </c>
      <c r="BK102" s="1049"/>
      <c r="BL102" s="1058"/>
      <c r="BM102" s="1057">
        <v>23</v>
      </c>
      <c r="BN102" s="1056">
        <v>24</v>
      </c>
      <c r="BO102" s="1055">
        <v>0.12</v>
      </c>
      <c r="BP102" s="1055"/>
      <c r="BQ102" s="1049"/>
    </row>
    <row r="103" spans="1:69" ht="14.4">
      <c r="A103" s="1036"/>
      <c r="B103" s="1044"/>
      <c r="C103" s="1135"/>
      <c r="D103" s="1135"/>
      <c r="E103" s="1134"/>
      <c r="F103" s="1133"/>
      <c r="G103" s="1132"/>
      <c r="H103" s="1044"/>
      <c r="I103" s="1044" t="s">
        <v>1128</v>
      </c>
      <c r="J103" s="1046"/>
      <c r="K103" s="1046"/>
      <c r="L103" s="1129">
        <f>AVERAGE(L104:L127)</f>
        <v>0.66933333333333334</v>
      </c>
      <c r="M103" s="1131">
        <f>AVERAGE(M104:M127)</f>
        <v>1.8225</v>
      </c>
      <c r="N103" s="1039">
        <f>AVERAGE(N104:N127)</f>
        <v>2.5547118242943854</v>
      </c>
      <c r="O103" s="1044"/>
      <c r="P103" s="1130" t="s">
        <v>1138</v>
      </c>
      <c r="Q103" s="1046"/>
      <c r="R103" s="1046"/>
      <c r="S103" s="1129">
        <f>AVERAGE(S104:S127)</f>
        <v>1.175</v>
      </c>
      <c r="T103" s="1128">
        <f>SUM(T104:T127)</f>
        <v>91.559090000000012</v>
      </c>
      <c r="U103" s="1040">
        <f>AVERAGE(U104:U127)</f>
        <v>4.9991666666666665</v>
      </c>
      <c r="V103" s="1039">
        <f>AVERAGE(V104:V127)</f>
        <v>4.031822623193567</v>
      </c>
      <c r="W103" s="1036"/>
      <c r="X103" s="1038">
        <f>AVERAGE(X104:X127)</f>
        <v>3.0645833333333332</v>
      </c>
      <c r="Y103" s="1036"/>
      <c r="Z103" s="1127">
        <f>SUM(Z104:Z127)</f>
        <v>68.999089999999995</v>
      </c>
      <c r="AA103" s="1130" t="s">
        <v>1136</v>
      </c>
      <c r="AB103" s="1046"/>
      <c r="AC103" s="1046"/>
      <c r="AD103" s="1129">
        <f>AVERAGE(AD104:AD127)</f>
        <v>2.0176250000000002</v>
      </c>
      <c r="AE103" s="1128">
        <f>SUM(AE104:AE127)</f>
        <v>60.65397999999999</v>
      </c>
      <c r="AF103" s="1040">
        <f>AVERAGE(AF104:AF127)</f>
        <v>4.1670833333333333</v>
      </c>
      <c r="AG103" s="1039">
        <f>AVERAGE(AG104:AG127)</f>
        <v>1.9184384378141077</v>
      </c>
      <c r="AH103" s="1036"/>
      <c r="AI103" s="1038">
        <f>AVERAGE(AI104:AI127)</f>
        <v>1.1308333333333334</v>
      </c>
      <c r="AJ103" s="1036"/>
      <c r="AK103" s="1127">
        <f>SUM(AK104:AK127)</f>
        <v>21.915579999999999</v>
      </c>
      <c r="AL103" s="1036"/>
      <c r="AM103" s="1130"/>
      <c r="AN103" s="1046"/>
      <c r="AO103" s="1046"/>
      <c r="AP103" s="1129">
        <f>AVERAGE(AP104:AP127)</f>
        <v>0.25166666666666671</v>
      </c>
      <c r="AQ103" s="1734">
        <f>SUM(AQ104:AQ127)</f>
        <v>0</v>
      </c>
      <c r="AR103" s="1735">
        <f>AVERAGE(AR104:AR127)</f>
        <v>0.51750000000000007</v>
      </c>
      <c r="AS103" s="1039">
        <f>AVERAGE(AS104:AS127)</f>
        <v>1.9666786346092622</v>
      </c>
      <c r="AT103" s="1036"/>
      <c r="AU103" s="1038" t="e">
        <f>AVERAGE(AU104:AU127)</f>
        <v>#DIV/0!</v>
      </c>
      <c r="AV103" s="1036"/>
      <c r="AW103" s="1130" t="s">
        <v>1139</v>
      </c>
      <c r="AX103" s="1046"/>
      <c r="AY103" s="1046"/>
      <c r="AZ103" s="1129">
        <f>AVERAGE(AZ104:AZ127)</f>
        <v>0.30624999999999997</v>
      </c>
      <c r="BA103" s="1045">
        <f>AVERAGE(BA104:BA127)</f>
        <v>0.67291666666666661</v>
      </c>
      <c r="BB103" s="1039">
        <f>AVERAGE(BB104:BB127)</f>
        <v>2.0159177240131725</v>
      </c>
      <c r="BC103" s="1036"/>
      <c r="BD103" s="1038" t="e">
        <f>AVERAGE(BD104:BD127)</f>
        <v>#DIV/0!</v>
      </c>
      <c r="BE103" s="1036"/>
      <c r="BF103" s="1130" t="s">
        <v>1131</v>
      </c>
      <c r="BG103" s="2756">
        <f>BF104</f>
        <v>45021</v>
      </c>
      <c r="BH103" s="2756"/>
      <c r="BI103" s="1897">
        <f>SUM(BI104:BI127)</f>
        <v>7.07</v>
      </c>
      <c r="BJ103" s="1898">
        <f>SUM(BJ104:BJ127)</f>
        <v>0</v>
      </c>
      <c r="BK103" s="1036"/>
      <c r="BL103" s="1130" t="s">
        <v>1130</v>
      </c>
      <c r="BM103" s="1046"/>
      <c r="BN103" s="1046"/>
      <c r="BO103" s="1129">
        <f>AVERAGE(BO104:BO127)</f>
        <v>0.28416666666666668</v>
      </c>
      <c r="BP103" s="1129">
        <f>AVERAGE(BP104:BP127)</f>
        <v>2.5833333333333333E-2</v>
      </c>
      <c r="BQ103" s="1036"/>
    </row>
    <row r="104" spans="1:69" ht="14.4">
      <c r="A104" s="1049"/>
      <c r="B104" s="1126">
        <v>44839</v>
      </c>
      <c r="C104" s="1057">
        <v>0</v>
      </c>
      <c r="D104" s="1056">
        <v>1</v>
      </c>
      <c r="E104" s="1063">
        <v>0.33</v>
      </c>
      <c r="F104" s="1062">
        <v>0.96</v>
      </c>
      <c r="G104" s="1061">
        <f t="shared" ref="G104:G127" si="44">F104/E104</f>
        <v>2.9090909090909087</v>
      </c>
      <c r="H104" s="1049"/>
      <c r="I104" s="1126">
        <v>44870</v>
      </c>
      <c r="J104" s="1057">
        <v>0</v>
      </c>
      <c r="K104" s="1056">
        <v>1</v>
      </c>
      <c r="L104" s="1055">
        <v>0.58499999999999996</v>
      </c>
      <c r="M104" s="1059">
        <v>1.22</v>
      </c>
      <c r="N104" s="1052">
        <f t="shared" ref="N104:N127" si="45">M104/L104</f>
        <v>2.0854700854700856</v>
      </c>
      <c r="O104" s="1049"/>
      <c r="P104" s="1125">
        <v>44900</v>
      </c>
      <c r="Q104" s="1057">
        <v>0</v>
      </c>
      <c r="R104" s="1056">
        <v>1</v>
      </c>
      <c r="S104" s="1055">
        <v>0.40300000000000002</v>
      </c>
      <c r="T104" s="1054">
        <f t="shared" ref="T104:T127" si="46">S104*X104</f>
        <v>0.97123000000000015</v>
      </c>
      <c r="U104" s="1136">
        <v>1.24</v>
      </c>
      <c r="V104" s="1052">
        <f t="shared" ref="V104:V127" si="47">U104/S104</f>
        <v>3.0769230769230766</v>
      </c>
      <c r="W104" s="1049"/>
      <c r="X104" s="1051">
        <v>2.41</v>
      </c>
      <c r="Y104" s="1049"/>
      <c r="Z104" s="1050">
        <f t="shared" ref="Z104:Z127" si="48">S104*(X104-0.8)</f>
        <v>0.64883000000000013</v>
      </c>
      <c r="AA104" s="1125">
        <v>44931</v>
      </c>
      <c r="AB104" s="1057">
        <v>0</v>
      </c>
      <c r="AC104" s="1056">
        <v>1</v>
      </c>
      <c r="AD104" s="1055">
        <v>1.536</v>
      </c>
      <c r="AE104" s="1137">
        <f t="shared" ref="AE104:AE127" si="49">AD104*AI104</f>
        <v>0.19968000000000002</v>
      </c>
      <c r="AF104" s="1136">
        <v>1.26</v>
      </c>
      <c r="AG104" s="1052">
        <f t="shared" ref="AG104:AG127" si="50">AF104/AD104</f>
        <v>0.8203125</v>
      </c>
      <c r="AH104" s="1049"/>
      <c r="AI104" s="1051">
        <v>0.13</v>
      </c>
      <c r="AJ104" s="1049"/>
      <c r="AK104" s="1050">
        <f t="shared" ref="AK104:AK127" si="51">AD104*(AI104-0.8)</f>
        <v>-1.02912</v>
      </c>
      <c r="AL104" s="1049"/>
      <c r="AM104" s="1125">
        <v>44962</v>
      </c>
      <c r="AN104" s="1057">
        <v>0</v>
      </c>
      <c r="AO104" s="1056">
        <v>1</v>
      </c>
      <c r="AP104" s="1055">
        <v>0.12</v>
      </c>
      <c r="AQ104" s="1745">
        <f t="shared" ref="AQ104:AQ127" si="52">AP104*AU104</f>
        <v>0</v>
      </c>
      <c r="AR104" s="1737">
        <v>0.22</v>
      </c>
      <c r="AS104" s="1052">
        <f t="shared" ref="AS104:AS127" si="53">AR104/AP104</f>
        <v>1.8333333333333335</v>
      </c>
      <c r="AT104" s="1049"/>
      <c r="AU104" s="1051"/>
      <c r="AV104" s="1049"/>
      <c r="AW104" s="1125">
        <v>44990</v>
      </c>
      <c r="AX104" s="1057">
        <v>0</v>
      </c>
      <c r="AY104" s="1056">
        <v>1</v>
      </c>
      <c r="AZ104" s="1055">
        <v>0.11</v>
      </c>
      <c r="BA104" s="1736">
        <v>0.2</v>
      </c>
      <c r="BB104" s="1737">
        <f t="shared" ref="BB104:BB127" si="54">BA104/AZ104</f>
        <v>1.8181818181818183</v>
      </c>
      <c r="BC104" s="1049"/>
      <c r="BD104" s="1051"/>
      <c r="BE104" s="1049"/>
      <c r="BF104" s="1125">
        <v>45021</v>
      </c>
      <c r="BG104" s="1057">
        <v>0</v>
      </c>
      <c r="BH104" s="1056">
        <v>1</v>
      </c>
      <c r="BI104" s="1055">
        <v>0.15</v>
      </c>
      <c r="BJ104" s="1736" t="s">
        <v>1375</v>
      </c>
      <c r="BK104" s="1049"/>
      <c r="BL104" s="1125">
        <v>45051</v>
      </c>
      <c r="BM104" s="1057">
        <v>0</v>
      </c>
      <c r="BN104" s="1056">
        <v>1</v>
      </c>
      <c r="BO104" s="1055">
        <v>0.1</v>
      </c>
      <c r="BP104" s="1055">
        <v>0</v>
      </c>
      <c r="BQ104" s="1049"/>
    </row>
    <row r="105" spans="1:69" ht="14.4">
      <c r="A105" s="1049"/>
      <c r="B105" s="1124"/>
      <c r="C105" s="1057">
        <v>1</v>
      </c>
      <c r="D105" s="1056">
        <v>2</v>
      </c>
      <c r="E105" s="1063">
        <v>0.3</v>
      </c>
      <c r="F105" s="1062">
        <v>0.87</v>
      </c>
      <c r="G105" s="1061">
        <f t="shared" si="44"/>
        <v>2.9</v>
      </c>
      <c r="H105" s="1049"/>
      <c r="I105" s="1124"/>
      <c r="J105" s="1057">
        <v>1</v>
      </c>
      <c r="K105" s="1056">
        <v>2</v>
      </c>
      <c r="L105" s="1055">
        <v>0.20100000000000001</v>
      </c>
      <c r="M105" s="1059">
        <v>0.43</v>
      </c>
      <c r="N105" s="1052">
        <f t="shared" si="45"/>
        <v>2.1393034825870645</v>
      </c>
      <c r="O105" s="1049"/>
      <c r="P105" s="1123"/>
      <c r="Q105" s="1057">
        <v>1</v>
      </c>
      <c r="R105" s="1056">
        <v>2</v>
      </c>
      <c r="S105" s="1055">
        <v>0.88600000000000001</v>
      </c>
      <c r="T105" s="1054">
        <f t="shared" si="46"/>
        <v>2.0466600000000001</v>
      </c>
      <c r="U105" s="1136">
        <v>2.66</v>
      </c>
      <c r="V105" s="1052">
        <f t="shared" si="47"/>
        <v>3.0022573363431153</v>
      </c>
      <c r="W105" s="1049"/>
      <c r="X105" s="1051">
        <v>2.31</v>
      </c>
      <c r="Y105" s="1049"/>
      <c r="Z105" s="1050">
        <f t="shared" si="48"/>
        <v>1.33786</v>
      </c>
      <c r="AA105" s="1123"/>
      <c r="AB105" s="1057">
        <v>1</v>
      </c>
      <c r="AC105" s="1056">
        <v>2</v>
      </c>
      <c r="AD105" s="1055">
        <v>1.147</v>
      </c>
      <c r="AE105" s="1137">
        <f t="shared" si="49"/>
        <v>0.14911000000000002</v>
      </c>
      <c r="AF105" s="1136">
        <v>0.94</v>
      </c>
      <c r="AG105" s="1052">
        <f t="shared" si="50"/>
        <v>0.81952920662598072</v>
      </c>
      <c r="AH105" s="1049"/>
      <c r="AI105" s="1051">
        <v>0.13</v>
      </c>
      <c r="AJ105" s="1049"/>
      <c r="AK105" s="1050">
        <f t="shared" si="51"/>
        <v>-0.76849000000000001</v>
      </c>
      <c r="AL105" s="1049"/>
      <c r="AM105" s="1123"/>
      <c r="AN105" s="1057">
        <v>1</v>
      </c>
      <c r="AO105" s="1056">
        <v>2</v>
      </c>
      <c r="AP105" s="1055">
        <v>0.12</v>
      </c>
      <c r="AQ105" s="1745">
        <f t="shared" si="52"/>
        <v>0</v>
      </c>
      <c r="AR105" s="1737">
        <v>0.22</v>
      </c>
      <c r="AS105" s="1052">
        <f t="shared" si="53"/>
        <v>1.8333333333333335</v>
      </c>
      <c r="AT105" s="1049"/>
      <c r="AU105" s="1051"/>
      <c r="AV105" s="1049"/>
      <c r="AW105" s="1123"/>
      <c r="AX105" s="1057">
        <v>1</v>
      </c>
      <c r="AY105" s="1056">
        <v>2</v>
      </c>
      <c r="AZ105" s="1055">
        <v>0.12</v>
      </c>
      <c r="BA105" s="1736">
        <v>0.22</v>
      </c>
      <c r="BB105" s="1737">
        <f t="shared" si="54"/>
        <v>1.8333333333333335</v>
      </c>
      <c r="BC105" s="1049"/>
      <c r="BD105" s="1051"/>
      <c r="BE105" s="1049"/>
      <c r="BF105" s="1123"/>
      <c r="BG105" s="1057">
        <v>1</v>
      </c>
      <c r="BH105" s="1056">
        <v>2</v>
      </c>
      <c r="BI105" s="1055">
        <v>0.05</v>
      </c>
      <c r="BJ105" s="1736" t="s">
        <v>1362</v>
      </c>
      <c r="BK105" s="1049"/>
      <c r="BL105" s="1123"/>
      <c r="BM105" s="1057">
        <v>1</v>
      </c>
      <c r="BN105" s="1056">
        <v>2</v>
      </c>
      <c r="BO105" s="1055">
        <v>0.13</v>
      </c>
      <c r="BP105" s="1055">
        <v>0</v>
      </c>
      <c r="BQ105" s="1049"/>
    </row>
    <row r="106" spans="1:69" ht="14.4">
      <c r="A106" s="1049"/>
      <c r="B106" s="1122">
        <f>SUM(E104:E127)</f>
        <v>13.82</v>
      </c>
      <c r="C106" s="1057">
        <v>2</v>
      </c>
      <c r="D106" s="1056">
        <v>3</v>
      </c>
      <c r="E106" s="1063">
        <v>0.32</v>
      </c>
      <c r="F106" s="1062">
        <v>0.94</v>
      </c>
      <c r="G106" s="1061">
        <f t="shared" si="44"/>
        <v>2.9374999999999996</v>
      </c>
      <c r="H106" s="1049"/>
      <c r="I106" s="1122">
        <f>SUM(L104:L127)</f>
        <v>16.064</v>
      </c>
      <c r="J106" s="1057">
        <v>2</v>
      </c>
      <c r="K106" s="1056">
        <v>3</v>
      </c>
      <c r="L106" s="1055">
        <v>0.13100000000000001</v>
      </c>
      <c r="M106" s="1059">
        <v>0.28000000000000003</v>
      </c>
      <c r="N106" s="1052">
        <f t="shared" si="45"/>
        <v>2.1374045801526718</v>
      </c>
      <c r="O106" s="1049"/>
      <c r="P106" s="1121">
        <f>SUM(S104:S127)</f>
        <v>28.2</v>
      </c>
      <c r="Q106" s="1057">
        <v>2</v>
      </c>
      <c r="R106" s="1056">
        <v>3</v>
      </c>
      <c r="S106" s="1055">
        <v>0.45600000000000002</v>
      </c>
      <c r="T106" s="1054">
        <f t="shared" si="46"/>
        <v>1.0989600000000002</v>
      </c>
      <c r="U106" s="1136">
        <v>1.31</v>
      </c>
      <c r="V106" s="1052">
        <f t="shared" si="47"/>
        <v>2.8728070175438596</v>
      </c>
      <c r="W106" s="1049"/>
      <c r="X106" s="1051">
        <v>2.41</v>
      </c>
      <c r="Y106" s="1049"/>
      <c r="Z106" s="1050">
        <f t="shared" si="48"/>
        <v>0.73416000000000003</v>
      </c>
      <c r="AA106" s="1121">
        <f>SUM(AD104:AD127)</f>
        <v>48.423000000000002</v>
      </c>
      <c r="AB106" s="1057">
        <v>2</v>
      </c>
      <c r="AC106" s="1056">
        <v>3</v>
      </c>
      <c r="AD106" s="1055">
        <v>1.534</v>
      </c>
      <c r="AE106" s="1137">
        <f t="shared" si="49"/>
        <v>0.19942000000000001</v>
      </c>
      <c r="AF106" s="1136">
        <v>1.26</v>
      </c>
      <c r="AG106" s="1052">
        <f t="shared" si="50"/>
        <v>0.82138200782268578</v>
      </c>
      <c r="AH106" s="1049"/>
      <c r="AI106" s="1051">
        <v>0.13</v>
      </c>
      <c r="AJ106" s="1049"/>
      <c r="AK106" s="1050">
        <f t="shared" si="51"/>
        <v>-1.0277800000000001</v>
      </c>
      <c r="AL106" s="1049"/>
      <c r="AM106" s="1121">
        <f>SUM(AP104:AP127)</f>
        <v>6.0400000000000009</v>
      </c>
      <c r="AN106" s="1057">
        <v>2</v>
      </c>
      <c r="AO106" s="1056">
        <v>3</v>
      </c>
      <c r="AP106" s="1055">
        <v>0.12</v>
      </c>
      <c r="AQ106" s="1745">
        <f t="shared" si="52"/>
        <v>0</v>
      </c>
      <c r="AR106" s="1737">
        <v>0.21</v>
      </c>
      <c r="AS106" s="1052">
        <f t="shared" si="53"/>
        <v>1.75</v>
      </c>
      <c r="AT106" s="1049"/>
      <c r="AU106" s="1051"/>
      <c r="AV106" s="1049"/>
      <c r="AW106" s="1121">
        <f>SUM(AZ104:AZ127)</f>
        <v>7.3499999999999988</v>
      </c>
      <c r="AX106" s="1057">
        <v>2</v>
      </c>
      <c r="AY106" s="1056">
        <v>3</v>
      </c>
      <c r="AZ106" s="1055">
        <v>0.11</v>
      </c>
      <c r="BA106" s="1736">
        <v>0.2</v>
      </c>
      <c r="BB106" s="1737">
        <f t="shared" si="54"/>
        <v>1.8181818181818183</v>
      </c>
      <c r="BC106" s="1049"/>
      <c r="BD106" s="1051"/>
      <c r="BE106" s="1049"/>
      <c r="BF106" s="1121">
        <f>SUM(BI104:BI127)</f>
        <v>7.07</v>
      </c>
      <c r="BG106" s="1057">
        <v>2</v>
      </c>
      <c r="BH106" s="1056">
        <v>3</v>
      </c>
      <c r="BI106" s="1055">
        <v>0.13</v>
      </c>
      <c r="BJ106" s="1736" t="s">
        <v>1371</v>
      </c>
      <c r="BK106" s="1049"/>
      <c r="BL106" s="1121">
        <f>SUM(BO104:BO127)+SUM(BP104:BP127)</f>
        <v>7.44</v>
      </c>
      <c r="BM106" s="1057">
        <v>2</v>
      </c>
      <c r="BN106" s="1056">
        <v>3</v>
      </c>
      <c r="BO106" s="1055">
        <v>0.1</v>
      </c>
      <c r="BP106" s="1055">
        <v>0</v>
      </c>
      <c r="BQ106" s="1049"/>
    </row>
    <row r="107" spans="1:69" ht="14.4">
      <c r="A107" s="1049"/>
      <c r="B107" s="1120">
        <f>B106/24</f>
        <v>0.57583333333333331</v>
      </c>
      <c r="C107" s="1057">
        <v>3</v>
      </c>
      <c r="D107" s="1056">
        <v>4</v>
      </c>
      <c r="E107" s="1063">
        <v>0.31</v>
      </c>
      <c r="F107" s="1062">
        <v>0.89</v>
      </c>
      <c r="G107" s="1061">
        <f t="shared" si="44"/>
        <v>2.870967741935484</v>
      </c>
      <c r="H107" s="1049"/>
      <c r="I107" s="1120">
        <f>I106/24</f>
        <v>0.66933333333333334</v>
      </c>
      <c r="J107" s="1057">
        <v>3</v>
      </c>
      <c r="K107" s="1056">
        <v>4</v>
      </c>
      <c r="L107" s="1055">
        <v>0.22600000000000001</v>
      </c>
      <c r="M107" s="1059">
        <v>0.46</v>
      </c>
      <c r="N107" s="1052">
        <f t="shared" si="45"/>
        <v>2.0353982300884956</v>
      </c>
      <c r="O107" s="1049"/>
      <c r="P107" s="1120">
        <f>P106/24</f>
        <v>1.175</v>
      </c>
      <c r="Q107" s="1057">
        <v>3</v>
      </c>
      <c r="R107" s="1056">
        <v>4</v>
      </c>
      <c r="S107" s="1055">
        <v>0.41199999999999998</v>
      </c>
      <c r="T107" s="1054">
        <f t="shared" si="46"/>
        <v>0.90227999999999997</v>
      </c>
      <c r="U107" s="1136">
        <v>1.18</v>
      </c>
      <c r="V107" s="1052">
        <f t="shared" si="47"/>
        <v>2.8640776699029127</v>
      </c>
      <c r="W107" s="1049"/>
      <c r="X107" s="1051">
        <v>2.19</v>
      </c>
      <c r="Y107" s="1049"/>
      <c r="Z107" s="1050">
        <f t="shared" si="48"/>
        <v>0.57267999999999997</v>
      </c>
      <c r="AA107" s="1120">
        <f>AA106/24</f>
        <v>2.0176250000000002</v>
      </c>
      <c r="AB107" s="1057">
        <v>3</v>
      </c>
      <c r="AC107" s="1056">
        <v>4</v>
      </c>
      <c r="AD107" s="1055">
        <v>1.3320000000000001</v>
      </c>
      <c r="AE107" s="1137">
        <f t="shared" si="49"/>
        <v>0.17316000000000001</v>
      </c>
      <c r="AF107" s="1136">
        <v>1.1000000000000001</v>
      </c>
      <c r="AG107" s="1052">
        <f t="shared" si="50"/>
        <v>0.82582582582582587</v>
      </c>
      <c r="AH107" s="1049"/>
      <c r="AI107" s="1051">
        <v>0.13</v>
      </c>
      <c r="AJ107" s="1049"/>
      <c r="AK107" s="1050">
        <f t="shared" si="51"/>
        <v>-0.89244000000000012</v>
      </c>
      <c r="AL107" s="1049"/>
      <c r="AM107" s="1120">
        <f>AM106/24</f>
        <v>0.25166666666666671</v>
      </c>
      <c r="AN107" s="1057">
        <v>3</v>
      </c>
      <c r="AO107" s="1056">
        <v>4</v>
      </c>
      <c r="AP107" s="1055">
        <v>0.1</v>
      </c>
      <c r="AQ107" s="1745">
        <f t="shared" si="52"/>
        <v>0</v>
      </c>
      <c r="AR107" s="1737">
        <v>0.18</v>
      </c>
      <c r="AS107" s="1052">
        <f t="shared" si="53"/>
        <v>1.7999999999999998</v>
      </c>
      <c r="AT107" s="1049"/>
      <c r="AU107" s="1051"/>
      <c r="AV107" s="1049"/>
      <c r="AW107" s="1120">
        <f>AW106/24</f>
        <v>0.30624999999999997</v>
      </c>
      <c r="AX107" s="1057">
        <v>3</v>
      </c>
      <c r="AY107" s="1056">
        <v>4</v>
      </c>
      <c r="AZ107" s="1055">
        <v>0.09</v>
      </c>
      <c r="BA107" s="1736">
        <v>0.16</v>
      </c>
      <c r="BB107" s="1737">
        <f t="shared" si="54"/>
        <v>1.7777777777777779</v>
      </c>
      <c r="BC107" s="1049"/>
      <c r="BD107" s="1051"/>
      <c r="BE107" s="1049"/>
      <c r="BF107" s="1120">
        <f>BF106/24</f>
        <v>0.29458333333333336</v>
      </c>
      <c r="BG107" s="1057">
        <v>3</v>
      </c>
      <c r="BH107" s="1056">
        <v>4</v>
      </c>
      <c r="BI107" s="1055">
        <v>0.12</v>
      </c>
      <c r="BJ107" s="1736" t="s">
        <v>1405</v>
      </c>
      <c r="BK107" s="1049"/>
      <c r="BL107" s="1120">
        <f>BL106/24</f>
        <v>0.31</v>
      </c>
      <c r="BM107" s="1057">
        <v>3</v>
      </c>
      <c r="BN107" s="1056">
        <v>4</v>
      </c>
      <c r="BO107" s="1055">
        <v>0.14000000000000001</v>
      </c>
      <c r="BP107" s="1055">
        <v>0</v>
      </c>
      <c r="BQ107" s="1049"/>
    </row>
    <row r="108" spans="1:69" ht="14.4">
      <c r="A108" s="1049"/>
      <c r="B108" s="1119"/>
      <c r="C108" s="1057">
        <v>4</v>
      </c>
      <c r="D108" s="1056">
        <v>5</v>
      </c>
      <c r="E108" s="1063">
        <v>0.77</v>
      </c>
      <c r="F108" s="1062">
        <v>2.2200000000000002</v>
      </c>
      <c r="G108" s="1061">
        <f t="shared" si="44"/>
        <v>2.8831168831168834</v>
      </c>
      <c r="H108" s="1049"/>
      <c r="I108" s="1119"/>
      <c r="J108" s="1057">
        <v>4</v>
      </c>
      <c r="K108" s="1056">
        <v>5</v>
      </c>
      <c r="L108" s="1055">
        <v>0.34</v>
      </c>
      <c r="M108" s="1059">
        <v>0.7</v>
      </c>
      <c r="N108" s="1052">
        <f t="shared" si="45"/>
        <v>2.0588235294117645</v>
      </c>
      <c r="O108" s="1049"/>
      <c r="P108" s="1118"/>
      <c r="Q108" s="1057">
        <v>4</v>
      </c>
      <c r="R108" s="1056">
        <v>5</v>
      </c>
      <c r="S108" s="1055">
        <v>0.38400000000000001</v>
      </c>
      <c r="T108" s="1054">
        <f t="shared" si="46"/>
        <v>0.84096000000000004</v>
      </c>
      <c r="U108" s="1136">
        <v>1.04</v>
      </c>
      <c r="V108" s="1052">
        <f t="shared" si="47"/>
        <v>2.7083333333333335</v>
      </c>
      <c r="W108" s="1049"/>
      <c r="X108" s="1051">
        <v>2.19</v>
      </c>
      <c r="Y108" s="1049"/>
      <c r="Z108" s="1050">
        <f t="shared" si="48"/>
        <v>0.53376000000000001</v>
      </c>
      <c r="AA108" s="1118"/>
      <c r="AB108" s="1057">
        <v>4</v>
      </c>
      <c r="AC108" s="1056">
        <v>5</v>
      </c>
      <c r="AD108" s="1055">
        <v>1.248</v>
      </c>
      <c r="AE108" s="1137">
        <f t="shared" si="49"/>
        <v>0.18720000000000001</v>
      </c>
      <c r="AF108" s="1136">
        <v>1.05</v>
      </c>
      <c r="AG108" s="1052">
        <f t="shared" si="50"/>
        <v>0.84134615384615385</v>
      </c>
      <c r="AH108" s="1049"/>
      <c r="AI108" s="1051">
        <v>0.15</v>
      </c>
      <c r="AJ108" s="1049"/>
      <c r="AK108" s="1050">
        <f t="shared" si="51"/>
        <v>-0.81120000000000003</v>
      </c>
      <c r="AL108" s="1049"/>
      <c r="AM108" s="1118"/>
      <c r="AN108" s="1057">
        <v>4</v>
      </c>
      <c r="AO108" s="1056">
        <v>5</v>
      </c>
      <c r="AP108" s="1055">
        <v>7.0000000000000007E-2</v>
      </c>
      <c r="AQ108" s="1745">
        <f t="shared" si="52"/>
        <v>0</v>
      </c>
      <c r="AR108" s="1737">
        <v>0.12</v>
      </c>
      <c r="AS108" s="1052">
        <f t="shared" si="53"/>
        <v>1.714285714285714</v>
      </c>
      <c r="AT108" s="1049"/>
      <c r="AU108" s="1051"/>
      <c r="AV108" s="1049"/>
      <c r="AW108" s="1118"/>
      <c r="AX108" s="1057">
        <v>4</v>
      </c>
      <c r="AY108" s="1056">
        <v>5</v>
      </c>
      <c r="AZ108" s="1055">
        <v>0.12</v>
      </c>
      <c r="BA108" s="1736">
        <v>0.22</v>
      </c>
      <c r="BB108" s="1737">
        <f t="shared" si="54"/>
        <v>1.8333333333333335</v>
      </c>
      <c r="BC108" s="1049"/>
      <c r="BD108" s="1051"/>
      <c r="BE108" s="1049"/>
      <c r="BF108" s="1118"/>
      <c r="BG108" s="1057">
        <v>4</v>
      </c>
      <c r="BH108" s="1056">
        <v>5</v>
      </c>
      <c r="BI108" s="1055">
        <v>0.1</v>
      </c>
      <c r="BJ108" s="1736" t="s">
        <v>1394</v>
      </c>
      <c r="BK108" s="1049"/>
      <c r="BL108" s="1118"/>
      <c r="BM108" s="1057">
        <v>4</v>
      </c>
      <c r="BN108" s="1056">
        <v>5</v>
      </c>
      <c r="BO108" s="1055">
        <v>0.13</v>
      </c>
      <c r="BP108" s="1055">
        <v>0</v>
      </c>
      <c r="BQ108" s="1049"/>
    </row>
    <row r="109" spans="1:69" ht="15" thickBot="1">
      <c r="A109" s="1049"/>
      <c r="B109" s="1058">
        <f>SUM(F104:F127)</f>
        <v>40.850000000000016</v>
      </c>
      <c r="C109" s="1111">
        <v>5</v>
      </c>
      <c r="D109" s="1110">
        <v>6</v>
      </c>
      <c r="E109" s="1117">
        <v>0.3</v>
      </c>
      <c r="F109" s="1116">
        <v>0.88</v>
      </c>
      <c r="G109" s="1115">
        <f t="shared" si="44"/>
        <v>2.9333333333333336</v>
      </c>
      <c r="H109" s="1049"/>
      <c r="I109" s="1058">
        <f>SUM(M104:M127)</f>
        <v>43.74</v>
      </c>
      <c r="J109" s="1111">
        <v>5</v>
      </c>
      <c r="K109" s="1110">
        <v>6</v>
      </c>
      <c r="L109" s="1109">
        <v>0.36199999999999999</v>
      </c>
      <c r="M109" s="1114">
        <v>0.76</v>
      </c>
      <c r="N109" s="1113">
        <f t="shared" si="45"/>
        <v>2.0994475138121547</v>
      </c>
      <c r="O109" s="1049"/>
      <c r="P109" s="1112">
        <f>SUM(U104:U127)</f>
        <v>119.97999999999999</v>
      </c>
      <c r="Q109" s="1111">
        <v>5</v>
      </c>
      <c r="R109" s="1110">
        <v>6</v>
      </c>
      <c r="S109" s="1109">
        <v>0.55600000000000005</v>
      </c>
      <c r="T109" s="1054">
        <f t="shared" si="46"/>
        <v>1.2398800000000001</v>
      </c>
      <c r="U109" s="1146">
        <v>1.95</v>
      </c>
      <c r="V109" s="1052">
        <f t="shared" si="47"/>
        <v>3.5071942446043161</v>
      </c>
      <c r="W109" s="1049"/>
      <c r="X109" s="1074">
        <v>2.23</v>
      </c>
      <c r="Y109" s="1049"/>
      <c r="Z109" s="1050">
        <f t="shared" si="48"/>
        <v>0.79508000000000001</v>
      </c>
      <c r="AA109" s="1112">
        <f>SUM(AF104:AF127)</f>
        <v>100.01</v>
      </c>
      <c r="AB109" s="1111">
        <v>5</v>
      </c>
      <c r="AC109" s="1110">
        <v>6</v>
      </c>
      <c r="AD109" s="1109">
        <v>1.611</v>
      </c>
      <c r="AE109" s="1147">
        <f t="shared" si="49"/>
        <v>0.37053000000000003</v>
      </c>
      <c r="AF109" s="1146">
        <v>1.48</v>
      </c>
      <c r="AG109" s="1052">
        <f t="shared" si="50"/>
        <v>0.91868404717566732</v>
      </c>
      <c r="AH109" s="1049"/>
      <c r="AI109" s="1074">
        <v>0.23</v>
      </c>
      <c r="AJ109" s="1049"/>
      <c r="AK109" s="1050">
        <f t="shared" si="51"/>
        <v>-0.91827000000000014</v>
      </c>
      <c r="AL109" s="1049"/>
      <c r="AM109" s="1112">
        <f>SUM(AR104:AR127)</f>
        <v>12.420000000000002</v>
      </c>
      <c r="AN109" s="1111">
        <v>5</v>
      </c>
      <c r="AO109" s="1110">
        <v>6</v>
      </c>
      <c r="AP109" s="1109">
        <v>0.12</v>
      </c>
      <c r="AQ109" s="1746">
        <f t="shared" si="52"/>
        <v>0</v>
      </c>
      <c r="AR109" s="1739">
        <v>0.21</v>
      </c>
      <c r="AS109" s="1052">
        <f t="shared" si="53"/>
        <v>1.75</v>
      </c>
      <c r="AT109" s="1049"/>
      <c r="AU109" s="1074"/>
      <c r="AV109" s="1049"/>
      <c r="AW109" s="1112">
        <f>SUM(BA104:BA127)</f>
        <v>16.149999999999999</v>
      </c>
      <c r="AX109" s="1111">
        <v>5</v>
      </c>
      <c r="AY109" s="1110">
        <v>6</v>
      </c>
      <c r="AZ109" s="1109">
        <v>0.11</v>
      </c>
      <c r="BA109" s="1738">
        <v>0.2</v>
      </c>
      <c r="BB109" s="1739">
        <f t="shared" si="54"/>
        <v>1.8181818181818183</v>
      </c>
      <c r="BC109" s="1049"/>
      <c r="BD109" s="1074"/>
      <c r="BE109" s="1049"/>
      <c r="BF109" s="1112">
        <f>SUM(BJ104:BJ127)</f>
        <v>0</v>
      </c>
      <c r="BG109" s="1111">
        <v>5</v>
      </c>
      <c r="BH109" s="1110">
        <v>6</v>
      </c>
      <c r="BI109" s="1109">
        <v>0.1</v>
      </c>
      <c r="BJ109" s="1738" t="s">
        <v>1367</v>
      </c>
      <c r="BK109" s="1049"/>
      <c r="BL109" s="1112">
        <f>SUM(BP104:BP127)</f>
        <v>0.62</v>
      </c>
      <c r="BM109" s="1111">
        <v>5</v>
      </c>
      <c r="BN109" s="1110">
        <v>6</v>
      </c>
      <c r="BO109" s="1109">
        <v>0.19</v>
      </c>
      <c r="BP109" s="1109">
        <v>0</v>
      </c>
      <c r="BQ109" s="1049"/>
    </row>
    <row r="110" spans="1:69" ht="14.4">
      <c r="A110" s="1049"/>
      <c r="B110" s="1093">
        <f>B109/B106</f>
        <v>2.9558610709117232</v>
      </c>
      <c r="C110" s="1100">
        <v>6</v>
      </c>
      <c r="D110" s="1099">
        <v>7</v>
      </c>
      <c r="E110" s="1107">
        <v>0.27</v>
      </c>
      <c r="F110" s="1106">
        <v>0.79</v>
      </c>
      <c r="G110" s="1105">
        <f t="shared" si="44"/>
        <v>2.925925925925926</v>
      </c>
      <c r="H110" s="1049"/>
      <c r="I110" s="1093">
        <f>I109/I106</f>
        <v>2.7228585657370519</v>
      </c>
      <c r="J110" s="1100">
        <v>6</v>
      </c>
      <c r="K110" s="1099">
        <v>7</v>
      </c>
      <c r="L110" s="1098">
        <v>0.41899999999999998</v>
      </c>
      <c r="M110" s="1103">
        <v>0.9</v>
      </c>
      <c r="N110" s="1102">
        <f t="shared" si="45"/>
        <v>2.1479713603818618</v>
      </c>
      <c r="O110" s="1049"/>
      <c r="P110" s="1093">
        <f>P109/P106</f>
        <v>4.2546099290780139</v>
      </c>
      <c r="Q110" s="1100">
        <v>6</v>
      </c>
      <c r="R110" s="1099">
        <v>7</v>
      </c>
      <c r="S110" s="1098">
        <v>1.161</v>
      </c>
      <c r="T110" s="1054">
        <f t="shared" si="46"/>
        <v>2.5890300000000002</v>
      </c>
      <c r="U110" s="1144">
        <v>4.21</v>
      </c>
      <c r="V110" s="1052">
        <f t="shared" si="47"/>
        <v>3.6261843238587423</v>
      </c>
      <c r="W110" s="1049"/>
      <c r="X110" s="1108">
        <v>2.23</v>
      </c>
      <c r="Y110" s="1049"/>
      <c r="Z110" s="1050">
        <f t="shared" si="48"/>
        <v>1.6602299999999999</v>
      </c>
      <c r="AA110" s="1093">
        <f>AA109/AA106</f>
        <v>2.0653408504223201</v>
      </c>
      <c r="AB110" s="1100">
        <v>6</v>
      </c>
      <c r="AC110" s="1099">
        <v>7</v>
      </c>
      <c r="AD110" s="1098">
        <v>1.538</v>
      </c>
      <c r="AE110" s="1145">
        <f t="shared" si="49"/>
        <v>1.0766</v>
      </c>
      <c r="AF110" s="1144">
        <v>2.14</v>
      </c>
      <c r="AG110" s="1052">
        <f t="shared" si="50"/>
        <v>1.3914174252275684</v>
      </c>
      <c r="AH110" s="1049"/>
      <c r="AI110" s="1108">
        <v>0.7</v>
      </c>
      <c r="AJ110" s="1049"/>
      <c r="AK110" s="1050">
        <f t="shared" si="51"/>
        <v>-0.15380000000000013</v>
      </c>
      <c r="AL110" s="1049"/>
      <c r="AM110" s="1093">
        <f>AM109/AM106</f>
        <v>2.056291390728477</v>
      </c>
      <c r="AN110" s="1100">
        <v>6</v>
      </c>
      <c r="AO110" s="1099">
        <v>7</v>
      </c>
      <c r="AP110" s="1098">
        <v>0.18</v>
      </c>
      <c r="AQ110" s="1747">
        <f t="shared" si="52"/>
        <v>0</v>
      </c>
      <c r="AR110" s="1741">
        <v>0.32</v>
      </c>
      <c r="AS110" s="1052">
        <f t="shared" si="53"/>
        <v>1.7777777777777779</v>
      </c>
      <c r="AT110" s="1049"/>
      <c r="AU110" s="1108"/>
      <c r="AV110" s="1049"/>
      <c r="AW110" s="1093">
        <f>AW109/AW106</f>
        <v>2.1972789115646258</v>
      </c>
      <c r="AX110" s="1100">
        <v>6</v>
      </c>
      <c r="AY110" s="1099">
        <v>7</v>
      </c>
      <c r="AZ110" s="1098">
        <v>0.15</v>
      </c>
      <c r="BA110" s="1740">
        <v>0.27</v>
      </c>
      <c r="BB110" s="1741">
        <f t="shared" si="54"/>
        <v>1.8000000000000003</v>
      </c>
      <c r="BC110" s="1049"/>
      <c r="BD110" s="1108"/>
      <c r="BE110" s="1049"/>
      <c r="BF110" s="1093">
        <f>BF109/BF106</f>
        <v>0</v>
      </c>
      <c r="BG110" s="1100">
        <v>6</v>
      </c>
      <c r="BH110" s="1099">
        <v>7</v>
      </c>
      <c r="BI110" s="1098">
        <v>0.23</v>
      </c>
      <c r="BJ110" s="1740" t="s">
        <v>1413</v>
      </c>
      <c r="BK110" s="1049"/>
      <c r="BL110" s="1093">
        <f>BL109/BL106</f>
        <v>8.3333333333333329E-2</v>
      </c>
      <c r="BM110" s="1100">
        <v>6</v>
      </c>
      <c r="BN110" s="1099">
        <v>7</v>
      </c>
      <c r="BO110" s="1098">
        <v>0.21</v>
      </c>
      <c r="BP110" s="1098">
        <v>0</v>
      </c>
      <c r="BQ110" s="1049"/>
    </row>
    <row r="111" spans="1:69" ht="14.4">
      <c r="A111" s="1049"/>
      <c r="B111" s="1104"/>
      <c r="C111" s="1100">
        <v>7</v>
      </c>
      <c r="D111" s="1099">
        <v>8</v>
      </c>
      <c r="E111" s="1107">
        <v>0.32</v>
      </c>
      <c r="F111" s="1106">
        <v>0.93</v>
      </c>
      <c r="G111" s="1105">
        <f t="shared" si="44"/>
        <v>2.90625</v>
      </c>
      <c r="H111" s="1049"/>
      <c r="I111" s="1104"/>
      <c r="J111" s="1100">
        <v>7</v>
      </c>
      <c r="K111" s="1099">
        <v>8</v>
      </c>
      <c r="L111" s="1098">
        <v>0.95399999999999996</v>
      </c>
      <c r="M111" s="1103">
        <v>2.73</v>
      </c>
      <c r="N111" s="1102">
        <f t="shared" si="45"/>
        <v>2.8616352201257862</v>
      </c>
      <c r="O111" s="1049"/>
      <c r="P111" s="1101"/>
      <c r="Q111" s="1100">
        <v>7</v>
      </c>
      <c r="R111" s="1099">
        <v>8</v>
      </c>
      <c r="S111" s="1098">
        <v>1.2410000000000001</v>
      </c>
      <c r="T111" s="1054">
        <f t="shared" si="46"/>
        <v>2.8418900000000002</v>
      </c>
      <c r="U111" s="1144">
        <v>4.8899999999999997</v>
      </c>
      <c r="V111" s="1052">
        <f t="shared" si="47"/>
        <v>3.9403706688154707</v>
      </c>
      <c r="W111" s="1049"/>
      <c r="X111" s="1065">
        <v>2.29</v>
      </c>
      <c r="Y111" s="1049"/>
      <c r="Z111" s="1050">
        <f t="shared" si="48"/>
        <v>1.8490900000000001</v>
      </c>
      <c r="AA111" s="1101"/>
      <c r="AB111" s="1100">
        <v>7</v>
      </c>
      <c r="AC111" s="1099">
        <v>8</v>
      </c>
      <c r="AD111" s="1098">
        <v>2.2970000000000002</v>
      </c>
      <c r="AE111" s="1145">
        <f t="shared" si="49"/>
        <v>2.1591800000000001</v>
      </c>
      <c r="AF111" s="1144">
        <v>3.75</v>
      </c>
      <c r="AG111" s="1052">
        <f t="shared" si="50"/>
        <v>1.6325642141924248</v>
      </c>
      <c r="AH111" s="1049"/>
      <c r="AI111" s="1065">
        <v>0.94</v>
      </c>
      <c r="AJ111" s="1049"/>
      <c r="AK111" s="1050">
        <f t="shared" si="51"/>
        <v>0.32157999999999981</v>
      </c>
      <c r="AL111" s="1049"/>
      <c r="AM111" s="1101"/>
      <c r="AN111" s="1100">
        <v>7</v>
      </c>
      <c r="AO111" s="1099">
        <v>8</v>
      </c>
      <c r="AP111" s="1098">
        <v>0.17</v>
      </c>
      <c r="AQ111" s="1747">
        <f t="shared" si="52"/>
        <v>0</v>
      </c>
      <c r="AR111" s="1741">
        <v>0.31</v>
      </c>
      <c r="AS111" s="1052">
        <f t="shared" si="53"/>
        <v>1.8235294117647058</v>
      </c>
      <c r="AT111" s="1049"/>
      <c r="AU111" s="1065"/>
      <c r="AV111" s="1049"/>
      <c r="AW111" s="1101"/>
      <c r="AX111" s="1100">
        <v>7</v>
      </c>
      <c r="AY111" s="1099">
        <v>8</v>
      </c>
      <c r="AZ111" s="1098">
        <v>0.47</v>
      </c>
      <c r="BA111" s="1736">
        <v>0.86</v>
      </c>
      <c r="BB111" s="1741">
        <f t="shared" si="54"/>
        <v>1.8297872340425532</v>
      </c>
      <c r="BC111" s="1049"/>
      <c r="BD111" s="1065"/>
      <c r="BE111" s="1049"/>
      <c r="BF111" s="1101"/>
      <c r="BG111" s="1100">
        <v>7</v>
      </c>
      <c r="BH111" s="1099">
        <v>8</v>
      </c>
      <c r="BI111" s="1098">
        <v>0.33</v>
      </c>
      <c r="BJ111" s="1736" t="s">
        <v>1414</v>
      </c>
      <c r="BK111" s="1049"/>
      <c r="BL111" s="1101"/>
      <c r="BM111" s="1100">
        <v>7</v>
      </c>
      <c r="BN111" s="1099">
        <v>8</v>
      </c>
      <c r="BO111" s="1098">
        <v>0.4</v>
      </c>
      <c r="BP111" s="1098">
        <v>0</v>
      </c>
      <c r="BQ111" s="1049"/>
    </row>
    <row r="112" spans="1:69" ht="14.4">
      <c r="A112" s="1049"/>
      <c r="B112" s="1097">
        <f>B109/24</f>
        <v>1.7020833333333341</v>
      </c>
      <c r="C112" s="1086">
        <v>8</v>
      </c>
      <c r="D112" s="1085">
        <v>9</v>
      </c>
      <c r="E112" s="1091">
        <v>0.61</v>
      </c>
      <c r="F112" s="1090">
        <v>1.76</v>
      </c>
      <c r="G112" s="1089">
        <f t="shared" si="44"/>
        <v>2.8852459016393444</v>
      </c>
      <c r="H112" s="1049"/>
      <c r="I112" s="1097">
        <f>I109/24</f>
        <v>1.8225</v>
      </c>
      <c r="J112" s="1086">
        <v>8</v>
      </c>
      <c r="K112" s="1085">
        <v>9</v>
      </c>
      <c r="L112" s="1084">
        <v>1.365</v>
      </c>
      <c r="M112" s="1088">
        <v>4.04</v>
      </c>
      <c r="N112" s="1087">
        <f t="shared" si="45"/>
        <v>2.9597069597069599</v>
      </c>
      <c r="O112" s="1049"/>
      <c r="P112" s="1096">
        <f>P109/24</f>
        <v>4.9991666666666665</v>
      </c>
      <c r="Q112" s="1086">
        <v>8</v>
      </c>
      <c r="R112" s="1085">
        <v>9</v>
      </c>
      <c r="S112" s="1084">
        <v>0.97099999999999997</v>
      </c>
      <c r="T112" s="1054">
        <f t="shared" si="46"/>
        <v>2.5537299999999998</v>
      </c>
      <c r="U112" s="1142">
        <v>3.75</v>
      </c>
      <c r="V112" s="1052">
        <f t="shared" si="47"/>
        <v>3.8619979402677651</v>
      </c>
      <c r="W112" s="1049"/>
      <c r="X112" s="1051">
        <v>2.63</v>
      </c>
      <c r="Y112" s="1049"/>
      <c r="Z112" s="1050">
        <f t="shared" si="48"/>
        <v>1.7769299999999999</v>
      </c>
      <c r="AA112" s="1096">
        <f>AA109/24</f>
        <v>4.1670833333333333</v>
      </c>
      <c r="AB112" s="1086">
        <v>8</v>
      </c>
      <c r="AC112" s="1085">
        <v>9</v>
      </c>
      <c r="AD112" s="1084">
        <v>2.3570000000000002</v>
      </c>
      <c r="AE112" s="1143">
        <f t="shared" si="49"/>
        <v>2.4041400000000004</v>
      </c>
      <c r="AF112" s="1142">
        <v>4.04</v>
      </c>
      <c r="AG112" s="1052">
        <f t="shared" si="50"/>
        <v>1.714043275350021</v>
      </c>
      <c r="AH112" s="1049"/>
      <c r="AI112" s="1051">
        <v>1.02</v>
      </c>
      <c r="AJ112" s="1049"/>
      <c r="AK112" s="1050">
        <f t="shared" si="51"/>
        <v>0.51854</v>
      </c>
      <c r="AL112" s="1049"/>
      <c r="AM112" s="1096">
        <f>AM109/24</f>
        <v>0.51750000000000007</v>
      </c>
      <c r="AN112" s="1086">
        <v>8</v>
      </c>
      <c r="AO112" s="1085">
        <v>9</v>
      </c>
      <c r="AP112" s="1084">
        <v>0.37</v>
      </c>
      <c r="AQ112" s="1748">
        <f t="shared" si="52"/>
        <v>0</v>
      </c>
      <c r="AR112" s="1742">
        <v>0.67</v>
      </c>
      <c r="AS112" s="1052">
        <f t="shared" si="53"/>
        <v>1.810810810810811</v>
      </c>
      <c r="AT112" s="1049"/>
      <c r="AU112" s="1051"/>
      <c r="AV112" s="1049"/>
      <c r="AW112" s="1096">
        <f>AW109/24</f>
        <v>0.67291666666666661</v>
      </c>
      <c r="AX112" s="1086">
        <v>8</v>
      </c>
      <c r="AY112" s="1085">
        <v>9</v>
      </c>
      <c r="AZ112" s="1084">
        <v>0.4</v>
      </c>
      <c r="BA112" s="1736">
        <v>0.73</v>
      </c>
      <c r="BB112" s="1742">
        <f t="shared" si="54"/>
        <v>1.825</v>
      </c>
      <c r="BC112" s="1049"/>
      <c r="BD112" s="1051"/>
      <c r="BE112" s="1049"/>
      <c r="BF112" s="1096">
        <f>BF109/24</f>
        <v>0</v>
      </c>
      <c r="BG112" s="1086">
        <v>8</v>
      </c>
      <c r="BH112" s="1085">
        <v>9</v>
      </c>
      <c r="BI112" s="1084">
        <v>0.32</v>
      </c>
      <c r="BJ112" s="1736" t="s">
        <v>1410</v>
      </c>
      <c r="BK112" s="1049"/>
      <c r="BL112" s="1096">
        <f>BL109/24</f>
        <v>2.5833333333333333E-2</v>
      </c>
      <c r="BM112" s="1086">
        <v>8</v>
      </c>
      <c r="BN112" s="1085">
        <v>9</v>
      </c>
      <c r="BO112" s="1084">
        <v>0.72</v>
      </c>
      <c r="BP112" s="1084">
        <v>0</v>
      </c>
      <c r="BQ112" s="1049"/>
    </row>
    <row r="113" spans="1:69" ht="14.4">
      <c r="A113" s="1049"/>
      <c r="B113" s="1097"/>
      <c r="C113" s="1086">
        <v>9</v>
      </c>
      <c r="D113" s="1085">
        <v>10</v>
      </c>
      <c r="E113" s="1091">
        <v>1.42</v>
      </c>
      <c r="F113" s="1090">
        <v>4.0999999999999996</v>
      </c>
      <c r="G113" s="1089">
        <f t="shared" si="44"/>
        <v>2.8873239436619715</v>
      </c>
      <c r="H113" s="1049"/>
      <c r="I113" s="1097"/>
      <c r="J113" s="1086">
        <v>9</v>
      </c>
      <c r="K113" s="1085">
        <v>10</v>
      </c>
      <c r="L113" s="1084">
        <v>1.17</v>
      </c>
      <c r="M113" s="1088">
        <v>3.51</v>
      </c>
      <c r="N113" s="1087">
        <f t="shared" si="45"/>
        <v>3</v>
      </c>
      <c r="O113" s="1049"/>
      <c r="P113" s="1096"/>
      <c r="Q113" s="1086">
        <v>9</v>
      </c>
      <c r="R113" s="1085">
        <v>10</v>
      </c>
      <c r="S113" s="1084">
        <v>1.34</v>
      </c>
      <c r="T113" s="1054">
        <f t="shared" si="46"/>
        <v>3.8592</v>
      </c>
      <c r="U113" s="1142">
        <v>5.31</v>
      </c>
      <c r="V113" s="1052">
        <f t="shared" si="47"/>
        <v>3.9626865671641784</v>
      </c>
      <c r="W113" s="1049"/>
      <c r="X113" s="1051">
        <v>2.88</v>
      </c>
      <c r="Y113" s="1049"/>
      <c r="Z113" s="1050">
        <f t="shared" si="48"/>
        <v>2.7872000000000003</v>
      </c>
      <c r="AA113" s="1096"/>
      <c r="AB113" s="1086">
        <v>9</v>
      </c>
      <c r="AC113" s="1085">
        <v>11</v>
      </c>
      <c r="AD113" s="1084">
        <v>1.4970000000000001</v>
      </c>
      <c r="AE113" s="1143">
        <f t="shared" si="49"/>
        <v>1.9461000000000002</v>
      </c>
      <c r="AF113" s="1142">
        <v>2.98</v>
      </c>
      <c r="AG113" s="1052">
        <f t="shared" si="50"/>
        <v>1.9906479625918503</v>
      </c>
      <c r="AH113" s="1049"/>
      <c r="AI113" s="1051">
        <v>1.3</v>
      </c>
      <c r="AJ113" s="1049"/>
      <c r="AK113" s="1050">
        <f t="shared" si="51"/>
        <v>0.74850000000000005</v>
      </c>
      <c r="AL113" s="1049"/>
      <c r="AM113" s="1096"/>
      <c r="AN113" s="1086">
        <v>9</v>
      </c>
      <c r="AO113" s="1085">
        <v>11</v>
      </c>
      <c r="AP113" s="1084">
        <v>0.24</v>
      </c>
      <c r="AQ113" s="1748">
        <f t="shared" si="52"/>
        <v>0</v>
      </c>
      <c r="AR113" s="1742">
        <v>0.44</v>
      </c>
      <c r="AS113" s="1052">
        <f t="shared" si="53"/>
        <v>1.8333333333333335</v>
      </c>
      <c r="AT113" s="1049"/>
      <c r="AU113" s="1051"/>
      <c r="AV113" s="1049"/>
      <c r="AW113" s="1096"/>
      <c r="AX113" s="1086">
        <v>9</v>
      </c>
      <c r="AY113" s="1085">
        <v>11</v>
      </c>
      <c r="AZ113" s="1084">
        <v>0.31</v>
      </c>
      <c r="BA113" s="1736">
        <v>0.56999999999999995</v>
      </c>
      <c r="BB113" s="1742">
        <f t="shared" si="54"/>
        <v>1.8387096774193548</v>
      </c>
      <c r="BC113" s="1049"/>
      <c r="BD113" s="1051"/>
      <c r="BE113" s="1049"/>
      <c r="BF113" s="1096"/>
      <c r="BG113" s="1086">
        <v>9</v>
      </c>
      <c r="BH113" s="1085">
        <v>11</v>
      </c>
      <c r="BI113" s="1084">
        <v>0.28000000000000003</v>
      </c>
      <c r="BJ113" s="1736" t="s">
        <v>1415</v>
      </c>
      <c r="BK113" s="1049"/>
      <c r="BL113" s="1096"/>
      <c r="BM113" s="1086">
        <v>9</v>
      </c>
      <c r="BN113" s="1085">
        <v>11</v>
      </c>
      <c r="BO113" s="1084">
        <v>0.31</v>
      </c>
      <c r="BP113" s="1084">
        <v>0</v>
      </c>
      <c r="BQ113" s="1049"/>
    </row>
    <row r="114" spans="1:69" ht="14.4">
      <c r="A114" s="1049"/>
      <c r="B114" s="1060"/>
      <c r="C114" s="1086">
        <v>10</v>
      </c>
      <c r="D114" s="1085">
        <v>11</v>
      </c>
      <c r="E114" s="1091">
        <v>1.33</v>
      </c>
      <c r="F114" s="1090">
        <v>3.85</v>
      </c>
      <c r="G114" s="1089">
        <f t="shared" si="44"/>
        <v>2.8947368421052633</v>
      </c>
      <c r="H114" s="1049"/>
      <c r="I114" s="1060"/>
      <c r="J114" s="1086">
        <v>10</v>
      </c>
      <c r="K114" s="1085">
        <v>11</v>
      </c>
      <c r="L114" s="1084">
        <v>1.284</v>
      </c>
      <c r="M114" s="1088">
        <v>3.73</v>
      </c>
      <c r="N114" s="1087">
        <f t="shared" si="45"/>
        <v>2.9049844236760123</v>
      </c>
      <c r="O114" s="1049"/>
      <c r="P114" s="1095">
        <f>SUM(Z104:Z127)</f>
        <v>68.999089999999995</v>
      </c>
      <c r="Q114" s="1086">
        <v>10</v>
      </c>
      <c r="R114" s="1085" t="s">
        <v>144</v>
      </c>
      <c r="S114" s="1084">
        <v>1.026</v>
      </c>
      <c r="T114" s="1054">
        <f t="shared" si="46"/>
        <v>3.05748</v>
      </c>
      <c r="U114" s="1142">
        <v>4.1900000000000004</v>
      </c>
      <c r="V114" s="1052">
        <f t="shared" si="47"/>
        <v>4.0838206627680318</v>
      </c>
      <c r="W114" s="1049"/>
      <c r="X114" s="1051">
        <v>2.98</v>
      </c>
      <c r="Y114" s="1049"/>
      <c r="Z114" s="1050">
        <f t="shared" si="48"/>
        <v>2.2366799999999998</v>
      </c>
      <c r="AA114" s="1095">
        <f>SUM(AK104:AK127)</f>
        <v>21.915579999999999</v>
      </c>
      <c r="AB114" s="1086">
        <v>10</v>
      </c>
      <c r="AC114" s="1085">
        <v>12</v>
      </c>
      <c r="AD114" s="1084">
        <v>2.1930000000000001</v>
      </c>
      <c r="AE114" s="1143">
        <f t="shared" si="49"/>
        <v>2.9824800000000002</v>
      </c>
      <c r="AF114" s="1142">
        <v>4.49</v>
      </c>
      <c r="AG114" s="1052">
        <f t="shared" si="50"/>
        <v>2.0474236206110352</v>
      </c>
      <c r="AH114" s="1049"/>
      <c r="AI114" s="1051">
        <v>1.36</v>
      </c>
      <c r="AJ114" s="1049"/>
      <c r="AK114" s="1050">
        <f t="shared" si="51"/>
        <v>1.2280800000000001</v>
      </c>
      <c r="AL114" s="1049"/>
      <c r="AM114" s="1095" t="e">
        <f>SUM(#REF!)</f>
        <v>#REF!</v>
      </c>
      <c r="AN114" s="1086">
        <v>10</v>
      </c>
      <c r="AO114" s="1085">
        <v>12</v>
      </c>
      <c r="AP114" s="1084">
        <v>0.31</v>
      </c>
      <c r="AQ114" s="1748">
        <f t="shared" si="52"/>
        <v>0</v>
      </c>
      <c r="AR114" s="1742">
        <v>0.56999999999999995</v>
      </c>
      <c r="AS114" s="1052">
        <f t="shared" si="53"/>
        <v>1.8387096774193548</v>
      </c>
      <c r="AT114" s="1049"/>
      <c r="AU114" s="1051"/>
      <c r="AV114" s="1049"/>
      <c r="AW114" s="1095" t="e">
        <f>SUM(#REF!)</f>
        <v>#REF!</v>
      </c>
      <c r="AX114" s="1086">
        <v>10</v>
      </c>
      <c r="AY114" s="1085">
        <v>12</v>
      </c>
      <c r="AZ114" s="1084">
        <v>0.36</v>
      </c>
      <c r="BA114" s="1736">
        <v>0.65</v>
      </c>
      <c r="BB114" s="1742">
        <f t="shared" si="54"/>
        <v>1.8055555555555556</v>
      </c>
      <c r="BC114" s="1049"/>
      <c r="BD114" s="1051"/>
      <c r="BE114" s="1049"/>
      <c r="BF114" s="1095" t="e">
        <f>SUM(#REF!)</f>
        <v>#REF!</v>
      </c>
      <c r="BG114" s="1086">
        <v>10</v>
      </c>
      <c r="BH114" s="1085">
        <v>12</v>
      </c>
      <c r="BI114" s="1084">
        <v>0.35</v>
      </c>
      <c r="BJ114" s="1736" t="s">
        <v>1416</v>
      </c>
      <c r="BK114" s="1049"/>
      <c r="BL114" s="1095" t="e">
        <f>SUM(#REF!)</f>
        <v>#REF!</v>
      </c>
      <c r="BM114" s="1086">
        <v>10</v>
      </c>
      <c r="BN114" s="1085">
        <v>12</v>
      </c>
      <c r="BO114" s="1084">
        <v>0.47</v>
      </c>
      <c r="BP114" s="1084">
        <v>0.01</v>
      </c>
      <c r="BQ114" s="1049"/>
    </row>
    <row r="115" spans="1:69" ht="14.4">
      <c r="A115" s="1049"/>
      <c r="B115" s="1060"/>
      <c r="C115" s="1086">
        <v>11</v>
      </c>
      <c r="D115" s="1085">
        <v>12</v>
      </c>
      <c r="E115" s="1091">
        <v>0.45</v>
      </c>
      <c r="F115" s="1090">
        <v>1.29</v>
      </c>
      <c r="G115" s="1089">
        <f t="shared" si="44"/>
        <v>2.8666666666666667</v>
      </c>
      <c r="H115" s="1049"/>
      <c r="I115" s="1060"/>
      <c r="J115" s="1086">
        <v>11</v>
      </c>
      <c r="K115" s="1085">
        <v>12</v>
      </c>
      <c r="L115" s="1084">
        <v>0.95</v>
      </c>
      <c r="M115" s="1088">
        <v>2.59</v>
      </c>
      <c r="N115" s="1087">
        <f t="shared" si="45"/>
        <v>2.7263157894736842</v>
      </c>
      <c r="O115" s="1049"/>
      <c r="P115" s="1093">
        <f>P114/P106</f>
        <v>2.4467762411347516</v>
      </c>
      <c r="Q115" s="1086">
        <v>11</v>
      </c>
      <c r="R115" s="1085"/>
      <c r="S115" s="1084">
        <v>1.6080000000000001</v>
      </c>
      <c r="T115" s="1054">
        <f t="shared" si="46"/>
        <v>4.8883200000000002</v>
      </c>
      <c r="U115" s="1142">
        <v>6.81</v>
      </c>
      <c r="V115" s="1052">
        <f t="shared" si="47"/>
        <v>4.2350746268656714</v>
      </c>
      <c r="W115" s="1049"/>
      <c r="X115" s="1051">
        <v>3.04</v>
      </c>
      <c r="Y115" s="1049"/>
      <c r="Z115" s="1050">
        <f t="shared" si="48"/>
        <v>3.6019200000000007</v>
      </c>
      <c r="AA115" s="1093">
        <f>AA114/AA106</f>
        <v>0.45258616773021082</v>
      </c>
      <c r="AB115" s="1086">
        <v>11</v>
      </c>
      <c r="AC115" s="1085">
        <v>12</v>
      </c>
      <c r="AD115" s="1084">
        <v>2.0920000000000001</v>
      </c>
      <c r="AE115" s="1143">
        <f t="shared" si="49"/>
        <v>3.0543200000000001</v>
      </c>
      <c r="AF115" s="1142">
        <v>4.5</v>
      </c>
      <c r="AG115" s="1052">
        <f t="shared" si="50"/>
        <v>2.1510516252390057</v>
      </c>
      <c r="AH115" s="1049"/>
      <c r="AI115" s="1051">
        <v>1.46</v>
      </c>
      <c r="AJ115" s="1049"/>
      <c r="AK115" s="1050">
        <f t="shared" si="51"/>
        <v>1.3807199999999999</v>
      </c>
      <c r="AL115" s="1049"/>
      <c r="AM115" s="1093" t="e">
        <f>AM114/AM106</f>
        <v>#REF!</v>
      </c>
      <c r="AN115" s="1086">
        <v>11</v>
      </c>
      <c r="AO115" s="1085">
        <v>12</v>
      </c>
      <c r="AP115" s="1084">
        <v>0.33</v>
      </c>
      <c r="AQ115" s="1748">
        <f t="shared" si="52"/>
        <v>0</v>
      </c>
      <c r="AR115" s="1742">
        <v>0.6</v>
      </c>
      <c r="AS115" s="1052">
        <f t="shared" si="53"/>
        <v>1.8181818181818181</v>
      </c>
      <c r="AT115" s="1049"/>
      <c r="AU115" s="1051"/>
      <c r="AV115" s="1049"/>
      <c r="AW115" s="1093" t="e">
        <f>AW114/AW106</f>
        <v>#REF!</v>
      </c>
      <c r="AX115" s="1086">
        <v>11</v>
      </c>
      <c r="AY115" s="1085">
        <v>12</v>
      </c>
      <c r="AZ115" s="1084">
        <v>0.26</v>
      </c>
      <c r="BA115" s="1736">
        <v>0.47</v>
      </c>
      <c r="BB115" s="1742">
        <f t="shared" si="54"/>
        <v>1.8076923076923075</v>
      </c>
      <c r="BC115" s="1049"/>
      <c r="BD115" s="1051"/>
      <c r="BE115" s="1049"/>
      <c r="BF115" s="1093" t="e">
        <f>BF114/BF106</f>
        <v>#REF!</v>
      </c>
      <c r="BG115" s="1086">
        <v>11</v>
      </c>
      <c r="BH115" s="1085">
        <v>12</v>
      </c>
      <c r="BI115" s="1084">
        <v>0.85</v>
      </c>
      <c r="BJ115" s="1736" t="s">
        <v>1417</v>
      </c>
      <c r="BK115" s="1049"/>
      <c r="BL115" s="1093" t="e">
        <f>BL114/BL106</f>
        <v>#REF!</v>
      </c>
      <c r="BM115" s="1086">
        <v>11</v>
      </c>
      <c r="BN115" s="1085">
        <v>12</v>
      </c>
      <c r="BO115" s="1084">
        <v>0.27</v>
      </c>
      <c r="BP115" s="1084">
        <v>0</v>
      </c>
      <c r="BQ115" s="1049"/>
    </row>
    <row r="116" spans="1:69" ht="14.4">
      <c r="A116" s="1049"/>
      <c r="B116" s="1060"/>
      <c r="C116" s="1086">
        <v>12</v>
      </c>
      <c r="D116" s="1085">
        <v>13</v>
      </c>
      <c r="E116" s="1091">
        <v>0.37</v>
      </c>
      <c r="F116" s="1090">
        <v>1.05</v>
      </c>
      <c r="G116" s="1089">
        <f t="shared" si="44"/>
        <v>2.8378378378378382</v>
      </c>
      <c r="H116" s="1049"/>
      <c r="I116" s="1060"/>
      <c r="J116" s="1086">
        <v>12</v>
      </c>
      <c r="K116" s="1085" t="s">
        <v>1134</v>
      </c>
      <c r="L116" s="1084">
        <v>1.5649999999999999</v>
      </c>
      <c r="M116" s="1088">
        <v>4</v>
      </c>
      <c r="N116" s="1087">
        <f t="shared" si="45"/>
        <v>2.5559105431309903</v>
      </c>
      <c r="O116" s="1049"/>
      <c r="P116" s="1060"/>
      <c r="Q116" s="1086">
        <v>12</v>
      </c>
      <c r="R116" s="1085"/>
      <c r="S116" s="1084">
        <v>1.901</v>
      </c>
      <c r="T116" s="1054">
        <f t="shared" si="46"/>
        <v>5.7410199999999998</v>
      </c>
      <c r="U116" s="1142">
        <v>7.96</v>
      </c>
      <c r="V116" s="1052">
        <f t="shared" si="47"/>
        <v>4.1872698579694898</v>
      </c>
      <c r="W116" s="1049"/>
      <c r="X116" s="1051">
        <v>3.02</v>
      </c>
      <c r="Y116" s="1049"/>
      <c r="Z116" s="1050">
        <f t="shared" si="48"/>
        <v>4.2202199999999994</v>
      </c>
      <c r="AA116" s="1060"/>
      <c r="AB116" s="1086">
        <v>12</v>
      </c>
      <c r="AC116" s="1085">
        <v>13</v>
      </c>
      <c r="AD116" s="1084">
        <v>1.9359999999999999</v>
      </c>
      <c r="AE116" s="1143">
        <f t="shared" si="49"/>
        <v>2.7878399999999997</v>
      </c>
      <c r="AF116" s="1142">
        <v>4.13</v>
      </c>
      <c r="AG116" s="1052">
        <f t="shared" si="50"/>
        <v>2.1332644628099175</v>
      </c>
      <c r="AH116" s="1049"/>
      <c r="AI116" s="1051">
        <v>1.44</v>
      </c>
      <c r="AJ116" s="1049"/>
      <c r="AK116" s="1050">
        <f t="shared" si="51"/>
        <v>1.2390399999999997</v>
      </c>
      <c r="AL116" s="1049"/>
      <c r="AM116" s="1060"/>
      <c r="AN116" s="1086">
        <v>12</v>
      </c>
      <c r="AO116" s="1085">
        <v>13</v>
      </c>
      <c r="AP116" s="1084">
        <v>0.36</v>
      </c>
      <c r="AQ116" s="1748">
        <f t="shared" si="52"/>
        <v>0</v>
      </c>
      <c r="AR116" s="1742">
        <v>0.64</v>
      </c>
      <c r="AS116" s="1052">
        <f t="shared" si="53"/>
        <v>1.7777777777777779</v>
      </c>
      <c r="AT116" s="1049"/>
      <c r="AU116" s="1051"/>
      <c r="AV116" s="1049"/>
      <c r="AW116" s="1060"/>
      <c r="AX116" s="1086">
        <v>12</v>
      </c>
      <c r="AY116" s="1085">
        <v>13</v>
      </c>
      <c r="AZ116" s="1084">
        <v>0.32</v>
      </c>
      <c r="BA116" s="1736">
        <v>0.57999999999999996</v>
      </c>
      <c r="BB116" s="1742">
        <f t="shared" si="54"/>
        <v>1.8124999999999998</v>
      </c>
      <c r="BC116" s="1049"/>
      <c r="BD116" s="1051"/>
      <c r="BE116" s="1049"/>
      <c r="BF116" s="1060"/>
      <c r="BG116" s="1086">
        <v>12</v>
      </c>
      <c r="BH116" s="1085">
        <v>13</v>
      </c>
      <c r="BI116" s="1084">
        <v>0.35</v>
      </c>
      <c r="BJ116" s="1736" t="s">
        <v>1396</v>
      </c>
      <c r="BK116" s="1049"/>
      <c r="BL116" s="1060"/>
      <c r="BM116" s="1086">
        <v>12</v>
      </c>
      <c r="BN116" s="1085">
        <v>13</v>
      </c>
      <c r="BO116" s="1084">
        <v>0.16</v>
      </c>
      <c r="BP116" s="1084">
        <v>0</v>
      </c>
      <c r="BQ116" s="1049"/>
    </row>
    <row r="117" spans="1:69" ht="14.4">
      <c r="A117" s="1049"/>
      <c r="B117" s="1060"/>
      <c r="C117" s="1086">
        <v>13</v>
      </c>
      <c r="D117" s="1085">
        <v>14</v>
      </c>
      <c r="E117" s="1091">
        <v>0.41</v>
      </c>
      <c r="F117" s="1090">
        <v>1.18</v>
      </c>
      <c r="G117" s="1089">
        <f t="shared" si="44"/>
        <v>2.8780487804878048</v>
      </c>
      <c r="H117" s="1049"/>
      <c r="I117" s="1060"/>
      <c r="J117" s="1086">
        <v>13</v>
      </c>
      <c r="K117" s="1085"/>
      <c r="L117" s="1084">
        <v>1.798</v>
      </c>
      <c r="M117" s="1088">
        <v>4.47</v>
      </c>
      <c r="N117" s="1087">
        <f t="shared" si="45"/>
        <v>2.486095661846496</v>
      </c>
      <c r="O117" s="1049"/>
      <c r="P117" s="1092" t="s">
        <v>1127</v>
      </c>
      <c r="Q117" s="1086">
        <v>13</v>
      </c>
      <c r="R117" s="1085"/>
      <c r="S117" s="1084">
        <v>1.8819999999999999</v>
      </c>
      <c r="T117" s="1054">
        <f t="shared" si="46"/>
        <v>6.0788599999999997</v>
      </c>
      <c r="U117" s="1142">
        <v>7.81</v>
      </c>
      <c r="V117" s="1052">
        <f t="shared" si="47"/>
        <v>4.1498405951115833</v>
      </c>
      <c r="W117" s="1049"/>
      <c r="X117" s="1051">
        <v>3.23</v>
      </c>
      <c r="Y117" s="1049"/>
      <c r="Z117" s="1050">
        <f t="shared" si="48"/>
        <v>4.5732599999999994</v>
      </c>
      <c r="AA117" s="1092" t="s">
        <v>1127</v>
      </c>
      <c r="AB117" s="1086">
        <v>13</v>
      </c>
      <c r="AC117" s="1085">
        <v>14</v>
      </c>
      <c r="AD117" s="1084">
        <v>1.6439999999999999</v>
      </c>
      <c r="AE117" s="1143">
        <f t="shared" si="49"/>
        <v>2.4002399999999997</v>
      </c>
      <c r="AF117" s="1142">
        <v>3.53</v>
      </c>
      <c r="AG117" s="1052">
        <f t="shared" si="50"/>
        <v>2.1472019464720193</v>
      </c>
      <c r="AH117" s="1049"/>
      <c r="AI117" s="1051">
        <v>1.46</v>
      </c>
      <c r="AJ117" s="1049"/>
      <c r="AK117" s="1050">
        <f t="shared" si="51"/>
        <v>1.0850399999999998</v>
      </c>
      <c r="AL117" s="1049"/>
      <c r="AM117" s="1092" t="s">
        <v>1127</v>
      </c>
      <c r="AN117" s="1150">
        <v>13</v>
      </c>
      <c r="AO117" s="1085">
        <v>14</v>
      </c>
      <c r="AP117" s="1084">
        <v>0.25</v>
      </c>
      <c r="AQ117" s="1748">
        <f t="shared" si="52"/>
        <v>0</v>
      </c>
      <c r="AR117" s="1742">
        <v>0.44</v>
      </c>
      <c r="AS117" s="1052">
        <f t="shared" si="53"/>
        <v>1.76</v>
      </c>
      <c r="AT117" s="1049"/>
      <c r="AU117" s="1051"/>
      <c r="AV117" s="1049"/>
      <c r="AW117" s="1092" t="s">
        <v>1127</v>
      </c>
      <c r="AX117" s="1086">
        <v>13</v>
      </c>
      <c r="AY117" s="1085">
        <v>14</v>
      </c>
      <c r="AZ117" s="1084">
        <v>0.32</v>
      </c>
      <c r="BA117" s="1736">
        <v>0.57999999999999996</v>
      </c>
      <c r="BB117" s="1742">
        <f t="shared" si="54"/>
        <v>1.8124999999999998</v>
      </c>
      <c r="BC117" s="1049"/>
      <c r="BD117" s="1051"/>
      <c r="BE117" s="1049"/>
      <c r="BF117" s="1092" t="s">
        <v>1127</v>
      </c>
      <c r="BG117" s="1086">
        <v>13</v>
      </c>
      <c r="BH117" s="1085">
        <v>14</v>
      </c>
      <c r="BI117" s="1084">
        <v>0.28000000000000003</v>
      </c>
      <c r="BJ117" s="1736" t="s">
        <v>1418</v>
      </c>
      <c r="BK117" s="1049"/>
      <c r="BL117" s="1092" t="s">
        <v>1127</v>
      </c>
      <c r="BM117" s="1086">
        <v>13</v>
      </c>
      <c r="BN117" s="1085">
        <v>14</v>
      </c>
      <c r="BO117" s="1084">
        <v>0.24</v>
      </c>
      <c r="BP117" s="1084">
        <v>0.08</v>
      </c>
      <c r="BQ117" s="1049"/>
    </row>
    <row r="118" spans="1:69" ht="14.4">
      <c r="A118" s="1049"/>
      <c r="B118" s="1060"/>
      <c r="C118" s="1086">
        <v>14</v>
      </c>
      <c r="D118" s="1085">
        <v>15</v>
      </c>
      <c r="E118" s="1091">
        <v>0.78</v>
      </c>
      <c r="F118" s="1090">
        <v>2.2400000000000002</v>
      </c>
      <c r="G118" s="1089">
        <f t="shared" si="44"/>
        <v>2.8717948717948718</v>
      </c>
      <c r="H118" s="1049"/>
      <c r="I118" s="1060"/>
      <c r="J118" s="1086">
        <v>14</v>
      </c>
      <c r="K118" s="1085">
        <v>15</v>
      </c>
      <c r="L118" s="1084">
        <v>0.442</v>
      </c>
      <c r="M118" s="1088">
        <v>1.18</v>
      </c>
      <c r="N118" s="1087">
        <f t="shared" si="45"/>
        <v>2.6696832579185519</v>
      </c>
      <c r="O118" s="1049"/>
      <c r="P118" s="1058">
        <f>P106*0.8</f>
        <v>22.560000000000002</v>
      </c>
      <c r="Q118" s="1086">
        <v>14</v>
      </c>
      <c r="R118" s="1085">
        <v>15</v>
      </c>
      <c r="S118" s="1084">
        <v>2.113</v>
      </c>
      <c r="T118" s="1054">
        <f t="shared" si="46"/>
        <v>7.14194</v>
      </c>
      <c r="U118" s="1142">
        <v>9.08</v>
      </c>
      <c r="V118" s="1052">
        <f t="shared" si="47"/>
        <v>4.2972077614765736</v>
      </c>
      <c r="W118" s="1049"/>
      <c r="X118" s="1051">
        <v>3.38</v>
      </c>
      <c r="Y118" s="1049"/>
      <c r="Z118" s="1050">
        <f t="shared" si="48"/>
        <v>5.4515400000000005</v>
      </c>
      <c r="AA118" s="1058">
        <f>AA106*0.8</f>
        <v>38.738400000000006</v>
      </c>
      <c r="AB118" s="1086">
        <v>14</v>
      </c>
      <c r="AC118" s="1085">
        <v>15</v>
      </c>
      <c r="AD118" s="1084">
        <v>2.431</v>
      </c>
      <c r="AE118" s="1143">
        <f t="shared" si="49"/>
        <v>3.7437400000000003</v>
      </c>
      <c r="AF118" s="1142">
        <v>5.41</v>
      </c>
      <c r="AG118" s="1052">
        <f t="shared" si="50"/>
        <v>2.2254216371863431</v>
      </c>
      <c r="AH118" s="1049"/>
      <c r="AI118" s="1051">
        <v>1.54</v>
      </c>
      <c r="AJ118" s="1049"/>
      <c r="AK118" s="1050">
        <f t="shared" si="51"/>
        <v>1.79894</v>
      </c>
      <c r="AL118" s="1049"/>
      <c r="AM118" s="1058">
        <f>AM106*0.8</f>
        <v>4.8320000000000007</v>
      </c>
      <c r="AN118" s="1150">
        <v>14</v>
      </c>
      <c r="AO118" s="1085">
        <v>15</v>
      </c>
      <c r="AP118" s="1084">
        <v>0.37</v>
      </c>
      <c r="AQ118" s="1748">
        <f t="shared" si="52"/>
        <v>0</v>
      </c>
      <c r="AR118" s="1742">
        <v>0.67</v>
      </c>
      <c r="AS118" s="1052">
        <f t="shared" si="53"/>
        <v>1.810810810810811</v>
      </c>
      <c r="AT118" s="1049"/>
      <c r="AU118" s="1051"/>
      <c r="AV118" s="1049"/>
      <c r="AW118" s="1058">
        <f>AW106*0.8</f>
        <v>5.879999999999999</v>
      </c>
      <c r="AX118" s="1086">
        <v>14</v>
      </c>
      <c r="AY118" s="1085">
        <v>15</v>
      </c>
      <c r="AZ118" s="1084">
        <v>0.38</v>
      </c>
      <c r="BA118" s="1736">
        <v>0.69</v>
      </c>
      <c r="BB118" s="1742">
        <f t="shared" si="54"/>
        <v>1.8157894736842104</v>
      </c>
      <c r="BC118" s="1049"/>
      <c r="BD118" s="1051"/>
      <c r="BE118" s="1049"/>
      <c r="BF118" s="1058">
        <f>BF106*0.8</f>
        <v>5.6560000000000006</v>
      </c>
      <c r="BG118" s="1086">
        <v>14</v>
      </c>
      <c r="BH118" s="1085">
        <v>15</v>
      </c>
      <c r="BI118" s="1084">
        <v>0.32</v>
      </c>
      <c r="BJ118" s="1736" t="s">
        <v>1415</v>
      </c>
      <c r="BK118" s="1049"/>
      <c r="BL118" s="1058">
        <f>BL106*0.8</f>
        <v>5.9520000000000008</v>
      </c>
      <c r="BM118" s="1086">
        <v>14</v>
      </c>
      <c r="BN118" s="1085">
        <v>15</v>
      </c>
      <c r="BO118" s="1084">
        <v>0.2</v>
      </c>
      <c r="BP118" s="1084">
        <v>0.09</v>
      </c>
      <c r="BQ118" s="1049"/>
    </row>
    <row r="119" spans="1:69" ht="14.4">
      <c r="A119" s="1049"/>
      <c r="B119" s="1060"/>
      <c r="C119" s="1086">
        <v>15</v>
      </c>
      <c r="D119" s="1085">
        <v>16</v>
      </c>
      <c r="E119" s="1091">
        <v>1.42</v>
      </c>
      <c r="F119" s="1090">
        <v>4.0999999999999996</v>
      </c>
      <c r="G119" s="1089">
        <f t="shared" si="44"/>
        <v>2.8873239436619715</v>
      </c>
      <c r="H119" s="1049"/>
      <c r="I119" s="1060"/>
      <c r="J119" s="1086">
        <v>15</v>
      </c>
      <c r="K119" s="1085">
        <v>16</v>
      </c>
      <c r="L119" s="1084">
        <v>0.39900000000000002</v>
      </c>
      <c r="M119" s="1088">
        <v>1.17</v>
      </c>
      <c r="N119" s="1087">
        <f t="shared" si="45"/>
        <v>2.9323308270676689</v>
      </c>
      <c r="O119" s="1049"/>
      <c r="P119" s="1058" t="s">
        <v>1126</v>
      </c>
      <c r="Q119" s="1086">
        <v>15</v>
      </c>
      <c r="R119" s="1085">
        <v>16</v>
      </c>
      <c r="S119" s="1084">
        <v>2.1560000000000001</v>
      </c>
      <c r="T119" s="1054">
        <f t="shared" si="46"/>
        <v>8.7749200000000016</v>
      </c>
      <c r="U119" s="1142">
        <v>10.75</v>
      </c>
      <c r="V119" s="1052">
        <f t="shared" si="47"/>
        <v>4.9860853432281997</v>
      </c>
      <c r="W119" s="1049"/>
      <c r="X119" s="1051">
        <v>4.07</v>
      </c>
      <c r="Y119" s="1049"/>
      <c r="Z119" s="1050">
        <f t="shared" si="48"/>
        <v>7.0501200000000015</v>
      </c>
      <c r="AA119" s="1058" t="s">
        <v>1126</v>
      </c>
      <c r="AB119" s="1086">
        <v>15</v>
      </c>
      <c r="AC119" s="1085">
        <v>16</v>
      </c>
      <c r="AD119" s="1084">
        <v>2.0790000000000002</v>
      </c>
      <c r="AE119" s="1143">
        <f t="shared" si="49"/>
        <v>3.3471900000000003</v>
      </c>
      <c r="AF119" s="1142">
        <v>4.79</v>
      </c>
      <c r="AG119" s="1052">
        <f t="shared" si="50"/>
        <v>2.3039923039923038</v>
      </c>
      <c r="AH119" s="1049"/>
      <c r="AI119" s="1051">
        <v>1.61</v>
      </c>
      <c r="AJ119" s="1049"/>
      <c r="AK119" s="1050">
        <f t="shared" si="51"/>
        <v>1.6839900000000003</v>
      </c>
      <c r="AL119" s="1049"/>
      <c r="AM119" s="1058" t="s">
        <v>1126</v>
      </c>
      <c r="AN119" s="1150">
        <v>15</v>
      </c>
      <c r="AO119" s="1085">
        <v>16</v>
      </c>
      <c r="AP119" s="1084">
        <v>0.36</v>
      </c>
      <c r="AQ119" s="1748">
        <f t="shared" si="52"/>
        <v>0</v>
      </c>
      <c r="AR119" s="1742">
        <v>0.67</v>
      </c>
      <c r="AS119" s="1052">
        <f t="shared" si="53"/>
        <v>1.8611111111111114</v>
      </c>
      <c r="AT119" s="1049"/>
      <c r="AU119" s="1051"/>
      <c r="AV119" s="1049"/>
      <c r="AW119" s="1058" t="s">
        <v>1126</v>
      </c>
      <c r="AX119" s="1086">
        <v>15</v>
      </c>
      <c r="AY119" s="1085">
        <v>16</v>
      </c>
      <c r="AZ119" s="1084">
        <v>0.36</v>
      </c>
      <c r="BA119" s="1736">
        <v>0.67</v>
      </c>
      <c r="BB119" s="1742">
        <f t="shared" si="54"/>
        <v>1.8611111111111114</v>
      </c>
      <c r="BC119" s="1049"/>
      <c r="BD119" s="1051"/>
      <c r="BE119" s="1049"/>
      <c r="BF119" s="1058" t="s">
        <v>1126</v>
      </c>
      <c r="BG119" s="1086">
        <v>15</v>
      </c>
      <c r="BH119" s="1085">
        <v>16</v>
      </c>
      <c r="BI119" s="1084">
        <v>0.19</v>
      </c>
      <c r="BJ119" s="1736" t="s">
        <v>1419</v>
      </c>
      <c r="BK119" s="1049"/>
      <c r="BL119" s="1058" t="s">
        <v>1126</v>
      </c>
      <c r="BM119" s="1086">
        <v>15</v>
      </c>
      <c r="BN119" s="1085">
        <v>16</v>
      </c>
      <c r="BO119" s="1084">
        <v>0.21</v>
      </c>
      <c r="BP119" s="1084">
        <v>0.08</v>
      </c>
      <c r="BQ119" s="1049"/>
    </row>
    <row r="120" spans="1:69" ht="15" thickBot="1">
      <c r="A120" s="1049"/>
      <c r="B120" s="1060"/>
      <c r="C120" s="1077">
        <v>16</v>
      </c>
      <c r="D120" s="1076">
        <v>17</v>
      </c>
      <c r="E120" s="1083">
        <v>1.01</v>
      </c>
      <c r="F120" s="1082">
        <v>2.91</v>
      </c>
      <c r="G120" s="1081">
        <f t="shared" si="44"/>
        <v>2.8811881188118811</v>
      </c>
      <c r="H120" s="1049"/>
      <c r="I120" s="1060"/>
      <c r="J120" s="1077">
        <v>16</v>
      </c>
      <c r="K120" s="1076">
        <v>17</v>
      </c>
      <c r="L120" s="1075">
        <v>0.36299999999999999</v>
      </c>
      <c r="M120" s="1080">
        <v>1.1100000000000001</v>
      </c>
      <c r="N120" s="1079">
        <f t="shared" si="45"/>
        <v>3.057851239669422</v>
      </c>
      <c r="O120" s="1049"/>
      <c r="P120" s="1078">
        <f>P106*(X103-0.8)</f>
        <v>63.861249999999998</v>
      </c>
      <c r="Q120" s="1077">
        <v>16</v>
      </c>
      <c r="R120" s="1076">
        <v>17</v>
      </c>
      <c r="S120" s="1075">
        <v>1.512</v>
      </c>
      <c r="T120" s="1054">
        <f t="shared" si="46"/>
        <v>6.30504</v>
      </c>
      <c r="U120" s="1140">
        <v>7.69</v>
      </c>
      <c r="V120" s="1052">
        <f t="shared" si="47"/>
        <v>5.0859788359788363</v>
      </c>
      <c r="W120" s="1049"/>
      <c r="X120" s="1074">
        <v>4.17</v>
      </c>
      <c r="Y120" s="1049"/>
      <c r="Z120" s="1050">
        <f t="shared" si="48"/>
        <v>5.09544</v>
      </c>
      <c r="AA120" s="1078">
        <f>AA106*(AI103-0.8)</f>
        <v>16.019942499999999</v>
      </c>
      <c r="AB120" s="1077">
        <v>16</v>
      </c>
      <c r="AC120" s="1076">
        <v>17</v>
      </c>
      <c r="AD120" s="1075">
        <v>2.032</v>
      </c>
      <c r="AE120" s="1141">
        <f t="shared" si="49"/>
        <v>3.5356800000000002</v>
      </c>
      <c r="AF120" s="1140">
        <v>4.93</v>
      </c>
      <c r="AG120" s="1052">
        <f t="shared" si="50"/>
        <v>2.4261811023622046</v>
      </c>
      <c r="AH120" s="1049"/>
      <c r="AI120" s="1074">
        <v>1.74</v>
      </c>
      <c r="AJ120" s="1049"/>
      <c r="AK120" s="1050">
        <f t="shared" si="51"/>
        <v>1.91008</v>
      </c>
      <c r="AL120" s="1049"/>
      <c r="AM120" s="1078" t="e">
        <f>AM106*(AU103-0.8)</f>
        <v>#DIV/0!</v>
      </c>
      <c r="AN120" s="1149">
        <v>16</v>
      </c>
      <c r="AO120" s="1076">
        <v>17</v>
      </c>
      <c r="AP120" s="1075">
        <v>0.22</v>
      </c>
      <c r="AQ120" s="1749">
        <f t="shared" si="52"/>
        <v>0</v>
      </c>
      <c r="AR120" s="1743">
        <v>0.43</v>
      </c>
      <c r="AS120" s="1052">
        <f t="shared" si="53"/>
        <v>1.9545454545454546</v>
      </c>
      <c r="AT120" s="1049"/>
      <c r="AU120" s="1074"/>
      <c r="AV120" s="1049"/>
      <c r="AW120" s="1078" t="e">
        <f>AW106*(BD103-0.8)</f>
        <v>#DIV/0!</v>
      </c>
      <c r="AX120" s="1077">
        <v>16</v>
      </c>
      <c r="AY120" s="1076">
        <v>17</v>
      </c>
      <c r="AZ120" s="1075">
        <v>0.61</v>
      </c>
      <c r="BA120" s="1738">
        <v>1.18</v>
      </c>
      <c r="BB120" s="1743">
        <f t="shared" si="54"/>
        <v>1.9344262295081966</v>
      </c>
      <c r="BC120" s="1049"/>
      <c r="BD120" s="1074"/>
      <c r="BE120" s="1049"/>
      <c r="BF120" s="1078">
        <f>BF106*(BM103-0.8)</f>
        <v>-5.6560000000000006</v>
      </c>
      <c r="BG120" s="1077">
        <v>16</v>
      </c>
      <c r="BH120" s="1076">
        <v>17</v>
      </c>
      <c r="BI120" s="1075">
        <v>0.28999999999999998</v>
      </c>
      <c r="BJ120" s="1738" t="s">
        <v>1407</v>
      </c>
      <c r="BK120" s="1049"/>
      <c r="BL120" s="1078">
        <f>BL106*(BS103-0.8)</f>
        <v>-5.9520000000000008</v>
      </c>
      <c r="BM120" s="1077">
        <v>16</v>
      </c>
      <c r="BN120" s="1076">
        <v>17</v>
      </c>
      <c r="BO120" s="1075">
        <v>0.31</v>
      </c>
      <c r="BP120" s="1075">
        <v>7.0000000000000007E-2</v>
      </c>
      <c r="BQ120" s="1049"/>
    </row>
    <row r="121" spans="1:69" ht="14.4">
      <c r="A121" s="1049"/>
      <c r="B121" s="1060"/>
      <c r="C121" s="1068">
        <v>17</v>
      </c>
      <c r="D121" s="1067">
        <v>18</v>
      </c>
      <c r="E121" s="1073">
        <v>0.6</v>
      </c>
      <c r="F121" s="1072">
        <v>2.11</v>
      </c>
      <c r="G121" s="1071">
        <f t="shared" si="44"/>
        <v>3.5166666666666666</v>
      </c>
      <c r="H121" s="1049"/>
      <c r="I121" s="1060"/>
      <c r="J121" s="1068">
        <v>17</v>
      </c>
      <c r="K121" s="1067">
        <v>18</v>
      </c>
      <c r="L121" s="1066">
        <v>0.90100000000000002</v>
      </c>
      <c r="M121" s="1070">
        <v>3.56</v>
      </c>
      <c r="N121" s="1069">
        <f t="shared" si="45"/>
        <v>3.9511653718091009</v>
      </c>
      <c r="O121" s="1049"/>
      <c r="P121" s="1058"/>
      <c r="Q121" s="1068">
        <v>17</v>
      </c>
      <c r="R121" s="1067">
        <v>18</v>
      </c>
      <c r="S121" s="1066">
        <v>1.577</v>
      </c>
      <c r="T121" s="1054">
        <f t="shared" si="46"/>
        <v>6.9230299999999989</v>
      </c>
      <c r="U121" s="1138">
        <v>8.3800000000000008</v>
      </c>
      <c r="V121" s="1052">
        <f t="shared" si="47"/>
        <v>5.3138871274571979</v>
      </c>
      <c r="W121" s="1049"/>
      <c r="X121" s="1065">
        <v>4.3899999999999997</v>
      </c>
      <c r="Y121" s="1049"/>
      <c r="Z121" s="1050">
        <f t="shared" si="48"/>
        <v>5.6614299999999993</v>
      </c>
      <c r="AA121" s="1058"/>
      <c r="AB121" s="1068">
        <v>17</v>
      </c>
      <c r="AC121" s="1067">
        <v>18</v>
      </c>
      <c r="AD121" s="1066">
        <v>2.9820000000000002</v>
      </c>
      <c r="AE121" s="1139">
        <f t="shared" si="49"/>
        <v>5.7850800000000007</v>
      </c>
      <c r="AF121" s="1138">
        <v>10.18</v>
      </c>
      <c r="AG121" s="1052">
        <f t="shared" si="50"/>
        <v>3.413816230717639</v>
      </c>
      <c r="AH121" s="1049"/>
      <c r="AI121" s="1065">
        <v>1.94</v>
      </c>
      <c r="AJ121" s="1049"/>
      <c r="AK121" s="1050">
        <f t="shared" si="51"/>
        <v>3.3994800000000001</v>
      </c>
      <c r="AL121" s="1049"/>
      <c r="AM121" s="1058"/>
      <c r="AN121" s="1068">
        <v>17</v>
      </c>
      <c r="AO121" s="1067">
        <v>18</v>
      </c>
      <c r="AP121" s="1066">
        <v>0.22</v>
      </c>
      <c r="AQ121" s="1750">
        <f t="shared" si="52"/>
        <v>0</v>
      </c>
      <c r="AR121" s="1744">
        <v>0.63</v>
      </c>
      <c r="AS121" s="1052">
        <f t="shared" si="53"/>
        <v>2.8636363636363638</v>
      </c>
      <c r="AT121" s="1049"/>
      <c r="AU121" s="1065"/>
      <c r="AV121" s="1049"/>
      <c r="AW121" s="1058"/>
      <c r="AX121" s="1068">
        <v>17</v>
      </c>
      <c r="AY121" s="1067">
        <v>18</v>
      </c>
      <c r="AZ121" s="1066">
        <v>1.06</v>
      </c>
      <c r="BA121" s="1740">
        <v>3.13</v>
      </c>
      <c r="BB121" s="1744">
        <f t="shared" si="54"/>
        <v>2.9528301886792452</v>
      </c>
      <c r="BC121" s="1049"/>
      <c r="BD121" s="1065"/>
      <c r="BE121" s="1049"/>
      <c r="BF121" s="1058"/>
      <c r="BG121" s="1068">
        <v>17</v>
      </c>
      <c r="BH121" s="1067">
        <v>18</v>
      </c>
      <c r="BI121" s="1066">
        <v>1.1000000000000001</v>
      </c>
      <c r="BJ121" s="1740" t="s">
        <v>1420</v>
      </c>
      <c r="BK121" s="1049"/>
      <c r="BL121" s="1058"/>
      <c r="BM121" s="1068">
        <v>17</v>
      </c>
      <c r="BN121" s="1067">
        <v>18</v>
      </c>
      <c r="BO121" s="1066">
        <v>0.75</v>
      </c>
      <c r="BP121" s="1066">
        <v>0.01</v>
      </c>
      <c r="BQ121" s="1049"/>
    </row>
    <row r="122" spans="1:69" ht="14.4">
      <c r="A122" s="1049"/>
      <c r="B122" s="1060"/>
      <c r="C122" s="1057">
        <v>18</v>
      </c>
      <c r="D122" s="1056">
        <v>19</v>
      </c>
      <c r="E122" s="1063">
        <v>0.47</v>
      </c>
      <c r="F122" s="1062">
        <v>1.63</v>
      </c>
      <c r="G122" s="1061">
        <f t="shared" si="44"/>
        <v>3.4680851063829787</v>
      </c>
      <c r="H122" s="1049"/>
      <c r="I122" s="1060"/>
      <c r="J122" s="1057">
        <v>18</v>
      </c>
      <c r="K122" s="1056">
        <v>19</v>
      </c>
      <c r="L122" s="1055">
        <v>0.72499999999999998</v>
      </c>
      <c r="M122" s="1059">
        <v>2.77</v>
      </c>
      <c r="N122" s="1052">
        <f t="shared" si="45"/>
        <v>3.8206896551724139</v>
      </c>
      <c r="O122" s="1049"/>
      <c r="P122" s="1058"/>
      <c r="Q122" s="1057">
        <v>18</v>
      </c>
      <c r="R122" s="1056">
        <v>19</v>
      </c>
      <c r="S122" s="1055">
        <v>1.1180000000000001</v>
      </c>
      <c r="T122" s="1054">
        <f t="shared" si="46"/>
        <v>4.6732399999999998</v>
      </c>
      <c r="U122" s="1136">
        <v>5.71</v>
      </c>
      <c r="V122" s="1052">
        <f t="shared" si="47"/>
        <v>5.1073345259391765</v>
      </c>
      <c r="W122" s="1049"/>
      <c r="X122" s="1051">
        <v>4.18</v>
      </c>
      <c r="Y122" s="1049"/>
      <c r="Z122" s="1050">
        <f t="shared" si="48"/>
        <v>3.7788400000000002</v>
      </c>
      <c r="AA122" s="1058"/>
      <c r="AB122" s="1057">
        <v>18</v>
      </c>
      <c r="AC122" s="1056">
        <v>19</v>
      </c>
      <c r="AD122" s="1055">
        <v>2.129</v>
      </c>
      <c r="AE122" s="1137">
        <f t="shared" si="49"/>
        <v>4.1302599999999998</v>
      </c>
      <c r="AF122" s="1136">
        <v>7.26</v>
      </c>
      <c r="AG122" s="1052">
        <f t="shared" si="50"/>
        <v>3.4100516674495065</v>
      </c>
      <c r="AH122" s="1049"/>
      <c r="AI122" s="1051">
        <v>1.94</v>
      </c>
      <c r="AJ122" s="1049"/>
      <c r="AK122" s="1050">
        <f t="shared" si="51"/>
        <v>2.42706</v>
      </c>
      <c r="AL122" s="1049"/>
      <c r="AM122" s="1058"/>
      <c r="AN122" s="1057">
        <v>18</v>
      </c>
      <c r="AO122" s="1056">
        <v>19</v>
      </c>
      <c r="AP122" s="1055">
        <v>0.65</v>
      </c>
      <c r="AQ122" s="1745">
        <f t="shared" si="52"/>
        <v>0</v>
      </c>
      <c r="AR122" s="1737">
        <v>1.85</v>
      </c>
      <c r="AS122" s="1052">
        <f t="shared" si="53"/>
        <v>2.8461538461538463</v>
      </c>
      <c r="AT122" s="1049"/>
      <c r="AU122" s="1051"/>
      <c r="AV122" s="1049"/>
      <c r="AW122" s="1058"/>
      <c r="AX122" s="1057">
        <v>18</v>
      </c>
      <c r="AY122" s="1056">
        <v>19</v>
      </c>
      <c r="AZ122" s="1055">
        <v>0.65</v>
      </c>
      <c r="BA122" s="1736">
        <v>2.0499999999999998</v>
      </c>
      <c r="BB122" s="1737">
        <f t="shared" si="54"/>
        <v>3.1538461538461533</v>
      </c>
      <c r="BC122" s="1049"/>
      <c r="BD122" s="1051"/>
      <c r="BE122" s="1049"/>
      <c r="BF122" s="1058"/>
      <c r="BG122" s="1057">
        <v>18</v>
      </c>
      <c r="BH122" s="1056">
        <v>19</v>
      </c>
      <c r="BI122" s="1055">
        <v>0.33</v>
      </c>
      <c r="BJ122" s="1736" t="s">
        <v>1421</v>
      </c>
      <c r="BK122" s="1049"/>
      <c r="BL122" s="1058"/>
      <c r="BM122" s="1057">
        <v>18</v>
      </c>
      <c r="BN122" s="1056">
        <v>19</v>
      </c>
      <c r="BO122" s="1055">
        <v>0.3</v>
      </c>
      <c r="BP122" s="1055">
        <v>0.04</v>
      </c>
      <c r="BQ122" s="1049"/>
    </row>
    <row r="123" spans="1:69" ht="14.4">
      <c r="A123" s="1049"/>
      <c r="B123" s="1060"/>
      <c r="C123" s="1057">
        <v>19</v>
      </c>
      <c r="D123" s="1056">
        <v>20</v>
      </c>
      <c r="E123" s="1063">
        <v>0.46</v>
      </c>
      <c r="F123" s="1062">
        <v>1.61</v>
      </c>
      <c r="G123" s="1061">
        <f t="shared" si="44"/>
        <v>3.5</v>
      </c>
      <c r="H123" s="1049"/>
      <c r="I123" s="1060"/>
      <c r="J123" s="1057">
        <v>19</v>
      </c>
      <c r="K123" s="1056">
        <v>20</v>
      </c>
      <c r="L123" s="1055">
        <v>0.49</v>
      </c>
      <c r="M123" s="1059">
        <v>1.39</v>
      </c>
      <c r="N123" s="1052">
        <f t="shared" si="45"/>
        <v>2.8367346938775508</v>
      </c>
      <c r="O123" s="1049"/>
      <c r="P123" s="1058"/>
      <c r="Q123" s="1057">
        <v>19</v>
      </c>
      <c r="R123" s="1056">
        <v>20</v>
      </c>
      <c r="S123" s="1055">
        <v>1.0620000000000001</v>
      </c>
      <c r="T123" s="1054">
        <f t="shared" si="46"/>
        <v>4.3966799999999999</v>
      </c>
      <c r="U123" s="1136">
        <v>5.37</v>
      </c>
      <c r="V123" s="1052">
        <f t="shared" si="47"/>
        <v>5.0564971751412431</v>
      </c>
      <c r="W123" s="1049"/>
      <c r="X123" s="1051">
        <v>4.1399999999999997</v>
      </c>
      <c r="Y123" s="1049"/>
      <c r="Z123" s="1050">
        <f t="shared" si="48"/>
        <v>3.5470800000000002</v>
      </c>
      <c r="AA123" s="1058"/>
      <c r="AB123" s="1057">
        <v>19</v>
      </c>
      <c r="AC123" s="1056">
        <v>20</v>
      </c>
      <c r="AD123" s="1055">
        <v>2.5150000000000001</v>
      </c>
      <c r="AE123" s="1137">
        <f t="shared" si="49"/>
        <v>4.5018500000000001</v>
      </c>
      <c r="AF123" s="1136">
        <v>8.19</v>
      </c>
      <c r="AG123" s="1052">
        <f t="shared" si="50"/>
        <v>3.2564612326043734</v>
      </c>
      <c r="AH123" s="1049"/>
      <c r="AI123" s="1051">
        <v>1.79</v>
      </c>
      <c r="AJ123" s="1049"/>
      <c r="AK123" s="1050">
        <f t="shared" si="51"/>
        <v>2.4898500000000001</v>
      </c>
      <c r="AL123" s="1049"/>
      <c r="AM123" s="1058"/>
      <c r="AN123" s="1057">
        <v>19</v>
      </c>
      <c r="AO123" s="1056">
        <v>20</v>
      </c>
      <c r="AP123" s="1055">
        <v>0.4</v>
      </c>
      <c r="AQ123" s="1745">
        <f t="shared" si="52"/>
        <v>0</v>
      </c>
      <c r="AR123" s="1737">
        <v>1.1299999999999999</v>
      </c>
      <c r="AS123" s="1052">
        <f t="shared" si="53"/>
        <v>2.8249999999999997</v>
      </c>
      <c r="AT123" s="1049"/>
      <c r="AU123" s="1051"/>
      <c r="AV123" s="1049"/>
      <c r="AW123" s="1058"/>
      <c r="AX123" s="1057">
        <v>19</v>
      </c>
      <c r="AY123" s="1056">
        <v>20</v>
      </c>
      <c r="AZ123" s="1055">
        <v>0.32</v>
      </c>
      <c r="BA123" s="1736">
        <v>1.02</v>
      </c>
      <c r="BB123" s="1737">
        <f t="shared" si="54"/>
        <v>3.1875</v>
      </c>
      <c r="BC123" s="1049"/>
      <c r="BD123" s="1051"/>
      <c r="BE123" s="1049"/>
      <c r="BF123" s="1058"/>
      <c r="BG123" s="1057">
        <v>19</v>
      </c>
      <c r="BH123" s="1056">
        <v>20</v>
      </c>
      <c r="BI123" s="1055">
        <v>0.27</v>
      </c>
      <c r="BJ123" s="1736" t="s">
        <v>1422</v>
      </c>
      <c r="BK123" s="1049"/>
      <c r="BL123" s="1058"/>
      <c r="BM123" s="1057">
        <v>19</v>
      </c>
      <c r="BN123" s="1056">
        <v>20</v>
      </c>
      <c r="BO123" s="1055">
        <v>0.25</v>
      </c>
      <c r="BP123" s="1055">
        <v>0.08</v>
      </c>
      <c r="BQ123" s="1049"/>
    </row>
    <row r="124" spans="1:69" ht="14.4">
      <c r="A124" s="1049"/>
      <c r="B124" s="1060"/>
      <c r="C124" s="1057">
        <v>20</v>
      </c>
      <c r="D124" s="1056">
        <v>21</v>
      </c>
      <c r="E124" s="1063">
        <v>0.41</v>
      </c>
      <c r="F124" s="1062">
        <v>1.2</v>
      </c>
      <c r="G124" s="1061">
        <f t="shared" si="44"/>
        <v>2.9268292682926829</v>
      </c>
      <c r="H124" s="1049"/>
      <c r="I124" s="1060"/>
      <c r="J124" s="1057">
        <v>20</v>
      </c>
      <c r="K124" s="1056">
        <v>21</v>
      </c>
      <c r="L124" s="1055">
        <v>0.443</v>
      </c>
      <c r="M124" s="1059">
        <v>0.88</v>
      </c>
      <c r="N124" s="1052">
        <f t="shared" si="45"/>
        <v>1.9864559819413092</v>
      </c>
      <c r="O124" s="1049"/>
      <c r="P124" s="1058"/>
      <c r="Q124" s="1057">
        <v>20</v>
      </c>
      <c r="R124" s="1056">
        <v>21</v>
      </c>
      <c r="S124" s="1055">
        <v>1.1539999999999999</v>
      </c>
      <c r="T124" s="1054">
        <f t="shared" si="46"/>
        <v>4.4082799999999995</v>
      </c>
      <c r="U124" s="1136">
        <v>5.46</v>
      </c>
      <c r="V124" s="1052">
        <f t="shared" si="47"/>
        <v>4.7313691507798961</v>
      </c>
      <c r="W124" s="1049"/>
      <c r="X124" s="1051">
        <v>3.82</v>
      </c>
      <c r="Y124" s="1049"/>
      <c r="Z124" s="1050">
        <f t="shared" si="48"/>
        <v>3.4850799999999991</v>
      </c>
      <c r="AA124" s="1058"/>
      <c r="AB124" s="1057">
        <v>20</v>
      </c>
      <c r="AC124" s="1056">
        <v>21</v>
      </c>
      <c r="AD124" s="1055">
        <v>2.7879999999999998</v>
      </c>
      <c r="AE124" s="1137">
        <f t="shared" si="49"/>
        <v>4.6280799999999997</v>
      </c>
      <c r="AF124" s="1136">
        <v>6.54</v>
      </c>
      <c r="AG124" s="1052">
        <f t="shared" si="50"/>
        <v>2.3457675753228124</v>
      </c>
      <c r="AH124" s="1049"/>
      <c r="AI124" s="1051">
        <v>1.66</v>
      </c>
      <c r="AJ124" s="1049"/>
      <c r="AK124" s="1050">
        <f t="shared" si="51"/>
        <v>2.3976799999999994</v>
      </c>
      <c r="AL124" s="1049"/>
      <c r="AM124" s="1058"/>
      <c r="AN124" s="1057">
        <v>20</v>
      </c>
      <c r="AO124" s="1056">
        <v>21</v>
      </c>
      <c r="AP124" s="1055">
        <v>0.34</v>
      </c>
      <c r="AQ124" s="1745">
        <f t="shared" si="52"/>
        <v>0</v>
      </c>
      <c r="AR124" s="1737">
        <v>0.67</v>
      </c>
      <c r="AS124" s="1052">
        <f t="shared" si="53"/>
        <v>1.9705882352941175</v>
      </c>
      <c r="AT124" s="1049"/>
      <c r="AU124" s="1051"/>
      <c r="AV124" s="1049"/>
      <c r="AW124" s="1058"/>
      <c r="AX124" s="1057">
        <v>20</v>
      </c>
      <c r="AY124" s="1056">
        <v>21</v>
      </c>
      <c r="AZ124" s="1055">
        <v>0.26</v>
      </c>
      <c r="BA124" s="1736">
        <v>0.59</v>
      </c>
      <c r="BB124" s="1737">
        <f t="shared" si="54"/>
        <v>2.2692307692307692</v>
      </c>
      <c r="BC124" s="1049"/>
      <c r="BD124" s="1051"/>
      <c r="BE124" s="1049"/>
      <c r="BF124" s="1058"/>
      <c r="BG124" s="1057">
        <v>20</v>
      </c>
      <c r="BH124" s="1056">
        <v>21</v>
      </c>
      <c r="BI124" s="1055">
        <v>0.3</v>
      </c>
      <c r="BJ124" s="1736" t="s">
        <v>1423</v>
      </c>
      <c r="BK124" s="1049"/>
      <c r="BL124" s="1058"/>
      <c r="BM124" s="1057">
        <v>20</v>
      </c>
      <c r="BN124" s="1056">
        <v>21</v>
      </c>
      <c r="BO124" s="1055">
        <v>0.35</v>
      </c>
      <c r="BP124" s="1055">
        <v>0.02</v>
      </c>
      <c r="BQ124" s="1049"/>
    </row>
    <row r="125" spans="1:69" ht="14.4">
      <c r="A125" s="1049"/>
      <c r="B125" s="1060"/>
      <c r="C125" s="1057">
        <v>21</v>
      </c>
      <c r="D125" s="1056">
        <v>22</v>
      </c>
      <c r="E125" s="1063">
        <v>0.49</v>
      </c>
      <c r="F125" s="1062">
        <v>1.42</v>
      </c>
      <c r="G125" s="1061">
        <f t="shared" si="44"/>
        <v>2.8979591836734695</v>
      </c>
      <c r="H125" s="1049"/>
      <c r="I125" s="1060"/>
      <c r="J125" s="1057">
        <v>21</v>
      </c>
      <c r="K125" s="1056">
        <v>22</v>
      </c>
      <c r="L125" s="1055">
        <v>0.33900000000000002</v>
      </c>
      <c r="M125" s="1059">
        <v>0.67</v>
      </c>
      <c r="N125" s="1052">
        <f t="shared" si="45"/>
        <v>1.9764011799410028</v>
      </c>
      <c r="O125" s="1049"/>
      <c r="P125" s="1058"/>
      <c r="Q125" s="1057">
        <v>21</v>
      </c>
      <c r="R125" s="1056">
        <v>22</v>
      </c>
      <c r="S125" s="1055">
        <v>1.06</v>
      </c>
      <c r="T125" s="1054">
        <f t="shared" si="46"/>
        <v>3.5615999999999999</v>
      </c>
      <c r="U125" s="1136">
        <v>4.53</v>
      </c>
      <c r="V125" s="1052">
        <f t="shared" si="47"/>
        <v>4.2735849056603774</v>
      </c>
      <c r="W125" s="1049"/>
      <c r="X125" s="1051">
        <v>3.36</v>
      </c>
      <c r="Y125" s="1049"/>
      <c r="Z125" s="1050">
        <f t="shared" si="48"/>
        <v>2.7135999999999996</v>
      </c>
      <c r="AA125" s="1058"/>
      <c r="AB125" s="1057">
        <v>21</v>
      </c>
      <c r="AC125" s="1056">
        <v>22</v>
      </c>
      <c r="AD125" s="1055">
        <v>2.6459999999999999</v>
      </c>
      <c r="AE125" s="1137">
        <f t="shared" si="49"/>
        <v>4.1013000000000002</v>
      </c>
      <c r="AF125" s="1136">
        <v>5.92</v>
      </c>
      <c r="AG125" s="1052">
        <f t="shared" si="50"/>
        <v>2.2373393801965231</v>
      </c>
      <c r="AH125" s="1049"/>
      <c r="AI125" s="1051">
        <v>1.55</v>
      </c>
      <c r="AJ125" s="1049"/>
      <c r="AK125" s="1050">
        <f t="shared" si="51"/>
        <v>1.9844999999999999</v>
      </c>
      <c r="AL125" s="1049"/>
      <c r="AM125" s="1058"/>
      <c r="AN125" s="1057">
        <v>21</v>
      </c>
      <c r="AO125" s="1056">
        <v>22</v>
      </c>
      <c r="AP125" s="1055">
        <v>0.38</v>
      </c>
      <c r="AQ125" s="1745">
        <f t="shared" si="52"/>
        <v>0</v>
      </c>
      <c r="AR125" s="1737">
        <v>0.74</v>
      </c>
      <c r="AS125" s="1052">
        <f t="shared" si="53"/>
        <v>1.9473684210526316</v>
      </c>
      <c r="AT125" s="1049"/>
      <c r="AU125" s="1051"/>
      <c r="AV125" s="1049"/>
      <c r="AW125" s="1058"/>
      <c r="AX125" s="1057">
        <v>21</v>
      </c>
      <c r="AY125" s="1056">
        <v>22</v>
      </c>
      <c r="AZ125" s="1055">
        <v>0.21</v>
      </c>
      <c r="BA125" s="1736">
        <v>0.47</v>
      </c>
      <c r="BB125" s="1737">
        <f t="shared" si="54"/>
        <v>2.2380952380952381</v>
      </c>
      <c r="BC125" s="1049"/>
      <c r="BD125" s="1051"/>
      <c r="BE125" s="1049"/>
      <c r="BF125" s="1058"/>
      <c r="BG125" s="1057">
        <v>21</v>
      </c>
      <c r="BH125" s="1056">
        <v>22</v>
      </c>
      <c r="BI125" s="1055">
        <v>0.3</v>
      </c>
      <c r="BJ125" s="1736" t="s">
        <v>1424</v>
      </c>
      <c r="BK125" s="1049"/>
      <c r="BL125" s="1058"/>
      <c r="BM125" s="1057">
        <v>21</v>
      </c>
      <c r="BN125" s="1056">
        <v>22</v>
      </c>
      <c r="BO125" s="1055">
        <v>0.32</v>
      </c>
      <c r="BP125" s="1055">
        <v>0.03</v>
      </c>
      <c r="BQ125" s="1049"/>
    </row>
    <row r="126" spans="1:69" ht="14.4">
      <c r="A126" s="1049"/>
      <c r="B126" s="1060"/>
      <c r="C126" s="1057">
        <v>22</v>
      </c>
      <c r="D126" s="1056">
        <v>23</v>
      </c>
      <c r="E126" s="1063">
        <v>0.4</v>
      </c>
      <c r="F126" s="1062">
        <v>1.1499999999999999</v>
      </c>
      <c r="G126" s="1061">
        <f t="shared" si="44"/>
        <v>2.8749999999999996</v>
      </c>
      <c r="H126" s="1049"/>
      <c r="I126" s="1060"/>
      <c r="J126" s="1057">
        <v>22</v>
      </c>
      <c r="K126" s="1056">
        <v>23</v>
      </c>
      <c r="L126" s="1055">
        <v>0.35199999999999998</v>
      </c>
      <c r="M126" s="1059">
        <v>0.69</v>
      </c>
      <c r="N126" s="1052">
        <f t="shared" si="45"/>
        <v>1.9602272727272727</v>
      </c>
      <c r="O126" s="1049"/>
      <c r="P126" s="1058"/>
      <c r="Q126" s="1057">
        <v>22</v>
      </c>
      <c r="R126" s="1056">
        <v>23</v>
      </c>
      <c r="S126" s="1055">
        <v>1.157</v>
      </c>
      <c r="T126" s="1054">
        <f t="shared" si="46"/>
        <v>3.4941400000000002</v>
      </c>
      <c r="U126" s="1136">
        <v>4.55</v>
      </c>
      <c r="V126" s="1052">
        <f t="shared" si="47"/>
        <v>3.9325842696629212</v>
      </c>
      <c r="W126" s="1049"/>
      <c r="X126" s="1051">
        <v>3.02</v>
      </c>
      <c r="Y126" s="1049"/>
      <c r="Z126" s="1050">
        <f t="shared" si="48"/>
        <v>2.5685399999999996</v>
      </c>
      <c r="AA126" s="1058"/>
      <c r="AB126" s="1057">
        <v>22</v>
      </c>
      <c r="AC126" s="1056">
        <v>23</v>
      </c>
      <c r="AD126" s="1055">
        <v>2.5030000000000001</v>
      </c>
      <c r="AE126" s="1137">
        <f t="shared" si="49"/>
        <v>3.70444</v>
      </c>
      <c r="AF126" s="1136">
        <v>5.42</v>
      </c>
      <c r="AG126" s="1052">
        <f t="shared" si="50"/>
        <v>2.1654015181781863</v>
      </c>
      <c r="AH126" s="1049"/>
      <c r="AI126" s="1051">
        <v>1.48</v>
      </c>
      <c r="AJ126" s="1049"/>
      <c r="AK126" s="1050">
        <f t="shared" si="51"/>
        <v>1.70204</v>
      </c>
      <c r="AL126" s="1049"/>
      <c r="AM126" s="1058"/>
      <c r="AN126" s="1057">
        <v>22</v>
      </c>
      <c r="AO126" s="1056">
        <v>23</v>
      </c>
      <c r="AP126" s="1055">
        <v>0.13</v>
      </c>
      <c r="AQ126" s="1745">
        <f t="shared" si="52"/>
        <v>0</v>
      </c>
      <c r="AR126" s="1737">
        <v>0.26</v>
      </c>
      <c r="AS126" s="1052">
        <f t="shared" si="53"/>
        <v>2</v>
      </c>
      <c r="AT126" s="1049"/>
      <c r="AU126" s="1051"/>
      <c r="AV126" s="1049"/>
      <c r="AW126" s="1058"/>
      <c r="AX126" s="1057">
        <v>22</v>
      </c>
      <c r="AY126" s="1056">
        <v>23</v>
      </c>
      <c r="AZ126" s="1055">
        <v>0.13</v>
      </c>
      <c r="BA126" s="1736">
        <v>0.2</v>
      </c>
      <c r="BB126" s="1737">
        <f t="shared" si="54"/>
        <v>1.5384615384615385</v>
      </c>
      <c r="BC126" s="1049"/>
      <c r="BD126" s="1051"/>
      <c r="BE126" s="1049"/>
      <c r="BF126" s="1058"/>
      <c r="BG126" s="1057">
        <v>22</v>
      </c>
      <c r="BH126" s="1056">
        <v>23</v>
      </c>
      <c r="BI126" s="1055">
        <v>0.2</v>
      </c>
      <c r="BJ126" s="1736" t="s">
        <v>1412</v>
      </c>
      <c r="BK126" s="1049"/>
      <c r="BL126" s="1058"/>
      <c r="BM126" s="1057">
        <v>22</v>
      </c>
      <c r="BN126" s="1056">
        <v>23</v>
      </c>
      <c r="BO126" s="1055">
        <v>0.37</v>
      </c>
      <c r="BP126" s="1055">
        <v>0.08</v>
      </c>
      <c r="BQ126" s="1049"/>
    </row>
    <row r="127" spans="1:69" ht="14.4">
      <c r="A127" s="1049"/>
      <c r="B127" s="1060"/>
      <c r="C127" s="1057">
        <v>23</v>
      </c>
      <c r="D127" s="1056">
        <v>24</v>
      </c>
      <c r="E127" s="1063">
        <v>0.27</v>
      </c>
      <c r="F127" s="1062">
        <v>0.77</v>
      </c>
      <c r="G127" s="1061">
        <f t="shared" si="44"/>
        <v>2.8518518518518516</v>
      </c>
      <c r="H127" s="1049"/>
      <c r="I127" s="1060"/>
      <c r="J127" s="1057">
        <v>23</v>
      </c>
      <c r="K127" s="1056">
        <v>24</v>
      </c>
      <c r="L127" s="1055">
        <v>0.26</v>
      </c>
      <c r="M127" s="1059">
        <v>0.5</v>
      </c>
      <c r="N127" s="1052">
        <f t="shared" si="45"/>
        <v>1.9230769230769229</v>
      </c>
      <c r="O127" s="1049"/>
      <c r="P127" s="1058"/>
      <c r="Q127" s="1057">
        <v>23</v>
      </c>
      <c r="R127" s="1056">
        <v>24</v>
      </c>
      <c r="S127" s="1055">
        <v>1.0640000000000001</v>
      </c>
      <c r="T127" s="1054">
        <f t="shared" si="46"/>
        <v>3.1707200000000002</v>
      </c>
      <c r="U127" s="1136">
        <v>4.1500000000000004</v>
      </c>
      <c r="V127" s="1052">
        <f t="shared" si="47"/>
        <v>3.9003759398496243</v>
      </c>
      <c r="W127" s="1049"/>
      <c r="X127" s="1051">
        <v>2.98</v>
      </c>
      <c r="Y127" s="1049"/>
      <c r="Z127" s="1050">
        <f t="shared" si="48"/>
        <v>2.3195199999999998</v>
      </c>
      <c r="AA127" s="1058"/>
      <c r="AB127" s="1057">
        <v>23</v>
      </c>
      <c r="AC127" s="1056">
        <v>24</v>
      </c>
      <c r="AD127" s="1055">
        <v>2.3559999999999999</v>
      </c>
      <c r="AE127" s="1137">
        <f t="shared" si="49"/>
        <v>3.08636</v>
      </c>
      <c r="AF127" s="1136">
        <v>4.72</v>
      </c>
      <c r="AG127" s="1052">
        <f t="shared" si="50"/>
        <v>2.0033955857385397</v>
      </c>
      <c r="AH127" s="1049"/>
      <c r="AI127" s="1051">
        <v>1.31</v>
      </c>
      <c r="AJ127" s="1049"/>
      <c r="AK127" s="1050">
        <f t="shared" si="51"/>
        <v>1.20156</v>
      </c>
      <c r="AL127" s="1049"/>
      <c r="AM127" s="1058"/>
      <c r="AN127" s="1057">
        <v>23</v>
      </c>
      <c r="AO127" s="1056">
        <v>24</v>
      </c>
      <c r="AP127" s="1055">
        <v>0.11</v>
      </c>
      <c r="AQ127" s="1745">
        <f t="shared" si="52"/>
        <v>0</v>
      </c>
      <c r="AR127" s="1737">
        <v>0.22</v>
      </c>
      <c r="AS127" s="1052">
        <f t="shared" si="53"/>
        <v>2</v>
      </c>
      <c r="AT127" s="1049"/>
      <c r="AU127" s="1051"/>
      <c r="AV127" s="1049"/>
      <c r="AW127" s="1058"/>
      <c r="AX127" s="1057">
        <v>23</v>
      </c>
      <c r="AY127" s="1056">
        <v>24</v>
      </c>
      <c r="AZ127" s="1055">
        <v>0.12</v>
      </c>
      <c r="BA127" s="1736">
        <v>0.24</v>
      </c>
      <c r="BB127" s="1737">
        <f t="shared" si="54"/>
        <v>2</v>
      </c>
      <c r="BC127" s="1049"/>
      <c r="BD127" s="1051"/>
      <c r="BE127" s="1049"/>
      <c r="BF127" s="1058"/>
      <c r="BG127" s="1057">
        <v>23</v>
      </c>
      <c r="BH127" s="1056">
        <v>24</v>
      </c>
      <c r="BI127" s="1055">
        <v>0.13</v>
      </c>
      <c r="BJ127" s="1736" t="s">
        <v>1387</v>
      </c>
      <c r="BK127" s="1049"/>
      <c r="BL127" s="1058"/>
      <c r="BM127" s="1057">
        <v>23</v>
      </c>
      <c r="BN127" s="1056">
        <v>24</v>
      </c>
      <c r="BO127" s="1055">
        <v>0.19</v>
      </c>
      <c r="BP127" s="1055">
        <v>0.03</v>
      </c>
      <c r="BQ127" s="1049"/>
    </row>
    <row r="128" spans="1:69" ht="14.4">
      <c r="A128" s="1036"/>
      <c r="B128" s="1044"/>
      <c r="C128" s="1135"/>
      <c r="D128" s="1135"/>
      <c r="E128" s="1134"/>
      <c r="F128" s="1133"/>
      <c r="G128" s="1132"/>
      <c r="H128" s="1044"/>
      <c r="I128" s="1044" t="s">
        <v>1139</v>
      </c>
      <c r="J128" s="1046"/>
      <c r="K128" s="1046"/>
      <c r="L128" s="1129">
        <f>AVERAGE(L129:L152)</f>
        <v>0.44833333333333342</v>
      </c>
      <c r="M128" s="1131">
        <f>AVERAGE(M129:M152)</f>
        <v>0.9770833333333333</v>
      </c>
      <c r="N128" s="1039">
        <f>AVERAGE(N129:N152)</f>
        <v>2.084570445342472</v>
      </c>
      <c r="O128" s="1044"/>
      <c r="P128" s="1130" t="s">
        <v>1137</v>
      </c>
      <c r="Q128" s="1046"/>
      <c r="R128" s="1046"/>
      <c r="S128" s="1129">
        <f>AVERAGE(S129:S152)</f>
        <v>1.0704166666666666</v>
      </c>
      <c r="T128" s="1128">
        <f>SUM(T129:T152)</f>
        <v>101.16329999999999</v>
      </c>
      <c r="U128" s="1040">
        <f>AVERAGE(U129:U152)</f>
        <v>5.1879166666666672</v>
      </c>
      <c r="V128" s="1039">
        <f>AVERAGE(V129:V152)</f>
        <v>4.7554526522447347</v>
      </c>
      <c r="W128" s="1036"/>
      <c r="X128" s="1038">
        <f>AVERAGE(X129:X152)</f>
        <v>3.8487500000000008</v>
      </c>
      <c r="Y128" s="1036"/>
      <c r="Z128" s="1127">
        <f>SUM(Z129:Z152)</f>
        <v>80.6113</v>
      </c>
      <c r="AA128" s="1130" t="s">
        <v>1130</v>
      </c>
      <c r="AB128" s="1046"/>
      <c r="AC128" s="1046"/>
      <c r="AD128" s="1129">
        <f>AVERAGE(AD129:AD152)</f>
        <v>3.0724999999999998</v>
      </c>
      <c r="AE128" s="1128">
        <f>SUM(AE129:AE152)</f>
        <v>93.088900000000024</v>
      </c>
      <c r="AF128" s="1040">
        <f>AVERAGE(AF129:AF152)</f>
        <v>9.8849999999999998</v>
      </c>
      <c r="AG128" s="1039">
        <f>AVERAGE(AG129:AG152)</f>
        <v>3.133426769560367</v>
      </c>
      <c r="AH128" s="1036"/>
      <c r="AI128" s="1038">
        <f>AVERAGE(AI129:AI152)</f>
        <v>1.2183333333333333</v>
      </c>
      <c r="AJ128" s="1036"/>
      <c r="AK128" s="1127">
        <f>SUM(AK129:AK152)</f>
        <v>34.096899999999998</v>
      </c>
      <c r="AL128" s="1036"/>
      <c r="AM128" s="1130"/>
      <c r="AN128" s="1046"/>
      <c r="AO128" s="1046"/>
      <c r="AP128" s="1129">
        <f>AVERAGE(AP129:AP152)</f>
        <v>0.24416666666666667</v>
      </c>
      <c r="AQ128" s="1734">
        <f>SUM(AQ129:AQ152)</f>
        <v>0</v>
      </c>
      <c r="AR128" s="1735">
        <f>AVERAGE(AR129:AR152)</f>
        <v>0.67666666666666675</v>
      </c>
      <c r="AS128" s="1039">
        <f>AVERAGE(AS129:AS152)</f>
        <v>2.5251133020898044</v>
      </c>
      <c r="AT128" s="1036"/>
      <c r="AU128" s="1038" t="e">
        <f>AVERAGE(AU129:AU152)</f>
        <v>#DIV/0!</v>
      </c>
      <c r="AV128" s="1036"/>
      <c r="AW128" s="1130" t="s">
        <v>1138</v>
      </c>
      <c r="AX128" s="1046"/>
      <c r="AY128" s="1046"/>
      <c r="AZ128" s="1129">
        <f>AVERAGE(AZ129:AZ152)</f>
        <v>0.2720833333333334</v>
      </c>
      <c r="BA128" s="1045">
        <f>AVERAGE(BA129:BA152)</f>
        <v>0.67125000000000001</v>
      </c>
      <c r="BB128" s="1039">
        <f>AVERAGE(BB129:BB152)</f>
        <v>2.3236001080640185</v>
      </c>
      <c r="BC128" s="1036"/>
      <c r="BD128" s="1038" t="e">
        <f>AVERAGE(BD129:BD152)</f>
        <v>#DIV/0!</v>
      </c>
      <c r="BE128" s="1036"/>
      <c r="BF128" s="1130" t="s">
        <v>1136</v>
      </c>
      <c r="BG128" s="2756">
        <f>BF129</f>
        <v>45022</v>
      </c>
      <c r="BH128" s="2756"/>
      <c r="BI128" s="1897">
        <f>SUM(BI129:BI152)</f>
        <v>7.9400000000000013</v>
      </c>
      <c r="BJ128" s="1898">
        <f>SUM(BJ129:BJ152)</f>
        <v>0</v>
      </c>
      <c r="BK128" s="1036"/>
      <c r="BL128" s="1130" t="s">
        <v>1128</v>
      </c>
      <c r="BM128" s="1046"/>
      <c r="BN128" s="1046"/>
      <c r="BO128" s="1129">
        <f>AVERAGE(BO129:BO152)</f>
        <v>0.26291666666666663</v>
      </c>
      <c r="BP128" s="1129">
        <f>AVERAGE(BP129:BP152)</f>
        <v>8.5833333333333331E-2</v>
      </c>
      <c r="BQ128" s="1036"/>
    </row>
    <row r="129" spans="1:69" ht="14.4">
      <c r="A129" s="1049"/>
      <c r="B129" s="1126">
        <v>44840</v>
      </c>
      <c r="C129" s="1057">
        <v>0</v>
      </c>
      <c r="D129" s="1056">
        <v>1</v>
      </c>
      <c r="E129" s="1063">
        <v>0.21</v>
      </c>
      <c r="F129" s="1062">
        <v>0.6</v>
      </c>
      <c r="G129" s="1061">
        <f t="shared" ref="G129:G152" si="55">F129/E129</f>
        <v>2.8571428571428572</v>
      </c>
      <c r="H129" s="1049"/>
      <c r="I129" s="1126">
        <v>44871</v>
      </c>
      <c r="J129" s="1057">
        <v>0</v>
      </c>
      <c r="K129" s="1056">
        <v>1</v>
      </c>
      <c r="L129" s="1055">
        <v>0.22600000000000001</v>
      </c>
      <c r="M129" s="1059">
        <v>0.43</v>
      </c>
      <c r="N129" s="1052">
        <f t="shared" ref="N129:N152" si="56">M129/L129</f>
        <v>1.902654867256637</v>
      </c>
      <c r="O129" s="1049"/>
      <c r="P129" s="1125">
        <v>44901</v>
      </c>
      <c r="Q129" s="1057">
        <v>0</v>
      </c>
      <c r="R129" s="1056">
        <v>1</v>
      </c>
      <c r="S129" s="1055">
        <v>0.88</v>
      </c>
      <c r="T129" s="1054">
        <f t="shared" ref="T129:T152" si="57">S129*X129</f>
        <v>2.6663999999999999</v>
      </c>
      <c r="U129" s="1136">
        <v>3.45</v>
      </c>
      <c r="V129" s="1052">
        <f t="shared" ref="V129:V152" si="58">U129/S129</f>
        <v>3.9204545454545459</v>
      </c>
      <c r="W129" s="1049"/>
      <c r="X129" s="1051">
        <v>3.03</v>
      </c>
      <c r="Y129" s="1049"/>
      <c r="Z129" s="1050">
        <f t="shared" ref="Z129:Z152" si="59">S129*(X129-0.8)</f>
        <v>1.9623999999999997</v>
      </c>
      <c r="AA129" s="1125">
        <v>44932</v>
      </c>
      <c r="AB129" s="1057">
        <v>0</v>
      </c>
      <c r="AC129" s="1056">
        <v>1</v>
      </c>
      <c r="AD129" s="1055">
        <v>1.45</v>
      </c>
      <c r="AE129" s="1137">
        <f t="shared" ref="AE129:AE152" si="60">AD129*AI129</f>
        <v>1.6384999999999998</v>
      </c>
      <c r="AF129" s="1136">
        <v>4.13</v>
      </c>
      <c r="AG129" s="1052">
        <f t="shared" ref="AG129:AG152" si="61">AF129/AD129</f>
        <v>2.8482758620689657</v>
      </c>
      <c r="AH129" s="1049"/>
      <c r="AI129" s="1051">
        <v>1.1299999999999999</v>
      </c>
      <c r="AJ129" s="1049"/>
      <c r="AK129" s="1050">
        <f t="shared" ref="AK129:AK152" si="62">AD129*(AI129-0.8)</f>
        <v>0.47849999999999976</v>
      </c>
      <c r="AL129" s="1049"/>
      <c r="AM129" s="1125">
        <v>44963</v>
      </c>
      <c r="AN129" s="1057">
        <v>0</v>
      </c>
      <c r="AO129" s="1056">
        <v>1</v>
      </c>
      <c r="AP129" s="1055">
        <v>0.08</v>
      </c>
      <c r="AQ129" s="1745">
        <f t="shared" ref="AQ129:AQ152" si="63">AP129*AU129</f>
        <v>0</v>
      </c>
      <c r="AR129" s="1737">
        <v>0.17</v>
      </c>
      <c r="AS129" s="1052">
        <f t="shared" ref="AS129:AS152" si="64">AR129/AP129</f>
        <v>2.125</v>
      </c>
      <c r="AT129" s="1049"/>
      <c r="AU129" s="1051"/>
      <c r="AV129" s="1049"/>
      <c r="AW129" s="1125">
        <v>44991</v>
      </c>
      <c r="AX129" s="1057">
        <v>0</v>
      </c>
      <c r="AY129" s="1056">
        <v>1</v>
      </c>
      <c r="AZ129" s="1055">
        <v>0.08</v>
      </c>
      <c r="BA129" s="1736">
        <v>0.17</v>
      </c>
      <c r="BB129" s="1737">
        <f t="shared" ref="BB129:BB152" si="65">BA129/AZ129</f>
        <v>2.125</v>
      </c>
      <c r="BC129" s="1049"/>
      <c r="BD129" s="1051"/>
      <c r="BE129" s="1049"/>
      <c r="BF129" s="1125">
        <v>45022</v>
      </c>
      <c r="BG129" s="1057">
        <v>0</v>
      </c>
      <c r="BH129" s="1056">
        <v>1</v>
      </c>
      <c r="BI129" s="1055">
        <v>0.08</v>
      </c>
      <c r="BJ129" s="1736" t="s">
        <v>1381</v>
      </c>
      <c r="BK129" s="1049"/>
      <c r="BL129" s="1125">
        <v>45052</v>
      </c>
      <c r="BM129" s="1057">
        <v>0</v>
      </c>
      <c r="BN129" s="1056">
        <v>1</v>
      </c>
      <c r="BO129" s="1055">
        <v>0.13</v>
      </c>
      <c r="BP129" s="1055">
        <v>0.02</v>
      </c>
      <c r="BQ129" s="1049"/>
    </row>
    <row r="130" spans="1:69" ht="14.4">
      <c r="A130" s="1049"/>
      <c r="B130" s="1124"/>
      <c r="C130" s="1057">
        <v>1</v>
      </c>
      <c r="D130" s="1056">
        <v>2</v>
      </c>
      <c r="E130" s="1063">
        <v>0.71</v>
      </c>
      <c r="F130" s="1062">
        <v>2.0499999999999998</v>
      </c>
      <c r="G130" s="1061">
        <f t="shared" si="55"/>
        <v>2.8873239436619715</v>
      </c>
      <c r="H130" s="1049"/>
      <c r="I130" s="1124"/>
      <c r="J130" s="1057">
        <v>1</v>
      </c>
      <c r="K130" s="1056">
        <v>2</v>
      </c>
      <c r="L130" s="1055">
        <v>0.13100000000000001</v>
      </c>
      <c r="M130" s="1059">
        <v>0.25</v>
      </c>
      <c r="N130" s="1052">
        <f t="shared" si="56"/>
        <v>1.9083969465648853</v>
      </c>
      <c r="O130" s="1049"/>
      <c r="P130" s="1123"/>
      <c r="Q130" s="1057">
        <v>1</v>
      </c>
      <c r="R130" s="1056">
        <v>2</v>
      </c>
      <c r="S130" s="1055">
        <v>0.51</v>
      </c>
      <c r="T130" s="1054">
        <f t="shared" si="57"/>
        <v>1.4483999999999999</v>
      </c>
      <c r="U130" s="1136">
        <v>1.9</v>
      </c>
      <c r="V130" s="1052">
        <f t="shared" si="58"/>
        <v>3.725490196078431</v>
      </c>
      <c r="W130" s="1049"/>
      <c r="X130" s="1051">
        <v>2.84</v>
      </c>
      <c r="Y130" s="1049"/>
      <c r="Z130" s="1050">
        <f t="shared" si="59"/>
        <v>1.0404</v>
      </c>
      <c r="AA130" s="1123"/>
      <c r="AB130" s="1057">
        <v>1</v>
      </c>
      <c r="AC130" s="1056">
        <v>2</v>
      </c>
      <c r="AD130" s="1055">
        <v>1.62</v>
      </c>
      <c r="AE130" s="1137">
        <f t="shared" si="60"/>
        <v>1.7334000000000003</v>
      </c>
      <c r="AF130" s="1136">
        <v>4.47</v>
      </c>
      <c r="AG130" s="1052">
        <f t="shared" si="61"/>
        <v>2.7592592592592591</v>
      </c>
      <c r="AH130" s="1049"/>
      <c r="AI130" s="1051">
        <v>1.07</v>
      </c>
      <c r="AJ130" s="1049"/>
      <c r="AK130" s="1050">
        <f t="shared" si="62"/>
        <v>0.43740000000000007</v>
      </c>
      <c r="AL130" s="1049"/>
      <c r="AM130" s="1123"/>
      <c r="AN130" s="1057">
        <v>1</v>
      </c>
      <c r="AO130" s="1056">
        <v>2</v>
      </c>
      <c r="AP130" s="1055">
        <v>0.11</v>
      </c>
      <c r="AQ130" s="1745">
        <f t="shared" si="63"/>
        <v>0</v>
      </c>
      <c r="AR130" s="1737">
        <v>0.24</v>
      </c>
      <c r="AS130" s="1052">
        <f t="shared" si="64"/>
        <v>2.1818181818181817</v>
      </c>
      <c r="AT130" s="1049"/>
      <c r="AU130" s="1051"/>
      <c r="AV130" s="1049"/>
      <c r="AW130" s="1123"/>
      <c r="AX130" s="1057">
        <v>1</v>
      </c>
      <c r="AY130" s="1056">
        <v>2</v>
      </c>
      <c r="AZ130" s="1055">
        <v>0.1</v>
      </c>
      <c r="BA130" s="1736">
        <v>0.2</v>
      </c>
      <c r="BB130" s="1737">
        <f t="shared" si="65"/>
        <v>2</v>
      </c>
      <c r="BC130" s="1049"/>
      <c r="BD130" s="1051"/>
      <c r="BE130" s="1049"/>
      <c r="BF130" s="1123"/>
      <c r="BG130" s="1057">
        <v>1</v>
      </c>
      <c r="BH130" s="1056">
        <v>2</v>
      </c>
      <c r="BI130" s="1055">
        <v>0.13</v>
      </c>
      <c r="BJ130" s="1736" t="s">
        <v>1392</v>
      </c>
      <c r="BK130" s="1049"/>
      <c r="BL130" s="1123"/>
      <c r="BM130" s="1057">
        <v>1</v>
      </c>
      <c r="BN130" s="1056">
        <v>2</v>
      </c>
      <c r="BO130" s="1055">
        <v>0.06</v>
      </c>
      <c r="BP130" s="1055">
        <v>0.08</v>
      </c>
      <c r="BQ130" s="1049"/>
    </row>
    <row r="131" spans="1:69" ht="14.4">
      <c r="A131" s="1049"/>
      <c r="B131" s="1122">
        <f>SUM(E129:E152)</f>
        <v>10.209999999999999</v>
      </c>
      <c r="C131" s="1057">
        <v>2</v>
      </c>
      <c r="D131" s="1056">
        <v>3</v>
      </c>
      <c r="E131" s="1063">
        <v>0.19</v>
      </c>
      <c r="F131" s="1062">
        <v>0.53</v>
      </c>
      <c r="G131" s="1061">
        <f t="shared" si="55"/>
        <v>2.7894736842105265</v>
      </c>
      <c r="H131" s="1049"/>
      <c r="I131" s="1122">
        <f>SUM(L129:L152)</f>
        <v>10.760000000000002</v>
      </c>
      <c r="J131" s="1057">
        <v>2</v>
      </c>
      <c r="K131" s="1056">
        <v>3</v>
      </c>
      <c r="L131" s="1055">
        <v>0.66700000000000004</v>
      </c>
      <c r="M131" s="1059">
        <v>1.25</v>
      </c>
      <c r="N131" s="1052">
        <f t="shared" si="56"/>
        <v>1.8740629685157419</v>
      </c>
      <c r="O131" s="1049"/>
      <c r="P131" s="1121">
        <f>SUM(S129:S152)</f>
        <v>25.689999999999998</v>
      </c>
      <c r="Q131" s="1057">
        <v>2</v>
      </c>
      <c r="R131" s="1056">
        <v>3</v>
      </c>
      <c r="S131" s="1055">
        <v>0.45</v>
      </c>
      <c r="T131" s="1054">
        <f t="shared" si="57"/>
        <v>1.2689999999999999</v>
      </c>
      <c r="U131" s="1136">
        <v>1.67</v>
      </c>
      <c r="V131" s="1052">
        <f t="shared" si="58"/>
        <v>3.7111111111111108</v>
      </c>
      <c r="W131" s="1049"/>
      <c r="X131" s="1051">
        <v>2.82</v>
      </c>
      <c r="Y131" s="1049"/>
      <c r="Z131" s="1050">
        <f t="shared" si="59"/>
        <v>0.90899999999999981</v>
      </c>
      <c r="AA131" s="1121">
        <f>SUM(AD129:AD152)</f>
        <v>73.739999999999995</v>
      </c>
      <c r="AB131" s="1057">
        <v>2</v>
      </c>
      <c r="AC131" s="1056">
        <v>3</v>
      </c>
      <c r="AD131" s="1055">
        <v>1.39</v>
      </c>
      <c r="AE131" s="1137">
        <f t="shared" si="60"/>
        <v>1.4317</v>
      </c>
      <c r="AF131" s="1136">
        <v>3.73</v>
      </c>
      <c r="AG131" s="1052">
        <f t="shared" si="61"/>
        <v>2.6834532374100721</v>
      </c>
      <c r="AH131" s="1049"/>
      <c r="AI131" s="1051">
        <v>1.03</v>
      </c>
      <c r="AJ131" s="1049"/>
      <c r="AK131" s="1050">
        <f t="shared" si="62"/>
        <v>0.31969999999999993</v>
      </c>
      <c r="AL131" s="1049"/>
      <c r="AM131" s="1121">
        <f>SUM(AP129:AP152)</f>
        <v>5.86</v>
      </c>
      <c r="AN131" s="1057">
        <v>2</v>
      </c>
      <c r="AO131" s="1056">
        <v>3</v>
      </c>
      <c r="AP131" s="1055">
        <v>0.12</v>
      </c>
      <c r="AQ131" s="1745">
        <f t="shared" si="63"/>
        <v>0</v>
      </c>
      <c r="AR131" s="1737">
        <v>0.26</v>
      </c>
      <c r="AS131" s="1052">
        <f t="shared" si="64"/>
        <v>2.166666666666667</v>
      </c>
      <c r="AT131" s="1049"/>
      <c r="AU131" s="1051"/>
      <c r="AV131" s="1049"/>
      <c r="AW131" s="1121">
        <f>SUM(AZ129:AZ152)</f>
        <v>6.5300000000000011</v>
      </c>
      <c r="AX131" s="1057">
        <v>2</v>
      </c>
      <c r="AY131" s="1056">
        <v>3</v>
      </c>
      <c r="AZ131" s="1055">
        <v>0.13</v>
      </c>
      <c r="BA131" s="1736">
        <v>0.25</v>
      </c>
      <c r="BB131" s="1737">
        <f t="shared" si="65"/>
        <v>1.9230769230769229</v>
      </c>
      <c r="BC131" s="1049"/>
      <c r="BD131" s="1051"/>
      <c r="BE131" s="1049"/>
      <c r="BF131" s="1121">
        <f>SUM(BI129:BI152)</f>
        <v>7.9400000000000013</v>
      </c>
      <c r="BG131" s="1057">
        <v>2</v>
      </c>
      <c r="BH131" s="1056">
        <v>3</v>
      </c>
      <c r="BI131" s="1055">
        <v>0.12</v>
      </c>
      <c r="BJ131" s="1736" t="s">
        <v>1405</v>
      </c>
      <c r="BK131" s="1049"/>
      <c r="BL131" s="1121">
        <f>SUM(BO129:BO152)+SUM(BP129:BP152)</f>
        <v>8.3699999999999992</v>
      </c>
      <c r="BM131" s="1057">
        <v>2</v>
      </c>
      <c r="BN131" s="1056">
        <v>3</v>
      </c>
      <c r="BO131" s="1055">
        <v>0.1</v>
      </c>
      <c r="BP131" s="1055">
        <v>0.03</v>
      </c>
      <c r="BQ131" s="1049"/>
    </row>
    <row r="132" spans="1:69" ht="14.4">
      <c r="A132" s="1049"/>
      <c r="B132" s="1120">
        <f>B131/24</f>
        <v>0.42541666666666661</v>
      </c>
      <c r="C132" s="1057">
        <v>3</v>
      </c>
      <c r="D132" s="1056">
        <v>4</v>
      </c>
      <c r="E132" s="1063">
        <v>0.22</v>
      </c>
      <c r="F132" s="1062">
        <v>0.62</v>
      </c>
      <c r="G132" s="1061">
        <f t="shared" si="55"/>
        <v>2.8181818181818183</v>
      </c>
      <c r="H132" s="1049"/>
      <c r="I132" s="1120">
        <f>I131/24</f>
        <v>0.44833333333333342</v>
      </c>
      <c r="J132" s="1057">
        <v>3</v>
      </c>
      <c r="K132" s="1056">
        <v>4</v>
      </c>
      <c r="L132" s="1055">
        <v>0.18099999999999999</v>
      </c>
      <c r="M132" s="1059">
        <v>0.34</v>
      </c>
      <c r="N132" s="1052">
        <f t="shared" si="56"/>
        <v>1.8784530386740332</v>
      </c>
      <c r="O132" s="1049"/>
      <c r="P132" s="1120">
        <f>P131/24</f>
        <v>1.0704166666666666</v>
      </c>
      <c r="Q132" s="1057">
        <v>3</v>
      </c>
      <c r="R132" s="1056">
        <v>4</v>
      </c>
      <c r="S132" s="1055">
        <v>0.39</v>
      </c>
      <c r="T132" s="1054">
        <f t="shared" si="57"/>
        <v>1.1075999999999999</v>
      </c>
      <c r="U132" s="1136">
        <v>1.48</v>
      </c>
      <c r="V132" s="1052">
        <f t="shared" si="58"/>
        <v>3.7948717948717947</v>
      </c>
      <c r="W132" s="1049"/>
      <c r="X132" s="1051">
        <v>2.84</v>
      </c>
      <c r="Y132" s="1049"/>
      <c r="Z132" s="1050">
        <f t="shared" si="59"/>
        <v>0.79560000000000008</v>
      </c>
      <c r="AA132" s="1120">
        <f>AA131/24</f>
        <v>3.0724999999999998</v>
      </c>
      <c r="AB132" s="1057">
        <v>3</v>
      </c>
      <c r="AC132" s="1056">
        <v>4</v>
      </c>
      <c r="AD132" s="1055">
        <v>1.32</v>
      </c>
      <c r="AE132" s="1137">
        <f t="shared" si="60"/>
        <v>1.1880000000000002</v>
      </c>
      <c r="AF132" s="1136">
        <v>3.27</v>
      </c>
      <c r="AG132" s="1052">
        <f t="shared" si="61"/>
        <v>2.4772727272727271</v>
      </c>
      <c r="AH132" s="1049"/>
      <c r="AI132" s="1051">
        <v>0.9</v>
      </c>
      <c r="AJ132" s="1049"/>
      <c r="AK132" s="1050">
        <f t="shared" si="62"/>
        <v>0.13199999999999998</v>
      </c>
      <c r="AL132" s="1049"/>
      <c r="AM132" s="1120">
        <f>AM131/24</f>
        <v>0.24416666666666667</v>
      </c>
      <c r="AN132" s="1057">
        <v>3</v>
      </c>
      <c r="AO132" s="1056">
        <v>4</v>
      </c>
      <c r="AP132" s="1055">
        <v>0.12</v>
      </c>
      <c r="AQ132" s="1745">
        <f t="shared" si="63"/>
        <v>0</v>
      </c>
      <c r="AR132" s="1737">
        <v>0.26</v>
      </c>
      <c r="AS132" s="1052">
        <f t="shared" si="64"/>
        <v>2.166666666666667</v>
      </c>
      <c r="AT132" s="1049"/>
      <c r="AU132" s="1051"/>
      <c r="AV132" s="1049"/>
      <c r="AW132" s="1120">
        <f>AW131/24</f>
        <v>0.2720833333333334</v>
      </c>
      <c r="AX132" s="1057">
        <v>3</v>
      </c>
      <c r="AY132" s="1056">
        <v>4</v>
      </c>
      <c r="AZ132" s="1055">
        <v>0.13</v>
      </c>
      <c r="BA132" s="1736">
        <v>0.25</v>
      </c>
      <c r="BB132" s="1737">
        <f t="shared" si="65"/>
        <v>1.9230769230769229</v>
      </c>
      <c r="BC132" s="1049"/>
      <c r="BD132" s="1051"/>
      <c r="BE132" s="1049"/>
      <c r="BF132" s="1120">
        <f>BF131/24</f>
        <v>0.33083333333333337</v>
      </c>
      <c r="BG132" s="1057">
        <v>3</v>
      </c>
      <c r="BH132" s="1056">
        <v>4</v>
      </c>
      <c r="BI132" s="1055">
        <v>0.08</v>
      </c>
      <c r="BJ132" s="1736" t="s">
        <v>1364</v>
      </c>
      <c r="BK132" s="1049"/>
      <c r="BL132" s="1120">
        <f>BL131/24</f>
        <v>0.34874999999999995</v>
      </c>
      <c r="BM132" s="1057">
        <v>3</v>
      </c>
      <c r="BN132" s="1056">
        <v>4</v>
      </c>
      <c r="BO132" s="1055">
        <v>0.14000000000000001</v>
      </c>
      <c r="BP132" s="1055">
        <v>0.02</v>
      </c>
      <c r="BQ132" s="1049"/>
    </row>
    <row r="133" spans="1:69" ht="14.4">
      <c r="A133" s="1049"/>
      <c r="B133" s="1119"/>
      <c r="C133" s="1057">
        <v>4</v>
      </c>
      <c r="D133" s="1056">
        <v>5</v>
      </c>
      <c r="E133" s="1063">
        <v>0.21</v>
      </c>
      <c r="F133" s="1062">
        <v>0.62</v>
      </c>
      <c r="G133" s="1061">
        <f t="shared" si="55"/>
        <v>2.9523809523809526</v>
      </c>
      <c r="H133" s="1049"/>
      <c r="I133" s="1119"/>
      <c r="J133" s="1057">
        <v>4</v>
      </c>
      <c r="K133" s="1056">
        <v>5</v>
      </c>
      <c r="L133" s="1055">
        <v>0.22700000000000001</v>
      </c>
      <c r="M133" s="1059">
        <v>0.43</v>
      </c>
      <c r="N133" s="1052">
        <f t="shared" si="56"/>
        <v>1.8942731277533038</v>
      </c>
      <c r="O133" s="1049"/>
      <c r="P133" s="1118"/>
      <c r="Q133" s="1057">
        <v>4</v>
      </c>
      <c r="R133" s="1056">
        <v>5</v>
      </c>
      <c r="S133" s="1055">
        <v>0.42</v>
      </c>
      <c r="T133" s="1054">
        <f t="shared" si="57"/>
        <v>1.2305999999999999</v>
      </c>
      <c r="U133" s="1136">
        <v>1.6</v>
      </c>
      <c r="V133" s="1052">
        <f t="shared" si="58"/>
        <v>3.8095238095238098</v>
      </c>
      <c r="W133" s="1049"/>
      <c r="X133" s="1051">
        <v>2.93</v>
      </c>
      <c r="Y133" s="1049"/>
      <c r="Z133" s="1050">
        <f t="shared" si="59"/>
        <v>0.89459999999999995</v>
      </c>
      <c r="AA133" s="1118"/>
      <c r="AB133" s="1057">
        <v>4</v>
      </c>
      <c r="AC133" s="1056">
        <v>5</v>
      </c>
      <c r="AD133" s="1055">
        <v>1.23</v>
      </c>
      <c r="AE133" s="1137">
        <f t="shared" si="60"/>
        <v>1.0947</v>
      </c>
      <c r="AF133" s="1136">
        <v>3.04</v>
      </c>
      <c r="AG133" s="1052">
        <f t="shared" si="61"/>
        <v>2.4715447154471546</v>
      </c>
      <c r="AH133" s="1049"/>
      <c r="AI133" s="1051">
        <v>0.89</v>
      </c>
      <c r="AJ133" s="1049"/>
      <c r="AK133" s="1050">
        <f t="shared" si="62"/>
        <v>0.11069999999999997</v>
      </c>
      <c r="AL133" s="1049"/>
      <c r="AM133" s="1118"/>
      <c r="AN133" s="1057">
        <v>4</v>
      </c>
      <c r="AO133" s="1056">
        <v>5</v>
      </c>
      <c r="AP133" s="1055">
        <v>0.12</v>
      </c>
      <c r="AQ133" s="1745">
        <f t="shared" si="63"/>
        <v>0</v>
      </c>
      <c r="AR133" s="1737">
        <v>0.26</v>
      </c>
      <c r="AS133" s="1052">
        <f t="shared" si="64"/>
        <v>2.166666666666667</v>
      </c>
      <c r="AT133" s="1049"/>
      <c r="AU133" s="1051"/>
      <c r="AV133" s="1049"/>
      <c r="AW133" s="1118"/>
      <c r="AX133" s="1057">
        <v>4</v>
      </c>
      <c r="AY133" s="1056">
        <v>5</v>
      </c>
      <c r="AZ133" s="1055">
        <v>0.1</v>
      </c>
      <c r="BA133" s="1736">
        <v>0.2</v>
      </c>
      <c r="BB133" s="1737">
        <f t="shared" si="65"/>
        <v>2</v>
      </c>
      <c r="BC133" s="1049"/>
      <c r="BD133" s="1051"/>
      <c r="BE133" s="1049"/>
      <c r="BF133" s="1118"/>
      <c r="BG133" s="1057">
        <v>4</v>
      </c>
      <c r="BH133" s="1056">
        <v>5</v>
      </c>
      <c r="BI133" s="1055">
        <v>0.09</v>
      </c>
      <c r="BJ133" s="1736" t="s">
        <v>1381</v>
      </c>
      <c r="BK133" s="1049"/>
      <c r="BL133" s="1118"/>
      <c r="BM133" s="1057">
        <v>4</v>
      </c>
      <c r="BN133" s="1056">
        <v>5</v>
      </c>
      <c r="BO133" s="1055">
        <v>0.1</v>
      </c>
      <c r="BP133" s="1055">
        <v>0.08</v>
      </c>
      <c r="BQ133" s="1049"/>
    </row>
    <row r="134" spans="1:69" ht="15" thickBot="1">
      <c r="A134" s="1049"/>
      <c r="B134" s="1058">
        <f>SUM(F129:F152)</f>
        <v>30.24</v>
      </c>
      <c r="C134" s="1111">
        <v>5</v>
      </c>
      <c r="D134" s="1110">
        <v>6</v>
      </c>
      <c r="E134" s="1117">
        <v>0.25</v>
      </c>
      <c r="F134" s="1116">
        <v>0.73</v>
      </c>
      <c r="G134" s="1115">
        <f t="shared" si="55"/>
        <v>2.92</v>
      </c>
      <c r="H134" s="1049"/>
      <c r="I134" s="1058">
        <f>SUM(M129:M152)</f>
        <v>23.45</v>
      </c>
      <c r="J134" s="1111">
        <v>5</v>
      </c>
      <c r="K134" s="1110">
        <v>6</v>
      </c>
      <c r="L134" s="1109">
        <v>0.24299999999999999</v>
      </c>
      <c r="M134" s="1114">
        <v>0.46</v>
      </c>
      <c r="N134" s="1113">
        <f t="shared" si="56"/>
        <v>1.8930041152263375</v>
      </c>
      <c r="O134" s="1049"/>
      <c r="P134" s="1112">
        <f>SUM(U129:U152)</f>
        <v>124.51</v>
      </c>
      <c r="Q134" s="1111">
        <v>5</v>
      </c>
      <c r="R134" s="1110">
        <v>6</v>
      </c>
      <c r="S134" s="1109">
        <v>0.77</v>
      </c>
      <c r="T134" s="1054">
        <f t="shared" si="57"/>
        <v>2.4100999999999999</v>
      </c>
      <c r="U134" s="1146">
        <v>3.12</v>
      </c>
      <c r="V134" s="1052">
        <f t="shared" si="58"/>
        <v>4.0519480519480524</v>
      </c>
      <c r="W134" s="1049"/>
      <c r="X134" s="1074">
        <v>3.13</v>
      </c>
      <c r="Y134" s="1049"/>
      <c r="Z134" s="1050">
        <f t="shared" si="59"/>
        <v>1.7941</v>
      </c>
      <c r="AA134" s="1112">
        <f>SUM(AF129:AF152)</f>
        <v>237.24</v>
      </c>
      <c r="AB134" s="1111">
        <v>5</v>
      </c>
      <c r="AC134" s="1110">
        <v>6</v>
      </c>
      <c r="AD134" s="1109">
        <v>1.39</v>
      </c>
      <c r="AE134" s="1147">
        <f t="shared" si="60"/>
        <v>1.2648999999999999</v>
      </c>
      <c r="AF134" s="1146">
        <v>3.47</v>
      </c>
      <c r="AG134" s="1052">
        <f t="shared" si="61"/>
        <v>2.4964028776978422</v>
      </c>
      <c r="AH134" s="1049"/>
      <c r="AI134" s="1074">
        <v>0.91</v>
      </c>
      <c r="AJ134" s="1049"/>
      <c r="AK134" s="1050">
        <f t="shared" si="62"/>
        <v>0.15289999999999998</v>
      </c>
      <c r="AL134" s="1049"/>
      <c r="AM134" s="1112">
        <f>SUM(AR129:AR152)</f>
        <v>16.240000000000002</v>
      </c>
      <c r="AN134" s="1111">
        <v>5</v>
      </c>
      <c r="AO134" s="1110">
        <v>6</v>
      </c>
      <c r="AP134" s="1109">
        <v>7.0000000000000007E-2</v>
      </c>
      <c r="AQ134" s="1746">
        <f t="shared" si="63"/>
        <v>0</v>
      </c>
      <c r="AR134" s="1739">
        <v>0.15</v>
      </c>
      <c r="AS134" s="1052">
        <f t="shared" si="64"/>
        <v>2.1428571428571428</v>
      </c>
      <c r="AT134" s="1049"/>
      <c r="AU134" s="1074"/>
      <c r="AV134" s="1049"/>
      <c r="AW134" s="1112">
        <f>SUM(BA129:BA152)</f>
        <v>16.11</v>
      </c>
      <c r="AX134" s="1111">
        <v>5</v>
      </c>
      <c r="AY134" s="1110">
        <v>6</v>
      </c>
      <c r="AZ134" s="1109">
        <v>0.08</v>
      </c>
      <c r="BA134" s="1738">
        <v>0.17</v>
      </c>
      <c r="BB134" s="1739">
        <f t="shared" si="65"/>
        <v>2.125</v>
      </c>
      <c r="BC134" s="1049"/>
      <c r="BD134" s="1074"/>
      <c r="BE134" s="1049"/>
      <c r="BF134" s="1112">
        <f>SUM(BJ129:BJ152)</f>
        <v>0</v>
      </c>
      <c r="BG134" s="1111">
        <v>5</v>
      </c>
      <c r="BH134" s="1110">
        <v>6</v>
      </c>
      <c r="BI134" s="1109">
        <v>0.12</v>
      </c>
      <c r="BJ134" s="1738" t="s">
        <v>1393</v>
      </c>
      <c r="BK134" s="1049"/>
      <c r="BL134" s="1112">
        <f>SUM(BP129:BP152)</f>
        <v>2.06</v>
      </c>
      <c r="BM134" s="1111">
        <v>5</v>
      </c>
      <c r="BN134" s="1110">
        <v>6</v>
      </c>
      <c r="BO134" s="1109">
        <v>0.12</v>
      </c>
      <c r="BP134" s="1109">
        <v>0.04</v>
      </c>
      <c r="BQ134" s="1049"/>
    </row>
    <row r="135" spans="1:69" ht="14.4">
      <c r="A135" s="1049"/>
      <c r="B135" s="1093">
        <f>B134/B131</f>
        <v>2.9618021547502451</v>
      </c>
      <c r="C135" s="1100">
        <v>6</v>
      </c>
      <c r="D135" s="1099">
        <v>7</v>
      </c>
      <c r="E135" s="1107">
        <v>0.28999999999999998</v>
      </c>
      <c r="F135" s="1106">
        <v>0.84</v>
      </c>
      <c r="G135" s="1105">
        <f t="shared" si="55"/>
        <v>2.896551724137931</v>
      </c>
      <c r="H135" s="1049"/>
      <c r="I135" s="1093">
        <f>I134/I131</f>
        <v>2.1793680297397766</v>
      </c>
      <c r="J135" s="1100">
        <v>6</v>
      </c>
      <c r="K135" s="1099">
        <v>7</v>
      </c>
      <c r="L135" s="1098">
        <v>0.35699999999999998</v>
      </c>
      <c r="M135" s="1103">
        <v>0.7</v>
      </c>
      <c r="N135" s="1102">
        <f t="shared" si="56"/>
        <v>1.9607843137254901</v>
      </c>
      <c r="O135" s="1049"/>
      <c r="P135" s="1093">
        <f>P134/P131</f>
        <v>4.8466329311015963</v>
      </c>
      <c r="Q135" s="1100">
        <v>6</v>
      </c>
      <c r="R135" s="1099">
        <v>7</v>
      </c>
      <c r="S135" s="1098">
        <v>1.1499999999999999</v>
      </c>
      <c r="T135" s="1054">
        <f t="shared" si="57"/>
        <v>4.2664999999999997</v>
      </c>
      <c r="U135" s="1144">
        <v>5.31</v>
      </c>
      <c r="V135" s="1052">
        <f t="shared" si="58"/>
        <v>4.6173913043478265</v>
      </c>
      <c r="W135" s="1049"/>
      <c r="X135" s="1108">
        <v>3.71</v>
      </c>
      <c r="Y135" s="1049"/>
      <c r="Z135" s="1050">
        <f t="shared" si="59"/>
        <v>3.3464999999999998</v>
      </c>
      <c r="AA135" s="1093">
        <f>AA134/AA131</f>
        <v>3.2172497965825877</v>
      </c>
      <c r="AB135" s="1100">
        <v>6</v>
      </c>
      <c r="AC135" s="1099">
        <v>7</v>
      </c>
      <c r="AD135" s="1098">
        <v>1.85</v>
      </c>
      <c r="AE135" s="1145">
        <f t="shared" si="60"/>
        <v>1.9240000000000002</v>
      </c>
      <c r="AF135" s="1144">
        <v>4.99</v>
      </c>
      <c r="AG135" s="1052">
        <f t="shared" si="61"/>
        <v>2.6972972972972973</v>
      </c>
      <c r="AH135" s="1049"/>
      <c r="AI135" s="1108">
        <v>1.04</v>
      </c>
      <c r="AJ135" s="1049"/>
      <c r="AK135" s="1050">
        <f t="shared" si="62"/>
        <v>0.44400000000000001</v>
      </c>
      <c r="AL135" s="1049"/>
      <c r="AM135" s="1093">
        <f>AM134/AM131</f>
        <v>2.7713310580204782</v>
      </c>
      <c r="AN135" s="1100">
        <v>6</v>
      </c>
      <c r="AO135" s="1099">
        <v>7</v>
      </c>
      <c r="AP135" s="1098">
        <v>0.44</v>
      </c>
      <c r="AQ135" s="1747">
        <f t="shared" si="63"/>
        <v>0</v>
      </c>
      <c r="AR135" s="1741">
        <v>1.08</v>
      </c>
      <c r="AS135" s="1052">
        <f t="shared" si="64"/>
        <v>2.4545454545454546</v>
      </c>
      <c r="AT135" s="1049"/>
      <c r="AU135" s="1108"/>
      <c r="AV135" s="1049"/>
      <c r="AW135" s="1093">
        <f>AW134/AW131</f>
        <v>2.4670750382848388</v>
      </c>
      <c r="AX135" s="1100">
        <v>6</v>
      </c>
      <c r="AY135" s="1099">
        <v>7</v>
      </c>
      <c r="AZ135" s="1098">
        <v>0.33</v>
      </c>
      <c r="BA135" s="1740">
        <v>0.76</v>
      </c>
      <c r="BB135" s="1741">
        <f t="shared" si="65"/>
        <v>2.3030303030303028</v>
      </c>
      <c r="BC135" s="1049"/>
      <c r="BD135" s="1108"/>
      <c r="BE135" s="1049"/>
      <c r="BF135" s="1093">
        <f>BF134/BF131</f>
        <v>0</v>
      </c>
      <c r="BG135" s="1100">
        <v>6</v>
      </c>
      <c r="BH135" s="1099">
        <v>7</v>
      </c>
      <c r="BI135" s="1098">
        <v>0.11</v>
      </c>
      <c r="BJ135" s="1740" t="s">
        <v>1393</v>
      </c>
      <c r="BK135" s="1049"/>
      <c r="BL135" s="1093">
        <f>BL134/BL131</f>
        <v>0.24611708482676228</v>
      </c>
      <c r="BM135" s="1100">
        <v>6</v>
      </c>
      <c r="BN135" s="1099">
        <v>7</v>
      </c>
      <c r="BO135" s="1098">
        <v>0.09</v>
      </c>
      <c r="BP135" s="1098">
        <v>0.01</v>
      </c>
      <c r="BQ135" s="1049"/>
    </row>
    <row r="136" spans="1:69" ht="14.4">
      <c r="A136" s="1049"/>
      <c r="B136" s="1104"/>
      <c r="C136" s="1100">
        <v>7</v>
      </c>
      <c r="D136" s="1099">
        <v>8</v>
      </c>
      <c r="E136" s="1107">
        <v>0.44</v>
      </c>
      <c r="F136" s="1106">
        <v>1.27</v>
      </c>
      <c r="G136" s="1105">
        <f t="shared" si="55"/>
        <v>2.8863636363636362</v>
      </c>
      <c r="H136" s="1049"/>
      <c r="I136" s="1104"/>
      <c r="J136" s="1100">
        <v>7</v>
      </c>
      <c r="K136" s="1099">
        <v>8</v>
      </c>
      <c r="L136" s="1098">
        <v>0.247</v>
      </c>
      <c r="M136" s="1103">
        <v>0.48</v>
      </c>
      <c r="N136" s="1102">
        <f t="shared" si="56"/>
        <v>1.9433198380566801</v>
      </c>
      <c r="O136" s="1049"/>
      <c r="P136" s="1101"/>
      <c r="Q136" s="1100">
        <v>7</v>
      </c>
      <c r="R136" s="1099">
        <v>8</v>
      </c>
      <c r="S136" s="1098">
        <v>1.02</v>
      </c>
      <c r="T136" s="1054">
        <f t="shared" si="57"/>
        <v>4.5696000000000003</v>
      </c>
      <c r="U136" s="1144">
        <v>5.31</v>
      </c>
      <c r="V136" s="1052">
        <f t="shared" si="58"/>
        <v>5.2058823529411757</v>
      </c>
      <c r="W136" s="1049"/>
      <c r="X136" s="1065">
        <v>4.4800000000000004</v>
      </c>
      <c r="Y136" s="1049"/>
      <c r="Z136" s="1050">
        <f t="shared" si="59"/>
        <v>3.7536000000000005</v>
      </c>
      <c r="AA136" s="1101"/>
      <c r="AB136" s="1100">
        <v>7</v>
      </c>
      <c r="AC136" s="1099">
        <v>8</v>
      </c>
      <c r="AD136" s="1098">
        <v>2.78</v>
      </c>
      <c r="AE136" s="1145">
        <f t="shared" si="60"/>
        <v>3.1135999999999999</v>
      </c>
      <c r="AF136" s="1144">
        <v>7.87</v>
      </c>
      <c r="AG136" s="1052">
        <f t="shared" si="61"/>
        <v>2.8309352517985613</v>
      </c>
      <c r="AH136" s="1049"/>
      <c r="AI136" s="1065">
        <v>1.1200000000000001</v>
      </c>
      <c r="AJ136" s="1049"/>
      <c r="AK136" s="1050">
        <f t="shared" si="62"/>
        <v>0.88960000000000006</v>
      </c>
      <c r="AL136" s="1049"/>
      <c r="AM136" s="1101"/>
      <c r="AN136" s="1100">
        <v>7</v>
      </c>
      <c r="AO136" s="1099">
        <v>8</v>
      </c>
      <c r="AP136" s="1098">
        <v>0.24</v>
      </c>
      <c r="AQ136" s="1747">
        <f t="shared" si="63"/>
        <v>0</v>
      </c>
      <c r="AR136" s="1741">
        <v>0.65</v>
      </c>
      <c r="AS136" s="1052">
        <f t="shared" si="64"/>
        <v>2.7083333333333335</v>
      </c>
      <c r="AT136" s="1049"/>
      <c r="AU136" s="1065"/>
      <c r="AV136" s="1049"/>
      <c r="AW136" s="1101"/>
      <c r="AX136" s="1100">
        <v>7</v>
      </c>
      <c r="AY136" s="1099">
        <v>8</v>
      </c>
      <c r="AZ136" s="1098">
        <v>0.45</v>
      </c>
      <c r="BA136" s="1736">
        <v>1.1399999999999999</v>
      </c>
      <c r="BB136" s="1741">
        <f t="shared" si="65"/>
        <v>2.5333333333333332</v>
      </c>
      <c r="BC136" s="1049"/>
      <c r="BD136" s="1065"/>
      <c r="BE136" s="1049"/>
      <c r="BF136" s="1101"/>
      <c r="BG136" s="1100">
        <v>7</v>
      </c>
      <c r="BH136" s="1099">
        <v>8</v>
      </c>
      <c r="BI136" s="1098">
        <v>0.14000000000000001</v>
      </c>
      <c r="BJ136" s="1736" t="s">
        <v>1374</v>
      </c>
      <c r="BK136" s="1049"/>
      <c r="BL136" s="1101"/>
      <c r="BM136" s="1100">
        <v>7</v>
      </c>
      <c r="BN136" s="1099">
        <v>8</v>
      </c>
      <c r="BO136" s="1098">
        <v>0.2</v>
      </c>
      <c r="BP136" s="1098">
        <v>0.08</v>
      </c>
      <c r="BQ136" s="1049"/>
    </row>
    <row r="137" spans="1:69" ht="14.4">
      <c r="A137" s="1049"/>
      <c r="B137" s="1097">
        <f>B134/24</f>
        <v>1.26</v>
      </c>
      <c r="C137" s="1086">
        <v>8</v>
      </c>
      <c r="D137" s="1085">
        <v>9</v>
      </c>
      <c r="E137" s="1091">
        <v>0.34</v>
      </c>
      <c r="F137" s="1090">
        <v>0.98</v>
      </c>
      <c r="G137" s="1089">
        <f t="shared" si="55"/>
        <v>2.8823529411764701</v>
      </c>
      <c r="H137" s="1049"/>
      <c r="I137" s="1097">
        <f>I134/24</f>
        <v>0.9770833333333333</v>
      </c>
      <c r="J137" s="1086">
        <v>8</v>
      </c>
      <c r="K137" s="1085">
        <v>9</v>
      </c>
      <c r="L137" s="1084">
        <v>0.23300000000000001</v>
      </c>
      <c r="M137" s="1088">
        <v>0.47</v>
      </c>
      <c r="N137" s="1087">
        <f t="shared" si="56"/>
        <v>2.0171673819742488</v>
      </c>
      <c r="O137" s="1049"/>
      <c r="P137" s="1096">
        <f>P134/24</f>
        <v>5.1879166666666672</v>
      </c>
      <c r="Q137" s="1086">
        <v>8</v>
      </c>
      <c r="R137" s="1085">
        <v>9</v>
      </c>
      <c r="S137" s="1084">
        <v>1.06</v>
      </c>
      <c r="T137" s="1054">
        <f t="shared" si="57"/>
        <v>4.7594000000000003</v>
      </c>
      <c r="U137" s="1142">
        <v>5.75</v>
      </c>
      <c r="V137" s="1052">
        <f t="shared" si="58"/>
        <v>5.4245283018867925</v>
      </c>
      <c r="W137" s="1049"/>
      <c r="X137" s="1051">
        <v>4.49</v>
      </c>
      <c r="Y137" s="1049"/>
      <c r="Z137" s="1050">
        <f t="shared" si="59"/>
        <v>3.9114000000000004</v>
      </c>
      <c r="AA137" s="1096">
        <f>AA134/24</f>
        <v>9.8849999999999998</v>
      </c>
      <c r="AB137" s="1086">
        <v>8</v>
      </c>
      <c r="AC137" s="1085">
        <v>9</v>
      </c>
      <c r="AD137" s="1084">
        <v>3.2</v>
      </c>
      <c r="AE137" s="1143">
        <f t="shared" si="60"/>
        <v>4</v>
      </c>
      <c r="AF137" s="1142">
        <v>9.7200000000000006</v>
      </c>
      <c r="AG137" s="1052">
        <f t="shared" si="61"/>
        <v>3.0375000000000001</v>
      </c>
      <c r="AH137" s="1049"/>
      <c r="AI137" s="1051">
        <v>1.25</v>
      </c>
      <c r="AJ137" s="1049"/>
      <c r="AK137" s="1050">
        <f t="shared" si="62"/>
        <v>1.44</v>
      </c>
      <c r="AL137" s="1049"/>
      <c r="AM137" s="1096">
        <f>AM134/24</f>
        <v>0.67666666666666675</v>
      </c>
      <c r="AN137" s="1086">
        <v>8</v>
      </c>
      <c r="AO137" s="1085">
        <v>9</v>
      </c>
      <c r="AP137" s="1084">
        <v>0.51</v>
      </c>
      <c r="AQ137" s="1748">
        <f t="shared" si="63"/>
        <v>0</v>
      </c>
      <c r="AR137" s="1742">
        <v>1.43</v>
      </c>
      <c r="AS137" s="1052">
        <f t="shared" si="64"/>
        <v>2.8039215686274508</v>
      </c>
      <c r="AT137" s="1049"/>
      <c r="AU137" s="1051"/>
      <c r="AV137" s="1049"/>
      <c r="AW137" s="1096">
        <f>AW134/24</f>
        <v>0.67125000000000001</v>
      </c>
      <c r="AX137" s="1086">
        <v>8</v>
      </c>
      <c r="AY137" s="1085">
        <v>9</v>
      </c>
      <c r="AZ137" s="1084">
        <v>0.38</v>
      </c>
      <c r="BA137" s="1736">
        <v>1.08</v>
      </c>
      <c r="BB137" s="1742">
        <f t="shared" si="65"/>
        <v>2.8421052631578947</v>
      </c>
      <c r="BC137" s="1049"/>
      <c r="BD137" s="1051"/>
      <c r="BE137" s="1049"/>
      <c r="BF137" s="1096">
        <f>BF134/24</f>
        <v>0</v>
      </c>
      <c r="BG137" s="1086">
        <v>8</v>
      </c>
      <c r="BH137" s="1085">
        <v>9</v>
      </c>
      <c r="BI137" s="1084">
        <v>0.15</v>
      </c>
      <c r="BJ137" s="1736" t="s">
        <v>1384</v>
      </c>
      <c r="BK137" s="1049"/>
      <c r="BL137" s="1096">
        <f>BL134/24</f>
        <v>8.5833333333333331E-2</v>
      </c>
      <c r="BM137" s="1086">
        <v>8</v>
      </c>
      <c r="BN137" s="1085">
        <v>9</v>
      </c>
      <c r="BO137" s="1084">
        <v>0.24</v>
      </c>
      <c r="BP137" s="1084">
        <v>0.04</v>
      </c>
      <c r="BQ137" s="1049"/>
    </row>
    <row r="138" spans="1:69" ht="14.4">
      <c r="A138" s="1049"/>
      <c r="B138" s="1097"/>
      <c r="C138" s="1086">
        <v>9</v>
      </c>
      <c r="D138" s="1085">
        <v>10</v>
      </c>
      <c r="E138" s="1091">
        <v>0.32</v>
      </c>
      <c r="F138" s="1090">
        <v>0.93</v>
      </c>
      <c r="G138" s="1089">
        <f t="shared" si="55"/>
        <v>2.90625</v>
      </c>
      <c r="H138" s="1049"/>
      <c r="I138" s="1097"/>
      <c r="J138" s="1086">
        <v>9</v>
      </c>
      <c r="K138" s="1085">
        <v>10</v>
      </c>
      <c r="L138" s="1084">
        <v>0.28399999999999997</v>
      </c>
      <c r="M138" s="1088">
        <v>0.59</v>
      </c>
      <c r="N138" s="1087">
        <f t="shared" si="56"/>
        <v>2.0774647887323945</v>
      </c>
      <c r="O138" s="1049"/>
      <c r="P138" s="1096"/>
      <c r="Q138" s="1086">
        <v>9</v>
      </c>
      <c r="R138" s="1085">
        <v>10</v>
      </c>
      <c r="S138" s="1084">
        <v>0.98</v>
      </c>
      <c r="T138" s="1054">
        <f t="shared" si="57"/>
        <v>4.4394</v>
      </c>
      <c r="U138" s="1142">
        <v>5.34</v>
      </c>
      <c r="V138" s="1052">
        <f t="shared" si="58"/>
        <v>5.4489795918367347</v>
      </c>
      <c r="W138" s="1049"/>
      <c r="X138" s="1051">
        <v>4.53</v>
      </c>
      <c r="Y138" s="1049"/>
      <c r="Z138" s="1050">
        <f t="shared" si="59"/>
        <v>3.6554000000000002</v>
      </c>
      <c r="AA138" s="1096"/>
      <c r="AB138" s="1086">
        <v>9</v>
      </c>
      <c r="AC138" s="1085">
        <v>10</v>
      </c>
      <c r="AD138" s="1084">
        <v>4.26</v>
      </c>
      <c r="AE138" s="1143">
        <f t="shared" si="60"/>
        <v>5.1971999999999996</v>
      </c>
      <c r="AF138" s="1142">
        <v>12.69</v>
      </c>
      <c r="AG138" s="1052">
        <f t="shared" si="61"/>
        <v>2.97887323943662</v>
      </c>
      <c r="AH138" s="1049"/>
      <c r="AI138" s="1051">
        <v>1.22</v>
      </c>
      <c r="AJ138" s="1049"/>
      <c r="AK138" s="1050">
        <f t="shared" si="62"/>
        <v>1.7891999999999997</v>
      </c>
      <c r="AL138" s="1049"/>
      <c r="AM138" s="1096"/>
      <c r="AN138" s="1086">
        <v>9</v>
      </c>
      <c r="AO138" s="1085">
        <v>10</v>
      </c>
      <c r="AP138" s="1084">
        <v>0.27</v>
      </c>
      <c r="AQ138" s="1748">
        <f t="shared" si="63"/>
        <v>0</v>
      </c>
      <c r="AR138" s="1742">
        <v>0.73</v>
      </c>
      <c r="AS138" s="1052">
        <f t="shared" si="64"/>
        <v>2.7037037037037033</v>
      </c>
      <c r="AT138" s="1049"/>
      <c r="AU138" s="1051"/>
      <c r="AV138" s="1049"/>
      <c r="AW138" s="1096"/>
      <c r="AX138" s="1086">
        <v>9</v>
      </c>
      <c r="AY138" s="1085">
        <v>10</v>
      </c>
      <c r="AZ138" s="1084">
        <v>0.26</v>
      </c>
      <c r="BA138" s="1736">
        <v>0.67</v>
      </c>
      <c r="BB138" s="1742">
        <f t="shared" si="65"/>
        <v>2.5769230769230771</v>
      </c>
      <c r="BC138" s="1049"/>
      <c r="BD138" s="1051"/>
      <c r="BE138" s="1049"/>
      <c r="BF138" s="1096"/>
      <c r="BG138" s="1086">
        <v>9</v>
      </c>
      <c r="BH138" s="1085">
        <v>10</v>
      </c>
      <c r="BI138" s="1084">
        <v>0.74</v>
      </c>
      <c r="BJ138" s="1736" t="s">
        <v>1425</v>
      </c>
      <c r="BK138" s="1049"/>
      <c r="BL138" s="1096"/>
      <c r="BM138" s="1086">
        <v>9</v>
      </c>
      <c r="BN138" s="1085">
        <v>10</v>
      </c>
      <c r="BO138" s="1084">
        <v>0.31</v>
      </c>
      <c r="BP138" s="1084">
        <v>0.01</v>
      </c>
      <c r="BQ138" s="1049"/>
    </row>
    <row r="139" spans="1:69" ht="14.4">
      <c r="A139" s="1049"/>
      <c r="B139" s="1060"/>
      <c r="C139" s="1086">
        <v>10</v>
      </c>
      <c r="D139" s="1085">
        <v>11</v>
      </c>
      <c r="E139" s="1091">
        <v>0.3</v>
      </c>
      <c r="F139" s="1090">
        <v>0.87</v>
      </c>
      <c r="G139" s="1089">
        <f t="shared" si="55"/>
        <v>2.9</v>
      </c>
      <c r="H139" s="1049"/>
      <c r="I139" s="1060"/>
      <c r="J139" s="1086">
        <v>10</v>
      </c>
      <c r="K139" s="1085">
        <v>11</v>
      </c>
      <c r="L139" s="1084">
        <v>0.40300000000000002</v>
      </c>
      <c r="M139" s="1088">
        <v>0.87</v>
      </c>
      <c r="N139" s="1087">
        <f t="shared" si="56"/>
        <v>2.1588089330024811</v>
      </c>
      <c r="O139" s="1049"/>
      <c r="P139" s="1095">
        <f>SUM(Z129:Z152)</f>
        <v>80.6113</v>
      </c>
      <c r="Q139" s="1086">
        <v>10</v>
      </c>
      <c r="R139" s="1085">
        <v>11</v>
      </c>
      <c r="S139" s="1084">
        <v>1.38</v>
      </c>
      <c r="T139" s="1054">
        <f t="shared" si="57"/>
        <v>6.1685999999999988</v>
      </c>
      <c r="U139" s="1142">
        <v>7.45</v>
      </c>
      <c r="V139" s="1052">
        <f t="shared" si="58"/>
        <v>5.3985507246376816</v>
      </c>
      <c r="W139" s="1049"/>
      <c r="X139" s="1051">
        <v>4.47</v>
      </c>
      <c r="Y139" s="1049"/>
      <c r="Z139" s="1050">
        <f t="shared" si="59"/>
        <v>5.0645999999999995</v>
      </c>
      <c r="AA139" s="1095">
        <f>SUM(AK129:AK152)</f>
        <v>34.096899999999998</v>
      </c>
      <c r="AB139" s="1086">
        <v>10</v>
      </c>
      <c r="AC139" s="1085">
        <v>11</v>
      </c>
      <c r="AD139" s="1084">
        <v>4.17</v>
      </c>
      <c r="AE139" s="1143">
        <f t="shared" si="60"/>
        <v>4.9205999999999994</v>
      </c>
      <c r="AF139" s="1142">
        <v>12.18</v>
      </c>
      <c r="AG139" s="1052">
        <f t="shared" si="61"/>
        <v>2.920863309352518</v>
      </c>
      <c r="AH139" s="1049"/>
      <c r="AI139" s="1051">
        <v>1.18</v>
      </c>
      <c r="AJ139" s="1049"/>
      <c r="AK139" s="1050">
        <f t="shared" si="62"/>
        <v>1.5845999999999996</v>
      </c>
      <c r="AL139" s="1049"/>
      <c r="AM139" s="1095" t="e">
        <f>SUM(#REF!)</f>
        <v>#REF!</v>
      </c>
      <c r="AN139" s="1086">
        <v>10</v>
      </c>
      <c r="AO139" s="1085">
        <v>11</v>
      </c>
      <c r="AP139" s="1084">
        <v>0.12</v>
      </c>
      <c r="AQ139" s="1748">
        <f t="shared" si="63"/>
        <v>0</v>
      </c>
      <c r="AR139" s="1742">
        <v>0.31</v>
      </c>
      <c r="AS139" s="1052">
        <f t="shared" si="64"/>
        <v>2.5833333333333335</v>
      </c>
      <c r="AT139" s="1049"/>
      <c r="AU139" s="1051"/>
      <c r="AV139" s="1049"/>
      <c r="AW139" s="1095" t="e">
        <f>SUM(#REF!)</f>
        <v>#REF!</v>
      </c>
      <c r="AX139" s="1086">
        <v>10</v>
      </c>
      <c r="AY139" s="1085">
        <v>11</v>
      </c>
      <c r="AZ139" s="1084">
        <v>0.31</v>
      </c>
      <c r="BA139" s="1736">
        <v>0.75</v>
      </c>
      <c r="BB139" s="1742">
        <f t="shared" si="65"/>
        <v>2.4193548387096775</v>
      </c>
      <c r="BC139" s="1049"/>
      <c r="BD139" s="1051"/>
      <c r="BE139" s="1049"/>
      <c r="BF139" s="1095" t="e">
        <f>SUM(#REF!)</f>
        <v>#REF!</v>
      </c>
      <c r="BG139" s="1086">
        <v>10</v>
      </c>
      <c r="BH139" s="1085">
        <v>11</v>
      </c>
      <c r="BI139" s="1084">
        <v>1.21</v>
      </c>
      <c r="BJ139" s="1736" t="s">
        <v>1420</v>
      </c>
      <c r="BK139" s="1049"/>
      <c r="BL139" s="1095" t="e">
        <f>SUM(#REF!)</f>
        <v>#REF!</v>
      </c>
      <c r="BM139" s="1086">
        <v>10</v>
      </c>
      <c r="BN139" s="1085">
        <v>11</v>
      </c>
      <c r="BO139" s="1084">
        <v>0.37</v>
      </c>
      <c r="BP139" s="1084">
        <v>7.0000000000000007E-2</v>
      </c>
      <c r="BQ139" s="1049"/>
    </row>
    <row r="140" spans="1:69" ht="14.4">
      <c r="A140" s="1049"/>
      <c r="B140" s="1060"/>
      <c r="C140" s="1086">
        <v>11</v>
      </c>
      <c r="D140" s="1085">
        <v>12</v>
      </c>
      <c r="E140" s="1091">
        <v>0.34</v>
      </c>
      <c r="F140" s="1090">
        <v>0.97</v>
      </c>
      <c r="G140" s="1089">
        <f t="shared" si="55"/>
        <v>2.8529411764705879</v>
      </c>
      <c r="H140" s="1049"/>
      <c r="I140" s="1060"/>
      <c r="J140" s="1086">
        <v>11</v>
      </c>
      <c r="K140" s="1085">
        <v>12</v>
      </c>
      <c r="L140" s="1084">
        <v>0.312</v>
      </c>
      <c r="M140" s="1088">
        <v>0.66</v>
      </c>
      <c r="N140" s="1087">
        <f t="shared" si="56"/>
        <v>2.1153846153846154</v>
      </c>
      <c r="O140" s="1049"/>
      <c r="P140" s="1093">
        <f>P139/P131</f>
        <v>3.1378474114441421</v>
      </c>
      <c r="Q140" s="1086">
        <v>11</v>
      </c>
      <c r="R140" s="1085">
        <v>12</v>
      </c>
      <c r="S140" s="1084">
        <v>0.99</v>
      </c>
      <c r="T140" s="1054">
        <f t="shared" si="57"/>
        <v>4.4847000000000001</v>
      </c>
      <c r="U140" s="1142">
        <v>5.39</v>
      </c>
      <c r="V140" s="1052">
        <f t="shared" si="58"/>
        <v>5.4444444444444438</v>
      </c>
      <c r="W140" s="1049"/>
      <c r="X140" s="1051">
        <v>4.53</v>
      </c>
      <c r="Y140" s="1049"/>
      <c r="Z140" s="1050">
        <f t="shared" si="59"/>
        <v>3.6927000000000003</v>
      </c>
      <c r="AA140" s="1093">
        <f>AA139/AA131</f>
        <v>0.46239354488744239</v>
      </c>
      <c r="AB140" s="1086">
        <v>11</v>
      </c>
      <c r="AC140" s="1085">
        <v>12</v>
      </c>
      <c r="AD140" s="1084">
        <v>4.05</v>
      </c>
      <c r="AE140" s="1143">
        <f t="shared" si="60"/>
        <v>4.8194999999999997</v>
      </c>
      <c r="AF140" s="1142">
        <v>11.86</v>
      </c>
      <c r="AG140" s="1052">
        <f t="shared" si="61"/>
        <v>2.9283950617283949</v>
      </c>
      <c r="AH140" s="1049"/>
      <c r="AI140" s="1051">
        <v>1.19</v>
      </c>
      <c r="AJ140" s="1049"/>
      <c r="AK140" s="1050">
        <f t="shared" si="62"/>
        <v>1.5794999999999995</v>
      </c>
      <c r="AL140" s="1049"/>
      <c r="AM140" s="1093" t="e">
        <f>AM139/AM131</f>
        <v>#REF!</v>
      </c>
      <c r="AN140" s="1086">
        <v>11</v>
      </c>
      <c r="AO140" s="1085">
        <v>12</v>
      </c>
      <c r="AP140" s="1084">
        <v>0.28999999999999998</v>
      </c>
      <c r="AQ140" s="1748">
        <f t="shared" si="63"/>
        <v>0</v>
      </c>
      <c r="AR140" s="1742">
        <v>0.72</v>
      </c>
      <c r="AS140" s="1052">
        <f t="shared" si="64"/>
        <v>2.4827586206896552</v>
      </c>
      <c r="AT140" s="1049"/>
      <c r="AU140" s="1051"/>
      <c r="AV140" s="1049"/>
      <c r="AW140" s="1093" t="e">
        <f>AW139/AW131</f>
        <v>#REF!</v>
      </c>
      <c r="AX140" s="1086">
        <v>11</v>
      </c>
      <c r="AY140" s="1085">
        <v>12</v>
      </c>
      <c r="AZ140" s="1084">
        <v>0.18</v>
      </c>
      <c r="BA140" s="1736">
        <v>0.42</v>
      </c>
      <c r="BB140" s="1742">
        <f t="shared" si="65"/>
        <v>2.3333333333333335</v>
      </c>
      <c r="BC140" s="1049"/>
      <c r="BD140" s="1051"/>
      <c r="BE140" s="1049"/>
      <c r="BF140" s="1093" t="e">
        <f>BF139/BF131</f>
        <v>#REF!</v>
      </c>
      <c r="BG140" s="1086">
        <v>11</v>
      </c>
      <c r="BH140" s="1085">
        <v>12</v>
      </c>
      <c r="BI140" s="1084">
        <v>0.21</v>
      </c>
      <c r="BJ140" s="1736" t="s">
        <v>1426</v>
      </c>
      <c r="BK140" s="1049"/>
      <c r="BL140" s="1093" t="e">
        <f>BL139/BL131</f>
        <v>#REF!</v>
      </c>
      <c r="BM140" s="1086">
        <v>11</v>
      </c>
      <c r="BN140" s="1085">
        <v>12</v>
      </c>
      <c r="BO140" s="1084">
        <v>0.17</v>
      </c>
      <c r="BP140" s="1084">
        <v>0.05</v>
      </c>
      <c r="BQ140" s="1049"/>
    </row>
    <row r="141" spans="1:69" ht="14.4">
      <c r="A141" s="1049"/>
      <c r="B141" s="1060"/>
      <c r="C141" s="1086">
        <v>12</v>
      </c>
      <c r="D141" s="1085">
        <v>13</v>
      </c>
      <c r="E141" s="1091">
        <v>0.68</v>
      </c>
      <c r="F141" s="1090">
        <v>1.96</v>
      </c>
      <c r="G141" s="1089">
        <f t="shared" si="55"/>
        <v>2.8823529411764701</v>
      </c>
      <c r="H141" s="1049"/>
      <c r="I141" s="1060"/>
      <c r="J141" s="1086">
        <v>12</v>
      </c>
      <c r="K141" s="1085">
        <v>13</v>
      </c>
      <c r="L141" s="1084">
        <v>0.45100000000000001</v>
      </c>
      <c r="M141" s="1088">
        <v>0.97</v>
      </c>
      <c r="N141" s="1087">
        <f t="shared" si="56"/>
        <v>2.1507760532150777</v>
      </c>
      <c r="O141" s="1049"/>
      <c r="P141" s="1060"/>
      <c r="Q141" s="1086">
        <v>12</v>
      </c>
      <c r="R141" s="1085">
        <v>13</v>
      </c>
      <c r="S141" s="1084">
        <v>1.03</v>
      </c>
      <c r="T141" s="1054">
        <f t="shared" si="57"/>
        <v>4.6144000000000007</v>
      </c>
      <c r="U141" s="1142">
        <v>5.54</v>
      </c>
      <c r="V141" s="1052">
        <f t="shared" si="58"/>
        <v>5.3786407766990294</v>
      </c>
      <c r="W141" s="1049"/>
      <c r="X141" s="1051">
        <v>4.4800000000000004</v>
      </c>
      <c r="Y141" s="1049"/>
      <c r="Z141" s="1050">
        <f t="shared" si="59"/>
        <v>3.7904000000000009</v>
      </c>
      <c r="AA141" s="1060"/>
      <c r="AB141" s="1086">
        <v>12</v>
      </c>
      <c r="AC141" s="1085">
        <v>13</v>
      </c>
      <c r="AD141" s="1084">
        <v>4.18</v>
      </c>
      <c r="AE141" s="1143">
        <f t="shared" si="60"/>
        <v>5.0159999999999991</v>
      </c>
      <c r="AF141" s="1142">
        <v>12.35</v>
      </c>
      <c r="AG141" s="1052">
        <f t="shared" si="61"/>
        <v>2.9545454545454546</v>
      </c>
      <c r="AH141" s="1049"/>
      <c r="AI141" s="1051">
        <v>1.2</v>
      </c>
      <c r="AJ141" s="1049"/>
      <c r="AK141" s="1050">
        <f t="shared" si="62"/>
        <v>1.6719999999999995</v>
      </c>
      <c r="AL141" s="1049"/>
      <c r="AM141" s="1060"/>
      <c r="AN141" s="1086">
        <v>12</v>
      </c>
      <c r="AO141" s="1085">
        <v>13</v>
      </c>
      <c r="AP141" s="1084">
        <v>0.25</v>
      </c>
      <c r="AQ141" s="1748">
        <f t="shared" si="63"/>
        <v>0</v>
      </c>
      <c r="AR141" s="1742">
        <v>0.6</v>
      </c>
      <c r="AS141" s="1052">
        <f t="shared" si="64"/>
        <v>2.4</v>
      </c>
      <c r="AT141" s="1049"/>
      <c r="AU141" s="1051"/>
      <c r="AV141" s="1049"/>
      <c r="AW141" s="1060"/>
      <c r="AX141" s="1086">
        <v>12</v>
      </c>
      <c r="AY141" s="1085">
        <v>13</v>
      </c>
      <c r="AZ141" s="1084">
        <v>0.3</v>
      </c>
      <c r="BA141" s="1736">
        <v>0.67</v>
      </c>
      <c r="BB141" s="1742">
        <f t="shared" si="65"/>
        <v>2.2333333333333334</v>
      </c>
      <c r="BC141" s="1049"/>
      <c r="BD141" s="1051"/>
      <c r="BE141" s="1049"/>
      <c r="BF141" s="1060"/>
      <c r="BG141" s="1086">
        <v>12</v>
      </c>
      <c r="BH141" s="1085">
        <v>13</v>
      </c>
      <c r="BI141" s="1084">
        <v>0.33</v>
      </c>
      <c r="BJ141" s="1736" t="s">
        <v>1427</v>
      </c>
      <c r="BK141" s="1049"/>
      <c r="BL141" s="1060"/>
      <c r="BM141" s="1086">
        <v>12</v>
      </c>
      <c r="BN141" s="1085">
        <v>13</v>
      </c>
      <c r="BO141" s="1084">
        <v>0.14000000000000001</v>
      </c>
      <c r="BP141" s="1084">
        <v>0.1</v>
      </c>
      <c r="BQ141" s="1049"/>
    </row>
    <row r="142" spans="1:69" ht="14.4">
      <c r="A142" s="1049"/>
      <c r="B142" s="1060"/>
      <c r="C142" s="1086">
        <v>13</v>
      </c>
      <c r="D142" s="1085">
        <v>14</v>
      </c>
      <c r="E142" s="1091">
        <v>0.73</v>
      </c>
      <c r="F142" s="1090">
        <v>2.11</v>
      </c>
      <c r="G142" s="1089">
        <f t="shared" si="55"/>
        <v>2.8904109589041096</v>
      </c>
      <c r="H142" s="1049"/>
      <c r="I142" s="1060"/>
      <c r="J142" s="1086">
        <v>13</v>
      </c>
      <c r="K142" s="1085">
        <v>14</v>
      </c>
      <c r="L142" s="1084">
        <v>0.82199999999999995</v>
      </c>
      <c r="M142" s="1088">
        <v>1.67</v>
      </c>
      <c r="N142" s="1087">
        <f t="shared" si="56"/>
        <v>2.0316301703163018</v>
      </c>
      <c r="O142" s="1049"/>
      <c r="P142" s="1092" t="s">
        <v>1127</v>
      </c>
      <c r="Q142" s="1086">
        <v>13</v>
      </c>
      <c r="R142" s="1085">
        <v>14</v>
      </c>
      <c r="S142" s="1084">
        <v>1.31</v>
      </c>
      <c r="T142" s="1054">
        <f t="shared" si="57"/>
        <v>5.7771000000000008</v>
      </c>
      <c r="U142" s="1142">
        <v>6.95</v>
      </c>
      <c r="V142" s="1052">
        <f t="shared" si="58"/>
        <v>5.3053435114503813</v>
      </c>
      <c r="W142" s="1049"/>
      <c r="X142" s="1051">
        <v>4.41</v>
      </c>
      <c r="Y142" s="1049"/>
      <c r="Z142" s="1050">
        <f t="shared" si="59"/>
        <v>4.7291000000000007</v>
      </c>
      <c r="AA142" s="1092" t="s">
        <v>1127</v>
      </c>
      <c r="AB142" s="1086">
        <v>13</v>
      </c>
      <c r="AC142" s="1085">
        <v>14</v>
      </c>
      <c r="AD142" s="1084">
        <v>4</v>
      </c>
      <c r="AE142" s="1143">
        <f t="shared" si="60"/>
        <v>4.5999999999999996</v>
      </c>
      <c r="AF142" s="1142">
        <v>11.52</v>
      </c>
      <c r="AG142" s="1052">
        <f t="shared" si="61"/>
        <v>2.88</v>
      </c>
      <c r="AH142" s="1049"/>
      <c r="AI142" s="1051">
        <v>1.1499999999999999</v>
      </c>
      <c r="AJ142" s="1049"/>
      <c r="AK142" s="1050">
        <f t="shared" si="62"/>
        <v>1.3999999999999995</v>
      </c>
      <c r="AL142" s="1049"/>
      <c r="AM142" s="1092" t="s">
        <v>1127</v>
      </c>
      <c r="AN142" s="1150">
        <v>13</v>
      </c>
      <c r="AO142" s="1085">
        <v>14</v>
      </c>
      <c r="AP142" s="1084">
        <v>0.17</v>
      </c>
      <c r="AQ142" s="1748">
        <f t="shared" si="63"/>
        <v>0</v>
      </c>
      <c r="AR142" s="1742">
        <v>0.39</v>
      </c>
      <c r="AS142" s="1052">
        <f t="shared" si="64"/>
        <v>2.2941176470588234</v>
      </c>
      <c r="AT142" s="1049"/>
      <c r="AU142" s="1051"/>
      <c r="AV142" s="1049"/>
      <c r="AW142" s="1092" t="s">
        <v>1127</v>
      </c>
      <c r="AX142" s="1086">
        <v>13</v>
      </c>
      <c r="AY142" s="1085">
        <v>14</v>
      </c>
      <c r="AZ142" s="1084">
        <v>0.28999999999999998</v>
      </c>
      <c r="BA142" s="1736">
        <v>0.63</v>
      </c>
      <c r="BB142" s="1742">
        <f t="shared" si="65"/>
        <v>2.1724137931034484</v>
      </c>
      <c r="BC142" s="1049"/>
      <c r="BD142" s="1051"/>
      <c r="BE142" s="1049"/>
      <c r="BF142" s="1092" t="s">
        <v>1127</v>
      </c>
      <c r="BG142" s="1086">
        <v>13</v>
      </c>
      <c r="BH142" s="1085">
        <v>14</v>
      </c>
      <c r="BI142" s="1084">
        <v>0.14000000000000001</v>
      </c>
      <c r="BJ142" s="1736" t="s">
        <v>1371</v>
      </c>
      <c r="BK142" s="1049"/>
      <c r="BL142" s="1092" t="s">
        <v>1127</v>
      </c>
      <c r="BM142" s="1086">
        <v>13</v>
      </c>
      <c r="BN142" s="1085">
        <v>14</v>
      </c>
      <c r="BO142" s="1084">
        <v>0.83</v>
      </c>
      <c r="BP142" s="1084">
        <v>0.16</v>
      </c>
      <c r="BQ142" s="1049"/>
    </row>
    <row r="143" spans="1:69" ht="14.4">
      <c r="A143" s="1049"/>
      <c r="B143" s="1060"/>
      <c r="C143" s="1086">
        <v>14</v>
      </c>
      <c r="D143" s="1085">
        <v>15</v>
      </c>
      <c r="E143" s="1091">
        <v>0.47</v>
      </c>
      <c r="F143" s="1090">
        <v>1.35</v>
      </c>
      <c r="G143" s="1089">
        <f t="shared" si="55"/>
        <v>2.8723404255319154</v>
      </c>
      <c r="H143" s="1049"/>
      <c r="I143" s="1060"/>
      <c r="J143" s="1086">
        <v>14</v>
      </c>
      <c r="K143" s="1085">
        <v>15</v>
      </c>
      <c r="L143" s="1084">
        <v>0.42299999999999999</v>
      </c>
      <c r="M143" s="1088">
        <v>0.85</v>
      </c>
      <c r="N143" s="1087">
        <f t="shared" si="56"/>
        <v>2.0094562647754137</v>
      </c>
      <c r="O143" s="1049"/>
      <c r="P143" s="1058">
        <f>P131*0.8</f>
        <v>20.552</v>
      </c>
      <c r="Q143" s="1086">
        <v>14</v>
      </c>
      <c r="R143" s="1085">
        <v>15</v>
      </c>
      <c r="S143" s="1084">
        <v>1.08</v>
      </c>
      <c r="T143" s="1054">
        <f t="shared" si="57"/>
        <v>4.8924000000000003</v>
      </c>
      <c r="U143" s="1142">
        <v>5.9</v>
      </c>
      <c r="V143" s="1052">
        <f t="shared" si="58"/>
        <v>5.4629629629629628</v>
      </c>
      <c r="W143" s="1049"/>
      <c r="X143" s="1051">
        <v>4.53</v>
      </c>
      <c r="Y143" s="1049"/>
      <c r="Z143" s="1050">
        <f t="shared" si="59"/>
        <v>4.0284000000000004</v>
      </c>
      <c r="AA143" s="1058">
        <f>AA131*0.8</f>
        <v>58.991999999999997</v>
      </c>
      <c r="AB143" s="1086">
        <v>14</v>
      </c>
      <c r="AC143" s="1085">
        <v>15</v>
      </c>
      <c r="AD143" s="1084">
        <v>4.29</v>
      </c>
      <c r="AE143" s="1143">
        <f t="shared" si="60"/>
        <v>5.3196000000000003</v>
      </c>
      <c r="AF143" s="1142">
        <v>12.98</v>
      </c>
      <c r="AG143" s="1052">
        <f t="shared" si="61"/>
        <v>3.0256410256410255</v>
      </c>
      <c r="AH143" s="1049"/>
      <c r="AI143" s="1051">
        <v>1.24</v>
      </c>
      <c r="AJ143" s="1049"/>
      <c r="AK143" s="1050">
        <f t="shared" si="62"/>
        <v>1.8875999999999997</v>
      </c>
      <c r="AL143" s="1049"/>
      <c r="AM143" s="1058">
        <f>AM131*0.8</f>
        <v>4.6880000000000006</v>
      </c>
      <c r="AN143" s="1150">
        <v>14</v>
      </c>
      <c r="AO143" s="1085">
        <v>15</v>
      </c>
      <c r="AP143" s="1084">
        <v>0.16</v>
      </c>
      <c r="AQ143" s="1748">
        <f t="shared" si="63"/>
        <v>0</v>
      </c>
      <c r="AR143" s="1742">
        <v>0.38</v>
      </c>
      <c r="AS143" s="1052">
        <f t="shared" si="64"/>
        <v>2.375</v>
      </c>
      <c r="AT143" s="1049"/>
      <c r="AU143" s="1051"/>
      <c r="AV143" s="1049"/>
      <c r="AW143" s="1058">
        <f>AW131*0.8</f>
        <v>5.2240000000000011</v>
      </c>
      <c r="AX143" s="1086">
        <v>14</v>
      </c>
      <c r="AY143" s="1085">
        <v>15</v>
      </c>
      <c r="AZ143" s="1084">
        <v>0.3</v>
      </c>
      <c r="BA143" s="1736">
        <v>0.65</v>
      </c>
      <c r="BB143" s="1742">
        <f t="shared" si="65"/>
        <v>2.166666666666667</v>
      </c>
      <c r="BC143" s="1049"/>
      <c r="BD143" s="1051"/>
      <c r="BE143" s="1049"/>
      <c r="BF143" s="1058">
        <f>BF131*0.8</f>
        <v>6.3520000000000012</v>
      </c>
      <c r="BG143" s="1086">
        <v>14</v>
      </c>
      <c r="BH143" s="1085">
        <v>15</v>
      </c>
      <c r="BI143" s="1084">
        <v>0.36</v>
      </c>
      <c r="BJ143" s="1736" t="s">
        <v>1390</v>
      </c>
      <c r="BK143" s="1049"/>
      <c r="BL143" s="1058">
        <f>BL131*0.8</f>
        <v>6.6959999999999997</v>
      </c>
      <c r="BM143" s="1086">
        <v>14</v>
      </c>
      <c r="BN143" s="1085">
        <v>15</v>
      </c>
      <c r="BO143" s="1084">
        <v>0.9</v>
      </c>
      <c r="BP143" s="1084">
        <v>0.14000000000000001</v>
      </c>
      <c r="BQ143" s="1049"/>
    </row>
    <row r="144" spans="1:69" ht="14.4">
      <c r="A144" s="1049"/>
      <c r="B144" s="1060"/>
      <c r="C144" s="1086">
        <v>15</v>
      </c>
      <c r="D144" s="1085">
        <v>16</v>
      </c>
      <c r="E144" s="1091">
        <v>0.37</v>
      </c>
      <c r="F144" s="1090">
        <v>1.06</v>
      </c>
      <c r="G144" s="1089">
        <f t="shared" si="55"/>
        <v>2.8648648648648649</v>
      </c>
      <c r="H144" s="1049"/>
      <c r="I144" s="1060"/>
      <c r="J144" s="1086">
        <v>15</v>
      </c>
      <c r="K144" s="1085">
        <v>16</v>
      </c>
      <c r="L144" s="1084">
        <v>0.45300000000000001</v>
      </c>
      <c r="M144" s="1088">
        <v>0.91</v>
      </c>
      <c r="N144" s="1087">
        <f t="shared" si="56"/>
        <v>2.0088300220750552</v>
      </c>
      <c r="O144" s="1049"/>
      <c r="P144" s="1058" t="s">
        <v>1126</v>
      </c>
      <c r="Q144" s="1086">
        <v>15</v>
      </c>
      <c r="R144" s="1085">
        <v>16</v>
      </c>
      <c r="S144" s="1084">
        <v>1.32</v>
      </c>
      <c r="T144" s="1054">
        <f t="shared" si="57"/>
        <v>5.9004000000000003</v>
      </c>
      <c r="U144" s="1142">
        <v>7.13</v>
      </c>
      <c r="V144" s="1052">
        <f t="shared" si="58"/>
        <v>5.4015151515151514</v>
      </c>
      <c r="W144" s="1049"/>
      <c r="X144" s="1051">
        <v>4.47</v>
      </c>
      <c r="Y144" s="1049"/>
      <c r="Z144" s="1050">
        <f t="shared" si="59"/>
        <v>4.8444000000000003</v>
      </c>
      <c r="AA144" s="1058" t="s">
        <v>1126</v>
      </c>
      <c r="AB144" s="1086">
        <v>15</v>
      </c>
      <c r="AC144" s="1085">
        <v>16</v>
      </c>
      <c r="AD144" s="1084">
        <v>4.38</v>
      </c>
      <c r="AE144" s="1143">
        <f t="shared" si="60"/>
        <v>5.694</v>
      </c>
      <c r="AF144" s="1142">
        <v>13.64</v>
      </c>
      <c r="AG144" s="1052">
        <f t="shared" si="61"/>
        <v>3.1141552511415527</v>
      </c>
      <c r="AH144" s="1049"/>
      <c r="AI144" s="1051">
        <v>1.3</v>
      </c>
      <c r="AJ144" s="1049"/>
      <c r="AK144" s="1050">
        <f t="shared" si="62"/>
        <v>2.19</v>
      </c>
      <c r="AL144" s="1049"/>
      <c r="AM144" s="1058" t="s">
        <v>1126</v>
      </c>
      <c r="AN144" s="1150">
        <v>15</v>
      </c>
      <c r="AO144" s="1085">
        <v>16</v>
      </c>
      <c r="AP144" s="1084">
        <v>0.09</v>
      </c>
      <c r="AQ144" s="1748">
        <f t="shared" si="63"/>
        <v>0</v>
      </c>
      <c r="AR144" s="1742">
        <v>0.22</v>
      </c>
      <c r="AS144" s="1052">
        <f t="shared" si="64"/>
        <v>2.4444444444444446</v>
      </c>
      <c r="AT144" s="1049"/>
      <c r="AU144" s="1051"/>
      <c r="AV144" s="1049"/>
      <c r="AW144" s="1058" t="s">
        <v>1126</v>
      </c>
      <c r="AX144" s="1086">
        <v>15</v>
      </c>
      <c r="AY144" s="1085">
        <v>16</v>
      </c>
      <c r="AZ144" s="1084">
        <v>0.26</v>
      </c>
      <c r="BA144" s="1736">
        <v>0.56999999999999995</v>
      </c>
      <c r="BB144" s="1742">
        <f t="shared" si="65"/>
        <v>2.1923076923076921</v>
      </c>
      <c r="BC144" s="1049"/>
      <c r="BD144" s="1051"/>
      <c r="BE144" s="1049"/>
      <c r="BF144" s="1058" t="s">
        <v>1126</v>
      </c>
      <c r="BG144" s="1086">
        <v>15</v>
      </c>
      <c r="BH144" s="1085">
        <v>16</v>
      </c>
      <c r="BI144" s="1084">
        <v>0.32</v>
      </c>
      <c r="BJ144" s="1736" t="s">
        <v>1428</v>
      </c>
      <c r="BK144" s="1049"/>
      <c r="BL144" s="1058" t="s">
        <v>1126</v>
      </c>
      <c r="BM144" s="1086">
        <v>15</v>
      </c>
      <c r="BN144" s="1085">
        <v>16</v>
      </c>
      <c r="BO144" s="1084">
        <v>0.26</v>
      </c>
      <c r="BP144" s="1084">
        <v>0.1</v>
      </c>
      <c r="BQ144" s="1049"/>
    </row>
    <row r="145" spans="1:69" ht="15" thickBot="1">
      <c r="A145" s="1049"/>
      <c r="B145" s="1060"/>
      <c r="C145" s="1077">
        <v>16</v>
      </c>
      <c r="D145" s="1076">
        <v>17</v>
      </c>
      <c r="E145" s="1083">
        <v>0.38</v>
      </c>
      <c r="F145" s="1082">
        <v>1.1100000000000001</v>
      </c>
      <c r="G145" s="1081">
        <f t="shared" si="55"/>
        <v>2.9210526315789478</v>
      </c>
      <c r="H145" s="1049"/>
      <c r="I145" s="1060"/>
      <c r="J145" s="1077">
        <v>16</v>
      </c>
      <c r="K145" s="1076">
        <v>17</v>
      </c>
      <c r="L145" s="1075">
        <v>0.36799999999999999</v>
      </c>
      <c r="M145" s="1080">
        <v>0.75</v>
      </c>
      <c r="N145" s="1079">
        <f t="shared" si="56"/>
        <v>2.0380434782608696</v>
      </c>
      <c r="O145" s="1049"/>
      <c r="P145" s="1078">
        <f>P131*(X128-0.8)</f>
        <v>78.322387500000019</v>
      </c>
      <c r="Q145" s="1077">
        <v>16</v>
      </c>
      <c r="R145" s="1076">
        <v>17</v>
      </c>
      <c r="S145" s="1075">
        <v>1.47</v>
      </c>
      <c r="T145" s="1054">
        <f t="shared" si="57"/>
        <v>6.6738</v>
      </c>
      <c r="U145" s="1140">
        <v>8.0299999999999994</v>
      </c>
      <c r="V145" s="1052">
        <f t="shared" si="58"/>
        <v>5.4625850340136051</v>
      </c>
      <c r="W145" s="1049"/>
      <c r="X145" s="1074">
        <v>4.54</v>
      </c>
      <c r="Y145" s="1049"/>
      <c r="Z145" s="1050">
        <f t="shared" si="59"/>
        <v>5.4977999999999998</v>
      </c>
      <c r="AA145" s="1078">
        <f>AA131*(AI128-0.8)</f>
        <v>30.847899999999989</v>
      </c>
      <c r="AB145" s="1077">
        <v>16</v>
      </c>
      <c r="AC145" s="1076">
        <v>17</v>
      </c>
      <c r="AD145" s="1075">
        <v>3.24</v>
      </c>
      <c r="AE145" s="1141">
        <f t="shared" si="60"/>
        <v>4.6332000000000004</v>
      </c>
      <c r="AF145" s="1140">
        <v>10.72</v>
      </c>
      <c r="AG145" s="1052">
        <f t="shared" si="61"/>
        <v>3.308641975308642</v>
      </c>
      <c r="AH145" s="1049"/>
      <c r="AI145" s="1074">
        <v>1.43</v>
      </c>
      <c r="AJ145" s="1049"/>
      <c r="AK145" s="1050">
        <f t="shared" si="62"/>
        <v>2.0411999999999999</v>
      </c>
      <c r="AL145" s="1049"/>
      <c r="AM145" s="1078" t="e">
        <f>AM131*(AU128-0.8)</f>
        <v>#DIV/0!</v>
      </c>
      <c r="AN145" s="1149">
        <v>16</v>
      </c>
      <c r="AO145" s="1076">
        <v>17</v>
      </c>
      <c r="AP145" s="1075">
        <v>0.24</v>
      </c>
      <c r="AQ145" s="1749">
        <f t="shared" si="63"/>
        <v>0</v>
      </c>
      <c r="AR145" s="1743">
        <v>0.6</v>
      </c>
      <c r="AS145" s="1052">
        <f t="shared" si="64"/>
        <v>2.5</v>
      </c>
      <c r="AT145" s="1049"/>
      <c r="AU145" s="1074"/>
      <c r="AV145" s="1049"/>
      <c r="AW145" s="1078" t="e">
        <f>AW131*(BD128-0.8)</f>
        <v>#DIV/0!</v>
      </c>
      <c r="AX145" s="1077">
        <v>16</v>
      </c>
      <c r="AY145" s="1076">
        <v>17</v>
      </c>
      <c r="AZ145" s="1075">
        <v>0.36</v>
      </c>
      <c r="BA145" s="1738">
        <v>0.81</v>
      </c>
      <c r="BB145" s="1743">
        <f t="shared" si="65"/>
        <v>2.2500000000000004</v>
      </c>
      <c r="BC145" s="1049"/>
      <c r="BD145" s="1074"/>
      <c r="BE145" s="1049"/>
      <c r="BF145" s="1078">
        <f>BF131*(BM128-0.8)</f>
        <v>-6.3520000000000012</v>
      </c>
      <c r="BG145" s="1077">
        <v>16</v>
      </c>
      <c r="BH145" s="1076">
        <v>17</v>
      </c>
      <c r="BI145" s="1075">
        <v>0.34</v>
      </c>
      <c r="BJ145" s="1738" t="s">
        <v>1429</v>
      </c>
      <c r="BK145" s="1049"/>
      <c r="BL145" s="1078">
        <f>BL131*(BS128-0.8)</f>
        <v>-6.6959999999999997</v>
      </c>
      <c r="BM145" s="1077">
        <v>16</v>
      </c>
      <c r="BN145" s="1076">
        <v>17</v>
      </c>
      <c r="BO145" s="1075">
        <v>0.3</v>
      </c>
      <c r="BP145" s="1075">
        <v>0.14000000000000001</v>
      </c>
      <c r="BQ145" s="1049"/>
    </row>
    <row r="146" spans="1:69" ht="14.4">
      <c r="A146" s="1049"/>
      <c r="B146" s="1060"/>
      <c r="C146" s="1068">
        <v>17</v>
      </c>
      <c r="D146" s="1067">
        <v>18</v>
      </c>
      <c r="E146" s="1073">
        <v>0.32</v>
      </c>
      <c r="F146" s="1072">
        <v>1.1100000000000001</v>
      </c>
      <c r="G146" s="1071">
        <f t="shared" si="55"/>
        <v>3.4687500000000004</v>
      </c>
      <c r="H146" s="1049"/>
      <c r="I146" s="1060"/>
      <c r="J146" s="1068">
        <v>17</v>
      </c>
      <c r="K146" s="1067">
        <v>18</v>
      </c>
      <c r="L146" s="1066">
        <v>0.80900000000000005</v>
      </c>
      <c r="M146" s="1070">
        <v>2.31</v>
      </c>
      <c r="N146" s="1069">
        <f t="shared" si="56"/>
        <v>2.8553770086526575</v>
      </c>
      <c r="O146" s="1049"/>
      <c r="P146" s="1058"/>
      <c r="Q146" s="1068">
        <v>17</v>
      </c>
      <c r="R146" s="1067">
        <v>18</v>
      </c>
      <c r="S146" s="1066">
        <v>1.06</v>
      </c>
      <c r="T146" s="1054">
        <f t="shared" si="57"/>
        <v>5.0031999999999996</v>
      </c>
      <c r="U146" s="1138">
        <v>5.95</v>
      </c>
      <c r="V146" s="1052">
        <f t="shared" si="58"/>
        <v>5.6132075471698109</v>
      </c>
      <c r="W146" s="1049"/>
      <c r="X146" s="1065">
        <v>4.72</v>
      </c>
      <c r="Y146" s="1049"/>
      <c r="Z146" s="1050">
        <f t="shared" si="59"/>
        <v>4.1551999999999998</v>
      </c>
      <c r="AA146" s="1058"/>
      <c r="AB146" s="1068">
        <v>17</v>
      </c>
      <c r="AC146" s="1067">
        <v>18</v>
      </c>
      <c r="AD146" s="1066">
        <v>3.21</v>
      </c>
      <c r="AE146" s="1139">
        <f t="shared" si="60"/>
        <v>5.0718000000000005</v>
      </c>
      <c r="AF146" s="1138">
        <v>15.28</v>
      </c>
      <c r="AG146" s="1052">
        <f t="shared" si="61"/>
        <v>4.7601246105919</v>
      </c>
      <c r="AH146" s="1049"/>
      <c r="AI146" s="1065">
        <v>1.58</v>
      </c>
      <c r="AJ146" s="1049"/>
      <c r="AK146" s="1050">
        <f t="shared" si="62"/>
        <v>2.5038</v>
      </c>
      <c r="AL146" s="1049"/>
      <c r="AM146" s="1058"/>
      <c r="AN146" s="1068">
        <v>17</v>
      </c>
      <c r="AO146" s="1067">
        <v>18</v>
      </c>
      <c r="AP146" s="1066">
        <v>0.82</v>
      </c>
      <c r="AQ146" s="1750">
        <f t="shared" si="63"/>
        <v>0</v>
      </c>
      <c r="AR146" s="1744">
        <v>2.83</v>
      </c>
      <c r="AS146" s="1052">
        <f t="shared" si="64"/>
        <v>3.4512195121951224</v>
      </c>
      <c r="AT146" s="1049"/>
      <c r="AU146" s="1065"/>
      <c r="AV146" s="1049"/>
      <c r="AW146" s="1058"/>
      <c r="AX146" s="1068">
        <v>17</v>
      </c>
      <c r="AY146" s="1067">
        <v>18</v>
      </c>
      <c r="AZ146" s="1066">
        <v>0.97</v>
      </c>
      <c r="BA146" s="1740">
        <v>3.02</v>
      </c>
      <c r="BB146" s="1744">
        <f t="shared" si="65"/>
        <v>3.1134020618556701</v>
      </c>
      <c r="BC146" s="1049"/>
      <c r="BD146" s="1065"/>
      <c r="BE146" s="1049"/>
      <c r="BF146" s="1058"/>
      <c r="BG146" s="1068">
        <v>17</v>
      </c>
      <c r="BH146" s="1067">
        <v>18</v>
      </c>
      <c r="BI146" s="1066">
        <v>1.32</v>
      </c>
      <c r="BJ146" s="1740" t="s">
        <v>1430</v>
      </c>
      <c r="BK146" s="1049"/>
      <c r="BL146" s="1058"/>
      <c r="BM146" s="1068">
        <v>17</v>
      </c>
      <c r="BN146" s="1067">
        <v>18</v>
      </c>
      <c r="BO146" s="1066">
        <v>0.22</v>
      </c>
      <c r="BP146" s="1066">
        <v>0.15</v>
      </c>
      <c r="BQ146" s="1049"/>
    </row>
    <row r="147" spans="1:69" ht="14.4">
      <c r="A147" s="1049"/>
      <c r="B147" s="1060"/>
      <c r="C147" s="1057">
        <v>18</v>
      </c>
      <c r="D147" s="1056">
        <v>19</v>
      </c>
      <c r="E147" s="1063">
        <v>0.64</v>
      </c>
      <c r="F147" s="1062">
        <v>2.23</v>
      </c>
      <c r="G147" s="1061">
        <f t="shared" si="55"/>
        <v>3.484375</v>
      </c>
      <c r="H147" s="1049"/>
      <c r="I147" s="1060"/>
      <c r="J147" s="1057">
        <v>18</v>
      </c>
      <c r="K147" s="1056">
        <v>19</v>
      </c>
      <c r="L147" s="1055">
        <v>0.98299999999999998</v>
      </c>
      <c r="M147" s="1059">
        <v>2.81</v>
      </c>
      <c r="N147" s="1052">
        <f t="shared" si="56"/>
        <v>2.8585961342828079</v>
      </c>
      <c r="O147" s="1049"/>
      <c r="P147" s="1058"/>
      <c r="Q147" s="1057">
        <v>18</v>
      </c>
      <c r="R147" s="1056">
        <v>19</v>
      </c>
      <c r="S147" s="1055">
        <v>1.22</v>
      </c>
      <c r="T147" s="1054">
        <f t="shared" si="57"/>
        <v>5.4656000000000002</v>
      </c>
      <c r="U147" s="1136">
        <v>6.57</v>
      </c>
      <c r="V147" s="1052">
        <f t="shared" si="58"/>
        <v>5.3852459016393448</v>
      </c>
      <c r="W147" s="1049"/>
      <c r="X147" s="1051">
        <v>4.4800000000000004</v>
      </c>
      <c r="Y147" s="1049"/>
      <c r="Z147" s="1050">
        <f t="shared" si="59"/>
        <v>4.4896000000000003</v>
      </c>
      <c r="AA147" s="1058"/>
      <c r="AB147" s="1057">
        <v>18</v>
      </c>
      <c r="AC147" s="1056">
        <v>19</v>
      </c>
      <c r="AD147" s="1055">
        <v>3.26</v>
      </c>
      <c r="AE147" s="1137">
        <f t="shared" si="60"/>
        <v>4.9878</v>
      </c>
      <c r="AF147" s="1136">
        <v>15.25</v>
      </c>
      <c r="AG147" s="1052">
        <f t="shared" si="61"/>
        <v>4.6779141104294482</v>
      </c>
      <c r="AH147" s="1049"/>
      <c r="AI147" s="1051">
        <v>1.53</v>
      </c>
      <c r="AJ147" s="1049"/>
      <c r="AK147" s="1050">
        <f t="shared" si="62"/>
        <v>2.3797999999999999</v>
      </c>
      <c r="AL147" s="1049"/>
      <c r="AM147" s="1058"/>
      <c r="AN147" s="1057">
        <v>18</v>
      </c>
      <c r="AO147" s="1056">
        <v>19</v>
      </c>
      <c r="AP147" s="1055">
        <v>0.51</v>
      </c>
      <c r="AQ147" s="1745">
        <f t="shared" si="63"/>
        <v>0</v>
      </c>
      <c r="AR147" s="1737">
        <v>1.83</v>
      </c>
      <c r="AS147" s="1052">
        <f t="shared" si="64"/>
        <v>3.5882352941176472</v>
      </c>
      <c r="AT147" s="1049"/>
      <c r="AU147" s="1051"/>
      <c r="AV147" s="1049"/>
      <c r="AW147" s="1058"/>
      <c r="AX147" s="1057">
        <v>18</v>
      </c>
      <c r="AY147" s="1056">
        <v>19</v>
      </c>
      <c r="AZ147" s="1055">
        <v>0.23</v>
      </c>
      <c r="BA147" s="1736">
        <v>0.76</v>
      </c>
      <c r="BB147" s="1737">
        <f t="shared" si="65"/>
        <v>3.3043478260869565</v>
      </c>
      <c r="BC147" s="1049"/>
      <c r="BD147" s="1051"/>
      <c r="BE147" s="1049"/>
      <c r="BF147" s="1058"/>
      <c r="BG147" s="1057">
        <v>18</v>
      </c>
      <c r="BH147" s="1056">
        <v>19</v>
      </c>
      <c r="BI147" s="1055">
        <v>0.28999999999999998</v>
      </c>
      <c r="BJ147" s="1736" t="s">
        <v>1431</v>
      </c>
      <c r="BK147" s="1049"/>
      <c r="BL147" s="1058"/>
      <c r="BM147" s="1057">
        <v>18</v>
      </c>
      <c r="BN147" s="1056">
        <v>19</v>
      </c>
      <c r="BO147" s="1055">
        <v>0.3</v>
      </c>
      <c r="BP147" s="1055">
        <v>0.11</v>
      </c>
      <c r="BQ147" s="1049"/>
    </row>
    <row r="148" spans="1:69" ht="14.4">
      <c r="A148" s="1049"/>
      <c r="B148" s="1060"/>
      <c r="C148" s="1057">
        <v>19</v>
      </c>
      <c r="D148" s="1056">
        <v>20</v>
      </c>
      <c r="E148" s="1063">
        <v>0.41</v>
      </c>
      <c r="F148" s="1062">
        <v>1.43</v>
      </c>
      <c r="G148" s="1061">
        <f t="shared" si="55"/>
        <v>3.4878048780487805</v>
      </c>
      <c r="H148" s="1049"/>
      <c r="I148" s="1060"/>
      <c r="J148" s="1057">
        <v>19</v>
      </c>
      <c r="K148" s="1056">
        <v>20</v>
      </c>
      <c r="L148" s="1055">
        <v>0.68700000000000006</v>
      </c>
      <c r="M148" s="1059">
        <v>1.91</v>
      </c>
      <c r="N148" s="1052">
        <f t="shared" si="56"/>
        <v>2.7802037845705962</v>
      </c>
      <c r="O148" s="1049"/>
      <c r="P148" s="1058"/>
      <c r="Q148" s="1057">
        <v>19</v>
      </c>
      <c r="R148" s="1056">
        <v>20</v>
      </c>
      <c r="S148" s="1055">
        <v>0.99</v>
      </c>
      <c r="T148" s="1054">
        <f t="shared" si="57"/>
        <v>4.0985999999999994</v>
      </c>
      <c r="U148" s="1136">
        <v>5.03</v>
      </c>
      <c r="V148" s="1052">
        <f t="shared" si="58"/>
        <v>5.0808080808080813</v>
      </c>
      <c r="W148" s="1049"/>
      <c r="X148" s="1051">
        <v>4.1399999999999997</v>
      </c>
      <c r="Y148" s="1049"/>
      <c r="Z148" s="1050">
        <f t="shared" si="59"/>
        <v>3.3066</v>
      </c>
      <c r="AA148" s="1058"/>
      <c r="AB148" s="1057">
        <v>19</v>
      </c>
      <c r="AC148" s="1056">
        <v>20</v>
      </c>
      <c r="AD148" s="1055">
        <v>3.65</v>
      </c>
      <c r="AE148" s="1137">
        <f t="shared" si="60"/>
        <v>5.4384999999999994</v>
      </c>
      <c r="AF148" s="1136">
        <v>16.88</v>
      </c>
      <c r="AG148" s="1052">
        <f t="shared" si="61"/>
        <v>4.624657534246575</v>
      </c>
      <c r="AH148" s="1049"/>
      <c r="AI148" s="1051">
        <v>1.49</v>
      </c>
      <c r="AJ148" s="1049"/>
      <c r="AK148" s="1050">
        <f t="shared" si="62"/>
        <v>2.5185</v>
      </c>
      <c r="AL148" s="1049"/>
      <c r="AM148" s="1058"/>
      <c r="AN148" s="1057">
        <v>19</v>
      </c>
      <c r="AO148" s="1056">
        <v>20</v>
      </c>
      <c r="AP148" s="1055">
        <v>0.39</v>
      </c>
      <c r="AQ148" s="1745">
        <f t="shared" si="63"/>
        <v>0</v>
      </c>
      <c r="AR148" s="1737">
        <v>1.37</v>
      </c>
      <c r="AS148" s="1052">
        <f t="shared" si="64"/>
        <v>3.5128205128205128</v>
      </c>
      <c r="AT148" s="1049"/>
      <c r="AU148" s="1051"/>
      <c r="AV148" s="1049"/>
      <c r="AW148" s="1058"/>
      <c r="AX148" s="1057">
        <v>19</v>
      </c>
      <c r="AY148" s="1056">
        <v>20</v>
      </c>
      <c r="AZ148" s="1055">
        <v>0.28000000000000003</v>
      </c>
      <c r="BA148" s="1736">
        <v>0.9</v>
      </c>
      <c r="BB148" s="1737">
        <f t="shared" si="65"/>
        <v>3.214285714285714</v>
      </c>
      <c r="BC148" s="1049"/>
      <c r="BD148" s="1051"/>
      <c r="BE148" s="1049"/>
      <c r="BF148" s="1058"/>
      <c r="BG148" s="1057">
        <v>19</v>
      </c>
      <c r="BH148" s="1056">
        <v>20</v>
      </c>
      <c r="BI148" s="1055">
        <v>0.33</v>
      </c>
      <c r="BJ148" s="1736" t="s">
        <v>1432</v>
      </c>
      <c r="BK148" s="1049"/>
      <c r="BL148" s="1058"/>
      <c r="BM148" s="1057">
        <v>19</v>
      </c>
      <c r="BN148" s="1056">
        <v>20</v>
      </c>
      <c r="BO148" s="1055">
        <v>0.54</v>
      </c>
      <c r="BP148" s="1055">
        <v>0.1</v>
      </c>
      <c r="BQ148" s="1049"/>
    </row>
    <row r="149" spans="1:69" ht="14.4">
      <c r="A149" s="1049"/>
      <c r="B149" s="1060"/>
      <c r="C149" s="1057">
        <v>20</v>
      </c>
      <c r="D149" s="1056">
        <v>21</v>
      </c>
      <c r="E149" s="1063">
        <v>1.03</v>
      </c>
      <c r="F149" s="1062">
        <v>2.97</v>
      </c>
      <c r="G149" s="1061">
        <f t="shared" si="55"/>
        <v>2.883495145631068</v>
      </c>
      <c r="H149" s="1049"/>
      <c r="I149" s="1060"/>
      <c r="J149" s="1057">
        <v>20</v>
      </c>
      <c r="K149" s="1056">
        <v>21</v>
      </c>
      <c r="L149" s="1055">
        <v>0.68200000000000005</v>
      </c>
      <c r="M149" s="1059">
        <v>1.36</v>
      </c>
      <c r="N149" s="1052">
        <f t="shared" si="56"/>
        <v>1.9941348973607038</v>
      </c>
      <c r="O149" s="1049"/>
      <c r="P149" s="1058"/>
      <c r="Q149" s="1057">
        <v>20</v>
      </c>
      <c r="R149" s="1056">
        <v>21</v>
      </c>
      <c r="S149" s="1055">
        <v>1.45</v>
      </c>
      <c r="T149" s="1054">
        <f t="shared" si="57"/>
        <v>5.3360000000000003</v>
      </c>
      <c r="U149" s="1136">
        <v>6.69</v>
      </c>
      <c r="V149" s="1052">
        <f t="shared" si="58"/>
        <v>4.613793103448276</v>
      </c>
      <c r="W149" s="1049"/>
      <c r="X149" s="1051">
        <v>3.68</v>
      </c>
      <c r="Y149" s="1049"/>
      <c r="Z149" s="1050">
        <f t="shared" si="59"/>
        <v>4.1760000000000002</v>
      </c>
      <c r="AA149" s="1058"/>
      <c r="AB149" s="1057">
        <v>20</v>
      </c>
      <c r="AC149" s="1056">
        <v>21</v>
      </c>
      <c r="AD149" s="1055">
        <v>4.05</v>
      </c>
      <c r="AE149" s="1137">
        <f t="shared" si="60"/>
        <v>5.7914999999999992</v>
      </c>
      <c r="AF149" s="1136">
        <v>13.39</v>
      </c>
      <c r="AG149" s="1052">
        <f t="shared" si="61"/>
        <v>3.3061728395061731</v>
      </c>
      <c r="AH149" s="1049"/>
      <c r="AI149" s="1051">
        <v>1.43</v>
      </c>
      <c r="AJ149" s="1049"/>
      <c r="AK149" s="1050">
        <f t="shared" si="62"/>
        <v>2.5514999999999994</v>
      </c>
      <c r="AL149" s="1049"/>
      <c r="AM149" s="1058"/>
      <c r="AN149" s="1057">
        <v>20</v>
      </c>
      <c r="AO149" s="1056">
        <v>21</v>
      </c>
      <c r="AP149" s="1055">
        <v>0.27</v>
      </c>
      <c r="AQ149" s="1745">
        <f t="shared" si="63"/>
        <v>0</v>
      </c>
      <c r="AR149" s="1737">
        <v>0.69</v>
      </c>
      <c r="AS149" s="1052">
        <f t="shared" si="64"/>
        <v>2.5555555555555554</v>
      </c>
      <c r="AT149" s="1049"/>
      <c r="AU149" s="1051"/>
      <c r="AV149" s="1049"/>
      <c r="AW149" s="1058"/>
      <c r="AX149" s="1057">
        <v>20</v>
      </c>
      <c r="AY149" s="1056">
        <v>21</v>
      </c>
      <c r="AZ149" s="1055">
        <v>0.24</v>
      </c>
      <c r="BA149" s="1736">
        <v>0.53</v>
      </c>
      <c r="BB149" s="1737">
        <f t="shared" si="65"/>
        <v>2.2083333333333335</v>
      </c>
      <c r="BC149" s="1049"/>
      <c r="BD149" s="1051"/>
      <c r="BE149" s="1049"/>
      <c r="BF149" s="1058"/>
      <c r="BG149" s="1057">
        <v>20</v>
      </c>
      <c r="BH149" s="1056">
        <v>21</v>
      </c>
      <c r="BI149" s="1055">
        <v>0.32</v>
      </c>
      <c r="BJ149" s="1736" t="s">
        <v>1429</v>
      </c>
      <c r="BK149" s="1049"/>
      <c r="BL149" s="1058"/>
      <c r="BM149" s="1057">
        <v>20</v>
      </c>
      <c r="BN149" s="1056">
        <v>21</v>
      </c>
      <c r="BO149" s="1055">
        <v>0.31</v>
      </c>
      <c r="BP149" s="1055">
        <v>0.17</v>
      </c>
      <c r="BQ149" s="1049"/>
    </row>
    <row r="150" spans="1:69" ht="14.4">
      <c r="A150" s="1049"/>
      <c r="B150" s="1060"/>
      <c r="C150" s="1057">
        <v>21</v>
      </c>
      <c r="D150" s="1056">
        <v>22</v>
      </c>
      <c r="E150" s="1063">
        <v>0.74</v>
      </c>
      <c r="F150" s="1062">
        <v>2.14</v>
      </c>
      <c r="G150" s="1061">
        <f t="shared" si="55"/>
        <v>2.8918918918918921</v>
      </c>
      <c r="H150" s="1049"/>
      <c r="I150" s="1060"/>
      <c r="J150" s="1057">
        <v>21</v>
      </c>
      <c r="K150" s="1056">
        <v>22</v>
      </c>
      <c r="L150" s="1055">
        <v>0.64600000000000002</v>
      </c>
      <c r="M150" s="1059">
        <v>1.24</v>
      </c>
      <c r="N150" s="1052">
        <f t="shared" si="56"/>
        <v>1.9195046439628483</v>
      </c>
      <c r="O150" s="1049"/>
      <c r="P150" s="1058"/>
      <c r="Q150" s="1057">
        <v>21</v>
      </c>
      <c r="R150" s="1056">
        <v>22</v>
      </c>
      <c r="S150" s="1055">
        <v>1.63</v>
      </c>
      <c r="T150" s="1054">
        <f t="shared" si="57"/>
        <v>5.2485999999999997</v>
      </c>
      <c r="U150" s="1136">
        <v>6.75</v>
      </c>
      <c r="V150" s="1052">
        <f t="shared" si="58"/>
        <v>4.1411042944785281</v>
      </c>
      <c r="W150" s="1049"/>
      <c r="X150" s="1051">
        <v>3.22</v>
      </c>
      <c r="Y150" s="1049"/>
      <c r="Z150" s="1050">
        <f t="shared" si="59"/>
        <v>3.9445999999999994</v>
      </c>
      <c r="AA150" s="1058"/>
      <c r="AB150" s="1057">
        <v>21</v>
      </c>
      <c r="AC150" s="1056">
        <v>22</v>
      </c>
      <c r="AD150" s="1055">
        <v>3.61</v>
      </c>
      <c r="AE150" s="1137">
        <f t="shared" si="60"/>
        <v>4.9096000000000002</v>
      </c>
      <c r="AF150" s="1136">
        <v>11.56</v>
      </c>
      <c r="AG150" s="1052">
        <f t="shared" si="61"/>
        <v>3.2022160664819945</v>
      </c>
      <c r="AH150" s="1049"/>
      <c r="AI150" s="1051">
        <v>1.36</v>
      </c>
      <c r="AJ150" s="1049"/>
      <c r="AK150" s="1050">
        <f t="shared" si="62"/>
        <v>2.0216000000000003</v>
      </c>
      <c r="AL150" s="1049"/>
      <c r="AM150" s="1058"/>
      <c r="AN150" s="1057">
        <v>21</v>
      </c>
      <c r="AO150" s="1056">
        <v>22</v>
      </c>
      <c r="AP150" s="1055">
        <v>0.2</v>
      </c>
      <c r="AQ150" s="1745">
        <f t="shared" si="63"/>
        <v>0</v>
      </c>
      <c r="AR150" s="1737">
        <v>0.47</v>
      </c>
      <c r="AS150" s="1052">
        <f t="shared" si="64"/>
        <v>2.3499999999999996</v>
      </c>
      <c r="AT150" s="1049"/>
      <c r="AU150" s="1051"/>
      <c r="AV150" s="1049"/>
      <c r="AW150" s="1058"/>
      <c r="AX150" s="1057">
        <v>21</v>
      </c>
      <c r="AY150" s="1056">
        <v>22</v>
      </c>
      <c r="AZ150" s="1055">
        <v>0.37</v>
      </c>
      <c r="BA150" s="1736">
        <v>0.75</v>
      </c>
      <c r="BB150" s="1737">
        <f t="shared" si="65"/>
        <v>2.0270270270270272</v>
      </c>
      <c r="BC150" s="1049"/>
      <c r="BD150" s="1051"/>
      <c r="BE150" s="1049"/>
      <c r="BF150" s="1058"/>
      <c r="BG150" s="1057">
        <v>21</v>
      </c>
      <c r="BH150" s="1056">
        <v>22</v>
      </c>
      <c r="BI150" s="1055">
        <v>0.4</v>
      </c>
      <c r="BJ150" s="1736" t="s">
        <v>1421</v>
      </c>
      <c r="BK150" s="1049"/>
      <c r="BL150" s="1058"/>
      <c r="BM150" s="1057">
        <v>21</v>
      </c>
      <c r="BN150" s="1056">
        <v>22</v>
      </c>
      <c r="BO150" s="1055">
        <v>0.16</v>
      </c>
      <c r="BP150" s="1055">
        <v>0.14000000000000001</v>
      </c>
      <c r="BQ150" s="1049"/>
    </row>
    <row r="151" spans="1:69" ht="14.4">
      <c r="A151" s="1049"/>
      <c r="B151" s="1060"/>
      <c r="C151" s="1057">
        <v>22</v>
      </c>
      <c r="D151" s="1056">
        <v>23</v>
      </c>
      <c r="E151" s="1063">
        <v>0.32</v>
      </c>
      <c r="F151" s="1062">
        <v>0.91</v>
      </c>
      <c r="G151" s="1061">
        <f t="shared" si="55"/>
        <v>2.84375</v>
      </c>
      <c r="H151" s="1049"/>
      <c r="I151" s="1060"/>
      <c r="J151" s="1057">
        <v>22</v>
      </c>
      <c r="K151" s="1056">
        <v>23</v>
      </c>
      <c r="L151" s="1055">
        <v>0.48</v>
      </c>
      <c r="M151" s="1059">
        <v>0.92</v>
      </c>
      <c r="N151" s="1052">
        <f t="shared" si="56"/>
        <v>1.9166666666666667</v>
      </c>
      <c r="O151" s="1049"/>
      <c r="P151" s="1058"/>
      <c r="Q151" s="1057">
        <v>22</v>
      </c>
      <c r="R151" s="1056">
        <v>23</v>
      </c>
      <c r="S151" s="1055">
        <v>1.92</v>
      </c>
      <c r="T151" s="1054">
        <f t="shared" si="57"/>
        <v>5.9327999999999994</v>
      </c>
      <c r="U151" s="1136">
        <v>7.69</v>
      </c>
      <c r="V151" s="1052">
        <f t="shared" si="58"/>
        <v>4.0052083333333339</v>
      </c>
      <c r="W151" s="1049"/>
      <c r="X151" s="1051">
        <v>3.09</v>
      </c>
      <c r="Y151" s="1049"/>
      <c r="Z151" s="1050">
        <f t="shared" si="59"/>
        <v>4.3967999999999998</v>
      </c>
      <c r="AA151" s="1058"/>
      <c r="AB151" s="1057">
        <v>22</v>
      </c>
      <c r="AC151" s="1056">
        <v>23</v>
      </c>
      <c r="AD151" s="1055">
        <v>3.49</v>
      </c>
      <c r="AE151" s="1137">
        <f t="shared" si="60"/>
        <v>4.6766000000000005</v>
      </c>
      <c r="AF151" s="1136">
        <v>11.06</v>
      </c>
      <c r="AG151" s="1052">
        <f t="shared" si="61"/>
        <v>3.1690544412607449</v>
      </c>
      <c r="AH151" s="1049"/>
      <c r="AI151" s="1051">
        <v>1.34</v>
      </c>
      <c r="AJ151" s="1049"/>
      <c r="AK151" s="1050">
        <f t="shared" si="62"/>
        <v>1.8846000000000003</v>
      </c>
      <c r="AL151" s="1049"/>
      <c r="AM151" s="1058"/>
      <c r="AN151" s="1057">
        <v>22</v>
      </c>
      <c r="AO151" s="1056">
        <v>23</v>
      </c>
      <c r="AP151" s="1055">
        <v>0.14000000000000001</v>
      </c>
      <c r="AQ151" s="1745">
        <f t="shared" si="63"/>
        <v>0</v>
      </c>
      <c r="AR151" s="1737">
        <v>0.31</v>
      </c>
      <c r="AS151" s="1052">
        <f t="shared" si="64"/>
        <v>2.214285714285714</v>
      </c>
      <c r="AT151" s="1049"/>
      <c r="AU151" s="1051"/>
      <c r="AV151" s="1049"/>
      <c r="AW151" s="1058"/>
      <c r="AX151" s="1057">
        <v>22</v>
      </c>
      <c r="AY151" s="1056">
        <v>23</v>
      </c>
      <c r="AZ151" s="1055">
        <v>0.23</v>
      </c>
      <c r="BA151" s="1736">
        <v>0.45</v>
      </c>
      <c r="BB151" s="1737">
        <f t="shared" si="65"/>
        <v>1.9565217391304348</v>
      </c>
      <c r="BC151" s="1049"/>
      <c r="BD151" s="1051"/>
      <c r="BE151" s="1049"/>
      <c r="BF151" s="1058"/>
      <c r="BG151" s="1057">
        <v>22</v>
      </c>
      <c r="BH151" s="1056">
        <v>23</v>
      </c>
      <c r="BI151" s="1055">
        <v>0.37</v>
      </c>
      <c r="BJ151" s="1736" t="s">
        <v>1416</v>
      </c>
      <c r="BK151" s="1049"/>
      <c r="BL151" s="1058"/>
      <c r="BM151" s="1057">
        <v>22</v>
      </c>
      <c r="BN151" s="1056">
        <v>23</v>
      </c>
      <c r="BO151" s="1055">
        <v>0.14000000000000001</v>
      </c>
      <c r="BP151" s="1055">
        <v>0.1</v>
      </c>
      <c r="BQ151" s="1049"/>
    </row>
    <row r="152" spans="1:69" ht="14.4">
      <c r="A152" s="1049"/>
      <c r="B152" s="1060"/>
      <c r="C152" s="1057">
        <v>23</v>
      </c>
      <c r="D152" s="1056">
        <v>24</v>
      </c>
      <c r="E152" s="1063">
        <v>0.3</v>
      </c>
      <c r="F152" s="1062">
        <v>0.85</v>
      </c>
      <c r="G152" s="1061">
        <f t="shared" si="55"/>
        <v>2.8333333333333335</v>
      </c>
      <c r="H152" s="1049"/>
      <c r="I152" s="1060"/>
      <c r="J152" s="1057">
        <v>23</v>
      </c>
      <c r="K152" s="1056">
        <v>24</v>
      </c>
      <c r="L152" s="1055">
        <v>0.44500000000000001</v>
      </c>
      <c r="M152" s="1059">
        <v>0.82</v>
      </c>
      <c r="N152" s="1052">
        <f t="shared" si="56"/>
        <v>1.842696629213483</v>
      </c>
      <c r="O152" s="1049"/>
      <c r="P152" s="1058"/>
      <c r="Q152" s="1057">
        <v>23</v>
      </c>
      <c r="R152" s="1056">
        <v>24</v>
      </c>
      <c r="S152" s="1055">
        <v>1.21</v>
      </c>
      <c r="T152" s="1054">
        <f t="shared" si="57"/>
        <v>3.4001000000000001</v>
      </c>
      <c r="U152" s="1136">
        <v>4.51</v>
      </c>
      <c r="V152" s="1052">
        <f t="shared" si="58"/>
        <v>3.7272727272727271</v>
      </c>
      <c r="W152" s="1049"/>
      <c r="X152" s="1051">
        <v>2.81</v>
      </c>
      <c r="Y152" s="1049"/>
      <c r="Z152" s="1050">
        <f t="shared" si="59"/>
        <v>2.4320999999999997</v>
      </c>
      <c r="AA152" s="1058"/>
      <c r="AB152" s="1057">
        <v>23</v>
      </c>
      <c r="AC152" s="1056">
        <v>24</v>
      </c>
      <c r="AD152" s="1055">
        <v>3.67</v>
      </c>
      <c r="AE152" s="1137">
        <f t="shared" si="60"/>
        <v>4.6242000000000001</v>
      </c>
      <c r="AF152" s="1136">
        <v>11.19</v>
      </c>
      <c r="AG152" s="1052">
        <f t="shared" si="61"/>
        <v>3.0490463215258856</v>
      </c>
      <c r="AH152" s="1049"/>
      <c r="AI152" s="1051">
        <v>1.26</v>
      </c>
      <c r="AJ152" s="1049"/>
      <c r="AK152" s="1050">
        <f t="shared" si="62"/>
        <v>1.6881999999999999</v>
      </c>
      <c r="AL152" s="1049"/>
      <c r="AM152" s="1058"/>
      <c r="AN152" s="1057">
        <v>23</v>
      </c>
      <c r="AO152" s="1056">
        <v>24</v>
      </c>
      <c r="AP152" s="1055">
        <v>0.13</v>
      </c>
      <c r="AQ152" s="1745">
        <f t="shared" si="63"/>
        <v>0</v>
      </c>
      <c r="AR152" s="1737">
        <v>0.28999999999999998</v>
      </c>
      <c r="AS152" s="1052">
        <f t="shared" si="64"/>
        <v>2.2307692307692304</v>
      </c>
      <c r="AT152" s="1049"/>
      <c r="AU152" s="1051"/>
      <c r="AV152" s="1049"/>
      <c r="AW152" s="1058"/>
      <c r="AX152" s="1057">
        <v>23</v>
      </c>
      <c r="AY152" s="1056">
        <v>24</v>
      </c>
      <c r="AZ152" s="1055">
        <v>0.17</v>
      </c>
      <c r="BA152" s="1736">
        <v>0.31</v>
      </c>
      <c r="BB152" s="1737">
        <f t="shared" si="65"/>
        <v>1.8235294117647058</v>
      </c>
      <c r="BC152" s="1049"/>
      <c r="BD152" s="1051"/>
      <c r="BE152" s="1049"/>
      <c r="BF152" s="1058"/>
      <c r="BG152" s="1057">
        <v>23</v>
      </c>
      <c r="BH152" s="1056">
        <v>24</v>
      </c>
      <c r="BI152" s="1055">
        <v>0.24</v>
      </c>
      <c r="BJ152" s="1736" t="s">
        <v>1386</v>
      </c>
      <c r="BK152" s="1049"/>
      <c r="BL152" s="1058"/>
      <c r="BM152" s="1057">
        <v>23</v>
      </c>
      <c r="BN152" s="1056">
        <v>24</v>
      </c>
      <c r="BO152" s="1055">
        <v>0.18</v>
      </c>
      <c r="BP152" s="1055">
        <v>0.12</v>
      </c>
      <c r="BQ152" s="1049"/>
    </row>
    <row r="153" spans="1:69" ht="14.4">
      <c r="A153" s="1036"/>
      <c r="B153" s="1044"/>
      <c r="C153" s="1135"/>
      <c r="D153" s="1135"/>
      <c r="E153" s="1134"/>
      <c r="F153" s="1133"/>
      <c r="G153" s="1132"/>
      <c r="H153" s="1044"/>
      <c r="I153" s="1044" t="s">
        <v>1138</v>
      </c>
      <c r="J153" s="1046"/>
      <c r="K153" s="1046"/>
      <c r="L153" s="1129">
        <f>AVERAGE(L154:L177)</f>
        <v>0.62054166666666677</v>
      </c>
      <c r="M153" s="1131">
        <f>AVERAGE(M154:M177)</f>
        <v>1.4345833333333335</v>
      </c>
      <c r="N153" s="1039">
        <f>AVERAGE(N154:N177)</f>
        <v>2.2488027568538471</v>
      </c>
      <c r="O153" s="1044"/>
      <c r="P153" s="1130" t="s">
        <v>1131</v>
      </c>
      <c r="Q153" s="1046"/>
      <c r="R153" s="1046"/>
      <c r="S153" s="1129">
        <f>AVERAGE(S154:S177)</f>
        <v>1.2424166666666667</v>
      </c>
      <c r="T153" s="1128">
        <f>SUM(T154:T177)</f>
        <v>104.58596000000001</v>
      </c>
      <c r="U153" s="1040">
        <f>AVERAGE(U154:U177)</f>
        <v>5.5145833333333316</v>
      </c>
      <c r="V153" s="1039">
        <f>AVERAGE(V154:V177)</f>
        <v>4.2032435738642819</v>
      </c>
      <c r="W153" s="1036"/>
      <c r="X153" s="1038">
        <f>AVERAGE(X154:X177)</f>
        <v>3.2775000000000003</v>
      </c>
      <c r="Y153" s="1036"/>
      <c r="Z153" s="1127">
        <f>SUM(Z154:Z177)</f>
        <v>80.731560000000016</v>
      </c>
      <c r="AA153" s="1130" t="s">
        <v>1128</v>
      </c>
      <c r="AB153" s="1046"/>
      <c r="AC153" s="1046"/>
      <c r="AD153" s="1129">
        <f>AVERAGE(AD154:AD177)</f>
        <v>3.2008333333333332</v>
      </c>
      <c r="AE153" s="1128">
        <f>SUM(AE154:AE177)</f>
        <v>76.480499999999992</v>
      </c>
      <c r="AF153" s="1040">
        <f>AVERAGE(AF154:AF177)</f>
        <v>8.7287499999999998</v>
      </c>
      <c r="AG153" s="1039">
        <f>AVERAGE(AG154:AG177)</f>
        <v>2.7262396968257447</v>
      </c>
      <c r="AH153" s="1036"/>
      <c r="AI153" s="1038">
        <f>AVERAGE(AI154:AI177)</f>
        <v>1</v>
      </c>
      <c r="AJ153" s="1036"/>
      <c r="AK153" s="1127">
        <f>SUM(AK154:AK177)</f>
        <v>15.024499999999993</v>
      </c>
      <c r="AL153" s="1036"/>
      <c r="AM153" s="1130"/>
      <c r="AN153" s="1046"/>
      <c r="AO153" s="1046"/>
      <c r="AP153" s="1129">
        <f>AVERAGE(AP154:AP177)</f>
        <v>0.31791666666666674</v>
      </c>
      <c r="AQ153" s="1734">
        <f>SUM(AQ154:AQ177)</f>
        <v>0</v>
      </c>
      <c r="AR153" s="1735">
        <f>AVERAGE(AR154:AR177)</f>
        <v>0.85208333333333341</v>
      </c>
      <c r="AS153" s="1039">
        <f>AVERAGE(AS154:AS177)</f>
        <v>2.5055706513001792</v>
      </c>
      <c r="AT153" s="1036"/>
      <c r="AU153" s="1038" t="e">
        <f>AVERAGE(AU154:AU177)</f>
        <v>#DIV/0!</v>
      </c>
      <c r="AV153" s="1036"/>
      <c r="AW153" s="1130" t="s">
        <v>1137</v>
      </c>
      <c r="AX153" s="1046"/>
      <c r="AY153" s="1046"/>
      <c r="AZ153" s="1129">
        <f>AVERAGE(AZ154:AZ177)</f>
        <v>0.33041666666666664</v>
      </c>
      <c r="BA153" s="1045">
        <f>AVERAGE(BA154:BA177)</f>
        <v>0.68916666666666682</v>
      </c>
      <c r="BB153" s="1039">
        <f>AVERAGE(BB154:BB177)</f>
        <v>1.8696087966256119</v>
      </c>
      <c r="BC153" s="1036"/>
      <c r="BD153" s="1038" t="e">
        <f>AVERAGE(BD154:BD177)</f>
        <v>#DIV/0!</v>
      </c>
      <c r="BE153" s="1036"/>
      <c r="BF153" s="1130" t="s">
        <v>1130</v>
      </c>
      <c r="BG153" s="2756">
        <f>BF154</f>
        <v>45023</v>
      </c>
      <c r="BH153" s="2756"/>
      <c r="BI153" s="1897">
        <f>SUM(BI154:BI177)</f>
        <v>6.8600000000000012</v>
      </c>
      <c r="BJ153" s="1898">
        <f>SUM(BJ154:BJ177)</f>
        <v>0</v>
      </c>
      <c r="BK153" s="1036"/>
      <c r="BL153" s="1130" t="s">
        <v>1139</v>
      </c>
      <c r="BM153" s="1046"/>
      <c r="BN153" s="1046"/>
      <c r="BO153" s="1129" t="e">
        <f>AVERAGE(BO154:BO177)</f>
        <v>#DIV/0!</v>
      </c>
      <c r="BP153" s="1129">
        <f>AVERAGE(BP154:BP177)</f>
        <v>0.12208333333333332</v>
      </c>
      <c r="BQ153" s="1036"/>
    </row>
    <row r="154" spans="1:69" ht="14.4">
      <c r="A154" s="1049"/>
      <c r="B154" s="1126">
        <v>44841</v>
      </c>
      <c r="C154" s="1057">
        <v>0</v>
      </c>
      <c r="D154" s="1056">
        <v>1</v>
      </c>
      <c r="E154" s="1063">
        <v>0.21</v>
      </c>
      <c r="F154" s="1062">
        <v>0.59</v>
      </c>
      <c r="G154" s="1061">
        <f t="shared" ref="G154:G177" si="66">F154/E154</f>
        <v>2.8095238095238093</v>
      </c>
      <c r="H154" s="1049"/>
      <c r="I154" s="1126">
        <v>44872</v>
      </c>
      <c r="J154" s="1057">
        <v>0</v>
      </c>
      <c r="K154" s="1056">
        <v>1</v>
      </c>
      <c r="L154" s="1055">
        <v>0.80900000000000005</v>
      </c>
      <c r="M154" s="1059">
        <v>1.34</v>
      </c>
      <c r="N154" s="1052">
        <f t="shared" ref="N154:N177" si="67">M154/L154</f>
        <v>1.6563658838071693</v>
      </c>
      <c r="O154" s="1049"/>
      <c r="P154" s="1125">
        <v>44902</v>
      </c>
      <c r="Q154" s="1057">
        <v>0</v>
      </c>
      <c r="R154" s="1056">
        <v>1</v>
      </c>
      <c r="S154" s="1055">
        <v>0.52600000000000002</v>
      </c>
      <c r="T154" s="1054">
        <f t="shared" ref="T154:T177" si="68">S154*X154</f>
        <v>1.4307200000000002</v>
      </c>
      <c r="U154" s="1136">
        <v>1.91</v>
      </c>
      <c r="V154" s="1052">
        <f t="shared" ref="V154:V177" si="69">U154/S154</f>
        <v>3.6311787072243344</v>
      </c>
      <c r="W154" s="1049"/>
      <c r="X154" s="1051">
        <v>2.72</v>
      </c>
      <c r="Y154" s="1049"/>
      <c r="Z154" s="1050">
        <f t="shared" ref="Z154:Z177" si="70">S154*(X154-0.8)</f>
        <v>1.0099200000000002</v>
      </c>
      <c r="AA154" s="1125">
        <v>44933</v>
      </c>
      <c r="AB154" s="1057">
        <v>0</v>
      </c>
      <c r="AC154" s="1056">
        <v>1</v>
      </c>
      <c r="AD154" s="1055">
        <v>2.48</v>
      </c>
      <c r="AE154" s="1137">
        <f t="shared" ref="AE154:AE177" si="71">AD154*AI154</f>
        <v>2.5792000000000002</v>
      </c>
      <c r="AF154" s="1136">
        <v>6.68</v>
      </c>
      <c r="AG154" s="1052">
        <f t="shared" ref="AG154:AG177" si="72">AF154/AD154</f>
        <v>2.693548387096774</v>
      </c>
      <c r="AH154" s="1049"/>
      <c r="AI154" s="1051">
        <v>1.04</v>
      </c>
      <c r="AJ154" s="1049"/>
      <c r="AK154" s="1050">
        <f t="shared" ref="AK154:AK177" si="73">AD154*(AI154-0.8)</f>
        <v>0.59519999999999995</v>
      </c>
      <c r="AL154" s="1049"/>
      <c r="AM154" s="1125">
        <v>44964</v>
      </c>
      <c r="AN154" s="1057">
        <v>0</v>
      </c>
      <c r="AO154" s="1056">
        <v>1</v>
      </c>
      <c r="AP154" s="1055">
        <v>0.1</v>
      </c>
      <c r="AQ154" s="1745">
        <f t="shared" ref="AQ154:AQ177" si="74">AP154*AU154</f>
        <v>0</v>
      </c>
      <c r="AR154" s="1737">
        <v>0.22</v>
      </c>
      <c r="AS154" s="1052">
        <f t="shared" ref="AS154:AS177" si="75">AR154/AP154</f>
        <v>2.1999999999999997</v>
      </c>
      <c r="AT154" s="1049"/>
      <c r="AU154" s="1051"/>
      <c r="AV154" s="1049"/>
      <c r="AW154" s="1125">
        <v>44992</v>
      </c>
      <c r="AX154" s="1057">
        <v>0</v>
      </c>
      <c r="AY154" s="1056">
        <v>1</v>
      </c>
      <c r="AZ154" s="1055">
        <v>0.12</v>
      </c>
      <c r="BA154" s="1736">
        <v>0.19</v>
      </c>
      <c r="BB154" s="1737">
        <f t="shared" ref="BB154:BB177" si="76">BA154/AZ154</f>
        <v>1.5833333333333335</v>
      </c>
      <c r="BC154" s="1049"/>
      <c r="BD154" s="1051"/>
      <c r="BE154" s="1049"/>
      <c r="BF154" s="1125">
        <v>45023</v>
      </c>
      <c r="BG154" s="1057">
        <v>0</v>
      </c>
      <c r="BH154" s="1056">
        <v>1</v>
      </c>
      <c r="BI154" s="1055">
        <v>0.09</v>
      </c>
      <c r="BJ154" s="1736" t="s">
        <v>1363</v>
      </c>
      <c r="BK154" s="1049"/>
      <c r="BL154" s="1125">
        <v>45053</v>
      </c>
      <c r="BM154" s="1057">
        <v>0</v>
      </c>
      <c r="BN154" s="1056">
        <v>1</v>
      </c>
      <c r="BO154" s="1055"/>
      <c r="BP154" s="1783">
        <v>0.16</v>
      </c>
      <c r="BQ154" s="1049"/>
    </row>
    <row r="155" spans="1:69" ht="14.4">
      <c r="A155" s="1049"/>
      <c r="B155" s="1124"/>
      <c r="C155" s="1057">
        <v>1</v>
      </c>
      <c r="D155" s="1056">
        <v>2</v>
      </c>
      <c r="E155" s="1063">
        <v>0.24</v>
      </c>
      <c r="F155" s="1062">
        <v>0.68</v>
      </c>
      <c r="G155" s="1061">
        <f t="shared" si="66"/>
        <v>2.8333333333333335</v>
      </c>
      <c r="H155" s="1049"/>
      <c r="I155" s="1124"/>
      <c r="J155" s="1057">
        <v>1</v>
      </c>
      <c r="K155" s="1056">
        <v>2</v>
      </c>
      <c r="L155" s="1055">
        <v>0.51</v>
      </c>
      <c r="M155" s="1059">
        <v>0.85</v>
      </c>
      <c r="N155" s="1052">
        <f t="shared" si="67"/>
        <v>1.6666666666666665</v>
      </c>
      <c r="O155" s="1049"/>
      <c r="P155" s="1123"/>
      <c r="Q155" s="1057">
        <v>1</v>
      </c>
      <c r="R155" s="1056">
        <v>2</v>
      </c>
      <c r="S155" s="1055">
        <v>0.379</v>
      </c>
      <c r="T155" s="1054">
        <f t="shared" si="68"/>
        <v>0.92476000000000003</v>
      </c>
      <c r="U155" s="1136">
        <v>1.28</v>
      </c>
      <c r="V155" s="1052">
        <f t="shared" si="69"/>
        <v>3.3773087071240107</v>
      </c>
      <c r="W155" s="1049"/>
      <c r="X155" s="1051">
        <v>2.44</v>
      </c>
      <c r="Y155" s="1049"/>
      <c r="Z155" s="1050">
        <f t="shared" si="70"/>
        <v>0.62156</v>
      </c>
      <c r="AA155" s="1123"/>
      <c r="AB155" s="1057">
        <v>1</v>
      </c>
      <c r="AC155" s="1056">
        <v>2</v>
      </c>
      <c r="AD155" s="1055">
        <v>2.94</v>
      </c>
      <c r="AE155" s="1137">
        <f t="shared" si="71"/>
        <v>3.0870000000000002</v>
      </c>
      <c r="AF155" s="1136">
        <v>7.98</v>
      </c>
      <c r="AG155" s="1052">
        <f t="shared" si="72"/>
        <v>2.7142857142857144</v>
      </c>
      <c r="AH155" s="1049"/>
      <c r="AI155" s="1051">
        <v>1.05</v>
      </c>
      <c r="AJ155" s="1049"/>
      <c r="AK155" s="1050">
        <f t="shared" si="73"/>
        <v>0.73499999999999999</v>
      </c>
      <c r="AL155" s="1049"/>
      <c r="AM155" s="1123"/>
      <c r="AN155" s="1057">
        <v>1</v>
      </c>
      <c r="AO155" s="1056">
        <v>2</v>
      </c>
      <c r="AP155" s="1055">
        <v>0.1</v>
      </c>
      <c r="AQ155" s="1745">
        <f t="shared" si="74"/>
        <v>0</v>
      </c>
      <c r="AR155" s="1737">
        <v>0.21</v>
      </c>
      <c r="AS155" s="1052">
        <f t="shared" si="75"/>
        <v>2.0999999999999996</v>
      </c>
      <c r="AT155" s="1049"/>
      <c r="AU155" s="1051"/>
      <c r="AV155" s="1049"/>
      <c r="AW155" s="1123"/>
      <c r="AX155" s="1057">
        <v>1</v>
      </c>
      <c r="AY155" s="1056">
        <v>2</v>
      </c>
      <c r="AZ155" s="1055">
        <v>0.11</v>
      </c>
      <c r="BA155" s="1736">
        <v>0.19</v>
      </c>
      <c r="BB155" s="1737">
        <f t="shared" si="76"/>
        <v>1.7272727272727273</v>
      </c>
      <c r="BC155" s="1049"/>
      <c r="BD155" s="1051"/>
      <c r="BE155" s="1049"/>
      <c r="BF155" s="1123"/>
      <c r="BG155" s="1057">
        <v>1</v>
      </c>
      <c r="BH155" s="1056">
        <v>2</v>
      </c>
      <c r="BI155" s="1055">
        <v>0.08</v>
      </c>
      <c r="BJ155" s="1736" t="s">
        <v>1366</v>
      </c>
      <c r="BK155" s="1049"/>
      <c r="BL155" s="1123"/>
      <c r="BM155" s="1057">
        <v>1</v>
      </c>
      <c r="BN155" s="1056">
        <v>2</v>
      </c>
      <c r="BO155" s="1055"/>
      <c r="BP155" s="1783">
        <v>0.13</v>
      </c>
      <c r="BQ155" s="1049"/>
    </row>
    <row r="156" spans="1:69" ht="14.4">
      <c r="A156" s="1049"/>
      <c r="B156" s="1122">
        <f>SUM(E154:E177)</f>
        <v>11.520000000000001</v>
      </c>
      <c r="C156" s="1057">
        <v>2</v>
      </c>
      <c r="D156" s="1056">
        <v>3</v>
      </c>
      <c r="E156" s="1063">
        <v>0.2</v>
      </c>
      <c r="F156" s="1062">
        <v>0.57999999999999996</v>
      </c>
      <c r="G156" s="1061">
        <f t="shared" si="66"/>
        <v>2.8999999999999995</v>
      </c>
      <c r="H156" s="1049"/>
      <c r="I156" s="1122">
        <f>SUM(L154:L177)</f>
        <v>14.893000000000002</v>
      </c>
      <c r="J156" s="1057">
        <v>2</v>
      </c>
      <c r="K156" s="1056">
        <v>3</v>
      </c>
      <c r="L156" s="1055">
        <v>0.39800000000000002</v>
      </c>
      <c r="M156" s="1059">
        <v>0.66</v>
      </c>
      <c r="N156" s="1052">
        <f t="shared" si="67"/>
        <v>1.6582914572864322</v>
      </c>
      <c r="O156" s="1049"/>
      <c r="P156" s="1121">
        <f>SUM(S154:S177)</f>
        <v>29.818000000000001</v>
      </c>
      <c r="Q156" s="1057">
        <v>2</v>
      </c>
      <c r="R156" s="1056">
        <v>3</v>
      </c>
      <c r="S156" s="1055">
        <v>0.45500000000000002</v>
      </c>
      <c r="T156" s="1054">
        <f t="shared" si="68"/>
        <v>0.98280000000000012</v>
      </c>
      <c r="U156" s="1136">
        <v>1.4</v>
      </c>
      <c r="V156" s="1052">
        <f t="shared" si="69"/>
        <v>3.0769230769230766</v>
      </c>
      <c r="W156" s="1049"/>
      <c r="X156" s="1051">
        <v>2.16</v>
      </c>
      <c r="Y156" s="1049"/>
      <c r="Z156" s="1050">
        <f t="shared" si="70"/>
        <v>0.61880000000000002</v>
      </c>
      <c r="AA156" s="1121">
        <f>SUM(AD154:AD177)</f>
        <v>76.819999999999993</v>
      </c>
      <c r="AB156" s="1057">
        <v>2</v>
      </c>
      <c r="AC156" s="1056">
        <v>3</v>
      </c>
      <c r="AD156" s="1055">
        <v>2.5499999999999998</v>
      </c>
      <c r="AE156" s="1137">
        <f t="shared" si="71"/>
        <v>2.6265000000000001</v>
      </c>
      <c r="AF156" s="1136">
        <v>6.82</v>
      </c>
      <c r="AG156" s="1052">
        <f t="shared" si="72"/>
        <v>2.6745098039215689</v>
      </c>
      <c r="AH156" s="1049"/>
      <c r="AI156" s="1051">
        <v>1.03</v>
      </c>
      <c r="AJ156" s="1049"/>
      <c r="AK156" s="1050">
        <f t="shared" si="73"/>
        <v>0.58649999999999991</v>
      </c>
      <c r="AL156" s="1049"/>
      <c r="AM156" s="1121">
        <f>SUM(AP154:AP177)</f>
        <v>7.6300000000000017</v>
      </c>
      <c r="AN156" s="1057">
        <v>2</v>
      </c>
      <c r="AO156" s="1056">
        <v>3</v>
      </c>
      <c r="AP156" s="1055">
        <v>0.12</v>
      </c>
      <c r="AQ156" s="1745">
        <f t="shared" si="74"/>
        <v>0</v>
      </c>
      <c r="AR156" s="1737">
        <v>0.26</v>
      </c>
      <c r="AS156" s="1052">
        <f t="shared" si="75"/>
        <v>2.166666666666667</v>
      </c>
      <c r="AT156" s="1049"/>
      <c r="AU156" s="1051"/>
      <c r="AV156" s="1049"/>
      <c r="AW156" s="1121">
        <f>SUM(AZ154:AZ177)</f>
        <v>7.93</v>
      </c>
      <c r="AX156" s="1057">
        <v>2</v>
      </c>
      <c r="AY156" s="1056">
        <v>3</v>
      </c>
      <c r="AZ156" s="1055">
        <v>0.11</v>
      </c>
      <c r="BA156" s="1736">
        <v>0.18</v>
      </c>
      <c r="BB156" s="1737">
        <f t="shared" si="76"/>
        <v>1.6363636363636362</v>
      </c>
      <c r="BC156" s="1049"/>
      <c r="BD156" s="1051"/>
      <c r="BE156" s="1049"/>
      <c r="BF156" s="1121">
        <f>SUM(BI154:BI177)</f>
        <v>6.8600000000000012</v>
      </c>
      <c r="BG156" s="1057">
        <v>2</v>
      </c>
      <c r="BH156" s="1056">
        <v>3</v>
      </c>
      <c r="BI156" s="1055">
        <v>0.12</v>
      </c>
      <c r="BJ156" s="1736" t="s">
        <v>1367</v>
      </c>
      <c r="BK156" s="1049"/>
      <c r="BL156" s="1121">
        <f>SUM(BO154:BO177)+SUM(BP154:BP177)</f>
        <v>2.9299999999999997</v>
      </c>
      <c r="BM156" s="1057">
        <v>2</v>
      </c>
      <c r="BN156" s="1056">
        <v>3</v>
      </c>
      <c r="BO156" s="1055"/>
      <c r="BP156" s="1783">
        <v>0.09</v>
      </c>
      <c r="BQ156" s="1049"/>
    </row>
    <row r="157" spans="1:69" ht="14.4">
      <c r="A157" s="1049"/>
      <c r="B157" s="1120">
        <f>B156/24</f>
        <v>0.48000000000000004</v>
      </c>
      <c r="C157" s="1057">
        <v>3</v>
      </c>
      <c r="D157" s="1056">
        <v>4</v>
      </c>
      <c r="E157" s="1063">
        <v>0.24</v>
      </c>
      <c r="F157" s="1062">
        <v>0.7</v>
      </c>
      <c r="G157" s="1061">
        <f t="shared" si="66"/>
        <v>2.9166666666666665</v>
      </c>
      <c r="H157" s="1049"/>
      <c r="I157" s="1120">
        <f>I156/24</f>
        <v>0.62054166666666677</v>
      </c>
      <c r="J157" s="1057">
        <v>3</v>
      </c>
      <c r="K157" s="1056">
        <v>4</v>
      </c>
      <c r="L157" s="1055">
        <v>0.57399999999999995</v>
      </c>
      <c r="M157" s="1059">
        <v>0.95</v>
      </c>
      <c r="N157" s="1052">
        <f t="shared" si="67"/>
        <v>1.6550522648083623</v>
      </c>
      <c r="O157" s="1049"/>
      <c r="P157" s="1120">
        <f>P156/24</f>
        <v>1.2424166666666667</v>
      </c>
      <c r="Q157" s="1057">
        <v>3</v>
      </c>
      <c r="R157" s="1056">
        <v>4</v>
      </c>
      <c r="S157" s="1055">
        <v>0.40300000000000002</v>
      </c>
      <c r="T157" s="1054">
        <f t="shared" si="68"/>
        <v>0.85436000000000012</v>
      </c>
      <c r="U157" s="1136">
        <v>1.22</v>
      </c>
      <c r="V157" s="1052">
        <f t="shared" si="69"/>
        <v>3.0272952853598012</v>
      </c>
      <c r="W157" s="1049"/>
      <c r="X157" s="1051">
        <v>2.12</v>
      </c>
      <c r="Y157" s="1049"/>
      <c r="Z157" s="1050">
        <f t="shared" si="70"/>
        <v>0.5319600000000001</v>
      </c>
      <c r="AA157" s="1120">
        <f>AA156/24</f>
        <v>3.2008333333333332</v>
      </c>
      <c r="AB157" s="1057">
        <v>3</v>
      </c>
      <c r="AC157" s="1056">
        <v>4</v>
      </c>
      <c r="AD157" s="1055">
        <v>2.38</v>
      </c>
      <c r="AE157" s="1137">
        <f t="shared" si="71"/>
        <v>2.2609999999999997</v>
      </c>
      <c r="AF157" s="1136">
        <v>6.11</v>
      </c>
      <c r="AG157" s="1052">
        <f t="shared" si="72"/>
        <v>2.5672268907563027</v>
      </c>
      <c r="AH157" s="1049"/>
      <c r="AI157" s="1051">
        <v>0.95</v>
      </c>
      <c r="AJ157" s="1049"/>
      <c r="AK157" s="1050">
        <f t="shared" si="73"/>
        <v>0.35699999999999976</v>
      </c>
      <c r="AL157" s="1049"/>
      <c r="AM157" s="1120">
        <f>AM156/24</f>
        <v>0.31791666666666674</v>
      </c>
      <c r="AN157" s="1057">
        <v>3</v>
      </c>
      <c r="AO157" s="1056">
        <v>4</v>
      </c>
      <c r="AP157" s="1055">
        <v>0.12</v>
      </c>
      <c r="AQ157" s="1745">
        <f t="shared" si="74"/>
        <v>0</v>
      </c>
      <c r="AR157" s="1737">
        <v>0.25</v>
      </c>
      <c r="AS157" s="1052">
        <f t="shared" si="75"/>
        <v>2.0833333333333335</v>
      </c>
      <c r="AT157" s="1049"/>
      <c r="AU157" s="1051"/>
      <c r="AV157" s="1049"/>
      <c r="AW157" s="1120">
        <f>AW156/24</f>
        <v>0.33041666666666664</v>
      </c>
      <c r="AX157" s="1057">
        <v>3</v>
      </c>
      <c r="AY157" s="1056">
        <v>4</v>
      </c>
      <c r="AZ157" s="1055">
        <v>0.1</v>
      </c>
      <c r="BA157" s="1736">
        <v>0.16</v>
      </c>
      <c r="BB157" s="1737">
        <f t="shared" si="76"/>
        <v>1.5999999999999999</v>
      </c>
      <c r="BC157" s="1049"/>
      <c r="BD157" s="1051"/>
      <c r="BE157" s="1049"/>
      <c r="BF157" s="1120">
        <f>BF156/24</f>
        <v>0.28583333333333338</v>
      </c>
      <c r="BG157" s="1057">
        <v>3</v>
      </c>
      <c r="BH157" s="1056">
        <v>4</v>
      </c>
      <c r="BI157" s="1055">
        <v>0.12</v>
      </c>
      <c r="BJ157" s="1736" t="s">
        <v>1367</v>
      </c>
      <c r="BK157" s="1049"/>
      <c r="BL157" s="1120">
        <f>BL156/24</f>
        <v>0.12208333333333332</v>
      </c>
      <c r="BM157" s="1057">
        <v>3</v>
      </c>
      <c r="BN157" s="1056">
        <v>4</v>
      </c>
      <c r="BO157" s="1055"/>
      <c r="BP157" s="1783">
        <v>0.15</v>
      </c>
      <c r="BQ157" s="1049"/>
    </row>
    <row r="158" spans="1:69" ht="14.4">
      <c r="A158" s="1049"/>
      <c r="B158" s="1119"/>
      <c r="C158" s="1057">
        <v>4</v>
      </c>
      <c r="D158" s="1056">
        <v>5</v>
      </c>
      <c r="E158" s="1063">
        <v>0.2</v>
      </c>
      <c r="F158" s="1062">
        <v>0.57999999999999996</v>
      </c>
      <c r="G158" s="1061">
        <f t="shared" si="66"/>
        <v>2.8999999999999995</v>
      </c>
      <c r="H158" s="1049"/>
      <c r="I158" s="1119"/>
      <c r="J158" s="1057">
        <v>4</v>
      </c>
      <c r="K158" s="1056">
        <v>5</v>
      </c>
      <c r="L158" s="1055">
        <v>0.47399999999999998</v>
      </c>
      <c r="M158" s="1059">
        <v>0.81</v>
      </c>
      <c r="N158" s="1052">
        <f t="shared" si="67"/>
        <v>1.7088607594936711</v>
      </c>
      <c r="O158" s="1049"/>
      <c r="P158" s="1118"/>
      <c r="Q158" s="1057">
        <v>4</v>
      </c>
      <c r="R158" s="1056">
        <v>5</v>
      </c>
      <c r="S158" s="1055">
        <v>0.44</v>
      </c>
      <c r="T158" s="1054">
        <f t="shared" si="68"/>
        <v>1.0516000000000001</v>
      </c>
      <c r="U158" s="1136">
        <v>1.46</v>
      </c>
      <c r="V158" s="1052">
        <f t="shared" si="69"/>
        <v>3.3181818181818179</v>
      </c>
      <c r="W158" s="1049"/>
      <c r="X158" s="1051">
        <v>2.39</v>
      </c>
      <c r="Y158" s="1049"/>
      <c r="Z158" s="1050">
        <f t="shared" si="70"/>
        <v>0.6996</v>
      </c>
      <c r="AA158" s="1118"/>
      <c r="AB158" s="1057">
        <v>4</v>
      </c>
      <c r="AC158" s="1056">
        <v>5</v>
      </c>
      <c r="AD158" s="1055">
        <v>2.2999999999999998</v>
      </c>
      <c r="AE158" s="1137">
        <f t="shared" si="71"/>
        <v>2.0699999999999998</v>
      </c>
      <c r="AF158" s="1136">
        <v>5.72</v>
      </c>
      <c r="AG158" s="1052">
        <f t="shared" si="72"/>
        <v>2.4869565217391307</v>
      </c>
      <c r="AH158" s="1049"/>
      <c r="AI158" s="1051">
        <v>0.9</v>
      </c>
      <c r="AJ158" s="1049"/>
      <c r="AK158" s="1050">
        <f t="shared" si="73"/>
        <v>0.22999999999999993</v>
      </c>
      <c r="AL158" s="1049"/>
      <c r="AM158" s="1118"/>
      <c r="AN158" s="1057">
        <v>4</v>
      </c>
      <c r="AO158" s="1056">
        <v>5</v>
      </c>
      <c r="AP158" s="1055">
        <v>0.13</v>
      </c>
      <c r="AQ158" s="1745">
        <f t="shared" si="74"/>
        <v>0</v>
      </c>
      <c r="AR158" s="1737">
        <v>0.28000000000000003</v>
      </c>
      <c r="AS158" s="1052">
        <f t="shared" si="75"/>
        <v>2.1538461538461542</v>
      </c>
      <c r="AT158" s="1049"/>
      <c r="AU158" s="1051"/>
      <c r="AV158" s="1049"/>
      <c r="AW158" s="1118"/>
      <c r="AX158" s="1057">
        <v>4</v>
      </c>
      <c r="AY158" s="1056">
        <v>5</v>
      </c>
      <c r="AZ158" s="1055">
        <v>0.11</v>
      </c>
      <c r="BA158" s="1736">
        <v>0.17</v>
      </c>
      <c r="BB158" s="1737">
        <f t="shared" si="76"/>
        <v>1.5454545454545456</v>
      </c>
      <c r="BC158" s="1049"/>
      <c r="BD158" s="1051"/>
      <c r="BE158" s="1049"/>
      <c r="BF158" s="1118"/>
      <c r="BG158" s="1057">
        <v>4</v>
      </c>
      <c r="BH158" s="1056">
        <v>5</v>
      </c>
      <c r="BI158" s="1055">
        <v>0.1</v>
      </c>
      <c r="BJ158" s="1736" t="s">
        <v>1383</v>
      </c>
      <c r="BK158" s="1049"/>
      <c r="BL158" s="1118"/>
      <c r="BM158" s="1057">
        <v>4</v>
      </c>
      <c r="BN158" s="1056">
        <v>5</v>
      </c>
      <c r="BO158" s="1055"/>
      <c r="BP158" s="1783">
        <v>0.15</v>
      </c>
      <c r="BQ158" s="1049"/>
    </row>
    <row r="159" spans="1:69" ht="15" thickBot="1">
      <c r="A159" s="1049"/>
      <c r="B159" s="1058">
        <f>SUM(F154:F177)</f>
        <v>34.24</v>
      </c>
      <c r="C159" s="1111">
        <v>5</v>
      </c>
      <c r="D159" s="1110">
        <v>6</v>
      </c>
      <c r="E159" s="1117">
        <v>0.69</v>
      </c>
      <c r="F159" s="1116">
        <v>2</v>
      </c>
      <c r="G159" s="1115">
        <f t="shared" si="66"/>
        <v>2.8985507246376816</v>
      </c>
      <c r="H159" s="1049"/>
      <c r="I159" s="1058">
        <f>SUM(M154:M177)</f>
        <v>34.430000000000007</v>
      </c>
      <c r="J159" s="1111">
        <v>5</v>
      </c>
      <c r="K159" s="1110">
        <v>6</v>
      </c>
      <c r="L159" s="1109">
        <v>0.48299999999999998</v>
      </c>
      <c r="M159" s="1114">
        <v>0.84</v>
      </c>
      <c r="N159" s="1113">
        <f t="shared" si="67"/>
        <v>1.7391304347826086</v>
      </c>
      <c r="O159" s="1049"/>
      <c r="P159" s="1112">
        <f>SUM(U154:U177)</f>
        <v>132.34999999999997</v>
      </c>
      <c r="Q159" s="1111">
        <v>5</v>
      </c>
      <c r="R159" s="1110">
        <v>6</v>
      </c>
      <c r="S159" s="1109">
        <v>0.73699999999999999</v>
      </c>
      <c r="T159" s="1054">
        <f t="shared" si="68"/>
        <v>1.9677899999999999</v>
      </c>
      <c r="U159" s="1146">
        <v>2.64</v>
      </c>
      <c r="V159" s="1052">
        <f t="shared" si="69"/>
        <v>3.5820895522388061</v>
      </c>
      <c r="W159" s="1049"/>
      <c r="X159" s="1074">
        <v>2.67</v>
      </c>
      <c r="Y159" s="1049"/>
      <c r="Z159" s="1050">
        <f t="shared" si="70"/>
        <v>1.3781899999999998</v>
      </c>
      <c r="AA159" s="1112">
        <f>SUM(AF154:AF177)</f>
        <v>209.49</v>
      </c>
      <c r="AB159" s="1111">
        <v>5</v>
      </c>
      <c r="AC159" s="1110">
        <v>6</v>
      </c>
      <c r="AD159" s="1109">
        <v>2.4900000000000002</v>
      </c>
      <c r="AE159" s="1147">
        <f t="shared" si="71"/>
        <v>2.2659000000000002</v>
      </c>
      <c r="AF159" s="1146">
        <v>6.23</v>
      </c>
      <c r="AG159" s="1052">
        <f t="shared" si="72"/>
        <v>2.5020080321285141</v>
      </c>
      <c r="AH159" s="1049"/>
      <c r="AI159" s="1074">
        <v>0.91</v>
      </c>
      <c r="AJ159" s="1049"/>
      <c r="AK159" s="1050">
        <f t="shared" si="73"/>
        <v>0.27389999999999998</v>
      </c>
      <c r="AL159" s="1049"/>
      <c r="AM159" s="1112">
        <f>SUM(AR154:AR177)</f>
        <v>20.450000000000003</v>
      </c>
      <c r="AN159" s="1111">
        <v>5</v>
      </c>
      <c r="AO159" s="1110">
        <v>6</v>
      </c>
      <c r="AP159" s="1109">
        <v>0.48</v>
      </c>
      <c r="AQ159" s="1746">
        <f t="shared" si="74"/>
        <v>0</v>
      </c>
      <c r="AR159" s="1739">
        <v>1.04</v>
      </c>
      <c r="AS159" s="1052">
        <f t="shared" si="75"/>
        <v>2.166666666666667</v>
      </c>
      <c r="AT159" s="1049"/>
      <c r="AU159" s="1074"/>
      <c r="AV159" s="1049"/>
      <c r="AW159" s="1112">
        <f>SUM(BA154:BA177)</f>
        <v>16.540000000000003</v>
      </c>
      <c r="AX159" s="1111">
        <v>5</v>
      </c>
      <c r="AY159" s="1110">
        <v>6</v>
      </c>
      <c r="AZ159" s="1109">
        <v>0.23</v>
      </c>
      <c r="BA159" s="1738">
        <v>0.37</v>
      </c>
      <c r="BB159" s="1739">
        <f t="shared" si="76"/>
        <v>1.6086956521739129</v>
      </c>
      <c r="BC159" s="1049"/>
      <c r="BD159" s="1074"/>
      <c r="BE159" s="1049"/>
      <c r="BF159" s="1112">
        <f>SUM(BJ154:BJ177)</f>
        <v>0</v>
      </c>
      <c r="BG159" s="1111">
        <v>5</v>
      </c>
      <c r="BH159" s="1110">
        <v>6</v>
      </c>
      <c r="BI159" s="1109">
        <v>0.2</v>
      </c>
      <c r="BJ159" s="1738" t="s">
        <v>1419</v>
      </c>
      <c r="BK159" s="1049"/>
      <c r="BL159" s="1112">
        <f>SUM(BP154:BP177)</f>
        <v>2.9299999999999997</v>
      </c>
      <c r="BM159" s="1111">
        <v>5</v>
      </c>
      <c r="BN159" s="1110">
        <v>6</v>
      </c>
      <c r="BO159" s="1109"/>
      <c r="BP159" s="1783">
        <v>0.11</v>
      </c>
      <c r="BQ159" s="1049"/>
    </row>
    <row r="160" spans="1:69" ht="14.4">
      <c r="A160" s="1049"/>
      <c r="B160" s="1093">
        <f>B159/B156</f>
        <v>2.9722222222222219</v>
      </c>
      <c r="C160" s="1100">
        <v>6</v>
      </c>
      <c r="D160" s="1099">
        <v>7</v>
      </c>
      <c r="E160" s="1107">
        <v>0.28000000000000003</v>
      </c>
      <c r="F160" s="1106">
        <v>0.81</v>
      </c>
      <c r="G160" s="1105">
        <f t="shared" si="66"/>
        <v>2.8928571428571428</v>
      </c>
      <c r="H160" s="1049"/>
      <c r="I160" s="1093">
        <f>I159/I156</f>
        <v>2.3118243470086619</v>
      </c>
      <c r="J160" s="1100">
        <v>6</v>
      </c>
      <c r="K160" s="1099">
        <v>7</v>
      </c>
      <c r="L160" s="1098">
        <v>0.53100000000000003</v>
      </c>
      <c r="M160" s="1103">
        <v>1.1200000000000001</v>
      </c>
      <c r="N160" s="1102">
        <f t="shared" si="67"/>
        <v>2.1092278719397366</v>
      </c>
      <c r="O160" s="1049"/>
      <c r="P160" s="1093">
        <f>P159/P156</f>
        <v>4.4385941377691314</v>
      </c>
      <c r="Q160" s="1100">
        <v>6</v>
      </c>
      <c r="R160" s="1099">
        <v>7</v>
      </c>
      <c r="S160" s="1098">
        <v>1.1679999999999999</v>
      </c>
      <c r="T160" s="1054">
        <f t="shared" si="68"/>
        <v>3.0601599999999998</v>
      </c>
      <c r="U160" s="1144">
        <v>4.13</v>
      </c>
      <c r="V160" s="1052">
        <f t="shared" si="69"/>
        <v>3.5359589041095894</v>
      </c>
      <c r="W160" s="1049"/>
      <c r="X160" s="1108">
        <v>2.62</v>
      </c>
      <c r="Y160" s="1049"/>
      <c r="Z160" s="1050">
        <f t="shared" si="70"/>
        <v>2.1257600000000001</v>
      </c>
      <c r="AA160" s="1093">
        <f>AA159/AA156</f>
        <v>2.7270242124446762</v>
      </c>
      <c r="AB160" s="1100">
        <v>6</v>
      </c>
      <c r="AC160" s="1099">
        <v>7</v>
      </c>
      <c r="AD160" s="1098">
        <v>2.95</v>
      </c>
      <c r="AE160" s="1145">
        <f t="shared" si="71"/>
        <v>2.891</v>
      </c>
      <c r="AF160" s="1144">
        <v>7.67</v>
      </c>
      <c r="AG160" s="1052">
        <f t="shared" si="72"/>
        <v>2.5999999999999996</v>
      </c>
      <c r="AH160" s="1049"/>
      <c r="AI160" s="1108">
        <v>0.98</v>
      </c>
      <c r="AJ160" s="1049"/>
      <c r="AK160" s="1050">
        <f t="shared" si="73"/>
        <v>0.53099999999999981</v>
      </c>
      <c r="AL160" s="1049"/>
      <c r="AM160" s="1093">
        <f>AM159/AM156</f>
        <v>2.6802096985583224</v>
      </c>
      <c r="AN160" s="1100">
        <v>6</v>
      </c>
      <c r="AO160" s="1099">
        <v>7</v>
      </c>
      <c r="AP160" s="1098">
        <v>0.4</v>
      </c>
      <c r="AQ160" s="1747">
        <f t="shared" si="74"/>
        <v>0</v>
      </c>
      <c r="AR160" s="1741">
        <v>0.96</v>
      </c>
      <c r="AS160" s="1052">
        <f t="shared" si="75"/>
        <v>2.4</v>
      </c>
      <c r="AT160" s="1049"/>
      <c r="AU160" s="1108"/>
      <c r="AV160" s="1049"/>
      <c r="AW160" s="1093">
        <f>AW159/AW156</f>
        <v>2.0857503152585122</v>
      </c>
      <c r="AX160" s="1100">
        <v>6</v>
      </c>
      <c r="AY160" s="1099">
        <v>7</v>
      </c>
      <c r="AZ160" s="1098">
        <v>0.25</v>
      </c>
      <c r="BA160" s="1740">
        <v>0.44</v>
      </c>
      <c r="BB160" s="1741">
        <f t="shared" si="76"/>
        <v>1.76</v>
      </c>
      <c r="BC160" s="1049"/>
      <c r="BD160" s="1108"/>
      <c r="BE160" s="1049"/>
      <c r="BF160" s="1093">
        <f>BF159/BF156</f>
        <v>0</v>
      </c>
      <c r="BG160" s="1100">
        <v>6</v>
      </c>
      <c r="BH160" s="1099">
        <v>7</v>
      </c>
      <c r="BI160" s="1098">
        <v>0.27</v>
      </c>
      <c r="BJ160" s="1740" t="s">
        <v>1388</v>
      </c>
      <c r="BK160" s="1049"/>
      <c r="BL160" s="1093">
        <f>BL159/BL156</f>
        <v>1</v>
      </c>
      <c r="BM160" s="1100">
        <v>6</v>
      </c>
      <c r="BN160" s="1099">
        <v>7</v>
      </c>
      <c r="BO160" s="1098"/>
      <c r="BP160" s="1783">
        <v>0.1</v>
      </c>
      <c r="BQ160" s="1049"/>
    </row>
    <row r="161" spans="1:69" ht="14.4">
      <c r="A161" s="1049"/>
      <c r="B161" s="1104"/>
      <c r="C161" s="1100">
        <v>7</v>
      </c>
      <c r="D161" s="1099">
        <v>8</v>
      </c>
      <c r="E161" s="1107">
        <v>0.35</v>
      </c>
      <c r="F161" s="1106">
        <v>1.02</v>
      </c>
      <c r="G161" s="1105">
        <f t="shared" si="66"/>
        <v>2.9142857142857146</v>
      </c>
      <c r="H161" s="1049"/>
      <c r="I161" s="1104"/>
      <c r="J161" s="1100">
        <v>7</v>
      </c>
      <c r="K161" s="1099">
        <v>8</v>
      </c>
      <c r="L161" s="1098">
        <v>0.46700000000000003</v>
      </c>
      <c r="M161" s="1103">
        <v>1.07</v>
      </c>
      <c r="N161" s="1102">
        <f t="shared" si="67"/>
        <v>2.291220556745182</v>
      </c>
      <c r="O161" s="1049"/>
      <c r="P161" s="1101"/>
      <c r="Q161" s="1100">
        <v>7</v>
      </c>
      <c r="R161" s="1099">
        <v>8</v>
      </c>
      <c r="S161" s="1098">
        <v>1.319</v>
      </c>
      <c r="T161" s="1054">
        <f t="shared" si="68"/>
        <v>4.5769299999999999</v>
      </c>
      <c r="U161" s="1144">
        <v>5.78</v>
      </c>
      <c r="V161" s="1052">
        <f t="shared" si="69"/>
        <v>4.3821076573161486</v>
      </c>
      <c r="W161" s="1049"/>
      <c r="X161" s="1065">
        <v>3.47</v>
      </c>
      <c r="Y161" s="1049"/>
      <c r="Z161" s="1050">
        <f t="shared" si="70"/>
        <v>3.5217299999999998</v>
      </c>
      <c r="AA161" s="1101"/>
      <c r="AB161" s="1100">
        <v>7</v>
      </c>
      <c r="AC161" s="1099">
        <v>8</v>
      </c>
      <c r="AD161" s="1098">
        <v>3.11</v>
      </c>
      <c r="AE161" s="1145">
        <f t="shared" si="71"/>
        <v>3.3898999999999999</v>
      </c>
      <c r="AF161" s="1144">
        <v>8.65</v>
      </c>
      <c r="AG161" s="1052">
        <f t="shared" si="72"/>
        <v>2.7813504823151129</v>
      </c>
      <c r="AH161" s="1049"/>
      <c r="AI161" s="1065">
        <v>1.0900000000000001</v>
      </c>
      <c r="AJ161" s="1049"/>
      <c r="AK161" s="1050">
        <f t="shared" si="73"/>
        <v>0.90190000000000003</v>
      </c>
      <c r="AL161" s="1049"/>
      <c r="AM161" s="1101"/>
      <c r="AN161" s="1100">
        <v>7</v>
      </c>
      <c r="AO161" s="1099">
        <v>8</v>
      </c>
      <c r="AP161" s="1098">
        <v>0.24</v>
      </c>
      <c r="AQ161" s="1747">
        <f t="shared" si="74"/>
        <v>0</v>
      </c>
      <c r="AR161" s="1741">
        <v>0.64</v>
      </c>
      <c r="AS161" s="1052">
        <f t="shared" si="75"/>
        <v>2.666666666666667</v>
      </c>
      <c r="AT161" s="1049"/>
      <c r="AU161" s="1065"/>
      <c r="AV161" s="1049"/>
      <c r="AW161" s="1101"/>
      <c r="AX161" s="1100">
        <v>7</v>
      </c>
      <c r="AY161" s="1099">
        <v>8</v>
      </c>
      <c r="AZ161" s="1098">
        <v>0.37</v>
      </c>
      <c r="BA161" s="1736">
        <v>0.65</v>
      </c>
      <c r="BB161" s="1741">
        <f t="shared" si="76"/>
        <v>1.7567567567567568</v>
      </c>
      <c r="BC161" s="1049"/>
      <c r="BD161" s="1065"/>
      <c r="BE161" s="1049"/>
      <c r="BF161" s="1101"/>
      <c r="BG161" s="1100">
        <v>7</v>
      </c>
      <c r="BH161" s="1099">
        <v>8</v>
      </c>
      <c r="BI161" s="1098">
        <v>0.26</v>
      </c>
      <c r="BJ161" s="1736" t="s">
        <v>1373</v>
      </c>
      <c r="BK161" s="1049"/>
      <c r="BL161" s="1101"/>
      <c r="BM161" s="1100">
        <v>7</v>
      </c>
      <c r="BN161" s="1099">
        <v>8</v>
      </c>
      <c r="BO161" s="1098"/>
      <c r="BP161" s="1783">
        <v>0.16</v>
      </c>
      <c r="BQ161" s="1049"/>
    </row>
    <row r="162" spans="1:69" ht="14.4">
      <c r="A162" s="1049"/>
      <c r="B162" s="1097">
        <f>B159/24</f>
        <v>1.4266666666666667</v>
      </c>
      <c r="C162" s="1086">
        <v>8</v>
      </c>
      <c r="D162" s="1085">
        <v>9</v>
      </c>
      <c r="E162" s="1091">
        <v>0.31</v>
      </c>
      <c r="F162" s="1090">
        <v>0.91</v>
      </c>
      <c r="G162" s="1089">
        <f t="shared" si="66"/>
        <v>2.935483870967742</v>
      </c>
      <c r="H162" s="1049"/>
      <c r="I162" s="1097">
        <f>I159/24</f>
        <v>1.4345833333333335</v>
      </c>
      <c r="J162" s="1086">
        <v>8</v>
      </c>
      <c r="K162" s="1085">
        <v>9</v>
      </c>
      <c r="L162" s="1084">
        <v>0.36699999999999999</v>
      </c>
      <c r="M162" s="1088">
        <v>0.81</v>
      </c>
      <c r="N162" s="1087">
        <f t="shared" si="67"/>
        <v>2.2070844686648505</v>
      </c>
      <c r="O162" s="1049"/>
      <c r="P162" s="1096">
        <f>P159/24</f>
        <v>5.5145833333333316</v>
      </c>
      <c r="Q162" s="1086">
        <v>8</v>
      </c>
      <c r="R162" s="1085">
        <v>9</v>
      </c>
      <c r="S162" s="1084">
        <v>1.153</v>
      </c>
      <c r="T162" s="1054">
        <f t="shared" si="68"/>
        <v>4.4044600000000003</v>
      </c>
      <c r="U162" s="1142">
        <v>5.46</v>
      </c>
      <c r="V162" s="1052">
        <f t="shared" si="69"/>
        <v>4.7354726799653077</v>
      </c>
      <c r="W162" s="1049"/>
      <c r="X162" s="1051">
        <v>3.82</v>
      </c>
      <c r="Y162" s="1049"/>
      <c r="Z162" s="1050">
        <f t="shared" si="70"/>
        <v>3.4820599999999997</v>
      </c>
      <c r="AA162" s="1096">
        <f>AA159/24</f>
        <v>8.7287499999999998</v>
      </c>
      <c r="AB162" s="1086">
        <v>8</v>
      </c>
      <c r="AC162" s="1085">
        <v>9</v>
      </c>
      <c r="AD162" s="1084">
        <v>3.28</v>
      </c>
      <c r="AE162" s="1143">
        <f t="shared" si="71"/>
        <v>3.8375999999999997</v>
      </c>
      <c r="AF162" s="1142">
        <v>9.5399999999999991</v>
      </c>
      <c r="AG162" s="1052">
        <f t="shared" si="72"/>
        <v>2.9085365853658534</v>
      </c>
      <c r="AH162" s="1049"/>
      <c r="AI162" s="1051">
        <v>1.17</v>
      </c>
      <c r="AJ162" s="1049"/>
      <c r="AK162" s="1050">
        <f t="shared" si="73"/>
        <v>1.2135999999999996</v>
      </c>
      <c r="AL162" s="1049"/>
      <c r="AM162" s="1096">
        <f>AM159/24</f>
        <v>0.85208333333333341</v>
      </c>
      <c r="AN162" s="1086">
        <v>8</v>
      </c>
      <c r="AO162" s="1085">
        <v>9</v>
      </c>
      <c r="AP162" s="1084">
        <v>0.16</v>
      </c>
      <c r="AQ162" s="1748">
        <f t="shared" si="74"/>
        <v>0</v>
      </c>
      <c r="AR162" s="1742">
        <v>0.45</v>
      </c>
      <c r="AS162" s="1052">
        <f t="shared" si="75"/>
        <v>2.8125</v>
      </c>
      <c r="AT162" s="1049"/>
      <c r="AU162" s="1051"/>
      <c r="AV162" s="1049"/>
      <c r="AW162" s="1096">
        <f>AW159/24</f>
        <v>0.68916666666666682</v>
      </c>
      <c r="AX162" s="1086">
        <v>8</v>
      </c>
      <c r="AY162" s="1085">
        <v>9</v>
      </c>
      <c r="AZ162" s="1084">
        <v>0.32</v>
      </c>
      <c r="BA162" s="1736">
        <v>0.57999999999999996</v>
      </c>
      <c r="BB162" s="1742">
        <f t="shared" si="76"/>
        <v>1.8124999999999998</v>
      </c>
      <c r="BC162" s="1049"/>
      <c r="BD162" s="1051"/>
      <c r="BE162" s="1049"/>
      <c r="BF162" s="1096">
        <f>BF159/24</f>
        <v>0</v>
      </c>
      <c r="BG162" s="1086">
        <v>8</v>
      </c>
      <c r="BH162" s="1085">
        <v>9</v>
      </c>
      <c r="BI162" s="1084">
        <v>0.33</v>
      </c>
      <c r="BJ162" s="1736" t="s">
        <v>1395</v>
      </c>
      <c r="BK162" s="1049"/>
      <c r="BL162" s="1096">
        <f>BL159/24</f>
        <v>0.12208333333333332</v>
      </c>
      <c r="BM162" s="1086">
        <v>8</v>
      </c>
      <c r="BN162" s="1085">
        <v>9</v>
      </c>
      <c r="BO162" s="1084"/>
      <c r="BP162" s="1783">
        <v>0.15</v>
      </c>
      <c r="BQ162" s="1049"/>
    </row>
    <row r="163" spans="1:69" ht="14.4">
      <c r="A163" s="1049"/>
      <c r="B163" s="1097"/>
      <c r="C163" s="1086">
        <v>9</v>
      </c>
      <c r="D163" s="1085">
        <v>10</v>
      </c>
      <c r="E163" s="1091">
        <v>0.28000000000000003</v>
      </c>
      <c r="F163" s="1090">
        <v>0.8</v>
      </c>
      <c r="G163" s="1089">
        <f t="shared" si="66"/>
        <v>2.8571428571428572</v>
      </c>
      <c r="H163" s="1049"/>
      <c r="I163" s="1097"/>
      <c r="J163" s="1086">
        <v>9</v>
      </c>
      <c r="K163" s="1085">
        <v>10</v>
      </c>
      <c r="L163" s="1084">
        <v>0.77500000000000002</v>
      </c>
      <c r="M163" s="1088">
        <v>1.71</v>
      </c>
      <c r="N163" s="1087">
        <f t="shared" si="67"/>
        <v>2.2064516129032259</v>
      </c>
      <c r="O163" s="1049"/>
      <c r="P163" s="1096"/>
      <c r="Q163" s="1086">
        <v>9</v>
      </c>
      <c r="R163" s="1085">
        <v>10</v>
      </c>
      <c r="S163" s="1084">
        <v>1.21</v>
      </c>
      <c r="T163" s="1054">
        <f t="shared" si="68"/>
        <v>4.1987000000000005</v>
      </c>
      <c r="U163" s="1142">
        <v>5.31</v>
      </c>
      <c r="V163" s="1052">
        <f t="shared" si="69"/>
        <v>4.3884297520661155</v>
      </c>
      <c r="W163" s="1049"/>
      <c r="X163" s="1051">
        <v>3.47</v>
      </c>
      <c r="Y163" s="1049"/>
      <c r="Z163" s="1050">
        <f t="shared" si="70"/>
        <v>3.2306999999999997</v>
      </c>
      <c r="AA163" s="1096"/>
      <c r="AB163" s="1086">
        <v>9</v>
      </c>
      <c r="AC163" s="1085">
        <v>10</v>
      </c>
      <c r="AD163" s="1084">
        <v>3.52</v>
      </c>
      <c r="AE163" s="1143">
        <f t="shared" si="71"/>
        <v>4.1183999999999994</v>
      </c>
      <c r="AF163" s="1142">
        <v>10.25</v>
      </c>
      <c r="AG163" s="1052">
        <f t="shared" si="72"/>
        <v>2.9119318181818183</v>
      </c>
      <c r="AH163" s="1049"/>
      <c r="AI163" s="1051">
        <v>1.17</v>
      </c>
      <c r="AJ163" s="1049"/>
      <c r="AK163" s="1050">
        <f t="shared" si="73"/>
        <v>1.3023999999999996</v>
      </c>
      <c r="AL163" s="1049"/>
      <c r="AM163" s="1096"/>
      <c r="AN163" s="1086">
        <v>9</v>
      </c>
      <c r="AO163" s="1085">
        <v>10</v>
      </c>
      <c r="AP163" s="1084">
        <v>0.36</v>
      </c>
      <c r="AQ163" s="1748">
        <f t="shared" si="74"/>
        <v>0</v>
      </c>
      <c r="AR163" s="1742">
        <v>0.94</v>
      </c>
      <c r="AS163" s="1052">
        <f t="shared" si="75"/>
        <v>2.6111111111111112</v>
      </c>
      <c r="AT163" s="1049"/>
      <c r="AU163" s="1051"/>
      <c r="AV163" s="1049"/>
      <c r="AW163" s="1096"/>
      <c r="AX163" s="1086">
        <v>9</v>
      </c>
      <c r="AY163" s="1085">
        <v>10</v>
      </c>
      <c r="AZ163" s="1084">
        <v>0.39</v>
      </c>
      <c r="BA163" s="1736">
        <v>0.65</v>
      </c>
      <c r="BB163" s="1742">
        <f t="shared" si="76"/>
        <v>1.6666666666666667</v>
      </c>
      <c r="BC163" s="1049"/>
      <c r="BD163" s="1051"/>
      <c r="BE163" s="1049"/>
      <c r="BF163" s="1096"/>
      <c r="BG163" s="1086">
        <v>9</v>
      </c>
      <c r="BH163" s="1085">
        <v>10</v>
      </c>
      <c r="BI163" s="1084">
        <v>0.22</v>
      </c>
      <c r="BJ163" s="1736" t="s">
        <v>1378</v>
      </c>
      <c r="BK163" s="1049"/>
      <c r="BL163" s="1096"/>
      <c r="BM163" s="1086">
        <v>9</v>
      </c>
      <c r="BN163" s="1085">
        <v>10</v>
      </c>
      <c r="BO163" s="1084"/>
      <c r="BP163" s="1783">
        <v>0.09</v>
      </c>
      <c r="BQ163" s="1049"/>
    </row>
    <row r="164" spans="1:69" ht="14.4">
      <c r="A164" s="1049"/>
      <c r="B164" s="1060"/>
      <c r="C164" s="1086">
        <v>10</v>
      </c>
      <c r="D164" s="1085">
        <v>11</v>
      </c>
      <c r="E164" s="1091">
        <v>0.44</v>
      </c>
      <c r="F164" s="1090">
        <v>1.28</v>
      </c>
      <c r="G164" s="1089">
        <f t="shared" si="66"/>
        <v>2.9090909090909092</v>
      </c>
      <c r="H164" s="1049"/>
      <c r="I164" s="1060"/>
      <c r="J164" s="1086">
        <v>10</v>
      </c>
      <c r="K164" s="1085">
        <v>11</v>
      </c>
      <c r="L164" s="1084">
        <v>1.298</v>
      </c>
      <c r="M164" s="1088">
        <v>2.86</v>
      </c>
      <c r="N164" s="1087">
        <f t="shared" si="67"/>
        <v>2.2033898305084745</v>
      </c>
      <c r="O164" s="1049"/>
      <c r="P164" s="1095">
        <f>SUM(Z154:Z177)</f>
        <v>80.731560000000016</v>
      </c>
      <c r="Q164" s="1086">
        <v>10</v>
      </c>
      <c r="R164" s="1085">
        <v>11</v>
      </c>
      <c r="S164" s="1084">
        <v>1.3919999999999999</v>
      </c>
      <c r="T164" s="1054">
        <f t="shared" si="68"/>
        <v>4.5657599999999992</v>
      </c>
      <c r="U164" s="1142">
        <v>5.85</v>
      </c>
      <c r="V164" s="1052">
        <f t="shared" si="69"/>
        <v>4.2025862068965516</v>
      </c>
      <c r="W164" s="1049"/>
      <c r="X164" s="1051">
        <v>3.28</v>
      </c>
      <c r="Y164" s="1049"/>
      <c r="Z164" s="1050">
        <f t="shared" si="70"/>
        <v>3.4521599999999992</v>
      </c>
      <c r="AA164" s="1095">
        <f>SUM(AK154:AK177)</f>
        <v>15.024499999999993</v>
      </c>
      <c r="AB164" s="1086">
        <v>10</v>
      </c>
      <c r="AC164" s="1085">
        <v>11</v>
      </c>
      <c r="AD164" s="1084">
        <v>3.37</v>
      </c>
      <c r="AE164" s="1143">
        <f t="shared" si="71"/>
        <v>3.5722000000000005</v>
      </c>
      <c r="AF164" s="1142">
        <v>9.2200000000000006</v>
      </c>
      <c r="AG164" s="1052">
        <f t="shared" si="72"/>
        <v>2.7359050445103859</v>
      </c>
      <c r="AH164" s="1049"/>
      <c r="AI164" s="1051">
        <v>1.06</v>
      </c>
      <c r="AJ164" s="1049"/>
      <c r="AK164" s="1050">
        <f t="shared" si="73"/>
        <v>0.87620000000000009</v>
      </c>
      <c r="AL164" s="1049"/>
      <c r="AM164" s="1095" t="e">
        <f>SUM(#REF!)</f>
        <v>#REF!</v>
      </c>
      <c r="AN164" s="1086">
        <v>10</v>
      </c>
      <c r="AO164" s="1085">
        <v>11</v>
      </c>
      <c r="AP164" s="1084">
        <v>0.37</v>
      </c>
      <c r="AQ164" s="1748">
        <f t="shared" si="74"/>
        <v>0</v>
      </c>
      <c r="AR164" s="1742">
        <v>0.88</v>
      </c>
      <c r="AS164" s="1052">
        <f t="shared" si="75"/>
        <v>2.3783783783783785</v>
      </c>
      <c r="AT164" s="1049"/>
      <c r="AU164" s="1051"/>
      <c r="AV164" s="1049"/>
      <c r="AW164" s="1095" t="e">
        <f>SUM(#REF!)</f>
        <v>#REF!</v>
      </c>
      <c r="AX164" s="1086">
        <v>10</v>
      </c>
      <c r="AY164" s="1085">
        <v>11</v>
      </c>
      <c r="AZ164" s="1084">
        <v>0.28000000000000003</v>
      </c>
      <c r="BA164" s="1736">
        <v>0.47</v>
      </c>
      <c r="BB164" s="1742">
        <f t="shared" si="76"/>
        <v>1.6785714285714284</v>
      </c>
      <c r="BC164" s="1049"/>
      <c r="BD164" s="1051"/>
      <c r="BE164" s="1049"/>
      <c r="BF164" s="1095" t="e">
        <f>SUM(#REF!)</f>
        <v>#REF!</v>
      </c>
      <c r="BG164" s="1086">
        <v>10</v>
      </c>
      <c r="BH164" s="1085">
        <v>11</v>
      </c>
      <c r="BI164" s="1084">
        <v>0.67</v>
      </c>
      <c r="BJ164" s="1736" t="s">
        <v>1433</v>
      </c>
      <c r="BK164" s="1049"/>
      <c r="BL164" s="1095" t="e">
        <f>SUM(#REF!)</f>
        <v>#REF!</v>
      </c>
      <c r="BM164" s="1086">
        <v>10</v>
      </c>
      <c r="BN164" s="1085">
        <v>11</v>
      </c>
      <c r="BO164" s="1084"/>
      <c r="BP164" s="1783">
        <v>0.12</v>
      </c>
      <c r="BQ164" s="1049"/>
    </row>
    <row r="165" spans="1:69" ht="14.4">
      <c r="A165" s="1049"/>
      <c r="B165" s="1060"/>
      <c r="C165" s="1086">
        <v>11</v>
      </c>
      <c r="D165" s="1085">
        <v>12</v>
      </c>
      <c r="E165" s="1091">
        <v>0.52</v>
      </c>
      <c r="F165" s="1090">
        <v>1.49</v>
      </c>
      <c r="G165" s="1089">
        <f t="shared" si="66"/>
        <v>2.8653846153846154</v>
      </c>
      <c r="H165" s="1049"/>
      <c r="I165" s="1060"/>
      <c r="J165" s="1086">
        <v>11</v>
      </c>
      <c r="K165" s="1085">
        <v>12</v>
      </c>
      <c r="L165" s="1084">
        <v>1.208</v>
      </c>
      <c r="M165" s="1088">
        <v>2.62</v>
      </c>
      <c r="N165" s="1087">
        <f t="shared" si="67"/>
        <v>2.1688741721854305</v>
      </c>
      <c r="O165" s="1049"/>
      <c r="P165" s="1093">
        <f>P164/P156</f>
        <v>2.7074773626668458</v>
      </c>
      <c r="Q165" s="1086">
        <v>11</v>
      </c>
      <c r="R165" s="1085">
        <v>12</v>
      </c>
      <c r="S165" s="1084">
        <v>1.1890000000000001</v>
      </c>
      <c r="T165" s="1054">
        <f t="shared" si="68"/>
        <v>3.67401</v>
      </c>
      <c r="U165" s="1142">
        <v>4.7699999999999996</v>
      </c>
      <c r="V165" s="1052">
        <f t="shared" si="69"/>
        <v>4.0117746005046255</v>
      </c>
      <c r="W165" s="1049"/>
      <c r="X165" s="1051">
        <v>3.09</v>
      </c>
      <c r="Y165" s="1049"/>
      <c r="Z165" s="1050">
        <f t="shared" si="70"/>
        <v>2.72281</v>
      </c>
      <c r="AA165" s="1093">
        <f>AA164/AA156</f>
        <v>0.19558057797448572</v>
      </c>
      <c r="AB165" s="1086">
        <v>11</v>
      </c>
      <c r="AC165" s="1085">
        <v>12</v>
      </c>
      <c r="AD165" s="1084">
        <v>3.35</v>
      </c>
      <c r="AE165" s="1143">
        <f t="shared" si="71"/>
        <v>6.5324999999999998</v>
      </c>
      <c r="AF165" s="1142">
        <v>8.6</v>
      </c>
      <c r="AG165" s="1052">
        <f t="shared" si="72"/>
        <v>2.5671641791044775</v>
      </c>
      <c r="AH165" s="1049"/>
      <c r="AI165" s="1051">
        <v>1.95</v>
      </c>
      <c r="AJ165" s="1049"/>
      <c r="AK165" s="1050">
        <f t="shared" si="73"/>
        <v>3.8524999999999996</v>
      </c>
      <c r="AL165" s="1049"/>
      <c r="AM165" s="1093" t="e">
        <f>AM164/AM156</f>
        <v>#REF!</v>
      </c>
      <c r="AN165" s="1086">
        <v>11</v>
      </c>
      <c r="AO165" s="1085">
        <v>12</v>
      </c>
      <c r="AP165" s="1084">
        <v>0.42</v>
      </c>
      <c r="AQ165" s="1748">
        <f t="shared" si="74"/>
        <v>0</v>
      </c>
      <c r="AR165" s="1742">
        <v>0.84</v>
      </c>
      <c r="AS165" s="1052">
        <f t="shared" si="75"/>
        <v>2</v>
      </c>
      <c r="AT165" s="1049"/>
      <c r="AU165" s="1051"/>
      <c r="AV165" s="1049"/>
      <c r="AW165" s="1093" t="e">
        <f>AW164/AW156</f>
        <v>#REF!</v>
      </c>
      <c r="AX165" s="1086">
        <v>11</v>
      </c>
      <c r="AY165" s="1085">
        <v>12</v>
      </c>
      <c r="AZ165" s="1084">
        <v>0.35</v>
      </c>
      <c r="BA165" s="1736">
        <v>0.59</v>
      </c>
      <c r="BB165" s="1742">
        <f t="shared" si="76"/>
        <v>1.6857142857142857</v>
      </c>
      <c r="BC165" s="1049"/>
      <c r="BD165" s="1051"/>
      <c r="BE165" s="1049"/>
      <c r="BF165" s="1093" t="e">
        <f>BF164/BF156</f>
        <v>#REF!</v>
      </c>
      <c r="BG165" s="1086">
        <v>11</v>
      </c>
      <c r="BH165" s="1085">
        <v>12</v>
      </c>
      <c r="BI165" s="1084">
        <v>0.64</v>
      </c>
      <c r="BJ165" s="1736" t="s">
        <v>1434</v>
      </c>
      <c r="BK165" s="1049"/>
      <c r="BL165" s="1093" t="e">
        <f>BL164/BL156</f>
        <v>#REF!</v>
      </c>
      <c r="BM165" s="1086">
        <v>11</v>
      </c>
      <c r="BN165" s="1085">
        <v>12</v>
      </c>
      <c r="BO165" s="1084"/>
      <c r="BP165" s="1783">
        <v>0.16</v>
      </c>
      <c r="BQ165" s="1049"/>
    </row>
    <row r="166" spans="1:69" ht="14.4">
      <c r="A166" s="1049"/>
      <c r="B166" s="1060"/>
      <c r="C166" s="1086">
        <v>12</v>
      </c>
      <c r="D166" s="1085">
        <v>13</v>
      </c>
      <c r="E166" s="1091">
        <v>0.4</v>
      </c>
      <c r="F166" s="1090">
        <v>1.1399999999999999</v>
      </c>
      <c r="G166" s="1089">
        <f t="shared" si="66"/>
        <v>2.8499999999999996</v>
      </c>
      <c r="H166" s="1049"/>
      <c r="I166" s="1060"/>
      <c r="J166" s="1086">
        <v>12</v>
      </c>
      <c r="K166" s="1085">
        <v>13</v>
      </c>
      <c r="L166" s="1084">
        <v>1.2290000000000001</v>
      </c>
      <c r="M166" s="1088">
        <v>2.63</v>
      </c>
      <c r="N166" s="1087">
        <f t="shared" si="67"/>
        <v>2.1399511798209923</v>
      </c>
      <c r="O166" s="1049"/>
      <c r="P166" s="1060"/>
      <c r="Q166" s="1086">
        <v>12</v>
      </c>
      <c r="R166" s="1085">
        <v>13</v>
      </c>
      <c r="S166" s="1084">
        <v>1.2070000000000001</v>
      </c>
      <c r="T166" s="1054">
        <f t="shared" si="68"/>
        <v>3.64514</v>
      </c>
      <c r="U166" s="1142">
        <v>4.75</v>
      </c>
      <c r="V166" s="1052">
        <f t="shared" si="69"/>
        <v>3.9353769676884838</v>
      </c>
      <c r="W166" s="1049"/>
      <c r="X166" s="1051">
        <v>3.02</v>
      </c>
      <c r="Y166" s="1049"/>
      <c r="Z166" s="1050">
        <f t="shared" si="70"/>
        <v>2.6795399999999998</v>
      </c>
      <c r="AA166" s="1060"/>
      <c r="AB166" s="1086">
        <v>12</v>
      </c>
      <c r="AC166" s="1085">
        <v>13</v>
      </c>
      <c r="AD166" s="1084">
        <v>3.58</v>
      </c>
      <c r="AE166" s="1143">
        <f t="shared" si="71"/>
        <v>3.4009999999999998</v>
      </c>
      <c r="AF166" s="1142">
        <v>9.18</v>
      </c>
      <c r="AG166" s="1052">
        <f t="shared" si="72"/>
        <v>2.5642458100558656</v>
      </c>
      <c r="AH166" s="1049"/>
      <c r="AI166" s="1051">
        <v>0.95</v>
      </c>
      <c r="AJ166" s="1049"/>
      <c r="AK166" s="1050">
        <f t="shared" si="73"/>
        <v>0.5369999999999997</v>
      </c>
      <c r="AL166" s="1049"/>
      <c r="AM166" s="1060"/>
      <c r="AN166" s="1086">
        <v>12</v>
      </c>
      <c r="AO166" s="1085">
        <v>13</v>
      </c>
      <c r="AP166" s="1084">
        <v>0.32</v>
      </c>
      <c r="AQ166" s="1748">
        <f t="shared" si="74"/>
        <v>0</v>
      </c>
      <c r="AR166" s="1742">
        <v>0.63</v>
      </c>
      <c r="AS166" s="1052">
        <f t="shared" si="75"/>
        <v>1.96875</v>
      </c>
      <c r="AT166" s="1049"/>
      <c r="AU166" s="1051"/>
      <c r="AV166" s="1049"/>
      <c r="AW166" s="1060"/>
      <c r="AX166" s="1086">
        <v>12</v>
      </c>
      <c r="AY166" s="1085">
        <v>13</v>
      </c>
      <c r="AZ166" s="1084">
        <v>0.28000000000000003</v>
      </c>
      <c r="BA166" s="1736">
        <v>0.46</v>
      </c>
      <c r="BB166" s="1742">
        <f t="shared" si="76"/>
        <v>1.6428571428571428</v>
      </c>
      <c r="BC166" s="1049"/>
      <c r="BD166" s="1051"/>
      <c r="BE166" s="1049"/>
      <c r="BF166" s="1060"/>
      <c r="BG166" s="1086">
        <v>12</v>
      </c>
      <c r="BH166" s="1085">
        <v>13</v>
      </c>
      <c r="BI166" s="1084">
        <v>0.24</v>
      </c>
      <c r="BJ166" s="1736" t="s">
        <v>1435</v>
      </c>
      <c r="BK166" s="1049"/>
      <c r="BL166" s="1060"/>
      <c r="BM166" s="1086">
        <v>12</v>
      </c>
      <c r="BN166" s="1085">
        <v>13</v>
      </c>
      <c r="BO166" s="1084"/>
      <c r="BP166" s="1783">
        <v>0.14000000000000001</v>
      </c>
      <c r="BQ166" s="1049"/>
    </row>
    <row r="167" spans="1:69" ht="14.4">
      <c r="A167" s="1049"/>
      <c r="B167" s="1060"/>
      <c r="C167" s="1086">
        <v>13</v>
      </c>
      <c r="D167" s="1085">
        <v>14</v>
      </c>
      <c r="E167" s="1091">
        <v>1.37</v>
      </c>
      <c r="F167" s="1090">
        <v>3.97</v>
      </c>
      <c r="G167" s="1089">
        <f t="shared" si="66"/>
        <v>2.8978102189781021</v>
      </c>
      <c r="H167" s="1049"/>
      <c r="I167" s="1060"/>
      <c r="J167" s="1086">
        <v>13</v>
      </c>
      <c r="K167" s="1085">
        <v>14</v>
      </c>
      <c r="L167" s="1084">
        <v>0.38700000000000001</v>
      </c>
      <c r="M167" s="1088">
        <v>0.82</v>
      </c>
      <c r="N167" s="1087">
        <f t="shared" si="67"/>
        <v>2.1188630490956069</v>
      </c>
      <c r="O167" s="1049"/>
      <c r="P167" s="1092" t="s">
        <v>1127</v>
      </c>
      <c r="Q167" s="1086">
        <v>13</v>
      </c>
      <c r="R167" s="1085">
        <v>14</v>
      </c>
      <c r="S167" s="1084">
        <v>1.272</v>
      </c>
      <c r="T167" s="1054">
        <f t="shared" si="68"/>
        <v>4.1467200000000002</v>
      </c>
      <c r="U167" s="1142">
        <v>5.32</v>
      </c>
      <c r="V167" s="1052">
        <f t="shared" si="69"/>
        <v>4.182389937106918</v>
      </c>
      <c r="W167" s="1049"/>
      <c r="X167" s="1051">
        <v>3.26</v>
      </c>
      <c r="Y167" s="1049"/>
      <c r="Z167" s="1050">
        <f t="shared" si="70"/>
        <v>3.1291199999999999</v>
      </c>
      <c r="AA167" s="1092" t="s">
        <v>1127</v>
      </c>
      <c r="AB167" s="1086">
        <v>13</v>
      </c>
      <c r="AC167" s="1085">
        <v>14</v>
      </c>
      <c r="AD167" s="1084">
        <v>3.09</v>
      </c>
      <c r="AE167" s="1143">
        <f t="shared" si="71"/>
        <v>3.1208999999999998</v>
      </c>
      <c r="AF167" s="1142">
        <v>8.18</v>
      </c>
      <c r="AG167" s="1052">
        <f t="shared" si="72"/>
        <v>2.6472491909385112</v>
      </c>
      <c r="AH167" s="1049"/>
      <c r="AI167" s="1051">
        <v>1.01</v>
      </c>
      <c r="AJ167" s="1049"/>
      <c r="AK167" s="1050">
        <f t="shared" si="73"/>
        <v>0.64889999999999981</v>
      </c>
      <c r="AL167" s="1049"/>
      <c r="AM167" s="1092" t="s">
        <v>1127</v>
      </c>
      <c r="AN167" s="1150">
        <v>13</v>
      </c>
      <c r="AO167" s="1085">
        <v>14</v>
      </c>
      <c r="AP167" s="1084">
        <v>0.27</v>
      </c>
      <c r="AQ167" s="1748">
        <f t="shared" si="74"/>
        <v>0</v>
      </c>
      <c r="AR167" s="1742">
        <v>0.54</v>
      </c>
      <c r="AS167" s="1052">
        <f t="shared" si="75"/>
        <v>2</v>
      </c>
      <c r="AT167" s="1049"/>
      <c r="AU167" s="1051"/>
      <c r="AV167" s="1049"/>
      <c r="AW167" s="1092" t="s">
        <v>1127</v>
      </c>
      <c r="AX167" s="1086">
        <v>13</v>
      </c>
      <c r="AY167" s="1085">
        <v>14</v>
      </c>
      <c r="AZ167" s="1084">
        <v>0.41</v>
      </c>
      <c r="BA167" s="1736">
        <v>0.7</v>
      </c>
      <c r="BB167" s="1742">
        <f t="shared" si="76"/>
        <v>1.7073170731707317</v>
      </c>
      <c r="BC167" s="1049"/>
      <c r="BD167" s="1051"/>
      <c r="BE167" s="1049"/>
      <c r="BF167" s="1092" t="s">
        <v>1127</v>
      </c>
      <c r="BG167" s="1086">
        <v>13</v>
      </c>
      <c r="BH167" s="1085">
        <v>14</v>
      </c>
      <c r="BI167" s="1084">
        <v>0.16</v>
      </c>
      <c r="BJ167" s="1736" t="s">
        <v>1392</v>
      </c>
      <c r="BK167" s="1049"/>
      <c r="BL167" s="1092" t="s">
        <v>1127</v>
      </c>
      <c r="BM167" s="1086">
        <v>13</v>
      </c>
      <c r="BN167" s="1085">
        <v>14</v>
      </c>
      <c r="BO167" s="1084"/>
      <c r="BP167" s="1783">
        <v>0.1</v>
      </c>
      <c r="BQ167" s="1049"/>
    </row>
    <row r="168" spans="1:69" ht="14.4">
      <c r="A168" s="1049"/>
      <c r="B168" s="1060"/>
      <c r="C168" s="1086">
        <v>14</v>
      </c>
      <c r="D168" s="1085">
        <v>15</v>
      </c>
      <c r="E168" s="1091">
        <v>1.64</v>
      </c>
      <c r="F168" s="1090">
        <v>4.74</v>
      </c>
      <c r="G168" s="1089">
        <f t="shared" si="66"/>
        <v>2.8902439024390247</v>
      </c>
      <c r="H168" s="1049"/>
      <c r="I168" s="1060"/>
      <c r="J168" s="1086">
        <v>14</v>
      </c>
      <c r="K168" s="1085">
        <v>15</v>
      </c>
      <c r="L168" s="1084">
        <v>0.35</v>
      </c>
      <c r="M168" s="1088">
        <v>0.76</v>
      </c>
      <c r="N168" s="1087">
        <f t="shared" si="67"/>
        <v>2.1714285714285717</v>
      </c>
      <c r="O168" s="1049"/>
      <c r="P168" s="1058">
        <f>P156*0.8</f>
        <v>23.854400000000002</v>
      </c>
      <c r="Q168" s="1086">
        <v>14</v>
      </c>
      <c r="R168" s="1085">
        <v>15</v>
      </c>
      <c r="S168" s="1084">
        <v>1.075</v>
      </c>
      <c r="T168" s="1054">
        <f t="shared" si="68"/>
        <v>4.343</v>
      </c>
      <c r="U168" s="1142">
        <v>5.34</v>
      </c>
      <c r="V168" s="1052">
        <f t="shared" si="69"/>
        <v>4.967441860465116</v>
      </c>
      <c r="W168" s="1049"/>
      <c r="X168" s="1051">
        <v>4.04</v>
      </c>
      <c r="Y168" s="1049"/>
      <c r="Z168" s="1050">
        <f t="shared" si="70"/>
        <v>3.4830000000000001</v>
      </c>
      <c r="AA168" s="1058">
        <f>AA156*0.8</f>
        <v>61.455999999999996</v>
      </c>
      <c r="AB168" s="1086">
        <v>14</v>
      </c>
      <c r="AC168" s="1085">
        <v>15</v>
      </c>
      <c r="AD168" s="1084">
        <v>3.41</v>
      </c>
      <c r="AE168" s="1143">
        <f t="shared" si="71"/>
        <v>3.2736000000000001</v>
      </c>
      <c r="AF168" s="1142">
        <v>8.7799999999999994</v>
      </c>
      <c r="AG168" s="1052">
        <f t="shared" si="72"/>
        <v>2.5747800586510259</v>
      </c>
      <c r="AH168" s="1049"/>
      <c r="AI168" s="1051">
        <v>0.96</v>
      </c>
      <c r="AJ168" s="1049"/>
      <c r="AK168" s="1050">
        <f t="shared" si="73"/>
        <v>0.54559999999999975</v>
      </c>
      <c r="AL168" s="1049"/>
      <c r="AM168" s="1058">
        <f>AM156*0.8</f>
        <v>6.1040000000000019</v>
      </c>
      <c r="AN168" s="1150">
        <v>14</v>
      </c>
      <c r="AO168" s="1085">
        <v>15</v>
      </c>
      <c r="AP168" s="1084">
        <v>0.22</v>
      </c>
      <c r="AQ168" s="1748">
        <f t="shared" si="74"/>
        <v>0</v>
      </c>
      <c r="AR168" s="1742">
        <v>0.47</v>
      </c>
      <c r="AS168" s="1052">
        <f t="shared" si="75"/>
        <v>2.1363636363636362</v>
      </c>
      <c r="AT168" s="1049"/>
      <c r="AU168" s="1051"/>
      <c r="AV168" s="1049"/>
      <c r="AW168" s="1058">
        <f>AW156*0.8</f>
        <v>6.3440000000000003</v>
      </c>
      <c r="AX168" s="1086">
        <v>14</v>
      </c>
      <c r="AY168" s="1085">
        <v>15</v>
      </c>
      <c r="AZ168" s="1084">
        <v>0.49</v>
      </c>
      <c r="BA168" s="1736">
        <v>0.84</v>
      </c>
      <c r="BB168" s="1742">
        <f t="shared" si="76"/>
        <v>1.7142857142857142</v>
      </c>
      <c r="BC168" s="1049"/>
      <c r="BD168" s="1051"/>
      <c r="BE168" s="1049"/>
      <c r="BF168" s="1058">
        <f>BF156*0.8</f>
        <v>5.4880000000000013</v>
      </c>
      <c r="BG168" s="1086">
        <v>14</v>
      </c>
      <c r="BH168" s="1085">
        <v>15</v>
      </c>
      <c r="BI168" s="1084">
        <v>0.19</v>
      </c>
      <c r="BJ168" s="1736" t="s">
        <v>1368</v>
      </c>
      <c r="BK168" s="1049"/>
      <c r="BL168" s="1058">
        <f>BL156*0.8</f>
        <v>2.3439999999999999</v>
      </c>
      <c r="BM168" s="1086">
        <v>14</v>
      </c>
      <c r="BN168" s="1085">
        <v>15</v>
      </c>
      <c r="BO168" s="1084"/>
      <c r="BP168" s="1783">
        <v>0.11</v>
      </c>
      <c r="BQ168" s="1049"/>
    </row>
    <row r="169" spans="1:69" ht="14.4">
      <c r="A169" s="1049"/>
      <c r="B169" s="1060"/>
      <c r="C169" s="1086">
        <v>15</v>
      </c>
      <c r="D169" s="1085">
        <v>16</v>
      </c>
      <c r="E169" s="1091">
        <v>0.51</v>
      </c>
      <c r="F169" s="1090">
        <v>1.48</v>
      </c>
      <c r="G169" s="1089">
        <f t="shared" si="66"/>
        <v>2.9019607843137254</v>
      </c>
      <c r="H169" s="1049"/>
      <c r="I169" s="1060"/>
      <c r="J169" s="1086">
        <v>15</v>
      </c>
      <c r="K169" s="1085">
        <v>16</v>
      </c>
      <c r="L169" s="1084">
        <v>0.23300000000000001</v>
      </c>
      <c r="M169" s="1088">
        <v>0.51</v>
      </c>
      <c r="N169" s="1087">
        <f t="shared" si="67"/>
        <v>2.188841201716738</v>
      </c>
      <c r="O169" s="1049"/>
      <c r="P169" s="1058" t="s">
        <v>1126</v>
      </c>
      <c r="Q169" s="1086">
        <v>15</v>
      </c>
      <c r="R169" s="1085">
        <v>16</v>
      </c>
      <c r="S169" s="1084">
        <v>2.202</v>
      </c>
      <c r="T169" s="1054">
        <f t="shared" si="68"/>
        <v>9.5126400000000011</v>
      </c>
      <c r="U169" s="1142">
        <v>11.93</v>
      </c>
      <c r="V169" s="1052">
        <f t="shared" si="69"/>
        <v>5.41780199818347</v>
      </c>
      <c r="W169" s="1049"/>
      <c r="X169" s="1051">
        <v>4.32</v>
      </c>
      <c r="Y169" s="1049"/>
      <c r="Z169" s="1050">
        <f t="shared" si="70"/>
        <v>7.7510400000000006</v>
      </c>
      <c r="AA169" s="1058" t="s">
        <v>1126</v>
      </c>
      <c r="AB169" s="1086">
        <v>15</v>
      </c>
      <c r="AC169" s="1085">
        <v>16</v>
      </c>
      <c r="AD169" s="1084">
        <v>3.36</v>
      </c>
      <c r="AE169" s="1143">
        <f t="shared" si="71"/>
        <v>3.1248</v>
      </c>
      <c r="AF169" s="1142">
        <v>8.49</v>
      </c>
      <c r="AG169" s="1052">
        <f t="shared" si="72"/>
        <v>2.5267857142857144</v>
      </c>
      <c r="AH169" s="1049"/>
      <c r="AI169" s="1051">
        <v>0.93</v>
      </c>
      <c r="AJ169" s="1049"/>
      <c r="AK169" s="1050">
        <f t="shared" si="73"/>
        <v>0.43680000000000002</v>
      </c>
      <c r="AL169" s="1049"/>
      <c r="AM169" s="1058" t="s">
        <v>1126</v>
      </c>
      <c r="AN169" s="1150">
        <v>15</v>
      </c>
      <c r="AO169" s="1085">
        <v>16</v>
      </c>
      <c r="AP169" s="1084">
        <v>0.3</v>
      </c>
      <c r="AQ169" s="1748">
        <f t="shared" si="74"/>
        <v>0</v>
      </c>
      <c r="AR169" s="1742">
        <v>0.73</v>
      </c>
      <c r="AS169" s="1052">
        <f t="shared" si="75"/>
        <v>2.4333333333333336</v>
      </c>
      <c r="AT169" s="1049"/>
      <c r="AU169" s="1051"/>
      <c r="AV169" s="1049"/>
      <c r="AW169" s="1058" t="s">
        <v>1126</v>
      </c>
      <c r="AX169" s="1086">
        <v>15</v>
      </c>
      <c r="AY169" s="1085">
        <v>16</v>
      </c>
      <c r="AZ169" s="1084">
        <v>0.35</v>
      </c>
      <c r="BA169" s="1736">
        <v>0.61</v>
      </c>
      <c r="BB169" s="1742">
        <f t="shared" si="76"/>
        <v>1.7428571428571429</v>
      </c>
      <c r="BC169" s="1049"/>
      <c r="BD169" s="1051"/>
      <c r="BE169" s="1049"/>
      <c r="BF169" s="1058" t="s">
        <v>1126</v>
      </c>
      <c r="BG169" s="1086">
        <v>15</v>
      </c>
      <c r="BH169" s="1085">
        <v>16</v>
      </c>
      <c r="BI169" s="1084">
        <v>0.27</v>
      </c>
      <c r="BJ169" s="1736" t="s">
        <v>1412</v>
      </c>
      <c r="BK169" s="1049"/>
      <c r="BL169" s="1058" t="s">
        <v>1126</v>
      </c>
      <c r="BM169" s="1086">
        <v>15</v>
      </c>
      <c r="BN169" s="1085">
        <v>16</v>
      </c>
      <c r="BO169" s="1084"/>
      <c r="BP169" s="1783">
        <v>0.12</v>
      </c>
      <c r="BQ169" s="1049"/>
    </row>
    <row r="170" spans="1:69" ht="15" thickBot="1">
      <c r="A170" s="1049"/>
      <c r="B170" s="1060"/>
      <c r="C170" s="1077">
        <v>16</v>
      </c>
      <c r="D170" s="1076">
        <v>17</v>
      </c>
      <c r="E170" s="1083">
        <v>0.39</v>
      </c>
      <c r="F170" s="1082">
        <v>1.1100000000000001</v>
      </c>
      <c r="G170" s="1081">
        <f t="shared" si="66"/>
        <v>2.8461538461538463</v>
      </c>
      <c r="H170" s="1049"/>
      <c r="I170" s="1060"/>
      <c r="J170" s="1077">
        <v>16</v>
      </c>
      <c r="K170" s="1076">
        <v>17</v>
      </c>
      <c r="L170" s="1075">
        <v>0.42099999999999999</v>
      </c>
      <c r="M170" s="1080">
        <v>0.98</v>
      </c>
      <c r="N170" s="1079">
        <f t="shared" si="67"/>
        <v>2.3277909738717342</v>
      </c>
      <c r="O170" s="1049"/>
      <c r="P170" s="1078">
        <f>P156*(X153-0.8)</f>
        <v>73.874095000000011</v>
      </c>
      <c r="Q170" s="1077">
        <v>16</v>
      </c>
      <c r="R170" s="1076">
        <v>17</v>
      </c>
      <c r="S170" s="1075">
        <v>2.4279999999999999</v>
      </c>
      <c r="T170" s="1054">
        <f t="shared" si="68"/>
        <v>10.87744</v>
      </c>
      <c r="U170" s="1140">
        <v>13.11</v>
      </c>
      <c r="V170" s="1052">
        <f t="shared" si="69"/>
        <v>5.3995057660626031</v>
      </c>
      <c r="W170" s="1049"/>
      <c r="X170" s="1074">
        <v>4.4800000000000004</v>
      </c>
      <c r="Y170" s="1049"/>
      <c r="Z170" s="1050">
        <f t="shared" si="70"/>
        <v>8.9350400000000008</v>
      </c>
      <c r="AA170" s="1078">
        <f>AA156*(AI153-0.8)</f>
        <v>15.363999999999995</v>
      </c>
      <c r="AB170" s="1077">
        <v>16</v>
      </c>
      <c r="AC170" s="1076">
        <v>17</v>
      </c>
      <c r="AD170" s="1075">
        <v>3.28</v>
      </c>
      <c r="AE170" s="1141">
        <f t="shared" si="71"/>
        <v>3.3127999999999997</v>
      </c>
      <c r="AF170" s="1140">
        <v>8.6999999999999993</v>
      </c>
      <c r="AG170" s="1052">
        <f t="shared" si="72"/>
        <v>2.6524390243902438</v>
      </c>
      <c r="AH170" s="1049"/>
      <c r="AI170" s="1074">
        <v>1.01</v>
      </c>
      <c r="AJ170" s="1049"/>
      <c r="AK170" s="1050">
        <f t="shared" si="73"/>
        <v>0.68879999999999986</v>
      </c>
      <c r="AL170" s="1049"/>
      <c r="AM170" s="1078" t="e">
        <f>AM156*(AU153-0.8)</f>
        <v>#DIV/0!</v>
      </c>
      <c r="AN170" s="1149">
        <v>16</v>
      </c>
      <c r="AO170" s="1076">
        <v>17</v>
      </c>
      <c r="AP170" s="1075">
        <v>0.46</v>
      </c>
      <c r="AQ170" s="1749">
        <f t="shared" si="74"/>
        <v>0</v>
      </c>
      <c r="AR170" s="1743">
        <v>1.19</v>
      </c>
      <c r="AS170" s="1052">
        <f t="shared" si="75"/>
        <v>2.5869565217391304</v>
      </c>
      <c r="AT170" s="1049"/>
      <c r="AU170" s="1074"/>
      <c r="AV170" s="1049"/>
      <c r="AW170" s="1078" t="e">
        <f>AW156*(BD153-0.8)</f>
        <v>#DIV/0!</v>
      </c>
      <c r="AX170" s="1077">
        <v>16</v>
      </c>
      <c r="AY170" s="1076">
        <v>17</v>
      </c>
      <c r="AZ170" s="1075">
        <v>0.32</v>
      </c>
      <c r="BA170" s="1738">
        <v>0.57999999999999996</v>
      </c>
      <c r="BB170" s="1743">
        <f t="shared" si="76"/>
        <v>1.8124999999999998</v>
      </c>
      <c r="BC170" s="1049"/>
      <c r="BD170" s="1074"/>
      <c r="BE170" s="1049"/>
      <c r="BF170" s="1078">
        <f>BF156*(BM153-0.8)</f>
        <v>-5.4880000000000013</v>
      </c>
      <c r="BG170" s="1077">
        <v>16</v>
      </c>
      <c r="BH170" s="1076">
        <v>17</v>
      </c>
      <c r="BI170" s="1075">
        <v>0.27</v>
      </c>
      <c r="BJ170" s="1738" t="s">
        <v>1388</v>
      </c>
      <c r="BK170" s="1049"/>
      <c r="BL170" s="1078">
        <f>BL156*(BS153-0.8)</f>
        <v>-2.3439999999999999</v>
      </c>
      <c r="BM170" s="1077">
        <v>16</v>
      </c>
      <c r="BN170" s="1076">
        <v>17</v>
      </c>
      <c r="BO170" s="1075"/>
      <c r="BP170" s="1783">
        <v>0.13</v>
      </c>
      <c r="BQ170" s="1049"/>
    </row>
    <row r="171" spans="1:69" ht="14.4">
      <c r="A171" s="1049"/>
      <c r="B171" s="1060"/>
      <c r="C171" s="1068">
        <v>17</v>
      </c>
      <c r="D171" s="1067">
        <v>18</v>
      </c>
      <c r="E171" s="1073">
        <v>0.73</v>
      </c>
      <c r="F171" s="1072">
        <v>2.56</v>
      </c>
      <c r="G171" s="1071">
        <f t="shared" si="66"/>
        <v>3.5068493150684934</v>
      </c>
      <c r="H171" s="1049"/>
      <c r="I171" s="1060"/>
      <c r="J171" s="1068">
        <v>17</v>
      </c>
      <c r="K171" s="1067">
        <v>18</v>
      </c>
      <c r="L171" s="1066">
        <v>0.80700000000000005</v>
      </c>
      <c r="M171" s="1070">
        <v>3.1</v>
      </c>
      <c r="N171" s="1069">
        <f t="shared" si="67"/>
        <v>3.8413878562577448</v>
      </c>
      <c r="O171" s="1049"/>
      <c r="P171" s="1058"/>
      <c r="Q171" s="1068">
        <v>17</v>
      </c>
      <c r="R171" s="1067">
        <v>18</v>
      </c>
      <c r="S171" s="1066">
        <v>2.089</v>
      </c>
      <c r="T171" s="1054">
        <f t="shared" si="68"/>
        <v>8.6902399999999993</v>
      </c>
      <c r="U171" s="1138">
        <v>10.6</v>
      </c>
      <c r="V171" s="1052">
        <f t="shared" si="69"/>
        <v>5.074198180947822</v>
      </c>
      <c r="W171" s="1049"/>
      <c r="X171" s="1065">
        <v>4.16</v>
      </c>
      <c r="Y171" s="1049"/>
      <c r="Z171" s="1050">
        <f t="shared" si="70"/>
        <v>7.0190400000000004</v>
      </c>
      <c r="AA171" s="1058"/>
      <c r="AB171" s="1068">
        <v>17</v>
      </c>
      <c r="AC171" s="1067">
        <v>18</v>
      </c>
      <c r="AD171" s="1066">
        <v>3.61</v>
      </c>
      <c r="AE171" s="1139">
        <f t="shared" si="71"/>
        <v>3.7183000000000002</v>
      </c>
      <c r="AF171" s="1138">
        <v>14.11</v>
      </c>
      <c r="AG171" s="1052">
        <f t="shared" si="72"/>
        <v>3.9085872576177283</v>
      </c>
      <c r="AH171" s="1049"/>
      <c r="AI171" s="1065">
        <v>1.03</v>
      </c>
      <c r="AJ171" s="1049"/>
      <c r="AK171" s="1050">
        <f t="shared" si="73"/>
        <v>0.83029999999999993</v>
      </c>
      <c r="AL171" s="1049"/>
      <c r="AM171" s="1058"/>
      <c r="AN171" s="1068">
        <v>17</v>
      </c>
      <c r="AO171" s="1067">
        <v>18</v>
      </c>
      <c r="AP171" s="1066">
        <v>0.85</v>
      </c>
      <c r="AQ171" s="1750">
        <f t="shared" si="74"/>
        <v>0</v>
      </c>
      <c r="AR171" s="1744">
        <v>3.12</v>
      </c>
      <c r="AS171" s="1052">
        <f t="shared" si="75"/>
        <v>3.6705882352941179</v>
      </c>
      <c r="AT171" s="1049"/>
      <c r="AU171" s="1065"/>
      <c r="AV171" s="1049"/>
      <c r="AW171" s="1058"/>
      <c r="AX171" s="1068">
        <v>17</v>
      </c>
      <c r="AY171" s="1067">
        <v>18</v>
      </c>
      <c r="AZ171" s="1066">
        <v>0.87</v>
      </c>
      <c r="BA171" s="1740">
        <v>2.39</v>
      </c>
      <c r="BB171" s="1744">
        <f t="shared" si="76"/>
        <v>2.7471264367816093</v>
      </c>
      <c r="BC171" s="1049"/>
      <c r="BD171" s="1065"/>
      <c r="BE171" s="1049"/>
      <c r="BF171" s="1058"/>
      <c r="BG171" s="1068">
        <v>17</v>
      </c>
      <c r="BH171" s="1067">
        <v>18</v>
      </c>
      <c r="BI171" s="1066">
        <v>1.04</v>
      </c>
      <c r="BJ171" s="1740" t="s">
        <v>1436</v>
      </c>
      <c r="BK171" s="1049"/>
      <c r="BL171" s="1058"/>
      <c r="BM171" s="1068">
        <v>17</v>
      </c>
      <c r="BN171" s="1067">
        <v>18</v>
      </c>
      <c r="BO171" s="1066"/>
      <c r="BP171" s="1783">
        <v>0.12</v>
      </c>
      <c r="BQ171" s="1049"/>
    </row>
    <row r="172" spans="1:69" ht="14.4">
      <c r="A172" s="1049"/>
      <c r="B172" s="1060"/>
      <c r="C172" s="1057">
        <v>18</v>
      </c>
      <c r="D172" s="1056">
        <v>19</v>
      </c>
      <c r="E172" s="1063">
        <v>0.44</v>
      </c>
      <c r="F172" s="1062">
        <v>1.53</v>
      </c>
      <c r="G172" s="1061">
        <f t="shared" si="66"/>
        <v>3.4772727272727275</v>
      </c>
      <c r="H172" s="1049"/>
      <c r="I172" s="1060"/>
      <c r="J172" s="1057">
        <v>18</v>
      </c>
      <c r="K172" s="1056">
        <v>19</v>
      </c>
      <c r="L172" s="1055">
        <v>0.84899999999999998</v>
      </c>
      <c r="M172" s="1059">
        <v>3.27</v>
      </c>
      <c r="N172" s="1052">
        <f t="shared" si="67"/>
        <v>3.8515901060070674</v>
      </c>
      <c r="O172" s="1049"/>
      <c r="P172" s="1058"/>
      <c r="Q172" s="1057">
        <v>18</v>
      </c>
      <c r="R172" s="1056">
        <v>19</v>
      </c>
      <c r="S172" s="1055">
        <v>1.5720000000000001</v>
      </c>
      <c r="T172" s="1054">
        <f t="shared" si="68"/>
        <v>6.2565600000000003</v>
      </c>
      <c r="U172" s="1136">
        <v>7.69</v>
      </c>
      <c r="V172" s="1052">
        <f t="shared" si="69"/>
        <v>4.8918575063613234</v>
      </c>
      <c r="W172" s="1049"/>
      <c r="X172" s="1051">
        <v>3.98</v>
      </c>
      <c r="Y172" s="1049"/>
      <c r="Z172" s="1050">
        <f t="shared" si="70"/>
        <v>4.9989599999999994</v>
      </c>
      <c r="AA172" s="1058"/>
      <c r="AB172" s="1057">
        <v>18</v>
      </c>
      <c r="AC172" s="1056">
        <v>19</v>
      </c>
      <c r="AD172" s="1055">
        <v>3.24</v>
      </c>
      <c r="AE172" s="1137">
        <f t="shared" si="71"/>
        <v>3.4344000000000006</v>
      </c>
      <c r="AF172" s="1136">
        <v>12.79</v>
      </c>
      <c r="AG172" s="1052">
        <f t="shared" si="72"/>
        <v>3.9475308641975304</v>
      </c>
      <c r="AH172" s="1049"/>
      <c r="AI172" s="1051">
        <v>1.06</v>
      </c>
      <c r="AJ172" s="1049"/>
      <c r="AK172" s="1050">
        <f t="shared" si="73"/>
        <v>0.84240000000000004</v>
      </c>
      <c r="AL172" s="1049"/>
      <c r="AM172" s="1058"/>
      <c r="AN172" s="1057">
        <v>18</v>
      </c>
      <c r="AO172" s="1056">
        <v>19</v>
      </c>
      <c r="AP172" s="1055">
        <v>0.49</v>
      </c>
      <c r="AQ172" s="1745">
        <f t="shared" si="74"/>
        <v>0</v>
      </c>
      <c r="AR172" s="1737">
        <v>1.9</v>
      </c>
      <c r="AS172" s="1052">
        <f t="shared" si="75"/>
        <v>3.8775510204081631</v>
      </c>
      <c r="AT172" s="1049"/>
      <c r="AU172" s="1051"/>
      <c r="AV172" s="1049"/>
      <c r="AW172" s="1058"/>
      <c r="AX172" s="1057">
        <v>18</v>
      </c>
      <c r="AY172" s="1056">
        <v>19</v>
      </c>
      <c r="AZ172" s="1055">
        <v>1.1499999999999999</v>
      </c>
      <c r="BA172" s="1736">
        <v>3.44</v>
      </c>
      <c r="BB172" s="1737">
        <f t="shared" si="76"/>
        <v>2.991304347826087</v>
      </c>
      <c r="BC172" s="1049"/>
      <c r="BD172" s="1051"/>
      <c r="BE172" s="1049"/>
      <c r="BF172" s="1058"/>
      <c r="BG172" s="1057">
        <v>18</v>
      </c>
      <c r="BH172" s="1056">
        <v>19</v>
      </c>
      <c r="BI172" s="1055">
        <v>0.28000000000000003</v>
      </c>
      <c r="BJ172" s="1736" t="s">
        <v>1409</v>
      </c>
      <c r="BK172" s="1049"/>
      <c r="BL172" s="1058"/>
      <c r="BM172" s="1057">
        <v>18</v>
      </c>
      <c r="BN172" s="1056">
        <v>19</v>
      </c>
      <c r="BO172" s="1055"/>
      <c r="BP172" s="1783">
        <v>0.12</v>
      </c>
      <c r="BQ172" s="1049"/>
    </row>
    <row r="173" spans="1:69" ht="14.4">
      <c r="A173" s="1049"/>
      <c r="B173" s="1060"/>
      <c r="C173" s="1057">
        <v>19</v>
      </c>
      <c r="D173" s="1056">
        <v>20</v>
      </c>
      <c r="E173" s="1063">
        <v>0.48</v>
      </c>
      <c r="F173" s="1062">
        <v>1.68</v>
      </c>
      <c r="G173" s="1061">
        <f t="shared" si="66"/>
        <v>3.5</v>
      </c>
      <c r="H173" s="1049"/>
      <c r="I173" s="1060"/>
      <c r="J173" s="1057">
        <v>19</v>
      </c>
      <c r="K173" s="1056">
        <v>20</v>
      </c>
      <c r="L173" s="1055">
        <v>0.64200000000000002</v>
      </c>
      <c r="M173" s="1059">
        <v>2.2400000000000002</v>
      </c>
      <c r="N173" s="1052">
        <f t="shared" si="67"/>
        <v>3.4890965732087231</v>
      </c>
      <c r="O173" s="1049"/>
      <c r="P173" s="1058"/>
      <c r="Q173" s="1057">
        <v>19</v>
      </c>
      <c r="R173" s="1056">
        <v>20</v>
      </c>
      <c r="S173" s="1055">
        <v>1.0680000000000001</v>
      </c>
      <c r="T173" s="1054">
        <f t="shared" si="68"/>
        <v>4.1331600000000002</v>
      </c>
      <c r="U173" s="1136">
        <v>5.1100000000000003</v>
      </c>
      <c r="V173" s="1052">
        <f t="shared" si="69"/>
        <v>4.7846441947565541</v>
      </c>
      <c r="W173" s="1049"/>
      <c r="X173" s="1051">
        <v>3.87</v>
      </c>
      <c r="Y173" s="1049"/>
      <c r="Z173" s="1050">
        <f t="shared" si="70"/>
        <v>3.2787600000000006</v>
      </c>
      <c r="AA173" s="1058"/>
      <c r="AB173" s="1057">
        <v>19</v>
      </c>
      <c r="AC173" s="1056">
        <v>20</v>
      </c>
      <c r="AD173" s="1055">
        <v>3.42</v>
      </c>
      <c r="AE173" s="1137">
        <f t="shared" si="71"/>
        <v>3.4542000000000002</v>
      </c>
      <c r="AF173" s="1136">
        <v>13.25</v>
      </c>
      <c r="AG173" s="1052">
        <f t="shared" si="72"/>
        <v>3.8742690058479532</v>
      </c>
      <c r="AH173" s="1049"/>
      <c r="AI173" s="1051">
        <v>1.01</v>
      </c>
      <c r="AJ173" s="1049"/>
      <c r="AK173" s="1050">
        <f t="shared" si="73"/>
        <v>0.71819999999999984</v>
      </c>
      <c r="AL173" s="1049"/>
      <c r="AM173" s="1058"/>
      <c r="AN173" s="1057">
        <v>19</v>
      </c>
      <c r="AO173" s="1056">
        <v>20</v>
      </c>
      <c r="AP173" s="1055">
        <v>0.44</v>
      </c>
      <c r="AQ173" s="1745">
        <f t="shared" si="74"/>
        <v>0</v>
      </c>
      <c r="AR173" s="1737">
        <v>1.64</v>
      </c>
      <c r="AS173" s="1052">
        <f t="shared" si="75"/>
        <v>3.7272727272727271</v>
      </c>
      <c r="AT173" s="1049"/>
      <c r="AU173" s="1051"/>
      <c r="AV173" s="1049"/>
      <c r="AW173" s="1058"/>
      <c r="AX173" s="1057">
        <v>19</v>
      </c>
      <c r="AY173" s="1056">
        <v>20</v>
      </c>
      <c r="AZ173" s="1055">
        <v>0.39</v>
      </c>
      <c r="BA173" s="1736">
        <v>1.1100000000000001</v>
      </c>
      <c r="BB173" s="1737">
        <f t="shared" si="76"/>
        <v>2.8461538461538463</v>
      </c>
      <c r="BC173" s="1049"/>
      <c r="BD173" s="1051"/>
      <c r="BE173" s="1049"/>
      <c r="BF173" s="1058"/>
      <c r="BG173" s="1057">
        <v>19</v>
      </c>
      <c r="BH173" s="1056">
        <v>20</v>
      </c>
      <c r="BI173" s="1055">
        <v>0.28999999999999998</v>
      </c>
      <c r="BJ173" s="1736" t="s">
        <v>1395</v>
      </c>
      <c r="BK173" s="1049"/>
      <c r="BL173" s="1058"/>
      <c r="BM173" s="1057">
        <v>19</v>
      </c>
      <c r="BN173" s="1056">
        <v>20</v>
      </c>
      <c r="BO173" s="1055"/>
      <c r="BP173" s="1783">
        <v>0.12</v>
      </c>
      <c r="BQ173" s="1049"/>
    </row>
    <row r="174" spans="1:69" ht="14.4">
      <c r="A174" s="1049"/>
      <c r="B174" s="1060"/>
      <c r="C174" s="1057">
        <v>20</v>
      </c>
      <c r="D174" s="1056">
        <v>21</v>
      </c>
      <c r="E174" s="1063">
        <v>0.41</v>
      </c>
      <c r="F174" s="1062">
        <v>1.18</v>
      </c>
      <c r="G174" s="1061">
        <f t="shared" si="66"/>
        <v>2.8780487804878048</v>
      </c>
      <c r="H174" s="1049"/>
      <c r="I174" s="1060"/>
      <c r="J174" s="1057">
        <v>20</v>
      </c>
      <c r="K174" s="1056">
        <v>21</v>
      </c>
      <c r="L174" s="1055">
        <v>0.63400000000000001</v>
      </c>
      <c r="M174" s="1059">
        <v>1.38</v>
      </c>
      <c r="N174" s="1052">
        <f t="shared" si="67"/>
        <v>2.1766561514195581</v>
      </c>
      <c r="O174" s="1049"/>
      <c r="P174" s="1058"/>
      <c r="Q174" s="1057">
        <v>20</v>
      </c>
      <c r="R174" s="1056">
        <v>21</v>
      </c>
      <c r="S174" s="1055">
        <v>1.278</v>
      </c>
      <c r="T174" s="1054">
        <f t="shared" si="68"/>
        <v>5.1886799999999997</v>
      </c>
      <c r="U174" s="1136">
        <v>6.36</v>
      </c>
      <c r="V174" s="1052">
        <f t="shared" si="69"/>
        <v>4.976525821596244</v>
      </c>
      <c r="W174" s="1049"/>
      <c r="X174" s="1051">
        <v>4.0599999999999996</v>
      </c>
      <c r="Y174" s="1049"/>
      <c r="Z174" s="1050">
        <f t="shared" si="70"/>
        <v>4.1662799999999995</v>
      </c>
      <c r="AA174" s="1058"/>
      <c r="AB174" s="1057">
        <v>20</v>
      </c>
      <c r="AC174" s="1056">
        <v>21</v>
      </c>
      <c r="AD174" s="1055">
        <v>4.01</v>
      </c>
      <c r="AE174" s="1137">
        <f t="shared" si="71"/>
        <v>3.8094999999999994</v>
      </c>
      <c r="AF174" s="1136">
        <v>10.26</v>
      </c>
      <c r="AG174" s="1052">
        <f t="shared" si="72"/>
        <v>2.5586034912718207</v>
      </c>
      <c r="AH174" s="1049"/>
      <c r="AI174" s="1051">
        <v>0.95</v>
      </c>
      <c r="AJ174" s="1049"/>
      <c r="AK174" s="1050">
        <f t="shared" si="73"/>
        <v>0.60149999999999959</v>
      </c>
      <c r="AL174" s="1049"/>
      <c r="AM174" s="1058"/>
      <c r="AN174" s="1057">
        <v>20</v>
      </c>
      <c r="AO174" s="1056">
        <v>21</v>
      </c>
      <c r="AP174" s="1055">
        <v>0.4</v>
      </c>
      <c r="AQ174" s="1745">
        <f t="shared" si="74"/>
        <v>0</v>
      </c>
      <c r="AR174" s="1737">
        <v>1.07</v>
      </c>
      <c r="AS174" s="1052">
        <f t="shared" si="75"/>
        <v>2.6749999999999998</v>
      </c>
      <c r="AT174" s="1049"/>
      <c r="AU174" s="1051"/>
      <c r="AV174" s="1049"/>
      <c r="AW174" s="1058"/>
      <c r="AX174" s="1057">
        <v>20</v>
      </c>
      <c r="AY174" s="1056">
        <v>21</v>
      </c>
      <c r="AZ174" s="1055">
        <v>0.38</v>
      </c>
      <c r="BA174" s="1736">
        <v>0.73</v>
      </c>
      <c r="BB174" s="1737">
        <f t="shared" si="76"/>
        <v>1.9210526315789473</v>
      </c>
      <c r="BC174" s="1049"/>
      <c r="BD174" s="1051"/>
      <c r="BE174" s="1049"/>
      <c r="BF174" s="1058"/>
      <c r="BG174" s="1057">
        <v>20</v>
      </c>
      <c r="BH174" s="1056">
        <v>21</v>
      </c>
      <c r="BI174" s="1055">
        <v>0.31</v>
      </c>
      <c r="BJ174" s="1736" t="s">
        <v>1437</v>
      </c>
      <c r="BK174" s="1049"/>
      <c r="BL174" s="1058"/>
      <c r="BM174" s="1057">
        <v>20</v>
      </c>
      <c r="BN174" s="1056">
        <v>21</v>
      </c>
      <c r="BO174" s="1055"/>
      <c r="BP174" s="1783">
        <v>7.0000000000000007E-2</v>
      </c>
      <c r="BQ174" s="1049"/>
    </row>
    <row r="175" spans="1:69" ht="14.4">
      <c r="A175" s="1049"/>
      <c r="B175" s="1060"/>
      <c r="C175" s="1057">
        <v>21</v>
      </c>
      <c r="D175" s="1056">
        <v>22</v>
      </c>
      <c r="E175" s="1063">
        <v>0.32</v>
      </c>
      <c r="F175" s="1062">
        <v>0.92</v>
      </c>
      <c r="G175" s="1061">
        <f t="shared" si="66"/>
        <v>2.875</v>
      </c>
      <c r="H175" s="1049"/>
      <c r="I175" s="1060"/>
      <c r="J175" s="1057">
        <v>21</v>
      </c>
      <c r="K175" s="1056">
        <v>22</v>
      </c>
      <c r="L175" s="1055">
        <v>0.375</v>
      </c>
      <c r="M175" s="1059">
        <v>0.8</v>
      </c>
      <c r="N175" s="1052">
        <f t="shared" si="67"/>
        <v>2.1333333333333333</v>
      </c>
      <c r="O175" s="1049"/>
      <c r="P175" s="1058"/>
      <c r="Q175" s="1057">
        <v>21</v>
      </c>
      <c r="R175" s="1056">
        <v>22</v>
      </c>
      <c r="S175" s="1055">
        <v>1.512</v>
      </c>
      <c r="T175" s="1054">
        <f t="shared" si="68"/>
        <v>4.9744799999999998</v>
      </c>
      <c r="U175" s="1136">
        <v>6.38</v>
      </c>
      <c r="V175" s="1052">
        <f t="shared" si="69"/>
        <v>4.2195767195767191</v>
      </c>
      <c r="W175" s="1049"/>
      <c r="X175" s="1051">
        <v>3.29</v>
      </c>
      <c r="Y175" s="1049"/>
      <c r="Z175" s="1050">
        <f t="shared" si="70"/>
        <v>3.7648800000000002</v>
      </c>
      <c r="AA175" s="1058"/>
      <c r="AB175" s="1057">
        <v>21</v>
      </c>
      <c r="AC175" s="1056">
        <v>22</v>
      </c>
      <c r="AD175" s="1055">
        <v>3.6</v>
      </c>
      <c r="AE175" s="1137">
        <f t="shared" si="71"/>
        <v>2.52</v>
      </c>
      <c r="AF175" s="1136">
        <v>7.85</v>
      </c>
      <c r="AG175" s="1052">
        <f t="shared" si="72"/>
        <v>2.1805555555555554</v>
      </c>
      <c r="AH175" s="1049"/>
      <c r="AI175" s="1051">
        <v>0.7</v>
      </c>
      <c r="AJ175" s="1049"/>
      <c r="AK175" s="1050">
        <f t="shared" si="73"/>
        <v>-0.36000000000000032</v>
      </c>
      <c r="AL175" s="1049"/>
      <c r="AM175" s="1058"/>
      <c r="AN175" s="1057">
        <v>21</v>
      </c>
      <c r="AO175" s="1056">
        <v>22</v>
      </c>
      <c r="AP175" s="1055">
        <v>0.49</v>
      </c>
      <c r="AQ175" s="1745">
        <f t="shared" si="74"/>
        <v>0</v>
      </c>
      <c r="AR175" s="1737">
        <v>1.26</v>
      </c>
      <c r="AS175" s="1052">
        <f t="shared" si="75"/>
        <v>2.5714285714285716</v>
      </c>
      <c r="AT175" s="1049"/>
      <c r="AU175" s="1051"/>
      <c r="AV175" s="1049"/>
      <c r="AW175" s="1058"/>
      <c r="AX175" s="1057">
        <v>21</v>
      </c>
      <c r="AY175" s="1056">
        <v>22</v>
      </c>
      <c r="AZ175" s="1055">
        <v>0.25</v>
      </c>
      <c r="BA175" s="1736">
        <v>0.47</v>
      </c>
      <c r="BB175" s="1737">
        <f t="shared" si="76"/>
        <v>1.88</v>
      </c>
      <c r="BC175" s="1049"/>
      <c r="BD175" s="1051"/>
      <c r="BE175" s="1049"/>
      <c r="BF175" s="1058"/>
      <c r="BG175" s="1057">
        <v>21</v>
      </c>
      <c r="BH175" s="1056">
        <v>22</v>
      </c>
      <c r="BI175" s="1055">
        <v>0.37</v>
      </c>
      <c r="BJ175" s="1736" t="s">
        <v>1403</v>
      </c>
      <c r="BK175" s="1049"/>
      <c r="BL175" s="1058"/>
      <c r="BM175" s="1057">
        <v>21</v>
      </c>
      <c r="BN175" s="1056">
        <v>22</v>
      </c>
      <c r="BO175" s="1055"/>
      <c r="BP175" s="1783">
        <v>7.0000000000000007E-2</v>
      </c>
      <c r="BQ175" s="1049"/>
    </row>
    <row r="176" spans="1:69" ht="14.4">
      <c r="A176" s="1049"/>
      <c r="B176" s="1060"/>
      <c r="C176" s="1057">
        <v>22</v>
      </c>
      <c r="D176" s="1056">
        <v>23</v>
      </c>
      <c r="E176" s="1063">
        <v>0.3</v>
      </c>
      <c r="F176" s="1062">
        <v>0.86</v>
      </c>
      <c r="G176" s="1061">
        <f t="shared" si="66"/>
        <v>2.8666666666666667</v>
      </c>
      <c r="H176" s="1049"/>
      <c r="I176" s="1060"/>
      <c r="J176" s="1057">
        <v>22</v>
      </c>
      <c r="K176" s="1056">
        <v>23</v>
      </c>
      <c r="L176" s="1055">
        <v>0.82</v>
      </c>
      <c r="M176" s="1059">
        <v>1.77</v>
      </c>
      <c r="N176" s="1052">
        <f t="shared" si="67"/>
        <v>2.1585365853658538</v>
      </c>
      <c r="O176" s="1049"/>
      <c r="P176" s="1058"/>
      <c r="Q176" s="1057">
        <v>22</v>
      </c>
      <c r="R176" s="1056">
        <v>23</v>
      </c>
      <c r="S176" s="1055">
        <v>2.0030000000000001</v>
      </c>
      <c r="T176" s="1054">
        <f t="shared" si="68"/>
        <v>6.1291800000000007</v>
      </c>
      <c r="U176" s="1136">
        <v>7.96</v>
      </c>
      <c r="V176" s="1052">
        <f t="shared" si="69"/>
        <v>3.9740389415876183</v>
      </c>
      <c r="W176" s="1049"/>
      <c r="X176" s="1051">
        <v>3.06</v>
      </c>
      <c r="Y176" s="1049"/>
      <c r="Z176" s="1050">
        <f t="shared" si="70"/>
        <v>4.5267799999999996</v>
      </c>
      <c r="AA176" s="1058"/>
      <c r="AB176" s="1057">
        <v>22</v>
      </c>
      <c r="AC176" s="1056">
        <v>23</v>
      </c>
      <c r="AD176" s="1055">
        <v>3.68</v>
      </c>
      <c r="AE176" s="1137">
        <f t="shared" si="71"/>
        <v>2.2080000000000002</v>
      </c>
      <c r="AF176" s="1136">
        <v>7.41</v>
      </c>
      <c r="AG176" s="1052">
        <f t="shared" si="72"/>
        <v>2.0135869565217392</v>
      </c>
      <c r="AH176" s="1049"/>
      <c r="AI176" s="1051">
        <v>0.6</v>
      </c>
      <c r="AJ176" s="1049"/>
      <c r="AK176" s="1050">
        <f t="shared" si="73"/>
        <v>-0.73600000000000032</v>
      </c>
      <c r="AL176" s="1049"/>
      <c r="AM176" s="1058"/>
      <c r="AN176" s="1057">
        <v>22</v>
      </c>
      <c r="AO176" s="1056">
        <v>23</v>
      </c>
      <c r="AP176" s="1055">
        <v>0.23</v>
      </c>
      <c r="AQ176" s="1745">
        <f t="shared" si="74"/>
        <v>0</v>
      </c>
      <c r="AR176" s="1737">
        <v>0.56000000000000005</v>
      </c>
      <c r="AS176" s="1052">
        <f t="shared" si="75"/>
        <v>2.4347826086956523</v>
      </c>
      <c r="AT176" s="1049"/>
      <c r="AU176" s="1051"/>
      <c r="AV176" s="1049"/>
      <c r="AW176" s="1058"/>
      <c r="AX176" s="1057">
        <v>22</v>
      </c>
      <c r="AY176" s="1056">
        <v>23</v>
      </c>
      <c r="AZ176" s="1055">
        <v>0.19</v>
      </c>
      <c r="BA176" s="1736">
        <v>0.36</v>
      </c>
      <c r="BB176" s="1737">
        <f t="shared" si="76"/>
        <v>1.8947368421052631</v>
      </c>
      <c r="BC176" s="1049"/>
      <c r="BD176" s="1051"/>
      <c r="BE176" s="1049"/>
      <c r="BF176" s="1058"/>
      <c r="BG176" s="1057">
        <v>22</v>
      </c>
      <c r="BH176" s="1056">
        <v>23</v>
      </c>
      <c r="BI176" s="1055">
        <v>0.27</v>
      </c>
      <c r="BJ176" s="1736" t="s">
        <v>1409</v>
      </c>
      <c r="BK176" s="1049"/>
      <c r="BL176" s="1058"/>
      <c r="BM176" s="1057">
        <v>22</v>
      </c>
      <c r="BN176" s="1056">
        <v>23</v>
      </c>
      <c r="BO176" s="1055"/>
      <c r="BP176" s="1783">
        <v>0.13</v>
      </c>
      <c r="BQ176" s="1049"/>
    </row>
    <row r="177" spans="1:69" ht="14.4">
      <c r="A177" s="1049"/>
      <c r="B177" s="1060"/>
      <c r="C177" s="1057">
        <v>23</v>
      </c>
      <c r="D177" s="1056">
        <v>24</v>
      </c>
      <c r="E177" s="1063">
        <v>0.56999999999999995</v>
      </c>
      <c r="F177" s="1062">
        <v>1.63</v>
      </c>
      <c r="G177" s="1061">
        <f t="shared" si="66"/>
        <v>2.8596491228070176</v>
      </c>
      <c r="H177" s="1049"/>
      <c r="I177" s="1060"/>
      <c r="J177" s="1057">
        <v>23</v>
      </c>
      <c r="K177" s="1056">
        <v>24</v>
      </c>
      <c r="L177" s="1055">
        <v>0.252</v>
      </c>
      <c r="M177" s="1059">
        <v>0.53</v>
      </c>
      <c r="N177" s="1052">
        <f t="shared" si="67"/>
        <v>2.1031746031746033</v>
      </c>
      <c r="O177" s="1049"/>
      <c r="P177" s="1058"/>
      <c r="Q177" s="1057">
        <v>23</v>
      </c>
      <c r="R177" s="1056">
        <v>24</v>
      </c>
      <c r="S177" s="1055">
        <v>1.7410000000000001</v>
      </c>
      <c r="T177" s="1054">
        <f t="shared" si="68"/>
        <v>4.9966700000000008</v>
      </c>
      <c r="U177" s="1136">
        <v>6.59</v>
      </c>
      <c r="V177" s="1052">
        <f t="shared" si="69"/>
        <v>3.7851809304997124</v>
      </c>
      <c r="W177" s="1049"/>
      <c r="X177" s="1051">
        <v>2.87</v>
      </c>
      <c r="Y177" s="1049"/>
      <c r="Z177" s="1050">
        <f t="shared" si="70"/>
        <v>3.6038700000000006</v>
      </c>
      <c r="AA177" s="1058"/>
      <c r="AB177" s="1057">
        <v>23</v>
      </c>
      <c r="AC177" s="1056">
        <v>24</v>
      </c>
      <c r="AD177" s="1055">
        <v>3.82</v>
      </c>
      <c r="AE177" s="1137">
        <f t="shared" si="71"/>
        <v>1.8717999999999999</v>
      </c>
      <c r="AF177" s="1136">
        <v>7.02</v>
      </c>
      <c r="AG177" s="1052">
        <f t="shared" si="72"/>
        <v>1.837696335078534</v>
      </c>
      <c r="AH177" s="1049"/>
      <c r="AI177" s="1051">
        <v>0.49</v>
      </c>
      <c r="AJ177" s="1049"/>
      <c r="AK177" s="1050">
        <f t="shared" si="73"/>
        <v>-1.1842000000000001</v>
      </c>
      <c r="AL177" s="1049"/>
      <c r="AM177" s="1058"/>
      <c r="AN177" s="1057">
        <v>23</v>
      </c>
      <c r="AO177" s="1056">
        <v>24</v>
      </c>
      <c r="AP177" s="1055">
        <v>0.16</v>
      </c>
      <c r="AQ177" s="1745">
        <f t="shared" si="74"/>
        <v>0</v>
      </c>
      <c r="AR177" s="1737">
        <v>0.37</v>
      </c>
      <c r="AS177" s="1052">
        <f t="shared" si="75"/>
        <v>2.3125</v>
      </c>
      <c r="AT177" s="1049"/>
      <c r="AU177" s="1051"/>
      <c r="AV177" s="1049"/>
      <c r="AW177" s="1058"/>
      <c r="AX177" s="1057">
        <v>23</v>
      </c>
      <c r="AY177" s="1056">
        <v>24</v>
      </c>
      <c r="AZ177" s="1055">
        <v>0.11</v>
      </c>
      <c r="BA177" s="1736">
        <v>0.21</v>
      </c>
      <c r="BB177" s="1737">
        <f t="shared" si="76"/>
        <v>1.9090909090909089</v>
      </c>
      <c r="BC177" s="1049"/>
      <c r="BD177" s="1051"/>
      <c r="BE177" s="1049"/>
      <c r="BF177" s="1058"/>
      <c r="BG177" s="1057">
        <v>23</v>
      </c>
      <c r="BH177" s="1056">
        <v>24</v>
      </c>
      <c r="BI177" s="1055">
        <v>7.0000000000000007E-2</v>
      </c>
      <c r="BJ177" s="1736" t="s">
        <v>1366</v>
      </c>
      <c r="BK177" s="1049"/>
      <c r="BL177" s="1058"/>
      <c r="BM177" s="1057">
        <v>23</v>
      </c>
      <c r="BN177" s="1056">
        <v>24</v>
      </c>
      <c r="BO177" s="1055"/>
      <c r="BP177" s="1783">
        <v>0.13</v>
      </c>
      <c r="BQ177" s="1049"/>
    </row>
    <row r="178" spans="1:69" ht="14.4">
      <c r="A178" s="1036"/>
      <c r="B178" s="1044"/>
      <c r="C178" s="1135"/>
      <c r="D178" s="1135"/>
      <c r="E178" s="1134"/>
      <c r="F178" s="1133"/>
      <c r="G178" s="1132"/>
      <c r="H178" s="1044"/>
      <c r="I178" s="1044" t="s">
        <v>1137</v>
      </c>
      <c r="J178" s="1046"/>
      <c r="K178" s="1046"/>
      <c r="L178" s="1129">
        <f>AVERAGE(L179:L202)</f>
        <v>0.918875</v>
      </c>
      <c r="M178" s="1131">
        <f>AVERAGE(M179:M202)</f>
        <v>2.1575000000000002</v>
      </c>
      <c r="N178" s="1039">
        <f>AVERAGE(N179:N202)</f>
        <v>2.2409046632728877</v>
      </c>
      <c r="O178" s="1044"/>
      <c r="P178" s="1130" t="s">
        <v>1136</v>
      </c>
      <c r="Q178" s="1046"/>
      <c r="R178" s="1046"/>
      <c r="S178" s="1129">
        <f>AVERAGE(S179:S202)</f>
        <v>1.3202916666666666</v>
      </c>
      <c r="T178" s="1128">
        <f>SUM(T179:T202)</f>
        <v>125.43682000000001</v>
      </c>
      <c r="U178" s="1040">
        <f>AVERAGE(U179:U202)</f>
        <v>6.5033333333333339</v>
      </c>
      <c r="V178" s="1039">
        <f>AVERAGE(V179:V202)</f>
        <v>4.7780007680197629</v>
      </c>
      <c r="W178" s="1036"/>
      <c r="X178" s="1038">
        <f>AVERAGE(X179:X202)</f>
        <v>3.7962500000000006</v>
      </c>
      <c r="Y178" s="1036"/>
      <c r="Z178" s="1127">
        <f>SUM(Z179:Z202)</f>
        <v>100.08722</v>
      </c>
      <c r="AA178" s="1130" t="s">
        <v>1139</v>
      </c>
      <c r="AB178" s="1046"/>
      <c r="AC178" s="1046"/>
      <c r="AD178" s="1129">
        <f>AVERAGE(AD179:AD202)</f>
        <v>2.8791666666666669</v>
      </c>
      <c r="AE178" s="1128">
        <f>SUM(AE179:AE202)</f>
        <v>54.366700000000009</v>
      </c>
      <c r="AF178" s="1040">
        <f>AVERAGE(AF179:AF202)</f>
        <v>4.4895833333333321</v>
      </c>
      <c r="AG178" s="1039">
        <f>AVERAGE(AG179:AG202)</f>
        <v>1.5598347321086361</v>
      </c>
      <c r="AH178" s="1036"/>
      <c r="AI178" s="1038">
        <f>AVERAGE(AI179:AI202)</f>
        <v>0.77375000000000005</v>
      </c>
      <c r="AJ178" s="1036"/>
      <c r="AK178" s="1127">
        <f>SUM(AK179:AK202)</f>
        <v>-0.91330000000000455</v>
      </c>
      <c r="AL178" s="1036"/>
      <c r="AM178" s="1130"/>
      <c r="AN178" s="1046"/>
      <c r="AO178" s="1046"/>
      <c r="AP178" s="1129">
        <f>AVERAGE(AP179:AP202)</f>
        <v>0.35333333333333333</v>
      </c>
      <c r="AQ178" s="1734">
        <f>SUM(AQ179:AQ202)</f>
        <v>0</v>
      </c>
      <c r="AR178" s="1735">
        <f>AVERAGE(AR179:AR202)</f>
        <v>0.77833333333333343</v>
      </c>
      <c r="AS178" s="1039">
        <f>AVERAGE(AS179:AS202)</f>
        <v>2.1613445168033607</v>
      </c>
      <c r="AT178" s="1036"/>
      <c r="AU178" s="1038" t="e">
        <f>AVERAGE(AU179:AU202)</f>
        <v>#DIV/0!</v>
      </c>
      <c r="AV178" s="1036"/>
      <c r="AW178" s="1130" t="s">
        <v>1131</v>
      </c>
      <c r="AX178" s="1046"/>
      <c r="AY178" s="1046"/>
      <c r="AZ178" s="1129">
        <f>AVERAGE(AZ179:AZ202)</f>
        <v>0.22083333333333335</v>
      </c>
      <c r="BA178" s="1045">
        <f>AVERAGE(BA179:BA202)</f>
        <v>0.4941666666666667</v>
      </c>
      <c r="BB178" s="1039">
        <f>AVERAGE(BB179:BB202)</f>
        <v>2.2146945763756407</v>
      </c>
      <c r="BC178" s="1036"/>
      <c r="BD178" s="1038" t="e">
        <f>AVERAGE(BD179:BD202)</f>
        <v>#DIV/0!</v>
      </c>
      <c r="BE178" s="1036"/>
      <c r="BF178" s="1130" t="s">
        <v>1128</v>
      </c>
      <c r="BG178" s="2756">
        <f>BF179</f>
        <v>45024</v>
      </c>
      <c r="BH178" s="2756"/>
      <c r="BI178" s="1897">
        <f>SUM(BI179:BI202)</f>
        <v>6.2900000000000009</v>
      </c>
      <c r="BJ178" s="1898">
        <f>SUM(BJ179:BJ202)</f>
        <v>0</v>
      </c>
      <c r="BK178" s="1036"/>
      <c r="BL178" s="1130" t="s">
        <v>1138</v>
      </c>
      <c r="BM178" s="1046"/>
      <c r="BN178" s="1046"/>
      <c r="BO178" s="1129" t="e">
        <f>AVERAGE(BO179:BO202)</f>
        <v>#DIV/0!</v>
      </c>
      <c r="BP178" s="1129">
        <f>AVERAGE(BP179:BP202)</f>
        <v>0.10458333333333332</v>
      </c>
      <c r="BQ178" s="1036"/>
    </row>
    <row r="179" spans="1:69" ht="14.4">
      <c r="A179" s="1049"/>
      <c r="B179" s="1126">
        <v>44842</v>
      </c>
      <c r="C179" s="1057">
        <v>0</v>
      </c>
      <c r="D179" s="1056">
        <v>1</v>
      </c>
      <c r="E179" s="1063">
        <v>0.35</v>
      </c>
      <c r="F179" s="1062">
        <v>1.02</v>
      </c>
      <c r="G179" s="1061">
        <f t="shared" ref="G179:G202" si="77">F179/E179</f>
        <v>2.9142857142857146</v>
      </c>
      <c r="H179" s="1049"/>
      <c r="I179" s="1126">
        <v>44873</v>
      </c>
      <c r="J179" s="1057">
        <v>0</v>
      </c>
      <c r="K179" s="1056">
        <v>1</v>
      </c>
      <c r="L179" s="1055">
        <v>0.20499999999999999</v>
      </c>
      <c r="M179" s="1059">
        <v>0.42</v>
      </c>
      <c r="N179" s="1052">
        <f t="shared" ref="N179:N202" si="78">M179/L179</f>
        <v>2.0487804878048781</v>
      </c>
      <c r="O179" s="1049"/>
      <c r="P179" s="1125">
        <v>44903</v>
      </c>
      <c r="Q179" s="1057">
        <v>0</v>
      </c>
      <c r="R179" s="1056">
        <v>1</v>
      </c>
      <c r="S179" s="1055">
        <v>1.1060000000000001</v>
      </c>
      <c r="T179" s="1054">
        <f t="shared" ref="T179:T202" si="79">S179*X179</f>
        <v>3.0968</v>
      </c>
      <c r="U179" s="1136">
        <v>4.25</v>
      </c>
      <c r="V179" s="1052">
        <f t="shared" ref="V179:V202" si="80">U179/S179</f>
        <v>3.8426763110307411</v>
      </c>
      <c r="W179" s="1049"/>
      <c r="X179" s="1051">
        <v>2.8</v>
      </c>
      <c r="Y179" s="1049"/>
      <c r="Z179" s="1050">
        <f t="shared" ref="Z179:Z202" si="81">S179*(X179-0.8)</f>
        <v>2.2119999999999997</v>
      </c>
      <c r="AA179" s="1125">
        <v>44934</v>
      </c>
      <c r="AB179" s="1057">
        <v>0</v>
      </c>
      <c r="AC179" s="1056">
        <v>1</v>
      </c>
      <c r="AD179" s="1055">
        <v>2.56</v>
      </c>
      <c r="AE179" s="1137">
        <f t="shared" ref="AE179:AE202" si="82">AD179*AI179</f>
        <v>0.58879999999999999</v>
      </c>
      <c r="AF179" s="1136">
        <v>2.36</v>
      </c>
      <c r="AG179" s="1052">
        <f t="shared" ref="AG179:AG202" si="83">AF179/AD179</f>
        <v>0.92187499999999989</v>
      </c>
      <c r="AH179" s="1049"/>
      <c r="AI179" s="1051">
        <v>0.23</v>
      </c>
      <c r="AJ179" s="1049"/>
      <c r="AK179" s="1050">
        <f t="shared" ref="AK179:AK202" si="84">AD179*(AI179-0.8)</f>
        <v>-1.4592000000000003</v>
      </c>
      <c r="AL179" s="1049"/>
      <c r="AM179" s="1125">
        <v>44965</v>
      </c>
      <c r="AN179" s="1057">
        <v>0</v>
      </c>
      <c r="AO179" s="1056">
        <v>1</v>
      </c>
      <c r="AP179" s="1055">
        <v>0.15</v>
      </c>
      <c r="AQ179" s="1745">
        <f t="shared" ref="AQ179:AQ202" si="85">AP179*AU179</f>
        <v>0</v>
      </c>
      <c r="AR179" s="1737">
        <v>0.35</v>
      </c>
      <c r="AS179" s="1052">
        <f t="shared" ref="AS179:AS202" si="86">AR179/AP179</f>
        <v>2.3333333333333335</v>
      </c>
      <c r="AT179" s="1049"/>
      <c r="AU179" s="1051"/>
      <c r="AV179" s="1049"/>
      <c r="AW179" s="1125">
        <v>44993</v>
      </c>
      <c r="AX179" s="1057">
        <v>0</v>
      </c>
      <c r="AY179" s="1056">
        <v>1</v>
      </c>
      <c r="AZ179" s="1055">
        <v>0.09</v>
      </c>
      <c r="BA179" s="1736">
        <v>0.17</v>
      </c>
      <c r="BB179" s="1737">
        <f t="shared" ref="BB179:BB202" si="87">BA179/AZ179</f>
        <v>1.8888888888888891</v>
      </c>
      <c r="BC179" s="1049"/>
      <c r="BD179" s="1051"/>
      <c r="BE179" s="1049"/>
      <c r="BF179" s="1125">
        <v>45024</v>
      </c>
      <c r="BG179" s="1057">
        <v>0</v>
      </c>
      <c r="BH179" s="1056">
        <v>1</v>
      </c>
      <c r="BI179" s="1055">
        <v>0.09</v>
      </c>
      <c r="BJ179" s="1736" t="s">
        <v>1381</v>
      </c>
      <c r="BK179" s="1049"/>
      <c r="BL179" s="1125">
        <v>45054</v>
      </c>
      <c r="BM179" s="1057">
        <v>0</v>
      </c>
      <c r="BN179" s="1056">
        <v>1</v>
      </c>
      <c r="BO179" s="1055"/>
      <c r="BP179" s="1783">
        <v>0.12</v>
      </c>
      <c r="BQ179" s="1049"/>
    </row>
    <row r="180" spans="1:69" ht="14.4">
      <c r="A180" s="1049"/>
      <c r="B180" s="1124"/>
      <c r="C180" s="1057">
        <v>1</v>
      </c>
      <c r="D180" s="1056">
        <v>2</v>
      </c>
      <c r="E180" s="1063">
        <v>0.22</v>
      </c>
      <c r="F180" s="1062">
        <v>0.62</v>
      </c>
      <c r="G180" s="1061">
        <f t="shared" si="77"/>
        <v>2.8181818181818183</v>
      </c>
      <c r="H180" s="1049"/>
      <c r="I180" s="1124"/>
      <c r="J180" s="1057">
        <v>1</v>
      </c>
      <c r="K180" s="1056">
        <v>2</v>
      </c>
      <c r="L180" s="1055">
        <v>0.18</v>
      </c>
      <c r="M180" s="1059">
        <v>0.35</v>
      </c>
      <c r="N180" s="1052">
        <f t="shared" si="78"/>
        <v>1.9444444444444444</v>
      </c>
      <c r="O180" s="1049"/>
      <c r="P180" s="1123"/>
      <c r="Q180" s="1057">
        <v>1</v>
      </c>
      <c r="R180" s="1056">
        <v>2</v>
      </c>
      <c r="S180" s="1055">
        <v>0.38100000000000001</v>
      </c>
      <c r="T180" s="1054">
        <f t="shared" si="79"/>
        <v>1.0439400000000001</v>
      </c>
      <c r="U180" s="1136">
        <v>1.44</v>
      </c>
      <c r="V180" s="1052">
        <f t="shared" si="80"/>
        <v>3.7795275590551181</v>
      </c>
      <c r="W180" s="1049"/>
      <c r="X180" s="1051">
        <v>2.74</v>
      </c>
      <c r="Y180" s="1049"/>
      <c r="Z180" s="1050">
        <f t="shared" si="81"/>
        <v>0.73914000000000002</v>
      </c>
      <c r="AA180" s="1123"/>
      <c r="AB180" s="1057">
        <v>1</v>
      </c>
      <c r="AC180" s="1056">
        <v>2</v>
      </c>
      <c r="AD180" s="1055">
        <v>2.27</v>
      </c>
      <c r="AE180" s="1137">
        <f t="shared" si="82"/>
        <v>0.49940000000000001</v>
      </c>
      <c r="AF180" s="1136">
        <v>2.0499999999999998</v>
      </c>
      <c r="AG180" s="1052">
        <f t="shared" si="83"/>
        <v>0.90308370044052855</v>
      </c>
      <c r="AH180" s="1049"/>
      <c r="AI180" s="1051">
        <v>0.22</v>
      </c>
      <c r="AJ180" s="1049"/>
      <c r="AK180" s="1050">
        <f t="shared" si="84"/>
        <v>-1.3166000000000002</v>
      </c>
      <c r="AL180" s="1049"/>
      <c r="AM180" s="1123"/>
      <c r="AN180" s="1057">
        <v>1</v>
      </c>
      <c r="AO180" s="1056">
        <v>2</v>
      </c>
      <c r="AP180" s="1055">
        <v>0.17</v>
      </c>
      <c r="AQ180" s="1745">
        <f t="shared" si="85"/>
        <v>0</v>
      </c>
      <c r="AR180" s="1737">
        <v>0.39</v>
      </c>
      <c r="AS180" s="1052">
        <f t="shared" si="86"/>
        <v>2.2941176470588234</v>
      </c>
      <c r="AT180" s="1049"/>
      <c r="AU180" s="1051"/>
      <c r="AV180" s="1049"/>
      <c r="AW180" s="1123"/>
      <c r="AX180" s="1057">
        <v>1</v>
      </c>
      <c r="AY180" s="1056">
        <v>2</v>
      </c>
      <c r="AZ180" s="1055">
        <v>0.08</v>
      </c>
      <c r="BA180" s="1736">
        <v>0.15</v>
      </c>
      <c r="BB180" s="1737">
        <f t="shared" si="87"/>
        <v>1.875</v>
      </c>
      <c r="BC180" s="1049"/>
      <c r="BD180" s="1051"/>
      <c r="BE180" s="1049"/>
      <c r="BF180" s="1123"/>
      <c r="BG180" s="1057">
        <v>1</v>
      </c>
      <c r="BH180" s="1056">
        <v>2</v>
      </c>
      <c r="BI180" s="1055">
        <v>0.13</v>
      </c>
      <c r="BJ180" s="1736" t="s">
        <v>1393</v>
      </c>
      <c r="BK180" s="1049"/>
      <c r="BL180" s="1123"/>
      <c r="BM180" s="1057">
        <v>1</v>
      </c>
      <c r="BN180" s="1056">
        <v>2</v>
      </c>
      <c r="BO180" s="1055"/>
      <c r="BP180" s="1783">
        <v>0.08</v>
      </c>
      <c r="BQ180" s="1049"/>
    </row>
    <row r="181" spans="1:69" ht="14.4">
      <c r="A181" s="1049"/>
      <c r="B181" s="1122">
        <f>SUM(E179:E202)</f>
        <v>13.640000000000002</v>
      </c>
      <c r="C181" s="1057">
        <v>2</v>
      </c>
      <c r="D181" s="1056">
        <v>3</v>
      </c>
      <c r="E181" s="1063">
        <v>0.2</v>
      </c>
      <c r="F181" s="1062">
        <v>0.59</v>
      </c>
      <c r="G181" s="1061">
        <f t="shared" si="77"/>
        <v>2.9499999999999997</v>
      </c>
      <c r="H181" s="1049"/>
      <c r="I181" s="1122">
        <f>SUM(L179:L202)</f>
        <v>22.053000000000001</v>
      </c>
      <c r="J181" s="1057">
        <v>2</v>
      </c>
      <c r="K181" s="1056">
        <v>3</v>
      </c>
      <c r="L181" s="1055">
        <v>0.22600000000000001</v>
      </c>
      <c r="M181" s="1059">
        <v>0.43</v>
      </c>
      <c r="N181" s="1052">
        <f t="shared" si="78"/>
        <v>1.902654867256637</v>
      </c>
      <c r="O181" s="1049"/>
      <c r="P181" s="1121">
        <f>SUM(S179:S202)</f>
        <v>31.687000000000001</v>
      </c>
      <c r="Q181" s="1057">
        <v>2</v>
      </c>
      <c r="R181" s="1056">
        <v>3</v>
      </c>
      <c r="S181" s="1055">
        <v>0.70899999999999996</v>
      </c>
      <c r="T181" s="1054">
        <f t="shared" si="79"/>
        <v>1.8717600000000001</v>
      </c>
      <c r="U181" s="1136">
        <v>2.61</v>
      </c>
      <c r="V181" s="1052">
        <f t="shared" si="80"/>
        <v>3.6812411847672779</v>
      </c>
      <c r="W181" s="1049"/>
      <c r="X181" s="1051">
        <v>2.64</v>
      </c>
      <c r="Y181" s="1049"/>
      <c r="Z181" s="1050">
        <f t="shared" si="81"/>
        <v>1.3045599999999999</v>
      </c>
      <c r="AA181" s="1121">
        <f>SUM(AD179:AD202)</f>
        <v>69.100000000000009</v>
      </c>
      <c r="AB181" s="1057">
        <v>2</v>
      </c>
      <c r="AC181" s="1056">
        <v>3</v>
      </c>
      <c r="AD181" s="1055">
        <v>2.54</v>
      </c>
      <c r="AE181" s="1137">
        <f t="shared" si="82"/>
        <v>0.55879999999999996</v>
      </c>
      <c r="AF181" s="1136">
        <v>2.2999999999999998</v>
      </c>
      <c r="AG181" s="1052">
        <f t="shared" si="83"/>
        <v>0.90551181102362199</v>
      </c>
      <c r="AH181" s="1049"/>
      <c r="AI181" s="1051">
        <v>0.22</v>
      </c>
      <c r="AJ181" s="1049"/>
      <c r="AK181" s="1050">
        <f t="shared" si="84"/>
        <v>-1.4732000000000003</v>
      </c>
      <c r="AL181" s="1049"/>
      <c r="AM181" s="1121">
        <f>SUM(AP179:AP202)</f>
        <v>8.48</v>
      </c>
      <c r="AN181" s="1057">
        <v>2</v>
      </c>
      <c r="AO181" s="1056">
        <v>3</v>
      </c>
      <c r="AP181" s="1055">
        <v>0.15</v>
      </c>
      <c r="AQ181" s="1745">
        <f t="shared" si="85"/>
        <v>0</v>
      </c>
      <c r="AR181" s="1737">
        <v>0.33</v>
      </c>
      <c r="AS181" s="1052">
        <f t="shared" si="86"/>
        <v>2.2000000000000002</v>
      </c>
      <c r="AT181" s="1049"/>
      <c r="AU181" s="1051"/>
      <c r="AV181" s="1049"/>
      <c r="AW181" s="1121">
        <f>SUM(AZ179:AZ202)</f>
        <v>5.3000000000000007</v>
      </c>
      <c r="AX181" s="1057">
        <v>2</v>
      </c>
      <c r="AY181" s="1056">
        <v>3</v>
      </c>
      <c r="AZ181" s="1055">
        <v>0.1</v>
      </c>
      <c r="BA181" s="1736">
        <v>0.19</v>
      </c>
      <c r="BB181" s="1737">
        <f t="shared" si="87"/>
        <v>1.9</v>
      </c>
      <c r="BC181" s="1049"/>
      <c r="BD181" s="1051"/>
      <c r="BE181" s="1049"/>
      <c r="BF181" s="1121">
        <f>SUM(BI179:BI202)</f>
        <v>6.2900000000000009</v>
      </c>
      <c r="BG181" s="1057">
        <v>2</v>
      </c>
      <c r="BH181" s="1056">
        <v>3</v>
      </c>
      <c r="BI181" s="1055">
        <v>0.1</v>
      </c>
      <c r="BJ181" s="1736" t="s">
        <v>1398</v>
      </c>
      <c r="BK181" s="1049"/>
      <c r="BL181" s="1121">
        <f>SUM(BO179:BO202)+SUM(BP179:BP202)</f>
        <v>2.5099999999999998</v>
      </c>
      <c r="BM181" s="1057">
        <v>2</v>
      </c>
      <c r="BN181" s="1056">
        <v>3</v>
      </c>
      <c r="BO181" s="1055"/>
      <c r="BP181" s="1783">
        <v>0.06</v>
      </c>
      <c r="BQ181" s="1049"/>
    </row>
    <row r="182" spans="1:69" ht="14.4">
      <c r="A182" s="1049"/>
      <c r="B182" s="1120">
        <f>B181/24</f>
        <v>0.56833333333333347</v>
      </c>
      <c r="C182" s="1057">
        <v>3</v>
      </c>
      <c r="D182" s="1056">
        <v>4</v>
      </c>
      <c r="E182" s="1063">
        <v>0.34</v>
      </c>
      <c r="F182" s="1062">
        <v>0.97</v>
      </c>
      <c r="G182" s="1061">
        <f t="shared" si="77"/>
        <v>2.8529411764705879</v>
      </c>
      <c r="H182" s="1049"/>
      <c r="I182" s="1120">
        <f>I181/24</f>
        <v>0.918875</v>
      </c>
      <c r="J182" s="1057">
        <v>3</v>
      </c>
      <c r="K182" s="1056">
        <v>4</v>
      </c>
      <c r="L182" s="1055">
        <v>0.186</v>
      </c>
      <c r="M182" s="1059">
        <v>0.35</v>
      </c>
      <c r="N182" s="1052">
        <f t="shared" si="78"/>
        <v>1.8817204301075268</v>
      </c>
      <c r="O182" s="1049"/>
      <c r="P182" s="1120">
        <f>P181/24</f>
        <v>1.3202916666666666</v>
      </c>
      <c r="Q182" s="1057">
        <v>3</v>
      </c>
      <c r="R182" s="1056">
        <v>4</v>
      </c>
      <c r="S182" s="1055">
        <v>0.624</v>
      </c>
      <c r="T182" s="1054">
        <f t="shared" si="79"/>
        <v>1.6473600000000002</v>
      </c>
      <c r="U182" s="1136">
        <v>2.2999999999999998</v>
      </c>
      <c r="V182" s="1052">
        <f t="shared" si="80"/>
        <v>3.6858974358974357</v>
      </c>
      <c r="W182" s="1049"/>
      <c r="X182" s="1051">
        <v>2.64</v>
      </c>
      <c r="Y182" s="1049"/>
      <c r="Z182" s="1050">
        <f t="shared" si="81"/>
        <v>1.1481600000000001</v>
      </c>
      <c r="AA182" s="1120">
        <f>AA181/24</f>
        <v>2.8791666666666669</v>
      </c>
      <c r="AB182" s="1057">
        <v>3</v>
      </c>
      <c r="AC182" s="1056">
        <v>4</v>
      </c>
      <c r="AD182" s="1055">
        <v>2.5</v>
      </c>
      <c r="AE182" s="1137">
        <f t="shared" si="82"/>
        <v>0.42500000000000004</v>
      </c>
      <c r="AF182" s="1136">
        <v>2.15</v>
      </c>
      <c r="AG182" s="1052">
        <f t="shared" si="83"/>
        <v>0.86</v>
      </c>
      <c r="AH182" s="1049"/>
      <c r="AI182" s="1051">
        <v>0.17</v>
      </c>
      <c r="AJ182" s="1049"/>
      <c r="AK182" s="1050">
        <f t="shared" si="84"/>
        <v>-1.575</v>
      </c>
      <c r="AL182" s="1049"/>
      <c r="AM182" s="1120">
        <f>AM181/24</f>
        <v>0.35333333333333333</v>
      </c>
      <c r="AN182" s="1057">
        <v>3</v>
      </c>
      <c r="AO182" s="1056">
        <v>4</v>
      </c>
      <c r="AP182" s="1055">
        <v>0.12</v>
      </c>
      <c r="AQ182" s="1745">
        <f t="shared" si="85"/>
        <v>0</v>
      </c>
      <c r="AR182" s="1737">
        <v>0.26</v>
      </c>
      <c r="AS182" s="1052">
        <f t="shared" si="86"/>
        <v>2.166666666666667</v>
      </c>
      <c r="AT182" s="1049"/>
      <c r="AU182" s="1051"/>
      <c r="AV182" s="1049"/>
      <c r="AW182" s="1120">
        <f>AW181/24</f>
        <v>0.22083333333333335</v>
      </c>
      <c r="AX182" s="1057">
        <v>3</v>
      </c>
      <c r="AY182" s="1056">
        <v>4</v>
      </c>
      <c r="AZ182" s="1055">
        <v>0.31</v>
      </c>
      <c r="BA182" s="1736">
        <v>0.57999999999999996</v>
      </c>
      <c r="BB182" s="1737">
        <f t="shared" si="87"/>
        <v>1.8709677419354838</v>
      </c>
      <c r="BC182" s="1049"/>
      <c r="BD182" s="1051"/>
      <c r="BE182" s="1049"/>
      <c r="BF182" s="1120">
        <f>BF181/24</f>
        <v>0.26208333333333339</v>
      </c>
      <c r="BG182" s="1057">
        <v>3</v>
      </c>
      <c r="BH182" s="1056">
        <v>4</v>
      </c>
      <c r="BI182" s="1055">
        <v>0.12</v>
      </c>
      <c r="BJ182" s="1736" t="s">
        <v>1380</v>
      </c>
      <c r="BK182" s="1049"/>
      <c r="BL182" s="1120">
        <f>BL181/24</f>
        <v>0.10458333333333332</v>
      </c>
      <c r="BM182" s="1057">
        <v>3</v>
      </c>
      <c r="BN182" s="1056">
        <v>4</v>
      </c>
      <c r="BO182" s="1055"/>
      <c r="BP182" s="1783">
        <v>0.13</v>
      </c>
      <c r="BQ182" s="1049"/>
    </row>
    <row r="183" spans="1:69" ht="14.4">
      <c r="A183" s="1049"/>
      <c r="B183" s="1119"/>
      <c r="C183" s="1057">
        <v>4</v>
      </c>
      <c r="D183" s="1056">
        <v>5</v>
      </c>
      <c r="E183" s="1063">
        <v>0.32</v>
      </c>
      <c r="F183" s="1062">
        <v>0.91</v>
      </c>
      <c r="G183" s="1061">
        <f t="shared" si="77"/>
        <v>2.84375</v>
      </c>
      <c r="H183" s="1049"/>
      <c r="I183" s="1119"/>
      <c r="J183" s="1057">
        <v>4</v>
      </c>
      <c r="K183" s="1056">
        <v>5</v>
      </c>
      <c r="L183" s="1055">
        <v>0.223</v>
      </c>
      <c r="M183" s="1059">
        <v>0.43</v>
      </c>
      <c r="N183" s="1052">
        <f t="shared" si="78"/>
        <v>1.9282511210762332</v>
      </c>
      <c r="O183" s="1049"/>
      <c r="P183" s="1118"/>
      <c r="Q183" s="1057">
        <v>4</v>
      </c>
      <c r="R183" s="1056">
        <v>5</v>
      </c>
      <c r="S183" s="1055">
        <v>0.40899999999999997</v>
      </c>
      <c r="T183" s="1054">
        <f t="shared" si="79"/>
        <v>1.1002099999999999</v>
      </c>
      <c r="U183" s="1136">
        <v>1.53</v>
      </c>
      <c r="V183" s="1052">
        <f t="shared" si="80"/>
        <v>3.7408312958435213</v>
      </c>
      <c r="W183" s="1049"/>
      <c r="X183" s="1051">
        <v>2.69</v>
      </c>
      <c r="Y183" s="1049"/>
      <c r="Z183" s="1050">
        <f t="shared" si="81"/>
        <v>0.77300999999999986</v>
      </c>
      <c r="AA183" s="1118"/>
      <c r="AB183" s="1057">
        <v>4</v>
      </c>
      <c r="AC183" s="1056">
        <v>5</v>
      </c>
      <c r="AD183" s="1055">
        <v>2.39</v>
      </c>
      <c r="AE183" s="1137">
        <f t="shared" si="82"/>
        <v>0.43020000000000003</v>
      </c>
      <c r="AF183" s="1136">
        <v>2.09</v>
      </c>
      <c r="AG183" s="1052">
        <f t="shared" si="83"/>
        <v>0.87447698744769864</v>
      </c>
      <c r="AH183" s="1049"/>
      <c r="AI183" s="1051">
        <v>0.18</v>
      </c>
      <c r="AJ183" s="1049"/>
      <c r="AK183" s="1050">
        <f t="shared" si="84"/>
        <v>-1.4818000000000002</v>
      </c>
      <c r="AL183" s="1049"/>
      <c r="AM183" s="1118"/>
      <c r="AN183" s="1057">
        <v>4</v>
      </c>
      <c r="AO183" s="1056">
        <v>5</v>
      </c>
      <c r="AP183" s="1055">
        <v>0.17</v>
      </c>
      <c r="AQ183" s="1745">
        <f t="shared" si="85"/>
        <v>0</v>
      </c>
      <c r="AR183" s="1737">
        <v>0.37</v>
      </c>
      <c r="AS183" s="1052">
        <f t="shared" si="86"/>
        <v>2.1764705882352939</v>
      </c>
      <c r="AT183" s="1049"/>
      <c r="AU183" s="1051"/>
      <c r="AV183" s="1049"/>
      <c r="AW183" s="1118"/>
      <c r="AX183" s="1057">
        <v>4</v>
      </c>
      <c r="AY183" s="1056">
        <v>5</v>
      </c>
      <c r="AZ183" s="1055">
        <v>0.23</v>
      </c>
      <c r="BA183" s="1736">
        <v>0.43</v>
      </c>
      <c r="BB183" s="1737">
        <f t="shared" si="87"/>
        <v>1.8695652173913042</v>
      </c>
      <c r="BC183" s="1049"/>
      <c r="BD183" s="1051"/>
      <c r="BE183" s="1049"/>
      <c r="BF183" s="1118"/>
      <c r="BG183" s="1057">
        <v>4</v>
      </c>
      <c r="BH183" s="1056">
        <v>5</v>
      </c>
      <c r="BI183" s="1055">
        <v>0.08</v>
      </c>
      <c r="BJ183" s="1736" t="s">
        <v>1364</v>
      </c>
      <c r="BK183" s="1049"/>
      <c r="BL183" s="1118"/>
      <c r="BM183" s="1057">
        <v>4</v>
      </c>
      <c r="BN183" s="1056">
        <v>5</v>
      </c>
      <c r="BO183" s="1055"/>
      <c r="BP183" s="1783">
        <v>0.12</v>
      </c>
      <c r="BQ183" s="1049"/>
    </row>
    <row r="184" spans="1:69" ht="15" thickBot="1">
      <c r="A184" s="1049"/>
      <c r="B184" s="1058">
        <f>SUM(F179:F202)</f>
        <v>40.329999999999991</v>
      </c>
      <c r="C184" s="1111">
        <v>5</v>
      </c>
      <c r="D184" s="1110">
        <v>6</v>
      </c>
      <c r="E184" s="1117">
        <v>0.36</v>
      </c>
      <c r="F184" s="1116">
        <v>1.03</v>
      </c>
      <c r="G184" s="1115">
        <f t="shared" si="77"/>
        <v>2.8611111111111112</v>
      </c>
      <c r="H184" s="1049"/>
      <c r="I184" s="1058">
        <f>SUM(M179:M202)</f>
        <v>51.78</v>
      </c>
      <c r="J184" s="1111">
        <v>5</v>
      </c>
      <c r="K184" s="1110">
        <v>6</v>
      </c>
      <c r="L184" s="1109">
        <v>0.158</v>
      </c>
      <c r="M184" s="1114">
        <v>0.31</v>
      </c>
      <c r="N184" s="1113">
        <f t="shared" si="78"/>
        <v>1.9620253164556962</v>
      </c>
      <c r="O184" s="1049"/>
      <c r="P184" s="1112">
        <f>SUM(U179:U202)</f>
        <v>156.08000000000001</v>
      </c>
      <c r="Q184" s="1111">
        <v>5</v>
      </c>
      <c r="R184" s="1110">
        <v>6</v>
      </c>
      <c r="S184" s="1109">
        <v>0.71199999999999997</v>
      </c>
      <c r="T184" s="1054">
        <f t="shared" si="79"/>
        <v>2.07904</v>
      </c>
      <c r="U184" s="1146">
        <v>2.82</v>
      </c>
      <c r="V184" s="1052">
        <f t="shared" si="80"/>
        <v>3.9606741573033708</v>
      </c>
      <c r="W184" s="1049"/>
      <c r="X184" s="1074">
        <v>2.92</v>
      </c>
      <c r="Y184" s="1049"/>
      <c r="Z184" s="1050">
        <f t="shared" si="81"/>
        <v>1.5094400000000001</v>
      </c>
      <c r="AA184" s="1112">
        <f>SUM(AF179:AF202)</f>
        <v>107.74999999999997</v>
      </c>
      <c r="AB184" s="1111">
        <v>5</v>
      </c>
      <c r="AC184" s="1110">
        <v>6</v>
      </c>
      <c r="AD184" s="1109">
        <v>2.66</v>
      </c>
      <c r="AE184" s="1147">
        <f t="shared" si="82"/>
        <v>0.58520000000000005</v>
      </c>
      <c r="AF184" s="1146">
        <v>2.4300000000000002</v>
      </c>
      <c r="AG184" s="1052">
        <f t="shared" si="83"/>
        <v>0.9135338345864662</v>
      </c>
      <c r="AH184" s="1049"/>
      <c r="AI184" s="1074">
        <v>0.22</v>
      </c>
      <c r="AJ184" s="1049"/>
      <c r="AK184" s="1050">
        <f t="shared" si="84"/>
        <v>-1.5428000000000002</v>
      </c>
      <c r="AL184" s="1049"/>
      <c r="AM184" s="1112">
        <f>SUM(AR179:AR202)</f>
        <v>18.680000000000003</v>
      </c>
      <c r="AN184" s="1111">
        <v>5</v>
      </c>
      <c r="AO184" s="1110">
        <v>6</v>
      </c>
      <c r="AP184" s="1109">
        <v>0.17</v>
      </c>
      <c r="AQ184" s="1746">
        <f t="shared" si="85"/>
        <v>0</v>
      </c>
      <c r="AR184" s="1739">
        <v>0.38</v>
      </c>
      <c r="AS184" s="1052">
        <f t="shared" si="86"/>
        <v>2.2352941176470589</v>
      </c>
      <c r="AT184" s="1049"/>
      <c r="AU184" s="1074"/>
      <c r="AV184" s="1049"/>
      <c r="AW184" s="1112">
        <f>SUM(BA179:BA202)</f>
        <v>11.860000000000001</v>
      </c>
      <c r="AX184" s="1111">
        <v>5</v>
      </c>
      <c r="AY184" s="1110">
        <v>6</v>
      </c>
      <c r="AZ184" s="1109">
        <v>0.44</v>
      </c>
      <c r="BA184" s="1738">
        <v>0.85</v>
      </c>
      <c r="BB184" s="1739">
        <f t="shared" si="87"/>
        <v>1.9318181818181817</v>
      </c>
      <c r="BC184" s="1049"/>
      <c r="BD184" s="1074"/>
      <c r="BE184" s="1049"/>
      <c r="BF184" s="1112">
        <f>SUM(BJ179:BJ202)</f>
        <v>0</v>
      </c>
      <c r="BG184" s="1111">
        <v>5</v>
      </c>
      <c r="BH184" s="1110">
        <v>6</v>
      </c>
      <c r="BI184" s="1109">
        <v>0.08</v>
      </c>
      <c r="BJ184" s="1738" t="s">
        <v>1364</v>
      </c>
      <c r="BK184" s="1049"/>
      <c r="BL184" s="1112">
        <f>SUM(BP179:BP202)</f>
        <v>2.5099999999999998</v>
      </c>
      <c r="BM184" s="1111">
        <v>5</v>
      </c>
      <c r="BN184" s="1110">
        <v>6</v>
      </c>
      <c r="BO184" s="1109"/>
      <c r="BP184" s="1783">
        <v>0.12</v>
      </c>
      <c r="BQ184" s="1049"/>
    </row>
    <row r="185" spans="1:69" ht="14.4">
      <c r="A185" s="1049"/>
      <c r="B185" s="1093">
        <f>B184/B181</f>
        <v>2.9567448680351895</v>
      </c>
      <c r="C185" s="1100">
        <v>6</v>
      </c>
      <c r="D185" s="1099">
        <v>7</v>
      </c>
      <c r="E185" s="1107">
        <v>0.25</v>
      </c>
      <c r="F185" s="1106">
        <v>0.71</v>
      </c>
      <c r="G185" s="1105">
        <f t="shared" si="77"/>
        <v>2.84</v>
      </c>
      <c r="H185" s="1049"/>
      <c r="I185" s="1093">
        <f>I184/I181</f>
        <v>2.3479798666848049</v>
      </c>
      <c r="J185" s="1100">
        <v>6</v>
      </c>
      <c r="K185" s="1099">
        <v>7</v>
      </c>
      <c r="L185" s="1098">
        <v>0.27300000000000002</v>
      </c>
      <c r="M185" s="1103">
        <v>0.61</v>
      </c>
      <c r="N185" s="1102">
        <f t="shared" si="78"/>
        <v>2.234432234432234</v>
      </c>
      <c r="O185" s="1049"/>
      <c r="P185" s="1093">
        <f>P184/P181</f>
        <v>4.9256793006595769</v>
      </c>
      <c r="Q185" s="1100">
        <v>6</v>
      </c>
      <c r="R185" s="1099">
        <v>7</v>
      </c>
      <c r="S185" s="1098">
        <v>0.88400000000000001</v>
      </c>
      <c r="T185" s="1054">
        <f t="shared" si="79"/>
        <v>2.7934400000000004</v>
      </c>
      <c r="U185" s="1144">
        <v>3.72</v>
      </c>
      <c r="V185" s="1052">
        <f t="shared" si="80"/>
        <v>4.2081447963800906</v>
      </c>
      <c r="W185" s="1049"/>
      <c r="X185" s="1108">
        <v>3.16</v>
      </c>
      <c r="Y185" s="1049"/>
      <c r="Z185" s="1050">
        <f t="shared" si="81"/>
        <v>2.0862400000000001</v>
      </c>
      <c r="AA185" s="1093">
        <f>AA184/AA181</f>
        <v>1.559334298118668</v>
      </c>
      <c r="AB185" s="1100">
        <v>6</v>
      </c>
      <c r="AC185" s="1099">
        <v>7</v>
      </c>
      <c r="AD185" s="1098">
        <v>3.1</v>
      </c>
      <c r="AE185" s="1145">
        <f t="shared" si="82"/>
        <v>0.68200000000000005</v>
      </c>
      <c r="AF185" s="1144">
        <v>2.81</v>
      </c>
      <c r="AG185" s="1052">
        <f t="shared" si="83"/>
        <v>0.90645161290322585</v>
      </c>
      <c r="AH185" s="1049"/>
      <c r="AI185" s="1108">
        <v>0.22</v>
      </c>
      <c r="AJ185" s="1049"/>
      <c r="AK185" s="1050">
        <f t="shared" si="84"/>
        <v>-1.7980000000000003</v>
      </c>
      <c r="AL185" s="1049"/>
      <c r="AM185" s="1093">
        <f>AM184/AM181</f>
        <v>2.2028301886792456</v>
      </c>
      <c r="AN185" s="1100">
        <v>6</v>
      </c>
      <c r="AO185" s="1099">
        <v>7</v>
      </c>
      <c r="AP185" s="1098">
        <v>0.26</v>
      </c>
      <c r="AQ185" s="1747">
        <f t="shared" si="85"/>
        <v>0</v>
      </c>
      <c r="AR185" s="1741">
        <v>0.64</v>
      </c>
      <c r="AS185" s="1052">
        <f t="shared" si="86"/>
        <v>2.4615384615384617</v>
      </c>
      <c r="AT185" s="1049"/>
      <c r="AU185" s="1108"/>
      <c r="AV185" s="1049"/>
      <c r="AW185" s="1093">
        <f>AW184/AW181</f>
        <v>2.2377358490566035</v>
      </c>
      <c r="AX185" s="1100">
        <v>6</v>
      </c>
      <c r="AY185" s="1099">
        <v>7</v>
      </c>
      <c r="AZ185" s="1098">
        <v>0.28999999999999998</v>
      </c>
      <c r="BA185" s="1740">
        <v>0.62</v>
      </c>
      <c r="BB185" s="1741">
        <f t="shared" si="87"/>
        <v>2.1379310344827589</v>
      </c>
      <c r="BC185" s="1049"/>
      <c r="BD185" s="1108"/>
      <c r="BE185" s="1049"/>
      <c r="BF185" s="1093">
        <f>BF184/BF181</f>
        <v>0</v>
      </c>
      <c r="BG185" s="1100">
        <v>6</v>
      </c>
      <c r="BH185" s="1099">
        <v>7</v>
      </c>
      <c r="BI185" s="1098">
        <v>0.13</v>
      </c>
      <c r="BJ185" s="1740" t="s">
        <v>1393</v>
      </c>
      <c r="BK185" s="1049"/>
      <c r="BL185" s="1093">
        <f>BL184/BL181</f>
        <v>1</v>
      </c>
      <c r="BM185" s="1100">
        <v>6</v>
      </c>
      <c r="BN185" s="1099">
        <v>7</v>
      </c>
      <c r="BO185" s="1098"/>
      <c r="BP185" s="1783">
        <v>0.06</v>
      </c>
      <c r="BQ185" s="1049"/>
    </row>
    <row r="186" spans="1:69" ht="14.4">
      <c r="A186" s="1049"/>
      <c r="B186" s="1104"/>
      <c r="C186" s="1100">
        <v>7</v>
      </c>
      <c r="D186" s="1099">
        <v>8</v>
      </c>
      <c r="E186" s="1107">
        <v>0.43</v>
      </c>
      <c r="F186" s="1106">
        <v>1.25</v>
      </c>
      <c r="G186" s="1105">
        <f t="shared" si="77"/>
        <v>2.9069767441860463</v>
      </c>
      <c r="H186" s="1049"/>
      <c r="I186" s="1104"/>
      <c r="J186" s="1100">
        <v>7</v>
      </c>
      <c r="K186" s="1099">
        <v>8</v>
      </c>
      <c r="L186" s="1098">
        <v>0.498</v>
      </c>
      <c r="M186" s="1103">
        <v>1.1499999999999999</v>
      </c>
      <c r="N186" s="1102">
        <f t="shared" si="78"/>
        <v>2.3092369477911645</v>
      </c>
      <c r="O186" s="1049"/>
      <c r="P186" s="1101"/>
      <c r="Q186" s="1100">
        <v>7</v>
      </c>
      <c r="R186" s="1099">
        <v>8</v>
      </c>
      <c r="S186" s="1098">
        <v>1.23</v>
      </c>
      <c r="T186" s="1054">
        <f t="shared" si="79"/>
        <v>4.7355</v>
      </c>
      <c r="U186" s="1144">
        <v>6.02</v>
      </c>
      <c r="V186" s="1052">
        <f t="shared" si="80"/>
        <v>4.8943089430894302</v>
      </c>
      <c r="W186" s="1049"/>
      <c r="X186" s="1065">
        <v>3.85</v>
      </c>
      <c r="Y186" s="1049"/>
      <c r="Z186" s="1050">
        <f t="shared" si="81"/>
        <v>3.7514999999999996</v>
      </c>
      <c r="AA186" s="1101"/>
      <c r="AB186" s="1100">
        <v>7</v>
      </c>
      <c r="AC186" s="1099">
        <v>8</v>
      </c>
      <c r="AD186" s="1098">
        <v>3.18</v>
      </c>
      <c r="AE186" s="1145">
        <f t="shared" si="82"/>
        <v>0.92220000000000002</v>
      </c>
      <c r="AF186" s="1144">
        <v>3.11</v>
      </c>
      <c r="AG186" s="1052">
        <f t="shared" si="83"/>
        <v>0.97798742138364769</v>
      </c>
      <c r="AH186" s="1049"/>
      <c r="AI186" s="1065">
        <v>0.28999999999999998</v>
      </c>
      <c r="AJ186" s="1049"/>
      <c r="AK186" s="1050">
        <f t="shared" si="84"/>
        <v>-1.6218000000000001</v>
      </c>
      <c r="AL186" s="1049"/>
      <c r="AM186" s="1101"/>
      <c r="AN186" s="1100">
        <v>7</v>
      </c>
      <c r="AO186" s="1099">
        <v>8</v>
      </c>
      <c r="AP186" s="1098">
        <v>0.56999999999999995</v>
      </c>
      <c r="AQ186" s="1747">
        <f t="shared" si="85"/>
        <v>0</v>
      </c>
      <c r="AR186" s="1741">
        <v>1.51</v>
      </c>
      <c r="AS186" s="1052">
        <f t="shared" si="86"/>
        <v>2.6491228070175441</v>
      </c>
      <c r="AT186" s="1049"/>
      <c r="AU186" s="1065"/>
      <c r="AV186" s="1049"/>
      <c r="AW186" s="1101"/>
      <c r="AX186" s="1100">
        <v>7</v>
      </c>
      <c r="AY186" s="1099">
        <v>8</v>
      </c>
      <c r="AZ186" s="1098">
        <v>0.21</v>
      </c>
      <c r="BA186" s="1736">
        <v>0.48</v>
      </c>
      <c r="BB186" s="1741">
        <f t="shared" si="87"/>
        <v>2.2857142857142856</v>
      </c>
      <c r="BC186" s="1049"/>
      <c r="BD186" s="1065"/>
      <c r="BE186" s="1049"/>
      <c r="BF186" s="1101"/>
      <c r="BG186" s="1100">
        <v>7</v>
      </c>
      <c r="BH186" s="1099">
        <v>8</v>
      </c>
      <c r="BI186" s="1098">
        <v>0.2</v>
      </c>
      <c r="BJ186" s="1736" t="s">
        <v>1379</v>
      </c>
      <c r="BK186" s="1049"/>
      <c r="BL186" s="1101"/>
      <c r="BM186" s="1100">
        <v>7</v>
      </c>
      <c r="BN186" s="1099">
        <v>8</v>
      </c>
      <c r="BO186" s="1098"/>
      <c r="BP186" s="1783">
        <v>0.08</v>
      </c>
      <c r="BQ186" s="1049"/>
    </row>
    <row r="187" spans="1:69" ht="14.4">
      <c r="A187" s="1049"/>
      <c r="B187" s="1097">
        <f>B184/24</f>
        <v>1.6804166666666662</v>
      </c>
      <c r="C187" s="1086">
        <v>8</v>
      </c>
      <c r="D187" s="1085">
        <v>9</v>
      </c>
      <c r="E187" s="1091">
        <v>0.55000000000000004</v>
      </c>
      <c r="F187" s="1090">
        <v>1.59</v>
      </c>
      <c r="G187" s="1089">
        <f t="shared" si="77"/>
        <v>2.8909090909090907</v>
      </c>
      <c r="H187" s="1049"/>
      <c r="I187" s="1097">
        <f>I184/24</f>
        <v>2.1575000000000002</v>
      </c>
      <c r="J187" s="1086">
        <v>8</v>
      </c>
      <c r="K187" s="1085">
        <v>9</v>
      </c>
      <c r="L187" s="1084">
        <v>1.3560000000000001</v>
      </c>
      <c r="M187" s="1088">
        <v>3.75</v>
      </c>
      <c r="N187" s="1087">
        <f t="shared" si="78"/>
        <v>2.7654867256637168</v>
      </c>
      <c r="O187" s="1049"/>
      <c r="P187" s="1096">
        <f>P184/24</f>
        <v>6.5033333333333339</v>
      </c>
      <c r="Q187" s="1086">
        <v>8</v>
      </c>
      <c r="R187" s="1085">
        <v>9</v>
      </c>
      <c r="S187" s="1084">
        <v>1.1619999999999999</v>
      </c>
      <c r="T187" s="1054">
        <f t="shared" si="79"/>
        <v>4.9849799999999993</v>
      </c>
      <c r="U187" s="1142">
        <v>6.2</v>
      </c>
      <c r="V187" s="1052">
        <f t="shared" si="80"/>
        <v>5.3356282271944924</v>
      </c>
      <c r="W187" s="1049"/>
      <c r="X187" s="1051">
        <v>4.29</v>
      </c>
      <c r="Y187" s="1049"/>
      <c r="Z187" s="1050">
        <f t="shared" si="81"/>
        <v>4.0553799999999995</v>
      </c>
      <c r="AA187" s="1096">
        <f>AA184/24</f>
        <v>4.4895833333333321</v>
      </c>
      <c r="AB187" s="1086">
        <v>8</v>
      </c>
      <c r="AC187" s="1085">
        <v>9</v>
      </c>
      <c r="AD187" s="1084">
        <v>3.5</v>
      </c>
      <c r="AE187" s="1143">
        <f t="shared" si="82"/>
        <v>2.0649999999999999</v>
      </c>
      <c r="AF187" s="1142">
        <v>4.4800000000000004</v>
      </c>
      <c r="AG187" s="1052">
        <f t="shared" si="83"/>
        <v>1.28</v>
      </c>
      <c r="AH187" s="1049"/>
      <c r="AI187" s="1051">
        <v>0.59</v>
      </c>
      <c r="AJ187" s="1049"/>
      <c r="AK187" s="1050">
        <f t="shared" si="84"/>
        <v>-0.73500000000000032</v>
      </c>
      <c r="AL187" s="1049"/>
      <c r="AM187" s="1096">
        <f>AM184/24</f>
        <v>0.77833333333333343</v>
      </c>
      <c r="AN187" s="1086">
        <v>8</v>
      </c>
      <c r="AO187" s="1085">
        <v>9</v>
      </c>
      <c r="AP187" s="1084">
        <v>0.4</v>
      </c>
      <c r="AQ187" s="1748">
        <f t="shared" si="85"/>
        <v>0</v>
      </c>
      <c r="AR187" s="1742">
        <v>1.1299999999999999</v>
      </c>
      <c r="AS187" s="1052">
        <f t="shared" si="86"/>
        <v>2.8249999999999997</v>
      </c>
      <c r="AT187" s="1049"/>
      <c r="AU187" s="1051"/>
      <c r="AV187" s="1049"/>
      <c r="AW187" s="1096">
        <f>AW184/24</f>
        <v>0.4941666666666667</v>
      </c>
      <c r="AX187" s="1086">
        <v>8</v>
      </c>
      <c r="AY187" s="1085">
        <v>9</v>
      </c>
      <c r="AZ187" s="1084">
        <v>0.13</v>
      </c>
      <c r="BA187" s="1736">
        <v>0.32</v>
      </c>
      <c r="BB187" s="1742">
        <f t="shared" si="87"/>
        <v>2.4615384615384617</v>
      </c>
      <c r="BC187" s="1049"/>
      <c r="BD187" s="1051"/>
      <c r="BE187" s="1049"/>
      <c r="BF187" s="1096">
        <f>BF184/24</f>
        <v>0</v>
      </c>
      <c r="BG187" s="1086">
        <v>8</v>
      </c>
      <c r="BH187" s="1085">
        <v>9</v>
      </c>
      <c r="BI187" s="1084">
        <v>0.26</v>
      </c>
      <c r="BJ187" s="1736" t="s">
        <v>1418</v>
      </c>
      <c r="BK187" s="1049"/>
      <c r="BL187" s="1096">
        <f>BL184/24</f>
        <v>0.10458333333333332</v>
      </c>
      <c r="BM187" s="1086">
        <v>8</v>
      </c>
      <c r="BN187" s="1085">
        <v>9</v>
      </c>
      <c r="BO187" s="1084"/>
      <c r="BP187" s="1783">
        <v>0.13</v>
      </c>
      <c r="BQ187" s="1049"/>
    </row>
    <row r="188" spans="1:69" ht="14.4">
      <c r="A188" s="1049"/>
      <c r="B188" s="1097"/>
      <c r="C188" s="1086">
        <v>9</v>
      </c>
      <c r="D188" s="1085">
        <v>10</v>
      </c>
      <c r="E188" s="1091">
        <v>1.33</v>
      </c>
      <c r="F188" s="1090">
        <v>3.84</v>
      </c>
      <c r="G188" s="1089">
        <f t="shared" si="77"/>
        <v>2.8872180451127818</v>
      </c>
      <c r="H188" s="1049"/>
      <c r="I188" s="1097"/>
      <c r="J188" s="1086">
        <v>9</v>
      </c>
      <c r="K188" s="1085">
        <v>10</v>
      </c>
      <c r="L188" s="1084">
        <v>1.3879999999999999</v>
      </c>
      <c r="M188" s="1088">
        <v>3.2</v>
      </c>
      <c r="N188" s="1087">
        <f t="shared" si="78"/>
        <v>2.305475504322767</v>
      </c>
      <c r="O188" s="1049"/>
      <c r="P188" s="1096"/>
      <c r="Q188" s="1086">
        <v>9</v>
      </c>
      <c r="R188" s="1085" t="s">
        <v>144</v>
      </c>
      <c r="S188" s="1084">
        <v>1.2609999999999999</v>
      </c>
      <c r="T188" s="1054">
        <f t="shared" si="79"/>
        <v>5.4853499999999995</v>
      </c>
      <c r="U188" s="1142">
        <v>6.81</v>
      </c>
      <c r="V188" s="1052">
        <f t="shared" si="80"/>
        <v>5.4004758128469472</v>
      </c>
      <c r="W188" s="1049"/>
      <c r="X188" s="1051">
        <v>4.3499999999999996</v>
      </c>
      <c r="Y188" s="1049"/>
      <c r="Z188" s="1050">
        <f t="shared" si="81"/>
        <v>4.4765499999999996</v>
      </c>
      <c r="AA188" s="1096"/>
      <c r="AB188" s="1086">
        <v>9</v>
      </c>
      <c r="AC188" s="1085">
        <v>11</v>
      </c>
      <c r="AD188" s="1084">
        <v>4.21</v>
      </c>
      <c r="AE188" s="1143">
        <f t="shared" si="82"/>
        <v>3.7890000000000001</v>
      </c>
      <c r="AF188" s="1142">
        <v>6.7</v>
      </c>
      <c r="AG188" s="1052">
        <f t="shared" si="83"/>
        <v>1.5914489311163895</v>
      </c>
      <c r="AH188" s="1049"/>
      <c r="AI188" s="1051">
        <v>0.9</v>
      </c>
      <c r="AJ188" s="1049"/>
      <c r="AK188" s="1050">
        <f t="shared" si="84"/>
        <v>0.42099999999999993</v>
      </c>
      <c r="AL188" s="1049"/>
      <c r="AM188" s="1096"/>
      <c r="AN188" s="1086">
        <v>9</v>
      </c>
      <c r="AO188" s="1085">
        <v>11</v>
      </c>
      <c r="AP188" s="1084">
        <v>0.28000000000000003</v>
      </c>
      <c r="AQ188" s="1748">
        <f t="shared" si="85"/>
        <v>0</v>
      </c>
      <c r="AR188" s="1742">
        <v>0.69</v>
      </c>
      <c r="AS188" s="1052">
        <f t="shared" si="86"/>
        <v>2.464285714285714</v>
      </c>
      <c r="AT188" s="1049"/>
      <c r="AU188" s="1051"/>
      <c r="AV188" s="1049"/>
      <c r="AW188" s="1096"/>
      <c r="AX188" s="1086">
        <v>9</v>
      </c>
      <c r="AY188" s="1085">
        <v>11</v>
      </c>
      <c r="AZ188" s="1084">
        <v>0.18</v>
      </c>
      <c r="BA188" s="1736">
        <v>0.42</v>
      </c>
      <c r="BB188" s="1742">
        <f t="shared" si="87"/>
        <v>2.3333333333333335</v>
      </c>
      <c r="BC188" s="1049"/>
      <c r="BD188" s="1051"/>
      <c r="BE188" s="1049"/>
      <c r="BF188" s="1096"/>
      <c r="BG188" s="1086">
        <v>9</v>
      </c>
      <c r="BH188" s="1085">
        <v>11</v>
      </c>
      <c r="BI188" s="1084">
        <v>0.27</v>
      </c>
      <c r="BJ188" s="1736" t="s">
        <v>1413</v>
      </c>
      <c r="BK188" s="1049"/>
      <c r="BL188" s="1096"/>
      <c r="BM188" s="1086">
        <v>9</v>
      </c>
      <c r="BN188" s="1085">
        <v>11</v>
      </c>
      <c r="BO188" s="1084"/>
      <c r="BP188" s="1783">
        <v>0.12</v>
      </c>
      <c r="BQ188" s="1049"/>
    </row>
    <row r="189" spans="1:69" ht="14.4">
      <c r="A189" s="1049"/>
      <c r="B189" s="1060"/>
      <c r="C189" s="1086">
        <v>10</v>
      </c>
      <c r="D189" s="1085">
        <v>11</v>
      </c>
      <c r="E189" s="1091">
        <v>1.28</v>
      </c>
      <c r="F189" s="1090">
        <v>3.71</v>
      </c>
      <c r="G189" s="1089">
        <f t="shared" si="77"/>
        <v>2.8984375</v>
      </c>
      <c r="H189" s="1049"/>
      <c r="I189" s="1060"/>
      <c r="J189" s="1086">
        <v>10</v>
      </c>
      <c r="K189" s="1085">
        <v>11</v>
      </c>
      <c r="L189" s="1084">
        <v>1.175</v>
      </c>
      <c r="M189" s="1088">
        <v>2.68</v>
      </c>
      <c r="N189" s="1087">
        <f t="shared" si="78"/>
        <v>2.2808510638297874</v>
      </c>
      <c r="O189" s="1049"/>
      <c r="P189" s="1095">
        <f>SUM(Z179:Z202)</f>
        <v>100.08722</v>
      </c>
      <c r="Q189" s="1086">
        <v>10</v>
      </c>
      <c r="R189" s="1085"/>
      <c r="S189" s="1084">
        <v>1.6419999999999999</v>
      </c>
      <c r="T189" s="1054">
        <f t="shared" si="79"/>
        <v>7.0605999999999991</v>
      </c>
      <c r="U189" s="1142">
        <v>8.77</v>
      </c>
      <c r="V189" s="1052">
        <f t="shared" si="80"/>
        <v>5.3410475030450675</v>
      </c>
      <c r="W189" s="1049"/>
      <c r="X189" s="1051">
        <v>4.3</v>
      </c>
      <c r="Y189" s="1049"/>
      <c r="Z189" s="1050">
        <f t="shared" si="81"/>
        <v>5.7469999999999999</v>
      </c>
      <c r="AA189" s="1095">
        <f>SUM(AK179:AK202)</f>
        <v>-0.91330000000000455</v>
      </c>
      <c r="AB189" s="1086">
        <v>10</v>
      </c>
      <c r="AC189" s="1085">
        <v>12</v>
      </c>
      <c r="AD189" s="1084">
        <v>4.1100000000000003</v>
      </c>
      <c r="AE189" s="1143">
        <f t="shared" si="82"/>
        <v>4.1100000000000003</v>
      </c>
      <c r="AF189" s="1142">
        <v>6.95</v>
      </c>
      <c r="AG189" s="1052">
        <f t="shared" si="83"/>
        <v>1.6909975669099755</v>
      </c>
      <c r="AH189" s="1049"/>
      <c r="AI189" s="1051">
        <v>1</v>
      </c>
      <c r="AJ189" s="1049"/>
      <c r="AK189" s="1050">
        <f t="shared" si="84"/>
        <v>0.82199999999999984</v>
      </c>
      <c r="AL189" s="1049"/>
      <c r="AM189" s="1095" t="e">
        <f>SUM(#REF!)</f>
        <v>#REF!</v>
      </c>
      <c r="AN189" s="1086">
        <v>10</v>
      </c>
      <c r="AO189" s="1085">
        <v>12</v>
      </c>
      <c r="AP189" s="1084">
        <v>0.41</v>
      </c>
      <c r="AQ189" s="1748">
        <f t="shared" si="85"/>
        <v>0</v>
      </c>
      <c r="AR189" s="1742">
        <v>0.83</v>
      </c>
      <c r="AS189" s="1052">
        <f t="shared" si="86"/>
        <v>2.024390243902439</v>
      </c>
      <c r="AT189" s="1049"/>
      <c r="AU189" s="1051"/>
      <c r="AV189" s="1049"/>
      <c r="AW189" s="1095" t="e">
        <f>SUM(#REF!)</f>
        <v>#REF!</v>
      </c>
      <c r="AX189" s="1086">
        <v>10</v>
      </c>
      <c r="AY189" s="1085">
        <v>12</v>
      </c>
      <c r="AZ189" s="1084">
        <v>0.26</v>
      </c>
      <c r="BA189" s="1736">
        <v>0.57999999999999996</v>
      </c>
      <c r="BB189" s="1742">
        <f t="shared" si="87"/>
        <v>2.2307692307692304</v>
      </c>
      <c r="BC189" s="1049"/>
      <c r="BD189" s="1051"/>
      <c r="BE189" s="1049"/>
      <c r="BF189" s="1095" t="e">
        <f>SUM(#REF!)</f>
        <v>#REF!</v>
      </c>
      <c r="BG189" s="1086">
        <v>10</v>
      </c>
      <c r="BH189" s="1085">
        <v>12</v>
      </c>
      <c r="BI189" s="1084">
        <v>0.34</v>
      </c>
      <c r="BJ189" s="1736" t="s">
        <v>1429</v>
      </c>
      <c r="BK189" s="1049"/>
      <c r="BL189" s="1095" t="e">
        <f>SUM(#REF!)</f>
        <v>#REF!</v>
      </c>
      <c r="BM189" s="1086">
        <v>10</v>
      </c>
      <c r="BN189" s="1085">
        <v>12</v>
      </c>
      <c r="BO189" s="1084"/>
      <c r="BP189" s="1783">
        <v>0.1</v>
      </c>
      <c r="BQ189" s="1049"/>
    </row>
    <row r="190" spans="1:69" ht="14.4">
      <c r="A190" s="1049"/>
      <c r="B190" s="1060"/>
      <c r="C190" s="1086">
        <v>11</v>
      </c>
      <c r="D190" s="1085">
        <v>12</v>
      </c>
      <c r="E190" s="1091">
        <v>1.06</v>
      </c>
      <c r="F190" s="1090">
        <v>3.06</v>
      </c>
      <c r="G190" s="1089">
        <f t="shared" si="77"/>
        <v>2.8867924528301887</v>
      </c>
      <c r="H190" s="1049"/>
      <c r="I190" s="1060"/>
      <c r="J190" s="1086">
        <v>11</v>
      </c>
      <c r="K190" s="1085">
        <v>12</v>
      </c>
      <c r="L190" s="1084">
        <v>1.093</v>
      </c>
      <c r="M190" s="1088">
        <v>2.4700000000000002</v>
      </c>
      <c r="N190" s="1087">
        <f t="shared" si="78"/>
        <v>2.2598353156450139</v>
      </c>
      <c r="O190" s="1049"/>
      <c r="P190" s="1093">
        <f>P189/P181</f>
        <v>3.1586208855366555</v>
      </c>
      <c r="Q190" s="1086">
        <v>11</v>
      </c>
      <c r="R190" s="1085"/>
      <c r="S190" s="1084">
        <v>2.0030000000000001</v>
      </c>
      <c r="T190" s="1054">
        <f t="shared" si="79"/>
        <v>8.5728400000000011</v>
      </c>
      <c r="U190" s="1142">
        <v>10.67</v>
      </c>
      <c r="V190" s="1052">
        <f t="shared" si="80"/>
        <v>5.3270094857713426</v>
      </c>
      <c r="W190" s="1049"/>
      <c r="X190" s="1051">
        <v>4.28</v>
      </c>
      <c r="Y190" s="1049"/>
      <c r="Z190" s="1050">
        <f t="shared" si="81"/>
        <v>6.9704400000000009</v>
      </c>
      <c r="AA190" s="1093">
        <f>AA189/AA181</f>
        <v>-1.3217076700434217E-2</v>
      </c>
      <c r="AB190" s="1086">
        <v>11</v>
      </c>
      <c r="AC190" s="1085">
        <v>12</v>
      </c>
      <c r="AD190" s="1084">
        <v>4.4400000000000004</v>
      </c>
      <c r="AE190" s="1143">
        <f t="shared" si="82"/>
        <v>4.8840000000000012</v>
      </c>
      <c r="AF190" s="1142">
        <v>7.94</v>
      </c>
      <c r="AG190" s="1052">
        <f t="shared" si="83"/>
        <v>1.7882882882882882</v>
      </c>
      <c r="AH190" s="1049"/>
      <c r="AI190" s="1051">
        <v>1.1000000000000001</v>
      </c>
      <c r="AJ190" s="1049"/>
      <c r="AK190" s="1050">
        <f t="shared" si="84"/>
        <v>1.3320000000000003</v>
      </c>
      <c r="AL190" s="1049"/>
      <c r="AM190" s="1093" t="e">
        <f>AM189/AM181</f>
        <v>#REF!</v>
      </c>
      <c r="AN190" s="1086">
        <v>11</v>
      </c>
      <c r="AO190" s="1085">
        <v>12</v>
      </c>
      <c r="AP190" s="1084">
        <v>0.31</v>
      </c>
      <c r="AQ190" s="1748">
        <f t="shared" si="85"/>
        <v>0</v>
      </c>
      <c r="AR190" s="1742">
        <v>0.6</v>
      </c>
      <c r="AS190" s="1052">
        <f t="shared" si="86"/>
        <v>1.9354838709677418</v>
      </c>
      <c r="AT190" s="1049"/>
      <c r="AU190" s="1051"/>
      <c r="AV190" s="1049"/>
      <c r="AW190" s="1093" t="e">
        <f>AW189/AW181</f>
        <v>#REF!</v>
      </c>
      <c r="AX190" s="1086">
        <v>11</v>
      </c>
      <c r="AY190" s="1085">
        <v>12</v>
      </c>
      <c r="AZ190" s="1084">
        <v>0.37</v>
      </c>
      <c r="BA190" s="1736">
        <v>0.8</v>
      </c>
      <c r="BB190" s="1742">
        <f t="shared" si="87"/>
        <v>2.1621621621621623</v>
      </c>
      <c r="BC190" s="1049"/>
      <c r="BD190" s="1051"/>
      <c r="BE190" s="1049"/>
      <c r="BF190" s="1093" t="e">
        <f>BF189/BF181</f>
        <v>#REF!</v>
      </c>
      <c r="BG190" s="1086">
        <v>11</v>
      </c>
      <c r="BH190" s="1085">
        <v>12</v>
      </c>
      <c r="BI190" s="1084">
        <v>0.4</v>
      </c>
      <c r="BJ190" s="1736" t="s">
        <v>1422</v>
      </c>
      <c r="BK190" s="1049"/>
      <c r="BL190" s="1093" t="e">
        <f>BL189/BL181</f>
        <v>#REF!</v>
      </c>
      <c r="BM190" s="1086">
        <v>11</v>
      </c>
      <c r="BN190" s="1085">
        <v>12</v>
      </c>
      <c r="BO190" s="1084"/>
      <c r="BP190" s="1783">
        <v>7.0000000000000007E-2</v>
      </c>
      <c r="BQ190" s="1049"/>
    </row>
    <row r="191" spans="1:69" ht="14.4">
      <c r="A191" s="1049"/>
      <c r="B191" s="1060"/>
      <c r="C191" s="1086">
        <v>12</v>
      </c>
      <c r="D191" s="1085">
        <v>13</v>
      </c>
      <c r="E191" s="1091">
        <v>1.41</v>
      </c>
      <c r="F191" s="1090">
        <v>4.07</v>
      </c>
      <c r="G191" s="1089">
        <f t="shared" si="77"/>
        <v>2.8865248226950357</v>
      </c>
      <c r="H191" s="1049"/>
      <c r="I191" s="1060"/>
      <c r="J191" s="1086">
        <v>12</v>
      </c>
      <c r="K191" s="1085">
        <v>13</v>
      </c>
      <c r="L191" s="1084">
        <v>1.181</v>
      </c>
      <c r="M191" s="1088">
        <v>2.65</v>
      </c>
      <c r="N191" s="1087">
        <f t="shared" si="78"/>
        <v>2.2438611346316679</v>
      </c>
      <c r="O191" s="1049"/>
      <c r="P191" s="1060"/>
      <c r="Q191" s="1086">
        <v>12</v>
      </c>
      <c r="R191" s="1085"/>
      <c r="S191" s="1084">
        <v>2.0169999999999999</v>
      </c>
      <c r="T191" s="1054">
        <f t="shared" si="79"/>
        <v>8.9353099999999994</v>
      </c>
      <c r="U191" s="1142">
        <v>10.78</v>
      </c>
      <c r="V191" s="1052">
        <f t="shared" si="80"/>
        <v>5.3445711452652453</v>
      </c>
      <c r="W191" s="1049"/>
      <c r="X191" s="1051">
        <v>4.43</v>
      </c>
      <c r="Y191" s="1049"/>
      <c r="Z191" s="1050">
        <f t="shared" si="81"/>
        <v>7.3217099999999995</v>
      </c>
      <c r="AA191" s="1060"/>
      <c r="AB191" s="1086">
        <v>12</v>
      </c>
      <c r="AC191" s="1085">
        <v>13</v>
      </c>
      <c r="AD191" s="1084">
        <v>4.1900000000000004</v>
      </c>
      <c r="AE191" s="1143">
        <f t="shared" si="82"/>
        <v>4.5252000000000008</v>
      </c>
      <c r="AF191" s="1142">
        <v>7.41</v>
      </c>
      <c r="AG191" s="1052">
        <f t="shared" si="83"/>
        <v>1.7684964200477327</v>
      </c>
      <c r="AH191" s="1049"/>
      <c r="AI191" s="1051">
        <v>1.08</v>
      </c>
      <c r="AJ191" s="1049"/>
      <c r="AK191" s="1050">
        <f t="shared" si="84"/>
        <v>1.1732000000000002</v>
      </c>
      <c r="AL191" s="1049"/>
      <c r="AM191" s="1060"/>
      <c r="AN191" s="1086">
        <v>12</v>
      </c>
      <c r="AO191" s="1085">
        <v>13</v>
      </c>
      <c r="AP191" s="1084">
        <v>0.38</v>
      </c>
      <c r="AQ191" s="1748">
        <f t="shared" si="85"/>
        <v>0</v>
      </c>
      <c r="AR191" s="1742">
        <v>0.72</v>
      </c>
      <c r="AS191" s="1052">
        <f t="shared" si="86"/>
        <v>1.8947368421052631</v>
      </c>
      <c r="AT191" s="1049"/>
      <c r="AU191" s="1051"/>
      <c r="AV191" s="1049"/>
      <c r="AW191" s="1060"/>
      <c r="AX191" s="1086">
        <v>12</v>
      </c>
      <c r="AY191" s="1085">
        <v>13</v>
      </c>
      <c r="AZ191" s="1084">
        <v>0.39</v>
      </c>
      <c r="BA191" s="1736">
        <v>0.82</v>
      </c>
      <c r="BB191" s="1742">
        <f t="shared" si="87"/>
        <v>2.1025641025641022</v>
      </c>
      <c r="BC191" s="1049"/>
      <c r="BD191" s="1051"/>
      <c r="BE191" s="1049"/>
      <c r="BF191" s="1060"/>
      <c r="BG191" s="1086">
        <v>12</v>
      </c>
      <c r="BH191" s="1085">
        <v>13</v>
      </c>
      <c r="BI191" s="1084">
        <v>0.45</v>
      </c>
      <c r="BJ191" s="1736" t="s">
        <v>1423</v>
      </c>
      <c r="BK191" s="1049"/>
      <c r="BL191" s="1060"/>
      <c r="BM191" s="1086">
        <v>12</v>
      </c>
      <c r="BN191" s="1085">
        <v>13</v>
      </c>
      <c r="BO191" s="1084"/>
      <c r="BP191" s="1783">
        <v>0.12</v>
      </c>
      <c r="BQ191" s="1049"/>
    </row>
    <row r="192" spans="1:69" ht="14.4">
      <c r="A192" s="1049"/>
      <c r="B192" s="1060"/>
      <c r="C192" s="1086">
        <v>13</v>
      </c>
      <c r="D192" s="1085">
        <v>14</v>
      </c>
      <c r="E192" s="1091">
        <v>0.95</v>
      </c>
      <c r="F192" s="1090">
        <v>2.74</v>
      </c>
      <c r="G192" s="1089">
        <f t="shared" si="77"/>
        <v>2.88421052631579</v>
      </c>
      <c r="H192" s="1049"/>
      <c r="I192" s="1060"/>
      <c r="J192" s="1086">
        <v>13</v>
      </c>
      <c r="K192" s="1085">
        <v>14</v>
      </c>
      <c r="L192" s="1084">
        <v>1.3089999999999999</v>
      </c>
      <c r="M192" s="1088">
        <v>2.93</v>
      </c>
      <c r="N192" s="1087">
        <f t="shared" si="78"/>
        <v>2.2383498854087089</v>
      </c>
      <c r="O192" s="1049"/>
      <c r="P192" s="1092" t="s">
        <v>1127</v>
      </c>
      <c r="Q192" s="1086">
        <v>13</v>
      </c>
      <c r="R192" s="1085">
        <v>14</v>
      </c>
      <c r="S192" s="1084">
        <v>1.9410000000000001</v>
      </c>
      <c r="T192" s="1054">
        <f t="shared" si="79"/>
        <v>8.5792199999999994</v>
      </c>
      <c r="U192" s="1142">
        <v>10.37</v>
      </c>
      <c r="V192" s="1052">
        <f t="shared" si="80"/>
        <v>5.3426069036579076</v>
      </c>
      <c r="W192" s="1049"/>
      <c r="X192" s="1051">
        <v>4.42</v>
      </c>
      <c r="Y192" s="1049"/>
      <c r="Z192" s="1050">
        <f t="shared" si="81"/>
        <v>7.0264200000000008</v>
      </c>
      <c r="AA192" s="1092" t="s">
        <v>1127</v>
      </c>
      <c r="AB192" s="1086">
        <v>13</v>
      </c>
      <c r="AC192" s="1085">
        <v>14</v>
      </c>
      <c r="AD192" s="1084">
        <v>2.85</v>
      </c>
      <c r="AE192" s="1143">
        <f t="shared" si="82"/>
        <v>2.9925000000000002</v>
      </c>
      <c r="AF192" s="1142">
        <v>4.97</v>
      </c>
      <c r="AG192" s="1052">
        <f t="shared" si="83"/>
        <v>1.7438596491228069</v>
      </c>
      <c r="AH192" s="1049"/>
      <c r="AI192" s="1051">
        <v>1.05</v>
      </c>
      <c r="AJ192" s="1049"/>
      <c r="AK192" s="1050">
        <f t="shared" si="84"/>
        <v>0.71250000000000002</v>
      </c>
      <c r="AL192" s="1049"/>
      <c r="AM192" s="1092" t="s">
        <v>1127</v>
      </c>
      <c r="AN192" s="1150">
        <v>13</v>
      </c>
      <c r="AO192" s="1085">
        <v>14</v>
      </c>
      <c r="AP192" s="1084">
        <v>0.28999999999999998</v>
      </c>
      <c r="AQ192" s="1748">
        <f t="shared" si="85"/>
        <v>0</v>
      </c>
      <c r="AR192" s="1742">
        <v>0.55000000000000004</v>
      </c>
      <c r="AS192" s="1052">
        <f t="shared" si="86"/>
        <v>1.8965517241379313</v>
      </c>
      <c r="AT192" s="1049"/>
      <c r="AU192" s="1051"/>
      <c r="AV192" s="1049"/>
      <c r="AW192" s="1092" t="s">
        <v>1127</v>
      </c>
      <c r="AX192" s="1086">
        <v>13</v>
      </c>
      <c r="AY192" s="1085">
        <v>14</v>
      </c>
      <c r="AZ192" s="1084">
        <v>0.22</v>
      </c>
      <c r="BA192" s="1736">
        <v>0.46</v>
      </c>
      <c r="BB192" s="1742">
        <f t="shared" si="87"/>
        <v>2.0909090909090908</v>
      </c>
      <c r="BC192" s="1049"/>
      <c r="BD192" s="1051"/>
      <c r="BE192" s="1049"/>
      <c r="BF192" s="1092" t="s">
        <v>1127</v>
      </c>
      <c r="BG192" s="1086">
        <v>13</v>
      </c>
      <c r="BH192" s="1085">
        <v>14</v>
      </c>
      <c r="BI192" s="1084">
        <v>0.35</v>
      </c>
      <c r="BJ192" s="1736" t="s">
        <v>1415</v>
      </c>
      <c r="BK192" s="1049"/>
      <c r="BL192" s="1092" t="s">
        <v>1127</v>
      </c>
      <c r="BM192" s="1086">
        <v>13</v>
      </c>
      <c r="BN192" s="1085">
        <v>14</v>
      </c>
      <c r="BO192" s="1084"/>
      <c r="BP192" s="1783">
        <v>0.13</v>
      </c>
      <c r="BQ192" s="1049"/>
    </row>
    <row r="193" spans="1:69" ht="14.4">
      <c r="A193" s="1049"/>
      <c r="B193" s="1060"/>
      <c r="C193" s="1086">
        <v>14</v>
      </c>
      <c r="D193" s="1085">
        <v>15</v>
      </c>
      <c r="E193" s="1091">
        <v>0.56999999999999995</v>
      </c>
      <c r="F193" s="1090">
        <v>1.64</v>
      </c>
      <c r="G193" s="1089">
        <f t="shared" si="77"/>
        <v>2.8771929824561404</v>
      </c>
      <c r="H193" s="1049"/>
      <c r="I193" s="1060"/>
      <c r="J193" s="1086">
        <v>14</v>
      </c>
      <c r="K193" s="1085">
        <v>15</v>
      </c>
      <c r="L193" s="1084">
        <v>1.2210000000000001</v>
      </c>
      <c r="M193" s="1088">
        <v>2.74</v>
      </c>
      <c r="N193" s="1087">
        <f t="shared" si="78"/>
        <v>2.2440622440622442</v>
      </c>
      <c r="O193" s="1049"/>
      <c r="P193" s="1058">
        <f>P181*0.8</f>
        <v>25.349600000000002</v>
      </c>
      <c r="Q193" s="1086">
        <v>14</v>
      </c>
      <c r="R193" s="1085">
        <v>15</v>
      </c>
      <c r="S193" s="1084">
        <v>2.2240000000000002</v>
      </c>
      <c r="T193" s="1054">
        <f t="shared" si="79"/>
        <v>9.9635200000000026</v>
      </c>
      <c r="U193" s="1142">
        <v>12</v>
      </c>
      <c r="V193" s="1052">
        <f t="shared" si="80"/>
        <v>5.3956834532374094</v>
      </c>
      <c r="W193" s="1049"/>
      <c r="X193" s="1051">
        <v>4.4800000000000004</v>
      </c>
      <c r="Y193" s="1049"/>
      <c r="Z193" s="1050">
        <f t="shared" si="81"/>
        <v>8.1843200000000014</v>
      </c>
      <c r="AA193" s="1058">
        <f>AA181*0.8</f>
        <v>55.280000000000008</v>
      </c>
      <c r="AB193" s="1086">
        <v>14</v>
      </c>
      <c r="AC193" s="1085">
        <v>15</v>
      </c>
      <c r="AD193" s="1084">
        <v>2.67</v>
      </c>
      <c r="AE193" s="1143">
        <f t="shared" si="82"/>
        <v>2.9370000000000003</v>
      </c>
      <c r="AF193" s="1142">
        <v>4.79</v>
      </c>
      <c r="AG193" s="1052">
        <f t="shared" si="83"/>
        <v>1.7940074906367043</v>
      </c>
      <c r="AH193" s="1049"/>
      <c r="AI193" s="1051">
        <v>1.1000000000000001</v>
      </c>
      <c r="AJ193" s="1049"/>
      <c r="AK193" s="1050">
        <f t="shared" si="84"/>
        <v>0.80100000000000005</v>
      </c>
      <c r="AL193" s="1049"/>
      <c r="AM193" s="1058">
        <f>AM181*0.8</f>
        <v>6.7840000000000007</v>
      </c>
      <c r="AN193" s="1150">
        <v>14</v>
      </c>
      <c r="AO193" s="1085">
        <v>15</v>
      </c>
      <c r="AP193" s="1084">
        <v>0.27</v>
      </c>
      <c r="AQ193" s="1748">
        <f t="shared" si="85"/>
        <v>0</v>
      </c>
      <c r="AR193" s="1742">
        <v>0.51</v>
      </c>
      <c r="AS193" s="1052">
        <f t="shared" si="86"/>
        <v>1.8888888888888888</v>
      </c>
      <c r="AT193" s="1049"/>
      <c r="AU193" s="1051"/>
      <c r="AV193" s="1049"/>
      <c r="AW193" s="1058">
        <f>AW181*0.8</f>
        <v>4.2400000000000011</v>
      </c>
      <c r="AX193" s="1086">
        <v>14</v>
      </c>
      <c r="AY193" s="1085">
        <v>15</v>
      </c>
      <c r="AZ193" s="1084">
        <v>0.18</v>
      </c>
      <c r="BA193" s="1736">
        <v>0.38</v>
      </c>
      <c r="BB193" s="1742">
        <f t="shared" si="87"/>
        <v>2.1111111111111112</v>
      </c>
      <c r="BC193" s="1049"/>
      <c r="BD193" s="1051"/>
      <c r="BE193" s="1049"/>
      <c r="BF193" s="1058">
        <f>BF181*0.8</f>
        <v>5.0320000000000009</v>
      </c>
      <c r="BG193" s="1086">
        <v>14</v>
      </c>
      <c r="BH193" s="1085">
        <v>15</v>
      </c>
      <c r="BI193" s="1084">
        <v>0.22</v>
      </c>
      <c r="BJ193" s="1736" t="s">
        <v>1438</v>
      </c>
      <c r="BK193" s="1049"/>
      <c r="BL193" s="1058">
        <f>BL181*0.8</f>
        <v>2.008</v>
      </c>
      <c r="BM193" s="1086">
        <v>14</v>
      </c>
      <c r="BN193" s="1085">
        <v>15</v>
      </c>
      <c r="BO193" s="1084"/>
      <c r="BP193" s="1783">
        <v>0.13</v>
      </c>
      <c r="BQ193" s="1049"/>
    </row>
    <row r="194" spans="1:69" ht="14.4">
      <c r="A194" s="1049"/>
      <c r="B194" s="1060"/>
      <c r="C194" s="1086">
        <v>15</v>
      </c>
      <c r="D194" s="1085">
        <v>16</v>
      </c>
      <c r="E194" s="1091">
        <v>0.42</v>
      </c>
      <c r="F194" s="1090">
        <v>1.22</v>
      </c>
      <c r="G194" s="1089">
        <f t="shared" si="77"/>
        <v>2.9047619047619047</v>
      </c>
      <c r="H194" s="1049"/>
      <c r="I194" s="1060"/>
      <c r="J194" s="1086">
        <v>15</v>
      </c>
      <c r="K194" s="1085">
        <v>16</v>
      </c>
      <c r="L194" s="1084">
        <v>1.1759999999999999</v>
      </c>
      <c r="M194" s="1088">
        <v>2.64</v>
      </c>
      <c r="N194" s="1087">
        <f t="shared" si="78"/>
        <v>2.2448979591836737</v>
      </c>
      <c r="O194" s="1049"/>
      <c r="P194" s="1058" t="s">
        <v>1126</v>
      </c>
      <c r="Q194" s="1086">
        <v>15</v>
      </c>
      <c r="R194" s="1085">
        <v>16</v>
      </c>
      <c r="S194" s="1084">
        <v>1.728</v>
      </c>
      <c r="T194" s="1054">
        <f t="shared" si="79"/>
        <v>7.7932799999999993</v>
      </c>
      <c r="U194" s="1142">
        <v>9.3699999999999992</v>
      </c>
      <c r="V194" s="1052">
        <f t="shared" si="80"/>
        <v>5.4224537037037033</v>
      </c>
      <c r="W194" s="1049"/>
      <c r="X194" s="1051">
        <v>4.51</v>
      </c>
      <c r="Y194" s="1049"/>
      <c r="Z194" s="1050">
        <f t="shared" si="81"/>
        <v>6.4108799999999997</v>
      </c>
      <c r="AA194" s="1058" t="s">
        <v>1126</v>
      </c>
      <c r="AB194" s="1086">
        <v>15</v>
      </c>
      <c r="AC194" s="1085">
        <v>16</v>
      </c>
      <c r="AD194" s="1084">
        <v>3.19</v>
      </c>
      <c r="AE194" s="1143">
        <f t="shared" si="82"/>
        <v>3.5090000000000003</v>
      </c>
      <c r="AF194" s="1142">
        <v>5.7</v>
      </c>
      <c r="AG194" s="1052">
        <f t="shared" si="83"/>
        <v>1.786833855799373</v>
      </c>
      <c r="AH194" s="1049"/>
      <c r="AI194" s="1051">
        <v>1.1000000000000001</v>
      </c>
      <c r="AJ194" s="1049"/>
      <c r="AK194" s="1050">
        <f t="shared" si="84"/>
        <v>0.95700000000000007</v>
      </c>
      <c r="AL194" s="1049"/>
      <c r="AM194" s="1058" t="s">
        <v>1126</v>
      </c>
      <c r="AN194" s="1150">
        <v>15</v>
      </c>
      <c r="AO194" s="1085">
        <v>16</v>
      </c>
      <c r="AP194" s="1084">
        <v>0.43</v>
      </c>
      <c r="AQ194" s="1748">
        <f t="shared" si="85"/>
        <v>0</v>
      </c>
      <c r="AR194" s="1742">
        <v>0.86</v>
      </c>
      <c r="AS194" s="1052">
        <f t="shared" si="86"/>
        <v>2</v>
      </c>
      <c r="AT194" s="1049"/>
      <c r="AU194" s="1051"/>
      <c r="AV194" s="1049"/>
      <c r="AW194" s="1058" t="s">
        <v>1126</v>
      </c>
      <c r="AX194" s="1086">
        <v>15</v>
      </c>
      <c r="AY194" s="1085">
        <v>16</v>
      </c>
      <c r="AZ194" s="1084">
        <v>0.13</v>
      </c>
      <c r="BA194" s="1736">
        <v>0.28000000000000003</v>
      </c>
      <c r="BB194" s="1742">
        <f t="shared" si="87"/>
        <v>2.1538461538461542</v>
      </c>
      <c r="BC194" s="1049"/>
      <c r="BD194" s="1051"/>
      <c r="BE194" s="1049"/>
      <c r="BF194" s="1058" t="s">
        <v>1126</v>
      </c>
      <c r="BG194" s="1086">
        <v>15</v>
      </c>
      <c r="BH194" s="1085">
        <v>16</v>
      </c>
      <c r="BI194" s="1084">
        <v>0.35</v>
      </c>
      <c r="BJ194" s="1736" t="s">
        <v>1427</v>
      </c>
      <c r="BK194" s="1049"/>
      <c r="BL194" s="1058" t="s">
        <v>1126</v>
      </c>
      <c r="BM194" s="1086">
        <v>15</v>
      </c>
      <c r="BN194" s="1085">
        <v>16</v>
      </c>
      <c r="BO194" s="1084"/>
      <c r="BP194" s="1783">
        <v>7.0000000000000007E-2</v>
      </c>
      <c r="BQ194" s="1049"/>
    </row>
    <row r="195" spans="1:69" ht="15" thickBot="1">
      <c r="A195" s="1049"/>
      <c r="B195" s="1060"/>
      <c r="C195" s="1077">
        <v>16</v>
      </c>
      <c r="D195" s="1076">
        <v>17</v>
      </c>
      <c r="E195" s="1083">
        <v>0.48</v>
      </c>
      <c r="F195" s="1082">
        <v>1.38</v>
      </c>
      <c r="G195" s="1081">
        <f t="shared" si="77"/>
        <v>2.875</v>
      </c>
      <c r="H195" s="1049"/>
      <c r="I195" s="1060"/>
      <c r="J195" s="1077">
        <v>16</v>
      </c>
      <c r="K195" s="1076">
        <v>17</v>
      </c>
      <c r="L195" s="1075">
        <v>1.161</v>
      </c>
      <c r="M195" s="1080">
        <v>2.64</v>
      </c>
      <c r="N195" s="1079">
        <f t="shared" si="78"/>
        <v>2.2739018087855296</v>
      </c>
      <c r="O195" s="1049"/>
      <c r="P195" s="1078">
        <f>P181*(X178-0.8)</f>
        <v>94.942173750000023</v>
      </c>
      <c r="Q195" s="1077">
        <v>16</v>
      </c>
      <c r="R195" s="1076">
        <v>17</v>
      </c>
      <c r="S195" s="1075">
        <v>1.4550000000000001</v>
      </c>
      <c r="T195" s="1054">
        <f t="shared" si="79"/>
        <v>6.6347999999999994</v>
      </c>
      <c r="U195" s="1140">
        <v>7.97</v>
      </c>
      <c r="V195" s="1052">
        <f t="shared" si="80"/>
        <v>5.477663230240549</v>
      </c>
      <c r="W195" s="1049"/>
      <c r="X195" s="1074">
        <v>4.5599999999999996</v>
      </c>
      <c r="Y195" s="1049"/>
      <c r="Z195" s="1050">
        <f t="shared" si="81"/>
        <v>5.4707999999999997</v>
      </c>
      <c r="AA195" s="1078">
        <f>AA181*(AI178-0.8)</f>
        <v>-1.8138749999999999</v>
      </c>
      <c r="AB195" s="1077">
        <v>16</v>
      </c>
      <c r="AC195" s="1076">
        <v>17</v>
      </c>
      <c r="AD195" s="1075">
        <v>2.23</v>
      </c>
      <c r="AE195" s="1141">
        <f t="shared" si="82"/>
        <v>2.5644999999999998</v>
      </c>
      <c r="AF195" s="1140">
        <v>4.0999999999999996</v>
      </c>
      <c r="AG195" s="1052">
        <f t="shared" si="83"/>
        <v>1.8385650224215244</v>
      </c>
      <c r="AH195" s="1049"/>
      <c r="AI195" s="1074">
        <v>1.1499999999999999</v>
      </c>
      <c r="AJ195" s="1049"/>
      <c r="AK195" s="1050">
        <f t="shared" si="84"/>
        <v>0.78049999999999975</v>
      </c>
      <c r="AL195" s="1049"/>
      <c r="AM195" s="1078" t="e">
        <f>AM181*(AU178-0.8)</f>
        <v>#DIV/0!</v>
      </c>
      <c r="AN195" s="1149">
        <v>16</v>
      </c>
      <c r="AO195" s="1076">
        <v>17</v>
      </c>
      <c r="AP195" s="1075">
        <v>0.32</v>
      </c>
      <c r="AQ195" s="1749">
        <f t="shared" si="85"/>
        <v>0</v>
      </c>
      <c r="AR195" s="1743">
        <v>0.64</v>
      </c>
      <c r="AS195" s="1052">
        <f t="shared" si="86"/>
        <v>2</v>
      </c>
      <c r="AT195" s="1049"/>
      <c r="AU195" s="1074"/>
      <c r="AV195" s="1049"/>
      <c r="AW195" s="1078" t="e">
        <f>AW181*(BD178-0.8)</f>
        <v>#DIV/0!</v>
      </c>
      <c r="AX195" s="1077">
        <v>16</v>
      </c>
      <c r="AY195" s="1076">
        <v>17</v>
      </c>
      <c r="AZ195" s="1075">
        <v>0.25</v>
      </c>
      <c r="BA195" s="1738">
        <v>0.54</v>
      </c>
      <c r="BB195" s="1743">
        <f t="shared" si="87"/>
        <v>2.16</v>
      </c>
      <c r="BC195" s="1049"/>
      <c r="BD195" s="1074"/>
      <c r="BE195" s="1049"/>
      <c r="BF195" s="1078">
        <f>BF181*(BM178-0.8)</f>
        <v>-5.0320000000000009</v>
      </c>
      <c r="BG195" s="1077">
        <v>16</v>
      </c>
      <c r="BH195" s="1076">
        <v>17</v>
      </c>
      <c r="BI195" s="1075">
        <v>0.46</v>
      </c>
      <c r="BJ195" s="1738" t="s">
        <v>1439</v>
      </c>
      <c r="BK195" s="1049"/>
      <c r="BL195" s="1078">
        <f>BL181*(BS178-0.8)</f>
        <v>-2.008</v>
      </c>
      <c r="BM195" s="1077">
        <v>16</v>
      </c>
      <c r="BN195" s="1076">
        <v>17</v>
      </c>
      <c r="BO195" s="1075"/>
      <c r="BP195" s="1783">
        <v>0.08</v>
      </c>
      <c r="BQ195" s="1049"/>
    </row>
    <row r="196" spans="1:69" ht="14.4">
      <c r="A196" s="1049"/>
      <c r="B196" s="1060"/>
      <c r="C196" s="1068">
        <v>17</v>
      </c>
      <c r="D196" s="1067">
        <v>18</v>
      </c>
      <c r="E196" s="1073">
        <v>0.36</v>
      </c>
      <c r="F196" s="1072">
        <v>1.26</v>
      </c>
      <c r="G196" s="1071">
        <f t="shared" si="77"/>
        <v>3.5</v>
      </c>
      <c r="H196" s="1049"/>
      <c r="I196" s="1060"/>
      <c r="J196" s="1068">
        <v>17</v>
      </c>
      <c r="K196" s="1067">
        <v>18</v>
      </c>
      <c r="L196" s="1066">
        <v>1.119</v>
      </c>
      <c r="M196" s="1070">
        <v>3.38</v>
      </c>
      <c r="N196" s="1069">
        <f t="shared" si="78"/>
        <v>3.0205540661304737</v>
      </c>
      <c r="O196" s="1049"/>
      <c r="P196" s="1058"/>
      <c r="Q196" s="1068">
        <v>17</v>
      </c>
      <c r="R196" s="1067">
        <v>18</v>
      </c>
      <c r="S196" s="1066">
        <v>1.3240000000000001</v>
      </c>
      <c r="T196" s="1054">
        <f t="shared" si="79"/>
        <v>6.4743599999999999</v>
      </c>
      <c r="U196" s="1138">
        <v>7.69</v>
      </c>
      <c r="V196" s="1052">
        <f t="shared" si="80"/>
        <v>5.8081570996978851</v>
      </c>
      <c r="W196" s="1049"/>
      <c r="X196" s="1065">
        <v>4.8899999999999997</v>
      </c>
      <c r="Y196" s="1049"/>
      <c r="Z196" s="1050">
        <f t="shared" si="81"/>
        <v>5.4151600000000002</v>
      </c>
      <c r="AA196" s="1058"/>
      <c r="AB196" s="1068">
        <v>17</v>
      </c>
      <c r="AC196" s="1067">
        <v>18</v>
      </c>
      <c r="AD196" s="1066">
        <v>3.48</v>
      </c>
      <c r="AE196" s="1139">
        <f t="shared" si="82"/>
        <v>4.2804000000000002</v>
      </c>
      <c r="AF196" s="1138">
        <v>9.39</v>
      </c>
      <c r="AG196" s="1052">
        <f t="shared" si="83"/>
        <v>2.6982758620689657</v>
      </c>
      <c r="AH196" s="1049"/>
      <c r="AI196" s="1065">
        <v>1.23</v>
      </c>
      <c r="AJ196" s="1049"/>
      <c r="AK196" s="1050">
        <f t="shared" si="84"/>
        <v>1.4963999999999997</v>
      </c>
      <c r="AL196" s="1049"/>
      <c r="AM196" s="1058"/>
      <c r="AN196" s="1068">
        <v>17</v>
      </c>
      <c r="AO196" s="1067">
        <v>18</v>
      </c>
      <c r="AP196" s="1066">
        <v>0.46</v>
      </c>
      <c r="AQ196" s="1750">
        <f t="shared" si="85"/>
        <v>0</v>
      </c>
      <c r="AR196" s="1744">
        <v>1.28</v>
      </c>
      <c r="AS196" s="1052">
        <f t="shared" si="86"/>
        <v>2.7826086956521738</v>
      </c>
      <c r="AT196" s="1049"/>
      <c r="AU196" s="1065"/>
      <c r="AV196" s="1049"/>
      <c r="AW196" s="1058"/>
      <c r="AX196" s="1068">
        <v>17</v>
      </c>
      <c r="AY196" s="1067">
        <v>18</v>
      </c>
      <c r="AZ196" s="1066">
        <v>0.37</v>
      </c>
      <c r="BA196" s="1740">
        <v>1.1200000000000001</v>
      </c>
      <c r="BB196" s="1744">
        <f t="shared" si="87"/>
        <v>3.0270270270270272</v>
      </c>
      <c r="BC196" s="1049"/>
      <c r="BD196" s="1065"/>
      <c r="BE196" s="1049"/>
      <c r="BF196" s="1058"/>
      <c r="BG196" s="1068">
        <v>17</v>
      </c>
      <c r="BH196" s="1067">
        <v>18</v>
      </c>
      <c r="BI196" s="1066">
        <v>0.41</v>
      </c>
      <c r="BJ196" s="1740" t="s">
        <v>1440</v>
      </c>
      <c r="BK196" s="1049"/>
      <c r="BL196" s="1058"/>
      <c r="BM196" s="1068">
        <v>17</v>
      </c>
      <c r="BN196" s="1067">
        <v>18</v>
      </c>
      <c r="BO196" s="1066"/>
      <c r="BP196" s="1783">
        <v>0.13</v>
      </c>
      <c r="BQ196" s="1049"/>
    </row>
    <row r="197" spans="1:69" ht="14.4">
      <c r="A197" s="1049"/>
      <c r="B197" s="1060"/>
      <c r="C197" s="1057">
        <v>18</v>
      </c>
      <c r="D197" s="1056">
        <v>19</v>
      </c>
      <c r="E197" s="1063">
        <v>0.4</v>
      </c>
      <c r="F197" s="1062">
        <v>1.4</v>
      </c>
      <c r="G197" s="1061">
        <f t="shared" si="77"/>
        <v>3.4999999999999996</v>
      </c>
      <c r="H197" s="1049"/>
      <c r="I197" s="1060"/>
      <c r="J197" s="1057">
        <v>18</v>
      </c>
      <c r="K197" s="1056">
        <v>19</v>
      </c>
      <c r="L197" s="1055">
        <v>1.603</v>
      </c>
      <c r="M197" s="1059">
        <v>4.76</v>
      </c>
      <c r="N197" s="1052">
        <f t="shared" si="78"/>
        <v>2.9694323144104802</v>
      </c>
      <c r="O197" s="1049"/>
      <c r="P197" s="1058"/>
      <c r="Q197" s="1057">
        <v>18</v>
      </c>
      <c r="R197" s="1056">
        <v>19</v>
      </c>
      <c r="S197" s="1055">
        <v>1.0349999999999999</v>
      </c>
      <c r="T197" s="1054">
        <f t="shared" si="79"/>
        <v>4.6885500000000002</v>
      </c>
      <c r="U197" s="1136">
        <v>5.64</v>
      </c>
      <c r="V197" s="1052">
        <f t="shared" si="80"/>
        <v>5.4492753623188408</v>
      </c>
      <c r="W197" s="1049"/>
      <c r="X197" s="1051">
        <v>4.53</v>
      </c>
      <c r="Y197" s="1049"/>
      <c r="Z197" s="1050">
        <f t="shared" si="81"/>
        <v>3.8605499999999999</v>
      </c>
      <c r="AA197" s="1058"/>
      <c r="AB197" s="1057">
        <v>18</v>
      </c>
      <c r="AC197" s="1056">
        <v>19</v>
      </c>
      <c r="AD197" s="1055">
        <v>1.74</v>
      </c>
      <c r="AE197" s="1137">
        <f t="shared" si="82"/>
        <v>2.2098</v>
      </c>
      <c r="AF197" s="1136">
        <v>4.7699999999999996</v>
      </c>
      <c r="AG197" s="1052">
        <f t="shared" si="83"/>
        <v>2.7413793103448274</v>
      </c>
      <c r="AH197" s="1049"/>
      <c r="AI197" s="1051">
        <v>1.27</v>
      </c>
      <c r="AJ197" s="1049"/>
      <c r="AK197" s="1050">
        <f t="shared" si="84"/>
        <v>0.81779999999999997</v>
      </c>
      <c r="AL197" s="1049"/>
      <c r="AM197" s="1058"/>
      <c r="AN197" s="1057">
        <v>18</v>
      </c>
      <c r="AO197" s="1056">
        <v>19</v>
      </c>
      <c r="AP197" s="1055">
        <v>0.62</v>
      </c>
      <c r="AQ197" s="1745">
        <f t="shared" si="85"/>
        <v>0</v>
      </c>
      <c r="AR197" s="1737">
        <v>1.59</v>
      </c>
      <c r="AS197" s="1052">
        <f t="shared" si="86"/>
        <v>2.564516129032258</v>
      </c>
      <c r="AT197" s="1049"/>
      <c r="AU197" s="1051"/>
      <c r="AV197" s="1049"/>
      <c r="AW197" s="1058"/>
      <c r="AX197" s="1057">
        <v>18</v>
      </c>
      <c r="AY197" s="1056">
        <v>19</v>
      </c>
      <c r="AZ197" s="1055">
        <v>0.21</v>
      </c>
      <c r="BA197" s="1736">
        <v>0.66</v>
      </c>
      <c r="BB197" s="1737">
        <f t="shared" si="87"/>
        <v>3.1428571428571432</v>
      </c>
      <c r="BC197" s="1049"/>
      <c r="BD197" s="1051"/>
      <c r="BE197" s="1049"/>
      <c r="BF197" s="1058"/>
      <c r="BG197" s="1057">
        <v>18</v>
      </c>
      <c r="BH197" s="1056">
        <v>19</v>
      </c>
      <c r="BI197" s="1055">
        <v>0.5</v>
      </c>
      <c r="BJ197" s="1736" t="s">
        <v>1411</v>
      </c>
      <c r="BK197" s="1049"/>
      <c r="BL197" s="1058"/>
      <c r="BM197" s="1057">
        <v>18</v>
      </c>
      <c r="BN197" s="1056">
        <v>19</v>
      </c>
      <c r="BO197" s="1055"/>
      <c r="BP197" s="1783">
        <v>0.13</v>
      </c>
      <c r="BQ197" s="1049"/>
    </row>
    <row r="198" spans="1:69" ht="14.4">
      <c r="A198" s="1049"/>
      <c r="B198" s="1060"/>
      <c r="C198" s="1057">
        <v>19</v>
      </c>
      <c r="D198" s="1056">
        <v>20</v>
      </c>
      <c r="E198" s="1063">
        <v>0.89</v>
      </c>
      <c r="F198" s="1062">
        <v>3.1</v>
      </c>
      <c r="G198" s="1061">
        <f t="shared" si="77"/>
        <v>3.4831460674157304</v>
      </c>
      <c r="H198" s="1049"/>
      <c r="I198" s="1060"/>
      <c r="J198" s="1057">
        <v>19</v>
      </c>
      <c r="K198" s="1056">
        <v>20</v>
      </c>
      <c r="L198" s="1055">
        <v>1.591</v>
      </c>
      <c r="M198" s="1059">
        <v>4.4800000000000004</v>
      </c>
      <c r="N198" s="1052">
        <f t="shared" si="78"/>
        <v>2.8158390949088625</v>
      </c>
      <c r="O198" s="1049"/>
      <c r="P198" s="1058"/>
      <c r="Q198" s="1057">
        <v>19</v>
      </c>
      <c r="R198" s="1056">
        <v>20</v>
      </c>
      <c r="S198" s="1055">
        <v>1.0009999999999999</v>
      </c>
      <c r="T198" s="1054">
        <f t="shared" si="79"/>
        <v>4.4844799999999996</v>
      </c>
      <c r="U198" s="1136">
        <v>5.4</v>
      </c>
      <c r="V198" s="1052">
        <f t="shared" si="80"/>
        <v>5.3946053946053958</v>
      </c>
      <c r="W198" s="1049"/>
      <c r="X198" s="1051">
        <v>4.4800000000000004</v>
      </c>
      <c r="Y198" s="1049"/>
      <c r="Z198" s="1050">
        <f t="shared" si="81"/>
        <v>3.6836800000000003</v>
      </c>
      <c r="AA198" s="1058"/>
      <c r="AB198" s="1057">
        <v>19</v>
      </c>
      <c r="AC198" s="1056">
        <v>20</v>
      </c>
      <c r="AD198" s="1055">
        <v>2.2000000000000002</v>
      </c>
      <c r="AE198" s="1137">
        <f t="shared" si="82"/>
        <v>2.5299999999999998</v>
      </c>
      <c r="AF198" s="1136">
        <v>5.74</v>
      </c>
      <c r="AG198" s="1052">
        <f t="shared" si="83"/>
        <v>2.6090909090909089</v>
      </c>
      <c r="AH198" s="1049"/>
      <c r="AI198" s="1051">
        <v>1.1499999999999999</v>
      </c>
      <c r="AJ198" s="1049"/>
      <c r="AK198" s="1050">
        <f t="shared" si="84"/>
        <v>0.7699999999999998</v>
      </c>
      <c r="AL198" s="1049"/>
      <c r="AM198" s="1058"/>
      <c r="AN198" s="1057">
        <v>19</v>
      </c>
      <c r="AO198" s="1056">
        <v>20</v>
      </c>
      <c r="AP198" s="1055">
        <v>0.98</v>
      </c>
      <c r="AQ198" s="1745">
        <f t="shared" si="85"/>
        <v>0</v>
      </c>
      <c r="AR198" s="1737">
        <v>2.4500000000000002</v>
      </c>
      <c r="AS198" s="1052">
        <f t="shared" si="86"/>
        <v>2.5000000000000004</v>
      </c>
      <c r="AT198" s="1049"/>
      <c r="AU198" s="1051"/>
      <c r="AV198" s="1049"/>
      <c r="AW198" s="1058"/>
      <c r="AX198" s="1057">
        <v>19</v>
      </c>
      <c r="AY198" s="1056">
        <v>20</v>
      </c>
      <c r="AZ198" s="1055">
        <v>0.2</v>
      </c>
      <c r="BA198" s="1736">
        <v>0.64</v>
      </c>
      <c r="BB198" s="1737">
        <f t="shared" si="87"/>
        <v>3.1999999999999997</v>
      </c>
      <c r="BC198" s="1049"/>
      <c r="BD198" s="1051"/>
      <c r="BE198" s="1049"/>
      <c r="BF198" s="1058"/>
      <c r="BG198" s="1057">
        <v>19</v>
      </c>
      <c r="BH198" s="1056">
        <v>20</v>
      </c>
      <c r="BI198" s="1055">
        <v>0.44</v>
      </c>
      <c r="BJ198" s="1736" t="s">
        <v>1441</v>
      </c>
      <c r="BK198" s="1049"/>
      <c r="BL198" s="1058"/>
      <c r="BM198" s="1057">
        <v>19</v>
      </c>
      <c r="BN198" s="1056">
        <v>20</v>
      </c>
      <c r="BO198" s="1055"/>
      <c r="BP198" s="1783">
        <v>0.11</v>
      </c>
      <c r="BQ198" s="1049"/>
    </row>
    <row r="199" spans="1:69" ht="14.4">
      <c r="A199" s="1049"/>
      <c r="B199" s="1060"/>
      <c r="C199" s="1057">
        <v>20</v>
      </c>
      <c r="D199" s="1056">
        <v>21</v>
      </c>
      <c r="E199" s="1063">
        <v>0.39</v>
      </c>
      <c r="F199" s="1062">
        <v>1.1200000000000001</v>
      </c>
      <c r="G199" s="1061">
        <f t="shared" si="77"/>
        <v>2.8717948717948718</v>
      </c>
      <c r="H199" s="1049"/>
      <c r="I199" s="1060"/>
      <c r="J199" s="1057">
        <v>20</v>
      </c>
      <c r="K199" s="1056">
        <v>21</v>
      </c>
      <c r="L199" s="1055">
        <v>1.579</v>
      </c>
      <c r="M199" s="1059">
        <v>3.22</v>
      </c>
      <c r="N199" s="1052">
        <f t="shared" si="78"/>
        <v>2.0392653578214062</v>
      </c>
      <c r="O199" s="1049"/>
      <c r="P199" s="1058"/>
      <c r="Q199" s="1057">
        <v>20</v>
      </c>
      <c r="R199" s="1056">
        <v>21</v>
      </c>
      <c r="S199" s="1055">
        <v>1.1000000000000001</v>
      </c>
      <c r="T199" s="1054">
        <f t="shared" si="79"/>
        <v>4.7190000000000003</v>
      </c>
      <c r="U199" s="1136">
        <v>5.73</v>
      </c>
      <c r="V199" s="1052">
        <f t="shared" si="80"/>
        <v>5.209090909090909</v>
      </c>
      <c r="W199" s="1049"/>
      <c r="X199" s="1051">
        <v>4.29</v>
      </c>
      <c r="Y199" s="1049"/>
      <c r="Z199" s="1050">
        <f t="shared" si="81"/>
        <v>3.8390000000000004</v>
      </c>
      <c r="AA199" s="1058"/>
      <c r="AB199" s="1057">
        <v>20</v>
      </c>
      <c r="AC199" s="1056">
        <v>21</v>
      </c>
      <c r="AD199" s="1055">
        <v>2.19</v>
      </c>
      <c r="AE199" s="1137">
        <f t="shared" si="82"/>
        <v>2.4090000000000003</v>
      </c>
      <c r="AF199" s="1136">
        <v>3.91</v>
      </c>
      <c r="AG199" s="1052">
        <f t="shared" si="83"/>
        <v>1.7853881278538815</v>
      </c>
      <c r="AH199" s="1049"/>
      <c r="AI199" s="1051">
        <v>1.1000000000000001</v>
      </c>
      <c r="AJ199" s="1049"/>
      <c r="AK199" s="1050">
        <f t="shared" si="84"/>
        <v>0.65700000000000003</v>
      </c>
      <c r="AL199" s="1049"/>
      <c r="AM199" s="1058"/>
      <c r="AN199" s="1057">
        <v>20</v>
      </c>
      <c r="AO199" s="1056">
        <v>21</v>
      </c>
      <c r="AP199" s="1055">
        <v>0.62</v>
      </c>
      <c r="AQ199" s="1745">
        <f t="shared" si="85"/>
        <v>0</v>
      </c>
      <c r="AR199" s="1737">
        <v>1.05</v>
      </c>
      <c r="AS199" s="1052">
        <f t="shared" si="86"/>
        <v>1.6935483870967742</v>
      </c>
      <c r="AT199" s="1049"/>
      <c r="AU199" s="1051"/>
      <c r="AV199" s="1049"/>
      <c r="AW199" s="1058"/>
      <c r="AX199" s="1057">
        <v>20</v>
      </c>
      <c r="AY199" s="1056">
        <v>21</v>
      </c>
      <c r="AZ199" s="1055">
        <v>0.2</v>
      </c>
      <c r="BA199" s="1736">
        <v>0.45</v>
      </c>
      <c r="BB199" s="1737">
        <f t="shared" si="87"/>
        <v>2.25</v>
      </c>
      <c r="BC199" s="1049"/>
      <c r="BD199" s="1051"/>
      <c r="BE199" s="1049"/>
      <c r="BF199" s="1058"/>
      <c r="BG199" s="1057">
        <v>20</v>
      </c>
      <c r="BH199" s="1056">
        <v>21</v>
      </c>
      <c r="BI199" s="1055">
        <v>0.3</v>
      </c>
      <c r="BJ199" s="1736" t="s">
        <v>1437</v>
      </c>
      <c r="BK199" s="1049"/>
      <c r="BL199" s="1058"/>
      <c r="BM199" s="1057">
        <v>20</v>
      </c>
      <c r="BN199" s="1056">
        <v>21</v>
      </c>
      <c r="BO199" s="1055"/>
      <c r="BP199" s="1783">
        <v>0.06</v>
      </c>
      <c r="BQ199" s="1049"/>
    </row>
    <row r="200" spans="1:69" ht="14.4">
      <c r="A200" s="1049"/>
      <c r="B200" s="1060"/>
      <c r="C200" s="1057">
        <v>21</v>
      </c>
      <c r="D200" s="1056">
        <v>22</v>
      </c>
      <c r="E200" s="1063">
        <v>0.43</v>
      </c>
      <c r="F200" s="1062">
        <v>1.23</v>
      </c>
      <c r="G200" s="1061">
        <f t="shared" si="77"/>
        <v>2.86046511627907</v>
      </c>
      <c r="H200" s="1049"/>
      <c r="I200" s="1060"/>
      <c r="J200" s="1057">
        <v>21</v>
      </c>
      <c r="K200" s="1056">
        <v>22</v>
      </c>
      <c r="L200" s="1055">
        <v>1.1339999999999999</v>
      </c>
      <c r="M200" s="1059">
        <v>2.25</v>
      </c>
      <c r="N200" s="1052">
        <f t="shared" si="78"/>
        <v>1.9841269841269844</v>
      </c>
      <c r="O200" s="1049"/>
      <c r="P200" s="1058"/>
      <c r="Q200" s="1057">
        <v>21</v>
      </c>
      <c r="R200" s="1056">
        <v>22</v>
      </c>
      <c r="S200" s="1055">
        <v>1.508</v>
      </c>
      <c r="T200" s="1054">
        <f t="shared" si="79"/>
        <v>5.3232399999999993</v>
      </c>
      <c r="U200" s="1136">
        <v>6.72</v>
      </c>
      <c r="V200" s="1052">
        <f t="shared" si="80"/>
        <v>4.4562334217506629</v>
      </c>
      <c r="W200" s="1049"/>
      <c r="X200" s="1051">
        <v>3.53</v>
      </c>
      <c r="Y200" s="1049"/>
      <c r="Z200" s="1050">
        <f t="shared" si="81"/>
        <v>4.1168399999999989</v>
      </c>
      <c r="AA200" s="1058"/>
      <c r="AB200" s="1057">
        <v>21</v>
      </c>
      <c r="AC200" s="1056">
        <v>22</v>
      </c>
      <c r="AD200" s="1055">
        <v>2.27</v>
      </c>
      <c r="AE200" s="1137">
        <f t="shared" si="82"/>
        <v>2.3835000000000002</v>
      </c>
      <c r="AF200" s="1136">
        <v>3.94</v>
      </c>
      <c r="AG200" s="1052">
        <f t="shared" si="83"/>
        <v>1.7356828193832599</v>
      </c>
      <c r="AH200" s="1049"/>
      <c r="AI200" s="1051">
        <v>1.05</v>
      </c>
      <c r="AJ200" s="1049"/>
      <c r="AK200" s="1050">
        <f t="shared" si="84"/>
        <v>0.5675</v>
      </c>
      <c r="AL200" s="1049"/>
      <c r="AM200" s="1058"/>
      <c r="AN200" s="1057">
        <v>21</v>
      </c>
      <c r="AO200" s="1056">
        <v>22</v>
      </c>
      <c r="AP200" s="1055">
        <v>0.42</v>
      </c>
      <c r="AQ200" s="1745">
        <f t="shared" si="85"/>
        <v>0</v>
      </c>
      <c r="AR200" s="1737">
        <v>0.69</v>
      </c>
      <c r="AS200" s="1052">
        <f t="shared" si="86"/>
        <v>1.6428571428571428</v>
      </c>
      <c r="AT200" s="1049"/>
      <c r="AU200" s="1051"/>
      <c r="AV200" s="1049"/>
      <c r="AW200" s="1058"/>
      <c r="AX200" s="1057">
        <v>21</v>
      </c>
      <c r="AY200" s="1056">
        <v>22</v>
      </c>
      <c r="AZ200" s="1055">
        <v>0.15</v>
      </c>
      <c r="BA200" s="1736">
        <v>0.31</v>
      </c>
      <c r="BB200" s="1737">
        <f t="shared" si="87"/>
        <v>2.0666666666666669</v>
      </c>
      <c r="BC200" s="1049"/>
      <c r="BD200" s="1051"/>
      <c r="BE200" s="1049"/>
      <c r="BF200" s="1058"/>
      <c r="BG200" s="1057">
        <v>21</v>
      </c>
      <c r="BH200" s="1056">
        <v>22</v>
      </c>
      <c r="BI200" s="1055">
        <v>0.35</v>
      </c>
      <c r="BJ200" s="1736" t="s">
        <v>1440</v>
      </c>
      <c r="BK200" s="1049"/>
      <c r="BL200" s="1058"/>
      <c r="BM200" s="1057">
        <v>21</v>
      </c>
      <c r="BN200" s="1056">
        <v>22</v>
      </c>
      <c r="BO200" s="1055"/>
      <c r="BP200" s="1783">
        <v>0.11</v>
      </c>
      <c r="BQ200" s="1049"/>
    </row>
    <row r="201" spans="1:69" ht="14.4">
      <c r="A201" s="1049"/>
      <c r="B201" s="1060"/>
      <c r="C201" s="1057">
        <v>22</v>
      </c>
      <c r="D201" s="1056">
        <v>23</v>
      </c>
      <c r="E201" s="1063">
        <v>0.34</v>
      </c>
      <c r="F201" s="1062">
        <v>0.97</v>
      </c>
      <c r="G201" s="1061">
        <f t="shared" si="77"/>
        <v>2.8529411764705879</v>
      </c>
      <c r="H201" s="1049"/>
      <c r="I201" s="1060"/>
      <c r="J201" s="1057">
        <v>22</v>
      </c>
      <c r="K201" s="1056">
        <v>23</v>
      </c>
      <c r="L201" s="1055">
        <v>1.4179999999999999</v>
      </c>
      <c r="M201" s="1059">
        <v>2.79</v>
      </c>
      <c r="N201" s="1052">
        <f t="shared" si="78"/>
        <v>1.9675599435825106</v>
      </c>
      <c r="O201" s="1049"/>
      <c r="P201" s="1058"/>
      <c r="Q201" s="1057">
        <v>22</v>
      </c>
      <c r="R201" s="1056">
        <v>23</v>
      </c>
      <c r="S201" s="1055">
        <v>2.028</v>
      </c>
      <c r="T201" s="1054">
        <f t="shared" si="79"/>
        <v>6.6721200000000005</v>
      </c>
      <c r="U201" s="1136">
        <v>8.5500000000000007</v>
      </c>
      <c r="V201" s="1052">
        <f t="shared" si="80"/>
        <v>4.2159763313609471</v>
      </c>
      <c r="W201" s="1049"/>
      <c r="X201" s="1051">
        <v>3.29</v>
      </c>
      <c r="Y201" s="1049"/>
      <c r="Z201" s="1050">
        <f t="shared" si="81"/>
        <v>5.0497200000000007</v>
      </c>
      <c r="AA201" s="1058"/>
      <c r="AB201" s="1057">
        <v>22</v>
      </c>
      <c r="AC201" s="1056">
        <v>23</v>
      </c>
      <c r="AD201" s="1055">
        <v>2.15</v>
      </c>
      <c r="AE201" s="1137">
        <f t="shared" si="82"/>
        <v>2.2789999999999999</v>
      </c>
      <c r="AF201" s="1136">
        <v>3.75</v>
      </c>
      <c r="AG201" s="1052">
        <f t="shared" si="83"/>
        <v>1.7441860465116279</v>
      </c>
      <c r="AH201" s="1049"/>
      <c r="AI201" s="1051">
        <v>1.06</v>
      </c>
      <c r="AJ201" s="1049"/>
      <c r="AK201" s="1050">
        <f t="shared" si="84"/>
        <v>0.55899999999999994</v>
      </c>
      <c r="AL201" s="1049"/>
      <c r="AM201" s="1058"/>
      <c r="AN201" s="1057">
        <v>22</v>
      </c>
      <c r="AO201" s="1056">
        <v>23</v>
      </c>
      <c r="AP201" s="1055">
        <v>0.28000000000000003</v>
      </c>
      <c r="AQ201" s="1745">
        <f t="shared" si="85"/>
        <v>0</v>
      </c>
      <c r="AR201" s="1737">
        <v>0.46</v>
      </c>
      <c r="AS201" s="1052">
        <f t="shared" si="86"/>
        <v>1.6428571428571428</v>
      </c>
      <c r="AT201" s="1049"/>
      <c r="AU201" s="1051"/>
      <c r="AV201" s="1049"/>
      <c r="AW201" s="1058"/>
      <c r="AX201" s="1057">
        <v>22</v>
      </c>
      <c r="AY201" s="1056">
        <v>23</v>
      </c>
      <c r="AZ201" s="1055">
        <v>0.21</v>
      </c>
      <c r="BA201" s="1736">
        <v>0.42</v>
      </c>
      <c r="BB201" s="1737">
        <f t="shared" si="87"/>
        <v>2</v>
      </c>
      <c r="BC201" s="1049"/>
      <c r="BD201" s="1051"/>
      <c r="BE201" s="1049"/>
      <c r="BF201" s="1058"/>
      <c r="BG201" s="1057">
        <v>22</v>
      </c>
      <c r="BH201" s="1056">
        <v>23</v>
      </c>
      <c r="BI201" s="1055">
        <v>0.18</v>
      </c>
      <c r="BJ201" s="1736" t="s">
        <v>1438</v>
      </c>
      <c r="BK201" s="1049"/>
      <c r="BL201" s="1058"/>
      <c r="BM201" s="1057">
        <v>22</v>
      </c>
      <c r="BN201" s="1056">
        <v>23</v>
      </c>
      <c r="BO201" s="1055"/>
      <c r="BP201" s="1783">
        <v>0.13</v>
      </c>
      <c r="BQ201" s="1049"/>
    </row>
    <row r="202" spans="1:69" ht="14.4">
      <c r="A202" s="1049"/>
      <c r="B202" s="1060"/>
      <c r="C202" s="1057">
        <v>23</v>
      </c>
      <c r="D202" s="1056">
        <v>24</v>
      </c>
      <c r="E202" s="1063">
        <v>0.31</v>
      </c>
      <c r="F202" s="1062">
        <v>0.9</v>
      </c>
      <c r="G202" s="1061">
        <f t="shared" si="77"/>
        <v>2.903225806451613</v>
      </c>
      <c r="H202" s="1049"/>
      <c r="I202" s="1060"/>
      <c r="J202" s="1057">
        <v>23</v>
      </c>
      <c r="K202" s="1056">
        <v>24</v>
      </c>
      <c r="L202" s="1055">
        <v>0.6</v>
      </c>
      <c r="M202" s="1059">
        <v>1.1499999999999999</v>
      </c>
      <c r="N202" s="1052">
        <f t="shared" si="78"/>
        <v>1.9166666666666665</v>
      </c>
      <c r="O202" s="1049"/>
      <c r="P202" s="1058"/>
      <c r="Q202" s="1057">
        <v>23</v>
      </c>
      <c r="R202" s="1056">
        <v>24</v>
      </c>
      <c r="S202" s="1055">
        <v>2.2029999999999998</v>
      </c>
      <c r="T202" s="1054">
        <f t="shared" si="79"/>
        <v>6.69712</v>
      </c>
      <c r="U202" s="1136">
        <v>8.7200000000000006</v>
      </c>
      <c r="V202" s="1052">
        <f t="shared" si="80"/>
        <v>3.9582387653200186</v>
      </c>
      <c r="W202" s="1049"/>
      <c r="X202" s="1051">
        <v>3.04</v>
      </c>
      <c r="Y202" s="1049"/>
      <c r="Z202" s="1050">
        <f t="shared" si="81"/>
        <v>4.9347200000000004</v>
      </c>
      <c r="AA202" s="1058"/>
      <c r="AB202" s="1057">
        <v>23</v>
      </c>
      <c r="AC202" s="1056">
        <v>24</v>
      </c>
      <c r="AD202" s="1055">
        <v>2.48</v>
      </c>
      <c r="AE202" s="1137">
        <f t="shared" si="82"/>
        <v>2.2071999999999998</v>
      </c>
      <c r="AF202" s="1136">
        <v>3.91</v>
      </c>
      <c r="AG202" s="1052">
        <f t="shared" si="83"/>
        <v>1.5766129032258065</v>
      </c>
      <c r="AH202" s="1049"/>
      <c r="AI202" s="1051">
        <v>0.89</v>
      </c>
      <c r="AJ202" s="1049"/>
      <c r="AK202" s="1050">
        <f t="shared" si="84"/>
        <v>0.22319999999999993</v>
      </c>
      <c r="AL202" s="1049"/>
      <c r="AM202" s="1058"/>
      <c r="AN202" s="1057">
        <v>23</v>
      </c>
      <c r="AO202" s="1056">
        <v>24</v>
      </c>
      <c r="AP202" s="1055">
        <v>0.25</v>
      </c>
      <c r="AQ202" s="1745">
        <f t="shared" si="85"/>
        <v>0</v>
      </c>
      <c r="AR202" s="1737">
        <v>0.4</v>
      </c>
      <c r="AS202" s="1052">
        <f t="shared" si="86"/>
        <v>1.6</v>
      </c>
      <c r="AT202" s="1049"/>
      <c r="AU202" s="1051"/>
      <c r="AV202" s="1049"/>
      <c r="AW202" s="1058"/>
      <c r="AX202" s="1057">
        <v>23</v>
      </c>
      <c r="AY202" s="1056">
        <v>24</v>
      </c>
      <c r="AZ202" s="1055">
        <v>0.1</v>
      </c>
      <c r="BA202" s="1736">
        <v>0.19</v>
      </c>
      <c r="BB202" s="1737">
        <f t="shared" si="87"/>
        <v>1.9</v>
      </c>
      <c r="BC202" s="1049"/>
      <c r="BD202" s="1051"/>
      <c r="BE202" s="1049"/>
      <c r="BF202" s="1058"/>
      <c r="BG202" s="1057">
        <v>23</v>
      </c>
      <c r="BH202" s="1056">
        <v>24</v>
      </c>
      <c r="BI202" s="1055">
        <v>0.08</v>
      </c>
      <c r="BJ202" s="1736" t="s">
        <v>1363</v>
      </c>
      <c r="BK202" s="1049"/>
      <c r="BL202" s="1058"/>
      <c r="BM202" s="1057">
        <v>23</v>
      </c>
      <c r="BN202" s="1056">
        <v>24</v>
      </c>
      <c r="BO202" s="1055"/>
      <c r="BP202" s="1783">
        <v>0.12</v>
      </c>
      <c r="BQ202" s="1049"/>
    </row>
    <row r="203" spans="1:69" ht="14.4">
      <c r="A203" s="1036"/>
      <c r="B203" s="1044"/>
      <c r="C203" s="1135"/>
      <c r="D203" s="1135"/>
      <c r="E203" s="1134"/>
      <c r="F203" s="1133"/>
      <c r="G203" s="1132"/>
      <c r="H203" s="1044"/>
      <c r="I203" s="1044" t="s">
        <v>1131</v>
      </c>
      <c r="J203" s="1046"/>
      <c r="K203" s="1046"/>
      <c r="L203" s="1129">
        <f>AVERAGE(L204:L227)</f>
        <v>1.528833333333333</v>
      </c>
      <c r="M203" s="1131">
        <f>AVERAGE(M204:M227)</f>
        <v>3.9162499999999998</v>
      </c>
      <c r="N203" s="1039">
        <f>AVERAGE(N204:N227)</f>
        <v>2.4907953792760131</v>
      </c>
      <c r="O203" s="1044"/>
      <c r="P203" s="1130" t="s">
        <v>1130</v>
      </c>
      <c r="Q203" s="1046"/>
      <c r="R203" s="1046"/>
      <c r="S203" s="1129">
        <f>AVERAGE(S204:S227)</f>
        <v>1.1500833333333331</v>
      </c>
      <c r="T203" s="1128">
        <f>SUM(T204:T227)</f>
        <v>115.75603999999998</v>
      </c>
      <c r="U203" s="1040">
        <f>AVERAGE(U204:U227)</f>
        <v>5.882083333333334</v>
      </c>
      <c r="V203" s="1039">
        <f>AVERAGE(V204:V227)</f>
        <v>4.9935426263589235</v>
      </c>
      <c r="W203" s="1036"/>
      <c r="X203" s="1038">
        <f>AVERAGE(X212:X227)</f>
        <v>4.4325000000000001</v>
      </c>
      <c r="Y203" s="1036"/>
      <c r="Z203" s="1127">
        <f>SUM(Z204:Z227)</f>
        <v>93.674439999999976</v>
      </c>
      <c r="AA203" s="1130" t="s">
        <v>1138</v>
      </c>
      <c r="AB203" s="1046"/>
      <c r="AC203" s="1046"/>
      <c r="AD203" s="1129">
        <f>AVERAGE(AD204:AD227)</f>
        <v>2.0983333333333332</v>
      </c>
      <c r="AE203" s="1128">
        <f>SUM(AE204:AE227)</f>
        <v>74.112200000000016</v>
      </c>
      <c r="AF203" s="1040">
        <f>AVERAGE(AF204:AF227)</f>
        <v>4.8008333333333342</v>
      </c>
      <c r="AG203" s="1039" t="e">
        <f>AVERAGE(AG204:AG227)</f>
        <v>#DIV/0!</v>
      </c>
      <c r="AH203" s="1036"/>
      <c r="AI203" s="1038">
        <f>AVERAGE(AI212:AI227)</f>
        <v>1.5725000000000002</v>
      </c>
      <c r="AJ203" s="1036"/>
      <c r="AK203" s="1127">
        <f>SUM(AK204:AK227)</f>
        <v>33.824199999999998</v>
      </c>
      <c r="AL203" s="1036"/>
      <c r="AM203" s="1130"/>
      <c r="AN203" s="1046"/>
      <c r="AO203" s="1046"/>
      <c r="AP203" s="1129">
        <f>AVERAGE(AP204:AP227)</f>
        <v>0.36375000000000007</v>
      </c>
      <c r="AQ203" s="1734">
        <f>SUM(AQ204:AQ227)</f>
        <v>8.4402000000000008</v>
      </c>
      <c r="AR203" s="1735">
        <f>AVERAGE(AR204:AR227)</f>
        <v>0.66374999999999995</v>
      </c>
      <c r="AS203" s="1039">
        <f>AVERAGE(AS204:AS227)</f>
        <v>1.7412641111390916</v>
      </c>
      <c r="AT203" s="1036"/>
      <c r="AU203" s="1038">
        <f>AVERAGE(AU212:AU227)</f>
        <v>0.97624999999999984</v>
      </c>
      <c r="AV203" s="1036"/>
      <c r="AW203" s="1130" t="s">
        <v>1136</v>
      </c>
      <c r="AX203" s="1046"/>
      <c r="AY203" s="1046"/>
      <c r="AZ203" s="1129">
        <f>AVERAGE(AZ204:AZ227)</f>
        <v>0.31875000000000003</v>
      </c>
      <c r="BA203" s="1045">
        <f>AVERAGE(BA204:BA227)</f>
        <v>0.72916666666666652</v>
      </c>
      <c r="BB203" s="1039">
        <f>AVERAGE(BB204:BB227)</f>
        <v>2.1069023132701559</v>
      </c>
      <c r="BC203" s="1036"/>
      <c r="BD203" s="1038" t="e">
        <f>AVERAGE(BD212:BD227)</f>
        <v>#DIV/0!</v>
      </c>
      <c r="BE203" s="1036"/>
      <c r="BF203" s="1130" t="s">
        <v>1139</v>
      </c>
      <c r="BG203" s="2756">
        <f>BF204</f>
        <v>45025</v>
      </c>
      <c r="BH203" s="2756"/>
      <c r="BI203" s="1897">
        <f>SUM(BI204:BI227)</f>
        <v>8.36</v>
      </c>
      <c r="BJ203" s="1898">
        <f>SUM(BJ204:BJ227)</f>
        <v>0</v>
      </c>
      <c r="BK203" s="1036"/>
      <c r="BL203" s="1130" t="s">
        <v>1137</v>
      </c>
      <c r="BM203" s="1046"/>
      <c r="BN203" s="1046"/>
      <c r="BO203" s="1129" t="e">
        <f>AVERAGE(BO204:BO227)</f>
        <v>#DIV/0!</v>
      </c>
      <c r="BP203" s="1129">
        <f>AVERAGE(BP204:BP227)</f>
        <v>0.20958333333333334</v>
      </c>
      <c r="BQ203" s="1036"/>
    </row>
    <row r="204" spans="1:69" ht="14.4">
      <c r="A204" s="1049"/>
      <c r="B204" s="1126">
        <v>44843</v>
      </c>
      <c r="C204" s="1057">
        <v>0</v>
      </c>
      <c r="D204" s="1056">
        <v>1</v>
      </c>
      <c r="E204" s="1063">
        <v>0.25</v>
      </c>
      <c r="F204" s="1062">
        <v>0.71</v>
      </c>
      <c r="G204" s="1061">
        <f t="shared" ref="G204:G227" si="88">F204/E204</f>
        <v>2.84</v>
      </c>
      <c r="H204" s="1049"/>
      <c r="I204" s="1126">
        <v>44874</v>
      </c>
      <c r="J204" s="1057">
        <v>0</v>
      </c>
      <c r="K204" s="1056">
        <v>1</v>
      </c>
      <c r="L204" s="1055">
        <v>0.44</v>
      </c>
      <c r="M204" s="1059">
        <v>0.87</v>
      </c>
      <c r="N204" s="1052">
        <f t="shared" ref="N204:N227" si="89">M204/L204</f>
        <v>1.9772727272727273</v>
      </c>
      <c r="O204" s="1049"/>
      <c r="P204" s="1125">
        <v>44904</v>
      </c>
      <c r="Q204" s="1057">
        <v>0</v>
      </c>
      <c r="R204" s="1056">
        <v>1</v>
      </c>
      <c r="S204" s="1055">
        <v>1.1080000000000001</v>
      </c>
      <c r="T204" s="1054">
        <f t="shared" ref="T204:T227" si="90">S204*X204</f>
        <v>3.6342400000000001</v>
      </c>
      <c r="U204" s="1136">
        <v>4.66</v>
      </c>
      <c r="V204" s="1052">
        <f t="shared" ref="V204:V227" si="91">U204/S204</f>
        <v>4.2057761732851979</v>
      </c>
      <c r="W204" s="1049"/>
      <c r="X204" s="1051">
        <v>3.28</v>
      </c>
      <c r="Y204" s="1049"/>
      <c r="Z204" s="1050">
        <f t="shared" ref="Z204:Z227" si="92">S204*(X204-0.8)</f>
        <v>2.7478399999999996</v>
      </c>
      <c r="AA204" s="1125">
        <v>44935</v>
      </c>
      <c r="AB204" s="1057">
        <v>0</v>
      </c>
      <c r="AC204" s="1056">
        <v>1</v>
      </c>
      <c r="AD204" s="1055">
        <v>1.04</v>
      </c>
      <c r="AE204" s="1137">
        <f t="shared" ref="AE204:AE227" si="93">AD204*AI204</f>
        <v>0.86319999999999997</v>
      </c>
      <c r="AF204" s="1136">
        <v>1.58</v>
      </c>
      <c r="AG204" s="1052">
        <f t="shared" ref="AG204:AG227" si="94">AF204/AD204</f>
        <v>1.5192307692307692</v>
      </c>
      <c r="AH204" s="1049"/>
      <c r="AI204" s="1136">
        <v>0.83</v>
      </c>
      <c r="AJ204" s="1049"/>
      <c r="AK204" s="1050">
        <f t="shared" ref="AK204:AK227" si="95">AD204*(AI204-0.8)</f>
        <v>3.1199999999999912E-2</v>
      </c>
      <c r="AL204" s="1049"/>
      <c r="AM204" s="1125">
        <v>44966</v>
      </c>
      <c r="AN204" s="1057">
        <v>0</v>
      </c>
      <c r="AO204" s="1056">
        <v>1</v>
      </c>
      <c r="AP204" s="1055">
        <v>0.23</v>
      </c>
      <c r="AQ204" s="1745">
        <f t="shared" ref="AQ204:AQ227" si="96">AP204*AU204</f>
        <v>0.20700000000000002</v>
      </c>
      <c r="AR204" s="1737">
        <v>0.37</v>
      </c>
      <c r="AS204" s="1052">
        <f t="shared" ref="AS204:AS227" si="97">AR204/AP204</f>
        <v>1.6086956521739129</v>
      </c>
      <c r="AT204" s="1049"/>
      <c r="AU204" s="1136">
        <v>0.9</v>
      </c>
      <c r="AV204" s="1049"/>
      <c r="AW204" s="1125">
        <v>44994</v>
      </c>
      <c r="AX204" s="1057">
        <v>0</v>
      </c>
      <c r="AY204" s="1056">
        <v>1</v>
      </c>
      <c r="AZ204" s="1055">
        <v>0.14000000000000001</v>
      </c>
      <c r="BA204" s="1736">
        <v>0.26</v>
      </c>
      <c r="BB204" s="1737">
        <f t="shared" ref="BB204:BB227" si="98">BA204/AZ204</f>
        <v>1.857142857142857</v>
      </c>
      <c r="BC204" s="1049"/>
      <c r="BD204" s="1051"/>
      <c r="BE204" s="1049"/>
      <c r="BF204" s="1125">
        <v>45025</v>
      </c>
      <c r="BG204" s="1057">
        <v>0</v>
      </c>
      <c r="BH204" s="1056">
        <v>1</v>
      </c>
      <c r="BI204" s="1055">
        <v>0.22</v>
      </c>
      <c r="BJ204" s="1736" t="s">
        <v>1386</v>
      </c>
      <c r="BK204" s="1049"/>
      <c r="BL204" s="1125">
        <v>45055</v>
      </c>
      <c r="BM204" s="1057">
        <v>0</v>
      </c>
      <c r="BN204" s="1056">
        <v>1</v>
      </c>
      <c r="BO204" s="1055"/>
      <c r="BP204" s="1783">
        <v>7.0000000000000007E-2</v>
      </c>
      <c r="BQ204" s="1049"/>
    </row>
    <row r="205" spans="1:69" ht="14.4">
      <c r="A205" s="1049"/>
      <c r="B205" s="1124"/>
      <c r="C205" s="1057">
        <v>1</v>
      </c>
      <c r="D205" s="1056">
        <v>2</v>
      </c>
      <c r="E205" s="1063">
        <v>0.15</v>
      </c>
      <c r="F205" s="1062">
        <v>0.44</v>
      </c>
      <c r="G205" s="1061">
        <f t="shared" si="88"/>
        <v>2.9333333333333336</v>
      </c>
      <c r="H205" s="1049"/>
      <c r="I205" s="1124"/>
      <c r="J205" s="1057">
        <v>1</v>
      </c>
      <c r="K205" s="1056">
        <v>2</v>
      </c>
      <c r="L205" s="1055">
        <v>0.41899999999999998</v>
      </c>
      <c r="M205" s="1059">
        <v>0.8</v>
      </c>
      <c r="N205" s="1052">
        <f t="shared" si="89"/>
        <v>1.9093078758949882</v>
      </c>
      <c r="O205" s="1049"/>
      <c r="P205" s="1123"/>
      <c r="Q205" s="1057">
        <v>1</v>
      </c>
      <c r="R205" s="1056">
        <v>2</v>
      </c>
      <c r="S205" s="1055">
        <v>0.378</v>
      </c>
      <c r="T205" s="1054">
        <f t="shared" si="90"/>
        <v>1.1680200000000001</v>
      </c>
      <c r="U205" s="1136">
        <v>1.52</v>
      </c>
      <c r="V205" s="1052">
        <f t="shared" si="91"/>
        <v>4.0211640211640214</v>
      </c>
      <c r="W205" s="1049"/>
      <c r="X205" s="1051">
        <v>3.09</v>
      </c>
      <c r="Y205" s="1049"/>
      <c r="Z205" s="1050">
        <f t="shared" si="92"/>
        <v>0.86562000000000006</v>
      </c>
      <c r="AA205" s="1123"/>
      <c r="AB205" s="1057">
        <v>1</v>
      </c>
      <c r="AC205" s="1056">
        <v>2</v>
      </c>
      <c r="AD205" s="1055">
        <v>0.02</v>
      </c>
      <c r="AE205" s="1137">
        <f t="shared" si="93"/>
        <v>1.46E-2</v>
      </c>
      <c r="AF205" s="1136">
        <v>0.02</v>
      </c>
      <c r="AG205" s="1052">
        <f t="shared" si="94"/>
        <v>1</v>
      </c>
      <c r="AH205" s="1049"/>
      <c r="AI205" s="1136">
        <v>0.73</v>
      </c>
      <c r="AJ205" s="1049"/>
      <c r="AK205" s="1050">
        <f t="shared" si="95"/>
        <v>-1.4000000000000013E-3</v>
      </c>
      <c r="AL205" s="1049"/>
      <c r="AM205" s="1123"/>
      <c r="AN205" s="1057">
        <v>1</v>
      </c>
      <c r="AO205" s="1056">
        <v>2</v>
      </c>
      <c r="AP205" s="1055">
        <v>0.22</v>
      </c>
      <c r="AQ205" s="1745">
        <f t="shared" si="96"/>
        <v>0.19139999999999999</v>
      </c>
      <c r="AR205" s="1737">
        <v>0.34</v>
      </c>
      <c r="AS205" s="1052">
        <f t="shared" si="97"/>
        <v>1.5454545454545456</v>
      </c>
      <c r="AT205" s="1049"/>
      <c r="AU205" s="1136">
        <v>0.87</v>
      </c>
      <c r="AV205" s="1049"/>
      <c r="AW205" s="1123"/>
      <c r="AX205" s="1057">
        <v>1</v>
      </c>
      <c r="AY205" s="1056">
        <v>2</v>
      </c>
      <c r="AZ205" s="1055">
        <v>0.14000000000000001</v>
      </c>
      <c r="BA205" s="1736">
        <v>0.26</v>
      </c>
      <c r="BB205" s="1737">
        <f t="shared" si="98"/>
        <v>1.857142857142857</v>
      </c>
      <c r="BC205" s="1049"/>
      <c r="BD205" s="1051"/>
      <c r="BE205" s="1049"/>
      <c r="BF205" s="1123"/>
      <c r="BG205" s="1057">
        <v>1</v>
      </c>
      <c r="BH205" s="1056">
        <v>2</v>
      </c>
      <c r="BI205" s="1055">
        <v>0.19</v>
      </c>
      <c r="BJ205" s="1736" t="s">
        <v>1419</v>
      </c>
      <c r="BK205" s="1049"/>
      <c r="BL205" s="1123"/>
      <c r="BM205" s="1057">
        <v>1</v>
      </c>
      <c r="BN205" s="1056">
        <v>2</v>
      </c>
      <c r="BO205" s="1055"/>
      <c r="BP205" s="1783">
        <v>0.08</v>
      </c>
      <c r="BQ205" s="1049"/>
    </row>
    <row r="206" spans="1:69" ht="14.4">
      <c r="A206" s="1049"/>
      <c r="B206" s="1122">
        <f>SUM(E204:E227)</f>
        <v>13.95</v>
      </c>
      <c r="C206" s="1057">
        <v>2</v>
      </c>
      <c r="D206" s="1056">
        <v>3</v>
      </c>
      <c r="E206" s="1063">
        <v>0.22</v>
      </c>
      <c r="F206" s="1062">
        <v>0.65</v>
      </c>
      <c r="G206" s="1061">
        <f t="shared" si="88"/>
        <v>2.9545454545454546</v>
      </c>
      <c r="H206" s="1049"/>
      <c r="I206" s="1122">
        <f>SUM(L204:L227)</f>
        <v>36.691999999999993</v>
      </c>
      <c r="J206" s="1057">
        <v>2</v>
      </c>
      <c r="K206" s="1056">
        <v>3</v>
      </c>
      <c r="L206" s="1055">
        <v>0.4</v>
      </c>
      <c r="M206" s="1059">
        <v>0.73</v>
      </c>
      <c r="N206" s="1052">
        <f t="shared" si="89"/>
        <v>1.825</v>
      </c>
      <c r="O206" s="1049"/>
      <c r="P206" s="1121">
        <f>SUM(S204:S227)</f>
        <v>27.601999999999997</v>
      </c>
      <c r="Q206" s="1057">
        <v>2</v>
      </c>
      <c r="R206" s="1056">
        <v>3</v>
      </c>
      <c r="S206" s="1055">
        <v>0.42399999999999999</v>
      </c>
      <c r="T206" s="1054">
        <f t="shared" si="90"/>
        <v>1.2974399999999999</v>
      </c>
      <c r="U206" s="1136">
        <v>1.69</v>
      </c>
      <c r="V206" s="1052">
        <f t="shared" si="91"/>
        <v>3.9858490566037736</v>
      </c>
      <c r="W206" s="1049"/>
      <c r="X206" s="1051">
        <v>3.06</v>
      </c>
      <c r="Y206" s="1049"/>
      <c r="Z206" s="1050">
        <f t="shared" si="92"/>
        <v>0.95823999999999987</v>
      </c>
      <c r="AA206" s="1121">
        <f>SUM(AD204:AD227)</f>
        <v>50.36</v>
      </c>
      <c r="AB206" s="1057">
        <v>2</v>
      </c>
      <c r="AC206" s="1056">
        <v>3</v>
      </c>
      <c r="AD206" s="1055">
        <v>0</v>
      </c>
      <c r="AE206" s="1137">
        <f t="shared" si="93"/>
        <v>0</v>
      </c>
      <c r="AF206" s="1136">
        <v>0</v>
      </c>
      <c r="AG206" s="1052" t="e">
        <f t="shared" si="94"/>
        <v>#DIV/0!</v>
      </c>
      <c r="AH206" s="1049"/>
      <c r="AI206" s="1136">
        <v>0.69</v>
      </c>
      <c r="AJ206" s="1049"/>
      <c r="AK206" s="1050">
        <f t="shared" si="95"/>
        <v>0</v>
      </c>
      <c r="AL206" s="1049"/>
      <c r="AM206" s="1121">
        <f>SUM(AP204:AP227)</f>
        <v>8.7300000000000022</v>
      </c>
      <c r="AN206" s="1057">
        <v>2</v>
      </c>
      <c r="AO206" s="1056">
        <v>3</v>
      </c>
      <c r="AP206" s="1055">
        <v>0.19</v>
      </c>
      <c r="AQ206" s="1745">
        <f t="shared" si="96"/>
        <v>0.1615</v>
      </c>
      <c r="AR206" s="1737">
        <v>0.28999999999999998</v>
      </c>
      <c r="AS206" s="1052">
        <f t="shared" si="97"/>
        <v>1.5263157894736841</v>
      </c>
      <c r="AT206" s="1049"/>
      <c r="AU206" s="1136">
        <v>0.85</v>
      </c>
      <c r="AV206" s="1049"/>
      <c r="AW206" s="1121">
        <f>SUM(AZ204:AZ227)</f>
        <v>7.65</v>
      </c>
      <c r="AX206" s="1057">
        <v>2</v>
      </c>
      <c r="AY206" s="1056">
        <v>3</v>
      </c>
      <c r="AZ206" s="1055">
        <v>0.13</v>
      </c>
      <c r="BA206" s="1736">
        <v>0.24</v>
      </c>
      <c r="BB206" s="1737">
        <f t="shared" si="98"/>
        <v>1.846153846153846</v>
      </c>
      <c r="BC206" s="1049"/>
      <c r="BD206" s="1051"/>
      <c r="BE206" s="1049"/>
      <c r="BF206" s="1121">
        <f>SUM(BI204:BI227)</f>
        <v>8.36</v>
      </c>
      <c r="BG206" s="1057">
        <v>2</v>
      </c>
      <c r="BH206" s="1056">
        <v>3</v>
      </c>
      <c r="BI206" s="1055">
        <v>0.14000000000000001</v>
      </c>
      <c r="BJ206" s="1736" t="s">
        <v>1442</v>
      </c>
      <c r="BK206" s="1049"/>
      <c r="BL206" s="1121">
        <f>SUM(BO204:BO227)+SUM(BP204:BP227)</f>
        <v>5.03</v>
      </c>
      <c r="BM206" s="1057">
        <v>2</v>
      </c>
      <c r="BN206" s="1056">
        <v>3</v>
      </c>
      <c r="BO206" s="1055"/>
      <c r="BP206" s="1783">
        <v>0.13</v>
      </c>
      <c r="BQ206" s="1049"/>
    </row>
    <row r="207" spans="1:69" ht="14.4">
      <c r="A207" s="1049"/>
      <c r="B207" s="1120">
        <f>B206/24</f>
        <v>0.58124999999999993</v>
      </c>
      <c r="C207" s="1057">
        <v>3</v>
      </c>
      <c r="D207" s="1056">
        <v>4</v>
      </c>
      <c r="E207" s="1063">
        <v>0.21</v>
      </c>
      <c r="F207" s="1062">
        <v>0.6</v>
      </c>
      <c r="G207" s="1061">
        <f t="shared" si="88"/>
        <v>2.8571428571428572</v>
      </c>
      <c r="H207" s="1049"/>
      <c r="I207" s="1120">
        <f>I206/24</f>
        <v>1.528833333333333</v>
      </c>
      <c r="J207" s="1057">
        <v>3</v>
      </c>
      <c r="K207" s="1056">
        <v>4</v>
      </c>
      <c r="L207" s="1055">
        <v>0.63700000000000001</v>
      </c>
      <c r="M207" s="1059">
        <v>1.1599999999999999</v>
      </c>
      <c r="N207" s="1052">
        <f t="shared" si="89"/>
        <v>1.8210361067503924</v>
      </c>
      <c r="O207" s="1049"/>
      <c r="P207" s="1120">
        <f>P206/24</f>
        <v>1.1500833333333331</v>
      </c>
      <c r="Q207" s="1057">
        <v>3</v>
      </c>
      <c r="R207" s="1056">
        <v>4</v>
      </c>
      <c r="S207" s="1055">
        <v>0.40600000000000003</v>
      </c>
      <c r="T207" s="1054">
        <f t="shared" si="90"/>
        <v>1.2301800000000001</v>
      </c>
      <c r="U207" s="1136">
        <v>1.6</v>
      </c>
      <c r="V207" s="1052">
        <f t="shared" si="91"/>
        <v>3.9408866995073892</v>
      </c>
      <c r="W207" s="1049"/>
      <c r="X207" s="1051">
        <v>3.03</v>
      </c>
      <c r="Y207" s="1049"/>
      <c r="Z207" s="1050">
        <f t="shared" si="92"/>
        <v>0.90537999999999985</v>
      </c>
      <c r="AA207" s="1120">
        <f>AA206/24</f>
        <v>2.0983333333333332</v>
      </c>
      <c r="AB207" s="1057">
        <v>3</v>
      </c>
      <c r="AC207" s="1056">
        <v>4</v>
      </c>
      <c r="AD207" s="1055">
        <v>0.73</v>
      </c>
      <c r="AE207" s="1137">
        <f t="shared" si="93"/>
        <v>0.36499999999999999</v>
      </c>
      <c r="AF207" s="1136">
        <v>0.87</v>
      </c>
      <c r="AG207" s="1052">
        <f t="shared" si="94"/>
        <v>1.1917808219178083</v>
      </c>
      <c r="AH207" s="1049"/>
      <c r="AI207" s="1136">
        <v>0.5</v>
      </c>
      <c r="AJ207" s="1049"/>
      <c r="AK207" s="1050">
        <f t="shared" si="95"/>
        <v>-0.21900000000000003</v>
      </c>
      <c r="AL207" s="1049"/>
      <c r="AM207" s="1120">
        <f>AM206/24</f>
        <v>0.36375000000000007</v>
      </c>
      <c r="AN207" s="1057">
        <v>3</v>
      </c>
      <c r="AO207" s="1056">
        <v>4</v>
      </c>
      <c r="AP207" s="1055">
        <v>0.23</v>
      </c>
      <c r="AQ207" s="1745">
        <f t="shared" si="96"/>
        <v>0.19550000000000001</v>
      </c>
      <c r="AR207" s="1737">
        <v>0.36</v>
      </c>
      <c r="AS207" s="1052">
        <f t="shared" si="97"/>
        <v>1.5652173913043477</v>
      </c>
      <c r="AT207" s="1049"/>
      <c r="AU207" s="1136">
        <v>0.85</v>
      </c>
      <c r="AV207" s="1049"/>
      <c r="AW207" s="1120">
        <f>AW206/24</f>
        <v>0.31875000000000003</v>
      </c>
      <c r="AX207" s="1057">
        <v>3</v>
      </c>
      <c r="AY207" s="1056">
        <v>4</v>
      </c>
      <c r="AZ207" s="1055">
        <v>7.0000000000000007E-2</v>
      </c>
      <c r="BA207" s="1736">
        <v>0.13</v>
      </c>
      <c r="BB207" s="1737">
        <f t="shared" si="98"/>
        <v>1.857142857142857</v>
      </c>
      <c r="BC207" s="1049"/>
      <c r="BD207" s="1051"/>
      <c r="BE207" s="1049"/>
      <c r="BF207" s="1120">
        <f>BF206/24</f>
        <v>0.34833333333333333</v>
      </c>
      <c r="BG207" s="1057">
        <v>3</v>
      </c>
      <c r="BH207" s="1056">
        <v>4</v>
      </c>
      <c r="BI207" s="1055">
        <v>7.0000000000000007E-2</v>
      </c>
      <c r="BJ207" s="1736" t="s">
        <v>1365</v>
      </c>
      <c r="BK207" s="1049"/>
      <c r="BL207" s="1120">
        <f>BL206/24</f>
        <v>0.20958333333333334</v>
      </c>
      <c r="BM207" s="1057">
        <v>3</v>
      </c>
      <c r="BN207" s="1056">
        <v>4</v>
      </c>
      <c r="BO207" s="1055"/>
      <c r="BP207" s="1783">
        <v>0.12</v>
      </c>
      <c r="BQ207" s="1049"/>
    </row>
    <row r="208" spans="1:69" ht="14.4">
      <c r="A208" s="1049"/>
      <c r="B208" s="1119"/>
      <c r="C208" s="1057">
        <v>4</v>
      </c>
      <c r="D208" s="1056">
        <v>5</v>
      </c>
      <c r="E208" s="1063">
        <v>0.24</v>
      </c>
      <c r="F208" s="1062">
        <v>0.68</v>
      </c>
      <c r="G208" s="1061">
        <f t="shared" si="88"/>
        <v>2.8333333333333335</v>
      </c>
      <c r="H208" s="1049"/>
      <c r="I208" s="1119"/>
      <c r="J208" s="1057">
        <v>4</v>
      </c>
      <c r="K208" s="1056">
        <v>5</v>
      </c>
      <c r="L208" s="1055">
        <v>1.345</v>
      </c>
      <c r="M208" s="1059">
        <v>2.48</v>
      </c>
      <c r="N208" s="1052">
        <f t="shared" si="89"/>
        <v>1.8438661710037174</v>
      </c>
      <c r="O208" s="1049"/>
      <c r="P208" s="1118"/>
      <c r="Q208" s="1057">
        <v>4</v>
      </c>
      <c r="R208" s="1056">
        <v>5</v>
      </c>
      <c r="S208" s="1055">
        <v>0.49099999999999999</v>
      </c>
      <c r="T208" s="1054">
        <f t="shared" si="90"/>
        <v>1.5122800000000001</v>
      </c>
      <c r="U208" s="1136">
        <v>1.96</v>
      </c>
      <c r="V208" s="1052">
        <f t="shared" si="91"/>
        <v>3.9918533604887982</v>
      </c>
      <c r="W208" s="1049"/>
      <c r="X208" s="1051">
        <v>3.08</v>
      </c>
      <c r="Y208" s="1049"/>
      <c r="Z208" s="1050">
        <f t="shared" si="92"/>
        <v>1.11948</v>
      </c>
      <c r="AA208" s="1118"/>
      <c r="AB208" s="1057">
        <v>4</v>
      </c>
      <c r="AC208" s="1056">
        <v>5</v>
      </c>
      <c r="AD208" s="1055">
        <v>1.05</v>
      </c>
      <c r="AE208" s="1137">
        <f t="shared" si="93"/>
        <v>0.59849999999999992</v>
      </c>
      <c r="AF208" s="1136">
        <v>1.32</v>
      </c>
      <c r="AG208" s="1052">
        <f t="shared" si="94"/>
        <v>1.2571428571428571</v>
      </c>
      <c r="AH208" s="1049"/>
      <c r="AI208" s="1136">
        <v>0.56999999999999995</v>
      </c>
      <c r="AJ208" s="1049"/>
      <c r="AK208" s="1050">
        <f t="shared" si="95"/>
        <v>-0.2415000000000001</v>
      </c>
      <c r="AL208" s="1049"/>
      <c r="AM208" s="1118"/>
      <c r="AN208" s="1057">
        <v>4</v>
      </c>
      <c r="AO208" s="1056">
        <v>5</v>
      </c>
      <c r="AP208" s="1055">
        <v>0.23</v>
      </c>
      <c r="AQ208" s="1745">
        <f t="shared" si="96"/>
        <v>0.2001</v>
      </c>
      <c r="AR208" s="1737">
        <v>0.36</v>
      </c>
      <c r="AS208" s="1052">
        <f t="shared" si="97"/>
        <v>1.5652173913043477</v>
      </c>
      <c r="AT208" s="1049"/>
      <c r="AU208" s="1136">
        <v>0.87</v>
      </c>
      <c r="AV208" s="1049"/>
      <c r="AW208" s="1118"/>
      <c r="AX208" s="1057">
        <v>4</v>
      </c>
      <c r="AY208" s="1056">
        <v>5</v>
      </c>
      <c r="AZ208" s="1055">
        <v>0.08</v>
      </c>
      <c r="BA208" s="1736">
        <v>0.15</v>
      </c>
      <c r="BB208" s="1737">
        <f t="shared" si="98"/>
        <v>1.875</v>
      </c>
      <c r="BC208" s="1049"/>
      <c r="BD208" s="1051"/>
      <c r="BE208" s="1049"/>
      <c r="BF208" s="1118"/>
      <c r="BG208" s="1057">
        <v>4</v>
      </c>
      <c r="BH208" s="1056">
        <v>5</v>
      </c>
      <c r="BI208" s="1055">
        <v>0.11</v>
      </c>
      <c r="BJ208" s="1736" t="s">
        <v>1367</v>
      </c>
      <c r="BK208" s="1049"/>
      <c r="BL208" s="1118"/>
      <c r="BM208" s="1057">
        <v>4</v>
      </c>
      <c r="BN208" s="1056">
        <v>5</v>
      </c>
      <c r="BO208" s="1055"/>
      <c r="BP208" s="1783">
        <v>0.09</v>
      </c>
      <c r="BQ208" s="1049"/>
    </row>
    <row r="209" spans="1:69" ht="15" thickBot="1">
      <c r="A209" s="1049"/>
      <c r="B209" s="1058">
        <f>SUM(F204:F227)</f>
        <v>41.029999999999994</v>
      </c>
      <c r="C209" s="1111">
        <v>5</v>
      </c>
      <c r="D209" s="1110">
        <v>6</v>
      </c>
      <c r="E209" s="1117">
        <v>0.7</v>
      </c>
      <c r="F209" s="1116">
        <v>2.02</v>
      </c>
      <c r="G209" s="1115">
        <f t="shared" si="88"/>
        <v>2.8857142857142861</v>
      </c>
      <c r="H209" s="1049"/>
      <c r="I209" s="1058">
        <f>SUM(M204:M227)</f>
        <v>93.99</v>
      </c>
      <c r="J209" s="1111">
        <v>5</v>
      </c>
      <c r="K209" s="1110">
        <v>6</v>
      </c>
      <c r="L209" s="1109">
        <v>1.7969999999999999</v>
      </c>
      <c r="M209" s="1114">
        <v>3.34</v>
      </c>
      <c r="N209" s="1113">
        <f t="shared" si="89"/>
        <v>1.8586533110740122</v>
      </c>
      <c r="O209" s="1049"/>
      <c r="P209" s="1112">
        <f>SUM(U204:U227)</f>
        <v>141.17000000000002</v>
      </c>
      <c r="Q209" s="1111">
        <v>5</v>
      </c>
      <c r="R209" s="1110">
        <v>6</v>
      </c>
      <c r="S209" s="1109">
        <v>0.87</v>
      </c>
      <c r="T209" s="1054">
        <f t="shared" si="90"/>
        <v>2.7927</v>
      </c>
      <c r="U209" s="1146">
        <v>3.59</v>
      </c>
      <c r="V209" s="1052">
        <f t="shared" si="91"/>
        <v>4.1264367816091951</v>
      </c>
      <c r="W209" s="1049"/>
      <c r="X209" s="1074">
        <v>3.21</v>
      </c>
      <c r="Y209" s="1049"/>
      <c r="Z209" s="1050">
        <f t="shared" si="92"/>
        <v>2.0967000000000002</v>
      </c>
      <c r="AA209" s="1112">
        <f>SUM(AF204:AF227)</f>
        <v>115.22000000000001</v>
      </c>
      <c r="AB209" s="1111">
        <v>5</v>
      </c>
      <c r="AC209" s="1110">
        <v>6</v>
      </c>
      <c r="AD209" s="1109">
        <v>1.1100000000000001</v>
      </c>
      <c r="AE209" s="1147">
        <f t="shared" si="93"/>
        <v>0.85470000000000013</v>
      </c>
      <c r="AF209" s="1146">
        <v>1.63</v>
      </c>
      <c r="AG209" s="1052">
        <f t="shared" si="94"/>
        <v>1.4684684684684683</v>
      </c>
      <c r="AH209" s="1049"/>
      <c r="AI209" s="1146">
        <v>0.77</v>
      </c>
      <c r="AJ209" s="1049"/>
      <c r="AK209" s="1050">
        <f t="shared" si="95"/>
        <v>-3.3300000000000031E-2</v>
      </c>
      <c r="AL209" s="1049"/>
      <c r="AM209" s="1112">
        <f>SUM(AR204:AR227)</f>
        <v>15.929999999999998</v>
      </c>
      <c r="AN209" s="1111">
        <v>5</v>
      </c>
      <c r="AO209" s="1110">
        <v>6</v>
      </c>
      <c r="AP209" s="1109">
        <v>0.23</v>
      </c>
      <c r="AQ209" s="1746">
        <f t="shared" si="96"/>
        <v>0.20700000000000002</v>
      </c>
      <c r="AR209" s="1739">
        <v>0.37</v>
      </c>
      <c r="AS209" s="1052">
        <f t="shared" si="97"/>
        <v>1.6086956521739129</v>
      </c>
      <c r="AT209" s="1049"/>
      <c r="AU209" s="1146">
        <v>0.9</v>
      </c>
      <c r="AV209" s="1049"/>
      <c r="AW209" s="1112">
        <f>SUM(BA204:BA227)</f>
        <v>17.499999999999996</v>
      </c>
      <c r="AX209" s="1111">
        <v>5</v>
      </c>
      <c r="AY209" s="1110">
        <v>6</v>
      </c>
      <c r="AZ209" s="1109">
        <v>0.11</v>
      </c>
      <c r="BA209" s="1738">
        <v>0.21</v>
      </c>
      <c r="BB209" s="1739">
        <f t="shared" si="98"/>
        <v>1.9090909090909089</v>
      </c>
      <c r="BC209" s="1049"/>
      <c r="BD209" s="1074"/>
      <c r="BE209" s="1049"/>
      <c r="BF209" s="1112">
        <f>SUM(BJ204:BJ227)</f>
        <v>0</v>
      </c>
      <c r="BG209" s="1111">
        <v>5</v>
      </c>
      <c r="BH209" s="1110">
        <v>6</v>
      </c>
      <c r="BI209" s="1109">
        <v>0.2</v>
      </c>
      <c r="BJ209" s="1738" t="s">
        <v>1426</v>
      </c>
      <c r="BK209" s="1049"/>
      <c r="BL209" s="1112">
        <f>SUM(BP204:BP227)</f>
        <v>5.03</v>
      </c>
      <c r="BM209" s="1111">
        <v>5</v>
      </c>
      <c r="BN209" s="1110">
        <v>6</v>
      </c>
      <c r="BO209" s="1109"/>
      <c r="BP209" s="1783">
        <v>7.0000000000000007E-2</v>
      </c>
      <c r="BQ209" s="1049"/>
    </row>
    <row r="210" spans="1:69" ht="14.4">
      <c r="A210" s="1049"/>
      <c r="B210" s="1093">
        <f>B209/B206</f>
        <v>2.9412186379928311</v>
      </c>
      <c r="C210" s="1100">
        <v>6</v>
      </c>
      <c r="D210" s="1099">
        <v>7</v>
      </c>
      <c r="E210" s="1107">
        <v>0.24</v>
      </c>
      <c r="F210" s="1106">
        <v>0.69</v>
      </c>
      <c r="G210" s="1105">
        <f t="shared" si="88"/>
        <v>2.875</v>
      </c>
      <c r="H210" s="1049"/>
      <c r="I210" s="1093">
        <f>I209/I206</f>
        <v>2.561593807914532</v>
      </c>
      <c r="J210" s="1100">
        <v>6</v>
      </c>
      <c r="K210" s="1099">
        <v>7</v>
      </c>
      <c r="L210" s="1098">
        <v>1.452</v>
      </c>
      <c r="M210" s="1103">
        <v>2.83</v>
      </c>
      <c r="N210" s="1102">
        <f t="shared" si="89"/>
        <v>1.9490358126721765</v>
      </c>
      <c r="O210" s="1049"/>
      <c r="P210" s="1093">
        <f>P209/P206</f>
        <v>5.1144844576479978</v>
      </c>
      <c r="Q210" s="1100">
        <v>6</v>
      </c>
      <c r="R210" s="1099">
        <v>7</v>
      </c>
      <c r="S210" s="1098">
        <v>0.94599999999999995</v>
      </c>
      <c r="T210" s="1054">
        <f t="shared" si="90"/>
        <v>3.3961399999999995</v>
      </c>
      <c r="U210" s="1144">
        <v>4.2699999999999996</v>
      </c>
      <c r="V210" s="1052">
        <f t="shared" si="91"/>
        <v>4.5137420718816061</v>
      </c>
      <c r="W210" s="1049"/>
      <c r="X210" s="1108">
        <v>3.59</v>
      </c>
      <c r="Y210" s="1049"/>
      <c r="Z210" s="1050">
        <f t="shared" si="92"/>
        <v>2.6393399999999998</v>
      </c>
      <c r="AA210" s="1093">
        <f>AA209/AA206</f>
        <v>2.2879269261318509</v>
      </c>
      <c r="AB210" s="1100">
        <v>6</v>
      </c>
      <c r="AC210" s="1099">
        <v>7</v>
      </c>
      <c r="AD210" s="1098">
        <v>1.34</v>
      </c>
      <c r="AE210" s="1145">
        <f t="shared" si="93"/>
        <v>1.5142</v>
      </c>
      <c r="AF210" s="1144">
        <v>2.44</v>
      </c>
      <c r="AG210" s="1052">
        <f t="shared" si="94"/>
        <v>1.8208955223880596</v>
      </c>
      <c r="AH210" s="1049"/>
      <c r="AI210" s="1144">
        <v>1.1299999999999999</v>
      </c>
      <c r="AJ210" s="1049"/>
      <c r="AK210" s="1050">
        <f t="shared" si="95"/>
        <v>0.44219999999999982</v>
      </c>
      <c r="AL210" s="1049"/>
      <c r="AM210" s="1093">
        <f>AM209/AM206</f>
        <v>1.8247422680412364</v>
      </c>
      <c r="AN210" s="1100">
        <v>6</v>
      </c>
      <c r="AO210" s="1099">
        <v>7</v>
      </c>
      <c r="AP210" s="1098">
        <v>0.22</v>
      </c>
      <c r="AQ210" s="1747">
        <f t="shared" si="96"/>
        <v>0.2024</v>
      </c>
      <c r="AR210" s="1741">
        <v>0.35</v>
      </c>
      <c r="AS210" s="1052">
        <f t="shared" si="97"/>
        <v>1.5909090909090908</v>
      </c>
      <c r="AT210" s="1049"/>
      <c r="AU210" s="1144">
        <v>0.92</v>
      </c>
      <c r="AV210" s="1049"/>
      <c r="AW210" s="1093">
        <f>AW209/AW206</f>
        <v>2.2875816993464047</v>
      </c>
      <c r="AX210" s="1100">
        <v>6</v>
      </c>
      <c r="AY210" s="1099">
        <v>7</v>
      </c>
      <c r="AZ210" s="1098">
        <v>0.19</v>
      </c>
      <c r="BA210" s="1740">
        <v>0.4</v>
      </c>
      <c r="BB210" s="1741">
        <f t="shared" si="98"/>
        <v>2.1052631578947367</v>
      </c>
      <c r="BC210" s="1049"/>
      <c r="BD210" s="1108"/>
      <c r="BE210" s="1049"/>
      <c r="BF210" s="1093">
        <f>BF209/BF206</f>
        <v>0</v>
      </c>
      <c r="BG210" s="1100">
        <v>6</v>
      </c>
      <c r="BH210" s="1099">
        <v>7</v>
      </c>
      <c r="BI210" s="1098">
        <v>0.27</v>
      </c>
      <c r="BJ210" s="1740" t="s">
        <v>1443</v>
      </c>
      <c r="BK210" s="1049"/>
      <c r="BL210" s="1093">
        <f>BL209/BL206</f>
        <v>1</v>
      </c>
      <c r="BM210" s="1100">
        <v>6</v>
      </c>
      <c r="BN210" s="1099">
        <v>7</v>
      </c>
      <c r="BO210" s="1098"/>
      <c r="BP210" s="1783">
        <v>0.12</v>
      </c>
      <c r="BQ210" s="1049"/>
    </row>
    <row r="211" spans="1:69" ht="14.4">
      <c r="A211" s="1049"/>
      <c r="B211" s="1104"/>
      <c r="C211" s="1100">
        <v>7</v>
      </c>
      <c r="D211" s="1099">
        <v>8</v>
      </c>
      <c r="E211" s="1107">
        <v>0.3</v>
      </c>
      <c r="F211" s="1106">
        <v>0.86</v>
      </c>
      <c r="G211" s="1105">
        <f t="shared" si="88"/>
        <v>2.8666666666666667</v>
      </c>
      <c r="H211" s="1049"/>
      <c r="I211" s="1104"/>
      <c r="J211" s="1100">
        <v>7</v>
      </c>
      <c r="K211" s="1099">
        <v>8</v>
      </c>
      <c r="L211" s="1098">
        <v>1.4610000000000001</v>
      </c>
      <c r="M211" s="1103">
        <v>3.02</v>
      </c>
      <c r="N211" s="1102">
        <f t="shared" si="89"/>
        <v>2.0670773442847366</v>
      </c>
      <c r="O211" s="1049"/>
      <c r="P211" s="1101"/>
      <c r="Q211" s="1100">
        <v>7</v>
      </c>
      <c r="R211" s="1099">
        <v>8</v>
      </c>
      <c r="S211" s="1098">
        <v>0.97699999999999998</v>
      </c>
      <c r="T211" s="1054">
        <f t="shared" si="90"/>
        <v>4.38673</v>
      </c>
      <c r="U211" s="1144">
        <v>5.29</v>
      </c>
      <c r="V211" s="1052">
        <f t="shared" si="91"/>
        <v>5.4145342886386896</v>
      </c>
      <c r="W211" s="1049"/>
      <c r="X211" s="1065">
        <v>4.49</v>
      </c>
      <c r="Y211" s="1049"/>
      <c r="Z211" s="1050">
        <f t="shared" si="92"/>
        <v>3.6051300000000004</v>
      </c>
      <c r="AA211" s="1101"/>
      <c r="AB211" s="1100">
        <v>7</v>
      </c>
      <c r="AC211" s="1099">
        <v>8</v>
      </c>
      <c r="AD211" s="1098">
        <v>1.5</v>
      </c>
      <c r="AE211" s="1145">
        <f t="shared" si="93"/>
        <v>2.4300000000000002</v>
      </c>
      <c r="AF211" s="1144">
        <v>3.45</v>
      </c>
      <c r="AG211" s="1052">
        <f t="shared" si="94"/>
        <v>2.3000000000000003</v>
      </c>
      <c r="AH211" s="1049"/>
      <c r="AI211" s="1144">
        <v>1.62</v>
      </c>
      <c r="AJ211" s="1049"/>
      <c r="AK211" s="1050">
        <f t="shared" si="95"/>
        <v>1.23</v>
      </c>
      <c r="AL211" s="1049"/>
      <c r="AM211" s="1101"/>
      <c r="AN211" s="1100">
        <v>7</v>
      </c>
      <c r="AO211" s="1099">
        <v>8</v>
      </c>
      <c r="AP211" s="1098">
        <v>0.53</v>
      </c>
      <c r="AQ211" s="1747">
        <f t="shared" si="96"/>
        <v>0.52470000000000006</v>
      </c>
      <c r="AR211" s="1741">
        <v>0.89</v>
      </c>
      <c r="AS211" s="1052">
        <f t="shared" si="97"/>
        <v>1.6792452830188678</v>
      </c>
      <c r="AT211" s="1049"/>
      <c r="AU211" s="1144">
        <v>0.99</v>
      </c>
      <c r="AV211" s="1049"/>
      <c r="AW211" s="1101"/>
      <c r="AX211" s="1100">
        <v>7</v>
      </c>
      <c r="AY211" s="1099">
        <v>8</v>
      </c>
      <c r="AZ211" s="1098">
        <v>0.27</v>
      </c>
      <c r="BA211" s="1736">
        <v>0.6</v>
      </c>
      <c r="BB211" s="1741">
        <f t="shared" si="98"/>
        <v>2.2222222222222219</v>
      </c>
      <c r="BC211" s="1049"/>
      <c r="BD211" s="1065"/>
      <c r="BE211" s="1049"/>
      <c r="BF211" s="1101"/>
      <c r="BG211" s="1100">
        <v>7</v>
      </c>
      <c r="BH211" s="1099">
        <v>8</v>
      </c>
      <c r="BI211" s="1098">
        <v>0.25</v>
      </c>
      <c r="BJ211" s="1736" t="s">
        <v>1388</v>
      </c>
      <c r="BK211" s="1049"/>
      <c r="BL211" s="1101"/>
      <c r="BM211" s="1100">
        <v>7</v>
      </c>
      <c r="BN211" s="1099">
        <v>8</v>
      </c>
      <c r="BO211" s="1098"/>
      <c r="BP211" s="1783">
        <v>0.12</v>
      </c>
      <c r="BQ211" s="1049"/>
    </row>
    <row r="212" spans="1:69" ht="14.4">
      <c r="A212" s="1049"/>
      <c r="B212" s="1097">
        <f>B209/24</f>
        <v>1.709583333333333</v>
      </c>
      <c r="C212" s="1086">
        <v>8</v>
      </c>
      <c r="D212" s="1085">
        <v>9</v>
      </c>
      <c r="E212" s="1091">
        <v>0.3</v>
      </c>
      <c r="F212" s="1090">
        <v>0.87</v>
      </c>
      <c r="G212" s="1089">
        <f t="shared" si="88"/>
        <v>2.9</v>
      </c>
      <c r="H212" s="1049"/>
      <c r="I212" s="1097">
        <f>I209/24</f>
        <v>3.9162499999999998</v>
      </c>
      <c r="J212" s="1086">
        <v>8</v>
      </c>
      <c r="K212" s="1085">
        <v>9</v>
      </c>
      <c r="L212" s="1084">
        <v>1.611</v>
      </c>
      <c r="M212" s="1088">
        <v>3.41</v>
      </c>
      <c r="N212" s="1087">
        <f t="shared" si="89"/>
        <v>2.1166977032898822</v>
      </c>
      <c r="O212" s="1049"/>
      <c r="P212" s="1096">
        <f>P209/24</f>
        <v>5.882083333333334</v>
      </c>
      <c r="Q212" s="1086">
        <v>8</v>
      </c>
      <c r="R212" s="1085">
        <v>9</v>
      </c>
      <c r="S212" s="1084">
        <v>1.4950000000000001</v>
      </c>
      <c r="T212" s="1054">
        <f t="shared" si="90"/>
        <v>6.9816500000000001</v>
      </c>
      <c r="U212" s="1142">
        <v>8.35</v>
      </c>
      <c r="V212" s="1052">
        <f t="shared" si="91"/>
        <v>5.5852842809364542</v>
      </c>
      <c r="W212" s="1049"/>
      <c r="X212" s="1051">
        <v>4.67</v>
      </c>
      <c r="Y212" s="1049"/>
      <c r="Z212" s="1050">
        <f t="shared" si="92"/>
        <v>5.7856500000000004</v>
      </c>
      <c r="AA212" s="1096">
        <f>AA209/24</f>
        <v>4.8008333333333342</v>
      </c>
      <c r="AB212" s="1086">
        <v>8</v>
      </c>
      <c r="AC212" s="1085">
        <v>9</v>
      </c>
      <c r="AD212" s="1084">
        <v>1.99</v>
      </c>
      <c r="AE212" s="1143">
        <f t="shared" si="93"/>
        <v>3.6217999999999999</v>
      </c>
      <c r="AF212" s="1142">
        <v>4.95</v>
      </c>
      <c r="AG212" s="1052">
        <f t="shared" si="94"/>
        <v>2.4874371859296485</v>
      </c>
      <c r="AH212" s="1049"/>
      <c r="AI212" s="1142">
        <v>1.82</v>
      </c>
      <c r="AJ212" s="1049"/>
      <c r="AK212" s="1050">
        <f t="shared" si="95"/>
        <v>2.0297999999999998</v>
      </c>
      <c r="AL212" s="1049"/>
      <c r="AM212" s="1096">
        <f>AM209/24</f>
        <v>0.66374999999999995</v>
      </c>
      <c r="AN212" s="1086">
        <v>8</v>
      </c>
      <c r="AO212" s="1085">
        <v>9</v>
      </c>
      <c r="AP212" s="1084">
        <v>0.38</v>
      </c>
      <c r="AQ212" s="1748">
        <f t="shared" si="96"/>
        <v>0.41420000000000001</v>
      </c>
      <c r="AR212" s="1742">
        <v>0.68</v>
      </c>
      <c r="AS212" s="1052">
        <f t="shared" si="97"/>
        <v>1.7894736842105263</v>
      </c>
      <c r="AT212" s="1049"/>
      <c r="AU212" s="1142">
        <v>1.0900000000000001</v>
      </c>
      <c r="AV212" s="1049"/>
      <c r="AW212" s="1096">
        <f>AW209/24</f>
        <v>0.72916666666666652</v>
      </c>
      <c r="AX212" s="1086">
        <v>8</v>
      </c>
      <c r="AY212" s="1085">
        <v>9</v>
      </c>
      <c r="AZ212" s="1084">
        <v>0.43</v>
      </c>
      <c r="BA212" s="1736">
        <v>0.99</v>
      </c>
      <c r="BB212" s="1742">
        <f t="shared" si="98"/>
        <v>2.3023255813953489</v>
      </c>
      <c r="BC212" s="1049"/>
      <c r="BD212" s="1051"/>
      <c r="BE212" s="1049"/>
      <c r="BF212" s="1096">
        <f>BF209/24</f>
        <v>0</v>
      </c>
      <c r="BG212" s="1086">
        <v>8</v>
      </c>
      <c r="BH212" s="1085">
        <v>9</v>
      </c>
      <c r="BI212" s="1084">
        <v>0.22</v>
      </c>
      <c r="BJ212" s="1736" t="s">
        <v>1385</v>
      </c>
      <c r="BK212" s="1049"/>
      <c r="BL212" s="1096">
        <f>BL209/24</f>
        <v>0.20958333333333334</v>
      </c>
      <c r="BM212" s="1086">
        <v>8</v>
      </c>
      <c r="BN212" s="1085">
        <v>9</v>
      </c>
      <c r="BO212" s="1084"/>
      <c r="BP212" s="1783">
        <v>0.11</v>
      </c>
      <c r="BQ212" s="1049"/>
    </row>
    <row r="213" spans="1:69" ht="14.4">
      <c r="A213" s="1049"/>
      <c r="B213" s="1097"/>
      <c r="C213" s="1086">
        <v>9</v>
      </c>
      <c r="D213" s="1085">
        <v>10</v>
      </c>
      <c r="E213" s="1091">
        <v>0.84</v>
      </c>
      <c r="F213" s="1090">
        <v>2.41</v>
      </c>
      <c r="G213" s="1089">
        <f t="shared" si="88"/>
        <v>2.8690476190476195</v>
      </c>
      <c r="H213" s="1049"/>
      <c r="I213" s="1097"/>
      <c r="J213" s="1086">
        <v>9</v>
      </c>
      <c r="K213" s="1085">
        <v>10</v>
      </c>
      <c r="L213" s="1084">
        <v>1.68</v>
      </c>
      <c r="M213" s="1088">
        <v>3.55</v>
      </c>
      <c r="N213" s="1087">
        <f t="shared" si="89"/>
        <v>2.1130952380952381</v>
      </c>
      <c r="O213" s="1049"/>
      <c r="P213" s="1096"/>
      <c r="Q213" s="1086">
        <v>9</v>
      </c>
      <c r="R213" s="1085">
        <v>11</v>
      </c>
      <c r="S213" s="1084">
        <v>1.4910000000000001</v>
      </c>
      <c r="T213" s="1054">
        <f t="shared" si="90"/>
        <v>6.9629700000000003</v>
      </c>
      <c r="U213" s="1142">
        <v>8.33</v>
      </c>
      <c r="V213" s="1052">
        <f t="shared" si="91"/>
        <v>5.5868544600938961</v>
      </c>
      <c r="W213" s="1049"/>
      <c r="X213" s="1051">
        <v>4.67</v>
      </c>
      <c r="Y213" s="1049"/>
      <c r="Z213" s="1050">
        <f t="shared" si="92"/>
        <v>5.7701700000000002</v>
      </c>
      <c r="AA213" s="1096"/>
      <c r="AB213" s="1086">
        <v>9</v>
      </c>
      <c r="AC213" s="1085">
        <v>11</v>
      </c>
      <c r="AD213" s="1084">
        <v>1.55</v>
      </c>
      <c r="AE213" s="1143">
        <f t="shared" si="93"/>
        <v>2.7590000000000003</v>
      </c>
      <c r="AF213" s="1142">
        <v>3.82</v>
      </c>
      <c r="AG213" s="1052">
        <f t="shared" si="94"/>
        <v>2.4645161290322579</v>
      </c>
      <c r="AH213" s="1049"/>
      <c r="AI213" s="1142">
        <v>1.78</v>
      </c>
      <c r="AJ213" s="1049"/>
      <c r="AK213" s="1050">
        <f t="shared" si="95"/>
        <v>1.5189999999999999</v>
      </c>
      <c r="AL213" s="1049"/>
      <c r="AM213" s="1096"/>
      <c r="AN213" s="1086">
        <v>9</v>
      </c>
      <c r="AO213" s="1085">
        <v>11</v>
      </c>
      <c r="AP213" s="1084">
        <v>0.67</v>
      </c>
      <c r="AQ213" s="1748">
        <f t="shared" si="96"/>
        <v>0.76380000000000003</v>
      </c>
      <c r="AR213" s="1742">
        <v>1.22</v>
      </c>
      <c r="AS213" s="1052">
        <f t="shared" si="97"/>
        <v>1.8208955223880596</v>
      </c>
      <c r="AT213" s="1049"/>
      <c r="AU213" s="1142">
        <v>1.1399999999999999</v>
      </c>
      <c r="AV213" s="1049"/>
      <c r="AW213" s="1096"/>
      <c r="AX213" s="1086">
        <v>9</v>
      </c>
      <c r="AY213" s="1085">
        <v>11</v>
      </c>
      <c r="AZ213" s="1084">
        <v>0.16</v>
      </c>
      <c r="BA213" s="1736">
        <v>0.36</v>
      </c>
      <c r="BB213" s="1742">
        <f t="shared" si="98"/>
        <v>2.25</v>
      </c>
      <c r="BC213" s="1049"/>
      <c r="BD213" s="1051"/>
      <c r="BE213" s="1049"/>
      <c r="BF213" s="1096"/>
      <c r="BG213" s="1086">
        <v>9</v>
      </c>
      <c r="BH213" s="1085">
        <v>11</v>
      </c>
      <c r="BI213" s="1084">
        <v>0.98</v>
      </c>
      <c r="BJ213" s="1736" t="s">
        <v>1444</v>
      </c>
      <c r="BK213" s="1049"/>
      <c r="BL213" s="1096"/>
      <c r="BM213" s="1086">
        <v>9</v>
      </c>
      <c r="BN213" s="1085">
        <v>11</v>
      </c>
      <c r="BO213" s="1084"/>
      <c r="BP213" s="1783">
        <v>0.06</v>
      </c>
      <c r="BQ213" s="1049"/>
    </row>
    <row r="214" spans="1:69" ht="14.4">
      <c r="A214" s="1049"/>
      <c r="B214" s="1060"/>
      <c r="C214" s="1086">
        <v>10</v>
      </c>
      <c r="D214" s="1085">
        <v>11</v>
      </c>
      <c r="E214" s="1091">
        <v>1.44</v>
      </c>
      <c r="F214" s="1090">
        <v>4.17</v>
      </c>
      <c r="G214" s="1089">
        <f t="shared" si="88"/>
        <v>2.8958333333333335</v>
      </c>
      <c r="H214" s="1049"/>
      <c r="I214" s="1060"/>
      <c r="J214" s="1086">
        <v>10</v>
      </c>
      <c r="K214" s="1085">
        <v>11</v>
      </c>
      <c r="L214" s="1084">
        <v>1.3320000000000001</v>
      </c>
      <c r="M214" s="1088">
        <v>2.81</v>
      </c>
      <c r="N214" s="1087">
        <f t="shared" si="89"/>
        <v>2.1096096096096097</v>
      </c>
      <c r="O214" s="1049"/>
      <c r="P214" s="1095">
        <f>SUM(Z204:Z227)</f>
        <v>93.674439999999976</v>
      </c>
      <c r="Q214" s="1086">
        <v>10</v>
      </c>
      <c r="R214" s="1085">
        <v>12</v>
      </c>
      <c r="S214" s="1084">
        <v>1.18</v>
      </c>
      <c r="T214" s="1054">
        <f t="shared" si="90"/>
        <v>5.4751999999999992</v>
      </c>
      <c r="U214" s="1142">
        <v>6.56</v>
      </c>
      <c r="V214" s="1052">
        <f t="shared" si="91"/>
        <v>5.5593220338983054</v>
      </c>
      <c r="W214" s="1049"/>
      <c r="X214" s="1051">
        <v>4.6399999999999997</v>
      </c>
      <c r="Y214" s="1049"/>
      <c r="Z214" s="1050">
        <f t="shared" si="92"/>
        <v>4.5311999999999992</v>
      </c>
      <c r="AA214" s="1095">
        <f>SUM(AK204:AK227)</f>
        <v>33.824199999999998</v>
      </c>
      <c r="AB214" s="1086">
        <v>10</v>
      </c>
      <c r="AC214" s="1085">
        <v>12</v>
      </c>
      <c r="AD214" s="1084">
        <v>2.21</v>
      </c>
      <c r="AE214" s="1143">
        <f t="shared" si="93"/>
        <v>3.5581</v>
      </c>
      <c r="AF214" s="1142">
        <v>5.08</v>
      </c>
      <c r="AG214" s="1052">
        <f t="shared" si="94"/>
        <v>2.2986425339366519</v>
      </c>
      <c r="AH214" s="1049"/>
      <c r="AI214" s="1142">
        <v>1.61</v>
      </c>
      <c r="AJ214" s="1049"/>
      <c r="AK214" s="1050">
        <f t="shared" si="95"/>
        <v>1.7901</v>
      </c>
      <c r="AL214" s="1049"/>
      <c r="AM214" s="1095" t="e">
        <f>SUM(#REF!)</f>
        <v>#REF!</v>
      </c>
      <c r="AN214" s="1086">
        <v>10</v>
      </c>
      <c r="AO214" s="1085">
        <v>12</v>
      </c>
      <c r="AP214" s="1084">
        <v>0.56000000000000005</v>
      </c>
      <c r="AQ214" s="1748">
        <f t="shared" si="96"/>
        <v>0.62160000000000015</v>
      </c>
      <c r="AR214" s="1742">
        <v>1.01</v>
      </c>
      <c r="AS214" s="1052">
        <f t="shared" si="97"/>
        <v>1.8035714285714284</v>
      </c>
      <c r="AT214" s="1049"/>
      <c r="AU214" s="1142">
        <v>1.1100000000000001</v>
      </c>
      <c r="AV214" s="1049"/>
      <c r="AW214" s="1095" t="e">
        <f>SUM(#REF!)</f>
        <v>#REF!</v>
      </c>
      <c r="AX214" s="1086">
        <v>10</v>
      </c>
      <c r="AY214" s="1085">
        <v>12</v>
      </c>
      <c r="AZ214" s="1084">
        <v>0.4</v>
      </c>
      <c r="BA214" s="1736">
        <v>0.86</v>
      </c>
      <c r="BB214" s="1742">
        <f t="shared" si="98"/>
        <v>2.15</v>
      </c>
      <c r="BC214" s="1049"/>
      <c r="BD214" s="1051"/>
      <c r="BE214" s="1049"/>
      <c r="BF214" s="1095" t="e">
        <f>SUM(#REF!)</f>
        <v>#REF!</v>
      </c>
      <c r="BG214" s="1086">
        <v>10</v>
      </c>
      <c r="BH214" s="1085">
        <v>12</v>
      </c>
      <c r="BI214" s="1084">
        <v>0.34</v>
      </c>
      <c r="BJ214" s="1736" t="s">
        <v>1415</v>
      </c>
      <c r="BK214" s="1049"/>
      <c r="BL214" s="1095" t="e">
        <f>SUM(#REF!)</f>
        <v>#REF!</v>
      </c>
      <c r="BM214" s="1086">
        <v>10</v>
      </c>
      <c r="BN214" s="1085">
        <v>12</v>
      </c>
      <c r="BO214" s="1084"/>
      <c r="BP214" s="1783">
        <v>0.16</v>
      </c>
      <c r="BQ214" s="1049"/>
    </row>
    <row r="215" spans="1:69" ht="14.4">
      <c r="A215" s="1049"/>
      <c r="B215" s="1060"/>
      <c r="C215" s="1086">
        <v>11</v>
      </c>
      <c r="D215" s="1085">
        <v>12</v>
      </c>
      <c r="E215" s="1091">
        <v>0.46</v>
      </c>
      <c r="F215" s="1090">
        <v>1.34</v>
      </c>
      <c r="G215" s="1089">
        <f t="shared" si="88"/>
        <v>2.9130434782608696</v>
      </c>
      <c r="H215" s="1049"/>
      <c r="I215" s="1060"/>
      <c r="J215" s="1086">
        <v>11</v>
      </c>
      <c r="K215" s="1085">
        <v>12</v>
      </c>
      <c r="L215" s="1084">
        <v>1.655</v>
      </c>
      <c r="M215" s="1088">
        <v>3.48</v>
      </c>
      <c r="N215" s="1087">
        <f t="shared" si="89"/>
        <v>2.1027190332326282</v>
      </c>
      <c r="O215" s="1049"/>
      <c r="P215" s="1093">
        <f>P214/P206</f>
        <v>3.3937555249619589</v>
      </c>
      <c r="Q215" s="1086">
        <v>11</v>
      </c>
      <c r="R215" s="1085">
        <v>12</v>
      </c>
      <c r="S215" s="1084">
        <v>1.171</v>
      </c>
      <c r="T215" s="1054">
        <f t="shared" si="90"/>
        <v>5.5739599999999996</v>
      </c>
      <c r="U215" s="1142">
        <v>6.65</v>
      </c>
      <c r="V215" s="1052">
        <f t="shared" si="91"/>
        <v>5.6789069171648165</v>
      </c>
      <c r="W215" s="1049"/>
      <c r="X215" s="1051">
        <v>4.76</v>
      </c>
      <c r="Y215" s="1049"/>
      <c r="Z215" s="1050">
        <f t="shared" si="92"/>
        <v>4.6371599999999997</v>
      </c>
      <c r="AA215" s="1093">
        <f>AA214/AA206</f>
        <v>0.67164813343923746</v>
      </c>
      <c r="AB215" s="1086">
        <v>11</v>
      </c>
      <c r="AC215" s="1085">
        <v>12</v>
      </c>
      <c r="AD215" s="1084">
        <v>2.54</v>
      </c>
      <c r="AE215" s="1143">
        <f t="shared" si="93"/>
        <v>4.1148000000000007</v>
      </c>
      <c r="AF215" s="1142">
        <v>5.88</v>
      </c>
      <c r="AG215" s="1052">
        <f t="shared" si="94"/>
        <v>2.3149606299212597</v>
      </c>
      <c r="AH215" s="1049"/>
      <c r="AI215" s="1142">
        <v>1.62</v>
      </c>
      <c r="AJ215" s="1049"/>
      <c r="AK215" s="1050">
        <f t="shared" si="95"/>
        <v>2.0828000000000002</v>
      </c>
      <c r="AL215" s="1049"/>
      <c r="AM215" s="1093" t="e">
        <f>AM214/AM206</f>
        <v>#REF!</v>
      </c>
      <c r="AN215" s="1086">
        <v>11</v>
      </c>
      <c r="AO215" s="1085">
        <v>12</v>
      </c>
      <c r="AP215" s="1084">
        <v>0.25</v>
      </c>
      <c r="AQ215" s="1748">
        <f t="shared" si="96"/>
        <v>0.25750000000000001</v>
      </c>
      <c r="AR215" s="1742">
        <v>0.43</v>
      </c>
      <c r="AS215" s="1052">
        <f t="shared" si="97"/>
        <v>1.72</v>
      </c>
      <c r="AT215" s="1049"/>
      <c r="AU215" s="1142">
        <v>1.03</v>
      </c>
      <c r="AV215" s="1049"/>
      <c r="AW215" s="1093" t="e">
        <f>AW214/AW206</f>
        <v>#REF!</v>
      </c>
      <c r="AX215" s="1086">
        <v>11</v>
      </c>
      <c r="AY215" s="1085">
        <v>12</v>
      </c>
      <c r="AZ215" s="1084">
        <v>0.36</v>
      </c>
      <c r="BA215" s="1736">
        <v>0.74</v>
      </c>
      <c r="BB215" s="1742">
        <f t="shared" si="98"/>
        <v>2.0555555555555558</v>
      </c>
      <c r="BC215" s="1049"/>
      <c r="BD215" s="1051"/>
      <c r="BE215" s="1049"/>
      <c r="BF215" s="1093" t="e">
        <f>BF214/BF206</f>
        <v>#REF!</v>
      </c>
      <c r="BG215" s="1086">
        <v>11</v>
      </c>
      <c r="BH215" s="1085">
        <v>12</v>
      </c>
      <c r="BI215" s="1084">
        <v>0.97</v>
      </c>
      <c r="BJ215" s="1736" t="s">
        <v>1445</v>
      </c>
      <c r="BK215" s="1049"/>
      <c r="BL215" s="1093" t="e">
        <f>BL214/BL206</f>
        <v>#REF!</v>
      </c>
      <c r="BM215" s="1086">
        <v>11</v>
      </c>
      <c r="BN215" s="1085">
        <v>12</v>
      </c>
      <c r="BO215" s="1084"/>
      <c r="BP215" s="1783">
        <v>0.23</v>
      </c>
      <c r="BQ215" s="1049"/>
    </row>
    <row r="216" spans="1:69" ht="14.4">
      <c r="A216" s="1049"/>
      <c r="B216" s="1060"/>
      <c r="C216" s="1086">
        <v>12</v>
      </c>
      <c r="D216" s="1085">
        <v>13</v>
      </c>
      <c r="E216" s="1091">
        <v>0.46</v>
      </c>
      <c r="F216" s="1090">
        <v>1.33</v>
      </c>
      <c r="G216" s="1089">
        <f t="shared" si="88"/>
        <v>2.8913043478260869</v>
      </c>
      <c r="H216" s="1049"/>
      <c r="I216" s="1060"/>
      <c r="J216" s="1086">
        <v>12</v>
      </c>
      <c r="K216" s="1085">
        <v>13</v>
      </c>
      <c r="L216" s="1084">
        <v>1.925</v>
      </c>
      <c r="M216" s="1088">
        <v>4.0199999999999996</v>
      </c>
      <c r="N216" s="1087">
        <f t="shared" si="89"/>
        <v>2.0883116883116881</v>
      </c>
      <c r="O216" s="1049"/>
      <c r="P216" s="1060"/>
      <c r="Q216" s="1086">
        <v>12</v>
      </c>
      <c r="R216" s="1085">
        <v>13</v>
      </c>
      <c r="S216" s="1084">
        <v>1.1200000000000001</v>
      </c>
      <c r="T216" s="1054">
        <f t="shared" si="90"/>
        <v>5.297600000000001</v>
      </c>
      <c r="U216" s="1142">
        <v>6.33</v>
      </c>
      <c r="V216" s="1052">
        <f t="shared" si="91"/>
        <v>5.6517857142857135</v>
      </c>
      <c r="W216" s="1049"/>
      <c r="X216" s="1051">
        <v>4.7300000000000004</v>
      </c>
      <c r="Y216" s="1049"/>
      <c r="Z216" s="1050">
        <f t="shared" si="92"/>
        <v>4.4016000000000011</v>
      </c>
      <c r="AA216" s="1060"/>
      <c r="AB216" s="1086">
        <v>12</v>
      </c>
      <c r="AC216" s="1085">
        <v>13</v>
      </c>
      <c r="AD216" s="1084">
        <v>3.02</v>
      </c>
      <c r="AE216" s="1143">
        <f t="shared" si="93"/>
        <v>4.3487999999999998</v>
      </c>
      <c r="AF216" s="1142">
        <v>6.44</v>
      </c>
      <c r="AG216" s="1052">
        <f t="shared" si="94"/>
        <v>2.132450331125828</v>
      </c>
      <c r="AH216" s="1049"/>
      <c r="AI216" s="1142">
        <v>1.44</v>
      </c>
      <c r="AJ216" s="1049"/>
      <c r="AK216" s="1050">
        <f t="shared" si="95"/>
        <v>1.9327999999999996</v>
      </c>
      <c r="AL216" s="1049"/>
      <c r="AM216" s="1060"/>
      <c r="AN216" s="1086">
        <v>12</v>
      </c>
      <c r="AO216" s="1085">
        <v>13</v>
      </c>
      <c r="AP216" s="1084">
        <v>0.23</v>
      </c>
      <c r="AQ216" s="1748">
        <f t="shared" si="96"/>
        <v>0.23</v>
      </c>
      <c r="AR216" s="1742">
        <v>0.39</v>
      </c>
      <c r="AS216" s="1052">
        <f t="shared" si="97"/>
        <v>1.6956521739130435</v>
      </c>
      <c r="AT216" s="1049"/>
      <c r="AU216" s="1142">
        <v>1</v>
      </c>
      <c r="AV216" s="1049"/>
      <c r="AW216" s="1060"/>
      <c r="AX216" s="1086">
        <v>12</v>
      </c>
      <c r="AY216" s="1085">
        <v>13</v>
      </c>
      <c r="AZ216" s="1084">
        <v>0.37</v>
      </c>
      <c r="BA216" s="1736">
        <v>0.72</v>
      </c>
      <c r="BB216" s="1742">
        <f t="shared" si="98"/>
        <v>1.9459459459459458</v>
      </c>
      <c r="BC216" s="1049"/>
      <c r="BD216" s="1051"/>
      <c r="BE216" s="1049"/>
      <c r="BF216" s="1060"/>
      <c r="BG216" s="1086">
        <v>12</v>
      </c>
      <c r="BH216" s="1085">
        <v>13</v>
      </c>
      <c r="BI216" s="1084">
        <v>0.43</v>
      </c>
      <c r="BJ216" s="1736" t="s">
        <v>1416</v>
      </c>
      <c r="BK216" s="1049"/>
      <c r="BL216" s="1060"/>
      <c r="BM216" s="1086">
        <v>12</v>
      </c>
      <c r="BN216" s="1085">
        <v>13</v>
      </c>
      <c r="BO216" s="1084"/>
      <c r="BP216" s="1783">
        <v>0.2</v>
      </c>
      <c r="BQ216" s="1049"/>
    </row>
    <row r="217" spans="1:69" ht="14.4">
      <c r="A217" s="1049"/>
      <c r="B217" s="1060"/>
      <c r="C217" s="1086">
        <v>13</v>
      </c>
      <c r="D217" s="1085">
        <v>14</v>
      </c>
      <c r="E217" s="1091">
        <v>0.93</v>
      </c>
      <c r="F217" s="1090">
        <v>2.68</v>
      </c>
      <c r="G217" s="1089">
        <f t="shared" si="88"/>
        <v>2.881720430107527</v>
      </c>
      <c r="H217" s="1049"/>
      <c r="I217" s="1060"/>
      <c r="J217" s="1086">
        <v>13</v>
      </c>
      <c r="K217" s="1085">
        <v>14</v>
      </c>
      <c r="L217" s="1084">
        <v>2.4350000000000001</v>
      </c>
      <c r="M217" s="1088">
        <v>5.1100000000000003</v>
      </c>
      <c r="N217" s="1087">
        <f t="shared" si="89"/>
        <v>2.0985626283367558</v>
      </c>
      <c r="O217" s="1049"/>
      <c r="P217" s="1092" t="s">
        <v>1127</v>
      </c>
      <c r="Q217" s="1086">
        <v>13</v>
      </c>
      <c r="R217" s="1085">
        <v>14</v>
      </c>
      <c r="S217" s="1084">
        <v>1.0109999999999999</v>
      </c>
      <c r="T217" s="1054">
        <f t="shared" si="90"/>
        <v>4.6809299999999991</v>
      </c>
      <c r="U217" s="1142">
        <v>5.61</v>
      </c>
      <c r="V217" s="1052">
        <f t="shared" si="91"/>
        <v>5.5489614243323455</v>
      </c>
      <c r="W217" s="1049"/>
      <c r="X217" s="1051">
        <v>4.63</v>
      </c>
      <c r="Y217" s="1049"/>
      <c r="Z217" s="1050">
        <f t="shared" si="92"/>
        <v>3.8721299999999998</v>
      </c>
      <c r="AA217" s="1092" t="s">
        <v>1127</v>
      </c>
      <c r="AB217" s="1086">
        <v>13</v>
      </c>
      <c r="AC217" s="1085">
        <v>14</v>
      </c>
      <c r="AD217" s="1084">
        <v>3.92</v>
      </c>
      <c r="AE217" s="1143">
        <f t="shared" si="93"/>
        <v>5.5271999999999997</v>
      </c>
      <c r="AF217" s="1142">
        <v>8.25</v>
      </c>
      <c r="AG217" s="1052">
        <f t="shared" si="94"/>
        <v>2.1045918367346941</v>
      </c>
      <c r="AH217" s="1049"/>
      <c r="AI217" s="1142">
        <v>1.41</v>
      </c>
      <c r="AJ217" s="1049"/>
      <c r="AK217" s="1050">
        <f t="shared" si="95"/>
        <v>2.3911999999999995</v>
      </c>
      <c r="AL217" s="1049"/>
      <c r="AM217" s="1092" t="s">
        <v>1127</v>
      </c>
      <c r="AN217" s="1150">
        <v>13</v>
      </c>
      <c r="AO217" s="1085">
        <v>14</v>
      </c>
      <c r="AP217" s="1084">
        <v>0.65</v>
      </c>
      <c r="AQ217" s="1748">
        <f t="shared" si="96"/>
        <v>0.63700000000000001</v>
      </c>
      <c r="AR217" s="1742">
        <v>1.0900000000000001</v>
      </c>
      <c r="AS217" s="1052">
        <f t="shared" si="97"/>
        <v>1.676923076923077</v>
      </c>
      <c r="AT217" s="1049"/>
      <c r="AU217" s="1142">
        <v>0.98</v>
      </c>
      <c r="AV217" s="1049"/>
      <c r="AW217" s="1092" t="s">
        <v>1127</v>
      </c>
      <c r="AX217" s="1086">
        <v>13</v>
      </c>
      <c r="AY217" s="1085">
        <v>14</v>
      </c>
      <c r="AZ217" s="1084">
        <v>0.43</v>
      </c>
      <c r="BA217" s="1736">
        <v>0.82</v>
      </c>
      <c r="BB217" s="1742">
        <f t="shared" si="98"/>
        <v>1.9069767441860463</v>
      </c>
      <c r="BC217" s="1049"/>
      <c r="BD217" s="1051"/>
      <c r="BE217" s="1049"/>
      <c r="BF217" s="1092" t="s">
        <v>1127</v>
      </c>
      <c r="BG217" s="1086">
        <v>13</v>
      </c>
      <c r="BH217" s="1085">
        <v>14</v>
      </c>
      <c r="BI217" s="1084">
        <v>0.32</v>
      </c>
      <c r="BJ217" s="1736" t="s">
        <v>1386</v>
      </c>
      <c r="BK217" s="1049"/>
      <c r="BL217" s="1092" t="s">
        <v>1127</v>
      </c>
      <c r="BM217" s="1086">
        <v>13</v>
      </c>
      <c r="BN217" s="1085">
        <v>14</v>
      </c>
      <c r="BO217" s="1084"/>
      <c r="BP217" s="1783">
        <v>0.19</v>
      </c>
      <c r="BQ217" s="1049"/>
    </row>
    <row r="218" spans="1:69" ht="14.4">
      <c r="A218" s="1049"/>
      <c r="B218" s="1060"/>
      <c r="C218" s="1086">
        <v>14</v>
      </c>
      <c r="D218" s="1085">
        <v>15</v>
      </c>
      <c r="E218" s="1091">
        <v>1.56</v>
      </c>
      <c r="F218" s="1090">
        <v>4.49</v>
      </c>
      <c r="G218" s="1089">
        <f t="shared" si="88"/>
        <v>2.8782051282051282</v>
      </c>
      <c r="H218" s="1049"/>
      <c r="I218" s="1060"/>
      <c r="J218" s="1086">
        <v>14</v>
      </c>
      <c r="K218" s="1085">
        <v>15</v>
      </c>
      <c r="L218" s="1084">
        <v>3.0539999999999998</v>
      </c>
      <c r="M218" s="1088">
        <v>7.08</v>
      </c>
      <c r="N218" s="1087">
        <f t="shared" si="89"/>
        <v>2.3182711198428292</v>
      </c>
      <c r="O218" s="1049"/>
      <c r="P218" s="1058">
        <f>P206*0.8</f>
        <v>22.081599999999998</v>
      </c>
      <c r="Q218" s="1086">
        <v>14</v>
      </c>
      <c r="R218" s="1085">
        <v>15</v>
      </c>
      <c r="S218" s="1084">
        <v>1.115</v>
      </c>
      <c r="T218" s="1054">
        <f t="shared" si="90"/>
        <v>5.2181999999999995</v>
      </c>
      <c r="U218" s="1142">
        <v>6.25</v>
      </c>
      <c r="V218" s="1052">
        <f t="shared" si="91"/>
        <v>5.6053811659192823</v>
      </c>
      <c r="W218" s="1049"/>
      <c r="X218" s="1051">
        <v>4.68</v>
      </c>
      <c r="Y218" s="1049"/>
      <c r="Z218" s="1050">
        <f t="shared" si="92"/>
        <v>4.3262</v>
      </c>
      <c r="AA218" s="1058">
        <f>AA206*0.8</f>
        <v>40.288000000000004</v>
      </c>
      <c r="AB218" s="1086">
        <v>14</v>
      </c>
      <c r="AC218" s="1085">
        <v>15</v>
      </c>
      <c r="AD218" s="1084">
        <v>2.89</v>
      </c>
      <c r="AE218" s="1143">
        <f t="shared" si="93"/>
        <v>4.2483000000000004</v>
      </c>
      <c r="AF218" s="1142">
        <v>6.24</v>
      </c>
      <c r="AG218" s="1052">
        <f t="shared" si="94"/>
        <v>2.1591695501730102</v>
      </c>
      <c r="AH218" s="1049"/>
      <c r="AI218" s="1142">
        <v>1.47</v>
      </c>
      <c r="AJ218" s="1049"/>
      <c r="AK218" s="1050">
        <f t="shared" si="95"/>
        <v>1.9362999999999999</v>
      </c>
      <c r="AL218" s="1049"/>
      <c r="AM218" s="1058">
        <f>AM206*0.8</f>
        <v>6.9840000000000018</v>
      </c>
      <c r="AN218" s="1150">
        <v>14</v>
      </c>
      <c r="AO218" s="1085">
        <v>15</v>
      </c>
      <c r="AP218" s="1084">
        <v>0.27</v>
      </c>
      <c r="AQ218" s="1748">
        <f t="shared" si="96"/>
        <v>0.25380000000000003</v>
      </c>
      <c r="AR218" s="1742">
        <v>0.44</v>
      </c>
      <c r="AS218" s="1052">
        <f t="shared" si="97"/>
        <v>1.6296296296296295</v>
      </c>
      <c r="AT218" s="1049"/>
      <c r="AU218" s="1142">
        <v>0.94</v>
      </c>
      <c r="AV218" s="1049"/>
      <c r="AW218" s="1058">
        <f>AW206*0.8</f>
        <v>6.120000000000001</v>
      </c>
      <c r="AX218" s="1086">
        <v>14</v>
      </c>
      <c r="AY218" s="1085">
        <v>15</v>
      </c>
      <c r="AZ218" s="1084">
        <v>0.37</v>
      </c>
      <c r="BA218" s="1736">
        <v>0.7</v>
      </c>
      <c r="BB218" s="1742">
        <f t="shared" si="98"/>
        <v>1.8918918918918919</v>
      </c>
      <c r="BC218" s="1049"/>
      <c r="BD218" s="1051"/>
      <c r="BE218" s="1049"/>
      <c r="BF218" s="1058">
        <f>BF206*0.8</f>
        <v>6.6879999999999997</v>
      </c>
      <c r="BG218" s="1086">
        <v>14</v>
      </c>
      <c r="BH218" s="1085">
        <v>15</v>
      </c>
      <c r="BI218" s="1084">
        <v>0.72</v>
      </c>
      <c r="BJ218" s="1736" t="s">
        <v>1411</v>
      </c>
      <c r="BK218" s="1049"/>
      <c r="BL218" s="1058">
        <f>BL206*0.8</f>
        <v>4.024</v>
      </c>
      <c r="BM218" s="1086">
        <v>14</v>
      </c>
      <c r="BN218" s="1085">
        <v>15</v>
      </c>
      <c r="BO218" s="1084"/>
      <c r="BP218" s="1783">
        <v>0.65</v>
      </c>
      <c r="BQ218" s="1049"/>
    </row>
    <row r="219" spans="1:69" ht="14.4">
      <c r="A219" s="1049"/>
      <c r="B219" s="1060"/>
      <c r="C219" s="1086">
        <v>15</v>
      </c>
      <c r="D219" s="1085">
        <v>16</v>
      </c>
      <c r="E219" s="1091">
        <v>1.5</v>
      </c>
      <c r="F219" s="1090">
        <v>4.33</v>
      </c>
      <c r="G219" s="1089">
        <f t="shared" si="88"/>
        <v>2.8866666666666667</v>
      </c>
      <c r="H219" s="1049"/>
      <c r="I219" s="1060"/>
      <c r="J219" s="1086">
        <v>15</v>
      </c>
      <c r="K219" s="1085">
        <v>16</v>
      </c>
      <c r="L219" s="1084">
        <v>2.3719999999999999</v>
      </c>
      <c r="M219" s="1088">
        <v>5.75</v>
      </c>
      <c r="N219" s="1087">
        <f t="shared" si="89"/>
        <v>2.4241146711635753</v>
      </c>
      <c r="O219" s="1049"/>
      <c r="P219" s="1058" t="s">
        <v>1126</v>
      </c>
      <c r="Q219" s="1086">
        <v>15</v>
      </c>
      <c r="R219" s="1085">
        <v>16</v>
      </c>
      <c r="S219" s="1084">
        <v>1.647</v>
      </c>
      <c r="T219" s="1054">
        <f t="shared" si="90"/>
        <v>7.67502</v>
      </c>
      <c r="U219" s="1142">
        <v>9.19</v>
      </c>
      <c r="V219" s="1052">
        <f t="shared" si="91"/>
        <v>5.5798421372191864</v>
      </c>
      <c r="W219" s="1049"/>
      <c r="X219" s="1051">
        <v>4.66</v>
      </c>
      <c r="Y219" s="1049"/>
      <c r="Z219" s="1050">
        <f t="shared" si="92"/>
        <v>6.3574200000000003</v>
      </c>
      <c r="AA219" s="1058" t="s">
        <v>1126</v>
      </c>
      <c r="AB219" s="1086">
        <v>15</v>
      </c>
      <c r="AC219" s="1085">
        <v>16</v>
      </c>
      <c r="AD219" s="1084">
        <v>2.58</v>
      </c>
      <c r="AE219" s="1143">
        <f t="shared" si="93"/>
        <v>3.9732000000000003</v>
      </c>
      <c r="AF219" s="1142">
        <v>5.74</v>
      </c>
      <c r="AG219" s="1052">
        <f t="shared" si="94"/>
        <v>2.2248062015503876</v>
      </c>
      <c r="AH219" s="1049"/>
      <c r="AI219" s="1142">
        <v>1.54</v>
      </c>
      <c r="AJ219" s="1049"/>
      <c r="AK219" s="1050">
        <f t="shared" si="95"/>
        <v>1.9092</v>
      </c>
      <c r="AL219" s="1049"/>
      <c r="AM219" s="1058" t="s">
        <v>1126</v>
      </c>
      <c r="AN219" s="1150">
        <v>15</v>
      </c>
      <c r="AO219" s="1085">
        <v>16</v>
      </c>
      <c r="AP219" s="1084">
        <v>0.2</v>
      </c>
      <c r="AQ219" s="1748">
        <f t="shared" si="96"/>
        <v>0.188</v>
      </c>
      <c r="AR219" s="1742">
        <v>0.33</v>
      </c>
      <c r="AS219" s="1052">
        <f t="shared" si="97"/>
        <v>1.65</v>
      </c>
      <c r="AT219" s="1049"/>
      <c r="AU219" s="1142">
        <v>0.94</v>
      </c>
      <c r="AV219" s="1049"/>
      <c r="AW219" s="1058" t="s">
        <v>1126</v>
      </c>
      <c r="AX219" s="1086">
        <v>15</v>
      </c>
      <c r="AY219" s="1085">
        <v>16</v>
      </c>
      <c r="AZ219" s="1084">
        <v>0.43</v>
      </c>
      <c r="BA219" s="1736">
        <v>0.82</v>
      </c>
      <c r="BB219" s="1742">
        <f t="shared" si="98"/>
        <v>1.9069767441860463</v>
      </c>
      <c r="BC219" s="1049"/>
      <c r="BD219" s="1051"/>
      <c r="BE219" s="1049"/>
      <c r="BF219" s="1058" t="s">
        <v>1126</v>
      </c>
      <c r="BG219" s="1086">
        <v>15</v>
      </c>
      <c r="BH219" s="1085">
        <v>16</v>
      </c>
      <c r="BI219" s="1084">
        <v>0.36</v>
      </c>
      <c r="BJ219" s="1736" t="s">
        <v>1388</v>
      </c>
      <c r="BK219" s="1049"/>
      <c r="BL219" s="1058" t="s">
        <v>1126</v>
      </c>
      <c r="BM219" s="1086">
        <v>15</v>
      </c>
      <c r="BN219" s="1085">
        <v>16</v>
      </c>
      <c r="BO219" s="1084"/>
      <c r="BP219" s="1783">
        <v>0.57999999999999996</v>
      </c>
      <c r="BQ219" s="1049"/>
    </row>
    <row r="220" spans="1:69" ht="15" thickBot="1">
      <c r="A220" s="1049"/>
      <c r="B220" s="1060"/>
      <c r="C220" s="1077">
        <v>16</v>
      </c>
      <c r="D220" s="1076">
        <v>17</v>
      </c>
      <c r="E220" s="1083">
        <v>1.1399999999999999</v>
      </c>
      <c r="F220" s="1082">
        <v>3.29</v>
      </c>
      <c r="G220" s="1081">
        <f t="shared" si="88"/>
        <v>2.8859649122807021</v>
      </c>
      <c r="H220" s="1049"/>
      <c r="I220" s="1060"/>
      <c r="J220" s="1077">
        <v>16</v>
      </c>
      <c r="K220" s="1076">
        <v>17</v>
      </c>
      <c r="L220" s="1075">
        <v>1.9119999999999999</v>
      </c>
      <c r="M220" s="1080">
        <v>6</v>
      </c>
      <c r="N220" s="1079">
        <f t="shared" si="89"/>
        <v>3.1380753138075317</v>
      </c>
      <c r="O220" s="1049"/>
      <c r="P220" s="1078">
        <f>P206*(X203-0.8)</f>
        <v>100.26426499999999</v>
      </c>
      <c r="Q220" s="1077">
        <v>16</v>
      </c>
      <c r="R220" s="1076">
        <v>17</v>
      </c>
      <c r="S220" s="1075">
        <v>1.502</v>
      </c>
      <c r="T220" s="1054">
        <f t="shared" si="90"/>
        <v>7.0143399999999998</v>
      </c>
      <c r="U220" s="1140">
        <v>8.4</v>
      </c>
      <c r="V220" s="1052">
        <f t="shared" si="91"/>
        <v>5.5925432756324902</v>
      </c>
      <c r="W220" s="1049"/>
      <c r="X220" s="1074">
        <v>4.67</v>
      </c>
      <c r="Y220" s="1049"/>
      <c r="Z220" s="1050">
        <f t="shared" si="92"/>
        <v>5.8127399999999998</v>
      </c>
      <c r="AA220" s="1078">
        <f>AA206*(AI203-0.8)</f>
        <v>38.903100000000009</v>
      </c>
      <c r="AB220" s="1077">
        <v>16</v>
      </c>
      <c r="AC220" s="1076">
        <v>17</v>
      </c>
      <c r="AD220" s="1075">
        <v>2.16</v>
      </c>
      <c r="AE220" s="1141">
        <f t="shared" si="93"/>
        <v>3.5424000000000002</v>
      </c>
      <c r="AF220" s="1140">
        <v>5.0199999999999996</v>
      </c>
      <c r="AG220" s="1052">
        <f t="shared" si="94"/>
        <v>2.3240740740740735</v>
      </c>
      <c r="AH220" s="1049"/>
      <c r="AI220" s="1140">
        <v>1.64</v>
      </c>
      <c r="AJ220" s="1049"/>
      <c r="AK220" s="1050">
        <f t="shared" si="95"/>
        <v>1.8143999999999998</v>
      </c>
      <c r="AL220" s="1049"/>
      <c r="AM220" s="1078">
        <f>AM206*(AU203-0.8)</f>
        <v>1.5386624999999987</v>
      </c>
      <c r="AN220" s="1149">
        <v>16</v>
      </c>
      <c r="AO220" s="1076">
        <v>17</v>
      </c>
      <c r="AP220" s="1075">
        <v>0.19</v>
      </c>
      <c r="AQ220" s="1749">
        <f t="shared" si="96"/>
        <v>0.17859999999999998</v>
      </c>
      <c r="AR220" s="1743">
        <v>0.31</v>
      </c>
      <c r="AS220" s="1052">
        <f t="shared" si="97"/>
        <v>1.631578947368421</v>
      </c>
      <c r="AT220" s="1049"/>
      <c r="AU220" s="1140">
        <v>0.94</v>
      </c>
      <c r="AV220" s="1049"/>
      <c r="AW220" s="1078" t="e">
        <f>AW206*(BD203-0.8)</f>
        <v>#DIV/0!</v>
      </c>
      <c r="AX220" s="1077">
        <v>16</v>
      </c>
      <c r="AY220" s="1076">
        <v>17</v>
      </c>
      <c r="AZ220" s="1075">
        <v>0.37</v>
      </c>
      <c r="BA220" s="1738">
        <v>0.71</v>
      </c>
      <c r="BB220" s="1743">
        <f t="shared" si="98"/>
        <v>1.9189189189189189</v>
      </c>
      <c r="BC220" s="1049"/>
      <c r="BD220" s="1074"/>
      <c r="BE220" s="1049"/>
      <c r="BF220" s="1078">
        <f>BF206*(BM203-0.8)</f>
        <v>-6.6879999999999997</v>
      </c>
      <c r="BG220" s="1077">
        <v>16</v>
      </c>
      <c r="BH220" s="1076">
        <v>17</v>
      </c>
      <c r="BI220" s="1075">
        <v>0.2</v>
      </c>
      <c r="BJ220" s="1738" t="s">
        <v>1375</v>
      </c>
      <c r="BK220" s="1049"/>
      <c r="BL220" s="1078">
        <f>BL206*(BS203-0.8)</f>
        <v>-4.024</v>
      </c>
      <c r="BM220" s="1077">
        <v>16</v>
      </c>
      <c r="BN220" s="1076">
        <v>17</v>
      </c>
      <c r="BO220" s="1075"/>
      <c r="BP220" s="1783">
        <v>0.26</v>
      </c>
      <c r="BQ220" s="1049"/>
    </row>
    <row r="221" spans="1:69" ht="14.4">
      <c r="A221" s="1049"/>
      <c r="B221" s="1060"/>
      <c r="C221" s="1068">
        <v>17</v>
      </c>
      <c r="D221" s="1067">
        <v>18</v>
      </c>
      <c r="E221" s="1073">
        <v>0.48</v>
      </c>
      <c r="F221" s="1072">
        <v>1.68</v>
      </c>
      <c r="G221" s="1071">
        <f t="shared" si="88"/>
        <v>3.5</v>
      </c>
      <c r="H221" s="1049"/>
      <c r="I221" s="1060"/>
      <c r="J221" s="1068">
        <v>17</v>
      </c>
      <c r="K221" s="1067">
        <v>18</v>
      </c>
      <c r="L221" s="1066">
        <v>2.0169999999999999</v>
      </c>
      <c r="M221" s="1070">
        <v>8.43</v>
      </c>
      <c r="N221" s="1069">
        <f t="shared" si="89"/>
        <v>4.1794744670302428</v>
      </c>
      <c r="O221" s="1049"/>
      <c r="P221" s="1058"/>
      <c r="Q221" s="1068">
        <v>17</v>
      </c>
      <c r="R221" s="1067">
        <v>18</v>
      </c>
      <c r="S221" s="1066">
        <v>1.153</v>
      </c>
      <c r="T221" s="1054">
        <f t="shared" si="90"/>
        <v>5.7419400000000005</v>
      </c>
      <c r="U221" s="1138">
        <v>6.8</v>
      </c>
      <c r="V221" s="1052">
        <f t="shared" si="91"/>
        <v>5.8976582827406761</v>
      </c>
      <c r="W221" s="1049"/>
      <c r="X221" s="1065">
        <v>4.9800000000000004</v>
      </c>
      <c r="Y221" s="1049"/>
      <c r="Z221" s="1050">
        <f t="shared" si="92"/>
        <v>4.8195400000000008</v>
      </c>
      <c r="AA221" s="1058"/>
      <c r="AB221" s="1068">
        <v>17</v>
      </c>
      <c r="AC221" s="1067">
        <v>18</v>
      </c>
      <c r="AD221" s="1066">
        <v>2.27</v>
      </c>
      <c r="AE221" s="1139">
        <f t="shared" si="93"/>
        <v>3.9725000000000001</v>
      </c>
      <c r="AF221" s="1138">
        <v>7.32</v>
      </c>
      <c r="AG221" s="1052">
        <f t="shared" si="94"/>
        <v>3.2246696035242293</v>
      </c>
      <c r="AH221" s="1049"/>
      <c r="AI221" s="1138">
        <v>1.75</v>
      </c>
      <c r="AJ221" s="1049"/>
      <c r="AK221" s="1050">
        <f t="shared" si="95"/>
        <v>2.1564999999999999</v>
      </c>
      <c r="AL221" s="1049"/>
      <c r="AM221" s="1058"/>
      <c r="AN221" s="1068">
        <v>17</v>
      </c>
      <c r="AO221" s="1067">
        <v>18</v>
      </c>
      <c r="AP221" s="1066">
        <v>0.8</v>
      </c>
      <c r="AQ221" s="1750">
        <f t="shared" si="96"/>
        <v>0.752</v>
      </c>
      <c r="AR221" s="1744">
        <v>1.93</v>
      </c>
      <c r="AS221" s="1052">
        <f t="shared" si="97"/>
        <v>2.4124999999999996</v>
      </c>
      <c r="AT221" s="1049"/>
      <c r="AU221" s="1138">
        <v>0.94</v>
      </c>
      <c r="AV221" s="1049"/>
      <c r="AW221" s="1058"/>
      <c r="AX221" s="1068">
        <v>17</v>
      </c>
      <c r="AY221" s="1067">
        <v>18</v>
      </c>
      <c r="AZ221" s="1066">
        <v>1.29</v>
      </c>
      <c r="BA221" s="1740">
        <v>3.7</v>
      </c>
      <c r="BB221" s="1744">
        <f t="shared" si="98"/>
        <v>2.8682170542635661</v>
      </c>
      <c r="BC221" s="1049"/>
      <c r="BD221" s="1065"/>
      <c r="BE221" s="1049"/>
      <c r="BF221" s="1058"/>
      <c r="BG221" s="1068">
        <v>17</v>
      </c>
      <c r="BH221" s="1067">
        <v>18</v>
      </c>
      <c r="BI221" s="1066">
        <v>0.15</v>
      </c>
      <c r="BJ221" s="1740" t="s">
        <v>1393</v>
      </c>
      <c r="BK221" s="1049"/>
      <c r="BL221" s="1058"/>
      <c r="BM221" s="1068">
        <v>17</v>
      </c>
      <c r="BN221" s="1067">
        <v>18</v>
      </c>
      <c r="BO221" s="1066"/>
      <c r="BP221" s="1783">
        <v>0.43</v>
      </c>
      <c r="BQ221" s="1049"/>
    </row>
    <row r="222" spans="1:69" ht="14.4">
      <c r="A222" s="1049"/>
      <c r="B222" s="1060"/>
      <c r="C222" s="1057">
        <v>18</v>
      </c>
      <c r="D222" s="1056">
        <v>19</v>
      </c>
      <c r="E222" s="1063">
        <v>0.47</v>
      </c>
      <c r="F222" s="1062">
        <v>1.63</v>
      </c>
      <c r="G222" s="1061">
        <f t="shared" si="88"/>
        <v>3.4680851063829787</v>
      </c>
      <c r="H222" s="1049"/>
      <c r="I222" s="1060"/>
      <c r="J222" s="1057">
        <v>18</v>
      </c>
      <c r="K222" s="1056">
        <v>19</v>
      </c>
      <c r="L222" s="1055">
        <v>1.569</v>
      </c>
      <c r="M222" s="1059">
        <v>6.67</v>
      </c>
      <c r="N222" s="1052">
        <f t="shared" si="89"/>
        <v>4.2511153601019762</v>
      </c>
      <c r="O222" s="1049"/>
      <c r="P222" s="1058"/>
      <c r="Q222" s="1057">
        <v>18</v>
      </c>
      <c r="R222" s="1056">
        <v>19</v>
      </c>
      <c r="S222" s="1055">
        <v>1.5880000000000001</v>
      </c>
      <c r="T222" s="1054">
        <f t="shared" si="90"/>
        <v>7.4477200000000012</v>
      </c>
      <c r="U222" s="1136">
        <v>8.92</v>
      </c>
      <c r="V222" s="1052">
        <f t="shared" si="91"/>
        <v>5.6171284634760701</v>
      </c>
      <c r="W222" s="1049"/>
      <c r="X222" s="1051">
        <v>4.6900000000000004</v>
      </c>
      <c r="Y222" s="1049"/>
      <c r="Z222" s="1050">
        <f t="shared" si="92"/>
        <v>6.1773200000000008</v>
      </c>
      <c r="AA222" s="1058"/>
      <c r="AB222" s="1057">
        <v>18</v>
      </c>
      <c r="AC222" s="1056">
        <v>19</v>
      </c>
      <c r="AD222" s="1055">
        <v>2.88</v>
      </c>
      <c r="AE222" s="1137">
        <f t="shared" si="93"/>
        <v>5.2704000000000004</v>
      </c>
      <c r="AF222" s="1136">
        <v>9.5</v>
      </c>
      <c r="AG222" s="1052">
        <f t="shared" si="94"/>
        <v>3.2986111111111112</v>
      </c>
      <c r="AH222" s="1049"/>
      <c r="AI222" s="1136">
        <v>1.83</v>
      </c>
      <c r="AJ222" s="1049"/>
      <c r="AK222" s="1050">
        <f t="shared" si="95"/>
        <v>2.9664000000000001</v>
      </c>
      <c r="AL222" s="1049"/>
      <c r="AM222" s="1058"/>
      <c r="AN222" s="1057">
        <v>18</v>
      </c>
      <c r="AO222" s="1056">
        <v>19</v>
      </c>
      <c r="AP222" s="1055">
        <v>0.38</v>
      </c>
      <c r="AQ222" s="1745">
        <f t="shared" si="96"/>
        <v>0.35719999999999996</v>
      </c>
      <c r="AR222" s="1737">
        <v>0.92</v>
      </c>
      <c r="AS222" s="1052">
        <f t="shared" si="97"/>
        <v>2.4210526315789473</v>
      </c>
      <c r="AT222" s="1049"/>
      <c r="AU222" s="1136">
        <v>0.94</v>
      </c>
      <c r="AV222" s="1049"/>
      <c r="AW222" s="1058"/>
      <c r="AX222" s="1057">
        <v>18</v>
      </c>
      <c r="AY222" s="1056">
        <v>19</v>
      </c>
      <c r="AZ222" s="1055">
        <v>0.7</v>
      </c>
      <c r="BA222" s="1736">
        <v>2.08</v>
      </c>
      <c r="BB222" s="1737">
        <f t="shared" si="98"/>
        <v>2.9714285714285715</v>
      </c>
      <c r="BC222" s="1049"/>
      <c r="BD222" s="1051"/>
      <c r="BE222" s="1049"/>
      <c r="BF222" s="1058"/>
      <c r="BG222" s="1057">
        <v>18</v>
      </c>
      <c r="BH222" s="1056">
        <v>19</v>
      </c>
      <c r="BI222" s="1055">
        <v>0.94</v>
      </c>
      <c r="BJ222" s="1736" t="s">
        <v>1446</v>
      </c>
      <c r="BK222" s="1049"/>
      <c r="BL222" s="1058"/>
      <c r="BM222" s="1057">
        <v>18</v>
      </c>
      <c r="BN222" s="1056">
        <v>19</v>
      </c>
      <c r="BO222" s="1055"/>
      <c r="BP222" s="1783">
        <v>0.27</v>
      </c>
      <c r="BQ222" s="1049"/>
    </row>
    <row r="223" spans="1:69" ht="14.4">
      <c r="A223" s="1049"/>
      <c r="B223" s="1060"/>
      <c r="C223" s="1057">
        <v>19</v>
      </c>
      <c r="D223" s="1056">
        <v>20</v>
      </c>
      <c r="E223" s="1063">
        <v>0.43</v>
      </c>
      <c r="F223" s="1062">
        <v>1.49</v>
      </c>
      <c r="G223" s="1061">
        <f t="shared" si="88"/>
        <v>3.4651162790697674</v>
      </c>
      <c r="H223" s="1049"/>
      <c r="I223" s="1060"/>
      <c r="J223" s="1057">
        <v>19</v>
      </c>
      <c r="K223" s="1056">
        <v>20</v>
      </c>
      <c r="L223" s="1055">
        <v>1.448</v>
      </c>
      <c r="M223" s="1059">
        <v>5.74</v>
      </c>
      <c r="N223" s="1052">
        <f t="shared" si="89"/>
        <v>3.9640883977900554</v>
      </c>
      <c r="O223" s="1049"/>
      <c r="P223" s="1058"/>
      <c r="Q223" s="1057">
        <v>19</v>
      </c>
      <c r="R223" s="1056">
        <v>20</v>
      </c>
      <c r="S223" s="1055">
        <v>1.448</v>
      </c>
      <c r="T223" s="1054">
        <f t="shared" si="90"/>
        <v>6.4580799999999998</v>
      </c>
      <c r="U223" s="1136">
        <v>7.78</v>
      </c>
      <c r="V223" s="1052">
        <f t="shared" si="91"/>
        <v>5.3729281767955808</v>
      </c>
      <c r="W223" s="1049"/>
      <c r="X223" s="1051">
        <v>4.46</v>
      </c>
      <c r="Y223" s="1049"/>
      <c r="Z223" s="1050">
        <f t="shared" si="92"/>
        <v>5.2996800000000004</v>
      </c>
      <c r="AA223" s="1058"/>
      <c r="AB223" s="1057">
        <v>19</v>
      </c>
      <c r="AC223" s="1056">
        <v>20</v>
      </c>
      <c r="AD223" s="1055">
        <v>3.03</v>
      </c>
      <c r="AE223" s="1137">
        <f t="shared" si="93"/>
        <v>5.1812999999999994</v>
      </c>
      <c r="AF223" s="1136">
        <v>9.65</v>
      </c>
      <c r="AG223" s="1052">
        <f t="shared" si="94"/>
        <v>3.1848184818481853</v>
      </c>
      <c r="AH223" s="1049"/>
      <c r="AI223" s="1136">
        <v>1.71</v>
      </c>
      <c r="AJ223" s="1049"/>
      <c r="AK223" s="1050">
        <f t="shared" si="95"/>
        <v>2.7572999999999994</v>
      </c>
      <c r="AL223" s="1049"/>
      <c r="AM223" s="1058"/>
      <c r="AN223" s="1057">
        <v>19</v>
      </c>
      <c r="AO223" s="1056">
        <v>20</v>
      </c>
      <c r="AP223" s="1055">
        <v>0.66</v>
      </c>
      <c r="AQ223" s="1745">
        <f t="shared" si="96"/>
        <v>0.61380000000000001</v>
      </c>
      <c r="AR223" s="1737">
        <v>1.58</v>
      </c>
      <c r="AS223" s="1052">
        <f t="shared" si="97"/>
        <v>2.393939393939394</v>
      </c>
      <c r="AT223" s="1049"/>
      <c r="AU223" s="1136">
        <v>0.93</v>
      </c>
      <c r="AV223" s="1049"/>
      <c r="AW223" s="1058"/>
      <c r="AX223" s="1057">
        <v>19</v>
      </c>
      <c r="AY223" s="1056">
        <v>20</v>
      </c>
      <c r="AZ223" s="1055">
        <v>0.34</v>
      </c>
      <c r="BA223" s="1736">
        <v>1</v>
      </c>
      <c r="BB223" s="1737">
        <f t="shared" si="98"/>
        <v>2.9411764705882351</v>
      </c>
      <c r="BC223" s="1049"/>
      <c r="BD223" s="1051"/>
      <c r="BE223" s="1049"/>
      <c r="BF223" s="1058"/>
      <c r="BG223" s="1057">
        <v>19</v>
      </c>
      <c r="BH223" s="1056">
        <v>20</v>
      </c>
      <c r="BI223" s="1055">
        <v>0.27</v>
      </c>
      <c r="BJ223" s="1736" t="s">
        <v>1407</v>
      </c>
      <c r="BK223" s="1049"/>
      <c r="BL223" s="1058"/>
      <c r="BM223" s="1057">
        <v>19</v>
      </c>
      <c r="BN223" s="1056">
        <v>20</v>
      </c>
      <c r="BO223" s="1055"/>
      <c r="BP223" s="1783">
        <v>0.26</v>
      </c>
      <c r="BQ223" s="1049"/>
    </row>
    <row r="224" spans="1:69" ht="14.4">
      <c r="A224" s="1049"/>
      <c r="B224" s="1060"/>
      <c r="C224" s="1057">
        <v>20</v>
      </c>
      <c r="D224" s="1056">
        <v>21</v>
      </c>
      <c r="E224" s="1063">
        <v>0.5</v>
      </c>
      <c r="F224" s="1062">
        <v>1.44</v>
      </c>
      <c r="G224" s="1061">
        <f t="shared" si="88"/>
        <v>2.88</v>
      </c>
      <c r="H224" s="1049"/>
      <c r="I224" s="1060"/>
      <c r="J224" s="1057">
        <v>20</v>
      </c>
      <c r="K224" s="1056">
        <v>21</v>
      </c>
      <c r="L224" s="1055">
        <v>1.6160000000000001</v>
      </c>
      <c r="M224" s="1059">
        <v>4.92</v>
      </c>
      <c r="N224" s="1052">
        <f t="shared" si="89"/>
        <v>3.0445544554455441</v>
      </c>
      <c r="O224" s="1049"/>
      <c r="P224" s="1058"/>
      <c r="Q224" s="1057">
        <v>20</v>
      </c>
      <c r="R224" s="1056">
        <v>21</v>
      </c>
      <c r="S224" s="1055">
        <v>1.0449999999999999</v>
      </c>
      <c r="T224" s="1054">
        <f t="shared" si="90"/>
        <v>4.5352999999999994</v>
      </c>
      <c r="U224" s="1136">
        <v>5.5</v>
      </c>
      <c r="V224" s="1052">
        <f t="shared" si="91"/>
        <v>5.2631578947368425</v>
      </c>
      <c r="W224" s="1049"/>
      <c r="X224" s="1051">
        <v>4.34</v>
      </c>
      <c r="Y224" s="1049"/>
      <c r="Z224" s="1050">
        <f t="shared" si="92"/>
        <v>3.6992999999999996</v>
      </c>
      <c r="AA224" s="1058"/>
      <c r="AB224" s="1057">
        <v>20</v>
      </c>
      <c r="AC224" s="1056">
        <v>21</v>
      </c>
      <c r="AD224" s="1055">
        <v>3.15</v>
      </c>
      <c r="AE224" s="1137">
        <f t="shared" si="93"/>
        <v>5.1029999999999998</v>
      </c>
      <c r="AF224" s="1136">
        <v>7.29</v>
      </c>
      <c r="AG224" s="1052">
        <f t="shared" si="94"/>
        <v>2.3142857142857145</v>
      </c>
      <c r="AH224" s="1049"/>
      <c r="AI224" s="1136">
        <v>1.62</v>
      </c>
      <c r="AJ224" s="1049"/>
      <c r="AK224" s="1050">
        <f t="shared" si="95"/>
        <v>2.5830000000000002</v>
      </c>
      <c r="AL224" s="1049"/>
      <c r="AM224" s="1058"/>
      <c r="AN224" s="1057">
        <v>20</v>
      </c>
      <c r="AO224" s="1056">
        <v>21</v>
      </c>
      <c r="AP224" s="1055">
        <v>0.66</v>
      </c>
      <c r="AQ224" s="1745">
        <f t="shared" si="96"/>
        <v>0.60060000000000002</v>
      </c>
      <c r="AR224" s="1737">
        <v>1.06</v>
      </c>
      <c r="AS224" s="1052">
        <f t="shared" si="97"/>
        <v>1.606060606060606</v>
      </c>
      <c r="AT224" s="1049"/>
      <c r="AU224" s="1136">
        <v>0.91</v>
      </c>
      <c r="AV224" s="1049"/>
      <c r="AW224" s="1058"/>
      <c r="AX224" s="1057">
        <v>20</v>
      </c>
      <c r="AY224" s="1056">
        <v>21</v>
      </c>
      <c r="AZ224" s="1055">
        <v>0.32</v>
      </c>
      <c r="BA224" s="1736">
        <v>0.67</v>
      </c>
      <c r="BB224" s="1737">
        <f t="shared" si="98"/>
        <v>2.09375</v>
      </c>
      <c r="BC224" s="1049"/>
      <c r="BD224" s="1051"/>
      <c r="BE224" s="1049"/>
      <c r="BF224" s="1058"/>
      <c r="BG224" s="1057">
        <v>20</v>
      </c>
      <c r="BH224" s="1056">
        <v>21</v>
      </c>
      <c r="BI224" s="1055">
        <v>0.28999999999999998</v>
      </c>
      <c r="BJ224" s="1736" t="s">
        <v>1415</v>
      </c>
      <c r="BK224" s="1049"/>
      <c r="BL224" s="1058"/>
      <c r="BM224" s="1057">
        <v>20</v>
      </c>
      <c r="BN224" s="1056">
        <v>21</v>
      </c>
      <c r="BO224" s="1055"/>
      <c r="BP224" s="1783">
        <v>0.23</v>
      </c>
      <c r="BQ224" s="1049"/>
    </row>
    <row r="225" spans="1:69" ht="14.4">
      <c r="A225" s="1049"/>
      <c r="B225" s="1060"/>
      <c r="C225" s="1057">
        <v>21</v>
      </c>
      <c r="D225" s="1056">
        <v>22</v>
      </c>
      <c r="E225" s="1063">
        <v>0.4</v>
      </c>
      <c r="F225" s="1062">
        <v>1.1399999999999999</v>
      </c>
      <c r="G225" s="1061">
        <f t="shared" si="88"/>
        <v>2.8499999999999996</v>
      </c>
      <c r="H225" s="1049"/>
      <c r="I225" s="1060"/>
      <c r="J225" s="1057">
        <v>21</v>
      </c>
      <c r="K225" s="1056">
        <v>22</v>
      </c>
      <c r="L225" s="1055">
        <v>1.4770000000000001</v>
      </c>
      <c r="M225" s="1059">
        <v>4.38</v>
      </c>
      <c r="N225" s="1052">
        <f t="shared" si="89"/>
        <v>2.9654705484089368</v>
      </c>
      <c r="O225" s="1049"/>
      <c r="P225" s="1058"/>
      <c r="Q225" s="1057">
        <v>21</v>
      </c>
      <c r="R225" s="1056">
        <v>22</v>
      </c>
      <c r="S225" s="1055">
        <v>1.468</v>
      </c>
      <c r="T225" s="1054">
        <f t="shared" si="90"/>
        <v>5.5196799999999993</v>
      </c>
      <c r="U225" s="1136">
        <v>6.86</v>
      </c>
      <c r="V225" s="1052">
        <f t="shared" si="91"/>
        <v>4.6730245231607634</v>
      </c>
      <c r="W225" s="1049"/>
      <c r="X225" s="1051">
        <v>3.76</v>
      </c>
      <c r="Y225" s="1049"/>
      <c r="Z225" s="1050">
        <f t="shared" si="92"/>
        <v>4.3452799999999998</v>
      </c>
      <c r="AA225" s="1058"/>
      <c r="AB225" s="1057">
        <v>21</v>
      </c>
      <c r="AC225" s="1056">
        <v>22</v>
      </c>
      <c r="AD225" s="1055">
        <v>3.16</v>
      </c>
      <c r="AE225" s="1137">
        <f t="shared" si="93"/>
        <v>4.4871999999999996</v>
      </c>
      <c r="AF225" s="1136">
        <v>6.68</v>
      </c>
      <c r="AG225" s="1052">
        <f t="shared" si="94"/>
        <v>2.1139240506329111</v>
      </c>
      <c r="AH225" s="1049"/>
      <c r="AI225" s="1136">
        <v>1.42</v>
      </c>
      <c r="AJ225" s="1049"/>
      <c r="AK225" s="1050">
        <f t="shared" si="95"/>
        <v>1.9591999999999998</v>
      </c>
      <c r="AL225" s="1049"/>
      <c r="AM225" s="1058"/>
      <c r="AN225" s="1057">
        <v>21</v>
      </c>
      <c r="AO225" s="1056">
        <v>22</v>
      </c>
      <c r="AP225" s="1055">
        <v>0.38</v>
      </c>
      <c r="AQ225" s="1745">
        <f t="shared" si="96"/>
        <v>0.3458</v>
      </c>
      <c r="AR225" s="1737">
        <v>0.61</v>
      </c>
      <c r="AS225" s="1052">
        <f t="shared" si="97"/>
        <v>1.6052631578947367</v>
      </c>
      <c r="AT225" s="1049"/>
      <c r="AU225" s="1136">
        <v>0.91</v>
      </c>
      <c r="AV225" s="1049"/>
      <c r="AW225" s="1058"/>
      <c r="AX225" s="1057">
        <v>21</v>
      </c>
      <c r="AY225" s="1056">
        <v>22</v>
      </c>
      <c r="AZ225" s="1055">
        <v>0.28999999999999998</v>
      </c>
      <c r="BA225" s="1736">
        <v>0.57999999999999996</v>
      </c>
      <c r="BB225" s="1737">
        <f t="shared" si="98"/>
        <v>2</v>
      </c>
      <c r="BC225" s="1049"/>
      <c r="BD225" s="1051"/>
      <c r="BE225" s="1049"/>
      <c r="BF225" s="1058"/>
      <c r="BG225" s="1057">
        <v>21</v>
      </c>
      <c r="BH225" s="1056">
        <v>22</v>
      </c>
      <c r="BI225" s="1055">
        <v>0.26</v>
      </c>
      <c r="BJ225" s="1736" t="s">
        <v>1443</v>
      </c>
      <c r="BK225" s="1049"/>
      <c r="BL225" s="1058"/>
      <c r="BM225" s="1057">
        <v>21</v>
      </c>
      <c r="BN225" s="1056">
        <v>22</v>
      </c>
      <c r="BO225" s="1055"/>
      <c r="BP225" s="1783">
        <v>0.25</v>
      </c>
      <c r="BQ225" s="1049"/>
    </row>
    <row r="226" spans="1:69" ht="14.4">
      <c r="A226" s="1049"/>
      <c r="B226" s="1060"/>
      <c r="C226" s="1057">
        <v>22</v>
      </c>
      <c r="D226" s="1056">
        <v>23</v>
      </c>
      <c r="E226" s="1063">
        <v>0.44</v>
      </c>
      <c r="F226" s="1062">
        <v>1.26</v>
      </c>
      <c r="G226" s="1061">
        <f t="shared" si="88"/>
        <v>2.8636363636363638</v>
      </c>
      <c r="H226" s="1049"/>
      <c r="I226" s="1060"/>
      <c r="J226" s="1057">
        <v>22</v>
      </c>
      <c r="K226" s="1056">
        <v>23</v>
      </c>
      <c r="L226" s="1055">
        <v>1.3819999999999999</v>
      </c>
      <c r="M226" s="1059">
        <v>3.94</v>
      </c>
      <c r="N226" s="1052">
        <f t="shared" si="89"/>
        <v>2.8509406657018816</v>
      </c>
      <c r="O226" s="1049"/>
      <c r="P226" s="1058"/>
      <c r="Q226" s="1057">
        <v>22</v>
      </c>
      <c r="R226" s="1056">
        <v>23</v>
      </c>
      <c r="S226" s="1055">
        <v>1.869</v>
      </c>
      <c r="T226" s="1054">
        <f t="shared" si="90"/>
        <v>6.3359100000000002</v>
      </c>
      <c r="U226" s="1136">
        <v>8.07</v>
      </c>
      <c r="V226" s="1052">
        <f t="shared" si="91"/>
        <v>4.317817014446228</v>
      </c>
      <c r="W226" s="1049"/>
      <c r="X226" s="1051">
        <v>3.39</v>
      </c>
      <c r="Y226" s="1049"/>
      <c r="Z226" s="1050">
        <f t="shared" si="92"/>
        <v>4.8407099999999996</v>
      </c>
      <c r="AA226" s="1058"/>
      <c r="AB226" s="1057">
        <v>22</v>
      </c>
      <c r="AC226" s="1056">
        <v>23</v>
      </c>
      <c r="AD226" s="1055">
        <v>3.06</v>
      </c>
      <c r="AE226" s="1137">
        <f t="shared" si="93"/>
        <v>4.1616</v>
      </c>
      <c r="AF226" s="1136">
        <v>6.27</v>
      </c>
      <c r="AG226" s="1052">
        <f t="shared" si="94"/>
        <v>2.0490196078431371</v>
      </c>
      <c r="AH226" s="1049"/>
      <c r="AI226" s="1136">
        <v>1.36</v>
      </c>
      <c r="AJ226" s="1049"/>
      <c r="AK226" s="1050">
        <f t="shared" si="95"/>
        <v>1.7136000000000002</v>
      </c>
      <c r="AL226" s="1049"/>
      <c r="AM226" s="1058"/>
      <c r="AN226" s="1057">
        <v>22</v>
      </c>
      <c r="AO226" s="1056">
        <v>23</v>
      </c>
      <c r="AP226" s="1055">
        <v>0.21</v>
      </c>
      <c r="AQ226" s="1745">
        <f t="shared" si="96"/>
        <v>0.19109999999999999</v>
      </c>
      <c r="AR226" s="1737">
        <v>0.34</v>
      </c>
      <c r="AS226" s="1052">
        <f t="shared" si="97"/>
        <v>1.6190476190476193</v>
      </c>
      <c r="AT226" s="1049"/>
      <c r="AU226" s="1136">
        <v>0.91</v>
      </c>
      <c r="AV226" s="1049"/>
      <c r="AW226" s="1058"/>
      <c r="AX226" s="1057">
        <v>22</v>
      </c>
      <c r="AY226" s="1056">
        <v>23</v>
      </c>
      <c r="AZ226" s="1055">
        <v>0.14000000000000001</v>
      </c>
      <c r="BA226" s="1736">
        <v>0.28000000000000003</v>
      </c>
      <c r="BB226" s="1737">
        <f t="shared" si="98"/>
        <v>2</v>
      </c>
      <c r="BC226" s="1049"/>
      <c r="BD226" s="1051"/>
      <c r="BE226" s="1049"/>
      <c r="BF226" s="1058"/>
      <c r="BG226" s="1057">
        <v>22</v>
      </c>
      <c r="BH226" s="1056">
        <v>23</v>
      </c>
      <c r="BI226" s="1055">
        <v>0.3</v>
      </c>
      <c r="BJ226" s="1736" t="s">
        <v>1431</v>
      </c>
      <c r="BK226" s="1049"/>
      <c r="BL226" s="1058"/>
      <c r="BM226" s="1057">
        <v>22</v>
      </c>
      <c r="BN226" s="1056">
        <v>23</v>
      </c>
      <c r="BO226" s="1055"/>
      <c r="BP226" s="1783">
        <v>0.17</v>
      </c>
      <c r="BQ226" s="1049"/>
    </row>
    <row r="227" spans="1:69" ht="14.4">
      <c r="A227" s="1049"/>
      <c r="B227" s="1060"/>
      <c r="C227" s="1057">
        <v>23</v>
      </c>
      <c r="D227" s="1056">
        <v>24</v>
      </c>
      <c r="E227" s="1063">
        <v>0.28999999999999998</v>
      </c>
      <c r="F227" s="1062">
        <v>0.83</v>
      </c>
      <c r="G227" s="1061">
        <f t="shared" si="88"/>
        <v>2.8620689655172415</v>
      </c>
      <c r="H227" s="1049"/>
      <c r="I227" s="1060"/>
      <c r="J227" s="1057">
        <v>23</v>
      </c>
      <c r="K227" s="1056">
        <v>24</v>
      </c>
      <c r="L227" s="1055">
        <v>1.256</v>
      </c>
      <c r="M227" s="1059">
        <v>3.47</v>
      </c>
      <c r="N227" s="1052">
        <f t="shared" si="89"/>
        <v>2.7627388535031847</v>
      </c>
      <c r="O227" s="1049"/>
      <c r="P227" s="1058"/>
      <c r="Q227" s="1057">
        <v>23</v>
      </c>
      <c r="R227" s="1056">
        <v>24</v>
      </c>
      <c r="S227" s="1055">
        <v>1.6990000000000001</v>
      </c>
      <c r="T227" s="1054">
        <f t="shared" si="90"/>
        <v>5.41981</v>
      </c>
      <c r="U227" s="1136">
        <v>6.99</v>
      </c>
      <c r="V227" s="1052">
        <f t="shared" si="91"/>
        <v>4.1141848145968218</v>
      </c>
      <c r="W227" s="1049"/>
      <c r="X227" s="1051">
        <v>3.19</v>
      </c>
      <c r="Y227" s="1049"/>
      <c r="Z227" s="1050">
        <f t="shared" si="92"/>
        <v>4.0606099999999996</v>
      </c>
      <c r="AA227" s="1058"/>
      <c r="AB227" s="1057">
        <v>23</v>
      </c>
      <c r="AC227" s="1056">
        <v>24</v>
      </c>
      <c r="AD227" s="1055">
        <v>3.16</v>
      </c>
      <c r="AE227" s="1137">
        <f t="shared" si="93"/>
        <v>3.6023999999999998</v>
      </c>
      <c r="AF227" s="1136">
        <v>5.78</v>
      </c>
      <c r="AG227" s="1052">
        <f t="shared" si="94"/>
        <v>1.8291139240506329</v>
      </c>
      <c r="AH227" s="1049"/>
      <c r="AI227" s="1136">
        <v>1.1399999999999999</v>
      </c>
      <c r="AJ227" s="1049"/>
      <c r="AK227" s="1050">
        <f t="shared" si="95"/>
        <v>1.0743999999999996</v>
      </c>
      <c r="AL227" s="1049"/>
      <c r="AM227" s="1058"/>
      <c r="AN227" s="1057">
        <v>23</v>
      </c>
      <c r="AO227" s="1056">
        <v>24</v>
      </c>
      <c r="AP227" s="1055">
        <v>0.16</v>
      </c>
      <c r="AQ227" s="1745">
        <f t="shared" si="96"/>
        <v>0.14560000000000001</v>
      </c>
      <c r="AR227" s="1737">
        <v>0.26</v>
      </c>
      <c r="AS227" s="1052">
        <f t="shared" si="97"/>
        <v>1.625</v>
      </c>
      <c r="AT227" s="1049"/>
      <c r="AU227" s="1136">
        <v>0.91</v>
      </c>
      <c r="AV227" s="1049"/>
      <c r="AW227" s="1058"/>
      <c r="AX227" s="1057">
        <v>23</v>
      </c>
      <c r="AY227" s="1056">
        <v>24</v>
      </c>
      <c r="AZ227" s="1055">
        <v>0.12</v>
      </c>
      <c r="BA227" s="1736">
        <v>0.22</v>
      </c>
      <c r="BB227" s="1737">
        <f t="shared" si="98"/>
        <v>1.8333333333333335</v>
      </c>
      <c r="BC227" s="1049"/>
      <c r="BD227" s="1051"/>
      <c r="BE227" s="1049"/>
      <c r="BF227" s="1058"/>
      <c r="BG227" s="1057">
        <v>23</v>
      </c>
      <c r="BH227" s="1056">
        <v>24</v>
      </c>
      <c r="BI227" s="1055">
        <v>0.16</v>
      </c>
      <c r="BJ227" s="1736" t="s">
        <v>1369</v>
      </c>
      <c r="BK227" s="1049"/>
      <c r="BL227" s="1058"/>
      <c r="BM227" s="1057">
        <v>23</v>
      </c>
      <c r="BN227" s="1056">
        <v>24</v>
      </c>
      <c r="BO227" s="1055"/>
      <c r="BP227" s="1783">
        <v>0.18</v>
      </c>
      <c r="BQ227" s="1049"/>
    </row>
    <row r="228" spans="1:69" ht="14.4">
      <c r="A228" s="1036"/>
      <c r="B228" s="1044"/>
      <c r="C228" s="1135"/>
      <c r="D228" s="1135"/>
      <c r="E228" s="1134"/>
      <c r="F228" s="1133"/>
      <c r="G228" s="1132"/>
      <c r="H228" s="1044"/>
      <c r="I228" s="1044" t="s">
        <v>1136</v>
      </c>
      <c r="J228" s="1046"/>
      <c r="K228" s="1046"/>
      <c r="L228" s="1129">
        <f>AVERAGE(L229:L252)</f>
        <v>1.5967916666666664</v>
      </c>
      <c r="M228" s="1131">
        <f>AVERAGE(M229:M252)</f>
        <v>3.750833333333333</v>
      </c>
      <c r="N228" s="1039">
        <f>AVERAGE(N229:N252)</f>
        <v>2.2990536697101818</v>
      </c>
      <c r="O228" s="1044"/>
      <c r="P228" s="1130" t="s">
        <v>1128</v>
      </c>
      <c r="Q228" s="1046"/>
      <c r="R228" s="1046"/>
      <c r="S228" s="1129">
        <f>AVERAGE(S229:S252)</f>
        <v>1.8648750000000005</v>
      </c>
      <c r="T228" s="1128">
        <f>SUM(T229:T252)</f>
        <v>158.78326999999999</v>
      </c>
      <c r="U228" s="1040">
        <f>AVERAGE(U229:U252)</f>
        <v>8.5637500000000006</v>
      </c>
      <c r="V228" s="1039">
        <f>AVERAGE(V229:V252)</f>
        <v>4.4736259617491863</v>
      </c>
      <c r="W228" s="1036"/>
      <c r="X228" s="1038">
        <f>AVERAGE(X237:X252)</f>
        <v>3.6956250000000006</v>
      </c>
      <c r="Y228" s="1036"/>
      <c r="Z228" s="1127">
        <f>SUM(Z229:Z252)</f>
        <v>122.97766999999999</v>
      </c>
      <c r="AA228" s="1130" t="s">
        <v>1137</v>
      </c>
      <c r="AB228" s="1046"/>
      <c r="AC228" s="1046"/>
      <c r="AD228" s="1129">
        <f>AVERAGE(AD229:AD252)</f>
        <v>2.3108333333333331</v>
      </c>
      <c r="AE228" s="1128">
        <f>SUM(AE229:AE252)</f>
        <v>69.267800000000008</v>
      </c>
      <c r="AF228" s="1040">
        <f>AVERAGE(AF229:AF252)</f>
        <v>4.6741666666666664</v>
      </c>
      <c r="AG228" s="1039">
        <f>AVERAGE(AG229:AG252)</f>
        <v>2.063420380780705</v>
      </c>
      <c r="AH228" s="1036"/>
      <c r="AI228" s="1038">
        <f>AVERAGE(AI237:AI252)</f>
        <v>1.3328125000000002</v>
      </c>
      <c r="AJ228" s="1036"/>
      <c r="AK228" s="1127">
        <f>SUM(AK229:AK252)</f>
        <v>24.899800000000003</v>
      </c>
      <c r="AL228" s="1036"/>
      <c r="AM228" s="1130"/>
      <c r="AN228" s="1046"/>
      <c r="AO228" s="1046"/>
      <c r="AP228" s="1129">
        <f>AVERAGE(AP229:AP252)</f>
        <v>0.35625000000000001</v>
      </c>
      <c r="AQ228" s="1734">
        <f>SUM(AQ229:AQ252)</f>
        <v>0</v>
      </c>
      <c r="AR228" s="1735">
        <f>AVERAGE(AR229:AR252)</f>
        <v>0.69333333333333347</v>
      </c>
      <c r="AS228" s="1039">
        <f>AVERAGE(AS229:AS252)</f>
        <v>1.7887142676229189</v>
      </c>
      <c r="AT228" s="1036"/>
      <c r="AU228" s="1038" t="e">
        <f>AVERAGE(AU237:AU252)</f>
        <v>#DIV/0!</v>
      </c>
      <c r="AV228" s="1036"/>
      <c r="AW228" s="1130" t="s">
        <v>1130</v>
      </c>
      <c r="AX228" s="1046"/>
      <c r="AY228" s="1046"/>
      <c r="AZ228" s="1129">
        <f>AVERAGE(AZ229:AZ252)</f>
        <v>0.2525</v>
      </c>
      <c r="BA228" s="1045">
        <f>AVERAGE(BA229:BA252)</f>
        <v>0.51708333333333345</v>
      </c>
      <c r="BB228" s="1039">
        <f>AVERAGE(BB229:BB252)</f>
        <v>1.9913400178709864</v>
      </c>
      <c r="BC228" s="1036"/>
      <c r="BD228" s="1038" t="e">
        <f>AVERAGE(BD237:BD252)</f>
        <v>#DIV/0!</v>
      </c>
      <c r="BE228" s="1036"/>
      <c r="BF228" s="1130" t="s">
        <v>1130</v>
      </c>
      <c r="BG228" s="2756">
        <f>BF229</f>
        <v>45026</v>
      </c>
      <c r="BH228" s="2756"/>
      <c r="BI228" s="1897">
        <f>SUM(BI229:BI252)</f>
        <v>7.9399999999999995</v>
      </c>
      <c r="BJ228" s="1898">
        <f>SUM(BJ229:BJ252)</f>
        <v>0</v>
      </c>
      <c r="BK228" s="1036"/>
      <c r="BL228" s="1130" t="s">
        <v>1130</v>
      </c>
      <c r="BM228" s="1046"/>
      <c r="BN228" s="1046"/>
      <c r="BO228" s="1129" t="e">
        <f>AVERAGE(BO229:BO252)</f>
        <v>#DIV/0!</v>
      </c>
      <c r="BP228" s="1129" t="e">
        <f>AVERAGE(BP229:BP252)</f>
        <v>#DIV/0!</v>
      </c>
      <c r="BQ228" s="1036"/>
    </row>
    <row r="229" spans="1:69" ht="14.4">
      <c r="A229" s="1049"/>
      <c r="B229" s="1126">
        <v>44844</v>
      </c>
      <c r="C229" s="1057">
        <v>0</v>
      </c>
      <c r="D229" s="1056">
        <v>1</v>
      </c>
      <c r="E229" s="1063">
        <v>0.25</v>
      </c>
      <c r="F229" s="1062">
        <v>0.72</v>
      </c>
      <c r="G229" s="1061">
        <f t="shared" ref="G229:G252" si="99">F229/E229</f>
        <v>2.88</v>
      </c>
      <c r="H229" s="1049"/>
      <c r="I229" s="1126">
        <v>44875</v>
      </c>
      <c r="J229" s="1057">
        <v>0</v>
      </c>
      <c r="K229" s="1056">
        <v>1</v>
      </c>
      <c r="L229" s="1055">
        <v>1.339</v>
      </c>
      <c r="M229" s="1059">
        <v>3.62</v>
      </c>
      <c r="N229" s="1052">
        <f t="shared" ref="N229:N252" si="100">M229/L229</f>
        <v>2.7035100821508591</v>
      </c>
      <c r="O229" s="1049"/>
      <c r="P229" s="1125">
        <v>44905</v>
      </c>
      <c r="Q229" s="1057">
        <v>0</v>
      </c>
      <c r="R229" s="1056">
        <v>1</v>
      </c>
      <c r="S229" s="1055">
        <v>1.115</v>
      </c>
      <c r="T229" s="1054">
        <f t="shared" ref="T229:T252" si="101">S229*X229</f>
        <v>3.3896000000000002</v>
      </c>
      <c r="U229" s="1136">
        <v>4.55</v>
      </c>
      <c r="V229" s="1052">
        <f t="shared" ref="V229:V252" si="102">U229/S229</f>
        <v>4.0807174887892375</v>
      </c>
      <c r="W229" s="1049"/>
      <c r="X229" s="1051">
        <v>3.04</v>
      </c>
      <c r="Y229" s="1049"/>
      <c r="Z229" s="1050">
        <f t="shared" ref="Z229:Z252" si="103">S229*(X229-0.8)</f>
        <v>2.4976000000000003</v>
      </c>
      <c r="AA229" s="1125">
        <v>44936</v>
      </c>
      <c r="AB229" s="1057">
        <v>0</v>
      </c>
      <c r="AC229" s="1056">
        <v>1</v>
      </c>
      <c r="AD229" s="1055">
        <v>2.13</v>
      </c>
      <c r="AE229" s="1137">
        <f t="shared" ref="AE229:AE252" si="104">AD229*AI229</f>
        <v>2.3856000000000002</v>
      </c>
      <c r="AF229" s="1136">
        <v>3.86</v>
      </c>
      <c r="AG229" s="1052">
        <f t="shared" ref="AG229:AG252" si="105">AF229/AD229</f>
        <v>1.812206572769953</v>
      </c>
      <c r="AH229" s="1049"/>
      <c r="AI229" s="1136">
        <v>1.1200000000000001</v>
      </c>
      <c r="AJ229" s="1049"/>
      <c r="AK229" s="1050">
        <f t="shared" ref="AK229:AK252" si="106">AD229*(AI229-0.8)</f>
        <v>0.68160000000000009</v>
      </c>
      <c r="AL229" s="1049"/>
      <c r="AM229" s="1125">
        <v>44967</v>
      </c>
      <c r="AN229" s="1057">
        <v>0</v>
      </c>
      <c r="AO229" s="1056">
        <v>1</v>
      </c>
      <c r="AP229" s="1055">
        <v>0.17</v>
      </c>
      <c r="AQ229" s="1745">
        <f t="shared" ref="AQ229:AQ252" si="107">AP229*AU229</f>
        <v>0</v>
      </c>
      <c r="AR229" s="1737">
        <v>0.25</v>
      </c>
      <c r="AS229" s="1052">
        <f t="shared" ref="AS229:AS252" si="108">AR229/AP229</f>
        <v>1.4705882352941175</v>
      </c>
      <c r="AT229" s="1049"/>
      <c r="AU229" s="1136"/>
      <c r="AV229" s="1049"/>
      <c r="AW229" s="1125">
        <v>44995</v>
      </c>
      <c r="AX229" s="1057">
        <v>0</v>
      </c>
      <c r="AY229" s="1056">
        <v>1</v>
      </c>
      <c r="AZ229" s="1055">
        <v>0.12</v>
      </c>
      <c r="BA229" s="1736">
        <v>0.21</v>
      </c>
      <c r="BB229" s="1737">
        <f t="shared" ref="BB229:BB252" si="109">BA229/AZ229</f>
        <v>1.75</v>
      </c>
      <c r="BC229" s="1049"/>
      <c r="BD229" s="1136"/>
      <c r="BE229" s="1049"/>
      <c r="BF229" s="1125">
        <v>45026</v>
      </c>
      <c r="BG229" s="1057">
        <v>0</v>
      </c>
      <c r="BH229" s="1056">
        <v>1</v>
      </c>
      <c r="BI229" s="1055">
        <v>0.11</v>
      </c>
      <c r="BJ229" s="1736" t="s">
        <v>1398</v>
      </c>
      <c r="BK229" s="1049"/>
      <c r="BL229" s="1125">
        <v>45026</v>
      </c>
      <c r="BM229" s="1057">
        <v>0</v>
      </c>
      <c r="BN229" s="1056">
        <v>1</v>
      </c>
      <c r="BO229" s="1055"/>
      <c r="BP229" s="1055"/>
      <c r="BQ229" s="1049"/>
    </row>
    <row r="230" spans="1:69" ht="14.4">
      <c r="A230" s="1049"/>
      <c r="B230" s="1124"/>
      <c r="C230" s="1057">
        <v>1</v>
      </c>
      <c r="D230" s="1056">
        <v>2</v>
      </c>
      <c r="E230" s="1063">
        <v>0.2</v>
      </c>
      <c r="F230" s="1062">
        <v>0.57999999999999996</v>
      </c>
      <c r="G230" s="1061">
        <f t="shared" si="99"/>
        <v>2.8999999999999995</v>
      </c>
      <c r="H230" s="1049"/>
      <c r="I230" s="1124"/>
      <c r="J230" s="1057">
        <v>1</v>
      </c>
      <c r="K230" s="1056">
        <v>2</v>
      </c>
      <c r="L230" s="1055">
        <v>1.2869999999999999</v>
      </c>
      <c r="M230" s="1059">
        <v>3.05</v>
      </c>
      <c r="N230" s="1052">
        <f t="shared" si="100"/>
        <v>2.3698523698523699</v>
      </c>
      <c r="O230" s="1049"/>
      <c r="P230" s="1123"/>
      <c r="Q230" s="1057">
        <v>1</v>
      </c>
      <c r="R230" s="1056">
        <v>2</v>
      </c>
      <c r="S230" s="1055">
        <v>0.38200000000000001</v>
      </c>
      <c r="T230" s="1054">
        <f t="shared" si="101"/>
        <v>1.13836</v>
      </c>
      <c r="U230" s="1136">
        <v>1.54</v>
      </c>
      <c r="V230" s="1052">
        <f t="shared" si="102"/>
        <v>4.0314136125654452</v>
      </c>
      <c r="W230" s="1049"/>
      <c r="X230" s="1051">
        <v>2.98</v>
      </c>
      <c r="Y230" s="1049"/>
      <c r="Z230" s="1050">
        <f t="shared" si="103"/>
        <v>0.83275999999999994</v>
      </c>
      <c r="AA230" s="1123"/>
      <c r="AB230" s="1057">
        <v>1</v>
      </c>
      <c r="AC230" s="1056">
        <v>2</v>
      </c>
      <c r="AD230" s="1055">
        <v>2.0499999999999998</v>
      </c>
      <c r="AE230" s="1137">
        <f t="shared" si="104"/>
        <v>2.1114999999999999</v>
      </c>
      <c r="AF230" s="1136">
        <v>3.53</v>
      </c>
      <c r="AG230" s="1052">
        <f t="shared" si="105"/>
        <v>1.7219512195121951</v>
      </c>
      <c r="AH230" s="1049"/>
      <c r="AI230" s="1136">
        <v>1.03</v>
      </c>
      <c r="AJ230" s="1049"/>
      <c r="AK230" s="1050">
        <f t="shared" si="106"/>
        <v>0.47149999999999992</v>
      </c>
      <c r="AL230" s="1049"/>
      <c r="AM230" s="1123"/>
      <c r="AN230" s="1057">
        <v>1</v>
      </c>
      <c r="AO230" s="1056">
        <v>2</v>
      </c>
      <c r="AP230" s="1055">
        <v>0.17</v>
      </c>
      <c r="AQ230" s="1745">
        <f t="shared" si="107"/>
        <v>0</v>
      </c>
      <c r="AR230" s="1737">
        <v>0.27</v>
      </c>
      <c r="AS230" s="1052">
        <f t="shared" si="108"/>
        <v>1.588235294117647</v>
      </c>
      <c r="AT230" s="1049"/>
      <c r="AU230" s="1136"/>
      <c r="AV230" s="1049"/>
      <c r="AW230" s="1123"/>
      <c r="AX230" s="1057">
        <v>1</v>
      </c>
      <c r="AY230" s="1056">
        <v>2</v>
      </c>
      <c r="AZ230" s="1055">
        <v>0.1</v>
      </c>
      <c r="BA230" s="1736">
        <v>0.18</v>
      </c>
      <c r="BB230" s="1737">
        <f t="shared" si="109"/>
        <v>1.7999999999999998</v>
      </c>
      <c r="BC230" s="1049"/>
      <c r="BD230" s="1136"/>
      <c r="BE230" s="1049"/>
      <c r="BF230" s="1123"/>
      <c r="BG230" s="1057">
        <v>1</v>
      </c>
      <c r="BH230" s="1056">
        <v>2</v>
      </c>
      <c r="BI230" s="1055">
        <v>0.12</v>
      </c>
      <c r="BJ230" s="1736" t="s">
        <v>1398</v>
      </c>
      <c r="BK230" s="1049"/>
      <c r="BL230" s="1123"/>
      <c r="BM230" s="1057">
        <v>1</v>
      </c>
      <c r="BN230" s="1056">
        <v>2</v>
      </c>
      <c r="BO230" s="1055"/>
      <c r="BP230" s="1055"/>
      <c r="BQ230" s="1049"/>
    </row>
    <row r="231" spans="1:69" ht="14.4">
      <c r="A231" s="1049"/>
      <c r="B231" s="1122">
        <f>SUM(E229:E252)</f>
        <v>12.68</v>
      </c>
      <c r="C231" s="1057">
        <v>2</v>
      </c>
      <c r="D231" s="1056">
        <v>3</v>
      </c>
      <c r="E231" s="1063">
        <v>0.67</v>
      </c>
      <c r="F231" s="1062">
        <v>1.94</v>
      </c>
      <c r="G231" s="1061">
        <f t="shared" si="99"/>
        <v>2.8955223880597014</v>
      </c>
      <c r="H231" s="1049"/>
      <c r="I231" s="1122">
        <f>SUM(L229:L252)</f>
        <v>38.322999999999993</v>
      </c>
      <c r="J231" s="1057">
        <v>2</v>
      </c>
      <c r="K231" s="1056">
        <v>3</v>
      </c>
      <c r="L231" s="1055">
        <v>1.7829999999999999</v>
      </c>
      <c r="M231" s="1059">
        <v>4.0599999999999996</v>
      </c>
      <c r="N231" s="1052">
        <f t="shared" si="100"/>
        <v>2.2770611329220416</v>
      </c>
      <c r="O231" s="1049"/>
      <c r="P231" s="1121">
        <f>SUM(S229:S252)</f>
        <v>44.757000000000012</v>
      </c>
      <c r="Q231" s="1057">
        <v>2</v>
      </c>
      <c r="R231" s="1056">
        <v>3</v>
      </c>
      <c r="S231" s="1055">
        <v>0.41799999999999998</v>
      </c>
      <c r="T231" s="1054">
        <f t="shared" si="101"/>
        <v>1.18712</v>
      </c>
      <c r="U231" s="1136">
        <v>1.62</v>
      </c>
      <c r="V231" s="1052">
        <f t="shared" si="102"/>
        <v>3.8755980861244024</v>
      </c>
      <c r="W231" s="1049"/>
      <c r="X231" s="1051">
        <v>2.84</v>
      </c>
      <c r="Y231" s="1049"/>
      <c r="Z231" s="1050">
        <f t="shared" si="103"/>
        <v>0.85272000000000003</v>
      </c>
      <c r="AA231" s="1121">
        <f>SUM(AD229:AD252)</f>
        <v>55.459999999999994</v>
      </c>
      <c r="AB231" s="1057">
        <v>2</v>
      </c>
      <c r="AC231" s="1056">
        <v>3</v>
      </c>
      <c r="AD231" s="1055">
        <v>2.29</v>
      </c>
      <c r="AE231" s="1137">
        <f t="shared" si="104"/>
        <v>2.3357999999999999</v>
      </c>
      <c r="AF231" s="1136">
        <v>3.91</v>
      </c>
      <c r="AG231" s="1052">
        <f t="shared" si="105"/>
        <v>1.7074235807860263</v>
      </c>
      <c r="AH231" s="1049"/>
      <c r="AI231" s="1136">
        <v>1.02</v>
      </c>
      <c r="AJ231" s="1049"/>
      <c r="AK231" s="1050">
        <f t="shared" si="106"/>
        <v>0.50379999999999991</v>
      </c>
      <c r="AL231" s="1049"/>
      <c r="AM231" s="1121">
        <f>SUM(AP229:AP252)</f>
        <v>8.5500000000000007</v>
      </c>
      <c r="AN231" s="1057">
        <v>2</v>
      </c>
      <c r="AO231" s="1056">
        <v>3</v>
      </c>
      <c r="AP231" s="1055">
        <v>0.12</v>
      </c>
      <c r="AQ231" s="1745">
        <f t="shared" si="107"/>
        <v>0</v>
      </c>
      <c r="AR231" s="1737">
        <v>0.19</v>
      </c>
      <c r="AS231" s="1052">
        <f t="shared" si="108"/>
        <v>1.5833333333333335</v>
      </c>
      <c r="AT231" s="1049"/>
      <c r="AU231" s="1136"/>
      <c r="AV231" s="1049"/>
      <c r="AW231" s="1121">
        <f>SUM(AZ229:AZ252)</f>
        <v>6.0600000000000005</v>
      </c>
      <c r="AX231" s="1057">
        <v>2</v>
      </c>
      <c r="AY231" s="1056">
        <v>3</v>
      </c>
      <c r="AZ231" s="1055">
        <v>0.1</v>
      </c>
      <c r="BA231" s="1736">
        <v>0.17</v>
      </c>
      <c r="BB231" s="1737">
        <f t="shared" si="109"/>
        <v>1.7</v>
      </c>
      <c r="BC231" s="1049"/>
      <c r="BD231" s="1136"/>
      <c r="BE231" s="1049"/>
      <c r="BF231" s="1121">
        <f>SUM(BI229:BI252)</f>
        <v>7.9399999999999995</v>
      </c>
      <c r="BG231" s="1057">
        <v>2</v>
      </c>
      <c r="BH231" s="1056">
        <v>3</v>
      </c>
      <c r="BI231" s="1055">
        <v>0.06</v>
      </c>
      <c r="BJ231" s="1736" t="s">
        <v>1447</v>
      </c>
      <c r="BK231" s="1049"/>
      <c r="BL231" s="1121">
        <f>SUM(BO229:BO252)+SUM(BP229:BP252)</f>
        <v>0</v>
      </c>
      <c r="BM231" s="1057">
        <v>2</v>
      </c>
      <c r="BN231" s="1056">
        <v>3</v>
      </c>
      <c r="BO231" s="1055"/>
      <c r="BP231" s="1055"/>
      <c r="BQ231" s="1049"/>
    </row>
    <row r="232" spans="1:69" ht="14.4">
      <c r="A232" s="1049"/>
      <c r="B232" s="1120">
        <f>B231/24</f>
        <v>0.52833333333333332</v>
      </c>
      <c r="C232" s="1057">
        <v>3</v>
      </c>
      <c r="D232" s="1056">
        <v>4</v>
      </c>
      <c r="E232" s="1063">
        <v>0.25</v>
      </c>
      <c r="F232" s="1062">
        <v>0.71</v>
      </c>
      <c r="G232" s="1061">
        <f t="shared" si="99"/>
        <v>2.84</v>
      </c>
      <c r="H232" s="1049"/>
      <c r="I232" s="1120">
        <f>I231/24</f>
        <v>1.5967916666666664</v>
      </c>
      <c r="J232" s="1057">
        <v>3</v>
      </c>
      <c r="K232" s="1056">
        <v>4</v>
      </c>
      <c r="L232" s="1055">
        <v>1.254</v>
      </c>
      <c r="M232" s="1059">
        <v>2.86</v>
      </c>
      <c r="N232" s="1052">
        <f t="shared" si="100"/>
        <v>2.2807017543859649</v>
      </c>
      <c r="O232" s="1049"/>
      <c r="P232" s="1120">
        <f>P231/24</f>
        <v>1.8648750000000005</v>
      </c>
      <c r="Q232" s="1057">
        <v>3</v>
      </c>
      <c r="R232" s="1056">
        <v>4</v>
      </c>
      <c r="S232" s="1055">
        <v>0.42899999999999999</v>
      </c>
      <c r="T232" s="1054">
        <f t="shared" si="101"/>
        <v>1.2011999999999998</v>
      </c>
      <c r="U232" s="1136">
        <v>1.65</v>
      </c>
      <c r="V232" s="1052">
        <f t="shared" si="102"/>
        <v>3.8461538461538458</v>
      </c>
      <c r="W232" s="1049"/>
      <c r="X232" s="1051">
        <v>2.8</v>
      </c>
      <c r="Y232" s="1049"/>
      <c r="Z232" s="1050">
        <f t="shared" si="103"/>
        <v>0.85799999999999987</v>
      </c>
      <c r="AA232" s="1120">
        <f>AA231/24</f>
        <v>2.3108333333333331</v>
      </c>
      <c r="AB232" s="1057">
        <v>3</v>
      </c>
      <c r="AC232" s="1056">
        <v>4</v>
      </c>
      <c r="AD232" s="1055">
        <v>1.89</v>
      </c>
      <c r="AE232" s="1137">
        <f t="shared" si="104"/>
        <v>1.8332999999999999</v>
      </c>
      <c r="AF232" s="1136">
        <v>3.13</v>
      </c>
      <c r="AG232" s="1052">
        <f t="shared" si="105"/>
        <v>1.656084656084656</v>
      </c>
      <c r="AH232" s="1049"/>
      <c r="AI232" s="1136">
        <v>0.97</v>
      </c>
      <c r="AJ232" s="1049"/>
      <c r="AK232" s="1050">
        <f t="shared" si="106"/>
        <v>0.32129999999999986</v>
      </c>
      <c r="AL232" s="1049"/>
      <c r="AM232" s="1120">
        <f>AM231/24</f>
        <v>0.35625000000000001</v>
      </c>
      <c r="AN232" s="1057">
        <v>3</v>
      </c>
      <c r="AO232" s="1056">
        <v>4</v>
      </c>
      <c r="AP232" s="1055">
        <v>0.11</v>
      </c>
      <c r="AQ232" s="1745">
        <f t="shared" si="107"/>
        <v>0</v>
      </c>
      <c r="AR232" s="1737">
        <v>0.18</v>
      </c>
      <c r="AS232" s="1052">
        <f t="shared" si="108"/>
        <v>1.6363636363636362</v>
      </c>
      <c r="AT232" s="1049"/>
      <c r="AU232" s="1136"/>
      <c r="AV232" s="1049"/>
      <c r="AW232" s="1120">
        <f>AW231/24</f>
        <v>0.2525</v>
      </c>
      <c r="AX232" s="1057">
        <v>3</v>
      </c>
      <c r="AY232" s="1056">
        <v>4</v>
      </c>
      <c r="AZ232" s="1055">
        <v>0.12</v>
      </c>
      <c r="BA232" s="1736">
        <v>0.21</v>
      </c>
      <c r="BB232" s="1737">
        <f t="shared" si="109"/>
        <v>1.75</v>
      </c>
      <c r="BC232" s="1049"/>
      <c r="BD232" s="1136"/>
      <c r="BE232" s="1049"/>
      <c r="BF232" s="1120">
        <f>BF231/24</f>
        <v>0.33083333333333331</v>
      </c>
      <c r="BG232" s="1057">
        <v>3</v>
      </c>
      <c r="BH232" s="1056">
        <v>4</v>
      </c>
      <c r="BI232" s="1055">
        <v>0.14000000000000001</v>
      </c>
      <c r="BJ232" s="1736" t="s">
        <v>1367</v>
      </c>
      <c r="BK232" s="1049"/>
      <c r="BL232" s="1120">
        <f>BL231/24</f>
        <v>0</v>
      </c>
      <c r="BM232" s="1057">
        <v>3</v>
      </c>
      <c r="BN232" s="1056">
        <v>4</v>
      </c>
      <c r="BO232" s="1055"/>
      <c r="BP232" s="1055"/>
      <c r="BQ232" s="1049"/>
    </row>
    <row r="233" spans="1:69" ht="14.4">
      <c r="A233" s="1049"/>
      <c r="B233" s="1119"/>
      <c r="C233" s="1057">
        <v>4</v>
      </c>
      <c r="D233" s="1056">
        <v>5</v>
      </c>
      <c r="E233" s="1063">
        <v>0.22</v>
      </c>
      <c r="F233" s="1062">
        <v>0.62</v>
      </c>
      <c r="G233" s="1061">
        <f t="shared" si="99"/>
        <v>2.8181818181818183</v>
      </c>
      <c r="H233" s="1049"/>
      <c r="I233" s="1119"/>
      <c r="J233" s="1057">
        <v>4</v>
      </c>
      <c r="K233" s="1056">
        <v>5</v>
      </c>
      <c r="L233" s="1055">
        <v>1.44</v>
      </c>
      <c r="M233" s="1059">
        <v>3.26</v>
      </c>
      <c r="N233" s="1052">
        <f t="shared" si="100"/>
        <v>2.2638888888888888</v>
      </c>
      <c r="O233" s="1049"/>
      <c r="P233" s="1118"/>
      <c r="Q233" s="1057">
        <v>4</v>
      </c>
      <c r="R233" s="1056">
        <v>5</v>
      </c>
      <c r="S233" s="1055">
        <v>1.0660000000000001</v>
      </c>
      <c r="T233" s="1054">
        <f t="shared" si="101"/>
        <v>2.9634800000000001</v>
      </c>
      <c r="U233" s="1136">
        <v>4.08</v>
      </c>
      <c r="V233" s="1052">
        <f t="shared" si="102"/>
        <v>3.8273921200750469</v>
      </c>
      <c r="W233" s="1049"/>
      <c r="X233" s="1051">
        <v>2.78</v>
      </c>
      <c r="Y233" s="1049"/>
      <c r="Z233" s="1050">
        <f t="shared" si="103"/>
        <v>2.1106799999999999</v>
      </c>
      <c r="AA233" s="1118"/>
      <c r="AB233" s="1057">
        <v>4</v>
      </c>
      <c r="AC233" s="1056">
        <v>5</v>
      </c>
      <c r="AD233" s="1055">
        <v>1.95</v>
      </c>
      <c r="AE233" s="1137">
        <f t="shared" si="104"/>
        <v>1.9889999999999999</v>
      </c>
      <c r="AF233" s="1136">
        <v>3.34</v>
      </c>
      <c r="AG233" s="1052">
        <f t="shared" si="105"/>
        <v>1.7128205128205127</v>
      </c>
      <c r="AH233" s="1049"/>
      <c r="AI233" s="1136">
        <v>1.02</v>
      </c>
      <c r="AJ233" s="1049"/>
      <c r="AK233" s="1050">
        <f t="shared" si="106"/>
        <v>0.42899999999999994</v>
      </c>
      <c r="AL233" s="1049"/>
      <c r="AM233" s="1118"/>
      <c r="AN233" s="1057">
        <v>4</v>
      </c>
      <c r="AO233" s="1056">
        <v>5</v>
      </c>
      <c r="AP233" s="1055">
        <v>0.17</v>
      </c>
      <c r="AQ233" s="1745">
        <f t="shared" si="107"/>
        <v>0</v>
      </c>
      <c r="AR233" s="1737">
        <v>0.28000000000000003</v>
      </c>
      <c r="AS233" s="1052">
        <f t="shared" si="108"/>
        <v>1.6470588235294119</v>
      </c>
      <c r="AT233" s="1049"/>
      <c r="AU233" s="1136"/>
      <c r="AV233" s="1049"/>
      <c r="AW233" s="1118"/>
      <c r="AX233" s="1057">
        <v>4</v>
      </c>
      <c r="AY233" s="1056">
        <v>5</v>
      </c>
      <c r="AZ233" s="1055">
        <v>0.23</v>
      </c>
      <c r="BA233" s="1736">
        <v>0.4</v>
      </c>
      <c r="BB233" s="1737">
        <f t="shared" si="109"/>
        <v>1.7391304347826086</v>
      </c>
      <c r="BC233" s="1049"/>
      <c r="BD233" s="1136"/>
      <c r="BE233" s="1049"/>
      <c r="BF233" s="1118"/>
      <c r="BG233" s="1057">
        <v>4</v>
      </c>
      <c r="BH233" s="1056">
        <v>5</v>
      </c>
      <c r="BI233" s="1055">
        <v>0.1</v>
      </c>
      <c r="BJ233" s="1736" t="s">
        <v>1364</v>
      </c>
      <c r="BK233" s="1049"/>
      <c r="BL233" s="1118"/>
      <c r="BM233" s="1057">
        <v>4</v>
      </c>
      <c r="BN233" s="1056">
        <v>5</v>
      </c>
      <c r="BO233" s="1055"/>
      <c r="BP233" s="1055"/>
      <c r="BQ233" s="1049"/>
    </row>
    <row r="234" spans="1:69" ht="15" thickBot="1">
      <c r="A234" s="1049"/>
      <c r="B234" s="1058">
        <f>SUM(F229:F252)</f>
        <v>37.51</v>
      </c>
      <c r="C234" s="1111">
        <v>5</v>
      </c>
      <c r="D234" s="1110">
        <v>6</v>
      </c>
      <c r="E234" s="1117">
        <v>0.35</v>
      </c>
      <c r="F234" s="1116">
        <v>1.02</v>
      </c>
      <c r="G234" s="1115">
        <f t="shared" si="99"/>
        <v>2.9142857142857146</v>
      </c>
      <c r="H234" s="1049"/>
      <c r="I234" s="1058">
        <f>SUM(M229:M252)</f>
        <v>90.02</v>
      </c>
      <c r="J234" s="1111">
        <v>5</v>
      </c>
      <c r="K234" s="1110">
        <v>6</v>
      </c>
      <c r="L234" s="1109">
        <v>1.397</v>
      </c>
      <c r="M234" s="1114">
        <v>3.31</v>
      </c>
      <c r="N234" s="1113">
        <f t="shared" si="100"/>
        <v>2.369362920544023</v>
      </c>
      <c r="O234" s="1049"/>
      <c r="P234" s="1112">
        <f>SUM(U229:U252)</f>
        <v>205.53000000000003</v>
      </c>
      <c r="Q234" s="1111">
        <v>5</v>
      </c>
      <c r="R234" s="1110">
        <v>6</v>
      </c>
      <c r="S234" s="1109">
        <v>1.601</v>
      </c>
      <c r="T234" s="1054">
        <f t="shared" si="101"/>
        <v>4.4827999999999992</v>
      </c>
      <c r="U234" s="1146">
        <v>6.16</v>
      </c>
      <c r="V234" s="1052">
        <f t="shared" si="102"/>
        <v>3.847595252966896</v>
      </c>
      <c r="W234" s="1049"/>
      <c r="X234" s="1074">
        <v>2.8</v>
      </c>
      <c r="Y234" s="1049"/>
      <c r="Z234" s="1050">
        <f t="shared" si="103"/>
        <v>3.2019999999999995</v>
      </c>
      <c r="AA234" s="1112">
        <f>SUM(AF229:AF252)</f>
        <v>112.17999999999999</v>
      </c>
      <c r="AB234" s="1111">
        <v>5</v>
      </c>
      <c r="AC234" s="1110">
        <v>6</v>
      </c>
      <c r="AD234" s="1109">
        <v>1.97</v>
      </c>
      <c r="AE234" s="1147">
        <f t="shared" si="104"/>
        <v>2.2457999999999996</v>
      </c>
      <c r="AF234" s="1146">
        <v>3.61</v>
      </c>
      <c r="AG234" s="1052">
        <f t="shared" si="105"/>
        <v>1.8324873096446701</v>
      </c>
      <c r="AH234" s="1049"/>
      <c r="AI234" s="1146">
        <v>1.1399999999999999</v>
      </c>
      <c r="AJ234" s="1049"/>
      <c r="AK234" s="1050">
        <f t="shared" si="106"/>
        <v>0.66979999999999973</v>
      </c>
      <c r="AL234" s="1049"/>
      <c r="AM234" s="1112">
        <f>SUM(AR229:AR252)</f>
        <v>16.640000000000004</v>
      </c>
      <c r="AN234" s="1111">
        <v>5</v>
      </c>
      <c r="AO234" s="1110">
        <v>6</v>
      </c>
      <c r="AP234" s="1109">
        <v>0.17</v>
      </c>
      <c r="AQ234" s="1746">
        <f t="shared" si="107"/>
        <v>0</v>
      </c>
      <c r="AR234" s="1739">
        <v>0.28999999999999998</v>
      </c>
      <c r="AS234" s="1052">
        <f t="shared" si="108"/>
        <v>1.7058823529411762</v>
      </c>
      <c r="AT234" s="1049"/>
      <c r="AU234" s="1146"/>
      <c r="AV234" s="1049"/>
      <c r="AW234" s="1112">
        <f>SUM(BA229:BA252)</f>
        <v>12.410000000000002</v>
      </c>
      <c r="AX234" s="1111">
        <v>5</v>
      </c>
      <c r="AY234" s="1110">
        <v>6</v>
      </c>
      <c r="AZ234" s="1109">
        <v>0.2</v>
      </c>
      <c r="BA234" s="1738">
        <v>0.36</v>
      </c>
      <c r="BB234" s="1739">
        <f t="shared" si="109"/>
        <v>1.7999999999999998</v>
      </c>
      <c r="BC234" s="1049"/>
      <c r="BD234" s="1146"/>
      <c r="BE234" s="1049"/>
      <c r="BF234" s="1112">
        <f>SUM(BJ229:BJ252)</f>
        <v>0</v>
      </c>
      <c r="BG234" s="1111">
        <v>5</v>
      </c>
      <c r="BH234" s="1110">
        <v>6</v>
      </c>
      <c r="BI234" s="1109">
        <v>0.15</v>
      </c>
      <c r="BJ234" s="1738" t="s">
        <v>1405</v>
      </c>
      <c r="BK234" s="1049"/>
      <c r="BL234" s="1112">
        <f>SUM(BP229:BP252)</f>
        <v>0</v>
      </c>
      <c r="BM234" s="1111">
        <v>5</v>
      </c>
      <c r="BN234" s="1110">
        <v>6</v>
      </c>
      <c r="BO234" s="1109"/>
      <c r="BP234" s="1109"/>
      <c r="BQ234" s="1049"/>
    </row>
    <row r="235" spans="1:69" ht="14.4">
      <c r="A235" s="1049"/>
      <c r="B235" s="1093">
        <f>B234/B231</f>
        <v>2.9582018927444795</v>
      </c>
      <c r="C235" s="1100">
        <v>6</v>
      </c>
      <c r="D235" s="1099">
        <v>7</v>
      </c>
      <c r="E235" s="1107">
        <v>0.4</v>
      </c>
      <c r="F235" s="1106">
        <v>1.1499999999999999</v>
      </c>
      <c r="G235" s="1105">
        <f t="shared" si="99"/>
        <v>2.8749999999999996</v>
      </c>
      <c r="H235" s="1049"/>
      <c r="I235" s="1093">
        <f>I234/I231</f>
        <v>2.3489810296688676</v>
      </c>
      <c r="J235" s="1100">
        <v>6</v>
      </c>
      <c r="K235" s="1099">
        <v>7</v>
      </c>
      <c r="L235" s="1098">
        <v>1.6</v>
      </c>
      <c r="M235" s="1103">
        <v>4.91</v>
      </c>
      <c r="N235" s="1102">
        <f t="shared" si="100"/>
        <v>3.0687500000000001</v>
      </c>
      <c r="O235" s="1049"/>
      <c r="P235" s="1093">
        <f>P234/P231</f>
        <v>4.5921308398686236</v>
      </c>
      <c r="Q235" s="1100">
        <v>6</v>
      </c>
      <c r="R235" s="1099">
        <v>7</v>
      </c>
      <c r="S235" s="1098">
        <v>1.7789999999999999</v>
      </c>
      <c r="T235" s="1054">
        <f t="shared" si="101"/>
        <v>5.1235199999999992</v>
      </c>
      <c r="U235" s="1144">
        <v>6.98</v>
      </c>
      <c r="V235" s="1052">
        <f t="shared" si="102"/>
        <v>3.923552557616639</v>
      </c>
      <c r="W235" s="1049"/>
      <c r="X235" s="1108">
        <v>2.88</v>
      </c>
      <c r="Y235" s="1049"/>
      <c r="Z235" s="1050">
        <f t="shared" si="103"/>
        <v>3.7003200000000001</v>
      </c>
      <c r="AA235" s="1093">
        <f>AA234/AA231</f>
        <v>2.022719076812117</v>
      </c>
      <c r="AB235" s="1100">
        <v>6</v>
      </c>
      <c r="AC235" s="1099">
        <v>7</v>
      </c>
      <c r="AD235" s="1098">
        <v>2.4</v>
      </c>
      <c r="AE235" s="1145">
        <f t="shared" si="104"/>
        <v>3.4079999999999999</v>
      </c>
      <c r="AF235" s="1144">
        <v>5.05</v>
      </c>
      <c r="AG235" s="1052">
        <f t="shared" si="105"/>
        <v>2.1041666666666665</v>
      </c>
      <c r="AH235" s="1049"/>
      <c r="AI235" s="1144">
        <v>1.42</v>
      </c>
      <c r="AJ235" s="1049"/>
      <c r="AK235" s="1050">
        <f t="shared" si="106"/>
        <v>1.4879999999999998</v>
      </c>
      <c r="AL235" s="1049"/>
      <c r="AM235" s="1093">
        <f>AM234/AM231</f>
        <v>1.9461988304093572</v>
      </c>
      <c r="AN235" s="1100">
        <v>6</v>
      </c>
      <c r="AO235" s="1099">
        <v>7</v>
      </c>
      <c r="AP235" s="1098">
        <v>0.16</v>
      </c>
      <c r="AQ235" s="1747">
        <f t="shared" si="107"/>
        <v>0</v>
      </c>
      <c r="AR235" s="1741">
        <v>0.28999999999999998</v>
      </c>
      <c r="AS235" s="1052">
        <f t="shared" si="108"/>
        <v>1.8124999999999998</v>
      </c>
      <c r="AT235" s="1049"/>
      <c r="AU235" s="1144"/>
      <c r="AV235" s="1049"/>
      <c r="AW235" s="1093">
        <f>AW234/AW231</f>
        <v>2.047854785478548</v>
      </c>
      <c r="AX235" s="1100">
        <v>6</v>
      </c>
      <c r="AY235" s="1099">
        <v>7</v>
      </c>
      <c r="AZ235" s="1098">
        <v>0.24</v>
      </c>
      <c r="BA235" s="1740">
        <v>0.46</v>
      </c>
      <c r="BB235" s="1741">
        <f t="shared" si="109"/>
        <v>1.9166666666666667</v>
      </c>
      <c r="BC235" s="1049"/>
      <c r="BD235" s="1144"/>
      <c r="BE235" s="1049"/>
      <c r="BF235" s="1093">
        <f>BF234/BF231</f>
        <v>0</v>
      </c>
      <c r="BG235" s="1100">
        <v>6</v>
      </c>
      <c r="BH235" s="1099">
        <v>7</v>
      </c>
      <c r="BI235" s="1098">
        <v>0.06</v>
      </c>
      <c r="BJ235" s="1740" t="s">
        <v>1447</v>
      </c>
      <c r="BK235" s="1049"/>
      <c r="BL235" s="1093" t="e">
        <f>BL234/BL231</f>
        <v>#DIV/0!</v>
      </c>
      <c r="BM235" s="1100">
        <v>6</v>
      </c>
      <c r="BN235" s="1099">
        <v>7</v>
      </c>
      <c r="BO235" s="1098"/>
      <c r="BP235" s="1098"/>
      <c r="BQ235" s="1049"/>
    </row>
    <row r="236" spans="1:69" ht="14.4">
      <c r="A236" s="1049"/>
      <c r="B236" s="1104"/>
      <c r="C236" s="1100">
        <v>7</v>
      </c>
      <c r="D236" s="1099">
        <v>8</v>
      </c>
      <c r="E236" s="1107">
        <v>0.41</v>
      </c>
      <c r="F236" s="1106">
        <v>1.17</v>
      </c>
      <c r="G236" s="1105">
        <f t="shared" si="99"/>
        <v>2.8536585365853657</v>
      </c>
      <c r="H236" s="1049"/>
      <c r="I236" s="1104"/>
      <c r="J236" s="1100">
        <v>7</v>
      </c>
      <c r="K236" s="1099">
        <v>8</v>
      </c>
      <c r="L236" s="1098">
        <v>2.089</v>
      </c>
      <c r="M236" s="1103">
        <v>7</v>
      </c>
      <c r="N236" s="1102">
        <f t="shared" si="100"/>
        <v>3.3508855911919579</v>
      </c>
      <c r="O236" s="1049"/>
      <c r="P236" s="1101"/>
      <c r="Q236" s="1100">
        <v>7</v>
      </c>
      <c r="R236" s="1099">
        <v>8</v>
      </c>
      <c r="S236" s="1098">
        <v>1.946</v>
      </c>
      <c r="T236" s="1054">
        <f t="shared" si="101"/>
        <v>5.9352999999999998</v>
      </c>
      <c r="U236" s="1144">
        <v>7.96</v>
      </c>
      <c r="V236" s="1052">
        <f t="shared" si="102"/>
        <v>4.0904419321685506</v>
      </c>
      <c r="W236" s="1049"/>
      <c r="X236" s="1065">
        <v>3.05</v>
      </c>
      <c r="Y236" s="1049"/>
      <c r="Z236" s="1050">
        <f t="shared" si="103"/>
        <v>4.3784999999999998</v>
      </c>
      <c r="AA236" s="1101"/>
      <c r="AB236" s="1100">
        <v>7</v>
      </c>
      <c r="AC236" s="1099">
        <v>8</v>
      </c>
      <c r="AD236" s="1098">
        <v>2.65</v>
      </c>
      <c r="AE236" s="1145">
        <f t="shared" si="104"/>
        <v>4.1604999999999999</v>
      </c>
      <c r="AF236" s="1144">
        <v>5.99</v>
      </c>
      <c r="AG236" s="1052">
        <f t="shared" si="105"/>
        <v>2.2603773584905662</v>
      </c>
      <c r="AH236" s="1049"/>
      <c r="AI236" s="1144">
        <v>1.57</v>
      </c>
      <c r="AJ236" s="1049"/>
      <c r="AK236" s="1050">
        <f t="shared" si="106"/>
        <v>2.0404999999999998</v>
      </c>
      <c r="AL236" s="1049"/>
      <c r="AM236" s="1101"/>
      <c r="AN236" s="1100">
        <v>7</v>
      </c>
      <c r="AO236" s="1099">
        <v>8</v>
      </c>
      <c r="AP236" s="1098">
        <v>1.25</v>
      </c>
      <c r="AQ236" s="1747">
        <f t="shared" si="107"/>
        <v>0</v>
      </c>
      <c r="AR236" s="1741">
        <v>2.96</v>
      </c>
      <c r="AS236" s="1052">
        <f t="shared" si="108"/>
        <v>2.3679999999999999</v>
      </c>
      <c r="AT236" s="1049"/>
      <c r="AU236" s="1144"/>
      <c r="AV236" s="1049"/>
      <c r="AW236" s="1101"/>
      <c r="AX236" s="1100">
        <v>7</v>
      </c>
      <c r="AY236" s="1099">
        <v>8</v>
      </c>
      <c r="AZ236" s="1098">
        <v>0.31</v>
      </c>
      <c r="BA236" s="1736">
        <v>0.65</v>
      </c>
      <c r="BB236" s="1741">
        <f t="shared" si="109"/>
        <v>2.096774193548387</v>
      </c>
      <c r="BC236" s="1049"/>
      <c r="BD236" s="1144"/>
      <c r="BE236" s="1049"/>
      <c r="BF236" s="1101"/>
      <c r="BG236" s="1100">
        <v>7</v>
      </c>
      <c r="BH236" s="1099">
        <v>8</v>
      </c>
      <c r="BI236" s="1098">
        <v>0.11</v>
      </c>
      <c r="BJ236" s="1736" t="s">
        <v>1381</v>
      </c>
      <c r="BK236" s="1049"/>
      <c r="BL236" s="1101"/>
      <c r="BM236" s="1100">
        <v>7</v>
      </c>
      <c r="BN236" s="1099">
        <v>8</v>
      </c>
      <c r="BO236" s="1098"/>
      <c r="BP236" s="1098"/>
      <c r="BQ236" s="1049"/>
    </row>
    <row r="237" spans="1:69" ht="14.4">
      <c r="A237" s="1049"/>
      <c r="B237" s="1097">
        <f>B234/24</f>
        <v>1.5629166666666665</v>
      </c>
      <c r="C237" s="1086">
        <v>8</v>
      </c>
      <c r="D237" s="1085">
        <v>9</v>
      </c>
      <c r="E237" s="1091">
        <v>0.45</v>
      </c>
      <c r="F237" s="1090">
        <v>1.3</v>
      </c>
      <c r="G237" s="1089">
        <f t="shared" si="99"/>
        <v>2.8888888888888888</v>
      </c>
      <c r="H237" s="1049"/>
      <c r="I237" s="1097">
        <f>I234/24</f>
        <v>3.750833333333333</v>
      </c>
      <c r="J237" s="1086">
        <v>8</v>
      </c>
      <c r="K237" s="1085">
        <v>9</v>
      </c>
      <c r="L237" s="1084">
        <v>2.4830000000000001</v>
      </c>
      <c r="M237" s="1088">
        <v>8.7200000000000006</v>
      </c>
      <c r="N237" s="1087">
        <f t="shared" si="100"/>
        <v>3.5118807893677007</v>
      </c>
      <c r="O237" s="1049"/>
      <c r="P237" s="1096">
        <f>P234/24</f>
        <v>8.5637500000000006</v>
      </c>
      <c r="Q237" s="1086">
        <v>8</v>
      </c>
      <c r="R237" s="1085">
        <v>9</v>
      </c>
      <c r="S237" s="1084">
        <v>1.835</v>
      </c>
      <c r="T237" s="1054">
        <f t="shared" si="101"/>
        <v>6.1472499999999997</v>
      </c>
      <c r="U237" s="1142">
        <v>8.06</v>
      </c>
      <c r="V237" s="1052">
        <f t="shared" si="102"/>
        <v>4.3923705722070849</v>
      </c>
      <c r="W237" s="1049"/>
      <c r="X237" s="1051">
        <v>3.35</v>
      </c>
      <c r="Y237" s="1049"/>
      <c r="Z237" s="1050">
        <f t="shared" si="103"/>
        <v>4.6792499999999997</v>
      </c>
      <c r="AA237" s="1096">
        <f>AA234/24</f>
        <v>4.6741666666666664</v>
      </c>
      <c r="AB237" s="1086">
        <v>8</v>
      </c>
      <c r="AC237" s="1085">
        <v>9</v>
      </c>
      <c r="AD237" s="1084">
        <v>2.59</v>
      </c>
      <c r="AE237" s="1143">
        <f t="shared" si="104"/>
        <v>4.3252999999999995</v>
      </c>
      <c r="AF237" s="1142">
        <v>6.11</v>
      </c>
      <c r="AG237" s="1052">
        <f t="shared" si="105"/>
        <v>2.3590733590733595</v>
      </c>
      <c r="AH237" s="1049"/>
      <c r="AI237" s="1142">
        <v>1.67</v>
      </c>
      <c r="AJ237" s="1049"/>
      <c r="AK237" s="1050">
        <f t="shared" si="106"/>
        <v>2.2532999999999994</v>
      </c>
      <c r="AL237" s="1049"/>
      <c r="AM237" s="1096">
        <f>AM234/24</f>
        <v>0.69333333333333347</v>
      </c>
      <c r="AN237" s="1086">
        <v>8</v>
      </c>
      <c r="AO237" s="1085">
        <v>9</v>
      </c>
      <c r="AP237" s="1084">
        <v>0.28000000000000003</v>
      </c>
      <c r="AQ237" s="1748">
        <f t="shared" si="107"/>
        <v>0</v>
      </c>
      <c r="AR237" s="1742">
        <v>0.69</v>
      </c>
      <c r="AS237" s="1052">
        <f t="shared" si="108"/>
        <v>2.464285714285714</v>
      </c>
      <c r="AT237" s="1049"/>
      <c r="AU237" s="1142"/>
      <c r="AV237" s="1049"/>
      <c r="AW237" s="1096">
        <f>AW234/24</f>
        <v>0.51708333333333345</v>
      </c>
      <c r="AX237" s="1086">
        <v>8</v>
      </c>
      <c r="AY237" s="1085">
        <v>9</v>
      </c>
      <c r="AZ237" s="1084">
        <v>0.54</v>
      </c>
      <c r="BA237" s="1736">
        <v>1.1499999999999999</v>
      </c>
      <c r="BB237" s="1742">
        <f t="shared" si="109"/>
        <v>2.1296296296296293</v>
      </c>
      <c r="BC237" s="1049"/>
      <c r="BD237" s="1142"/>
      <c r="BE237" s="1049"/>
      <c r="BF237" s="1096">
        <f>BF234/24</f>
        <v>0</v>
      </c>
      <c r="BG237" s="1086">
        <v>8</v>
      </c>
      <c r="BH237" s="1085">
        <v>9</v>
      </c>
      <c r="BI237" s="1084">
        <v>0.17</v>
      </c>
      <c r="BJ237" s="1736" t="s">
        <v>1371</v>
      </c>
      <c r="BK237" s="1049"/>
      <c r="BL237" s="1096">
        <f>BL234/24</f>
        <v>0</v>
      </c>
      <c r="BM237" s="1086">
        <v>8</v>
      </c>
      <c r="BN237" s="1085">
        <v>9</v>
      </c>
      <c r="BO237" s="1084"/>
      <c r="BP237" s="1084"/>
      <c r="BQ237" s="1049"/>
    </row>
    <row r="238" spans="1:69" ht="14.4">
      <c r="A238" s="1049"/>
      <c r="B238" s="1097"/>
      <c r="C238" s="1086">
        <v>9</v>
      </c>
      <c r="D238" s="1085">
        <v>10</v>
      </c>
      <c r="E238" s="1091">
        <v>0.51</v>
      </c>
      <c r="F238" s="1090">
        <v>1.48</v>
      </c>
      <c r="G238" s="1089">
        <f t="shared" si="99"/>
        <v>2.9019607843137254</v>
      </c>
      <c r="H238" s="1049"/>
      <c r="I238" s="1097"/>
      <c r="J238" s="1086">
        <v>9</v>
      </c>
      <c r="K238" s="1085">
        <v>10</v>
      </c>
      <c r="L238" s="1084">
        <v>2.5609999999999999</v>
      </c>
      <c r="M238" s="1088">
        <v>7.95</v>
      </c>
      <c r="N238" s="1087">
        <f t="shared" si="100"/>
        <v>3.1042561499414294</v>
      </c>
      <c r="O238" s="1049"/>
      <c r="P238" s="1096"/>
      <c r="Q238" s="1086">
        <v>9</v>
      </c>
      <c r="R238" s="1085" t="s">
        <v>144</v>
      </c>
      <c r="S238" s="1084">
        <v>1.8069999999999999</v>
      </c>
      <c r="T238" s="1054">
        <f t="shared" si="101"/>
        <v>6.9027399999999997</v>
      </c>
      <c r="U238" s="1142">
        <v>8.7899999999999991</v>
      </c>
      <c r="V238" s="1052">
        <f t="shared" si="102"/>
        <v>4.8644161593801876</v>
      </c>
      <c r="W238" s="1049"/>
      <c r="X238" s="1051">
        <v>3.82</v>
      </c>
      <c r="Y238" s="1049"/>
      <c r="Z238" s="1050">
        <f t="shared" si="103"/>
        <v>5.457139999999999</v>
      </c>
      <c r="AA238" s="1096"/>
      <c r="AB238" s="1086">
        <v>9</v>
      </c>
      <c r="AC238" s="1085">
        <v>11</v>
      </c>
      <c r="AD238" s="1084">
        <v>2.71</v>
      </c>
      <c r="AE238" s="1143">
        <f t="shared" si="104"/>
        <v>4.3902000000000001</v>
      </c>
      <c r="AF238" s="1142">
        <v>6.28</v>
      </c>
      <c r="AG238" s="1052">
        <f t="shared" si="105"/>
        <v>2.3173431734317345</v>
      </c>
      <c r="AH238" s="1049"/>
      <c r="AI238" s="1142">
        <v>1.62</v>
      </c>
      <c r="AJ238" s="1049"/>
      <c r="AK238" s="1050">
        <f t="shared" si="106"/>
        <v>2.2222</v>
      </c>
      <c r="AL238" s="1049"/>
      <c r="AM238" s="1096"/>
      <c r="AN238" s="1086">
        <v>9</v>
      </c>
      <c r="AO238" s="1085">
        <v>11</v>
      </c>
      <c r="AP238" s="1084">
        <v>0.34</v>
      </c>
      <c r="AQ238" s="1748">
        <f t="shared" si="107"/>
        <v>0</v>
      </c>
      <c r="AR238" s="1742">
        <v>0.74</v>
      </c>
      <c r="AS238" s="1052">
        <f t="shared" si="108"/>
        <v>2.1764705882352939</v>
      </c>
      <c r="AT238" s="1049"/>
      <c r="AU238" s="1142"/>
      <c r="AV238" s="1049"/>
      <c r="AW238" s="1096"/>
      <c r="AX238" s="1086">
        <v>9</v>
      </c>
      <c r="AY238" s="1085">
        <v>11</v>
      </c>
      <c r="AZ238" s="1084">
        <v>0.24</v>
      </c>
      <c r="BA238" s="1736">
        <v>0.5</v>
      </c>
      <c r="BB238" s="1742">
        <f t="shared" si="109"/>
        <v>2.0833333333333335</v>
      </c>
      <c r="BC238" s="1049"/>
      <c r="BD238" s="1142"/>
      <c r="BE238" s="1049"/>
      <c r="BF238" s="1096"/>
      <c r="BG238" s="1086">
        <v>9</v>
      </c>
      <c r="BH238" s="1085">
        <v>11</v>
      </c>
      <c r="BI238" s="1084">
        <v>0.25</v>
      </c>
      <c r="BJ238" s="1736" t="s">
        <v>1374</v>
      </c>
      <c r="BK238" s="1049"/>
      <c r="BL238" s="1096"/>
      <c r="BM238" s="1086">
        <v>9</v>
      </c>
      <c r="BN238" s="1085">
        <v>11</v>
      </c>
      <c r="BO238" s="1084"/>
      <c r="BP238" s="1084"/>
      <c r="BQ238" s="1049"/>
    </row>
    <row r="239" spans="1:69" ht="14.4">
      <c r="A239" s="1049"/>
      <c r="B239" s="1060"/>
      <c r="C239" s="1086">
        <v>10</v>
      </c>
      <c r="D239" s="1085">
        <v>11</v>
      </c>
      <c r="E239" s="1091">
        <v>0.39</v>
      </c>
      <c r="F239" s="1090">
        <v>1.1299999999999999</v>
      </c>
      <c r="G239" s="1089">
        <f t="shared" si="99"/>
        <v>2.8974358974358969</v>
      </c>
      <c r="H239" s="1049"/>
      <c r="I239" s="1060"/>
      <c r="J239" s="1086">
        <v>10</v>
      </c>
      <c r="K239" s="1085">
        <v>11</v>
      </c>
      <c r="L239" s="1084">
        <v>1.804</v>
      </c>
      <c r="M239" s="1088">
        <v>4.2699999999999996</v>
      </c>
      <c r="N239" s="1087">
        <f t="shared" si="100"/>
        <v>2.366962305986696</v>
      </c>
      <c r="O239" s="1049"/>
      <c r="P239" s="1095">
        <f>SUM(Z229:Z252)</f>
        <v>122.97766999999999</v>
      </c>
      <c r="Q239" s="1086">
        <v>10</v>
      </c>
      <c r="R239" s="1085"/>
      <c r="S239" s="1084">
        <v>2.23</v>
      </c>
      <c r="T239" s="1054">
        <f t="shared" si="101"/>
        <v>8.9869000000000003</v>
      </c>
      <c r="U239" s="1142">
        <v>11.32</v>
      </c>
      <c r="V239" s="1052">
        <f t="shared" si="102"/>
        <v>5.0762331838565027</v>
      </c>
      <c r="W239" s="1049"/>
      <c r="X239" s="1051">
        <v>4.03</v>
      </c>
      <c r="Y239" s="1049"/>
      <c r="Z239" s="1050">
        <f t="shared" si="103"/>
        <v>7.2029000000000005</v>
      </c>
      <c r="AA239" s="1095">
        <f>SUM(AK229:AK252)</f>
        <v>24.899800000000003</v>
      </c>
      <c r="AB239" s="1086">
        <v>10</v>
      </c>
      <c r="AC239" s="1085">
        <v>12</v>
      </c>
      <c r="AD239" s="1084">
        <v>2.73</v>
      </c>
      <c r="AE239" s="1143">
        <f t="shared" si="104"/>
        <v>4.2861000000000002</v>
      </c>
      <c r="AF239" s="1142">
        <v>6.17</v>
      </c>
      <c r="AG239" s="1052">
        <f t="shared" si="105"/>
        <v>2.26007326007326</v>
      </c>
      <c r="AH239" s="1049"/>
      <c r="AI239" s="1142">
        <v>1.57</v>
      </c>
      <c r="AJ239" s="1049"/>
      <c r="AK239" s="1050">
        <f t="shared" si="106"/>
        <v>2.1021000000000001</v>
      </c>
      <c r="AL239" s="1049"/>
      <c r="AM239" s="1095" t="e">
        <f>SUM(#REF!)</f>
        <v>#REF!</v>
      </c>
      <c r="AN239" s="1086">
        <v>10</v>
      </c>
      <c r="AO239" s="1085">
        <v>12</v>
      </c>
      <c r="AP239" s="1084">
        <v>1.08</v>
      </c>
      <c r="AQ239" s="1748">
        <f t="shared" si="107"/>
        <v>0</v>
      </c>
      <c r="AR239" s="1742">
        <v>2.0299999999999998</v>
      </c>
      <c r="AS239" s="1052">
        <f t="shared" si="108"/>
        <v>1.8796296296296293</v>
      </c>
      <c r="AT239" s="1049"/>
      <c r="AU239" s="1142"/>
      <c r="AV239" s="1049"/>
      <c r="AW239" s="1095" t="e">
        <f>SUM(#REF!)</f>
        <v>#REF!</v>
      </c>
      <c r="AX239" s="1086">
        <v>10</v>
      </c>
      <c r="AY239" s="1085">
        <v>12</v>
      </c>
      <c r="AZ239" s="1084">
        <v>0.26</v>
      </c>
      <c r="BA239" s="1736">
        <v>0.53</v>
      </c>
      <c r="BB239" s="1742">
        <f t="shared" si="109"/>
        <v>2.0384615384615383</v>
      </c>
      <c r="BC239" s="1049"/>
      <c r="BD239" s="1142"/>
      <c r="BE239" s="1049"/>
      <c r="BF239" s="1095" t="e">
        <f>SUM(#REF!)</f>
        <v>#REF!</v>
      </c>
      <c r="BG239" s="1086">
        <v>10</v>
      </c>
      <c r="BH239" s="1085">
        <v>12</v>
      </c>
      <c r="BI239" s="1084">
        <v>0.27</v>
      </c>
      <c r="BJ239" s="1736" t="s">
        <v>1387</v>
      </c>
      <c r="BK239" s="1049"/>
      <c r="BL239" s="1095" t="e">
        <f>SUM(#REF!)</f>
        <v>#REF!</v>
      </c>
      <c r="BM239" s="1086">
        <v>10</v>
      </c>
      <c r="BN239" s="1085">
        <v>12</v>
      </c>
      <c r="BO239" s="1084"/>
      <c r="BP239" s="1084"/>
      <c r="BQ239" s="1049"/>
    </row>
    <row r="240" spans="1:69" ht="14.4">
      <c r="A240" s="1049"/>
      <c r="B240" s="1060"/>
      <c r="C240" s="1086">
        <v>11</v>
      </c>
      <c r="D240" s="1085">
        <v>12</v>
      </c>
      <c r="E240" s="1091">
        <v>1.22</v>
      </c>
      <c r="F240" s="1090">
        <v>3.53</v>
      </c>
      <c r="G240" s="1089">
        <f t="shared" si="99"/>
        <v>2.8934426229508197</v>
      </c>
      <c r="H240" s="1049"/>
      <c r="I240" s="1060"/>
      <c r="J240" s="1086">
        <v>11</v>
      </c>
      <c r="K240" s="1085">
        <v>12</v>
      </c>
      <c r="L240" s="1084">
        <v>1.7749999999999999</v>
      </c>
      <c r="M240" s="1088">
        <v>1.02</v>
      </c>
      <c r="N240" s="1087">
        <f t="shared" si="100"/>
        <v>0.57464788732394367</v>
      </c>
      <c r="O240" s="1049"/>
      <c r="P240" s="1093">
        <f>P239/P231</f>
        <v>2.747674553701096</v>
      </c>
      <c r="Q240" s="1086">
        <v>11</v>
      </c>
      <c r="R240" s="1085">
        <v>12</v>
      </c>
      <c r="S240" s="1084">
        <v>2.7549999999999999</v>
      </c>
      <c r="T240" s="1054">
        <f t="shared" si="101"/>
        <v>10.93735</v>
      </c>
      <c r="U240" s="1142">
        <v>13.8</v>
      </c>
      <c r="V240" s="1052">
        <f t="shared" si="102"/>
        <v>5.0090744101633398</v>
      </c>
      <c r="W240" s="1049"/>
      <c r="X240" s="1051">
        <v>3.97</v>
      </c>
      <c r="Y240" s="1049"/>
      <c r="Z240" s="1050">
        <f t="shared" si="103"/>
        <v>8.7333499999999997</v>
      </c>
      <c r="AA240" s="1093">
        <f>AA239/AA231</f>
        <v>0.44896862603678339</v>
      </c>
      <c r="AB240" s="1086">
        <v>11</v>
      </c>
      <c r="AC240" s="1085">
        <v>12</v>
      </c>
      <c r="AD240" s="1084">
        <v>2.58</v>
      </c>
      <c r="AE240" s="1143">
        <f t="shared" si="104"/>
        <v>3.8442000000000003</v>
      </c>
      <c r="AF240" s="1142">
        <v>5.63</v>
      </c>
      <c r="AG240" s="1052">
        <f t="shared" si="105"/>
        <v>2.1821705426356588</v>
      </c>
      <c r="AH240" s="1049"/>
      <c r="AI240" s="1142">
        <v>1.49</v>
      </c>
      <c r="AJ240" s="1049"/>
      <c r="AK240" s="1050">
        <f t="shared" si="106"/>
        <v>1.7802</v>
      </c>
      <c r="AL240" s="1049"/>
      <c r="AM240" s="1093" t="e">
        <f>AM239/AM231</f>
        <v>#REF!</v>
      </c>
      <c r="AN240" s="1086">
        <v>11</v>
      </c>
      <c r="AO240" s="1085">
        <v>12</v>
      </c>
      <c r="AP240" s="1084">
        <v>0.46</v>
      </c>
      <c r="AQ240" s="1748">
        <f t="shared" si="107"/>
        <v>0</v>
      </c>
      <c r="AR240" s="1742">
        <v>0.8</v>
      </c>
      <c r="AS240" s="1052">
        <f t="shared" si="108"/>
        <v>1.7391304347826086</v>
      </c>
      <c r="AT240" s="1049"/>
      <c r="AU240" s="1142"/>
      <c r="AV240" s="1049"/>
      <c r="AW240" s="1093" t="e">
        <f>AW239/AW231</f>
        <v>#REF!</v>
      </c>
      <c r="AX240" s="1086">
        <v>11</v>
      </c>
      <c r="AY240" s="1085">
        <v>12</v>
      </c>
      <c r="AZ240" s="1084">
        <v>0.31</v>
      </c>
      <c r="BA240" s="1736">
        <v>0.62</v>
      </c>
      <c r="BB240" s="1742">
        <f t="shared" si="109"/>
        <v>2</v>
      </c>
      <c r="BC240" s="1049"/>
      <c r="BD240" s="1142"/>
      <c r="BE240" s="1049"/>
      <c r="BF240" s="1093" t="e">
        <f>BF239/BF231</f>
        <v>#REF!</v>
      </c>
      <c r="BG240" s="1086">
        <v>11</v>
      </c>
      <c r="BH240" s="1085">
        <v>12</v>
      </c>
      <c r="BI240" s="1084">
        <v>0.36</v>
      </c>
      <c r="BJ240" s="1736" t="s">
        <v>1375</v>
      </c>
      <c r="BK240" s="1049"/>
      <c r="BL240" s="1093" t="e">
        <f>BL239/BL231</f>
        <v>#REF!</v>
      </c>
      <c r="BM240" s="1086">
        <v>11</v>
      </c>
      <c r="BN240" s="1085">
        <v>12</v>
      </c>
      <c r="BO240" s="1084"/>
      <c r="BP240" s="1084"/>
      <c r="BQ240" s="1049"/>
    </row>
    <row r="241" spans="1:69" ht="14.4">
      <c r="A241" s="1049"/>
      <c r="B241" s="1060"/>
      <c r="C241" s="1086">
        <v>12</v>
      </c>
      <c r="D241" s="1085">
        <v>13</v>
      </c>
      <c r="E241" s="1091">
        <v>1.48</v>
      </c>
      <c r="F241" s="1090">
        <v>4.2699999999999996</v>
      </c>
      <c r="G241" s="1089">
        <f t="shared" si="99"/>
        <v>2.8851351351351351</v>
      </c>
      <c r="H241" s="1049"/>
      <c r="I241" s="1060"/>
      <c r="J241" s="1086">
        <v>12</v>
      </c>
      <c r="K241" s="1085">
        <v>13</v>
      </c>
      <c r="L241" s="1084">
        <v>1.909</v>
      </c>
      <c r="M241" s="1088">
        <v>3.94</v>
      </c>
      <c r="N241" s="1087">
        <f t="shared" si="100"/>
        <v>2.0639078051335775</v>
      </c>
      <c r="O241" s="1049"/>
      <c r="P241" s="1060"/>
      <c r="Q241" s="1086">
        <v>12</v>
      </c>
      <c r="R241" s="1085">
        <v>13</v>
      </c>
      <c r="S241" s="1084">
        <v>2.5470000000000002</v>
      </c>
      <c r="T241" s="1054">
        <f t="shared" si="101"/>
        <v>9.7550100000000004</v>
      </c>
      <c r="U241" s="1142">
        <v>12.42</v>
      </c>
      <c r="V241" s="1052">
        <f t="shared" si="102"/>
        <v>4.8763250883392226</v>
      </c>
      <c r="W241" s="1049"/>
      <c r="X241" s="1051">
        <v>3.83</v>
      </c>
      <c r="Y241" s="1049"/>
      <c r="Z241" s="1050">
        <f t="shared" si="103"/>
        <v>7.717410000000001</v>
      </c>
      <c r="AA241" s="1060"/>
      <c r="AB241" s="1086">
        <v>12</v>
      </c>
      <c r="AC241" s="1085">
        <v>13</v>
      </c>
      <c r="AD241" s="1084">
        <v>2.13</v>
      </c>
      <c r="AE241" s="1143">
        <f t="shared" si="104"/>
        <v>3.0671999999999997</v>
      </c>
      <c r="AF241" s="1142">
        <v>4.55</v>
      </c>
      <c r="AG241" s="1052">
        <f t="shared" si="105"/>
        <v>2.136150234741784</v>
      </c>
      <c r="AH241" s="1049"/>
      <c r="AI241" s="1142">
        <v>1.44</v>
      </c>
      <c r="AJ241" s="1049"/>
      <c r="AK241" s="1050">
        <f t="shared" si="106"/>
        <v>1.3631999999999997</v>
      </c>
      <c r="AL241" s="1049"/>
      <c r="AM241" s="1060"/>
      <c r="AN241" s="1086">
        <v>12</v>
      </c>
      <c r="AO241" s="1085">
        <v>13</v>
      </c>
      <c r="AP241" s="1084">
        <v>0.13</v>
      </c>
      <c r="AQ241" s="1748">
        <f t="shared" si="107"/>
        <v>0</v>
      </c>
      <c r="AR241" s="1742">
        <v>0.22</v>
      </c>
      <c r="AS241" s="1052">
        <f t="shared" si="108"/>
        <v>1.6923076923076923</v>
      </c>
      <c r="AT241" s="1049"/>
      <c r="AU241" s="1142"/>
      <c r="AV241" s="1049"/>
      <c r="AW241" s="1060"/>
      <c r="AX241" s="1086">
        <v>12</v>
      </c>
      <c r="AY241" s="1085">
        <v>13</v>
      </c>
      <c r="AZ241" s="1084">
        <v>0.4</v>
      </c>
      <c r="BA241" s="1736">
        <v>0.76</v>
      </c>
      <c r="BB241" s="1742">
        <f t="shared" si="109"/>
        <v>1.9</v>
      </c>
      <c r="BC241" s="1049"/>
      <c r="BD241" s="1142"/>
      <c r="BE241" s="1049"/>
      <c r="BF241" s="1060"/>
      <c r="BG241" s="1086">
        <v>12</v>
      </c>
      <c r="BH241" s="1085">
        <v>13</v>
      </c>
      <c r="BI241" s="1084">
        <v>0.32</v>
      </c>
      <c r="BJ241" s="1736" t="s">
        <v>1392</v>
      </c>
      <c r="BK241" s="1049"/>
      <c r="BL241" s="1060"/>
      <c r="BM241" s="1086">
        <v>12</v>
      </c>
      <c r="BN241" s="1085">
        <v>13</v>
      </c>
      <c r="BO241" s="1084"/>
      <c r="BP241" s="1084"/>
      <c r="BQ241" s="1049"/>
    </row>
    <row r="242" spans="1:69" ht="14.4">
      <c r="A242" s="1049"/>
      <c r="B242" s="1060"/>
      <c r="C242" s="1086">
        <v>13</v>
      </c>
      <c r="D242" s="1085">
        <v>14</v>
      </c>
      <c r="E242" s="1091">
        <v>1</v>
      </c>
      <c r="F242" s="1090">
        <v>2.89</v>
      </c>
      <c r="G242" s="1089">
        <f t="shared" si="99"/>
        <v>2.89</v>
      </c>
      <c r="H242" s="1049"/>
      <c r="I242" s="1060"/>
      <c r="J242" s="1086">
        <v>13</v>
      </c>
      <c r="K242" s="1085">
        <v>14</v>
      </c>
      <c r="L242" s="1084">
        <v>1.391</v>
      </c>
      <c r="M242" s="1088">
        <v>2.84</v>
      </c>
      <c r="N242" s="1087">
        <f t="shared" si="100"/>
        <v>2.0416966211358734</v>
      </c>
      <c r="O242" s="1049"/>
      <c r="P242" s="1092" t="s">
        <v>1127</v>
      </c>
      <c r="Q242" s="1086">
        <v>13</v>
      </c>
      <c r="R242" s="1085">
        <v>14</v>
      </c>
      <c r="S242" s="1084">
        <v>2.5590000000000002</v>
      </c>
      <c r="T242" s="1054">
        <f t="shared" si="101"/>
        <v>9.2891700000000004</v>
      </c>
      <c r="U242" s="1142">
        <v>11.95</v>
      </c>
      <c r="V242" s="1052">
        <f t="shared" si="102"/>
        <v>4.6697928878468149</v>
      </c>
      <c r="W242" s="1049"/>
      <c r="X242" s="1051">
        <v>3.63</v>
      </c>
      <c r="Y242" s="1049"/>
      <c r="Z242" s="1050">
        <f t="shared" si="103"/>
        <v>7.2419700000000002</v>
      </c>
      <c r="AA242" s="1092" t="s">
        <v>1127</v>
      </c>
      <c r="AB242" s="1086">
        <v>13</v>
      </c>
      <c r="AC242" s="1085">
        <v>14</v>
      </c>
      <c r="AD242" s="1084">
        <v>1.74</v>
      </c>
      <c r="AE242" s="1143">
        <f t="shared" si="104"/>
        <v>2.5230000000000001</v>
      </c>
      <c r="AF242" s="1142">
        <v>3.73</v>
      </c>
      <c r="AG242" s="1052">
        <f t="shared" si="105"/>
        <v>2.1436781609195403</v>
      </c>
      <c r="AH242" s="1049"/>
      <c r="AI242" s="1142">
        <v>1.45</v>
      </c>
      <c r="AJ242" s="1049"/>
      <c r="AK242" s="1050">
        <f t="shared" si="106"/>
        <v>1.1309999999999998</v>
      </c>
      <c r="AL242" s="1049"/>
      <c r="AM242" s="1092" t="s">
        <v>1127</v>
      </c>
      <c r="AN242" s="1086">
        <v>13</v>
      </c>
      <c r="AO242" s="1085">
        <v>14</v>
      </c>
      <c r="AP242" s="1084">
        <v>0.28000000000000003</v>
      </c>
      <c r="AQ242" s="1748">
        <f t="shared" si="107"/>
        <v>0</v>
      </c>
      <c r="AR242" s="1742">
        <v>0.47</v>
      </c>
      <c r="AS242" s="1052">
        <f t="shared" si="108"/>
        <v>1.6785714285714284</v>
      </c>
      <c r="AT242" s="1049"/>
      <c r="AU242" s="1142"/>
      <c r="AV242" s="1049"/>
      <c r="AW242" s="1092" t="s">
        <v>1127</v>
      </c>
      <c r="AX242" s="1086">
        <v>13</v>
      </c>
      <c r="AY242" s="1085">
        <v>14</v>
      </c>
      <c r="AZ242" s="1084">
        <v>0.35</v>
      </c>
      <c r="BA242" s="1736">
        <v>0.66</v>
      </c>
      <c r="BB242" s="1742">
        <f t="shared" si="109"/>
        <v>1.8857142857142859</v>
      </c>
      <c r="BC242" s="1049"/>
      <c r="BD242" s="1142"/>
      <c r="BE242" s="1049"/>
      <c r="BF242" s="1092" t="s">
        <v>1127</v>
      </c>
      <c r="BG242" s="1086">
        <v>13</v>
      </c>
      <c r="BH242" s="1085">
        <v>14</v>
      </c>
      <c r="BI242" s="1084">
        <v>0.32</v>
      </c>
      <c r="BJ242" s="1736" t="s">
        <v>1393</v>
      </c>
      <c r="BK242" s="1049"/>
      <c r="BL242" s="1092" t="s">
        <v>1127</v>
      </c>
      <c r="BM242" s="1086">
        <v>13</v>
      </c>
      <c r="BN242" s="1085">
        <v>14</v>
      </c>
      <c r="BO242" s="1084"/>
      <c r="BP242" s="1084"/>
      <c r="BQ242" s="1049"/>
    </row>
    <row r="243" spans="1:69" ht="14.4">
      <c r="A243" s="1049"/>
      <c r="B243" s="1060"/>
      <c r="C243" s="1086">
        <v>14</v>
      </c>
      <c r="D243" s="1085">
        <v>15</v>
      </c>
      <c r="E243" s="1091">
        <v>0.73</v>
      </c>
      <c r="F243" s="1090">
        <v>2.12</v>
      </c>
      <c r="G243" s="1089">
        <f t="shared" si="99"/>
        <v>2.904109589041096</v>
      </c>
      <c r="H243" s="1049"/>
      <c r="I243" s="1060"/>
      <c r="J243" s="1086">
        <v>14</v>
      </c>
      <c r="K243" s="1085">
        <v>15</v>
      </c>
      <c r="L243" s="1084">
        <v>1.266</v>
      </c>
      <c r="M243" s="1088">
        <v>2.52</v>
      </c>
      <c r="N243" s="1087">
        <f t="shared" si="100"/>
        <v>1.9905213270142179</v>
      </c>
      <c r="O243" s="1049"/>
      <c r="P243" s="1058">
        <f>P231*0.8</f>
        <v>35.805600000000013</v>
      </c>
      <c r="Q243" s="1086">
        <v>14</v>
      </c>
      <c r="R243" s="1085">
        <v>15</v>
      </c>
      <c r="S243" s="1084">
        <v>2.056</v>
      </c>
      <c r="T243" s="1054">
        <f t="shared" si="101"/>
        <v>7.4838400000000007</v>
      </c>
      <c r="U243" s="1142">
        <v>9.6300000000000008</v>
      </c>
      <c r="V243" s="1052">
        <f t="shared" si="102"/>
        <v>4.6838521400778212</v>
      </c>
      <c r="W243" s="1049"/>
      <c r="X243" s="1051">
        <v>3.64</v>
      </c>
      <c r="Y243" s="1049"/>
      <c r="Z243" s="1050">
        <f t="shared" si="103"/>
        <v>5.8390399999999998</v>
      </c>
      <c r="AA243" s="1058">
        <f>AA231*0.8</f>
        <v>44.367999999999995</v>
      </c>
      <c r="AB243" s="1086">
        <v>14</v>
      </c>
      <c r="AC243" s="1085">
        <v>15</v>
      </c>
      <c r="AD243" s="1084">
        <v>1.54</v>
      </c>
      <c r="AE243" s="1143">
        <f t="shared" si="104"/>
        <v>2.2791999999999999</v>
      </c>
      <c r="AF243" s="1142">
        <v>3.34</v>
      </c>
      <c r="AG243" s="1052">
        <f t="shared" si="105"/>
        <v>2.1688311688311686</v>
      </c>
      <c r="AH243" s="1049"/>
      <c r="AI243" s="1142">
        <v>1.48</v>
      </c>
      <c r="AJ243" s="1049"/>
      <c r="AK243" s="1050">
        <f t="shared" si="106"/>
        <v>1.0471999999999999</v>
      </c>
      <c r="AL243" s="1049"/>
      <c r="AM243" s="1058">
        <f>AM231*0.8</f>
        <v>6.8400000000000007</v>
      </c>
      <c r="AN243" s="1086">
        <v>14</v>
      </c>
      <c r="AO243" s="1085">
        <v>15</v>
      </c>
      <c r="AP243" s="1084">
        <v>0.28000000000000003</v>
      </c>
      <c r="AQ243" s="1748">
        <f t="shared" si="107"/>
        <v>0</v>
      </c>
      <c r="AR243" s="1742">
        <v>0.45</v>
      </c>
      <c r="AS243" s="1052">
        <f t="shared" si="108"/>
        <v>1.607142857142857</v>
      </c>
      <c r="AT243" s="1049"/>
      <c r="AU243" s="1142"/>
      <c r="AV243" s="1049"/>
      <c r="AW243" s="1058">
        <f>AW231*0.8</f>
        <v>4.8480000000000008</v>
      </c>
      <c r="AX243" s="1086">
        <v>14</v>
      </c>
      <c r="AY243" s="1085">
        <v>15</v>
      </c>
      <c r="AZ243" s="1084">
        <v>0.36</v>
      </c>
      <c r="BA243" s="1736">
        <v>0.68</v>
      </c>
      <c r="BB243" s="1742">
        <f t="shared" si="109"/>
        <v>1.8888888888888891</v>
      </c>
      <c r="BC243" s="1049"/>
      <c r="BD243" s="1142"/>
      <c r="BE243" s="1049"/>
      <c r="BF243" s="1058">
        <f>BF231*0.8</f>
        <v>6.3520000000000003</v>
      </c>
      <c r="BG243" s="1086">
        <v>14</v>
      </c>
      <c r="BH243" s="1085">
        <v>15</v>
      </c>
      <c r="BI243" s="1084">
        <v>0.28000000000000003</v>
      </c>
      <c r="BJ243" s="1736" t="s">
        <v>1367</v>
      </c>
      <c r="BK243" s="1049"/>
      <c r="BL243" s="1058">
        <f>BL231*0.8</f>
        <v>0</v>
      </c>
      <c r="BM243" s="1086">
        <v>14</v>
      </c>
      <c r="BN243" s="1085">
        <v>15</v>
      </c>
      <c r="BO243" s="1084"/>
      <c r="BP243" s="1084"/>
      <c r="BQ243" s="1049"/>
    </row>
    <row r="244" spans="1:69" ht="14.4">
      <c r="A244" s="1049"/>
      <c r="B244" s="1060"/>
      <c r="C244" s="1086">
        <v>15</v>
      </c>
      <c r="D244" s="1085">
        <v>16</v>
      </c>
      <c r="E244" s="1091">
        <v>0.46</v>
      </c>
      <c r="F244" s="1090">
        <v>1.33</v>
      </c>
      <c r="G244" s="1089">
        <f t="shared" si="99"/>
        <v>2.8913043478260869</v>
      </c>
      <c r="H244" s="1049"/>
      <c r="I244" s="1060"/>
      <c r="J244" s="1086">
        <v>15</v>
      </c>
      <c r="K244" s="1085">
        <v>16</v>
      </c>
      <c r="L244" s="1084">
        <v>1.135</v>
      </c>
      <c r="M244" s="1088">
        <v>2.21</v>
      </c>
      <c r="N244" s="1087">
        <f t="shared" si="100"/>
        <v>1.947136563876652</v>
      </c>
      <c r="O244" s="1049"/>
      <c r="P244" s="1058" t="s">
        <v>1126</v>
      </c>
      <c r="Q244" s="1086">
        <v>15</v>
      </c>
      <c r="R244" s="1085">
        <v>16</v>
      </c>
      <c r="S244" s="1084">
        <v>2.0649999999999999</v>
      </c>
      <c r="T244" s="1054">
        <f t="shared" si="101"/>
        <v>7.8263499999999997</v>
      </c>
      <c r="U244" s="1142">
        <v>9.98</v>
      </c>
      <c r="V244" s="1052">
        <f t="shared" si="102"/>
        <v>4.8329297820823252</v>
      </c>
      <c r="W244" s="1049"/>
      <c r="X244" s="1051">
        <v>3.79</v>
      </c>
      <c r="Y244" s="1049"/>
      <c r="Z244" s="1050">
        <f t="shared" si="103"/>
        <v>6.1743500000000004</v>
      </c>
      <c r="AA244" s="1058" t="s">
        <v>1126</v>
      </c>
      <c r="AB244" s="1086">
        <v>15</v>
      </c>
      <c r="AC244" s="1085">
        <v>16</v>
      </c>
      <c r="AD244" s="1084">
        <v>1.53</v>
      </c>
      <c r="AE244" s="1143">
        <f t="shared" si="104"/>
        <v>2.2797000000000001</v>
      </c>
      <c r="AF244" s="1142">
        <v>3.33</v>
      </c>
      <c r="AG244" s="1052">
        <f t="shared" si="105"/>
        <v>2.1764705882352939</v>
      </c>
      <c r="AH244" s="1049"/>
      <c r="AI244" s="1142">
        <v>1.49</v>
      </c>
      <c r="AJ244" s="1049"/>
      <c r="AK244" s="1050">
        <f t="shared" si="106"/>
        <v>1.0556999999999999</v>
      </c>
      <c r="AL244" s="1049"/>
      <c r="AM244" s="1058" t="s">
        <v>1126</v>
      </c>
      <c r="AN244" s="1086">
        <v>15</v>
      </c>
      <c r="AO244" s="1085">
        <v>16</v>
      </c>
      <c r="AP244" s="1084">
        <v>0.25</v>
      </c>
      <c r="AQ244" s="1748">
        <f t="shared" si="107"/>
        <v>0</v>
      </c>
      <c r="AR244" s="1742">
        <v>0.4</v>
      </c>
      <c r="AS244" s="1052">
        <f t="shared" si="108"/>
        <v>1.6</v>
      </c>
      <c r="AT244" s="1049"/>
      <c r="AU244" s="1142"/>
      <c r="AV244" s="1049"/>
      <c r="AW244" s="1058" t="s">
        <v>1126</v>
      </c>
      <c r="AX244" s="1086">
        <v>15</v>
      </c>
      <c r="AY244" s="1085">
        <v>16</v>
      </c>
      <c r="AZ244" s="1084">
        <v>0.25</v>
      </c>
      <c r="BA244" s="1736">
        <v>0.47</v>
      </c>
      <c r="BB244" s="1742">
        <f t="shared" si="109"/>
        <v>1.88</v>
      </c>
      <c r="BC244" s="1049"/>
      <c r="BD244" s="1142"/>
      <c r="BE244" s="1049"/>
      <c r="BF244" s="1058" t="s">
        <v>1126</v>
      </c>
      <c r="BG244" s="1086">
        <v>15</v>
      </c>
      <c r="BH244" s="1085">
        <v>16</v>
      </c>
      <c r="BI244" s="1084">
        <v>0.33</v>
      </c>
      <c r="BJ244" s="1736" t="s">
        <v>1392</v>
      </c>
      <c r="BK244" s="1049"/>
      <c r="BL244" s="1058" t="s">
        <v>1126</v>
      </c>
      <c r="BM244" s="1086">
        <v>15</v>
      </c>
      <c r="BN244" s="1085">
        <v>16</v>
      </c>
      <c r="BO244" s="1084"/>
      <c r="BP244" s="1084"/>
      <c r="BQ244" s="1049"/>
    </row>
    <row r="245" spans="1:69" ht="15" thickBot="1">
      <c r="A245" s="1049"/>
      <c r="B245" s="1060"/>
      <c r="C245" s="1077">
        <v>16</v>
      </c>
      <c r="D245" s="1076">
        <v>17</v>
      </c>
      <c r="E245" s="1083">
        <v>0.41</v>
      </c>
      <c r="F245" s="1082">
        <v>1.17</v>
      </c>
      <c r="G245" s="1081">
        <f t="shared" si="99"/>
        <v>2.8536585365853657</v>
      </c>
      <c r="H245" s="1049"/>
      <c r="I245" s="1060"/>
      <c r="J245" s="1077">
        <v>16</v>
      </c>
      <c r="K245" s="1076">
        <v>17</v>
      </c>
      <c r="L245" s="1075">
        <v>1.54</v>
      </c>
      <c r="M245" s="1080">
        <v>3</v>
      </c>
      <c r="N245" s="1079">
        <f t="shared" si="100"/>
        <v>1.948051948051948</v>
      </c>
      <c r="O245" s="1049"/>
      <c r="P245" s="1078">
        <f>P231*(X228-0.8)</f>
        <v>129.59948812500008</v>
      </c>
      <c r="Q245" s="1077">
        <v>16</v>
      </c>
      <c r="R245" s="1076">
        <v>17</v>
      </c>
      <c r="S245" s="1075">
        <v>2.4630000000000001</v>
      </c>
      <c r="T245" s="1054">
        <f t="shared" si="101"/>
        <v>9.9505200000000009</v>
      </c>
      <c r="U245" s="1140">
        <v>12.53</v>
      </c>
      <c r="V245" s="1052">
        <f t="shared" si="102"/>
        <v>5.0872919204222491</v>
      </c>
      <c r="W245" s="1049"/>
      <c r="X245" s="1074">
        <v>4.04</v>
      </c>
      <c r="Y245" s="1049"/>
      <c r="Z245" s="1050">
        <f t="shared" si="103"/>
        <v>7.9801200000000012</v>
      </c>
      <c r="AA245" s="1078">
        <f>AA231*(AI228-0.8)</f>
        <v>29.549781250000002</v>
      </c>
      <c r="AB245" s="1077">
        <v>16</v>
      </c>
      <c r="AC245" s="1076">
        <v>17</v>
      </c>
      <c r="AD245" s="1075">
        <v>1.62</v>
      </c>
      <c r="AE245" s="1141">
        <f t="shared" si="104"/>
        <v>2.3166000000000002</v>
      </c>
      <c r="AF245" s="1140">
        <v>3.44</v>
      </c>
      <c r="AG245" s="1052">
        <f t="shared" si="105"/>
        <v>2.1234567901234565</v>
      </c>
      <c r="AH245" s="1049"/>
      <c r="AI245" s="1140">
        <v>1.43</v>
      </c>
      <c r="AJ245" s="1049"/>
      <c r="AK245" s="1050">
        <f t="shared" si="106"/>
        <v>1.0206</v>
      </c>
      <c r="AL245" s="1049"/>
      <c r="AM245" s="1078" t="e">
        <f>AM231*(AU228-0.8)</f>
        <v>#DIV/0!</v>
      </c>
      <c r="AN245" s="1077">
        <v>16</v>
      </c>
      <c r="AO245" s="1076">
        <v>17</v>
      </c>
      <c r="AP245" s="1075">
        <v>0.25</v>
      </c>
      <c r="AQ245" s="1749">
        <f t="shared" si="107"/>
        <v>0</v>
      </c>
      <c r="AR245" s="1743">
        <v>0.39</v>
      </c>
      <c r="AS245" s="1052">
        <f t="shared" si="108"/>
        <v>1.56</v>
      </c>
      <c r="AT245" s="1049"/>
      <c r="AU245" s="1140"/>
      <c r="AV245" s="1049"/>
      <c r="AW245" s="1078" t="e">
        <f>AW231*(BD228-0.8)</f>
        <v>#DIV/0!</v>
      </c>
      <c r="AX245" s="1077">
        <v>16</v>
      </c>
      <c r="AY245" s="1076">
        <v>17</v>
      </c>
      <c r="AZ245" s="1075">
        <v>0.27</v>
      </c>
      <c r="BA245" s="1738">
        <v>0.5</v>
      </c>
      <c r="BB245" s="1743">
        <f t="shared" si="109"/>
        <v>1.8518518518518516</v>
      </c>
      <c r="BC245" s="1049"/>
      <c r="BD245" s="1140"/>
      <c r="BE245" s="1049"/>
      <c r="BF245" s="1078">
        <f>BF231*(BM228-0.8)</f>
        <v>-6.3520000000000003</v>
      </c>
      <c r="BG245" s="1077">
        <v>16</v>
      </c>
      <c r="BH245" s="1076">
        <v>17</v>
      </c>
      <c r="BI245" s="1075">
        <v>0.28999999999999998</v>
      </c>
      <c r="BJ245" s="1738" t="s">
        <v>1393</v>
      </c>
      <c r="BK245" s="1049"/>
      <c r="BL245" s="1078">
        <f>BL231*(BS228-0.8)</f>
        <v>0</v>
      </c>
      <c r="BM245" s="1077">
        <v>16</v>
      </c>
      <c r="BN245" s="1076">
        <v>17</v>
      </c>
      <c r="BO245" s="1075"/>
      <c r="BP245" s="1075"/>
      <c r="BQ245" s="1049"/>
    </row>
    <row r="246" spans="1:69" ht="14.4">
      <c r="A246" s="1049"/>
      <c r="B246" s="1060"/>
      <c r="C246" s="1068">
        <v>17</v>
      </c>
      <c r="D246" s="1067">
        <v>18</v>
      </c>
      <c r="E246" s="1073">
        <v>0.6</v>
      </c>
      <c r="F246" s="1072">
        <v>2.1</v>
      </c>
      <c r="G246" s="1071">
        <f t="shared" si="99"/>
        <v>3.5000000000000004</v>
      </c>
      <c r="H246" s="1049"/>
      <c r="I246" s="1060"/>
      <c r="J246" s="1068">
        <v>17</v>
      </c>
      <c r="K246" s="1067">
        <v>18</v>
      </c>
      <c r="L246" s="1066">
        <v>0.83799999999999997</v>
      </c>
      <c r="M246" s="1070">
        <v>2.2400000000000002</v>
      </c>
      <c r="N246" s="1069">
        <f t="shared" si="100"/>
        <v>2.6730310262529837</v>
      </c>
      <c r="O246" s="1049"/>
      <c r="P246" s="1058"/>
      <c r="Q246" s="1068">
        <v>17</v>
      </c>
      <c r="R246" s="1067">
        <v>18</v>
      </c>
      <c r="S246" s="1066">
        <v>2.6829999999999998</v>
      </c>
      <c r="T246" s="1054">
        <f t="shared" si="101"/>
        <v>11.563729999999998</v>
      </c>
      <c r="U246" s="1138">
        <v>14.38</v>
      </c>
      <c r="V246" s="1052">
        <f t="shared" si="102"/>
        <v>5.3596720089452115</v>
      </c>
      <c r="W246" s="1049"/>
      <c r="X246" s="1065">
        <v>4.3099999999999996</v>
      </c>
      <c r="Y246" s="1049"/>
      <c r="Z246" s="1050">
        <f t="shared" si="103"/>
        <v>9.417329999999998</v>
      </c>
      <c r="AA246" s="1058"/>
      <c r="AB246" s="1068">
        <v>17</v>
      </c>
      <c r="AC246" s="1067">
        <v>18</v>
      </c>
      <c r="AD246" s="1066">
        <v>2.15</v>
      </c>
      <c r="AE246" s="1139">
        <f t="shared" si="104"/>
        <v>3.2035</v>
      </c>
      <c r="AF246" s="1138">
        <v>6.38</v>
      </c>
      <c r="AG246" s="1052">
        <f t="shared" si="105"/>
        <v>2.9674418604651165</v>
      </c>
      <c r="AH246" s="1049"/>
      <c r="AI246" s="1138">
        <v>1.49</v>
      </c>
      <c r="AJ246" s="1049"/>
      <c r="AK246" s="1050">
        <f t="shared" si="106"/>
        <v>1.4834999999999998</v>
      </c>
      <c r="AL246" s="1049"/>
      <c r="AM246" s="1058"/>
      <c r="AN246" s="1068">
        <v>17</v>
      </c>
      <c r="AO246" s="1067">
        <v>18</v>
      </c>
      <c r="AP246" s="1066">
        <v>0.42</v>
      </c>
      <c r="AQ246" s="1750">
        <f t="shared" si="107"/>
        <v>0</v>
      </c>
      <c r="AR246" s="1744">
        <v>0.99</v>
      </c>
      <c r="AS246" s="1052">
        <f t="shared" si="108"/>
        <v>2.3571428571428572</v>
      </c>
      <c r="AT246" s="1049"/>
      <c r="AU246" s="1138"/>
      <c r="AV246" s="1049"/>
      <c r="AW246" s="1058"/>
      <c r="AX246" s="1068">
        <v>17</v>
      </c>
      <c r="AY246" s="1067">
        <v>18</v>
      </c>
      <c r="AZ246" s="1066">
        <v>0.28999999999999998</v>
      </c>
      <c r="BA246" s="1740">
        <v>0.81</v>
      </c>
      <c r="BB246" s="1744">
        <f t="shared" si="109"/>
        <v>2.7931034482758625</v>
      </c>
      <c r="BC246" s="1049"/>
      <c r="BD246" s="1138"/>
      <c r="BE246" s="1049"/>
      <c r="BF246" s="1058"/>
      <c r="BG246" s="1068">
        <v>17</v>
      </c>
      <c r="BH246" s="1067">
        <v>18</v>
      </c>
      <c r="BI246" s="1066">
        <v>0.35</v>
      </c>
      <c r="BJ246" s="1740" t="s">
        <v>1376</v>
      </c>
      <c r="BK246" s="1049"/>
      <c r="BL246" s="1058"/>
      <c r="BM246" s="1068">
        <v>17</v>
      </c>
      <c r="BN246" s="1067">
        <v>18</v>
      </c>
      <c r="BO246" s="1066"/>
      <c r="BP246" s="1066"/>
      <c r="BQ246" s="1049"/>
    </row>
    <row r="247" spans="1:69" ht="14.4">
      <c r="A247" s="1049"/>
      <c r="B247" s="1060"/>
      <c r="C247" s="1057">
        <v>18</v>
      </c>
      <c r="D247" s="1056">
        <v>19</v>
      </c>
      <c r="E247" s="1063">
        <v>0.47</v>
      </c>
      <c r="F247" s="1062">
        <v>1.63</v>
      </c>
      <c r="G247" s="1061">
        <f t="shared" si="99"/>
        <v>3.4680851063829787</v>
      </c>
      <c r="H247" s="1049"/>
      <c r="I247" s="1060"/>
      <c r="J247" s="1057">
        <v>18</v>
      </c>
      <c r="K247" s="1056">
        <v>19</v>
      </c>
      <c r="L247" s="1055">
        <v>1.246</v>
      </c>
      <c r="M247" s="1059">
        <v>3.25</v>
      </c>
      <c r="N247" s="1052">
        <f t="shared" si="100"/>
        <v>2.6083467094703048</v>
      </c>
      <c r="O247" s="1049"/>
      <c r="P247" s="1058"/>
      <c r="Q247" s="1057">
        <v>18</v>
      </c>
      <c r="R247" s="1056">
        <v>19</v>
      </c>
      <c r="S247" s="1055">
        <v>2.363</v>
      </c>
      <c r="T247" s="1054">
        <f t="shared" si="101"/>
        <v>10.04275</v>
      </c>
      <c r="U247" s="1136">
        <v>12.5</v>
      </c>
      <c r="V247" s="1052">
        <f t="shared" si="102"/>
        <v>5.2898857384680493</v>
      </c>
      <c r="W247" s="1049"/>
      <c r="X247" s="1051">
        <v>4.25</v>
      </c>
      <c r="Y247" s="1049"/>
      <c r="Z247" s="1050">
        <f t="shared" si="103"/>
        <v>8.1523500000000002</v>
      </c>
      <c r="AA247" s="1058"/>
      <c r="AB247" s="1057">
        <v>18</v>
      </c>
      <c r="AC247" s="1056">
        <v>19</v>
      </c>
      <c r="AD247" s="1055">
        <v>1.66</v>
      </c>
      <c r="AE247" s="1137">
        <f t="shared" si="104"/>
        <v>2.3654999999999999</v>
      </c>
      <c r="AF247" s="1136">
        <v>4.8</v>
      </c>
      <c r="AG247" s="1052">
        <f t="shared" si="105"/>
        <v>2.8915662650602409</v>
      </c>
      <c r="AH247" s="1049"/>
      <c r="AI247" s="1136">
        <v>1.425</v>
      </c>
      <c r="AJ247" s="1049"/>
      <c r="AK247" s="1050">
        <f t="shared" si="106"/>
        <v>1.0374999999999999</v>
      </c>
      <c r="AL247" s="1049"/>
      <c r="AM247" s="1058"/>
      <c r="AN247" s="1057">
        <v>18</v>
      </c>
      <c r="AO247" s="1056">
        <v>19</v>
      </c>
      <c r="AP247" s="1055">
        <v>0.84</v>
      </c>
      <c r="AQ247" s="1745">
        <f t="shared" si="107"/>
        <v>0</v>
      </c>
      <c r="AR247" s="1737">
        <v>1.97</v>
      </c>
      <c r="AS247" s="1052">
        <f t="shared" si="108"/>
        <v>2.3452380952380953</v>
      </c>
      <c r="AT247" s="1049"/>
      <c r="AU247" s="1136"/>
      <c r="AV247" s="1049"/>
      <c r="AW247" s="1058"/>
      <c r="AX247" s="1057">
        <v>18</v>
      </c>
      <c r="AY247" s="1056">
        <v>19</v>
      </c>
      <c r="AZ247" s="1055">
        <v>0.28000000000000003</v>
      </c>
      <c r="BA247" s="1736">
        <v>0.8</v>
      </c>
      <c r="BB247" s="1737">
        <f t="shared" si="109"/>
        <v>2.8571428571428572</v>
      </c>
      <c r="BC247" s="1049"/>
      <c r="BD247" s="1136"/>
      <c r="BE247" s="1049"/>
      <c r="BF247" s="1058"/>
      <c r="BG247" s="1057">
        <v>18</v>
      </c>
      <c r="BH247" s="1056">
        <v>19</v>
      </c>
      <c r="BI247" s="1055">
        <v>1.4</v>
      </c>
      <c r="BJ247" s="1736" t="s">
        <v>1448</v>
      </c>
      <c r="BK247" s="1049"/>
      <c r="BL247" s="1058"/>
      <c r="BM247" s="1057">
        <v>18</v>
      </c>
      <c r="BN247" s="1056">
        <v>19</v>
      </c>
      <c r="BO247" s="1055"/>
      <c r="BP247" s="1055"/>
      <c r="BQ247" s="1049"/>
    </row>
    <row r="248" spans="1:69" ht="14.4">
      <c r="A248" s="1049"/>
      <c r="B248" s="1060"/>
      <c r="C248" s="1057">
        <v>19</v>
      </c>
      <c r="D248" s="1056">
        <v>20</v>
      </c>
      <c r="E248" s="1063">
        <v>0.39</v>
      </c>
      <c r="F248" s="1062">
        <v>1.37</v>
      </c>
      <c r="G248" s="1061">
        <f t="shared" si="99"/>
        <v>3.5128205128205128</v>
      </c>
      <c r="H248" s="1049"/>
      <c r="I248" s="1060"/>
      <c r="J248" s="1057">
        <v>19</v>
      </c>
      <c r="K248" s="1056">
        <v>20</v>
      </c>
      <c r="L248" s="1055">
        <v>1.8280000000000001</v>
      </c>
      <c r="M248" s="1059">
        <v>4.67</v>
      </c>
      <c r="N248" s="1052">
        <f t="shared" si="100"/>
        <v>2.5547045951859957</v>
      </c>
      <c r="O248" s="1049"/>
      <c r="P248" s="1058"/>
      <c r="Q248" s="1057">
        <v>19</v>
      </c>
      <c r="R248" s="1056">
        <v>20</v>
      </c>
      <c r="S248" s="1055">
        <v>1.7569999999999999</v>
      </c>
      <c r="T248" s="1054">
        <f t="shared" si="101"/>
        <v>7.0982799999999999</v>
      </c>
      <c r="U248" s="1136">
        <v>8.94</v>
      </c>
      <c r="V248" s="1052">
        <f t="shared" si="102"/>
        <v>5.0882185543540128</v>
      </c>
      <c r="W248" s="1049"/>
      <c r="X248" s="1051">
        <v>4.04</v>
      </c>
      <c r="Y248" s="1049"/>
      <c r="Z248" s="1050">
        <f t="shared" si="103"/>
        <v>5.6926800000000002</v>
      </c>
      <c r="AA248" s="1058"/>
      <c r="AB248" s="1057">
        <v>19</v>
      </c>
      <c r="AC248" s="1056">
        <v>20</v>
      </c>
      <c r="AD248" s="1055">
        <v>2.13</v>
      </c>
      <c r="AE248" s="1137">
        <f t="shared" si="104"/>
        <v>2.7477</v>
      </c>
      <c r="AF248" s="1136">
        <v>5.87</v>
      </c>
      <c r="AG248" s="1052">
        <f t="shared" si="105"/>
        <v>2.755868544600939</v>
      </c>
      <c r="AH248" s="1049"/>
      <c r="AI248" s="1136">
        <v>1.29</v>
      </c>
      <c r="AJ248" s="1049"/>
      <c r="AK248" s="1050">
        <f t="shared" si="106"/>
        <v>1.0436999999999999</v>
      </c>
      <c r="AL248" s="1049"/>
      <c r="AM248" s="1058"/>
      <c r="AN248" s="1057">
        <v>19</v>
      </c>
      <c r="AO248" s="1056">
        <v>20</v>
      </c>
      <c r="AP248" s="1055">
        <v>0.49</v>
      </c>
      <c r="AQ248" s="1745">
        <f t="shared" si="107"/>
        <v>0</v>
      </c>
      <c r="AR248" s="1737">
        <v>1.1399999999999999</v>
      </c>
      <c r="AS248" s="1052">
        <f t="shared" si="108"/>
        <v>2.3265306122448979</v>
      </c>
      <c r="AT248" s="1049"/>
      <c r="AU248" s="1136"/>
      <c r="AV248" s="1049"/>
      <c r="AW248" s="1058"/>
      <c r="AX248" s="1057">
        <v>19</v>
      </c>
      <c r="AY248" s="1056">
        <v>20</v>
      </c>
      <c r="AZ248" s="1055">
        <v>0.31</v>
      </c>
      <c r="BA248" s="1736">
        <v>0.88</v>
      </c>
      <c r="BB248" s="1737">
        <f t="shared" si="109"/>
        <v>2.838709677419355</v>
      </c>
      <c r="BC248" s="1049"/>
      <c r="BD248" s="1136"/>
      <c r="BE248" s="1049"/>
      <c r="BF248" s="1058"/>
      <c r="BG248" s="1057">
        <v>19</v>
      </c>
      <c r="BH248" s="1056">
        <v>20</v>
      </c>
      <c r="BI248" s="1055">
        <v>1.31</v>
      </c>
      <c r="BJ248" s="1736" t="s">
        <v>1449</v>
      </c>
      <c r="BK248" s="1049"/>
      <c r="BL248" s="1058"/>
      <c r="BM248" s="1057">
        <v>19</v>
      </c>
      <c r="BN248" s="1056">
        <v>20</v>
      </c>
      <c r="BO248" s="1055"/>
      <c r="BP248" s="1055"/>
      <c r="BQ248" s="1049"/>
    </row>
    <row r="249" spans="1:69" ht="14.4">
      <c r="A249" s="1049"/>
      <c r="B249" s="1060"/>
      <c r="C249" s="1057">
        <v>20</v>
      </c>
      <c r="D249" s="1056">
        <v>21</v>
      </c>
      <c r="E249" s="1063">
        <v>0.42</v>
      </c>
      <c r="F249" s="1062">
        <v>1.22</v>
      </c>
      <c r="G249" s="1061">
        <f t="shared" si="99"/>
        <v>2.9047619047619047</v>
      </c>
      <c r="H249" s="1049"/>
      <c r="I249" s="1060"/>
      <c r="J249" s="1057">
        <v>20</v>
      </c>
      <c r="K249" s="1056">
        <v>21</v>
      </c>
      <c r="L249" s="1055">
        <v>1.923</v>
      </c>
      <c r="M249" s="1059">
        <v>3.49</v>
      </c>
      <c r="N249" s="1052">
        <f t="shared" si="100"/>
        <v>1.8148725949037963</v>
      </c>
      <c r="O249" s="1049"/>
      <c r="P249" s="1058"/>
      <c r="Q249" s="1057">
        <v>20</v>
      </c>
      <c r="R249" s="1056">
        <v>21</v>
      </c>
      <c r="S249" s="1055">
        <v>1.7490000000000001</v>
      </c>
      <c r="T249" s="1054">
        <f t="shared" si="101"/>
        <v>6.1040100000000006</v>
      </c>
      <c r="U249" s="1136">
        <v>7.93</v>
      </c>
      <c r="V249" s="1052">
        <f t="shared" si="102"/>
        <v>4.5340194396798168</v>
      </c>
      <c r="W249" s="1049"/>
      <c r="X249" s="1051">
        <v>3.49</v>
      </c>
      <c r="Y249" s="1049"/>
      <c r="Z249" s="1050">
        <f t="shared" si="103"/>
        <v>4.704810000000001</v>
      </c>
      <c r="AA249" s="1058"/>
      <c r="AB249" s="1057">
        <v>20</v>
      </c>
      <c r="AC249" s="1056">
        <v>21</v>
      </c>
      <c r="AD249" s="1055">
        <v>3.06</v>
      </c>
      <c r="AE249" s="1137">
        <f t="shared" si="104"/>
        <v>3.4272000000000005</v>
      </c>
      <c r="AF249" s="1136">
        <v>5.54</v>
      </c>
      <c r="AG249" s="1052">
        <f t="shared" si="105"/>
        <v>1.8104575163398693</v>
      </c>
      <c r="AH249" s="1049"/>
      <c r="AI249" s="1136">
        <v>1.1200000000000001</v>
      </c>
      <c r="AJ249" s="1049"/>
      <c r="AK249" s="1050">
        <f t="shared" si="106"/>
        <v>0.97920000000000018</v>
      </c>
      <c r="AL249" s="1049"/>
      <c r="AM249" s="1058"/>
      <c r="AN249" s="1057">
        <v>20</v>
      </c>
      <c r="AO249" s="1056">
        <v>21</v>
      </c>
      <c r="AP249" s="1055">
        <v>0.46</v>
      </c>
      <c r="AQ249" s="1745">
        <f t="shared" si="107"/>
        <v>0</v>
      </c>
      <c r="AR249" s="1737">
        <v>0.69</v>
      </c>
      <c r="AS249" s="1052">
        <f t="shared" si="108"/>
        <v>1.4999999999999998</v>
      </c>
      <c r="AT249" s="1049"/>
      <c r="AU249" s="1136"/>
      <c r="AV249" s="1049"/>
      <c r="AW249" s="1058"/>
      <c r="AX249" s="1057">
        <v>20</v>
      </c>
      <c r="AY249" s="1056">
        <v>21</v>
      </c>
      <c r="AZ249" s="1055">
        <v>0.27</v>
      </c>
      <c r="BA249" s="1736">
        <v>0.51</v>
      </c>
      <c r="BB249" s="1737">
        <f t="shared" si="109"/>
        <v>1.8888888888888888</v>
      </c>
      <c r="BC249" s="1049"/>
      <c r="BD249" s="1136"/>
      <c r="BE249" s="1049"/>
      <c r="BF249" s="1058"/>
      <c r="BG249" s="1057">
        <v>20</v>
      </c>
      <c r="BH249" s="1056">
        <v>21</v>
      </c>
      <c r="BI249" s="1055">
        <v>0.69</v>
      </c>
      <c r="BJ249" s="1736" t="s">
        <v>1450</v>
      </c>
      <c r="BK249" s="1049"/>
      <c r="BL249" s="1058"/>
      <c r="BM249" s="1057">
        <v>20</v>
      </c>
      <c r="BN249" s="1056">
        <v>21</v>
      </c>
      <c r="BO249" s="1055"/>
      <c r="BP249" s="1055"/>
      <c r="BQ249" s="1049"/>
    </row>
    <row r="250" spans="1:69" ht="14.4">
      <c r="A250" s="1049"/>
      <c r="B250" s="1060"/>
      <c r="C250" s="1057">
        <v>21</v>
      </c>
      <c r="D250" s="1056">
        <v>22</v>
      </c>
      <c r="E250" s="1063">
        <v>0.51</v>
      </c>
      <c r="F250" s="1062">
        <v>1.48</v>
      </c>
      <c r="G250" s="1061">
        <f t="shared" si="99"/>
        <v>2.9019607843137254</v>
      </c>
      <c r="H250" s="1049"/>
      <c r="I250" s="1060"/>
      <c r="J250" s="1057">
        <v>21</v>
      </c>
      <c r="K250" s="1056">
        <v>22</v>
      </c>
      <c r="L250" s="1055">
        <v>1.5329999999999999</v>
      </c>
      <c r="M250" s="1059">
        <v>2.75</v>
      </c>
      <c r="N250" s="1052">
        <f t="shared" si="100"/>
        <v>1.7938682322243966</v>
      </c>
      <c r="O250" s="1049"/>
      <c r="P250" s="1058"/>
      <c r="Q250" s="1057">
        <v>21</v>
      </c>
      <c r="R250" s="1056">
        <v>22</v>
      </c>
      <c r="S250" s="1055">
        <v>2.1829999999999998</v>
      </c>
      <c r="T250" s="1054">
        <f t="shared" si="101"/>
        <v>6.8546199999999997</v>
      </c>
      <c r="U250" s="1136">
        <v>9.14</v>
      </c>
      <c r="V250" s="1052">
        <f t="shared" si="102"/>
        <v>4.1868987631699506</v>
      </c>
      <c r="W250" s="1049"/>
      <c r="X250" s="1051">
        <v>3.14</v>
      </c>
      <c r="Y250" s="1049"/>
      <c r="Z250" s="1050">
        <f t="shared" si="103"/>
        <v>5.1082199999999993</v>
      </c>
      <c r="AA250" s="1058"/>
      <c r="AB250" s="1057">
        <v>21</v>
      </c>
      <c r="AC250" s="1056">
        <v>22</v>
      </c>
      <c r="AD250" s="1055">
        <v>3.13</v>
      </c>
      <c r="AE250" s="1137">
        <f t="shared" si="104"/>
        <v>2.9421999999999997</v>
      </c>
      <c r="AF250" s="1136">
        <v>5.08</v>
      </c>
      <c r="AG250" s="1052">
        <f t="shared" si="105"/>
        <v>1.6230031948881789</v>
      </c>
      <c r="AH250" s="1049"/>
      <c r="AI250" s="1136">
        <v>0.94</v>
      </c>
      <c r="AJ250" s="1049"/>
      <c r="AK250" s="1050">
        <f t="shared" si="106"/>
        <v>0.4381999999999997</v>
      </c>
      <c r="AL250" s="1049"/>
      <c r="AM250" s="1058"/>
      <c r="AN250" s="1057">
        <v>21</v>
      </c>
      <c r="AO250" s="1056">
        <v>22</v>
      </c>
      <c r="AP250" s="1055">
        <v>0.33</v>
      </c>
      <c r="AQ250" s="1745">
        <f t="shared" si="107"/>
        <v>0</v>
      </c>
      <c r="AR250" s="1737">
        <v>0.49</v>
      </c>
      <c r="AS250" s="1052">
        <f t="shared" si="108"/>
        <v>1.4848484848484849</v>
      </c>
      <c r="AT250" s="1049"/>
      <c r="AU250" s="1136"/>
      <c r="AV250" s="1049"/>
      <c r="AW250" s="1058"/>
      <c r="AX250" s="1057">
        <v>21</v>
      </c>
      <c r="AY250" s="1056">
        <v>22</v>
      </c>
      <c r="AZ250" s="1055">
        <v>0.23</v>
      </c>
      <c r="BA250" s="1736">
        <v>0.42</v>
      </c>
      <c r="BB250" s="1737">
        <f t="shared" si="109"/>
        <v>1.826086956521739</v>
      </c>
      <c r="BC250" s="1049"/>
      <c r="BD250" s="1136"/>
      <c r="BE250" s="1049"/>
      <c r="BF250" s="1058"/>
      <c r="BG250" s="1057">
        <v>21</v>
      </c>
      <c r="BH250" s="1056">
        <v>22</v>
      </c>
      <c r="BI250" s="1055">
        <v>0.3</v>
      </c>
      <c r="BJ250" s="1736" t="s">
        <v>1368</v>
      </c>
      <c r="BK250" s="1049"/>
      <c r="BL250" s="1058"/>
      <c r="BM250" s="1057">
        <v>21</v>
      </c>
      <c r="BN250" s="1056">
        <v>22</v>
      </c>
      <c r="BO250" s="1055"/>
      <c r="BP250" s="1055"/>
      <c r="BQ250" s="1049"/>
    </row>
    <row r="251" spans="1:69" ht="14.4">
      <c r="A251" s="1049"/>
      <c r="B251" s="1060"/>
      <c r="C251" s="1057">
        <v>22</v>
      </c>
      <c r="D251" s="1056">
        <v>23</v>
      </c>
      <c r="E251" s="1063">
        <v>0.69</v>
      </c>
      <c r="F251" s="1062">
        <v>2</v>
      </c>
      <c r="G251" s="1061">
        <f t="shared" si="99"/>
        <v>2.8985507246376816</v>
      </c>
      <c r="H251" s="1049"/>
      <c r="I251" s="1060"/>
      <c r="J251" s="1057">
        <v>22</v>
      </c>
      <c r="K251" s="1056">
        <v>23</v>
      </c>
      <c r="L251" s="1055">
        <v>1.5229999999999999</v>
      </c>
      <c r="M251" s="1059">
        <v>2.69</v>
      </c>
      <c r="N251" s="1052">
        <f t="shared" si="100"/>
        <v>1.7662508207485228</v>
      </c>
      <c r="O251" s="1049"/>
      <c r="P251" s="1058"/>
      <c r="Q251" s="1057">
        <v>22</v>
      </c>
      <c r="R251" s="1056">
        <v>23</v>
      </c>
      <c r="S251" s="1055">
        <v>2.536</v>
      </c>
      <c r="T251" s="1054">
        <f t="shared" si="101"/>
        <v>7.5826400000000005</v>
      </c>
      <c r="U251" s="1136">
        <v>10.24</v>
      </c>
      <c r="V251" s="1052">
        <f t="shared" si="102"/>
        <v>4.0378548895899051</v>
      </c>
      <c r="W251" s="1049"/>
      <c r="X251" s="1051">
        <v>2.99</v>
      </c>
      <c r="Y251" s="1049"/>
      <c r="Z251" s="1050">
        <f t="shared" si="103"/>
        <v>5.553840000000001</v>
      </c>
      <c r="AA251" s="1058"/>
      <c r="AB251" s="1057">
        <v>22</v>
      </c>
      <c r="AC251" s="1056">
        <v>23</v>
      </c>
      <c r="AD251" s="1055">
        <v>3.28</v>
      </c>
      <c r="AE251" s="1137">
        <f t="shared" si="104"/>
        <v>2.9192</v>
      </c>
      <c r="AF251" s="1136">
        <v>5.18</v>
      </c>
      <c r="AG251" s="1052">
        <f t="shared" si="105"/>
        <v>1.5792682926829269</v>
      </c>
      <c r="AH251" s="1049"/>
      <c r="AI251" s="1136">
        <v>0.89</v>
      </c>
      <c r="AJ251" s="1049"/>
      <c r="AK251" s="1050">
        <f t="shared" si="106"/>
        <v>0.29519999999999991</v>
      </c>
      <c r="AL251" s="1049"/>
      <c r="AM251" s="1058"/>
      <c r="AN251" s="1057">
        <v>22</v>
      </c>
      <c r="AO251" s="1056">
        <v>23</v>
      </c>
      <c r="AP251" s="1055">
        <v>0.17</v>
      </c>
      <c r="AQ251" s="1745">
        <f t="shared" si="107"/>
        <v>0</v>
      </c>
      <c r="AR251" s="1737">
        <v>0.25</v>
      </c>
      <c r="AS251" s="1052">
        <f t="shared" si="108"/>
        <v>1.4705882352941175</v>
      </c>
      <c r="AT251" s="1049"/>
      <c r="AU251" s="1136"/>
      <c r="AV251" s="1049"/>
      <c r="AW251" s="1058"/>
      <c r="AX251" s="1057">
        <v>22</v>
      </c>
      <c r="AY251" s="1056">
        <v>23</v>
      </c>
      <c r="AZ251" s="1055">
        <v>0.18</v>
      </c>
      <c r="BA251" s="1736">
        <v>0.32</v>
      </c>
      <c r="BB251" s="1737">
        <f t="shared" si="109"/>
        <v>1.7777777777777779</v>
      </c>
      <c r="BC251" s="1049"/>
      <c r="BD251" s="1136"/>
      <c r="BE251" s="1049"/>
      <c r="BF251" s="1058"/>
      <c r="BG251" s="1057">
        <v>22</v>
      </c>
      <c r="BH251" s="1056">
        <v>23</v>
      </c>
      <c r="BI251" s="1055">
        <v>0.3</v>
      </c>
      <c r="BJ251" s="1736" t="s">
        <v>1387</v>
      </c>
      <c r="BK251" s="1049"/>
      <c r="BL251" s="1058"/>
      <c r="BM251" s="1057">
        <v>22</v>
      </c>
      <c r="BN251" s="1056">
        <v>23</v>
      </c>
      <c r="BO251" s="1055"/>
      <c r="BP251" s="1055"/>
      <c r="BQ251" s="1049"/>
    </row>
    <row r="252" spans="1:69" ht="14.4">
      <c r="A252" s="1049"/>
      <c r="B252" s="1060"/>
      <c r="C252" s="1057">
        <v>23</v>
      </c>
      <c r="D252" s="1056">
        <v>24</v>
      </c>
      <c r="E252" s="1063">
        <v>0.2</v>
      </c>
      <c r="F252" s="1062">
        <v>0.57999999999999996</v>
      </c>
      <c r="G252" s="1061">
        <f t="shared" si="99"/>
        <v>2.8999999999999995</v>
      </c>
      <c r="H252" s="1049"/>
      <c r="I252" s="1060"/>
      <c r="J252" s="1057">
        <v>23</v>
      </c>
      <c r="K252" s="1056">
        <v>24</v>
      </c>
      <c r="L252" s="1055">
        <v>1.379</v>
      </c>
      <c r="M252" s="1059">
        <v>2.39</v>
      </c>
      <c r="N252" s="1052">
        <f t="shared" si="100"/>
        <v>1.7331399564902104</v>
      </c>
      <c r="O252" s="1049"/>
      <c r="P252" s="1058"/>
      <c r="Q252" s="1057">
        <v>23</v>
      </c>
      <c r="R252" s="1056">
        <v>24</v>
      </c>
      <c r="S252" s="1055">
        <v>2.4329999999999998</v>
      </c>
      <c r="T252" s="1054">
        <f t="shared" si="101"/>
        <v>6.8367299999999993</v>
      </c>
      <c r="U252" s="1136">
        <v>9.3800000000000008</v>
      </c>
      <c r="V252" s="1052">
        <f t="shared" si="102"/>
        <v>3.8553226469379371</v>
      </c>
      <c r="W252" s="1049"/>
      <c r="X252" s="1051">
        <v>2.81</v>
      </c>
      <c r="Y252" s="1049"/>
      <c r="Z252" s="1050">
        <f t="shared" si="103"/>
        <v>4.8903299999999987</v>
      </c>
      <c r="AA252" s="1058"/>
      <c r="AB252" s="1057">
        <v>23</v>
      </c>
      <c r="AC252" s="1056">
        <v>24</v>
      </c>
      <c r="AD252" s="1055">
        <v>3.55</v>
      </c>
      <c r="AE252" s="1137">
        <f t="shared" si="104"/>
        <v>1.8815</v>
      </c>
      <c r="AF252" s="1136">
        <v>4.33</v>
      </c>
      <c r="AG252" s="1052">
        <f t="shared" si="105"/>
        <v>1.2197183098591551</v>
      </c>
      <c r="AH252" s="1049"/>
      <c r="AI252" s="1136">
        <v>0.53</v>
      </c>
      <c r="AJ252" s="1049"/>
      <c r="AK252" s="1050">
        <f t="shared" si="106"/>
        <v>-0.95850000000000002</v>
      </c>
      <c r="AL252" s="1049"/>
      <c r="AM252" s="1058"/>
      <c r="AN252" s="1057">
        <v>23</v>
      </c>
      <c r="AO252" s="1056">
        <v>24</v>
      </c>
      <c r="AP252" s="1055">
        <v>0.17</v>
      </c>
      <c r="AQ252" s="1745">
        <f t="shared" si="107"/>
        <v>0</v>
      </c>
      <c r="AR252" s="1737">
        <v>0.21</v>
      </c>
      <c r="AS252" s="1052">
        <f t="shared" si="108"/>
        <v>1.2352941176470587</v>
      </c>
      <c r="AT252" s="1049"/>
      <c r="AU252" s="1136"/>
      <c r="AV252" s="1049"/>
      <c r="AW252" s="1058"/>
      <c r="AX252" s="1057">
        <v>23</v>
      </c>
      <c r="AY252" s="1056">
        <v>24</v>
      </c>
      <c r="AZ252" s="1055">
        <v>0.1</v>
      </c>
      <c r="BA252" s="1736">
        <v>0.16</v>
      </c>
      <c r="BB252" s="1737">
        <f t="shared" si="109"/>
        <v>1.5999999999999999</v>
      </c>
      <c r="BC252" s="1049"/>
      <c r="BD252" s="1136"/>
      <c r="BE252" s="1049"/>
      <c r="BF252" s="1058"/>
      <c r="BG252" s="1057">
        <v>23</v>
      </c>
      <c r="BH252" s="1056">
        <v>24</v>
      </c>
      <c r="BI252" s="1055">
        <v>0.15</v>
      </c>
      <c r="BJ252" s="1736" t="s">
        <v>1382</v>
      </c>
      <c r="BK252" s="1049"/>
      <c r="BL252" s="1058"/>
      <c r="BM252" s="1057">
        <v>23</v>
      </c>
      <c r="BN252" s="1056">
        <v>24</v>
      </c>
      <c r="BO252" s="1055"/>
      <c r="BP252" s="1055"/>
      <c r="BQ252" s="1049"/>
    </row>
    <row r="253" spans="1:69" ht="14.4">
      <c r="A253" s="1036"/>
      <c r="B253" s="1044"/>
      <c r="C253" s="1135"/>
      <c r="D253" s="1135"/>
      <c r="E253" s="1134"/>
      <c r="F253" s="1133"/>
      <c r="G253" s="1132"/>
      <c r="H253" s="1044"/>
      <c r="I253" s="1044" t="s">
        <v>1130</v>
      </c>
      <c r="J253" s="1046"/>
      <c r="K253" s="1046"/>
      <c r="L253" s="1129">
        <f>AVERAGE(L254:L277)</f>
        <v>1.1092500000000001</v>
      </c>
      <c r="M253" s="1131">
        <f>AVERAGE(M254:M277)</f>
        <v>1.9504166666666665</v>
      </c>
      <c r="N253" s="1039">
        <f>AVERAGE(N254:N277)</f>
        <v>1.7727052023752379</v>
      </c>
      <c r="O253" s="1044"/>
      <c r="P253" s="1130" t="s">
        <v>1139</v>
      </c>
      <c r="Q253" s="1046"/>
      <c r="R253" s="1046"/>
      <c r="S253" s="1129">
        <f>AVERAGE(S254:S277)</f>
        <v>1.9145416666666668</v>
      </c>
      <c r="T253" s="1128">
        <f>SUM(T254:T277)</f>
        <v>154.05853999999999</v>
      </c>
      <c r="U253" s="1040">
        <f>AVERAGE(U254:U277)</f>
        <v>8.1779166666666665</v>
      </c>
      <c r="V253" s="1039">
        <f>AVERAGE(V254:V277)</f>
        <v>4.2142496960085962</v>
      </c>
      <c r="W253" s="1036"/>
      <c r="X253" s="1038">
        <f>AVERAGE(X262:X277)</f>
        <v>3.5056250000000002</v>
      </c>
      <c r="Y253" s="1036"/>
      <c r="Z253" s="1127">
        <f>SUM(Z254:Z277)</f>
        <v>117.29934</v>
      </c>
      <c r="AA253" s="1130" t="s">
        <v>1131</v>
      </c>
      <c r="AB253" s="1046"/>
      <c r="AC253" s="1046"/>
      <c r="AD253" s="1129">
        <f>AVERAGE(AD254:AD277)</f>
        <v>2.6349999999999998</v>
      </c>
      <c r="AE253" s="1128">
        <f>SUM(AE254:AE277)</f>
        <v>61.873599999999996</v>
      </c>
      <c r="AF253" s="1040">
        <f>AVERAGE(AF254:AF277)</f>
        <v>4.6929166666666671</v>
      </c>
      <c r="AG253" s="1039">
        <f>AVERAGE(AG254:AG277)</f>
        <v>1.6915986246637014</v>
      </c>
      <c r="AH253" s="1036"/>
      <c r="AI253" s="1038">
        <f>AVERAGE(AI262:AI277)</f>
        <v>1.1981250000000001</v>
      </c>
      <c r="AJ253" s="1036"/>
      <c r="AK253" s="1127">
        <f>SUM(AK254:AK277)</f>
        <v>11.281599999999996</v>
      </c>
      <c r="AL253" s="1036"/>
      <c r="AM253" s="1130"/>
      <c r="AN253" s="1046"/>
      <c r="AO253" s="1046"/>
      <c r="AP253" s="1129">
        <f>AVERAGE(AP254:AP277)</f>
        <v>0.33833333333333332</v>
      </c>
      <c r="AQ253" s="1734">
        <f>SUM(AQ254:AQ277)</f>
        <v>8.6993000000000009</v>
      </c>
      <c r="AR253" s="1735">
        <f>AVERAGE(AR254:AR277)</f>
        <v>0.61249999999999993</v>
      </c>
      <c r="AS253" s="1039">
        <f>AVERAGE(AS254:AS277)</f>
        <v>1.7240324106278175</v>
      </c>
      <c r="AT253" s="1036"/>
      <c r="AU253" s="1038">
        <f>AVERAGE(AU262:AU277)</f>
        <v>1.1981250000000001</v>
      </c>
      <c r="AV253" s="1036"/>
      <c r="AW253" s="1130" t="s">
        <v>1128</v>
      </c>
      <c r="AX253" s="1046"/>
      <c r="AY253" s="1046"/>
      <c r="AZ253" s="1129">
        <f>AVERAGE(AZ254:AZ277)</f>
        <v>0.42333333333333334</v>
      </c>
      <c r="BA253" s="1045">
        <f>AVERAGE(BA254:BA277)</f>
        <v>0.78083333333333338</v>
      </c>
      <c r="BB253" s="1039">
        <f>AVERAGE(BB254:BB277)</f>
        <v>1.774075020352754</v>
      </c>
      <c r="BC253" s="1036"/>
      <c r="BD253" s="1038" t="e">
        <f>AVERAGE(BD262:BD277)</f>
        <v>#DIV/0!</v>
      </c>
      <c r="BE253" s="1036"/>
      <c r="BF253" s="1130" t="s">
        <v>1128</v>
      </c>
      <c r="BG253" s="2756">
        <f>BF254</f>
        <v>45027</v>
      </c>
      <c r="BH253" s="2756"/>
      <c r="BI253" s="1897">
        <f>SUM(BI254:BI277)</f>
        <v>6.02</v>
      </c>
      <c r="BJ253" s="1898">
        <f>SUM(BJ254:BJ277)</f>
        <v>0</v>
      </c>
      <c r="BK253" s="1036"/>
      <c r="BL253" s="1130" t="s">
        <v>1128</v>
      </c>
      <c r="BM253" s="1046"/>
      <c r="BN253" s="1046"/>
      <c r="BO253" s="1129" t="e">
        <f>AVERAGE(BO254:BO277)</f>
        <v>#DIV/0!</v>
      </c>
      <c r="BP253" s="1129" t="e">
        <f>AVERAGE(BP254:BP277)</f>
        <v>#DIV/0!</v>
      </c>
      <c r="BQ253" s="1036"/>
    </row>
    <row r="254" spans="1:69" ht="14.4">
      <c r="A254" s="1049"/>
      <c r="B254" s="1126">
        <v>44845</v>
      </c>
      <c r="C254" s="1057">
        <v>0</v>
      </c>
      <c r="D254" s="1056">
        <v>1</v>
      </c>
      <c r="E254" s="1063">
        <v>0.26</v>
      </c>
      <c r="F254" s="1062">
        <v>0.74</v>
      </c>
      <c r="G254" s="1061">
        <f t="shared" ref="G254:G277" si="110">F254/E254</f>
        <v>2.8461538461538458</v>
      </c>
      <c r="H254" s="1049"/>
      <c r="I254" s="1126">
        <v>44876</v>
      </c>
      <c r="J254" s="1057">
        <v>0</v>
      </c>
      <c r="K254" s="1056">
        <v>1</v>
      </c>
      <c r="L254" s="1055">
        <v>1.337</v>
      </c>
      <c r="M254" s="1059">
        <v>2.23</v>
      </c>
      <c r="N254" s="1052">
        <f t="shared" ref="N254:N277" si="111">M254/L254</f>
        <v>1.6679132385938669</v>
      </c>
      <c r="O254" s="1049"/>
      <c r="P254" s="1125">
        <v>44906</v>
      </c>
      <c r="Q254" s="1057">
        <v>0</v>
      </c>
      <c r="R254" s="1056">
        <v>1</v>
      </c>
      <c r="S254" s="1055">
        <v>2.0190000000000001</v>
      </c>
      <c r="T254" s="1054">
        <f t="shared" ref="T254:T277" si="112">S254*X254</f>
        <v>6.1781400000000009</v>
      </c>
      <c r="U254" s="1136">
        <v>8.02</v>
      </c>
      <c r="V254" s="1052">
        <f t="shared" ref="V254:V277" si="113">U254/S254</f>
        <v>3.9722634967805841</v>
      </c>
      <c r="W254" s="1049"/>
      <c r="X254" s="1051">
        <v>3.06</v>
      </c>
      <c r="Y254" s="1049"/>
      <c r="Z254" s="1050">
        <f t="shared" ref="Z254:Z277" si="114">S254*(X254-0.8)</f>
        <v>4.5629400000000002</v>
      </c>
      <c r="AA254" s="1125">
        <v>44937</v>
      </c>
      <c r="AB254" s="1057">
        <v>0</v>
      </c>
      <c r="AC254" s="1056">
        <v>1</v>
      </c>
      <c r="AD254" s="1055">
        <v>2.0099999999999998</v>
      </c>
      <c r="AE254" s="1137">
        <f t="shared" ref="AE254:AE277" si="115">AD254*AI254</f>
        <v>0.36179999999999995</v>
      </c>
      <c r="AF254" s="1136">
        <v>1.75</v>
      </c>
      <c r="AG254" s="1052">
        <f t="shared" ref="AG254:AG277" si="116">AF254/AD254</f>
        <v>0.87064676616915437</v>
      </c>
      <c r="AH254" s="1049"/>
      <c r="AI254" s="1136">
        <v>0.18</v>
      </c>
      <c r="AJ254" s="1049"/>
      <c r="AK254" s="1050">
        <f t="shared" ref="AK254:AK277" si="117">AD254*(AI254-0.8)</f>
        <v>-1.2462</v>
      </c>
      <c r="AL254" s="1049"/>
      <c r="AM254" s="1125">
        <v>44968</v>
      </c>
      <c r="AN254" s="1057">
        <v>0</v>
      </c>
      <c r="AO254" s="1056">
        <v>1</v>
      </c>
      <c r="AP254" s="1055">
        <v>0.15</v>
      </c>
      <c r="AQ254" s="1745">
        <f t="shared" ref="AQ254:AQ277" si="118">AP254*AU254</f>
        <v>2.7E-2</v>
      </c>
      <c r="AR254" s="1737">
        <v>0.25</v>
      </c>
      <c r="AS254" s="1052">
        <f t="shared" ref="AS254:AS277" si="119">AR254/AP254</f>
        <v>1.6666666666666667</v>
      </c>
      <c r="AT254" s="1049"/>
      <c r="AU254" s="1136">
        <v>0.18</v>
      </c>
      <c r="AV254" s="1049"/>
      <c r="AW254" s="1125">
        <v>44996</v>
      </c>
      <c r="AX254" s="1057">
        <v>0</v>
      </c>
      <c r="AY254" s="1056">
        <v>1</v>
      </c>
      <c r="AZ254" s="1055">
        <v>0.1</v>
      </c>
      <c r="BA254" s="1736">
        <v>0.15</v>
      </c>
      <c r="BB254" s="1737">
        <f t="shared" ref="BB254:BB277" si="120">BA254/AZ254</f>
        <v>1.4999999999999998</v>
      </c>
      <c r="BC254" s="1049"/>
      <c r="BD254" s="1136"/>
      <c r="BE254" s="1049"/>
      <c r="BF254" s="1125">
        <v>45027</v>
      </c>
      <c r="BG254" s="1057">
        <v>0</v>
      </c>
      <c r="BH254" s="1056">
        <v>1</v>
      </c>
      <c r="BI254" s="1055">
        <v>0.14000000000000001</v>
      </c>
      <c r="BJ254" s="1736" t="s">
        <v>1382</v>
      </c>
      <c r="BK254" s="1049"/>
      <c r="BL254" s="1125">
        <v>45027</v>
      </c>
      <c r="BM254" s="1057">
        <v>0</v>
      </c>
      <c r="BN254" s="1056">
        <v>1</v>
      </c>
      <c r="BO254" s="1055"/>
      <c r="BP254" s="1055"/>
      <c r="BQ254" s="1049"/>
    </row>
    <row r="255" spans="1:69" ht="14.4">
      <c r="A255" s="1049"/>
      <c r="B255" s="1124"/>
      <c r="C255" s="1057">
        <v>1</v>
      </c>
      <c r="D255" s="1056">
        <v>2</v>
      </c>
      <c r="E255" s="1063">
        <v>0.27</v>
      </c>
      <c r="F255" s="1062">
        <v>0.78</v>
      </c>
      <c r="G255" s="1061">
        <f t="shared" si="110"/>
        <v>2.8888888888888888</v>
      </c>
      <c r="H255" s="1049"/>
      <c r="I255" s="1124"/>
      <c r="J255" s="1057">
        <v>1</v>
      </c>
      <c r="K255" s="1056">
        <v>2</v>
      </c>
      <c r="L255" s="1055">
        <v>1.3220000000000001</v>
      </c>
      <c r="M255" s="1059">
        <v>2.2000000000000002</v>
      </c>
      <c r="N255" s="1052">
        <f t="shared" si="111"/>
        <v>1.6641452344931922</v>
      </c>
      <c r="O255" s="1049"/>
      <c r="P255" s="1123"/>
      <c r="Q255" s="1057">
        <v>1</v>
      </c>
      <c r="R255" s="1056">
        <v>2</v>
      </c>
      <c r="S255" s="1055">
        <v>1.395</v>
      </c>
      <c r="T255" s="1054">
        <f t="shared" si="112"/>
        <v>4.1570999999999998</v>
      </c>
      <c r="U255" s="1136">
        <v>5.44</v>
      </c>
      <c r="V255" s="1052">
        <f t="shared" si="113"/>
        <v>3.8996415770609323</v>
      </c>
      <c r="W255" s="1049"/>
      <c r="X255" s="1051">
        <v>2.98</v>
      </c>
      <c r="Y255" s="1049"/>
      <c r="Z255" s="1050">
        <f t="shared" si="114"/>
        <v>3.0410999999999997</v>
      </c>
      <c r="AA255" s="1123"/>
      <c r="AB255" s="1057">
        <v>1</v>
      </c>
      <c r="AC255" s="1056">
        <v>2</v>
      </c>
      <c r="AD255" s="1055">
        <v>1.99</v>
      </c>
      <c r="AE255" s="1137">
        <f t="shared" si="115"/>
        <v>0.25869999999999999</v>
      </c>
      <c r="AF255" s="1136">
        <v>1.64</v>
      </c>
      <c r="AG255" s="1052">
        <f t="shared" si="116"/>
        <v>0.82412060301507528</v>
      </c>
      <c r="AH255" s="1049"/>
      <c r="AI255" s="1136">
        <v>0.13</v>
      </c>
      <c r="AJ255" s="1049"/>
      <c r="AK255" s="1050">
        <f t="shared" si="117"/>
        <v>-1.3333000000000002</v>
      </c>
      <c r="AL255" s="1049"/>
      <c r="AM255" s="1123"/>
      <c r="AN255" s="1057">
        <v>1</v>
      </c>
      <c r="AO255" s="1056">
        <v>2</v>
      </c>
      <c r="AP255" s="1055">
        <v>0.16</v>
      </c>
      <c r="AQ255" s="1745">
        <f t="shared" si="118"/>
        <v>2.0800000000000003E-2</v>
      </c>
      <c r="AR255" s="1737">
        <v>0.25</v>
      </c>
      <c r="AS255" s="1052">
        <f t="shared" si="119"/>
        <v>1.5625</v>
      </c>
      <c r="AT255" s="1049"/>
      <c r="AU255" s="1136">
        <v>0.13</v>
      </c>
      <c r="AV255" s="1049"/>
      <c r="AW255" s="1123"/>
      <c r="AX255" s="1057">
        <v>1</v>
      </c>
      <c r="AY255" s="1056">
        <v>2</v>
      </c>
      <c r="AZ255" s="1055">
        <v>0.13</v>
      </c>
      <c r="BA255" s="1736">
        <v>0.19</v>
      </c>
      <c r="BB255" s="1737">
        <f t="shared" si="120"/>
        <v>1.4615384615384615</v>
      </c>
      <c r="BC255" s="1049"/>
      <c r="BD255" s="1136"/>
      <c r="BE255" s="1049"/>
      <c r="BF255" s="1123"/>
      <c r="BG255" s="1057">
        <v>1</v>
      </c>
      <c r="BH255" s="1056">
        <v>2</v>
      </c>
      <c r="BI255" s="1055">
        <v>0.06</v>
      </c>
      <c r="BJ255" s="1736" t="s">
        <v>1451</v>
      </c>
      <c r="BK255" s="1049"/>
      <c r="BL255" s="1123"/>
      <c r="BM255" s="1057">
        <v>1</v>
      </c>
      <c r="BN255" s="1056">
        <v>2</v>
      </c>
      <c r="BO255" s="1055"/>
      <c r="BP255" s="1055"/>
      <c r="BQ255" s="1049"/>
    </row>
    <row r="256" spans="1:69" ht="14.4">
      <c r="A256" s="1049"/>
      <c r="B256" s="1122">
        <f>SUM(E254:E277)</f>
        <v>11.780000000000003</v>
      </c>
      <c r="C256" s="1057">
        <v>2</v>
      </c>
      <c r="D256" s="1056">
        <v>3</v>
      </c>
      <c r="E256" s="1063">
        <v>0.26</v>
      </c>
      <c r="F256" s="1062">
        <v>0.74</v>
      </c>
      <c r="G256" s="1061">
        <f t="shared" si="110"/>
        <v>2.8461538461538458</v>
      </c>
      <c r="H256" s="1049"/>
      <c r="I256" s="1122">
        <f>SUM(L254:L277)</f>
        <v>26.622</v>
      </c>
      <c r="J256" s="1057">
        <v>2</v>
      </c>
      <c r="K256" s="1056">
        <v>3</v>
      </c>
      <c r="L256" s="1055">
        <v>1.36</v>
      </c>
      <c r="M256" s="1059">
        <v>2.2599999999999998</v>
      </c>
      <c r="N256" s="1052">
        <f t="shared" si="111"/>
        <v>1.6617647058823526</v>
      </c>
      <c r="O256" s="1049"/>
      <c r="P256" s="1121">
        <f>SUM(S254:S277)</f>
        <v>45.949000000000005</v>
      </c>
      <c r="Q256" s="1057">
        <v>2</v>
      </c>
      <c r="R256" s="1056">
        <v>3</v>
      </c>
      <c r="S256" s="1055">
        <v>1.2929999999999999</v>
      </c>
      <c r="T256" s="1054">
        <f t="shared" si="112"/>
        <v>3.7884899999999999</v>
      </c>
      <c r="U256" s="1136">
        <v>4.9800000000000004</v>
      </c>
      <c r="V256" s="1052">
        <f t="shared" si="113"/>
        <v>3.8515081206496524</v>
      </c>
      <c r="W256" s="1049"/>
      <c r="X256" s="1051">
        <v>2.93</v>
      </c>
      <c r="Y256" s="1049"/>
      <c r="Z256" s="1050">
        <f t="shared" si="114"/>
        <v>2.7540899999999997</v>
      </c>
      <c r="AA256" s="1121">
        <f>SUM(AD254:AD277)</f>
        <v>63.239999999999995</v>
      </c>
      <c r="AB256" s="1057">
        <v>2</v>
      </c>
      <c r="AC256" s="1056">
        <v>3</v>
      </c>
      <c r="AD256" s="1055">
        <v>1.95</v>
      </c>
      <c r="AE256" s="1137">
        <f t="shared" si="115"/>
        <v>0.2535</v>
      </c>
      <c r="AF256" s="1136">
        <v>1.6</v>
      </c>
      <c r="AG256" s="1052">
        <f t="shared" si="116"/>
        <v>0.8205128205128206</v>
      </c>
      <c r="AH256" s="1049"/>
      <c r="AI256" s="1136">
        <v>0.13</v>
      </c>
      <c r="AJ256" s="1049"/>
      <c r="AK256" s="1050">
        <f t="shared" si="117"/>
        <v>-1.3065</v>
      </c>
      <c r="AL256" s="1049"/>
      <c r="AM256" s="1121">
        <f>SUM(AP254:AP277)</f>
        <v>8.1199999999999992</v>
      </c>
      <c r="AN256" s="1057">
        <v>2</v>
      </c>
      <c r="AO256" s="1056">
        <v>3</v>
      </c>
      <c r="AP256" s="1055">
        <v>0.14000000000000001</v>
      </c>
      <c r="AQ256" s="1745">
        <f t="shared" si="118"/>
        <v>1.8200000000000001E-2</v>
      </c>
      <c r="AR256" s="1737">
        <v>0.22</v>
      </c>
      <c r="AS256" s="1052">
        <f t="shared" si="119"/>
        <v>1.5714285714285714</v>
      </c>
      <c r="AT256" s="1049"/>
      <c r="AU256" s="1136">
        <v>0.13</v>
      </c>
      <c r="AV256" s="1049"/>
      <c r="AW256" s="1121">
        <f>SUM(AZ254:AZ277)</f>
        <v>10.16</v>
      </c>
      <c r="AX256" s="1057">
        <v>2</v>
      </c>
      <c r="AY256" s="1056">
        <v>3</v>
      </c>
      <c r="AZ256" s="1055">
        <v>0.11</v>
      </c>
      <c r="BA256" s="1736">
        <v>0.17</v>
      </c>
      <c r="BB256" s="1737">
        <f t="shared" si="120"/>
        <v>1.5454545454545456</v>
      </c>
      <c r="BC256" s="1049"/>
      <c r="BD256" s="1136"/>
      <c r="BE256" s="1049"/>
      <c r="BF256" s="1121">
        <f>SUM(BI254:BI277)</f>
        <v>6.02</v>
      </c>
      <c r="BG256" s="1057">
        <v>2</v>
      </c>
      <c r="BH256" s="1056">
        <v>3</v>
      </c>
      <c r="BI256" s="1055">
        <v>0.12</v>
      </c>
      <c r="BJ256" s="1736" t="s">
        <v>1362</v>
      </c>
      <c r="BK256" s="1049"/>
      <c r="BL256" s="1121">
        <f>SUM(BO254:BO277)+SUM(BP254:BP277)</f>
        <v>0</v>
      </c>
      <c r="BM256" s="1057">
        <v>2</v>
      </c>
      <c r="BN256" s="1056">
        <v>3</v>
      </c>
      <c r="BO256" s="1055"/>
      <c r="BP256" s="1055"/>
      <c r="BQ256" s="1049"/>
    </row>
    <row r="257" spans="1:69" ht="14.4">
      <c r="A257" s="1049"/>
      <c r="B257" s="1120">
        <f>B256/24</f>
        <v>0.49083333333333345</v>
      </c>
      <c r="C257" s="1057">
        <v>3</v>
      </c>
      <c r="D257" s="1056">
        <v>4</v>
      </c>
      <c r="E257" s="1063">
        <v>0.35</v>
      </c>
      <c r="F257" s="1062">
        <v>1.01</v>
      </c>
      <c r="G257" s="1061">
        <f t="shared" si="110"/>
        <v>2.8857142857142861</v>
      </c>
      <c r="H257" s="1049"/>
      <c r="I257" s="1120">
        <f>I256/24</f>
        <v>1.1092500000000001</v>
      </c>
      <c r="J257" s="1057">
        <v>3</v>
      </c>
      <c r="K257" s="1056">
        <v>4</v>
      </c>
      <c r="L257" s="1055">
        <v>1.329</v>
      </c>
      <c r="M257" s="1059">
        <v>2.21</v>
      </c>
      <c r="N257" s="1052">
        <f t="shared" si="111"/>
        <v>1.6629044394281416</v>
      </c>
      <c r="O257" s="1049"/>
      <c r="P257" s="1120">
        <f>P256/24</f>
        <v>1.9145416666666668</v>
      </c>
      <c r="Q257" s="1057">
        <v>3</v>
      </c>
      <c r="R257" s="1056">
        <v>4</v>
      </c>
      <c r="S257" s="1055">
        <v>1.167</v>
      </c>
      <c r="T257" s="1054">
        <f t="shared" si="112"/>
        <v>3.2559300000000002</v>
      </c>
      <c r="U257" s="1136">
        <v>4.33</v>
      </c>
      <c r="V257" s="1052">
        <f t="shared" si="113"/>
        <v>3.7103684661525276</v>
      </c>
      <c r="W257" s="1049"/>
      <c r="X257" s="1051">
        <v>2.79</v>
      </c>
      <c r="Y257" s="1049"/>
      <c r="Z257" s="1050">
        <f t="shared" si="114"/>
        <v>2.32233</v>
      </c>
      <c r="AA257" s="1120">
        <f>AA256/24</f>
        <v>2.6349999999999998</v>
      </c>
      <c r="AB257" s="1057">
        <v>3</v>
      </c>
      <c r="AC257" s="1056">
        <v>4</v>
      </c>
      <c r="AD257" s="1055">
        <v>1.91</v>
      </c>
      <c r="AE257" s="1137">
        <f t="shared" si="115"/>
        <v>0.24829999999999999</v>
      </c>
      <c r="AF257" s="1136">
        <v>1.57</v>
      </c>
      <c r="AG257" s="1052">
        <f t="shared" si="116"/>
        <v>0.82198952879581155</v>
      </c>
      <c r="AH257" s="1049"/>
      <c r="AI257" s="1136">
        <v>0.13</v>
      </c>
      <c r="AJ257" s="1049"/>
      <c r="AK257" s="1050">
        <f t="shared" si="117"/>
        <v>-1.2797000000000001</v>
      </c>
      <c r="AL257" s="1049"/>
      <c r="AM257" s="1120">
        <f>AM256/24</f>
        <v>0.33833333333333332</v>
      </c>
      <c r="AN257" s="1057">
        <v>3</v>
      </c>
      <c r="AO257" s="1056">
        <v>4</v>
      </c>
      <c r="AP257" s="1055">
        <v>0.13</v>
      </c>
      <c r="AQ257" s="1745">
        <f t="shared" si="118"/>
        <v>1.6900000000000002E-2</v>
      </c>
      <c r="AR257" s="1737">
        <v>0.2</v>
      </c>
      <c r="AS257" s="1052">
        <f t="shared" si="119"/>
        <v>1.5384615384615385</v>
      </c>
      <c r="AT257" s="1049"/>
      <c r="AU257" s="1136">
        <v>0.13</v>
      </c>
      <c r="AV257" s="1049"/>
      <c r="AW257" s="1120">
        <f>AW256/24</f>
        <v>0.42333333333333334</v>
      </c>
      <c r="AX257" s="1057">
        <v>3</v>
      </c>
      <c r="AY257" s="1056">
        <v>4</v>
      </c>
      <c r="AZ257" s="1055">
        <v>0.1</v>
      </c>
      <c r="BA257" s="1736">
        <v>0.16</v>
      </c>
      <c r="BB257" s="1737">
        <f t="shared" si="120"/>
        <v>1.5999999999999999</v>
      </c>
      <c r="BC257" s="1049"/>
      <c r="BD257" s="1136"/>
      <c r="BE257" s="1049"/>
      <c r="BF257" s="1120">
        <f>BF256/24</f>
        <v>0.2508333333333333</v>
      </c>
      <c r="BG257" s="1057">
        <v>3</v>
      </c>
      <c r="BH257" s="1056">
        <v>4</v>
      </c>
      <c r="BI257" s="1055">
        <v>0.14000000000000001</v>
      </c>
      <c r="BJ257" s="1736" t="s">
        <v>1382</v>
      </c>
      <c r="BK257" s="1049"/>
      <c r="BL257" s="1120">
        <f>BL256/24</f>
        <v>0</v>
      </c>
      <c r="BM257" s="1057">
        <v>3</v>
      </c>
      <c r="BN257" s="1056">
        <v>4</v>
      </c>
      <c r="BO257" s="1055"/>
      <c r="BP257" s="1055"/>
      <c r="BQ257" s="1049"/>
    </row>
    <row r="258" spans="1:69" ht="14.4">
      <c r="A258" s="1049"/>
      <c r="B258" s="1119"/>
      <c r="C258" s="1057">
        <v>4</v>
      </c>
      <c r="D258" s="1056">
        <v>5</v>
      </c>
      <c r="E258" s="1063">
        <v>0.27</v>
      </c>
      <c r="F258" s="1062">
        <v>0.79</v>
      </c>
      <c r="G258" s="1061">
        <f t="shared" si="110"/>
        <v>2.925925925925926</v>
      </c>
      <c r="H258" s="1049"/>
      <c r="I258" s="1119"/>
      <c r="J258" s="1057">
        <v>4</v>
      </c>
      <c r="K258" s="1056">
        <v>5</v>
      </c>
      <c r="L258" s="1055">
        <v>1.3580000000000001</v>
      </c>
      <c r="M258" s="1059">
        <v>2.2599999999999998</v>
      </c>
      <c r="N258" s="1052">
        <f t="shared" si="111"/>
        <v>1.6642120765832102</v>
      </c>
      <c r="O258" s="1049"/>
      <c r="P258" s="1118"/>
      <c r="Q258" s="1057">
        <v>4</v>
      </c>
      <c r="R258" s="1056">
        <v>5</v>
      </c>
      <c r="S258" s="1055">
        <v>1.2210000000000001</v>
      </c>
      <c r="T258" s="1054">
        <f t="shared" si="112"/>
        <v>3.3699599999999998</v>
      </c>
      <c r="U258" s="1136">
        <v>4.4800000000000004</v>
      </c>
      <c r="V258" s="1052">
        <f t="shared" si="113"/>
        <v>3.6691236691236693</v>
      </c>
      <c r="W258" s="1049"/>
      <c r="X258" s="1051">
        <v>2.76</v>
      </c>
      <c r="Y258" s="1049"/>
      <c r="Z258" s="1050">
        <f t="shared" si="114"/>
        <v>2.39316</v>
      </c>
      <c r="AA258" s="1118"/>
      <c r="AB258" s="1057">
        <v>4</v>
      </c>
      <c r="AC258" s="1056">
        <v>5</v>
      </c>
      <c r="AD258" s="1055">
        <v>2.0099999999999998</v>
      </c>
      <c r="AE258" s="1137">
        <f t="shared" si="115"/>
        <v>0.26129999999999998</v>
      </c>
      <c r="AF258" s="1136">
        <v>1.65</v>
      </c>
      <c r="AG258" s="1052">
        <f t="shared" si="116"/>
        <v>0.82089552238805974</v>
      </c>
      <c r="AH258" s="1049"/>
      <c r="AI258" s="1136">
        <v>0.13</v>
      </c>
      <c r="AJ258" s="1049"/>
      <c r="AK258" s="1050">
        <f t="shared" si="117"/>
        <v>-1.3467</v>
      </c>
      <c r="AL258" s="1049"/>
      <c r="AM258" s="1118"/>
      <c r="AN258" s="1057">
        <v>4</v>
      </c>
      <c r="AO258" s="1056">
        <v>5</v>
      </c>
      <c r="AP258" s="1055">
        <v>0.15</v>
      </c>
      <c r="AQ258" s="1745">
        <f t="shared" si="118"/>
        <v>1.95E-2</v>
      </c>
      <c r="AR258" s="1737">
        <v>0.23</v>
      </c>
      <c r="AS258" s="1052">
        <f t="shared" si="119"/>
        <v>1.5333333333333334</v>
      </c>
      <c r="AT258" s="1049"/>
      <c r="AU258" s="1136">
        <v>0.13</v>
      </c>
      <c r="AV258" s="1049"/>
      <c r="AW258" s="1118"/>
      <c r="AX258" s="1057">
        <v>4</v>
      </c>
      <c r="AY258" s="1056">
        <v>5</v>
      </c>
      <c r="AZ258" s="1055">
        <v>7.0000000000000007E-2</v>
      </c>
      <c r="BA258" s="1736">
        <v>0.11</v>
      </c>
      <c r="BB258" s="1737">
        <f t="shared" si="120"/>
        <v>1.5714285714285714</v>
      </c>
      <c r="BC258" s="1049"/>
      <c r="BD258" s="1136"/>
      <c r="BE258" s="1049"/>
      <c r="BF258" s="1118"/>
      <c r="BG258" s="1057">
        <v>4</v>
      </c>
      <c r="BH258" s="1056">
        <v>5</v>
      </c>
      <c r="BI258" s="1055">
        <v>0.1</v>
      </c>
      <c r="BJ258" s="1736" t="s">
        <v>1447</v>
      </c>
      <c r="BK258" s="1049"/>
      <c r="BL258" s="1118"/>
      <c r="BM258" s="1057">
        <v>4</v>
      </c>
      <c r="BN258" s="1056">
        <v>5</v>
      </c>
      <c r="BO258" s="1055"/>
      <c r="BP258" s="1055"/>
      <c r="BQ258" s="1049"/>
    </row>
    <row r="259" spans="1:69" ht="15" thickBot="1">
      <c r="A259" s="1049"/>
      <c r="B259" s="1058">
        <f>SUM(F254:F277)</f>
        <v>34.980000000000004</v>
      </c>
      <c r="C259" s="1111">
        <v>5</v>
      </c>
      <c r="D259" s="1110">
        <v>6</v>
      </c>
      <c r="E259" s="1117">
        <v>0.27</v>
      </c>
      <c r="F259" s="1116">
        <v>0.79</v>
      </c>
      <c r="G259" s="1115">
        <f t="shared" si="110"/>
        <v>2.925925925925926</v>
      </c>
      <c r="H259" s="1049"/>
      <c r="I259" s="1058">
        <f>SUM(M254:M277)</f>
        <v>46.809999999999995</v>
      </c>
      <c r="J259" s="1111">
        <v>5</v>
      </c>
      <c r="K259" s="1110">
        <v>6</v>
      </c>
      <c r="L259" s="1109">
        <v>1.3109999999999999</v>
      </c>
      <c r="M259" s="1114">
        <v>2.1800000000000002</v>
      </c>
      <c r="N259" s="1113">
        <f t="shared" si="111"/>
        <v>1.6628527841342489</v>
      </c>
      <c r="O259" s="1049"/>
      <c r="P259" s="1112">
        <f>SUM(U254:U277)</f>
        <v>196.27</v>
      </c>
      <c r="Q259" s="1111">
        <v>5</v>
      </c>
      <c r="R259" s="1110">
        <v>6</v>
      </c>
      <c r="S259" s="1109">
        <v>1.591</v>
      </c>
      <c r="T259" s="1054">
        <f t="shared" si="112"/>
        <v>4.3911599999999993</v>
      </c>
      <c r="U259" s="1146">
        <v>5.85</v>
      </c>
      <c r="V259" s="1052">
        <f t="shared" si="113"/>
        <v>3.6769327467001882</v>
      </c>
      <c r="W259" s="1049"/>
      <c r="X259" s="1074">
        <v>2.76</v>
      </c>
      <c r="Y259" s="1049"/>
      <c r="Z259" s="1050">
        <f t="shared" si="114"/>
        <v>3.1183599999999996</v>
      </c>
      <c r="AA259" s="1112">
        <f>SUM(AF254:AF277)</f>
        <v>112.63000000000001</v>
      </c>
      <c r="AB259" s="1111">
        <v>5</v>
      </c>
      <c r="AC259" s="1110">
        <v>6</v>
      </c>
      <c r="AD259" s="1109">
        <v>2.2000000000000002</v>
      </c>
      <c r="AE259" s="1147">
        <f t="shared" si="115"/>
        <v>0.35200000000000004</v>
      </c>
      <c r="AF259" s="1146">
        <v>1.86</v>
      </c>
      <c r="AG259" s="1052">
        <f t="shared" si="116"/>
        <v>0.84545454545454546</v>
      </c>
      <c r="AH259" s="1049"/>
      <c r="AI259" s="1146">
        <v>0.16</v>
      </c>
      <c r="AJ259" s="1049"/>
      <c r="AK259" s="1050">
        <f t="shared" si="117"/>
        <v>-1.4080000000000001</v>
      </c>
      <c r="AL259" s="1049"/>
      <c r="AM259" s="1112">
        <f>SUM(AR254:AR277)</f>
        <v>14.7</v>
      </c>
      <c r="AN259" s="1111">
        <v>5</v>
      </c>
      <c r="AO259" s="1110">
        <v>6</v>
      </c>
      <c r="AP259" s="1109">
        <v>0.32</v>
      </c>
      <c r="AQ259" s="1746">
        <f t="shared" si="118"/>
        <v>5.1200000000000002E-2</v>
      </c>
      <c r="AR259" s="1739">
        <v>0.49</v>
      </c>
      <c r="AS259" s="1052">
        <f t="shared" si="119"/>
        <v>1.53125</v>
      </c>
      <c r="AT259" s="1049"/>
      <c r="AU259" s="1146">
        <v>0.16</v>
      </c>
      <c r="AV259" s="1049"/>
      <c r="AW259" s="1112">
        <f>SUM(BA254:BA277)</f>
        <v>18.740000000000002</v>
      </c>
      <c r="AX259" s="1111">
        <v>5</v>
      </c>
      <c r="AY259" s="1110">
        <v>6</v>
      </c>
      <c r="AZ259" s="1109">
        <v>0.14000000000000001</v>
      </c>
      <c r="BA259" s="1738">
        <v>0.24</v>
      </c>
      <c r="BB259" s="1739">
        <f t="shared" si="120"/>
        <v>1.714285714285714</v>
      </c>
      <c r="BC259" s="1049"/>
      <c r="BD259" s="1146"/>
      <c r="BE259" s="1049"/>
      <c r="BF259" s="1112">
        <f>SUM(BJ254:BJ277)</f>
        <v>0</v>
      </c>
      <c r="BG259" s="1111">
        <v>5</v>
      </c>
      <c r="BH259" s="1110">
        <v>6</v>
      </c>
      <c r="BI259" s="1055">
        <v>0.13</v>
      </c>
      <c r="BJ259" s="1738" t="s">
        <v>1364</v>
      </c>
      <c r="BK259" s="1049"/>
      <c r="BL259" s="1112">
        <f>SUM(BP254:BP277)</f>
        <v>0</v>
      </c>
      <c r="BM259" s="1111">
        <v>5</v>
      </c>
      <c r="BN259" s="1110">
        <v>6</v>
      </c>
      <c r="BO259" s="1109"/>
      <c r="BP259" s="1109"/>
      <c r="BQ259" s="1049"/>
    </row>
    <row r="260" spans="1:69" ht="14.4">
      <c r="A260" s="1049"/>
      <c r="B260" s="1093">
        <f>B259/B256</f>
        <v>2.9694397283531404</v>
      </c>
      <c r="C260" s="1100">
        <v>6</v>
      </c>
      <c r="D260" s="1099">
        <v>7</v>
      </c>
      <c r="E260" s="1107">
        <v>0.28000000000000003</v>
      </c>
      <c r="F260" s="1106">
        <v>0.81</v>
      </c>
      <c r="G260" s="1105">
        <f t="shared" si="110"/>
        <v>2.8928571428571428</v>
      </c>
      <c r="H260" s="1049"/>
      <c r="I260" s="1093">
        <f>I259/I256</f>
        <v>1.7583201863120725</v>
      </c>
      <c r="J260" s="1100">
        <v>6</v>
      </c>
      <c r="K260" s="1099">
        <v>7</v>
      </c>
      <c r="L260" s="1098">
        <v>1.544</v>
      </c>
      <c r="M260" s="1103">
        <v>2.58</v>
      </c>
      <c r="N260" s="1102">
        <f t="shared" si="111"/>
        <v>1.6709844559585492</v>
      </c>
      <c r="O260" s="1049"/>
      <c r="P260" s="1093">
        <f>P259/P256</f>
        <v>4.271474896080437</v>
      </c>
      <c r="Q260" s="1100">
        <v>6</v>
      </c>
      <c r="R260" s="1099">
        <v>7</v>
      </c>
      <c r="S260" s="1098">
        <v>1.637</v>
      </c>
      <c r="T260" s="1054">
        <f t="shared" si="112"/>
        <v>4.6981900000000003</v>
      </c>
      <c r="U260" s="1144">
        <v>6.2</v>
      </c>
      <c r="V260" s="1052">
        <f t="shared" si="113"/>
        <v>3.7874160048869885</v>
      </c>
      <c r="W260" s="1049"/>
      <c r="X260" s="1108">
        <v>2.87</v>
      </c>
      <c r="Y260" s="1049"/>
      <c r="Z260" s="1050">
        <f t="shared" si="114"/>
        <v>3.3885900000000007</v>
      </c>
      <c r="AA260" s="1093">
        <f>AA259/AA256</f>
        <v>1.7809930423782419</v>
      </c>
      <c r="AB260" s="1100">
        <v>6</v>
      </c>
      <c r="AC260" s="1099">
        <v>7</v>
      </c>
      <c r="AD260" s="1098">
        <v>2.31</v>
      </c>
      <c r="AE260" s="1145">
        <f t="shared" si="115"/>
        <v>1.5477000000000001</v>
      </c>
      <c r="AF260" s="1144">
        <v>3.14</v>
      </c>
      <c r="AG260" s="1052">
        <f t="shared" si="116"/>
        <v>1.3593073593073592</v>
      </c>
      <c r="AH260" s="1049"/>
      <c r="AI260" s="1144">
        <v>0.67</v>
      </c>
      <c r="AJ260" s="1049"/>
      <c r="AK260" s="1050">
        <f t="shared" si="117"/>
        <v>-0.30030000000000001</v>
      </c>
      <c r="AL260" s="1049"/>
      <c r="AM260" s="1093">
        <f>AM259/AM256</f>
        <v>1.8103448275862071</v>
      </c>
      <c r="AN260" s="1100">
        <v>6</v>
      </c>
      <c r="AO260" s="1099">
        <v>7</v>
      </c>
      <c r="AP260" s="1098">
        <v>0.22</v>
      </c>
      <c r="AQ260" s="1747">
        <f t="shared" si="118"/>
        <v>0.1474</v>
      </c>
      <c r="AR260" s="1741">
        <v>0.34</v>
      </c>
      <c r="AS260" s="1052">
        <f t="shared" si="119"/>
        <v>1.5454545454545456</v>
      </c>
      <c r="AT260" s="1049"/>
      <c r="AU260" s="1144">
        <v>0.67</v>
      </c>
      <c r="AV260" s="1049"/>
      <c r="AW260" s="1093">
        <f>AW259/AW256</f>
        <v>1.8444881889763782</v>
      </c>
      <c r="AX260" s="1100">
        <v>6</v>
      </c>
      <c r="AY260" s="1099">
        <v>7</v>
      </c>
      <c r="AZ260" s="1098">
        <v>0.22</v>
      </c>
      <c r="BA260" s="1740">
        <v>0.39</v>
      </c>
      <c r="BB260" s="1741">
        <f t="shared" si="120"/>
        <v>1.7727272727272727</v>
      </c>
      <c r="BC260" s="1049"/>
      <c r="BD260" s="1144"/>
      <c r="BE260" s="1049"/>
      <c r="BF260" s="1093">
        <f>BF259/BF256</f>
        <v>0</v>
      </c>
      <c r="BG260" s="1100">
        <v>6</v>
      </c>
      <c r="BH260" s="1099">
        <v>7</v>
      </c>
      <c r="BI260" s="1055">
        <v>0.23</v>
      </c>
      <c r="BJ260" s="1740" t="s">
        <v>1378</v>
      </c>
      <c r="BK260" s="1049"/>
      <c r="BL260" s="1093" t="e">
        <f>BL259/BL256</f>
        <v>#DIV/0!</v>
      </c>
      <c r="BM260" s="1100">
        <v>6</v>
      </c>
      <c r="BN260" s="1099">
        <v>7</v>
      </c>
      <c r="BO260" s="1098"/>
      <c r="BP260" s="1098"/>
      <c r="BQ260" s="1049"/>
    </row>
    <row r="261" spans="1:69" ht="14.4">
      <c r="A261" s="1049"/>
      <c r="B261" s="1104"/>
      <c r="C261" s="1100">
        <v>7</v>
      </c>
      <c r="D261" s="1099">
        <v>8</v>
      </c>
      <c r="E261" s="1107">
        <v>0.89</v>
      </c>
      <c r="F261" s="1106">
        <v>2.56</v>
      </c>
      <c r="G261" s="1105">
        <f t="shared" si="110"/>
        <v>2.8764044943820224</v>
      </c>
      <c r="H261" s="1049"/>
      <c r="I261" s="1104"/>
      <c r="J261" s="1100">
        <v>7</v>
      </c>
      <c r="K261" s="1099">
        <v>8</v>
      </c>
      <c r="L261" s="1098">
        <v>1.786</v>
      </c>
      <c r="M261" s="1103">
        <v>3</v>
      </c>
      <c r="N261" s="1102">
        <f t="shared" si="111"/>
        <v>1.6797312430011198</v>
      </c>
      <c r="O261" s="1049"/>
      <c r="P261" s="1101"/>
      <c r="Q261" s="1100">
        <v>7</v>
      </c>
      <c r="R261" s="1099">
        <v>8</v>
      </c>
      <c r="S261" s="1098">
        <v>1.81</v>
      </c>
      <c r="T261" s="1054">
        <f t="shared" si="112"/>
        <v>5.1765999999999996</v>
      </c>
      <c r="U261" s="1144">
        <v>6.84</v>
      </c>
      <c r="V261" s="1052">
        <f t="shared" si="113"/>
        <v>3.7790055248618781</v>
      </c>
      <c r="W261" s="1049"/>
      <c r="X261" s="1065">
        <v>2.86</v>
      </c>
      <c r="Y261" s="1049"/>
      <c r="Z261" s="1050">
        <f t="shared" si="114"/>
        <v>3.7285999999999992</v>
      </c>
      <c r="AA261" s="1101"/>
      <c r="AB261" s="1100">
        <v>7</v>
      </c>
      <c r="AC261" s="1099">
        <v>8</v>
      </c>
      <c r="AD261" s="1098">
        <v>2.41</v>
      </c>
      <c r="AE261" s="1145">
        <f t="shared" si="115"/>
        <v>2.3618000000000001</v>
      </c>
      <c r="AF261" s="1144">
        <v>4.0199999999999996</v>
      </c>
      <c r="AG261" s="1052">
        <f t="shared" si="116"/>
        <v>1.66804979253112</v>
      </c>
      <c r="AH261" s="1049"/>
      <c r="AI261" s="1144">
        <v>0.98</v>
      </c>
      <c r="AJ261" s="1049"/>
      <c r="AK261" s="1050">
        <f t="shared" si="117"/>
        <v>0.43379999999999985</v>
      </c>
      <c r="AL261" s="1049"/>
      <c r="AM261" s="1101"/>
      <c r="AN261" s="1100">
        <v>7</v>
      </c>
      <c r="AO261" s="1099">
        <v>8</v>
      </c>
      <c r="AP261" s="1098">
        <v>0.26</v>
      </c>
      <c r="AQ261" s="1747">
        <f t="shared" si="118"/>
        <v>0.25480000000000003</v>
      </c>
      <c r="AR261" s="1741">
        <v>0.4</v>
      </c>
      <c r="AS261" s="1052">
        <f t="shared" si="119"/>
        <v>1.5384615384615385</v>
      </c>
      <c r="AT261" s="1049"/>
      <c r="AU261" s="1144">
        <v>0.98</v>
      </c>
      <c r="AV261" s="1049"/>
      <c r="AW261" s="1101"/>
      <c r="AX261" s="1100">
        <v>7</v>
      </c>
      <c r="AY261" s="1099">
        <v>8</v>
      </c>
      <c r="AZ261" s="1098">
        <v>0.36</v>
      </c>
      <c r="BA261" s="1736">
        <v>0.66</v>
      </c>
      <c r="BB261" s="1741">
        <f t="shared" si="120"/>
        <v>1.8333333333333335</v>
      </c>
      <c r="BC261" s="1049"/>
      <c r="BD261" s="1144"/>
      <c r="BE261" s="1049"/>
      <c r="BF261" s="1101"/>
      <c r="BG261" s="1100">
        <v>7</v>
      </c>
      <c r="BH261" s="1099">
        <v>8</v>
      </c>
      <c r="BI261" s="1055">
        <v>0.22</v>
      </c>
      <c r="BJ261" s="1736" t="s">
        <v>1435</v>
      </c>
      <c r="BK261" s="1049"/>
      <c r="BL261" s="1101"/>
      <c r="BM261" s="1100">
        <v>7</v>
      </c>
      <c r="BN261" s="1099">
        <v>8</v>
      </c>
      <c r="BO261" s="1098"/>
      <c r="BP261" s="1098"/>
      <c r="BQ261" s="1049"/>
    </row>
    <row r="262" spans="1:69" ht="14.4">
      <c r="A262" s="1049"/>
      <c r="B262" s="1097">
        <f>B259/24</f>
        <v>1.4575000000000002</v>
      </c>
      <c r="C262" s="1086">
        <v>8</v>
      </c>
      <c r="D262" s="1085">
        <v>9</v>
      </c>
      <c r="E262" s="1091">
        <v>1.34</v>
      </c>
      <c r="F262" s="1090">
        <v>3.88</v>
      </c>
      <c r="G262" s="1089">
        <f t="shared" si="110"/>
        <v>2.8955223880597014</v>
      </c>
      <c r="H262" s="1049"/>
      <c r="I262" s="1097">
        <f>I259/24</f>
        <v>1.9504166666666665</v>
      </c>
      <c r="J262" s="1086">
        <v>8</v>
      </c>
      <c r="K262" s="1085">
        <v>9</v>
      </c>
      <c r="L262" s="1084">
        <v>0.42099999999999999</v>
      </c>
      <c r="M262" s="1088">
        <v>0.71</v>
      </c>
      <c r="N262" s="1087">
        <f t="shared" si="111"/>
        <v>1.6864608076009502</v>
      </c>
      <c r="O262" s="1049"/>
      <c r="P262" s="1096">
        <f>P259/24</f>
        <v>8.1779166666666665</v>
      </c>
      <c r="Q262" s="1086">
        <v>8</v>
      </c>
      <c r="R262" s="1085">
        <v>9</v>
      </c>
      <c r="S262" s="1084">
        <v>1.901</v>
      </c>
      <c r="T262" s="1054">
        <f t="shared" si="112"/>
        <v>5.6649799999999999</v>
      </c>
      <c r="U262" s="1142">
        <v>7.42</v>
      </c>
      <c r="V262" s="1052">
        <f t="shared" si="113"/>
        <v>3.9032088374539713</v>
      </c>
      <c r="W262" s="1049"/>
      <c r="X262" s="1051">
        <v>2.98</v>
      </c>
      <c r="Y262" s="1049"/>
      <c r="Z262" s="1050">
        <f t="shared" si="114"/>
        <v>4.1441799999999995</v>
      </c>
      <c r="AA262" s="1096">
        <f>AA259/24</f>
        <v>4.6929166666666671</v>
      </c>
      <c r="AB262" s="1086">
        <v>8</v>
      </c>
      <c r="AC262" s="1085">
        <v>9</v>
      </c>
      <c r="AD262" s="1084">
        <v>2.57</v>
      </c>
      <c r="AE262" s="1143">
        <f t="shared" si="115"/>
        <v>3.3923999999999999</v>
      </c>
      <c r="AF262" s="1142">
        <v>5.17</v>
      </c>
      <c r="AG262" s="1052">
        <f t="shared" si="116"/>
        <v>2.0116731517509727</v>
      </c>
      <c r="AH262" s="1049"/>
      <c r="AI262" s="1142">
        <v>1.32</v>
      </c>
      <c r="AJ262" s="1049"/>
      <c r="AK262" s="1050">
        <f t="shared" si="117"/>
        <v>1.3364</v>
      </c>
      <c r="AL262" s="1049"/>
      <c r="AM262" s="1096">
        <f>AM259/24</f>
        <v>0.61249999999999993</v>
      </c>
      <c r="AN262" s="1086">
        <v>8</v>
      </c>
      <c r="AO262" s="1085">
        <v>9</v>
      </c>
      <c r="AP262" s="1084">
        <v>0.42</v>
      </c>
      <c r="AQ262" s="1748">
        <f t="shared" si="118"/>
        <v>0.5544</v>
      </c>
      <c r="AR262" s="1742">
        <v>0.66</v>
      </c>
      <c r="AS262" s="1052">
        <f t="shared" si="119"/>
        <v>1.5714285714285716</v>
      </c>
      <c r="AT262" s="1049"/>
      <c r="AU262" s="1142">
        <v>1.32</v>
      </c>
      <c r="AV262" s="1049"/>
      <c r="AW262" s="1096">
        <f>AW259/24</f>
        <v>0.78083333333333338</v>
      </c>
      <c r="AX262" s="1086">
        <v>8</v>
      </c>
      <c r="AY262" s="1085">
        <v>9</v>
      </c>
      <c r="AZ262" s="1084">
        <v>0.4</v>
      </c>
      <c r="BA262" s="1736">
        <v>0.75</v>
      </c>
      <c r="BB262" s="1742">
        <f t="shared" si="120"/>
        <v>1.875</v>
      </c>
      <c r="BC262" s="1049"/>
      <c r="BD262" s="1142"/>
      <c r="BE262" s="1049"/>
      <c r="BF262" s="1096">
        <f>BF259/24</f>
        <v>0</v>
      </c>
      <c r="BG262" s="1086">
        <v>8</v>
      </c>
      <c r="BH262" s="1085">
        <v>9</v>
      </c>
      <c r="BI262" s="1055">
        <v>0.27</v>
      </c>
      <c r="BJ262" s="1736" t="s">
        <v>1404</v>
      </c>
      <c r="BK262" s="1049"/>
      <c r="BL262" s="1096">
        <f>BL259/24</f>
        <v>0</v>
      </c>
      <c r="BM262" s="1086">
        <v>8</v>
      </c>
      <c r="BN262" s="1085">
        <v>9</v>
      </c>
      <c r="BO262" s="1084"/>
      <c r="BP262" s="1084"/>
      <c r="BQ262" s="1049"/>
    </row>
    <row r="263" spans="1:69" ht="14.4">
      <c r="A263" s="1049"/>
      <c r="B263" s="1097"/>
      <c r="C263" s="1086">
        <v>9</v>
      </c>
      <c r="D263" s="1085">
        <v>10</v>
      </c>
      <c r="E263" s="1091">
        <v>1.32</v>
      </c>
      <c r="F263" s="1090">
        <v>3.81</v>
      </c>
      <c r="G263" s="1089">
        <f t="shared" si="110"/>
        <v>2.8863636363636362</v>
      </c>
      <c r="H263" s="1049"/>
      <c r="I263" s="1097"/>
      <c r="J263" s="1086">
        <v>9</v>
      </c>
      <c r="K263" s="1085">
        <v>10</v>
      </c>
      <c r="L263" s="1084">
        <v>0.435</v>
      </c>
      <c r="M263" s="1088">
        <v>0.73</v>
      </c>
      <c r="N263" s="1087">
        <f t="shared" si="111"/>
        <v>1.6781609195402298</v>
      </c>
      <c r="O263" s="1049"/>
      <c r="P263" s="1096"/>
      <c r="Q263" s="1086">
        <v>9</v>
      </c>
      <c r="R263" s="1085">
        <v>10</v>
      </c>
      <c r="S263" s="1084">
        <v>2.44</v>
      </c>
      <c r="T263" s="1054">
        <f t="shared" si="112"/>
        <v>7.8811999999999998</v>
      </c>
      <c r="U263" s="1142">
        <v>10.130000000000001</v>
      </c>
      <c r="V263" s="1052">
        <f t="shared" si="113"/>
        <v>4.1516393442622954</v>
      </c>
      <c r="W263" s="1049"/>
      <c r="X263" s="1051">
        <v>3.23</v>
      </c>
      <c r="Y263" s="1049"/>
      <c r="Z263" s="1050">
        <f t="shared" si="114"/>
        <v>5.9291999999999989</v>
      </c>
      <c r="AA263" s="1096"/>
      <c r="AB263" s="1086">
        <v>9</v>
      </c>
      <c r="AC263" s="1085">
        <v>10</v>
      </c>
      <c r="AD263" s="1084">
        <v>2.92</v>
      </c>
      <c r="AE263" s="1143">
        <f t="shared" si="115"/>
        <v>3.8252000000000002</v>
      </c>
      <c r="AF263" s="1142">
        <v>5.83</v>
      </c>
      <c r="AG263" s="1052">
        <f t="shared" si="116"/>
        <v>1.9965753424657535</v>
      </c>
      <c r="AH263" s="1049"/>
      <c r="AI263" s="1142">
        <v>1.31</v>
      </c>
      <c r="AJ263" s="1049"/>
      <c r="AK263" s="1050">
        <f t="shared" si="117"/>
        <v>1.4892000000000001</v>
      </c>
      <c r="AL263" s="1049"/>
      <c r="AM263" s="1096"/>
      <c r="AN263" s="1086">
        <v>9</v>
      </c>
      <c r="AO263" s="1085">
        <v>10</v>
      </c>
      <c r="AP263" s="1084">
        <v>0.43</v>
      </c>
      <c r="AQ263" s="1748">
        <f t="shared" si="118"/>
        <v>0.56330000000000002</v>
      </c>
      <c r="AR263" s="1742">
        <v>0.68</v>
      </c>
      <c r="AS263" s="1052">
        <f t="shared" si="119"/>
        <v>1.5813953488372094</v>
      </c>
      <c r="AT263" s="1049"/>
      <c r="AU263" s="1142">
        <v>1.31</v>
      </c>
      <c r="AV263" s="1049"/>
      <c r="AW263" s="1096"/>
      <c r="AX263" s="1086">
        <v>9</v>
      </c>
      <c r="AY263" s="1085">
        <v>10</v>
      </c>
      <c r="AZ263" s="1084">
        <v>0.32</v>
      </c>
      <c r="BA263" s="1736">
        <v>0.57999999999999996</v>
      </c>
      <c r="BB263" s="1742">
        <f t="shared" si="120"/>
        <v>1.8124999999999998</v>
      </c>
      <c r="BC263" s="1049"/>
      <c r="BD263" s="1142"/>
      <c r="BE263" s="1049"/>
      <c r="BF263" s="1096"/>
      <c r="BG263" s="1086">
        <v>9</v>
      </c>
      <c r="BH263" s="1085">
        <v>10</v>
      </c>
      <c r="BI263" s="1055">
        <v>0.21</v>
      </c>
      <c r="BJ263" s="1736" t="s">
        <v>1419</v>
      </c>
      <c r="BK263" s="1049"/>
      <c r="BL263" s="1096"/>
      <c r="BM263" s="1086">
        <v>9</v>
      </c>
      <c r="BN263" s="1085">
        <v>10</v>
      </c>
      <c r="BO263" s="1084"/>
      <c r="BP263" s="1084"/>
      <c r="BQ263" s="1049"/>
    </row>
    <row r="264" spans="1:69" ht="14.4">
      <c r="A264" s="1049"/>
      <c r="B264" s="1060"/>
      <c r="C264" s="1086">
        <v>10</v>
      </c>
      <c r="D264" s="1085">
        <v>11</v>
      </c>
      <c r="E264" s="1091">
        <v>0.89</v>
      </c>
      <c r="F264" s="1090">
        <v>2.56</v>
      </c>
      <c r="G264" s="1089">
        <f t="shared" si="110"/>
        <v>2.8764044943820224</v>
      </c>
      <c r="H264" s="1049"/>
      <c r="I264" s="1060"/>
      <c r="J264" s="1086">
        <v>10</v>
      </c>
      <c r="K264" s="1085">
        <v>11</v>
      </c>
      <c r="L264" s="1084">
        <v>0.40100000000000002</v>
      </c>
      <c r="M264" s="1088">
        <v>0.68</v>
      </c>
      <c r="N264" s="1087">
        <f t="shared" si="111"/>
        <v>1.6957605985037407</v>
      </c>
      <c r="O264" s="1049"/>
      <c r="P264" s="1095">
        <f>SUM(Z254:Z277)</f>
        <v>117.29934</v>
      </c>
      <c r="Q264" s="1086">
        <v>10</v>
      </c>
      <c r="R264" s="1085">
        <v>11</v>
      </c>
      <c r="S264" s="1084">
        <v>2.0680000000000001</v>
      </c>
      <c r="T264" s="1054">
        <f t="shared" si="112"/>
        <v>6.8037200000000002</v>
      </c>
      <c r="U264" s="1142">
        <v>8.7100000000000009</v>
      </c>
      <c r="V264" s="1052">
        <f t="shared" si="113"/>
        <v>4.2117988394584138</v>
      </c>
      <c r="W264" s="1049"/>
      <c r="X264" s="1051">
        <v>3.29</v>
      </c>
      <c r="Y264" s="1049"/>
      <c r="Z264" s="1050">
        <f t="shared" si="114"/>
        <v>5.1493200000000003</v>
      </c>
      <c r="AA264" s="1095">
        <f>SUM(AK254:AK277)</f>
        <v>11.281599999999996</v>
      </c>
      <c r="AB264" s="1086">
        <v>10</v>
      </c>
      <c r="AC264" s="1085">
        <v>11</v>
      </c>
      <c r="AD264" s="1084">
        <v>3.41</v>
      </c>
      <c r="AE264" s="1143">
        <f t="shared" si="115"/>
        <v>4.5012000000000008</v>
      </c>
      <c r="AF264" s="1142">
        <v>6.84</v>
      </c>
      <c r="AG264" s="1052">
        <f t="shared" si="116"/>
        <v>2.0058651026392962</v>
      </c>
      <c r="AH264" s="1049"/>
      <c r="AI264" s="1142">
        <v>1.32</v>
      </c>
      <c r="AJ264" s="1049"/>
      <c r="AK264" s="1050">
        <f t="shared" si="117"/>
        <v>1.7732000000000001</v>
      </c>
      <c r="AL264" s="1049"/>
      <c r="AM264" s="1095" t="e">
        <f>SUM(#REF!)</f>
        <v>#REF!</v>
      </c>
      <c r="AN264" s="1086">
        <v>10</v>
      </c>
      <c r="AO264" s="1085">
        <v>11</v>
      </c>
      <c r="AP264" s="1084">
        <v>0.46</v>
      </c>
      <c r="AQ264" s="1748">
        <f t="shared" si="118"/>
        <v>0.60720000000000007</v>
      </c>
      <c r="AR264" s="1742">
        <v>0.73</v>
      </c>
      <c r="AS264" s="1052">
        <f t="shared" si="119"/>
        <v>1.5869565217391304</v>
      </c>
      <c r="AT264" s="1049"/>
      <c r="AU264" s="1142">
        <v>1.32</v>
      </c>
      <c r="AV264" s="1049"/>
      <c r="AW264" s="1095" t="e">
        <f>SUM(#REF!)</f>
        <v>#REF!</v>
      </c>
      <c r="AX264" s="1086">
        <v>10</v>
      </c>
      <c r="AY264" s="1085">
        <v>11</v>
      </c>
      <c r="AZ264" s="1084">
        <v>0.28999999999999998</v>
      </c>
      <c r="BA264" s="1736">
        <v>0.49</v>
      </c>
      <c r="BB264" s="1742">
        <f t="shared" si="120"/>
        <v>1.6896551724137931</v>
      </c>
      <c r="BC264" s="1049"/>
      <c r="BD264" s="1142"/>
      <c r="BE264" s="1049"/>
      <c r="BF264" s="1095" t="e">
        <f>SUM(#REF!)</f>
        <v>#REF!</v>
      </c>
      <c r="BG264" s="1086">
        <v>10</v>
      </c>
      <c r="BH264" s="1085">
        <v>11</v>
      </c>
      <c r="BI264" s="1055">
        <v>0.35</v>
      </c>
      <c r="BJ264" s="1736" t="s">
        <v>1372</v>
      </c>
      <c r="BK264" s="1049"/>
      <c r="BL264" s="1095" t="e">
        <f>SUM(#REF!)</f>
        <v>#REF!</v>
      </c>
      <c r="BM264" s="1086">
        <v>10</v>
      </c>
      <c r="BN264" s="1085">
        <v>11</v>
      </c>
      <c r="BO264" s="1084"/>
      <c r="BP264" s="1084"/>
      <c r="BQ264" s="1049"/>
    </row>
    <row r="265" spans="1:69" ht="14.4">
      <c r="A265" s="1049"/>
      <c r="B265" s="1060"/>
      <c r="C265" s="1086">
        <v>11</v>
      </c>
      <c r="D265" s="1085">
        <v>12</v>
      </c>
      <c r="E265" s="1091">
        <v>0.3</v>
      </c>
      <c r="F265" s="1090">
        <v>0.86</v>
      </c>
      <c r="G265" s="1089">
        <f t="shared" si="110"/>
        <v>2.8666666666666667</v>
      </c>
      <c r="H265" s="1049"/>
      <c r="I265" s="1060"/>
      <c r="J265" s="1086">
        <v>11</v>
      </c>
      <c r="K265" s="1085" t="s">
        <v>238</v>
      </c>
      <c r="L265" s="1084">
        <v>0.68500000000000005</v>
      </c>
      <c r="M265" s="1088">
        <v>1.1599999999999999</v>
      </c>
      <c r="N265" s="1087">
        <f t="shared" si="111"/>
        <v>1.6934306569343063</v>
      </c>
      <c r="O265" s="1049"/>
      <c r="P265" s="1093">
        <f>P264/P256</f>
        <v>2.5528159481163897</v>
      </c>
      <c r="Q265" s="1086">
        <v>11</v>
      </c>
      <c r="R265" s="1085">
        <v>12</v>
      </c>
      <c r="S265" s="1084">
        <v>1.9750000000000001</v>
      </c>
      <c r="T265" s="1054">
        <f t="shared" si="112"/>
        <v>6.853250000000001</v>
      </c>
      <c r="U265" s="1142">
        <v>8.66</v>
      </c>
      <c r="V265" s="1052">
        <f t="shared" si="113"/>
        <v>4.3848101265822788</v>
      </c>
      <c r="W265" s="1049"/>
      <c r="X265" s="1051">
        <v>3.47</v>
      </c>
      <c r="Y265" s="1049"/>
      <c r="Z265" s="1050">
        <f t="shared" si="114"/>
        <v>5.27325</v>
      </c>
      <c r="AA265" s="1093">
        <f>AA264/AA256</f>
        <v>0.17839342188488294</v>
      </c>
      <c r="AB265" s="1086">
        <v>11</v>
      </c>
      <c r="AC265" s="1085">
        <v>12</v>
      </c>
      <c r="AD265" s="1084">
        <v>3.4</v>
      </c>
      <c r="AE265" s="1143">
        <f t="shared" si="115"/>
        <v>4.3860000000000001</v>
      </c>
      <c r="AF265" s="1142">
        <v>6.75</v>
      </c>
      <c r="AG265" s="1052">
        <f t="shared" si="116"/>
        <v>1.9852941176470589</v>
      </c>
      <c r="AH265" s="1049"/>
      <c r="AI265" s="1142">
        <v>1.29</v>
      </c>
      <c r="AJ265" s="1049"/>
      <c r="AK265" s="1050">
        <f t="shared" si="117"/>
        <v>1.6659999999999999</v>
      </c>
      <c r="AL265" s="1049"/>
      <c r="AM265" s="1093" t="e">
        <f>AM264/AM256</f>
        <v>#REF!</v>
      </c>
      <c r="AN265" s="1086">
        <v>11</v>
      </c>
      <c r="AO265" s="1085">
        <v>12</v>
      </c>
      <c r="AP265" s="1084">
        <v>0.32</v>
      </c>
      <c r="AQ265" s="1748">
        <f t="shared" si="118"/>
        <v>0.4128</v>
      </c>
      <c r="AR265" s="1742">
        <v>0.51</v>
      </c>
      <c r="AS265" s="1052">
        <f t="shared" si="119"/>
        <v>1.59375</v>
      </c>
      <c r="AT265" s="1049"/>
      <c r="AU265" s="1142">
        <v>1.29</v>
      </c>
      <c r="AV265" s="1049"/>
      <c r="AW265" s="1093" t="e">
        <f>AW264/AW256</f>
        <v>#REF!</v>
      </c>
      <c r="AX265" s="1086">
        <v>11</v>
      </c>
      <c r="AY265" s="1085">
        <v>12</v>
      </c>
      <c r="AZ265" s="1084">
        <v>0.95</v>
      </c>
      <c r="BA265" s="1736">
        <v>1.51</v>
      </c>
      <c r="BB265" s="1742">
        <f t="shared" si="120"/>
        <v>1.5894736842105264</v>
      </c>
      <c r="BC265" s="1049"/>
      <c r="BD265" s="1142"/>
      <c r="BE265" s="1049"/>
      <c r="BF265" s="1093" t="e">
        <f>BF264/BF256</f>
        <v>#REF!</v>
      </c>
      <c r="BG265" s="1086">
        <v>11</v>
      </c>
      <c r="BH265" s="1085">
        <v>12</v>
      </c>
      <c r="BI265" s="1055">
        <v>0.2</v>
      </c>
      <c r="BJ265" s="1736" t="s">
        <v>1383</v>
      </c>
      <c r="BK265" s="1049"/>
      <c r="BL265" s="1093" t="e">
        <f>BL264/BL256</f>
        <v>#REF!</v>
      </c>
      <c r="BM265" s="1086">
        <v>11</v>
      </c>
      <c r="BN265" s="1085">
        <v>12</v>
      </c>
      <c r="BO265" s="1084"/>
      <c r="BP265" s="1084"/>
      <c r="BQ265" s="1049"/>
    </row>
    <row r="266" spans="1:69" ht="14.4">
      <c r="A266" s="1049"/>
      <c r="B266" s="1060"/>
      <c r="C266" s="1086">
        <v>12</v>
      </c>
      <c r="D266" s="1085">
        <v>13</v>
      </c>
      <c r="E266" s="1091">
        <v>0.28999999999999998</v>
      </c>
      <c r="F266" s="1090">
        <v>0.83</v>
      </c>
      <c r="G266" s="1089">
        <f t="shared" si="110"/>
        <v>2.8620689655172415</v>
      </c>
      <c r="H266" s="1049"/>
      <c r="I266" s="1060"/>
      <c r="J266" s="1086">
        <v>12</v>
      </c>
      <c r="K266" s="1085"/>
      <c r="L266" s="1084">
        <v>1.4990000000000001</v>
      </c>
      <c r="M266" s="1088">
        <v>2.52</v>
      </c>
      <c r="N266" s="1087">
        <f t="shared" si="111"/>
        <v>1.6811207471647764</v>
      </c>
      <c r="O266" s="1049"/>
      <c r="P266" s="1060"/>
      <c r="Q266" s="1086">
        <v>12</v>
      </c>
      <c r="R266" s="1085">
        <v>13</v>
      </c>
      <c r="S266" s="1084">
        <v>1.7709999999999999</v>
      </c>
      <c r="T266" s="1054">
        <f t="shared" si="112"/>
        <v>6.18079</v>
      </c>
      <c r="U266" s="1142">
        <v>7.81</v>
      </c>
      <c r="V266" s="1052">
        <f t="shared" si="113"/>
        <v>4.4099378881987574</v>
      </c>
      <c r="W266" s="1049"/>
      <c r="X266" s="1051">
        <v>3.49</v>
      </c>
      <c r="Y266" s="1049"/>
      <c r="Z266" s="1050">
        <f t="shared" si="114"/>
        <v>4.7639900000000006</v>
      </c>
      <c r="AA266" s="1060"/>
      <c r="AB266" s="1086">
        <v>12</v>
      </c>
      <c r="AC266" s="1085">
        <v>13</v>
      </c>
      <c r="AD266" s="1084">
        <v>4.18</v>
      </c>
      <c r="AE266" s="1143">
        <f t="shared" si="115"/>
        <v>5.0995999999999997</v>
      </c>
      <c r="AF266" s="1142">
        <v>8.01</v>
      </c>
      <c r="AG266" s="1052">
        <f t="shared" si="116"/>
        <v>1.9162679425837321</v>
      </c>
      <c r="AH266" s="1049"/>
      <c r="AI266" s="1142">
        <v>1.22</v>
      </c>
      <c r="AJ266" s="1049"/>
      <c r="AK266" s="1050">
        <f t="shared" si="117"/>
        <v>1.7555999999999996</v>
      </c>
      <c r="AL266" s="1049"/>
      <c r="AM266" s="1060"/>
      <c r="AN266" s="1086">
        <v>12</v>
      </c>
      <c r="AO266" s="1085">
        <v>13</v>
      </c>
      <c r="AP266" s="1084">
        <v>0.44</v>
      </c>
      <c r="AQ266" s="1748">
        <f t="shared" si="118"/>
        <v>0.53679999999999994</v>
      </c>
      <c r="AR266" s="1742">
        <v>0.69</v>
      </c>
      <c r="AS266" s="1052">
        <f t="shared" si="119"/>
        <v>1.5681818181818181</v>
      </c>
      <c r="AT266" s="1049"/>
      <c r="AU266" s="1142">
        <v>1.22</v>
      </c>
      <c r="AV266" s="1049"/>
      <c r="AW266" s="1060"/>
      <c r="AX266" s="1086">
        <v>12</v>
      </c>
      <c r="AY266" s="1085">
        <v>13</v>
      </c>
      <c r="AZ266" s="1084">
        <v>0.47</v>
      </c>
      <c r="BA266" s="1736">
        <v>0.73</v>
      </c>
      <c r="BB266" s="1742">
        <f t="shared" si="120"/>
        <v>1.5531914893617023</v>
      </c>
      <c r="BC266" s="1049"/>
      <c r="BD266" s="1142"/>
      <c r="BE266" s="1049"/>
      <c r="BF266" s="1060"/>
      <c r="BG266" s="1086">
        <v>12</v>
      </c>
      <c r="BH266" s="1085">
        <v>13</v>
      </c>
      <c r="BI266" s="1055">
        <v>0.33</v>
      </c>
      <c r="BJ266" s="1736" t="s">
        <v>1442</v>
      </c>
      <c r="BK266" s="1049"/>
      <c r="BL266" s="1060"/>
      <c r="BM266" s="1086">
        <v>12</v>
      </c>
      <c r="BN266" s="1085">
        <v>13</v>
      </c>
      <c r="BO266" s="1084"/>
      <c r="BP266" s="1084"/>
      <c r="BQ266" s="1049"/>
    </row>
    <row r="267" spans="1:69" ht="14.4">
      <c r="A267" s="1049"/>
      <c r="B267" s="1060"/>
      <c r="C267" s="1086">
        <v>13</v>
      </c>
      <c r="D267" s="1085">
        <v>14</v>
      </c>
      <c r="E267" s="1091">
        <v>0.44</v>
      </c>
      <c r="F267" s="1090">
        <v>1.28</v>
      </c>
      <c r="G267" s="1089">
        <f t="shared" si="110"/>
        <v>2.9090909090909092</v>
      </c>
      <c r="H267" s="1049"/>
      <c r="I267" s="1060"/>
      <c r="J267" s="1086">
        <v>13</v>
      </c>
      <c r="K267" s="1085">
        <v>14</v>
      </c>
      <c r="L267" s="1084">
        <v>1.4339999999999999</v>
      </c>
      <c r="M267" s="1088">
        <v>2.41</v>
      </c>
      <c r="N267" s="1087">
        <f t="shared" si="111"/>
        <v>1.680613668061367</v>
      </c>
      <c r="O267" s="1049"/>
      <c r="P267" s="1092" t="s">
        <v>1127</v>
      </c>
      <c r="Q267" s="1086">
        <v>13</v>
      </c>
      <c r="R267" s="1085">
        <v>14</v>
      </c>
      <c r="S267" s="1084">
        <v>1.71</v>
      </c>
      <c r="T267" s="1054">
        <f t="shared" si="112"/>
        <v>5.6087999999999996</v>
      </c>
      <c r="U267" s="1142">
        <v>7.17</v>
      </c>
      <c r="V267" s="1052">
        <f t="shared" si="113"/>
        <v>4.192982456140351</v>
      </c>
      <c r="W267" s="1049"/>
      <c r="X267" s="1051">
        <v>3.28</v>
      </c>
      <c r="Y267" s="1049"/>
      <c r="Z267" s="1050">
        <f t="shared" si="114"/>
        <v>4.2407999999999992</v>
      </c>
      <c r="AA267" s="1092" t="s">
        <v>1127</v>
      </c>
      <c r="AB267" s="1086">
        <v>13</v>
      </c>
      <c r="AC267" s="1085">
        <v>14</v>
      </c>
      <c r="AD267" s="1084">
        <v>3</v>
      </c>
      <c r="AE267" s="1143">
        <f t="shared" si="115"/>
        <v>3.4799999999999995</v>
      </c>
      <c r="AF267" s="1142">
        <v>5.55</v>
      </c>
      <c r="AG267" s="1052">
        <f t="shared" si="116"/>
        <v>1.8499999999999999</v>
      </c>
      <c r="AH267" s="1049"/>
      <c r="AI267" s="1142">
        <v>1.1599999999999999</v>
      </c>
      <c r="AJ267" s="1049"/>
      <c r="AK267" s="1050">
        <f t="shared" si="117"/>
        <v>1.0799999999999996</v>
      </c>
      <c r="AL267" s="1049"/>
      <c r="AM267" s="1092" t="s">
        <v>1127</v>
      </c>
      <c r="AN267" s="1086">
        <v>13</v>
      </c>
      <c r="AO267" s="1085">
        <v>14</v>
      </c>
      <c r="AP267" s="1084">
        <v>0.37</v>
      </c>
      <c r="AQ267" s="1748">
        <f t="shared" si="118"/>
        <v>0.42919999999999997</v>
      </c>
      <c r="AR267" s="1742">
        <v>0.57999999999999996</v>
      </c>
      <c r="AS267" s="1052">
        <f t="shared" si="119"/>
        <v>1.5675675675675675</v>
      </c>
      <c r="AT267" s="1049"/>
      <c r="AU267" s="1142">
        <v>1.1599999999999999</v>
      </c>
      <c r="AV267" s="1049"/>
      <c r="AW267" s="1092" t="s">
        <v>1127</v>
      </c>
      <c r="AX267" s="1086">
        <v>13</v>
      </c>
      <c r="AY267" s="1085">
        <v>14</v>
      </c>
      <c r="AZ267" s="1084">
        <v>1.32</v>
      </c>
      <c r="BA267" s="1736">
        <v>1.82</v>
      </c>
      <c r="BB267" s="1742">
        <f t="shared" si="120"/>
        <v>1.3787878787878787</v>
      </c>
      <c r="BC267" s="1049"/>
      <c r="BD267" s="1142"/>
      <c r="BE267" s="1049"/>
      <c r="BF267" s="1092" t="s">
        <v>1127</v>
      </c>
      <c r="BG267" s="1086">
        <v>13</v>
      </c>
      <c r="BH267" s="1085">
        <v>14</v>
      </c>
      <c r="BI267" s="1055">
        <v>0.27</v>
      </c>
      <c r="BJ267" s="1736" t="s">
        <v>1380</v>
      </c>
      <c r="BK267" s="1049"/>
      <c r="BL267" s="1092" t="s">
        <v>1127</v>
      </c>
      <c r="BM267" s="1086">
        <v>13</v>
      </c>
      <c r="BN267" s="1085">
        <v>14</v>
      </c>
      <c r="BO267" s="1084"/>
      <c r="BP267" s="1084"/>
      <c r="BQ267" s="1049"/>
    </row>
    <row r="268" spans="1:69" ht="14.4">
      <c r="A268" s="1049"/>
      <c r="B268" s="1060"/>
      <c r="C268" s="1086">
        <v>14</v>
      </c>
      <c r="D268" s="1085">
        <v>15</v>
      </c>
      <c r="E268" s="1091">
        <v>0.26</v>
      </c>
      <c r="F268" s="1090">
        <v>0.75</v>
      </c>
      <c r="G268" s="1089">
        <f t="shared" si="110"/>
        <v>2.8846153846153846</v>
      </c>
      <c r="H268" s="1049"/>
      <c r="I268" s="1060"/>
      <c r="J268" s="1086">
        <v>14</v>
      </c>
      <c r="K268" s="1085">
        <v>15</v>
      </c>
      <c r="L268" s="1084">
        <v>1.736</v>
      </c>
      <c r="M268" s="1088">
        <v>2.92</v>
      </c>
      <c r="N268" s="1087">
        <f t="shared" si="111"/>
        <v>1.6820276497695852</v>
      </c>
      <c r="O268" s="1049"/>
      <c r="P268" s="1058">
        <f>P256*0.8</f>
        <v>36.759200000000007</v>
      </c>
      <c r="Q268" s="1086">
        <v>14</v>
      </c>
      <c r="R268" s="1085">
        <v>15</v>
      </c>
      <c r="S268" s="1084">
        <v>1.702</v>
      </c>
      <c r="T268" s="1054">
        <f t="shared" si="112"/>
        <v>5.6336199999999996</v>
      </c>
      <c r="U268" s="1142">
        <v>7.2</v>
      </c>
      <c r="V268" s="1052">
        <f t="shared" si="113"/>
        <v>4.230317273795535</v>
      </c>
      <c r="W268" s="1049"/>
      <c r="X268" s="1051">
        <v>3.31</v>
      </c>
      <c r="Y268" s="1049"/>
      <c r="Z268" s="1050">
        <f t="shared" si="114"/>
        <v>4.2720199999999995</v>
      </c>
      <c r="AA268" s="1058">
        <f>AA256*0.8</f>
        <v>50.591999999999999</v>
      </c>
      <c r="AB268" s="1086">
        <v>14</v>
      </c>
      <c r="AC268" s="1085">
        <v>15</v>
      </c>
      <c r="AD268" s="1084">
        <v>2.52</v>
      </c>
      <c r="AE268" s="1143">
        <f t="shared" si="115"/>
        <v>3.0491999999999999</v>
      </c>
      <c r="AF268" s="1142">
        <v>4.79</v>
      </c>
      <c r="AG268" s="1052">
        <f t="shared" si="116"/>
        <v>1.9007936507936507</v>
      </c>
      <c r="AH268" s="1049"/>
      <c r="AI268" s="1142">
        <v>1.21</v>
      </c>
      <c r="AJ268" s="1049"/>
      <c r="AK268" s="1050">
        <f t="shared" si="117"/>
        <v>1.0331999999999999</v>
      </c>
      <c r="AL268" s="1049"/>
      <c r="AM268" s="1058">
        <f>AM256*0.8</f>
        <v>6.4959999999999996</v>
      </c>
      <c r="AN268" s="1086">
        <v>14</v>
      </c>
      <c r="AO268" s="1085">
        <v>15</v>
      </c>
      <c r="AP268" s="1084">
        <v>0.54</v>
      </c>
      <c r="AQ268" s="1748">
        <f t="shared" si="118"/>
        <v>0.65339999999999998</v>
      </c>
      <c r="AR268" s="1742">
        <v>0.86</v>
      </c>
      <c r="AS268" s="1052">
        <f t="shared" si="119"/>
        <v>1.5925925925925926</v>
      </c>
      <c r="AT268" s="1049"/>
      <c r="AU268" s="1142">
        <v>1.21</v>
      </c>
      <c r="AV268" s="1049"/>
      <c r="AW268" s="1058">
        <f>AW256*0.8</f>
        <v>8.1280000000000001</v>
      </c>
      <c r="AX268" s="1086">
        <v>14</v>
      </c>
      <c r="AY268" s="1085">
        <v>15</v>
      </c>
      <c r="AZ268" s="1084">
        <v>0.7</v>
      </c>
      <c r="BA268" s="1736">
        <v>0.97</v>
      </c>
      <c r="BB268" s="1742">
        <f t="shared" si="120"/>
        <v>1.3857142857142857</v>
      </c>
      <c r="BC268" s="1049"/>
      <c r="BD268" s="1142"/>
      <c r="BE268" s="1049"/>
      <c r="BF268" s="1058">
        <f>BF256*0.8</f>
        <v>4.8159999999999998</v>
      </c>
      <c r="BG268" s="1086">
        <v>14</v>
      </c>
      <c r="BH268" s="1085">
        <v>15</v>
      </c>
      <c r="BI268" s="1055">
        <v>0.23</v>
      </c>
      <c r="BJ268" s="1736" t="s">
        <v>1398</v>
      </c>
      <c r="BK268" s="1049"/>
      <c r="BL268" s="1058">
        <f>BL256*0.8</f>
        <v>0</v>
      </c>
      <c r="BM268" s="1086">
        <v>14</v>
      </c>
      <c r="BN268" s="1085">
        <v>15</v>
      </c>
      <c r="BO268" s="1084"/>
      <c r="BP268" s="1084"/>
      <c r="BQ268" s="1049"/>
    </row>
    <row r="269" spans="1:69" ht="14.4">
      <c r="A269" s="1049"/>
      <c r="B269" s="1060"/>
      <c r="C269" s="1086">
        <v>15</v>
      </c>
      <c r="D269" s="1085">
        <v>16</v>
      </c>
      <c r="E269" s="1091">
        <v>0.44</v>
      </c>
      <c r="F269" s="1090">
        <v>1.26</v>
      </c>
      <c r="G269" s="1089">
        <f t="shared" si="110"/>
        <v>2.8636363636363638</v>
      </c>
      <c r="H269" s="1049"/>
      <c r="I269" s="1060"/>
      <c r="J269" s="1086">
        <v>15</v>
      </c>
      <c r="K269" s="1085" t="s">
        <v>1142</v>
      </c>
      <c r="L269" s="1084">
        <v>2.38</v>
      </c>
      <c r="M269" s="1088">
        <v>4.0199999999999996</v>
      </c>
      <c r="N269" s="1087">
        <f t="shared" si="111"/>
        <v>1.6890756302521008</v>
      </c>
      <c r="O269" s="1049"/>
      <c r="P269" s="1058" t="s">
        <v>1126</v>
      </c>
      <c r="Q269" s="1086">
        <v>15</v>
      </c>
      <c r="R269" s="1085">
        <v>16</v>
      </c>
      <c r="S269" s="1084">
        <v>1.9890000000000001</v>
      </c>
      <c r="T269" s="1054">
        <f t="shared" si="112"/>
        <v>6.7228200000000005</v>
      </c>
      <c r="U269" s="1142">
        <v>8.56</v>
      </c>
      <c r="V269" s="1052">
        <f t="shared" si="113"/>
        <v>4.303670186023127</v>
      </c>
      <c r="W269" s="1049"/>
      <c r="X269" s="1051">
        <v>3.38</v>
      </c>
      <c r="Y269" s="1049"/>
      <c r="Z269" s="1050">
        <f t="shared" si="114"/>
        <v>5.1316200000000007</v>
      </c>
      <c r="AA269" s="1058" t="s">
        <v>1126</v>
      </c>
      <c r="AB269" s="1086">
        <v>15</v>
      </c>
      <c r="AC269" s="1085">
        <v>16</v>
      </c>
      <c r="AD269" s="1084">
        <v>2.69</v>
      </c>
      <c r="AE269" s="1143">
        <f t="shared" si="115"/>
        <v>3.3087</v>
      </c>
      <c r="AF269" s="1142">
        <v>5.15</v>
      </c>
      <c r="AG269" s="1052">
        <f t="shared" si="116"/>
        <v>1.9144981412639408</v>
      </c>
      <c r="AH269" s="1049"/>
      <c r="AI269" s="1142">
        <v>1.23</v>
      </c>
      <c r="AJ269" s="1049"/>
      <c r="AK269" s="1050">
        <f t="shared" si="117"/>
        <v>1.1566999999999998</v>
      </c>
      <c r="AL269" s="1049"/>
      <c r="AM269" s="1058" t="s">
        <v>1126</v>
      </c>
      <c r="AN269" s="1086">
        <v>15</v>
      </c>
      <c r="AO269" s="1085">
        <v>16</v>
      </c>
      <c r="AP269" s="1084">
        <v>0.56999999999999995</v>
      </c>
      <c r="AQ269" s="1748">
        <f t="shared" si="118"/>
        <v>0.70109999999999995</v>
      </c>
      <c r="AR269" s="1742">
        <v>0.9</v>
      </c>
      <c r="AS269" s="1052">
        <f t="shared" si="119"/>
        <v>1.5789473684210529</v>
      </c>
      <c r="AT269" s="1049"/>
      <c r="AU269" s="1142">
        <v>1.23</v>
      </c>
      <c r="AV269" s="1049"/>
      <c r="AW269" s="1058" t="s">
        <v>1126</v>
      </c>
      <c r="AX269" s="1086">
        <v>15</v>
      </c>
      <c r="AY269" s="1085">
        <v>16</v>
      </c>
      <c r="AZ269" s="1084">
        <v>0.55000000000000004</v>
      </c>
      <c r="BA269" s="1736">
        <v>0.87</v>
      </c>
      <c r="BB269" s="1742">
        <f t="shared" si="120"/>
        <v>1.5818181818181818</v>
      </c>
      <c r="BC269" s="1049"/>
      <c r="BD269" s="1142"/>
      <c r="BE269" s="1049"/>
      <c r="BF269" s="1058" t="s">
        <v>1126</v>
      </c>
      <c r="BG269" s="1086">
        <v>15</v>
      </c>
      <c r="BH269" s="1085">
        <v>16</v>
      </c>
      <c r="BI269" s="1055">
        <v>0.25</v>
      </c>
      <c r="BJ269" s="1736" t="s">
        <v>1367</v>
      </c>
      <c r="BK269" s="1049"/>
      <c r="BL269" s="1058" t="s">
        <v>1126</v>
      </c>
      <c r="BM269" s="1086">
        <v>15</v>
      </c>
      <c r="BN269" s="1085">
        <v>16</v>
      </c>
      <c r="BO269" s="1084"/>
      <c r="BP269" s="1084"/>
      <c r="BQ269" s="1049"/>
    </row>
    <row r="270" spans="1:69" ht="15" thickBot="1">
      <c r="A270" s="1049"/>
      <c r="B270" s="1060"/>
      <c r="C270" s="1077">
        <v>16</v>
      </c>
      <c r="D270" s="1076">
        <v>17</v>
      </c>
      <c r="E270" s="1083">
        <v>0.4</v>
      </c>
      <c r="F270" s="1082">
        <v>1.1399999999999999</v>
      </c>
      <c r="G270" s="1081">
        <f t="shared" si="110"/>
        <v>2.8499999999999996</v>
      </c>
      <c r="H270" s="1049"/>
      <c r="I270" s="1060"/>
      <c r="J270" s="1077">
        <v>16</v>
      </c>
      <c r="K270" s="1076"/>
      <c r="L270" s="1075">
        <v>1.444</v>
      </c>
      <c r="M270" s="1080">
        <v>2.4700000000000002</v>
      </c>
      <c r="N270" s="1079">
        <f t="shared" si="111"/>
        <v>1.7105263157894739</v>
      </c>
      <c r="O270" s="1049"/>
      <c r="P270" s="1078">
        <f>P256*(X253-0.8)</f>
        <v>124.32076312500003</v>
      </c>
      <c r="Q270" s="1077">
        <v>16</v>
      </c>
      <c r="R270" s="1076">
        <v>17</v>
      </c>
      <c r="S270" s="1075">
        <v>2.161</v>
      </c>
      <c r="T270" s="1054">
        <f t="shared" si="112"/>
        <v>7.8228200000000001</v>
      </c>
      <c r="U270" s="1140">
        <v>9.81</v>
      </c>
      <c r="V270" s="1052">
        <f t="shared" si="113"/>
        <v>4.5395650161962058</v>
      </c>
      <c r="W270" s="1049"/>
      <c r="X270" s="1074">
        <v>3.62</v>
      </c>
      <c r="Y270" s="1049"/>
      <c r="Z270" s="1050">
        <f t="shared" si="114"/>
        <v>6.0940200000000004</v>
      </c>
      <c r="AA270" s="1078">
        <f>AA256*(AI253-0.8)</f>
        <v>25.177425000000003</v>
      </c>
      <c r="AB270" s="1077">
        <v>16</v>
      </c>
      <c r="AC270" s="1076">
        <v>17</v>
      </c>
      <c r="AD270" s="1075">
        <v>2.72</v>
      </c>
      <c r="AE270" s="1141">
        <f t="shared" si="115"/>
        <v>3.3728000000000002</v>
      </c>
      <c r="AF270" s="1140">
        <v>5.26</v>
      </c>
      <c r="AG270" s="1052">
        <f t="shared" si="116"/>
        <v>1.9338235294117645</v>
      </c>
      <c r="AH270" s="1049"/>
      <c r="AI270" s="1140">
        <v>1.24</v>
      </c>
      <c r="AJ270" s="1049"/>
      <c r="AK270" s="1050">
        <f t="shared" si="117"/>
        <v>1.1967999999999999</v>
      </c>
      <c r="AL270" s="1049"/>
      <c r="AM270" s="1078">
        <f>AM256*(AU253-0.8)</f>
        <v>3.2327750000000002</v>
      </c>
      <c r="AN270" s="1077">
        <v>16</v>
      </c>
      <c r="AO270" s="1076">
        <v>17</v>
      </c>
      <c r="AP270" s="1075">
        <v>0.27</v>
      </c>
      <c r="AQ270" s="1749">
        <f t="shared" si="118"/>
        <v>0.33480000000000004</v>
      </c>
      <c r="AR270" s="1743">
        <v>0.44</v>
      </c>
      <c r="AS270" s="1052">
        <f t="shared" si="119"/>
        <v>1.6296296296296295</v>
      </c>
      <c r="AT270" s="1049"/>
      <c r="AU270" s="1140">
        <v>1.24</v>
      </c>
      <c r="AV270" s="1049"/>
      <c r="AW270" s="1078" t="e">
        <f>AW256*(BD253-0.8)</f>
        <v>#DIV/0!</v>
      </c>
      <c r="AX270" s="1077">
        <v>16</v>
      </c>
      <c r="AY270" s="1076">
        <v>17</v>
      </c>
      <c r="AZ270" s="1075">
        <v>0.27</v>
      </c>
      <c r="BA270" s="1738">
        <v>0.47</v>
      </c>
      <c r="BB270" s="1743">
        <f t="shared" si="120"/>
        <v>1.7407407407407405</v>
      </c>
      <c r="BC270" s="1049"/>
      <c r="BD270" s="1140"/>
      <c r="BE270" s="1049"/>
      <c r="BF270" s="1078">
        <f>BF256*(BM253-0.8)</f>
        <v>-4.8159999999999998</v>
      </c>
      <c r="BG270" s="1077">
        <v>16</v>
      </c>
      <c r="BH270" s="1076">
        <v>17</v>
      </c>
      <c r="BI270" s="1055">
        <v>0.35</v>
      </c>
      <c r="BJ270" s="1738" t="s">
        <v>1368</v>
      </c>
      <c r="BK270" s="1049"/>
      <c r="BL270" s="1078">
        <f>BL256*(BS253-0.8)</f>
        <v>0</v>
      </c>
      <c r="BM270" s="1077">
        <v>16</v>
      </c>
      <c r="BN270" s="1076">
        <v>17</v>
      </c>
      <c r="BO270" s="1075"/>
      <c r="BP270" s="1075"/>
      <c r="BQ270" s="1049"/>
    </row>
    <row r="271" spans="1:69" ht="14.4">
      <c r="A271" s="1049"/>
      <c r="B271" s="1060"/>
      <c r="C271" s="1068">
        <v>17</v>
      </c>
      <c r="D271" s="1067">
        <v>18</v>
      </c>
      <c r="E271" s="1073">
        <v>0.4</v>
      </c>
      <c r="F271" s="1072">
        <v>1.39</v>
      </c>
      <c r="G271" s="1071">
        <f t="shared" si="110"/>
        <v>3.4749999999999996</v>
      </c>
      <c r="H271" s="1049"/>
      <c r="I271" s="1060"/>
      <c r="J271" s="1068">
        <v>17</v>
      </c>
      <c r="K271" s="1067">
        <v>18</v>
      </c>
      <c r="L271" s="1066">
        <v>1.8380000000000001</v>
      </c>
      <c r="M271" s="1070">
        <v>4.51</v>
      </c>
      <c r="N271" s="1069">
        <f t="shared" si="111"/>
        <v>2.4537540805223066</v>
      </c>
      <c r="O271" s="1049"/>
      <c r="P271" s="1058"/>
      <c r="Q271" s="1068">
        <v>17</v>
      </c>
      <c r="R271" s="1067">
        <v>18</v>
      </c>
      <c r="S271" s="1066">
        <v>1.8740000000000001</v>
      </c>
      <c r="T271" s="1054">
        <f t="shared" si="112"/>
        <v>7.7021400000000009</v>
      </c>
      <c r="U271" s="1138">
        <v>9.42</v>
      </c>
      <c r="V271" s="1052">
        <f t="shared" si="113"/>
        <v>5.0266808964781218</v>
      </c>
      <c r="W271" s="1049"/>
      <c r="X271" s="1065">
        <v>4.1100000000000003</v>
      </c>
      <c r="Y271" s="1049"/>
      <c r="Z271" s="1050">
        <f t="shared" si="114"/>
        <v>6.2029400000000017</v>
      </c>
      <c r="AA271" s="1058"/>
      <c r="AB271" s="1068">
        <v>17</v>
      </c>
      <c r="AC271" s="1067">
        <v>18</v>
      </c>
      <c r="AD271" s="1066">
        <v>3.39</v>
      </c>
      <c r="AE271" s="1139">
        <f t="shared" si="115"/>
        <v>4.4748000000000001</v>
      </c>
      <c r="AF271" s="1138">
        <v>9.4700000000000006</v>
      </c>
      <c r="AG271" s="1052">
        <f t="shared" si="116"/>
        <v>2.7935103244837758</v>
      </c>
      <c r="AH271" s="1049"/>
      <c r="AI271" s="1138">
        <v>1.32</v>
      </c>
      <c r="AJ271" s="1049"/>
      <c r="AK271" s="1050">
        <f t="shared" si="117"/>
        <v>1.7628000000000001</v>
      </c>
      <c r="AL271" s="1049"/>
      <c r="AM271" s="1058"/>
      <c r="AN271" s="1068">
        <v>17</v>
      </c>
      <c r="AO271" s="1067">
        <v>18</v>
      </c>
      <c r="AP271" s="1066">
        <v>0.97</v>
      </c>
      <c r="AQ271" s="1750">
        <f t="shared" si="118"/>
        <v>1.2804</v>
      </c>
      <c r="AR271" s="1744">
        <v>2.46</v>
      </c>
      <c r="AS271" s="1052">
        <f t="shared" si="119"/>
        <v>2.536082474226804</v>
      </c>
      <c r="AT271" s="1049"/>
      <c r="AU271" s="1138">
        <v>1.32</v>
      </c>
      <c r="AV271" s="1049"/>
      <c r="AW271" s="1058"/>
      <c r="AX271" s="1068">
        <v>17</v>
      </c>
      <c r="AY271" s="1067">
        <v>18</v>
      </c>
      <c r="AZ271" s="1066">
        <v>0.23</v>
      </c>
      <c r="BA271" s="1740">
        <v>0.6</v>
      </c>
      <c r="BB271" s="1744">
        <f t="shared" si="120"/>
        <v>2.6086956521739126</v>
      </c>
      <c r="BC271" s="1049"/>
      <c r="BD271" s="1138"/>
      <c r="BE271" s="1049"/>
      <c r="BF271" s="1058"/>
      <c r="BG271" s="1068">
        <v>17</v>
      </c>
      <c r="BH271" s="1067">
        <v>18</v>
      </c>
      <c r="BI271" s="1055">
        <v>1.24</v>
      </c>
      <c r="BJ271" s="1740" t="s">
        <v>1452</v>
      </c>
      <c r="BK271" s="1049"/>
      <c r="BL271" s="1058"/>
      <c r="BM271" s="1068">
        <v>17</v>
      </c>
      <c r="BN271" s="1067">
        <v>18</v>
      </c>
      <c r="BO271" s="1066"/>
      <c r="BP271" s="1066"/>
      <c r="BQ271" s="1049"/>
    </row>
    <row r="272" spans="1:69" ht="14.4">
      <c r="A272" s="1049"/>
      <c r="B272" s="1060"/>
      <c r="C272" s="1057">
        <v>18</v>
      </c>
      <c r="D272" s="1056">
        <v>19</v>
      </c>
      <c r="E272" s="1063">
        <v>0.43</v>
      </c>
      <c r="F272" s="1062">
        <v>1.5</v>
      </c>
      <c r="G272" s="1061">
        <f t="shared" si="110"/>
        <v>3.4883720930232558</v>
      </c>
      <c r="H272" s="1049"/>
      <c r="I272" s="1060"/>
      <c r="J272" s="1057">
        <v>18</v>
      </c>
      <c r="K272" s="1056">
        <v>19</v>
      </c>
      <c r="L272" s="1055">
        <v>0.45</v>
      </c>
      <c r="M272" s="1059">
        <v>1.1000000000000001</v>
      </c>
      <c r="N272" s="1052">
        <f t="shared" si="111"/>
        <v>2.4444444444444446</v>
      </c>
      <c r="O272" s="1049"/>
      <c r="P272" s="1058"/>
      <c r="Q272" s="1057">
        <v>18</v>
      </c>
      <c r="R272" s="1056">
        <v>19</v>
      </c>
      <c r="S272" s="1055">
        <v>1.8819999999999999</v>
      </c>
      <c r="T272" s="1054">
        <f t="shared" si="112"/>
        <v>8.0173199999999998</v>
      </c>
      <c r="U272" s="1136">
        <v>9.74</v>
      </c>
      <c r="V272" s="1052">
        <f t="shared" si="113"/>
        <v>5.1753453772582363</v>
      </c>
      <c r="W272" s="1049"/>
      <c r="X272" s="1051">
        <v>4.26</v>
      </c>
      <c r="Y272" s="1049"/>
      <c r="Z272" s="1050">
        <f t="shared" si="114"/>
        <v>6.5117199999999995</v>
      </c>
      <c r="AA272" s="1058"/>
      <c r="AB272" s="1057">
        <v>18</v>
      </c>
      <c r="AC272" s="1056">
        <v>19</v>
      </c>
      <c r="AD272" s="1055">
        <v>2.61</v>
      </c>
      <c r="AE272" s="1137">
        <f t="shared" si="115"/>
        <v>3.4712999999999998</v>
      </c>
      <c r="AF272" s="1136">
        <v>7.31</v>
      </c>
      <c r="AG272" s="1052">
        <f t="shared" si="116"/>
        <v>2.8007662835249043</v>
      </c>
      <c r="AH272" s="1049"/>
      <c r="AI272" s="1136">
        <v>1.33</v>
      </c>
      <c r="AJ272" s="1049"/>
      <c r="AK272" s="1050">
        <f t="shared" si="117"/>
        <v>1.3833</v>
      </c>
      <c r="AL272" s="1049"/>
      <c r="AM272" s="1058"/>
      <c r="AN272" s="1057">
        <v>18</v>
      </c>
      <c r="AO272" s="1056">
        <v>19</v>
      </c>
      <c r="AP272" s="1055">
        <v>0.38</v>
      </c>
      <c r="AQ272" s="1745">
        <f t="shared" si="118"/>
        <v>0.50540000000000007</v>
      </c>
      <c r="AR272" s="1737">
        <v>1</v>
      </c>
      <c r="AS272" s="1052">
        <f t="shared" si="119"/>
        <v>2.6315789473684212</v>
      </c>
      <c r="AT272" s="1049"/>
      <c r="AU272" s="1136">
        <v>1.33</v>
      </c>
      <c r="AV272" s="1049"/>
      <c r="AW272" s="1058"/>
      <c r="AX272" s="1057">
        <v>18</v>
      </c>
      <c r="AY272" s="1056">
        <v>19</v>
      </c>
      <c r="AZ272" s="1055">
        <v>0.95</v>
      </c>
      <c r="BA272" s="1736">
        <v>2.5299999999999998</v>
      </c>
      <c r="BB272" s="1737">
        <f t="shared" si="120"/>
        <v>2.6631578947368419</v>
      </c>
      <c r="BC272" s="1049"/>
      <c r="BD272" s="1136"/>
      <c r="BE272" s="1049"/>
      <c r="BF272" s="1058"/>
      <c r="BG272" s="1057">
        <v>18</v>
      </c>
      <c r="BH272" s="1056">
        <v>19</v>
      </c>
      <c r="BI272" s="1055">
        <v>0.31</v>
      </c>
      <c r="BJ272" s="1736" t="s">
        <v>1432</v>
      </c>
      <c r="BK272" s="1049"/>
      <c r="BL272" s="1058"/>
      <c r="BM272" s="1057">
        <v>18</v>
      </c>
      <c r="BN272" s="1056">
        <v>19</v>
      </c>
      <c r="BO272" s="1055"/>
      <c r="BP272" s="1055"/>
      <c r="BQ272" s="1049"/>
    </row>
    <row r="273" spans="1:69" ht="14.4">
      <c r="A273" s="1049"/>
      <c r="B273" s="1060"/>
      <c r="C273" s="1057">
        <v>19</v>
      </c>
      <c r="D273" s="1056">
        <v>20</v>
      </c>
      <c r="E273" s="1063">
        <v>0.87</v>
      </c>
      <c r="F273" s="1062">
        <v>3.02</v>
      </c>
      <c r="G273" s="1061">
        <f t="shared" si="110"/>
        <v>3.4712643678160919</v>
      </c>
      <c r="H273" s="1049"/>
      <c r="I273" s="1060"/>
      <c r="J273" s="1057">
        <v>19</v>
      </c>
      <c r="K273" s="1056">
        <v>20</v>
      </c>
      <c r="L273" s="1055">
        <v>0.52400000000000002</v>
      </c>
      <c r="M273" s="1059">
        <v>1.27</v>
      </c>
      <c r="N273" s="1052">
        <f t="shared" si="111"/>
        <v>2.4236641221374047</v>
      </c>
      <c r="O273" s="1049"/>
      <c r="P273" s="1058"/>
      <c r="Q273" s="1057">
        <v>19</v>
      </c>
      <c r="R273" s="1056">
        <v>20</v>
      </c>
      <c r="S273" s="1055">
        <v>2.8340000000000001</v>
      </c>
      <c r="T273" s="1054">
        <f t="shared" si="112"/>
        <v>11.591060000000001</v>
      </c>
      <c r="U273" s="1136">
        <v>14.21</v>
      </c>
      <c r="V273" s="1052">
        <f t="shared" si="113"/>
        <v>5.0141143260409313</v>
      </c>
      <c r="W273" s="1049"/>
      <c r="X273" s="1051">
        <v>4.09</v>
      </c>
      <c r="Y273" s="1049"/>
      <c r="Z273" s="1050">
        <f t="shared" si="114"/>
        <v>9.3238599999999998</v>
      </c>
      <c r="AA273" s="1058"/>
      <c r="AB273" s="1057">
        <v>19</v>
      </c>
      <c r="AC273" s="1056">
        <v>20</v>
      </c>
      <c r="AD273" s="1055">
        <v>3.06</v>
      </c>
      <c r="AE273" s="1137">
        <f t="shared" si="115"/>
        <v>3.8862000000000001</v>
      </c>
      <c r="AF273" s="1136">
        <v>8.4</v>
      </c>
      <c r="AG273" s="1052">
        <f t="shared" si="116"/>
        <v>2.7450980392156863</v>
      </c>
      <c r="AH273" s="1049"/>
      <c r="AI273" s="1136">
        <v>1.27</v>
      </c>
      <c r="AJ273" s="1049"/>
      <c r="AK273" s="1050">
        <f t="shared" si="117"/>
        <v>1.4381999999999999</v>
      </c>
      <c r="AL273" s="1049"/>
      <c r="AM273" s="1058"/>
      <c r="AN273" s="1057">
        <v>19</v>
      </c>
      <c r="AO273" s="1056">
        <v>20</v>
      </c>
      <c r="AP273" s="1055">
        <v>0.41</v>
      </c>
      <c r="AQ273" s="1745">
        <f t="shared" si="118"/>
        <v>0.52069999999999994</v>
      </c>
      <c r="AR273" s="1737">
        <v>1.07</v>
      </c>
      <c r="AS273" s="1052">
        <f t="shared" si="119"/>
        <v>2.6097560975609757</v>
      </c>
      <c r="AT273" s="1049"/>
      <c r="AU273" s="1136">
        <v>1.27</v>
      </c>
      <c r="AV273" s="1049"/>
      <c r="AW273" s="1058"/>
      <c r="AX273" s="1057">
        <v>19</v>
      </c>
      <c r="AY273" s="1056">
        <v>20</v>
      </c>
      <c r="AZ273" s="1055">
        <v>1.08</v>
      </c>
      <c r="BA273" s="1736">
        <v>2.84</v>
      </c>
      <c r="BB273" s="1737">
        <f t="shared" si="120"/>
        <v>2.6296296296296293</v>
      </c>
      <c r="BC273" s="1049"/>
      <c r="BD273" s="1136"/>
      <c r="BE273" s="1049"/>
      <c r="BF273" s="1058"/>
      <c r="BG273" s="1057">
        <v>19</v>
      </c>
      <c r="BH273" s="1056">
        <v>20</v>
      </c>
      <c r="BI273" s="1055">
        <v>0.25</v>
      </c>
      <c r="BJ273" s="1736" t="s">
        <v>1428</v>
      </c>
      <c r="BK273" s="1049"/>
      <c r="BL273" s="1058"/>
      <c r="BM273" s="1057">
        <v>19</v>
      </c>
      <c r="BN273" s="1056">
        <v>20</v>
      </c>
      <c r="BO273" s="1055"/>
      <c r="BP273" s="1055"/>
      <c r="BQ273" s="1049"/>
    </row>
    <row r="274" spans="1:69" ht="14.4">
      <c r="A274" s="1049"/>
      <c r="B274" s="1060"/>
      <c r="C274" s="1057">
        <v>20</v>
      </c>
      <c r="D274" s="1056">
        <v>21</v>
      </c>
      <c r="E274" s="1063">
        <v>0.47</v>
      </c>
      <c r="F274" s="1062">
        <v>1.37</v>
      </c>
      <c r="G274" s="1061">
        <f t="shared" si="110"/>
        <v>2.9148936170212769</v>
      </c>
      <c r="H274" s="1049"/>
      <c r="I274" s="1060"/>
      <c r="J274" s="1057">
        <v>20</v>
      </c>
      <c r="K274" s="1056">
        <v>21</v>
      </c>
      <c r="L274" s="1055">
        <v>0.42899999999999999</v>
      </c>
      <c r="M274" s="1059">
        <v>0.72</v>
      </c>
      <c r="N274" s="1052">
        <f t="shared" si="111"/>
        <v>1.6783216783216783</v>
      </c>
      <c r="O274" s="1049"/>
      <c r="P274" s="1058"/>
      <c r="Q274" s="1057">
        <v>20</v>
      </c>
      <c r="R274" s="1056">
        <v>21</v>
      </c>
      <c r="S274" s="1055">
        <v>2.7519999999999998</v>
      </c>
      <c r="T274" s="1054">
        <f t="shared" si="112"/>
        <v>10.54016</v>
      </c>
      <c r="U274" s="1136">
        <v>13.06</v>
      </c>
      <c r="V274" s="1052">
        <f t="shared" si="113"/>
        <v>4.7456395348837219</v>
      </c>
      <c r="W274" s="1049"/>
      <c r="X274" s="1051">
        <v>3.83</v>
      </c>
      <c r="Y274" s="1049"/>
      <c r="Z274" s="1050">
        <f t="shared" si="114"/>
        <v>8.3385599999999993</v>
      </c>
      <c r="AA274" s="1058"/>
      <c r="AB274" s="1057">
        <v>20</v>
      </c>
      <c r="AC274" s="1056">
        <v>21</v>
      </c>
      <c r="AD274" s="1055">
        <v>3.08</v>
      </c>
      <c r="AE274" s="1137">
        <f t="shared" si="115"/>
        <v>3.6959999999999997</v>
      </c>
      <c r="AF274" s="1136">
        <v>5.81</v>
      </c>
      <c r="AG274" s="1052">
        <f t="shared" si="116"/>
        <v>1.8863636363636362</v>
      </c>
      <c r="AH274" s="1049"/>
      <c r="AI274" s="1136">
        <v>1.2</v>
      </c>
      <c r="AJ274" s="1049"/>
      <c r="AK274" s="1050">
        <f t="shared" si="117"/>
        <v>1.2319999999999998</v>
      </c>
      <c r="AL274" s="1049"/>
      <c r="AM274" s="1058"/>
      <c r="AN274" s="1057">
        <v>20</v>
      </c>
      <c r="AO274" s="1056">
        <v>21</v>
      </c>
      <c r="AP274" s="1055">
        <v>0.33</v>
      </c>
      <c r="AQ274" s="1745">
        <f t="shared" si="118"/>
        <v>0.39600000000000002</v>
      </c>
      <c r="AR274" s="1737">
        <v>0.57999999999999996</v>
      </c>
      <c r="AS274" s="1052">
        <f t="shared" si="119"/>
        <v>1.7575757575757573</v>
      </c>
      <c r="AT274" s="1049"/>
      <c r="AU274" s="1136">
        <v>1.2</v>
      </c>
      <c r="AV274" s="1049"/>
      <c r="AW274" s="1058"/>
      <c r="AX274" s="1057">
        <v>20</v>
      </c>
      <c r="AY274" s="1056">
        <v>21</v>
      </c>
      <c r="AZ274" s="1055">
        <v>1.02</v>
      </c>
      <c r="BA274" s="1736">
        <v>1.84</v>
      </c>
      <c r="BB274" s="1737">
        <f t="shared" si="120"/>
        <v>1.803921568627451</v>
      </c>
      <c r="BC274" s="1049"/>
      <c r="BD274" s="1136"/>
      <c r="BE274" s="1049"/>
      <c r="BF274" s="1058"/>
      <c r="BG274" s="1057">
        <v>20</v>
      </c>
      <c r="BH274" s="1056">
        <v>21</v>
      </c>
      <c r="BI274" s="1055">
        <v>0.18</v>
      </c>
      <c r="BJ274" s="1736" t="s">
        <v>1385</v>
      </c>
      <c r="BK274" s="1049"/>
      <c r="BL274" s="1058"/>
      <c r="BM274" s="1057">
        <v>20</v>
      </c>
      <c r="BN274" s="1056">
        <v>21</v>
      </c>
      <c r="BO274" s="1055"/>
      <c r="BP274" s="1055"/>
      <c r="BQ274" s="1049"/>
    </row>
    <row r="275" spans="1:69" ht="14.4">
      <c r="A275" s="1049"/>
      <c r="B275" s="1060"/>
      <c r="C275" s="1057">
        <v>21</v>
      </c>
      <c r="D275" s="1056">
        <v>22</v>
      </c>
      <c r="E275" s="1063">
        <v>0.38</v>
      </c>
      <c r="F275" s="1062">
        <v>1.1000000000000001</v>
      </c>
      <c r="G275" s="1061">
        <f t="shared" si="110"/>
        <v>2.8947368421052633</v>
      </c>
      <c r="H275" s="1049"/>
      <c r="I275" s="1060"/>
      <c r="J275" s="1057">
        <v>21</v>
      </c>
      <c r="K275" s="1056">
        <v>22</v>
      </c>
      <c r="L275" s="1055">
        <v>0.42899999999999999</v>
      </c>
      <c r="M275" s="1059">
        <v>0.72</v>
      </c>
      <c r="N275" s="1052">
        <f t="shared" si="111"/>
        <v>1.6783216783216783</v>
      </c>
      <c r="O275" s="1049"/>
      <c r="P275" s="1058"/>
      <c r="Q275" s="1057">
        <v>21</v>
      </c>
      <c r="R275" s="1056">
        <v>22</v>
      </c>
      <c r="S275" s="1055">
        <v>2.5129999999999999</v>
      </c>
      <c r="T275" s="1054">
        <f t="shared" si="112"/>
        <v>8.4688099999999995</v>
      </c>
      <c r="U275" s="1136">
        <v>10.79</v>
      </c>
      <c r="V275" s="1052">
        <f t="shared" si="113"/>
        <v>4.293672900915241</v>
      </c>
      <c r="W275" s="1049"/>
      <c r="X275" s="1051">
        <v>3.37</v>
      </c>
      <c r="Y275" s="1049"/>
      <c r="Z275" s="1050">
        <f t="shared" si="114"/>
        <v>6.4584100000000007</v>
      </c>
      <c r="AA275" s="1058"/>
      <c r="AB275" s="1057">
        <v>21</v>
      </c>
      <c r="AC275" s="1056">
        <v>22</v>
      </c>
      <c r="AD275" s="1055">
        <v>2.2999999999999998</v>
      </c>
      <c r="AE275" s="1137">
        <f t="shared" si="115"/>
        <v>2.2999999999999998</v>
      </c>
      <c r="AF275" s="1136">
        <v>3.89</v>
      </c>
      <c r="AG275" s="1052">
        <f t="shared" si="116"/>
        <v>1.6913043478260872</v>
      </c>
      <c r="AH275" s="1049"/>
      <c r="AI275" s="1136">
        <v>1</v>
      </c>
      <c r="AJ275" s="1049"/>
      <c r="AK275" s="1050">
        <f t="shared" si="117"/>
        <v>0.45999999999999985</v>
      </c>
      <c r="AL275" s="1049"/>
      <c r="AM275" s="1058"/>
      <c r="AN275" s="1057">
        <v>21</v>
      </c>
      <c r="AO275" s="1056">
        <v>22</v>
      </c>
      <c r="AP275" s="1055">
        <v>0.34</v>
      </c>
      <c r="AQ275" s="1745">
        <f t="shared" si="118"/>
        <v>0.34</v>
      </c>
      <c r="AR275" s="1737">
        <v>0.59</v>
      </c>
      <c r="AS275" s="1052">
        <f t="shared" si="119"/>
        <v>1.7352941176470587</v>
      </c>
      <c r="AT275" s="1049"/>
      <c r="AU275" s="1136">
        <v>1</v>
      </c>
      <c r="AV275" s="1049"/>
      <c r="AW275" s="1058"/>
      <c r="AX275" s="1057">
        <v>21</v>
      </c>
      <c r="AY275" s="1056">
        <v>22</v>
      </c>
      <c r="AZ275" s="1055">
        <v>0.19</v>
      </c>
      <c r="BA275" s="1736">
        <v>0.34</v>
      </c>
      <c r="BB275" s="1737">
        <f t="shared" si="120"/>
        <v>1.7894736842105263</v>
      </c>
      <c r="BC275" s="1049"/>
      <c r="BD275" s="1136"/>
      <c r="BE275" s="1049"/>
      <c r="BF275" s="1058"/>
      <c r="BG275" s="1057">
        <v>21</v>
      </c>
      <c r="BH275" s="1056">
        <v>22</v>
      </c>
      <c r="BI275" s="1055">
        <v>0.17</v>
      </c>
      <c r="BJ275" s="1736" t="s">
        <v>1419</v>
      </c>
      <c r="BK275" s="1049"/>
      <c r="BL275" s="1058"/>
      <c r="BM275" s="1057">
        <v>21</v>
      </c>
      <c r="BN275" s="1056">
        <v>22</v>
      </c>
      <c r="BO275" s="1055"/>
      <c r="BP275" s="1055"/>
      <c r="BQ275" s="1049"/>
    </row>
    <row r="276" spans="1:69" ht="14.4">
      <c r="A276" s="1049"/>
      <c r="B276" s="1060"/>
      <c r="C276" s="1057">
        <v>22</v>
      </c>
      <c r="D276" s="1056">
        <v>23</v>
      </c>
      <c r="E276" s="1063">
        <v>0.4</v>
      </c>
      <c r="F276" s="1062">
        <v>1.1399999999999999</v>
      </c>
      <c r="G276" s="1061">
        <f t="shared" si="110"/>
        <v>2.8499999999999996</v>
      </c>
      <c r="H276" s="1049"/>
      <c r="I276" s="1060"/>
      <c r="J276" s="1057">
        <v>22</v>
      </c>
      <c r="K276" s="1056">
        <v>23</v>
      </c>
      <c r="L276" s="1055">
        <v>0.44900000000000001</v>
      </c>
      <c r="M276" s="1059">
        <v>0.75</v>
      </c>
      <c r="N276" s="1052">
        <f t="shared" si="111"/>
        <v>1.6703786191536747</v>
      </c>
      <c r="O276" s="1049"/>
      <c r="P276" s="1058"/>
      <c r="Q276" s="1057">
        <v>22</v>
      </c>
      <c r="R276" s="1056">
        <v>23</v>
      </c>
      <c r="S276" s="1055">
        <v>2.2040000000000002</v>
      </c>
      <c r="T276" s="1054">
        <f t="shared" si="112"/>
        <v>7.2070800000000004</v>
      </c>
      <c r="U276" s="1136">
        <v>9.23</v>
      </c>
      <c r="V276" s="1052">
        <f t="shared" si="113"/>
        <v>4.1878402903811249</v>
      </c>
      <c r="W276" s="1049"/>
      <c r="X276" s="1051">
        <v>3.27</v>
      </c>
      <c r="Y276" s="1049"/>
      <c r="Z276" s="1050">
        <f t="shared" si="114"/>
        <v>5.4438800000000001</v>
      </c>
      <c r="AA276" s="1058"/>
      <c r="AB276" s="1057">
        <v>22</v>
      </c>
      <c r="AC276" s="1056">
        <v>23</v>
      </c>
      <c r="AD276" s="1055">
        <v>2.11</v>
      </c>
      <c r="AE276" s="1137">
        <f t="shared" si="115"/>
        <v>2.0677999999999996</v>
      </c>
      <c r="AF276" s="1136">
        <v>3.54</v>
      </c>
      <c r="AG276" s="1052">
        <f t="shared" si="116"/>
        <v>1.6777251184834125</v>
      </c>
      <c r="AH276" s="1049"/>
      <c r="AI276" s="1136">
        <v>0.98</v>
      </c>
      <c r="AJ276" s="1049"/>
      <c r="AK276" s="1050">
        <f t="shared" si="117"/>
        <v>0.37979999999999986</v>
      </c>
      <c r="AL276" s="1049"/>
      <c r="AM276" s="1058"/>
      <c r="AN276" s="1057">
        <v>22</v>
      </c>
      <c r="AO276" s="1056">
        <v>23</v>
      </c>
      <c r="AP276" s="1055">
        <v>0.22</v>
      </c>
      <c r="AQ276" s="1745">
        <f t="shared" si="118"/>
        <v>0.21559999999999999</v>
      </c>
      <c r="AR276" s="1737">
        <v>0.37</v>
      </c>
      <c r="AS276" s="1052">
        <f t="shared" si="119"/>
        <v>1.6818181818181819</v>
      </c>
      <c r="AT276" s="1049"/>
      <c r="AU276" s="1136">
        <v>0.98</v>
      </c>
      <c r="AV276" s="1049"/>
      <c r="AW276" s="1058"/>
      <c r="AX276" s="1057">
        <v>22</v>
      </c>
      <c r="AY276" s="1056">
        <v>23</v>
      </c>
      <c r="AZ276" s="1055">
        <v>0.08</v>
      </c>
      <c r="BA276" s="1736">
        <v>0.14000000000000001</v>
      </c>
      <c r="BB276" s="1737">
        <f t="shared" si="120"/>
        <v>1.7500000000000002</v>
      </c>
      <c r="BC276" s="1049"/>
      <c r="BD276" s="1136"/>
      <c r="BE276" s="1049"/>
      <c r="BF276" s="1058"/>
      <c r="BG276" s="1057">
        <v>22</v>
      </c>
      <c r="BH276" s="1056">
        <v>23</v>
      </c>
      <c r="BI276" s="1055">
        <v>0.14000000000000001</v>
      </c>
      <c r="BJ276" s="1736" t="s">
        <v>1369</v>
      </c>
      <c r="BK276" s="1049"/>
      <c r="BL276" s="1058"/>
      <c r="BM276" s="1057">
        <v>22</v>
      </c>
      <c r="BN276" s="1056">
        <v>23</v>
      </c>
      <c r="BO276" s="1055"/>
      <c r="BP276" s="1055"/>
      <c r="BQ276" s="1049"/>
    </row>
    <row r="277" spans="1:69" ht="14.4">
      <c r="A277" s="1049"/>
      <c r="B277" s="1060"/>
      <c r="C277" s="1057">
        <v>23</v>
      </c>
      <c r="D277" s="1056">
        <v>24</v>
      </c>
      <c r="E277" s="1063">
        <v>0.3</v>
      </c>
      <c r="F277" s="1062">
        <v>0.87</v>
      </c>
      <c r="G277" s="1061">
        <f t="shared" si="110"/>
        <v>2.9</v>
      </c>
      <c r="H277" s="1049"/>
      <c r="I277" s="1060"/>
      <c r="J277" s="1057">
        <v>23</v>
      </c>
      <c r="K277" s="1056">
        <v>24</v>
      </c>
      <c r="L277" s="1055">
        <v>0.72099999999999997</v>
      </c>
      <c r="M277" s="1059">
        <v>1.2</v>
      </c>
      <c r="N277" s="1052">
        <f t="shared" si="111"/>
        <v>1.6643550624133148</v>
      </c>
      <c r="O277" s="1049"/>
      <c r="P277" s="1058"/>
      <c r="Q277" s="1057">
        <v>23</v>
      </c>
      <c r="R277" s="1056">
        <v>24</v>
      </c>
      <c r="S277" s="1055">
        <v>2.04</v>
      </c>
      <c r="T277" s="1054">
        <f t="shared" si="112"/>
        <v>6.3444000000000003</v>
      </c>
      <c r="U277" s="1136">
        <v>8.2100000000000009</v>
      </c>
      <c r="V277" s="1052">
        <f t="shared" si="113"/>
        <v>4.0245098039215685</v>
      </c>
      <c r="W277" s="1049"/>
      <c r="X277" s="1051">
        <v>3.11</v>
      </c>
      <c r="Y277" s="1049"/>
      <c r="Z277" s="1050">
        <f t="shared" si="114"/>
        <v>4.7123999999999997</v>
      </c>
      <c r="AA277" s="1058"/>
      <c r="AB277" s="1057">
        <v>23</v>
      </c>
      <c r="AC277" s="1056">
        <v>24</v>
      </c>
      <c r="AD277" s="1055">
        <v>2.4900000000000002</v>
      </c>
      <c r="AE277" s="1137">
        <f t="shared" si="115"/>
        <v>1.9173000000000002</v>
      </c>
      <c r="AF277" s="1136">
        <v>3.63</v>
      </c>
      <c r="AG277" s="1052">
        <f t="shared" si="116"/>
        <v>1.4578313253012047</v>
      </c>
      <c r="AH277" s="1049"/>
      <c r="AI277" s="1136">
        <v>0.77</v>
      </c>
      <c r="AJ277" s="1049"/>
      <c r="AK277" s="1050">
        <f t="shared" si="117"/>
        <v>-7.4700000000000072E-2</v>
      </c>
      <c r="AL277" s="1049"/>
      <c r="AM277" s="1058"/>
      <c r="AN277" s="1057">
        <v>23</v>
      </c>
      <c r="AO277" s="1056">
        <v>24</v>
      </c>
      <c r="AP277" s="1055">
        <v>0.12</v>
      </c>
      <c r="AQ277" s="1745">
        <f t="shared" si="118"/>
        <v>9.2399999999999996E-2</v>
      </c>
      <c r="AR277" s="1737">
        <v>0.2</v>
      </c>
      <c r="AS277" s="1052">
        <f t="shared" si="119"/>
        <v>1.6666666666666667</v>
      </c>
      <c r="AT277" s="1049"/>
      <c r="AU277" s="1136">
        <v>0.77</v>
      </c>
      <c r="AV277" s="1049"/>
      <c r="AW277" s="1058"/>
      <c r="AX277" s="1057">
        <v>23</v>
      </c>
      <c r="AY277" s="1056">
        <v>24</v>
      </c>
      <c r="AZ277" s="1055">
        <v>0.11</v>
      </c>
      <c r="BA277" s="1736">
        <v>0.19</v>
      </c>
      <c r="BB277" s="1737">
        <f t="shared" si="120"/>
        <v>1.7272727272727273</v>
      </c>
      <c r="BC277" s="1049"/>
      <c r="BD277" s="1136"/>
      <c r="BE277" s="1049"/>
      <c r="BF277" s="1058"/>
      <c r="BG277" s="1057">
        <v>23</v>
      </c>
      <c r="BH277" s="1056">
        <v>24</v>
      </c>
      <c r="BI277" s="1055">
        <v>0.13</v>
      </c>
      <c r="BJ277" s="1736" t="s">
        <v>1393</v>
      </c>
      <c r="BK277" s="1049"/>
      <c r="BL277" s="1058"/>
      <c r="BM277" s="1057">
        <v>23</v>
      </c>
      <c r="BN277" s="1056">
        <v>24</v>
      </c>
      <c r="BO277" s="1055"/>
      <c r="BP277" s="1055"/>
      <c r="BQ277" s="1049"/>
    </row>
    <row r="278" spans="1:69" ht="14.4">
      <c r="A278" s="1036"/>
      <c r="B278" s="1044"/>
      <c r="C278" s="1135"/>
      <c r="D278" s="1135"/>
      <c r="E278" s="1134"/>
      <c r="F278" s="1133"/>
      <c r="G278" s="1132"/>
      <c r="H278" s="1044"/>
      <c r="I278" s="1044" t="s">
        <v>1128</v>
      </c>
      <c r="J278" s="1046"/>
      <c r="K278" s="1046"/>
      <c r="L278" s="1129">
        <f>AVERAGE(L279:L302)</f>
        <v>0.66012500000000007</v>
      </c>
      <c r="M278" s="1131">
        <f>AVERAGE(M279:M302)</f>
        <v>2.0687500000000001</v>
      </c>
      <c r="N278" s="1039">
        <f>AVERAGE(N279:N302)</f>
        <v>3.0686674416096213</v>
      </c>
      <c r="O278" s="1044"/>
      <c r="P278" s="1130" t="s">
        <v>1138</v>
      </c>
      <c r="Q278" s="1046"/>
      <c r="R278" s="1046"/>
      <c r="S278" s="1129">
        <f>AVERAGE(S279:S302)</f>
        <v>1.7215833333333332</v>
      </c>
      <c r="T278" s="1128">
        <f>SUM(T279:T302)</f>
        <v>184.50024999999999</v>
      </c>
      <c r="U278" s="1040">
        <f>AVERAGE(U279:U302)</f>
        <v>9.2712500000000002</v>
      </c>
      <c r="V278" s="1039">
        <f>AVERAGE(V279:V302)</f>
        <v>5.208848276772148</v>
      </c>
      <c r="W278" s="1036"/>
      <c r="X278" s="1038">
        <f>AVERAGE(X287:X302)</f>
        <v>4.823125000000001</v>
      </c>
      <c r="Y278" s="1036"/>
      <c r="Z278" s="1127">
        <f>SUM(Z279:Z302)</f>
        <v>151.44585000000001</v>
      </c>
      <c r="AA278" s="1130" t="s">
        <v>1136</v>
      </c>
      <c r="AB278" s="1046"/>
      <c r="AC278" s="1046"/>
      <c r="AD278" s="1129">
        <f>AVERAGE(AD279:AD302)</f>
        <v>2.3368333333333333</v>
      </c>
      <c r="AE278" s="1128">
        <f>SUM(AE279:AE302)</f>
        <v>52.848870000000012</v>
      </c>
      <c r="AF278" s="1040">
        <f>AVERAGE(AF279:AF302)</f>
        <v>4.0716666666666663</v>
      </c>
      <c r="AG278" s="1039">
        <f>AVERAGE(AG279:AG302)</f>
        <v>1.6135676137450339</v>
      </c>
      <c r="AH278" s="1036"/>
      <c r="AI278" s="1038">
        <f>AVERAGE(AI287:AI302)</f>
        <v>1.0250000000000001</v>
      </c>
      <c r="AJ278" s="1036"/>
      <c r="AK278" s="1127">
        <f>SUM(AK279:AK302)</f>
        <v>7.9816699999999994</v>
      </c>
      <c r="AL278" s="1036"/>
      <c r="AM278" s="1130"/>
      <c r="AN278" s="1046"/>
      <c r="AO278" s="1046"/>
      <c r="AP278" s="1129">
        <f>AVERAGE(AP279:AP302)</f>
        <v>0.26166666666666666</v>
      </c>
      <c r="AQ278" s="1734">
        <f>SUM(AQ279:AQ302)</f>
        <v>8.3420000000000005</v>
      </c>
      <c r="AR278" s="1735">
        <f>AVERAGE(AR279:AR302)</f>
        <v>0.58875</v>
      </c>
      <c r="AS278" s="1039">
        <f>AVERAGE(AS279:AS302)</f>
        <v>2.0534168390141745</v>
      </c>
      <c r="AT278" s="1036"/>
      <c r="AU278" s="1038">
        <f>AVERAGE(AU287:AU302)</f>
        <v>1.2693749999999999</v>
      </c>
      <c r="AV278" s="1036"/>
      <c r="AW278" s="1130" t="s">
        <v>1139</v>
      </c>
      <c r="AX278" s="1046"/>
      <c r="AY278" s="1046"/>
      <c r="AZ278" s="1129">
        <f>AVERAGE(AZ279:AZ302)</f>
        <v>0.21375000000000002</v>
      </c>
      <c r="BA278" s="1045">
        <f>AVERAGE(BA279:BA302)</f>
        <v>0.38874999999999993</v>
      </c>
      <c r="BB278" s="1039">
        <f>AVERAGE(BB279:BB302)</f>
        <v>1.7843495105489271</v>
      </c>
      <c r="BC278" s="1036"/>
      <c r="BD278" s="1038" t="e">
        <f>AVERAGE(BD287:BD302)</f>
        <v>#DIV/0!</v>
      </c>
      <c r="BE278" s="1036"/>
      <c r="BF278" s="1130" t="s">
        <v>1139</v>
      </c>
      <c r="BG278" s="2756">
        <f>BF279</f>
        <v>45028</v>
      </c>
      <c r="BH278" s="2756"/>
      <c r="BI278" s="1897">
        <f>SUM(BI279:BI302)</f>
        <v>6.87</v>
      </c>
      <c r="BJ278" s="1898">
        <f>SUM(BJ279:BJ302)</f>
        <v>0</v>
      </c>
      <c r="BK278" s="1036"/>
      <c r="BL278" s="1130" t="s">
        <v>1139</v>
      </c>
      <c r="BM278" s="1046"/>
      <c r="BN278" s="1046"/>
      <c r="BO278" s="1129" t="e">
        <f>AVERAGE(BO279:BO302)</f>
        <v>#DIV/0!</v>
      </c>
      <c r="BP278" s="1129" t="e">
        <f>AVERAGE(BP279:BP302)</f>
        <v>#DIV/0!</v>
      </c>
      <c r="BQ278" s="1036"/>
    </row>
    <row r="279" spans="1:69" ht="14.4">
      <c r="A279" s="1049"/>
      <c r="B279" s="1126">
        <v>44846</v>
      </c>
      <c r="C279" s="1057">
        <v>0</v>
      </c>
      <c r="D279" s="1056">
        <v>1</v>
      </c>
      <c r="E279" s="1063">
        <v>0.3</v>
      </c>
      <c r="F279" s="1062">
        <v>0.85</v>
      </c>
      <c r="G279" s="1061">
        <f t="shared" ref="G279:G302" si="121">F279/E279</f>
        <v>2.8333333333333335</v>
      </c>
      <c r="H279" s="1049"/>
      <c r="I279" s="1126">
        <v>44877</v>
      </c>
      <c r="J279" s="1057">
        <v>0</v>
      </c>
      <c r="K279" s="1056">
        <v>1</v>
      </c>
      <c r="L279" s="1055">
        <v>0.23300000000000001</v>
      </c>
      <c r="M279" s="1059">
        <v>0.39</v>
      </c>
      <c r="N279" s="1052">
        <f t="shared" ref="N279:N302" si="122">M279/L279</f>
        <v>1.6738197424892705</v>
      </c>
      <c r="O279" s="1049"/>
      <c r="P279" s="1125">
        <v>44907</v>
      </c>
      <c r="Q279" s="1057">
        <v>0</v>
      </c>
      <c r="R279" s="1056">
        <v>1</v>
      </c>
      <c r="S279" s="1055">
        <v>1.2709999999999999</v>
      </c>
      <c r="T279" s="1054">
        <f t="shared" ref="T279:T302" si="123">S279*X279</f>
        <v>3.6350599999999997</v>
      </c>
      <c r="U279" s="1136">
        <v>4.8099999999999996</v>
      </c>
      <c r="V279" s="1052">
        <f t="shared" ref="V279:V302" si="124">U279/S279</f>
        <v>3.7844217151848936</v>
      </c>
      <c r="W279" s="1049"/>
      <c r="X279" s="1051">
        <v>2.86</v>
      </c>
      <c r="Y279" s="1049"/>
      <c r="Z279" s="1050">
        <f t="shared" ref="Z279:Z302" si="125">S279*(X279-0.8)</f>
        <v>2.6182599999999994</v>
      </c>
      <c r="AA279" s="1125">
        <v>44938</v>
      </c>
      <c r="AB279" s="1057">
        <v>0</v>
      </c>
      <c r="AC279" s="1056">
        <v>1</v>
      </c>
      <c r="AD279" s="1055">
        <v>1.081</v>
      </c>
      <c r="AE279" s="1137">
        <f t="shared" ref="AE279:AE302" si="126">AD279*AI279</f>
        <v>0.34592000000000001</v>
      </c>
      <c r="AF279" s="1136">
        <v>1.0900000000000001</v>
      </c>
      <c r="AG279" s="1052">
        <f t="shared" ref="AG279:AG302" si="127">AF279/AD279</f>
        <v>1.0083256244218317</v>
      </c>
      <c r="AH279" s="1049"/>
      <c r="AI279" s="1136">
        <v>0.32</v>
      </c>
      <c r="AJ279" s="1049"/>
      <c r="AK279" s="1050">
        <f t="shared" ref="AK279:AK302" si="128">AD279*(AI279-0.8)</f>
        <v>-0.51888000000000001</v>
      </c>
      <c r="AL279" s="1049"/>
      <c r="AM279" s="1125">
        <v>44969</v>
      </c>
      <c r="AN279" s="1057">
        <v>0</v>
      </c>
      <c r="AO279" s="1056">
        <v>1</v>
      </c>
      <c r="AP279" s="1055">
        <v>0.1</v>
      </c>
      <c r="AQ279" s="1745">
        <f t="shared" ref="AQ279:AQ302" si="129">AP279*AU279</f>
        <v>0.13400000000000001</v>
      </c>
      <c r="AR279" s="1737">
        <v>0.2</v>
      </c>
      <c r="AS279" s="1052">
        <f t="shared" ref="AS279:AS302" si="130">AR279/AP279</f>
        <v>2</v>
      </c>
      <c r="AT279" s="1049"/>
      <c r="AU279" s="1136">
        <v>1.34</v>
      </c>
      <c r="AV279" s="1049"/>
      <c r="AW279" s="1125">
        <v>44997</v>
      </c>
      <c r="AX279" s="1057">
        <v>0</v>
      </c>
      <c r="AY279" s="1056">
        <v>1</v>
      </c>
      <c r="AZ279" s="1055">
        <v>0.13</v>
      </c>
      <c r="BA279" s="1736">
        <v>0.24</v>
      </c>
      <c r="BB279" s="1737">
        <f t="shared" ref="BB279:BB302" si="131">BA279/AZ279</f>
        <v>1.846153846153846</v>
      </c>
      <c r="BC279" s="1049"/>
      <c r="BD279" s="1136"/>
      <c r="BE279" s="1049"/>
      <c r="BF279" s="1125">
        <v>45028</v>
      </c>
      <c r="BG279" s="1057">
        <v>0</v>
      </c>
      <c r="BH279" s="1056">
        <v>1</v>
      </c>
      <c r="BI279" s="1055">
        <v>0.08</v>
      </c>
      <c r="BJ279" s="1736" t="s">
        <v>1366</v>
      </c>
      <c r="BK279" s="1049"/>
      <c r="BL279" s="1125">
        <v>45028</v>
      </c>
      <c r="BM279" s="1057">
        <v>0</v>
      </c>
      <c r="BN279" s="1056">
        <v>1</v>
      </c>
      <c r="BO279" s="1055"/>
      <c r="BP279" s="1055"/>
      <c r="BQ279" s="1049"/>
    </row>
    <row r="280" spans="1:69" ht="14.4">
      <c r="A280" s="1049"/>
      <c r="B280" s="1124"/>
      <c r="C280" s="1057">
        <v>1</v>
      </c>
      <c r="D280" s="1056">
        <v>2</v>
      </c>
      <c r="E280" s="1063">
        <v>0.21</v>
      </c>
      <c r="F280" s="1062">
        <v>0.62</v>
      </c>
      <c r="G280" s="1061">
        <f t="shared" si="121"/>
        <v>2.9523809523809526</v>
      </c>
      <c r="H280" s="1049"/>
      <c r="I280" s="1124"/>
      <c r="J280" s="1057">
        <v>1</v>
      </c>
      <c r="K280" s="1056">
        <v>2</v>
      </c>
      <c r="L280" s="1055">
        <v>0.245</v>
      </c>
      <c r="M280" s="1059">
        <v>0.41</v>
      </c>
      <c r="N280" s="1052">
        <f t="shared" si="122"/>
        <v>1.6734693877551019</v>
      </c>
      <c r="O280" s="1049"/>
      <c r="P280" s="1123"/>
      <c r="Q280" s="1057">
        <v>1</v>
      </c>
      <c r="R280" s="1056">
        <v>2</v>
      </c>
      <c r="S280" s="1055">
        <v>1.147</v>
      </c>
      <c r="T280" s="1054">
        <f t="shared" si="123"/>
        <v>3.2574799999999997</v>
      </c>
      <c r="U280" s="1136">
        <v>4.3099999999999996</v>
      </c>
      <c r="V280" s="1052">
        <f t="shared" si="124"/>
        <v>3.7576285963382734</v>
      </c>
      <c r="W280" s="1049"/>
      <c r="X280" s="1051">
        <v>2.84</v>
      </c>
      <c r="Y280" s="1049"/>
      <c r="Z280" s="1050">
        <f t="shared" si="125"/>
        <v>2.33988</v>
      </c>
      <c r="AA280" s="1123"/>
      <c r="AB280" s="1057">
        <v>1</v>
      </c>
      <c r="AC280" s="1056">
        <v>2</v>
      </c>
      <c r="AD280" s="1055">
        <v>0.97699999999999998</v>
      </c>
      <c r="AE280" s="1137">
        <f t="shared" si="126"/>
        <v>0.17585999999999999</v>
      </c>
      <c r="AF280" s="1136">
        <v>0.85</v>
      </c>
      <c r="AG280" s="1052">
        <f t="shared" si="127"/>
        <v>0.87001023541453426</v>
      </c>
      <c r="AH280" s="1049"/>
      <c r="AI280" s="1136">
        <v>0.18</v>
      </c>
      <c r="AJ280" s="1049"/>
      <c r="AK280" s="1050">
        <f t="shared" si="128"/>
        <v>-0.60574000000000006</v>
      </c>
      <c r="AL280" s="1049"/>
      <c r="AM280" s="1123"/>
      <c r="AN280" s="1057">
        <v>1</v>
      </c>
      <c r="AO280" s="1056">
        <v>2</v>
      </c>
      <c r="AP280" s="1055">
        <v>0.1</v>
      </c>
      <c r="AQ280" s="1745">
        <f t="shared" si="129"/>
        <v>0.13</v>
      </c>
      <c r="AR280" s="1737">
        <v>0.2</v>
      </c>
      <c r="AS280" s="1052">
        <f t="shared" si="130"/>
        <v>2</v>
      </c>
      <c r="AT280" s="1049"/>
      <c r="AU280" s="1136">
        <v>1.3</v>
      </c>
      <c r="AV280" s="1049"/>
      <c r="AW280" s="1123"/>
      <c r="AX280" s="1057">
        <v>1</v>
      </c>
      <c r="AY280" s="1056">
        <v>2</v>
      </c>
      <c r="AZ280" s="1055">
        <v>0.13</v>
      </c>
      <c r="BA280" s="1736">
        <v>0.23</v>
      </c>
      <c r="BB280" s="1737">
        <f t="shared" si="131"/>
        <v>1.7692307692307692</v>
      </c>
      <c r="BC280" s="1049"/>
      <c r="BD280" s="1136"/>
      <c r="BE280" s="1049"/>
      <c r="BF280" s="1123"/>
      <c r="BG280" s="1057">
        <v>1</v>
      </c>
      <c r="BH280" s="1056">
        <v>2</v>
      </c>
      <c r="BI280" s="1055">
        <v>0.13</v>
      </c>
      <c r="BJ280" s="1736" t="s">
        <v>1367</v>
      </c>
      <c r="BK280" s="1049"/>
      <c r="BL280" s="1123"/>
      <c r="BM280" s="1057">
        <v>1</v>
      </c>
      <c r="BN280" s="1056">
        <v>2</v>
      </c>
      <c r="BO280" s="1055"/>
      <c r="BP280" s="1055"/>
      <c r="BQ280" s="1049"/>
    </row>
    <row r="281" spans="1:69" ht="14.4">
      <c r="A281" s="1049"/>
      <c r="B281" s="1122">
        <f>SUM(E279:E302)</f>
        <v>9.4600000000000026</v>
      </c>
      <c r="C281" s="1057">
        <v>2</v>
      </c>
      <c r="D281" s="1056">
        <v>3</v>
      </c>
      <c r="E281" s="1063">
        <v>0.21</v>
      </c>
      <c r="F281" s="1062">
        <v>0.61</v>
      </c>
      <c r="G281" s="1061">
        <f t="shared" si="121"/>
        <v>2.9047619047619047</v>
      </c>
      <c r="H281" s="1049"/>
      <c r="I281" s="1122">
        <f>SUM(L279:L302)</f>
        <v>15.843000000000002</v>
      </c>
      <c r="J281" s="1057">
        <v>2</v>
      </c>
      <c r="K281" s="1056">
        <v>3</v>
      </c>
      <c r="L281" s="1055">
        <v>0.20899999999999999</v>
      </c>
      <c r="M281" s="1059">
        <v>0.36</v>
      </c>
      <c r="N281" s="1052">
        <f t="shared" si="122"/>
        <v>1.7224880382775121</v>
      </c>
      <c r="O281" s="1049"/>
      <c r="P281" s="1121">
        <f>SUM(S279:S302)</f>
        <v>41.317999999999998</v>
      </c>
      <c r="Q281" s="1057">
        <v>2</v>
      </c>
      <c r="R281" s="1056">
        <v>3</v>
      </c>
      <c r="S281" s="1055">
        <v>1.1519999999999999</v>
      </c>
      <c r="T281" s="1054">
        <f t="shared" si="123"/>
        <v>3.23712</v>
      </c>
      <c r="U281" s="1136">
        <v>4.29</v>
      </c>
      <c r="V281" s="1052">
        <f t="shared" si="124"/>
        <v>3.7239583333333335</v>
      </c>
      <c r="W281" s="1049"/>
      <c r="X281" s="1051">
        <v>2.81</v>
      </c>
      <c r="Y281" s="1049"/>
      <c r="Z281" s="1050">
        <f t="shared" si="125"/>
        <v>2.3155199999999998</v>
      </c>
      <c r="AA281" s="1121">
        <f>SUM(AD279:AD302)</f>
        <v>56.084000000000003</v>
      </c>
      <c r="AB281" s="1057">
        <v>2</v>
      </c>
      <c r="AC281" s="1056">
        <v>3</v>
      </c>
      <c r="AD281" s="1055">
        <v>0.97499999999999998</v>
      </c>
      <c r="AE281" s="1137">
        <f t="shared" si="126"/>
        <v>0.17549999999999999</v>
      </c>
      <c r="AF281" s="1136">
        <v>0.84</v>
      </c>
      <c r="AG281" s="1052">
        <f t="shared" si="127"/>
        <v>0.86153846153846148</v>
      </c>
      <c r="AH281" s="1049"/>
      <c r="AI281" s="1136">
        <v>0.18</v>
      </c>
      <c r="AJ281" s="1049"/>
      <c r="AK281" s="1050">
        <f t="shared" si="128"/>
        <v>-0.60450000000000004</v>
      </c>
      <c r="AL281" s="1049"/>
      <c r="AM281" s="1121">
        <f>SUM(AP279:AP302)</f>
        <v>6.28</v>
      </c>
      <c r="AN281" s="1057">
        <v>2</v>
      </c>
      <c r="AO281" s="1056">
        <v>3</v>
      </c>
      <c r="AP281" s="1055">
        <v>0.12</v>
      </c>
      <c r="AQ281" s="1745">
        <f t="shared" si="129"/>
        <v>0.16320000000000001</v>
      </c>
      <c r="AR281" s="1737">
        <v>0.25</v>
      </c>
      <c r="AS281" s="1052">
        <f t="shared" si="130"/>
        <v>2.0833333333333335</v>
      </c>
      <c r="AT281" s="1049"/>
      <c r="AU281" s="1136">
        <v>1.36</v>
      </c>
      <c r="AV281" s="1049"/>
      <c r="AW281" s="1121">
        <f>SUM(AZ279:AZ302)</f>
        <v>5.1300000000000008</v>
      </c>
      <c r="AX281" s="1057">
        <v>2</v>
      </c>
      <c r="AY281" s="1056">
        <v>3</v>
      </c>
      <c r="AZ281" s="1055">
        <v>0.08</v>
      </c>
      <c r="BA281" s="1736">
        <v>0.14000000000000001</v>
      </c>
      <c r="BB281" s="1737">
        <f t="shared" si="131"/>
        <v>1.7500000000000002</v>
      </c>
      <c r="BC281" s="1049"/>
      <c r="BD281" s="1136"/>
      <c r="BE281" s="1049"/>
      <c r="BF281" s="1121">
        <f>SUM(BI279:BI302)</f>
        <v>6.87</v>
      </c>
      <c r="BG281" s="1057">
        <v>2</v>
      </c>
      <c r="BH281" s="1056">
        <v>3</v>
      </c>
      <c r="BI281" s="1055">
        <v>0.16</v>
      </c>
      <c r="BJ281" s="1736" t="s">
        <v>1371</v>
      </c>
      <c r="BK281" s="1049"/>
      <c r="BL281" s="1121">
        <f>SUM(BO279:BO302)+SUM(BP279:BP302)</f>
        <v>0</v>
      </c>
      <c r="BM281" s="1057">
        <v>2</v>
      </c>
      <c r="BN281" s="1056">
        <v>3</v>
      </c>
      <c r="BO281" s="1055"/>
      <c r="BP281" s="1055"/>
      <c r="BQ281" s="1049"/>
    </row>
    <row r="282" spans="1:69" ht="14.4">
      <c r="A282" s="1049"/>
      <c r="B282" s="1120">
        <f>B281/24</f>
        <v>0.39416666666666678</v>
      </c>
      <c r="C282" s="1057">
        <v>3</v>
      </c>
      <c r="D282" s="1056">
        <v>4</v>
      </c>
      <c r="E282" s="1063">
        <v>0.17</v>
      </c>
      <c r="F282" s="1062">
        <v>0.5</v>
      </c>
      <c r="G282" s="1061">
        <f t="shared" si="121"/>
        <v>2.9411764705882351</v>
      </c>
      <c r="H282" s="1049"/>
      <c r="I282" s="1120">
        <f>I281/24</f>
        <v>0.66012500000000007</v>
      </c>
      <c r="J282" s="1057">
        <v>3</v>
      </c>
      <c r="K282" s="1056">
        <v>4</v>
      </c>
      <c r="L282" s="1055">
        <v>0.22800000000000001</v>
      </c>
      <c r="M282" s="1059">
        <v>0.48</v>
      </c>
      <c r="N282" s="1052">
        <f t="shared" si="122"/>
        <v>2.1052631578947367</v>
      </c>
      <c r="O282" s="1049"/>
      <c r="P282" s="1120">
        <f>P281/24</f>
        <v>1.7215833333333332</v>
      </c>
      <c r="Q282" s="1057">
        <v>3</v>
      </c>
      <c r="R282" s="1056">
        <v>4</v>
      </c>
      <c r="S282" s="1055">
        <v>1.1910000000000001</v>
      </c>
      <c r="T282" s="1054">
        <f t="shared" si="123"/>
        <v>3.2990700000000004</v>
      </c>
      <c r="U282" s="1136">
        <v>4.3899999999999997</v>
      </c>
      <c r="V282" s="1052">
        <f t="shared" si="124"/>
        <v>3.6859781696053733</v>
      </c>
      <c r="W282" s="1049"/>
      <c r="X282" s="1051">
        <v>2.77</v>
      </c>
      <c r="Y282" s="1049"/>
      <c r="Z282" s="1050">
        <f t="shared" si="125"/>
        <v>2.3462700000000001</v>
      </c>
      <c r="AA282" s="1120">
        <f>AA281/24</f>
        <v>2.3368333333333333</v>
      </c>
      <c r="AB282" s="1057">
        <v>3</v>
      </c>
      <c r="AC282" s="1056">
        <v>4</v>
      </c>
      <c r="AD282" s="1055">
        <v>0.98599999999999999</v>
      </c>
      <c r="AE282" s="1137">
        <f t="shared" si="126"/>
        <v>0.12818000000000002</v>
      </c>
      <c r="AF282" s="1136">
        <v>0.81</v>
      </c>
      <c r="AG282" s="1052">
        <f t="shared" si="127"/>
        <v>0.82150101419878307</v>
      </c>
      <c r="AH282" s="1049"/>
      <c r="AI282" s="1136">
        <v>0.13</v>
      </c>
      <c r="AJ282" s="1049"/>
      <c r="AK282" s="1050">
        <f t="shared" si="128"/>
        <v>-0.66061999999999999</v>
      </c>
      <c r="AL282" s="1049"/>
      <c r="AM282" s="1120">
        <f>AM281/24</f>
        <v>0.26166666666666666</v>
      </c>
      <c r="AN282" s="1057">
        <v>3</v>
      </c>
      <c r="AO282" s="1056">
        <v>4</v>
      </c>
      <c r="AP282" s="1055">
        <v>0.11</v>
      </c>
      <c r="AQ282" s="1745">
        <f t="shared" si="129"/>
        <v>0.1452</v>
      </c>
      <c r="AR282" s="1737">
        <v>0.22</v>
      </c>
      <c r="AS282" s="1052">
        <f t="shared" si="130"/>
        <v>2</v>
      </c>
      <c r="AT282" s="1049"/>
      <c r="AU282" s="1136">
        <v>1.32</v>
      </c>
      <c r="AV282" s="1049"/>
      <c r="AW282" s="1120">
        <f>AW281/24</f>
        <v>0.21375000000000002</v>
      </c>
      <c r="AX282" s="1057">
        <v>3</v>
      </c>
      <c r="AY282" s="1056">
        <v>4</v>
      </c>
      <c r="AZ282" s="1055">
        <v>0.1</v>
      </c>
      <c r="BA282" s="1736">
        <v>0.17</v>
      </c>
      <c r="BB282" s="1737">
        <f t="shared" si="131"/>
        <v>1.7</v>
      </c>
      <c r="BC282" s="1049"/>
      <c r="BD282" s="1136"/>
      <c r="BE282" s="1049"/>
      <c r="BF282" s="1120">
        <f>BF281/24</f>
        <v>0.28625</v>
      </c>
      <c r="BG282" s="1057">
        <v>3</v>
      </c>
      <c r="BH282" s="1056">
        <v>4</v>
      </c>
      <c r="BI282" s="1055">
        <v>0.14000000000000001</v>
      </c>
      <c r="BJ282" s="1736" t="s">
        <v>1380</v>
      </c>
      <c r="BK282" s="1049"/>
      <c r="BL282" s="1120">
        <f>BL281/24</f>
        <v>0</v>
      </c>
      <c r="BM282" s="1057">
        <v>3</v>
      </c>
      <c r="BN282" s="1056">
        <v>4</v>
      </c>
      <c r="BO282" s="1055"/>
      <c r="BP282" s="1055"/>
      <c r="BQ282" s="1049"/>
    </row>
    <row r="283" spans="1:69" ht="14.4">
      <c r="A283" s="1049"/>
      <c r="B283" s="1119"/>
      <c r="C283" s="1057">
        <v>4</v>
      </c>
      <c r="D283" s="1056">
        <v>5</v>
      </c>
      <c r="E283" s="1063">
        <v>0.16</v>
      </c>
      <c r="F283" s="1062">
        <v>0.46</v>
      </c>
      <c r="G283" s="1061">
        <f t="shared" si="121"/>
        <v>2.875</v>
      </c>
      <c r="H283" s="1049"/>
      <c r="I283" s="1119"/>
      <c r="J283" s="1057">
        <v>4</v>
      </c>
      <c r="K283" s="1056">
        <v>5</v>
      </c>
      <c r="L283" s="1055">
        <v>0.18099999999999999</v>
      </c>
      <c r="M283" s="1059">
        <v>0.47</v>
      </c>
      <c r="N283" s="1052">
        <f t="shared" si="122"/>
        <v>2.596685082872928</v>
      </c>
      <c r="O283" s="1049"/>
      <c r="P283" s="1118"/>
      <c r="Q283" s="1057">
        <v>4</v>
      </c>
      <c r="R283" s="1056">
        <v>5</v>
      </c>
      <c r="S283" s="1055">
        <v>1.6379999999999999</v>
      </c>
      <c r="T283" s="1054">
        <f t="shared" si="123"/>
        <v>4.4881200000000003</v>
      </c>
      <c r="U283" s="1136">
        <v>6.01</v>
      </c>
      <c r="V283" s="1052">
        <f t="shared" si="124"/>
        <v>3.6691086691086694</v>
      </c>
      <c r="W283" s="1049"/>
      <c r="X283" s="1051">
        <v>2.74</v>
      </c>
      <c r="Y283" s="1049"/>
      <c r="Z283" s="1050">
        <f t="shared" si="125"/>
        <v>3.1777199999999999</v>
      </c>
      <c r="AA283" s="1118"/>
      <c r="AB283" s="1057">
        <v>4</v>
      </c>
      <c r="AC283" s="1056">
        <v>5</v>
      </c>
      <c r="AD283" s="1055">
        <v>1.0009999999999999</v>
      </c>
      <c r="AE283" s="1137">
        <f t="shared" si="126"/>
        <v>0.16016</v>
      </c>
      <c r="AF283" s="1136">
        <v>0.85</v>
      </c>
      <c r="AG283" s="1052">
        <f t="shared" si="127"/>
        <v>0.84915084915084926</v>
      </c>
      <c r="AH283" s="1049"/>
      <c r="AI283" s="1136">
        <v>0.16</v>
      </c>
      <c r="AJ283" s="1049"/>
      <c r="AK283" s="1050">
        <f t="shared" si="128"/>
        <v>-0.64063999999999999</v>
      </c>
      <c r="AL283" s="1049"/>
      <c r="AM283" s="1118"/>
      <c r="AN283" s="1057">
        <v>4</v>
      </c>
      <c r="AO283" s="1056">
        <v>5</v>
      </c>
      <c r="AP283" s="1055">
        <v>0.15</v>
      </c>
      <c r="AQ283" s="1745">
        <f t="shared" si="129"/>
        <v>0.1845</v>
      </c>
      <c r="AR283" s="1737">
        <v>0.28999999999999998</v>
      </c>
      <c r="AS283" s="1052">
        <f t="shared" si="130"/>
        <v>1.9333333333333333</v>
      </c>
      <c r="AT283" s="1049"/>
      <c r="AU283" s="1136">
        <v>1.23</v>
      </c>
      <c r="AV283" s="1049"/>
      <c r="AW283" s="1118"/>
      <c r="AX283" s="1057">
        <v>4</v>
      </c>
      <c r="AY283" s="1056">
        <v>5</v>
      </c>
      <c r="AZ283" s="1055">
        <v>0.23</v>
      </c>
      <c r="BA283" s="1736">
        <v>0.39</v>
      </c>
      <c r="BB283" s="1737">
        <f t="shared" si="131"/>
        <v>1.6956521739130435</v>
      </c>
      <c r="BC283" s="1049"/>
      <c r="BD283" s="1136"/>
      <c r="BE283" s="1049"/>
      <c r="BF283" s="1118"/>
      <c r="BG283" s="1057">
        <v>4</v>
      </c>
      <c r="BH283" s="1056">
        <v>5</v>
      </c>
      <c r="BI283" s="1055">
        <v>0.11</v>
      </c>
      <c r="BJ283" s="1736" t="s">
        <v>1381</v>
      </c>
      <c r="BK283" s="1049"/>
      <c r="BL283" s="1118"/>
      <c r="BM283" s="1057">
        <v>4</v>
      </c>
      <c r="BN283" s="1056">
        <v>5</v>
      </c>
      <c r="BO283" s="1055"/>
      <c r="BP283" s="1055"/>
      <c r="BQ283" s="1049"/>
    </row>
    <row r="284" spans="1:69" ht="15" thickBot="1">
      <c r="A284" s="1049"/>
      <c r="B284" s="1058">
        <f>SUM(F279:F302)</f>
        <v>28.580000000000002</v>
      </c>
      <c r="C284" s="1111">
        <v>5</v>
      </c>
      <c r="D284" s="1110">
        <v>6</v>
      </c>
      <c r="E284" s="1117">
        <v>0.23</v>
      </c>
      <c r="F284" s="1116">
        <v>0.67</v>
      </c>
      <c r="G284" s="1115">
        <f t="shared" si="121"/>
        <v>2.9130434782608696</v>
      </c>
      <c r="H284" s="1049"/>
      <c r="I284" s="1058">
        <f>SUM(M279:M302)</f>
        <v>49.65</v>
      </c>
      <c r="J284" s="1111">
        <v>5</v>
      </c>
      <c r="K284" s="1110">
        <v>6</v>
      </c>
      <c r="L284" s="1109">
        <v>0.215</v>
      </c>
      <c r="M284" s="1114">
        <v>0.62</v>
      </c>
      <c r="N284" s="1113">
        <f t="shared" si="122"/>
        <v>2.8837209302325584</v>
      </c>
      <c r="O284" s="1049"/>
      <c r="P284" s="1112">
        <f>SUM(U279:U302)</f>
        <v>222.51000000000002</v>
      </c>
      <c r="Q284" s="1111">
        <v>5</v>
      </c>
      <c r="R284" s="1110">
        <v>6</v>
      </c>
      <c r="S284" s="1109">
        <v>1.5189999999999999</v>
      </c>
      <c r="T284" s="1054">
        <f t="shared" si="123"/>
        <v>4.3899099999999995</v>
      </c>
      <c r="U284" s="1146">
        <v>5.79</v>
      </c>
      <c r="V284" s="1052">
        <f t="shared" si="124"/>
        <v>3.8117182356813695</v>
      </c>
      <c r="W284" s="1049"/>
      <c r="X284" s="1074">
        <v>2.89</v>
      </c>
      <c r="Y284" s="1049"/>
      <c r="Z284" s="1050">
        <f t="shared" si="125"/>
        <v>3.1747099999999997</v>
      </c>
      <c r="AA284" s="1112">
        <f>SUM(AF279:AF302)</f>
        <v>97.72</v>
      </c>
      <c r="AB284" s="1111">
        <v>5</v>
      </c>
      <c r="AC284" s="1110">
        <v>6</v>
      </c>
      <c r="AD284" s="1109">
        <v>1.0409999999999999</v>
      </c>
      <c r="AE284" s="1147">
        <f t="shared" si="126"/>
        <v>0.37475999999999998</v>
      </c>
      <c r="AF284" s="1146">
        <v>1.1000000000000001</v>
      </c>
      <c r="AG284" s="1052">
        <f t="shared" si="127"/>
        <v>1.0566762728146015</v>
      </c>
      <c r="AH284" s="1049"/>
      <c r="AI284" s="1146">
        <v>0.36</v>
      </c>
      <c r="AJ284" s="1049"/>
      <c r="AK284" s="1050">
        <f t="shared" si="128"/>
        <v>-0.45804</v>
      </c>
      <c r="AL284" s="1049"/>
      <c r="AM284" s="1112">
        <f>SUM(AR279:AR302)</f>
        <v>14.129999999999999</v>
      </c>
      <c r="AN284" s="1111">
        <v>5</v>
      </c>
      <c r="AO284" s="1110">
        <v>6</v>
      </c>
      <c r="AP284" s="1109">
        <v>0.08</v>
      </c>
      <c r="AQ284" s="1746">
        <f t="shared" si="129"/>
        <v>9.9199999999999997E-2</v>
      </c>
      <c r="AR284" s="1739">
        <v>0.15</v>
      </c>
      <c r="AS284" s="1052">
        <f t="shared" si="130"/>
        <v>1.875</v>
      </c>
      <c r="AT284" s="1049"/>
      <c r="AU284" s="1146">
        <v>1.24</v>
      </c>
      <c r="AV284" s="1049"/>
      <c r="AW284" s="1112">
        <f>SUM(BA279:BA302)</f>
        <v>9.3299999999999983</v>
      </c>
      <c r="AX284" s="1111">
        <v>5</v>
      </c>
      <c r="AY284" s="1110">
        <v>6</v>
      </c>
      <c r="AZ284" s="1109">
        <v>0.19</v>
      </c>
      <c r="BA284" s="1738">
        <v>0.32</v>
      </c>
      <c r="BB284" s="1739">
        <f t="shared" si="131"/>
        <v>1.6842105263157894</v>
      </c>
      <c r="BC284" s="1049"/>
      <c r="BD284" s="1146"/>
      <c r="BE284" s="1049"/>
      <c r="BF284" s="1112">
        <f>SUM(BJ279:BJ302)</f>
        <v>0</v>
      </c>
      <c r="BG284" s="1111">
        <v>5</v>
      </c>
      <c r="BH284" s="1110">
        <v>6</v>
      </c>
      <c r="BI284" s="1055">
        <v>0.08</v>
      </c>
      <c r="BJ284" s="1738" t="s">
        <v>1365</v>
      </c>
      <c r="BK284" s="1049"/>
      <c r="BL284" s="1112">
        <f>SUM(BP279:BP302)</f>
        <v>0</v>
      </c>
      <c r="BM284" s="1111">
        <v>5</v>
      </c>
      <c r="BN284" s="1110">
        <v>6</v>
      </c>
      <c r="BO284" s="1109"/>
      <c r="BP284" s="1109"/>
      <c r="BQ284" s="1049"/>
    </row>
    <row r="285" spans="1:69" ht="14.4">
      <c r="A285" s="1049"/>
      <c r="B285" s="1093">
        <f>B284/B281</f>
        <v>3.0211416490486251</v>
      </c>
      <c r="C285" s="1100">
        <v>6</v>
      </c>
      <c r="D285" s="1099">
        <v>7</v>
      </c>
      <c r="E285" s="1107">
        <v>0.87</v>
      </c>
      <c r="F285" s="1106">
        <v>2.5</v>
      </c>
      <c r="G285" s="1105">
        <f t="shared" si="121"/>
        <v>2.8735632183908044</v>
      </c>
      <c r="H285" s="1049"/>
      <c r="I285" s="1093">
        <f>I284/I281</f>
        <v>3.1338761598182159</v>
      </c>
      <c r="J285" s="1100">
        <v>6</v>
      </c>
      <c r="K285" s="1099">
        <v>7</v>
      </c>
      <c r="L285" s="1098">
        <v>0.19900000000000001</v>
      </c>
      <c r="M285" s="1103">
        <v>0.62</v>
      </c>
      <c r="N285" s="1102">
        <f t="shared" si="122"/>
        <v>3.1155778894472359</v>
      </c>
      <c r="O285" s="1049"/>
      <c r="P285" s="1093">
        <f>P284/P281</f>
        <v>5.3853042257611703</v>
      </c>
      <c r="Q285" s="1100">
        <v>6</v>
      </c>
      <c r="R285" s="1099">
        <v>7</v>
      </c>
      <c r="S285" s="1098">
        <v>1.62</v>
      </c>
      <c r="T285" s="1054">
        <f t="shared" si="123"/>
        <v>6.3342000000000009</v>
      </c>
      <c r="U285" s="1144">
        <v>7.81</v>
      </c>
      <c r="V285" s="1052">
        <f t="shared" si="124"/>
        <v>4.8209876543209873</v>
      </c>
      <c r="W285" s="1049"/>
      <c r="X285" s="1108">
        <v>3.91</v>
      </c>
      <c r="Y285" s="1049"/>
      <c r="Z285" s="1050">
        <f t="shared" si="125"/>
        <v>5.0382000000000007</v>
      </c>
      <c r="AA285" s="1093">
        <f>AA284/AA281</f>
        <v>1.7423864203694457</v>
      </c>
      <c r="AB285" s="1100">
        <v>6</v>
      </c>
      <c r="AC285" s="1099">
        <v>7</v>
      </c>
      <c r="AD285" s="1098">
        <v>1.262</v>
      </c>
      <c r="AE285" s="1145">
        <f t="shared" si="126"/>
        <v>1.1736600000000001</v>
      </c>
      <c r="AF285" s="1144">
        <v>2.04</v>
      </c>
      <c r="AG285" s="1052">
        <f t="shared" si="127"/>
        <v>1.6164817749603804</v>
      </c>
      <c r="AH285" s="1049"/>
      <c r="AI285" s="1144">
        <v>0.93</v>
      </c>
      <c r="AJ285" s="1049"/>
      <c r="AK285" s="1050">
        <f t="shared" si="128"/>
        <v>0.16406000000000001</v>
      </c>
      <c r="AL285" s="1049"/>
      <c r="AM285" s="1093">
        <f>AM284/AM281</f>
        <v>2.2499999999999996</v>
      </c>
      <c r="AN285" s="1100">
        <v>6</v>
      </c>
      <c r="AO285" s="1099">
        <v>7</v>
      </c>
      <c r="AP285" s="1098">
        <v>0.08</v>
      </c>
      <c r="AQ285" s="1747">
        <f t="shared" si="129"/>
        <v>9.1199999999999989E-2</v>
      </c>
      <c r="AR285" s="1741">
        <v>0.15</v>
      </c>
      <c r="AS285" s="1052">
        <f t="shared" si="130"/>
        <v>1.875</v>
      </c>
      <c r="AT285" s="1049"/>
      <c r="AU285" s="1144">
        <v>1.1399999999999999</v>
      </c>
      <c r="AV285" s="1049"/>
      <c r="AW285" s="1093">
        <f>AW284/AW281</f>
        <v>1.8187134502923969</v>
      </c>
      <c r="AX285" s="1100">
        <v>6</v>
      </c>
      <c r="AY285" s="1099">
        <v>7</v>
      </c>
      <c r="AZ285" s="1098">
        <v>0.31</v>
      </c>
      <c r="BA285" s="1740">
        <v>0.52</v>
      </c>
      <c r="BB285" s="1741">
        <f t="shared" si="131"/>
        <v>1.6774193548387097</v>
      </c>
      <c r="BC285" s="1049"/>
      <c r="BD285" s="1144"/>
      <c r="BE285" s="1049"/>
      <c r="BF285" s="1093">
        <f>BF284/BF281</f>
        <v>0</v>
      </c>
      <c r="BG285" s="1100">
        <v>6</v>
      </c>
      <c r="BH285" s="1099">
        <v>7</v>
      </c>
      <c r="BI285" s="1055">
        <v>0.18</v>
      </c>
      <c r="BJ285" s="1740" t="s">
        <v>1370</v>
      </c>
      <c r="BK285" s="1049"/>
      <c r="BL285" s="1093" t="e">
        <f>BL284/BL281</f>
        <v>#DIV/0!</v>
      </c>
      <c r="BM285" s="1100">
        <v>6</v>
      </c>
      <c r="BN285" s="1099">
        <v>7</v>
      </c>
      <c r="BO285" s="1098"/>
      <c r="BP285" s="1098"/>
      <c r="BQ285" s="1049"/>
    </row>
    <row r="286" spans="1:69" ht="14.4">
      <c r="A286" s="1049"/>
      <c r="B286" s="1104"/>
      <c r="C286" s="1100">
        <v>7</v>
      </c>
      <c r="D286" s="1099">
        <v>8</v>
      </c>
      <c r="E286" s="1107">
        <v>0.32</v>
      </c>
      <c r="F286" s="1106">
        <v>0.93</v>
      </c>
      <c r="G286" s="1105">
        <f t="shared" si="121"/>
        <v>2.90625</v>
      </c>
      <c r="H286" s="1049"/>
      <c r="I286" s="1104"/>
      <c r="J286" s="1100">
        <v>7</v>
      </c>
      <c r="K286" s="1099">
        <v>8</v>
      </c>
      <c r="L286" s="1098">
        <v>0.57199999999999995</v>
      </c>
      <c r="M286" s="1103">
        <v>1.87</v>
      </c>
      <c r="N286" s="1102">
        <f t="shared" si="122"/>
        <v>3.2692307692307696</v>
      </c>
      <c r="O286" s="1049"/>
      <c r="P286" s="1101"/>
      <c r="Q286" s="1100">
        <v>7</v>
      </c>
      <c r="R286" s="1099">
        <v>8</v>
      </c>
      <c r="S286" s="1098">
        <v>1.6930000000000001</v>
      </c>
      <c r="T286" s="1054">
        <f t="shared" si="123"/>
        <v>8.3972800000000003</v>
      </c>
      <c r="U286" s="1144">
        <v>9.94</v>
      </c>
      <c r="V286" s="1052">
        <f t="shared" si="124"/>
        <v>5.8712344949793263</v>
      </c>
      <c r="W286" s="1049"/>
      <c r="X286" s="1065">
        <v>4.96</v>
      </c>
      <c r="Y286" s="1049"/>
      <c r="Z286" s="1050">
        <f t="shared" si="125"/>
        <v>7.0428800000000003</v>
      </c>
      <c r="AA286" s="1101"/>
      <c r="AB286" s="1100">
        <v>7</v>
      </c>
      <c r="AC286" s="1099">
        <v>8</v>
      </c>
      <c r="AD286" s="1098">
        <v>1.681</v>
      </c>
      <c r="AE286" s="1145">
        <f t="shared" si="126"/>
        <v>1.9667699999999999</v>
      </c>
      <c r="AF286" s="1144">
        <v>3.13</v>
      </c>
      <c r="AG286" s="1052">
        <f t="shared" si="127"/>
        <v>1.8619869125520523</v>
      </c>
      <c r="AH286" s="1049"/>
      <c r="AI286" s="1144">
        <v>1.17</v>
      </c>
      <c r="AJ286" s="1049"/>
      <c r="AK286" s="1050">
        <f t="shared" si="128"/>
        <v>0.6219699999999998</v>
      </c>
      <c r="AL286" s="1049"/>
      <c r="AM286" s="1101"/>
      <c r="AN286" s="1100">
        <v>7</v>
      </c>
      <c r="AO286" s="1099">
        <v>8</v>
      </c>
      <c r="AP286" s="1098">
        <v>0.14000000000000001</v>
      </c>
      <c r="AQ286" s="1747">
        <f t="shared" si="129"/>
        <v>0.16940000000000002</v>
      </c>
      <c r="AR286" s="1741">
        <v>0.27</v>
      </c>
      <c r="AS286" s="1052">
        <f t="shared" si="130"/>
        <v>1.9285714285714286</v>
      </c>
      <c r="AT286" s="1049"/>
      <c r="AU286" s="1144">
        <v>1.21</v>
      </c>
      <c r="AV286" s="1049"/>
      <c r="AW286" s="1101"/>
      <c r="AX286" s="1100">
        <v>7</v>
      </c>
      <c r="AY286" s="1099">
        <v>8</v>
      </c>
      <c r="AZ286" s="1098">
        <v>0.51</v>
      </c>
      <c r="BA286" s="1736">
        <v>0.84</v>
      </c>
      <c r="BB286" s="1741">
        <f t="shared" si="131"/>
        <v>1.6470588235294117</v>
      </c>
      <c r="BC286" s="1049"/>
      <c r="BD286" s="1144"/>
      <c r="BE286" s="1049"/>
      <c r="BF286" s="1101"/>
      <c r="BG286" s="1100">
        <v>7</v>
      </c>
      <c r="BH286" s="1099">
        <v>8</v>
      </c>
      <c r="BI286" s="1055">
        <v>0.24</v>
      </c>
      <c r="BJ286" s="1736" t="s">
        <v>1373</v>
      </c>
      <c r="BK286" s="1049"/>
      <c r="BL286" s="1101"/>
      <c r="BM286" s="1100">
        <v>7</v>
      </c>
      <c r="BN286" s="1099">
        <v>8</v>
      </c>
      <c r="BO286" s="1098"/>
      <c r="BP286" s="1098"/>
      <c r="BQ286" s="1049"/>
    </row>
    <row r="287" spans="1:69" ht="14.4">
      <c r="A287" s="1049"/>
      <c r="B287" s="1097">
        <f>B284/24</f>
        <v>1.1908333333333334</v>
      </c>
      <c r="C287" s="1086">
        <v>8</v>
      </c>
      <c r="D287" s="1085">
        <v>9</v>
      </c>
      <c r="E287" s="1091">
        <v>0.31</v>
      </c>
      <c r="F287" s="1090">
        <v>0.9</v>
      </c>
      <c r="G287" s="1089">
        <f t="shared" si="121"/>
        <v>2.903225806451613</v>
      </c>
      <c r="H287" s="1049"/>
      <c r="I287" s="1097">
        <f>I284/24</f>
        <v>2.0687500000000001</v>
      </c>
      <c r="J287" s="1086">
        <v>8</v>
      </c>
      <c r="K287" s="1085">
        <v>9</v>
      </c>
      <c r="L287" s="1084">
        <v>0.40799999999999997</v>
      </c>
      <c r="M287" s="1088">
        <v>1.33</v>
      </c>
      <c r="N287" s="1087">
        <f t="shared" si="122"/>
        <v>3.2598039215686279</v>
      </c>
      <c r="O287" s="1049"/>
      <c r="P287" s="1096">
        <f>P284/24</f>
        <v>9.2712500000000002</v>
      </c>
      <c r="Q287" s="1086">
        <v>8</v>
      </c>
      <c r="R287" s="1085">
        <v>9</v>
      </c>
      <c r="S287" s="1084">
        <v>1.627</v>
      </c>
      <c r="T287" s="1054">
        <f t="shared" si="123"/>
        <v>8.65564</v>
      </c>
      <c r="U287" s="1142">
        <v>10.16</v>
      </c>
      <c r="V287" s="1052">
        <f t="shared" si="124"/>
        <v>6.2446220036877689</v>
      </c>
      <c r="W287" s="1049"/>
      <c r="X287" s="1051">
        <v>5.32</v>
      </c>
      <c r="Y287" s="1049"/>
      <c r="Z287" s="1050">
        <f t="shared" si="125"/>
        <v>7.3540400000000004</v>
      </c>
      <c r="AA287" s="1096">
        <f>AA284/24</f>
        <v>4.0716666666666663</v>
      </c>
      <c r="AB287" s="1086">
        <v>8</v>
      </c>
      <c r="AC287" s="1085">
        <v>9</v>
      </c>
      <c r="AD287" s="1084">
        <v>2.4390000000000001</v>
      </c>
      <c r="AE287" s="1143">
        <f t="shared" si="126"/>
        <v>2.7560699999999998</v>
      </c>
      <c r="AF287" s="1142">
        <v>4.43</v>
      </c>
      <c r="AG287" s="1052">
        <f t="shared" si="127"/>
        <v>1.8163181631816316</v>
      </c>
      <c r="AH287" s="1049"/>
      <c r="AI287" s="1142">
        <v>1.1299999999999999</v>
      </c>
      <c r="AJ287" s="1049"/>
      <c r="AK287" s="1050">
        <f t="shared" si="128"/>
        <v>0.80486999999999964</v>
      </c>
      <c r="AL287" s="1049"/>
      <c r="AM287" s="1096">
        <f>AM284/24</f>
        <v>0.58875</v>
      </c>
      <c r="AN287" s="1086">
        <v>8</v>
      </c>
      <c r="AO287" s="1085">
        <v>9</v>
      </c>
      <c r="AP287" s="1084">
        <v>0.13</v>
      </c>
      <c r="AQ287" s="1748">
        <f t="shared" si="129"/>
        <v>0.1885</v>
      </c>
      <c r="AR287" s="1742">
        <v>0.28000000000000003</v>
      </c>
      <c r="AS287" s="1052">
        <f t="shared" si="130"/>
        <v>2.1538461538461542</v>
      </c>
      <c r="AT287" s="1049"/>
      <c r="AU287" s="1142">
        <v>1.45</v>
      </c>
      <c r="AV287" s="1049"/>
      <c r="AW287" s="1096">
        <f>AW284/24</f>
        <v>0.38874999999999993</v>
      </c>
      <c r="AX287" s="1086">
        <v>8</v>
      </c>
      <c r="AY287" s="1085">
        <v>9</v>
      </c>
      <c r="AZ287" s="1084">
        <v>0.33</v>
      </c>
      <c r="BA287" s="1736">
        <v>0.55000000000000004</v>
      </c>
      <c r="BB287" s="1742">
        <f t="shared" si="131"/>
        <v>1.6666666666666667</v>
      </c>
      <c r="BC287" s="1049"/>
      <c r="BD287" s="1142"/>
      <c r="BE287" s="1049"/>
      <c r="BF287" s="1096">
        <f>BF284/24</f>
        <v>0</v>
      </c>
      <c r="BG287" s="1086">
        <v>8</v>
      </c>
      <c r="BH287" s="1085">
        <v>9</v>
      </c>
      <c r="BI287" s="1055">
        <v>0.21</v>
      </c>
      <c r="BJ287" s="1736" t="s">
        <v>1426</v>
      </c>
      <c r="BK287" s="1049"/>
      <c r="BL287" s="1096">
        <f>BL284/24</f>
        <v>0</v>
      </c>
      <c r="BM287" s="1086">
        <v>8</v>
      </c>
      <c r="BN287" s="1085">
        <v>9</v>
      </c>
      <c r="BO287" s="1084"/>
      <c r="BP287" s="1084"/>
      <c r="BQ287" s="1049"/>
    </row>
    <row r="288" spans="1:69" ht="14.4">
      <c r="A288" s="1049"/>
      <c r="B288" s="1097"/>
      <c r="C288" s="1086">
        <v>9</v>
      </c>
      <c r="D288" s="1085">
        <v>10</v>
      </c>
      <c r="E288" s="1091">
        <v>0.35</v>
      </c>
      <c r="F288" s="1090">
        <v>1.01</v>
      </c>
      <c r="G288" s="1089">
        <f t="shared" si="121"/>
        <v>2.8857142857142861</v>
      </c>
      <c r="H288" s="1049"/>
      <c r="I288" s="1097"/>
      <c r="J288" s="1086">
        <v>9</v>
      </c>
      <c r="K288" s="1085">
        <v>10</v>
      </c>
      <c r="L288" s="1084">
        <v>0.85299999999999998</v>
      </c>
      <c r="M288" s="1088">
        <v>2.74</v>
      </c>
      <c r="N288" s="1087">
        <f t="shared" si="122"/>
        <v>3.2121922626025796</v>
      </c>
      <c r="O288" s="1049"/>
      <c r="P288" s="1096"/>
      <c r="Q288" s="1086">
        <v>9</v>
      </c>
      <c r="R288" s="1085">
        <v>10</v>
      </c>
      <c r="S288" s="1084">
        <v>0.95099999999999996</v>
      </c>
      <c r="T288" s="1054">
        <f t="shared" si="123"/>
        <v>4.7835299999999998</v>
      </c>
      <c r="U288" s="1142">
        <v>5.66</v>
      </c>
      <c r="V288" s="1052">
        <f t="shared" si="124"/>
        <v>5.9516298633017879</v>
      </c>
      <c r="W288" s="1049"/>
      <c r="X288" s="1051">
        <v>5.03</v>
      </c>
      <c r="Y288" s="1049"/>
      <c r="Z288" s="1050">
        <f t="shared" si="125"/>
        <v>4.0227300000000001</v>
      </c>
      <c r="AA288" s="1096"/>
      <c r="AB288" s="1086">
        <v>9</v>
      </c>
      <c r="AC288" s="1085">
        <v>10</v>
      </c>
      <c r="AD288" s="1084">
        <v>2.8039999999999998</v>
      </c>
      <c r="AE288" s="1143">
        <f t="shared" si="126"/>
        <v>2.9161600000000001</v>
      </c>
      <c r="AF288" s="1142">
        <v>4.8600000000000003</v>
      </c>
      <c r="AG288" s="1052">
        <f t="shared" si="127"/>
        <v>1.7332382310984311</v>
      </c>
      <c r="AH288" s="1049"/>
      <c r="AI288" s="1142">
        <v>1.04</v>
      </c>
      <c r="AJ288" s="1049"/>
      <c r="AK288" s="1050">
        <f t="shared" si="128"/>
        <v>0.67295999999999989</v>
      </c>
      <c r="AL288" s="1049"/>
      <c r="AM288" s="1096"/>
      <c r="AN288" s="1086">
        <v>9</v>
      </c>
      <c r="AO288" s="1085">
        <v>10</v>
      </c>
      <c r="AP288" s="1084">
        <v>0.15</v>
      </c>
      <c r="AQ288" s="1748">
        <f t="shared" si="129"/>
        <v>0.20849999999999999</v>
      </c>
      <c r="AR288" s="1742">
        <v>0.31</v>
      </c>
      <c r="AS288" s="1052">
        <f t="shared" si="130"/>
        <v>2.0666666666666669</v>
      </c>
      <c r="AT288" s="1049"/>
      <c r="AU288" s="1142">
        <v>1.39</v>
      </c>
      <c r="AV288" s="1049"/>
      <c r="AW288" s="1096"/>
      <c r="AX288" s="1086">
        <v>9</v>
      </c>
      <c r="AY288" s="1085">
        <v>10</v>
      </c>
      <c r="AZ288" s="1084">
        <v>0.23</v>
      </c>
      <c r="BA288" s="1736">
        <v>0.39</v>
      </c>
      <c r="BB288" s="1742">
        <f t="shared" si="131"/>
        <v>1.6956521739130435</v>
      </c>
      <c r="BC288" s="1049"/>
      <c r="BD288" s="1142"/>
      <c r="BE288" s="1049"/>
      <c r="BF288" s="1096"/>
      <c r="BG288" s="1086">
        <v>9</v>
      </c>
      <c r="BH288" s="1085">
        <v>10</v>
      </c>
      <c r="BI288" s="1055">
        <v>0.26</v>
      </c>
      <c r="BJ288" s="1736" t="s">
        <v>1373</v>
      </c>
      <c r="BK288" s="1049"/>
      <c r="BL288" s="1096"/>
      <c r="BM288" s="1086">
        <v>9</v>
      </c>
      <c r="BN288" s="1085">
        <v>10</v>
      </c>
      <c r="BO288" s="1084"/>
      <c r="BP288" s="1084"/>
      <c r="BQ288" s="1049"/>
    </row>
    <row r="289" spans="1:69" ht="14.4">
      <c r="A289" s="1049"/>
      <c r="B289" s="1060"/>
      <c r="C289" s="1086">
        <v>10</v>
      </c>
      <c r="D289" s="1085">
        <v>11</v>
      </c>
      <c r="E289" s="1091">
        <v>0.33</v>
      </c>
      <c r="F289" s="1090">
        <v>0.95</v>
      </c>
      <c r="G289" s="1089">
        <f t="shared" si="121"/>
        <v>2.8787878787878785</v>
      </c>
      <c r="H289" s="1049"/>
      <c r="I289" s="1060"/>
      <c r="J289" s="1086">
        <v>10</v>
      </c>
      <c r="K289" s="1085">
        <v>11</v>
      </c>
      <c r="L289" s="1084">
        <v>1.3129999999999999</v>
      </c>
      <c r="M289" s="1088">
        <v>3.91</v>
      </c>
      <c r="N289" s="1087">
        <f t="shared" si="122"/>
        <v>2.977913175932978</v>
      </c>
      <c r="O289" s="1049"/>
      <c r="P289" s="1095">
        <f>SUM(Z279:Z302)</f>
        <v>151.44585000000001</v>
      </c>
      <c r="Q289" s="1086">
        <v>10</v>
      </c>
      <c r="R289" s="1085">
        <v>11</v>
      </c>
      <c r="S289" s="1084">
        <v>1.226</v>
      </c>
      <c r="T289" s="1054">
        <f t="shared" si="123"/>
        <v>6.0809600000000001</v>
      </c>
      <c r="U289" s="1142">
        <v>7.2</v>
      </c>
      <c r="V289" s="1052">
        <f t="shared" si="124"/>
        <v>5.8727569331158245</v>
      </c>
      <c r="W289" s="1049"/>
      <c r="X289" s="1051">
        <v>4.96</v>
      </c>
      <c r="Y289" s="1049"/>
      <c r="Z289" s="1050">
        <f t="shared" si="125"/>
        <v>5.1001599999999998</v>
      </c>
      <c r="AA289" s="1095">
        <f>SUM(AK279:AK302)</f>
        <v>7.9816699999999994</v>
      </c>
      <c r="AB289" s="1086">
        <v>10</v>
      </c>
      <c r="AC289" s="1085">
        <v>11</v>
      </c>
      <c r="AD289" s="1084">
        <v>3.0379999999999998</v>
      </c>
      <c r="AE289" s="1143">
        <f t="shared" si="126"/>
        <v>3.2202799999999998</v>
      </c>
      <c r="AF289" s="1142">
        <v>5.32</v>
      </c>
      <c r="AG289" s="1052">
        <f t="shared" si="127"/>
        <v>1.7511520737327191</v>
      </c>
      <c r="AH289" s="1049"/>
      <c r="AI289" s="1142">
        <v>1.06</v>
      </c>
      <c r="AJ289" s="1049"/>
      <c r="AK289" s="1050">
        <f t="shared" si="128"/>
        <v>0.78988000000000003</v>
      </c>
      <c r="AL289" s="1049"/>
      <c r="AM289" s="1095" t="e">
        <f>SUM(#REF!)</f>
        <v>#REF!</v>
      </c>
      <c r="AN289" s="1086">
        <v>10</v>
      </c>
      <c r="AO289" s="1085">
        <v>11</v>
      </c>
      <c r="AP289" s="1084">
        <v>0.69</v>
      </c>
      <c r="AQ289" s="1748">
        <f t="shared" si="129"/>
        <v>0.95909999999999984</v>
      </c>
      <c r="AR289" s="1742">
        <v>1.43</v>
      </c>
      <c r="AS289" s="1052">
        <f t="shared" si="130"/>
        <v>2.0724637681159419</v>
      </c>
      <c r="AT289" s="1049"/>
      <c r="AU289" s="1142">
        <v>1.39</v>
      </c>
      <c r="AV289" s="1049"/>
      <c r="AW289" s="1095" t="e">
        <f>SUM(#REF!)</f>
        <v>#REF!</v>
      </c>
      <c r="AX289" s="1086">
        <v>10</v>
      </c>
      <c r="AY289" s="1085">
        <v>11</v>
      </c>
      <c r="AZ289" s="1084">
        <v>0.28999999999999998</v>
      </c>
      <c r="BA289" s="1736">
        <v>0.49</v>
      </c>
      <c r="BB289" s="1742">
        <f t="shared" si="131"/>
        <v>1.6896551724137931</v>
      </c>
      <c r="BC289" s="1049"/>
      <c r="BD289" s="1142"/>
      <c r="BE289" s="1049"/>
      <c r="BF289" s="1095" t="e">
        <f>SUM(#REF!)</f>
        <v>#REF!</v>
      </c>
      <c r="BG289" s="1086">
        <v>10</v>
      </c>
      <c r="BH289" s="1085">
        <v>11</v>
      </c>
      <c r="BI289" s="1055">
        <v>0.15</v>
      </c>
      <c r="BJ289" s="1736" t="s">
        <v>1442</v>
      </c>
      <c r="BK289" s="1049"/>
      <c r="BL289" s="1095" t="e">
        <f>SUM(#REF!)</f>
        <v>#REF!</v>
      </c>
      <c r="BM289" s="1086">
        <v>10</v>
      </c>
      <c r="BN289" s="1085">
        <v>11</v>
      </c>
      <c r="BO289" s="1084"/>
      <c r="BP289" s="1084"/>
      <c r="BQ289" s="1049"/>
    </row>
    <row r="290" spans="1:69" ht="14.4">
      <c r="A290" s="1049"/>
      <c r="B290" s="1060"/>
      <c r="C290" s="1086">
        <v>11</v>
      </c>
      <c r="D290" s="1085">
        <v>12</v>
      </c>
      <c r="E290" s="1091">
        <v>0.41</v>
      </c>
      <c r="F290" s="1090">
        <v>1.2</v>
      </c>
      <c r="G290" s="1089">
        <f t="shared" si="121"/>
        <v>2.9268292682926829</v>
      </c>
      <c r="H290" s="1049"/>
      <c r="I290" s="1060"/>
      <c r="J290" s="1086">
        <v>11</v>
      </c>
      <c r="K290" s="1085" t="s">
        <v>238</v>
      </c>
      <c r="L290" s="1084">
        <v>1.4610000000000001</v>
      </c>
      <c r="M290" s="1088">
        <v>4.2</v>
      </c>
      <c r="N290" s="1087">
        <f t="shared" si="122"/>
        <v>2.8747433264887063</v>
      </c>
      <c r="O290" s="1049"/>
      <c r="P290" s="1093">
        <f>P289/P281</f>
        <v>3.6653722348613198</v>
      </c>
      <c r="Q290" s="1086">
        <v>11</v>
      </c>
      <c r="R290" s="1085">
        <v>12</v>
      </c>
      <c r="S290" s="1084">
        <v>1.7250000000000001</v>
      </c>
      <c r="T290" s="1054">
        <f t="shared" si="123"/>
        <v>8.418000000000001</v>
      </c>
      <c r="U290" s="1142">
        <v>10.01</v>
      </c>
      <c r="V290" s="1052">
        <f t="shared" si="124"/>
        <v>5.8028985507246373</v>
      </c>
      <c r="W290" s="1049"/>
      <c r="X290" s="1051">
        <v>4.88</v>
      </c>
      <c r="Y290" s="1049"/>
      <c r="Z290" s="1050">
        <f t="shared" si="125"/>
        <v>7.0380000000000003</v>
      </c>
      <c r="AA290" s="1093">
        <f>AA289/AA281</f>
        <v>0.1423163469082091</v>
      </c>
      <c r="AB290" s="1086">
        <v>11</v>
      </c>
      <c r="AC290" s="1085">
        <v>12</v>
      </c>
      <c r="AD290" s="1084">
        <v>3.508</v>
      </c>
      <c r="AE290" s="1143">
        <f t="shared" si="126"/>
        <v>3.7535600000000002</v>
      </c>
      <c r="AF290" s="1142">
        <v>6.18</v>
      </c>
      <c r="AG290" s="1052">
        <f t="shared" si="127"/>
        <v>1.7616875712656783</v>
      </c>
      <c r="AH290" s="1049"/>
      <c r="AI290" s="1142">
        <v>1.07</v>
      </c>
      <c r="AJ290" s="1049"/>
      <c r="AK290" s="1050">
        <f t="shared" si="128"/>
        <v>0.94716000000000011</v>
      </c>
      <c r="AL290" s="1049"/>
      <c r="AM290" s="1093" t="e">
        <f>AM289/AM281</f>
        <v>#REF!</v>
      </c>
      <c r="AN290" s="1086">
        <v>11</v>
      </c>
      <c r="AO290" s="1085">
        <v>12</v>
      </c>
      <c r="AP290" s="1084">
        <v>0.26</v>
      </c>
      <c r="AQ290" s="1748">
        <f t="shared" si="129"/>
        <v>0.3276</v>
      </c>
      <c r="AR290" s="1742">
        <v>0.51</v>
      </c>
      <c r="AS290" s="1052">
        <f t="shared" si="130"/>
        <v>1.9615384615384615</v>
      </c>
      <c r="AT290" s="1049"/>
      <c r="AU290" s="1142">
        <v>1.26</v>
      </c>
      <c r="AV290" s="1049"/>
      <c r="AW290" s="1093" t="e">
        <f>AW289/AW281</f>
        <v>#REF!</v>
      </c>
      <c r="AX290" s="1086">
        <v>11</v>
      </c>
      <c r="AY290" s="1085">
        <v>12</v>
      </c>
      <c r="AZ290" s="1084">
        <v>0.24</v>
      </c>
      <c r="BA290" s="1736">
        <v>0.39</v>
      </c>
      <c r="BB290" s="1742">
        <f t="shared" si="131"/>
        <v>1.6250000000000002</v>
      </c>
      <c r="BC290" s="1049"/>
      <c r="BD290" s="1142"/>
      <c r="BE290" s="1049"/>
      <c r="BF290" s="1093" t="e">
        <f>BF289/BF281</f>
        <v>#REF!</v>
      </c>
      <c r="BG290" s="1086">
        <v>11</v>
      </c>
      <c r="BH290" s="1085">
        <v>12</v>
      </c>
      <c r="BI290" s="1055">
        <v>0.28999999999999998</v>
      </c>
      <c r="BJ290" s="1736" t="s">
        <v>1408</v>
      </c>
      <c r="BK290" s="1049"/>
      <c r="BL290" s="1093" t="e">
        <f>BL289/BL281</f>
        <v>#REF!</v>
      </c>
      <c r="BM290" s="1086">
        <v>11</v>
      </c>
      <c r="BN290" s="1085">
        <v>12</v>
      </c>
      <c r="BO290" s="1084"/>
      <c r="BP290" s="1084"/>
      <c r="BQ290" s="1049"/>
    </row>
    <row r="291" spans="1:69" ht="14.4">
      <c r="A291" s="1049"/>
      <c r="B291" s="1060"/>
      <c r="C291" s="1086">
        <v>12</v>
      </c>
      <c r="D291" s="1085">
        <v>13</v>
      </c>
      <c r="E291" s="1091">
        <v>0.36</v>
      </c>
      <c r="F291" s="1090">
        <v>1.05</v>
      </c>
      <c r="G291" s="1089">
        <f t="shared" si="121"/>
        <v>2.916666666666667</v>
      </c>
      <c r="H291" s="1049"/>
      <c r="I291" s="1060"/>
      <c r="J291" s="1086">
        <v>12</v>
      </c>
      <c r="K291" s="1085"/>
      <c r="L291" s="1084">
        <v>1.377</v>
      </c>
      <c r="M291" s="1088">
        <v>4</v>
      </c>
      <c r="N291" s="1087">
        <f t="shared" si="122"/>
        <v>2.9048656499636891</v>
      </c>
      <c r="O291" s="1049"/>
      <c r="P291" s="1060"/>
      <c r="Q291" s="1086">
        <v>12</v>
      </c>
      <c r="R291" s="1085" t="s">
        <v>144</v>
      </c>
      <c r="S291" s="1084">
        <v>1.7390000000000001</v>
      </c>
      <c r="T291" s="1054">
        <f t="shared" si="123"/>
        <v>8.3645899999999997</v>
      </c>
      <c r="U291" s="1142">
        <v>9.91</v>
      </c>
      <c r="V291" s="1052">
        <f t="shared" si="124"/>
        <v>5.6986774008050602</v>
      </c>
      <c r="W291" s="1049"/>
      <c r="X291" s="1051">
        <v>4.8099999999999996</v>
      </c>
      <c r="Y291" s="1049"/>
      <c r="Z291" s="1050">
        <f t="shared" si="125"/>
        <v>6.9733900000000002</v>
      </c>
      <c r="AA291" s="1060"/>
      <c r="AB291" s="1086">
        <v>12</v>
      </c>
      <c r="AC291" s="1085">
        <v>13</v>
      </c>
      <c r="AD291" s="1084">
        <v>3.0219999999999998</v>
      </c>
      <c r="AE291" s="1143">
        <f t="shared" si="126"/>
        <v>3.2033200000000002</v>
      </c>
      <c r="AF291" s="1142">
        <v>5.3</v>
      </c>
      <c r="AG291" s="1052">
        <f t="shared" si="127"/>
        <v>1.7538054268696228</v>
      </c>
      <c r="AH291" s="1049"/>
      <c r="AI291" s="1142">
        <v>1.06</v>
      </c>
      <c r="AJ291" s="1049"/>
      <c r="AK291" s="1050">
        <f t="shared" si="128"/>
        <v>0.78571999999999997</v>
      </c>
      <c r="AL291" s="1049"/>
      <c r="AM291" s="1060"/>
      <c r="AN291" s="1086">
        <v>12</v>
      </c>
      <c r="AO291" s="1085">
        <v>13</v>
      </c>
      <c r="AP291" s="1084">
        <v>0.26</v>
      </c>
      <c r="AQ291" s="1748">
        <f t="shared" si="129"/>
        <v>0.29120000000000001</v>
      </c>
      <c r="AR291" s="1742">
        <v>0.47</v>
      </c>
      <c r="AS291" s="1052">
        <f t="shared" si="130"/>
        <v>1.8076923076923075</v>
      </c>
      <c r="AT291" s="1049"/>
      <c r="AU291" s="1142">
        <v>1.1200000000000001</v>
      </c>
      <c r="AV291" s="1049"/>
      <c r="AW291" s="1060"/>
      <c r="AX291" s="1086">
        <v>12</v>
      </c>
      <c r="AY291" s="1085">
        <v>13</v>
      </c>
      <c r="AZ291" s="1084">
        <v>0.37</v>
      </c>
      <c r="BA291" s="1736">
        <v>0.57999999999999996</v>
      </c>
      <c r="BB291" s="1742">
        <f t="shared" si="131"/>
        <v>1.5675675675675675</v>
      </c>
      <c r="BC291" s="1049"/>
      <c r="BD291" s="1142"/>
      <c r="BE291" s="1049"/>
      <c r="BF291" s="1060"/>
      <c r="BG291" s="1086">
        <v>12</v>
      </c>
      <c r="BH291" s="1085">
        <v>13</v>
      </c>
      <c r="BI291" s="1055">
        <v>0.3</v>
      </c>
      <c r="BJ291" s="1736" t="s">
        <v>1443</v>
      </c>
      <c r="BK291" s="1049"/>
      <c r="BL291" s="1060"/>
      <c r="BM291" s="1086">
        <v>12</v>
      </c>
      <c r="BN291" s="1085">
        <v>13</v>
      </c>
      <c r="BO291" s="1084"/>
      <c r="BP291" s="1084"/>
      <c r="BQ291" s="1049"/>
    </row>
    <row r="292" spans="1:69" ht="14.4">
      <c r="A292" s="1049"/>
      <c r="B292" s="1060"/>
      <c r="C292" s="1086">
        <v>13</v>
      </c>
      <c r="D292" s="1085">
        <v>14</v>
      </c>
      <c r="E292" s="1091">
        <v>0.4</v>
      </c>
      <c r="F292" s="1090">
        <v>1.1599999999999999</v>
      </c>
      <c r="G292" s="1089">
        <f t="shared" si="121"/>
        <v>2.8999999999999995</v>
      </c>
      <c r="H292" s="1049"/>
      <c r="I292" s="1060"/>
      <c r="J292" s="1086">
        <v>13</v>
      </c>
      <c r="K292" s="1085"/>
      <c r="L292" s="1084">
        <v>1.4970000000000001</v>
      </c>
      <c r="M292" s="1088">
        <v>4.41</v>
      </c>
      <c r="N292" s="1087">
        <f t="shared" si="122"/>
        <v>2.9458917835671343</v>
      </c>
      <c r="O292" s="1049"/>
      <c r="P292" s="1092" t="s">
        <v>1127</v>
      </c>
      <c r="Q292" s="1086">
        <v>13</v>
      </c>
      <c r="R292" s="1085" t="s">
        <v>238</v>
      </c>
      <c r="S292" s="1084">
        <v>2.246</v>
      </c>
      <c r="T292" s="1054">
        <f t="shared" si="123"/>
        <v>10.646040000000001</v>
      </c>
      <c r="U292" s="1142">
        <v>12.72</v>
      </c>
      <c r="V292" s="1052">
        <f t="shared" si="124"/>
        <v>5.6634016028495102</v>
      </c>
      <c r="W292" s="1049"/>
      <c r="X292" s="1051">
        <v>4.74</v>
      </c>
      <c r="Y292" s="1049"/>
      <c r="Z292" s="1050">
        <f t="shared" si="125"/>
        <v>8.84924</v>
      </c>
      <c r="AA292" s="1092" t="s">
        <v>1127</v>
      </c>
      <c r="AB292" s="1086">
        <v>13</v>
      </c>
      <c r="AC292" s="1085">
        <v>14</v>
      </c>
      <c r="AD292" s="1084">
        <v>3.4830000000000001</v>
      </c>
      <c r="AE292" s="1143">
        <f t="shared" si="126"/>
        <v>3.6919800000000005</v>
      </c>
      <c r="AF292" s="1142">
        <v>6.09</v>
      </c>
      <c r="AG292" s="1052">
        <f t="shared" si="127"/>
        <v>1.7484926787252368</v>
      </c>
      <c r="AH292" s="1049"/>
      <c r="AI292" s="1142">
        <v>1.06</v>
      </c>
      <c r="AJ292" s="1049"/>
      <c r="AK292" s="1050">
        <f t="shared" si="128"/>
        <v>0.90558000000000005</v>
      </c>
      <c r="AL292" s="1049"/>
      <c r="AM292" s="1092" t="s">
        <v>1127</v>
      </c>
      <c r="AN292" s="1086">
        <v>13</v>
      </c>
      <c r="AO292" s="1085">
        <v>14</v>
      </c>
      <c r="AP292" s="1084">
        <v>0.33</v>
      </c>
      <c r="AQ292" s="1748">
        <f t="shared" si="129"/>
        <v>0.35640000000000005</v>
      </c>
      <c r="AR292" s="1742">
        <v>0.57999999999999996</v>
      </c>
      <c r="AS292" s="1052">
        <f t="shared" si="130"/>
        <v>1.7575757575757573</v>
      </c>
      <c r="AT292" s="1049"/>
      <c r="AU292" s="1142">
        <v>1.08</v>
      </c>
      <c r="AV292" s="1049"/>
      <c r="AW292" s="1092" t="s">
        <v>1127</v>
      </c>
      <c r="AX292" s="1086">
        <v>13</v>
      </c>
      <c r="AY292" s="1085">
        <v>14</v>
      </c>
      <c r="AZ292" s="1084">
        <v>0.14000000000000001</v>
      </c>
      <c r="BA292" s="1736">
        <v>0.2</v>
      </c>
      <c r="BB292" s="1742">
        <f t="shared" si="131"/>
        <v>1.4285714285714286</v>
      </c>
      <c r="BC292" s="1049"/>
      <c r="BD292" s="1142"/>
      <c r="BE292" s="1049"/>
      <c r="BF292" s="1092" t="s">
        <v>1127</v>
      </c>
      <c r="BG292" s="1086">
        <v>13</v>
      </c>
      <c r="BH292" s="1085">
        <v>14</v>
      </c>
      <c r="BI292" s="1055">
        <v>0.44</v>
      </c>
      <c r="BJ292" s="1736" t="s">
        <v>1421</v>
      </c>
      <c r="BK292" s="1049"/>
      <c r="BL292" s="1092" t="s">
        <v>1127</v>
      </c>
      <c r="BM292" s="1086">
        <v>13</v>
      </c>
      <c r="BN292" s="1085">
        <v>14</v>
      </c>
      <c r="BO292" s="1084"/>
      <c r="BP292" s="1084"/>
      <c r="BQ292" s="1049"/>
    </row>
    <row r="293" spans="1:69" ht="14.4">
      <c r="A293" s="1049"/>
      <c r="B293" s="1060"/>
      <c r="C293" s="1086">
        <v>14</v>
      </c>
      <c r="D293" s="1085">
        <v>15</v>
      </c>
      <c r="E293" s="1091">
        <v>0.55000000000000004</v>
      </c>
      <c r="F293" s="1090">
        <v>1.56</v>
      </c>
      <c r="G293" s="1089">
        <f t="shared" si="121"/>
        <v>2.8363636363636364</v>
      </c>
      <c r="H293" s="1049"/>
      <c r="I293" s="1060"/>
      <c r="J293" s="1086">
        <v>14</v>
      </c>
      <c r="K293" s="1085">
        <v>15</v>
      </c>
      <c r="L293" s="1084">
        <v>2.758</v>
      </c>
      <c r="M293" s="1088">
        <v>8.4</v>
      </c>
      <c r="N293" s="1087">
        <f t="shared" si="122"/>
        <v>3.0456852791878175</v>
      </c>
      <c r="O293" s="1049"/>
      <c r="P293" s="1058">
        <f>P281*0.8</f>
        <v>33.054400000000001</v>
      </c>
      <c r="Q293" s="1086">
        <v>14</v>
      </c>
      <c r="R293" s="1085"/>
      <c r="S293" s="1084">
        <v>2.17</v>
      </c>
      <c r="T293" s="1054">
        <f t="shared" si="123"/>
        <v>10.763199999999999</v>
      </c>
      <c r="U293" s="1142">
        <v>12.76</v>
      </c>
      <c r="V293" s="1052">
        <f t="shared" si="124"/>
        <v>5.8801843317972349</v>
      </c>
      <c r="W293" s="1049"/>
      <c r="X293" s="1051">
        <v>4.96</v>
      </c>
      <c r="Y293" s="1049"/>
      <c r="Z293" s="1050">
        <f t="shared" si="125"/>
        <v>9.0272000000000006</v>
      </c>
      <c r="AA293" s="1058">
        <f>AA281*0.8</f>
        <v>44.867200000000004</v>
      </c>
      <c r="AB293" s="1086">
        <v>14</v>
      </c>
      <c r="AC293" s="1085">
        <v>15</v>
      </c>
      <c r="AD293" s="1084">
        <v>3.5680000000000001</v>
      </c>
      <c r="AE293" s="1143">
        <f t="shared" si="126"/>
        <v>3.8177600000000003</v>
      </c>
      <c r="AF293" s="1142">
        <v>6.28</v>
      </c>
      <c r="AG293" s="1052">
        <f t="shared" si="127"/>
        <v>1.7600896860986548</v>
      </c>
      <c r="AH293" s="1049"/>
      <c r="AI293" s="1142">
        <v>1.07</v>
      </c>
      <c r="AJ293" s="1049"/>
      <c r="AK293" s="1050">
        <f t="shared" si="128"/>
        <v>0.96336000000000011</v>
      </c>
      <c r="AL293" s="1049"/>
      <c r="AM293" s="1058">
        <f>AM281*0.8</f>
        <v>5.0240000000000009</v>
      </c>
      <c r="AN293" s="1086">
        <v>14</v>
      </c>
      <c r="AO293" s="1085">
        <v>15</v>
      </c>
      <c r="AP293" s="1084">
        <v>0.33</v>
      </c>
      <c r="AQ293" s="1748">
        <f t="shared" si="129"/>
        <v>0.34980000000000006</v>
      </c>
      <c r="AR293" s="1742">
        <v>0.57999999999999996</v>
      </c>
      <c r="AS293" s="1052">
        <f t="shared" si="130"/>
        <v>1.7575757575757573</v>
      </c>
      <c r="AT293" s="1049"/>
      <c r="AU293" s="1142">
        <v>1.06</v>
      </c>
      <c r="AV293" s="1049"/>
      <c r="AW293" s="1058">
        <f>AW281*0.8</f>
        <v>4.104000000000001</v>
      </c>
      <c r="AX293" s="1086">
        <v>14</v>
      </c>
      <c r="AY293" s="1085">
        <v>15</v>
      </c>
      <c r="AZ293" s="1084">
        <v>0.11</v>
      </c>
      <c r="BA293" s="1736">
        <v>0.16</v>
      </c>
      <c r="BB293" s="1742">
        <f t="shared" si="131"/>
        <v>1.4545454545454546</v>
      </c>
      <c r="BC293" s="1049"/>
      <c r="BD293" s="1142"/>
      <c r="BE293" s="1049"/>
      <c r="BF293" s="1058">
        <f>BF281*0.8</f>
        <v>5.4960000000000004</v>
      </c>
      <c r="BG293" s="1086">
        <v>14</v>
      </c>
      <c r="BH293" s="1085">
        <v>15</v>
      </c>
      <c r="BI293" s="1055">
        <v>0.39</v>
      </c>
      <c r="BJ293" s="1736" t="s">
        <v>1396</v>
      </c>
      <c r="BK293" s="1049"/>
      <c r="BL293" s="1058">
        <f>BL281*0.8</f>
        <v>0</v>
      </c>
      <c r="BM293" s="1086">
        <v>14</v>
      </c>
      <c r="BN293" s="1085">
        <v>15</v>
      </c>
      <c r="BO293" s="1084"/>
      <c r="BP293" s="1084"/>
      <c r="BQ293" s="1049"/>
    </row>
    <row r="294" spans="1:69" ht="14.4">
      <c r="A294" s="1049"/>
      <c r="B294" s="1060"/>
      <c r="C294" s="1086">
        <v>15</v>
      </c>
      <c r="D294" s="1085">
        <v>16</v>
      </c>
      <c r="E294" s="1091">
        <v>0.32</v>
      </c>
      <c r="F294" s="1090">
        <v>0.92</v>
      </c>
      <c r="G294" s="1089">
        <f t="shared" si="121"/>
        <v>2.875</v>
      </c>
      <c r="H294" s="1049"/>
      <c r="I294" s="1060"/>
      <c r="J294" s="1086">
        <v>15</v>
      </c>
      <c r="K294" s="1085">
        <v>16</v>
      </c>
      <c r="L294" s="1084">
        <v>0.67200000000000004</v>
      </c>
      <c r="M294" s="1088">
        <v>2.41</v>
      </c>
      <c r="N294" s="1087">
        <f t="shared" si="122"/>
        <v>3.5863095238095237</v>
      </c>
      <c r="O294" s="1049"/>
      <c r="P294" s="1058" t="s">
        <v>1126</v>
      </c>
      <c r="Q294" s="1086">
        <v>15</v>
      </c>
      <c r="R294" s="1085">
        <v>16</v>
      </c>
      <c r="S294" s="1084">
        <v>2.738</v>
      </c>
      <c r="T294" s="1054">
        <f t="shared" si="123"/>
        <v>14.319740000000001</v>
      </c>
      <c r="U294" s="1142">
        <v>16.86</v>
      </c>
      <c r="V294" s="1052">
        <f t="shared" si="124"/>
        <v>6.1577794010226441</v>
      </c>
      <c r="W294" s="1049"/>
      <c r="X294" s="1051">
        <v>5.23</v>
      </c>
      <c r="Y294" s="1049"/>
      <c r="Z294" s="1050">
        <f t="shared" si="125"/>
        <v>12.129340000000001</v>
      </c>
      <c r="AA294" s="1058" t="s">
        <v>1126</v>
      </c>
      <c r="AB294" s="1086">
        <v>15</v>
      </c>
      <c r="AC294" s="1085">
        <v>16</v>
      </c>
      <c r="AD294" s="1084">
        <v>3.65</v>
      </c>
      <c r="AE294" s="1143">
        <f t="shared" si="126"/>
        <v>3.9420000000000002</v>
      </c>
      <c r="AF294" s="1142">
        <v>6.47</v>
      </c>
      <c r="AG294" s="1052">
        <f t="shared" si="127"/>
        <v>1.7726027397260273</v>
      </c>
      <c r="AH294" s="1049"/>
      <c r="AI294" s="1142">
        <v>1.08</v>
      </c>
      <c r="AJ294" s="1049"/>
      <c r="AK294" s="1050">
        <f t="shared" si="128"/>
        <v>1.022</v>
      </c>
      <c r="AL294" s="1049"/>
      <c r="AM294" s="1058" t="s">
        <v>1126</v>
      </c>
      <c r="AN294" s="1086">
        <v>15</v>
      </c>
      <c r="AO294" s="1085">
        <v>16</v>
      </c>
      <c r="AP294" s="1084">
        <v>0.14000000000000001</v>
      </c>
      <c r="AQ294" s="1748">
        <f t="shared" si="129"/>
        <v>0.14700000000000002</v>
      </c>
      <c r="AR294" s="1742">
        <v>0.24</v>
      </c>
      <c r="AS294" s="1052">
        <f t="shared" si="130"/>
        <v>1.714285714285714</v>
      </c>
      <c r="AT294" s="1049"/>
      <c r="AU294" s="1142">
        <v>1.05</v>
      </c>
      <c r="AV294" s="1049"/>
      <c r="AW294" s="1058" t="s">
        <v>1126</v>
      </c>
      <c r="AX294" s="1086">
        <v>15</v>
      </c>
      <c r="AY294" s="1085">
        <v>16</v>
      </c>
      <c r="AZ294" s="1084">
        <v>0.08</v>
      </c>
      <c r="BA294" s="1736">
        <v>0.12</v>
      </c>
      <c r="BB294" s="1742">
        <f t="shared" si="131"/>
        <v>1.5</v>
      </c>
      <c r="BC294" s="1049"/>
      <c r="BD294" s="1142"/>
      <c r="BE294" s="1049"/>
      <c r="BF294" s="1058" t="s">
        <v>1126</v>
      </c>
      <c r="BG294" s="1086">
        <v>15</v>
      </c>
      <c r="BH294" s="1085">
        <v>16</v>
      </c>
      <c r="BI294" s="1055">
        <v>0.35</v>
      </c>
      <c r="BJ294" s="1736" t="s">
        <v>1427</v>
      </c>
      <c r="BK294" s="1049"/>
      <c r="BL294" s="1058" t="s">
        <v>1126</v>
      </c>
      <c r="BM294" s="1086">
        <v>15</v>
      </c>
      <c r="BN294" s="1085">
        <v>16</v>
      </c>
      <c r="BO294" s="1084"/>
      <c r="BP294" s="1084"/>
      <c r="BQ294" s="1049"/>
    </row>
    <row r="295" spans="1:69" ht="15" thickBot="1">
      <c r="A295" s="1049"/>
      <c r="B295" s="1060"/>
      <c r="C295" s="1077">
        <v>16</v>
      </c>
      <c r="D295" s="1076">
        <v>17</v>
      </c>
      <c r="E295" s="1083">
        <v>0.44</v>
      </c>
      <c r="F295" s="1082">
        <v>1.26</v>
      </c>
      <c r="G295" s="1081">
        <f t="shared" si="121"/>
        <v>2.8636363636363638</v>
      </c>
      <c r="H295" s="1049"/>
      <c r="I295" s="1060"/>
      <c r="J295" s="1077">
        <v>16</v>
      </c>
      <c r="K295" s="1076">
        <v>17</v>
      </c>
      <c r="L295" s="1075">
        <v>0.46400000000000002</v>
      </c>
      <c r="M295" s="1080">
        <v>1.61</v>
      </c>
      <c r="N295" s="1079">
        <f t="shared" si="122"/>
        <v>3.4698275862068968</v>
      </c>
      <c r="O295" s="1049"/>
      <c r="P295" s="1078">
        <f>P281*(X278-0.8)</f>
        <v>166.22747875000005</v>
      </c>
      <c r="Q295" s="1077">
        <v>16</v>
      </c>
      <c r="R295" s="1076">
        <v>17</v>
      </c>
      <c r="S295" s="1075">
        <v>2.6469999999999998</v>
      </c>
      <c r="T295" s="1054">
        <f t="shared" si="123"/>
        <v>14.39968</v>
      </c>
      <c r="U295" s="1140">
        <v>16.86</v>
      </c>
      <c r="V295" s="1052">
        <f t="shared" si="124"/>
        <v>6.3694748772194938</v>
      </c>
      <c r="W295" s="1049"/>
      <c r="X295" s="1074">
        <v>5.44</v>
      </c>
      <c r="Y295" s="1049"/>
      <c r="Z295" s="1050">
        <f t="shared" si="125"/>
        <v>12.282080000000001</v>
      </c>
      <c r="AA295" s="1078">
        <f>AA281*(AI278-0.8)</f>
        <v>12.618900000000005</v>
      </c>
      <c r="AB295" s="1077">
        <v>16</v>
      </c>
      <c r="AC295" s="1076">
        <v>17</v>
      </c>
      <c r="AD295" s="1075">
        <v>2.843</v>
      </c>
      <c r="AE295" s="1141">
        <f t="shared" si="126"/>
        <v>3.0704400000000001</v>
      </c>
      <c r="AF295" s="1140">
        <v>5.0199999999999996</v>
      </c>
      <c r="AG295" s="1052">
        <f t="shared" si="127"/>
        <v>1.7657404150545197</v>
      </c>
      <c r="AH295" s="1049"/>
      <c r="AI295" s="1140">
        <v>1.08</v>
      </c>
      <c r="AJ295" s="1049"/>
      <c r="AK295" s="1050">
        <f t="shared" si="128"/>
        <v>0.79604000000000008</v>
      </c>
      <c r="AL295" s="1049"/>
      <c r="AM295" s="1078">
        <f>AM281*(AU278-0.8)</f>
        <v>2.9476749999999994</v>
      </c>
      <c r="AN295" s="1077">
        <v>16</v>
      </c>
      <c r="AO295" s="1076">
        <v>17</v>
      </c>
      <c r="AP295" s="1075">
        <v>0.2</v>
      </c>
      <c r="AQ295" s="1749">
        <f t="shared" si="129"/>
        <v>0.246</v>
      </c>
      <c r="AR295" s="1743">
        <v>0.38</v>
      </c>
      <c r="AS295" s="1052">
        <f t="shared" si="130"/>
        <v>1.9</v>
      </c>
      <c r="AT295" s="1049"/>
      <c r="AU295" s="1140">
        <v>1.23</v>
      </c>
      <c r="AV295" s="1049"/>
      <c r="AW295" s="1078" t="e">
        <f>AW281*(BD278-0.8)</f>
        <v>#DIV/0!</v>
      </c>
      <c r="AX295" s="1077">
        <v>16</v>
      </c>
      <c r="AY295" s="1076">
        <v>17</v>
      </c>
      <c r="AZ295" s="1075">
        <v>0.13</v>
      </c>
      <c r="BA295" s="1738">
        <v>0.21</v>
      </c>
      <c r="BB295" s="1743">
        <f t="shared" si="131"/>
        <v>1.6153846153846152</v>
      </c>
      <c r="BC295" s="1049"/>
      <c r="BD295" s="1140"/>
      <c r="BE295" s="1049"/>
      <c r="BF295" s="1078">
        <f>BF281*(BM278-0.8)</f>
        <v>-5.4960000000000004</v>
      </c>
      <c r="BG295" s="1077">
        <v>16</v>
      </c>
      <c r="BH295" s="1076">
        <v>17</v>
      </c>
      <c r="BI295" s="1055">
        <v>0.94</v>
      </c>
      <c r="BJ295" s="1738" t="s">
        <v>1453</v>
      </c>
      <c r="BK295" s="1049"/>
      <c r="BL295" s="1078">
        <f>BL281*(BS278-0.8)</f>
        <v>0</v>
      </c>
      <c r="BM295" s="1077">
        <v>16</v>
      </c>
      <c r="BN295" s="1076">
        <v>17</v>
      </c>
      <c r="BO295" s="1075"/>
      <c r="BP295" s="1075"/>
      <c r="BQ295" s="1049"/>
    </row>
    <row r="296" spans="1:69" ht="14.4">
      <c r="A296" s="1049"/>
      <c r="B296" s="1060"/>
      <c r="C296" s="1068">
        <v>17</v>
      </c>
      <c r="D296" s="1067">
        <v>18</v>
      </c>
      <c r="E296" s="1073">
        <v>0.84</v>
      </c>
      <c r="F296" s="1072">
        <v>2.92</v>
      </c>
      <c r="G296" s="1071">
        <f t="shared" si="121"/>
        <v>3.4761904761904763</v>
      </c>
      <c r="H296" s="1049"/>
      <c r="I296" s="1060"/>
      <c r="J296" s="1068">
        <v>17</v>
      </c>
      <c r="K296" s="1067">
        <v>18</v>
      </c>
      <c r="L296" s="1066">
        <v>0.46400000000000002</v>
      </c>
      <c r="M296" s="1070">
        <v>2.15</v>
      </c>
      <c r="N296" s="1069">
        <f t="shared" si="122"/>
        <v>4.6336206896551717</v>
      </c>
      <c r="O296" s="1049"/>
      <c r="P296" s="1058"/>
      <c r="Q296" s="1068">
        <v>17</v>
      </c>
      <c r="R296" s="1067">
        <v>18</v>
      </c>
      <c r="S296" s="1066">
        <v>2.9889999999999999</v>
      </c>
      <c r="T296" s="1054">
        <f t="shared" si="123"/>
        <v>17.097079999999998</v>
      </c>
      <c r="U296" s="1138">
        <v>19.86</v>
      </c>
      <c r="V296" s="1052">
        <f t="shared" si="124"/>
        <v>6.6443626630980264</v>
      </c>
      <c r="W296" s="1049"/>
      <c r="X296" s="1065">
        <v>5.72</v>
      </c>
      <c r="Y296" s="1049"/>
      <c r="Z296" s="1050">
        <f t="shared" si="125"/>
        <v>14.705879999999999</v>
      </c>
      <c r="AA296" s="1058"/>
      <c r="AB296" s="1068">
        <v>17</v>
      </c>
      <c r="AC296" s="1067">
        <v>18</v>
      </c>
      <c r="AD296" s="1066">
        <v>3.0830000000000002</v>
      </c>
      <c r="AE296" s="1139">
        <f t="shared" si="126"/>
        <v>3.60711</v>
      </c>
      <c r="AF296" s="1138">
        <v>8.15</v>
      </c>
      <c r="AG296" s="1052">
        <f t="shared" si="127"/>
        <v>2.6435290301654231</v>
      </c>
      <c r="AH296" s="1049"/>
      <c r="AI296" s="1138">
        <v>1.17</v>
      </c>
      <c r="AJ296" s="1049"/>
      <c r="AK296" s="1050">
        <f t="shared" si="128"/>
        <v>1.1407099999999997</v>
      </c>
      <c r="AL296" s="1049"/>
      <c r="AM296" s="1058"/>
      <c r="AN296" s="1068">
        <v>17</v>
      </c>
      <c r="AO296" s="1067">
        <v>18</v>
      </c>
      <c r="AP296" s="1066">
        <v>0.56999999999999995</v>
      </c>
      <c r="AQ296" s="1750">
        <f t="shared" si="129"/>
        <v>0.87779999999999991</v>
      </c>
      <c r="AR296" s="1744">
        <v>1.71</v>
      </c>
      <c r="AS296" s="1052">
        <f t="shared" si="130"/>
        <v>3</v>
      </c>
      <c r="AT296" s="1049"/>
      <c r="AU296" s="1138">
        <v>1.54</v>
      </c>
      <c r="AV296" s="1049"/>
      <c r="AW296" s="1058"/>
      <c r="AX296" s="1068">
        <v>17</v>
      </c>
      <c r="AY296" s="1067">
        <v>18</v>
      </c>
      <c r="AZ296" s="1066">
        <v>0.15</v>
      </c>
      <c r="BA296" s="1740">
        <v>0.38</v>
      </c>
      <c r="BB296" s="1744">
        <f t="shared" si="131"/>
        <v>2.5333333333333337</v>
      </c>
      <c r="BC296" s="1049"/>
      <c r="BD296" s="1138"/>
      <c r="BE296" s="1049"/>
      <c r="BF296" s="1058"/>
      <c r="BG296" s="1068">
        <v>17</v>
      </c>
      <c r="BH296" s="1067">
        <v>18</v>
      </c>
      <c r="BI296" s="1055">
        <v>0.86</v>
      </c>
      <c r="BJ296" s="1740" t="s">
        <v>1445</v>
      </c>
      <c r="BK296" s="1049"/>
      <c r="BL296" s="1058"/>
      <c r="BM296" s="1068">
        <v>17</v>
      </c>
      <c r="BN296" s="1067">
        <v>18</v>
      </c>
      <c r="BO296" s="1066"/>
      <c r="BP296" s="1066"/>
      <c r="BQ296" s="1049"/>
    </row>
    <row r="297" spans="1:69" ht="14.4">
      <c r="A297" s="1049"/>
      <c r="B297" s="1060"/>
      <c r="C297" s="1057">
        <v>18</v>
      </c>
      <c r="D297" s="1056">
        <v>19</v>
      </c>
      <c r="E297" s="1063">
        <v>0.86</v>
      </c>
      <c r="F297" s="1062">
        <v>3</v>
      </c>
      <c r="G297" s="1061">
        <f t="shared" si="121"/>
        <v>3.4883720930232558</v>
      </c>
      <c r="H297" s="1049"/>
      <c r="I297" s="1060"/>
      <c r="J297" s="1057">
        <v>18</v>
      </c>
      <c r="K297" s="1056">
        <v>19</v>
      </c>
      <c r="L297" s="1055">
        <v>0.58299999999999996</v>
      </c>
      <c r="M297" s="1059">
        <v>2.69</v>
      </c>
      <c r="N297" s="1052">
        <f t="shared" si="122"/>
        <v>4.6140651801029158</v>
      </c>
      <c r="O297" s="1049"/>
      <c r="P297" s="1058"/>
      <c r="Q297" s="1057">
        <v>18</v>
      </c>
      <c r="R297" s="1056">
        <v>19</v>
      </c>
      <c r="S297" s="1055">
        <v>1.421</v>
      </c>
      <c r="T297" s="1054">
        <f t="shared" si="123"/>
        <v>7.7302400000000011</v>
      </c>
      <c r="U297" s="1136">
        <v>9.0500000000000007</v>
      </c>
      <c r="V297" s="1052">
        <f t="shared" si="124"/>
        <v>6.3687543983110491</v>
      </c>
      <c r="W297" s="1049"/>
      <c r="X297" s="1051">
        <v>5.44</v>
      </c>
      <c r="Y297" s="1049"/>
      <c r="Z297" s="1050">
        <f t="shared" si="125"/>
        <v>6.5934400000000011</v>
      </c>
      <c r="AA297" s="1058"/>
      <c r="AB297" s="1057">
        <v>18</v>
      </c>
      <c r="AC297" s="1056">
        <v>19</v>
      </c>
      <c r="AD297" s="1055">
        <v>2.2130000000000001</v>
      </c>
      <c r="AE297" s="1137">
        <f t="shared" si="126"/>
        <v>2.7441200000000001</v>
      </c>
      <c r="AF297" s="1136">
        <v>6</v>
      </c>
      <c r="AG297" s="1052">
        <f t="shared" si="127"/>
        <v>2.7112516945323089</v>
      </c>
      <c r="AH297" s="1049"/>
      <c r="AI297" s="1136">
        <v>1.24</v>
      </c>
      <c r="AJ297" s="1049"/>
      <c r="AK297" s="1050">
        <f t="shared" si="128"/>
        <v>0.97371999999999992</v>
      </c>
      <c r="AL297" s="1049"/>
      <c r="AM297" s="1058"/>
      <c r="AN297" s="1057">
        <v>18</v>
      </c>
      <c r="AO297" s="1056">
        <v>19</v>
      </c>
      <c r="AP297" s="1055">
        <v>0.65</v>
      </c>
      <c r="AQ297" s="1745">
        <f t="shared" si="129"/>
        <v>1.0985</v>
      </c>
      <c r="AR297" s="1737">
        <v>2.06</v>
      </c>
      <c r="AS297" s="1052">
        <f t="shared" si="130"/>
        <v>3.1692307692307691</v>
      </c>
      <c r="AT297" s="1049"/>
      <c r="AU297" s="1136">
        <v>1.69</v>
      </c>
      <c r="AV297" s="1049"/>
      <c r="AW297" s="1058"/>
      <c r="AX297" s="1057">
        <v>18</v>
      </c>
      <c r="AY297" s="1056">
        <v>19</v>
      </c>
      <c r="AZ297" s="1055">
        <v>0.34</v>
      </c>
      <c r="BA297" s="1736">
        <v>0.92</v>
      </c>
      <c r="BB297" s="1737">
        <f t="shared" si="131"/>
        <v>2.7058823529411762</v>
      </c>
      <c r="BC297" s="1049"/>
      <c r="BD297" s="1136"/>
      <c r="BE297" s="1049"/>
      <c r="BF297" s="1058"/>
      <c r="BG297" s="1057">
        <v>18</v>
      </c>
      <c r="BH297" s="1056">
        <v>19</v>
      </c>
      <c r="BI297" s="1055">
        <v>0.31</v>
      </c>
      <c r="BJ297" s="1736" t="s">
        <v>1409</v>
      </c>
      <c r="BK297" s="1049"/>
      <c r="BL297" s="1058"/>
      <c r="BM297" s="1057">
        <v>18</v>
      </c>
      <c r="BN297" s="1056">
        <v>19</v>
      </c>
      <c r="BO297" s="1055"/>
      <c r="BP297" s="1055"/>
      <c r="BQ297" s="1049"/>
    </row>
    <row r="298" spans="1:69" ht="14.4">
      <c r="A298" s="1049"/>
      <c r="B298" s="1060"/>
      <c r="C298" s="1057">
        <v>19</v>
      </c>
      <c r="D298" s="1056">
        <v>20</v>
      </c>
      <c r="E298" s="1063">
        <v>0.43</v>
      </c>
      <c r="F298" s="1062">
        <v>1.51</v>
      </c>
      <c r="G298" s="1061">
        <f t="shared" si="121"/>
        <v>3.5116279069767442</v>
      </c>
      <c r="H298" s="1049"/>
      <c r="I298" s="1060"/>
      <c r="J298" s="1057">
        <v>19</v>
      </c>
      <c r="K298" s="1056">
        <v>20</v>
      </c>
      <c r="L298" s="1055">
        <v>0.41599999999999998</v>
      </c>
      <c r="M298" s="1059">
        <v>1.77</v>
      </c>
      <c r="N298" s="1052">
        <f t="shared" si="122"/>
        <v>4.2548076923076925</v>
      </c>
      <c r="O298" s="1049"/>
      <c r="P298" s="1058"/>
      <c r="Q298" s="1057">
        <v>19</v>
      </c>
      <c r="R298" s="1056">
        <v>20</v>
      </c>
      <c r="S298" s="1055">
        <v>1.758</v>
      </c>
      <c r="T298" s="1054">
        <f t="shared" si="123"/>
        <v>8.7548400000000015</v>
      </c>
      <c r="U298" s="1136">
        <v>10.37</v>
      </c>
      <c r="V298" s="1052">
        <f t="shared" si="124"/>
        <v>5.8987485779294646</v>
      </c>
      <c r="W298" s="1049"/>
      <c r="X298" s="1051">
        <v>4.9800000000000004</v>
      </c>
      <c r="Y298" s="1049"/>
      <c r="Z298" s="1050">
        <f t="shared" si="125"/>
        <v>7.348440000000001</v>
      </c>
      <c r="AA298" s="1058"/>
      <c r="AB298" s="1057">
        <v>19</v>
      </c>
      <c r="AC298" s="1056">
        <v>20</v>
      </c>
      <c r="AD298" s="1055">
        <v>2.6150000000000002</v>
      </c>
      <c r="AE298" s="1137">
        <f t="shared" si="126"/>
        <v>2.7980500000000004</v>
      </c>
      <c r="AF298" s="1136">
        <v>6.64</v>
      </c>
      <c r="AG298" s="1052">
        <f t="shared" si="127"/>
        <v>2.5391969407265771</v>
      </c>
      <c r="AH298" s="1049"/>
      <c r="AI298" s="1136">
        <v>1.07</v>
      </c>
      <c r="AJ298" s="1049"/>
      <c r="AK298" s="1050">
        <f t="shared" si="128"/>
        <v>0.70605000000000007</v>
      </c>
      <c r="AL298" s="1049"/>
      <c r="AM298" s="1058"/>
      <c r="AN298" s="1057">
        <v>19</v>
      </c>
      <c r="AO298" s="1056">
        <v>20</v>
      </c>
      <c r="AP298" s="1055">
        <v>0.67</v>
      </c>
      <c r="AQ298" s="1745">
        <f t="shared" si="129"/>
        <v>0.93130000000000002</v>
      </c>
      <c r="AR298" s="1737">
        <v>1.91</v>
      </c>
      <c r="AS298" s="1052">
        <f t="shared" si="130"/>
        <v>2.850746268656716</v>
      </c>
      <c r="AT298" s="1049"/>
      <c r="AU298" s="1136">
        <v>1.39</v>
      </c>
      <c r="AV298" s="1049"/>
      <c r="AW298" s="1058"/>
      <c r="AX298" s="1057">
        <v>19</v>
      </c>
      <c r="AY298" s="1056">
        <v>20</v>
      </c>
      <c r="AZ298" s="1055">
        <v>0.28000000000000003</v>
      </c>
      <c r="BA298" s="1736">
        <v>0.76</v>
      </c>
      <c r="BB298" s="1737">
        <f t="shared" si="131"/>
        <v>2.714285714285714</v>
      </c>
      <c r="BC298" s="1049"/>
      <c r="BD298" s="1136"/>
      <c r="BE298" s="1049"/>
      <c r="BF298" s="1058"/>
      <c r="BG298" s="1057">
        <v>19</v>
      </c>
      <c r="BH298" s="1056">
        <v>20</v>
      </c>
      <c r="BI298" s="1055">
        <v>0.28999999999999998</v>
      </c>
      <c r="BJ298" s="1736" t="s">
        <v>1413</v>
      </c>
      <c r="BK298" s="1049"/>
      <c r="BL298" s="1058"/>
      <c r="BM298" s="1057">
        <v>19</v>
      </c>
      <c r="BN298" s="1056">
        <v>20</v>
      </c>
      <c r="BO298" s="1055"/>
      <c r="BP298" s="1055"/>
      <c r="BQ298" s="1049"/>
    </row>
    <row r="299" spans="1:69" ht="14.4">
      <c r="A299" s="1049"/>
      <c r="B299" s="1060"/>
      <c r="C299" s="1057">
        <v>20</v>
      </c>
      <c r="D299" s="1056">
        <v>21</v>
      </c>
      <c r="E299" s="1063">
        <v>0.48</v>
      </c>
      <c r="F299" s="1062">
        <v>1.38</v>
      </c>
      <c r="G299" s="1061">
        <f t="shared" si="121"/>
        <v>2.875</v>
      </c>
      <c r="H299" s="1049"/>
      <c r="I299" s="1060"/>
      <c r="J299" s="1057">
        <v>20</v>
      </c>
      <c r="K299" s="1056">
        <v>21</v>
      </c>
      <c r="L299" s="1055">
        <v>0.41199999999999998</v>
      </c>
      <c r="M299" s="1059">
        <v>1.36</v>
      </c>
      <c r="N299" s="1052">
        <f t="shared" si="122"/>
        <v>3.3009708737864081</v>
      </c>
      <c r="O299" s="1049"/>
      <c r="P299" s="1058"/>
      <c r="Q299" s="1057">
        <v>20</v>
      </c>
      <c r="R299" s="1056">
        <v>21</v>
      </c>
      <c r="S299" s="1055">
        <v>1.998</v>
      </c>
      <c r="T299" s="1054">
        <f t="shared" si="123"/>
        <v>9.6103799999999993</v>
      </c>
      <c r="U299" s="1136">
        <v>11.45</v>
      </c>
      <c r="V299" s="1052">
        <f t="shared" si="124"/>
        <v>5.7307307307307305</v>
      </c>
      <c r="W299" s="1049"/>
      <c r="X299" s="1051">
        <v>4.8099999999999996</v>
      </c>
      <c r="Y299" s="1049"/>
      <c r="Z299" s="1050">
        <f t="shared" si="125"/>
        <v>8.0119799999999994</v>
      </c>
      <c r="AA299" s="1058"/>
      <c r="AB299" s="1057">
        <v>20</v>
      </c>
      <c r="AC299" s="1056">
        <v>21</v>
      </c>
      <c r="AD299" s="1055">
        <v>2.6070000000000002</v>
      </c>
      <c r="AE299" s="1137">
        <f t="shared" si="126"/>
        <v>2.7634200000000004</v>
      </c>
      <c r="AF299" s="1136">
        <v>4.55</v>
      </c>
      <c r="AG299" s="1052">
        <f t="shared" si="127"/>
        <v>1.7453011123897197</v>
      </c>
      <c r="AH299" s="1049"/>
      <c r="AI299" s="1136">
        <v>1.06</v>
      </c>
      <c r="AJ299" s="1049"/>
      <c r="AK299" s="1050">
        <f t="shared" si="128"/>
        <v>0.67782000000000009</v>
      </c>
      <c r="AL299" s="1049"/>
      <c r="AM299" s="1058"/>
      <c r="AN299" s="1057">
        <v>20</v>
      </c>
      <c r="AO299" s="1056">
        <v>21</v>
      </c>
      <c r="AP299" s="1055">
        <v>0.41</v>
      </c>
      <c r="AQ299" s="1745">
        <f t="shared" si="129"/>
        <v>0.56989999999999996</v>
      </c>
      <c r="AR299" s="1737">
        <v>0.85</v>
      </c>
      <c r="AS299" s="1052">
        <f t="shared" si="130"/>
        <v>2.0731707317073171</v>
      </c>
      <c r="AT299" s="1049"/>
      <c r="AU299" s="1136">
        <v>1.39</v>
      </c>
      <c r="AV299" s="1049"/>
      <c r="AW299" s="1058"/>
      <c r="AX299" s="1057">
        <v>20</v>
      </c>
      <c r="AY299" s="1056">
        <v>21</v>
      </c>
      <c r="AZ299" s="1055">
        <v>0.31</v>
      </c>
      <c r="BA299" s="1736">
        <v>0.56000000000000005</v>
      </c>
      <c r="BB299" s="1737">
        <f t="shared" si="131"/>
        <v>1.806451612903226</v>
      </c>
      <c r="BC299" s="1049"/>
      <c r="BD299" s="1136"/>
      <c r="BE299" s="1049"/>
      <c r="BF299" s="1058"/>
      <c r="BG299" s="1057">
        <v>20</v>
      </c>
      <c r="BH299" s="1056">
        <v>21</v>
      </c>
      <c r="BI299" s="1055">
        <v>0.26</v>
      </c>
      <c r="BJ299" s="1736" t="s">
        <v>1388</v>
      </c>
      <c r="BK299" s="1049"/>
      <c r="BL299" s="1058"/>
      <c r="BM299" s="1057">
        <v>20</v>
      </c>
      <c r="BN299" s="1056">
        <v>21</v>
      </c>
      <c r="BO299" s="1055"/>
      <c r="BP299" s="1055"/>
      <c r="BQ299" s="1049"/>
    </row>
    <row r="300" spans="1:69" ht="14.4">
      <c r="A300" s="1049"/>
      <c r="B300" s="1060"/>
      <c r="C300" s="1057">
        <v>21</v>
      </c>
      <c r="D300" s="1056">
        <v>22</v>
      </c>
      <c r="E300" s="1063">
        <v>0.32</v>
      </c>
      <c r="F300" s="1062">
        <v>0.93</v>
      </c>
      <c r="G300" s="1061">
        <f t="shared" si="121"/>
        <v>2.90625</v>
      </c>
      <c r="H300" s="1049"/>
      <c r="I300" s="1060"/>
      <c r="J300" s="1057">
        <v>21</v>
      </c>
      <c r="K300" s="1056">
        <v>22</v>
      </c>
      <c r="L300" s="1055">
        <v>0.497</v>
      </c>
      <c r="M300" s="1059">
        <v>1.6</v>
      </c>
      <c r="N300" s="1052">
        <f t="shared" si="122"/>
        <v>3.2193158953722336</v>
      </c>
      <c r="O300" s="1049"/>
      <c r="P300" s="1058"/>
      <c r="Q300" s="1057">
        <v>21</v>
      </c>
      <c r="R300" s="1056">
        <v>22</v>
      </c>
      <c r="S300" s="1055">
        <v>1.9550000000000001</v>
      </c>
      <c r="T300" s="1054">
        <f t="shared" si="123"/>
        <v>7.9372999999999996</v>
      </c>
      <c r="U300" s="1136">
        <v>9.73</v>
      </c>
      <c r="V300" s="1052">
        <f t="shared" si="124"/>
        <v>4.9769820971867009</v>
      </c>
      <c r="W300" s="1049"/>
      <c r="X300" s="1051">
        <v>4.0599999999999996</v>
      </c>
      <c r="Y300" s="1049"/>
      <c r="Z300" s="1050">
        <f t="shared" si="125"/>
        <v>6.3732999999999995</v>
      </c>
      <c r="AA300" s="1058"/>
      <c r="AB300" s="1057">
        <v>21</v>
      </c>
      <c r="AC300" s="1056">
        <v>22</v>
      </c>
      <c r="AD300" s="1055">
        <v>2.8010000000000002</v>
      </c>
      <c r="AE300" s="1137">
        <f t="shared" si="126"/>
        <v>2.5769200000000003</v>
      </c>
      <c r="AF300" s="1136">
        <v>4.51</v>
      </c>
      <c r="AG300" s="1052">
        <f t="shared" si="127"/>
        <v>1.6101392359871474</v>
      </c>
      <c r="AH300" s="1049"/>
      <c r="AI300" s="1136">
        <v>0.92</v>
      </c>
      <c r="AJ300" s="1049"/>
      <c r="AK300" s="1050">
        <f t="shared" si="128"/>
        <v>0.33612000000000003</v>
      </c>
      <c r="AL300" s="1049"/>
      <c r="AM300" s="1058"/>
      <c r="AN300" s="1057">
        <v>21</v>
      </c>
      <c r="AO300" s="1056">
        <v>22</v>
      </c>
      <c r="AP300" s="1055">
        <v>0.32</v>
      </c>
      <c r="AQ300" s="1745">
        <f t="shared" si="129"/>
        <v>0.36159999999999998</v>
      </c>
      <c r="AR300" s="1737">
        <v>0.57999999999999996</v>
      </c>
      <c r="AS300" s="1052">
        <f t="shared" si="130"/>
        <v>1.8124999999999998</v>
      </c>
      <c r="AT300" s="1049"/>
      <c r="AU300" s="1136">
        <v>1.1299999999999999</v>
      </c>
      <c r="AV300" s="1049"/>
      <c r="AW300" s="1058"/>
      <c r="AX300" s="1057">
        <v>21</v>
      </c>
      <c r="AY300" s="1056">
        <v>22</v>
      </c>
      <c r="AZ300" s="1055">
        <v>0.25</v>
      </c>
      <c r="BA300" s="1736">
        <v>0.44</v>
      </c>
      <c r="BB300" s="1737">
        <f t="shared" si="131"/>
        <v>1.76</v>
      </c>
      <c r="BC300" s="1049"/>
      <c r="BD300" s="1136"/>
      <c r="BE300" s="1049"/>
      <c r="BF300" s="1058"/>
      <c r="BG300" s="1057">
        <v>21</v>
      </c>
      <c r="BH300" s="1056">
        <v>22</v>
      </c>
      <c r="BI300" s="1055">
        <v>0.32</v>
      </c>
      <c r="BJ300" s="1736" t="s">
        <v>1427</v>
      </c>
      <c r="BK300" s="1049"/>
      <c r="BL300" s="1058"/>
      <c r="BM300" s="1057">
        <v>21</v>
      </c>
      <c r="BN300" s="1056">
        <v>22</v>
      </c>
      <c r="BO300" s="1055"/>
      <c r="BP300" s="1055"/>
      <c r="BQ300" s="1049"/>
    </row>
    <row r="301" spans="1:69" ht="14.4">
      <c r="A301" s="1049"/>
      <c r="B301" s="1060"/>
      <c r="C301" s="1057">
        <v>22</v>
      </c>
      <c r="D301" s="1056">
        <v>23</v>
      </c>
      <c r="E301" s="1063">
        <v>0.26</v>
      </c>
      <c r="F301" s="1062">
        <v>0.75</v>
      </c>
      <c r="G301" s="1061">
        <f t="shared" si="121"/>
        <v>2.8846153846153846</v>
      </c>
      <c r="H301" s="1049"/>
      <c r="I301" s="1060"/>
      <c r="J301" s="1057">
        <v>22</v>
      </c>
      <c r="K301" s="1056">
        <v>23</v>
      </c>
      <c r="L301" s="1055">
        <v>0.376</v>
      </c>
      <c r="M301" s="1059">
        <v>1.19</v>
      </c>
      <c r="N301" s="1052">
        <f t="shared" si="122"/>
        <v>3.1648936170212765</v>
      </c>
      <c r="O301" s="1049"/>
      <c r="P301" s="1058"/>
      <c r="Q301" s="1057">
        <v>22</v>
      </c>
      <c r="R301" s="1056">
        <v>23</v>
      </c>
      <c r="S301" s="1055">
        <v>1.5940000000000001</v>
      </c>
      <c r="T301" s="1054">
        <f t="shared" si="123"/>
        <v>5.7702800000000005</v>
      </c>
      <c r="U301" s="1136">
        <v>7.23</v>
      </c>
      <c r="V301" s="1052">
        <f t="shared" si="124"/>
        <v>4.5357590966122965</v>
      </c>
      <c r="W301" s="1049"/>
      <c r="X301" s="1051">
        <v>3.62</v>
      </c>
      <c r="Y301" s="1049"/>
      <c r="Z301" s="1050">
        <f t="shared" si="125"/>
        <v>4.4950800000000006</v>
      </c>
      <c r="AA301" s="1058"/>
      <c r="AB301" s="1057">
        <v>22</v>
      </c>
      <c r="AC301" s="1056">
        <v>23</v>
      </c>
      <c r="AD301" s="1055">
        <v>2.7029999999999998</v>
      </c>
      <c r="AE301" s="1137">
        <f t="shared" si="126"/>
        <v>2.13537</v>
      </c>
      <c r="AF301" s="1136">
        <v>3.99</v>
      </c>
      <c r="AG301" s="1052">
        <f t="shared" si="127"/>
        <v>1.4761376248612654</v>
      </c>
      <c r="AH301" s="1049"/>
      <c r="AI301" s="1136">
        <v>0.79</v>
      </c>
      <c r="AJ301" s="1049"/>
      <c r="AK301" s="1050">
        <f t="shared" si="128"/>
        <v>-2.7030000000000023E-2</v>
      </c>
      <c r="AL301" s="1049"/>
      <c r="AM301" s="1058"/>
      <c r="AN301" s="1057">
        <v>22</v>
      </c>
      <c r="AO301" s="1056">
        <v>23</v>
      </c>
      <c r="AP301" s="1055">
        <v>0.19</v>
      </c>
      <c r="AQ301" s="1745">
        <f t="shared" si="129"/>
        <v>0.20710000000000001</v>
      </c>
      <c r="AR301" s="1737">
        <v>0.34</v>
      </c>
      <c r="AS301" s="1052">
        <f t="shared" si="130"/>
        <v>1.7894736842105263</v>
      </c>
      <c r="AT301" s="1049"/>
      <c r="AU301" s="1136">
        <v>1.0900000000000001</v>
      </c>
      <c r="AV301" s="1049"/>
      <c r="AW301" s="1058"/>
      <c r="AX301" s="1057">
        <v>22</v>
      </c>
      <c r="AY301" s="1056">
        <v>23</v>
      </c>
      <c r="AZ301" s="1055">
        <v>0.12</v>
      </c>
      <c r="BA301" s="1736">
        <v>0.2</v>
      </c>
      <c r="BB301" s="1737">
        <f t="shared" si="131"/>
        <v>1.6666666666666667</v>
      </c>
      <c r="BC301" s="1049"/>
      <c r="BD301" s="1136"/>
      <c r="BE301" s="1049"/>
      <c r="BF301" s="1058"/>
      <c r="BG301" s="1057">
        <v>22</v>
      </c>
      <c r="BH301" s="1056">
        <v>23</v>
      </c>
      <c r="BI301" s="1055">
        <v>0.27</v>
      </c>
      <c r="BJ301" s="1736" t="s">
        <v>1454</v>
      </c>
      <c r="BK301" s="1049"/>
      <c r="BL301" s="1058"/>
      <c r="BM301" s="1057">
        <v>22</v>
      </c>
      <c r="BN301" s="1056">
        <v>23</v>
      </c>
      <c r="BO301" s="1055"/>
      <c r="BP301" s="1055"/>
      <c r="BQ301" s="1049"/>
    </row>
    <row r="302" spans="1:69" ht="14.4">
      <c r="A302" s="1049"/>
      <c r="B302" s="1060"/>
      <c r="C302" s="1057">
        <v>23</v>
      </c>
      <c r="D302" s="1056">
        <v>24</v>
      </c>
      <c r="E302" s="1063">
        <v>0.33</v>
      </c>
      <c r="F302" s="1062">
        <v>0.94</v>
      </c>
      <c r="G302" s="1061">
        <f t="shared" si="121"/>
        <v>2.8484848484848482</v>
      </c>
      <c r="H302" s="1049"/>
      <c r="I302" s="1060"/>
      <c r="J302" s="1057">
        <v>23</v>
      </c>
      <c r="K302" s="1056">
        <v>24</v>
      </c>
      <c r="L302" s="1055">
        <v>0.21</v>
      </c>
      <c r="M302" s="1059">
        <v>0.66</v>
      </c>
      <c r="N302" s="1052">
        <f t="shared" si="122"/>
        <v>3.1428571428571432</v>
      </c>
      <c r="O302" s="1049"/>
      <c r="P302" s="1058"/>
      <c r="Q302" s="1057">
        <v>23</v>
      </c>
      <c r="R302" s="1056">
        <v>24</v>
      </c>
      <c r="S302" s="1055">
        <v>1.3029999999999999</v>
      </c>
      <c r="T302" s="1054">
        <f t="shared" si="123"/>
        <v>4.1305100000000001</v>
      </c>
      <c r="U302" s="1136">
        <v>5.33</v>
      </c>
      <c r="V302" s="1052">
        <f t="shared" si="124"/>
        <v>4.0905602455871071</v>
      </c>
      <c r="W302" s="1049"/>
      <c r="X302" s="1051">
        <v>3.17</v>
      </c>
      <c r="Y302" s="1049"/>
      <c r="Z302" s="1050">
        <f t="shared" si="125"/>
        <v>3.0881099999999999</v>
      </c>
      <c r="AA302" s="1058"/>
      <c r="AB302" s="1057">
        <v>23</v>
      </c>
      <c r="AC302" s="1056">
        <v>24</v>
      </c>
      <c r="AD302" s="1055">
        <v>2.7029999999999998</v>
      </c>
      <c r="AE302" s="1137">
        <f t="shared" si="126"/>
        <v>1.3514999999999999</v>
      </c>
      <c r="AF302" s="1136">
        <v>3.22</v>
      </c>
      <c r="AG302" s="1052">
        <f t="shared" si="127"/>
        <v>1.1912689604143545</v>
      </c>
      <c r="AH302" s="1049"/>
      <c r="AI302" s="1136">
        <v>0.5</v>
      </c>
      <c r="AJ302" s="1049"/>
      <c r="AK302" s="1050">
        <f t="shared" si="128"/>
        <v>-0.81090000000000007</v>
      </c>
      <c r="AL302" s="1049"/>
      <c r="AM302" s="1058"/>
      <c r="AN302" s="1057">
        <v>23</v>
      </c>
      <c r="AO302" s="1056">
        <v>24</v>
      </c>
      <c r="AP302" s="1055">
        <v>0.1</v>
      </c>
      <c r="AQ302" s="1745">
        <f t="shared" si="129"/>
        <v>0.10500000000000001</v>
      </c>
      <c r="AR302" s="1737">
        <v>0.17</v>
      </c>
      <c r="AS302" s="1052">
        <f t="shared" si="130"/>
        <v>1.7</v>
      </c>
      <c r="AT302" s="1049"/>
      <c r="AU302" s="1136">
        <v>1.05</v>
      </c>
      <c r="AV302" s="1049"/>
      <c r="AW302" s="1058"/>
      <c r="AX302" s="1057">
        <v>23</v>
      </c>
      <c r="AY302" s="1056">
        <v>24</v>
      </c>
      <c r="AZ302" s="1055">
        <v>0.08</v>
      </c>
      <c r="BA302" s="1736">
        <v>0.13</v>
      </c>
      <c r="BB302" s="1737">
        <f t="shared" si="131"/>
        <v>1.625</v>
      </c>
      <c r="BC302" s="1049"/>
      <c r="BD302" s="1136"/>
      <c r="BE302" s="1049"/>
      <c r="BF302" s="1058"/>
      <c r="BG302" s="1057">
        <v>23</v>
      </c>
      <c r="BH302" s="1056">
        <v>24</v>
      </c>
      <c r="BI302" s="1055">
        <v>0.11</v>
      </c>
      <c r="BJ302" s="1736" t="s">
        <v>1398</v>
      </c>
      <c r="BK302" s="1049"/>
      <c r="BL302" s="1058"/>
      <c r="BM302" s="1057">
        <v>23</v>
      </c>
      <c r="BN302" s="1056">
        <v>24</v>
      </c>
      <c r="BO302" s="1055"/>
      <c r="BP302" s="1055"/>
      <c r="BQ302" s="1049"/>
    </row>
    <row r="303" spans="1:69" ht="14.4">
      <c r="A303" s="1036"/>
      <c r="B303" s="1044"/>
      <c r="C303" s="1135"/>
      <c r="D303" s="1135"/>
      <c r="E303" s="1134"/>
      <c r="F303" s="1133"/>
      <c r="G303" s="1132"/>
      <c r="H303" s="1044"/>
      <c r="I303" s="1044" t="s">
        <v>1139</v>
      </c>
      <c r="J303" s="1046"/>
      <c r="K303" s="1046"/>
      <c r="L303" s="1129">
        <f>AVERAGE(L304:L327)</f>
        <v>0.45958333333333329</v>
      </c>
      <c r="M303" s="1131">
        <f>AVERAGE(M304:M327)</f>
        <v>1.4108333333333329</v>
      </c>
      <c r="N303" s="1039">
        <f>AVERAGE(N304:N327)</f>
        <v>3.0982104995867039</v>
      </c>
      <c r="O303" s="1044"/>
      <c r="P303" s="1130" t="s">
        <v>1137</v>
      </c>
      <c r="Q303" s="1046"/>
      <c r="R303" s="1046"/>
      <c r="S303" s="1129">
        <f>AVERAGE(S304:S327)</f>
        <v>1.6329999999999998</v>
      </c>
      <c r="T303" s="1128">
        <f>SUM(T304:T327)</f>
        <v>186.07608000000002</v>
      </c>
      <c r="U303" s="1040">
        <f>AVERAGE(U304:U327)</f>
        <v>9.254999999999999</v>
      </c>
      <c r="V303" s="1039">
        <f>AVERAGE(V304:V327)</f>
        <v>5.3079926087063312</v>
      </c>
      <c r="W303" s="1036"/>
      <c r="X303" s="1038">
        <f>AVERAGE(X312:X327)</f>
        <v>4.930625</v>
      </c>
      <c r="Y303" s="1036"/>
      <c r="Z303" s="1127">
        <f>SUM(Z304:Z327)</f>
        <v>154.72247999999996</v>
      </c>
      <c r="AA303" s="1130" t="s">
        <v>1130</v>
      </c>
      <c r="AB303" s="1046"/>
      <c r="AC303" s="1046"/>
      <c r="AD303" s="1129">
        <f>AVERAGE(AD304:AD327)</f>
        <v>2.3891666666666667</v>
      </c>
      <c r="AE303" s="1128">
        <f>SUM(AE304:AE327)</f>
        <v>46.193199999999997</v>
      </c>
      <c r="AF303" s="1040">
        <f>AVERAGE(AF304:AF327)</f>
        <v>3.7699999999999996</v>
      </c>
      <c r="AG303" s="1039">
        <f>AVERAGE(AG304:AG327)</f>
        <v>1.5398340674640751</v>
      </c>
      <c r="AH303" s="1036"/>
      <c r="AI303" s="1038">
        <f>AVERAGE(AI312:AI327)</f>
        <v>0.92687499999999989</v>
      </c>
      <c r="AJ303" s="1036"/>
      <c r="AK303" s="1127">
        <f>SUM(AK304:AK327)</f>
        <v>0.32119999999999849</v>
      </c>
      <c r="AL303" s="1036"/>
      <c r="AM303" s="1130" t="s">
        <v>1138</v>
      </c>
      <c r="AN303" s="1046"/>
      <c r="AO303" s="1046"/>
      <c r="AP303" s="1129">
        <f>AVERAGE(AP304:AP327)</f>
        <v>0.22791666666666666</v>
      </c>
      <c r="AQ303" s="1734">
        <f>SUM(AQ304:AQ327)</f>
        <v>0</v>
      </c>
      <c r="AR303" s="1735">
        <f>AVERAGE(AR304:AR327)</f>
        <v>0.56333333333333335</v>
      </c>
      <c r="AS303" s="1039">
        <f>AVERAGE(AS304:AS327)</f>
        <v>2.3232314728946979</v>
      </c>
      <c r="AT303" s="1036"/>
      <c r="AU303" s="1038" t="e">
        <f>AVERAGE(AU312:AU327)</f>
        <v>#DIV/0!</v>
      </c>
      <c r="AV303" s="1036"/>
      <c r="AW303" s="1130" t="s">
        <v>1138</v>
      </c>
      <c r="AX303" s="1046"/>
      <c r="AY303" s="1046"/>
      <c r="AZ303" s="1129">
        <f>AVERAGE(AZ304:AZ327)</f>
        <v>0.23666666666666669</v>
      </c>
      <c r="BA303" s="1045">
        <f>AVERAGE(BA304:BA327)</f>
        <v>0.31000000000000011</v>
      </c>
      <c r="BB303" s="1039">
        <f>AVERAGE(BB304:BB327)</f>
        <v>1.2542906285586459</v>
      </c>
      <c r="BC303" s="1036"/>
      <c r="BD303" s="1038" t="e">
        <f>AVERAGE(BD312:BD327)</f>
        <v>#DIV/0!</v>
      </c>
      <c r="BE303" s="1036"/>
      <c r="BF303" s="1130" t="s">
        <v>1138</v>
      </c>
      <c r="BG303" s="2756">
        <f>BF304</f>
        <v>45029</v>
      </c>
      <c r="BH303" s="2756"/>
      <c r="BI303" s="1897">
        <f>SUM(BI304:BI327)</f>
        <v>7.1399999999999988</v>
      </c>
      <c r="BJ303" s="1898">
        <f>SUM(BJ304:BJ327)</f>
        <v>0</v>
      </c>
      <c r="BK303" s="1036"/>
      <c r="BL303" s="1130" t="s">
        <v>1138</v>
      </c>
      <c r="BM303" s="1046"/>
      <c r="BN303" s="1046"/>
      <c r="BO303" s="1129" t="e">
        <f>AVERAGE(BO304:BO327)</f>
        <v>#DIV/0!</v>
      </c>
      <c r="BP303" s="1129" t="e">
        <f>AVERAGE(BP304:BP327)</f>
        <v>#DIV/0!</v>
      </c>
      <c r="BQ303" s="1036"/>
    </row>
    <row r="304" spans="1:69" ht="14.4">
      <c r="A304" s="1049"/>
      <c r="B304" s="1126">
        <v>44847</v>
      </c>
      <c r="C304" s="1057">
        <v>0</v>
      </c>
      <c r="D304" s="1056">
        <v>1</v>
      </c>
      <c r="E304" s="1063">
        <v>0.2</v>
      </c>
      <c r="F304" s="1062">
        <v>0.59</v>
      </c>
      <c r="G304" s="1061">
        <f t="shared" ref="G304:G327" si="132">F304/E304</f>
        <v>2.9499999999999997</v>
      </c>
      <c r="H304" s="1049"/>
      <c r="I304" s="1126">
        <v>44878</v>
      </c>
      <c r="J304" s="1057">
        <v>0</v>
      </c>
      <c r="K304" s="1056">
        <v>1</v>
      </c>
      <c r="L304" s="1055">
        <v>0.7</v>
      </c>
      <c r="M304" s="1059">
        <v>2.2599999999999998</v>
      </c>
      <c r="N304" s="1052">
        <f t="shared" ref="N304:N327" si="133">M304/L304</f>
        <v>3.2285714285714286</v>
      </c>
      <c r="O304" s="1049"/>
      <c r="P304" s="1125">
        <v>44908</v>
      </c>
      <c r="Q304" s="1057">
        <v>0</v>
      </c>
      <c r="R304" s="1056">
        <v>1</v>
      </c>
      <c r="S304" s="1055">
        <v>0.58399999999999996</v>
      </c>
      <c r="T304" s="1054">
        <f t="shared" ref="T304:T327" si="134">S304*X304</f>
        <v>1.8045599999999997</v>
      </c>
      <c r="U304" s="1136">
        <v>2.35</v>
      </c>
      <c r="V304" s="1052">
        <f t="shared" ref="V304:V327" si="135">U304/S304</f>
        <v>4.0239726027397262</v>
      </c>
      <c r="W304" s="1049"/>
      <c r="X304" s="1051">
        <v>3.09</v>
      </c>
      <c r="Y304" s="1049"/>
      <c r="Z304" s="1050">
        <f t="shared" ref="Z304:Z327" si="136">S304*(X304-0.8)</f>
        <v>1.3373599999999999</v>
      </c>
      <c r="AA304" s="1125">
        <v>44939</v>
      </c>
      <c r="AB304" s="1057">
        <v>0</v>
      </c>
      <c r="AC304" s="1056">
        <v>1</v>
      </c>
      <c r="AD304" s="1055">
        <v>1.4</v>
      </c>
      <c r="AE304" s="1137">
        <f t="shared" ref="AE304:AE327" si="137">AD304*AI304</f>
        <v>0.61599999999999999</v>
      </c>
      <c r="AF304" s="1136">
        <v>1.58</v>
      </c>
      <c r="AG304" s="1052">
        <f t="shared" ref="AG304:AG327" si="138">AF304/AD304</f>
        <v>1.1285714285714288</v>
      </c>
      <c r="AH304" s="1049"/>
      <c r="AI304" s="1136">
        <v>0.44</v>
      </c>
      <c r="AJ304" s="1049"/>
      <c r="AK304" s="1050">
        <f t="shared" ref="AK304:AK327" si="139">AD304*(AI304-0.8)</f>
        <v>-0.504</v>
      </c>
      <c r="AL304" s="1049"/>
      <c r="AM304" s="1125">
        <v>44970</v>
      </c>
      <c r="AN304" s="1057">
        <v>0</v>
      </c>
      <c r="AO304" s="1056">
        <v>1</v>
      </c>
      <c r="AP304" s="1055">
        <v>0.11</v>
      </c>
      <c r="AQ304" s="1745">
        <f t="shared" ref="AQ304:AQ327" si="140">AP304*AU304</f>
        <v>0</v>
      </c>
      <c r="AR304" s="1737">
        <v>0.2</v>
      </c>
      <c r="AS304" s="1052">
        <f t="shared" ref="AS304:AS327" si="141">AR304/AP304</f>
        <v>1.8181818181818183</v>
      </c>
      <c r="AT304" s="1049"/>
      <c r="AU304" s="1136"/>
      <c r="AV304" s="1049"/>
      <c r="AW304" s="1125">
        <v>44998</v>
      </c>
      <c r="AX304" s="1057">
        <v>0</v>
      </c>
      <c r="AY304" s="1056">
        <v>1</v>
      </c>
      <c r="AZ304" s="1055">
        <v>0.09</v>
      </c>
      <c r="BA304" s="1736">
        <v>0.11</v>
      </c>
      <c r="BB304" s="1737">
        <f t="shared" ref="BB304:BB327" si="142">BA304/AZ304</f>
        <v>1.2222222222222223</v>
      </c>
      <c r="BC304" s="1049"/>
      <c r="BD304" s="1136"/>
      <c r="BE304" s="1049"/>
      <c r="BF304" s="1125">
        <v>45029</v>
      </c>
      <c r="BG304" s="1057">
        <v>0</v>
      </c>
      <c r="BH304" s="1056">
        <v>1</v>
      </c>
      <c r="BI304" s="1055">
        <v>0.09</v>
      </c>
      <c r="BJ304" s="1736" t="s">
        <v>1363</v>
      </c>
      <c r="BK304" s="1049"/>
      <c r="BL304" s="1125">
        <v>45029</v>
      </c>
      <c r="BM304" s="1057">
        <v>0</v>
      </c>
      <c r="BN304" s="1056">
        <v>1</v>
      </c>
      <c r="BO304" s="1055"/>
      <c r="BP304" s="1055"/>
      <c r="BQ304" s="1049"/>
    </row>
    <row r="305" spans="1:69" ht="14.4">
      <c r="A305" s="1049"/>
      <c r="B305" s="1124"/>
      <c r="C305" s="1057">
        <v>1</v>
      </c>
      <c r="D305" s="1056">
        <v>2</v>
      </c>
      <c r="E305" s="1063">
        <v>0.23</v>
      </c>
      <c r="F305" s="1062">
        <v>0.65</v>
      </c>
      <c r="G305" s="1061">
        <f t="shared" si="132"/>
        <v>2.8260869565217392</v>
      </c>
      <c r="H305" s="1049"/>
      <c r="I305" s="1124"/>
      <c r="J305" s="1057">
        <v>1</v>
      </c>
      <c r="K305" s="1056">
        <v>2</v>
      </c>
      <c r="L305" s="1055">
        <v>0.22</v>
      </c>
      <c r="M305" s="1059">
        <v>0.68</v>
      </c>
      <c r="N305" s="1052">
        <f t="shared" si="133"/>
        <v>3.0909090909090913</v>
      </c>
      <c r="O305" s="1049"/>
      <c r="P305" s="1123"/>
      <c r="Q305" s="1057">
        <v>1</v>
      </c>
      <c r="R305" s="1056">
        <v>2</v>
      </c>
      <c r="S305" s="1055">
        <v>0.54800000000000004</v>
      </c>
      <c r="T305" s="1054">
        <f t="shared" si="134"/>
        <v>1.6056400000000002</v>
      </c>
      <c r="U305" s="1136">
        <v>2.11</v>
      </c>
      <c r="V305" s="1052">
        <f t="shared" si="135"/>
        <v>3.8503649635036492</v>
      </c>
      <c r="W305" s="1049"/>
      <c r="X305" s="1051">
        <v>2.93</v>
      </c>
      <c r="Y305" s="1049"/>
      <c r="Z305" s="1050">
        <f t="shared" si="136"/>
        <v>1.1672400000000001</v>
      </c>
      <c r="AA305" s="1123"/>
      <c r="AB305" s="1057">
        <v>1</v>
      </c>
      <c r="AC305" s="1056">
        <v>2</v>
      </c>
      <c r="AD305" s="1055">
        <v>1.42</v>
      </c>
      <c r="AE305" s="1137">
        <f t="shared" si="137"/>
        <v>0.41179999999999994</v>
      </c>
      <c r="AF305" s="1136">
        <v>1.39</v>
      </c>
      <c r="AG305" s="1052">
        <f t="shared" si="138"/>
        <v>0.97887323943661975</v>
      </c>
      <c r="AH305" s="1049"/>
      <c r="AI305" s="1136">
        <v>0.28999999999999998</v>
      </c>
      <c r="AJ305" s="1049"/>
      <c r="AK305" s="1050">
        <f t="shared" si="139"/>
        <v>-0.72419999999999995</v>
      </c>
      <c r="AL305" s="1049"/>
      <c r="AM305" s="1123"/>
      <c r="AN305" s="1057">
        <v>1</v>
      </c>
      <c r="AO305" s="1056">
        <v>2</v>
      </c>
      <c r="AP305" s="1055">
        <v>0.11</v>
      </c>
      <c r="AQ305" s="1745">
        <f t="shared" si="140"/>
        <v>0</v>
      </c>
      <c r="AR305" s="1737">
        <v>0.19</v>
      </c>
      <c r="AS305" s="1052">
        <f t="shared" si="141"/>
        <v>1.7272727272727273</v>
      </c>
      <c r="AT305" s="1049"/>
      <c r="AU305" s="1136"/>
      <c r="AV305" s="1049"/>
      <c r="AW305" s="1123"/>
      <c r="AX305" s="1057">
        <v>1</v>
      </c>
      <c r="AY305" s="1056">
        <v>2</v>
      </c>
      <c r="AZ305" s="1055">
        <v>0.13</v>
      </c>
      <c r="BA305" s="1736">
        <v>0.15</v>
      </c>
      <c r="BB305" s="1737">
        <f t="shared" si="142"/>
        <v>1.1538461538461537</v>
      </c>
      <c r="BC305" s="1049"/>
      <c r="BD305" s="1136"/>
      <c r="BE305" s="1049"/>
      <c r="BF305" s="1123"/>
      <c r="BG305" s="1057">
        <v>1</v>
      </c>
      <c r="BH305" s="1056">
        <v>2</v>
      </c>
      <c r="BI305" s="1055">
        <v>0.1</v>
      </c>
      <c r="BJ305" s="1736" t="s">
        <v>1363</v>
      </c>
      <c r="BK305" s="1049"/>
      <c r="BL305" s="1123"/>
      <c r="BM305" s="1057">
        <v>1</v>
      </c>
      <c r="BN305" s="1056">
        <v>2</v>
      </c>
      <c r="BO305" s="1055"/>
      <c r="BP305" s="1055"/>
      <c r="BQ305" s="1049"/>
    </row>
    <row r="306" spans="1:69" ht="14.4">
      <c r="A306" s="1049"/>
      <c r="B306" s="1122">
        <f>SUM(E304:E327)</f>
        <v>12.460000000000003</v>
      </c>
      <c r="C306" s="1057">
        <v>2</v>
      </c>
      <c r="D306" s="1056">
        <v>3</v>
      </c>
      <c r="E306" s="1063">
        <v>0.19</v>
      </c>
      <c r="F306" s="1062">
        <v>0.56000000000000005</v>
      </c>
      <c r="G306" s="1061">
        <f t="shared" si="132"/>
        <v>2.9473684210526319</v>
      </c>
      <c r="H306" s="1049"/>
      <c r="I306" s="1122">
        <f>SUM(L304:L327)</f>
        <v>11.03</v>
      </c>
      <c r="J306" s="1057">
        <v>2</v>
      </c>
      <c r="K306" s="1056">
        <v>3</v>
      </c>
      <c r="L306" s="1055">
        <v>0.19800000000000001</v>
      </c>
      <c r="M306" s="1059">
        <v>0.59</v>
      </c>
      <c r="N306" s="1052">
        <f t="shared" si="133"/>
        <v>2.9797979797979797</v>
      </c>
      <c r="O306" s="1049"/>
      <c r="P306" s="1121">
        <f>SUM(S304:S327)</f>
        <v>39.191999999999993</v>
      </c>
      <c r="Q306" s="1057">
        <v>2</v>
      </c>
      <c r="R306" s="1056">
        <v>3</v>
      </c>
      <c r="S306" s="1055">
        <v>0.95799999999999996</v>
      </c>
      <c r="T306" s="1054">
        <f t="shared" si="134"/>
        <v>2.7877800000000001</v>
      </c>
      <c r="U306" s="1136">
        <v>3.66</v>
      </c>
      <c r="V306" s="1052">
        <f t="shared" si="135"/>
        <v>3.8204592901878915</v>
      </c>
      <c r="W306" s="1049"/>
      <c r="X306" s="1051">
        <v>2.91</v>
      </c>
      <c r="Y306" s="1049"/>
      <c r="Z306" s="1050">
        <f t="shared" si="136"/>
        <v>2.0213800000000002</v>
      </c>
      <c r="AA306" s="1121">
        <f>SUM(AD304:AD327)</f>
        <v>57.34</v>
      </c>
      <c r="AB306" s="1057">
        <v>2</v>
      </c>
      <c r="AC306" s="1056">
        <v>3</v>
      </c>
      <c r="AD306" s="1055">
        <v>1.31</v>
      </c>
      <c r="AE306" s="1137">
        <f t="shared" si="137"/>
        <v>0.28820000000000001</v>
      </c>
      <c r="AF306" s="1136">
        <v>1.18</v>
      </c>
      <c r="AG306" s="1052">
        <f t="shared" si="138"/>
        <v>0.9007633587786259</v>
      </c>
      <c r="AH306" s="1049"/>
      <c r="AI306" s="1136">
        <v>0.22</v>
      </c>
      <c r="AJ306" s="1049"/>
      <c r="AK306" s="1050">
        <f t="shared" si="139"/>
        <v>-0.75980000000000014</v>
      </c>
      <c r="AL306" s="1049"/>
      <c r="AM306" s="1121">
        <f>SUM(AP304:AP327)</f>
        <v>5.47</v>
      </c>
      <c r="AN306" s="1057">
        <v>2</v>
      </c>
      <c r="AO306" s="1056">
        <v>3</v>
      </c>
      <c r="AP306" s="1055">
        <v>0.13</v>
      </c>
      <c r="AQ306" s="1745">
        <f t="shared" si="140"/>
        <v>0</v>
      </c>
      <c r="AR306" s="1737">
        <v>0.23</v>
      </c>
      <c r="AS306" s="1052">
        <f t="shared" si="141"/>
        <v>1.7692307692307692</v>
      </c>
      <c r="AT306" s="1049"/>
      <c r="AU306" s="1136"/>
      <c r="AV306" s="1049"/>
      <c r="AW306" s="1121">
        <f>SUM(AZ304:AZ327)</f>
        <v>5.6800000000000006</v>
      </c>
      <c r="AX306" s="1057">
        <v>2</v>
      </c>
      <c r="AY306" s="1056">
        <v>3</v>
      </c>
      <c r="AZ306" s="1055">
        <v>0.13</v>
      </c>
      <c r="BA306" s="1736">
        <v>0.15</v>
      </c>
      <c r="BB306" s="1737">
        <f t="shared" si="142"/>
        <v>1.1538461538461537</v>
      </c>
      <c r="BC306" s="1049"/>
      <c r="BD306" s="1136"/>
      <c r="BE306" s="1049"/>
      <c r="BF306" s="1121">
        <f>SUM(BI304:BI327)</f>
        <v>7.1399999999999988</v>
      </c>
      <c r="BG306" s="1057">
        <v>2</v>
      </c>
      <c r="BH306" s="1056">
        <v>3</v>
      </c>
      <c r="BI306" s="1055">
        <v>0.1</v>
      </c>
      <c r="BJ306" s="1736" t="s">
        <v>1363</v>
      </c>
      <c r="BK306" s="1049"/>
      <c r="BL306" s="1121">
        <f>SUM(BO304:BO327)+SUM(BP304:BP327)</f>
        <v>0</v>
      </c>
      <c r="BM306" s="1057">
        <v>2</v>
      </c>
      <c r="BN306" s="1056">
        <v>3</v>
      </c>
      <c r="BO306" s="1055"/>
      <c r="BP306" s="1055"/>
      <c r="BQ306" s="1049"/>
    </row>
    <row r="307" spans="1:69" ht="14.4">
      <c r="A307" s="1049"/>
      <c r="B307" s="1120">
        <f>B306/24</f>
        <v>0.51916666666666678</v>
      </c>
      <c r="C307" s="1057">
        <v>3</v>
      </c>
      <c r="D307" s="1056">
        <v>4</v>
      </c>
      <c r="E307" s="1063">
        <v>0.23</v>
      </c>
      <c r="F307" s="1062">
        <v>0.66</v>
      </c>
      <c r="G307" s="1061">
        <f t="shared" si="132"/>
        <v>2.8695652173913042</v>
      </c>
      <c r="H307" s="1049"/>
      <c r="I307" s="1120">
        <f>I306/24</f>
        <v>0.45958333333333329</v>
      </c>
      <c r="J307" s="1057">
        <v>3</v>
      </c>
      <c r="K307" s="1056">
        <v>4</v>
      </c>
      <c r="L307" s="1055">
        <v>0.23300000000000001</v>
      </c>
      <c r="M307" s="1059">
        <v>0.66</v>
      </c>
      <c r="N307" s="1052">
        <f t="shared" si="133"/>
        <v>2.8326180257510729</v>
      </c>
      <c r="O307" s="1049"/>
      <c r="P307" s="1120">
        <f>P306/24</f>
        <v>1.6329999999999998</v>
      </c>
      <c r="Q307" s="1057">
        <v>3</v>
      </c>
      <c r="R307" s="1056">
        <v>4</v>
      </c>
      <c r="S307" s="1055">
        <v>0.42699999999999999</v>
      </c>
      <c r="T307" s="1054">
        <f t="shared" si="134"/>
        <v>1.20414</v>
      </c>
      <c r="U307" s="1136">
        <v>1.6</v>
      </c>
      <c r="V307" s="1052">
        <f t="shared" si="135"/>
        <v>3.7470725995316161</v>
      </c>
      <c r="W307" s="1049"/>
      <c r="X307" s="1051">
        <v>2.82</v>
      </c>
      <c r="Y307" s="1049"/>
      <c r="Z307" s="1050">
        <f t="shared" si="136"/>
        <v>0.86253999999999975</v>
      </c>
      <c r="AA307" s="1120">
        <f>AA306/24</f>
        <v>2.3891666666666667</v>
      </c>
      <c r="AB307" s="1057">
        <v>3</v>
      </c>
      <c r="AC307" s="1056">
        <v>4</v>
      </c>
      <c r="AD307" s="1055">
        <v>1.55</v>
      </c>
      <c r="AE307" s="1137">
        <f t="shared" si="137"/>
        <v>0.24800000000000003</v>
      </c>
      <c r="AF307" s="1136">
        <v>1.31</v>
      </c>
      <c r="AG307" s="1052">
        <f t="shared" si="138"/>
        <v>0.84516129032258069</v>
      </c>
      <c r="AH307" s="1049"/>
      <c r="AI307" s="1136">
        <v>0.16</v>
      </c>
      <c r="AJ307" s="1049"/>
      <c r="AK307" s="1050">
        <f t="shared" si="139"/>
        <v>-0.9920000000000001</v>
      </c>
      <c r="AL307" s="1049"/>
      <c r="AM307" s="1120">
        <f>AM306/24</f>
        <v>0.22791666666666666</v>
      </c>
      <c r="AN307" s="1057">
        <v>3</v>
      </c>
      <c r="AO307" s="1056">
        <v>4</v>
      </c>
      <c r="AP307" s="1055">
        <v>0.12</v>
      </c>
      <c r="AQ307" s="1745">
        <f t="shared" si="140"/>
        <v>0</v>
      </c>
      <c r="AR307" s="1737">
        <v>0.21</v>
      </c>
      <c r="AS307" s="1052">
        <f t="shared" si="141"/>
        <v>1.75</v>
      </c>
      <c r="AT307" s="1049"/>
      <c r="AU307" s="1136"/>
      <c r="AV307" s="1049"/>
      <c r="AW307" s="1120">
        <f>AW306/24</f>
        <v>0.23666666666666669</v>
      </c>
      <c r="AX307" s="1057">
        <v>3</v>
      </c>
      <c r="AY307" s="1056">
        <v>4</v>
      </c>
      <c r="AZ307" s="1055">
        <v>0.09</v>
      </c>
      <c r="BA307" s="1736">
        <v>0.09</v>
      </c>
      <c r="BB307" s="1737">
        <f t="shared" si="142"/>
        <v>1</v>
      </c>
      <c r="BC307" s="1049"/>
      <c r="BD307" s="1136"/>
      <c r="BE307" s="1049"/>
      <c r="BF307" s="1120">
        <f>BF306/24</f>
        <v>0.29749999999999993</v>
      </c>
      <c r="BG307" s="1057">
        <v>3</v>
      </c>
      <c r="BH307" s="1056">
        <v>4</v>
      </c>
      <c r="BI307" s="1055">
        <v>0.15</v>
      </c>
      <c r="BJ307" s="1736" t="s">
        <v>1405</v>
      </c>
      <c r="BK307" s="1049"/>
      <c r="BL307" s="1120">
        <f>BL306/24</f>
        <v>0</v>
      </c>
      <c r="BM307" s="1057">
        <v>3</v>
      </c>
      <c r="BN307" s="1056">
        <v>4</v>
      </c>
      <c r="BO307" s="1055"/>
      <c r="BP307" s="1055"/>
      <c r="BQ307" s="1049"/>
    </row>
    <row r="308" spans="1:69" ht="14.4">
      <c r="A308" s="1049"/>
      <c r="B308" s="1119"/>
      <c r="C308" s="1057">
        <v>4</v>
      </c>
      <c r="D308" s="1056">
        <v>5</v>
      </c>
      <c r="E308" s="1063">
        <v>0.38</v>
      </c>
      <c r="F308" s="1062">
        <v>1.1100000000000001</v>
      </c>
      <c r="G308" s="1061">
        <f t="shared" si="132"/>
        <v>2.9210526315789478</v>
      </c>
      <c r="H308" s="1049"/>
      <c r="I308" s="1119"/>
      <c r="J308" s="1057">
        <v>4</v>
      </c>
      <c r="K308" s="1056">
        <v>5</v>
      </c>
      <c r="L308" s="1055">
        <v>0.182</v>
      </c>
      <c r="M308" s="1059">
        <v>0.53</v>
      </c>
      <c r="N308" s="1052">
        <f t="shared" si="133"/>
        <v>2.9120879120879124</v>
      </c>
      <c r="O308" s="1049"/>
      <c r="P308" s="1118"/>
      <c r="Q308" s="1057">
        <v>4</v>
      </c>
      <c r="R308" s="1056">
        <v>5</v>
      </c>
      <c r="S308" s="1055">
        <v>0.46200000000000002</v>
      </c>
      <c r="T308" s="1054">
        <f t="shared" si="134"/>
        <v>1.33056</v>
      </c>
      <c r="U308" s="1136">
        <v>1.76</v>
      </c>
      <c r="V308" s="1052">
        <f t="shared" si="135"/>
        <v>3.8095238095238093</v>
      </c>
      <c r="W308" s="1049"/>
      <c r="X308" s="1051">
        <v>2.88</v>
      </c>
      <c r="Y308" s="1049"/>
      <c r="Z308" s="1050">
        <f t="shared" si="136"/>
        <v>0.96096000000000004</v>
      </c>
      <c r="AA308" s="1118"/>
      <c r="AB308" s="1057">
        <v>4</v>
      </c>
      <c r="AC308" s="1056">
        <v>5</v>
      </c>
      <c r="AD308" s="1055">
        <v>1.63</v>
      </c>
      <c r="AE308" s="1137">
        <f t="shared" si="137"/>
        <v>0.26079999999999998</v>
      </c>
      <c r="AF308" s="1136">
        <v>1.39</v>
      </c>
      <c r="AG308" s="1052">
        <f t="shared" si="138"/>
        <v>0.85276073619631898</v>
      </c>
      <c r="AH308" s="1049"/>
      <c r="AI308" s="1136">
        <v>0.16</v>
      </c>
      <c r="AJ308" s="1049"/>
      <c r="AK308" s="1050">
        <f t="shared" si="139"/>
        <v>-1.0431999999999999</v>
      </c>
      <c r="AL308" s="1049"/>
      <c r="AM308" s="1118"/>
      <c r="AN308" s="1057">
        <v>4</v>
      </c>
      <c r="AO308" s="1056">
        <v>5</v>
      </c>
      <c r="AP308" s="1055">
        <v>7.0000000000000007E-2</v>
      </c>
      <c r="AQ308" s="1745">
        <f t="shared" si="140"/>
        <v>0</v>
      </c>
      <c r="AR308" s="1737">
        <v>0.13</v>
      </c>
      <c r="AS308" s="1052">
        <f t="shared" si="141"/>
        <v>1.857142857142857</v>
      </c>
      <c r="AT308" s="1049"/>
      <c r="AU308" s="1136"/>
      <c r="AV308" s="1049"/>
      <c r="AW308" s="1118"/>
      <c r="AX308" s="1057">
        <v>4</v>
      </c>
      <c r="AY308" s="1056">
        <v>5</v>
      </c>
      <c r="AZ308" s="1055">
        <v>7.0000000000000007E-2</v>
      </c>
      <c r="BA308" s="1736">
        <v>0.06</v>
      </c>
      <c r="BB308" s="1737">
        <f t="shared" si="142"/>
        <v>0.85714285714285698</v>
      </c>
      <c r="BC308" s="1049"/>
      <c r="BD308" s="1136"/>
      <c r="BE308" s="1049"/>
      <c r="BF308" s="1118"/>
      <c r="BG308" s="1057">
        <v>4</v>
      </c>
      <c r="BH308" s="1056">
        <v>5</v>
      </c>
      <c r="BI308" s="1055">
        <v>0.14000000000000001</v>
      </c>
      <c r="BJ308" s="1736" t="s">
        <v>1367</v>
      </c>
      <c r="BK308" s="1049"/>
      <c r="BL308" s="1118"/>
      <c r="BM308" s="1057">
        <v>4</v>
      </c>
      <c r="BN308" s="1056">
        <v>5</v>
      </c>
      <c r="BO308" s="1055"/>
      <c r="BP308" s="1055"/>
      <c r="BQ308" s="1049"/>
    </row>
    <row r="309" spans="1:69" ht="15" thickBot="1">
      <c r="A309" s="1049"/>
      <c r="B309" s="1058">
        <f>SUM(F304:F327)</f>
        <v>37.14</v>
      </c>
      <c r="C309" s="1111">
        <v>5</v>
      </c>
      <c r="D309" s="1110">
        <v>6</v>
      </c>
      <c r="E309" s="1117">
        <v>0.82</v>
      </c>
      <c r="F309" s="1116">
        <v>2.36</v>
      </c>
      <c r="G309" s="1115">
        <f t="shared" si="132"/>
        <v>2.8780487804878048</v>
      </c>
      <c r="H309" s="1049"/>
      <c r="I309" s="1058">
        <f>SUM(M304:M327)</f>
        <v>33.859999999999992</v>
      </c>
      <c r="J309" s="1111">
        <v>5</v>
      </c>
      <c r="K309" s="1110">
        <v>6</v>
      </c>
      <c r="L309" s="1109">
        <v>0.32900000000000001</v>
      </c>
      <c r="M309" s="1114">
        <v>0.96</v>
      </c>
      <c r="N309" s="1113">
        <f t="shared" si="133"/>
        <v>2.9179331306990881</v>
      </c>
      <c r="O309" s="1049"/>
      <c r="P309" s="1112">
        <f>SUM(U304:U327)</f>
        <v>222.11999999999998</v>
      </c>
      <c r="Q309" s="1111">
        <v>5</v>
      </c>
      <c r="R309" s="1110">
        <v>6</v>
      </c>
      <c r="S309" s="1109">
        <v>1.0069999999999999</v>
      </c>
      <c r="T309" s="1054">
        <f t="shared" si="134"/>
        <v>3.2123299999999997</v>
      </c>
      <c r="U309" s="1146">
        <v>4.1399999999999997</v>
      </c>
      <c r="V309" s="1052">
        <f t="shared" si="135"/>
        <v>4.1112214498510431</v>
      </c>
      <c r="W309" s="1049"/>
      <c r="X309" s="1074">
        <v>3.19</v>
      </c>
      <c r="Y309" s="1049"/>
      <c r="Z309" s="1050">
        <f t="shared" si="136"/>
        <v>2.4067299999999996</v>
      </c>
      <c r="AA309" s="1112">
        <f>SUM(AF304:AF327)</f>
        <v>90.47999999999999</v>
      </c>
      <c r="AB309" s="1111">
        <v>5</v>
      </c>
      <c r="AC309" s="1110">
        <v>6</v>
      </c>
      <c r="AD309" s="1109">
        <v>1.42</v>
      </c>
      <c r="AE309" s="1147">
        <f t="shared" si="137"/>
        <v>0.52539999999999998</v>
      </c>
      <c r="AF309" s="1146">
        <v>1.5</v>
      </c>
      <c r="AG309" s="1052">
        <f t="shared" si="138"/>
        <v>1.0563380281690142</v>
      </c>
      <c r="AH309" s="1049"/>
      <c r="AI309" s="1146">
        <v>0.37</v>
      </c>
      <c r="AJ309" s="1049"/>
      <c r="AK309" s="1050">
        <f t="shared" si="139"/>
        <v>-0.61060000000000003</v>
      </c>
      <c r="AL309" s="1049"/>
      <c r="AM309" s="1112">
        <f>SUM(AR304:AR327)</f>
        <v>13.520000000000001</v>
      </c>
      <c r="AN309" s="1111">
        <v>5</v>
      </c>
      <c r="AO309" s="1110">
        <v>6</v>
      </c>
      <c r="AP309" s="1109">
        <v>0.11</v>
      </c>
      <c r="AQ309" s="1746">
        <f t="shared" si="140"/>
        <v>0</v>
      </c>
      <c r="AR309" s="1739">
        <v>0.2</v>
      </c>
      <c r="AS309" s="1052">
        <f t="shared" si="141"/>
        <v>1.8181818181818183</v>
      </c>
      <c r="AT309" s="1049"/>
      <c r="AU309" s="1146"/>
      <c r="AV309" s="1049"/>
      <c r="AW309" s="1112">
        <f>SUM(BA304:BA327)</f>
        <v>7.4400000000000022</v>
      </c>
      <c r="AX309" s="1111">
        <v>5</v>
      </c>
      <c r="AY309" s="1110">
        <v>6</v>
      </c>
      <c r="AZ309" s="1109">
        <v>0.14000000000000001</v>
      </c>
      <c r="BA309" s="1738">
        <v>0.14000000000000001</v>
      </c>
      <c r="BB309" s="1739">
        <f t="shared" si="142"/>
        <v>1</v>
      </c>
      <c r="BC309" s="1049"/>
      <c r="BD309" s="1146"/>
      <c r="BE309" s="1049"/>
      <c r="BF309" s="1112">
        <f>SUM(BJ304:BJ327)</f>
        <v>0</v>
      </c>
      <c r="BG309" s="1111">
        <v>5</v>
      </c>
      <c r="BH309" s="1110">
        <v>6</v>
      </c>
      <c r="BI309" s="1055">
        <v>0.06</v>
      </c>
      <c r="BJ309" s="1738" t="s">
        <v>1362</v>
      </c>
      <c r="BK309" s="1049"/>
      <c r="BL309" s="1112">
        <f>SUM(BP304:BP327)</f>
        <v>0</v>
      </c>
      <c r="BM309" s="1111">
        <v>5</v>
      </c>
      <c r="BN309" s="1110">
        <v>6</v>
      </c>
      <c r="BO309" s="1109"/>
      <c r="BP309" s="1109"/>
      <c r="BQ309" s="1049"/>
    </row>
    <row r="310" spans="1:69" ht="14.4">
      <c r="A310" s="1049"/>
      <c r="B310" s="1093">
        <f>B309/B306</f>
        <v>2.9807383627608339</v>
      </c>
      <c r="C310" s="1100">
        <v>6</v>
      </c>
      <c r="D310" s="1099">
        <v>7</v>
      </c>
      <c r="E310" s="1107">
        <v>0.39</v>
      </c>
      <c r="F310" s="1106">
        <v>1.1100000000000001</v>
      </c>
      <c r="G310" s="1105">
        <f t="shared" si="132"/>
        <v>2.8461538461538463</v>
      </c>
      <c r="H310" s="1049"/>
      <c r="I310" s="1093">
        <f>I309/I306</f>
        <v>3.0698096101541248</v>
      </c>
      <c r="J310" s="1100">
        <v>6</v>
      </c>
      <c r="K310" s="1099">
        <v>7</v>
      </c>
      <c r="L310" s="1098">
        <v>0.316</v>
      </c>
      <c r="M310" s="1103">
        <v>0.92</v>
      </c>
      <c r="N310" s="1102">
        <f t="shared" si="133"/>
        <v>2.9113924050632911</v>
      </c>
      <c r="O310" s="1049"/>
      <c r="P310" s="1093">
        <f>P309/P306</f>
        <v>5.6674831598285369</v>
      </c>
      <c r="Q310" s="1100">
        <v>6</v>
      </c>
      <c r="R310" s="1099">
        <v>7</v>
      </c>
      <c r="S310" s="1098">
        <v>0.95599999999999996</v>
      </c>
      <c r="T310" s="1054">
        <f t="shared" si="134"/>
        <v>3.5180799999999999</v>
      </c>
      <c r="U310" s="1144">
        <v>4.4000000000000004</v>
      </c>
      <c r="V310" s="1052">
        <f t="shared" si="135"/>
        <v>4.6025104602510467</v>
      </c>
      <c r="W310" s="1049"/>
      <c r="X310" s="1108">
        <v>3.68</v>
      </c>
      <c r="Y310" s="1049"/>
      <c r="Z310" s="1050">
        <f t="shared" si="136"/>
        <v>2.7532799999999997</v>
      </c>
      <c r="AA310" s="1093">
        <f>AA309/AA306</f>
        <v>1.5779560516219042</v>
      </c>
      <c r="AB310" s="1100">
        <v>6</v>
      </c>
      <c r="AC310" s="1099">
        <v>7</v>
      </c>
      <c r="AD310" s="1098">
        <v>1.77</v>
      </c>
      <c r="AE310" s="1145">
        <f t="shared" si="137"/>
        <v>1.1328</v>
      </c>
      <c r="AF310" s="1144">
        <v>2.35</v>
      </c>
      <c r="AG310" s="1052">
        <f t="shared" si="138"/>
        <v>1.3276836158192091</v>
      </c>
      <c r="AH310" s="1049"/>
      <c r="AI310" s="1144">
        <v>0.64</v>
      </c>
      <c r="AJ310" s="1049"/>
      <c r="AK310" s="1050">
        <f t="shared" si="139"/>
        <v>-0.28320000000000006</v>
      </c>
      <c r="AL310" s="1049"/>
      <c r="AM310" s="1093">
        <f>AM309/AM306</f>
        <v>2.4716636197440587</v>
      </c>
      <c r="AN310" s="1100">
        <v>6</v>
      </c>
      <c r="AO310" s="1099">
        <v>7</v>
      </c>
      <c r="AP310" s="1098">
        <v>0.3</v>
      </c>
      <c r="AQ310" s="1747">
        <f t="shared" si="140"/>
        <v>0</v>
      </c>
      <c r="AR310" s="1741">
        <v>0.69</v>
      </c>
      <c r="AS310" s="1052">
        <f t="shared" si="141"/>
        <v>2.2999999999999998</v>
      </c>
      <c r="AT310" s="1049"/>
      <c r="AU310" s="1144"/>
      <c r="AV310" s="1049"/>
      <c r="AW310" s="1093">
        <f>AW309/AW306</f>
        <v>1.3098591549295777</v>
      </c>
      <c r="AX310" s="1100">
        <v>6</v>
      </c>
      <c r="AY310" s="1099">
        <v>7</v>
      </c>
      <c r="AZ310" s="1098">
        <v>0.12</v>
      </c>
      <c r="BA310" s="1740">
        <v>0.14000000000000001</v>
      </c>
      <c r="BB310" s="1741">
        <f t="shared" si="142"/>
        <v>1.1666666666666667</v>
      </c>
      <c r="BC310" s="1049"/>
      <c r="BD310" s="1144"/>
      <c r="BE310" s="1049"/>
      <c r="BF310" s="1093">
        <f>BF309/BF306</f>
        <v>0</v>
      </c>
      <c r="BG310" s="1100">
        <v>6</v>
      </c>
      <c r="BH310" s="1099">
        <v>7</v>
      </c>
      <c r="BI310" s="1055">
        <v>0.11</v>
      </c>
      <c r="BJ310" s="1740" t="s">
        <v>1394</v>
      </c>
      <c r="BK310" s="1049"/>
      <c r="BL310" s="1093" t="e">
        <f>BL309/BL306</f>
        <v>#DIV/0!</v>
      </c>
      <c r="BM310" s="1100">
        <v>6</v>
      </c>
      <c r="BN310" s="1099">
        <v>7</v>
      </c>
      <c r="BO310" s="1098"/>
      <c r="BP310" s="1098"/>
      <c r="BQ310" s="1049"/>
    </row>
    <row r="311" spans="1:69" ht="14.4">
      <c r="A311" s="1049"/>
      <c r="B311" s="1104"/>
      <c r="C311" s="1100">
        <v>7</v>
      </c>
      <c r="D311" s="1099">
        <v>8</v>
      </c>
      <c r="E311" s="1107">
        <v>0.36</v>
      </c>
      <c r="F311" s="1106">
        <v>1.04</v>
      </c>
      <c r="G311" s="1105">
        <f t="shared" si="132"/>
        <v>2.8888888888888893</v>
      </c>
      <c r="H311" s="1049"/>
      <c r="I311" s="1104"/>
      <c r="J311" s="1100">
        <v>7</v>
      </c>
      <c r="K311" s="1099">
        <v>8</v>
      </c>
      <c r="L311" s="1098">
        <v>0.42699999999999999</v>
      </c>
      <c r="M311" s="1103">
        <v>1.31</v>
      </c>
      <c r="N311" s="1102">
        <f t="shared" si="133"/>
        <v>3.0679156908665108</v>
      </c>
      <c r="O311" s="1049"/>
      <c r="P311" s="1101"/>
      <c r="Q311" s="1100">
        <v>7</v>
      </c>
      <c r="R311" s="1099">
        <v>8</v>
      </c>
      <c r="S311" s="1098">
        <v>1.4390000000000001</v>
      </c>
      <c r="T311" s="1054">
        <f t="shared" si="134"/>
        <v>7.0654900000000005</v>
      </c>
      <c r="U311" s="1144">
        <v>8.3800000000000008</v>
      </c>
      <c r="V311" s="1052">
        <f t="shared" si="135"/>
        <v>5.8234885337039612</v>
      </c>
      <c r="W311" s="1049"/>
      <c r="X311" s="1065">
        <v>4.91</v>
      </c>
      <c r="Y311" s="1049"/>
      <c r="Z311" s="1050">
        <f t="shared" si="136"/>
        <v>5.9142900000000003</v>
      </c>
      <c r="AA311" s="1101"/>
      <c r="AB311" s="1100">
        <v>7</v>
      </c>
      <c r="AC311" s="1099">
        <v>8</v>
      </c>
      <c r="AD311" s="1098">
        <v>2.08</v>
      </c>
      <c r="AE311" s="1145">
        <f t="shared" si="137"/>
        <v>1.976</v>
      </c>
      <c r="AF311" s="1144">
        <v>3.41</v>
      </c>
      <c r="AG311" s="1052">
        <f t="shared" si="138"/>
        <v>1.6394230769230769</v>
      </c>
      <c r="AH311" s="1049"/>
      <c r="AI311" s="1144">
        <v>0.95</v>
      </c>
      <c r="AJ311" s="1049"/>
      <c r="AK311" s="1050">
        <f t="shared" si="139"/>
        <v>0.31199999999999983</v>
      </c>
      <c r="AL311" s="1049"/>
      <c r="AM311" s="1101"/>
      <c r="AN311" s="1100">
        <v>7</v>
      </c>
      <c r="AO311" s="1099">
        <v>8</v>
      </c>
      <c r="AP311" s="1098">
        <v>0.54</v>
      </c>
      <c r="AQ311" s="1747">
        <f t="shared" si="140"/>
        <v>0</v>
      </c>
      <c r="AR311" s="1741">
        <v>1.43</v>
      </c>
      <c r="AS311" s="1052">
        <f t="shared" si="141"/>
        <v>2.6481481481481479</v>
      </c>
      <c r="AT311" s="1049"/>
      <c r="AU311" s="1144"/>
      <c r="AV311" s="1049"/>
      <c r="AW311" s="1101"/>
      <c r="AX311" s="1100">
        <v>7</v>
      </c>
      <c r="AY311" s="1099">
        <v>8</v>
      </c>
      <c r="AZ311" s="1098">
        <v>0.1</v>
      </c>
      <c r="BA311" s="1736">
        <v>0.15</v>
      </c>
      <c r="BB311" s="1741">
        <f t="shared" si="142"/>
        <v>1.4999999999999998</v>
      </c>
      <c r="BC311" s="1049"/>
      <c r="BD311" s="1144"/>
      <c r="BE311" s="1049"/>
      <c r="BF311" s="1101"/>
      <c r="BG311" s="1100">
        <v>7</v>
      </c>
      <c r="BH311" s="1099">
        <v>8</v>
      </c>
      <c r="BI311" s="1055">
        <v>0.23</v>
      </c>
      <c r="BJ311" s="1736" t="s">
        <v>1386</v>
      </c>
      <c r="BK311" s="1049"/>
      <c r="BL311" s="1101"/>
      <c r="BM311" s="1100">
        <v>7</v>
      </c>
      <c r="BN311" s="1099">
        <v>8</v>
      </c>
      <c r="BO311" s="1098"/>
      <c r="BP311" s="1098"/>
      <c r="BQ311" s="1049"/>
    </row>
    <row r="312" spans="1:69" ht="14.4">
      <c r="A312" s="1049"/>
      <c r="B312" s="1097">
        <f>B309/24</f>
        <v>1.5475000000000001</v>
      </c>
      <c r="C312" s="1086">
        <v>8</v>
      </c>
      <c r="D312" s="1085">
        <v>9</v>
      </c>
      <c r="E312" s="1091">
        <v>1.29</v>
      </c>
      <c r="F312" s="1090">
        <v>3.73</v>
      </c>
      <c r="G312" s="1089">
        <f t="shared" si="132"/>
        <v>2.8914728682170541</v>
      </c>
      <c r="H312" s="1049"/>
      <c r="I312" s="1097">
        <f>I309/24</f>
        <v>1.4108333333333329</v>
      </c>
      <c r="J312" s="1086">
        <v>8</v>
      </c>
      <c r="K312" s="1085">
        <v>9</v>
      </c>
      <c r="L312" s="1084">
        <v>0.38500000000000001</v>
      </c>
      <c r="M312" s="1088">
        <v>1.2</v>
      </c>
      <c r="N312" s="1087">
        <f t="shared" si="133"/>
        <v>3.1168831168831166</v>
      </c>
      <c r="O312" s="1049"/>
      <c r="P312" s="1096">
        <f>P309/24</f>
        <v>9.254999999999999</v>
      </c>
      <c r="Q312" s="1086">
        <v>8</v>
      </c>
      <c r="R312" s="1085">
        <v>9</v>
      </c>
      <c r="S312" s="1084">
        <v>1.831</v>
      </c>
      <c r="T312" s="1054">
        <f t="shared" si="134"/>
        <v>10.19867</v>
      </c>
      <c r="U312" s="1142">
        <v>11.89</v>
      </c>
      <c r="V312" s="1052">
        <f t="shared" si="135"/>
        <v>6.4937192790824687</v>
      </c>
      <c r="W312" s="1049"/>
      <c r="X312" s="1051">
        <v>5.57</v>
      </c>
      <c r="Y312" s="1049"/>
      <c r="Z312" s="1050">
        <f t="shared" si="136"/>
        <v>8.7338700000000014</v>
      </c>
      <c r="AA312" s="1096">
        <f>AA309/24</f>
        <v>3.7699999999999996</v>
      </c>
      <c r="AB312" s="1086">
        <v>8</v>
      </c>
      <c r="AC312" s="1085">
        <v>9</v>
      </c>
      <c r="AD312" s="1084">
        <v>2.5</v>
      </c>
      <c r="AE312" s="1143">
        <f t="shared" si="137"/>
        <v>2.8000000000000003</v>
      </c>
      <c r="AF312" s="1142">
        <v>4.5199999999999996</v>
      </c>
      <c r="AG312" s="1052">
        <f t="shared" si="138"/>
        <v>1.8079999999999998</v>
      </c>
      <c r="AH312" s="1049"/>
      <c r="AI312" s="1142">
        <v>1.1200000000000001</v>
      </c>
      <c r="AJ312" s="1049"/>
      <c r="AK312" s="1050">
        <f t="shared" si="139"/>
        <v>0.80000000000000016</v>
      </c>
      <c r="AL312" s="1049"/>
      <c r="AM312" s="1096">
        <f>AM309/24</f>
        <v>0.56333333333333335</v>
      </c>
      <c r="AN312" s="1086">
        <v>8</v>
      </c>
      <c r="AO312" s="1085">
        <v>9</v>
      </c>
      <c r="AP312" s="1084">
        <v>0.32</v>
      </c>
      <c r="AQ312" s="1748">
        <f t="shared" si="140"/>
        <v>0</v>
      </c>
      <c r="AR312" s="1742">
        <v>0.87</v>
      </c>
      <c r="AS312" s="1052">
        <f t="shared" si="141"/>
        <v>2.71875</v>
      </c>
      <c r="AT312" s="1049"/>
      <c r="AU312" s="1142"/>
      <c r="AV312" s="1049"/>
      <c r="AW312" s="1096">
        <f>AW309/24</f>
        <v>0.31000000000000011</v>
      </c>
      <c r="AX312" s="1086">
        <v>8</v>
      </c>
      <c r="AY312" s="1085">
        <v>9</v>
      </c>
      <c r="AZ312" s="1084">
        <v>0.15</v>
      </c>
      <c r="BA312" s="1736">
        <v>0.23</v>
      </c>
      <c r="BB312" s="1742">
        <f t="shared" si="142"/>
        <v>1.5333333333333334</v>
      </c>
      <c r="BC312" s="1049"/>
      <c r="BD312" s="1142"/>
      <c r="BE312" s="1049"/>
      <c r="BF312" s="1096">
        <f>BF309/24</f>
        <v>0</v>
      </c>
      <c r="BG312" s="1086">
        <v>8</v>
      </c>
      <c r="BH312" s="1085">
        <v>9</v>
      </c>
      <c r="BI312" s="1055">
        <v>0.23</v>
      </c>
      <c r="BJ312" s="1736" t="s">
        <v>1386</v>
      </c>
      <c r="BK312" s="1049"/>
      <c r="BL312" s="1096">
        <f>BL309/24</f>
        <v>0</v>
      </c>
      <c r="BM312" s="1086">
        <v>8</v>
      </c>
      <c r="BN312" s="1085">
        <v>9</v>
      </c>
      <c r="BO312" s="1084"/>
      <c r="BP312" s="1084"/>
      <c r="BQ312" s="1049"/>
    </row>
    <row r="313" spans="1:69" ht="14.4">
      <c r="A313" s="1049"/>
      <c r="B313" s="1097"/>
      <c r="C313" s="1086">
        <v>9</v>
      </c>
      <c r="D313" s="1085">
        <v>10</v>
      </c>
      <c r="E313" s="1091">
        <v>1.31</v>
      </c>
      <c r="F313" s="1090">
        <v>3.79</v>
      </c>
      <c r="G313" s="1089">
        <f t="shared" si="132"/>
        <v>2.8931297709923665</v>
      </c>
      <c r="H313" s="1049"/>
      <c r="I313" s="1097"/>
      <c r="J313" s="1086">
        <v>9</v>
      </c>
      <c r="K313" s="1085">
        <v>10</v>
      </c>
      <c r="L313" s="1084">
        <v>0.44800000000000001</v>
      </c>
      <c r="M313" s="1088">
        <v>1.29</v>
      </c>
      <c r="N313" s="1087">
        <f t="shared" si="133"/>
        <v>2.8794642857142856</v>
      </c>
      <c r="O313" s="1049"/>
      <c r="P313" s="1096"/>
      <c r="Q313" s="1086">
        <v>9</v>
      </c>
      <c r="R313" s="1085">
        <v>10</v>
      </c>
      <c r="S313" s="1084">
        <v>1.893</v>
      </c>
      <c r="T313" s="1054">
        <f t="shared" si="134"/>
        <v>10.24113</v>
      </c>
      <c r="U313" s="1142">
        <v>11.96</v>
      </c>
      <c r="V313" s="1052">
        <f t="shared" si="135"/>
        <v>6.3180137348124674</v>
      </c>
      <c r="W313" s="1049"/>
      <c r="X313" s="1051">
        <v>5.41</v>
      </c>
      <c r="Y313" s="1049"/>
      <c r="Z313" s="1050">
        <f t="shared" si="136"/>
        <v>8.7267299999999999</v>
      </c>
      <c r="AA313" s="1096"/>
      <c r="AB313" s="1086">
        <v>9</v>
      </c>
      <c r="AC313" s="1085">
        <v>10</v>
      </c>
      <c r="AD313" s="1084">
        <v>2.71</v>
      </c>
      <c r="AE313" s="1143">
        <f t="shared" si="137"/>
        <v>2.8997000000000002</v>
      </c>
      <c r="AF313" s="1142">
        <v>4.7699999999999996</v>
      </c>
      <c r="AG313" s="1052">
        <f t="shared" si="138"/>
        <v>1.7601476014760147</v>
      </c>
      <c r="AH313" s="1049"/>
      <c r="AI313" s="1142">
        <v>1.07</v>
      </c>
      <c r="AJ313" s="1049"/>
      <c r="AK313" s="1050">
        <f t="shared" si="139"/>
        <v>0.73170000000000002</v>
      </c>
      <c r="AL313" s="1049"/>
      <c r="AM313" s="1096"/>
      <c r="AN313" s="1086">
        <v>9</v>
      </c>
      <c r="AO313" s="1085">
        <v>10</v>
      </c>
      <c r="AP313" s="1084">
        <v>0.18</v>
      </c>
      <c r="AQ313" s="1748">
        <f t="shared" si="140"/>
        <v>0</v>
      </c>
      <c r="AR313" s="1742">
        <v>0.48</v>
      </c>
      <c r="AS313" s="1052">
        <f t="shared" si="141"/>
        <v>2.6666666666666665</v>
      </c>
      <c r="AT313" s="1049"/>
      <c r="AU313" s="1142"/>
      <c r="AV313" s="1049"/>
      <c r="AW313" s="1096"/>
      <c r="AX313" s="1086">
        <v>9</v>
      </c>
      <c r="AY313" s="1085">
        <v>10</v>
      </c>
      <c r="AZ313" s="1084">
        <v>0.25</v>
      </c>
      <c r="BA313" s="1736">
        <v>0.3</v>
      </c>
      <c r="BB313" s="1742">
        <f t="shared" si="142"/>
        <v>1.2</v>
      </c>
      <c r="BC313" s="1049"/>
      <c r="BD313" s="1142"/>
      <c r="BE313" s="1049"/>
      <c r="BF313" s="1096"/>
      <c r="BG313" s="1086">
        <v>9</v>
      </c>
      <c r="BH313" s="1085">
        <v>10</v>
      </c>
      <c r="BI313" s="1055">
        <v>0.37</v>
      </c>
      <c r="BJ313" s="1736" t="s">
        <v>1396</v>
      </c>
      <c r="BK313" s="1049"/>
      <c r="BL313" s="1096"/>
      <c r="BM313" s="1086">
        <v>9</v>
      </c>
      <c r="BN313" s="1085">
        <v>10</v>
      </c>
      <c r="BO313" s="1084"/>
      <c r="BP313" s="1084"/>
      <c r="BQ313" s="1049"/>
    </row>
    <row r="314" spans="1:69" ht="14.4">
      <c r="A314" s="1049"/>
      <c r="B314" s="1060"/>
      <c r="C314" s="1086">
        <v>10</v>
      </c>
      <c r="D314" s="1085">
        <v>11</v>
      </c>
      <c r="E314" s="1091">
        <v>0.9</v>
      </c>
      <c r="F314" s="1090">
        <v>2.58</v>
      </c>
      <c r="G314" s="1089">
        <f t="shared" si="132"/>
        <v>2.8666666666666667</v>
      </c>
      <c r="H314" s="1049"/>
      <c r="I314" s="1060"/>
      <c r="J314" s="1086">
        <v>10</v>
      </c>
      <c r="K314" s="1085">
        <v>11</v>
      </c>
      <c r="L314" s="1084">
        <v>0.50600000000000001</v>
      </c>
      <c r="M314" s="1088">
        <v>1.41</v>
      </c>
      <c r="N314" s="1087">
        <f t="shared" si="133"/>
        <v>2.7865612648221343</v>
      </c>
      <c r="O314" s="1049"/>
      <c r="P314" s="1095">
        <f>SUM(Z304:Z327)</f>
        <v>154.72247999999996</v>
      </c>
      <c r="Q314" s="1086">
        <v>10</v>
      </c>
      <c r="R314" s="1085">
        <v>11</v>
      </c>
      <c r="S314" s="1084">
        <v>1.833</v>
      </c>
      <c r="T314" s="1054">
        <f t="shared" si="134"/>
        <v>9.29331</v>
      </c>
      <c r="U314" s="1142">
        <v>10.98</v>
      </c>
      <c r="V314" s="1052">
        <f t="shared" si="135"/>
        <v>5.9901800327332246</v>
      </c>
      <c r="W314" s="1049"/>
      <c r="X314" s="1051">
        <v>5.07</v>
      </c>
      <c r="Y314" s="1049"/>
      <c r="Z314" s="1050">
        <f t="shared" si="136"/>
        <v>7.8269100000000007</v>
      </c>
      <c r="AA314" s="1095">
        <f>SUM(AK304:AK327)</f>
        <v>0.32119999999999849</v>
      </c>
      <c r="AB314" s="1086">
        <v>10</v>
      </c>
      <c r="AC314" s="1085">
        <v>11</v>
      </c>
      <c r="AD314" s="1084">
        <v>2.81</v>
      </c>
      <c r="AE314" s="1143">
        <f t="shared" si="137"/>
        <v>2.8381000000000003</v>
      </c>
      <c r="AF314" s="1142">
        <v>4.78</v>
      </c>
      <c r="AG314" s="1052">
        <f t="shared" si="138"/>
        <v>1.7010676156583631</v>
      </c>
      <c r="AH314" s="1049"/>
      <c r="AI314" s="1142">
        <v>1.01</v>
      </c>
      <c r="AJ314" s="1049"/>
      <c r="AK314" s="1050">
        <f t="shared" si="139"/>
        <v>0.59009999999999996</v>
      </c>
      <c r="AL314" s="1049"/>
      <c r="AM314" s="1095" t="e">
        <f>SUM(#REF!)</f>
        <v>#REF!</v>
      </c>
      <c r="AN314" s="1086">
        <v>10</v>
      </c>
      <c r="AO314" s="1085">
        <v>11</v>
      </c>
      <c r="AP314" s="1084">
        <v>0.13</v>
      </c>
      <c r="AQ314" s="1748">
        <f t="shared" si="140"/>
        <v>0</v>
      </c>
      <c r="AR314" s="1742">
        <v>0.32</v>
      </c>
      <c r="AS314" s="1052">
        <f t="shared" si="141"/>
        <v>2.4615384615384617</v>
      </c>
      <c r="AT314" s="1049"/>
      <c r="AU314" s="1142"/>
      <c r="AV314" s="1049"/>
      <c r="AW314" s="1095" t="e">
        <f>SUM(#REF!)</f>
        <v>#REF!</v>
      </c>
      <c r="AX314" s="1086">
        <v>10</v>
      </c>
      <c r="AY314" s="1085">
        <v>11</v>
      </c>
      <c r="AZ314" s="1084">
        <v>0.52</v>
      </c>
      <c r="BA314" s="1736">
        <v>0.57999999999999996</v>
      </c>
      <c r="BB314" s="1742">
        <f t="shared" si="142"/>
        <v>1.1153846153846152</v>
      </c>
      <c r="BC314" s="1049"/>
      <c r="BD314" s="1142"/>
      <c r="BE314" s="1049"/>
      <c r="BF314" s="1095" t="e">
        <f>SUM(#REF!)</f>
        <v>#REF!</v>
      </c>
      <c r="BG314" s="1086">
        <v>10</v>
      </c>
      <c r="BH314" s="1085">
        <v>11</v>
      </c>
      <c r="BI314" s="1055">
        <v>0.28000000000000003</v>
      </c>
      <c r="BJ314" s="1736" t="s">
        <v>1412</v>
      </c>
      <c r="BK314" s="1049"/>
      <c r="BL314" s="1095" t="e">
        <f>SUM(#REF!)</f>
        <v>#REF!</v>
      </c>
      <c r="BM314" s="1086">
        <v>10</v>
      </c>
      <c r="BN314" s="1085">
        <v>11</v>
      </c>
      <c r="BO314" s="1084"/>
      <c r="BP314" s="1084"/>
      <c r="BQ314" s="1049"/>
    </row>
    <row r="315" spans="1:69" ht="14.4">
      <c r="A315" s="1049"/>
      <c r="B315" s="1060"/>
      <c r="C315" s="1086">
        <v>11</v>
      </c>
      <c r="D315" s="1085">
        <v>12</v>
      </c>
      <c r="E315" s="1091">
        <v>0.55000000000000004</v>
      </c>
      <c r="F315" s="1090">
        <v>1.59</v>
      </c>
      <c r="G315" s="1089">
        <f t="shared" si="132"/>
        <v>2.8909090909090907</v>
      </c>
      <c r="H315" s="1049"/>
      <c r="I315" s="1060"/>
      <c r="J315" s="1086">
        <v>11</v>
      </c>
      <c r="K315" s="1085">
        <v>12</v>
      </c>
      <c r="L315" s="1084">
        <v>1.3380000000000001</v>
      </c>
      <c r="M315" s="1088">
        <v>3.88</v>
      </c>
      <c r="N315" s="1087">
        <f t="shared" si="133"/>
        <v>2.8998505231689085</v>
      </c>
      <c r="O315" s="1049"/>
      <c r="P315" s="1093">
        <f>P314/P306</f>
        <v>3.9478077158603795</v>
      </c>
      <c r="Q315" s="1086">
        <v>11</v>
      </c>
      <c r="R315" s="1085">
        <v>12</v>
      </c>
      <c r="S315" s="1084">
        <v>2.1779999999999999</v>
      </c>
      <c r="T315" s="1054">
        <f t="shared" si="134"/>
        <v>10.80288</v>
      </c>
      <c r="U315" s="1142">
        <v>12.79</v>
      </c>
      <c r="V315" s="1052">
        <f t="shared" si="135"/>
        <v>5.8723599632690542</v>
      </c>
      <c r="W315" s="1049"/>
      <c r="X315" s="1051">
        <v>4.96</v>
      </c>
      <c r="Y315" s="1049"/>
      <c r="Z315" s="1050">
        <f t="shared" si="136"/>
        <v>9.0604800000000001</v>
      </c>
      <c r="AA315" s="1093">
        <f>AA314/AA306</f>
        <v>5.6016742239274235E-3</v>
      </c>
      <c r="AB315" s="1086">
        <v>11</v>
      </c>
      <c r="AC315" s="1085">
        <v>12</v>
      </c>
      <c r="AD315" s="1084">
        <v>2.92</v>
      </c>
      <c r="AE315" s="1143">
        <f t="shared" si="137"/>
        <v>2.6863999999999999</v>
      </c>
      <c r="AF315" s="1142">
        <v>4.71</v>
      </c>
      <c r="AG315" s="1052">
        <f t="shared" si="138"/>
        <v>1.6130136986301371</v>
      </c>
      <c r="AH315" s="1049"/>
      <c r="AI315" s="1142">
        <v>0.92</v>
      </c>
      <c r="AJ315" s="1049"/>
      <c r="AK315" s="1050">
        <f t="shared" si="139"/>
        <v>0.35039999999999999</v>
      </c>
      <c r="AL315" s="1049"/>
      <c r="AM315" s="1093" t="e">
        <f>AM314/AM306</f>
        <v>#REF!</v>
      </c>
      <c r="AN315" s="1086">
        <v>11</v>
      </c>
      <c r="AO315" s="1085">
        <v>12</v>
      </c>
      <c r="AP315" s="1084">
        <v>0.17</v>
      </c>
      <c r="AQ315" s="1748">
        <f t="shared" si="140"/>
        <v>0</v>
      </c>
      <c r="AR315" s="1742">
        <v>0.36</v>
      </c>
      <c r="AS315" s="1052">
        <f t="shared" si="141"/>
        <v>2.117647058823529</v>
      </c>
      <c r="AT315" s="1049"/>
      <c r="AU315" s="1142"/>
      <c r="AV315" s="1049"/>
      <c r="AW315" s="1093" t="e">
        <f>AW314/AW306</f>
        <v>#REF!</v>
      </c>
      <c r="AX315" s="1086">
        <v>11</v>
      </c>
      <c r="AY315" s="1085">
        <v>12</v>
      </c>
      <c r="AZ315" s="1084">
        <v>0.38</v>
      </c>
      <c r="BA315" s="1736">
        <v>0.39</v>
      </c>
      <c r="BB315" s="1742">
        <f t="shared" si="142"/>
        <v>1.0263157894736843</v>
      </c>
      <c r="BC315" s="1049"/>
      <c r="BD315" s="1142"/>
      <c r="BE315" s="1049"/>
      <c r="BF315" s="1093" t="e">
        <f>BF314/BF306</f>
        <v>#REF!</v>
      </c>
      <c r="BG315" s="1086">
        <v>11</v>
      </c>
      <c r="BH315" s="1085">
        <v>12</v>
      </c>
      <c r="BI315" s="1055">
        <v>0.31</v>
      </c>
      <c r="BJ315" s="1736" t="s">
        <v>1388</v>
      </c>
      <c r="BK315" s="1049"/>
      <c r="BL315" s="1093" t="e">
        <f>BL314/BL306</f>
        <v>#REF!</v>
      </c>
      <c r="BM315" s="1086">
        <v>11</v>
      </c>
      <c r="BN315" s="1085">
        <v>12</v>
      </c>
      <c r="BO315" s="1084"/>
      <c r="BP315" s="1084"/>
      <c r="BQ315" s="1049"/>
    </row>
    <row r="316" spans="1:69" ht="14.4">
      <c r="A316" s="1049"/>
      <c r="B316" s="1060"/>
      <c r="C316" s="1086">
        <v>12</v>
      </c>
      <c r="D316" s="1085">
        <v>13</v>
      </c>
      <c r="E316" s="1091">
        <v>0.4</v>
      </c>
      <c r="F316" s="1090">
        <v>1.1399999999999999</v>
      </c>
      <c r="G316" s="1089">
        <f t="shared" si="132"/>
        <v>2.8499999999999996</v>
      </c>
      <c r="H316" s="1049"/>
      <c r="I316" s="1060"/>
      <c r="J316" s="1086">
        <v>12</v>
      </c>
      <c r="K316" s="1085">
        <v>13</v>
      </c>
      <c r="L316" s="1084">
        <v>1.4159999999999999</v>
      </c>
      <c r="M316" s="1088">
        <v>4.0599999999999996</v>
      </c>
      <c r="N316" s="1087">
        <f t="shared" si="133"/>
        <v>2.8672316384180792</v>
      </c>
      <c r="O316" s="1049"/>
      <c r="P316" s="1060"/>
      <c r="Q316" s="1086">
        <v>12</v>
      </c>
      <c r="R316" s="1085" t="s">
        <v>144</v>
      </c>
      <c r="S316" s="1084">
        <v>2.1280000000000001</v>
      </c>
      <c r="T316" s="1054">
        <f t="shared" si="134"/>
        <v>10.086720000000001</v>
      </c>
      <c r="U316" s="1142">
        <v>12.05</v>
      </c>
      <c r="V316" s="1052">
        <f t="shared" si="135"/>
        <v>5.6625939849624061</v>
      </c>
      <c r="W316" s="1049"/>
      <c r="X316" s="1051">
        <v>4.74</v>
      </c>
      <c r="Y316" s="1049"/>
      <c r="Z316" s="1050">
        <f t="shared" si="136"/>
        <v>8.3843200000000007</v>
      </c>
      <c r="AA316" s="1060"/>
      <c r="AB316" s="1086">
        <v>12</v>
      </c>
      <c r="AC316" s="1085">
        <v>13</v>
      </c>
      <c r="AD316" s="1084">
        <v>4.57</v>
      </c>
      <c r="AE316" s="1143">
        <f t="shared" si="137"/>
        <v>3.8388</v>
      </c>
      <c r="AF316" s="1142">
        <v>7.02</v>
      </c>
      <c r="AG316" s="1052">
        <f t="shared" si="138"/>
        <v>1.536105032822757</v>
      </c>
      <c r="AH316" s="1049"/>
      <c r="AI316" s="1142">
        <v>0.84</v>
      </c>
      <c r="AJ316" s="1049"/>
      <c r="AK316" s="1050">
        <f t="shared" si="139"/>
        <v>0.18279999999999966</v>
      </c>
      <c r="AL316" s="1049"/>
      <c r="AM316" s="1060"/>
      <c r="AN316" s="1086">
        <v>12</v>
      </c>
      <c r="AO316" s="1085">
        <v>13</v>
      </c>
      <c r="AP316" s="1084">
        <v>0.34</v>
      </c>
      <c r="AQ316" s="1748">
        <f t="shared" si="140"/>
        <v>0</v>
      </c>
      <c r="AR316" s="1742">
        <v>0.67</v>
      </c>
      <c r="AS316" s="1052">
        <f t="shared" si="141"/>
        <v>1.9705882352941175</v>
      </c>
      <c r="AT316" s="1049"/>
      <c r="AU316" s="1142"/>
      <c r="AV316" s="1049"/>
      <c r="AW316" s="1060"/>
      <c r="AX316" s="1086">
        <v>12</v>
      </c>
      <c r="AY316" s="1085">
        <v>13</v>
      </c>
      <c r="AZ316" s="1084">
        <v>0.26</v>
      </c>
      <c r="BA316" s="1736">
        <v>0.22</v>
      </c>
      <c r="BB316" s="1742">
        <f t="shared" si="142"/>
        <v>0.84615384615384615</v>
      </c>
      <c r="BC316" s="1049"/>
      <c r="BD316" s="1142"/>
      <c r="BE316" s="1049"/>
      <c r="BF316" s="1060"/>
      <c r="BG316" s="1086">
        <v>12</v>
      </c>
      <c r="BH316" s="1085">
        <v>13</v>
      </c>
      <c r="BI316" s="1055">
        <v>0.42</v>
      </c>
      <c r="BJ316" s="1736" t="s">
        <v>1390</v>
      </c>
      <c r="BK316" s="1049"/>
      <c r="BL316" s="1060"/>
      <c r="BM316" s="1086">
        <v>12</v>
      </c>
      <c r="BN316" s="1085">
        <v>13</v>
      </c>
      <c r="BO316" s="1084"/>
      <c r="BP316" s="1084"/>
      <c r="BQ316" s="1049"/>
    </row>
    <row r="317" spans="1:69" ht="14.4">
      <c r="A317" s="1049"/>
      <c r="B317" s="1060"/>
      <c r="C317" s="1086">
        <v>13</v>
      </c>
      <c r="D317" s="1085">
        <v>14</v>
      </c>
      <c r="E317" s="1091">
        <v>0.4</v>
      </c>
      <c r="F317" s="1090">
        <v>1.1499999999999999</v>
      </c>
      <c r="G317" s="1089">
        <f t="shared" si="132"/>
        <v>2.8749999999999996</v>
      </c>
      <c r="H317" s="1049"/>
      <c r="I317" s="1060"/>
      <c r="J317" s="1086">
        <v>13</v>
      </c>
      <c r="K317" s="1085">
        <v>14</v>
      </c>
      <c r="L317" s="1084">
        <v>0.435</v>
      </c>
      <c r="M317" s="1088">
        <v>1.23</v>
      </c>
      <c r="N317" s="1087">
        <f t="shared" si="133"/>
        <v>2.8275862068965516</v>
      </c>
      <c r="O317" s="1049"/>
      <c r="P317" s="1092" t="s">
        <v>1127</v>
      </c>
      <c r="Q317" s="1086">
        <v>13</v>
      </c>
      <c r="R317" s="1085"/>
      <c r="S317" s="1084">
        <v>2.5179999999999998</v>
      </c>
      <c r="T317" s="1054">
        <f t="shared" si="134"/>
        <v>12.489279999999999</v>
      </c>
      <c r="U317" s="1142">
        <v>14.81</v>
      </c>
      <c r="V317" s="1052">
        <f t="shared" si="135"/>
        <v>5.8816521048451156</v>
      </c>
      <c r="W317" s="1049"/>
      <c r="X317" s="1051">
        <v>4.96</v>
      </c>
      <c r="Y317" s="1049"/>
      <c r="Z317" s="1050">
        <f t="shared" si="136"/>
        <v>10.474879999999999</v>
      </c>
      <c r="AA317" s="1092" t="s">
        <v>1127</v>
      </c>
      <c r="AB317" s="1086">
        <v>13</v>
      </c>
      <c r="AC317" s="1085">
        <v>14</v>
      </c>
      <c r="AD317" s="1084">
        <v>4.3099999999999996</v>
      </c>
      <c r="AE317" s="1143">
        <f t="shared" si="137"/>
        <v>3.4049</v>
      </c>
      <c r="AF317" s="1142">
        <v>6.36</v>
      </c>
      <c r="AG317" s="1052">
        <f t="shared" si="138"/>
        <v>1.4756380510440836</v>
      </c>
      <c r="AH317" s="1049"/>
      <c r="AI317" s="1142">
        <v>0.79</v>
      </c>
      <c r="AJ317" s="1049"/>
      <c r="AK317" s="1050">
        <f t="shared" si="139"/>
        <v>-4.3100000000000034E-2</v>
      </c>
      <c r="AL317" s="1049"/>
      <c r="AM317" s="1092" t="s">
        <v>1127</v>
      </c>
      <c r="AN317" s="1086">
        <v>13</v>
      </c>
      <c r="AO317" s="1085">
        <v>14</v>
      </c>
      <c r="AP317" s="1084">
        <v>0.31</v>
      </c>
      <c r="AQ317" s="1748">
        <f t="shared" si="140"/>
        <v>0</v>
      </c>
      <c r="AR317" s="1742">
        <v>0.6</v>
      </c>
      <c r="AS317" s="1052">
        <f t="shared" si="141"/>
        <v>1.9354838709677418</v>
      </c>
      <c r="AT317" s="1049"/>
      <c r="AU317" s="1142"/>
      <c r="AV317" s="1049"/>
      <c r="AW317" s="1092" t="s">
        <v>1127</v>
      </c>
      <c r="AX317" s="1086">
        <v>13</v>
      </c>
      <c r="AY317" s="1085">
        <v>14</v>
      </c>
      <c r="AZ317" s="1084">
        <v>0.09</v>
      </c>
      <c r="BA317" s="1736">
        <v>7.0000000000000007E-2</v>
      </c>
      <c r="BB317" s="1742">
        <f t="shared" si="142"/>
        <v>0.7777777777777779</v>
      </c>
      <c r="BC317" s="1049"/>
      <c r="BD317" s="1142"/>
      <c r="BE317" s="1049"/>
      <c r="BF317" s="1092" t="s">
        <v>1127</v>
      </c>
      <c r="BG317" s="1086">
        <v>13</v>
      </c>
      <c r="BH317" s="1085">
        <v>14</v>
      </c>
      <c r="BI317" s="1055">
        <v>0.33</v>
      </c>
      <c r="BJ317" s="1736" t="s">
        <v>1386</v>
      </c>
      <c r="BK317" s="1049"/>
      <c r="BL317" s="1092" t="s">
        <v>1127</v>
      </c>
      <c r="BM317" s="1086">
        <v>13</v>
      </c>
      <c r="BN317" s="1085">
        <v>14</v>
      </c>
      <c r="BO317" s="1084"/>
      <c r="BP317" s="1084"/>
      <c r="BQ317" s="1049"/>
    </row>
    <row r="318" spans="1:69" ht="14.4">
      <c r="A318" s="1049"/>
      <c r="B318" s="1060"/>
      <c r="C318" s="1086">
        <v>14</v>
      </c>
      <c r="D318" s="1085">
        <v>15</v>
      </c>
      <c r="E318" s="1091">
        <v>0.46</v>
      </c>
      <c r="F318" s="1090">
        <v>1.33</v>
      </c>
      <c r="G318" s="1089">
        <f t="shared" si="132"/>
        <v>2.8913043478260869</v>
      </c>
      <c r="H318" s="1049"/>
      <c r="I318" s="1060"/>
      <c r="J318" s="1086">
        <v>14</v>
      </c>
      <c r="K318" s="1085">
        <v>15</v>
      </c>
      <c r="L318" s="1084">
        <v>0.40799999999999997</v>
      </c>
      <c r="M318" s="1088">
        <v>1.2</v>
      </c>
      <c r="N318" s="1087">
        <f t="shared" si="133"/>
        <v>2.9411764705882355</v>
      </c>
      <c r="O318" s="1049"/>
      <c r="P318" s="1058">
        <f>P306*0.8</f>
        <v>31.353599999999997</v>
      </c>
      <c r="Q318" s="1086">
        <v>14</v>
      </c>
      <c r="R318" s="1085">
        <v>15</v>
      </c>
      <c r="S318" s="1084">
        <v>2.8450000000000002</v>
      </c>
      <c r="T318" s="1054">
        <f t="shared" si="134"/>
        <v>15.33455</v>
      </c>
      <c r="U318" s="1142">
        <v>17.97</v>
      </c>
      <c r="V318" s="1052">
        <f t="shared" si="135"/>
        <v>6.3163444639718795</v>
      </c>
      <c r="W318" s="1049"/>
      <c r="X318" s="1051">
        <v>5.39</v>
      </c>
      <c r="Y318" s="1049"/>
      <c r="Z318" s="1050">
        <f t="shared" si="136"/>
        <v>13.05855</v>
      </c>
      <c r="AA318" s="1058">
        <f>AA306*0.8</f>
        <v>45.872000000000007</v>
      </c>
      <c r="AB318" s="1086">
        <v>14</v>
      </c>
      <c r="AC318" s="1085">
        <v>15</v>
      </c>
      <c r="AD318" s="1084">
        <v>3.32</v>
      </c>
      <c r="AE318" s="1143">
        <f t="shared" si="137"/>
        <v>2.7223999999999995</v>
      </c>
      <c r="AF318" s="1142">
        <v>5</v>
      </c>
      <c r="AG318" s="1052">
        <f t="shared" si="138"/>
        <v>1.5060240963855422</v>
      </c>
      <c r="AH318" s="1049"/>
      <c r="AI318" s="1142">
        <v>0.82</v>
      </c>
      <c r="AJ318" s="1049"/>
      <c r="AK318" s="1050">
        <f t="shared" si="139"/>
        <v>6.6399999999999681E-2</v>
      </c>
      <c r="AL318" s="1049"/>
      <c r="AM318" s="1058">
        <f>AM306*0.8</f>
        <v>4.3760000000000003</v>
      </c>
      <c r="AN318" s="1086">
        <v>14</v>
      </c>
      <c r="AO318" s="1085">
        <v>15</v>
      </c>
      <c r="AP318" s="1084">
        <v>0.27</v>
      </c>
      <c r="AQ318" s="1748">
        <f t="shared" si="140"/>
        <v>0</v>
      </c>
      <c r="AR318" s="1742">
        <v>0.52</v>
      </c>
      <c r="AS318" s="1052">
        <f t="shared" si="141"/>
        <v>1.9259259259259258</v>
      </c>
      <c r="AT318" s="1049"/>
      <c r="AU318" s="1142"/>
      <c r="AV318" s="1049"/>
      <c r="AW318" s="1058">
        <f>AW306*0.8</f>
        <v>4.5440000000000005</v>
      </c>
      <c r="AX318" s="1086">
        <v>14</v>
      </c>
      <c r="AY318" s="1085">
        <v>15</v>
      </c>
      <c r="AZ318" s="1084">
        <v>0.15</v>
      </c>
      <c r="BA318" s="1736">
        <v>0.12</v>
      </c>
      <c r="BB318" s="1742">
        <f t="shared" si="142"/>
        <v>0.8</v>
      </c>
      <c r="BC318" s="1049"/>
      <c r="BD318" s="1142"/>
      <c r="BE318" s="1049"/>
      <c r="BF318" s="1058">
        <f>BF306*0.8</f>
        <v>5.7119999999999997</v>
      </c>
      <c r="BG318" s="1086">
        <v>14</v>
      </c>
      <c r="BH318" s="1085">
        <v>15</v>
      </c>
      <c r="BI318" s="1055">
        <v>0.5</v>
      </c>
      <c r="BJ318" s="1736" t="s">
        <v>1396</v>
      </c>
      <c r="BK318" s="1049"/>
      <c r="BL318" s="1058">
        <f>BL306*0.8</f>
        <v>0</v>
      </c>
      <c r="BM318" s="1086">
        <v>14</v>
      </c>
      <c r="BN318" s="1085">
        <v>15</v>
      </c>
      <c r="BO318" s="1084"/>
      <c r="BP318" s="1084"/>
      <c r="BQ318" s="1049"/>
    </row>
    <row r="319" spans="1:69" ht="14.4">
      <c r="A319" s="1049"/>
      <c r="B319" s="1060"/>
      <c r="C319" s="1086">
        <v>15</v>
      </c>
      <c r="D319" s="1085">
        <v>16</v>
      </c>
      <c r="E319" s="1091">
        <v>0.4</v>
      </c>
      <c r="F319" s="1090">
        <v>1.1599999999999999</v>
      </c>
      <c r="G319" s="1089">
        <f t="shared" si="132"/>
        <v>2.8999999999999995</v>
      </c>
      <c r="H319" s="1049"/>
      <c r="I319" s="1060"/>
      <c r="J319" s="1086">
        <v>15</v>
      </c>
      <c r="K319" s="1085">
        <v>16</v>
      </c>
      <c r="L319" s="1084">
        <v>0.59399999999999997</v>
      </c>
      <c r="M319" s="1088">
        <v>1.77</v>
      </c>
      <c r="N319" s="1087">
        <f t="shared" si="133"/>
        <v>2.9797979797979801</v>
      </c>
      <c r="O319" s="1049"/>
      <c r="P319" s="1058" t="s">
        <v>1126</v>
      </c>
      <c r="Q319" s="1086">
        <v>15</v>
      </c>
      <c r="R319" s="1085">
        <v>16</v>
      </c>
      <c r="S319" s="1084">
        <v>2.306</v>
      </c>
      <c r="T319" s="1054">
        <f t="shared" si="134"/>
        <v>12.821359999999999</v>
      </c>
      <c r="U319" s="1142">
        <v>14.94</v>
      </c>
      <c r="V319" s="1052">
        <f t="shared" si="135"/>
        <v>6.4787510841283602</v>
      </c>
      <c r="W319" s="1049"/>
      <c r="X319" s="1051">
        <v>5.56</v>
      </c>
      <c r="Y319" s="1049"/>
      <c r="Z319" s="1050">
        <f t="shared" si="136"/>
        <v>10.976559999999999</v>
      </c>
      <c r="AA319" s="1058" t="s">
        <v>1126</v>
      </c>
      <c r="AB319" s="1086">
        <v>15</v>
      </c>
      <c r="AC319" s="1085">
        <v>16</v>
      </c>
      <c r="AD319" s="1084">
        <v>2.15</v>
      </c>
      <c r="AE319" s="1143">
        <f t="shared" si="137"/>
        <v>1.8704999999999998</v>
      </c>
      <c r="AF319" s="1142">
        <v>3.37</v>
      </c>
      <c r="AG319" s="1052">
        <f t="shared" si="138"/>
        <v>1.5674418604651164</v>
      </c>
      <c r="AH319" s="1049"/>
      <c r="AI319" s="1142">
        <v>0.87</v>
      </c>
      <c r="AJ319" s="1049"/>
      <c r="AK319" s="1050">
        <f t="shared" si="139"/>
        <v>0.15049999999999988</v>
      </c>
      <c r="AL319" s="1049"/>
      <c r="AM319" s="1058" t="s">
        <v>1126</v>
      </c>
      <c r="AN319" s="1086">
        <v>15</v>
      </c>
      <c r="AO319" s="1085">
        <v>16</v>
      </c>
      <c r="AP319" s="1084">
        <v>0.21</v>
      </c>
      <c r="AQ319" s="1748">
        <f t="shared" si="140"/>
        <v>0</v>
      </c>
      <c r="AR319" s="1742">
        <v>0.41</v>
      </c>
      <c r="AS319" s="1052">
        <f t="shared" si="141"/>
        <v>1.9523809523809523</v>
      </c>
      <c r="AT319" s="1049"/>
      <c r="AU319" s="1142"/>
      <c r="AV319" s="1049"/>
      <c r="AW319" s="1058" t="s">
        <v>1126</v>
      </c>
      <c r="AX319" s="1086">
        <v>15</v>
      </c>
      <c r="AY319" s="1085">
        <v>16</v>
      </c>
      <c r="AZ319" s="1084">
        <v>0.72</v>
      </c>
      <c r="BA319" s="1736">
        <v>0.59</v>
      </c>
      <c r="BB319" s="1742">
        <f t="shared" si="142"/>
        <v>0.81944444444444442</v>
      </c>
      <c r="BC319" s="1049"/>
      <c r="BD319" s="1142"/>
      <c r="BE319" s="1049"/>
      <c r="BF319" s="1058" t="s">
        <v>1126</v>
      </c>
      <c r="BG319" s="1086">
        <v>15</v>
      </c>
      <c r="BH319" s="1085">
        <v>16</v>
      </c>
      <c r="BI319" s="1055">
        <v>0.38</v>
      </c>
      <c r="BJ319" s="1736" t="s">
        <v>1372</v>
      </c>
      <c r="BK319" s="1049"/>
      <c r="BL319" s="1058" t="s">
        <v>1126</v>
      </c>
      <c r="BM319" s="1086">
        <v>15</v>
      </c>
      <c r="BN319" s="1085">
        <v>16</v>
      </c>
      <c r="BO319" s="1084"/>
      <c r="BP319" s="1084"/>
      <c r="BQ319" s="1049"/>
    </row>
    <row r="320" spans="1:69" ht="15" thickBot="1">
      <c r="A320" s="1049"/>
      <c r="B320" s="1060"/>
      <c r="C320" s="1077">
        <v>16</v>
      </c>
      <c r="D320" s="1076">
        <v>17</v>
      </c>
      <c r="E320" s="1083">
        <v>0.38</v>
      </c>
      <c r="F320" s="1082">
        <v>1.0900000000000001</v>
      </c>
      <c r="G320" s="1081">
        <f t="shared" si="132"/>
        <v>2.8684210526315792</v>
      </c>
      <c r="H320" s="1049"/>
      <c r="I320" s="1060"/>
      <c r="J320" s="1077">
        <v>16</v>
      </c>
      <c r="K320" s="1076">
        <v>17</v>
      </c>
      <c r="L320" s="1075">
        <v>0.40100000000000002</v>
      </c>
      <c r="M320" s="1080">
        <v>1.23</v>
      </c>
      <c r="N320" s="1079">
        <f t="shared" si="133"/>
        <v>3.0673316708229423</v>
      </c>
      <c r="O320" s="1049"/>
      <c r="P320" s="1078">
        <f>P306*(X303-0.8)</f>
        <v>161.88745499999999</v>
      </c>
      <c r="Q320" s="1077">
        <v>16</v>
      </c>
      <c r="R320" s="1076">
        <v>17</v>
      </c>
      <c r="S320" s="1075">
        <v>2.5390000000000001</v>
      </c>
      <c r="T320" s="1054">
        <f t="shared" si="134"/>
        <v>14.573860000000002</v>
      </c>
      <c r="U320" s="1140">
        <v>16.91</v>
      </c>
      <c r="V320" s="1052">
        <f t="shared" si="135"/>
        <v>6.6601024025206774</v>
      </c>
      <c r="W320" s="1049"/>
      <c r="X320" s="1074">
        <v>5.74</v>
      </c>
      <c r="Y320" s="1049"/>
      <c r="Z320" s="1050">
        <f t="shared" si="136"/>
        <v>12.542660000000001</v>
      </c>
      <c r="AA320" s="1078">
        <f>AA306*(AI303-0.8)</f>
        <v>7.2750124999999919</v>
      </c>
      <c r="AB320" s="1077">
        <v>16</v>
      </c>
      <c r="AC320" s="1076">
        <v>17</v>
      </c>
      <c r="AD320" s="1075">
        <v>2.06</v>
      </c>
      <c r="AE320" s="1141">
        <f t="shared" si="137"/>
        <v>1.9158000000000002</v>
      </c>
      <c r="AF320" s="1140">
        <v>3.33</v>
      </c>
      <c r="AG320" s="1052">
        <f t="shared" si="138"/>
        <v>1.616504854368932</v>
      </c>
      <c r="AH320" s="1049"/>
      <c r="AI320" s="1140">
        <v>0.93</v>
      </c>
      <c r="AJ320" s="1049"/>
      <c r="AK320" s="1050">
        <f t="shared" si="139"/>
        <v>0.26780000000000004</v>
      </c>
      <c r="AL320" s="1049"/>
      <c r="AM320" s="1078" t="e">
        <f>AM306*(AU303-0.8)</f>
        <v>#DIV/0!</v>
      </c>
      <c r="AN320" s="1077">
        <v>16</v>
      </c>
      <c r="AO320" s="1076">
        <v>17</v>
      </c>
      <c r="AP320" s="1075">
        <v>0.25</v>
      </c>
      <c r="AQ320" s="1749">
        <f t="shared" si="140"/>
        <v>0</v>
      </c>
      <c r="AR320" s="1743">
        <v>0.56000000000000005</v>
      </c>
      <c r="AS320" s="1052">
        <f t="shared" si="141"/>
        <v>2.2400000000000002</v>
      </c>
      <c r="AT320" s="1049"/>
      <c r="AU320" s="1140"/>
      <c r="AV320" s="1049"/>
      <c r="AW320" s="1078" t="e">
        <f>AW306*(BD303-0.8)</f>
        <v>#DIV/0!</v>
      </c>
      <c r="AX320" s="1077">
        <v>16</v>
      </c>
      <c r="AY320" s="1076">
        <v>17</v>
      </c>
      <c r="AZ320" s="1075">
        <v>0.43</v>
      </c>
      <c r="BA320" s="1738">
        <v>0.39</v>
      </c>
      <c r="BB320" s="1743">
        <f t="shared" si="142"/>
        <v>0.90697674418604657</v>
      </c>
      <c r="BC320" s="1049"/>
      <c r="BD320" s="1140"/>
      <c r="BE320" s="1049"/>
      <c r="BF320" s="1078">
        <f>BF306*(BM303-0.8)</f>
        <v>-5.7119999999999997</v>
      </c>
      <c r="BG320" s="1077">
        <v>16</v>
      </c>
      <c r="BH320" s="1076">
        <v>17</v>
      </c>
      <c r="BI320" s="1055">
        <v>0.35</v>
      </c>
      <c r="BJ320" s="1738" t="s">
        <v>1438</v>
      </c>
      <c r="BK320" s="1049"/>
      <c r="BL320" s="1078">
        <f>BL306*(BS303-0.8)</f>
        <v>0</v>
      </c>
      <c r="BM320" s="1077">
        <v>16</v>
      </c>
      <c r="BN320" s="1076">
        <v>17</v>
      </c>
      <c r="BO320" s="1075"/>
      <c r="BP320" s="1075"/>
      <c r="BQ320" s="1049"/>
    </row>
    <row r="321" spans="1:69" ht="14.4">
      <c r="A321" s="1049"/>
      <c r="B321" s="1060"/>
      <c r="C321" s="1068">
        <v>17</v>
      </c>
      <c r="D321" s="1067">
        <v>18</v>
      </c>
      <c r="E321" s="1073">
        <v>0.65</v>
      </c>
      <c r="F321" s="1072">
        <v>2.2599999999999998</v>
      </c>
      <c r="G321" s="1071">
        <f t="shared" si="132"/>
        <v>3.4769230769230766</v>
      </c>
      <c r="H321" s="1049"/>
      <c r="I321" s="1060"/>
      <c r="J321" s="1068">
        <v>17</v>
      </c>
      <c r="K321" s="1067">
        <v>18</v>
      </c>
      <c r="L321" s="1066">
        <v>0.36</v>
      </c>
      <c r="M321" s="1070">
        <v>1.49</v>
      </c>
      <c r="N321" s="1069">
        <f t="shared" si="133"/>
        <v>4.1388888888888893</v>
      </c>
      <c r="O321" s="1049"/>
      <c r="P321" s="1058"/>
      <c r="Q321" s="1068">
        <v>17</v>
      </c>
      <c r="R321" s="1067">
        <v>18</v>
      </c>
      <c r="S321" s="1066">
        <v>1.403</v>
      </c>
      <c r="T321" s="1054">
        <f t="shared" si="134"/>
        <v>9.0353200000000005</v>
      </c>
      <c r="U321" s="1138">
        <v>10.32</v>
      </c>
      <c r="V321" s="1052">
        <f t="shared" si="135"/>
        <v>7.355666429080542</v>
      </c>
      <c r="W321" s="1049"/>
      <c r="X321" s="1065">
        <v>6.44</v>
      </c>
      <c r="Y321" s="1049"/>
      <c r="Z321" s="1050">
        <f t="shared" si="136"/>
        <v>7.9129200000000006</v>
      </c>
      <c r="AA321" s="1058"/>
      <c r="AB321" s="1068">
        <v>17</v>
      </c>
      <c r="AC321" s="1067">
        <v>18</v>
      </c>
      <c r="AD321" s="1066">
        <v>1.88</v>
      </c>
      <c r="AE321" s="1139">
        <f t="shared" si="137"/>
        <v>1.9363999999999999</v>
      </c>
      <c r="AF321" s="1138">
        <v>4.71</v>
      </c>
      <c r="AG321" s="1052">
        <f t="shared" si="138"/>
        <v>2.5053191489361701</v>
      </c>
      <c r="AH321" s="1049"/>
      <c r="AI321" s="1138">
        <v>1.03</v>
      </c>
      <c r="AJ321" s="1049"/>
      <c r="AK321" s="1050">
        <f t="shared" si="139"/>
        <v>0.43239999999999995</v>
      </c>
      <c r="AL321" s="1049"/>
      <c r="AM321" s="1058"/>
      <c r="AN321" s="1068">
        <v>17</v>
      </c>
      <c r="AO321" s="1067">
        <v>18</v>
      </c>
      <c r="AP321" s="1066">
        <v>0.31</v>
      </c>
      <c r="AQ321" s="1750">
        <f t="shared" si="140"/>
        <v>0</v>
      </c>
      <c r="AR321" s="1744">
        <v>1.04</v>
      </c>
      <c r="AS321" s="1052">
        <f t="shared" si="141"/>
        <v>3.3548387096774195</v>
      </c>
      <c r="AT321" s="1049"/>
      <c r="AU321" s="1138"/>
      <c r="AV321" s="1049"/>
      <c r="AW321" s="1058"/>
      <c r="AX321" s="1068">
        <v>17</v>
      </c>
      <c r="AY321" s="1067">
        <v>18</v>
      </c>
      <c r="AZ321" s="1066">
        <v>0.36</v>
      </c>
      <c r="BA321" s="1740">
        <v>0.76</v>
      </c>
      <c r="BB321" s="1744">
        <f t="shared" si="142"/>
        <v>2.1111111111111112</v>
      </c>
      <c r="BC321" s="1049"/>
      <c r="BD321" s="1138"/>
      <c r="BE321" s="1049"/>
      <c r="BF321" s="1058"/>
      <c r="BG321" s="1068">
        <v>17</v>
      </c>
      <c r="BH321" s="1067">
        <v>18</v>
      </c>
      <c r="BI321" s="1055">
        <v>0.83</v>
      </c>
      <c r="BJ321" s="1740" t="s">
        <v>1455</v>
      </c>
      <c r="BK321" s="1049"/>
      <c r="BL321" s="1058"/>
      <c r="BM321" s="1068">
        <v>17</v>
      </c>
      <c r="BN321" s="1067">
        <v>18</v>
      </c>
      <c r="BO321" s="1066"/>
      <c r="BP321" s="1066"/>
      <c r="BQ321" s="1049"/>
    </row>
    <row r="322" spans="1:69" ht="14.4">
      <c r="A322" s="1049"/>
      <c r="B322" s="1060"/>
      <c r="C322" s="1057">
        <v>18</v>
      </c>
      <c r="D322" s="1056">
        <v>19</v>
      </c>
      <c r="E322" s="1063">
        <v>0.41</v>
      </c>
      <c r="F322" s="1062">
        <v>1.45</v>
      </c>
      <c r="G322" s="1061">
        <f t="shared" si="132"/>
        <v>3.5365853658536586</v>
      </c>
      <c r="H322" s="1049"/>
      <c r="I322" s="1060"/>
      <c r="J322" s="1057">
        <v>18</v>
      </c>
      <c r="K322" s="1056">
        <v>19</v>
      </c>
      <c r="L322" s="1055">
        <v>0.36</v>
      </c>
      <c r="M322" s="1059">
        <v>1.52</v>
      </c>
      <c r="N322" s="1052">
        <f t="shared" si="133"/>
        <v>4.2222222222222223</v>
      </c>
      <c r="O322" s="1049"/>
      <c r="P322" s="1058"/>
      <c r="Q322" s="1057">
        <v>18</v>
      </c>
      <c r="R322" s="1056">
        <v>19</v>
      </c>
      <c r="S322" s="1055">
        <v>1.5509999999999999</v>
      </c>
      <c r="T322" s="1054">
        <f t="shared" si="134"/>
        <v>8.9802900000000001</v>
      </c>
      <c r="U322" s="1136">
        <v>10.42</v>
      </c>
      <c r="V322" s="1052">
        <f t="shared" si="135"/>
        <v>6.7182462927143778</v>
      </c>
      <c r="W322" s="1049"/>
      <c r="X322" s="1051">
        <v>5.79</v>
      </c>
      <c r="Y322" s="1049"/>
      <c r="Z322" s="1050">
        <f t="shared" si="136"/>
        <v>7.73949</v>
      </c>
      <c r="AA322" s="1058"/>
      <c r="AB322" s="1057">
        <v>18</v>
      </c>
      <c r="AC322" s="1056">
        <v>19</v>
      </c>
      <c r="AD322" s="1055">
        <v>1.94</v>
      </c>
      <c r="AE322" s="1137">
        <f t="shared" si="137"/>
        <v>1.9982</v>
      </c>
      <c r="AF322" s="1136">
        <v>4.8600000000000003</v>
      </c>
      <c r="AG322" s="1052">
        <f t="shared" si="138"/>
        <v>2.5051546391752582</v>
      </c>
      <c r="AH322" s="1049"/>
      <c r="AI322" s="1136">
        <v>1.03</v>
      </c>
      <c r="AJ322" s="1049"/>
      <c r="AK322" s="1050">
        <f t="shared" si="139"/>
        <v>0.44619999999999993</v>
      </c>
      <c r="AL322" s="1049"/>
      <c r="AM322" s="1058"/>
      <c r="AN322" s="1057">
        <v>18</v>
      </c>
      <c r="AO322" s="1056">
        <v>19</v>
      </c>
      <c r="AP322" s="1055">
        <v>0.36</v>
      </c>
      <c r="AQ322" s="1745">
        <f t="shared" si="140"/>
        <v>0</v>
      </c>
      <c r="AR322" s="1737">
        <v>1.32</v>
      </c>
      <c r="AS322" s="1052">
        <f t="shared" si="141"/>
        <v>3.666666666666667</v>
      </c>
      <c r="AT322" s="1049"/>
      <c r="AU322" s="1136"/>
      <c r="AV322" s="1049"/>
      <c r="AW322" s="1058"/>
      <c r="AX322" s="1057">
        <v>18</v>
      </c>
      <c r="AY322" s="1056">
        <v>19</v>
      </c>
      <c r="AZ322" s="1055">
        <v>0.3</v>
      </c>
      <c r="BA322" s="1736">
        <v>0.73</v>
      </c>
      <c r="BB322" s="1737">
        <f t="shared" si="142"/>
        <v>2.4333333333333336</v>
      </c>
      <c r="BC322" s="1049"/>
      <c r="BD322" s="1136"/>
      <c r="BE322" s="1049"/>
      <c r="BF322" s="1058"/>
      <c r="BG322" s="1057">
        <v>18</v>
      </c>
      <c r="BH322" s="1056">
        <v>19</v>
      </c>
      <c r="BI322" s="1055">
        <v>0.92</v>
      </c>
      <c r="BJ322" s="1736" t="s">
        <v>1456</v>
      </c>
      <c r="BK322" s="1049"/>
      <c r="BL322" s="1058"/>
      <c r="BM322" s="1057">
        <v>18</v>
      </c>
      <c r="BN322" s="1056">
        <v>19</v>
      </c>
      <c r="BO322" s="1055"/>
      <c r="BP322" s="1055"/>
      <c r="BQ322" s="1049"/>
    </row>
    <row r="323" spans="1:69" ht="14.4">
      <c r="A323" s="1049"/>
      <c r="B323" s="1060"/>
      <c r="C323" s="1057">
        <v>19</v>
      </c>
      <c r="D323" s="1056">
        <v>20</v>
      </c>
      <c r="E323" s="1063">
        <v>0.41</v>
      </c>
      <c r="F323" s="1062">
        <v>1.43</v>
      </c>
      <c r="G323" s="1061">
        <f t="shared" si="132"/>
        <v>3.4878048780487805</v>
      </c>
      <c r="H323" s="1049"/>
      <c r="I323" s="1060"/>
      <c r="J323" s="1057">
        <v>19</v>
      </c>
      <c r="K323" s="1056">
        <v>20</v>
      </c>
      <c r="L323" s="1055">
        <v>0.41199999999999998</v>
      </c>
      <c r="M323" s="1059">
        <v>1.62</v>
      </c>
      <c r="N323" s="1052">
        <f t="shared" si="133"/>
        <v>3.9320388349514568</v>
      </c>
      <c r="O323" s="1049"/>
      <c r="P323" s="1058"/>
      <c r="Q323" s="1057">
        <v>19</v>
      </c>
      <c r="R323" s="1056">
        <v>20</v>
      </c>
      <c r="S323" s="1055">
        <v>2.194</v>
      </c>
      <c r="T323" s="1054">
        <f t="shared" si="134"/>
        <v>11.233280000000001</v>
      </c>
      <c r="U323" s="1136">
        <v>13.24</v>
      </c>
      <c r="V323" s="1052">
        <f t="shared" si="135"/>
        <v>6.0346399270738376</v>
      </c>
      <c r="W323" s="1049"/>
      <c r="X323" s="1051">
        <v>5.12</v>
      </c>
      <c r="Y323" s="1049"/>
      <c r="Z323" s="1050">
        <f t="shared" si="136"/>
        <v>9.4780800000000003</v>
      </c>
      <c r="AA323" s="1058"/>
      <c r="AB323" s="1057">
        <v>19</v>
      </c>
      <c r="AC323" s="1056">
        <v>20</v>
      </c>
      <c r="AD323" s="1055">
        <v>2.2200000000000002</v>
      </c>
      <c r="AE323" s="1137">
        <f t="shared" si="137"/>
        <v>2.2644000000000002</v>
      </c>
      <c r="AF323" s="1136">
        <v>5.53</v>
      </c>
      <c r="AG323" s="1052">
        <f t="shared" si="138"/>
        <v>2.4909909909909911</v>
      </c>
      <c r="AH323" s="1049"/>
      <c r="AI323" s="1136">
        <v>1.02</v>
      </c>
      <c r="AJ323" s="1049"/>
      <c r="AK323" s="1050">
        <f t="shared" si="139"/>
        <v>0.4884</v>
      </c>
      <c r="AL323" s="1049"/>
      <c r="AM323" s="1058"/>
      <c r="AN323" s="1057">
        <v>19</v>
      </c>
      <c r="AO323" s="1056">
        <v>20</v>
      </c>
      <c r="AP323" s="1055">
        <v>0.33</v>
      </c>
      <c r="AQ323" s="1745">
        <f t="shared" si="140"/>
        <v>0</v>
      </c>
      <c r="AR323" s="1737">
        <v>1.1599999999999999</v>
      </c>
      <c r="AS323" s="1052">
        <f t="shared" si="141"/>
        <v>3.5151515151515147</v>
      </c>
      <c r="AT323" s="1049"/>
      <c r="AU323" s="1136"/>
      <c r="AV323" s="1049"/>
      <c r="AW323" s="1058"/>
      <c r="AX323" s="1057">
        <v>19</v>
      </c>
      <c r="AY323" s="1056">
        <v>20</v>
      </c>
      <c r="AZ323" s="1055">
        <v>0.44</v>
      </c>
      <c r="BA323" s="1736">
        <v>1.08</v>
      </c>
      <c r="BB323" s="1737">
        <f t="shared" si="142"/>
        <v>2.4545454545454546</v>
      </c>
      <c r="BC323" s="1049"/>
      <c r="BD323" s="1136"/>
      <c r="BE323" s="1049"/>
      <c r="BF323" s="1058"/>
      <c r="BG323" s="1057">
        <v>19</v>
      </c>
      <c r="BH323" s="1056">
        <v>20</v>
      </c>
      <c r="BI323" s="1055">
        <v>0.31</v>
      </c>
      <c r="BJ323" s="1736" t="s">
        <v>1389</v>
      </c>
      <c r="BK323" s="1049"/>
      <c r="BL323" s="1058"/>
      <c r="BM323" s="1057">
        <v>19</v>
      </c>
      <c r="BN323" s="1056">
        <v>20</v>
      </c>
      <c r="BO323" s="1055"/>
      <c r="BP323" s="1055"/>
      <c r="BQ323" s="1049"/>
    </row>
    <row r="324" spans="1:69" ht="14.4">
      <c r="A324" s="1049"/>
      <c r="B324" s="1060"/>
      <c r="C324" s="1057">
        <v>20</v>
      </c>
      <c r="D324" s="1056">
        <v>21</v>
      </c>
      <c r="E324" s="1063">
        <v>0.76</v>
      </c>
      <c r="F324" s="1062">
        <v>2.1800000000000002</v>
      </c>
      <c r="G324" s="1061">
        <f t="shared" si="132"/>
        <v>2.8684210526315792</v>
      </c>
      <c r="H324" s="1049"/>
      <c r="I324" s="1060"/>
      <c r="J324" s="1057">
        <v>20</v>
      </c>
      <c r="K324" s="1056">
        <v>21</v>
      </c>
      <c r="L324" s="1055">
        <v>0.48399999999999999</v>
      </c>
      <c r="M324" s="1059">
        <v>1.48</v>
      </c>
      <c r="N324" s="1052">
        <f t="shared" si="133"/>
        <v>3.0578512396694215</v>
      </c>
      <c r="O324" s="1049"/>
      <c r="P324" s="1058"/>
      <c r="Q324" s="1057">
        <v>20</v>
      </c>
      <c r="R324" s="1056">
        <v>21</v>
      </c>
      <c r="S324" s="1055">
        <v>2.8639999999999999</v>
      </c>
      <c r="T324" s="1054">
        <f t="shared" si="134"/>
        <v>12.802079999999998</v>
      </c>
      <c r="U324" s="1136">
        <v>15.42</v>
      </c>
      <c r="V324" s="1052">
        <f t="shared" si="135"/>
        <v>5.3840782122905031</v>
      </c>
      <c r="W324" s="1049"/>
      <c r="X324" s="1051">
        <v>4.47</v>
      </c>
      <c r="Y324" s="1049"/>
      <c r="Z324" s="1050">
        <f t="shared" si="136"/>
        <v>10.51088</v>
      </c>
      <c r="AA324" s="1058"/>
      <c r="AB324" s="1057">
        <v>20</v>
      </c>
      <c r="AC324" s="1056">
        <v>21</v>
      </c>
      <c r="AD324" s="1055">
        <v>2.4300000000000002</v>
      </c>
      <c r="AE324" s="1137">
        <f t="shared" si="137"/>
        <v>2.2356000000000003</v>
      </c>
      <c r="AF324" s="1136">
        <v>3.91</v>
      </c>
      <c r="AG324" s="1052">
        <f t="shared" si="138"/>
        <v>1.6090534979423867</v>
      </c>
      <c r="AH324" s="1049"/>
      <c r="AI324" s="1136">
        <v>0.92</v>
      </c>
      <c r="AJ324" s="1049"/>
      <c r="AK324" s="1050">
        <f t="shared" si="139"/>
        <v>0.29160000000000003</v>
      </c>
      <c r="AL324" s="1049"/>
      <c r="AM324" s="1058"/>
      <c r="AN324" s="1057">
        <v>20</v>
      </c>
      <c r="AO324" s="1056">
        <v>21</v>
      </c>
      <c r="AP324" s="1055">
        <v>0.28999999999999998</v>
      </c>
      <c r="AQ324" s="1745">
        <f t="shared" si="140"/>
        <v>0</v>
      </c>
      <c r="AR324" s="1737">
        <v>0.75</v>
      </c>
      <c r="AS324" s="1052">
        <f t="shared" si="141"/>
        <v>2.5862068965517242</v>
      </c>
      <c r="AT324" s="1049"/>
      <c r="AU324" s="1136"/>
      <c r="AV324" s="1049"/>
      <c r="AW324" s="1058"/>
      <c r="AX324" s="1057">
        <v>20</v>
      </c>
      <c r="AY324" s="1056">
        <v>21</v>
      </c>
      <c r="AZ324" s="1055">
        <v>0.26</v>
      </c>
      <c r="BA324" s="1736">
        <v>0.4</v>
      </c>
      <c r="BB324" s="1737">
        <f t="shared" si="142"/>
        <v>1.5384615384615385</v>
      </c>
      <c r="BC324" s="1049"/>
      <c r="BD324" s="1136"/>
      <c r="BE324" s="1049"/>
      <c r="BF324" s="1058"/>
      <c r="BG324" s="1057">
        <v>20</v>
      </c>
      <c r="BH324" s="1056">
        <v>21</v>
      </c>
      <c r="BI324" s="1055">
        <v>0.26</v>
      </c>
      <c r="BJ324" s="1736" t="s">
        <v>1427</v>
      </c>
      <c r="BK324" s="1049"/>
      <c r="BL324" s="1058"/>
      <c r="BM324" s="1057">
        <v>20</v>
      </c>
      <c r="BN324" s="1056">
        <v>21</v>
      </c>
      <c r="BO324" s="1055"/>
      <c r="BP324" s="1055"/>
      <c r="BQ324" s="1049"/>
    </row>
    <row r="325" spans="1:69" ht="14.4">
      <c r="A325" s="1049"/>
      <c r="B325" s="1060"/>
      <c r="C325" s="1057">
        <v>21</v>
      </c>
      <c r="D325" s="1056">
        <v>22</v>
      </c>
      <c r="E325" s="1063">
        <v>0.7</v>
      </c>
      <c r="F325" s="1062">
        <v>2.0299999999999998</v>
      </c>
      <c r="G325" s="1061">
        <f t="shared" si="132"/>
        <v>2.9</v>
      </c>
      <c r="H325" s="1049"/>
      <c r="I325" s="1060"/>
      <c r="J325" s="1057">
        <v>21</v>
      </c>
      <c r="K325" s="1056">
        <v>22</v>
      </c>
      <c r="L325" s="1055">
        <v>0.47</v>
      </c>
      <c r="M325" s="1059">
        <v>1.4</v>
      </c>
      <c r="N325" s="1052">
        <f t="shared" si="133"/>
        <v>2.978723404255319</v>
      </c>
      <c r="O325" s="1049"/>
      <c r="P325" s="1058"/>
      <c r="Q325" s="1057">
        <v>21</v>
      </c>
      <c r="R325" s="1056">
        <v>22</v>
      </c>
      <c r="S325" s="1055">
        <v>2.3580000000000001</v>
      </c>
      <c r="T325" s="1054">
        <f t="shared" si="134"/>
        <v>8.3473199999999999</v>
      </c>
      <c r="U325" s="1136">
        <v>10.53</v>
      </c>
      <c r="V325" s="1052">
        <f t="shared" si="135"/>
        <v>4.4656488549618318</v>
      </c>
      <c r="W325" s="1049"/>
      <c r="X325" s="1051">
        <v>3.54</v>
      </c>
      <c r="Y325" s="1049"/>
      <c r="Z325" s="1050">
        <f t="shared" si="136"/>
        <v>6.4609200000000007</v>
      </c>
      <c r="AA325" s="1058"/>
      <c r="AB325" s="1057">
        <v>21</v>
      </c>
      <c r="AC325" s="1056">
        <v>22</v>
      </c>
      <c r="AD325" s="1055">
        <v>2.41</v>
      </c>
      <c r="AE325" s="1137">
        <f t="shared" si="137"/>
        <v>2.0485000000000002</v>
      </c>
      <c r="AF325" s="1136">
        <v>3.71</v>
      </c>
      <c r="AG325" s="1052">
        <f t="shared" si="138"/>
        <v>1.5394190871369293</v>
      </c>
      <c r="AH325" s="1049"/>
      <c r="AI325" s="1136">
        <v>0.85</v>
      </c>
      <c r="AJ325" s="1049"/>
      <c r="AK325" s="1050">
        <f t="shared" si="139"/>
        <v>0.12049999999999984</v>
      </c>
      <c r="AL325" s="1049"/>
      <c r="AM325" s="1058"/>
      <c r="AN325" s="1057">
        <v>21</v>
      </c>
      <c r="AO325" s="1056">
        <v>22</v>
      </c>
      <c r="AP325" s="1055">
        <v>0.17</v>
      </c>
      <c r="AQ325" s="1745">
        <f t="shared" si="140"/>
        <v>0</v>
      </c>
      <c r="AR325" s="1737">
        <v>0.41</v>
      </c>
      <c r="AS325" s="1052">
        <f t="shared" si="141"/>
        <v>2.4117647058823528</v>
      </c>
      <c r="AT325" s="1049"/>
      <c r="AU325" s="1136"/>
      <c r="AV325" s="1049"/>
      <c r="AW325" s="1058"/>
      <c r="AX325" s="1057">
        <v>21</v>
      </c>
      <c r="AY325" s="1056">
        <v>22</v>
      </c>
      <c r="AZ325" s="1055">
        <v>0.16</v>
      </c>
      <c r="BA325" s="1736">
        <v>0.21</v>
      </c>
      <c r="BB325" s="1737">
        <f t="shared" si="142"/>
        <v>1.3125</v>
      </c>
      <c r="BC325" s="1049"/>
      <c r="BD325" s="1136"/>
      <c r="BE325" s="1049"/>
      <c r="BF325" s="1058"/>
      <c r="BG325" s="1057">
        <v>21</v>
      </c>
      <c r="BH325" s="1056">
        <v>22</v>
      </c>
      <c r="BI325" s="1055">
        <v>0.3</v>
      </c>
      <c r="BJ325" s="1736" t="s">
        <v>1457</v>
      </c>
      <c r="BK325" s="1049"/>
      <c r="BL325" s="1058"/>
      <c r="BM325" s="1057">
        <v>21</v>
      </c>
      <c r="BN325" s="1056">
        <v>22</v>
      </c>
      <c r="BO325" s="1055"/>
      <c r="BP325" s="1055"/>
      <c r="BQ325" s="1049"/>
    </row>
    <row r="326" spans="1:69" ht="14.4">
      <c r="A326" s="1049"/>
      <c r="B326" s="1060"/>
      <c r="C326" s="1057">
        <v>22</v>
      </c>
      <c r="D326" s="1056">
        <v>23</v>
      </c>
      <c r="E326" s="1063">
        <v>0.42</v>
      </c>
      <c r="F326" s="1062">
        <v>1.22</v>
      </c>
      <c r="G326" s="1061">
        <f t="shared" si="132"/>
        <v>2.9047619047619047</v>
      </c>
      <c r="H326" s="1049"/>
      <c r="I326" s="1060"/>
      <c r="J326" s="1057">
        <v>22</v>
      </c>
      <c r="K326" s="1056">
        <v>23</v>
      </c>
      <c r="L326" s="1055">
        <v>0.22500000000000001</v>
      </c>
      <c r="M326" s="1059">
        <v>0.66</v>
      </c>
      <c r="N326" s="1052">
        <f t="shared" si="133"/>
        <v>2.9333333333333336</v>
      </c>
      <c r="O326" s="1049"/>
      <c r="P326" s="1058"/>
      <c r="Q326" s="1057">
        <v>22</v>
      </c>
      <c r="R326" s="1056">
        <v>23</v>
      </c>
      <c r="S326" s="1055">
        <v>1.3089999999999999</v>
      </c>
      <c r="T326" s="1054">
        <f t="shared" si="134"/>
        <v>4.2411599999999998</v>
      </c>
      <c r="U326" s="1136">
        <v>5.45</v>
      </c>
      <c r="V326" s="1052">
        <f t="shared" si="135"/>
        <v>4.1634835752482813</v>
      </c>
      <c r="W326" s="1049"/>
      <c r="X326" s="1051">
        <v>3.24</v>
      </c>
      <c r="Y326" s="1049"/>
      <c r="Z326" s="1050">
        <f t="shared" si="136"/>
        <v>3.1939600000000006</v>
      </c>
      <c r="AA326" s="1058"/>
      <c r="AB326" s="1057">
        <v>22</v>
      </c>
      <c r="AC326" s="1056">
        <v>23</v>
      </c>
      <c r="AD326" s="1055">
        <v>3.52</v>
      </c>
      <c r="AE326" s="1137">
        <f t="shared" si="137"/>
        <v>2.9567999999999999</v>
      </c>
      <c r="AF326" s="1136">
        <v>5.4</v>
      </c>
      <c r="AG326" s="1052">
        <f t="shared" si="138"/>
        <v>1.5340909090909092</v>
      </c>
      <c r="AH326" s="1049"/>
      <c r="AI326" s="1136">
        <v>0.84</v>
      </c>
      <c r="AJ326" s="1049"/>
      <c r="AK326" s="1050">
        <f t="shared" si="139"/>
        <v>0.14079999999999973</v>
      </c>
      <c r="AL326" s="1049"/>
      <c r="AM326" s="1058"/>
      <c r="AN326" s="1057">
        <v>22</v>
      </c>
      <c r="AO326" s="1056">
        <v>23</v>
      </c>
      <c r="AP326" s="1055">
        <v>0.13</v>
      </c>
      <c r="AQ326" s="1745">
        <f t="shared" si="140"/>
        <v>0</v>
      </c>
      <c r="AR326" s="1737">
        <v>0.3</v>
      </c>
      <c r="AS326" s="1052">
        <f t="shared" si="141"/>
        <v>2.3076923076923075</v>
      </c>
      <c r="AT326" s="1049"/>
      <c r="AU326" s="1136"/>
      <c r="AV326" s="1049"/>
      <c r="AW326" s="1058"/>
      <c r="AX326" s="1057">
        <v>22</v>
      </c>
      <c r="AY326" s="1056">
        <v>23</v>
      </c>
      <c r="AZ326" s="1055">
        <v>0.23</v>
      </c>
      <c r="BA326" s="1736">
        <v>0.27</v>
      </c>
      <c r="BB326" s="1737">
        <f t="shared" si="142"/>
        <v>1.173913043478261</v>
      </c>
      <c r="BC326" s="1049"/>
      <c r="BD326" s="1136"/>
      <c r="BE326" s="1049"/>
      <c r="BF326" s="1058"/>
      <c r="BG326" s="1057">
        <v>22</v>
      </c>
      <c r="BH326" s="1056">
        <v>23</v>
      </c>
      <c r="BI326" s="1055">
        <v>0.21</v>
      </c>
      <c r="BJ326" s="1736" t="s">
        <v>1385</v>
      </c>
      <c r="BK326" s="1049"/>
      <c r="BL326" s="1058"/>
      <c r="BM326" s="1057">
        <v>22</v>
      </c>
      <c r="BN326" s="1056">
        <v>23</v>
      </c>
      <c r="BO326" s="1055"/>
      <c r="BP326" s="1055"/>
      <c r="BQ326" s="1049"/>
    </row>
    <row r="327" spans="1:69" ht="14.4">
      <c r="A327" s="1049"/>
      <c r="B327" s="1060"/>
      <c r="C327" s="1057">
        <v>23</v>
      </c>
      <c r="D327" s="1056">
        <v>24</v>
      </c>
      <c r="E327" s="1063">
        <v>0.22</v>
      </c>
      <c r="F327" s="1062">
        <v>0.93</v>
      </c>
      <c r="G327" s="1061">
        <f t="shared" si="132"/>
        <v>4.2272727272727275</v>
      </c>
      <c r="H327" s="1049"/>
      <c r="I327" s="1060"/>
      <c r="J327" s="1057">
        <v>23</v>
      </c>
      <c r="K327" s="1056">
        <v>24</v>
      </c>
      <c r="L327" s="1055">
        <v>0.183</v>
      </c>
      <c r="M327" s="1059">
        <v>0.51</v>
      </c>
      <c r="N327" s="1052">
        <f t="shared" si="133"/>
        <v>2.7868852459016393</v>
      </c>
      <c r="O327" s="1049"/>
      <c r="P327" s="1058"/>
      <c r="Q327" s="1057">
        <v>23</v>
      </c>
      <c r="R327" s="1056">
        <v>24</v>
      </c>
      <c r="S327" s="1055">
        <v>1.0609999999999999</v>
      </c>
      <c r="T327" s="1054">
        <f t="shared" si="134"/>
        <v>3.06629</v>
      </c>
      <c r="U327" s="1136">
        <v>4.04</v>
      </c>
      <c r="V327" s="1052">
        <f t="shared" si="135"/>
        <v>3.8077285579641851</v>
      </c>
      <c r="W327" s="1049"/>
      <c r="X327" s="1051">
        <v>2.89</v>
      </c>
      <c r="Y327" s="1049"/>
      <c r="Z327" s="1050">
        <f t="shared" si="136"/>
        <v>2.2174899999999997</v>
      </c>
      <c r="AA327" s="1058"/>
      <c r="AB327" s="1057">
        <v>23</v>
      </c>
      <c r="AC327" s="1056">
        <v>24</v>
      </c>
      <c r="AD327" s="1055">
        <v>3.01</v>
      </c>
      <c r="AE327" s="1137">
        <f t="shared" si="137"/>
        <v>2.3176999999999999</v>
      </c>
      <c r="AF327" s="1136">
        <v>4.3899999999999997</v>
      </c>
      <c r="AG327" s="1052">
        <f t="shared" si="138"/>
        <v>1.4584717607973421</v>
      </c>
      <c r="AH327" s="1049"/>
      <c r="AI327" s="1136">
        <v>0.77</v>
      </c>
      <c r="AJ327" s="1049"/>
      <c r="AK327" s="1050">
        <f t="shared" si="139"/>
        <v>-9.0300000000000075E-2</v>
      </c>
      <c r="AL327" s="1049"/>
      <c r="AM327" s="1058"/>
      <c r="AN327" s="1057">
        <v>23</v>
      </c>
      <c r="AO327" s="1056">
        <v>24</v>
      </c>
      <c r="AP327" s="1055">
        <v>0.21</v>
      </c>
      <c r="AQ327" s="1745">
        <f t="shared" si="140"/>
        <v>0</v>
      </c>
      <c r="AR327" s="1737">
        <v>0.47</v>
      </c>
      <c r="AS327" s="1052">
        <f t="shared" si="141"/>
        <v>2.2380952380952381</v>
      </c>
      <c r="AT327" s="1049"/>
      <c r="AU327" s="1136"/>
      <c r="AV327" s="1049"/>
      <c r="AW327" s="1058"/>
      <c r="AX327" s="1057">
        <v>23</v>
      </c>
      <c r="AY327" s="1056">
        <v>24</v>
      </c>
      <c r="AZ327" s="1055">
        <v>0.11</v>
      </c>
      <c r="BA327" s="1736">
        <v>0.11</v>
      </c>
      <c r="BB327" s="1737">
        <f t="shared" si="142"/>
        <v>1</v>
      </c>
      <c r="BC327" s="1049"/>
      <c r="BD327" s="1136"/>
      <c r="BE327" s="1049"/>
      <c r="BF327" s="1058"/>
      <c r="BG327" s="1057">
        <v>23</v>
      </c>
      <c r="BH327" s="1056">
        <v>24</v>
      </c>
      <c r="BI327" s="1055">
        <v>0.16</v>
      </c>
      <c r="BJ327" s="1736" t="s">
        <v>1368</v>
      </c>
      <c r="BK327" s="1049"/>
      <c r="BL327" s="1058"/>
      <c r="BM327" s="1057">
        <v>23</v>
      </c>
      <c r="BN327" s="1056">
        <v>24</v>
      </c>
      <c r="BO327" s="1055"/>
      <c r="BP327" s="1055"/>
      <c r="BQ327" s="1049"/>
    </row>
    <row r="328" spans="1:69" ht="14.4">
      <c r="A328" s="1036"/>
      <c r="B328" s="1044"/>
      <c r="C328" s="1135"/>
      <c r="D328" s="1135"/>
      <c r="E328" s="1134"/>
      <c r="F328" s="1133"/>
      <c r="G328" s="1132"/>
      <c r="H328" s="1044"/>
      <c r="I328" s="1044" t="s">
        <v>1138</v>
      </c>
      <c r="J328" s="1046"/>
      <c r="K328" s="1046"/>
      <c r="L328" s="1129">
        <f>AVERAGE(L329:L352)</f>
        <v>0.69516666666666671</v>
      </c>
      <c r="M328" s="1131">
        <f>AVERAGE(M329:M352)</f>
        <v>2.447916666666667</v>
      </c>
      <c r="N328" s="1039">
        <f>AVERAGE(N329:N352)</f>
        <v>3.1089847848284919</v>
      </c>
      <c r="O328" s="1044"/>
      <c r="P328" s="1130" t="s">
        <v>1131</v>
      </c>
      <c r="Q328" s="1046"/>
      <c r="R328" s="1046"/>
      <c r="S328" s="1129">
        <f>AVERAGE(S329:S352)</f>
        <v>1.5442916666666668</v>
      </c>
      <c r="T328" s="1128">
        <f>SUM(T329:T352)</f>
        <v>179.23187000000001</v>
      </c>
      <c r="U328" s="1040">
        <f>AVERAGE(U329:U352)</f>
        <v>8.8691666666666666</v>
      </c>
      <c r="V328" s="1039">
        <f>AVERAGE(V329:V352)</f>
        <v>5.3018647142523294</v>
      </c>
      <c r="W328" s="1036"/>
      <c r="X328" s="1038">
        <f>AVERAGE(X337:X352)</f>
        <v>4.99</v>
      </c>
      <c r="Y328" s="1036"/>
      <c r="Z328" s="1127">
        <f>SUM(Z329:Z352)</f>
        <v>149.58147</v>
      </c>
      <c r="AA328" s="1130" t="s">
        <v>1128</v>
      </c>
      <c r="AB328" s="1046"/>
      <c r="AC328" s="1046"/>
      <c r="AD328" s="1129">
        <f>AVERAGE(AD329:AD352)</f>
        <v>2.6672499999999997</v>
      </c>
      <c r="AE328" s="1128">
        <f>SUM(AE329:AE352)</f>
        <v>28.618459999999995</v>
      </c>
      <c r="AF328" s="1040">
        <f>AVERAGE(AF329:AF352)</f>
        <v>3.3112499999999998</v>
      </c>
      <c r="AG328" s="1039">
        <f>AVERAGE(AG329:AG352)</f>
        <v>1.2406788270861442</v>
      </c>
      <c r="AH328" s="1036"/>
      <c r="AI328" s="1038">
        <f>AVERAGE(AI337:AI352)</f>
        <v>0.42499999999999999</v>
      </c>
      <c r="AJ328" s="1036"/>
      <c r="AK328" s="1127">
        <f>SUM(AK329:AK352)</f>
        <v>-22.592740000000006</v>
      </c>
      <c r="AL328" s="1036"/>
      <c r="AM328" s="1130" t="s">
        <v>1137</v>
      </c>
      <c r="AN328" s="1046"/>
      <c r="AO328" s="1046"/>
      <c r="AP328" s="1129">
        <f>AVERAGE(AP329:AP352)</f>
        <v>0.38583333333333331</v>
      </c>
      <c r="AQ328" s="1734">
        <f>SUM(AQ329:AQ352)</f>
        <v>0</v>
      </c>
      <c r="AR328" s="1735">
        <f>AVERAGE(AR329:AR352)</f>
        <v>0.95583333333333342</v>
      </c>
      <c r="AS328" s="1039">
        <f>AVERAGE(AS329:AS352)</f>
        <v>2.3583509720228526</v>
      </c>
      <c r="AT328" s="1036"/>
      <c r="AU328" s="1038" t="e">
        <f>AVERAGE(AU337:AU352)</f>
        <v>#DIV/0!</v>
      </c>
      <c r="AV328" s="1036"/>
      <c r="AW328" s="1130" t="s">
        <v>1137</v>
      </c>
      <c r="AX328" s="1046"/>
      <c r="AY328" s="1046"/>
      <c r="AZ328" s="1129">
        <f>AVERAGE(AZ329:AZ352)</f>
        <v>0.255</v>
      </c>
      <c r="BA328" s="1045">
        <f>AVERAGE(BA329:BA352)</f>
        <v>0.41541666666666655</v>
      </c>
      <c r="BB328" s="1039">
        <f>AVERAGE(BB329:BB352)</f>
        <v>1.5091738883679675</v>
      </c>
      <c r="BC328" s="1036"/>
      <c r="BD328" s="1038" t="e">
        <f>AVERAGE(BD337:BD352)</f>
        <v>#DIV/0!</v>
      </c>
      <c r="BE328" s="1036"/>
      <c r="BF328" s="1130" t="s">
        <v>1137</v>
      </c>
      <c r="BG328" s="2756">
        <f>BF329</f>
        <v>45030</v>
      </c>
      <c r="BH328" s="2756"/>
      <c r="BI328" s="1897">
        <f>SUM(BI329:BI352)</f>
        <v>8.9</v>
      </c>
      <c r="BJ328" s="1898">
        <f>SUM(BJ329:BJ352)</f>
        <v>0</v>
      </c>
      <c r="BK328" s="1036"/>
      <c r="BL328" s="1130" t="s">
        <v>1137</v>
      </c>
      <c r="BM328" s="1046"/>
      <c r="BN328" s="1046"/>
      <c r="BO328" s="1129" t="e">
        <f>AVERAGE(BO329:BO352)</f>
        <v>#DIV/0!</v>
      </c>
      <c r="BP328" s="1129" t="e">
        <f>AVERAGE(BP329:BP352)</f>
        <v>#DIV/0!</v>
      </c>
      <c r="BQ328" s="1036"/>
    </row>
    <row r="329" spans="1:69" ht="14.4">
      <c r="A329" s="1049"/>
      <c r="B329" s="1126">
        <v>44848</v>
      </c>
      <c r="C329" s="1057">
        <v>0</v>
      </c>
      <c r="D329" s="1056">
        <v>1</v>
      </c>
      <c r="E329" s="1063">
        <v>0.23</v>
      </c>
      <c r="F329" s="1062">
        <v>0.65</v>
      </c>
      <c r="G329" s="1061">
        <f t="shared" ref="G329:G352" si="143">F329/E329</f>
        <v>2.8260869565217392</v>
      </c>
      <c r="H329" s="1049"/>
      <c r="I329" s="1126">
        <v>44879</v>
      </c>
      <c r="J329" s="1057">
        <v>0</v>
      </c>
      <c r="K329" s="1056">
        <v>1</v>
      </c>
      <c r="L329" s="1055">
        <v>0.22600000000000001</v>
      </c>
      <c r="M329" s="1059">
        <v>0.57999999999999996</v>
      </c>
      <c r="N329" s="1052">
        <f t="shared" ref="N329:N352" si="144">M329/L329</f>
        <v>2.5663716814159288</v>
      </c>
      <c r="O329" s="1049"/>
      <c r="P329" s="1125">
        <v>44909</v>
      </c>
      <c r="Q329" s="1057">
        <v>0</v>
      </c>
      <c r="R329" s="1056">
        <v>1</v>
      </c>
      <c r="S329" s="1055">
        <v>0.373</v>
      </c>
      <c r="T329" s="1054">
        <f t="shared" ref="T329:T352" si="145">S329*X329</f>
        <v>1.03694</v>
      </c>
      <c r="U329" s="1136">
        <v>1.38</v>
      </c>
      <c r="V329" s="1052">
        <f t="shared" ref="V329:V352" si="146">U329/S329</f>
        <v>3.6997319034852545</v>
      </c>
      <c r="W329" s="1049"/>
      <c r="X329" s="1051">
        <v>2.78</v>
      </c>
      <c r="Y329" s="1049"/>
      <c r="Z329" s="1050">
        <f t="shared" ref="Z329:Z352" si="147">S329*(X329-0.8)</f>
        <v>0.73853999999999986</v>
      </c>
      <c r="AA329" s="1125">
        <v>44940</v>
      </c>
      <c r="AB329" s="1057">
        <v>0</v>
      </c>
      <c r="AC329" s="1056">
        <v>1</v>
      </c>
      <c r="AD329" s="1055">
        <v>2.0920000000000001</v>
      </c>
      <c r="AE329" s="1137">
        <f t="shared" ref="AE329:AE352" si="148">AD329*AI329</f>
        <v>0.77404000000000006</v>
      </c>
      <c r="AF329" s="1136">
        <v>2.2200000000000002</v>
      </c>
      <c r="AG329" s="1052">
        <f t="shared" ref="AG329:AG352" si="149">AF329/AD329</f>
        <v>1.061185468451243</v>
      </c>
      <c r="AH329" s="1049"/>
      <c r="AI329" s="1136">
        <v>0.37</v>
      </c>
      <c r="AJ329" s="1049"/>
      <c r="AK329" s="1050">
        <f t="shared" ref="AK329:AK352" si="150">AD329*(AI329-0.8)</f>
        <v>-0.89956000000000014</v>
      </c>
      <c r="AL329" s="1049"/>
      <c r="AM329" s="1125">
        <v>44971</v>
      </c>
      <c r="AN329" s="1057">
        <v>0</v>
      </c>
      <c r="AO329" s="1056">
        <v>1</v>
      </c>
      <c r="AP329" s="1055">
        <v>0.14000000000000001</v>
      </c>
      <c r="AQ329" s="1745">
        <f t="shared" ref="AQ329:AQ352" si="151">AP329*AU329</f>
        <v>0</v>
      </c>
      <c r="AR329" s="1737">
        <v>0.28999999999999998</v>
      </c>
      <c r="AS329" s="1052">
        <f t="shared" ref="AS329:AS352" si="152">AR329/AP329</f>
        <v>2.0714285714285712</v>
      </c>
      <c r="AT329" s="1049"/>
      <c r="AU329" s="1136"/>
      <c r="AV329" s="1049"/>
      <c r="AW329" s="1125">
        <v>44999</v>
      </c>
      <c r="AX329" s="1057">
        <v>0</v>
      </c>
      <c r="AY329" s="1056">
        <v>1</v>
      </c>
      <c r="AZ329" s="1055">
        <v>0.12</v>
      </c>
      <c r="BA329" s="1736">
        <v>0.11</v>
      </c>
      <c r="BB329" s="1737">
        <f t="shared" ref="BB329:BB352" si="153">BA329/AZ329</f>
        <v>0.91666666666666674</v>
      </c>
      <c r="BC329" s="1049"/>
      <c r="BD329" s="1136"/>
      <c r="BE329" s="1049"/>
      <c r="BF329" s="1125">
        <v>45030</v>
      </c>
      <c r="BG329" s="1057">
        <v>0</v>
      </c>
      <c r="BH329" s="1056">
        <v>1</v>
      </c>
      <c r="BI329" s="1874">
        <v>0.15</v>
      </c>
      <c r="BJ329" s="1736" t="s">
        <v>1369</v>
      </c>
      <c r="BK329" s="1049"/>
      <c r="BL329" s="1125">
        <v>45030</v>
      </c>
      <c r="BM329" s="1057">
        <v>0</v>
      </c>
      <c r="BN329" s="1056">
        <v>1</v>
      </c>
      <c r="BO329" s="1055"/>
      <c r="BP329" s="1055"/>
      <c r="BQ329" s="1049"/>
    </row>
    <row r="330" spans="1:69" ht="14.4">
      <c r="A330" s="1049"/>
      <c r="B330" s="1124"/>
      <c r="C330" s="1057">
        <v>1</v>
      </c>
      <c r="D330" s="1056">
        <v>2</v>
      </c>
      <c r="E330" s="1063">
        <v>0.28000000000000003</v>
      </c>
      <c r="F330" s="1062">
        <v>0.8</v>
      </c>
      <c r="G330" s="1061">
        <f t="shared" si="143"/>
        <v>2.8571428571428572</v>
      </c>
      <c r="H330" s="1049"/>
      <c r="I330" s="1124"/>
      <c r="J330" s="1057">
        <v>1</v>
      </c>
      <c r="K330" s="1056">
        <v>2</v>
      </c>
      <c r="L330" s="1055">
        <v>0.222</v>
      </c>
      <c r="M330" s="1059">
        <v>0.54</v>
      </c>
      <c r="N330" s="1052">
        <f t="shared" si="144"/>
        <v>2.4324324324324325</v>
      </c>
      <c r="O330" s="1049"/>
      <c r="P330" s="1123"/>
      <c r="Q330" s="1057">
        <v>1</v>
      </c>
      <c r="R330" s="1056">
        <v>2</v>
      </c>
      <c r="S330" s="1055">
        <v>0.29699999999999999</v>
      </c>
      <c r="T330" s="1054">
        <f t="shared" si="145"/>
        <v>0.82268999999999992</v>
      </c>
      <c r="U330" s="1136">
        <v>1.1000000000000001</v>
      </c>
      <c r="V330" s="1052">
        <f t="shared" si="146"/>
        <v>3.7037037037037042</v>
      </c>
      <c r="W330" s="1049"/>
      <c r="X330" s="1051">
        <v>2.77</v>
      </c>
      <c r="Y330" s="1049"/>
      <c r="Z330" s="1050">
        <f t="shared" si="147"/>
        <v>0.58509</v>
      </c>
      <c r="AA330" s="1123"/>
      <c r="AB330" s="1057">
        <v>1</v>
      </c>
      <c r="AC330" s="1056">
        <v>2</v>
      </c>
      <c r="AD330" s="1055">
        <v>2.0350000000000001</v>
      </c>
      <c r="AE330" s="1137">
        <f t="shared" si="148"/>
        <v>0.91575000000000006</v>
      </c>
      <c r="AF330" s="1136">
        <v>2.33</v>
      </c>
      <c r="AG330" s="1052">
        <f t="shared" si="149"/>
        <v>1.144963144963145</v>
      </c>
      <c r="AH330" s="1049"/>
      <c r="AI330" s="1136">
        <v>0.45</v>
      </c>
      <c r="AJ330" s="1049"/>
      <c r="AK330" s="1050">
        <f t="shared" si="150"/>
        <v>-0.71225000000000016</v>
      </c>
      <c r="AL330" s="1049"/>
      <c r="AM330" s="1123"/>
      <c r="AN330" s="1057">
        <v>1</v>
      </c>
      <c r="AO330" s="1056">
        <v>2</v>
      </c>
      <c r="AP330" s="1055">
        <v>0.15</v>
      </c>
      <c r="AQ330" s="1745">
        <f t="shared" si="151"/>
        <v>0</v>
      </c>
      <c r="AR330" s="1737">
        <v>0.31</v>
      </c>
      <c r="AS330" s="1052">
        <f t="shared" si="152"/>
        <v>2.0666666666666669</v>
      </c>
      <c r="AT330" s="1049"/>
      <c r="AU330" s="1136"/>
      <c r="AV330" s="1049"/>
      <c r="AW330" s="1123"/>
      <c r="AX330" s="1057">
        <v>1</v>
      </c>
      <c r="AY330" s="1056">
        <v>2</v>
      </c>
      <c r="AZ330" s="1055">
        <v>0.11</v>
      </c>
      <c r="BA330" s="1736">
        <v>0.1</v>
      </c>
      <c r="BB330" s="1737">
        <f t="shared" si="153"/>
        <v>0.90909090909090917</v>
      </c>
      <c r="BC330" s="1049"/>
      <c r="BD330" s="1136"/>
      <c r="BE330" s="1049"/>
      <c r="BF330" s="1123"/>
      <c r="BG330" s="1057">
        <v>1</v>
      </c>
      <c r="BH330" s="1056">
        <v>2</v>
      </c>
      <c r="BI330" s="1874">
        <v>0.05</v>
      </c>
      <c r="BJ330" s="1736" t="s">
        <v>1447</v>
      </c>
      <c r="BK330" s="1049"/>
      <c r="BL330" s="1123"/>
      <c r="BM330" s="1057">
        <v>1</v>
      </c>
      <c r="BN330" s="1056">
        <v>2</v>
      </c>
      <c r="BO330" s="1055"/>
      <c r="BP330" s="1055"/>
      <c r="BQ330" s="1049"/>
    </row>
    <row r="331" spans="1:69" ht="14.4">
      <c r="A331" s="1049"/>
      <c r="B331" s="1122">
        <f>SUM(E329:E352)</f>
        <v>14.320000000000002</v>
      </c>
      <c r="C331" s="1057">
        <v>2</v>
      </c>
      <c r="D331" s="1056">
        <v>3</v>
      </c>
      <c r="E331" s="1063">
        <v>0.12</v>
      </c>
      <c r="F331" s="1062">
        <v>0.35</v>
      </c>
      <c r="G331" s="1061">
        <f t="shared" si="143"/>
        <v>2.9166666666666665</v>
      </c>
      <c r="H331" s="1049"/>
      <c r="I331" s="1122">
        <f>SUM(L329:L352)</f>
        <v>16.684000000000001</v>
      </c>
      <c r="J331" s="1057">
        <v>2</v>
      </c>
      <c r="K331" s="1056">
        <v>3</v>
      </c>
      <c r="L331" s="1055">
        <v>0.154</v>
      </c>
      <c r="M331" s="1059">
        <v>0.35</v>
      </c>
      <c r="N331" s="1052">
        <f t="shared" si="144"/>
        <v>2.2727272727272725</v>
      </c>
      <c r="O331" s="1049"/>
      <c r="P331" s="1121">
        <f>SUM(S329:S352)</f>
        <v>37.063000000000002</v>
      </c>
      <c r="Q331" s="1057">
        <v>2</v>
      </c>
      <c r="R331" s="1056">
        <v>3</v>
      </c>
      <c r="S331" s="1055">
        <v>0.64100000000000001</v>
      </c>
      <c r="T331" s="1054">
        <f t="shared" si="145"/>
        <v>1.7691599999999998</v>
      </c>
      <c r="U331" s="1136">
        <v>2.36</v>
      </c>
      <c r="V331" s="1052">
        <f t="shared" si="146"/>
        <v>3.6817472698907951</v>
      </c>
      <c r="W331" s="1049"/>
      <c r="X331" s="1051">
        <v>2.76</v>
      </c>
      <c r="Y331" s="1049"/>
      <c r="Z331" s="1050">
        <f t="shared" si="147"/>
        <v>1.2563599999999999</v>
      </c>
      <c r="AA331" s="1121">
        <f>SUM(AD329:AD352)</f>
        <v>64.013999999999996</v>
      </c>
      <c r="AB331" s="1057">
        <v>2</v>
      </c>
      <c r="AC331" s="1056">
        <v>3</v>
      </c>
      <c r="AD331" s="1055">
        <v>2.0630000000000002</v>
      </c>
      <c r="AE331" s="1137">
        <f t="shared" si="148"/>
        <v>1.1346500000000002</v>
      </c>
      <c r="AF331" s="1136">
        <v>2.5499999999999998</v>
      </c>
      <c r="AG331" s="1052">
        <f t="shared" si="149"/>
        <v>1.2360639844886085</v>
      </c>
      <c r="AH331" s="1049"/>
      <c r="AI331" s="1136">
        <v>0.55000000000000004</v>
      </c>
      <c r="AJ331" s="1049"/>
      <c r="AK331" s="1050">
        <f t="shared" si="150"/>
        <v>-0.51575000000000004</v>
      </c>
      <c r="AL331" s="1049"/>
      <c r="AM331" s="1121">
        <f>SUM(AP329:AP352)</f>
        <v>9.26</v>
      </c>
      <c r="AN331" s="1057">
        <v>2</v>
      </c>
      <c r="AO331" s="1056">
        <v>3</v>
      </c>
      <c r="AP331" s="1055">
        <v>0.12</v>
      </c>
      <c r="AQ331" s="1745">
        <f t="shared" si="151"/>
        <v>0</v>
      </c>
      <c r="AR331" s="1737">
        <v>0.25</v>
      </c>
      <c r="AS331" s="1052">
        <f t="shared" si="152"/>
        <v>2.0833333333333335</v>
      </c>
      <c r="AT331" s="1049"/>
      <c r="AU331" s="1136"/>
      <c r="AV331" s="1049"/>
      <c r="AW331" s="1121">
        <f>SUM(AZ329:AZ352)</f>
        <v>6.12</v>
      </c>
      <c r="AX331" s="1057">
        <v>2</v>
      </c>
      <c r="AY331" s="1056">
        <v>3</v>
      </c>
      <c r="AZ331" s="1055">
        <v>0.09</v>
      </c>
      <c r="BA331" s="1736">
        <v>0.08</v>
      </c>
      <c r="BB331" s="1737">
        <f t="shared" si="153"/>
        <v>0.88888888888888895</v>
      </c>
      <c r="BC331" s="1049"/>
      <c r="BD331" s="1136"/>
      <c r="BE331" s="1049"/>
      <c r="BF331" s="1121">
        <f>SUM(BI329:BI352)</f>
        <v>8.9</v>
      </c>
      <c r="BG331" s="1057">
        <v>2</v>
      </c>
      <c r="BH331" s="1056">
        <v>3</v>
      </c>
      <c r="BI331" s="1874">
        <v>0.11</v>
      </c>
      <c r="BJ331" s="1736" t="s">
        <v>1367</v>
      </c>
      <c r="BK331" s="1049"/>
      <c r="BL331" s="1121">
        <f>SUM(BO329:BO352)+SUM(BP329:BP352)</f>
        <v>0</v>
      </c>
      <c r="BM331" s="1057">
        <v>2</v>
      </c>
      <c r="BN331" s="1056">
        <v>3</v>
      </c>
      <c r="BO331" s="1055"/>
      <c r="BP331" s="1055"/>
      <c r="BQ331" s="1049"/>
    </row>
    <row r="332" spans="1:69" ht="14.4">
      <c r="A332" s="1049"/>
      <c r="B332" s="1120">
        <f>B331/24</f>
        <v>0.59666666666666679</v>
      </c>
      <c r="C332" s="1057">
        <v>3</v>
      </c>
      <c r="D332" s="1056">
        <v>4</v>
      </c>
      <c r="E332" s="1063">
        <v>0.21</v>
      </c>
      <c r="F332" s="1062">
        <v>0.61</v>
      </c>
      <c r="G332" s="1061">
        <f t="shared" si="143"/>
        <v>2.9047619047619047</v>
      </c>
      <c r="H332" s="1049"/>
      <c r="I332" s="1120">
        <f>I331/24</f>
        <v>0.69516666666666671</v>
      </c>
      <c r="J332" s="1057">
        <v>3</v>
      </c>
      <c r="K332" s="1056">
        <v>4</v>
      </c>
      <c r="L332" s="1055">
        <v>0.23</v>
      </c>
      <c r="M332" s="1059">
        <v>0.46</v>
      </c>
      <c r="N332" s="1052">
        <f t="shared" si="144"/>
        <v>2</v>
      </c>
      <c r="O332" s="1049"/>
      <c r="P332" s="1120">
        <f>P331/24</f>
        <v>1.5442916666666668</v>
      </c>
      <c r="Q332" s="1057">
        <v>3</v>
      </c>
      <c r="R332" s="1056">
        <v>4</v>
      </c>
      <c r="S332" s="1055">
        <v>0.30399999999999999</v>
      </c>
      <c r="T332" s="1054">
        <f t="shared" si="145"/>
        <v>0.86335999999999991</v>
      </c>
      <c r="U332" s="1136">
        <v>1.1399999999999999</v>
      </c>
      <c r="V332" s="1052">
        <f t="shared" si="146"/>
        <v>3.7499999999999996</v>
      </c>
      <c r="W332" s="1049"/>
      <c r="X332" s="1051">
        <v>2.84</v>
      </c>
      <c r="Y332" s="1049"/>
      <c r="Z332" s="1050">
        <f t="shared" si="147"/>
        <v>0.62016000000000004</v>
      </c>
      <c r="AA332" s="1120">
        <f>AA331/24</f>
        <v>2.6672499999999997</v>
      </c>
      <c r="AB332" s="1057">
        <v>3</v>
      </c>
      <c r="AC332" s="1056">
        <v>4</v>
      </c>
      <c r="AD332" s="1055">
        <v>2.0489999999999999</v>
      </c>
      <c r="AE332" s="1137">
        <f t="shared" si="148"/>
        <v>1.06548</v>
      </c>
      <c r="AF332" s="1136">
        <v>2.4700000000000002</v>
      </c>
      <c r="AG332" s="1052">
        <f t="shared" si="149"/>
        <v>1.2054660810151294</v>
      </c>
      <c r="AH332" s="1049"/>
      <c r="AI332" s="1136">
        <v>0.52</v>
      </c>
      <c r="AJ332" s="1049"/>
      <c r="AK332" s="1050">
        <f t="shared" si="150"/>
        <v>-0.57372000000000001</v>
      </c>
      <c r="AL332" s="1049"/>
      <c r="AM332" s="1120">
        <f>AM331/24</f>
        <v>0.38583333333333331</v>
      </c>
      <c r="AN332" s="1057">
        <v>3</v>
      </c>
      <c r="AO332" s="1056">
        <v>4</v>
      </c>
      <c r="AP332" s="1055">
        <v>0.09</v>
      </c>
      <c r="AQ332" s="1745">
        <f t="shared" si="151"/>
        <v>0</v>
      </c>
      <c r="AR332" s="1737">
        <v>0.18</v>
      </c>
      <c r="AS332" s="1052">
        <f t="shared" si="152"/>
        <v>2</v>
      </c>
      <c r="AT332" s="1049"/>
      <c r="AU332" s="1136"/>
      <c r="AV332" s="1049"/>
      <c r="AW332" s="1120">
        <f>AW331/24</f>
        <v>0.255</v>
      </c>
      <c r="AX332" s="1057">
        <v>3</v>
      </c>
      <c r="AY332" s="1056">
        <v>4</v>
      </c>
      <c r="AZ332" s="1055">
        <v>0.14000000000000001</v>
      </c>
      <c r="BA332" s="1736">
        <v>0.12</v>
      </c>
      <c r="BB332" s="1737">
        <f t="shared" si="153"/>
        <v>0.85714285714285698</v>
      </c>
      <c r="BC332" s="1049"/>
      <c r="BD332" s="1136"/>
      <c r="BE332" s="1049"/>
      <c r="BF332" s="1120">
        <f>BF331/24</f>
        <v>0.37083333333333335</v>
      </c>
      <c r="BG332" s="1057">
        <v>3</v>
      </c>
      <c r="BH332" s="1056">
        <v>4</v>
      </c>
      <c r="BI332" s="1874">
        <v>0.1</v>
      </c>
      <c r="BJ332" s="1736" t="s">
        <v>1398</v>
      </c>
      <c r="BK332" s="1049"/>
      <c r="BL332" s="1120">
        <f>BL331/24</f>
        <v>0</v>
      </c>
      <c r="BM332" s="1057">
        <v>3</v>
      </c>
      <c r="BN332" s="1056">
        <v>4</v>
      </c>
      <c r="BO332" s="1055"/>
      <c r="BP332" s="1055"/>
      <c r="BQ332" s="1049"/>
    </row>
    <row r="333" spans="1:69" ht="14.4">
      <c r="A333" s="1049"/>
      <c r="B333" s="1119"/>
      <c r="C333" s="1057">
        <v>4</v>
      </c>
      <c r="D333" s="1056">
        <v>5</v>
      </c>
      <c r="E333" s="1063">
        <v>0.27</v>
      </c>
      <c r="F333" s="1062">
        <v>0.77</v>
      </c>
      <c r="G333" s="1061">
        <f t="shared" si="143"/>
        <v>2.8518518518518516</v>
      </c>
      <c r="H333" s="1049"/>
      <c r="I333" s="1119"/>
      <c r="J333" s="1057">
        <v>4</v>
      </c>
      <c r="K333" s="1056">
        <v>5</v>
      </c>
      <c r="L333" s="1055">
        <v>0.36699999999999999</v>
      </c>
      <c r="M333" s="1059">
        <v>0.74</v>
      </c>
      <c r="N333" s="1052">
        <f t="shared" si="144"/>
        <v>2.0163487738419619</v>
      </c>
      <c r="O333" s="1049"/>
      <c r="P333" s="1118"/>
      <c r="Q333" s="1057">
        <v>4</v>
      </c>
      <c r="R333" s="1056">
        <v>5</v>
      </c>
      <c r="S333" s="1055">
        <v>0.372</v>
      </c>
      <c r="T333" s="1054">
        <f t="shared" si="145"/>
        <v>1.06392</v>
      </c>
      <c r="U333" s="1136">
        <v>1.4</v>
      </c>
      <c r="V333" s="1052">
        <f t="shared" si="146"/>
        <v>3.7634408602150535</v>
      </c>
      <c r="W333" s="1049"/>
      <c r="X333" s="1051">
        <v>2.86</v>
      </c>
      <c r="Y333" s="1049"/>
      <c r="Z333" s="1050">
        <f t="shared" si="147"/>
        <v>0.76631999999999989</v>
      </c>
      <c r="AA333" s="1118"/>
      <c r="AB333" s="1057">
        <v>4</v>
      </c>
      <c r="AC333" s="1056">
        <v>5</v>
      </c>
      <c r="AD333" s="1055">
        <v>2.1019999999999999</v>
      </c>
      <c r="AE333" s="1137">
        <f t="shared" si="148"/>
        <v>1.07202</v>
      </c>
      <c r="AF333" s="1136">
        <v>2.52</v>
      </c>
      <c r="AG333" s="1052">
        <f t="shared" si="149"/>
        <v>1.1988582302568982</v>
      </c>
      <c r="AH333" s="1049"/>
      <c r="AI333" s="1136">
        <v>0.51</v>
      </c>
      <c r="AJ333" s="1049"/>
      <c r="AK333" s="1050">
        <f t="shared" si="150"/>
        <v>-0.60958000000000001</v>
      </c>
      <c r="AL333" s="1049"/>
      <c r="AM333" s="1118"/>
      <c r="AN333" s="1057">
        <v>4</v>
      </c>
      <c r="AO333" s="1056">
        <v>5</v>
      </c>
      <c r="AP333" s="1055">
        <v>0.11</v>
      </c>
      <c r="AQ333" s="1745">
        <f t="shared" si="151"/>
        <v>0</v>
      </c>
      <c r="AR333" s="1737">
        <v>0.23</v>
      </c>
      <c r="AS333" s="1052">
        <f t="shared" si="152"/>
        <v>2.0909090909090908</v>
      </c>
      <c r="AT333" s="1049"/>
      <c r="AU333" s="1136"/>
      <c r="AV333" s="1049"/>
      <c r="AW333" s="1118"/>
      <c r="AX333" s="1057">
        <v>4</v>
      </c>
      <c r="AY333" s="1056">
        <v>5</v>
      </c>
      <c r="AZ333" s="1055">
        <v>0.12</v>
      </c>
      <c r="BA333" s="1736">
        <v>0.1</v>
      </c>
      <c r="BB333" s="1737">
        <f t="shared" si="153"/>
        <v>0.83333333333333337</v>
      </c>
      <c r="BC333" s="1049"/>
      <c r="BD333" s="1136"/>
      <c r="BE333" s="1049"/>
      <c r="BF333" s="1118"/>
      <c r="BG333" s="1057">
        <v>4</v>
      </c>
      <c r="BH333" s="1056">
        <v>5</v>
      </c>
      <c r="BI333" s="1874">
        <v>0.14000000000000001</v>
      </c>
      <c r="BJ333" s="1736" t="s">
        <v>1392</v>
      </c>
      <c r="BK333" s="1049"/>
      <c r="BL333" s="1118"/>
      <c r="BM333" s="1057">
        <v>4</v>
      </c>
      <c r="BN333" s="1056">
        <v>5</v>
      </c>
      <c r="BO333" s="1055"/>
      <c r="BP333" s="1055"/>
      <c r="BQ333" s="1049"/>
    </row>
    <row r="334" spans="1:69" ht="15" thickBot="1">
      <c r="A334" s="1049"/>
      <c r="B334" s="1058">
        <f>SUM(F329:F352)</f>
        <v>42.400000000000013</v>
      </c>
      <c r="C334" s="1111">
        <v>5</v>
      </c>
      <c r="D334" s="1110">
        <v>6</v>
      </c>
      <c r="E334" s="1117">
        <v>0.27</v>
      </c>
      <c r="F334" s="1116">
        <v>0.78</v>
      </c>
      <c r="G334" s="1115">
        <f t="shared" si="143"/>
        <v>2.8888888888888888</v>
      </c>
      <c r="H334" s="1049"/>
      <c r="I334" s="1058">
        <f>SUM(M329:M352)</f>
        <v>58.750000000000007</v>
      </c>
      <c r="J334" s="1111">
        <v>5</v>
      </c>
      <c r="K334" s="1110">
        <v>6</v>
      </c>
      <c r="L334" s="1109">
        <v>0.35299999999999998</v>
      </c>
      <c r="M334" s="1114">
        <v>0.74</v>
      </c>
      <c r="N334" s="1113">
        <f t="shared" si="144"/>
        <v>2.0963172804532579</v>
      </c>
      <c r="O334" s="1049"/>
      <c r="P334" s="1112">
        <f>SUM(U329:U352)</f>
        <v>212.86</v>
      </c>
      <c r="Q334" s="1111">
        <v>5</v>
      </c>
      <c r="R334" s="1110">
        <v>6</v>
      </c>
      <c r="S334" s="1109">
        <v>0.71299999999999997</v>
      </c>
      <c r="T334" s="1054">
        <f t="shared" si="145"/>
        <v>2.23882</v>
      </c>
      <c r="U334" s="1146">
        <v>2.9</v>
      </c>
      <c r="V334" s="1052">
        <f t="shared" si="146"/>
        <v>4.0673211781206176</v>
      </c>
      <c r="W334" s="1049"/>
      <c r="X334" s="1074">
        <v>3.14</v>
      </c>
      <c r="Y334" s="1049"/>
      <c r="Z334" s="1050">
        <f t="shared" si="147"/>
        <v>1.6684199999999998</v>
      </c>
      <c r="AA334" s="1112">
        <f>SUM(AF329:AF352)</f>
        <v>79.47</v>
      </c>
      <c r="AB334" s="1111">
        <v>5</v>
      </c>
      <c r="AC334" s="1110">
        <v>6</v>
      </c>
      <c r="AD334" s="1109">
        <v>2.077</v>
      </c>
      <c r="AE334" s="1147">
        <f t="shared" si="148"/>
        <v>1.0592699999999999</v>
      </c>
      <c r="AF334" s="1146">
        <v>2.4900000000000002</v>
      </c>
      <c r="AG334" s="1052">
        <f t="shared" si="149"/>
        <v>1.1988444872412134</v>
      </c>
      <c r="AH334" s="1049"/>
      <c r="AI334" s="1146">
        <v>0.51</v>
      </c>
      <c r="AJ334" s="1049"/>
      <c r="AK334" s="1050">
        <f t="shared" si="150"/>
        <v>-0.60233000000000003</v>
      </c>
      <c r="AL334" s="1049"/>
      <c r="AM334" s="1112">
        <f>SUM(AR329:AR352)</f>
        <v>22.94</v>
      </c>
      <c r="AN334" s="1111">
        <v>5</v>
      </c>
      <c r="AO334" s="1110">
        <v>6</v>
      </c>
      <c r="AP334" s="1109">
        <v>0.13</v>
      </c>
      <c r="AQ334" s="1746">
        <f t="shared" si="151"/>
        <v>0</v>
      </c>
      <c r="AR334" s="1739">
        <v>0.28000000000000003</v>
      </c>
      <c r="AS334" s="1052">
        <f t="shared" si="152"/>
        <v>2.1538461538461542</v>
      </c>
      <c r="AT334" s="1049"/>
      <c r="AU334" s="1146"/>
      <c r="AV334" s="1049"/>
      <c r="AW334" s="1112">
        <f>SUM(BA329:BA352)</f>
        <v>9.9699999999999971</v>
      </c>
      <c r="AX334" s="1111">
        <v>5</v>
      </c>
      <c r="AY334" s="1110">
        <v>6</v>
      </c>
      <c r="AZ334" s="1109">
        <v>0.39</v>
      </c>
      <c r="BA334" s="1738">
        <v>0.36</v>
      </c>
      <c r="BB334" s="1739">
        <f t="shared" si="153"/>
        <v>0.92307692307692302</v>
      </c>
      <c r="BC334" s="1049"/>
      <c r="BD334" s="1146"/>
      <c r="BE334" s="1049"/>
      <c r="BF334" s="1112">
        <f>SUM(BJ329:BJ352)</f>
        <v>0</v>
      </c>
      <c r="BG334" s="1111">
        <v>5</v>
      </c>
      <c r="BH334" s="1110">
        <v>6</v>
      </c>
      <c r="BI334" s="1874">
        <v>0.19</v>
      </c>
      <c r="BJ334" s="1738" t="s">
        <v>1426</v>
      </c>
      <c r="BK334" s="1049"/>
      <c r="BL334" s="1112">
        <f>SUM(BP329:BP352)</f>
        <v>0</v>
      </c>
      <c r="BM334" s="1111">
        <v>5</v>
      </c>
      <c r="BN334" s="1110">
        <v>6</v>
      </c>
      <c r="BO334" s="1109"/>
      <c r="BP334" s="1109"/>
      <c r="BQ334" s="1049"/>
    </row>
    <row r="335" spans="1:69" ht="14.4">
      <c r="A335" s="1049"/>
      <c r="B335" s="1093">
        <f>B334/B331</f>
        <v>2.9608938547486039</v>
      </c>
      <c r="C335" s="1100">
        <v>6</v>
      </c>
      <c r="D335" s="1099">
        <v>7</v>
      </c>
      <c r="E335" s="1107">
        <v>0.34</v>
      </c>
      <c r="F335" s="1106">
        <v>0.98</v>
      </c>
      <c r="G335" s="1105">
        <f t="shared" si="143"/>
        <v>2.8823529411764701</v>
      </c>
      <c r="H335" s="1049"/>
      <c r="I335" s="1093">
        <f>I334/I331</f>
        <v>3.5213378086789739</v>
      </c>
      <c r="J335" s="1100">
        <v>6</v>
      </c>
      <c r="K335" s="1099">
        <v>7</v>
      </c>
      <c r="L335" s="1098">
        <v>0.247</v>
      </c>
      <c r="M335" s="1103">
        <v>0.75</v>
      </c>
      <c r="N335" s="1102">
        <f t="shared" si="144"/>
        <v>3.0364372469635628</v>
      </c>
      <c r="O335" s="1049"/>
      <c r="P335" s="1093">
        <f>P334/P331</f>
        <v>5.7431940209912851</v>
      </c>
      <c r="Q335" s="1100">
        <v>6</v>
      </c>
      <c r="R335" s="1099">
        <v>7</v>
      </c>
      <c r="S335" s="1098">
        <v>1.661</v>
      </c>
      <c r="T335" s="1054">
        <f t="shared" si="145"/>
        <v>6.1124800000000006</v>
      </c>
      <c r="U335" s="1144">
        <v>7.65</v>
      </c>
      <c r="V335" s="1052">
        <f t="shared" si="146"/>
        <v>4.6056592414208311</v>
      </c>
      <c r="W335" s="1049"/>
      <c r="X335" s="1108">
        <v>3.68</v>
      </c>
      <c r="Y335" s="1049"/>
      <c r="Z335" s="1050">
        <f t="shared" si="147"/>
        <v>4.7836799999999995</v>
      </c>
      <c r="AA335" s="1093">
        <f>AA334/AA331</f>
        <v>1.2414471834286251</v>
      </c>
      <c r="AB335" s="1100">
        <v>6</v>
      </c>
      <c r="AC335" s="1099">
        <v>7</v>
      </c>
      <c r="AD335" s="1098">
        <v>2.177</v>
      </c>
      <c r="AE335" s="1145">
        <f t="shared" si="148"/>
        <v>1.1973500000000001</v>
      </c>
      <c r="AF335" s="1144">
        <v>2.7</v>
      </c>
      <c r="AG335" s="1052">
        <f t="shared" si="149"/>
        <v>1.2402388608176389</v>
      </c>
      <c r="AH335" s="1049"/>
      <c r="AI335" s="1144">
        <v>0.55000000000000004</v>
      </c>
      <c r="AJ335" s="1049"/>
      <c r="AK335" s="1050">
        <f t="shared" si="150"/>
        <v>-0.54425000000000001</v>
      </c>
      <c r="AL335" s="1049"/>
      <c r="AM335" s="1093">
        <f>AM334/AM331</f>
        <v>2.4773218142548599</v>
      </c>
      <c r="AN335" s="1100">
        <v>6</v>
      </c>
      <c r="AO335" s="1099">
        <v>7</v>
      </c>
      <c r="AP335" s="1098">
        <v>0.24</v>
      </c>
      <c r="AQ335" s="1747">
        <f t="shared" si="151"/>
        <v>0</v>
      </c>
      <c r="AR335" s="1741">
        <v>0.56999999999999995</v>
      </c>
      <c r="AS335" s="1052">
        <f t="shared" si="152"/>
        <v>2.375</v>
      </c>
      <c r="AT335" s="1049"/>
      <c r="AU335" s="1144"/>
      <c r="AV335" s="1049"/>
      <c r="AW335" s="1093">
        <f>AW334/AW331</f>
        <v>1.629084967320261</v>
      </c>
      <c r="AX335" s="1100">
        <v>6</v>
      </c>
      <c r="AY335" s="1099">
        <v>7</v>
      </c>
      <c r="AZ335" s="1098">
        <v>0.36</v>
      </c>
      <c r="BA335" s="1740">
        <v>0.44</v>
      </c>
      <c r="BB335" s="1741">
        <f t="shared" si="153"/>
        <v>1.2222222222222223</v>
      </c>
      <c r="BC335" s="1049"/>
      <c r="BD335" s="1144"/>
      <c r="BE335" s="1049"/>
      <c r="BF335" s="1093">
        <f>BF334/BF331</f>
        <v>0</v>
      </c>
      <c r="BG335" s="1100">
        <v>6</v>
      </c>
      <c r="BH335" s="1099">
        <v>7</v>
      </c>
      <c r="BI335" s="1874">
        <v>0.23</v>
      </c>
      <c r="BJ335" s="1740" t="s">
        <v>1454</v>
      </c>
      <c r="BK335" s="1049"/>
      <c r="BL335" s="1093" t="e">
        <f>BL334/BL331</f>
        <v>#DIV/0!</v>
      </c>
      <c r="BM335" s="1100">
        <v>6</v>
      </c>
      <c r="BN335" s="1099">
        <v>7</v>
      </c>
      <c r="BO335" s="1098"/>
      <c r="BP335" s="1098"/>
      <c r="BQ335" s="1049"/>
    </row>
    <row r="336" spans="1:69" ht="14.4">
      <c r="A336" s="1049"/>
      <c r="B336" s="1104"/>
      <c r="C336" s="1100">
        <v>7</v>
      </c>
      <c r="D336" s="1099">
        <v>8</v>
      </c>
      <c r="E336" s="1107">
        <v>0.94</v>
      </c>
      <c r="F336" s="1106">
        <v>2.72</v>
      </c>
      <c r="G336" s="1105">
        <f t="shared" si="143"/>
        <v>2.8936170212765959</v>
      </c>
      <c r="H336" s="1049"/>
      <c r="I336" s="1104"/>
      <c r="J336" s="1100">
        <v>7</v>
      </c>
      <c r="K336" s="1099">
        <v>8</v>
      </c>
      <c r="L336" s="1098">
        <v>0.32700000000000001</v>
      </c>
      <c r="M336" s="1103">
        <v>1.17</v>
      </c>
      <c r="N336" s="1102">
        <f t="shared" si="144"/>
        <v>3.5779816513761462</v>
      </c>
      <c r="O336" s="1049"/>
      <c r="P336" s="1101"/>
      <c r="Q336" s="1100">
        <v>7</v>
      </c>
      <c r="R336" s="1099">
        <v>8</v>
      </c>
      <c r="S336" s="1098">
        <v>1.373</v>
      </c>
      <c r="T336" s="1054">
        <f t="shared" si="145"/>
        <v>6.6727800000000004</v>
      </c>
      <c r="U336" s="1144">
        <v>7.93</v>
      </c>
      <c r="V336" s="1052">
        <f t="shared" si="146"/>
        <v>5.7756737072104878</v>
      </c>
      <c r="W336" s="1049"/>
      <c r="X336" s="1065">
        <v>4.8600000000000003</v>
      </c>
      <c r="Y336" s="1049"/>
      <c r="Z336" s="1050">
        <f t="shared" si="147"/>
        <v>5.5743800000000006</v>
      </c>
      <c r="AA336" s="1101"/>
      <c r="AB336" s="1100">
        <v>7</v>
      </c>
      <c r="AC336" s="1099">
        <v>8</v>
      </c>
      <c r="AD336" s="1098">
        <v>2.855</v>
      </c>
      <c r="AE336" s="1145">
        <f t="shared" si="148"/>
        <v>1.7986500000000001</v>
      </c>
      <c r="AF336" s="1144">
        <v>3.77</v>
      </c>
      <c r="AG336" s="1052">
        <f t="shared" si="149"/>
        <v>1.320490367775832</v>
      </c>
      <c r="AH336" s="1049"/>
      <c r="AI336" s="1144">
        <v>0.63</v>
      </c>
      <c r="AJ336" s="1049"/>
      <c r="AK336" s="1050">
        <f t="shared" si="150"/>
        <v>-0.48535000000000011</v>
      </c>
      <c r="AL336" s="1049"/>
      <c r="AM336" s="1101"/>
      <c r="AN336" s="1100">
        <v>7</v>
      </c>
      <c r="AO336" s="1099">
        <v>8</v>
      </c>
      <c r="AP336" s="1098">
        <v>0.68</v>
      </c>
      <c r="AQ336" s="1747">
        <f t="shared" si="151"/>
        <v>0</v>
      </c>
      <c r="AR336" s="1741">
        <v>1.83</v>
      </c>
      <c r="AS336" s="1052">
        <f t="shared" si="152"/>
        <v>2.6911764705882351</v>
      </c>
      <c r="AT336" s="1049"/>
      <c r="AU336" s="1144"/>
      <c r="AV336" s="1049"/>
      <c r="AW336" s="1101"/>
      <c r="AX336" s="1100">
        <v>7</v>
      </c>
      <c r="AY336" s="1099">
        <v>8</v>
      </c>
      <c r="AZ336" s="1098">
        <v>0.24</v>
      </c>
      <c r="BA336" s="1736">
        <v>0.4</v>
      </c>
      <c r="BB336" s="1741">
        <f t="shared" si="153"/>
        <v>1.6666666666666667</v>
      </c>
      <c r="BC336" s="1049"/>
      <c r="BD336" s="1144"/>
      <c r="BE336" s="1049"/>
      <c r="BF336" s="1101"/>
      <c r="BG336" s="1100">
        <v>7</v>
      </c>
      <c r="BH336" s="1099">
        <v>8</v>
      </c>
      <c r="BI336" s="1874">
        <v>0.3</v>
      </c>
      <c r="BJ336" s="1736" t="s">
        <v>1458</v>
      </c>
      <c r="BK336" s="1049"/>
      <c r="BL336" s="1101"/>
      <c r="BM336" s="1100">
        <v>7</v>
      </c>
      <c r="BN336" s="1099">
        <v>8</v>
      </c>
      <c r="BO336" s="1098"/>
      <c r="BP336" s="1098"/>
      <c r="BQ336" s="1049"/>
    </row>
    <row r="337" spans="1:69" ht="14.4">
      <c r="A337" s="1049"/>
      <c r="B337" s="1097">
        <f>B334/24</f>
        <v>1.7666666666666673</v>
      </c>
      <c r="C337" s="1086">
        <v>8</v>
      </c>
      <c r="D337" s="1085">
        <v>9</v>
      </c>
      <c r="E337" s="1091">
        <v>0.85</v>
      </c>
      <c r="F337" s="1090">
        <v>2.4500000000000002</v>
      </c>
      <c r="G337" s="1089">
        <f t="shared" si="143"/>
        <v>2.882352941176471</v>
      </c>
      <c r="H337" s="1049"/>
      <c r="I337" s="1097">
        <f>I334/24</f>
        <v>2.447916666666667</v>
      </c>
      <c r="J337" s="1086">
        <v>8</v>
      </c>
      <c r="K337" s="1085">
        <v>9</v>
      </c>
      <c r="L337" s="1084">
        <v>0.88700000000000001</v>
      </c>
      <c r="M337" s="1088">
        <v>3.2</v>
      </c>
      <c r="N337" s="1087">
        <f t="shared" si="144"/>
        <v>3.607666290868095</v>
      </c>
      <c r="O337" s="1049"/>
      <c r="P337" s="1096">
        <f>P334/24</f>
        <v>8.8691666666666666</v>
      </c>
      <c r="Q337" s="1086">
        <v>8</v>
      </c>
      <c r="R337" s="1085">
        <v>9</v>
      </c>
      <c r="S337" s="1084">
        <v>1.5409999999999999</v>
      </c>
      <c r="T337" s="1054">
        <f t="shared" si="145"/>
        <v>8.1364800000000006</v>
      </c>
      <c r="U337" s="1142">
        <v>9.5500000000000007</v>
      </c>
      <c r="V337" s="1052">
        <f t="shared" si="146"/>
        <v>6.1972744970798193</v>
      </c>
      <c r="W337" s="1049"/>
      <c r="X337" s="1051">
        <v>5.28</v>
      </c>
      <c r="Y337" s="1049"/>
      <c r="Z337" s="1050">
        <f t="shared" si="147"/>
        <v>6.9036800000000005</v>
      </c>
      <c r="AA337" s="1096">
        <f>AA334/24</f>
        <v>3.3112499999999998</v>
      </c>
      <c r="AB337" s="1086">
        <v>8</v>
      </c>
      <c r="AC337" s="1085">
        <v>9</v>
      </c>
      <c r="AD337" s="1084">
        <v>2.2669999999999999</v>
      </c>
      <c r="AE337" s="1143">
        <f t="shared" si="148"/>
        <v>1.42821</v>
      </c>
      <c r="AF337" s="1142">
        <v>2.99</v>
      </c>
      <c r="AG337" s="1052">
        <f t="shared" si="149"/>
        <v>1.3189236876929864</v>
      </c>
      <c r="AH337" s="1049"/>
      <c r="AI337" s="1142">
        <v>0.63</v>
      </c>
      <c r="AJ337" s="1049"/>
      <c r="AK337" s="1050">
        <f t="shared" si="150"/>
        <v>-0.38539000000000007</v>
      </c>
      <c r="AL337" s="1049"/>
      <c r="AM337" s="1096">
        <f>AM334/24</f>
        <v>0.95583333333333342</v>
      </c>
      <c r="AN337" s="1086">
        <v>8</v>
      </c>
      <c r="AO337" s="1085">
        <v>9</v>
      </c>
      <c r="AP337" s="1084">
        <v>0.33</v>
      </c>
      <c r="AQ337" s="1748">
        <f t="shared" si="151"/>
        <v>0</v>
      </c>
      <c r="AR337" s="1742">
        <v>0.91</v>
      </c>
      <c r="AS337" s="1052">
        <f t="shared" si="152"/>
        <v>2.7575757575757573</v>
      </c>
      <c r="AT337" s="1049"/>
      <c r="AU337" s="1142"/>
      <c r="AV337" s="1049"/>
      <c r="AW337" s="1096">
        <f>AW334/24</f>
        <v>0.41541666666666655</v>
      </c>
      <c r="AX337" s="1086">
        <v>8</v>
      </c>
      <c r="AY337" s="1085">
        <v>9</v>
      </c>
      <c r="AZ337" s="1084">
        <v>0.3</v>
      </c>
      <c r="BA337" s="1736">
        <v>0.51</v>
      </c>
      <c r="BB337" s="1742">
        <f t="shared" si="153"/>
        <v>1.7000000000000002</v>
      </c>
      <c r="BC337" s="1049"/>
      <c r="BD337" s="1142"/>
      <c r="BE337" s="1049"/>
      <c r="BF337" s="1096">
        <f>BF334/24</f>
        <v>0</v>
      </c>
      <c r="BG337" s="1086">
        <v>8</v>
      </c>
      <c r="BH337" s="1085">
        <v>9</v>
      </c>
      <c r="BI337" s="1874">
        <v>0.24</v>
      </c>
      <c r="BJ337" s="1736" t="s">
        <v>1427</v>
      </c>
      <c r="BK337" s="1049"/>
      <c r="BL337" s="1096">
        <f>BL334/24</f>
        <v>0</v>
      </c>
      <c r="BM337" s="1086">
        <v>8</v>
      </c>
      <c r="BN337" s="1085">
        <v>9</v>
      </c>
      <c r="BO337" s="1084"/>
      <c r="BP337" s="1084"/>
      <c r="BQ337" s="1049"/>
    </row>
    <row r="338" spans="1:69" ht="14.4">
      <c r="A338" s="1049"/>
      <c r="B338" s="1097"/>
      <c r="C338" s="1086">
        <v>9</v>
      </c>
      <c r="D338" s="1085">
        <v>10</v>
      </c>
      <c r="E338" s="1091">
        <v>2.04</v>
      </c>
      <c r="F338" s="1090">
        <v>5.89</v>
      </c>
      <c r="G338" s="1089">
        <f t="shared" si="143"/>
        <v>2.8872549019607843</v>
      </c>
      <c r="H338" s="1049"/>
      <c r="I338" s="1097"/>
      <c r="J338" s="1086">
        <v>9</v>
      </c>
      <c r="K338" s="1085">
        <v>10</v>
      </c>
      <c r="L338" s="1084">
        <v>0.29699999999999999</v>
      </c>
      <c r="M338" s="1088">
        <v>0.95</v>
      </c>
      <c r="N338" s="1087">
        <f t="shared" si="144"/>
        <v>3.1986531986531985</v>
      </c>
      <c r="O338" s="1049"/>
      <c r="P338" s="1096"/>
      <c r="Q338" s="1086">
        <v>9</v>
      </c>
      <c r="R338" s="1085">
        <v>10</v>
      </c>
      <c r="S338" s="1084">
        <v>2.0510000000000002</v>
      </c>
      <c r="T338" s="1054">
        <f t="shared" si="145"/>
        <v>11.403560000000001</v>
      </c>
      <c r="U338" s="1142">
        <v>13.28</v>
      </c>
      <c r="V338" s="1052">
        <f t="shared" si="146"/>
        <v>6.4748902974158939</v>
      </c>
      <c r="W338" s="1049"/>
      <c r="X338" s="1051">
        <v>5.56</v>
      </c>
      <c r="Y338" s="1049"/>
      <c r="Z338" s="1050">
        <f t="shared" si="147"/>
        <v>9.7627600000000001</v>
      </c>
      <c r="AA338" s="1096"/>
      <c r="AB338" s="1086">
        <v>9</v>
      </c>
      <c r="AC338" s="1085">
        <v>10</v>
      </c>
      <c r="AD338" s="1084">
        <v>2.4929999999999999</v>
      </c>
      <c r="AE338" s="1143">
        <f t="shared" si="148"/>
        <v>1.6453800000000001</v>
      </c>
      <c r="AF338" s="1142">
        <v>3.37</v>
      </c>
      <c r="AG338" s="1052">
        <f t="shared" si="149"/>
        <v>1.3517849979943843</v>
      </c>
      <c r="AH338" s="1049"/>
      <c r="AI338" s="1142">
        <v>0.66</v>
      </c>
      <c r="AJ338" s="1049"/>
      <c r="AK338" s="1050">
        <f t="shared" si="150"/>
        <v>-0.34902</v>
      </c>
      <c r="AL338" s="1049"/>
      <c r="AM338" s="1096"/>
      <c r="AN338" s="1086">
        <v>9</v>
      </c>
      <c r="AO338" s="1085">
        <v>10</v>
      </c>
      <c r="AP338" s="1084">
        <v>0.28000000000000003</v>
      </c>
      <c r="AQ338" s="1748">
        <f t="shared" si="151"/>
        <v>0</v>
      </c>
      <c r="AR338" s="1742">
        <v>0.7</v>
      </c>
      <c r="AS338" s="1052">
        <f t="shared" si="152"/>
        <v>2.4999999999999996</v>
      </c>
      <c r="AT338" s="1049"/>
      <c r="AU338" s="1142"/>
      <c r="AV338" s="1049"/>
      <c r="AW338" s="1096"/>
      <c r="AX338" s="1086">
        <v>9</v>
      </c>
      <c r="AY338" s="1085">
        <v>10</v>
      </c>
      <c r="AZ338" s="1084">
        <v>0.36</v>
      </c>
      <c r="BA338" s="1736">
        <v>0.59</v>
      </c>
      <c r="BB338" s="1742">
        <f t="shared" si="153"/>
        <v>1.6388888888888888</v>
      </c>
      <c r="BC338" s="1049"/>
      <c r="BD338" s="1142"/>
      <c r="BE338" s="1049"/>
      <c r="BF338" s="1096"/>
      <c r="BG338" s="1086">
        <v>9</v>
      </c>
      <c r="BH338" s="1085">
        <v>10</v>
      </c>
      <c r="BI338" s="1874">
        <v>0.27</v>
      </c>
      <c r="BJ338" s="1736" t="s">
        <v>1415</v>
      </c>
      <c r="BK338" s="1049"/>
      <c r="BL338" s="1096"/>
      <c r="BM338" s="1086">
        <v>9</v>
      </c>
      <c r="BN338" s="1085">
        <v>10</v>
      </c>
      <c r="BO338" s="1084"/>
      <c r="BP338" s="1084"/>
      <c r="BQ338" s="1049"/>
    </row>
    <row r="339" spans="1:69" ht="14.4">
      <c r="A339" s="1049"/>
      <c r="B339" s="1060"/>
      <c r="C339" s="1086">
        <v>10</v>
      </c>
      <c r="D339" s="1085">
        <v>11</v>
      </c>
      <c r="E339" s="1091">
        <v>1.83</v>
      </c>
      <c r="F339" s="1090">
        <v>5.28</v>
      </c>
      <c r="G339" s="1089">
        <f t="shared" si="143"/>
        <v>2.8852459016393444</v>
      </c>
      <c r="H339" s="1049"/>
      <c r="I339" s="1060"/>
      <c r="J339" s="1086">
        <v>10</v>
      </c>
      <c r="K339" s="1085">
        <v>11</v>
      </c>
      <c r="L339" s="1084">
        <v>0.55600000000000005</v>
      </c>
      <c r="M339" s="1088">
        <v>1.66</v>
      </c>
      <c r="N339" s="1087">
        <f t="shared" si="144"/>
        <v>2.9856115107913666</v>
      </c>
      <c r="O339" s="1049"/>
      <c r="P339" s="1095">
        <f>SUM(Z329:Z352)</f>
        <v>149.58147</v>
      </c>
      <c r="Q339" s="1086">
        <v>10</v>
      </c>
      <c r="R339" s="1085">
        <v>11</v>
      </c>
      <c r="S339" s="1084">
        <v>2.4620000000000002</v>
      </c>
      <c r="T339" s="1054">
        <f t="shared" si="145"/>
        <v>13.565620000000001</v>
      </c>
      <c r="U339" s="1142">
        <v>15.83</v>
      </c>
      <c r="V339" s="1052">
        <f t="shared" si="146"/>
        <v>6.4297319252640124</v>
      </c>
      <c r="W339" s="1049"/>
      <c r="X339" s="1051">
        <v>5.51</v>
      </c>
      <c r="Y339" s="1049"/>
      <c r="Z339" s="1050">
        <f t="shared" si="147"/>
        <v>11.596020000000001</v>
      </c>
      <c r="AA339" s="1095">
        <f>SUM(AK329:AK352)</f>
        <v>-22.592740000000006</v>
      </c>
      <c r="AB339" s="1086">
        <v>10</v>
      </c>
      <c r="AC339" s="1085">
        <v>11</v>
      </c>
      <c r="AD339" s="1084">
        <v>3.464</v>
      </c>
      <c r="AE339" s="1143">
        <f t="shared" si="148"/>
        <v>2.5979999999999999</v>
      </c>
      <c r="AF339" s="1142">
        <v>5</v>
      </c>
      <c r="AG339" s="1052">
        <f t="shared" si="149"/>
        <v>1.4434180138568129</v>
      </c>
      <c r="AH339" s="1049"/>
      <c r="AI339" s="1142">
        <v>0.75</v>
      </c>
      <c r="AJ339" s="1049"/>
      <c r="AK339" s="1050">
        <f t="shared" si="150"/>
        <v>-0.17320000000000016</v>
      </c>
      <c r="AL339" s="1049"/>
      <c r="AM339" s="1095" t="e">
        <f>SUM(#REF!)</f>
        <v>#REF!</v>
      </c>
      <c r="AN339" s="1086">
        <v>10</v>
      </c>
      <c r="AO339" s="1085">
        <v>11</v>
      </c>
      <c r="AP339" s="1084">
        <v>0.21</v>
      </c>
      <c r="AQ339" s="1748">
        <f t="shared" si="151"/>
        <v>0</v>
      </c>
      <c r="AR339" s="1742">
        <v>0.44</v>
      </c>
      <c r="AS339" s="1052">
        <f t="shared" si="152"/>
        <v>2.0952380952380953</v>
      </c>
      <c r="AT339" s="1049"/>
      <c r="AU339" s="1142"/>
      <c r="AV339" s="1049"/>
      <c r="AW339" s="1095" t="e">
        <f>SUM(#REF!)</f>
        <v>#REF!</v>
      </c>
      <c r="AX339" s="1086">
        <v>10</v>
      </c>
      <c r="AY339" s="1085">
        <v>11</v>
      </c>
      <c r="AZ339" s="1084">
        <v>0.19</v>
      </c>
      <c r="BA339" s="1736">
        <v>0.28999999999999998</v>
      </c>
      <c r="BB339" s="1742">
        <f t="shared" si="153"/>
        <v>1.5263157894736841</v>
      </c>
      <c r="BC339" s="1049"/>
      <c r="BD339" s="1142"/>
      <c r="BE339" s="1049"/>
      <c r="BF339" s="1095" t="e">
        <f>SUM(#REF!)</f>
        <v>#REF!</v>
      </c>
      <c r="BG339" s="1086">
        <v>10</v>
      </c>
      <c r="BH339" s="1085">
        <v>11</v>
      </c>
      <c r="BI339" s="1874">
        <v>0.21</v>
      </c>
      <c r="BJ339" s="1736" t="s">
        <v>1385</v>
      </c>
      <c r="BK339" s="1049"/>
      <c r="BL339" s="1095" t="e">
        <f>SUM(#REF!)</f>
        <v>#REF!</v>
      </c>
      <c r="BM339" s="1086">
        <v>10</v>
      </c>
      <c r="BN339" s="1085">
        <v>11</v>
      </c>
      <c r="BO339" s="1084"/>
      <c r="BP339" s="1084"/>
      <c r="BQ339" s="1049"/>
    </row>
    <row r="340" spans="1:69" ht="14.4">
      <c r="A340" s="1049"/>
      <c r="B340" s="1060"/>
      <c r="C340" s="1086">
        <v>11</v>
      </c>
      <c r="D340" s="1085">
        <v>12</v>
      </c>
      <c r="E340" s="1091">
        <v>1.46</v>
      </c>
      <c r="F340" s="1090">
        <v>4.22</v>
      </c>
      <c r="G340" s="1089">
        <f t="shared" si="143"/>
        <v>2.8904109589041096</v>
      </c>
      <c r="H340" s="1049"/>
      <c r="I340" s="1060"/>
      <c r="J340" s="1086">
        <v>11</v>
      </c>
      <c r="K340" s="1085">
        <v>12</v>
      </c>
      <c r="L340" s="1084">
        <v>0.42499999999999999</v>
      </c>
      <c r="M340" s="1088">
        <v>1.22</v>
      </c>
      <c r="N340" s="1087">
        <f t="shared" si="144"/>
        <v>2.8705882352941177</v>
      </c>
      <c r="O340" s="1049"/>
      <c r="P340" s="1093">
        <f>P339/P331</f>
        <v>4.0358705447481311</v>
      </c>
      <c r="Q340" s="1086">
        <v>11</v>
      </c>
      <c r="R340" s="1085">
        <v>12</v>
      </c>
      <c r="S340" s="1084">
        <v>2.202</v>
      </c>
      <c r="T340" s="1054">
        <f t="shared" si="145"/>
        <v>12.19908</v>
      </c>
      <c r="U340" s="1142">
        <v>14.22</v>
      </c>
      <c r="V340" s="1052">
        <f t="shared" si="146"/>
        <v>6.4577656675749324</v>
      </c>
      <c r="W340" s="1049"/>
      <c r="X340" s="1051">
        <v>5.54</v>
      </c>
      <c r="Y340" s="1049"/>
      <c r="Z340" s="1050">
        <f t="shared" si="147"/>
        <v>10.437480000000001</v>
      </c>
      <c r="AA340" s="1093">
        <f>AA339/AA331</f>
        <v>-0.35293435810916374</v>
      </c>
      <c r="AB340" s="1086">
        <v>11</v>
      </c>
      <c r="AC340" s="1085">
        <v>12</v>
      </c>
      <c r="AD340" s="1084">
        <v>3.121</v>
      </c>
      <c r="AE340" s="1143">
        <f t="shared" si="148"/>
        <v>2.3095400000000001</v>
      </c>
      <c r="AF340" s="1142">
        <v>4.47</v>
      </c>
      <c r="AG340" s="1052">
        <f t="shared" si="149"/>
        <v>1.4322332585709707</v>
      </c>
      <c r="AH340" s="1049"/>
      <c r="AI340" s="1142">
        <v>0.74</v>
      </c>
      <c r="AJ340" s="1049"/>
      <c r="AK340" s="1050">
        <f t="shared" si="150"/>
        <v>-0.18726000000000018</v>
      </c>
      <c r="AL340" s="1049"/>
      <c r="AM340" s="1093" t="e">
        <f>AM339/AM331</f>
        <v>#REF!</v>
      </c>
      <c r="AN340" s="1086">
        <v>11</v>
      </c>
      <c r="AO340" s="1085">
        <v>12</v>
      </c>
      <c r="AP340" s="1084">
        <v>0.36</v>
      </c>
      <c r="AQ340" s="1748">
        <f t="shared" si="151"/>
        <v>0</v>
      </c>
      <c r="AR340" s="1742">
        <v>0.76</v>
      </c>
      <c r="AS340" s="1052">
        <f t="shared" si="152"/>
        <v>2.1111111111111112</v>
      </c>
      <c r="AT340" s="1049"/>
      <c r="AU340" s="1142"/>
      <c r="AV340" s="1049"/>
      <c r="AW340" s="1093" t="e">
        <f>AW339/AW331</f>
        <v>#REF!</v>
      </c>
      <c r="AX340" s="1086">
        <v>11</v>
      </c>
      <c r="AY340" s="1085">
        <v>12</v>
      </c>
      <c r="AZ340" s="1084">
        <v>0.26</v>
      </c>
      <c r="BA340" s="1736">
        <v>0.36</v>
      </c>
      <c r="BB340" s="1742">
        <f t="shared" si="153"/>
        <v>1.3846153846153846</v>
      </c>
      <c r="BC340" s="1049"/>
      <c r="BD340" s="1142"/>
      <c r="BE340" s="1049"/>
      <c r="BF340" s="1093" t="e">
        <f>BF339/BF331</f>
        <v>#REF!</v>
      </c>
      <c r="BG340" s="1086">
        <v>11</v>
      </c>
      <c r="BH340" s="1085">
        <v>12</v>
      </c>
      <c r="BI340" s="1874">
        <v>0.35</v>
      </c>
      <c r="BJ340" s="1736" t="s">
        <v>1457</v>
      </c>
      <c r="BK340" s="1049"/>
      <c r="BL340" s="1093" t="e">
        <f>BL339/BL331</f>
        <v>#REF!</v>
      </c>
      <c r="BM340" s="1086">
        <v>11</v>
      </c>
      <c r="BN340" s="1085">
        <v>12</v>
      </c>
      <c r="BO340" s="1084"/>
      <c r="BP340" s="1084"/>
      <c r="BQ340" s="1049"/>
    </row>
    <row r="341" spans="1:69" ht="14.4">
      <c r="A341" s="1049"/>
      <c r="B341" s="1060"/>
      <c r="C341" s="1086">
        <v>12</v>
      </c>
      <c r="D341" s="1085">
        <v>13</v>
      </c>
      <c r="E341" s="1091">
        <v>0.31</v>
      </c>
      <c r="F341" s="1090">
        <v>0.89</v>
      </c>
      <c r="G341" s="1089">
        <f t="shared" si="143"/>
        <v>2.870967741935484</v>
      </c>
      <c r="H341" s="1049"/>
      <c r="I341" s="1060"/>
      <c r="J341" s="1086">
        <v>12</v>
      </c>
      <c r="K341" s="1085">
        <v>13</v>
      </c>
      <c r="L341" s="1084">
        <v>0.45400000000000001</v>
      </c>
      <c r="M341" s="1088">
        <v>1.36</v>
      </c>
      <c r="N341" s="1087">
        <f t="shared" si="144"/>
        <v>2.9955947136563879</v>
      </c>
      <c r="O341" s="1049"/>
      <c r="P341" s="1060"/>
      <c r="Q341" s="1086">
        <v>12</v>
      </c>
      <c r="R341" s="1085">
        <v>13</v>
      </c>
      <c r="S341" s="1084">
        <v>1.766</v>
      </c>
      <c r="T341" s="1054">
        <f t="shared" si="145"/>
        <v>9.0772399999999998</v>
      </c>
      <c r="U341" s="1142">
        <v>10.72</v>
      </c>
      <c r="V341" s="1052">
        <f t="shared" si="146"/>
        <v>6.070215175537939</v>
      </c>
      <c r="W341" s="1049"/>
      <c r="X341" s="1051">
        <v>5.14</v>
      </c>
      <c r="Y341" s="1049"/>
      <c r="Z341" s="1050">
        <f t="shared" si="147"/>
        <v>7.6644399999999999</v>
      </c>
      <c r="AA341" s="1060"/>
      <c r="AB341" s="1086">
        <v>12</v>
      </c>
      <c r="AC341" s="1085">
        <v>13</v>
      </c>
      <c r="AD341" s="1084">
        <v>2.9940000000000002</v>
      </c>
      <c r="AE341" s="1143">
        <f t="shared" si="148"/>
        <v>2.21556</v>
      </c>
      <c r="AF341" s="1142">
        <v>4.28</v>
      </c>
      <c r="AG341" s="1052">
        <f t="shared" si="149"/>
        <v>1.4295257181028724</v>
      </c>
      <c r="AH341" s="1049"/>
      <c r="AI341" s="1142">
        <v>0.74</v>
      </c>
      <c r="AJ341" s="1049"/>
      <c r="AK341" s="1050">
        <f t="shared" si="150"/>
        <v>-0.17964000000000016</v>
      </c>
      <c r="AL341" s="1049"/>
      <c r="AM341" s="1060"/>
      <c r="AN341" s="1086">
        <v>12</v>
      </c>
      <c r="AO341" s="1085">
        <v>13</v>
      </c>
      <c r="AP341" s="1084">
        <v>0.36</v>
      </c>
      <c r="AQ341" s="1748">
        <f t="shared" si="151"/>
        <v>0</v>
      </c>
      <c r="AR341" s="1742">
        <v>0.73</v>
      </c>
      <c r="AS341" s="1052">
        <f t="shared" si="152"/>
        <v>2.0277777777777777</v>
      </c>
      <c r="AT341" s="1049"/>
      <c r="AU341" s="1142"/>
      <c r="AV341" s="1049"/>
      <c r="AW341" s="1060"/>
      <c r="AX341" s="1086">
        <v>12</v>
      </c>
      <c r="AY341" s="1085">
        <v>13</v>
      </c>
      <c r="AZ341" s="1084">
        <v>0.14000000000000001</v>
      </c>
      <c r="BA341" s="1736">
        <v>0.18</v>
      </c>
      <c r="BB341" s="1742">
        <f t="shared" si="153"/>
        <v>1.2857142857142856</v>
      </c>
      <c r="BC341" s="1049"/>
      <c r="BD341" s="1142"/>
      <c r="BE341" s="1049"/>
      <c r="BF341" s="1060"/>
      <c r="BG341" s="1086">
        <v>12</v>
      </c>
      <c r="BH341" s="1085">
        <v>13</v>
      </c>
      <c r="BI341" s="1874">
        <v>0.72</v>
      </c>
      <c r="BJ341" s="1736" t="s">
        <v>1459</v>
      </c>
      <c r="BK341" s="1049"/>
      <c r="BL341" s="1060"/>
      <c r="BM341" s="1086">
        <v>12</v>
      </c>
      <c r="BN341" s="1085">
        <v>13</v>
      </c>
      <c r="BO341" s="1084"/>
      <c r="BP341" s="1084"/>
      <c r="BQ341" s="1049"/>
    </row>
    <row r="342" spans="1:69" ht="14.4">
      <c r="A342" s="1049"/>
      <c r="B342" s="1060"/>
      <c r="C342" s="1086">
        <v>13</v>
      </c>
      <c r="D342" s="1085">
        <v>14</v>
      </c>
      <c r="E342" s="1091">
        <v>0.21</v>
      </c>
      <c r="F342" s="1090">
        <v>0.6</v>
      </c>
      <c r="G342" s="1089">
        <f t="shared" si="143"/>
        <v>2.8571428571428572</v>
      </c>
      <c r="H342" s="1049"/>
      <c r="I342" s="1060"/>
      <c r="J342" s="1086">
        <v>13</v>
      </c>
      <c r="K342" s="1085">
        <v>14</v>
      </c>
      <c r="L342" s="1084">
        <v>0.46200000000000002</v>
      </c>
      <c r="M342" s="1088">
        <v>1.48</v>
      </c>
      <c r="N342" s="1087">
        <f t="shared" si="144"/>
        <v>3.2034632034632033</v>
      </c>
      <c r="O342" s="1049"/>
      <c r="P342" s="1092" t="s">
        <v>1127</v>
      </c>
      <c r="Q342" s="1086">
        <v>13</v>
      </c>
      <c r="R342" s="1085">
        <v>14</v>
      </c>
      <c r="S342" s="1084">
        <v>1.804</v>
      </c>
      <c r="T342" s="1054">
        <f t="shared" si="145"/>
        <v>9.0921599999999998</v>
      </c>
      <c r="U342" s="1142">
        <v>10.77</v>
      </c>
      <c r="V342" s="1052">
        <f t="shared" si="146"/>
        <v>5.9700665188470063</v>
      </c>
      <c r="W342" s="1049"/>
      <c r="X342" s="1051">
        <v>5.04</v>
      </c>
      <c r="Y342" s="1049"/>
      <c r="Z342" s="1050">
        <f t="shared" si="147"/>
        <v>7.6489600000000006</v>
      </c>
      <c r="AA342" s="1092" t="s">
        <v>1127</v>
      </c>
      <c r="AB342" s="1086">
        <v>13</v>
      </c>
      <c r="AC342" s="1085">
        <v>14</v>
      </c>
      <c r="AD342" s="1084">
        <v>3.1259999999999999</v>
      </c>
      <c r="AE342" s="1143">
        <f t="shared" si="148"/>
        <v>2.2507199999999998</v>
      </c>
      <c r="AF342" s="1142">
        <v>4.3899999999999997</v>
      </c>
      <c r="AG342" s="1052">
        <f t="shared" si="149"/>
        <v>1.4043506078055021</v>
      </c>
      <c r="AH342" s="1049"/>
      <c r="AI342" s="1142">
        <v>0.72</v>
      </c>
      <c r="AJ342" s="1049"/>
      <c r="AK342" s="1050">
        <f t="shared" si="150"/>
        <v>-0.25008000000000019</v>
      </c>
      <c r="AL342" s="1049"/>
      <c r="AM342" s="1092" t="s">
        <v>1127</v>
      </c>
      <c r="AN342" s="1086">
        <v>13</v>
      </c>
      <c r="AO342" s="1085">
        <v>14</v>
      </c>
      <c r="AP342" s="1084">
        <v>0.62</v>
      </c>
      <c r="AQ342" s="1748">
        <f t="shared" si="151"/>
        <v>0</v>
      </c>
      <c r="AR342" s="1742">
        <v>1.23</v>
      </c>
      <c r="AS342" s="1052">
        <f t="shared" si="152"/>
        <v>1.9838709677419355</v>
      </c>
      <c r="AT342" s="1049"/>
      <c r="AU342" s="1142"/>
      <c r="AV342" s="1049"/>
      <c r="AW342" s="1092" t="s">
        <v>1127</v>
      </c>
      <c r="AX342" s="1086">
        <v>13</v>
      </c>
      <c r="AY342" s="1085">
        <v>14</v>
      </c>
      <c r="AZ342" s="1084">
        <v>0.12</v>
      </c>
      <c r="BA342" s="1736">
        <v>0.17</v>
      </c>
      <c r="BB342" s="1742">
        <f t="shared" si="153"/>
        <v>1.4166666666666667</v>
      </c>
      <c r="BC342" s="1049"/>
      <c r="BD342" s="1142"/>
      <c r="BE342" s="1049"/>
      <c r="BF342" s="1092" t="s">
        <v>1127</v>
      </c>
      <c r="BG342" s="1086">
        <v>13</v>
      </c>
      <c r="BH342" s="1085">
        <v>14</v>
      </c>
      <c r="BI342" s="1874">
        <v>0.26</v>
      </c>
      <c r="BJ342" s="1736" t="s">
        <v>1373</v>
      </c>
      <c r="BK342" s="1049"/>
      <c r="BL342" s="1092" t="s">
        <v>1127</v>
      </c>
      <c r="BM342" s="1086">
        <v>13</v>
      </c>
      <c r="BN342" s="1085">
        <v>14</v>
      </c>
      <c r="BO342" s="1084"/>
      <c r="BP342" s="1084"/>
      <c r="BQ342" s="1049"/>
    </row>
    <row r="343" spans="1:69" ht="14.4">
      <c r="A343" s="1049"/>
      <c r="B343" s="1060"/>
      <c r="C343" s="1086">
        <v>14</v>
      </c>
      <c r="D343" s="1085">
        <v>15</v>
      </c>
      <c r="E343" s="1091">
        <v>0.5</v>
      </c>
      <c r="F343" s="1090">
        <v>1.45</v>
      </c>
      <c r="G343" s="1089">
        <f t="shared" si="143"/>
        <v>2.9</v>
      </c>
      <c r="H343" s="1049"/>
      <c r="I343" s="1060"/>
      <c r="J343" s="1086">
        <v>14</v>
      </c>
      <c r="K343" s="1085">
        <v>15</v>
      </c>
      <c r="L343" s="1084">
        <v>1.0189999999999999</v>
      </c>
      <c r="M343" s="1088">
        <v>3.61</v>
      </c>
      <c r="N343" s="1087">
        <f t="shared" si="144"/>
        <v>3.5426889106967616</v>
      </c>
      <c r="O343" s="1049"/>
      <c r="P343" s="1058">
        <f>P331*0.8</f>
        <v>29.650400000000005</v>
      </c>
      <c r="Q343" s="1086">
        <v>14</v>
      </c>
      <c r="R343" s="1085">
        <v>15</v>
      </c>
      <c r="S343" s="1084">
        <v>1.6359999999999999</v>
      </c>
      <c r="T343" s="1054">
        <f t="shared" si="145"/>
        <v>8.2454400000000003</v>
      </c>
      <c r="U343" s="1142">
        <v>9.76</v>
      </c>
      <c r="V343" s="1052">
        <f t="shared" si="146"/>
        <v>5.9657701711491447</v>
      </c>
      <c r="W343" s="1049"/>
      <c r="X343" s="1051">
        <v>5.04</v>
      </c>
      <c r="Y343" s="1049"/>
      <c r="Z343" s="1050">
        <f t="shared" si="147"/>
        <v>6.9366399999999997</v>
      </c>
      <c r="AA343" s="1058">
        <f>AA331*0.8</f>
        <v>51.211199999999998</v>
      </c>
      <c r="AB343" s="1086">
        <v>14</v>
      </c>
      <c r="AC343" s="1085">
        <v>15</v>
      </c>
      <c r="AD343" s="1084">
        <v>2.1320000000000001</v>
      </c>
      <c r="AE343" s="1143">
        <f t="shared" si="148"/>
        <v>1.1086400000000001</v>
      </c>
      <c r="AF343" s="1142">
        <v>2.59</v>
      </c>
      <c r="AG343" s="1052">
        <f t="shared" si="149"/>
        <v>1.2148217636022514</v>
      </c>
      <c r="AH343" s="1049"/>
      <c r="AI343" s="1142">
        <v>0.52</v>
      </c>
      <c r="AJ343" s="1049"/>
      <c r="AK343" s="1050">
        <f t="shared" si="150"/>
        <v>-0.59696000000000005</v>
      </c>
      <c r="AL343" s="1049"/>
      <c r="AM343" s="1058">
        <f>AM331*0.8</f>
        <v>7.4080000000000004</v>
      </c>
      <c r="AN343" s="1086">
        <v>14</v>
      </c>
      <c r="AO343" s="1085">
        <v>15</v>
      </c>
      <c r="AP343" s="1084">
        <v>1.65</v>
      </c>
      <c r="AQ343" s="1748">
        <f t="shared" si="151"/>
        <v>0</v>
      </c>
      <c r="AR343" s="1742">
        <v>3.31</v>
      </c>
      <c r="AS343" s="1052">
        <f t="shared" si="152"/>
        <v>2.0060606060606063</v>
      </c>
      <c r="AT343" s="1049"/>
      <c r="AU343" s="1142"/>
      <c r="AV343" s="1049"/>
      <c r="AW343" s="1058">
        <f>AW331*0.8</f>
        <v>4.8960000000000008</v>
      </c>
      <c r="AX343" s="1086">
        <v>14</v>
      </c>
      <c r="AY343" s="1085">
        <v>15</v>
      </c>
      <c r="AZ343" s="1084">
        <v>0.51</v>
      </c>
      <c r="BA343" s="1736">
        <v>0.73</v>
      </c>
      <c r="BB343" s="1742">
        <f t="shared" si="153"/>
        <v>1.4313725490196079</v>
      </c>
      <c r="BC343" s="1049"/>
      <c r="BD343" s="1142"/>
      <c r="BE343" s="1049"/>
      <c r="BF343" s="1058">
        <f>BF331*0.8</f>
        <v>7.120000000000001</v>
      </c>
      <c r="BG343" s="1086">
        <v>14</v>
      </c>
      <c r="BH343" s="1085">
        <v>15</v>
      </c>
      <c r="BI343" s="1874">
        <v>1.59</v>
      </c>
      <c r="BJ343" s="1736" t="s">
        <v>1460</v>
      </c>
      <c r="BK343" s="1049"/>
      <c r="BL343" s="1058">
        <f>BL331*0.8</f>
        <v>0</v>
      </c>
      <c r="BM343" s="1086">
        <v>14</v>
      </c>
      <c r="BN343" s="1085">
        <v>15</v>
      </c>
      <c r="BO343" s="1084"/>
      <c r="BP343" s="1084"/>
      <c r="BQ343" s="1049"/>
    </row>
    <row r="344" spans="1:69" ht="14.4">
      <c r="A344" s="1049"/>
      <c r="B344" s="1060"/>
      <c r="C344" s="1086">
        <v>15</v>
      </c>
      <c r="D344" s="1085">
        <v>16</v>
      </c>
      <c r="E344" s="1091">
        <v>0.42</v>
      </c>
      <c r="F344" s="1090">
        <v>1.22</v>
      </c>
      <c r="G344" s="1089">
        <f t="shared" si="143"/>
        <v>2.9047619047619047</v>
      </c>
      <c r="H344" s="1049"/>
      <c r="I344" s="1060"/>
      <c r="J344" s="1086">
        <v>15</v>
      </c>
      <c r="K344" s="1085">
        <v>16</v>
      </c>
      <c r="L344" s="1084">
        <v>1.716</v>
      </c>
      <c r="M344" s="1088">
        <v>6.24</v>
      </c>
      <c r="N344" s="1087">
        <f t="shared" si="144"/>
        <v>3.6363636363636367</v>
      </c>
      <c r="O344" s="1049"/>
      <c r="P344" s="1058" t="s">
        <v>1126</v>
      </c>
      <c r="Q344" s="1086">
        <v>15</v>
      </c>
      <c r="R344" s="1085">
        <v>16</v>
      </c>
      <c r="S344" s="1084">
        <v>2.0089999999999999</v>
      </c>
      <c r="T344" s="1054">
        <f t="shared" si="145"/>
        <v>10.386529999999999</v>
      </c>
      <c r="U344" s="1142">
        <v>12.24</v>
      </c>
      <c r="V344" s="1052">
        <f t="shared" si="146"/>
        <v>6.0925833748133407</v>
      </c>
      <c r="W344" s="1049"/>
      <c r="X344" s="1051">
        <v>5.17</v>
      </c>
      <c r="Y344" s="1049"/>
      <c r="Z344" s="1050">
        <f t="shared" si="147"/>
        <v>8.7793299999999999</v>
      </c>
      <c r="AA344" s="1058" t="s">
        <v>1126</v>
      </c>
      <c r="AB344" s="1086">
        <v>15</v>
      </c>
      <c r="AC344" s="1085">
        <v>16</v>
      </c>
      <c r="AD344" s="1084">
        <v>2.81</v>
      </c>
      <c r="AE344" s="1143">
        <f t="shared" si="148"/>
        <v>0.8992</v>
      </c>
      <c r="AF344" s="1142">
        <v>2.83</v>
      </c>
      <c r="AG344" s="1052">
        <f t="shared" si="149"/>
        <v>1.0071174377224199</v>
      </c>
      <c r="AH344" s="1049"/>
      <c r="AI344" s="1142">
        <v>0.32</v>
      </c>
      <c r="AJ344" s="1049"/>
      <c r="AK344" s="1050">
        <f t="shared" si="150"/>
        <v>-1.3488000000000002</v>
      </c>
      <c r="AL344" s="1049"/>
      <c r="AM344" s="1058" t="s">
        <v>1126</v>
      </c>
      <c r="AN344" s="1086">
        <v>15</v>
      </c>
      <c r="AO344" s="1085">
        <v>16</v>
      </c>
      <c r="AP344" s="1084">
        <v>0.36</v>
      </c>
      <c r="AQ344" s="1748">
        <f t="shared" si="151"/>
        <v>0</v>
      </c>
      <c r="AR344" s="1742">
        <v>0.74</v>
      </c>
      <c r="AS344" s="1052">
        <f t="shared" si="152"/>
        <v>2.0555555555555558</v>
      </c>
      <c r="AT344" s="1049"/>
      <c r="AU344" s="1142"/>
      <c r="AV344" s="1049"/>
      <c r="AW344" s="1058" t="s">
        <v>1126</v>
      </c>
      <c r="AX344" s="1086">
        <v>15</v>
      </c>
      <c r="AY344" s="1085">
        <v>16</v>
      </c>
      <c r="AZ344" s="1084">
        <v>0.36</v>
      </c>
      <c r="BA344" s="1736">
        <v>0.5</v>
      </c>
      <c r="BB344" s="1742">
        <f t="shared" si="153"/>
        <v>1.3888888888888888</v>
      </c>
      <c r="BC344" s="1049"/>
      <c r="BD344" s="1142"/>
      <c r="BE344" s="1049"/>
      <c r="BF344" s="1058" t="s">
        <v>1126</v>
      </c>
      <c r="BG344" s="1086">
        <v>15</v>
      </c>
      <c r="BH344" s="1085">
        <v>16</v>
      </c>
      <c r="BI344" s="1874">
        <v>1.27</v>
      </c>
      <c r="BJ344" s="1736" t="s">
        <v>1461</v>
      </c>
      <c r="BK344" s="1049"/>
      <c r="BL344" s="1058" t="s">
        <v>1126</v>
      </c>
      <c r="BM344" s="1086">
        <v>15</v>
      </c>
      <c r="BN344" s="1085">
        <v>16</v>
      </c>
      <c r="BO344" s="1084"/>
      <c r="BP344" s="1084"/>
      <c r="BQ344" s="1049"/>
    </row>
    <row r="345" spans="1:69" ht="15" thickBot="1">
      <c r="A345" s="1049"/>
      <c r="B345" s="1060"/>
      <c r="C345" s="1077">
        <v>16</v>
      </c>
      <c r="D345" s="1076">
        <v>17</v>
      </c>
      <c r="E345" s="1083">
        <v>0.35</v>
      </c>
      <c r="F345" s="1082">
        <v>1</v>
      </c>
      <c r="G345" s="1081">
        <f t="shared" si="143"/>
        <v>2.8571428571428572</v>
      </c>
      <c r="H345" s="1049"/>
      <c r="I345" s="1060"/>
      <c r="J345" s="1077">
        <v>16</v>
      </c>
      <c r="K345" s="1076">
        <v>17</v>
      </c>
      <c r="L345" s="1075">
        <v>1.6850000000000001</v>
      </c>
      <c r="M345" s="1080">
        <v>6.13</v>
      </c>
      <c r="N345" s="1079">
        <f t="shared" si="144"/>
        <v>3.637982195845697</v>
      </c>
      <c r="O345" s="1049"/>
      <c r="P345" s="1078">
        <f>P331*(X328-0.8)</f>
        <v>155.29397000000003</v>
      </c>
      <c r="Q345" s="1077">
        <v>16</v>
      </c>
      <c r="R345" s="1076">
        <v>17</v>
      </c>
      <c r="S345" s="1075">
        <v>2.2370000000000001</v>
      </c>
      <c r="T345" s="1054">
        <f t="shared" si="145"/>
        <v>11.900840000000001</v>
      </c>
      <c r="U345" s="1140">
        <v>13.97</v>
      </c>
      <c r="V345" s="1052">
        <f t="shared" si="146"/>
        <v>6.2449709432275373</v>
      </c>
      <c r="W345" s="1049"/>
      <c r="X345" s="1074">
        <v>5.32</v>
      </c>
      <c r="Y345" s="1049"/>
      <c r="Z345" s="1050">
        <f t="shared" si="147"/>
        <v>10.111240000000002</v>
      </c>
      <c r="AA345" s="1078">
        <f>AA331*(AI328-0.8)</f>
        <v>-24.005250000000004</v>
      </c>
      <c r="AB345" s="1077">
        <v>16</v>
      </c>
      <c r="AC345" s="1076">
        <v>17</v>
      </c>
      <c r="AD345" s="1075">
        <v>2.4</v>
      </c>
      <c r="AE345" s="1141">
        <f t="shared" si="148"/>
        <v>0.52800000000000002</v>
      </c>
      <c r="AF345" s="1140">
        <v>2.1800000000000002</v>
      </c>
      <c r="AG345" s="1052">
        <f t="shared" si="149"/>
        <v>0.90833333333333344</v>
      </c>
      <c r="AH345" s="1049"/>
      <c r="AI345" s="1140">
        <v>0.22</v>
      </c>
      <c r="AJ345" s="1049"/>
      <c r="AK345" s="1050">
        <f t="shared" si="150"/>
        <v>-1.3920000000000001</v>
      </c>
      <c r="AL345" s="1049"/>
      <c r="AM345" s="1078" t="e">
        <f>AM331*(AU328-0.8)</f>
        <v>#DIV/0!</v>
      </c>
      <c r="AN345" s="1077">
        <v>16</v>
      </c>
      <c r="AO345" s="1076">
        <v>17</v>
      </c>
      <c r="AP345" s="1075">
        <v>0.35</v>
      </c>
      <c r="AQ345" s="1749">
        <f t="shared" si="151"/>
        <v>0</v>
      </c>
      <c r="AR345" s="1743">
        <v>0.79</v>
      </c>
      <c r="AS345" s="1052">
        <f t="shared" si="152"/>
        <v>2.2571428571428576</v>
      </c>
      <c r="AT345" s="1049"/>
      <c r="AU345" s="1140"/>
      <c r="AV345" s="1049"/>
      <c r="AW345" s="1078" t="e">
        <f>AW331*(BD328-0.8)</f>
        <v>#DIV/0!</v>
      </c>
      <c r="AX345" s="1077">
        <v>16</v>
      </c>
      <c r="AY345" s="1076">
        <v>17</v>
      </c>
      <c r="AZ345" s="1075">
        <v>0.36</v>
      </c>
      <c r="BA345" s="1738">
        <v>0.56000000000000005</v>
      </c>
      <c r="BB345" s="1743">
        <f t="shared" si="153"/>
        <v>1.5555555555555558</v>
      </c>
      <c r="BC345" s="1049"/>
      <c r="BD345" s="1140"/>
      <c r="BE345" s="1049"/>
      <c r="BF345" s="1078">
        <f>BF331*(BM328-0.8)</f>
        <v>-7.120000000000001</v>
      </c>
      <c r="BG345" s="1077">
        <v>16</v>
      </c>
      <c r="BH345" s="1076">
        <v>17</v>
      </c>
      <c r="BI345" s="1874">
        <v>0.27</v>
      </c>
      <c r="BJ345" s="1738" t="s">
        <v>1404</v>
      </c>
      <c r="BK345" s="1049"/>
      <c r="BL345" s="1078">
        <f>BL331*(BS328-0.8)</f>
        <v>0</v>
      </c>
      <c r="BM345" s="1077">
        <v>16</v>
      </c>
      <c r="BN345" s="1076">
        <v>17</v>
      </c>
      <c r="BO345" s="1075"/>
      <c r="BP345" s="1075"/>
      <c r="BQ345" s="1049"/>
    </row>
    <row r="346" spans="1:69" ht="14.4">
      <c r="A346" s="1049"/>
      <c r="B346" s="1060"/>
      <c r="C346" s="1068">
        <v>17</v>
      </c>
      <c r="D346" s="1067">
        <v>18</v>
      </c>
      <c r="E346" s="1073">
        <v>0.65</v>
      </c>
      <c r="F346" s="1072">
        <v>2.2599999999999998</v>
      </c>
      <c r="G346" s="1071">
        <f t="shared" si="143"/>
        <v>3.4769230769230766</v>
      </c>
      <c r="H346" s="1049"/>
      <c r="I346" s="1060"/>
      <c r="J346" s="1068">
        <v>17</v>
      </c>
      <c r="K346" s="1067">
        <v>18</v>
      </c>
      <c r="L346" s="1066">
        <v>2.5659999999999998</v>
      </c>
      <c r="M346" s="1070">
        <v>12.2</v>
      </c>
      <c r="N346" s="1069">
        <f t="shared" si="144"/>
        <v>4.7544816835541699</v>
      </c>
      <c r="O346" s="1049"/>
      <c r="P346" s="1058"/>
      <c r="Q346" s="1068">
        <v>17</v>
      </c>
      <c r="R346" s="1067">
        <v>18</v>
      </c>
      <c r="S346" s="1066">
        <v>2.2229999999999999</v>
      </c>
      <c r="T346" s="1054">
        <f t="shared" si="145"/>
        <v>12.760019999999999</v>
      </c>
      <c r="U346" s="1138">
        <v>14.81</v>
      </c>
      <c r="V346" s="1052">
        <f t="shared" si="146"/>
        <v>6.6621682411156105</v>
      </c>
      <c r="W346" s="1049"/>
      <c r="X346" s="1065">
        <v>5.74</v>
      </c>
      <c r="Y346" s="1049"/>
      <c r="Z346" s="1050">
        <f t="shared" si="147"/>
        <v>10.981619999999999</v>
      </c>
      <c r="AA346" s="1058"/>
      <c r="AB346" s="1068">
        <v>17</v>
      </c>
      <c r="AC346" s="1067">
        <v>18</v>
      </c>
      <c r="AD346" s="1066">
        <v>3.536</v>
      </c>
      <c r="AE346" s="1139">
        <f t="shared" si="148"/>
        <v>0.81328</v>
      </c>
      <c r="AF346" s="1138">
        <v>6.03</v>
      </c>
      <c r="AG346" s="1052">
        <f t="shared" si="149"/>
        <v>1.7053167420814481</v>
      </c>
      <c r="AH346" s="1049"/>
      <c r="AI346" s="1138">
        <v>0.23</v>
      </c>
      <c r="AJ346" s="1049"/>
      <c r="AK346" s="1050">
        <f t="shared" si="150"/>
        <v>-2.0155200000000004</v>
      </c>
      <c r="AL346" s="1049"/>
      <c r="AM346" s="1058"/>
      <c r="AN346" s="1068">
        <v>17</v>
      </c>
      <c r="AO346" s="1067">
        <v>18</v>
      </c>
      <c r="AP346" s="1066">
        <v>1.31</v>
      </c>
      <c r="AQ346" s="1750">
        <f t="shared" si="151"/>
        <v>0</v>
      </c>
      <c r="AR346" s="1744">
        <v>4.3</v>
      </c>
      <c r="AS346" s="1052">
        <f t="shared" si="152"/>
        <v>3.282442748091603</v>
      </c>
      <c r="AT346" s="1049"/>
      <c r="AU346" s="1138"/>
      <c r="AV346" s="1049"/>
      <c r="AW346" s="1058"/>
      <c r="AX346" s="1068">
        <v>17</v>
      </c>
      <c r="AY346" s="1067">
        <v>18</v>
      </c>
      <c r="AZ346" s="1066">
        <v>0.35</v>
      </c>
      <c r="BA346" s="1740">
        <v>0.89</v>
      </c>
      <c r="BB346" s="1744">
        <f t="shared" si="153"/>
        <v>2.5428571428571431</v>
      </c>
      <c r="BC346" s="1049"/>
      <c r="BD346" s="1138"/>
      <c r="BE346" s="1049"/>
      <c r="BF346" s="1058"/>
      <c r="BG346" s="1068">
        <v>17</v>
      </c>
      <c r="BH346" s="1067">
        <v>18</v>
      </c>
      <c r="BI346" s="1874">
        <v>0.36</v>
      </c>
      <c r="BJ346" s="1740" t="s">
        <v>1389</v>
      </c>
      <c r="BK346" s="1049"/>
      <c r="BL346" s="1058"/>
      <c r="BM346" s="1068">
        <v>17</v>
      </c>
      <c r="BN346" s="1067">
        <v>18</v>
      </c>
      <c r="BO346" s="1066"/>
      <c r="BP346" s="1066"/>
      <c r="BQ346" s="1049"/>
    </row>
    <row r="347" spans="1:69" ht="14.4">
      <c r="A347" s="1049"/>
      <c r="B347" s="1060"/>
      <c r="C347" s="1057">
        <v>18</v>
      </c>
      <c r="D347" s="1056">
        <v>19</v>
      </c>
      <c r="E347" s="1063">
        <v>0.41</v>
      </c>
      <c r="F347" s="1062">
        <v>1.45</v>
      </c>
      <c r="G347" s="1061">
        <f t="shared" si="143"/>
        <v>3.5365853658536586</v>
      </c>
      <c r="H347" s="1049"/>
      <c r="I347" s="1060"/>
      <c r="J347" s="1057">
        <v>18</v>
      </c>
      <c r="K347" s="1056">
        <v>19</v>
      </c>
      <c r="L347" s="1055">
        <v>0.80800000000000005</v>
      </c>
      <c r="M347" s="1059">
        <v>3.57</v>
      </c>
      <c r="N347" s="1052">
        <f t="shared" si="144"/>
        <v>4.4183168316831676</v>
      </c>
      <c r="O347" s="1049"/>
      <c r="P347" s="1058"/>
      <c r="Q347" s="1057">
        <v>18</v>
      </c>
      <c r="R347" s="1056">
        <v>19</v>
      </c>
      <c r="S347" s="1055">
        <v>1.7989999999999999</v>
      </c>
      <c r="T347" s="1054">
        <f t="shared" si="145"/>
        <v>9.7685699999999986</v>
      </c>
      <c r="U347" s="1136">
        <v>11.43</v>
      </c>
      <c r="V347" s="1052">
        <f t="shared" si="146"/>
        <v>6.353529738743747</v>
      </c>
      <c r="W347" s="1049"/>
      <c r="X347" s="1051">
        <v>5.43</v>
      </c>
      <c r="Y347" s="1049"/>
      <c r="Z347" s="1050">
        <f t="shared" si="147"/>
        <v>8.3293699999999991</v>
      </c>
      <c r="AA347" s="1058"/>
      <c r="AB347" s="1057">
        <v>18</v>
      </c>
      <c r="AC347" s="1056">
        <v>19</v>
      </c>
      <c r="AD347" s="1055">
        <v>2.0470000000000002</v>
      </c>
      <c r="AE347" s="1137">
        <f t="shared" si="148"/>
        <v>0.53222000000000003</v>
      </c>
      <c r="AF347" s="1136">
        <v>3.54</v>
      </c>
      <c r="AG347" s="1052">
        <f t="shared" si="149"/>
        <v>1.7293600390815826</v>
      </c>
      <c r="AH347" s="1049"/>
      <c r="AI347" s="1136">
        <v>0.26</v>
      </c>
      <c r="AJ347" s="1049"/>
      <c r="AK347" s="1050">
        <f t="shared" si="150"/>
        <v>-1.1053800000000003</v>
      </c>
      <c r="AL347" s="1049"/>
      <c r="AM347" s="1058"/>
      <c r="AN347" s="1057">
        <v>18</v>
      </c>
      <c r="AO347" s="1056">
        <v>19</v>
      </c>
      <c r="AP347" s="1055">
        <v>0.52</v>
      </c>
      <c r="AQ347" s="1745">
        <f t="shared" si="151"/>
        <v>0</v>
      </c>
      <c r="AR347" s="1737">
        <v>1.8</v>
      </c>
      <c r="AS347" s="1052">
        <f t="shared" si="152"/>
        <v>3.4615384615384617</v>
      </c>
      <c r="AT347" s="1049"/>
      <c r="AU347" s="1136"/>
      <c r="AV347" s="1049"/>
      <c r="AW347" s="1058"/>
      <c r="AX347" s="1057">
        <v>18</v>
      </c>
      <c r="AY347" s="1056">
        <v>19</v>
      </c>
      <c r="AZ347" s="1055">
        <v>0.51</v>
      </c>
      <c r="BA347" s="1736">
        <v>1.31</v>
      </c>
      <c r="BB347" s="1737">
        <f t="shared" si="153"/>
        <v>2.5686274509803924</v>
      </c>
      <c r="BC347" s="1049"/>
      <c r="BD347" s="1136"/>
      <c r="BE347" s="1049"/>
      <c r="BF347" s="1058"/>
      <c r="BG347" s="1057">
        <v>18</v>
      </c>
      <c r="BH347" s="1056">
        <v>19</v>
      </c>
      <c r="BI347" s="1874">
        <v>0.38</v>
      </c>
      <c r="BJ347" s="1736" t="s">
        <v>1410</v>
      </c>
      <c r="BK347" s="1049"/>
      <c r="BL347" s="1058"/>
      <c r="BM347" s="1057">
        <v>18</v>
      </c>
      <c r="BN347" s="1056">
        <v>19</v>
      </c>
      <c r="BO347" s="1055"/>
      <c r="BP347" s="1055"/>
      <c r="BQ347" s="1049"/>
    </row>
    <row r="348" spans="1:69" ht="14.4">
      <c r="A348" s="1049"/>
      <c r="B348" s="1060"/>
      <c r="C348" s="1057">
        <v>19</v>
      </c>
      <c r="D348" s="1056">
        <v>20</v>
      </c>
      <c r="E348" s="1063">
        <v>0.71</v>
      </c>
      <c r="F348" s="1062">
        <v>2.4900000000000002</v>
      </c>
      <c r="G348" s="1061">
        <f t="shared" si="143"/>
        <v>3.5070422535211274</v>
      </c>
      <c r="H348" s="1049"/>
      <c r="I348" s="1060"/>
      <c r="J348" s="1057">
        <v>19</v>
      </c>
      <c r="K348" s="1056">
        <v>20</v>
      </c>
      <c r="L348" s="1055">
        <v>0.83499999999999996</v>
      </c>
      <c r="M348" s="1059">
        <v>3.45</v>
      </c>
      <c r="N348" s="1052">
        <f t="shared" si="144"/>
        <v>4.1317365269461082</v>
      </c>
      <c r="O348" s="1049"/>
      <c r="P348" s="1058"/>
      <c r="Q348" s="1057">
        <v>19</v>
      </c>
      <c r="R348" s="1056">
        <v>20</v>
      </c>
      <c r="S348" s="1055">
        <v>2.399</v>
      </c>
      <c r="T348" s="1054">
        <f t="shared" si="145"/>
        <v>12.21091</v>
      </c>
      <c r="U348" s="1136">
        <v>14.43</v>
      </c>
      <c r="V348" s="1052">
        <f t="shared" si="146"/>
        <v>6.0150062526052519</v>
      </c>
      <c r="W348" s="1049"/>
      <c r="X348" s="1051">
        <v>5.09</v>
      </c>
      <c r="Y348" s="1049"/>
      <c r="Z348" s="1050">
        <f t="shared" si="147"/>
        <v>10.29171</v>
      </c>
      <c r="AA348" s="1058"/>
      <c r="AB348" s="1057">
        <v>19</v>
      </c>
      <c r="AC348" s="1056">
        <v>20</v>
      </c>
      <c r="AD348" s="1055">
        <v>3.0339999999999998</v>
      </c>
      <c r="AE348" s="1137">
        <f t="shared" si="148"/>
        <v>0.60680000000000001</v>
      </c>
      <c r="AF348" s="1136">
        <v>5.05</v>
      </c>
      <c r="AG348" s="1052">
        <f t="shared" si="149"/>
        <v>1.6644693473961767</v>
      </c>
      <c r="AH348" s="1049"/>
      <c r="AI348" s="1136">
        <v>0.2</v>
      </c>
      <c r="AJ348" s="1049"/>
      <c r="AK348" s="1050">
        <f t="shared" si="150"/>
        <v>-1.8204000000000002</v>
      </c>
      <c r="AL348" s="1049"/>
      <c r="AM348" s="1058"/>
      <c r="AN348" s="1057">
        <v>19</v>
      </c>
      <c r="AO348" s="1056">
        <v>20</v>
      </c>
      <c r="AP348" s="1055">
        <v>0.36</v>
      </c>
      <c r="AQ348" s="1745">
        <f t="shared" si="151"/>
        <v>0</v>
      </c>
      <c r="AR348" s="1737">
        <v>1.22</v>
      </c>
      <c r="AS348" s="1052">
        <f t="shared" si="152"/>
        <v>3.3888888888888888</v>
      </c>
      <c r="AT348" s="1049"/>
      <c r="AU348" s="1136"/>
      <c r="AV348" s="1049"/>
      <c r="AW348" s="1058"/>
      <c r="AX348" s="1057">
        <v>19</v>
      </c>
      <c r="AY348" s="1056">
        <v>20</v>
      </c>
      <c r="AZ348" s="1055">
        <v>0.32</v>
      </c>
      <c r="BA348" s="1736">
        <v>0.82</v>
      </c>
      <c r="BB348" s="1737">
        <f t="shared" si="153"/>
        <v>2.5625</v>
      </c>
      <c r="BC348" s="1049"/>
      <c r="BD348" s="1136"/>
      <c r="BE348" s="1049"/>
      <c r="BF348" s="1058"/>
      <c r="BG348" s="1057">
        <v>19</v>
      </c>
      <c r="BH348" s="1056">
        <v>20</v>
      </c>
      <c r="BI348" s="1874">
        <v>0.4</v>
      </c>
      <c r="BJ348" s="1736" t="s">
        <v>1462</v>
      </c>
      <c r="BK348" s="1049"/>
      <c r="BL348" s="1058"/>
      <c r="BM348" s="1057">
        <v>19</v>
      </c>
      <c r="BN348" s="1056">
        <v>20</v>
      </c>
      <c r="BO348" s="1055"/>
      <c r="BP348" s="1055"/>
      <c r="BQ348" s="1049"/>
    </row>
    <row r="349" spans="1:69" ht="14.4">
      <c r="A349" s="1049"/>
      <c r="B349" s="1060"/>
      <c r="C349" s="1057">
        <v>20</v>
      </c>
      <c r="D349" s="1056">
        <v>21</v>
      </c>
      <c r="E349" s="1063">
        <v>0.44</v>
      </c>
      <c r="F349" s="1062">
        <v>1.27</v>
      </c>
      <c r="G349" s="1061">
        <f t="shared" si="143"/>
        <v>2.8863636363636362</v>
      </c>
      <c r="H349" s="1049"/>
      <c r="I349" s="1060"/>
      <c r="J349" s="1057">
        <v>20</v>
      </c>
      <c r="K349" s="1056">
        <v>21</v>
      </c>
      <c r="L349" s="1055">
        <v>0.84699999999999998</v>
      </c>
      <c r="M349" s="1059">
        <v>2.67</v>
      </c>
      <c r="N349" s="1052">
        <f t="shared" si="144"/>
        <v>3.1523022432113343</v>
      </c>
      <c r="O349" s="1049"/>
      <c r="P349" s="1058"/>
      <c r="Q349" s="1057">
        <v>20</v>
      </c>
      <c r="R349" s="1056">
        <v>21</v>
      </c>
      <c r="S349" s="1055">
        <v>2.7650000000000001</v>
      </c>
      <c r="T349" s="1054">
        <f t="shared" si="145"/>
        <v>13.244350000000001</v>
      </c>
      <c r="U349" s="1136">
        <v>15.8</v>
      </c>
      <c r="V349" s="1052">
        <f t="shared" si="146"/>
        <v>5.7142857142857144</v>
      </c>
      <c r="W349" s="1049"/>
      <c r="X349" s="1051">
        <v>4.79</v>
      </c>
      <c r="Y349" s="1049"/>
      <c r="Z349" s="1050">
        <f t="shared" si="147"/>
        <v>11.032350000000001</v>
      </c>
      <c r="AA349" s="1058"/>
      <c r="AB349" s="1057">
        <v>20</v>
      </c>
      <c r="AC349" s="1056">
        <v>21</v>
      </c>
      <c r="AD349" s="1055">
        <v>3.4009999999999998</v>
      </c>
      <c r="AE349" s="1137">
        <f t="shared" si="148"/>
        <v>0.74822</v>
      </c>
      <c r="AF349" s="1136">
        <v>3.08</v>
      </c>
      <c r="AG349" s="1052">
        <f t="shared" si="149"/>
        <v>0.90561599529550141</v>
      </c>
      <c r="AH349" s="1049"/>
      <c r="AI349" s="1136">
        <v>0.22</v>
      </c>
      <c r="AJ349" s="1049"/>
      <c r="AK349" s="1050">
        <f t="shared" si="150"/>
        <v>-1.9725800000000002</v>
      </c>
      <c r="AL349" s="1049"/>
      <c r="AM349" s="1058"/>
      <c r="AN349" s="1057">
        <v>20</v>
      </c>
      <c r="AO349" s="1056">
        <v>21</v>
      </c>
      <c r="AP349" s="1055">
        <v>0.31</v>
      </c>
      <c r="AQ349" s="1745">
        <f t="shared" si="151"/>
        <v>0</v>
      </c>
      <c r="AR349" s="1737">
        <v>0.76</v>
      </c>
      <c r="AS349" s="1052">
        <f t="shared" si="152"/>
        <v>2.4516129032258065</v>
      </c>
      <c r="AT349" s="1049"/>
      <c r="AU349" s="1136"/>
      <c r="AV349" s="1049"/>
      <c r="AW349" s="1058"/>
      <c r="AX349" s="1057">
        <v>20</v>
      </c>
      <c r="AY349" s="1056">
        <v>21</v>
      </c>
      <c r="AZ349" s="1055">
        <v>0.24</v>
      </c>
      <c r="BA349" s="1736">
        <v>0.42</v>
      </c>
      <c r="BB349" s="1737">
        <f t="shared" si="153"/>
        <v>1.75</v>
      </c>
      <c r="BC349" s="1049"/>
      <c r="BD349" s="1136"/>
      <c r="BE349" s="1049"/>
      <c r="BF349" s="1058"/>
      <c r="BG349" s="1057">
        <v>20</v>
      </c>
      <c r="BH349" s="1056">
        <v>21</v>
      </c>
      <c r="BI349" s="1874">
        <v>0.4</v>
      </c>
      <c r="BJ349" s="1736" t="s">
        <v>1463</v>
      </c>
      <c r="BK349" s="1049"/>
      <c r="BL349" s="1058"/>
      <c r="BM349" s="1057">
        <v>20</v>
      </c>
      <c r="BN349" s="1056">
        <v>21</v>
      </c>
      <c r="BO349" s="1055"/>
      <c r="BP349" s="1055"/>
      <c r="BQ349" s="1049"/>
    </row>
    <row r="350" spans="1:69" ht="14.4">
      <c r="A350" s="1049"/>
      <c r="B350" s="1060"/>
      <c r="C350" s="1057">
        <v>21</v>
      </c>
      <c r="D350" s="1056">
        <v>22</v>
      </c>
      <c r="E350" s="1063">
        <v>0.94</v>
      </c>
      <c r="F350" s="1062">
        <v>2.7</v>
      </c>
      <c r="G350" s="1061">
        <f t="shared" si="143"/>
        <v>2.8723404255319154</v>
      </c>
      <c r="H350" s="1049"/>
      <c r="I350" s="1060"/>
      <c r="J350" s="1057">
        <v>21</v>
      </c>
      <c r="K350" s="1056">
        <v>22</v>
      </c>
      <c r="L350" s="1055">
        <v>0.70799999999999996</v>
      </c>
      <c r="M350" s="1059">
        <v>2.1</v>
      </c>
      <c r="N350" s="1052">
        <f t="shared" si="144"/>
        <v>2.9661016949152543</v>
      </c>
      <c r="O350" s="1049"/>
      <c r="P350" s="1058"/>
      <c r="Q350" s="1057">
        <v>21</v>
      </c>
      <c r="R350" s="1056">
        <v>22</v>
      </c>
      <c r="S350" s="1055">
        <v>1.766</v>
      </c>
      <c r="T350" s="1054">
        <f t="shared" si="145"/>
        <v>6.9580399999999996</v>
      </c>
      <c r="U350" s="1136">
        <v>8.59</v>
      </c>
      <c r="V350" s="1052">
        <f t="shared" si="146"/>
        <v>4.8640996602491509</v>
      </c>
      <c r="W350" s="1049"/>
      <c r="X350" s="1051">
        <v>3.94</v>
      </c>
      <c r="Y350" s="1049"/>
      <c r="Z350" s="1050">
        <f t="shared" si="147"/>
        <v>5.5452399999999997</v>
      </c>
      <c r="AA350" s="1058"/>
      <c r="AB350" s="1057">
        <v>21</v>
      </c>
      <c r="AC350" s="1056">
        <v>22</v>
      </c>
      <c r="AD350" s="1055">
        <v>3.2389999999999999</v>
      </c>
      <c r="AE350" s="1137">
        <f t="shared" si="148"/>
        <v>0.71257999999999999</v>
      </c>
      <c r="AF350" s="1136">
        <v>2.94</v>
      </c>
      <c r="AG350" s="1052">
        <f t="shared" si="149"/>
        <v>0.90768755788823707</v>
      </c>
      <c r="AH350" s="1049"/>
      <c r="AI350" s="1136">
        <v>0.22</v>
      </c>
      <c r="AJ350" s="1049"/>
      <c r="AK350" s="1050">
        <f t="shared" si="150"/>
        <v>-1.8786200000000002</v>
      </c>
      <c r="AL350" s="1049"/>
      <c r="AM350" s="1058"/>
      <c r="AN350" s="1057">
        <v>21</v>
      </c>
      <c r="AO350" s="1056">
        <v>22</v>
      </c>
      <c r="AP350" s="1055">
        <v>0.31</v>
      </c>
      <c r="AQ350" s="1745">
        <f t="shared" si="151"/>
        <v>0</v>
      </c>
      <c r="AR350" s="1737">
        <v>0.72</v>
      </c>
      <c r="AS350" s="1052">
        <f t="shared" si="152"/>
        <v>2.32258064516129</v>
      </c>
      <c r="AT350" s="1049"/>
      <c r="AU350" s="1136"/>
      <c r="AV350" s="1049"/>
      <c r="AW350" s="1058"/>
      <c r="AX350" s="1057">
        <v>21</v>
      </c>
      <c r="AY350" s="1056">
        <v>22</v>
      </c>
      <c r="AZ350" s="1055">
        <v>0.21</v>
      </c>
      <c r="BA350" s="1736">
        <v>0.37</v>
      </c>
      <c r="BB350" s="1737">
        <f t="shared" si="153"/>
        <v>1.7619047619047619</v>
      </c>
      <c r="BC350" s="1049"/>
      <c r="BD350" s="1136"/>
      <c r="BE350" s="1049"/>
      <c r="BF350" s="1058"/>
      <c r="BG350" s="1057">
        <v>21</v>
      </c>
      <c r="BH350" s="1056">
        <v>22</v>
      </c>
      <c r="BI350" s="1874">
        <v>0.32</v>
      </c>
      <c r="BJ350" s="1736" t="s">
        <v>1424</v>
      </c>
      <c r="BK350" s="1049"/>
      <c r="BL350" s="1058"/>
      <c r="BM350" s="1057">
        <v>21</v>
      </c>
      <c r="BN350" s="1056">
        <v>22</v>
      </c>
      <c r="BO350" s="1055"/>
      <c r="BP350" s="1055"/>
      <c r="BQ350" s="1049"/>
    </row>
    <row r="351" spans="1:69" ht="14.4">
      <c r="A351" s="1049"/>
      <c r="B351" s="1060"/>
      <c r="C351" s="1057">
        <v>22</v>
      </c>
      <c r="D351" s="1056">
        <v>23</v>
      </c>
      <c r="E351" s="1063">
        <v>0.32</v>
      </c>
      <c r="F351" s="1062">
        <v>0.94</v>
      </c>
      <c r="G351" s="1061">
        <f t="shared" si="143"/>
        <v>2.9374999999999996</v>
      </c>
      <c r="H351" s="1049"/>
      <c r="I351" s="1060"/>
      <c r="J351" s="1057">
        <v>22</v>
      </c>
      <c r="K351" s="1056">
        <v>23</v>
      </c>
      <c r="L351" s="1055">
        <v>0.66600000000000004</v>
      </c>
      <c r="M351" s="1059">
        <v>2.08</v>
      </c>
      <c r="N351" s="1052">
        <f t="shared" si="144"/>
        <v>3.1231231231231229</v>
      </c>
      <c r="O351" s="1049"/>
      <c r="P351" s="1058"/>
      <c r="Q351" s="1057">
        <v>22</v>
      </c>
      <c r="R351" s="1056">
        <v>23</v>
      </c>
      <c r="S351" s="1055">
        <v>1.38</v>
      </c>
      <c r="T351" s="1054">
        <f t="shared" si="145"/>
        <v>5.4234</v>
      </c>
      <c r="U351" s="1136">
        <v>6.14</v>
      </c>
      <c r="V351" s="1052">
        <f t="shared" si="146"/>
        <v>4.4492753623188408</v>
      </c>
      <c r="W351" s="1049"/>
      <c r="X351" s="1051">
        <v>3.93</v>
      </c>
      <c r="Y351" s="1049"/>
      <c r="Z351" s="1050">
        <f t="shared" si="147"/>
        <v>4.3193999999999999</v>
      </c>
      <c r="AA351" s="1058"/>
      <c r="AB351" s="1057">
        <v>22</v>
      </c>
      <c r="AC351" s="1056">
        <v>23</v>
      </c>
      <c r="AD351" s="1055">
        <v>3.49</v>
      </c>
      <c r="AE351" s="1137">
        <f t="shared" si="148"/>
        <v>0.66310000000000002</v>
      </c>
      <c r="AF351" s="1136">
        <v>3.06</v>
      </c>
      <c r="AG351" s="1052">
        <f t="shared" si="149"/>
        <v>0.87679083094555865</v>
      </c>
      <c r="AH351" s="1049"/>
      <c r="AI351" s="1136">
        <v>0.19</v>
      </c>
      <c r="AJ351" s="1049"/>
      <c r="AK351" s="1050">
        <f t="shared" si="150"/>
        <v>-2.1289000000000007</v>
      </c>
      <c r="AL351" s="1049"/>
      <c r="AM351" s="1058"/>
      <c r="AN351" s="1057">
        <v>22</v>
      </c>
      <c r="AO351" s="1056">
        <v>23</v>
      </c>
      <c r="AP351" s="1055">
        <v>0.15</v>
      </c>
      <c r="AQ351" s="1745">
        <f t="shared" si="151"/>
        <v>0</v>
      </c>
      <c r="AR351" s="1737">
        <v>0.33</v>
      </c>
      <c r="AS351" s="1052">
        <f t="shared" si="152"/>
        <v>2.2000000000000002</v>
      </c>
      <c r="AT351" s="1049"/>
      <c r="AU351" s="1136"/>
      <c r="AV351" s="1049"/>
      <c r="AW351" s="1058"/>
      <c r="AX351" s="1057">
        <v>22</v>
      </c>
      <c r="AY351" s="1056">
        <v>23</v>
      </c>
      <c r="AZ351" s="1055">
        <v>0.21</v>
      </c>
      <c r="BA351" s="1736">
        <v>0.37</v>
      </c>
      <c r="BB351" s="1737">
        <f t="shared" si="153"/>
        <v>1.7619047619047619</v>
      </c>
      <c r="BC351" s="1049"/>
      <c r="BD351" s="1136"/>
      <c r="BE351" s="1049"/>
      <c r="BF351" s="1058"/>
      <c r="BG351" s="1057">
        <v>22</v>
      </c>
      <c r="BH351" s="1056">
        <v>23</v>
      </c>
      <c r="BI351" s="1874">
        <v>0.34</v>
      </c>
      <c r="BJ351" s="1736" t="s">
        <v>1399</v>
      </c>
      <c r="BK351" s="1049"/>
      <c r="BL351" s="1058"/>
      <c r="BM351" s="1057">
        <v>22</v>
      </c>
      <c r="BN351" s="1056">
        <v>23</v>
      </c>
      <c r="BO351" s="1055"/>
      <c r="BP351" s="1055"/>
      <c r="BQ351" s="1049"/>
    </row>
    <row r="352" spans="1:69" ht="14.4">
      <c r="A352" s="1049"/>
      <c r="B352" s="1060"/>
      <c r="C352" s="1057">
        <v>23</v>
      </c>
      <c r="D352" s="1056">
        <v>24</v>
      </c>
      <c r="E352" s="1063">
        <v>0.22</v>
      </c>
      <c r="F352" s="1062">
        <v>0.63</v>
      </c>
      <c r="G352" s="1061">
        <f t="shared" si="143"/>
        <v>2.8636363636363638</v>
      </c>
      <c r="H352" s="1049"/>
      <c r="I352" s="1060"/>
      <c r="J352" s="1057">
        <v>23</v>
      </c>
      <c r="K352" s="1056">
        <v>24</v>
      </c>
      <c r="L352" s="1055">
        <v>0.627</v>
      </c>
      <c r="M352" s="1059">
        <v>1.5</v>
      </c>
      <c r="N352" s="1052">
        <f t="shared" si="144"/>
        <v>2.3923444976076556</v>
      </c>
      <c r="O352" s="1049"/>
      <c r="P352" s="1058"/>
      <c r="Q352" s="1057">
        <v>23</v>
      </c>
      <c r="R352" s="1056">
        <v>24</v>
      </c>
      <c r="S352" s="1055">
        <v>1.2889999999999999</v>
      </c>
      <c r="T352" s="1054">
        <f t="shared" si="145"/>
        <v>4.2794799999999995</v>
      </c>
      <c r="U352" s="1136">
        <v>5.46</v>
      </c>
      <c r="V352" s="1052">
        <f t="shared" si="146"/>
        <v>4.2358417377812261</v>
      </c>
      <c r="W352" s="1049"/>
      <c r="X352" s="1051">
        <v>3.32</v>
      </c>
      <c r="Y352" s="1049"/>
      <c r="Z352" s="1050">
        <f t="shared" si="147"/>
        <v>3.2482799999999994</v>
      </c>
      <c r="AA352" s="1058"/>
      <c r="AB352" s="1057">
        <v>23</v>
      </c>
      <c r="AC352" s="1056">
        <v>24</v>
      </c>
      <c r="AD352" s="1055">
        <v>3.01</v>
      </c>
      <c r="AE352" s="1137">
        <f t="shared" si="148"/>
        <v>0.54179999999999995</v>
      </c>
      <c r="AF352" s="1136">
        <v>2.62</v>
      </c>
      <c r="AG352" s="1052">
        <f t="shared" si="149"/>
        <v>0.87043189368770779</v>
      </c>
      <c r="AH352" s="1049"/>
      <c r="AI352" s="1136">
        <v>0.18</v>
      </c>
      <c r="AJ352" s="1049"/>
      <c r="AK352" s="1050">
        <f t="shared" si="150"/>
        <v>-1.8662000000000001</v>
      </c>
      <c r="AL352" s="1049"/>
      <c r="AM352" s="1058"/>
      <c r="AN352" s="1057">
        <v>23</v>
      </c>
      <c r="AO352" s="1056">
        <v>24</v>
      </c>
      <c r="AP352" s="1055">
        <v>0.12</v>
      </c>
      <c r="AQ352" s="1745">
        <f t="shared" si="151"/>
        <v>0</v>
      </c>
      <c r="AR352" s="1737">
        <v>0.26</v>
      </c>
      <c r="AS352" s="1052">
        <f t="shared" si="152"/>
        <v>2.166666666666667</v>
      </c>
      <c r="AT352" s="1049"/>
      <c r="AU352" s="1136"/>
      <c r="AV352" s="1049"/>
      <c r="AW352" s="1058"/>
      <c r="AX352" s="1057">
        <v>23</v>
      </c>
      <c r="AY352" s="1056">
        <v>24</v>
      </c>
      <c r="AZ352" s="1055">
        <v>0.11</v>
      </c>
      <c r="BA352" s="1736">
        <v>0.19</v>
      </c>
      <c r="BB352" s="1737">
        <f t="shared" si="153"/>
        <v>1.7272727272727273</v>
      </c>
      <c r="BC352" s="1049"/>
      <c r="BD352" s="1136"/>
      <c r="BE352" s="1049"/>
      <c r="BF352" s="1058"/>
      <c r="BG352" s="1057">
        <v>23</v>
      </c>
      <c r="BH352" s="1056">
        <v>24</v>
      </c>
      <c r="BI352" s="1874">
        <v>0.25</v>
      </c>
      <c r="BJ352" s="1736" t="s">
        <v>1404</v>
      </c>
      <c r="BK352" s="1049"/>
      <c r="BL352" s="1058"/>
      <c r="BM352" s="1057">
        <v>23</v>
      </c>
      <c r="BN352" s="1056">
        <v>24</v>
      </c>
      <c r="BO352" s="1055"/>
      <c r="BP352" s="1055"/>
      <c r="BQ352" s="1049"/>
    </row>
    <row r="353" spans="1:69" ht="14.4">
      <c r="A353" s="1036"/>
      <c r="B353" s="1044"/>
      <c r="C353" s="1135"/>
      <c r="D353" s="1135"/>
      <c r="E353" s="1134"/>
      <c r="F353" s="1133"/>
      <c r="G353" s="1132"/>
      <c r="H353" s="1044"/>
      <c r="I353" s="1044" t="s">
        <v>1137</v>
      </c>
      <c r="J353" s="1046"/>
      <c r="K353" s="1046"/>
      <c r="L353" s="1129">
        <f>AVERAGE(L354:L377)</f>
        <v>1.0347083333333333</v>
      </c>
      <c r="M353" s="1131">
        <f>AVERAGE(M354:M377)</f>
        <v>2.4737499999999999</v>
      </c>
      <c r="N353" s="1039">
        <f>AVERAGE(N354:N377)</f>
        <v>2.4618907634022777</v>
      </c>
      <c r="O353" s="1044"/>
      <c r="P353" s="1130" t="s">
        <v>1136</v>
      </c>
      <c r="Q353" s="1046"/>
      <c r="R353" s="1046"/>
      <c r="S353" s="1129">
        <f>AVERAGE(S354:S377)</f>
        <v>1.6780416666666664</v>
      </c>
      <c r="T353" s="1128">
        <f>SUM(T354:T377)</f>
        <v>166.80718000000002</v>
      </c>
      <c r="U353" s="1040">
        <f>AVERAGE(U354:U377)</f>
        <v>8.4933333333333323</v>
      </c>
      <c r="V353" s="1039">
        <f>AVERAGE(V354:V377)</f>
        <v>4.8673379250223778</v>
      </c>
      <c r="W353" s="1036"/>
      <c r="X353" s="1038">
        <f>AVERAGE(X362:X377)</f>
        <v>4.3562500000000002</v>
      </c>
      <c r="Y353" s="1036"/>
      <c r="Z353" s="1127">
        <f>SUM(Z354:Z377)</f>
        <v>134.58878000000001</v>
      </c>
      <c r="AA353" s="1130" t="s">
        <v>1139</v>
      </c>
      <c r="AB353" s="1046"/>
      <c r="AC353" s="1046"/>
      <c r="AD353" s="1129">
        <f>AVERAGE(AD354:AD377)</f>
        <v>2.41675</v>
      </c>
      <c r="AE353" s="1128">
        <f>SUM(AE354:AE377)</f>
        <v>13.38522</v>
      </c>
      <c r="AF353" s="1040">
        <f>AVERAGE(AF354:AF377)</f>
        <v>2.4687500000000004</v>
      </c>
      <c r="AG353" s="1039">
        <f>AVERAGE(AG354:AG377)</f>
        <v>1.0226150241460861</v>
      </c>
      <c r="AH353" s="1036"/>
      <c r="AI353" s="1038">
        <f>AVERAGE(AI362:AI377)</f>
        <v>0.25937500000000002</v>
      </c>
      <c r="AJ353" s="1036"/>
      <c r="AK353" s="1127">
        <f>SUM(AK354:AK377)</f>
        <v>-33.016379999999998</v>
      </c>
      <c r="AL353" s="1036"/>
      <c r="AM353" s="1130"/>
      <c r="AN353" s="1046"/>
      <c r="AO353" s="1046"/>
      <c r="AP353" s="1129">
        <f>AVERAGE(AP354:AP377)</f>
        <v>0.38208333333333333</v>
      </c>
      <c r="AQ353" s="1734">
        <f>SUM(AQ354:AQ377)</f>
        <v>0</v>
      </c>
      <c r="AR353" s="1735">
        <f>AVERAGE(AR354:AR377)</f>
        <v>0.91541666666666666</v>
      </c>
      <c r="AS353" s="1039">
        <f>AVERAGE(AS354:AS377)</f>
        <v>2.2143537025322333</v>
      </c>
      <c r="AT353" s="1036"/>
      <c r="AU353" s="1038" t="e">
        <f>AVERAGE(AU362:AU377)</f>
        <v>#DIV/0!</v>
      </c>
      <c r="AV353" s="1036"/>
      <c r="AW353" s="1130" t="s">
        <v>1131</v>
      </c>
      <c r="AX353" s="1046"/>
      <c r="AY353" s="1046"/>
      <c r="AZ353" s="1129">
        <f>AVERAGE(AZ354:AZ377)</f>
        <v>0.24749999999999994</v>
      </c>
      <c r="BA353" s="1045">
        <f>AVERAGE(BA354:BA377)</f>
        <v>0.48916666666666669</v>
      </c>
      <c r="BB353" s="1039">
        <f>AVERAGE(BB354:BB377)</f>
        <v>1.9233597758519014</v>
      </c>
      <c r="BC353" s="1036"/>
      <c r="BD353" s="1038" t="e">
        <f>AVERAGE(BD362:BD377)</f>
        <v>#DIV/0!</v>
      </c>
      <c r="BE353" s="1036"/>
      <c r="BF353" s="1130" t="s">
        <v>1131</v>
      </c>
      <c r="BG353" s="2756">
        <f>BF354</f>
        <v>45031</v>
      </c>
      <c r="BH353" s="2756"/>
      <c r="BI353" s="1897">
        <f>SUM(BI354:BI377)</f>
        <v>7.73</v>
      </c>
      <c r="BJ353" s="1898">
        <f>SUM(BJ354:BJ377)</f>
        <v>0</v>
      </c>
      <c r="BK353" s="1036"/>
      <c r="BL353" s="1130" t="s">
        <v>1131</v>
      </c>
      <c r="BM353" s="1046"/>
      <c r="BN353" s="1046"/>
      <c r="BO353" s="1129" t="e">
        <f>AVERAGE(BO354:BO377)</f>
        <v>#DIV/0!</v>
      </c>
      <c r="BP353" s="1129" t="e">
        <f>AVERAGE(BP354:BP377)</f>
        <v>#DIV/0!</v>
      </c>
      <c r="BQ353" s="1036"/>
    </row>
    <row r="354" spans="1:69" ht="14.4">
      <c r="A354" s="1049"/>
      <c r="B354" s="1126">
        <v>44849</v>
      </c>
      <c r="C354" s="1057">
        <v>0</v>
      </c>
      <c r="D354" s="1056">
        <v>1</v>
      </c>
      <c r="E354" s="1063">
        <v>0.23</v>
      </c>
      <c r="F354" s="1062">
        <v>0.65</v>
      </c>
      <c r="G354" s="1061">
        <f t="shared" ref="G354:G377" si="154">F354/E354</f>
        <v>2.8260869565217392</v>
      </c>
      <c r="H354" s="1049"/>
      <c r="I354" s="1126">
        <v>44880</v>
      </c>
      <c r="J354" s="1057">
        <v>0</v>
      </c>
      <c r="K354" s="1056">
        <v>1</v>
      </c>
      <c r="L354" s="1055">
        <v>0.59399999999999997</v>
      </c>
      <c r="M354" s="1059">
        <v>1.74</v>
      </c>
      <c r="N354" s="1052">
        <f t="shared" ref="N354:N377" si="155">M354/L354</f>
        <v>2.9292929292929295</v>
      </c>
      <c r="O354" s="1049"/>
      <c r="P354" s="1125">
        <v>44910</v>
      </c>
      <c r="Q354" s="1057">
        <v>0</v>
      </c>
      <c r="R354" s="1056">
        <v>1</v>
      </c>
      <c r="S354" s="1055">
        <v>0.71099999999999997</v>
      </c>
      <c r="T354" s="1054">
        <f t="shared" ref="T354:T377" si="156">S354*X354</f>
        <v>2.1614399999999998</v>
      </c>
      <c r="U354" s="1136">
        <v>2.82</v>
      </c>
      <c r="V354" s="1052">
        <f t="shared" ref="V354:V377" si="157">U354/S354</f>
        <v>3.9662447257383966</v>
      </c>
      <c r="W354" s="1049"/>
      <c r="X354" s="1051">
        <v>3.04</v>
      </c>
      <c r="Y354" s="1049"/>
      <c r="Z354" s="1050">
        <f t="shared" ref="Z354:Z377" si="158">S354*(X354-0.8)</f>
        <v>1.5926400000000001</v>
      </c>
      <c r="AA354" s="1125">
        <v>44941</v>
      </c>
      <c r="AB354" s="1057">
        <v>0</v>
      </c>
      <c r="AC354" s="1056">
        <v>1</v>
      </c>
      <c r="AD354" s="1055">
        <v>2.1269999999999998</v>
      </c>
      <c r="AE354" s="1137">
        <f t="shared" ref="AE354:AE377" si="159">AD354*AI354</f>
        <v>0.36158999999999997</v>
      </c>
      <c r="AF354" s="1136">
        <v>1.83</v>
      </c>
      <c r="AG354" s="1052">
        <f t="shared" ref="AG354:AG377" si="160">AF354/AD354</f>
        <v>0.86036671368124129</v>
      </c>
      <c r="AH354" s="1049"/>
      <c r="AI354" s="1136">
        <v>0.17</v>
      </c>
      <c r="AJ354" s="1049"/>
      <c r="AK354" s="1050">
        <f t="shared" ref="AK354:AK377" si="161">AD354*(AI354-0.8)</f>
        <v>-1.3400099999999999</v>
      </c>
      <c r="AL354" s="1049"/>
      <c r="AM354" s="1125">
        <v>44972</v>
      </c>
      <c r="AN354" s="1057">
        <v>0</v>
      </c>
      <c r="AO354" s="1056">
        <v>1</v>
      </c>
      <c r="AP354" s="1055">
        <v>0.13</v>
      </c>
      <c r="AQ354" s="1745">
        <f t="shared" ref="AQ354:AQ377" si="162">AP354*AU354</f>
        <v>0</v>
      </c>
      <c r="AR354" s="1737">
        <v>0.27</v>
      </c>
      <c r="AS354" s="1052">
        <f t="shared" ref="AS354:AS377" si="163">AR354/AP354</f>
        <v>2.0769230769230771</v>
      </c>
      <c r="AT354" s="1049"/>
      <c r="AU354" s="1136"/>
      <c r="AV354" s="1049"/>
      <c r="AW354" s="1125">
        <v>45000</v>
      </c>
      <c r="AX354" s="1057">
        <v>0</v>
      </c>
      <c r="AY354" s="1056">
        <v>1</v>
      </c>
      <c r="AZ354" s="1055">
        <v>0.12</v>
      </c>
      <c r="BA354" s="1736">
        <v>0.22</v>
      </c>
      <c r="BB354" s="1737">
        <f t="shared" ref="BB354:BB377" si="164">BA354/AZ354</f>
        <v>1.8333333333333335</v>
      </c>
      <c r="BC354" s="1049"/>
      <c r="BD354" s="1136"/>
      <c r="BE354" s="1049"/>
      <c r="BF354" s="1125">
        <v>45031</v>
      </c>
      <c r="BG354" s="1057">
        <v>0</v>
      </c>
      <c r="BH354" s="1056">
        <v>1</v>
      </c>
      <c r="BI354" s="1874">
        <v>0.19</v>
      </c>
      <c r="BJ354" s="1736"/>
      <c r="BK354" s="1049"/>
      <c r="BL354" s="1125">
        <v>45031</v>
      </c>
      <c r="BM354" s="1057">
        <v>0</v>
      </c>
      <c r="BN354" s="1056">
        <v>1</v>
      </c>
      <c r="BO354" s="1055"/>
      <c r="BP354" s="1055"/>
      <c r="BQ354" s="1049"/>
    </row>
    <row r="355" spans="1:69" ht="14.4">
      <c r="A355" s="1049"/>
      <c r="B355" s="1124"/>
      <c r="C355" s="1057">
        <v>1</v>
      </c>
      <c r="D355" s="1056">
        <v>2</v>
      </c>
      <c r="E355" s="1063">
        <v>0.2</v>
      </c>
      <c r="F355" s="1062">
        <v>0.59</v>
      </c>
      <c r="G355" s="1061">
        <f t="shared" si="154"/>
        <v>2.9499999999999997</v>
      </c>
      <c r="H355" s="1049"/>
      <c r="I355" s="1124"/>
      <c r="J355" s="1057">
        <v>1</v>
      </c>
      <c r="K355" s="1056">
        <v>2</v>
      </c>
      <c r="L355" s="1055">
        <v>0.61499999999999999</v>
      </c>
      <c r="M355" s="1059">
        <v>1.76</v>
      </c>
      <c r="N355" s="1052">
        <f t="shared" si="155"/>
        <v>2.8617886178861789</v>
      </c>
      <c r="O355" s="1049"/>
      <c r="P355" s="1123"/>
      <c r="Q355" s="1057">
        <v>1</v>
      </c>
      <c r="R355" s="1056">
        <v>2</v>
      </c>
      <c r="S355" s="1055">
        <v>0.48799999999999999</v>
      </c>
      <c r="T355" s="1054">
        <f t="shared" si="156"/>
        <v>1.44448</v>
      </c>
      <c r="U355" s="1136">
        <v>1.89</v>
      </c>
      <c r="V355" s="1052">
        <f t="shared" si="157"/>
        <v>3.872950819672131</v>
      </c>
      <c r="W355" s="1049"/>
      <c r="X355" s="1051">
        <v>2.96</v>
      </c>
      <c r="Y355" s="1049"/>
      <c r="Z355" s="1050">
        <f t="shared" si="158"/>
        <v>1.0540800000000001</v>
      </c>
      <c r="AA355" s="1123"/>
      <c r="AB355" s="1057">
        <v>1</v>
      </c>
      <c r="AC355" s="1056">
        <v>2</v>
      </c>
      <c r="AD355" s="1055">
        <v>2.11</v>
      </c>
      <c r="AE355" s="1137">
        <f t="shared" si="159"/>
        <v>0.31649999999999995</v>
      </c>
      <c r="AF355" s="1136">
        <v>1.77</v>
      </c>
      <c r="AG355" s="1052">
        <f t="shared" si="160"/>
        <v>0.83886255924170627</v>
      </c>
      <c r="AH355" s="1049"/>
      <c r="AI355" s="1136">
        <v>0.15</v>
      </c>
      <c r="AJ355" s="1049"/>
      <c r="AK355" s="1050">
        <f t="shared" si="161"/>
        <v>-1.3714999999999999</v>
      </c>
      <c r="AL355" s="1049"/>
      <c r="AM355" s="1123"/>
      <c r="AN355" s="1057">
        <v>1</v>
      </c>
      <c r="AO355" s="1056">
        <v>2</v>
      </c>
      <c r="AP355" s="1055">
        <v>0.1</v>
      </c>
      <c r="AQ355" s="1745">
        <f t="shared" si="162"/>
        <v>0</v>
      </c>
      <c r="AR355" s="1737">
        <v>0.2</v>
      </c>
      <c r="AS355" s="1052">
        <f t="shared" si="163"/>
        <v>2</v>
      </c>
      <c r="AT355" s="1049"/>
      <c r="AU355" s="1136"/>
      <c r="AV355" s="1049"/>
      <c r="AW355" s="1123"/>
      <c r="AX355" s="1057">
        <v>1</v>
      </c>
      <c r="AY355" s="1056">
        <v>2</v>
      </c>
      <c r="AZ355" s="1055">
        <v>0.13</v>
      </c>
      <c r="BA355" s="1736">
        <v>0.23</v>
      </c>
      <c r="BB355" s="1737">
        <f t="shared" si="164"/>
        <v>1.7692307692307692</v>
      </c>
      <c r="BC355" s="1049"/>
      <c r="BD355" s="1136"/>
      <c r="BE355" s="1049"/>
      <c r="BF355" s="1123"/>
      <c r="BG355" s="1057">
        <v>1</v>
      </c>
      <c r="BH355" s="1056">
        <v>2</v>
      </c>
      <c r="BI355" s="1874">
        <v>0.15</v>
      </c>
      <c r="BJ355" s="1736"/>
      <c r="BK355" s="1049"/>
      <c r="BL355" s="1123"/>
      <c r="BM355" s="1057">
        <v>1</v>
      </c>
      <c r="BN355" s="1056">
        <v>2</v>
      </c>
      <c r="BO355" s="1055"/>
      <c r="BP355" s="1055"/>
      <c r="BQ355" s="1049"/>
    </row>
    <row r="356" spans="1:69" ht="14.4">
      <c r="A356" s="1049"/>
      <c r="B356" s="1122">
        <f>SUM(E354:E377)</f>
        <v>12.28</v>
      </c>
      <c r="C356" s="1057">
        <v>2</v>
      </c>
      <c r="D356" s="1056">
        <v>3</v>
      </c>
      <c r="E356" s="1063">
        <v>0.22</v>
      </c>
      <c r="F356" s="1062">
        <v>0.64</v>
      </c>
      <c r="G356" s="1061">
        <f t="shared" si="154"/>
        <v>2.9090909090909092</v>
      </c>
      <c r="H356" s="1049"/>
      <c r="I356" s="1122">
        <f>SUM(L354:L377)</f>
        <v>24.833000000000002</v>
      </c>
      <c r="J356" s="1057">
        <v>2</v>
      </c>
      <c r="K356" s="1056">
        <v>3</v>
      </c>
      <c r="L356" s="1055">
        <v>0.53600000000000003</v>
      </c>
      <c r="M356" s="1059">
        <v>1.46</v>
      </c>
      <c r="N356" s="1052">
        <f t="shared" si="155"/>
        <v>2.7238805970149254</v>
      </c>
      <c r="O356" s="1049"/>
      <c r="P356" s="1121">
        <f>SUM(S354:S377)</f>
        <v>40.272999999999996</v>
      </c>
      <c r="Q356" s="1057">
        <v>2</v>
      </c>
      <c r="R356" s="1056">
        <v>3</v>
      </c>
      <c r="S356" s="1055">
        <v>0.40400000000000003</v>
      </c>
      <c r="T356" s="1054">
        <f t="shared" si="156"/>
        <v>1.15544</v>
      </c>
      <c r="U356" s="1136">
        <v>1.53</v>
      </c>
      <c r="V356" s="1052">
        <f t="shared" si="157"/>
        <v>3.7871287128712869</v>
      </c>
      <c r="W356" s="1049"/>
      <c r="X356" s="1051">
        <v>2.86</v>
      </c>
      <c r="Y356" s="1049"/>
      <c r="Z356" s="1050">
        <f t="shared" si="158"/>
        <v>0.83223999999999987</v>
      </c>
      <c r="AA356" s="1121">
        <f>SUM(AD354:AD377)</f>
        <v>58.002000000000002</v>
      </c>
      <c r="AB356" s="1057">
        <v>2</v>
      </c>
      <c r="AC356" s="1056">
        <v>3</v>
      </c>
      <c r="AD356" s="1055">
        <v>2.1419999999999999</v>
      </c>
      <c r="AE356" s="1137">
        <f t="shared" si="159"/>
        <v>0.36414000000000002</v>
      </c>
      <c r="AF356" s="1136">
        <v>1.84</v>
      </c>
      <c r="AG356" s="1052">
        <f t="shared" si="160"/>
        <v>0.85901027077497671</v>
      </c>
      <c r="AH356" s="1049"/>
      <c r="AI356" s="1136">
        <v>0.17</v>
      </c>
      <c r="AJ356" s="1049"/>
      <c r="AK356" s="1050">
        <f t="shared" si="161"/>
        <v>-1.3494599999999999</v>
      </c>
      <c r="AL356" s="1049"/>
      <c r="AM356" s="1121">
        <f>SUM(AP354:AP377)</f>
        <v>9.17</v>
      </c>
      <c r="AN356" s="1057">
        <v>2</v>
      </c>
      <c r="AO356" s="1056">
        <v>3</v>
      </c>
      <c r="AP356" s="1055">
        <v>0.11</v>
      </c>
      <c r="AQ356" s="1745">
        <f t="shared" si="162"/>
        <v>0</v>
      </c>
      <c r="AR356" s="1737">
        <v>0.22</v>
      </c>
      <c r="AS356" s="1052">
        <f t="shared" si="163"/>
        <v>2</v>
      </c>
      <c r="AT356" s="1049"/>
      <c r="AU356" s="1136"/>
      <c r="AV356" s="1049"/>
      <c r="AW356" s="1121">
        <f>SUM(AZ354:AZ377)</f>
        <v>5.9399999999999986</v>
      </c>
      <c r="AX356" s="1057">
        <v>2</v>
      </c>
      <c r="AY356" s="1056">
        <v>3</v>
      </c>
      <c r="AZ356" s="1055">
        <v>0.13</v>
      </c>
      <c r="BA356" s="1736">
        <v>0.23</v>
      </c>
      <c r="BB356" s="1737">
        <f t="shared" si="164"/>
        <v>1.7692307692307692</v>
      </c>
      <c r="BC356" s="1049"/>
      <c r="BD356" s="1136"/>
      <c r="BE356" s="1049"/>
      <c r="BF356" s="1121">
        <f>SUM(BI354:BI377)</f>
        <v>7.73</v>
      </c>
      <c r="BG356" s="1057">
        <v>2</v>
      </c>
      <c r="BH356" s="1056">
        <v>3</v>
      </c>
      <c r="BI356" s="1874">
        <v>0.14000000000000001</v>
      </c>
      <c r="BJ356" s="1736"/>
      <c r="BK356" s="1049"/>
      <c r="BL356" s="1121">
        <f>SUM(BO354:BO377)+SUM(BP354:BP377)</f>
        <v>0</v>
      </c>
      <c r="BM356" s="1057">
        <v>2</v>
      </c>
      <c r="BN356" s="1056">
        <v>3</v>
      </c>
      <c r="BO356" s="1055"/>
      <c r="BP356" s="1055"/>
      <c r="BQ356" s="1049"/>
    </row>
    <row r="357" spans="1:69" ht="14.4">
      <c r="A357" s="1049"/>
      <c r="B357" s="1120">
        <f>B356/24</f>
        <v>0.5116666666666666</v>
      </c>
      <c r="C357" s="1057">
        <v>3</v>
      </c>
      <c r="D357" s="1056">
        <v>4</v>
      </c>
      <c r="E357" s="1063">
        <v>0.21</v>
      </c>
      <c r="F357" s="1062">
        <v>0.61</v>
      </c>
      <c r="G357" s="1061">
        <f t="shared" si="154"/>
        <v>2.9047619047619047</v>
      </c>
      <c r="H357" s="1049"/>
      <c r="I357" s="1120">
        <f>I356/24</f>
        <v>1.0347083333333333</v>
      </c>
      <c r="J357" s="1057">
        <v>3</v>
      </c>
      <c r="K357" s="1056">
        <v>4</v>
      </c>
      <c r="L357" s="1055">
        <v>1.244</v>
      </c>
      <c r="M357" s="1059">
        <v>3.2</v>
      </c>
      <c r="N357" s="1052">
        <f t="shared" si="155"/>
        <v>2.572347266881029</v>
      </c>
      <c r="O357" s="1049"/>
      <c r="P357" s="1120">
        <f>P356/24</f>
        <v>1.6780416666666664</v>
      </c>
      <c r="Q357" s="1057">
        <v>3</v>
      </c>
      <c r="R357" s="1056">
        <v>4</v>
      </c>
      <c r="S357" s="1055">
        <v>0.437</v>
      </c>
      <c r="T357" s="1054">
        <f t="shared" si="156"/>
        <v>1.2104900000000001</v>
      </c>
      <c r="U357" s="1136">
        <v>1.61</v>
      </c>
      <c r="V357" s="1052">
        <f t="shared" si="157"/>
        <v>3.6842105263157898</v>
      </c>
      <c r="W357" s="1049"/>
      <c r="X357" s="1051">
        <v>2.77</v>
      </c>
      <c r="Y357" s="1049"/>
      <c r="Z357" s="1050">
        <f t="shared" si="158"/>
        <v>0.86088999999999993</v>
      </c>
      <c r="AA357" s="1120">
        <f>AA356/24</f>
        <v>2.41675</v>
      </c>
      <c r="AB357" s="1057">
        <v>3</v>
      </c>
      <c r="AC357" s="1056">
        <v>4</v>
      </c>
      <c r="AD357" s="1055">
        <v>2.1230000000000002</v>
      </c>
      <c r="AE357" s="1137">
        <f t="shared" si="159"/>
        <v>0.33968000000000004</v>
      </c>
      <c r="AF357" s="1136">
        <v>1.8</v>
      </c>
      <c r="AG357" s="1052">
        <f t="shared" si="160"/>
        <v>0.84785680640602912</v>
      </c>
      <c r="AH357" s="1049"/>
      <c r="AI357" s="1136">
        <v>0.16</v>
      </c>
      <c r="AJ357" s="1049"/>
      <c r="AK357" s="1050">
        <f t="shared" si="161"/>
        <v>-1.3587200000000001</v>
      </c>
      <c r="AL357" s="1049"/>
      <c r="AM357" s="1120">
        <f>AM356/24</f>
        <v>0.38208333333333333</v>
      </c>
      <c r="AN357" s="1057">
        <v>3</v>
      </c>
      <c r="AO357" s="1056">
        <v>4</v>
      </c>
      <c r="AP357" s="1055">
        <v>0.14000000000000001</v>
      </c>
      <c r="AQ357" s="1745">
        <f t="shared" si="162"/>
        <v>0</v>
      </c>
      <c r="AR357" s="1737">
        <v>0.28000000000000003</v>
      </c>
      <c r="AS357" s="1052">
        <f t="shared" si="163"/>
        <v>2</v>
      </c>
      <c r="AT357" s="1049"/>
      <c r="AU357" s="1136"/>
      <c r="AV357" s="1049"/>
      <c r="AW357" s="1120">
        <f>AW356/24</f>
        <v>0.24749999999999994</v>
      </c>
      <c r="AX357" s="1057">
        <v>3</v>
      </c>
      <c r="AY357" s="1056">
        <v>4</v>
      </c>
      <c r="AZ357" s="1055">
        <v>0.22</v>
      </c>
      <c r="BA357" s="1736">
        <v>0.39</v>
      </c>
      <c r="BB357" s="1737">
        <f t="shared" si="164"/>
        <v>1.7727272727272727</v>
      </c>
      <c r="BC357" s="1049"/>
      <c r="BD357" s="1136"/>
      <c r="BE357" s="1049"/>
      <c r="BF357" s="1120">
        <f>BF356/24</f>
        <v>0.32208333333333333</v>
      </c>
      <c r="BG357" s="1057">
        <v>3</v>
      </c>
      <c r="BH357" s="1056">
        <v>4</v>
      </c>
      <c r="BI357" s="1874">
        <v>0.16</v>
      </c>
      <c r="BJ357" s="1736"/>
      <c r="BK357" s="1049"/>
      <c r="BL357" s="1120">
        <f>BL356/24</f>
        <v>0</v>
      </c>
      <c r="BM357" s="1057">
        <v>3</v>
      </c>
      <c r="BN357" s="1056">
        <v>4</v>
      </c>
      <c r="BO357" s="1055"/>
      <c r="BP357" s="1055"/>
      <c r="BQ357" s="1049"/>
    </row>
    <row r="358" spans="1:69" ht="14.4">
      <c r="A358" s="1049"/>
      <c r="B358" s="1119"/>
      <c r="C358" s="1057">
        <v>4</v>
      </c>
      <c r="D358" s="1056">
        <v>5</v>
      </c>
      <c r="E358" s="1063">
        <v>0.22</v>
      </c>
      <c r="F358" s="1062">
        <v>0.63</v>
      </c>
      <c r="G358" s="1061">
        <f t="shared" si="154"/>
        <v>2.8636363636363638</v>
      </c>
      <c r="H358" s="1049"/>
      <c r="I358" s="1119"/>
      <c r="J358" s="1057">
        <v>4</v>
      </c>
      <c r="K358" s="1056">
        <v>5</v>
      </c>
      <c r="L358" s="1055">
        <v>0.625</v>
      </c>
      <c r="M358" s="1059">
        <v>1.36</v>
      </c>
      <c r="N358" s="1052">
        <f t="shared" si="155"/>
        <v>2.1760000000000002</v>
      </c>
      <c r="O358" s="1049"/>
      <c r="P358" s="1118"/>
      <c r="Q358" s="1057">
        <v>4</v>
      </c>
      <c r="R358" s="1056">
        <v>5</v>
      </c>
      <c r="S358" s="1055">
        <v>0.69099999999999995</v>
      </c>
      <c r="T358" s="1054">
        <f t="shared" si="156"/>
        <v>1.9417099999999998</v>
      </c>
      <c r="U358" s="1136">
        <v>2.57</v>
      </c>
      <c r="V358" s="1052">
        <f t="shared" si="157"/>
        <v>3.7192474674384948</v>
      </c>
      <c r="W358" s="1049"/>
      <c r="X358" s="1051">
        <v>2.81</v>
      </c>
      <c r="Y358" s="1049"/>
      <c r="Z358" s="1050">
        <f t="shared" si="158"/>
        <v>1.3889099999999996</v>
      </c>
      <c r="AA358" s="1118"/>
      <c r="AB358" s="1057">
        <v>4</v>
      </c>
      <c r="AC358" s="1056">
        <v>5</v>
      </c>
      <c r="AD358" s="1055">
        <v>2.2090000000000001</v>
      </c>
      <c r="AE358" s="1137">
        <f t="shared" si="159"/>
        <v>0.35344000000000003</v>
      </c>
      <c r="AF358" s="1136">
        <v>1.88</v>
      </c>
      <c r="AG358" s="1052">
        <f t="shared" si="160"/>
        <v>0.85106382978723394</v>
      </c>
      <c r="AH358" s="1049"/>
      <c r="AI358" s="1136">
        <v>0.16</v>
      </c>
      <c r="AJ358" s="1049"/>
      <c r="AK358" s="1050">
        <f t="shared" si="161"/>
        <v>-1.4137600000000001</v>
      </c>
      <c r="AL358" s="1049"/>
      <c r="AM358" s="1118"/>
      <c r="AN358" s="1057">
        <v>4</v>
      </c>
      <c r="AO358" s="1056">
        <v>5</v>
      </c>
      <c r="AP358" s="1055">
        <v>0.1</v>
      </c>
      <c r="AQ358" s="1745">
        <f t="shared" si="162"/>
        <v>0</v>
      </c>
      <c r="AR358" s="1737">
        <v>0.2</v>
      </c>
      <c r="AS358" s="1052">
        <f t="shared" si="163"/>
        <v>2</v>
      </c>
      <c r="AT358" s="1049"/>
      <c r="AU358" s="1136"/>
      <c r="AV358" s="1049"/>
      <c r="AW358" s="1118"/>
      <c r="AX358" s="1057">
        <v>4</v>
      </c>
      <c r="AY358" s="1056">
        <v>5</v>
      </c>
      <c r="AZ358" s="1055">
        <v>0.26</v>
      </c>
      <c r="BA358" s="1736">
        <v>0.47</v>
      </c>
      <c r="BB358" s="1737">
        <f t="shared" si="164"/>
        <v>1.8076923076923075</v>
      </c>
      <c r="BC358" s="1049"/>
      <c r="BD358" s="1136"/>
      <c r="BE358" s="1049"/>
      <c r="BF358" s="1118"/>
      <c r="BG358" s="1057">
        <v>4</v>
      </c>
      <c r="BH358" s="1056">
        <v>5</v>
      </c>
      <c r="BI358" s="1874">
        <v>0.18</v>
      </c>
      <c r="BJ358" s="1736"/>
      <c r="BK358" s="1049"/>
      <c r="BL358" s="1118"/>
      <c r="BM358" s="1057">
        <v>4</v>
      </c>
      <c r="BN358" s="1056">
        <v>5</v>
      </c>
      <c r="BO358" s="1055"/>
      <c r="BP358" s="1055"/>
      <c r="BQ358" s="1049"/>
    </row>
    <row r="359" spans="1:69" ht="15" thickBot="1">
      <c r="A359" s="1049"/>
      <c r="B359" s="1058">
        <f>SUM(F354:F377)</f>
        <v>36.340000000000003</v>
      </c>
      <c r="C359" s="1111">
        <v>5</v>
      </c>
      <c r="D359" s="1110">
        <v>6</v>
      </c>
      <c r="E359" s="1117">
        <v>0.2</v>
      </c>
      <c r="F359" s="1116">
        <v>0.59</v>
      </c>
      <c r="G359" s="1115">
        <f t="shared" si="154"/>
        <v>2.9499999999999997</v>
      </c>
      <c r="H359" s="1049"/>
      <c r="I359" s="1058">
        <f>SUM(M354:M377)</f>
        <v>59.37</v>
      </c>
      <c r="J359" s="1111">
        <v>5</v>
      </c>
      <c r="K359" s="1110">
        <v>6</v>
      </c>
      <c r="L359" s="1109">
        <v>0.80300000000000005</v>
      </c>
      <c r="M359" s="1114">
        <v>1.57</v>
      </c>
      <c r="N359" s="1113">
        <f t="shared" si="155"/>
        <v>1.9551681195516812</v>
      </c>
      <c r="O359" s="1049"/>
      <c r="P359" s="1112">
        <f>SUM(U354:U377)</f>
        <v>203.83999999999997</v>
      </c>
      <c r="Q359" s="1111">
        <v>5</v>
      </c>
      <c r="R359" s="1110">
        <v>6</v>
      </c>
      <c r="S359" s="1109">
        <v>1.212</v>
      </c>
      <c r="T359" s="1054">
        <f t="shared" si="156"/>
        <v>3.5632799999999998</v>
      </c>
      <c r="U359" s="1146">
        <v>4.6900000000000004</v>
      </c>
      <c r="V359" s="1052">
        <f t="shared" si="157"/>
        <v>3.8696369636963701</v>
      </c>
      <c r="W359" s="1049"/>
      <c r="X359" s="1074">
        <v>2.94</v>
      </c>
      <c r="Y359" s="1049"/>
      <c r="Z359" s="1050">
        <f t="shared" si="158"/>
        <v>2.5936799999999995</v>
      </c>
      <c r="AA359" s="1112">
        <f>SUM(AF354:AF377)</f>
        <v>59.250000000000007</v>
      </c>
      <c r="AB359" s="1111">
        <v>5</v>
      </c>
      <c r="AC359" s="1110">
        <v>6</v>
      </c>
      <c r="AD359" s="1109">
        <v>2.157</v>
      </c>
      <c r="AE359" s="1147">
        <f t="shared" si="159"/>
        <v>0.36669000000000002</v>
      </c>
      <c r="AF359" s="1146">
        <v>1.85</v>
      </c>
      <c r="AG359" s="1052">
        <f t="shared" si="160"/>
        <v>0.85767269355586462</v>
      </c>
      <c r="AH359" s="1049"/>
      <c r="AI359" s="1146">
        <v>0.17</v>
      </c>
      <c r="AJ359" s="1049"/>
      <c r="AK359" s="1050">
        <f t="shared" si="161"/>
        <v>-1.3589100000000001</v>
      </c>
      <c r="AL359" s="1049"/>
      <c r="AM359" s="1112">
        <f>SUM(AR354:AR377)</f>
        <v>21.97</v>
      </c>
      <c r="AN359" s="1111">
        <v>5</v>
      </c>
      <c r="AO359" s="1110">
        <v>6</v>
      </c>
      <c r="AP359" s="1109">
        <v>0.09</v>
      </c>
      <c r="AQ359" s="1746">
        <f t="shared" si="162"/>
        <v>0</v>
      </c>
      <c r="AR359" s="1739">
        <v>0.19</v>
      </c>
      <c r="AS359" s="1052">
        <f t="shared" si="163"/>
        <v>2.1111111111111112</v>
      </c>
      <c r="AT359" s="1049"/>
      <c r="AU359" s="1146"/>
      <c r="AV359" s="1049"/>
      <c r="AW359" s="1112">
        <f>SUM(BA354:BA377)</f>
        <v>11.74</v>
      </c>
      <c r="AX359" s="1111">
        <v>5</v>
      </c>
      <c r="AY359" s="1110">
        <v>6</v>
      </c>
      <c r="AZ359" s="1109">
        <v>0.27</v>
      </c>
      <c r="BA359" s="1738">
        <v>0.49</v>
      </c>
      <c r="BB359" s="1739">
        <f t="shared" si="164"/>
        <v>1.8148148148148147</v>
      </c>
      <c r="BC359" s="1049"/>
      <c r="BD359" s="1146"/>
      <c r="BE359" s="1049"/>
      <c r="BF359" s="1112">
        <f>SUM(BJ354:BJ377)</f>
        <v>0</v>
      </c>
      <c r="BG359" s="1111">
        <v>5</v>
      </c>
      <c r="BH359" s="1110">
        <v>6</v>
      </c>
      <c r="BI359" s="1874">
        <v>0.16</v>
      </c>
      <c r="BJ359" s="1738"/>
      <c r="BK359" s="1049"/>
      <c r="BL359" s="1112">
        <f>SUM(BP354:BP377)</f>
        <v>0</v>
      </c>
      <c r="BM359" s="1111">
        <v>5</v>
      </c>
      <c r="BN359" s="1110">
        <v>6</v>
      </c>
      <c r="BO359" s="1109"/>
      <c r="BP359" s="1109"/>
      <c r="BQ359" s="1049"/>
    </row>
    <row r="360" spans="1:69" ht="14.4">
      <c r="A360" s="1049"/>
      <c r="B360" s="1093">
        <f>B359/B356</f>
        <v>2.9592833876221505</v>
      </c>
      <c r="C360" s="1100">
        <v>6</v>
      </c>
      <c r="D360" s="1099">
        <v>7</v>
      </c>
      <c r="E360" s="1107">
        <v>0.3</v>
      </c>
      <c r="F360" s="1106">
        <v>0.86</v>
      </c>
      <c r="G360" s="1105">
        <f t="shared" si="154"/>
        <v>2.8666666666666667</v>
      </c>
      <c r="H360" s="1049"/>
      <c r="I360" s="1093">
        <f>I359/I356</f>
        <v>2.390770345910683</v>
      </c>
      <c r="J360" s="1100">
        <v>6</v>
      </c>
      <c r="K360" s="1099">
        <v>7</v>
      </c>
      <c r="L360" s="1098">
        <v>0.745</v>
      </c>
      <c r="M360" s="1103">
        <v>2.11</v>
      </c>
      <c r="N360" s="1102">
        <f t="shared" si="155"/>
        <v>2.8322147651006708</v>
      </c>
      <c r="O360" s="1049"/>
      <c r="P360" s="1093">
        <f>P359/P356</f>
        <v>5.0614555657636631</v>
      </c>
      <c r="Q360" s="1100">
        <v>6</v>
      </c>
      <c r="R360" s="1099">
        <v>7</v>
      </c>
      <c r="S360" s="1098">
        <v>1.4039999999999999</v>
      </c>
      <c r="T360" s="1054">
        <f t="shared" si="156"/>
        <v>4.7595599999999996</v>
      </c>
      <c r="U360" s="1144">
        <v>6.05</v>
      </c>
      <c r="V360" s="1052">
        <f t="shared" si="157"/>
        <v>4.3091168091168095</v>
      </c>
      <c r="W360" s="1049"/>
      <c r="X360" s="1108">
        <v>3.39</v>
      </c>
      <c r="Y360" s="1049"/>
      <c r="Z360" s="1050">
        <f t="shared" si="158"/>
        <v>3.6363599999999994</v>
      </c>
      <c r="AA360" s="1093">
        <f>AA359/AA356</f>
        <v>1.0215164994310542</v>
      </c>
      <c r="AB360" s="1100">
        <v>6</v>
      </c>
      <c r="AC360" s="1099">
        <v>7</v>
      </c>
      <c r="AD360" s="1098">
        <v>2.9119999999999999</v>
      </c>
      <c r="AE360" s="1145">
        <f t="shared" si="159"/>
        <v>0.43679999999999997</v>
      </c>
      <c r="AF360" s="1144">
        <v>2.44</v>
      </c>
      <c r="AG360" s="1052">
        <f t="shared" si="160"/>
        <v>0.83791208791208793</v>
      </c>
      <c r="AH360" s="1049"/>
      <c r="AI360" s="1144">
        <v>0.15</v>
      </c>
      <c r="AJ360" s="1049"/>
      <c r="AK360" s="1050">
        <f t="shared" si="161"/>
        <v>-1.8928</v>
      </c>
      <c r="AL360" s="1049"/>
      <c r="AM360" s="1093">
        <f>AM359/AM356</f>
        <v>2.3958560523446017</v>
      </c>
      <c r="AN360" s="1100">
        <v>6</v>
      </c>
      <c r="AO360" s="1099">
        <v>7</v>
      </c>
      <c r="AP360" s="1098">
        <v>0.13</v>
      </c>
      <c r="AQ360" s="1747">
        <f t="shared" si="162"/>
        <v>0</v>
      </c>
      <c r="AR360" s="1741">
        <v>0.3</v>
      </c>
      <c r="AS360" s="1052">
        <f t="shared" si="163"/>
        <v>2.3076923076923075</v>
      </c>
      <c r="AT360" s="1049"/>
      <c r="AU360" s="1144"/>
      <c r="AV360" s="1049"/>
      <c r="AW360" s="1093">
        <f>AW359/AW356</f>
        <v>1.9764309764309769</v>
      </c>
      <c r="AX360" s="1100">
        <v>6</v>
      </c>
      <c r="AY360" s="1099">
        <v>7</v>
      </c>
      <c r="AZ360" s="1098">
        <v>0.21</v>
      </c>
      <c r="BA360" s="1740">
        <v>0.4</v>
      </c>
      <c r="BB360" s="1741">
        <f t="shared" si="164"/>
        <v>1.9047619047619049</v>
      </c>
      <c r="BC360" s="1049"/>
      <c r="BD360" s="1144"/>
      <c r="BE360" s="1049"/>
      <c r="BF360" s="1093">
        <f>BF359/BF356</f>
        <v>0</v>
      </c>
      <c r="BG360" s="1100">
        <v>6</v>
      </c>
      <c r="BH360" s="1099">
        <v>7</v>
      </c>
      <c r="BI360" s="1874">
        <v>0.19</v>
      </c>
      <c r="BJ360" s="1740"/>
      <c r="BK360" s="1049"/>
      <c r="BL360" s="1093" t="e">
        <f>BL359/BL356</f>
        <v>#DIV/0!</v>
      </c>
      <c r="BM360" s="1100">
        <v>6</v>
      </c>
      <c r="BN360" s="1099">
        <v>7</v>
      </c>
      <c r="BO360" s="1098"/>
      <c r="BP360" s="1098"/>
      <c r="BQ360" s="1049"/>
    </row>
    <row r="361" spans="1:69" ht="14.4">
      <c r="A361" s="1049"/>
      <c r="B361" s="1104"/>
      <c r="C361" s="1100">
        <v>7</v>
      </c>
      <c r="D361" s="1099">
        <v>8</v>
      </c>
      <c r="E361" s="1107">
        <v>0.48</v>
      </c>
      <c r="F361" s="1106">
        <v>1.37</v>
      </c>
      <c r="G361" s="1105">
        <f t="shared" si="154"/>
        <v>2.854166666666667</v>
      </c>
      <c r="H361" s="1049"/>
      <c r="I361" s="1104"/>
      <c r="J361" s="1100">
        <v>7</v>
      </c>
      <c r="K361" s="1099">
        <v>8</v>
      </c>
      <c r="L361" s="1098">
        <v>1</v>
      </c>
      <c r="M361" s="1103">
        <v>2.68</v>
      </c>
      <c r="N361" s="1102">
        <f t="shared" si="155"/>
        <v>2.68</v>
      </c>
      <c r="O361" s="1049"/>
      <c r="P361" s="1101"/>
      <c r="Q361" s="1100">
        <v>7</v>
      </c>
      <c r="R361" s="1099">
        <v>8</v>
      </c>
      <c r="S361" s="1098">
        <v>1.452</v>
      </c>
      <c r="T361" s="1054">
        <f t="shared" si="156"/>
        <v>6.2145600000000005</v>
      </c>
      <c r="U361" s="1144">
        <v>7.55</v>
      </c>
      <c r="V361" s="1052">
        <f t="shared" si="157"/>
        <v>5.1997245179063363</v>
      </c>
      <c r="W361" s="1049"/>
      <c r="X361" s="1065">
        <v>4.28</v>
      </c>
      <c r="Y361" s="1049"/>
      <c r="Z361" s="1050">
        <f t="shared" si="158"/>
        <v>5.0529600000000006</v>
      </c>
      <c r="AA361" s="1101"/>
      <c r="AB361" s="1100">
        <v>7</v>
      </c>
      <c r="AC361" s="1099">
        <v>8</v>
      </c>
      <c r="AD361" s="1098">
        <v>2.5049999999999999</v>
      </c>
      <c r="AE361" s="1145">
        <f t="shared" si="159"/>
        <v>0.37574999999999997</v>
      </c>
      <c r="AF361" s="1144">
        <v>2.1</v>
      </c>
      <c r="AG361" s="1052">
        <f t="shared" si="160"/>
        <v>0.83832335329341323</v>
      </c>
      <c r="AH361" s="1049"/>
      <c r="AI361" s="1144">
        <v>0.15</v>
      </c>
      <c r="AJ361" s="1049"/>
      <c r="AK361" s="1050">
        <f t="shared" si="161"/>
        <v>-1.62825</v>
      </c>
      <c r="AL361" s="1049"/>
      <c r="AM361" s="1101"/>
      <c r="AN361" s="1100">
        <v>7</v>
      </c>
      <c r="AO361" s="1099">
        <v>8</v>
      </c>
      <c r="AP361" s="1098">
        <v>0.56000000000000005</v>
      </c>
      <c r="AQ361" s="1747">
        <f t="shared" si="162"/>
        <v>0</v>
      </c>
      <c r="AR361" s="1741">
        <v>1.43</v>
      </c>
      <c r="AS361" s="1052">
        <f t="shared" si="163"/>
        <v>2.5535714285714284</v>
      </c>
      <c r="AT361" s="1049"/>
      <c r="AU361" s="1144"/>
      <c r="AV361" s="1049"/>
      <c r="AW361" s="1101"/>
      <c r="AX361" s="1100">
        <v>7</v>
      </c>
      <c r="AY361" s="1099">
        <v>8</v>
      </c>
      <c r="AZ361" s="1098">
        <v>0.56000000000000005</v>
      </c>
      <c r="BA361" s="1736">
        <v>1.19</v>
      </c>
      <c r="BB361" s="1741">
        <f t="shared" si="164"/>
        <v>2.1249999999999996</v>
      </c>
      <c r="BC361" s="1049"/>
      <c r="BD361" s="1144"/>
      <c r="BE361" s="1049"/>
      <c r="BF361" s="1101"/>
      <c r="BG361" s="1100">
        <v>7</v>
      </c>
      <c r="BH361" s="1099">
        <v>8</v>
      </c>
      <c r="BI361" s="1874">
        <v>0.22</v>
      </c>
      <c r="BJ361" s="1736"/>
      <c r="BK361" s="1049"/>
      <c r="BL361" s="1101"/>
      <c r="BM361" s="1100">
        <v>7</v>
      </c>
      <c r="BN361" s="1099">
        <v>8</v>
      </c>
      <c r="BO361" s="1098"/>
      <c r="BP361" s="1098"/>
      <c r="BQ361" s="1049"/>
    </row>
    <row r="362" spans="1:69" ht="14.4">
      <c r="A362" s="1049"/>
      <c r="B362" s="1097">
        <f>B359/24</f>
        <v>1.5141666666666669</v>
      </c>
      <c r="C362" s="1086">
        <v>8</v>
      </c>
      <c r="D362" s="1085">
        <v>9</v>
      </c>
      <c r="E362" s="1091">
        <v>0.75</v>
      </c>
      <c r="F362" s="1090">
        <v>2.17</v>
      </c>
      <c r="G362" s="1089">
        <f t="shared" si="154"/>
        <v>2.8933333333333331</v>
      </c>
      <c r="H362" s="1049"/>
      <c r="I362" s="1097">
        <f>I359/24</f>
        <v>2.4737499999999999</v>
      </c>
      <c r="J362" s="1086">
        <v>8</v>
      </c>
      <c r="K362" s="1085">
        <v>9</v>
      </c>
      <c r="L362" s="1084">
        <v>0.59199999999999997</v>
      </c>
      <c r="M362" s="1088">
        <v>1.67</v>
      </c>
      <c r="N362" s="1087">
        <f t="shared" si="155"/>
        <v>2.8209459459459461</v>
      </c>
      <c r="O362" s="1049"/>
      <c r="P362" s="1096">
        <f>P359/24</f>
        <v>8.4933333333333323</v>
      </c>
      <c r="Q362" s="1086">
        <v>8</v>
      </c>
      <c r="R362" s="1085">
        <v>9</v>
      </c>
      <c r="S362" s="1084">
        <v>1.28</v>
      </c>
      <c r="T362" s="1054">
        <f t="shared" si="156"/>
        <v>6.1696000000000009</v>
      </c>
      <c r="U362" s="1142">
        <v>7.34</v>
      </c>
      <c r="V362" s="1052">
        <f t="shared" si="157"/>
        <v>5.734375</v>
      </c>
      <c r="W362" s="1049"/>
      <c r="X362" s="1051">
        <v>4.82</v>
      </c>
      <c r="Y362" s="1049"/>
      <c r="Z362" s="1050">
        <f t="shared" si="158"/>
        <v>5.1456000000000008</v>
      </c>
      <c r="AA362" s="1096">
        <f>AA359/24</f>
        <v>2.4687500000000004</v>
      </c>
      <c r="AB362" s="1086">
        <v>8</v>
      </c>
      <c r="AC362" s="1085">
        <v>9</v>
      </c>
      <c r="AD362" s="1084">
        <v>2.722</v>
      </c>
      <c r="AE362" s="1143">
        <f t="shared" si="159"/>
        <v>0.59884000000000004</v>
      </c>
      <c r="AF362" s="1142">
        <v>2.4700000000000002</v>
      </c>
      <c r="AG362" s="1052">
        <f t="shared" si="160"/>
        <v>0.90742101396032337</v>
      </c>
      <c r="AH362" s="1049"/>
      <c r="AI362" s="1142">
        <v>0.22</v>
      </c>
      <c r="AJ362" s="1049"/>
      <c r="AK362" s="1050">
        <f t="shared" si="161"/>
        <v>-1.5787600000000002</v>
      </c>
      <c r="AL362" s="1049"/>
      <c r="AM362" s="1096">
        <f>AM359/24</f>
        <v>0.91541666666666666</v>
      </c>
      <c r="AN362" s="1086">
        <v>8</v>
      </c>
      <c r="AO362" s="1085">
        <v>9</v>
      </c>
      <c r="AP362" s="1084">
        <v>0.26</v>
      </c>
      <c r="AQ362" s="1748">
        <f t="shared" si="162"/>
        <v>0</v>
      </c>
      <c r="AR362" s="1742">
        <v>0.67</v>
      </c>
      <c r="AS362" s="1052">
        <f t="shared" si="163"/>
        <v>2.5769230769230771</v>
      </c>
      <c r="AT362" s="1049"/>
      <c r="AU362" s="1142"/>
      <c r="AV362" s="1049"/>
      <c r="AW362" s="1096">
        <f>AW359/24</f>
        <v>0.48916666666666669</v>
      </c>
      <c r="AX362" s="1086">
        <v>8</v>
      </c>
      <c r="AY362" s="1085">
        <v>9</v>
      </c>
      <c r="AZ362" s="1084">
        <v>0.26</v>
      </c>
      <c r="BA362" s="1736">
        <v>0.56999999999999995</v>
      </c>
      <c r="BB362" s="1742">
        <f t="shared" si="164"/>
        <v>2.1923076923076921</v>
      </c>
      <c r="BC362" s="1049"/>
      <c r="BD362" s="1142"/>
      <c r="BE362" s="1049"/>
      <c r="BF362" s="1096">
        <f>BF359/24</f>
        <v>0</v>
      </c>
      <c r="BG362" s="1086">
        <v>8</v>
      </c>
      <c r="BH362" s="1085">
        <v>9</v>
      </c>
      <c r="BI362" s="1874">
        <v>0.24</v>
      </c>
      <c r="BJ362" s="1736"/>
      <c r="BK362" s="1049"/>
      <c r="BL362" s="1096">
        <f>BL359/24</f>
        <v>0</v>
      </c>
      <c r="BM362" s="1086">
        <v>8</v>
      </c>
      <c r="BN362" s="1085">
        <v>9</v>
      </c>
      <c r="BO362" s="1084"/>
      <c r="BP362" s="1084"/>
      <c r="BQ362" s="1049"/>
    </row>
    <row r="363" spans="1:69" ht="14.4">
      <c r="A363" s="1049"/>
      <c r="B363" s="1097"/>
      <c r="C363" s="1086">
        <v>9</v>
      </c>
      <c r="D363" s="1085">
        <v>10</v>
      </c>
      <c r="E363" s="1091">
        <v>0.52</v>
      </c>
      <c r="F363" s="1090">
        <v>1.5</v>
      </c>
      <c r="G363" s="1089">
        <f t="shared" si="154"/>
        <v>2.8846153846153846</v>
      </c>
      <c r="H363" s="1049"/>
      <c r="I363" s="1097"/>
      <c r="J363" s="1086">
        <v>9</v>
      </c>
      <c r="K363" s="1085">
        <v>10</v>
      </c>
      <c r="L363" s="1084">
        <v>0.82399999999999995</v>
      </c>
      <c r="M363" s="1088">
        <v>2.12</v>
      </c>
      <c r="N363" s="1087">
        <f t="shared" si="155"/>
        <v>2.5728155339805827</v>
      </c>
      <c r="O363" s="1049"/>
      <c r="P363" s="1096"/>
      <c r="Q363" s="1086">
        <v>9</v>
      </c>
      <c r="R363" s="1085">
        <v>10</v>
      </c>
      <c r="S363" s="1084">
        <v>1.2949999999999999</v>
      </c>
      <c r="T363" s="1054">
        <f t="shared" si="156"/>
        <v>6.2289499999999993</v>
      </c>
      <c r="U363" s="1142">
        <v>7.42</v>
      </c>
      <c r="V363" s="1052">
        <f t="shared" si="157"/>
        <v>5.7297297297297298</v>
      </c>
      <c r="W363" s="1049"/>
      <c r="X363" s="1051">
        <v>4.8099999999999996</v>
      </c>
      <c r="Y363" s="1049"/>
      <c r="Z363" s="1050">
        <f t="shared" si="158"/>
        <v>5.1929499999999997</v>
      </c>
      <c r="AA363" s="1096"/>
      <c r="AB363" s="1086">
        <v>9</v>
      </c>
      <c r="AC363" s="1085">
        <v>10</v>
      </c>
      <c r="AD363" s="1084">
        <v>2.8969999999999998</v>
      </c>
      <c r="AE363" s="1143">
        <f t="shared" si="159"/>
        <v>0.66630999999999996</v>
      </c>
      <c r="AF363" s="1142">
        <v>2.66</v>
      </c>
      <c r="AG363" s="1052">
        <f t="shared" si="160"/>
        <v>0.91819123230928557</v>
      </c>
      <c r="AH363" s="1049"/>
      <c r="AI363" s="1142">
        <v>0.23</v>
      </c>
      <c r="AJ363" s="1049"/>
      <c r="AK363" s="1050">
        <f t="shared" si="161"/>
        <v>-1.6512900000000001</v>
      </c>
      <c r="AL363" s="1049"/>
      <c r="AM363" s="1096"/>
      <c r="AN363" s="1086">
        <v>9</v>
      </c>
      <c r="AO363" s="1085">
        <v>10</v>
      </c>
      <c r="AP363" s="1084">
        <v>0.51</v>
      </c>
      <c r="AQ363" s="1748">
        <f t="shared" si="162"/>
        <v>0</v>
      </c>
      <c r="AR363" s="1742">
        <v>1.23</v>
      </c>
      <c r="AS363" s="1052">
        <f t="shared" si="163"/>
        <v>2.4117647058823528</v>
      </c>
      <c r="AT363" s="1049"/>
      <c r="AU363" s="1142"/>
      <c r="AV363" s="1049"/>
      <c r="AW363" s="1096"/>
      <c r="AX363" s="1086">
        <v>9</v>
      </c>
      <c r="AY363" s="1085">
        <v>10</v>
      </c>
      <c r="AZ363" s="1084">
        <v>0.32</v>
      </c>
      <c r="BA363" s="1736">
        <v>0.6</v>
      </c>
      <c r="BB363" s="1742">
        <f t="shared" si="164"/>
        <v>1.875</v>
      </c>
      <c r="BC363" s="1049"/>
      <c r="BD363" s="1142"/>
      <c r="BE363" s="1049"/>
      <c r="BF363" s="1096"/>
      <c r="BG363" s="1086">
        <v>9</v>
      </c>
      <c r="BH363" s="1085">
        <v>10</v>
      </c>
      <c r="BI363" s="1874">
        <v>0.31</v>
      </c>
      <c r="BJ363" s="1736"/>
      <c r="BK363" s="1049"/>
      <c r="BL363" s="1096"/>
      <c r="BM363" s="1086">
        <v>9</v>
      </c>
      <c r="BN363" s="1085">
        <v>10</v>
      </c>
      <c r="BO363" s="1084"/>
      <c r="BP363" s="1084"/>
      <c r="BQ363" s="1049"/>
    </row>
    <row r="364" spans="1:69" ht="14.4">
      <c r="A364" s="1049"/>
      <c r="B364" s="1060"/>
      <c r="C364" s="1086">
        <v>10</v>
      </c>
      <c r="D364" s="1085">
        <v>11</v>
      </c>
      <c r="E364" s="1091">
        <v>0.38</v>
      </c>
      <c r="F364" s="1090">
        <v>1.0900000000000001</v>
      </c>
      <c r="G364" s="1089">
        <f t="shared" si="154"/>
        <v>2.8684210526315792</v>
      </c>
      <c r="H364" s="1049"/>
      <c r="I364" s="1060"/>
      <c r="J364" s="1086">
        <v>10</v>
      </c>
      <c r="K364" s="1085">
        <v>11</v>
      </c>
      <c r="L364" s="1084">
        <v>0.59399999999999997</v>
      </c>
      <c r="M364" s="1088">
        <v>1.55</v>
      </c>
      <c r="N364" s="1087">
        <f t="shared" si="155"/>
        <v>2.6094276094276094</v>
      </c>
      <c r="O364" s="1049"/>
      <c r="P364" s="1095">
        <f>SUM(Z354:Z377)</f>
        <v>134.58878000000001</v>
      </c>
      <c r="Q364" s="1086">
        <v>10</v>
      </c>
      <c r="R364" s="1085">
        <v>11</v>
      </c>
      <c r="S364" s="1084">
        <v>1.839</v>
      </c>
      <c r="T364" s="1054">
        <f t="shared" si="156"/>
        <v>8.5881299999999996</v>
      </c>
      <c r="U364" s="1142">
        <v>10.28</v>
      </c>
      <c r="V364" s="1052">
        <f t="shared" si="157"/>
        <v>5.589994562262099</v>
      </c>
      <c r="W364" s="1049"/>
      <c r="X364" s="1051">
        <v>4.67</v>
      </c>
      <c r="Y364" s="1049"/>
      <c r="Z364" s="1050">
        <f t="shared" si="158"/>
        <v>7.11693</v>
      </c>
      <c r="AA364" s="1095">
        <f>SUM(AK354:AK377)</f>
        <v>-33.016379999999998</v>
      </c>
      <c r="AB364" s="1086">
        <v>10</v>
      </c>
      <c r="AC364" s="1085">
        <v>11</v>
      </c>
      <c r="AD364" s="1084">
        <v>2.9340000000000002</v>
      </c>
      <c r="AE364" s="1143">
        <f t="shared" si="159"/>
        <v>0.64548000000000005</v>
      </c>
      <c r="AF364" s="1142">
        <v>2.66</v>
      </c>
      <c r="AG364" s="1052">
        <f t="shared" si="160"/>
        <v>0.90661213360599868</v>
      </c>
      <c r="AH364" s="1049"/>
      <c r="AI364" s="1142">
        <v>0.22</v>
      </c>
      <c r="AJ364" s="1049"/>
      <c r="AK364" s="1050">
        <f t="shared" si="161"/>
        <v>-1.7017200000000003</v>
      </c>
      <c r="AL364" s="1049"/>
      <c r="AM364" s="1095" t="e">
        <f>SUM(#REF!)</f>
        <v>#REF!</v>
      </c>
      <c r="AN364" s="1086">
        <v>10</v>
      </c>
      <c r="AO364" s="1085">
        <v>11</v>
      </c>
      <c r="AP364" s="1084">
        <v>0.38</v>
      </c>
      <c r="AQ364" s="1748">
        <f t="shared" si="162"/>
        <v>0</v>
      </c>
      <c r="AR364" s="1742">
        <v>0.85</v>
      </c>
      <c r="AS364" s="1052">
        <f t="shared" si="163"/>
        <v>2.236842105263158</v>
      </c>
      <c r="AT364" s="1049"/>
      <c r="AU364" s="1142"/>
      <c r="AV364" s="1049"/>
      <c r="AW364" s="1095" t="e">
        <f>SUM(#REF!)</f>
        <v>#REF!</v>
      </c>
      <c r="AX364" s="1086">
        <v>10</v>
      </c>
      <c r="AY364" s="1085">
        <v>11</v>
      </c>
      <c r="AZ364" s="1084">
        <v>0.34</v>
      </c>
      <c r="BA364" s="1736">
        <v>0.61</v>
      </c>
      <c r="BB364" s="1742">
        <f t="shared" si="164"/>
        <v>1.7941176470588234</v>
      </c>
      <c r="BC364" s="1049"/>
      <c r="BD364" s="1142"/>
      <c r="BE364" s="1049"/>
      <c r="BF364" s="1095" t="e">
        <f>SUM(#REF!)</f>
        <v>#REF!</v>
      </c>
      <c r="BG364" s="1086">
        <v>10</v>
      </c>
      <c r="BH364" s="1085">
        <v>11</v>
      </c>
      <c r="BI364" s="1874">
        <v>0.35</v>
      </c>
      <c r="BJ364" s="1736"/>
      <c r="BK364" s="1049"/>
      <c r="BL364" s="1095" t="e">
        <f>SUM(#REF!)</f>
        <v>#REF!</v>
      </c>
      <c r="BM364" s="1086">
        <v>10</v>
      </c>
      <c r="BN364" s="1085">
        <v>11</v>
      </c>
      <c r="BO364" s="1084"/>
      <c r="BP364" s="1084"/>
      <c r="BQ364" s="1049"/>
    </row>
    <row r="365" spans="1:69" ht="14.4">
      <c r="A365" s="1049"/>
      <c r="B365" s="1060"/>
      <c r="C365" s="1086">
        <v>11</v>
      </c>
      <c r="D365" s="1085">
        <v>12</v>
      </c>
      <c r="E365" s="1091">
        <v>0.73</v>
      </c>
      <c r="F365" s="1090">
        <v>2.12</v>
      </c>
      <c r="G365" s="1089">
        <f t="shared" si="154"/>
        <v>2.904109589041096</v>
      </c>
      <c r="H365" s="1049"/>
      <c r="I365" s="1060"/>
      <c r="J365" s="1086">
        <v>11</v>
      </c>
      <c r="K365" s="1085">
        <v>12</v>
      </c>
      <c r="L365" s="1084">
        <v>0.81499999999999995</v>
      </c>
      <c r="M365" s="1088">
        <v>2.0699999999999998</v>
      </c>
      <c r="N365" s="1087">
        <f t="shared" si="155"/>
        <v>2.5398773006134969</v>
      </c>
      <c r="O365" s="1049"/>
      <c r="P365" s="1093">
        <f>P364/P356</f>
        <v>3.3419109577136052</v>
      </c>
      <c r="Q365" s="1086">
        <v>11</v>
      </c>
      <c r="R365" s="1085">
        <v>12</v>
      </c>
      <c r="S365" s="1084">
        <v>1.875</v>
      </c>
      <c r="T365" s="1054">
        <f t="shared" si="156"/>
        <v>8.3250000000000011</v>
      </c>
      <c r="U365" s="1142">
        <v>10.06</v>
      </c>
      <c r="V365" s="1052">
        <f t="shared" si="157"/>
        <v>5.365333333333334</v>
      </c>
      <c r="W365" s="1049"/>
      <c r="X365" s="1051">
        <v>4.4400000000000004</v>
      </c>
      <c r="Y365" s="1049"/>
      <c r="Z365" s="1050">
        <f t="shared" si="158"/>
        <v>6.8250000000000011</v>
      </c>
      <c r="AA365" s="1093">
        <f>AA364/AA356</f>
        <v>-0.56922830247232847</v>
      </c>
      <c r="AB365" s="1086">
        <v>11</v>
      </c>
      <c r="AC365" s="1085">
        <v>12</v>
      </c>
      <c r="AD365" s="1084">
        <v>1.966</v>
      </c>
      <c r="AE365" s="1143">
        <f t="shared" si="159"/>
        <v>0.41286</v>
      </c>
      <c r="AF365" s="1142">
        <v>1.76</v>
      </c>
      <c r="AG365" s="1052">
        <f t="shared" si="160"/>
        <v>0.89521871820956256</v>
      </c>
      <c r="AH365" s="1049"/>
      <c r="AI365" s="1142">
        <v>0.21</v>
      </c>
      <c r="AJ365" s="1049"/>
      <c r="AK365" s="1050">
        <f t="shared" si="161"/>
        <v>-1.1599400000000002</v>
      </c>
      <c r="AL365" s="1049"/>
      <c r="AM365" s="1093" t="e">
        <f>AM364/AM356</f>
        <v>#REF!</v>
      </c>
      <c r="AN365" s="1086">
        <v>11</v>
      </c>
      <c r="AO365" s="1085">
        <v>12</v>
      </c>
      <c r="AP365" s="1084">
        <v>0.39</v>
      </c>
      <c r="AQ365" s="1748">
        <f t="shared" si="162"/>
        <v>0</v>
      </c>
      <c r="AR365" s="1742">
        <v>0.8</v>
      </c>
      <c r="AS365" s="1052">
        <f t="shared" si="163"/>
        <v>2.0512820512820515</v>
      </c>
      <c r="AT365" s="1049"/>
      <c r="AU365" s="1142"/>
      <c r="AV365" s="1049"/>
      <c r="AW365" s="1093" t="e">
        <f>AW364/AW356</f>
        <v>#REF!</v>
      </c>
      <c r="AX365" s="1086">
        <v>11</v>
      </c>
      <c r="AY365" s="1085">
        <v>12</v>
      </c>
      <c r="AZ365" s="1084">
        <v>0.22</v>
      </c>
      <c r="BA365" s="1736">
        <v>0.38</v>
      </c>
      <c r="BB365" s="1742">
        <f t="shared" si="164"/>
        <v>1.7272727272727273</v>
      </c>
      <c r="BC365" s="1049"/>
      <c r="BD365" s="1142"/>
      <c r="BE365" s="1049"/>
      <c r="BF365" s="1093" t="e">
        <f>BF364/BF356</f>
        <v>#REF!</v>
      </c>
      <c r="BG365" s="1086">
        <v>11</v>
      </c>
      <c r="BH365" s="1085">
        <v>12</v>
      </c>
      <c r="BI365" s="1874">
        <v>0.59</v>
      </c>
      <c r="BJ365" s="1736"/>
      <c r="BK365" s="1049"/>
      <c r="BL365" s="1093" t="e">
        <f>BL364/BL356</f>
        <v>#REF!</v>
      </c>
      <c r="BM365" s="1086">
        <v>11</v>
      </c>
      <c r="BN365" s="1085">
        <v>12</v>
      </c>
      <c r="BO365" s="1084"/>
      <c r="BP365" s="1084"/>
      <c r="BQ365" s="1049"/>
    </row>
    <row r="366" spans="1:69" ht="14.4">
      <c r="A366" s="1049"/>
      <c r="B366" s="1060"/>
      <c r="C366" s="1086">
        <v>12</v>
      </c>
      <c r="D366" s="1085">
        <v>13</v>
      </c>
      <c r="E366" s="1091">
        <v>1.33</v>
      </c>
      <c r="F366" s="1090">
        <v>3.84</v>
      </c>
      <c r="G366" s="1089">
        <f t="shared" si="154"/>
        <v>2.8872180451127818</v>
      </c>
      <c r="H366" s="1049"/>
      <c r="I366" s="1060"/>
      <c r="J366" s="1086">
        <v>12</v>
      </c>
      <c r="K366" s="1085">
        <v>13</v>
      </c>
      <c r="L366" s="1084">
        <v>1.4490000000000001</v>
      </c>
      <c r="M366" s="1088">
        <v>3.61</v>
      </c>
      <c r="N366" s="1087">
        <f t="shared" si="155"/>
        <v>2.491373360938578</v>
      </c>
      <c r="O366" s="1049"/>
      <c r="P366" s="1060"/>
      <c r="Q366" s="1086">
        <v>12</v>
      </c>
      <c r="R366" s="1085">
        <v>13</v>
      </c>
      <c r="S366" s="1084">
        <v>1.982</v>
      </c>
      <c r="T366" s="1054">
        <f t="shared" si="156"/>
        <v>7.9874600000000004</v>
      </c>
      <c r="U366" s="1142">
        <v>9.82</v>
      </c>
      <c r="V366" s="1052">
        <f t="shared" si="157"/>
        <v>4.9545913218970741</v>
      </c>
      <c r="W366" s="1049"/>
      <c r="X366" s="1051">
        <v>4.03</v>
      </c>
      <c r="Y366" s="1049"/>
      <c r="Z366" s="1050">
        <f t="shared" si="158"/>
        <v>6.401860000000001</v>
      </c>
      <c r="AA366" s="1060"/>
      <c r="AB366" s="1086">
        <v>12</v>
      </c>
      <c r="AC366" s="1085">
        <v>13</v>
      </c>
      <c r="AD366" s="1084">
        <v>1.7989999999999999</v>
      </c>
      <c r="AE366" s="1143">
        <f t="shared" si="159"/>
        <v>0.34181</v>
      </c>
      <c r="AF366" s="1142">
        <v>1.59</v>
      </c>
      <c r="AG366" s="1052">
        <f t="shared" si="160"/>
        <v>0.88382434685936639</v>
      </c>
      <c r="AH366" s="1049"/>
      <c r="AI366" s="1142">
        <v>0.19</v>
      </c>
      <c r="AJ366" s="1049"/>
      <c r="AK366" s="1050">
        <f t="shared" si="161"/>
        <v>-1.0973900000000001</v>
      </c>
      <c r="AL366" s="1049"/>
      <c r="AM366" s="1060"/>
      <c r="AN366" s="1086">
        <v>12</v>
      </c>
      <c r="AO366" s="1085">
        <v>13</v>
      </c>
      <c r="AP366" s="1084">
        <v>0.41</v>
      </c>
      <c r="AQ366" s="1748">
        <f t="shared" si="162"/>
        <v>0</v>
      </c>
      <c r="AR366" s="1742">
        <v>0.8</v>
      </c>
      <c r="AS366" s="1052">
        <f t="shared" si="163"/>
        <v>1.9512195121951221</v>
      </c>
      <c r="AT366" s="1049"/>
      <c r="AU366" s="1142"/>
      <c r="AV366" s="1049"/>
      <c r="AW366" s="1060"/>
      <c r="AX366" s="1086">
        <v>12</v>
      </c>
      <c r="AY366" s="1085">
        <v>13</v>
      </c>
      <c r="AZ366" s="1084">
        <v>0.28999999999999998</v>
      </c>
      <c r="BA366" s="1736">
        <v>0.48</v>
      </c>
      <c r="BB366" s="1742">
        <f t="shared" si="164"/>
        <v>1.6551724137931034</v>
      </c>
      <c r="BC366" s="1049"/>
      <c r="BD366" s="1142"/>
      <c r="BE366" s="1049"/>
      <c r="BF366" s="1060"/>
      <c r="BG366" s="1086">
        <v>12</v>
      </c>
      <c r="BH366" s="1085">
        <v>13</v>
      </c>
      <c r="BI366" s="1874">
        <v>0.37</v>
      </c>
      <c r="BJ366" s="1736"/>
      <c r="BK366" s="1049"/>
      <c r="BL366" s="1060"/>
      <c r="BM366" s="1086">
        <v>12</v>
      </c>
      <c r="BN366" s="1085">
        <v>13</v>
      </c>
      <c r="BO366" s="1084"/>
      <c r="BP366" s="1084"/>
      <c r="BQ366" s="1049"/>
    </row>
    <row r="367" spans="1:69" ht="14.4">
      <c r="A367" s="1049"/>
      <c r="B367" s="1060"/>
      <c r="C367" s="1086">
        <v>13</v>
      </c>
      <c r="D367" s="1085">
        <v>14</v>
      </c>
      <c r="E367" s="1091">
        <v>1.61</v>
      </c>
      <c r="F367" s="1090">
        <v>4.6500000000000004</v>
      </c>
      <c r="G367" s="1089">
        <f t="shared" si="154"/>
        <v>2.8881987577639752</v>
      </c>
      <c r="H367" s="1049"/>
      <c r="I367" s="1060"/>
      <c r="J367" s="1086">
        <v>13</v>
      </c>
      <c r="K367" s="1085">
        <v>14</v>
      </c>
      <c r="L367" s="1084">
        <v>1.2110000000000001</v>
      </c>
      <c r="M367" s="1088">
        <v>2.96</v>
      </c>
      <c r="N367" s="1087">
        <f t="shared" si="155"/>
        <v>2.4442609413707679</v>
      </c>
      <c r="O367" s="1049"/>
      <c r="P367" s="1092" t="s">
        <v>1127</v>
      </c>
      <c r="Q367" s="1086">
        <v>13</v>
      </c>
      <c r="R367" s="1085">
        <v>14</v>
      </c>
      <c r="S367" s="1084">
        <v>2.202</v>
      </c>
      <c r="T367" s="1054">
        <f t="shared" si="156"/>
        <v>8.6758799999999994</v>
      </c>
      <c r="U367" s="1142">
        <v>10.71</v>
      </c>
      <c r="V367" s="1052">
        <f t="shared" si="157"/>
        <v>4.8637602179836517</v>
      </c>
      <c r="W367" s="1049"/>
      <c r="X367" s="1051">
        <v>3.94</v>
      </c>
      <c r="Y367" s="1049"/>
      <c r="Z367" s="1050">
        <f t="shared" si="158"/>
        <v>6.9142799999999989</v>
      </c>
      <c r="AA367" s="1092" t="s">
        <v>1127</v>
      </c>
      <c r="AB367" s="1086">
        <v>13</v>
      </c>
      <c r="AC367" s="1085">
        <v>14</v>
      </c>
      <c r="AD367" s="1084">
        <v>2.1280000000000001</v>
      </c>
      <c r="AE367" s="1143">
        <f t="shared" si="159"/>
        <v>0.29792000000000002</v>
      </c>
      <c r="AF367" s="1142">
        <v>1.76</v>
      </c>
      <c r="AG367" s="1052">
        <f t="shared" si="160"/>
        <v>0.82706766917293228</v>
      </c>
      <c r="AH367" s="1049"/>
      <c r="AI367" s="1142">
        <v>0.14000000000000001</v>
      </c>
      <c r="AJ367" s="1049"/>
      <c r="AK367" s="1050">
        <f t="shared" si="161"/>
        <v>-1.4044800000000002</v>
      </c>
      <c r="AL367" s="1049"/>
      <c r="AM367" s="1092" t="s">
        <v>1127</v>
      </c>
      <c r="AN367" s="1086">
        <v>13</v>
      </c>
      <c r="AO367" s="1085">
        <v>14</v>
      </c>
      <c r="AP367" s="1084">
        <v>0.27</v>
      </c>
      <c r="AQ367" s="1748">
        <f t="shared" si="162"/>
        <v>0</v>
      </c>
      <c r="AR367" s="1742">
        <v>0.53</v>
      </c>
      <c r="AS367" s="1052">
        <f t="shared" si="163"/>
        <v>1.962962962962963</v>
      </c>
      <c r="AT367" s="1049"/>
      <c r="AU367" s="1142"/>
      <c r="AV367" s="1049"/>
      <c r="AW367" s="1092" t="s">
        <v>1127</v>
      </c>
      <c r="AX367" s="1086">
        <v>13</v>
      </c>
      <c r="AY367" s="1085">
        <v>14</v>
      </c>
      <c r="AZ367" s="1084">
        <v>0.2</v>
      </c>
      <c r="BA367" s="1736">
        <v>0.33</v>
      </c>
      <c r="BB367" s="1742">
        <f t="shared" si="164"/>
        <v>1.65</v>
      </c>
      <c r="BC367" s="1049"/>
      <c r="BD367" s="1142"/>
      <c r="BE367" s="1049"/>
      <c r="BF367" s="1092" t="s">
        <v>1127</v>
      </c>
      <c r="BG367" s="1086">
        <v>13</v>
      </c>
      <c r="BH367" s="1085">
        <v>14</v>
      </c>
      <c r="BI367" s="1874">
        <v>0.32</v>
      </c>
      <c r="BJ367" s="1736"/>
      <c r="BK367" s="1049"/>
      <c r="BL367" s="1092" t="s">
        <v>1127</v>
      </c>
      <c r="BM367" s="1086">
        <v>13</v>
      </c>
      <c r="BN367" s="1085">
        <v>14</v>
      </c>
      <c r="BO367" s="1084"/>
      <c r="BP367" s="1084"/>
      <c r="BQ367" s="1049"/>
    </row>
    <row r="368" spans="1:69" ht="14.4">
      <c r="A368" s="1049"/>
      <c r="B368" s="1060"/>
      <c r="C368" s="1086">
        <v>14</v>
      </c>
      <c r="D368" s="1085">
        <v>15</v>
      </c>
      <c r="E368" s="1091">
        <v>0.94</v>
      </c>
      <c r="F368" s="1090">
        <v>2.72</v>
      </c>
      <c r="G368" s="1089">
        <f t="shared" si="154"/>
        <v>2.8936170212765959</v>
      </c>
      <c r="H368" s="1049"/>
      <c r="I368" s="1060"/>
      <c r="J368" s="1086">
        <v>14</v>
      </c>
      <c r="K368" s="1085">
        <v>15</v>
      </c>
      <c r="L368" s="1084">
        <v>1.4770000000000001</v>
      </c>
      <c r="M368" s="1088">
        <v>3.59</v>
      </c>
      <c r="N368" s="1087">
        <f t="shared" si="155"/>
        <v>2.4306025727826674</v>
      </c>
      <c r="O368" s="1049"/>
      <c r="P368" s="1058">
        <f>P356*0.8</f>
        <v>32.218399999999995</v>
      </c>
      <c r="Q368" s="1086">
        <v>14</v>
      </c>
      <c r="R368" s="1085">
        <v>15</v>
      </c>
      <c r="S368" s="1084">
        <v>2.0590000000000002</v>
      </c>
      <c r="T368" s="1054">
        <f t="shared" si="156"/>
        <v>9.2449100000000008</v>
      </c>
      <c r="U368" s="1142">
        <v>11.13</v>
      </c>
      <c r="V368" s="1052">
        <f t="shared" si="157"/>
        <v>5.4055366682855759</v>
      </c>
      <c r="W368" s="1049"/>
      <c r="X368" s="1051">
        <v>4.49</v>
      </c>
      <c r="Y368" s="1049"/>
      <c r="Z368" s="1050">
        <f t="shared" si="158"/>
        <v>7.5977100000000011</v>
      </c>
      <c r="AA368" s="1058">
        <f>AA356*0.8</f>
        <v>46.401600000000002</v>
      </c>
      <c r="AB368" s="1086">
        <v>14</v>
      </c>
      <c r="AC368" s="1085">
        <v>15</v>
      </c>
      <c r="AD368" s="1084">
        <v>2.0219999999999998</v>
      </c>
      <c r="AE368" s="1143">
        <f t="shared" si="159"/>
        <v>0.26285999999999998</v>
      </c>
      <c r="AF368" s="1142">
        <v>1.67</v>
      </c>
      <c r="AG368" s="1052">
        <f t="shared" si="160"/>
        <v>0.82591493570722063</v>
      </c>
      <c r="AH368" s="1049"/>
      <c r="AI368" s="1142">
        <v>0.13</v>
      </c>
      <c r="AJ368" s="1049"/>
      <c r="AK368" s="1050">
        <f t="shared" si="161"/>
        <v>-1.3547400000000001</v>
      </c>
      <c r="AL368" s="1049"/>
      <c r="AM368" s="1058">
        <f>AM356*0.8</f>
        <v>7.3360000000000003</v>
      </c>
      <c r="AN368" s="1086">
        <v>14</v>
      </c>
      <c r="AO368" s="1085">
        <v>15</v>
      </c>
      <c r="AP368" s="1084">
        <v>0.28999999999999998</v>
      </c>
      <c r="AQ368" s="1748">
        <f t="shared" si="162"/>
        <v>0</v>
      </c>
      <c r="AR368" s="1742">
        <v>0.56999999999999995</v>
      </c>
      <c r="AS368" s="1052">
        <f t="shared" si="163"/>
        <v>1.9655172413793103</v>
      </c>
      <c r="AT368" s="1049"/>
      <c r="AU368" s="1142"/>
      <c r="AV368" s="1049"/>
      <c r="AW368" s="1058">
        <f>AW356*0.8</f>
        <v>4.7519999999999989</v>
      </c>
      <c r="AX368" s="1086">
        <v>14</v>
      </c>
      <c r="AY368" s="1085">
        <v>15</v>
      </c>
      <c r="AZ368" s="1084">
        <v>0.15</v>
      </c>
      <c r="BA368" s="1736">
        <v>0.25</v>
      </c>
      <c r="BB368" s="1742">
        <f t="shared" si="164"/>
        <v>1.6666666666666667</v>
      </c>
      <c r="BC368" s="1049"/>
      <c r="BD368" s="1142"/>
      <c r="BE368" s="1049"/>
      <c r="BF368" s="1058">
        <f>BF356*0.8</f>
        <v>6.1840000000000011</v>
      </c>
      <c r="BG368" s="1086">
        <v>14</v>
      </c>
      <c r="BH368" s="1085">
        <v>15</v>
      </c>
      <c r="BI368" s="1874">
        <v>0.41</v>
      </c>
      <c r="BJ368" s="1736"/>
      <c r="BK368" s="1049"/>
      <c r="BL368" s="1058">
        <f>BL356*0.8</f>
        <v>0</v>
      </c>
      <c r="BM368" s="1086">
        <v>14</v>
      </c>
      <c r="BN368" s="1085">
        <v>15</v>
      </c>
      <c r="BO368" s="1084"/>
      <c r="BP368" s="1084"/>
      <c r="BQ368" s="1049"/>
    </row>
    <row r="369" spans="1:69" ht="14.4">
      <c r="A369" s="1049"/>
      <c r="B369" s="1060"/>
      <c r="C369" s="1086">
        <v>15</v>
      </c>
      <c r="D369" s="1085">
        <v>16</v>
      </c>
      <c r="E369" s="1091">
        <v>0.42</v>
      </c>
      <c r="F369" s="1090">
        <v>1.22</v>
      </c>
      <c r="G369" s="1089">
        <f t="shared" si="154"/>
        <v>2.9047619047619047</v>
      </c>
      <c r="H369" s="1049"/>
      <c r="I369" s="1060"/>
      <c r="J369" s="1086">
        <v>15</v>
      </c>
      <c r="K369" s="1085">
        <v>16</v>
      </c>
      <c r="L369" s="1084">
        <v>0.97899999999999998</v>
      </c>
      <c r="M369" s="1088">
        <v>2.2599999999999998</v>
      </c>
      <c r="N369" s="1087">
        <f t="shared" si="155"/>
        <v>2.3084780388151174</v>
      </c>
      <c r="O369" s="1049"/>
      <c r="P369" s="1058" t="s">
        <v>1126</v>
      </c>
      <c r="Q369" s="1086">
        <v>15</v>
      </c>
      <c r="R369" s="1085">
        <v>16</v>
      </c>
      <c r="S369" s="1084">
        <v>2.0569999999999999</v>
      </c>
      <c r="T369" s="1054">
        <f t="shared" si="156"/>
        <v>9.523909999999999</v>
      </c>
      <c r="U369" s="1142">
        <v>11.41</v>
      </c>
      <c r="V369" s="1052">
        <f t="shared" si="157"/>
        <v>5.5469129800680603</v>
      </c>
      <c r="W369" s="1049"/>
      <c r="X369" s="1051">
        <v>4.63</v>
      </c>
      <c r="Y369" s="1049"/>
      <c r="Z369" s="1050">
        <f t="shared" si="158"/>
        <v>7.8783099999999999</v>
      </c>
      <c r="AA369" s="1058" t="s">
        <v>1126</v>
      </c>
      <c r="AB369" s="1086">
        <v>15</v>
      </c>
      <c r="AC369" s="1085">
        <v>16</v>
      </c>
      <c r="AD369" s="1084">
        <v>2.1840000000000002</v>
      </c>
      <c r="AE369" s="1143">
        <f t="shared" si="159"/>
        <v>0.30576000000000003</v>
      </c>
      <c r="AF369" s="1142">
        <v>1.81</v>
      </c>
      <c r="AG369" s="1052">
        <f t="shared" si="160"/>
        <v>0.8287545787545787</v>
      </c>
      <c r="AH369" s="1049"/>
      <c r="AI369" s="1142">
        <v>0.14000000000000001</v>
      </c>
      <c r="AJ369" s="1049"/>
      <c r="AK369" s="1050">
        <f t="shared" si="161"/>
        <v>-1.4414400000000003</v>
      </c>
      <c r="AL369" s="1049"/>
      <c r="AM369" s="1058" t="s">
        <v>1126</v>
      </c>
      <c r="AN369" s="1086">
        <v>15</v>
      </c>
      <c r="AO369" s="1085">
        <v>16</v>
      </c>
      <c r="AP369" s="1084">
        <v>0.34</v>
      </c>
      <c r="AQ369" s="1748">
        <f t="shared" si="162"/>
        <v>0</v>
      </c>
      <c r="AR369" s="1742">
        <v>0.69</v>
      </c>
      <c r="AS369" s="1052">
        <f t="shared" si="163"/>
        <v>2.0294117647058822</v>
      </c>
      <c r="AT369" s="1049"/>
      <c r="AU369" s="1142"/>
      <c r="AV369" s="1049"/>
      <c r="AW369" s="1058" t="s">
        <v>1126</v>
      </c>
      <c r="AX369" s="1086">
        <v>15</v>
      </c>
      <c r="AY369" s="1085">
        <v>16</v>
      </c>
      <c r="AZ369" s="1084">
        <v>0.09</v>
      </c>
      <c r="BA369" s="1736">
        <v>0.15</v>
      </c>
      <c r="BB369" s="1742">
        <f t="shared" si="164"/>
        <v>1.6666666666666667</v>
      </c>
      <c r="BC369" s="1049"/>
      <c r="BD369" s="1142"/>
      <c r="BE369" s="1049"/>
      <c r="BF369" s="1058" t="s">
        <v>1126</v>
      </c>
      <c r="BG369" s="1086">
        <v>15</v>
      </c>
      <c r="BH369" s="1085">
        <v>16</v>
      </c>
      <c r="BI369" s="1874">
        <v>0.44</v>
      </c>
      <c r="BJ369" s="1736"/>
      <c r="BK369" s="1049"/>
      <c r="BL369" s="1058" t="s">
        <v>1126</v>
      </c>
      <c r="BM369" s="1086">
        <v>15</v>
      </c>
      <c r="BN369" s="1085">
        <v>16</v>
      </c>
      <c r="BO369" s="1084"/>
      <c r="BP369" s="1084"/>
      <c r="BQ369" s="1049"/>
    </row>
    <row r="370" spans="1:69" ht="15" thickBot="1">
      <c r="A370" s="1049"/>
      <c r="B370" s="1060"/>
      <c r="C370" s="1077">
        <v>16</v>
      </c>
      <c r="D370" s="1076">
        <v>17</v>
      </c>
      <c r="E370" s="1083">
        <v>0.45</v>
      </c>
      <c r="F370" s="1082">
        <v>1.29</v>
      </c>
      <c r="G370" s="1081">
        <f t="shared" si="154"/>
        <v>2.8666666666666667</v>
      </c>
      <c r="H370" s="1049"/>
      <c r="I370" s="1060"/>
      <c r="J370" s="1077">
        <v>16</v>
      </c>
      <c r="K370" s="1076">
        <v>17</v>
      </c>
      <c r="L370" s="1075">
        <v>0.97099999999999997</v>
      </c>
      <c r="M370" s="1080">
        <v>2.12</v>
      </c>
      <c r="N370" s="1079">
        <f t="shared" si="155"/>
        <v>2.1833161688980436</v>
      </c>
      <c r="O370" s="1049"/>
      <c r="P370" s="1078">
        <f>P356*(X353-0.8)</f>
        <v>143.22085625</v>
      </c>
      <c r="Q370" s="1077">
        <v>16</v>
      </c>
      <c r="R370" s="1076">
        <v>17</v>
      </c>
      <c r="S370" s="1075">
        <v>2.5529999999999999</v>
      </c>
      <c r="T370" s="1054">
        <f t="shared" si="156"/>
        <v>12.177809999999999</v>
      </c>
      <c r="U370" s="1140">
        <v>14.52</v>
      </c>
      <c r="V370" s="1052">
        <f t="shared" si="157"/>
        <v>5.6874265569917748</v>
      </c>
      <c r="W370" s="1049"/>
      <c r="X370" s="1074">
        <v>4.7699999999999996</v>
      </c>
      <c r="Y370" s="1049"/>
      <c r="Z370" s="1050">
        <f t="shared" si="158"/>
        <v>10.135409999999998</v>
      </c>
      <c r="AA370" s="1078">
        <f>AA356*(AI353-0.8)</f>
        <v>-31.357331250000001</v>
      </c>
      <c r="AB370" s="1077">
        <v>16</v>
      </c>
      <c r="AC370" s="1076">
        <v>17</v>
      </c>
      <c r="AD370" s="1075">
        <v>2.3069999999999999</v>
      </c>
      <c r="AE370" s="1141">
        <f t="shared" si="159"/>
        <v>0.59982000000000002</v>
      </c>
      <c r="AF370" s="1140">
        <v>2.19</v>
      </c>
      <c r="AG370" s="1052">
        <f t="shared" si="160"/>
        <v>0.94928478543563066</v>
      </c>
      <c r="AH370" s="1049"/>
      <c r="AI370" s="1140">
        <v>0.26</v>
      </c>
      <c r="AJ370" s="1049"/>
      <c r="AK370" s="1050">
        <f t="shared" si="161"/>
        <v>-1.2457800000000001</v>
      </c>
      <c r="AL370" s="1049"/>
      <c r="AM370" s="1078" t="e">
        <f>AM356*(AU353-0.8)</f>
        <v>#DIV/0!</v>
      </c>
      <c r="AN370" s="1077">
        <v>16</v>
      </c>
      <c r="AO370" s="1076">
        <v>17</v>
      </c>
      <c r="AP370" s="1075">
        <v>1.41</v>
      </c>
      <c r="AQ370" s="1749">
        <f t="shared" si="162"/>
        <v>0</v>
      </c>
      <c r="AR370" s="1743">
        <v>3.06</v>
      </c>
      <c r="AS370" s="1052">
        <f t="shared" si="163"/>
        <v>2.1702127659574471</v>
      </c>
      <c r="AT370" s="1049"/>
      <c r="AU370" s="1140"/>
      <c r="AV370" s="1049"/>
      <c r="AW370" s="1078" t="e">
        <f>AW356*(BD353-0.8)</f>
        <v>#DIV/0!</v>
      </c>
      <c r="AX370" s="1077">
        <v>16</v>
      </c>
      <c r="AY370" s="1076">
        <v>17</v>
      </c>
      <c r="AZ370" s="1075">
        <v>0.33</v>
      </c>
      <c r="BA370" s="1738">
        <v>0.57999999999999996</v>
      </c>
      <c r="BB370" s="1743">
        <f t="shared" si="164"/>
        <v>1.7575757575757573</v>
      </c>
      <c r="BC370" s="1049"/>
      <c r="BD370" s="1140"/>
      <c r="BE370" s="1049"/>
      <c r="BF370" s="1078">
        <f>BF356*(BM353-0.8)</f>
        <v>-6.1840000000000011</v>
      </c>
      <c r="BG370" s="1077">
        <v>16</v>
      </c>
      <c r="BH370" s="1076">
        <v>17</v>
      </c>
      <c r="BI370" s="1874">
        <v>0.38</v>
      </c>
      <c r="BJ370" s="1738"/>
      <c r="BK370" s="1049"/>
      <c r="BL370" s="1078">
        <f>BL356*(BS353-0.8)</f>
        <v>0</v>
      </c>
      <c r="BM370" s="1077">
        <v>16</v>
      </c>
      <c r="BN370" s="1076">
        <v>17</v>
      </c>
      <c r="BO370" s="1075"/>
      <c r="BP370" s="1075"/>
      <c r="BQ370" s="1049"/>
    </row>
    <row r="371" spans="1:69" ht="14.4">
      <c r="A371" s="1049"/>
      <c r="B371" s="1060"/>
      <c r="C371" s="1068">
        <v>17</v>
      </c>
      <c r="D371" s="1067">
        <v>18</v>
      </c>
      <c r="E371" s="1073">
        <v>0.7</v>
      </c>
      <c r="F371" s="1072">
        <v>2.4500000000000002</v>
      </c>
      <c r="G371" s="1071">
        <f t="shared" si="154"/>
        <v>3.5000000000000004</v>
      </c>
      <c r="H371" s="1049"/>
      <c r="I371" s="1060"/>
      <c r="J371" s="1068">
        <v>17</v>
      </c>
      <c r="K371" s="1067">
        <v>18</v>
      </c>
      <c r="L371" s="1066">
        <v>1.19</v>
      </c>
      <c r="M371" s="1070">
        <v>3.79</v>
      </c>
      <c r="N371" s="1069">
        <f t="shared" si="155"/>
        <v>3.1848739495798322</v>
      </c>
      <c r="O371" s="1049"/>
      <c r="P371" s="1058"/>
      <c r="Q371" s="1068">
        <v>17</v>
      </c>
      <c r="R371" s="1067">
        <v>18</v>
      </c>
      <c r="S371" s="1066">
        <v>2.2250000000000001</v>
      </c>
      <c r="T371" s="1054">
        <f t="shared" si="156"/>
        <v>10.924750000000001</v>
      </c>
      <c r="U371" s="1138">
        <v>12.96</v>
      </c>
      <c r="V371" s="1052">
        <f t="shared" si="157"/>
        <v>5.8247191011235957</v>
      </c>
      <c r="W371" s="1049"/>
      <c r="X371" s="1065">
        <v>4.91</v>
      </c>
      <c r="Y371" s="1049"/>
      <c r="Z371" s="1050">
        <f t="shared" si="158"/>
        <v>9.1447500000000019</v>
      </c>
      <c r="AA371" s="1058"/>
      <c r="AB371" s="1068">
        <v>17</v>
      </c>
      <c r="AC371" s="1067">
        <v>18</v>
      </c>
      <c r="AD371" s="1066">
        <v>1.9259999999999999</v>
      </c>
      <c r="AE371" s="1139">
        <f t="shared" si="159"/>
        <v>0.80891999999999997</v>
      </c>
      <c r="AF371" s="1138">
        <v>3.64</v>
      </c>
      <c r="AG371" s="1052">
        <f t="shared" si="160"/>
        <v>1.8899273104880583</v>
      </c>
      <c r="AH371" s="1049"/>
      <c r="AI371" s="1138">
        <v>0.42</v>
      </c>
      <c r="AJ371" s="1049"/>
      <c r="AK371" s="1050">
        <f t="shared" si="161"/>
        <v>-0.73188000000000009</v>
      </c>
      <c r="AL371" s="1049"/>
      <c r="AM371" s="1058"/>
      <c r="AN371" s="1068">
        <v>17</v>
      </c>
      <c r="AO371" s="1067">
        <v>18</v>
      </c>
      <c r="AP371" s="1066">
        <v>1.61</v>
      </c>
      <c r="AQ371" s="1750">
        <f t="shared" si="162"/>
        <v>0</v>
      </c>
      <c r="AR371" s="1744">
        <v>4.96</v>
      </c>
      <c r="AS371" s="1052">
        <f t="shared" si="163"/>
        <v>3.0807453416149064</v>
      </c>
      <c r="AT371" s="1049"/>
      <c r="AU371" s="1138"/>
      <c r="AV371" s="1049"/>
      <c r="AW371" s="1058"/>
      <c r="AX371" s="1068">
        <v>17</v>
      </c>
      <c r="AY371" s="1067">
        <v>18</v>
      </c>
      <c r="AZ371" s="1066">
        <v>0.38</v>
      </c>
      <c r="BA371" s="1740">
        <v>1</v>
      </c>
      <c r="BB371" s="1744">
        <f t="shared" si="164"/>
        <v>2.6315789473684212</v>
      </c>
      <c r="BC371" s="1049"/>
      <c r="BD371" s="1138"/>
      <c r="BE371" s="1049"/>
      <c r="BF371" s="1058"/>
      <c r="BG371" s="1068">
        <v>17</v>
      </c>
      <c r="BH371" s="1067">
        <v>18</v>
      </c>
      <c r="BI371" s="1874">
        <v>0.32</v>
      </c>
      <c r="BJ371" s="1740"/>
      <c r="BK371" s="1049"/>
      <c r="BL371" s="1058"/>
      <c r="BM371" s="1068">
        <v>17</v>
      </c>
      <c r="BN371" s="1067">
        <v>18</v>
      </c>
      <c r="BO371" s="1066"/>
      <c r="BP371" s="1066"/>
      <c r="BQ371" s="1049"/>
    </row>
    <row r="372" spans="1:69" ht="14.4">
      <c r="A372" s="1049"/>
      <c r="B372" s="1060"/>
      <c r="C372" s="1057">
        <v>18</v>
      </c>
      <c r="D372" s="1056">
        <v>19</v>
      </c>
      <c r="E372" s="1063">
        <v>0.35</v>
      </c>
      <c r="F372" s="1062">
        <v>1.23</v>
      </c>
      <c r="G372" s="1061">
        <f t="shared" si="154"/>
        <v>3.5142857142857147</v>
      </c>
      <c r="H372" s="1049"/>
      <c r="I372" s="1060"/>
      <c r="J372" s="1057">
        <v>18</v>
      </c>
      <c r="K372" s="1056">
        <v>19</v>
      </c>
      <c r="L372" s="1055">
        <v>0.93600000000000005</v>
      </c>
      <c r="M372" s="1059">
        <v>2.6</v>
      </c>
      <c r="N372" s="1052">
        <f t="shared" si="155"/>
        <v>2.7777777777777777</v>
      </c>
      <c r="O372" s="1049"/>
      <c r="P372" s="1058"/>
      <c r="Q372" s="1057">
        <v>18</v>
      </c>
      <c r="R372" s="1056">
        <v>19</v>
      </c>
      <c r="S372" s="1055">
        <v>1.8839999999999999</v>
      </c>
      <c r="T372" s="1054">
        <f t="shared" si="156"/>
        <v>9.2504399999999993</v>
      </c>
      <c r="U372" s="1136">
        <v>10.97</v>
      </c>
      <c r="V372" s="1052">
        <f t="shared" si="157"/>
        <v>5.8227176220806802</v>
      </c>
      <c r="W372" s="1049"/>
      <c r="X372" s="1051">
        <v>4.91</v>
      </c>
      <c r="Y372" s="1049"/>
      <c r="Z372" s="1050">
        <f t="shared" si="158"/>
        <v>7.7432400000000001</v>
      </c>
      <c r="AA372" s="1058"/>
      <c r="AB372" s="1057">
        <v>18</v>
      </c>
      <c r="AC372" s="1056">
        <v>19</v>
      </c>
      <c r="AD372" s="1055">
        <v>2.133</v>
      </c>
      <c r="AE372" s="1137">
        <f t="shared" si="159"/>
        <v>0.81054000000000004</v>
      </c>
      <c r="AF372" s="1136">
        <v>3.95</v>
      </c>
      <c r="AG372" s="1052">
        <f t="shared" si="160"/>
        <v>1.8518518518518519</v>
      </c>
      <c r="AH372" s="1049"/>
      <c r="AI372" s="1136">
        <v>0.38</v>
      </c>
      <c r="AJ372" s="1049"/>
      <c r="AK372" s="1050">
        <f t="shared" si="161"/>
        <v>-0.8958600000000001</v>
      </c>
      <c r="AL372" s="1049"/>
      <c r="AM372" s="1058"/>
      <c r="AN372" s="1057">
        <v>18</v>
      </c>
      <c r="AO372" s="1056">
        <v>19</v>
      </c>
      <c r="AP372" s="1055">
        <v>0.48</v>
      </c>
      <c r="AQ372" s="1745">
        <f t="shared" si="162"/>
        <v>0</v>
      </c>
      <c r="AR372" s="1737">
        <v>1.54</v>
      </c>
      <c r="AS372" s="1052">
        <f t="shared" si="163"/>
        <v>3.2083333333333335</v>
      </c>
      <c r="AT372" s="1049"/>
      <c r="AU372" s="1136"/>
      <c r="AV372" s="1049"/>
      <c r="AW372" s="1058"/>
      <c r="AX372" s="1057">
        <v>18</v>
      </c>
      <c r="AY372" s="1056">
        <v>19</v>
      </c>
      <c r="AZ372" s="1055">
        <v>0.32</v>
      </c>
      <c r="BA372" s="1736">
        <v>0.85</v>
      </c>
      <c r="BB372" s="1737">
        <f t="shared" si="164"/>
        <v>2.65625</v>
      </c>
      <c r="BC372" s="1049"/>
      <c r="BD372" s="1136"/>
      <c r="BE372" s="1049"/>
      <c r="BF372" s="1058"/>
      <c r="BG372" s="1057">
        <v>18</v>
      </c>
      <c r="BH372" s="1056">
        <v>19</v>
      </c>
      <c r="BI372" s="1874">
        <v>1.41</v>
      </c>
      <c r="BJ372" s="1736"/>
      <c r="BK372" s="1049"/>
      <c r="BL372" s="1058"/>
      <c r="BM372" s="1057">
        <v>18</v>
      </c>
      <c r="BN372" s="1056">
        <v>19</v>
      </c>
      <c r="BO372" s="1055"/>
      <c r="BP372" s="1055"/>
      <c r="BQ372" s="1049"/>
    </row>
    <row r="373" spans="1:69" ht="14.4">
      <c r="A373" s="1049"/>
      <c r="B373" s="1060"/>
      <c r="C373" s="1057">
        <v>19</v>
      </c>
      <c r="D373" s="1056">
        <v>20</v>
      </c>
      <c r="E373" s="1063">
        <v>0.4</v>
      </c>
      <c r="F373" s="1062">
        <v>1.38</v>
      </c>
      <c r="G373" s="1061">
        <f t="shared" si="154"/>
        <v>3.4499999999999997</v>
      </c>
      <c r="H373" s="1049"/>
      <c r="I373" s="1060"/>
      <c r="J373" s="1057">
        <v>19</v>
      </c>
      <c r="K373" s="1056">
        <v>20</v>
      </c>
      <c r="L373" s="1055">
        <v>1.4039999999999999</v>
      </c>
      <c r="M373" s="1059">
        <v>3.72</v>
      </c>
      <c r="N373" s="1052">
        <f t="shared" si="155"/>
        <v>2.6495726495726499</v>
      </c>
      <c r="O373" s="1049"/>
      <c r="P373" s="1058"/>
      <c r="Q373" s="1057">
        <v>19</v>
      </c>
      <c r="R373" s="1056">
        <v>20</v>
      </c>
      <c r="S373" s="1055">
        <v>2.4239999999999999</v>
      </c>
      <c r="T373" s="1054">
        <f t="shared" si="156"/>
        <v>11.562479999999999</v>
      </c>
      <c r="U373" s="1136">
        <v>13.8</v>
      </c>
      <c r="V373" s="1052">
        <f t="shared" si="157"/>
        <v>5.6930693069306937</v>
      </c>
      <c r="W373" s="1049"/>
      <c r="X373" s="1051">
        <v>4.7699999999999996</v>
      </c>
      <c r="Y373" s="1049"/>
      <c r="Z373" s="1050">
        <f t="shared" si="158"/>
        <v>9.6232799999999994</v>
      </c>
      <c r="AA373" s="1058"/>
      <c r="AB373" s="1057">
        <v>19</v>
      </c>
      <c r="AC373" s="1056">
        <v>20</v>
      </c>
      <c r="AD373" s="1055">
        <v>2.6059999999999999</v>
      </c>
      <c r="AE373" s="1137">
        <f t="shared" si="159"/>
        <v>0.96421999999999997</v>
      </c>
      <c r="AF373" s="1136">
        <v>4.79</v>
      </c>
      <c r="AG373" s="1052">
        <f t="shared" si="160"/>
        <v>1.8380660015349195</v>
      </c>
      <c r="AH373" s="1049"/>
      <c r="AI373" s="1136">
        <v>0.37</v>
      </c>
      <c r="AJ373" s="1049"/>
      <c r="AK373" s="1050">
        <f t="shared" si="161"/>
        <v>-1.1205800000000001</v>
      </c>
      <c r="AL373" s="1049"/>
      <c r="AM373" s="1058"/>
      <c r="AN373" s="1057">
        <v>19</v>
      </c>
      <c r="AO373" s="1056">
        <v>20</v>
      </c>
      <c r="AP373" s="1055">
        <v>0.37</v>
      </c>
      <c r="AQ373" s="1745">
        <f t="shared" si="162"/>
        <v>0</v>
      </c>
      <c r="AR373" s="1737">
        <v>1.1399999999999999</v>
      </c>
      <c r="AS373" s="1052">
        <f t="shared" si="163"/>
        <v>3.0810810810810807</v>
      </c>
      <c r="AT373" s="1049"/>
      <c r="AU373" s="1136"/>
      <c r="AV373" s="1049"/>
      <c r="AW373" s="1058"/>
      <c r="AX373" s="1057">
        <v>19</v>
      </c>
      <c r="AY373" s="1056">
        <v>20</v>
      </c>
      <c r="AZ373" s="1055">
        <v>0.26</v>
      </c>
      <c r="BA373" s="1736">
        <v>0.69</v>
      </c>
      <c r="BB373" s="1737">
        <f t="shared" si="164"/>
        <v>2.6538461538461537</v>
      </c>
      <c r="BC373" s="1049"/>
      <c r="BD373" s="1136"/>
      <c r="BE373" s="1049"/>
      <c r="BF373" s="1058"/>
      <c r="BG373" s="1057">
        <v>19</v>
      </c>
      <c r="BH373" s="1056">
        <v>20</v>
      </c>
      <c r="BI373" s="1874">
        <v>0.31</v>
      </c>
      <c r="BJ373" s="1736"/>
      <c r="BK373" s="1049"/>
      <c r="BL373" s="1058"/>
      <c r="BM373" s="1057">
        <v>19</v>
      </c>
      <c r="BN373" s="1056">
        <v>20</v>
      </c>
      <c r="BO373" s="1055"/>
      <c r="BP373" s="1055"/>
      <c r="BQ373" s="1049"/>
    </row>
    <row r="374" spans="1:69" ht="14.4">
      <c r="A374" s="1049"/>
      <c r="B374" s="1060"/>
      <c r="C374" s="1057">
        <v>20</v>
      </c>
      <c r="D374" s="1056">
        <v>21</v>
      </c>
      <c r="E374" s="1063">
        <v>0.46</v>
      </c>
      <c r="F374" s="1062">
        <v>1.33</v>
      </c>
      <c r="G374" s="1061">
        <f t="shared" si="154"/>
        <v>2.8913043478260869</v>
      </c>
      <c r="H374" s="1049"/>
      <c r="I374" s="1060"/>
      <c r="J374" s="1057">
        <v>20</v>
      </c>
      <c r="K374" s="1056">
        <v>21</v>
      </c>
      <c r="L374" s="1055">
        <v>1.5409999999999999</v>
      </c>
      <c r="M374" s="1059">
        <v>2.89</v>
      </c>
      <c r="N374" s="1052">
        <f t="shared" si="155"/>
        <v>1.8754055807916938</v>
      </c>
      <c r="O374" s="1049"/>
      <c r="P374" s="1058"/>
      <c r="Q374" s="1057">
        <v>20</v>
      </c>
      <c r="R374" s="1056">
        <v>21</v>
      </c>
      <c r="S374" s="1055">
        <v>2.5960000000000001</v>
      </c>
      <c r="T374" s="1054">
        <f t="shared" si="156"/>
        <v>11.266640000000001</v>
      </c>
      <c r="U374" s="1136">
        <v>13.67</v>
      </c>
      <c r="V374" s="1052">
        <f t="shared" si="157"/>
        <v>5.2657935285053927</v>
      </c>
      <c r="W374" s="1049"/>
      <c r="X374" s="1051">
        <v>4.34</v>
      </c>
      <c r="Y374" s="1049"/>
      <c r="Z374" s="1050">
        <f t="shared" si="158"/>
        <v>9.1898400000000002</v>
      </c>
      <c r="AA374" s="1058"/>
      <c r="AB374" s="1057">
        <v>20</v>
      </c>
      <c r="AC374" s="1056">
        <v>21</v>
      </c>
      <c r="AD374" s="1055">
        <v>3.0249999999999999</v>
      </c>
      <c r="AE374" s="1137">
        <f t="shared" si="159"/>
        <v>0.75624999999999998</v>
      </c>
      <c r="AF374" s="1136">
        <v>2.83</v>
      </c>
      <c r="AG374" s="1052">
        <f t="shared" si="160"/>
        <v>0.93553719008264469</v>
      </c>
      <c r="AH374" s="1049"/>
      <c r="AI374" s="1136">
        <v>0.25</v>
      </c>
      <c r="AJ374" s="1049"/>
      <c r="AK374" s="1050">
        <f t="shared" si="161"/>
        <v>-1.6637500000000001</v>
      </c>
      <c r="AL374" s="1049"/>
      <c r="AM374" s="1058"/>
      <c r="AN374" s="1057">
        <v>20</v>
      </c>
      <c r="AO374" s="1056">
        <v>21</v>
      </c>
      <c r="AP374" s="1055">
        <v>0.36</v>
      </c>
      <c r="AQ374" s="1745">
        <f t="shared" si="162"/>
        <v>0</v>
      </c>
      <c r="AR374" s="1737">
        <v>0.7</v>
      </c>
      <c r="AS374" s="1052">
        <f t="shared" si="163"/>
        <v>1.9444444444444444</v>
      </c>
      <c r="AT374" s="1049"/>
      <c r="AU374" s="1136"/>
      <c r="AV374" s="1049"/>
      <c r="AW374" s="1058"/>
      <c r="AX374" s="1057">
        <v>20</v>
      </c>
      <c r="AY374" s="1056">
        <v>21</v>
      </c>
      <c r="AZ374" s="1055">
        <v>0.31</v>
      </c>
      <c r="BA374" s="1736">
        <v>0.56999999999999995</v>
      </c>
      <c r="BB374" s="1737">
        <f t="shared" si="164"/>
        <v>1.8387096774193548</v>
      </c>
      <c r="BC374" s="1049"/>
      <c r="BD374" s="1136"/>
      <c r="BE374" s="1049"/>
      <c r="BF374" s="1058"/>
      <c r="BG374" s="1057">
        <v>20</v>
      </c>
      <c r="BH374" s="1056">
        <v>21</v>
      </c>
      <c r="BI374" s="1874">
        <v>0.33</v>
      </c>
      <c r="BJ374" s="1736"/>
      <c r="BK374" s="1049"/>
      <c r="BL374" s="1058"/>
      <c r="BM374" s="1057">
        <v>20</v>
      </c>
      <c r="BN374" s="1056">
        <v>21</v>
      </c>
      <c r="BO374" s="1055"/>
      <c r="BP374" s="1055"/>
      <c r="BQ374" s="1049"/>
    </row>
    <row r="375" spans="1:69" ht="14.4">
      <c r="A375" s="1049"/>
      <c r="B375" s="1060"/>
      <c r="C375" s="1057">
        <v>21</v>
      </c>
      <c r="D375" s="1056">
        <v>22</v>
      </c>
      <c r="E375" s="1063">
        <v>0.44</v>
      </c>
      <c r="F375" s="1062">
        <v>1.27</v>
      </c>
      <c r="G375" s="1061">
        <f t="shared" si="154"/>
        <v>2.8863636363636362</v>
      </c>
      <c r="H375" s="1049"/>
      <c r="I375" s="1060"/>
      <c r="J375" s="1057">
        <v>21</v>
      </c>
      <c r="K375" s="1056">
        <v>22</v>
      </c>
      <c r="L375" s="1055">
        <v>1.506</v>
      </c>
      <c r="M375" s="1059">
        <v>2.76</v>
      </c>
      <c r="N375" s="1052">
        <f t="shared" si="155"/>
        <v>1.8326693227091633</v>
      </c>
      <c r="O375" s="1049"/>
      <c r="P375" s="1058"/>
      <c r="Q375" s="1057">
        <v>21</v>
      </c>
      <c r="R375" s="1056">
        <v>22</v>
      </c>
      <c r="S375" s="1055">
        <v>2.5339999999999998</v>
      </c>
      <c r="T375" s="1054">
        <f t="shared" si="156"/>
        <v>9.3251200000000001</v>
      </c>
      <c r="U375" s="1136">
        <v>11.65</v>
      </c>
      <c r="V375" s="1052">
        <f t="shared" si="157"/>
        <v>4.5974743488555649</v>
      </c>
      <c r="W375" s="1049"/>
      <c r="X375" s="1051">
        <v>3.68</v>
      </c>
      <c r="Y375" s="1049"/>
      <c r="Z375" s="1050">
        <f t="shared" si="158"/>
        <v>7.2979199999999995</v>
      </c>
      <c r="AA375" s="1058"/>
      <c r="AB375" s="1057">
        <v>21</v>
      </c>
      <c r="AC375" s="1056">
        <v>22</v>
      </c>
      <c r="AD375" s="1055">
        <v>2.988</v>
      </c>
      <c r="AE375" s="1137">
        <f t="shared" si="159"/>
        <v>0.95616000000000001</v>
      </c>
      <c r="AF375" s="1136">
        <v>3</v>
      </c>
      <c r="AG375" s="1052">
        <f t="shared" si="160"/>
        <v>1.0040160642570282</v>
      </c>
      <c r="AH375" s="1049"/>
      <c r="AI375" s="1136">
        <v>0.32</v>
      </c>
      <c r="AJ375" s="1049"/>
      <c r="AK375" s="1050">
        <f t="shared" si="161"/>
        <v>-1.4342400000000002</v>
      </c>
      <c r="AL375" s="1049"/>
      <c r="AM375" s="1058"/>
      <c r="AN375" s="1057">
        <v>21</v>
      </c>
      <c r="AO375" s="1056">
        <v>22</v>
      </c>
      <c r="AP375" s="1055">
        <v>0.32</v>
      </c>
      <c r="AQ375" s="1745">
        <f t="shared" si="162"/>
        <v>0</v>
      </c>
      <c r="AR375" s="1737">
        <v>0.6</v>
      </c>
      <c r="AS375" s="1052">
        <f t="shared" si="163"/>
        <v>1.875</v>
      </c>
      <c r="AT375" s="1049"/>
      <c r="AU375" s="1136"/>
      <c r="AV375" s="1049"/>
      <c r="AW375" s="1058"/>
      <c r="AX375" s="1057">
        <v>21</v>
      </c>
      <c r="AY375" s="1056">
        <v>22</v>
      </c>
      <c r="AZ375" s="1055">
        <v>0.26</v>
      </c>
      <c r="BA375" s="1736">
        <v>0.48</v>
      </c>
      <c r="BB375" s="1737">
        <f t="shared" si="164"/>
        <v>1.846153846153846</v>
      </c>
      <c r="BC375" s="1049"/>
      <c r="BD375" s="1136"/>
      <c r="BE375" s="1049"/>
      <c r="BF375" s="1058"/>
      <c r="BG375" s="1057">
        <v>21</v>
      </c>
      <c r="BH375" s="1056">
        <v>22</v>
      </c>
      <c r="BI375" s="1874">
        <v>0.24</v>
      </c>
      <c r="BJ375" s="1736"/>
      <c r="BK375" s="1049"/>
      <c r="BL375" s="1058"/>
      <c r="BM375" s="1057">
        <v>21</v>
      </c>
      <c r="BN375" s="1056">
        <v>22</v>
      </c>
      <c r="BO375" s="1055"/>
      <c r="BP375" s="1055"/>
      <c r="BQ375" s="1049"/>
    </row>
    <row r="376" spans="1:69" ht="14.4">
      <c r="A376" s="1049"/>
      <c r="B376" s="1060"/>
      <c r="C376" s="1057">
        <v>22</v>
      </c>
      <c r="D376" s="1056">
        <v>23</v>
      </c>
      <c r="E376" s="1063">
        <v>0.42</v>
      </c>
      <c r="F376" s="1062">
        <v>1.22</v>
      </c>
      <c r="G376" s="1061">
        <f t="shared" si="154"/>
        <v>2.9047619047619047</v>
      </c>
      <c r="H376" s="1049"/>
      <c r="I376" s="1060"/>
      <c r="J376" s="1057">
        <v>22</v>
      </c>
      <c r="K376" s="1056">
        <v>23</v>
      </c>
      <c r="L376" s="1055">
        <v>1.5649999999999999</v>
      </c>
      <c r="M376" s="1059">
        <v>2.86</v>
      </c>
      <c r="N376" s="1052">
        <f t="shared" si="155"/>
        <v>1.8274760383386581</v>
      </c>
      <c r="O376" s="1049"/>
      <c r="P376" s="1058"/>
      <c r="Q376" s="1057">
        <v>22</v>
      </c>
      <c r="R376" s="1056">
        <v>23</v>
      </c>
      <c r="S376" s="1055">
        <v>2.165</v>
      </c>
      <c r="T376" s="1054">
        <f t="shared" si="156"/>
        <v>7.3177000000000003</v>
      </c>
      <c r="U376" s="1136">
        <v>9.32</v>
      </c>
      <c r="V376" s="1052">
        <f t="shared" si="157"/>
        <v>4.3048498845265586</v>
      </c>
      <c r="W376" s="1049"/>
      <c r="X376" s="1051">
        <v>3.38</v>
      </c>
      <c r="Y376" s="1049"/>
      <c r="Z376" s="1050">
        <f t="shared" si="158"/>
        <v>5.5857000000000001</v>
      </c>
      <c r="AA376" s="1058"/>
      <c r="AB376" s="1057">
        <v>22</v>
      </c>
      <c r="AC376" s="1056">
        <v>23</v>
      </c>
      <c r="AD376" s="1055">
        <v>3.0720000000000001</v>
      </c>
      <c r="AE376" s="1137">
        <f t="shared" si="159"/>
        <v>1.3209599999999999</v>
      </c>
      <c r="AF376" s="1136">
        <v>3.44</v>
      </c>
      <c r="AG376" s="1052">
        <f t="shared" si="160"/>
        <v>1.1197916666666665</v>
      </c>
      <c r="AH376" s="1049"/>
      <c r="AI376" s="1136">
        <v>0.43</v>
      </c>
      <c r="AJ376" s="1049"/>
      <c r="AK376" s="1050">
        <f t="shared" si="161"/>
        <v>-1.1366400000000001</v>
      </c>
      <c r="AL376" s="1049"/>
      <c r="AM376" s="1058"/>
      <c r="AN376" s="1057">
        <v>22</v>
      </c>
      <c r="AO376" s="1056">
        <v>23</v>
      </c>
      <c r="AP376" s="1055">
        <v>0.28000000000000003</v>
      </c>
      <c r="AQ376" s="1745">
        <f t="shared" si="162"/>
        <v>0</v>
      </c>
      <c r="AR376" s="1737">
        <v>0.52</v>
      </c>
      <c r="AS376" s="1052">
        <f t="shared" si="163"/>
        <v>1.857142857142857</v>
      </c>
      <c r="AT376" s="1049"/>
      <c r="AU376" s="1136"/>
      <c r="AV376" s="1049"/>
      <c r="AW376" s="1058"/>
      <c r="AX376" s="1057">
        <v>22</v>
      </c>
      <c r="AY376" s="1056">
        <v>23</v>
      </c>
      <c r="AZ376" s="1055">
        <v>0.22</v>
      </c>
      <c r="BA376" s="1736">
        <v>0.41</v>
      </c>
      <c r="BB376" s="1737">
        <f t="shared" si="164"/>
        <v>1.8636363636363635</v>
      </c>
      <c r="BC376" s="1049"/>
      <c r="BD376" s="1136"/>
      <c r="BE376" s="1049"/>
      <c r="BF376" s="1058"/>
      <c r="BG376" s="1057">
        <v>22</v>
      </c>
      <c r="BH376" s="1056">
        <v>23</v>
      </c>
      <c r="BI376" s="1874">
        <v>0.17</v>
      </c>
      <c r="BJ376" s="1736"/>
      <c r="BK376" s="1049"/>
      <c r="BL376" s="1058"/>
      <c r="BM376" s="1057">
        <v>22</v>
      </c>
      <c r="BN376" s="1056">
        <v>23</v>
      </c>
      <c r="BO376" s="1055"/>
      <c r="BP376" s="1055"/>
      <c r="BQ376" s="1049"/>
    </row>
    <row r="377" spans="1:69" ht="14.4">
      <c r="A377" s="1049"/>
      <c r="B377" s="1060"/>
      <c r="C377" s="1057">
        <v>23</v>
      </c>
      <c r="D377" s="1056">
        <v>24</v>
      </c>
      <c r="E377" s="1063">
        <v>0.32</v>
      </c>
      <c r="F377" s="1062">
        <v>0.92</v>
      </c>
      <c r="G377" s="1061">
        <f t="shared" si="154"/>
        <v>2.875</v>
      </c>
      <c r="H377" s="1049"/>
      <c r="I377" s="1060"/>
      <c r="J377" s="1057">
        <v>23</v>
      </c>
      <c r="K377" s="1056">
        <v>24</v>
      </c>
      <c r="L377" s="1055">
        <v>1.617</v>
      </c>
      <c r="M377" s="1059">
        <v>2.92</v>
      </c>
      <c r="N377" s="1052">
        <f t="shared" si="155"/>
        <v>1.8058132343846629</v>
      </c>
      <c r="O377" s="1049"/>
      <c r="P377" s="1058"/>
      <c r="Q377" s="1057">
        <v>23</v>
      </c>
      <c r="R377" s="1056">
        <v>24</v>
      </c>
      <c r="S377" s="1055">
        <v>2.504</v>
      </c>
      <c r="T377" s="1054">
        <f t="shared" si="156"/>
        <v>7.7874400000000001</v>
      </c>
      <c r="U377" s="1136">
        <v>10.07</v>
      </c>
      <c r="V377" s="1052">
        <f t="shared" si="157"/>
        <v>4.0215654952076676</v>
      </c>
      <c r="W377" s="1049"/>
      <c r="X377" s="1051">
        <v>3.11</v>
      </c>
      <c r="Y377" s="1049"/>
      <c r="Z377" s="1050">
        <f t="shared" si="158"/>
        <v>5.7842399999999987</v>
      </c>
      <c r="AA377" s="1058"/>
      <c r="AB377" s="1057">
        <v>23</v>
      </c>
      <c r="AC377" s="1056">
        <v>24</v>
      </c>
      <c r="AD377" s="1055">
        <v>3.008</v>
      </c>
      <c r="AE377" s="1137">
        <f t="shared" si="159"/>
        <v>0.72192000000000001</v>
      </c>
      <c r="AF377" s="1136">
        <v>3.52</v>
      </c>
      <c r="AG377" s="1052">
        <f t="shared" si="160"/>
        <v>1.1702127659574468</v>
      </c>
      <c r="AH377" s="1049"/>
      <c r="AI377" s="1136">
        <v>0.24</v>
      </c>
      <c r="AJ377" s="1049"/>
      <c r="AK377" s="1050">
        <f t="shared" si="161"/>
        <v>-1.6844800000000002</v>
      </c>
      <c r="AL377" s="1049"/>
      <c r="AM377" s="1058"/>
      <c r="AN377" s="1057">
        <v>23</v>
      </c>
      <c r="AO377" s="1056">
        <v>24</v>
      </c>
      <c r="AP377" s="1055">
        <v>0.13</v>
      </c>
      <c r="AQ377" s="1745">
        <f t="shared" si="162"/>
        <v>0</v>
      </c>
      <c r="AR377" s="1737">
        <v>0.22</v>
      </c>
      <c r="AS377" s="1052">
        <f t="shared" si="163"/>
        <v>1.6923076923076923</v>
      </c>
      <c r="AT377" s="1049"/>
      <c r="AU377" s="1136"/>
      <c r="AV377" s="1049"/>
      <c r="AW377" s="1058"/>
      <c r="AX377" s="1057">
        <v>23</v>
      </c>
      <c r="AY377" s="1056">
        <v>24</v>
      </c>
      <c r="AZ377" s="1055">
        <v>0.09</v>
      </c>
      <c r="BA377" s="1736">
        <v>0.17</v>
      </c>
      <c r="BB377" s="1737">
        <f t="shared" si="164"/>
        <v>1.8888888888888891</v>
      </c>
      <c r="BC377" s="1049"/>
      <c r="BD377" s="1136"/>
      <c r="BE377" s="1049"/>
      <c r="BF377" s="1058"/>
      <c r="BG377" s="1057">
        <v>23</v>
      </c>
      <c r="BH377" s="1056">
        <v>24</v>
      </c>
      <c r="BI377" s="1874">
        <v>0.15</v>
      </c>
      <c r="BJ377" s="1736"/>
      <c r="BK377" s="1049"/>
      <c r="BL377" s="1058"/>
      <c r="BM377" s="1057">
        <v>23</v>
      </c>
      <c r="BN377" s="1056">
        <v>24</v>
      </c>
      <c r="BO377" s="1055"/>
      <c r="BP377" s="1055"/>
      <c r="BQ377" s="1049"/>
    </row>
    <row r="378" spans="1:69" ht="14.4">
      <c r="A378" s="1036"/>
      <c r="B378" s="1044"/>
      <c r="C378" s="1135"/>
      <c r="D378" s="1135"/>
      <c r="E378" s="1134"/>
      <c r="F378" s="1133"/>
      <c r="G378" s="1132"/>
      <c r="H378" s="1044"/>
      <c r="I378" s="1044" t="s">
        <v>1131</v>
      </c>
      <c r="J378" s="1046"/>
      <c r="K378" s="1046"/>
      <c r="L378" s="1129">
        <f>AVERAGE(L379:L402)</f>
        <v>1.7363749999999996</v>
      </c>
      <c r="M378" s="1131">
        <f>AVERAGE(M379:M402)</f>
        <v>3.4683333333333324</v>
      </c>
      <c r="N378" s="1039">
        <f>AVERAGE(N379:N402)</f>
        <v>1.9994894140457318</v>
      </c>
      <c r="O378" s="1044"/>
      <c r="P378" s="1130" t="s">
        <v>1130</v>
      </c>
      <c r="Q378" s="1046"/>
      <c r="R378" s="1046"/>
      <c r="S378" s="1129">
        <f>AVERAGE(S379:S402)</f>
        <v>2.891833333333333</v>
      </c>
      <c r="T378" s="1128">
        <f>SUM(T379:T402)</f>
        <v>293.74944000000011</v>
      </c>
      <c r="U378" s="1040">
        <f>AVERAGE(U379:U402)</f>
        <v>15.218333333333332</v>
      </c>
      <c r="V378" s="1039">
        <f>AVERAGE(V379:V402)</f>
        <v>4.9935029063802832</v>
      </c>
      <c r="W378" s="1036"/>
      <c r="X378" s="1038">
        <f>AVERAGE(X387:X402)</f>
        <v>4.3956249999999999</v>
      </c>
      <c r="Y378" s="1036"/>
      <c r="Z378" s="1127">
        <f>SUM(Z379:Z402)</f>
        <v>238.22624000000002</v>
      </c>
      <c r="AA378" s="1130"/>
      <c r="AB378" s="1046"/>
      <c r="AC378" s="1046"/>
      <c r="AD378" s="1129">
        <f>AVERAGE(AD379:AD402)</f>
        <v>2.7645833333333329</v>
      </c>
      <c r="AE378" s="1128">
        <f>SUM(AE379:AE402)</f>
        <v>91.546399999999991</v>
      </c>
      <c r="AF378" s="1040">
        <f>AVERAGE(AF379:AF402)</f>
        <v>5.9466666666666654</v>
      </c>
      <c r="AG378" s="1039">
        <f>AVERAGE(AG379:AG402)</f>
        <v>2.1160735274946973</v>
      </c>
      <c r="AH378" s="1036"/>
      <c r="AI378" s="1038">
        <f>AVERAGE(AI387:AI402)</f>
        <v>1.5218749999999999</v>
      </c>
      <c r="AJ378" s="1036"/>
      <c r="AK378" s="1127">
        <f>SUM(AK379:AK402)</f>
        <v>38.466399999999993</v>
      </c>
      <c r="AL378" s="1036"/>
      <c r="AM378" s="1130"/>
      <c r="AN378" s="1046"/>
      <c r="AO378" s="1046"/>
      <c r="AP378" s="1129">
        <f>AVERAGE(AP379:AP402)</f>
        <v>0.25916666666666666</v>
      </c>
      <c r="AQ378" s="1734">
        <f>SUM(AQ379:AQ402)</f>
        <v>0</v>
      </c>
      <c r="AR378" s="1735">
        <f>AVERAGE(AR379:AR402)</f>
        <v>0.59583333333333321</v>
      </c>
      <c r="AS378" s="1039">
        <f>AVERAGE(AS379:AS402)</f>
        <v>2.1381399177429761</v>
      </c>
      <c r="AT378" s="1036"/>
      <c r="AU378" s="1038" t="e">
        <f>AVERAGE(AU387:AU402)</f>
        <v>#DIV/0!</v>
      </c>
      <c r="AV378" s="1036"/>
      <c r="AW378" s="1130" t="s">
        <v>1136</v>
      </c>
      <c r="AX378" s="1046"/>
      <c r="AY378" s="1046"/>
      <c r="AZ378" s="1129">
        <f>AVERAGE(AZ379:AZ402)</f>
        <v>0.34</v>
      </c>
      <c r="BA378" s="1045">
        <f>AVERAGE(BA379:BA402)</f>
        <v>0.65208333333333335</v>
      </c>
      <c r="BB378" s="1039">
        <f>AVERAGE(BB379:BB402)</f>
        <v>1.8635364814002005</v>
      </c>
      <c r="BC378" s="1036"/>
      <c r="BD378" s="1038" t="e">
        <f>AVERAGE(BD387:BD402)</f>
        <v>#DIV/0!</v>
      </c>
      <c r="BE378" s="1036"/>
      <c r="BF378" s="1130" t="s">
        <v>1136</v>
      </c>
      <c r="BG378" s="2756">
        <f>BF379</f>
        <v>45032</v>
      </c>
      <c r="BH378" s="2756"/>
      <c r="BI378" s="1897">
        <f>SUM(BI379:BI402)</f>
        <v>8.76</v>
      </c>
      <c r="BJ378" s="1898">
        <f>SUM(BJ379:BJ402)</f>
        <v>0</v>
      </c>
      <c r="BK378" s="1036"/>
      <c r="BL378" s="1130" t="s">
        <v>1136</v>
      </c>
      <c r="BM378" s="1046"/>
      <c r="BN378" s="1046"/>
      <c r="BO378" s="1129" t="e">
        <f>AVERAGE(BO379:BO402)</f>
        <v>#DIV/0!</v>
      </c>
      <c r="BP378" s="1129" t="e">
        <f>AVERAGE(BP379:BP402)</f>
        <v>#DIV/0!</v>
      </c>
      <c r="BQ378" s="1036"/>
    </row>
    <row r="379" spans="1:69" ht="14.4">
      <c r="A379" s="1049"/>
      <c r="B379" s="1126">
        <v>44850</v>
      </c>
      <c r="C379" s="1057">
        <v>0</v>
      </c>
      <c r="D379" s="1056">
        <v>1</v>
      </c>
      <c r="E379" s="1063">
        <v>0.65</v>
      </c>
      <c r="F379" s="1062">
        <v>1.88</v>
      </c>
      <c r="G379" s="1061">
        <f t="shared" ref="G379:G402" si="165">F379/E379</f>
        <v>2.8923076923076922</v>
      </c>
      <c r="H379" s="1049"/>
      <c r="I379" s="1126">
        <v>44881</v>
      </c>
      <c r="J379" s="1057">
        <v>0</v>
      </c>
      <c r="K379" s="1056">
        <v>1</v>
      </c>
      <c r="L379" s="1055">
        <v>1.5609999999999999</v>
      </c>
      <c r="M379" s="1059">
        <v>2.87</v>
      </c>
      <c r="N379" s="1052">
        <f t="shared" ref="N379:N402" si="166">M379/L379</f>
        <v>1.8385650224215249</v>
      </c>
      <c r="O379" s="1049"/>
      <c r="P379" s="1125">
        <v>44911</v>
      </c>
      <c r="Q379" s="1057">
        <v>0</v>
      </c>
      <c r="R379" s="1056">
        <v>1</v>
      </c>
      <c r="S379" s="1055">
        <v>1.3520000000000001</v>
      </c>
      <c r="T379" s="1054">
        <f t="shared" ref="T379:T402" si="167">S379*X379</f>
        <v>4.0695199999999998</v>
      </c>
      <c r="U379" s="1136">
        <v>5.31</v>
      </c>
      <c r="V379" s="1052">
        <f t="shared" ref="V379:V402" si="168">U379/S379</f>
        <v>3.9275147928994079</v>
      </c>
      <c r="W379" s="1049"/>
      <c r="X379" s="1051">
        <v>3.01</v>
      </c>
      <c r="Y379" s="1049"/>
      <c r="Z379" s="1050">
        <f t="shared" ref="Z379:Z402" si="169">S379*(X379-0.8)</f>
        <v>2.9879200000000004</v>
      </c>
      <c r="AA379" s="1125">
        <v>44942</v>
      </c>
      <c r="AB379" s="1057">
        <v>0</v>
      </c>
      <c r="AC379" s="1056">
        <v>1</v>
      </c>
      <c r="AD379" s="1055">
        <v>1.98</v>
      </c>
      <c r="AE379" s="1137">
        <f t="shared" ref="AE379:AE402" si="170">AD379*AI379</f>
        <v>1.3661999999999999</v>
      </c>
      <c r="AF379" s="1136">
        <v>2.73</v>
      </c>
      <c r="AG379" s="1052">
        <f t="shared" ref="AG379:AG402" si="171">AF379/AD379</f>
        <v>1.3787878787878789</v>
      </c>
      <c r="AH379" s="1049"/>
      <c r="AI379" s="1136">
        <v>0.69</v>
      </c>
      <c r="AJ379" s="1049"/>
      <c r="AK379" s="1050">
        <f t="shared" ref="AK379:AK402" si="172">AD379*(AI379-0.8)</f>
        <v>-0.21780000000000019</v>
      </c>
      <c r="AL379" s="1049"/>
      <c r="AM379" s="1125">
        <v>44973</v>
      </c>
      <c r="AN379" s="1057">
        <v>0</v>
      </c>
      <c r="AO379" s="1056">
        <v>1</v>
      </c>
      <c r="AP379" s="1055">
        <v>0.11</v>
      </c>
      <c r="AQ379" s="1745">
        <f t="shared" ref="AQ379:AQ402" si="173">AP379*AU379</f>
        <v>0</v>
      </c>
      <c r="AR379" s="1737">
        <v>0.18</v>
      </c>
      <c r="AS379" s="1052">
        <f t="shared" ref="AS379:AS402" si="174">AR379/AP379</f>
        <v>1.6363636363636362</v>
      </c>
      <c r="AT379" s="1049"/>
      <c r="AU379" s="1136"/>
      <c r="AV379" s="1049"/>
      <c r="AW379" s="1125">
        <v>45001</v>
      </c>
      <c r="AX379" s="1057">
        <v>0</v>
      </c>
      <c r="AY379" s="1056">
        <v>1</v>
      </c>
      <c r="AZ379" s="1055">
        <v>0.1</v>
      </c>
      <c r="BA379" s="1736">
        <v>0.18</v>
      </c>
      <c r="BB379" s="1737">
        <f t="shared" ref="BB379:BB402" si="175">BA379/AZ379</f>
        <v>1.7999999999999998</v>
      </c>
      <c r="BC379" s="1049"/>
      <c r="BD379" s="1136"/>
      <c r="BE379" s="1049"/>
      <c r="BF379" s="1125">
        <v>45032</v>
      </c>
      <c r="BG379" s="1057">
        <v>0</v>
      </c>
      <c r="BH379" s="1056">
        <v>1</v>
      </c>
      <c r="BI379" s="1874">
        <v>0.15</v>
      </c>
      <c r="BJ379" s="1736"/>
      <c r="BK379" s="1049"/>
      <c r="BL379" s="1125">
        <v>45032</v>
      </c>
      <c r="BM379" s="1057">
        <v>0</v>
      </c>
      <c r="BN379" s="1056">
        <v>1</v>
      </c>
      <c r="BO379" s="1055"/>
      <c r="BP379" s="1055"/>
      <c r="BQ379" s="1049"/>
    </row>
    <row r="380" spans="1:69" ht="14.4">
      <c r="A380" s="1049"/>
      <c r="B380" s="1124"/>
      <c r="C380" s="1057">
        <v>1</v>
      </c>
      <c r="D380" s="1056">
        <v>2</v>
      </c>
      <c r="E380" s="1063">
        <v>0.34</v>
      </c>
      <c r="F380" s="1062">
        <v>0.98</v>
      </c>
      <c r="G380" s="1061">
        <f t="shared" si="165"/>
        <v>2.8823529411764701</v>
      </c>
      <c r="H380" s="1049"/>
      <c r="I380" s="1124"/>
      <c r="J380" s="1057">
        <v>1</v>
      </c>
      <c r="K380" s="1056">
        <v>2</v>
      </c>
      <c r="L380" s="1055">
        <v>2.1360000000000001</v>
      </c>
      <c r="M380" s="1059">
        <v>3.9</v>
      </c>
      <c r="N380" s="1052">
        <f t="shared" si="166"/>
        <v>1.8258426966292134</v>
      </c>
      <c r="O380" s="1049"/>
      <c r="P380" s="1123"/>
      <c r="Q380" s="1057">
        <v>1</v>
      </c>
      <c r="R380" s="1056">
        <v>2</v>
      </c>
      <c r="S380" s="1055">
        <v>1.123</v>
      </c>
      <c r="T380" s="1054">
        <f t="shared" si="167"/>
        <v>3.2903900000000004</v>
      </c>
      <c r="U380" s="1136">
        <v>4.33</v>
      </c>
      <c r="V380" s="1052">
        <f t="shared" si="168"/>
        <v>3.8557435440783614</v>
      </c>
      <c r="W380" s="1049"/>
      <c r="X380" s="1051">
        <v>2.93</v>
      </c>
      <c r="Y380" s="1049"/>
      <c r="Z380" s="1050">
        <f t="shared" si="169"/>
        <v>2.3919899999999998</v>
      </c>
      <c r="AA380" s="1123"/>
      <c r="AB380" s="1057">
        <v>1</v>
      </c>
      <c r="AC380" s="1056">
        <v>2</v>
      </c>
      <c r="AD380" s="1055">
        <v>2.0299999999999998</v>
      </c>
      <c r="AE380" s="1137">
        <f t="shared" si="170"/>
        <v>1.4006999999999998</v>
      </c>
      <c r="AF380" s="1136">
        <v>2.8</v>
      </c>
      <c r="AG380" s="1052">
        <f t="shared" si="171"/>
        <v>1.3793103448275863</v>
      </c>
      <c r="AH380" s="1049"/>
      <c r="AI380" s="1136">
        <v>0.69</v>
      </c>
      <c r="AJ380" s="1049"/>
      <c r="AK380" s="1050">
        <f t="shared" si="172"/>
        <v>-0.22330000000000017</v>
      </c>
      <c r="AL380" s="1049"/>
      <c r="AM380" s="1123"/>
      <c r="AN380" s="1057">
        <v>1</v>
      </c>
      <c r="AO380" s="1056">
        <v>2</v>
      </c>
      <c r="AP380" s="1055">
        <v>0.1</v>
      </c>
      <c r="AQ380" s="1745">
        <f t="shared" si="173"/>
        <v>0</v>
      </c>
      <c r="AR380" s="1737">
        <v>0.17</v>
      </c>
      <c r="AS380" s="1052">
        <f t="shared" si="174"/>
        <v>1.7</v>
      </c>
      <c r="AT380" s="1049"/>
      <c r="AU380" s="1136"/>
      <c r="AV380" s="1049"/>
      <c r="AW380" s="1123"/>
      <c r="AX380" s="1057">
        <v>1</v>
      </c>
      <c r="AY380" s="1056">
        <v>2</v>
      </c>
      <c r="AZ380" s="1055">
        <v>0.14000000000000001</v>
      </c>
      <c r="BA380" s="1736">
        <v>0.26</v>
      </c>
      <c r="BB380" s="1737">
        <f t="shared" si="175"/>
        <v>1.857142857142857</v>
      </c>
      <c r="BC380" s="1049"/>
      <c r="BD380" s="1136"/>
      <c r="BE380" s="1049"/>
      <c r="BF380" s="1123"/>
      <c r="BG380" s="1057">
        <v>1</v>
      </c>
      <c r="BH380" s="1056">
        <v>2</v>
      </c>
      <c r="BI380" s="1874">
        <v>0.14000000000000001</v>
      </c>
      <c r="BJ380" s="1736"/>
      <c r="BK380" s="1049"/>
      <c r="BL380" s="1123"/>
      <c r="BM380" s="1057">
        <v>1</v>
      </c>
      <c r="BN380" s="1056">
        <v>2</v>
      </c>
      <c r="BO380" s="1055"/>
      <c r="BP380" s="1055"/>
      <c r="BQ380" s="1049"/>
    </row>
    <row r="381" spans="1:69" ht="14.4">
      <c r="A381" s="1049"/>
      <c r="B381" s="1122">
        <f>SUM(E379:E402)</f>
        <v>15.949999999999998</v>
      </c>
      <c r="C381" s="1057">
        <v>2</v>
      </c>
      <c r="D381" s="1056">
        <v>3</v>
      </c>
      <c r="E381" s="1063">
        <v>0.23</v>
      </c>
      <c r="F381" s="1062">
        <v>0.65</v>
      </c>
      <c r="G381" s="1061">
        <f t="shared" si="165"/>
        <v>2.8260869565217392</v>
      </c>
      <c r="H381" s="1049"/>
      <c r="I381" s="1122">
        <f>SUM(L379:L402)</f>
        <v>41.672999999999988</v>
      </c>
      <c r="J381" s="1057">
        <v>2</v>
      </c>
      <c r="K381" s="1056">
        <v>3</v>
      </c>
      <c r="L381" s="1055">
        <v>1.5469999999999999</v>
      </c>
      <c r="M381" s="1059">
        <v>2.82</v>
      </c>
      <c r="N381" s="1052">
        <f t="shared" si="166"/>
        <v>1.8228829993535876</v>
      </c>
      <c r="O381" s="1049"/>
      <c r="P381" s="1121">
        <f>SUM(S379:S402)</f>
        <v>69.403999999999996</v>
      </c>
      <c r="Q381" s="1057">
        <v>2</v>
      </c>
      <c r="R381" s="1056">
        <v>3</v>
      </c>
      <c r="S381" s="1055">
        <v>1.0569999999999999</v>
      </c>
      <c r="T381" s="1054">
        <f t="shared" si="167"/>
        <v>3.0230199999999998</v>
      </c>
      <c r="U381" s="1136">
        <v>4</v>
      </c>
      <c r="V381" s="1052">
        <f t="shared" si="168"/>
        <v>3.7842951750236522</v>
      </c>
      <c r="W381" s="1049"/>
      <c r="X381" s="1051">
        <v>2.86</v>
      </c>
      <c r="Y381" s="1049"/>
      <c r="Z381" s="1050">
        <f t="shared" si="169"/>
        <v>2.1774199999999992</v>
      </c>
      <c r="AA381" s="1121">
        <f>SUM(AD379:AD402)</f>
        <v>66.349999999999994</v>
      </c>
      <c r="AB381" s="1057">
        <v>2</v>
      </c>
      <c r="AC381" s="1056">
        <v>3</v>
      </c>
      <c r="AD381" s="1055">
        <v>2.36</v>
      </c>
      <c r="AE381" s="1137">
        <f t="shared" si="170"/>
        <v>1.6991999999999998</v>
      </c>
      <c r="AF381" s="1136">
        <v>3.32</v>
      </c>
      <c r="AG381" s="1052">
        <f t="shared" si="171"/>
        <v>1.4067796610169492</v>
      </c>
      <c r="AH381" s="1049"/>
      <c r="AI381" s="1136">
        <v>0.72</v>
      </c>
      <c r="AJ381" s="1049"/>
      <c r="AK381" s="1050">
        <f t="shared" si="172"/>
        <v>-0.18880000000000016</v>
      </c>
      <c r="AL381" s="1049"/>
      <c r="AM381" s="1121">
        <f>SUM(AP379:AP402)</f>
        <v>6.22</v>
      </c>
      <c r="AN381" s="1057">
        <v>2</v>
      </c>
      <c r="AO381" s="1056">
        <v>3</v>
      </c>
      <c r="AP381" s="1055">
        <v>0.12</v>
      </c>
      <c r="AQ381" s="1745">
        <f t="shared" si="173"/>
        <v>0</v>
      </c>
      <c r="AR381" s="1737">
        <v>0.21</v>
      </c>
      <c r="AS381" s="1052">
        <f t="shared" si="174"/>
        <v>1.75</v>
      </c>
      <c r="AT381" s="1049"/>
      <c r="AU381" s="1136"/>
      <c r="AV381" s="1049"/>
      <c r="AW381" s="1121">
        <f>SUM(AZ379:AZ402)</f>
        <v>8.16</v>
      </c>
      <c r="AX381" s="1057">
        <v>2</v>
      </c>
      <c r="AY381" s="1056">
        <v>3</v>
      </c>
      <c r="AZ381" s="1055">
        <v>0.13</v>
      </c>
      <c r="BA381" s="1736">
        <v>0.23</v>
      </c>
      <c r="BB381" s="1737">
        <f t="shared" si="175"/>
        <v>1.7692307692307692</v>
      </c>
      <c r="BC381" s="1049"/>
      <c r="BD381" s="1136"/>
      <c r="BE381" s="1049"/>
      <c r="BF381" s="1121">
        <f>SUM(BI379:BI402)</f>
        <v>8.76</v>
      </c>
      <c r="BG381" s="1057">
        <v>2</v>
      </c>
      <c r="BH381" s="1056">
        <v>3</v>
      </c>
      <c r="BI381" s="1874">
        <v>0.13</v>
      </c>
      <c r="BJ381" s="1736"/>
      <c r="BK381" s="1049"/>
      <c r="BL381" s="1121">
        <f>SUM(BO379:BO402)+SUM(BP379:BP402)</f>
        <v>0</v>
      </c>
      <c r="BM381" s="1057">
        <v>2</v>
      </c>
      <c r="BN381" s="1056">
        <v>3</v>
      </c>
      <c r="BO381" s="1055"/>
      <c r="BP381" s="1055"/>
      <c r="BQ381" s="1049"/>
    </row>
    <row r="382" spans="1:69" ht="14.4">
      <c r="A382" s="1049"/>
      <c r="B382" s="1120">
        <f>B381/24</f>
        <v>0.66458333333333319</v>
      </c>
      <c r="C382" s="1057">
        <v>3</v>
      </c>
      <c r="D382" s="1056">
        <v>4</v>
      </c>
      <c r="E382" s="1063">
        <v>0.2</v>
      </c>
      <c r="F382" s="1062">
        <v>0.57999999999999996</v>
      </c>
      <c r="G382" s="1061">
        <f t="shared" si="165"/>
        <v>2.8999999999999995</v>
      </c>
      <c r="H382" s="1049"/>
      <c r="I382" s="1120">
        <f>I381/24</f>
        <v>1.7363749999999996</v>
      </c>
      <c r="J382" s="1057">
        <v>3</v>
      </c>
      <c r="K382" s="1056">
        <v>4</v>
      </c>
      <c r="L382" s="1055">
        <v>1.51</v>
      </c>
      <c r="M382" s="1059">
        <v>2.75</v>
      </c>
      <c r="N382" s="1052">
        <f t="shared" si="166"/>
        <v>1.8211920529801324</v>
      </c>
      <c r="O382" s="1049"/>
      <c r="P382" s="1120">
        <f>P381/24</f>
        <v>2.891833333333333</v>
      </c>
      <c r="Q382" s="1057">
        <v>3</v>
      </c>
      <c r="R382" s="1056">
        <v>4</v>
      </c>
      <c r="S382" s="1055">
        <v>1.194</v>
      </c>
      <c r="T382" s="1054">
        <f t="shared" si="167"/>
        <v>3.3073799999999998</v>
      </c>
      <c r="U382" s="1136">
        <v>4.41</v>
      </c>
      <c r="V382" s="1052">
        <f t="shared" si="168"/>
        <v>3.6934673366834172</v>
      </c>
      <c r="W382" s="1049"/>
      <c r="X382" s="1051">
        <v>2.77</v>
      </c>
      <c r="Y382" s="1049"/>
      <c r="Z382" s="1050">
        <f t="shared" si="169"/>
        <v>2.3521799999999997</v>
      </c>
      <c r="AA382" s="1120">
        <f>AA381/24</f>
        <v>2.7645833333333329</v>
      </c>
      <c r="AB382" s="1057">
        <v>3</v>
      </c>
      <c r="AC382" s="1056">
        <v>4</v>
      </c>
      <c r="AD382" s="1055">
        <v>1.91</v>
      </c>
      <c r="AE382" s="1137">
        <f t="shared" si="170"/>
        <v>1.2415</v>
      </c>
      <c r="AF382" s="1136">
        <v>2.56</v>
      </c>
      <c r="AG382" s="1052">
        <f t="shared" si="171"/>
        <v>1.3403141361256545</v>
      </c>
      <c r="AH382" s="1049"/>
      <c r="AI382" s="1136">
        <v>0.65</v>
      </c>
      <c r="AJ382" s="1049"/>
      <c r="AK382" s="1050">
        <f t="shared" si="172"/>
        <v>-0.28650000000000003</v>
      </c>
      <c r="AL382" s="1049"/>
      <c r="AM382" s="1120">
        <f>AM381/24</f>
        <v>0.25916666666666666</v>
      </c>
      <c r="AN382" s="1057">
        <v>3</v>
      </c>
      <c r="AO382" s="1056">
        <v>4</v>
      </c>
      <c r="AP382" s="1055">
        <v>0.11</v>
      </c>
      <c r="AQ382" s="1745">
        <f t="shared" si="173"/>
        <v>0</v>
      </c>
      <c r="AR382" s="1737">
        <v>0.19</v>
      </c>
      <c r="AS382" s="1052">
        <f t="shared" si="174"/>
        <v>1.7272727272727273</v>
      </c>
      <c r="AT382" s="1049"/>
      <c r="AU382" s="1136"/>
      <c r="AV382" s="1049"/>
      <c r="AW382" s="1120">
        <f>AW381/24</f>
        <v>0.34</v>
      </c>
      <c r="AX382" s="1057">
        <v>3</v>
      </c>
      <c r="AY382" s="1056">
        <v>4</v>
      </c>
      <c r="AZ382" s="1055">
        <v>0.1</v>
      </c>
      <c r="BA382" s="1736">
        <v>0.18</v>
      </c>
      <c r="BB382" s="1737">
        <f t="shared" si="175"/>
        <v>1.7999999999999998</v>
      </c>
      <c r="BC382" s="1049"/>
      <c r="BD382" s="1136"/>
      <c r="BE382" s="1049"/>
      <c r="BF382" s="1120">
        <f>BF381/24</f>
        <v>0.36499999999999999</v>
      </c>
      <c r="BG382" s="1057">
        <v>3</v>
      </c>
      <c r="BH382" s="1056">
        <v>4</v>
      </c>
      <c r="BI382" s="1874">
        <v>0.09</v>
      </c>
      <c r="BJ382" s="1736"/>
      <c r="BK382" s="1049"/>
      <c r="BL382" s="1120">
        <f>BL381/24</f>
        <v>0</v>
      </c>
      <c r="BM382" s="1057">
        <v>3</v>
      </c>
      <c r="BN382" s="1056">
        <v>4</v>
      </c>
      <c r="BO382" s="1055"/>
      <c r="BP382" s="1055"/>
      <c r="BQ382" s="1049"/>
    </row>
    <row r="383" spans="1:69" ht="14.4">
      <c r="A383" s="1049"/>
      <c r="B383" s="1119"/>
      <c r="C383" s="1057">
        <v>4</v>
      </c>
      <c r="D383" s="1056">
        <v>5</v>
      </c>
      <c r="E383" s="1063">
        <v>0.22</v>
      </c>
      <c r="F383" s="1062">
        <v>0.65</v>
      </c>
      <c r="G383" s="1061">
        <f t="shared" si="165"/>
        <v>2.9545454545454546</v>
      </c>
      <c r="H383" s="1049"/>
      <c r="I383" s="1119"/>
      <c r="J383" s="1057">
        <v>4</v>
      </c>
      <c r="K383" s="1056">
        <v>5</v>
      </c>
      <c r="L383" s="1055">
        <v>1.7350000000000001</v>
      </c>
      <c r="M383" s="1059">
        <v>3.16</v>
      </c>
      <c r="N383" s="1052">
        <f t="shared" si="166"/>
        <v>1.8213256484149856</v>
      </c>
      <c r="O383" s="1049"/>
      <c r="P383" s="1118"/>
      <c r="Q383" s="1057">
        <v>4</v>
      </c>
      <c r="R383" s="1056">
        <v>5</v>
      </c>
      <c r="S383" s="1055">
        <v>1.2509999999999999</v>
      </c>
      <c r="T383" s="1054">
        <f t="shared" si="167"/>
        <v>3.6028799999999994</v>
      </c>
      <c r="U383" s="1136">
        <v>4.76</v>
      </c>
      <c r="V383" s="1052">
        <f t="shared" si="168"/>
        <v>3.8049560351718625</v>
      </c>
      <c r="W383" s="1049"/>
      <c r="X383" s="1051">
        <v>2.88</v>
      </c>
      <c r="Y383" s="1049"/>
      <c r="Z383" s="1050">
        <f t="shared" si="169"/>
        <v>2.6020799999999999</v>
      </c>
      <c r="AA383" s="1118"/>
      <c r="AB383" s="1057">
        <v>4</v>
      </c>
      <c r="AC383" s="1056">
        <v>5</v>
      </c>
      <c r="AD383" s="1055">
        <v>1.9</v>
      </c>
      <c r="AE383" s="1137">
        <f t="shared" si="170"/>
        <v>1.3679999999999999</v>
      </c>
      <c r="AF383" s="1136">
        <v>2.69</v>
      </c>
      <c r="AG383" s="1052">
        <f t="shared" si="171"/>
        <v>1.4157894736842105</v>
      </c>
      <c r="AH383" s="1049"/>
      <c r="AI383" s="1136">
        <v>0.72</v>
      </c>
      <c r="AJ383" s="1049"/>
      <c r="AK383" s="1050">
        <f t="shared" si="172"/>
        <v>-0.15200000000000014</v>
      </c>
      <c r="AL383" s="1049"/>
      <c r="AM383" s="1118"/>
      <c r="AN383" s="1057">
        <v>4</v>
      </c>
      <c r="AO383" s="1056">
        <v>5</v>
      </c>
      <c r="AP383" s="1055">
        <v>0.14000000000000001</v>
      </c>
      <c r="AQ383" s="1745">
        <f t="shared" si="173"/>
        <v>0</v>
      </c>
      <c r="AR383" s="1737">
        <v>0.25</v>
      </c>
      <c r="AS383" s="1052">
        <f t="shared" si="174"/>
        <v>1.7857142857142856</v>
      </c>
      <c r="AT383" s="1049"/>
      <c r="AU383" s="1136"/>
      <c r="AV383" s="1049"/>
      <c r="AW383" s="1118"/>
      <c r="AX383" s="1057">
        <v>4</v>
      </c>
      <c r="AY383" s="1056">
        <v>5</v>
      </c>
      <c r="AZ383" s="1055">
        <v>0.09</v>
      </c>
      <c r="BA383" s="1736">
        <v>0.16</v>
      </c>
      <c r="BB383" s="1737">
        <f t="shared" si="175"/>
        <v>1.7777777777777779</v>
      </c>
      <c r="BC383" s="1049"/>
      <c r="BD383" s="1136"/>
      <c r="BE383" s="1049"/>
      <c r="BF383" s="1118"/>
      <c r="BG383" s="1057">
        <v>4</v>
      </c>
      <c r="BH383" s="1056">
        <v>5</v>
      </c>
      <c r="BI383" s="1874">
        <v>0.13</v>
      </c>
      <c r="BJ383" s="1736"/>
      <c r="BK383" s="1049"/>
      <c r="BL383" s="1118"/>
      <c r="BM383" s="1057">
        <v>4</v>
      </c>
      <c r="BN383" s="1056">
        <v>5</v>
      </c>
      <c r="BO383" s="1055"/>
      <c r="BP383" s="1055"/>
      <c r="BQ383" s="1049"/>
    </row>
    <row r="384" spans="1:69" ht="15" thickBot="1">
      <c r="A384" s="1049"/>
      <c r="B384" s="1058">
        <f>SUM(F379:F402)</f>
        <v>47.18</v>
      </c>
      <c r="C384" s="1111">
        <v>5</v>
      </c>
      <c r="D384" s="1110">
        <v>6</v>
      </c>
      <c r="E384" s="1117">
        <v>0.37</v>
      </c>
      <c r="F384" s="1116">
        <v>1.07</v>
      </c>
      <c r="G384" s="1115">
        <f t="shared" si="165"/>
        <v>2.8918918918918921</v>
      </c>
      <c r="H384" s="1049"/>
      <c r="I384" s="1058">
        <f>SUM(M379:M402)</f>
        <v>83.239999999999981</v>
      </c>
      <c r="J384" s="1111">
        <v>5</v>
      </c>
      <c r="K384" s="1110">
        <v>6</v>
      </c>
      <c r="L384" s="1109">
        <v>1.5389999999999999</v>
      </c>
      <c r="M384" s="1114">
        <v>2.82</v>
      </c>
      <c r="N384" s="1113">
        <f t="shared" si="166"/>
        <v>1.8323586744639375</v>
      </c>
      <c r="O384" s="1049"/>
      <c r="P384" s="1112">
        <f>SUM(U379:U402)</f>
        <v>365.23999999999995</v>
      </c>
      <c r="Q384" s="1111">
        <v>5</v>
      </c>
      <c r="R384" s="1110">
        <v>6</v>
      </c>
      <c r="S384" s="1109">
        <v>1.6180000000000001</v>
      </c>
      <c r="T384" s="1054">
        <f t="shared" si="167"/>
        <v>4.8701800000000004</v>
      </c>
      <c r="U384" s="1146">
        <v>6.36</v>
      </c>
      <c r="V384" s="1052">
        <f t="shared" si="168"/>
        <v>3.930778739184178</v>
      </c>
      <c r="W384" s="1049"/>
      <c r="X384" s="1074">
        <v>3.01</v>
      </c>
      <c r="Y384" s="1049"/>
      <c r="Z384" s="1050">
        <f t="shared" si="169"/>
        <v>3.57578</v>
      </c>
      <c r="AA384" s="1112">
        <f>SUM(AF379:AF402)</f>
        <v>142.71999999999997</v>
      </c>
      <c r="AB384" s="1111">
        <v>5</v>
      </c>
      <c r="AC384" s="1110">
        <v>6</v>
      </c>
      <c r="AD384" s="1109">
        <v>1.95</v>
      </c>
      <c r="AE384" s="1147">
        <f t="shared" si="170"/>
        <v>1.833</v>
      </c>
      <c r="AF384" s="1146">
        <v>3.18</v>
      </c>
      <c r="AG384" s="1052">
        <f t="shared" si="171"/>
        <v>1.630769230769231</v>
      </c>
      <c r="AH384" s="1049"/>
      <c r="AI384" s="1146">
        <v>0.94</v>
      </c>
      <c r="AJ384" s="1049"/>
      <c r="AK384" s="1050">
        <f t="shared" si="172"/>
        <v>0.2729999999999998</v>
      </c>
      <c r="AL384" s="1049"/>
      <c r="AM384" s="1112">
        <f>SUM(AR379:AR402)</f>
        <v>14.299999999999997</v>
      </c>
      <c r="AN384" s="1111">
        <v>5</v>
      </c>
      <c r="AO384" s="1110">
        <v>6</v>
      </c>
      <c r="AP384" s="1109">
        <v>0.08</v>
      </c>
      <c r="AQ384" s="1746">
        <f t="shared" si="173"/>
        <v>0</v>
      </c>
      <c r="AR384" s="1739">
        <v>0.15</v>
      </c>
      <c r="AS384" s="1052">
        <f t="shared" si="174"/>
        <v>1.875</v>
      </c>
      <c r="AT384" s="1049"/>
      <c r="AU384" s="1146"/>
      <c r="AV384" s="1049"/>
      <c r="AW384" s="1112">
        <f>SUM(BA379:BA402)</f>
        <v>15.65</v>
      </c>
      <c r="AX384" s="1111">
        <v>5</v>
      </c>
      <c r="AY384" s="1110">
        <v>6</v>
      </c>
      <c r="AZ384" s="1109">
        <v>0.11</v>
      </c>
      <c r="BA384" s="1738">
        <v>0.2</v>
      </c>
      <c r="BB384" s="1739">
        <f t="shared" si="175"/>
        <v>1.8181818181818183</v>
      </c>
      <c r="BC384" s="1049"/>
      <c r="BD384" s="1146"/>
      <c r="BE384" s="1049"/>
      <c r="BF384" s="1112">
        <f>SUM(BJ379:BJ402)</f>
        <v>0</v>
      </c>
      <c r="BG384" s="1111">
        <v>5</v>
      </c>
      <c r="BH384" s="1110">
        <v>6</v>
      </c>
      <c r="BI384" s="1874">
        <v>0.16</v>
      </c>
      <c r="BJ384" s="1738"/>
      <c r="BK384" s="1049"/>
      <c r="BL384" s="1112">
        <f>SUM(BP379:BP402)</f>
        <v>0</v>
      </c>
      <c r="BM384" s="1111">
        <v>5</v>
      </c>
      <c r="BN384" s="1110">
        <v>6</v>
      </c>
      <c r="BO384" s="1109"/>
      <c r="BP384" s="1109"/>
      <c r="BQ384" s="1049"/>
    </row>
    <row r="385" spans="1:69" ht="14.4">
      <c r="A385" s="1049"/>
      <c r="B385" s="1093">
        <f>B384/B381</f>
        <v>2.9579937304075239</v>
      </c>
      <c r="C385" s="1100">
        <v>6</v>
      </c>
      <c r="D385" s="1099">
        <v>7</v>
      </c>
      <c r="E385" s="1107">
        <v>0.34</v>
      </c>
      <c r="F385" s="1106">
        <v>0.98</v>
      </c>
      <c r="G385" s="1105">
        <f t="shared" si="165"/>
        <v>2.8823529411764701</v>
      </c>
      <c r="H385" s="1049"/>
      <c r="I385" s="1093">
        <f>I384/I381</f>
        <v>1.9974563866292325</v>
      </c>
      <c r="J385" s="1100">
        <v>6</v>
      </c>
      <c r="K385" s="1099">
        <v>7</v>
      </c>
      <c r="L385" s="1098">
        <v>1.63</v>
      </c>
      <c r="M385" s="1103">
        <v>3.05</v>
      </c>
      <c r="N385" s="1102">
        <f t="shared" si="166"/>
        <v>1.8711656441717792</v>
      </c>
      <c r="O385" s="1049"/>
      <c r="P385" s="1093">
        <f>P384/P381</f>
        <v>5.2625208921675979</v>
      </c>
      <c r="Q385" s="1100">
        <v>6</v>
      </c>
      <c r="R385" s="1099">
        <v>7</v>
      </c>
      <c r="S385" s="1098">
        <v>1.877</v>
      </c>
      <c r="T385" s="1054">
        <f t="shared" si="167"/>
        <v>6.2691799999999995</v>
      </c>
      <c r="U385" s="1144">
        <v>8.2200000000000006</v>
      </c>
      <c r="V385" s="1052">
        <f t="shared" si="168"/>
        <v>4.3793287160362286</v>
      </c>
      <c r="W385" s="1049"/>
      <c r="X385" s="1108">
        <v>3.34</v>
      </c>
      <c r="Y385" s="1049"/>
      <c r="Z385" s="1050">
        <f t="shared" si="169"/>
        <v>4.7675799999999997</v>
      </c>
      <c r="AA385" s="1093">
        <f>AA384/AA381</f>
        <v>2.1510173323285602</v>
      </c>
      <c r="AB385" s="1100">
        <v>6</v>
      </c>
      <c r="AC385" s="1099">
        <v>7</v>
      </c>
      <c r="AD385" s="1098">
        <v>2.56</v>
      </c>
      <c r="AE385" s="1145">
        <f t="shared" si="170"/>
        <v>4.0192000000000005</v>
      </c>
      <c r="AF385" s="1144">
        <v>5.79</v>
      </c>
      <c r="AG385" s="1052">
        <f t="shared" si="171"/>
        <v>2.26171875</v>
      </c>
      <c r="AH385" s="1049"/>
      <c r="AI385" s="1144">
        <v>1.57</v>
      </c>
      <c r="AJ385" s="1049"/>
      <c r="AK385" s="1050">
        <f t="shared" si="172"/>
        <v>1.9712000000000001</v>
      </c>
      <c r="AL385" s="1049"/>
      <c r="AM385" s="1093">
        <f>AM384/AM381</f>
        <v>2.2990353697749191</v>
      </c>
      <c r="AN385" s="1100">
        <v>6</v>
      </c>
      <c r="AO385" s="1099">
        <v>7</v>
      </c>
      <c r="AP385" s="1098">
        <v>0.34</v>
      </c>
      <c r="AQ385" s="1747">
        <f t="shared" si="173"/>
        <v>0</v>
      </c>
      <c r="AR385" s="1741">
        <v>0.73</v>
      </c>
      <c r="AS385" s="1052">
        <f t="shared" si="174"/>
        <v>2.1470588235294117</v>
      </c>
      <c r="AT385" s="1049"/>
      <c r="AU385" s="1144"/>
      <c r="AV385" s="1049"/>
      <c r="AW385" s="1093">
        <f>AW384/AW381</f>
        <v>1.9178921568627452</v>
      </c>
      <c r="AX385" s="1100">
        <v>6</v>
      </c>
      <c r="AY385" s="1099">
        <v>7</v>
      </c>
      <c r="AZ385" s="1098">
        <v>0.19</v>
      </c>
      <c r="BA385" s="1740">
        <v>0.39</v>
      </c>
      <c r="BB385" s="1741">
        <f t="shared" si="175"/>
        <v>2.0526315789473686</v>
      </c>
      <c r="BC385" s="1049"/>
      <c r="BD385" s="1144"/>
      <c r="BE385" s="1049"/>
      <c r="BF385" s="1093">
        <f>BF384/BF381</f>
        <v>0</v>
      </c>
      <c r="BG385" s="1100">
        <v>6</v>
      </c>
      <c r="BH385" s="1099">
        <v>7</v>
      </c>
      <c r="BI385" s="1874">
        <v>0.22</v>
      </c>
      <c r="BJ385" s="1740"/>
      <c r="BK385" s="1049"/>
      <c r="BL385" s="1093" t="e">
        <f>BL384/BL381</f>
        <v>#DIV/0!</v>
      </c>
      <c r="BM385" s="1100">
        <v>6</v>
      </c>
      <c r="BN385" s="1099">
        <v>7</v>
      </c>
      <c r="BO385" s="1098"/>
      <c r="BP385" s="1098"/>
      <c r="BQ385" s="1049"/>
    </row>
    <row r="386" spans="1:69" ht="14.4">
      <c r="A386" s="1049"/>
      <c r="B386" s="1104"/>
      <c r="C386" s="1100">
        <v>7</v>
      </c>
      <c r="D386" s="1099">
        <v>8</v>
      </c>
      <c r="E386" s="1107">
        <v>0.55000000000000004</v>
      </c>
      <c r="F386" s="1106">
        <v>1.58</v>
      </c>
      <c r="G386" s="1105">
        <f t="shared" si="165"/>
        <v>2.8727272727272726</v>
      </c>
      <c r="H386" s="1049"/>
      <c r="I386" s="1104"/>
      <c r="J386" s="1100">
        <v>7</v>
      </c>
      <c r="K386" s="1099">
        <v>8</v>
      </c>
      <c r="L386" s="1098">
        <v>1.631</v>
      </c>
      <c r="M386" s="1103">
        <v>3.14</v>
      </c>
      <c r="N386" s="1102">
        <f t="shared" si="166"/>
        <v>1.9251992642550584</v>
      </c>
      <c r="O386" s="1049"/>
      <c r="P386" s="1101"/>
      <c r="Q386" s="1100">
        <v>7</v>
      </c>
      <c r="R386" s="1099">
        <v>8</v>
      </c>
      <c r="S386" s="1098">
        <v>2.0470000000000002</v>
      </c>
      <c r="T386" s="1054">
        <f t="shared" si="167"/>
        <v>9.0068000000000019</v>
      </c>
      <c r="U386" s="1144">
        <v>11.14</v>
      </c>
      <c r="V386" s="1052">
        <f t="shared" si="168"/>
        <v>5.4421104054714213</v>
      </c>
      <c r="W386" s="1049"/>
      <c r="X386" s="1065">
        <v>4.4000000000000004</v>
      </c>
      <c r="Y386" s="1049"/>
      <c r="Z386" s="1050">
        <f t="shared" si="169"/>
        <v>7.369200000000002</v>
      </c>
      <c r="AA386" s="1101"/>
      <c r="AB386" s="1100">
        <v>7</v>
      </c>
      <c r="AC386" s="1099">
        <v>8</v>
      </c>
      <c r="AD386" s="1098">
        <v>2.72</v>
      </c>
      <c r="AE386" s="1145">
        <f t="shared" si="170"/>
        <v>4.7872000000000003</v>
      </c>
      <c r="AF386" s="1144">
        <v>6.66</v>
      </c>
      <c r="AG386" s="1052">
        <f t="shared" si="171"/>
        <v>2.4485294117647056</v>
      </c>
      <c r="AH386" s="1049"/>
      <c r="AI386" s="1144">
        <v>1.76</v>
      </c>
      <c r="AJ386" s="1049"/>
      <c r="AK386" s="1050">
        <f t="shared" si="172"/>
        <v>2.6112000000000002</v>
      </c>
      <c r="AL386" s="1049"/>
      <c r="AM386" s="1101"/>
      <c r="AN386" s="1100">
        <v>7</v>
      </c>
      <c r="AO386" s="1099">
        <v>8</v>
      </c>
      <c r="AP386" s="1098">
        <v>0.34</v>
      </c>
      <c r="AQ386" s="1747">
        <f t="shared" si="173"/>
        <v>0</v>
      </c>
      <c r="AR386" s="1741">
        <v>0.81</v>
      </c>
      <c r="AS386" s="1052">
        <f t="shared" si="174"/>
        <v>2.3823529411764706</v>
      </c>
      <c r="AT386" s="1049"/>
      <c r="AU386" s="1144"/>
      <c r="AV386" s="1049"/>
      <c r="AW386" s="1101"/>
      <c r="AX386" s="1100">
        <v>7</v>
      </c>
      <c r="AY386" s="1099">
        <v>8</v>
      </c>
      <c r="AZ386" s="1098">
        <v>0.26</v>
      </c>
      <c r="BA386" s="1736">
        <v>0.56000000000000005</v>
      </c>
      <c r="BB386" s="1741">
        <f t="shared" si="175"/>
        <v>2.1538461538461542</v>
      </c>
      <c r="BC386" s="1049"/>
      <c r="BD386" s="1144"/>
      <c r="BE386" s="1049"/>
      <c r="BF386" s="1101"/>
      <c r="BG386" s="1100">
        <v>7</v>
      </c>
      <c r="BH386" s="1099">
        <v>8</v>
      </c>
      <c r="BI386" s="1874">
        <v>0.31</v>
      </c>
      <c r="BJ386" s="1736"/>
      <c r="BK386" s="1049"/>
      <c r="BL386" s="1101"/>
      <c r="BM386" s="1100">
        <v>7</v>
      </c>
      <c r="BN386" s="1099">
        <v>8</v>
      </c>
      <c r="BO386" s="1098"/>
      <c r="BP386" s="1098"/>
      <c r="BQ386" s="1049"/>
    </row>
    <row r="387" spans="1:69" ht="14.4">
      <c r="A387" s="1049"/>
      <c r="B387" s="1097">
        <f>B384/24</f>
        <v>1.9658333333333333</v>
      </c>
      <c r="C387" s="1086">
        <v>8</v>
      </c>
      <c r="D387" s="1085">
        <v>9</v>
      </c>
      <c r="E387" s="1091">
        <v>0.87</v>
      </c>
      <c r="F387" s="1090">
        <v>2.52</v>
      </c>
      <c r="G387" s="1089">
        <f t="shared" si="165"/>
        <v>2.896551724137931</v>
      </c>
      <c r="H387" s="1049"/>
      <c r="I387" s="1097">
        <f>I384/24</f>
        <v>3.4683333333333324</v>
      </c>
      <c r="J387" s="1086">
        <v>8</v>
      </c>
      <c r="K387" s="1085">
        <v>9</v>
      </c>
      <c r="L387" s="1084">
        <v>1.677</v>
      </c>
      <c r="M387" s="1088">
        <v>3.32</v>
      </c>
      <c r="N387" s="1087">
        <f t="shared" si="166"/>
        <v>1.979725700655933</v>
      </c>
      <c r="O387" s="1049"/>
      <c r="P387" s="1096">
        <f>P384/24</f>
        <v>15.218333333333332</v>
      </c>
      <c r="Q387" s="1086">
        <v>8</v>
      </c>
      <c r="R387" s="1085">
        <v>9</v>
      </c>
      <c r="S387" s="1084">
        <v>2.669</v>
      </c>
      <c r="T387" s="1054">
        <f t="shared" si="167"/>
        <v>13.852110000000001</v>
      </c>
      <c r="U387" s="1142">
        <v>16.63</v>
      </c>
      <c r="V387" s="1052">
        <f t="shared" si="168"/>
        <v>6.2307980517047579</v>
      </c>
      <c r="W387" s="1049"/>
      <c r="X387" s="1051">
        <v>5.19</v>
      </c>
      <c r="Y387" s="1049"/>
      <c r="Z387" s="1050">
        <f t="shared" si="169"/>
        <v>11.716910000000002</v>
      </c>
      <c r="AA387" s="1096">
        <f>AA384/24</f>
        <v>5.9466666666666654</v>
      </c>
      <c r="AB387" s="1086">
        <v>8</v>
      </c>
      <c r="AC387" s="1085">
        <v>9</v>
      </c>
      <c r="AD387" s="1084">
        <v>2.68</v>
      </c>
      <c r="AE387" s="1143">
        <f t="shared" si="170"/>
        <v>4.9848000000000008</v>
      </c>
      <c r="AF387" s="1142">
        <v>6.83</v>
      </c>
      <c r="AG387" s="1052">
        <f t="shared" si="171"/>
        <v>2.5485074626865671</v>
      </c>
      <c r="AH387" s="1049"/>
      <c r="AI387" s="1142">
        <v>1.86</v>
      </c>
      <c r="AJ387" s="1049"/>
      <c r="AK387" s="1050">
        <f t="shared" si="172"/>
        <v>2.8408000000000002</v>
      </c>
      <c r="AL387" s="1049"/>
      <c r="AM387" s="1096">
        <f>AM384/24</f>
        <v>0.59583333333333321</v>
      </c>
      <c r="AN387" s="1086">
        <v>8</v>
      </c>
      <c r="AO387" s="1085">
        <v>9</v>
      </c>
      <c r="AP387" s="1084">
        <v>0.3</v>
      </c>
      <c r="AQ387" s="1748">
        <f t="shared" si="173"/>
        <v>0</v>
      </c>
      <c r="AR387" s="1742">
        <v>0.74</v>
      </c>
      <c r="AS387" s="1052">
        <f t="shared" si="174"/>
        <v>2.4666666666666668</v>
      </c>
      <c r="AT387" s="1049"/>
      <c r="AU387" s="1142"/>
      <c r="AV387" s="1049"/>
      <c r="AW387" s="1096">
        <f>AW384/24</f>
        <v>0.65208333333333335</v>
      </c>
      <c r="AX387" s="1086">
        <v>8</v>
      </c>
      <c r="AY387" s="1085">
        <v>9</v>
      </c>
      <c r="AZ387" s="1084">
        <v>1.1000000000000001</v>
      </c>
      <c r="BA387" s="1736">
        <v>2.3199999999999998</v>
      </c>
      <c r="BB387" s="1742">
        <f t="shared" si="175"/>
        <v>2.1090909090909089</v>
      </c>
      <c r="BC387" s="1049"/>
      <c r="BD387" s="1142"/>
      <c r="BE387" s="1049"/>
      <c r="BF387" s="1096">
        <f>BF384/24</f>
        <v>0</v>
      </c>
      <c r="BG387" s="1086">
        <v>8</v>
      </c>
      <c r="BH387" s="1085">
        <v>9</v>
      </c>
      <c r="BI387" s="1874">
        <v>0.15</v>
      </c>
      <c r="BJ387" s="1736"/>
      <c r="BK387" s="1049"/>
      <c r="BL387" s="1096">
        <f>BL384/24</f>
        <v>0</v>
      </c>
      <c r="BM387" s="1086">
        <v>8</v>
      </c>
      <c r="BN387" s="1085">
        <v>9</v>
      </c>
      <c r="BO387" s="1084"/>
      <c r="BP387" s="1084"/>
      <c r="BQ387" s="1049"/>
    </row>
    <row r="388" spans="1:69" ht="14.4">
      <c r="A388" s="1049"/>
      <c r="B388" s="1097"/>
      <c r="C388" s="1086">
        <v>9</v>
      </c>
      <c r="D388" s="1085">
        <v>10</v>
      </c>
      <c r="E388" s="1091">
        <v>1.26</v>
      </c>
      <c r="F388" s="1090">
        <v>3.63</v>
      </c>
      <c r="G388" s="1089">
        <f t="shared" si="165"/>
        <v>2.8809523809523809</v>
      </c>
      <c r="H388" s="1049"/>
      <c r="I388" s="1097"/>
      <c r="J388" s="1086">
        <v>9</v>
      </c>
      <c r="K388" s="1085">
        <v>10</v>
      </c>
      <c r="L388" s="1084">
        <v>1.7250000000000001</v>
      </c>
      <c r="M388" s="1088">
        <v>3.33</v>
      </c>
      <c r="N388" s="1087">
        <f t="shared" si="166"/>
        <v>1.9304347826086956</v>
      </c>
      <c r="O388" s="1049"/>
      <c r="P388" s="1096"/>
      <c r="Q388" s="1086">
        <v>9</v>
      </c>
      <c r="R388" s="1085">
        <v>10</v>
      </c>
      <c r="S388" s="1084">
        <v>3.1230000000000002</v>
      </c>
      <c r="T388" s="1054">
        <f t="shared" si="167"/>
        <v>16.70805</v>
      </c>
      <c r="U388" s="1142">
        <v>19.98</v>
      </c>
      <c r="V388" s="1052">
        <f t="shared" si="168"/>
        <v>6.3976945244956767</v>
      </c>
      <c r="W388" s="1049"/>
      <c r="X388" s="1051">
        <v>5.35</v>
      </c>
      <c r="Y388" s="1049"/>
      <c r="Z388" s="1050">
        <f t="shared" si="169"/>
        <v>14.20965</v>
      </c>
      <c r="AA388" s="1096"/>
      <c r="AB388" s="1086">
        <v>9</v>
      </c>
      <c r="AC388" s="1085">
        <v>10</v>
      </c>
      <c r="AD388" s="1084">
        <v>2.77</v>
      </c>
      <c r="AE388" s="1143">
        <f t="shared" si="170"/>
        <v>4.7366999999999999</v>
      </c>
      <c r="AF388" s="1142">
        <v>6.65</v>
      </c>
      <c r="AG388" s="1052">
        <f t="shared" si="171"/>
        <v>2.4007220216606497</v>
      </c>
      <c r="AH388" s="1049"/>
      <c r="AI388" s="1142">
        <v>1.71</v>
      </c>
      <c r="AJ388" s="1049"/>
      <c r="AK388" s="1050">
        <f t="shared" si="172"/>
        <v>2.5206999999999997</v>
      </c>
      <c r="AL388" s="1049"/>
      <c r="AM388" s="1096"/>
      <c r="AN388" s="1086">
        <v>9</v>
      </c>
      <c r="AO388" s="1085">
        <v>10</v>
      </c>
      <c r="AP388" s="1084">
        <v>0.43</v>
      </c>
      <c r="AQ388" s="1748">
        <f t="shared" si="173"/>
        <v>0</v>
      </c>
      <c r="AR388" s="1742">
        <v>1.02</v>
      </c>
      <c r="AS388" s="1052">
        <f t="shared" si="174"/>
        <v>2.3720930232558142</v>
      </c>
      <c r="AT388" s="1049"/>
      <c r="AU388" s="1142"/>
      <c r="AV388" s="1049"/>
      <c r="AW388" s="1096"/>
      <c r="AX388" s="1086">
        <v>9</v>
      </c>
      <c r="AY388" s="1085">
        <v>10</v>
      </c>
      <c r="AZ388" s="1084">
        <v>0.94</v>
      </c>
      <c r="BA388" s="1736">
        <v>1.8</v>
      </c>
      <c r="BB388" s="1742">
        <f t="shared" si="175"/>
        <v>1.9148936170212767</v>
      </c>
      <c r="BC388" s="1049"/>
      <c r="BD388" s="1142"/>
      <c r="BE388" s="1049"/>
      <c r="BF388" s="1096"/>
      <c r="BG388" s="1086">
        <v>9</v>
      </c>
      <c r="BH388" s="1085">
        <v>10</v>
      </c>
      <c r="BI388" s="1874">
        <v>0.34</v>
      </c>
      <c r="BJ388" s="1736"/>
      <c r="BK388" s="1049"/>
      <c r="BL388" s="1096"/>
      <c r="BM388" s="1086">
        <v>9</v>
      </c>
      <c r="BN388" s="1085">
        <v>10</v>
      </c>
      <c r="BO388" s="1084"/>
      <c r="BP388" s="1084"/>
      <c r="BQ388" s="1049"/>
    </row>
    <row r="389" spans="1:69" ht="14.4">
      <c r="A389" s="1049"/>
      <c r="B389" s="1060"/>
      <c r="C389" s="1086">
        <v>10</v>
      </c>
      <c r="D389" s="1085">
        <v>11</v>
      </c>
      <c r="E389" s="1091">
        <v>1.35</v>
      </c>
      <c r="F389" s="1090">
        <v>3.89</v>
      </c>
      <c r="G389" s="1089">
        <f t="shared" si="165"/>
        <v>2.8814814814814813</v>
      </c>
      <c r="H389" s="1049"/>
      <c r="I389" s="1060"/>
      <c r="J389" s="1086">
        <v>10</v>
      </c>
      <c r="K389" s="1085">
        <v>11</v>
      </c>
      <c r="L389" s="1084">
        <v>1.5449999999999999</v>
      </c>
      <c r="M389" s="1088">
        <v>3.01</v>
      </c>
      <c r="N389" s="1087">
        <f t="shared" si="166"/>
        <v>1.948220064724919</v>
      </c>
      <c r="O389" s="1049"/>
      <c r="P389" s="1095">
        <f>SUM(Z379:Z402)</f>
        <v>238.22624000000002</v>
      </c>
      <c r="Q389" s="1086">
        <v>10</v>
      </c>
      <c r="R389" s="2759" t="s">
        <v>1134</v>
      </c>
      <c r="S389" s="1084">
        <v>4.9370000000000003</v>
      </c>
      <c r="T389" s="1054">
        <f t="shared" si="167"/>
        <v>25.623030000000004</v>
      </c>
      <c r="U389" s="1142">
        <v>30.76</v>
      </c>
      <c r="V389" s="1052">
        <f t="shared" si="168"/>
        <v>6.2305043548713792</v>
      </c>
      <c r="W389" s="1049"/>
      <c r="X389" s="1051">
        <v>5.19</v>
      </c>
      <c r="Y389" s="1049"/>
      <c r="Z389" s="1050">
        <f t="shared" si="169"/>
        <v>21.673430000000003</v>
      </c>
      <c r="AA389" s="1095">
        <f>SUM(AK379:AK402)</f>
        <v>38.466399999999993</v>
      </c>
      <c r="AB389" s="1086">
        <v>10</v>
      </c>
      <c r="AC389" s="1085">
        <v>11</v>
      </c>
      <c r="AD389" s="1084">
        <v>3.63</v>
      </c>
      <c r="AE389" s="1143">
        <f t="shared" si="170"/>
        <v>5.5538999999999996</v>
      </c>
      <c r="AF389" s="1142">
        <v>8.0500000000000007</v>
      </c>
      <c r="AG389" s="1052">
        <f t="shared" si="171"/>
        <v>2.2176308539944904</v>
      </c>
      <c r="AH389" s="1049"/>
      <c r="AI389" s="1142">
        <v>1.53</v>
      </c>
      <c r="AJ389" s="1049"/>
      <c r="AK389" s="1050">
        <f t="shared" si="172"/>
        <v>2.6498999999999997</v>
      </c>
      <c r="AL389" s="1049"/>
      <c r="AM389" s="1095" t="e">
        <f>SUM(#REF!)</f>
        <v>#REF!</v>
      </c>
      <c r="AN389" s="1086">
        <v>10</v>
      </c>
      <c r="AO389" s="1085">
        <v>11</v>
      </c>
      <c r="AP389" s="1084">
        <v>0.35</v>
      </c>
      <c r="AQ389" s="1748">
        <f t="shared" si="173"/>
        <v>0</v>
      </c>
      <c r="AR389" s="1742">
        <v>0.78</v>
      </c>
      <c r="AS389" s="1052">
        <f t="shared" si="174"/>
        <v>2.2285714285714286</v>
      </c>
      <c r="AT389" s="1049"/>
      <c r="AU389" s="1142"/>
      <c r="AV389" s="1049"/>
      <c r="AW389" s="1095" t="e">
        <f>SUM(#REF!)</f>
        <v>#REF!</v>
      </c>
      <c r="AX389" s="1086">
        <v>10</v>
      </c>
      <c r="AY389" s="1085">
        <v>11</v>
      </c>
      <c r="AZ389" s="1084">
        <v>1.35</v>
      </c>
      <c r="BA389" s="1736">
        <v>2.41</v>
      </c>
      <c r="BB389" s="1742">
        <f t="shared" si="175"/>
        <v>1.7851851851851852</v>
      </c>
      <c r="BC389" s="1049"/>
      <c r="BD389" s="1142"/>
      <c r="BE389" s="1049"/>
      <c r="BF389" s="1095" t="e">
        <f>SUM(#REF!)</f>
        <v>#REF!</v>
      </c>
      <c r="BG389" s="1086">
        <v>10</v>
      </c>
      <c r="BH389" s="1085">
        <v>11</v>
      </c>
      <c r="BI389" s="1874">
        <v>0.68</v>
      </c>
      <c r="BJ389" s="1736"/>
      <c r="BK389" s="1049"/>
      <c r="BL389" s="1095" t="e">
        <f>SUM(#REF!)</f>
        <v>#REF!</v>
      </c>
      <c r="BM389" s="1086">
        <v>10</v>
      </c>
      <c r="BN389" s="1085">
        <v>11</v>
      </c>
      <c r="BO389" s="1084"/>
      <c r="BP389" s="1084"/>
      <c r="BQ389" s="1049"/>
    </row>
    <row r="390" spans="1:69" ht="14.4">
      <c r="A390" s="1049"/>
      <c r="B390" s="1060"/>
      <c r="C390" s="1086">
        <v>11</v>
      </c>
      <c r="D390" s="1085">
        <v>12</v>
      </c>
      <c r="E390" s="1091">
        <v>1.94</v>
      </c>
      <c r="F390" s="1090">
        <v>5.61</v>
      </c>
      <c r="G390" s="1089">
        <f t="shared" si="165"/>
        <v>2.891752577319588</v>
      </c>
      <c r="H390" s="1049"/>
      <c r="I390" s="1060"/>
      <c r="J390" s="1086">
        <v>11</v>
      </c>
      <c r="K390" s="1085">
        <v>12</v>
      </c>
      <c r="L390" s="1084">
        <v>1.23</v>
      </c>
      <c r="M390" s="1088">
        <v>2.42</v>
      </c>
      <c r="N390" s="1087">
        <f t="shared" si="166"/>
        <v>1.967479674796748</v>
      </c>
      <c r="O390" s="1049"/>
      <c r="P390" s="1093">
        <f>P389/P381</f>
        <v>3.4324569189095735</v>
      </c>
      <c r="Q390" s="1086">
        <v>11</v>
      </c>
      <c r="R390" s="2760"/>
      <c r="S390" s="1084">
        <v>4.4859999999999998</v>
      </c>
      <c r="T390" s="1054">
        <f t="shared" si="167"/>
        <v>23.147759999999998</v>
      </c>
      <c r="U390" s="1142">
        <v>27.83</v>
      </c>
      <c r="V390" s="1052">
        <f t="shared" si="168"/>
        <v>6.2037449843958985</v>
      </c>
      <c r="W390" s="1049"/>
      <c r="X390" s="1051">
        <v>5.16</v>
      </c>
      <c r="Y390" s="1049"/>
      <c r="Z390" s="1050">
        <f t="shared" si="169"/>
        <v>19.558959999999999</v>
      </c>
      <c r="AA390" s="1093">
        <f>AA389/AA381</f>
        <v>0.57974981160512429</v>
      </c>
      <c r="AB390" s="1086">
        <v>11</v>
      </c>
      <c r="AC390" s="1085">
        <v>12</v>
      </c>
      <c r="AD390" s="1084">
        <v>3.3</v>
      </c>
      <c r="AE390" s="1143">
        <f t="shared" si="170"/>
        <v>5.0819999999999999</v>
      </c>
      <c r="AF390" s="1142">
        <v>7.35</v>
      </c>
      <c r="AG390" s="1052">
        <f t="shared" si="171"/>
        <v>2.2272727272727271</v>
      </c>
      <c r="AH390" s="1049"/>
      <c r="AI390" s="1142">
        <v>1.54</v>
      </c>
      <c r="AJ390" s="1049"/>
      <c r="AK390" s="1050">
        <f t="shared" si="172"/>
        <v>2.4419999999999997</v>
      </c>
      <c r="AL390" s="1049"/>
      <c r="AM390" s="1093" t="e">
        <f>AM389/AM381</f>
        <v>#REF!</v>
      </c>
      <c r="AN390" s="1086">
        <v>11</v>
      </c>
      <c r="AO390" s="1085">
        <v>12</v>
      </c>
      <c r="AP390" s="1084">
        <v>0.36</v>
      </c>
      <c r="AQ390" s="1748">
        <f t="shared" si="173"/>
        <v>0</v>
      </c>
      <c r="AR390" s="1742">
        <v>0.74</v>
      </c>
      <c r="AS390" s="1052">
        <f t="shared" si="174"/>
        <v>2.0555555555555558</v>
      </c>
      <c r="AT390" s="1049"/>
      <c r="AU390" s="1142"/>
      <c r="AV390" s="1049"/>
      <c r="AW390" s="1093" t="e">
        <f>AW389/AW381</f>
        <v>#REF!</v>
      </c>
      <c r="AX390" s="1086">
        <v>11</v>
      </c>
      <c r="AY390" s="1085">
        <v>12</v>
      </c>
      <c r="AZ390" s="1084">
        <v>0.27</v>
      </c>
      <c r="BA390" s="1736">
        <v>0.45</v>
      </c>
      <c r="BB390" s="1742">
        <f t="shared" si="175"/>
        <v>1.6666666666666665</v>
      </c>
      <c r="BC390" s="1049"/>
      <c r="BD390" s="1142"/>
      <c r="BE390" s="1049"/>
      <c r="BF390" s="1093" t="e">
        <f>BF389/BF381</f>
        <v>#REF!</v>
      </c>
      <c r="BG390" s="1086">
        <v>11</v>
      </c>
      <c r="BH390" s="1085">
        <v>12</v>
      </c>
      <c r="BI390" s="1874">
        <v>1.08</v>
      </c>
      <c r="BJ390" s="1736"/>
      <c r="BK390" s="1049"/>
      <c r="BL390" s="1093" t="e">
        <f>BL389/BL381</f>
        <v>#REF!</v>
      </c>
      <c r="BM390" s="1086">
        <v>11</v>
      </c>
      <c r="BN390" s="1085">
        <v>12</v>
      </c>
      <c r="BO390" s="1084"/>
      <c r="BP390" s="1084"/>
      <c r="BQ390" s="1049"/>
    </row>
    <row r="391" spans="1:69" ht="14.4">
      <c r="A391" s="1049"/>
      <c r="B391" s="1060"/>
      <c r="C391" s="1086">
        <v>12</v>
      </c>
      <c r="D391" s="1085">
        <v>13</v>
      </c>
      <c r="E391" s="1091">
        <v>1.47</v>
      </c>
      <c r="F391" s="1090">
        <v>4.25</v>
      </c>
      <c r="G391" s="1089">
        <f t="shared" si="165"/>
        <v>2.8911564625850339</v>
      </c>
      <c r="H391" s="1049"/>
      <c r="I391" s="1060"/>
      <c r="J391" s="1086">
        <v>12</v>
      </c>
      <c r="K391" s="1085">
        <v>13</v>
      </c>
      <c r="L391" s="1084">
        <v>1.8520000000000001</v>
      </c>
      <c r="M391" s="1088">
        <v>3.58</v>
      </c>
      <c r="N391" s="1087">
        <f t="shared" si="166"/>
        <v>1.9330453563714902</v>
      </c>
      <c r="O391" s="1049"/>
      <c r="P391" s="1060"/>
      <c r="Q391" s="1086">
        <v>12</v>
      </c>
      <c r="R391" s="2761"/>
      <c r="S391" s="1084">
        <v>4.3179999999999996</v>
      </c>
      <c r="T391" s="1054">
        <f t="shared" si="167"/>
        <v>20.337779999999999</v>
      </c>
      <c r="U391" s="1142">
        <v>24.84</v>
      </c>
      <c r="V391" s="1052">
        <f t="shared" si="168"/>
        <v>5.7526632700324232</v>
      </c>
      <c r="W391" s="1049"/>
      <c r="X391" s="1051">
        <v>4.71</v>
      </c>
      <c r="Y391" s="1049"/>
      <c r="Z391" s="1050">
        <f t="shared" si="169"/>
        <v>16.883379999999999</v>
      </c>
      <c r="AA391" s="1060"/>
      <c r="AB391" s="1086">
        <v>12</v>
      </c>
      <c r="AC391" s="1085">
        <v>13</v>
      </c>
      <c r="AD391" s="1084">
        <v>3.68</v>
      </c>
      <c r="AE391" s="1143">
        <f t="shared" si="170"/>
        <v>5.5200000000000005</v>
      </c>
      <c r="AF391" s="1142">
        <v>8.06</v>
      </c>
      <c r="AG391" s="1052">
        <f t="shared" si="171"/>
        <v>2.1902173913043477</v>
      </c>
      <c r="AH391" s="1049"/>
      <c r="AI391" s="1142">
        <v>1.5</v>
      </c>
      <c r="AJ391" s="1049"/>
      <c r="AK391" s="1050">
        <f t="shared" si="172"/>
        <v>2.5760000000000001</v>
      </c>
      <c r="AL391" s="1049"/>
      <c r="AM391" s="1060"/>
      <c r="AN391" s="1086">
        <v>12</v>
      </c>
      <c r="AO391" s="1085">
        <v>13</v>
      </c>
      <c r="AP391" s="1084">
        <v>0.21</v>
      </c>
      <c r="AQ391" s="1748">
        <f t="shared" si="173"/>
        <v>0</v>
      </c>
      <c r="AR391" s="1742">
        <v>0.4</v>
      </c>
      <c r="AS391" s="1052">
        <f t="shared" si="174"/>
        <v>1.9047619047619049</v>
      </c>
      <c r="AT391" s="1049"/>
      <c r="AU391" s="1142"/>
      <c r="AV391" s="1049"/>
      <c r="AW391" s="1060"/>
      <c r="AX391" s="1086">
        <v>12</v>
      </c>
      <c r="AY391" s="1085">
        <v>13</v>
      </c>
      <c r="AZ391" s="1084">
        <v>0.3</v>
      </c>
      <c r="BA391" s="1736">
        <v>0.49</v>
      </c>
      <c r="BB391" s="1742">
        <f t="shared" si="175"/>
        <v>1.6333333333333333</v>
      </c>
      <c r="BC391" s="1049"/>
      <c r="BD391" s="1142"/>
      <c r="BE391" s="1049"/>
      <c r="BF391" s="1060"/>
      <c r="BG391" s="1086">
        <v>12</v>
      </c>
      <c r="BH391" s="1085">
        <v>13</v>
      </c>
      <c r="BI391" s="1874">
        <v>0.57999999999999996</v>
      </c>
      <c r="BJ391" s="1736"/>
      <c r="BK391" s="1049"/>
      <c r="BL391" s="1060"/>
      <c r="BM391" s="1086">
        <v>12</v>
      </c>
      <c r="BN391" s="1085">
        <v>13</v>
      </c>
      <c r="BO391" s="1084"/>
      <c r="BP391" s="1084"/>
      <c r="BQ391" s="1049"/>
    </row>
    <row r="392" spans="1:69" ht="14.4">
      <c r="A392" s="1049"/>
      <c r="B392" s="1060"/>
      <c r="C392" s="1086">
        <v>13</v>
      </c>
      <c r="D392" s="1085">
        <v>14</v>
      </c>
      <c r="E392" s="1091">
        <v>1.2</v>
      </c>
      <c r="F392" s="1090">
        <v>3.46</v>
      </c>
      <c r="G392" s="1089">
        <f t="shared" si="165"/>
        <v>2.8833333333333333</v>
      </c>
      <c r="H392" s="1049"/>
      <c r="I392" s="1060"/>
      <c r="J392" s="1086">
        <v>13</v>
      </c>
      <c r="K392" s="1085">
        <v>14</v>
      </c>
      <c r="L392" s="1084">
        <v>2.6419999999999999</v>
      </c>
      <c r="M392" s="1088">
        <v>5.08</v>
      </c>
      <c r="N392" s="1087">
        <f t="shared" si="166"/>
        <v>1.9227857683573051</v>
      </c>
      <c r="O392" s="1049"/>
      <c r="P392" s="1092" t="s">
        <v>1127</v>
      </c>
      <c r="Q392" s="1086">
        <v>13</v>
      </c>
      <c r="R392" s="1085">
        <v>14</v>
      </c>
      <c r="S392" s="1084">
        <v>4.3970000000000002</v>
      </c>
      <c r="T392" s="1054">
        <f t="shared" si="167"/>
        <v>19.742530000000002</v>
      </c>
      <c r="U392" s="1142">
        <v>24.35</v>
      </c>
      <c r="V392" s="1052">
        <f t="shared" si="168"/>
        <v>5.5378667273140776</v>
      </c>
      <c r="W392" s="1049"/>
      <c r="X392" s="1051">
        <v>4.49</v>
      </c>
      <c r="Y392" s="1049"/>
      <c r="Z392" s="1050">
        <f t="shared" si="169"/>
        <v>16.224930000000004</v>
      </c>
      <c r="AA392" s="1092" t="s">
        <v>1127</v>
      </c>
      <c r="AB392" s="1086">
        <v>13</v>
      </c>
      <c r="AC392" s="1085">
        <v>14</v>
      </c>
      <c r="AD392" s="1084">
        <v>3.57</v>
      </c>
      <c r="AE392" s="1143">
        <f t="shared" si="170"/>
        <v>5.1407999999999996</v>
      </c>
      <c r="AF392" s="1142">
        <v>7.61</v>
      </c>
      <c r="AG392" s="1052">
        <f t="shared" si="171"/>
        <v>2.1316526610644257</v>
      </c>
      <c r="AH392" s="1049"/>
      <c r="AI392" s="1142">
        <v>1.44</v>
      </c>
      <c r="AJ392" s="1049"/>
      <c r="AK392" s="1050">
        <f t="shared" si="172"/>
        <v>2.2847999999999997</v>
      </c>
      <c r="AL392" s="1049"/>
      <c r="AM392" s="1092" t="s">
        <v>1127</v>
      </c>
      <c r="AN392" s="1086">
        <v>13</v>
      </c>
      <c r="AO392" s="1085">
        <v>14</v>
      </c>
      <c r="AP392" s="1084">
        <v>0.16</v>
      </c>
      <c r="AQ392" s="1748">
        <f t="shared" si="173"/>
        <v>0</v>
      </c>
      <c r="AR392" s="1742">
        <v>0.31</v>
      </c>
      <c r="AS392" s="1052">
        <f t="shared" si="174"/>
        <v>1.9375</v>
      </c>
      <c r="AT392" s="1049"/>
      <c r="AU392" s="1142"/>
      <c r="AV392" s="1049"/>
      <c r="AW392" s="1092" t="s">
        <v>1127</v>
      </c>
      <c r="AX392" s="1086">
        <v>13</v>
      </c>
      <c r="AY392" s="1085">
        <v>14</v>
      </c>
      <c r="AZ392" s="1084">
        <v>0.21</v>
      </c>
      <c r="BA392" s="1736">
        <v>0.33</v>
      </c>
      <c r="BB392" s="1742">
        <f t="shared" si="175"/>
        <v>1.5714285714285716</v>
      </c>
      <c r="BC392" s="1049"/>
      <c r="BD392" s="1142"/>
      <c r="BE392" s="1049"/>
      <c r="BF392" s="1092" t="s">
        <v>1127</v>
      </c>
      <c r="BG392" s="1086">
        <v>13</v>
      </c>
      <c r="BH392" s="1085">
        <v>14</v>
      </c>
      <c r="BI392" s="1874">
        <v>0.4</v>
      </c>
      <c r="BJ392" s="1736"/>
      <c r="BK392" s="1049"/>
      <c r="BL392" s="1092" t="s">
        <v>1127</v>
      </c>
      <c r="BM392" s="1086">
        <v>13</v>
      </c>
      <c r="BN392" s="1085">
        <v>14</v>
      </c>
      <c r="BO392" s="1084"/>
      <c r="BP392" s="1084"/>
      <c r="BQ392" s="1049"/>
    </row>
    <row r="393" spans="1:69" ht="14.4">
      <c r="A393" s="1049"/>
      <c r="B393" s="1060"/>
      <c r="C393" s="1086">
        <v>14</v>
      </c>
      <c r="D393" s="1085">
        <v>15</v>
      </c>
      <c r="E393" s="1091">
        <v>0.43</v>
      </c>
      <c r="F393" s="1090">
        <v>1.23</v>
      </c>
      <c r="G393" s="1089">
        <f t="shared" si="165"/>
        <v>2.86046511627907</v>
      </c>
      <c r="H393" s="1049"/>
      <c r="I393" s="1060"/>
      <c r="J393" s="1086">
        <v>14</v>
      </c>
      <c r="K393" s="1085">
        <v>15</v>
      </c>
      <c r="L393" s="1084">
        <v>2.601</v>
      </c>
      <c r="M393" s="1088">
        <v>5.01</v>
      </c>
      <c r="N393" s="1087">
        <f t="shared" si="166"/>
        <v>1.9261822376009226</v>
      </c>
      <c r="O393" s="1049"/>
      <c r="P393" s="1058">
        <f>P381*0.8</f>
        <v>55.523200000000003</v>
      </c>
      <c r="Q393" s="1086">
        <v>14</v>
      </c>
      <c r="R393" s="1085">
        <v>15</v>
      </c>
      <c r="S393" s="1084">
        <v>3.6070000000000002</v>
      </c>
      <c r="T393" s="1054">
        <f t="shared" si="167"/>
        <v>16.087220000000002</v>
      </c>
      <c r="U393" s="1142">
        <v>19.86</v>
      </c>
      <c r="V393" s="1052">
        <f t="shared" si="168"/>
        <v>5.5059606321042409</v>
      </c>
      <c r="W393" s="1049"/>
      <c r="X393" s="1051">
        <v>4.46</v>
      </c>
      <c r="Y393" s="1049"/>
      <c r="Z393" s="1050">
        <f t="shared" si="169"/>
        <v>13.201620000000002</v>
      </c>
      <c r="AA393" s="1058">
        <f>AA381*0.8</f>
        <v>53.08</v>
      </c>
      <c r="AB393" s="1086">
        <v>14</v>
      </c>
      <c r="AC393" s="1085">
        <v>15</v>
      </c>
      <c r="AD393" s="1084">
        <v>3.56</v>
      </c>
      <c r="AE393" s="1143">
        <f t="shared" si="170"/>
        <v>5.1619999999999999</v>
      </c>
      <c r="AF393" s="1142">
        <v>7.6</v>
      </c>
      <c r="AG393" s="1052">
        <f t="shared" si="171"/>
        <v>2.1348314606741572</v>
      </c>
      <c r="AH393" s="1049"/>
      <c r="AI393" s="1142">
        <v>1.45</v>
      </c>
      <c r="AJ393" s="1049"/>
      <c r="AK393" s="1050">
        <f t="shared" si="172"/>
        <v>2.3139999999999996</v>
      </c>
      <c r="AL393" s="1049"/>
      <c r="AM393" s="1058">
        <f>AM381*0.8</f>
        <v>4.976</v>
      </c>
      <c r="AN393" s="1086">
        <v>14</v>
      </c>
      <c r="AO393" s="1085">
        <v>15</v>
      </c>
      <c r="AP393" s="1084">
        <v>0.32</v>
      </c>
      <c r="AQ393" s="1748">
        <f t="shared" si="173"/>
        <v>0</v>
      </c>
      <c r="AR393" s="1742">
        <v>0.64</v>
      </c>
      <c r="AS393" s="1052">
        <f t="shared" si="174"/>
        <v>2</v>
      </c>
      <c r="AT393" s="1049"/>
      <c r="AU393" s="1142"/>
      <c r="AV393" s="1049"/>
      <c r="AW393" s="1058">
        <f>AW381*0.8</f>
        <v>6.5280000000000005</v>
      </c>
      <c r="AX393" s="1086">
        <v>14</v>
      </c>
      <c r="AY393" s="1085">
        <v>15</v>
      </c>
      <c r="AZ393" s="1084">
        <v>0.22</v>
      </c>
      <c r="BA393" s="1736">
        <v>0.35</v>
      </c>
      <c r="BB393" s="1742">
        <f t="shared" si="175"/>
        <v>1.5909090909090908</v>
      </c>
      <c r="BC393" s="1049"/>
      <c r="BD393" s="1142"/>
      <c r="BE393" s="1049"/>
      <c r="BF393" s="1058">
        <f>BF381*0.8</f>
        <v>7.008</v>
      </c>
      <c r="BG393" s="1086">
        <v>14</v>
      </c>
      <c r="BH393" s="1085">
        <v>15</v>
      </c>
      <c r="BI393" s="1874">
        <v>0.28999999999999998</v>
      </c>
      <c r="BJ393" s="1736"/>
      <c r="BK393" s="1049"/>
      <c r="BL393" s="1058">
        <f>BL381*0.8</f>
        <v>0</v>
      </c>
      <c r="BM393" s="1086">
        <v>14</v>
      </c>
      <c r="BN393" s="1085">
        <v>15</v>
      </c>
      <c r="BO393" s="1084"/>
      <c r="BP393" s="1084"/>
      <c r="BQ393" s="1049"/>
    </row>
    <row r="394" spans="1:69" ht="14.4">
      <c r="A394" s="1049"/>
      <c r="B394" s="1060"/>
      <c r="C394" s="1086">
        <v>15</v>
      </c>
      <c r="D394" s="1085">
        <v>16</v>
      </c>
      <c r="E394" s="1091">
        <v>0.46</v>
      </c>
      <c r="F394" s="1090">
        <v>1.33</v>
      </c>
      <c r="G394" s="1089">
        <f t="shared" si="165"/>
        <v>2.8913043478260869</v>
      </c>
      <c r="H394" s="1049"/>
      <c r="I394" s="1060"/>
      <c r="J394" s="1086">
        <v>15</v>
      </c>
      <c r="K394" s="1085">
        <v>16</v>
      </c>
      <c r="L394" s="1084">
        <v>2.391</v>
      </c>
      <c r="M394" s="1088">
        <v>4.62</v>
      </c>
      <c r="N394" s="1087">
        <f t="shared" si="166"/>
        <v>1.9322459222082811</v>
      </c>
      <c r="O394" s="1049"/>
      <c r="P394" s="1058" t="s">
        <v>1126</v>
      </c>
      <c r="Q394" s="1086">
        <v>15</v>
      </c>
      <c r="R394" s="1085">
        <v>16</v>
      </c>
      <c r="S394" s="1084">
        <v>3.78</v>
      </c>
      <c r="T394" s="1054">
        <f t="shared" si="167"/>
        <v>16.858799999999999</v>
      </c>
      <c r="U394" s="1142">
        <v>20.76</v>
      </c>
      <c r="V394" s="1052">
        <f t="shared" si="168"/>
        <v>5.492063492063493</v>
      </c>
      <c r="W394" s="1049"/>
      <c r="X394" s="1051">
        <v>4.46</v>
      </c>
      <c r="Y394" s="1049"/>
      <c r="Z394" s="1050">
        <f t="shared" si="169"/>
        <v>13.8348</v>
      </c>
      <c r="AA394" s="1058" t="s">
        <v>1126</v>
      </c>
      <c r="AB394" s="1086">
        <v>15</v>
      </c>
      <c r="AC394" s="1085">
        <v>16</v>
      </c>
      <c r="AD394" s="1084">
        <v>3.37</v>
      </c>
      <c r="AE394" s="1143">
        <f t="shared" si="170"/>
        <v>5.0213000000000001</v>
      </c>
      <c r="AF394" s="1142">
        <v>7.33</v>
      </c>
      <c r="AG394" s="1052">
        <f t="shared" si="171"/>
        <v>2.1750741839762613</v>
      </c>
      <c r="AH394" s="1049"/>
      <c r="AI394" s="1142">
        <v>1.49</v>
      </c>
      <c r="AJ394" s="1049"/>
      <c r="AK394" s="1050">
        <f t="shared" si="172"/>
        <v>2.3252999999999999</v>
      </c>
      <c r="AL394" s="1049"/>
      <c r="AM394" s="1058" t="s">
        <v>1126</v>
      </c>
      <c r="AN394" s="1086">
        <v>15</v>
      </c>
      <c r="AO394" s="1085">
        <v>16</v>
      </c>
      <c r="AP394" s="1084">
        <v>0.25</v>
      </c>
      <c r="AQ394" s="1748">
        <f t="shared" si="173"/>
        <v>0</v>
      </c>
      <c r="AR394" s="1742">
        <v>0.52</v>
      </c>
      <c r="AS394" s="1052">
        <f t="shared" si="174"/>
        <v>2.08</v>
      </c>
      <c r="AT394" s="1049"/>
      <c r="AU394" s="1142"/>
      <c r="AV394" s="1049"/>
      <c r="AW394" s="1058" t="s">
        <v>1126</v>
      </c>
      <c r="AX394" s="1086">
        <v>15</v>
      </c>
      <c r="AY394" s="1085">
        <v>16</v>
      </c>
      <c r="AZ394" s="1084">
        <v>0.4</v>
      </c>
      <c r="BA394" s="1736">
        <v>0.64</v>
      </c>
      <c r="BB394" s="1742">
        <f t="shared" si="175"/>
        <v>1.5999999999999999</v>
      </c>
      <c r="BC394" s="1049"/>
      <c r="BD394" s="1142"/>
      <c r="BE394" s="1049"/>
      <c r="BF394" s="1058" t="s">
        <v>1126</v>
      </c>
      <c r="BG394" s="1086">
        <v>15</v>
      </c>
      <c r="BH394" s="1085">
        <v>16</v>
      </c>
      <c r="BI394" s="1874">
        <v>0.32</v>
      </c>
      <c r="BJ394" s="1736"/>
      <c r="BK394" s="1049"/>
      <c r="BL394" s="1058" t="s">
        <v>1126</v>
      </c>
      <c r="BM394" s="1086">
        <v>15</v>
      </c>
      <c r="BN394" s="1085">
        <v>16</v>
      </c>
      <c r="BO394" s="1084"/>
      <c r="BP394" s="1084"/>
      <c r="BQ394" s="1049"/>
    </row>
    <row r="395" spans="1:69" ht="15" thickBot="1">
      <c r="A395" s="1049"/>
      <c r="B395" s="1060"/>
      <c r="C395" s="1077">
        <v>16</v>
      </c>
      <c r="D395" s="1076">
        <v>17</v>
      </c>
      <c r="E395" s="1083">
        <v>0.44</v>
      </c>
      <c r="F395" s="1082">
        <v>1.27</v>
      </c>
      <c r="G395" s="1081">
        <f t="shared" si="165"/>
        <v>2.8863636363636362</v>
      </c>
      <c r="H395" s="1049"/>
      <c r="I395" s="1060"/>
      <c r="J395" s="1077">
        <v>16</v>
      </c>
      <c r="K395" s="1076">
        <v>17</v>
      </c>
      <c r="L395" s="1075">
        <v>1.488</v>
      </c>
      <c r="M395" s="1080">
        <v>2.89</v>
      </c>
      <c r="N395" s="1079">
        <f t="shared" si="166"/>
        <v>1.942204301075269</v>
      </c>
      <c r="O395" s="1049"/>
      <c r="P395" s="1078">
        <f>P381*(X378-0.8)</f>
        <v>249.5507575</v>
      </c>
      <c r="Q395" s="1077">
        <v>16</v>
      </c>
      <c r="R395" s="1076">
        <v>17</v>
      </c>
      <c r="S395" s="1075">
        <v>3.0880000000000001</v>
      </c>
      <c r="T395" s="1054">
        <f t="shared" si="167"/>
        <v>14.143040000000001</v>
      </c>
      <c r="U395" s="1140">
        <v>17.37</v>
      </c>
      <c r="V395" s="1052">
        <f t="shared" si="168"/>
        <v>5.625</v>
      </c>
      <c r="W395" s="1049"/>
      <c r="X395" s="1074">
        <v>4.58</v>
      </c>
      <c r="Y395" s="1049"/>
      <c r="Z395" s="1050">
        <f t="shared" si="169"/>
        <v>11.672640000000001</v>
      </c>
      <c r="AA395" s="1078">
        <f>AA381*(AI378-0.8)</f>
        <v>47.896406249999984</v>
      </c>
      <c r="AB395" s="1077">
        <v>16</v>
      </c>
      <c r="AC395" s="1076">
        <v>17</v>
      </c>
      <c r="AD395" s="1075">
        <v>2.68</v>
      </c>
      <c r="AE395" s="1141">
        <f t="shared" si="170"/>
        <v>4.1004000000000005</v>
      </c>
      <c r="AF395" s="1140">
        <v>5.96</v>
      </c>
      <c r="AG395" s="1052">
        <f t="shared" si="171"/>
        <v>2.2238805970149254</v>
      </c>
      <c r="AH395" s="1049"/>
      <c r="AI395" s="1140">
        <v>1.53</v>
      </c>
      <c r="AJ395" s="1049"/>
      <c r="AK395" s="1050">
        <f t="shared" si="172"/>
        <v>1.9564000000000001</v>
      </c>
      <c r="AL395" s="1049"/>
      <c r="AM395" s="1078" t="e">
        <f>AM381*(AU378-0.8)</f>
        <v>#DIV/0!</v>
      </c>
      <c r="AN395" s="1077">
        <v>16</v>
      </c>
      <c r="AO395" s="1076">
        <v>17</v>
      </c>
      <c r="AP395" s="1075">
        <v>0.44</v>
      </c>
      <c r="AQ395" s="1749">
        <f t="shared" si="173"/>
        <v>0</v>
      </c>
      <c r="AR395" s="1743">
        <v>0.94</v>
      </c>
      <c r="AS395" s="1052">
        <f t="shared" si="174"/>
        <v>2.1363636363636362</v>
      </c>
      <c r="AT395" s="1049"/>
      <c r="AU395" s="1140"/>
      <c r="AV395" s="1049"/>
      <c r="AW395" s="1078" t="e">
        <f>AW381*(BD378-0.8)</f>
        <v>#DIV/0!</v>
      </c>
      <c r="AX395" s="1077">
        <v>16</v>
      </c>
      <c r="AY395" s="1076">
        <v>17</v>
      </c>
      <c r="AZ395" s="1075">
        <v>0.28000000000000003</v>
      </c>
      <c r="BA395" s="1738">
        <v>0.47</v>
      </c>
      <c r="BB395" s="1743">
        <f t="shared" si="175"/>
        <v>1.6785714285714284</v>
      </c>
      <c r="BC395" s="1049"/>
      <c r="BD395" s="1140"/>
      <c r="BE395" s="1049"/>
      <c r="BF395" s="1078">
        <f>BF381*(BM378-0.8)</f>
        <v>-7.008</v>
      </c>
      <c r="BG395" s="1077">
        <v>16</v>
      </c>
      <c r="BH395" s="1076">
        <v>17</v>
      </c>
      <c r="BI395" s="1874">
        <v>0.42</v>
      </c>
      <c r="BJ395" s="1738"/>
      <c r="BK395" s="1049"/>
      <c r="BL395" s="1078">
        <f>BL381*(BS378-0.8)</f>
        <v>0</v>
      </c>
      <c r="BM395" s="1077">
        <v>16</v>
      </c>
      <c r="BN395" s="1076">
        <v>17</v>
      </c>
      <c r="BO395" s="1075"/>
      <c r="BP395" s="1075"/>
      <c r="BQ395" s="1049"/>
    </row>
    <row r="396" spans="1:69" ht="14.4">
      <c r="A396" s="1049"/>
      <c r="B396" s="1060"/>
      <c r="C396" s="1068">
        <v>17</v>
      </c>
      <c r="D396" s="1067">
        <v>18</v>
      </c>
      <c r="E396" s="1073">
        <v>0.41</v>
      </c>
      <c r="F396" s="1072">
        <v>1.44</v>
      </c>
      <c r="G396" s="1071">
        <f t="shared" si="165"/>
        <v>3.5121951219512195</v>
      </c>
      <c r="H396" s="1049"/>
      <c r="I396" s="1060"/>
      <c r="J396" s="1068">
        <v>17</v>
      </c>
      <c r="K396" s="1067">
        <v>18</v>
      </c>
      <c r="L396" s="1066">
        <v>1.8879999999999999</v>
      </c>
      <c r="M396" s="1070">
        <v>5.39</v>
      </c>
      <c r="N396" s="1069">
        <f t="shared" si="166"/>
        <v>2.8548728813559321</v>
      </c>
      <c r="O396" s="1049"/>
      <c r="P396" s="1058"/>
      <c r="Q396" s="1068">
        <v>17</v>
      </c>
      <c r="R396" s="1067">
        <v>18</v>
      </c>
      <c r="S396" s="1066">
        <v>3.7709999999999999</v>
      </c>
      <c r="T396" s="1054">
        <f t="shared" si="167"/>
        <v>18.213930000000001</v>
      </c>
      <c r="U396" s="1138">
        <v>22.14</v>
      </c>
      <c r="V396" s="1052">
        <f t="shared" si="168"/>
        <v>5.871121718377089</v>
      </c>
      <c r="W396" s="1049"/>
      <c r="X396" s="1065">
        <v>4.83</v>
      </c>
      <c r="Y396" s="1049"/>
      <c r="Z396" s="1050">
        <f t="shared" si="169"/>
        <v>15.197130000000001</v>
      </c>
      <c r="AA396" s="1058"/>
      <c r="AB396" s="1068">
        <v>17</v>
      </c>
      <c r="AC396" s="1067">
        <v>18</v>
      </c>
      <c r="AD396" s="1066">
        <v>2.33</v>
      </c>
      <c r="AE396" s="1139">
        <f t="shared" si="170"/>
        <v>4.3338000000000001</v>
      </c>
      <c r="AF396" s="1138">
        <v>7.33</v>
      </c>
      <c r="AG396" s="1052">
        <f t="shared" si="171"/>
        <v>3.1459227467811157</v>
      </c>
      <c r="AH396" s="1049"/>
      <c r="AI396" s="1138">
        <v>1.86</v>
      </c>
      <c r="AJ396" s="1049"/>
      <c r="AK396" s="1050">
        <f t="shared" si="172"/>
        <v>2.4698000000000002</v>
      </c>
      <c r="AL396" s="1049"/>
      <c r="AM396" s="1058"/>
      <c r="AN396" s="1068">
        <v>17</v>
      </c>
      <c r="AO396" s="1067">
        <v>18</v>
      </c>
      <c r="AP396" s="1066">
        <v>0.38</v>
      </c>
      <c r="AQ396" s="1750">
        <f t="shared" si="173"/>
        <v>0</v>
      </c>
      <c r="AR396" s="1744">
        <v>1.2</v>
      </c>
      <c r="AS396" s="1052">
        <f t="shared" si="174"/>
        <v>3.1578947368421053</v>
      </c>
      <c r="AT396" s="1049"/>
      <c r="AU396" s="1138"/>
      <c r="AV396" s="1049"/>
      <c r="AW396" s="1058"/>
      <c r="AX396" s="1068">
        <v>17</v>
      </c>
      <c r="AY396" s="1067">
        <v>18</v>
      </c>
      <c r="AZ396" s="1066">
        <v>0.61</v>
      </c>
      <c r="BA396" s="1740">
        <v>1.53</v>
      </c>
      <c r="BB396" s="1744">
        <f t="shared" si="175"/>
        <v>2.5081967213114753</v>
      </c>
      <c r="BC396" s="1049"/>
      <c r="BD396" s="1138"/>
      <c r="BE396" s="1049"/>
      <c r="BF396" s="1058"/>
      <c r="BG396" s="1068">
        <v>17</v>
      </c>
      <c r="BH396" s="1067">
        <v>18</v>
      </c>
      <c r="BI396" s="1874">
        <v>1.0900000000000001</v>
      </c>
      <c r="BJ396" s="1740"/>
      <c r="BK396" s="1049"/>
      <c r="BL396" s="1058"/>
      <c r="BM396" s="1068">
        <v>17</v>
      </c>
      <c r="BN396" s="1067">
        <v>18</v>
      </c>
      <c r="BO396" s="1066"/>
      <c r="BP396" s="1066"/>
      <c r="BQ396" s="1049"/>
    </row>
    <row r="397" spans="1:69" ht="14.4">
      <c r="A397" s="1049"/>
      <c r="B397" s="1060"/>
      <c r="C397" s="1057">
        <v>18</v>
      </c>
      <c r="D397" s="1056">
        <v>19</v>
      </c>
      <c r="E397" s="1063">
        <v>0.69</v>
      </c>
      <c r="F397" s="1062">
        <v>2.42</v>
      </c>
      <c r="G397" s="1061">
        <f t="shared" si="165"/>
        <v>3.5072463768115942</v>
      </c>
      <c r="H397" s="1049"/>
      <c r="I397" s="1060"/>
      <c r="J397" s="1057">
        <v>18</v>
      </c>
      <c r="K397" s="1056">
        <v>19</v>
      </c>
      <c r="L397" s="1055">
        <v>1.5369999999999999</v>
      </c>
      <c r="M397" s="1059">
        <v>4.25</v>
      </c>
      <c r="N397" s="1052">
        <f t="shared" si="166"/>
        <v>2.7651268705270007</v>
      </c>
      <c r="O397" s="1049"/>
      <c r="P397" s="1058"/>
      <c r="Q397" s="1057">
        <v>18</v>
      </c>
      <c r="R397" s="1056">
        <v>19</v>
      </c>
      <c r="S397" s="1055">
        <v>2.7629999999999999</v>
      </c>
      <c r="T397" s="1054">
        <f t="shared" si="167"/>
        <v>12.95847</v>
      </c>
      <c r="U397" s="1136">
        <v>15.84</v>
      </c>
      <c r="V397" s="1052">
        <f t="shared" si="168"/>
        <v>5.7328990228013028</v>
      </c>
      <c r="W397" s="1049"/>
      <c r="X397" s="1051">
        <v>4.6900000000000004</v>
      </c>
      <c r="Y397" s="1049"/>
      <c r="Z397" s="1050">
        <f t="shared" si="169"/>
        <v>10.748070000000002</v>
      </c>
      <c r="AA397" s="1058"/>
      <c r="AB397" s="1057">
        <v>18</v>
      </c>
      <c r="AC397" s="1056">
        <v>19</v>
      </c>
      <c r="AD397" s="1055">
        <v>2.39</v>
      </c>
      <c r="AE397" s="1137">
        <f t="shared" si="170"/>
        <v>4.1825000000000001</v>
      </c>
      <c r="AF397" s="1136">
        <v>7.68</v>
      </c>
      <c r="AG397" s="1052">
        <f t="shared" si="171"/>
        <v>3.2133891213389116</v>
      </c>
      <c r="AH397" s="1049"/>
      <c r="AI397" s="1136">
        <v>1.75</v>
      </c>
      <c r="AJ397" s="1049"/>
      <c r="AK397" s="1050">
        <f t="shared" si="172"/>
        <v>2.2705000000000002</v>
      </c>
      <c r="AL397" s="1049"/>
      <c r="AM397" s="1058"/>
      <c r="AN397" s="1057">
        <v>18</v>
      </c>
      <c r="AO397" s="1056">
        <v>19</v>
      </c>
      <c r="AP397" s="1055">
        <v>0.43</v>
      </c>
      <c r="AQ397" s="1745">
        <f t="shared" si="173"/>
        <v>0</v>
      </c>
      <c r="AR397" s="1737">
        <v>1.36</v>
      </c>
      <c r="AS397" s="1052">
        <f t="shared" si="174"/>
        <v>3.1627906976744189</v>
      </c>
      <c r="AT397" s="1049"/>
      <c r="AU397" s="1136"/>
      <c r="AV397" s="1049"/>
      <c r="AW397" s="1058"/>
      <c r="AX397" s="1057">
        <v>18</v>
      </c>
      <c r="AY397" s="1056">
        <v>19</v>
      </c>
      <c r="AZ397" s="1055">
        <v>0.32</v>
      </c>
      <c r="BA397" s="1736">
        <v>0.81</v>
      </c>
      <c r="BB397" s="1737">
        <f t="shared" si="175"/>
        <v>2.53125</v>
      </c>
      <c r="BC397" s="1049"/>
      <c r="BD397" s="1136"/>
      <c r="BE397" s="1049"/>
      <c r="BF397" s="1058"/>
      <c r="BG397" s="1057">
        <v>18</v>
      </c>
      <c r="BH397" s="1056">
        <v>19</v>
      </c>
      <c r="BI397" s="1874">
        <v>0.69</v>
      </c>
      <c r="BJ397" s="1736"/>
      <c r="BK397" s="1049"/>
      <c r="BL397" s="1058"/>
      <c r="BM397" s="1057">
        <v>18</v>
      </c>
      <c r="BN397" s="1056">
        <v>19</v>
      </c>
      <c r="BO397" s="1055"/>
      <c r="BP397" s="1055"/>
      <c r="BQ397" s="1049"/>
    </row>
    <row r="398" spans="1:69" ht="14.4">
      <c r="A398" s="1049"/>
      <c r="B398" s="1060"/>
      <c r="C398" s="1057">
        <v>19</v>
      </c>
      <c r="D398" s="1056">
        <v>20</v>
      </c>
      <c r="E398" s="1063">
        <v>0.78</v>
      </c>
      <c r="F398" s="1062">
        <v>2.72</v>
      </c>
      <c r="G398" s="1061">
        <f t="shared" si="165"/>
        <v>3.4871794871794872</v>
      </c>
      <c r="H398" s="1049"/>
      <c r="I398" s="1060"/>
      <c r="J398" s="1057">
        <v>19</v>
      </c>
      <c r="K398" s="1056">
        <v>20</v>
      </c>
      <c r="L398" s="1055">
        <v>1.5740000000000001</v>
      </c>
      <c r="M398" s="1059">
        <v>4.13</v>
      </c>
      <c r="N398" s="1052">
        <f t="shared" si="166"/>
        <v>2.6238881829733161</v>
      </c>
      <c r="O398" s="1049"/>
      <c r="P398" s="1058"/>
      <c r="Q398" s="1057">
        <v>19</v>
      </c>
      <c r="R398" s="1056">
        <v>20</v>
      </c>
      <c r="S398" s="1055">
        <v>3.35</v>
      </c>
      <c r="T398" s="1054">
        <f t="shared" si="167"/>
        <v>15.008000000000003</v>
      </c>
      <c r="U398" s="1136">
        <v>18.510000000000002</v>
      </c>
      <c r="V398" s="1052">
        <f t="shared" si="168"/>
        <v>5.5253731343283583</v>
      </c>
      <c r="W398" s="1049"/>
      <c r="X398" s="1051">
        <v>4.4800000000000004</v>
      </c>
      <c r="Y398" s="1049"/>
      <c r="Z398" s="1050">
        <f t="shared" si="169"/>
        <v>12.328000000000003</v>
      </c>
      <c r="AA398" s="1058"/>
      <c r="AB398" s="1057">
        <v>19</v>
      </c>
      <c r="AC398" s="1056">
        <v>20</v>
      </c>
      <c r="AD398" s="1055">
        <v>2.83</v>
      </c>
      <c r="AE398" s="1137">
        <f t="shared" si="170"/>
        <v>4.3299000000000003</v>
      </c>
      <c r="AF398" s="1136">
        <v>8.5</v>
      </c>
      <c r="AG398" s="1052">
        <f t="shared" si="171"/>
        <v>3.0035335689045937</v>
      </c>
      <c r="AH398" s="1049"/>
      <c r="AI398" s="1136">
        <v>1.53</v>
      </c>
      <c r="AJ398" s="1049"/>
      <c r="AK398" s="1050">
        <f t="shared" si="172"/>
        <v>2.0659000000000001</v>
      </c>
      <c r="AL398" s="1049"/>
      <c r="AM398" s="1058"/>
      <c r="AN398" s="1057">
        <v>19</v>
      </c>
      <c r="AO398" s="1056">
        <v>20</v>
      </c>
      <c r="AP398" s="1055">
        <v>0.46</v>
      </c>
      <c r="AQ398" s="1745">
        <f t="shared" si="173"/>
        <v>0</v>
      </c>
      <c r="AR398" s="1737">
        <v>1.4</v>
      </c>
      <c r="AS398" s="1052">
        <f t="shared" si="174"/>
        <v>3.043478260869565</v>
      </c>
      <c r="AT398" s="1049"/>
      <c r="AU398" s="1136"/>
      <c r="AV398" s="1049"/>
      <c r="AW398" s="1058"/>
      <c r="AX398" s="1057">
        <v>19</v>
      </c>
      <c r="AY398" s="1056">
        <v>20</v>
      </c>
      <c r="AZ398" s="1055">
        <v>0.2</v>
      </c>
      <c r="BA398" s="1736">
        <v>0.51</v>
      </c>
      <c r="BB398" s="1737">
        <f t="shared" si="175"/>
        <v>2.5499999999999998</v>
      </c>
      <c r="BC398" s="1049"/>
      <c r="BD398" s="1136"/>
      <c r="BE398" s="1049"/>
      <c r="BF398" s="1058"/>
      <c r="BG398" s="1057">
        <v>19</v>
      </c>
      <c r="BH398" s="1056">
        <v>20</v>
      </c>
      <c r="BI398" s="1874">
        <v>0.33</v>
      </c>
      <c r="BJ398" s="1736"/>
      <c r="BK398" s="1049"/>
      <c r="BL398" s="1058"/>
      <c r="BM398" s="1057">
        <v>19</v>
      </c>
      <c r="BN398" s="1056">
        <v>20</v>
      </c>
      <c r="BO398" s="1055"/>
      <c r="BP398" s="1055"/>
      <c r="BQ398" s="1049"/>
    </row>
    <row r="399" spans="1:69" ht="14.4">
      <c r="A399" s="1049"/>
      <c r="B399" s="1060"/>
      <c r="C399" s="1057">
        <v>20</v>
      </c>
      <c r="D399" s="1056">
        <v>21</v>
      </c>
      <c r="E399" s="1063">
        <v>0.57999999999999996</v>
      </c>
      <c r="F399" s="1062">
        <v>1.67</v>
      </c>
      <c r="G399" s="1061">
        <f t="shared" si="165"/>
        <v>2.8793103448275863</v>
      </c>
      <c r="H399" s="1049"/>
      <c r="I399" s="1060"/>
      <c r="J399" s="1057">
        <v>20</v>
      </c>
      <c r="K399" s="1056">
        <v>21</v>
      </c>
      <c r="L399" s="1055">
        <v>1.625</v>
      </c>
      <c r="M399" s="1059">
        <v>3.08</v>
      </c>
      <c r="N399" s="1052">
        <f t="shared" si="166"/>
        <v>1.8953846153846154</v>
      </c>
      <c r="O399" s="1049"/>
      <c r="P399" s="1058"/>
      <c r="Q399" s="1057">
        <v>20</v>
      </c>
      <c r="R399" s="1056">
        <v>21</v>
      </c>
      <c r="S399" s="1055">
        <v>3.6030000000000002</v>
      </c>
      <c r="T399" s="1054">
        <f t="shared" si="167"/>
        <v>13.619339999999999</v>
      </c>
      <c r="U399" s="1136">
        <v>17.39</v>
      </c>
      <c r="V399" s="1052">
        <f t="shared" si="168"/>
        <v>4.826533444351929</v>
      </c>
      <c r="W399" s="1049"/>
      <c r="X399" s="1051">
        <v>3.78</v>
      </c>
      <c r="Y399" s="1049"/>
      <c r="Z399" s="1050">
        <f t="shared" si="169"/>
        <v>10.736939999999999</v>
      </c>
      <c r="AA399" s="1058"/>
      <c r="AB399" s="1057">
        <v>20</v>
      </c>
      <c r="AC399" s="1056">
        <v>21</v>
      </c>
      <c r="AD399" s="1055">
        <v>3.02</v>
      </c>
      <c r="AE399" s="1137">
        <f t="shared" si="170"/>
        <v>4.2581999999999995</v>
      </c>
      <c r="AF399" s="1136">
        <v>6.33</v>
      </c>
      <c r="AG399" s="1052">
        <f t="shared" si="171"/>
        <v>2.0960264900662251</v>
      </c>
      <c r="AH399" s="1049"/>
      <c r="AI399" s="1136">
        <v>1.41</v>
      </c>
      <c r="AJ399" s="1049"/>
      <c r="AK399" s="1050">
        <f t="shared" si="172"/>
        <v>1.8421999999999996</v>
      </c>
      <c r="AL399" s="1049"/>
      <c r="AM399" s="1058"/>
      <c r="AN399" s="1057">
        <v>20</v>
      </c>
      <c r="AO399" s="1056">
        <v>21</v>
      </c>
      <c r="AP399" s="1055">
        <v>0.34</v>
      </c>
      <c r="AQ399" s="1745">
        <f t="shared" si="173"/>
        <v>0</v>
      </c>
      <c r="AR399" s="1737">
        <v>0.69</v>
      </c>
      <c r="AS399" s="1052">
        <f t="shared" si="174"/>
        <v>2.0294117647058822</v>
      </c>
      <c r="AT399" s="1049"/>
      <c r="AU399" s="1136"/>
      <c r="AV399" s="1049"/>
      <c r="AW399" s="1058"/>
      <c r="AX399" s="1057">
        <v>20</v>
      </c>
      <c r="AY399" s="1056">
        <v>21</v>
      </c>
      <c r="AZ399" s="1055">
        <v>0.19</v>
      </c>
      <c r="BA399" s="1736">
        <v>0.33</v>
      </c>
      <c r="BB399" s="1737">
        <f t="shared" si="175"/>
        <v>1.736842105263158</v>
      </c>
      <c r="BC399" s="1049"/>
      <c r="BD399" s="1136"/>
      <c r="BE399" s="1049"/>
      <c r="BF399" s="1058"/>
      <c r="BG399" s="1057">
        <v>20</v>
      </c>
      <c r="BH399" s="1056">
        <v>21</v>
      </c>
      <c r="BI399" s="1874">
        <v>0.37</v>
      </c>
      <c r="BJ399" s="1736"/>
      <c r="BK399" s="1049"/>
      <c r="BL399" s="1058"/>
      <c r="BM399" s="1057">
        <v>20</v>
      </c>
      <c r="BN399" s="1056">
        <v>21</v>
      </c>
      <c r="BO399" s="1055"/>
      <c r="BP399" s="1055"/>
      <c r="BQ399" s="1049"/>
    </row>
    <row r="400" spans="1:69" ht="14.4">
      <c r="A400" s="1049"/>
      <c r="B400" s="1060"/>
      <c r="C400" s="1057">
        <v>21</v>
      </c>
      <c r="D400" s="1056">
        <v>22</v>
      </c>
      <c r="E400" s="1063">
        <v>0.48</v>
      </c>
      <c r="F400" s="1062">
        <v>1.37</v>
      </c>
      <c r="G400" s="1061">
        <f t="shared" si="165"/>
        <v>2.854166666666667</v>
      </c>
      <c r="H400" s="1049"/>
      <c r="I400" s="1060"/>
      <c r="J400" s="1057">
        <v>21</v>
      </c>
      <c r="K400" s="1056">
        <v>22</v>
      </c>
      <c r="L400" s="1055">
        <v>1.629</v>
      </c>
      <c r="M400" s="1059">
        <v>3.07</v>
      </c>
      <c r="N400" s="1052">
        <f t="shared" si="166"/>
        <v>1.8845917740945364</v>
      </c>
      <c r="O400" s="1049"/>
      <c r="P400" s="1058"/>
      <c r="Q400" s="1057">
        <v>21</v>
      </c>
      <c r="R400" s="1056">
        <v>22</v>
      </c>
      <c r="S400" s="1055">
        <v>3.5960000000000001</v>
      </c>
      <c r="T400" s="1054">
        <f t="shared" si="167"/>
        <v>11.651040000000002</v>
      </c>
      <c r="U400" s="1136">
        <v>15.41</v>
      </c>
      <c r="V400" s="1052">
        <f t="shared" si="168"/>
        <v>4.2853170189098995</v>
      </c>
      <c r="W400" s="1049"/>
      <c r="X400" s="1051">
        <v>3.24</v>
      </c>
      <c r="Y400" s="1049"/>
      <c r="Z400" s="1050">
        <f t="shared" si="169"/>
        <v>8.7742400000000025</v>
      </c>
      <c r="AA400" s="1058"/>
      <c r="AB400" s="1057">
        <v>21</v>
      </c>
      <c r="AC400" s="1056">
        <v>22</v>
      </c>
      <c r="AD400" s="1055">
        <v>3.12</v>
      </c>
      <c r="AE400" s="1137">
        <f t="shared" si="170"/>
        <v>4.1184000000000003</v>
      </c>
      <c r="AF400" s="1136">
        <v>6.27</v>
      </c>
      <c r="AG400" s="1052">
        <f t="shared" si="171"/>
        <v>2.0096153846153846</v>
      </c>
      <c r="AH400" s="1049"/>
      <c r="AI400" s="1136">
        <v>1.32</v>
      </c>
      <c r="AJ400" s="1049"/>
      <c r="AK400" s="1050">
        <f t="shared" si="172"/>
        <v>1.6224000000000001</v>
      </c>
      <c r="AL400" s="1049"/>
      <c r="AM400" s="1058"/>
      <c r="AN400" s="1057">
        <v>21</v>
      </c>
      <c r="AO400" s="1056">
        <v>22</v>
      </c>
      <c r="AP400" s="1055">
        <v>0.21</v>
      </c>
      <c r="AQ400" s="1745">
        <f t="shared" si="173"/>
        <v>0</v>
      </c>
      <c r="AR400" s="1737">
        <v>0.43</v>
      </c>
      <c r="AS400" s="1052">
        <f t="shared" si="174"/>
        <v>2.0476190476190474</v>
      </c>
      <c r="AT400" s="1049"/>
      <c r="AU400" s="1136"/>
      <c r="AV400" s="1049"/>
      <c r="AW400" s="1058"/>
      <c r="AX400" s="1057">
        <v>21</v>
      </c>
      <c r="AY400" s="1056">
        <v>22</v>
      </c>
      <c r="AZ400" s="1055">
        <v>0.33</v>
      </c>
      <c r="BA400" s="1736">
        <v>0.54</v>
      </c>
      <c r="BB400" s="1737">
        <f t="shared" si="175"/>
        <v>1.6363636363636365</v>
      </c>
      <c r="BC400" s="1049"/>
      <c r="BD400" s="1136"/>
      <c r="BE400" s="1049"/>
      <c r="BF400" s="1058"/>
      <c r="BG400" s="1057">
        <v>21</v>
      </c>
      <c r="BH400" s="1056">
        <v>22</v>
      </c>
      <c r="BI400" s="1874">
        <v>0.27</v>
      </c>
      <c r="BJ400" s="1736"/>
      <c r="BK400" s="1049"/>
      <c r="BL400" s="1058"/>
      <c r="BM400" s="1057">
        <v>21</v>
      </c>
      <c r="BN400" s="1056">
        <v>22</v>
      </c>
      <c r="BO400" s="1055"/>
      <c r="BP400" s="1055"/>
      <c r="BQ400" s="1049"/>
    </row>
    <row r="401" spans="1:69" ht="14.4">
      <c r="A401" s="1049"/>
      <c r="B401" s="1060"/>
      <c r="C401" s="1057">
        <v>22</v>
      </c>
      <c r="D401" s="1056">
        <v>23</v>
      </c>
      <c r="E401" s="1063">
        <v>0.4</v>
      </c>
      <c r="F401" s="1062">
        <v>1.1499999999999999</v>
      </c>
      <c r="G401" s="1061">
        <f t="shared" si="165"/>
        <v>2.8749999999999996</v>
      </c>
      <c r="H401" s="1049"/>
      <c r="I401" s="1060"/>
      <c r="J401" s="1057">
        <v>22</v>
      </c>
      <c r="K401" s="1056">
        <v>23</v>
      </c>
      <c r="L401" s="1055">
        <v>1.577</v>
      </c>
      <c r="M401" s="1059">
        <v>2.96</v>
      </c>
      <c r="N401" s="1052">
        <f t="shared" si="166"/>
        <v>1.876981610653139</v>
      </c>
      <c r="O401" s="1049"/>
      <c r="P401" s="1058"/>
      <c r="Q401" s="1057">
        <v>22</v>
      </c>
      <c r="R401" s="1056">
        <v>23</v>
      </c>
      <c r="S401" s="1055">
        <v>3.4430000000000001</v>
      </c>
      <c r="T401" s="1054">
        <f t="shared" si="167"/>
        <v>10.29457</v>
      </c>
      <c r="U401" s="1136">
        <v>13.9</v>
      </c>
      <c r="V401" s="1052">
        <f t="shared" si="168"/>
        <v>4.03717688062736</v>
      </c>
      <c r="W401" s="1049"/>
      <c r="X401" s="1051">
        <v>2.99</v>
      </c>
      <c r="Y401" s="1049"/>
      <c r="Z401" s="1050">
        <f t="shared" si="169"/>
        <v>7.5401700000000016</v>
      </c>
      <c r="AA401" s="1058"/>
      <c r="AB401" s="1057">
        <v>22</v>
      </c>
      <c r="AC401" s="1056">
        <v>23</v>
      </c>
      <c r="AD401" s="1055">
        <v>3.04</v>
      </c>
      <c r="AE401" s="1137">
        <f t="shared" si="170"/>
        <v>3.8912</v>
      </c>
      <c r="AF401" s="1136">
        <v>5.98</v>
      </c>
      <c r="AG401" s="1052">
        <f t="shared" si="171"/>
        <v>1.9671052631578949</v>
      </c>
      <c r="AH401" s="1049"/>
      <c r="AI401" s="1136">
        <v>1.28</v>
      </c>
      <c r="AJ401" s="1049"/>
      <c r="AK401" s="1050">
        <f t="shared" si="172"/>
        <v>1.4592000000000001</v>
      </c>
      <c r="AL401" s="1049"/>
      <c r="AM401" s="1058"/>
      <c r="AN401" s="1057">
        <v>22</v>
      </c>
      <c r="AO401" s="1056">
        <v>23</v>
      </c>
      <c r="AP401" s="1055">
        <v>0.09</v>
      </c>
      <c r="AQ401" s="1745">
        <f t="shared" si="173"/>
        <v>0</v>
      </c>
      <c r="AR401" s="1737">
        <v>0.17</v>
      </c>
      <c r="AS401" s="1052">
        <f t="shared" si="174"/>
        <v>1.8888888888888891</v>
      </c>
      <c r="AT401" s="1049"/>
      <c r="AU401" s="1136"/>
      <c r="AV401" s="1049"/>
      <c r="AW401" s="1058"/>
      <c r="AX401" s="1057">
        <v>22</v>
      </c>
      <c r="AY401" s="1056">
        <v>23</v>
      </c>
      <c r="AZ401" s="1055">
        <v>0.2</v>
      </c>
      <c r="BA401" s="1736">
        <v>0.32</v>
      </c>
      <c r="BB401" s="1737">
        <f t="shared" si="175"/>
        <v>1.5999999999999999</v>
      </c>
      <c r="BC401" s="1049"/>
      <c r="BD401" s="1136"/>
      <c r="BE401" s="1049"/>
      <c r="BF401" s="1058"/>
      <c r="BG401" s="1057">
        <v>22</v>
      </c>
      <c r="BH401" s="1056">
        <v>23</v>
      </c>
      <c r="BI401" s="1874">
        <v>0.32</v>
      </c>
      <c r="BJ401" s="1736"/>
      <c r="BK401" s="1049"/>
      <c r="BL401" s="1058"/>
      <c r="BM401" s="1057">
        <v>22</v>
      </c>
      <c r="BN401" s="1056">
        <v>23</v>
      </c>
      <c r="BO401" s="1055"/>
      <c r="BP401" s="1055"/>
      <c r="BQ401" s="1049"/>
    </row>
    <row r="402" spans="1:69" ht="14.4">
      <c r="A402" s="1049"/>
      <c r="B402" s="1060"/>
      <c r="C402" s="1057">
        <v>23</v>
      </c>
      <c r="D402" s="1056">
        <v>24</v>
      </c>
      <c r="E402" s="1063">
        <v>0.28999999999999998</v>
      </c>
      <c r="F402" s="1062">
        <v>0.85</v>
      </c>
      <c r="G402" s="1061">
        <f t="shared" si="165"/>
        <v>2.931034482758621</v>
      </c>
      <c r="H402" s="1049"/>
      <c r="I402" s="1060"/>
      <c r="J402" s="1057">
        <v>23</v>
      </c>
      <c r="K402" s="1056">
        <v>24</v>
      </c>
      <c r="L402" s="1055">
        <v>1.403</v>
      </c>
      <c r="M402" s="1059">
        <v>2.59</v>
      </c>
      <c r="N402" s="1052">
        <f t="shared" si="166"/>
        <v>1.8460441910192444</v>
      </c>
      <c r="O402" s="1049"/>
      <c r="P402" s="1058"/>
      <c r="Q402" s="1057">
        <v>23</v>
      </c>
      <c r="R402" s="1056">
        <v>24</v>
      </c>
      <c r="S402" s="1055">
        <v>2.9540000000000002</v>
      </c>
      <c r="T402" s="1054">
        <f t="shared" si="167"/>
        <v>8.0644200000000001</v>
      </c>
      <c r="U402" s="1136">
        <v>11.14</v>
      </c>
      <c r="V402" s="1052">
        <f t="shared" si="168"/>
        <v>3.7711577522004061</v>
      </c>
      <c r="W402" s="1049"/>
      <c r="X402" s="1051">
        <v>2.73</v>
      </c>
      <c r="Y402" s="1049"/>
      <c r="Z402" s="1050">
        <f t="shared" si="169"/>
        <v>5.7012200000000002</v>
      </c>
      <c r="AA402" s="1058"/>
      <c r="AB402" s="1057">
        <v>23</v>
      </c>
      <c r="AC402" s="1056">
        <v>24</v>
      </c>
      <c r="AD402" s="1055">
        <v>2.97</v>
      </c>
      <c r="AE402" s="1137">
        <f t="shared" si="170"/>
        <v>3.4154999999999998</v>
      </c>
      <c r="AF402" s="1136">
        <v>5.46</v>
      </c>
      <c r="AG402" s="1052">
        <f t="shared" si="171"/>
        <v>1.8383838383838382</v>
      </c>
      <c r="AH402" s="1049"/>
      <c r="AI402" s="1136">
        <v>1.1499999999999999</v>
      </c>
      <c r="AJ402" s="1049"/>
      <c r="AK402" s="1050">
        <f t="shared" si="172"/>
        <v>1.0394999999999996</v>
      </c>
      <c r="AL402" s="1049"/>
      <c r="AM402" s="1058"/>
      <c r="AN402" s="1057">
        <v>23</v>
      </c>
      <c r="AO402" s="1056">
        <v>24</v>
      </c>
      <c r="AP402" s="1055">
        <v>0.15</v>
      </c>
      <c r="AQ402" s="1745">
        <f t="shared" si="173"/>
        <v>0</v>
      </c>
      <c r="AR402" s="1737">
        <v>0.27</v>
      </c>
      <c r="AS402" s="1052">
        <f t="shared" si="174"/>
        <v>1.8000000000000003</v>
      </c>
      <c r="AT402" s="1049"/>
      <c r="AU402" s="1136"/>
      <c r="AV402" s="1049"/>
      <c r="AW402" s="1058"/>
      <c r="AX402" s="1057">
        <v>23</v>
      </c>
      <c r="AY402" s="1056">
        <v>24</v>
      </c>
      <c r="AZ402" s="1055">
        <v>0.12</v>
      </c>
      <c r="BA402" s="1736">
        <v>0.19</v>
      </c>
      <c r="BB402" s="1737">
        <f t="shared" si="175"/>
        <v>1.5833333333333335</v>
      </c>
      <c r="BC402" s="1049"/>
      <c r="BD402" s="1136"/>
      <c r="BE402" s="1049"/>
      <c r="BF402" s="1058"/>
      <c r="BG402" s="1057">
        <v>23</v>
      </c>
      <c r="BH402" s="1056">
        <v>24</v>
      </c>
      <c r="BI402" s="1874">
        <v>0.1</v>
      </c>
      <c r="BJ402" s="1736"/>
      <c r="BK402" s="1049"/>
      <c r="BL402" s="1058"/>
      <c r="BM402" s="1057">
        <v>23</v>
      </c>
      <c r="BN402" s="1056">
        <v>24</v>
      </c>
      <c r="BO402" s="1055"/>
      <c r="BP402" s="1055"/>
      <c r="BQ402" s="1049"/>
    </row>
    <row r="403" spans="1:69" ht="14.4">
      <c r="A403" s="1036"/>
      <c r="B403" s="1044"/>
      <c r="C403" s="1135"/>
      <c r="D403" s="1135"/>
      <c r="E403" s="1134"/>
      <c r="F403" s="1133"/>
      <c r="G403" s="1132"/>
      <c r="H403" s="1044"/>
      <c r="I403" s="1044" t="s">
        <v>1136</v>
      </c>
      <c r="J403" s="1046"/>
      <c r="K403" s="1046"/>
      <c r="L403" s="1129">
        <f>AVERAGE(L404:L427)</f>
        <v>1.6596666666666666</v>
      </c>
      <c r="M403" s="1131">
        <f>AVERAGE(M404:M427)</f>
        <v>3.6924999999999994</v>
      </c>
      <c r="N403" s="1039">
        <f>AVERAGE(N404:N427)</f>
        <v>2.1883255085411282</v>
      </c>
      <c r="O403" s="1044"/>
      <c r="P403" s="1130" t="s">
        <v>1128</v>
      </c>
      <c r="Q403" s="1046"/>
      <c r="R403" s="1046"/>
      <c r="S403" s="1129">
        <f>AVERAGE(S404:S427)</f>
        <v>1.9346249999999998</v>
      </c>
      <c r="T403" s="1128">
        <f>SUM(T404:T427)</f>
        <v>110.92383000000001</v>
      </c>
      <c r="U403" s="1040">
        <f>AVERAGE(U404:U427)</f>
        <v>6.6412499999999994</v>
      </c>
      <c r="V403" s="1039">
        <f>AVERAGE(V404:V427)</f>
        <v>3.4311299623225682</v>
      </c>
      <c r="W403" s="1036"/>
      <c r="X403" s="1038">
        <f>AVERAGE(X412:X427)</f>
        <v>2.379375</v>
      </c>
      <c r="Y403" s="1036"/>
      <c r="Z403" s="1127">
        <f>SUM(Z404:Z427)</f>
        <v>73.779029999999977</v>
      </c>
      <c r="AA403" s="1130"/>
      <c r="AB403" s="1046"/>
      <c r="AC403" s="1046"/>
      <c r="AD403" s="1129">
        <f>AVERAGE(AD404:AD427)</f>
        <v>2.7865833333333327</v>
      </c>
      <c r="AE403" s="1128">
        <f>SUM(AE404:AE427)</f>
        <v>88.713769999999997</v>
      </c>
      <c r="AF403" s="1040">
        <f>AVERAGE(AF404:AF427)</f>
        <v>5.9179166666666658</v>
      </c>
      <c r="AG403" s="1039">
        <f>AVERAGE(AG404:AG427)</f>
        <v>2.0881691854456568</v>
      </c>
      <c r="AH403" s="1036"/>
      <c r="AI403" s="1038">
        <f>AVERAGE(AI412:AI427)</f>
        <v>1.4068749999999999</v>
      </c>
      <c r="AJ403" s="1036"/>
      <c r="AK403" s="1127">
        <f>SUM(AK404:AK427)</f>
        <v>35.211369999999988</v>
      </c>
      <c r="AL403" s="1036"/>
      <c r="AM403" s="1130"/>
      <c r="AN403" s="1046"/>
      <c r="AO403" s="1046"/>
      <c r="AP403" s="1129">
        <f>AVERAGE(AP404:AP427)</f>
        <v>0.29583333333333334</v>
      </c>
      <c r="AQ403" s="1734">
        <f>SUM(AQ404:AQ427)</f>
        <v>0</v>
      </c>
      <c r="AR403" s="1735">
        <f>AVERAGE(AR404:AR427)</f>
        <v>0.47625000000000006</v>
      </c>
      <c r="AS403" s="1039">
        <f>AVERAGE(AS404:AS427)</f>
        <v>1.6155617239739763</v>
      </c>
      <c r="AT403" s="1036"/>
      <c r="AU403" s="1038" t="e">
        <f>AVERAGE(AU412:AU427)</f>
        <v>#DIV/0!</v>
      </c>
      <c r="AV403" s="1036"/>
      <c r="AW403" s="1130" t="s">
        <v>1130</v>
      </c>
      <c r="AX403" s="1046"/>
      <c r="AY403" s="1046"/>
      <c r="AZ403" s="1129">
        <f>AVERAGE(AZ404:AZ427)</f>
        <v>0.28624999999999995</v>
      </c>
      <c r="BA403" s="1045">
        <f>AVERAGE(BA404:BA427)</f>
        <v>0.53916666666666668</v>
      </c>
      <c r="BB403" s="1039">
        <f>AVERAGE(BB404:BB427)</f>
        <v>1.7167629705118124</v>
      </c>
      <c r="BC403" s="1036"/>
      <c r="BD403" s="1038" t="e">
        <f>AVERAGE(BD412:BD427)</f>
        <v>#DIV/0!</v>
      </c>
      <c r="BE403" s="1036"/>
      <c r="BF403" s="1130" t="s">
        <v>1130</v>
      </c>
      <c r="BG403" s="2756">
        <f>BF404</f>
        <v>45033</v>
      </c>
      <c r="BH403" s="2756"/>
      <c r="BI403" s="1897">
        <f>SUM(BI404:BI427)</f>
        <v>6.28</v>
      </c>
      <c r="BJ403" s="1898">
        <f>SUM(BJ404:BJ427)</f>
        <v>0</v>
      </c>
      <c r="BK403" s="1036"/>
      <c r="BL403" s="1130" t="s">
        <v>1130</v>
      </c>
      <c r="BM403" s="1046"/>
      <c r="BN403" s="1046"/>
      <c r="BO403" s="1129" t="e">
        <f>AVERAGE(BO404:BO427)</f>
        <v>#DIV/0!</v>
      </c>
      <c r="BP403" s="1129" t="e">
        <f>AVERAGE(BP404:BP427)</f>
        <v>#DIV/0!</v>
      </c>
      <c r="BQ403" s="1036"/>
    </row>
    <row r="404" spans="1:69" ht="14.4">
      <c r="A404" s="1049"/>
      <c r="B404" s="1126">
        <v>44851</v>
      </c>
      <c r="C404" s="1057">
        <v>0</v>
      </c>
      <c r="D404" s="1056">
        <v>1</v>
      </c>
      <c r="E404" s="1063">
        <v>0.21</v>
      </c>
      <c r="F404" s="1062">
        <v>0.6</v>
      </c>
      <c r="G404" s="1061">
        <f t="shared" ref="G404:G427" si="176">F404/E404</f>
        <v>2.8571428571428572</v>
      </c>
      <c r="H404" s="1049"/>
      <c r="I404" s="1126">
        <v>44882</v>
      </c>
      <c r="J404" s="1057">
        <v>0</v>
      </c>
      <c r="K404" s="1056">
        <v>1</v>
      </c>
      <c r="L404" s="1055">
        <v>1.41</v>
      </c>
      <c r="M404" s="1059">
        <v>2.82</v>
      </c>
      <c r="N404" s="1052">
        <f t="shared" ref="N404:N427" si="177">M404/L404</f>
        <v>2</v>
      </c>
      <c r="O404" s="1049"/>
      <c r="P404" s="1125">
        <v>44912</v>
      </c>
      <c r="Q404" s="1057">
        <v>0</v>
      </c>
      <c r="R404" s="1056">
        <v>1</v>
      </c>
      <c r="S404" s="1055">
        <v>1.46</v>
      </c>
      <c r="T404" s="1054">
        <f t="shared" ref="T404:T427" si="178">S404*X404</f>
        <v>4.0295999999999994</v>
      </c>
      <c r="U404" s="1136">
        <v>5.56</v>
      </c>
      <c r="V404" s="1052">
        <f t="shared" ref="V404:V427" si="179">U404/S404</f>
        <v>3.8082191780821915</v>
      </c>
      <c r="W404" s="1049"/>
      <c r="X404" s="1051">
        <v>2.76</v>
      </c>
      <c r="Y404" s="1049"/>
      <c r="Z404" s="1050">
        <f t="shared" ref="Z404:Z427" si="180">S404*(X404-0.8)</f>
        <v>2.8615999999999997</v>
      </c>
      <c r="AA404" s="1125">
        <v>44943</v>
      </c>
      <c r="AB404" s="1057">
        <v>0</v>
      </c>
      <c r="AC404" s="1056">
        <v>1</v>
      </c>
      <c r="AD404" s="1055">
        <v>1.976</v>
      </c>
      <c r="AE404" s="1137">
        <f t="shared" ref="AE404:AE427" si="181">AD404*AI404</f>
        <v>2.0748000000000002</v>
      </c>
      <c r="AF404" s="1136">
        <v>3.43</v>
      </c>
      <c r="AG404" s="1052">
        <f t="shared" ref="AG404:AG427" si="182">AF404/AD404</f>
        <v>1.7358299595141702</v>
      </c>
      <c r="AH404" s="1049"/>
      <c r="AI404" s="1136">
        <v>1.05</v>
      </c>
      <c r="AJ404" s="1049"/>
      <c r="AK404" s="1050">
        <f t="shared" ref="AK404:AK427" si="183">AD404*(AI404-0.8)</f>
        <v>0.49399999999999999</v>
      </c>
      <c r="AL404" s="1049"/>
      <c r="AM404" s="1125">
        <v>44974</v>
      </c>
      <c r="AN404" s="1057">
        <v>0</v>
      </c>
      <c r="AO404" s="1056">
        <v>1</v>
      </c>
      <c r="AP404" s="1055">
        <v>0.13</v>
      </c>
      <c r="AQ404" s="1745">
        <f t="shared" ref="AQ404:AQ427" si="184">AP404*AU404</f>
        <v>0</v>
      </c>
      <c r="AR404" s="1737">
        <v>0.23</v>
      </c>
      <c r="AS404" s="1052">
        <f t="shared" ref="AS404:AS427" si="185">AR404/AP404</f>
        <v>1.7692307692307692</v>
      </c>
      <c r="AT404" s="1049"/>
      <c r="AU404" s="1136"/>
      <c r="AV404" s="1049"/>
      <c r="AW404" s="1125">
        <v>45002</v>
      </c>
      <c r="AX404" s="1057">
        <v>0</v>
      </c>
      <c r="AY404" s="1056">
        <v>1</v>
      </c>
      <c r="AZ404" s="1055">
        <v>0.12</v>
      </c>
      <c r="BA404" s="1736">
        <v>0.15</v>
      </c>
      <c r="BB404" s="1737">
        <f t="shared" ref="BB404:BB427" si="186">BA404/AZ404</f>
        <v>1.25</v>
      </c>
      <c r="BC404" s="1049"/>
      <c r="BD404" s="1136"/>
      <c r="BE404" s="1049"/>
      <c r="BF404" s="1125">
        <v>45033</v>
      </c>
      <c r="BG404" s="1057">
        <v>0</v>
      </c>
      <c r="BH404" s="1056">
        <v>1</v>
      </c>
      <c r="BI404" s="1874">
        <v>0.11</v>
      </c>
      <c r="BJ404" s="1736"/>
      <c r="BK404" s="1049"/>
      <c r="BL404" s="1125">
        <v>45033</v>
      </c>
      <c r="BM404" s="1057">
        <v>0</v>
      </c>
      <c r="BN404" s="1056">
        <v>1</v>
      </c>
      <c r="BO404" s="1055"/>
      <c r="BP404" s="1055"/>
      <c r="BQ404" s="1049"/>
    </row>
    <row r="405" spans="1:69" ht="14.4">
      <c r="A405" s="1049"/>
      <c r="B405" s="1124"/>
      <c r="C405" s="1057">
        <v>1</v>
      </c>
      <c r="D405" s="1056">
        <v>2</v>
      </c>
      <c r="E405" s="1063">
        <v>0.19</v>
      </c>
      <c r="F405" s="1062">
        <v>0.55000000000000004</v>
      </c>
      <c r="G405" s="1061">
        <f t="shared" si="176"/>
        <v>2.8947368421052633</v>
      </c>
      <c r="H405" s="1049"/>
      <c r="I405" s="1124"/>
      <c r="J405" s="1057">
        <v>1</v>
      </c>
      <c r="K405" s="1056">
        <v>2</v>
      </c>
      <c r="L405" s="1055">
        <v>1.865</v>
      </c>
      <c r="M405" s="1059">
        <v>3.51</v>
      </c>
      <c r="N405" s="1052">
        <f t="shared" si="177"/>
        <v>1.8820375335120643</v>
      </c>
      <c r="O405" s="1049"/>
      <c r="P405" s="1123"/>
      <c r="Q405" s="1057">
        <v>1</v>
      </c>
      <c r="R405" s="1056">
        <v>2</v>
      </c>
      <c r="S405" s="1055">
        <v>0.41799999999999998</v>
      </c>
      <c r="T405" s="1054">
        <f t="shared" si="178"/>
        <v>1.09934</v>
      </c>
      <c r="U405" s="1136">
        <v>1.53</v>
      </c>
      <c r="V405" s="1052">
        <f t="shared" si="179"/>
        <v>3.660287081339713</v>
      </c>
      <c r="W405" s="1049"/>
      <c r="X405" s="1051">
        <v>2.63</v>
      </c>
      <c r="Y405" s="1049"/>
      <c r="Z405" s="1050">
        <f t="shared" si="180"/>
        <v>0.76493999999999995</v>
      </c>
      <c r="AA405" s="1123"/>
      <c r="AB405" s="1057">
        <v>1</v>
      </c>
      <c r="AC405" s="1056">
        <v>2</v>
      </c>
      <c r="AD405" s="1055">
        <v>2.1549999999999998</v>
      </c>
      <c r="AE405" s="1137">
        <f t="shared" si="181"/>
        <v>2.1765499999999998</v>
      </c>
      <c r="AF405" s="1136">
        <v>3.67</v>
      </c>
      <c r="AG405" s="1052">
        <f t="shared" si="182"/>
        <v>1.703016241299304</v>
      </c>
      <c r="AH405" s="1049"/>
      <c r="AI405" s="1136">
        <v>1.01</v>
      </c>
      <c r="AJ405" s="1049"/>
      <c r="AK405" s="1050">
        <f t="shared" si="183"/>
        <v>0.4525499999999999</v>
      </c>
      <c r="AL405" s="1049"/>
      <c r="AM405" s="1123"/>
      <c r="AN405" s="1057">
        <v>1</v>
      </c>
      <c r="AO405" s="1056">
        <v>2</v>
      </c>
      <c r="AP405" s="1055">
        <v>0.16</v>
      </c>
      <c r="AQ405" s="1745">
        <f t="shared" si="184"/>
        <v>0</v>
      </c>
      <c r="AR405" s="1737">
        <v>0.28000000000000003</v>
      </c>
      <c r="AS405" s="1052">
        <f t="shared" si="185"/>
        <v>1.7500000000000002</v>
      </c>
      <c r="AT405" s="1049"/>
      <c r="AU405" s="1136"/>
      <c r="AV405" s="1049"/>
      <c r="AW405" s="1123"/>
      <c r="AX405" s="1057">
        <v>1</v>
      </c>
      <c r="AY405" s="1056">
        <v>2</v>
      </c>
      <c r="AZ405" s="1055">
        <v>0.09</v>
      </c>
      <c r="BA405" s="1736">
        <v>0.12</v>
      </c>
      <c r="BB405" s="1737">
        <f t="shared" si="186"/>
        <v>1.3333333333333333</v>
      </c>
      <c r="BC405" s="1049"/>
      <c r="BD405" s="1136"/>
      <c r="BE405" s="1049"/>
      <c r="BF405" s="1123"/>
      <c r="BG405" s="1057">
        <v>1</v>
      </c>
      <c r="BH405" s="1056">
        <v>2</v>
      </c>
      <c r="BI405" s="1874">
        <v>0.12</v>
      </c>
      <c r="BJ405" s="1736"/>
      <c r="BK405" s="1049"/>
      <c r="BL405" s="1123"/>
      <c r="BM405" s="1057">
        <v>1</v>
      </c>
      <c r="BN405" s="1056">
        <v>2</v>
      </c>
      <c r="BO405" s="1055"/>
      <c r="BP405" s="1055"/>
      <c r="BQ405" s="1049"/>
    </row>
    <row r="406" spans="1:69" ht="14.4">
      <c r="A406" s="1049"/>
      <c r="B406" s="1122">
        <f>SUM(E404:E427)</f>
        <v>11.529999999999998</v>
      </c>
      <c r="C406" s="1057">
        <v>2</v>
      </c>
      <c r="D406" s="1056">
        <v>3</v>
      </c>
      <c r="E406" s="1063">
        <v>0.21</v>
      </c>
      <c r="F406" s="1062">
        <v>0.61</v>
      </c>
      <c r="G406" s="1061">
        <f t="shared" si="176"/>
        <v>2.9047619047619047</v>
      </c>
      <c r="H406" s="1049"/>
      <c r="I406" s="1122">
        <f>SUM(L404:L427)</f>
        <v>39.832000000000001</v>
      </c>
      <c r="J406" s="1057">
        <v>2</v>
      </c>
      <c r="K406" s="1056">
        <v>3</v>
      </c>
      <c r="L406" s="1055">
        <v>1.393</v>
      </c>
      <c r="M406" s="1059">
        <v>2.5299999999999998</v>
      </c>
      <c r="N406" s="1052">
        <f t="shared" si="177"/>
        <v>1.8162239770279969</v>
      </c>
      <c r="O406" s="1049"/>
      <c r="P406" s="1121">
        <f>SUM(S404:S427)</f>
        <v>46.430999999999997</v>
      </c>
      <c r="Q406" s="1057">
        <v>2</v>
      </c>
      <c r="R406" s="1056">
        <v>3</v>
      </c>
      <c r="S406" s="1055">
        <v>0.45400000000000001</v>
      </c>
      <c r="T406" s="1054">
        <f t="shared" si="178"/>
        <v>1.0850600000000001</v>
      </c>
      <c r="U406" s="1136">
        <v>1.56</v>
      </c>
      <c r="V406" s="1052">
        <f t="shared" si="179"/>
        <v>3.4361233480176212</v>
      </c>
      <c r="W406" s="1049"/>
      <c r="X406" s="1051">
        <v>2.39</v>
      </c>
      <c r="Y406" s="1049"/>
      <c r="Z406" s="1050">
        <f t="shared" si="180"/>
        <v>0.72186000000000006</v>
      </c>
      <c r="AA406" s="1121">
        <f>SUM(AD404:AD427)</f>
        <v>66.877999999999986</v>
      </c>
      <c r="AB406" s="1057">
        <v>2</v>
      </c>
      <c r="AC406" s="1056">
        <v>3</v>
      </c>
      <c r="AD406" s="1055">
        <v>2.2160000000000002</v>
      </c>
      <c r="AE406" s="1137">
        <f t="shared" si="181"/>
        <v>2.1938400000000002</v>
      </c>
      <c r="AF406" s="1136">
        <v>3.72</v>
      </c>
      <c r="AG406" s="1052">
        <f t="shared" si="182"/>
        <v>1.6787003610108302</v>
      </c>
      <c r="AH406" s="1049"/>
      <c r="AI406" s="1136">
        <v>0.99</v>
      </c>
      <c r="AJ406" s="1049"/>
      <c r="AK406" s="1050">
        <f t="shared" si="183"/>
        <v>0.42103999999999991</v>
      </c>
      <c r="AL406" s="1049"/>
      <c r="AM406" s="1121">
        <f>SUM(AP404:AP427)</f>
        <v>7.1000000000000005</v>
      </c>
      <c r="AN406" s="1057">
        <v>2</v>
      </c>
      <c r="AO406" s="1056">
        <v>3</v>
      </c>
      <c r="AP406" s="1055">
        <v>0.16</v>
      </c>
      <c r="AQ406" s="1745">
        <f t="shared" si="184"/>
        <v>0</v>
      </c>
      <c r="AR406" s="1737">
        <v>0.27</v>
      </c>
      <c r="AS406" s="1052">
        <f t="shared" si="185"/>
        <v>1.6875</v>
      </c>
      <c r="AT406" s="1049"/>
      <c r="AU406" s="1136"/>
      <c r="AV406" s="1049"/>
      <c r="AW406" s="1121">
        <f>SUM(AZ404:AZ427)</f>
        <v>6.8699999999999992</v>
      </c>
      <c r="AX406" s="1057">
        <v>2</v>
      </c>
      <c r="AY406" s="1056">
        <v>3</v>
      </c>
      <c r="AZ406" s="1055">
        <v>0.13</v>
      </c>
      <c r="BA406" s="1736">
        <v>0.17</v>
      </c>
      <c r="BB406" s="1737">
        <f t="shared" si="186"/>
        <v>1.3076923076923077</v>
      </c>
      <c r="BC406" s="1049"/>
      <c r="BD406" s="1136"/>
      <c r="BE406" s="1049"/>
      <c r="BF406" s="1121">
        <f>SUM(BI404:BI427)</f>
        <v>6.28</v>
      </c>
      <c r="BG406" s="1057">
        <v>2</v>
      </c>
      <c r="BH406" s="1056">
        <v>3</v>
      </c>
      <c r="BI406" s="1874">
        <v>0.14000000000000001</v>
      </c>
      <c r="BJ406" s="1736"/>
      <c r="BK406" s="1049"/>
      <c r="BL406" s="1121">
        <f>SUM(BO404:BO427)+SUM(BP404:BP427)</f>
        <v>0</v>
      </c>
      <c r="BM406" s="1057">
        <v>2</v>
      </c>
      <c r="BN406" s="1056">
        <v>3</v>
      </c>
      <c r="BO406" s="1055"/>
      <c r="BP406" s="1055"/>
      <c r="BQ406" s="1049"/>
    </row>
    <row r="407" spans="1:69" ht="14.4">
      <c r="A407" s="1049"/>
      <c r="B407" s="1120">
        <f>B406/24</f>
        <v>0.48041666666666655</v>
      </c>
      <c r="C407" s="1057">
        <v>3</v>
      </c>
      <c r="D407" s="1056">
        <v>4</v>
      </c>
      <c r="E407" s="1063">
        <v>0.2</v>
      </c>
      <c r="F407" s="1062">
        <v>0.59</v>
      </c>
      <c r="G407" s="1061">
        <f t="shared" si="176"/>
        <v>2.9499999999999997</v>
      </c>
      <c r="H407" s="1049"/>
      <c r="I407" s="1120">
        <f>I406/24</f>
        <v>1.6596666666666666</v>
      </c>
      <c r="J407" s="1057">
        <v>3</v>
      </c>
      <c r="K407" s="1056">
        <v>4</v>
      </c>
      <c r="L407" s="1055">
        <v>1.391</v>
      </c>
      <c r="M407" s="1059">
        <v>2.44</v>
      </c>
      <c r="N407" s="1052">
        <f t="shared" si="177"/>
        <v>1.7541337167505391</v>
      </c>
      <c r="O407" s="1049"/>
      <c r="P407" s="1120">
        <f>P406/24</f>
        <v>1.9346249999999998</v>
      </c>
      <c r="Q407" s="1057">
        <v>3</v>
      </c>
      <c r="R407" s="1056">
        <v>4</v>
      </c>
      <c r="S407" s="1055">
        <v>0.57899999999999996</v>
      </c>
      <c r="T407" s="1054">
        <f t="shared" si="178"/>
        <v>1.3316999999999999</v>
      </c>
      <c r="U407" s="1136">
        <v>1.93</v>
      </c>
      <c r="V407" s="1052">
        <f t="shared" si="179"/>
        <v>3.3333333333333335</v>
      </c>
      <c r="W407" s="1049"/>
      <c r="X407" s="1051">
        <v>2.2999999999999998</v>
      </c>
      <c r="Y407" s="1049"/>
      <c r="Z407" s="1050">
        <f t="shared" si="180"/>
        <v>0.86849999999999983</v>
      </c>
      <c r="AA407" s="1120">
        <f>AA406/24</f>
        <v>2.7865833333333327</v>
      </c>
      <c r="AB407" s="1057">
        <v>3</v>
      </c>
      <c r="AC407" s="1056">
        <v>4</v>
      </c>
      <c r="AD407" s="1055">
        <v>1.8959999999999999</v>
      </c>
      <c r="AE407" s="1137">
        <f t="shared" si="181"/>
        <v>1.8201599999999998</v>
      </c>
      <c r="AF407" s="1136">
        <v>3.14</v>
      </c>
      <c r="AG407" s="1052">
        <f t="shared" si="182"/>
        <v>1.6561181434599157</v>
      </c>
      <c r="AH407" s="1049"/>
      <c r="AI407" s="1136">
        <v>0.96</v>
      </c>
      <c r="AJ407" s="1049"/>
      <c r="AK407" s="1050">
        <f t="shared" si="183"/>
        <v>0.30335999999999985</v>
      </c>
      <c r="AL407" s="1049"/>
      <c r="AM407" s="1120">
        <f>AM406/24</f>
        <v>0.29583333333333334</v>
      </c>
      <c r="AN407" s="1057">
        <v>3</v>
      </c>
      <c r="AO407" s="1056">
        <v>4</v>
      </c>
      <c r="AP407" s="1055">
        <v>0.1</v>
      </c>
      <c r="AQ407" s="1745">
        <f t="shared" si="184"/>
        <v>0</v>
      </c>
      <c r="AR407" s="1737">
        <v>0.16</v>
      </c>
      <c r="AS407" s="1052">
        <f t="shared" si="185"/>
        <v>1.5999999999999999</v>
      </c>
      <c r="AT407" s="1049"/>
      <c r="AU407" s="1136"/>
      <c r="AV407" s="1049"/>
      <c r="AW407" s="1120">
        <f>AW406/24</f>
        <v>0.28624999999999995</v>
      </c>
      <c r="AX407" s="1057">
        <v>3</v>
      </c>
      <c r="AY407" s="1056">
        <v>4</v>
      </c>
      <c r="AZ407" s="1055">
        <v>0.11</v>
      </c>
      <c r="BA407" s="1736">
        <v>0.15</v>
      </c>
      <c r="BB407" s="1737">
        <f t="shared" si="186"/>
        <v>1.3636363636363635</v>
      </c>
      <c r="BC407" s="1049"/>
      <c r="BD407" s="1136"/>
      <c r="BE407" s="1049"/>
      <c r="BF407" s="1120">
        <f>BF406/24</f>
        <v>0.26166666666666666</v>
      </c>
      <c r="BG407" s="1057">
        <v>3</v>
      </c>
      <c r="BH407" s="1056">
        <v>4</v>
      </c>
      <c r="BI407" s="1874">
        <v>0.13</v>
      </c>
      <c r="BJ407" s="1736"/>
      <c r="BK407" s="1049"/>
      <c r="BL407" s="1120">
        <f>BL406/24</f>
        <v>0</v>
      </c>
      <c r="BM407" s="1057">
        <v>3</v>
      </c>
      <c r="BN407" s="1056">
        <v>4</v>
      </c>
      <c r="BO407" s="1055"/>
      <c r="BP407" s="1055"/>
      <c r="BQ407" s="1049"/>
    </row>
    <row r="408" spans="1:69" ht="14.4">
      <c r="A408" s="1049"/>
      <c r="B408" s="1119"/>
      <c r="C408" s="1057">
        <v>4</v>
      </c>
      <c r="D408" s="1056">
        <v>5</v>
      </c>
      <c r="E408" s="1063">
        <v>0.67</v>
      </c>
      <c r="F408" s="1062">
        <v>1.92</v>
      </c>
      <c r="G408" s="1061">
        <f t="shared" si="176"/>
        <v>2.8656716417910446</v>
      </c>
      <c r="H408" s="1049"/>
      <c r="I408" s="1119"/>
      <c r="J408" s="1057">
        <v>4</v>
      </c>
      <c r="K408" s="1056">
        <v>5</v>
      </c>
      <c r="L408" s="1055">
        <v>1.4</v>
      </c>
      <c r="M408" s="1059">
        <v>2.4</v>
      </c>
      <c r="N408" s="1052">
        <f t="shared" si="177"/>
        <v>1.7142857142857144</v>
      </c>
      <c r="O408" s="1049"/>
      <c r="P408" s="1118"/>
      <c r="Q408" s="1057">
        <v>4</v>
      </c>
      <c r="R408" s="1056">
        <v>5</v>
      </c>
      <c r="S408" s="1055">
        <v>0.54</v>
      </c>
      <c r="T408" s="1054">
        <f t="shared" si="178"/>
        <v>1.2203999999999999</v>
      </c>
      <c r="U408" s="1136">
        <v>1.78</v>
      </c>
      <c r="V408" s="1052">
        <f t="shared" si="179"/>
        <v>3.2962962962962963</v>
      </c>
      <c r="W408" s="1049"/>
      <c r="X408" s="1051">
        <v>2.2599999999999998</v>
      </c>
      <c r="Y408" s="1049"/>
      <c r="Z408" s="1050">
        <f t="shared" si="180"/>
        <v>0.78839999999999988</v>
      </c>
      <c r="AA408" s="1118"/>
      <c r="AB408" s="1057">
        <v>4</v>
      </c>
      <c r="AC408" s="1056">
        <v>5</v>
      </c>
      <c r="AD408" s="1055">
        <v>1.917</v>
      </c>
      <c r="AE408" s="1137">
        <f t="shared" si="181"/>
        <v>1.8978300000000001</v>
      </c>
      <c r="AF408" s="1136">
        <v>3.21</v>
      </c>
      <c r="AG408" s="1052">
        <f t="shared" si="182"/>
        <v>1.6744913928012519</v>
      </c>
      <c r="AH408" s="1049"/>
      <c r="AI408" s="1136">
        <v>0.99</v>
      </c>
      <c r="AJ408" s="1049"/>
      <c r="AK408" s="1050">
        <f t="shared" si="183"/>
        <v>0.36422999999999989</v>
      </c>
      <c r="AL408" s="1049"/>
      <c r="AM408" s="1118"/>
      <c r="AN408" s="1057">
        <v>4</v>
      </c>
      <c r="AO408" s="1056">
        <v>5</v>
      </c>
      <c r="AP408" s="1055">
        <v>0.16</v>
      </c>
      <c r="AQ408" s="1745">
        <f t="shared" si="184"/>
        <v>0</v>
      </c>
      <c r="AR408" s="1737">
        <v>0.25</v>
      </c>
      <c r="AS408" s="1052">
        <f t="shared" si="185"/>
        <v>1.5625</v>
      </c>
      <c r="AT408" s="1049"/>
      <c r="AU408" s="1136"/>
      <c r="AV408" s="1049"/>
      <c r="AW408" s="1118"/>
      <c r="AX408" s="1057">
        <v>4</v>
      </c>
      <c r="AY408" s="1056">
        <v>5</v>
      </c>
      <c r="AZ408" s="1055">
        <v>0.13</v>
      </c>
      <c r="BA408" s="1736">
        <v>0.18</v>
      </c>
      <c r="BB408" s="1737">
        <f t="shared" si="186"/>
        <v>1.3846153846153846</v>
      </c>
      <c r="BC408" s="1049"/>
      <c r="BD408" s="1136"/>
      <c r="BE408" s="1049"/>
      <c r="BF408" s="1118"/>
      <c r="BG408" s="1057">
        <v>4</v>
      </c>
      <c r="BH408" s="1056">
        <v>5</v>
      </c>
      <c r="BI408" s="1874">
        <v>0.04</v>
      </c>
      <c r="BJ408" s="1736"/>
      <c r="BK408" s="1049"/>
      <c r="BL408" s="1118"/>
      <c r="BM408" s="1057">
        <v>4</v>
      </c>
      <c r="BN408" s="1056">
        <v>5</v>
      </c>
      <c r="BO408" s="1055"/>
      <c r="BP408" s="1055"/>
      <c r="BQ408" s="1049"/>
    </row>
    <row r="409" spans="1:69" ht="15" thickBot="1">
      <c r="A409" s="1049"/>
      <c r="B409" s="1058">
        <f>SUM(F404:F427)</f>
        <v>34.089999999999996</v>
      </c>
      <c r="C409" s="1111">
        <v>5</v>
      </c>
      <c r="D409" s="1110">
        <v>6</v>
      </c>
      <c r="E409" s="1117">
        <v>0.39</v>
      </c>
      <c r="F409" s="1116">
        <v>1.1399999999999999</v>
      </c>
      <c r="G409" s="1115">
        <f t="shared" si="176"/>
        <v>2.9230769230769229</v>
      </c>
      <c r="H409" s="1049"/>
      <c r="I409" s="1058">
        <f>SUM(M404:M427)</f>
        <v>88.61999999999999</v>
      </c>
      <c r="J409" s="1111">
        <v>5</v>
      </c>
      <c r="K409" s="1110">
        <v>6</v>
      </c>
      <c r="L409" s="1109">
        <v>1.3520000000000001</v>
      </c>
      <c r="M409" s="1114">
        <v>2.38</v>
      </c>
      <c r="N409" s="1113">
        <f t="shared" si="177"/>
        <v>1.7603550295857986</v>
      </c>
      <c r="O409" s="1049"/>
      <c r="P409" s="1112">
        <f>SUM(U404:U427)</f>
        <v>159.38999999999999</v>
      </c>
      <c r="Q409" s="1111">
        <v>5</v>
      </c>
      <c r="R409" s="1110">
        <v>6</v>
      </c>
      <c r="S409" s="1109">
        <v>0.88600000000000001</v>
      </c>
      <c r="T409" s="1054">
        <f t="shared" si="178"/>
        <v>2.0023599999999999</v>
      </c>
      <c r="U409" s="1146">
        <v>2.93</v>
      </c>
      <c r="V409" s="1052">
        <f t="shared" si="179"/>
        <v>3.3069977426636572</v>
      </c>
      <c r="W409" s="1049"/>
      <c r="X409" s="1074">
        <v>2.2599999999999998</v>
      </c>
      <c r="Y409" s="1049"/>
      <c r="Z409" s="1050">
        <f t="shared" si="180"/>
        <v>1.2935599999999998</v>
      </c>
      <c r="AA409" s="1112">
        <f>SUM(AF404:AF427)</f>
        <v>142.02999999999997</v>
      </c>
      <c r="AB409" s="1111">
        <v>5</v>
      </c>
      <c r="AC409" s="1110">
        <v>6</v>
      </c>
      <c r="AD409" s="1109">
        <v>2.012</v>
      </c>
      <c r="AE409" s="1147">
        <f t="shared" si="181"/>
        <v>2.1327199999999999</v>
      </c>
      <c r="AF409" s="1146">
        <v>3.53</v>
      </c>
      <c r="AG409" s="1052">
        <f t="shared" si="182"/>
        <v>1.7544731610337971</v>
      </c>
      <c r="AH409" s="1049"/>
      <c r="AI409" s="1146">
        <v>1.06</v>
      </c>
      <c r="AJ409" s="1049"/>
      <c r="AK409" s="1050">
        <f t="shared" si="183"/>
        <v>0.52312000000000003</v>
      </c>
      <c r="AL409" s="1049"/>
      <c r="AM409" s="1112">
        <f>SUM(AR404:AR427)</f>
        <v>11.430000000000001</v>
      </c>
      <c r="AN409" s="1111">
        <v>5</v>
      </c>
      <c r="AO409" s="1110">
        <v>6</v>
      </c>
      <c r="AP409" s="1109">
        <v>0.1</v>
      </c>
      <c r="AQ409" s="1746">
        <f t="shared" si="184"/>
        <v>0</v>
      </c>
      <c r="AR409" s="1739">
        <v>0.16</v>
      </c>
      <c r="AS409" s="1052">
        <f t="shared" si="185"/>
        <v>1.5999999999999999</v>
      </c>
      <c r="AT409" s="1049"/>
      <c r="AU409" s="1146"/>
      <c r="AV409" s="1049"/>
      <c r="AW409" s="1112">
        <f>SUM(BA404:BA427)</f>
        <v>12.940000000000001</v>
      </c>
      <c r="AX409" s="1111">
        <v>5</v>
      </c>
      <c r="AY409" s="1110">
        <v>6</v>
      </c>
      <c r="AZ409" s="1109">
        <v>0.11</v>
      </c>
      <c r="BA409" s="1738">
        <v>0.17</v>
      </c>
      <c r="BB409" s="1739">
        <f t="shared" si="186"/>
        <v>1.5454545454545456</v>
      </c>
      <c r="BC409" s="1049"/>
      <c r="BD409" s="1146"/>
      <c r="BE409" s="1049"/>
      <c r="BF409" s="1112">
        <f>SUM(BJ404:BJ427)</f>
        <v>0</v>
      </c>
      <c r="BG409" s="1111">
        <v>5</v>
      </c>
      <c r="BH409" s="1110">
        <v>6</v>
      </c>
      <c r="BI409" s="1874">
        <v>0.14000000000000001</v>
      </c>
      <c r="BJ409" s="1738"/>
      <c r="BK409" s="1049"/>
      <c r="BL409" s="1112">
        <f>SUM(BP404:BP427)</f>
        <v>0</v>
      </c>
      <c r="BM409" s="1111">
        <v>5</v>
      </c>
      <c r="BN409" s="1110">
        <v>6</v>
      </c>
      <c r="BO409" s="1109"/>
      <c r="BP409" s="1109"/>
      <c r="BQ409" s="1049"/>
    </row>
    <row r="410" spans="1:69" ht="14.4">
      <c r="A410" s="1049"/>
      <c r="B410" s="1093">
        <f>B409/B406</f>
        <v>2.9566348655680836</v>
      </c>
      <c r="C410" s="1100">
        <v>6</v>
      </c>
      <c r="D410" s="1099">
        <v>7</v>
      </c>
      <c r="E410" s="1107">
        <v>0.3</v>
      </c>
      <c r="F410" s="1106">
        <v>0.88</v>
      </c>
      <c r="G410" s="1105">
        <f t="shared" si="176"/>
        <v>2.9333333333333336</v>
      </c>
      <c r="H410" s="1049"/>
      <c r="I410" s="1093">
        <f>I409/I406</f>
        <v>2.2248443462542675</v>
      </c>
      <c r="J410" s="1100">
        <v>6</v>
      </c>
      <c r="K410" s="1099">
        <v>7</v>
      </c>
      <c r="L410" s="1098">
        <v>1.694</v>
      </c>
      <c r="M410" s="1103">
        <v>3.53</v>
      </c>
      <c r="N410" s="1102">
        <f t="shared" si="177"/>
        <v>2.0838252656434473</v>
      </c>
      <c r="O410" s="1049"/>
      <c r="P410" s="1093">
        <f>P409/P406</f>
        <v>3.4328358208955221</v>
      </c>
      <c r="Q410" s="1100">
        <v>6</v>
      </c>
      <c r="R410" s="1099">
        <v>7</v>
      </c>
      <c r="S410" s="1098">
        <v>1.4359999999999999</v>
      </c>
      <c r="T410" s="1054">
        <f t="shared" si="178"/>
        <v>3.2597199999999997</v>
      </c>
      <c r="U410" s="1144">
        <v>4.76</v>
      </c>
      <c r="V410" s="1052">
        <f t="shared" si="179"/>
        <v>3.3147632311977717</v>
      </c>
      <c r="W410" s="1049"/>
      <c r="X410" s="1108">
        <v>2.27</v>
      </c>
      <c r="Y410" s="1049"/>
      <c r="Z410" s="1050">
        <f t="shared" si="180"/>
        <v>2.1109199999999997</v>
      </c>
      <c r="AA410" s="1093">
        <f>AA409/AA406</f>
        <v>2.1237178145279465</v>
      </c>
      <c r="AB410" s="1100">
        <v>6</v>
      </c>
      <c r="AC410" s="1099">
        <v>7</v>
      </c>
      <c r="AD410" s="1098">
        <v>2.3879999999999999</v>
      </c>
      <c r="AE410" s="1145">
        <f t="shared" si="181"/>
        <v>2.9133599999999999</v>
      </c>
      <c r="AF410" s="1144">
        <v>4.5599999999999996</v>
      </c>
      <c r="AG410" s="1052">
        <f t="shared" si="182"/>
        <v>1.9095477386934672</v>
      </c>
      <c r="AH410" s="1049"/>
      <c r="AI410" s="1144">
        <v>1.22</v>
      </c>
      <c r="AJ410" s="1049"/>
      <c r="AK410" s="1050">
        <f t="shared" si="183"/>
        <v>1.0029599999999999</v>
      </c>
      <c r="AL410" s="1049"/>
      <c r="AM410" s="1093">
        <f>AM409/AM406</f>
        <v>1.6098591549295775</v>
      </c>
      <c r="AN410" s="1100">
        <v>6</v>
      </c>
      <c r="AO410" s="1099">
        <v>7</v>
      </c>
      <c r="AP410" s="1098">
        <v>0.22</v>
      </c>
      <c r="AQ410" s="1747">
        <f t="shared" si="184"/>
        <v>0</v>
      </c>
      <c r="AR410" s="1741">
        <v>0.36</v>
      </c>
      <c r="AS410" s="1052">
        <f t="shared" si="185"/>
        <v>1.6363636363636362</v>
      </c>
      <c r="AT410" s="1049"/>
      <c r="AU410" s="1144"/>
      <c r="AV410" s="1049"/>
      <c r="AW410" s="1093">
        <f>AW409/AW406</f>
        <v>1.8835516739446874</v>
      </c>
      <c r="AX410" s="1100">
        <v>6</v>
      </c>
      <c r="AY410" s="1099">
        <v>7</v>
      </c>
      <c r="AZ410" s="1098">
        <v>0.11</v>
      </c>
      <c r="BA410" s="1740">
        <v>0.18</v>
      </c>
      <c r="BB410" s="1741">
        <f t="shared" si="186"/>
        <v>1.6363636363636362</v>
      </c>
      <c r="BC410" s="1049"/>
      <c r="BD410" s="1144"/>
      <c r="BE410" s="1049"/>
      <c r="BF410" s="1093">
        <f>BF409/BF406</f>
        <v>0</v>
      </c>
      <c r="BG410" s="1100">
        <v>6</v>
      </c>
      <c r="BH410" s="1099">
        <v>7</v>
      </c>
      <c r="BI410" s="1874">
        <v>0.14000000000000001</v>
      </c>
      <c r="BJ410" s="1740"/>
      <c r="BK410" s="1049"/>
      <c r="BL410" s="1093" t="e">
        <f>BL409/BL406</f>
        <v>#DIV/0!</v>
      </c>
      <c r="BM410" s="1100">
        <v>6</v>
      </c>
      <c r="BN410" s="1099">
        <v>7</v>
      </c>
      <c r="BO410" s="1098"/>
      <c r="BP410" s="1098"/>
      <c r="BQ410" s="1049"/>
    </row>
    <row r="411" spans="1:69" ht="14.4">
      <c r="A411" s="1049"/>
      <c r="B411" s="1104"/>
      <c r="C411" s="1100">
        <v>7</v>
      </c>
      <c r="D411" s="1099">
        <v>8</v>
      </c>
      <c r="E411" s="1107">
        <v>0.36</v>
      </c>
      <c r="F411" s="1106">
        <v>1.04</v>
      </c>
      <c r="G411" s="1105">
        <f t="shared" si="176"/>
        <v>2.8888888888888893</v>
      </c>
      <c r="H411" s="1049"/>
      <c r="I411" s="1104"/>
      <c r="J411" s="1100">
        <v>7</v>
      </c>
      <c r="K411" s="1099">
        <v>8</v>
      </c>
      <c r="L411" s="1098">
        <v>1.97</v>
      </c>
      <c r="M411" s="1103">
        <v>4.4000000000000004</v>
      </c>
      <c r="N411" s="1102">
        <f t="shared" si="177"/>
        <v>2.233502538071066</v>
      </c>
      <c r="O411" s="1049"/>
      <c r="P411" s="1101"/>
      <c r="Q411" s="1100">
        <v>7</v>
      </c>
      <c r="R411" s="1099">
        <v>8</v>
      </c>
      <c r="S411" s="1098">
        <v>1.8839999999999999</v>
      </c>
      <c r="T411" s="1054">
        <f t="shared" si="178"/>
        <v>4.4650800000000004</v>
      </c>
      <c r="U411" s="1144">
        <v>6.44</v>
      </c>
      <c r="V411" s="1052">
        <f t="shared" si="179"/>
        <v>3.4182590233545653</v>
      </c>
      <c r="W411" s="1049"/>
      <c r="X411" s="1065">
        <v>2.37</v>
      </c>
      <c r="Y411" s="1049"/>
      <c r="Z411" s="1050">
        <f t="shared" si="180"/>
        <v>2.9578799999999998</v>
      </c>
      <c r="AA411" s="1101"/>
      <c r="AB411" s="1100">
        <v>7</v>
      </c>
      <c r="AC411" s="1099">
        <v>8</v>
      </c>
      <c r="AD411" s="1098">
        <v>2.7450000000000001</v>
      </c>
      <c r="AE411" s="1145">
        <f t="shared" si="181"/>
        <v>3.9527999999999999</v>
      </c>
      <c r="AF411" s="1144">
        <v>5.85</v>
      </c>
      <c r="AG411" s="1052">
        <f t="shared" si="182"/>
        <v>2.1311475409836063</v>
      </c>
      <c r="AH411" s="1049"/>
      <c r="AI411" s="1144">
        <v>1.44</v>
      </c>
      <c r="AJ411" s="1049"/>
      <c r="AK411" s="1050">
        <f t="shared" si="183"/>
        <v>1.7567999999999997</v>
      </c>
      <c r="AL411" s="1049"/>
      <c r="AM411" s="1101"/>
      <c r="AN411" s="1100">
        <v>7</v>
      </c>
      <c r="AO411" s="1099">
        <v>8</v>
      </c>
      <c r="AP411" s="1098">
        <v>0.49</v>
      </c>
      <c r="AQ411" s="1747">
        <f t="shared" si="184"/>
        <v>0</v>
      </c>
      <c r="AR411" s="1741">
        <v>0.83</v>
      </c>
      <c r="AS411" s="1052">
        <f t="shared" si="185"/>
        <v>1.693877551020408</v>
      </c>
      <c r="AT411" s="1049"/>
      <c r="AU411" s="1144"/>
      <c r="AV411" s="1049"/>
      <c r="AW411" s="1101"/>
      <c r="AX411" s="1100">
        <v>7</v>
      </c>
      <c r="AY411" s="1099">
        <v>8</v>
      </c>
      <c r="AZ411" s="1098">
        <v>0.22</v>
      </c>
      <c r="BA411" s="1736">
        <v>0.37</v>
      </c>
      <c r="BB411" s="1741">
        <f t="shared" si="186"/>
        <v>1.6818181818181819</v>
      </c>
      <c r="BC411" s="1049"/>
      <c r="BD411" s="1144"/>
      <c r="BE411" s="1049"/>
      <c r="BF411" s="1101"/>
      <c r="BG411" s="1100">
        <v>7</v>
      </c>
      <c r="BH411" s="1099">
        <v>8</v>
      </c>
      <c r="BI411" s="1874">
        <v>0.16</v>
      </c>
      <c r="BJ411" s="1736"/>
      <c r="BK411" s="1049"/>
      <c r="BL411" s="1101"/>
      <c r="BM411" s="1100">
        <v>7</v>
      </c>
      <c r="BN411" s="1099">
        <v>8</v>
      </c>
      <c r="BO411" s="1098"/>
      <c r="BP411" s="1098"/>
      <c r="BQ411" s="1049"/>
    </row>
    <row r="412" spans="1:69" ht="14.4">
      <c r="A412" s="1049"/>
      <c r="B412" s="1097">
        <f>B409/24</f>
        <v>1.4204166666666664</v>
      </c>
      <c r="C412" s="1086">
        <v>8</v>
      </c>
      <c r="D412" s="1085">
        <v>9</v>
      </c>
      <c r="E412" s="1091">
        <v>0.41</v>
      </c>
      <c r="F412" s="1090">
        <v>1.2</v>
      </c>
      <c r="G412" s="1089">
        <f t="shared" si="176"/>
        <v>2.9268292682926829</v>
      </c>
      <c r="H412" s="1049"/>
      <c r="I412" s="1097">
        <f>I409/24</f>
        <v>3.6924999999999994</v>
      </c>
      <c r="J412" s="1086">
        <v>8</v>
      </c>
      <c r="K412" s="1085">
        <v>9</v>
      </c>
      <c r="L412" s="1084">
        <v>2.7869999999999999</v>
      </c>
      <c r="M412" s="1088">
        <v>6.85</v>
      </c>
      <c r="N412" s="1087">
        <f t="shared" si="177"/>
        <v>2.4578399712952996</v>
      </c>
      <c r="O412" s="1049"/>
      <c r="P412" s="1096">
        <f>P409/24</f>
        <v>6.6412499999999994</v>
      </c>
      <c r="Q412" s="1086">
        <v>8</v>
      </c>
      <c r="R412" s="1085">
        <v>9</v>
      </c>
      <c r="S412" s="1084">
        <v>2.3969999999999998</v>
      </c>
      <c r="T412" s="1054">
        <f t="shared" si="178"/>
        <v>5.7048599999999992</v>
      </c>
      <c r="U412" s="1142">
        <v>8.2100000000000009</v>
      </c>
      <c r="V412" s="1052">
        <f t="shared" si="179"/>
        <v>3.4251147267417612</v>
      </c>
      <c r="W412" s="1049"/>
      <c r="X412" s="1051">
        <v>2.38</v>
      </c>
      <c r="Y412" s="1049"/>
      <c r="Z412" s="1050">
        <f t="shared" si="180"/>
        <v>3.7872599999999994</v>
      </c>
      <c r="AA412" s="1096">
        <f>AA409/24</f>
        <v>5.9179166666666658</v>
      </c>
      <c r="AB412" s="1086">
        <v>8</v>
      </c>
      <c r="AC412" s="1085">
        <v>9</v>
      </c>
      <c r="AD412" s="1084">
        <v>2.9089999999999998</v>
      </c>
      <c r="AE412" s="1143">
        <f t="shared" si="181"/>
        <v>4.5089499999999996</v>
      </c>
      <c r="AF412" s="1142">
        <v>6.5</v>
      </c>
      <c r="AG412" s="1052">
        <f t="shared" si="182"/>
        <v>2.234444826400825</v>
      </c>
      <c r="AH412" s="1049"/>
      <c r="AI412" s="1142">
        <v>1.55</v>
      </c>
      <c r="AJ412" s="1049"/>
      <c r="AK412" s="1050">
        <f t="shared" si="183"/>
        <v>2.1817500000000001</v>
      </c>
      <c r="AL412" s="1049"/>
      <c r="AM412" s="1096">
        <f>AM409/24</f>
        <v>0.47625000000000006</v>
      </c>
      <c r="AN412" s="1086">
        <v>8</v>
      </c>
      <c r="AO412" s="1085">
        <v>9</v>
      </c>
      <c r="AP412" s="1084">
        <v>0.39</v>
      </c>
      <c r="AQ412" s="1748">
        <f t="shared" si="184"/>
        <v>0</v>
      </c>
      <c r="AR412" s="1742">
        <v>0.66</v>
      </c>
      <c r="AS412" s="1052">
        <f t="shared" si="185"/>
        <v>1.6923076923076923</v>
      </c>
      <c r="AT412" s="1049"/>
      <c r="AU412" s="1142"/>
      <c r="AV412" s="1049"/>
      <c r="AW412" s="1096">
        <f>AW409/24</f>
        <v>0.53916666666666668</v>
      </c>
      <c r="AX412" s="1086">
        <v>8</v>
      </c>
      <c r="AY412" s="1085">
        <v>9</v>
      </c>
      <c r="AZ412" s="1084">
        <v>0.23</v>
      </c>
      <c r="BA412" s="1736">
        <v>0.4</v>
      </c>
      <c r="BB412" s="1742">
        <f t="shared" si="186"/>
        <v>1.7391304347826086</v>
      </c>
      <c r="BC412" s="1049"/>
      <c r="BD412" s="1142"/>
      <c r="BE412" s="1049"/>
      <c r="BF412" s="1096">
        <f>BF409/24</f>
        <v>0</v>
      </c>
      <c r="BG412" s="1086">
        <v>8</v>
      </c>
      <c r="BH412" s="1085">
        <v>9</v>
      </c>
      <c r="BI412" s="1874">
        <v>0.35</v>
      </c>
      <c r="BJ412" s="1736"/>
      <c r="BK412" s="1049"/>
      <c r="BL412" s="1096">
        <f>BL409/24</f>
        <v>0</v>
      </c>
      <c r="BM412" s="1086">
        <v>8</v>
      </c>
      <c r="BN412" s="1085">
        <v>9</v>
      </c>
      <c r="BO412" s="1084"/>
      <c r="BP412" s="1084"/>
      <c r="BQ412" s="1049"/>
    </row>
    <row r="413" spans="1:69" ht="14.4">
      <c r="A413" s="1049"/>
      <c r="B413" s="1097"/>
      <c r="C413" s="1086">
        <v>9</v>
      </c>
      <c r="D413" s="1085">
        <v>10</v>
      </c>
      <c r="E413" s="1091">
        <v>0.35</v>
      </c>
      <c r="F413" s="1090">
        <v>1.02</v>
      </c>
      <c r="G413" s="1089">
        <f t="shared" si="176"/>
        <v>2.9142857142857146</v>
      </c>
      <c r="H413" s="1049"/>
      <c r="I413" s="1097"/>
      <c r="J413" s="1086">
        <v>9</v>
      </c>
      <c r="K413" s="1085">
        <v>10</v>
      </c>
      <c r="L413" s="1084">
        <v>2.657</v>
      </c>
      <c r="M413" s="1088">
        <v>6.2</v>
      </c>
      <c r="N413" s="1087">
        <f t="shared" si="177"/>
        <v>2.3334587881068876</v>
      </c>
      <c r="O413" s="1049"/>
      <c r="P413" s="1096"/>
      <c r="Q413" s="1086">
        <v>9</v>
      </c>
      <c r="R413" s="1085">
        <v>10</v>
      </c>
      <c r="S413" s="1084">
        <v>3.2869999999999999</v>
      </c>
      <c r="T413" s="1054">
        <f t="shared" si="178"/>
        <v>7.9874100000000006</v>
      </c>
      <c r="U413" s="1142">
        <v>11.41</v>
      </c>
      <c r="V413" s="1052">
        <f t="shared" si="179"/>
        <v>3.4712503802859751</v>
      </c>
      <c r="W413" s="1049"/>
      <c r="X413" s="1051">
        <v>2.4300000000000002</v>
      </c>
      <c r="Y413" s="1049"/>
      <c r="Z413" s="1050">
        <f t="shared" si="180"/>
        <v>5.3578100000000006</v>
      </c>
      <c r="AA413" s="1096"/>
      <c r="AB413" s="1086">
        <v>9</v>
      </c>
      <c r="AC413" s="1085">
        <v>10</v>
      </c>
      <c r="AD413" s="1084">
        <v>2.6850000000000001</v>
      </c>
      <c r="AE413" s="1143">
        <f t="shared" si="181"/>
        <v>3.7589999999999999</v>
      </c>
      <c r="AF413" s="1142">
        <v>5.61</v>
      </c>
      <c r="AG413" s="1052">
        <f t="shared" si="182"/>
        <v>2.0893854748603351</v>
      </c>
      <c r="AH413" s="1049"/>
      <c r="AI413" s="1142">
        <v>1.4</v>
      </c>
      <c r="AJ413" s="1049"/>
      <c r="AK413" s="1050">
        <f t="shared" si="183"/>
        <v>1.6109999999999998</v>
      </c>
      <c r="AL413" s="1049"/>
      <c r="AM413" s="1096"/>
      <c r="AN413" s="1086">
        <v>9</v>
      </c>
      <c r="AO413" s="1085">
        <v>10</v>
      </c>
      <c r="AP413" s="1084">
        <v>0.25</v>
      </c>
      <c r="AQ413" s="1748">
        <f t="shared" si="184"/>
        <v>0</v>
      </c>
      <c r="AR413" s="1742">
        <v>0.41</v>
      </c>
      <c r="AS413" s="1052">
        <f t="shared" si="185"/>
        <v>1.64</v>
      </c>
      <c r="AT413" s="1049"/>
      <c r="AU413" s="1142"/>
      <c r="AV413" s="1049"/>
      <c r="AW413" s="1096"/>
      <c r="AX413" s="1086">
        <v>9</v>
      </c>
      <c r="AY413" s="1085">
        <v>10</v>
      </c>
      <c r="AZ413" s="1084">
        <v>0.4</v>
      </c>
      <c r="BA413" s="1736">
        <v>0.67</v>
      </c>
      <c r="BB413" s="1742">
        <f t="shared" si="186"/>
        <v>1.675</v>
      </c>
      <c r="BC413" s="1049"/>
      <c r="BD413" s="1142"/>
      <c r="BE413" s="1049"/>
      <c r="BF413" s="1096"/>
      <c r="BG413" s="1086">
        <v>9</v>
      </c>
      <c r="BH413" s="1085">
        <v>10</v>
      </c>
      <c r="BI413" s="1874">
        <v>0.2</v>
      </c>
      <c r="BJ413" s="1736"/>
      <c r="BK413" s="1049"/>
      <c r="BL413" s="1096"/>
      <c r="BM413" s="1086">
        <v>9</v>
      </c>
      <c r="BN413" s="1085">
        <v>10</v>
      </c>
      <c r="BO413" s="1084"/>
      <c r="BP413" s="1084"/>
      <c r="BQ413" s="1049"/>
    </row>
    <row r="414" spans="1:69" ht="14.4">
      <c r="A414" s="1049"/>
      <c r="B414" s="1060"/>
      <c r="C414" s="1086">
        <v>10</v>
      </c>
      <c r="D414" s="1085">
        <v>11</v>
      </c>
      <c r="E414" s="1091">
        <v>0.4</v>
      </c>
      <c r="F414" s="1090">
        <v>1.1499999999999999</v>
      </c>
      <c r="G414" s="1089">
        <f t="shared" si="176"/>
        <v>2.8749999999999996</v>
      </c>
      <c r="H414" s="1049"/>
      <c r="I414" s="1060"/>
      <c r="J414" s="1086">
        <v>10</v>
      </c>
      <c r="K414" s="1085">
        <v>11</v>
      </c>
      <c r="L414" s="1084">
        <v>1.6359999999999999</v>
      </c>
      <c r="M414" s="1088">
        <v>3.64</v>
      </c>
      <c r="N414" s="1087">
        <f t="shared" si="177"/>
        <v>2.2249388753056238</v>
      </c>
      <c r="O414" s="1049"/>
      <c r="P414" s="1095">
        <f>SUM(Z404:Z427)</f>
        <v>73.779029999999977</v>
      </c>
      <c r="Q414" s="1086">
        <v>10</v>
      </c>
      <c r="R414" s="1085">
        <v>11</v>
      </c>
      <c r="S414" s="1084">
        <v>3.129</v>
      </c>
      <c r="T414" s="1054">
        <f t="shared" si="178"/>
        <v>7.6973399999999996</v>
      </c>
      <c r="U414" s="1142">
        <v>10.95</v>
      </c>
      <c r="V414" s="1052">
        <f t="shared" si="179"/>
        <v>3.4995206136145729</v>
      </c>
      <c r="W414" s="1049"/>
      <c r="X414" s="1051">
        <v>2.46</v>
      </c>
      <c r="Y414" s="1049"/>
      <c r="Z414" s="1050">
        <f t="shared" si="180"/>
        <v>5.19414</v>
      </c>
      <c r="AA414" s="1095">
        <f>SUM(AK404:AK427)</f>
        <v>35.211369999999988</v>
      </c>
      <c r="AB414" s="1086">
        <v>10</v>
      </c>
      <c r="AC414" s="1085">
        <v>11</v>
      </c>
      <c r="AD414" s="1084">
        <v>3.101</v>
      </c>
      <c r="AE414" s="1143">
        <f t="shared" si="181"/>
        <v>4.0623100000000001</v>
      </c>
      <c r="AF414" s="1142">
        <v>6.19</v>
      </c>
      <c r="AG414" s="1052">
        <f t="shared" si="182"/>
        <v>1.9961302805546599</v>
      </c>
      <c r="AH414" s="1049"/>
      <c r="AI414" s="1142">
        <v>1.31</v>
      </c>
      <c r="AJ414" s="1049"/>
      <c r="AK414" s="1050">
        <f t="shared" si="183"/>
        <v>1.58151</v>
      </c>
      <c r="AL414" s="1049"/>
      <c r="AM414" s="1095" t="e">
        <f>SUM(#REF!)</f>
        <v>#REF!</v>
      </c>
      <c r="AN414" s="1086">
        <v>10</v>
      </c>
      <c r="AO414" s="1085">
        <v>11</v>
      </c>
      <c r="AP414" s="1084">
        <v>0.37</v>
      </c>
      <c r="AQ414" s="1748">
        <f t="shared" si="184"/>
        <v>0</v>
      </c>
      <c r="AR414" s="1742">
        <v>0.61</v>
      </c>
      <c r="AS414" s="1052">
        <f t="shared" si="185"/>
        <v>1.6486486486486487</v>
      </c>
      <c r="AT414" s="1049"/>
      <c r="AU414" s="1142"/>
      <c r="AV414" s="1049"/>
      <c r="AW414" s="1095" t="e">
        <f>SUM(#REF!)</f>
        <v>#REF!</v>
      </c>
      <c r="AX414" s="1086">
        <v>10</v>
      </c>
      <c r="AY414" s="1085">
        <v>11</v>
      </c>
      <c r="AZ414" s="1084">
        <v>0.36</v>
      </c>
      <c r="BA414" s="1736">
        <v>0.57999999999999996</v>
      </c>
      <c r="BB414" s="1742">
        <f t="shared" si="186"/>
        <v>1.6111111111111112</v>
      </c>
      <c r="BC414" s="1049"/>
      <c r="BD414" s="1142"/>
      <c r="BE414" s="1049"/>
      <c r="BF414" s="1095" t="e">
        <f>SUM(#REF!)</f>
        <v>#REF!</v>
      </c>
      <c r="BG414" s="1086">
        <v>10</v>
      </c>
      <c r="BH414" s="1085">
        <v>11</v>
      </c>
      <c r="BI414" s="1874">
        <v>0.11</v>
      </c>
      <c r="BJ414" s="1736"/>
      <c r="BK414" s="1049"/>
      <c r="BL414" s="1095" t="e">
        <f>SUM(#REF!)</f>
        <v>#REF!</v>
      </c>
      <c r="BM414" s="1086">
        <v>10</v>
      </c>
      <c r="BN414" s="1085">
        <v>11</v>
      </c>
      <c r="BO414" s="1084"/>
      <c r="BP414" s="1084"/>
      <c r="BQ414" s="1049"/>
    </row>
    <row r="415" spans="1:69" ht="14.4">
      <c r="A415" s="1049"/>
      <c r="B415" s="1060"/>
      <c r="C415" s="1086">
        <v>11</v>
      </c>
      <c r="D415" s="1085">
        <v>12</v>
      </c>
      <c r="E415" s="1091">
        <v>0.76</v>
      </c>
      <c r="F415" s="1090">
        <v>2.2000000000000002</v>
      </c>
      <c r="G415" s="1089">
        <f t="shared" si="176"/>
        <v>2.8947368421052633</v>
      </c>
      <c r="H415" s="1049"/>
      <c r="I415" s="1060"/>
      <c r="J415" s="1086">
        <v>11</v>
      </c>
      <c r="K415" s="1085">
        <v>12</v>
      </c>
      <c r="L415" s="1084">
        <v>1.3620000000000001</v>
      </c>
      <c r="M415" s="1088">
        <v>3.01</v>
      </c>
      <c r="N415" s="1087">
        <f t="shared" si="177"/>
        <v>2.2099853157121876</v>
      </c>
      <c r="O415" s="1049"/>
      <c r="P415" s="1093">
        <f>P414/P406</f>
        <v>1.5890036828842795</v>
      </c>
      <c r="Q415" s="1086">
        <v>11</v>
      </c>
      <c r="R415" s="1085">
        <v>12</v>
      </c>
      <c r="S415" s="1084">
        <v>3.1970000000000001</v>
      </c>
      <c r="T415" s="1054">
        <f t="shared" si="178"/>
        <v>7.8965900000000007</v>
      </c>
      <c r="U415" s="1142">
        <v>11.24</v>
      </c>
      <c r="V415" s="1052">
        <f t="shared" si="179"/>
        <v>3.51579605880513</v>
      </c>
      <c r="W415" s="1049"/>
      <c r="X415" s="1051">
        <v>2.4700000000000002</v>
      </c>
      <c r="Y415" s="1049"/>
      <c r="Z415" s="1050">
        <f t="shared" si="180"/>
        <v>5.3389900000000008</v>
      </c>
      <c r="AA415" s="1093">
        <f>AA414/AA406</f>
        <v>0.52650154011782646</v>
      </c>
      <c r="AB415" s="1086">
        <v>11</v>
      </c>
      <c r="AC415" s="1085">
        <v>12</v>
      </c>
      <c r="AD415" s="1084">
        <v>3.66</v>
      </c>
      <c r="AE415" s="1143">
        <f t="shared" si="181"/>
        <v>4.6482000000000001</v>
      </c>
      <c r="AF415" s="1142">
        <v>7.19</v>
      </c>
      <c r="AG415" s="1052">
        <f t="shared" si="182"/>
        <v>1.96448087431694</v>
      </c>
      <c r="AH415" s="1049"/>
      <c r="AI415" s="1142">
        <v>1.27</v>
      </c>
      <c r="AJ415" s="1049"/>
      <c r="AK415" s="1050">
        <f t="shared" si="183"/>
        <v>1.7202</v>
      </c>
      <c r="AL415" s="1049"/>
      <c r="AM415" s="1093" t="e">
        <f>AM414/AM406</f>
        <v>#REF!</v>
      </c>
      <c r="AN415" s="1086">
        <v>11</v>
      </c>
      <c r="AO415" s="1085">
        <v>12</v>
      </c>
      <c r="AP415" s="1084">
        <v>0.68</v>
      </c>
      <c r="AQ415" s="1748">
        <f t="shared" si="184"/>
        <v>0</v>
      </c>
      <c r="AR415" s="1742">
        <v>1.1000000000000001</v>
      </c>
      <c r="AS415" s="1052">
        <f t="shared" si="185"/>
        <v>1.6176470588235294</v>
      </c>
      <c r="AT415" s="1049"/>
      <c r="AU415" s="1142"/>
      <c r="AV415" s="1049"/>
      <c r="AW415" s="1093" t="e">
        <f>AW414/AW406</f>
        <v>#REF!</v>
      </c>
      <c r="AX415" s="1086">
        <v>11</v>
      </c>
      <c r="AY415" s="1085">
        <v>12</v>
      </c>
      <c r="AZ415" s="1084">
        <v>0.3</v>
      </c>
      <c r="BA415" s="1736">
        <v>0.47</v>
      </c>
      <c r="BB415" s="1742">
        <f t="shared" si="186"/>
        <v>1.5666666666666667</v>
      </c>
      <c r="BC415" s="1049"/>
      <c r="BD415" s="1142"/>
      <c r="BE415" s="1049"/>
      <c r="BF415" s="1093" t="e">
        <f>BF414/BF406</f>
        <v>#REF!</v>
      </c>
      <c r="BG415" s="1086">
        <v>11</v>
      </c>
      <c r="BH415" s="1085">
        <v>12</v>
      </c>
      <c r="BI415" s="1874">
        <v>0.28000000000000003</v>
      </c>
      <c r="BJ415" s="1736"/>
      <c r="BK415" s="1049"/>
      <c r="BL415" s="1093" t="e">
        <f>BL414/BL406</f>
        <v>#REF!</v>
      </c>
      <c r="BM415" s="1086">
        <v>11</v>
      </c>
      <c r="BN415" s="1085">
        <v>12</v>
      </c>
      <c r="BO415" s="1084"/>
      <c r="BP415" s="1084"/>
      <c r="BQ415" s="1049"/>
    </row>
    <row r="416" spans="1:69" ht="14.4">
      <c r="A416" s="1049"/>
      <c r="B416" s="1060"/>
      <c r="C416" s="1086">
        <v>12</v>
      </c>
      <c r="D416" s="1085">
        <v>13</v>
      </c>
      <c r="E416" s="1091">
        <v>1.43</v>
      </c>
      <c r="F416" s="1090">
        <v>4.12</v>
      </c>
      <c r="G416" s="1089">
        <f t="shared" si="176"/>
        <v>2.8811188811188813</v>
      </c>
      <c r="H416" s="1049"/>
      <c r="I416" s="1060"/>
      <c r="J416" s="1086">
        <v>12</v>
      </c>
      <c r="K416" s="1085">
        <v>13</v>
      </c>
      <c r="L416" s="1084">
        <v>1.625</v>
      </c>
      <c r="M416" s="1088">
        <v>3.56</v>
      </c>
      <c r="N416" s="1087">
        <f t="shared" si="177"/>
        <v>2.1907692307692308</v>
      </c>
      <c r="O416" s="1049"/>
      <c r="P416" s="1060"/>
      <c r="Q416" s="1086">
        <v>12</v>
      </c>
      <c r="R416" s="1085">
        <v>13</v>
      </c>
      <c r="S416" s="1084">
        <v>2.3149999999999999</v>
      </c>
      <c r="T416" s="1054">
        <f t="shared" si="178"/>
        <v>5.6948999999999996</v>
      </c>
      <c r="U416" s="1142">
        <v>8.1199999999999992</v>
      </c>
      <c r="V416" s="1052">
        <f t="shared" si="179"/>
        <v>3.5075593952483799</v>
      </c>
      <c r="W416" s="1049"/>
      <c r="X416" s="1051">
        <v>2.46</v>
      </c>
      <c r="Y416" s="1049"/>
      <c r="Z416" s="1050">
        <f t="shared" si="180"/>
        <v>3.8428999999999998</v>
      </c>
      <c r="AA416" s="1060"/>
      <c r="AB416" s="1086">
        <v>12</v>
      </c>
      <c r="AC416" s="1085">
        <v>13</v>
      </c>
      <c r="AD416" s="1084">
        <v>3.3719999999999999</v>
      </c>
      <c r="AE416" s="1143">
        <f t="shared" si="181"/>
        <v>4.08012</v>
      </c>
      <c r="AF416" s="1142">
        <v>6.41</v>
      </c>
      <c r="AG416" s="1052">
        <f t="shared" si="182"/>
        <v>1.9009489916963227</v>
      </c>
      <c r="AH416" s="1049"/>
      <c r="AI416" s="1142">
        <v>1.21</v>
      </c>
      <c r="AJ416" s="1049"/>
      <c r="AK416" s="1050">
        <f t="shared" si="183"/>
        <v>1.3825199999999997</v>
      </c>
      <c r="AL416" s="1049"/>
      <c r="AM416" s="1060"/>
      <c r="AN416" s="1086">
        <v>12</v>
      </c>
      <c r="AO416" s="1085">
        <v>13</v>
      </c>
      <c r="AP416" s="1084">
        <v>0.31</v>
      </c>
      <c r="AQ416" s="1748">
        <f t="shared" si="184"/>
        <v>0</v>
      </c>
      <c r="AR416" s="1742">
        <v>0.5</v>
      </c>
      <c r="AS416" s="1052">
        <f t="shared" si="185"/>
        <v>1.6129032258064517</v>
      </c>
      <c r="AT416" s="1049"/>
      <c r="AU416" s="1142"/>
      <c r="AV416" s="1049"/>
      <c r="AW416" s="1060"/>
      <c r="AX416" s="1086">
        <v>12</v>
      </c>
      <c r="AY416" s="1085">
        <v>13</v>
      </c>
      <c r="AZ416" s="1084">
        <v>0.34</v>
      </c>
      <c r="BA416" s="1736">
        <v>0.52</v>
      </c>
      <c r="BB416" s="1742">
        <f t="shared" si="186"/>
        <v>1.5294117647058822</v>
      </c>
      <c r="BC416" s="1049"/>
      <c r="BD416" s="1142"/>
      <c r="BE416" s="1049"/>
      <c r="BF416" s="1060"/>
      <c r="BG416" s="1086">
        <v>12</v>
      </c>
      <c r="BH416" s="1085">
        <v>13</v>
      </c>
      <c r="BI416" s="1874">
        <v>0.32</v>
      </c>
      <c r="BJ416" s="1736"/>
      <c r="BK416" s="1049"/>
      <c r="BL416" s="1060"/>
      <c r="BM416" s="1086">
        <v>12</v>
      </c>
      <c r="BN416" s="1085">
        <v>13</v>
      </c>
      <c r="BO416" s="1084"/>
      <c r="BP416" s="1084"/>
      <c r="BQ416" s="1049"/>
    </row>
    <row r="417" spans="1:69" ht="14.4">
      <c r="A417" s="1049"/>
      <c r="B417" s="1060"/>
      <c r="C417" s="1086">
        <v>13</v>
      </c>
      <c r="D417" s="1085">
        <v>14</v>
      </c>
      <c r="E417" s="1091">
        <v>1.33</v>
      </c>
      <c r="F417" s="1090">
        <v>3.84</v>
      </c>
      <c r="G417" s="1089">
        <f t="shared" si="176"/>
        <v>2.8872180451127818</v>
      </c>
      <c r="H417" s="1049"/>
      <c r="I417" s="1060"/>
      <c r="J417" s="1086">
        <v>13</v>
      </c>
      <c r="K417" s="1085">
        <v>14</v>
      </c>
      <c r="L417" s="1084">
        <v>1.8540000000000001</v>
      </c>
      <c r="M417" s="1088">
        <v>4.07</v>
      </c>
      <c r="N417" s="1087">
        <f t="shared" si="177"/>
        <v>2.1952535059331177</v>
      </c>
      <c r="O417" s="1049"/>
      <c r="P417" s="1092" t="s">
        <v>1127</v>
      </c>
      <c r="Q417" s="1086">
        <v>13</v>
      </c>
      <c r="R417" s="1085">
        <v>14</v>
      </c>
      <c r="S417" s="1084">
        <v>2.7120000000000002</v>
      </c>
      <c r="T417" s="1054">
        <f t="shared" si="178"/>
        <v>6.56304</v>
      </c>
      <c r="U417" s="1142">
        <v>9.39</v>
      </c>
      <c r="V417" s="1052">
        <f t="shared" si="179"/>
        <v>3.4623893805309733</v>
      </c>
      <c r="W417" s="1049"/>
      <c r="X417" s="1051">
        <v>2.42</v>
      </c>
      <c r="Y417" s="1049"/>
      <c r="Z417" s="1050">
        <f t="shared" si="180"/>
        <v>4.39344</v>
      </c>
      <c r="AA417" s="1092" t="s">
        <v>1127</v>
      </c>
      <c r="AB417" s="1086">
        <v>13</v>
      </c>
      <c r="AC417" s="1085">
        <v>14</v>
      </c>
      <c r="AD417" s="1084">
        <v>3.2639999999999998</v>
      </c>
      <c r="AE417" s="1143">
        <f t="shared" si="181"/>
        <v>4.3737599999999999</v>
      </c>
      <c r="AF417" s="1142">
        <v>6.61</v>
      </c>
      <c r="AG417" s="1052">
        <f t="shared" si="182"/>
        <v>2.0251225490196081</v>
      </c>
      <c r="AH417" s="1049"/>
      <c r="AI417" s="1142">
        <v>1.34</v>
      </c>
      <c r="AJ417" s="1049"/>
      <c r="AK417" s="1050">
        <f t="shared" si="183"/>
        <v>1.7625599999999999</v>
      </c>
      <c r="AL417" s="1049"/>
      <c r="AM417" s="1092" t="s">
        <v>1127</v>
      </c>
      <c r="AN417" s="1086">
        <v>13</v>
      </c>
      <c r="AO417" s="1085">
        <v>14</v>
      </c>
      <c r="AP417" s="1084">
        <v>0.28999999999999998</v>
      </c>
      <c r="AQ417" s="1748">
        <f t="shared" si="184"/>
        <v>0</v>
      </c>
      <c r="AR417" s="1742">
        <v>0.42</v>
      </c>
      <c r="AS417" s="1052">
        <f t="shared" si="185"/>
        <v>1.4482758620689655</v>
      </c>
      <c r="AT417" s="1049"/>
      <c r="AU417" s="1142"/>
      <c r="AV417" s="1049"/>
      <c r="AW417" s="1092" t="s">
        <v>1127</v>
      </c>
      <c r="AX417" s="1086">
        <v>13</v>
      </c>
      <c r="AY417" s="1085">
        <v>14</v>
      </c>
      <c r="AZ417" s="1084">
        <v>0.46</v>
      </c>
      <c r="BA417" s="1736">
        <v>0.7</v>
      </c>
      <c r="BB417" s="1742">
        <f t="shared" si="186"/>
        <v>1.5217391304347825</v>
      </c>
      <c r="BC417" s="1049"/>
      <c r="BD417" s="1142"/>
      <c r="BE417" s="1049"/>
      <c r="BF417" s="1092" t="s">
        <v>1127</v>
      </c>
      <c r="BG417" s="1086">
        <v>13</v>
      </c>
      <c r="BH417" s="1085">
        <v>14</v>
      </c>
      <c r="BI417" s="1874">
        <v>0.28000000000000003</v>
      </c>
      <c r="BJ417" s="1736"/>
      <c r="BK417" s="1049"/>
      <c r="BL417" s="1092" t="s">
        <v>1127</v>
      </c>
      <c r="BM417" s="1086">
        <v>13</v>
      </c>
      <c r="BN417" s="1085">
        <v>14</v>
      </c>
      <c r="BO417" s="1084"/>
      <c r="BP417" s="1084"/>
      <c r="BQ417" s="1049"/>
    </row>
    <row r="418" spans="1:69" ht="14.4">
      <c r="A418" s="1049"/>
      <c r="B418" s="1060"/>
      <c r="C418" s="1086">
        <v>14</v>
      </c>
      <c r="D418" s="1085">
        <v>15</v>
      </c>
      <c r="E418" s="1091">
        <v>0.98</v>
      </c>
      <c r="F418" s="1090">
        <v>2.83</v>
      </c>
      <c r="G418" s="1089">
        <f t="shared" si="176"/>
        <v>2.8877551020408165</v>
      </c>
      <c r="H418" s="1049"/>
      <c r="I418" s="1060"/>
      <c r="J418" s="1086">
        <v>14</v>
      </c>
      <c r="K418" s="1085">
        <v>15</v>
      </c>
      <c r="L418" s="1084">
        <v>1.7130000000000001</v>
      </c>
      <c r="M418" s="1088">
        <v>3.77</v>
      </c>
      <c r="N418" s="1087">
        <f t="shared" si="177"/>
        <v>2.2008172796263863</v>
      </c>
      <c r="O418" s="1049"/>
      <c r="P418" s="1058">
        <f>P406*0.8</f>
        <v>37.144799999999996</v>
      </c>
      <c r="Q418" s="1086">
        <v>14</v>
      </c>
      <c r="R418" s="1085">
        <v>15</v>
      </c>
      <c r="S418" s="1084">
        <v>2.9039999999999999</v>
      </c>
      <c r="T418" s="1054">
        <f t="shared" si="178"/>
        <v>7.14384</v>
      </c>
      <c r="U418" s="1142">
        <v>10.16</v>
      </c>
      <c r="V418" s="1052">
        <f t="shared" si="179"/>
        <v>3.4986225895316805</v>
      </c>
      <c r="W418" s="1049"/>
      <c r="X418" s="1051">
        <v>2.46</v>
      </c>
      <c r="Y418" s="1049"/>
      <c r="Z418" s="1050">
        <f t="shared" si="180"/>
        <v>4.82064</v>
      </c>
      <c r="AA418" s="1058">
        <f>AA406*0.8</f>
        <v>53.502399999999994</v>
      </c>
      <c r="AB418" s="1086">
        <v>14</v>
      </c>
      <c r="AC418" s="1085">
        <v>15</v>
      </c>
      <c r="AD418" s="1084">
        <v>2.7589999999999999</v>
      </c>
      <c r="AE418" s="1143">
        <f t="shared" si="181"/>
        <v>3.66947</v>
      </c>
      <c r="AF418" s="1142">
        <v>5.58</v>
      </c>
      <c r="AG418" s="1052">
        <f t="shared" si="182"/>
        <v>2.0224719101123596</v>
      </c>
      <c r="AH418" s="1049"/>
      <c r="AI418" s="1142">
        <v>1.33</v>
      </c>
      <c r="AJ418" s="1049"/>
      <c r="AK418" s="1050">
        <f t="shared" si="183"/>
        <v>1.46227</v>
      </c>
      <c r="AL418" s="1049"/>
      <c r="AM418" s="1058">
        <f>AM406*0.8</f>
        <v>5.6800000000000006</v>
      </c>
      <c r="AN418" s="1086">
        <v>14</v>
      </c>
      <c r="AO418" s="1085">
        <v>15</v>
      </c>
      <c r="AP418" s="1084">
        <v>0.38</v>
      </c>
      <c r="AQ418" s="1748">
        <f t="shared" si="184"/>
        <v>0</v>
      </c>
      <c r="AR418" s="1742">
        <v>0.44</v>
      </c>
      <c r="AS418" s="1052">
        <f t="shared" si="185"/>
        <v>1.1578947368421053</v>
      </c>
      <c r="AT418" s="1049"/>
      <c r="AU418" s="1142"/>
      <c r="AV418" s="1049"/>
      <c r="AW418" s="1058">
        <f>AW406*0.8</f>
        <v>5.4959999999999996</v>
      </c>
      <c r="AX418" s="1086">
        <v>14</v>
      </c>
      <c r="AY418" s="1085">
        <v>15</v>
      </c>
      <c r="AZ418" s="1084">
        <v>0.35</v>
      </c>
      <c r="BA418" s="1736">
        <v>0.56999999999999995</v>
      </c>
      <c r="BB418" s="1742">
        <f t="shared" si="186"/>
        <v>1.6285714285714286</v>
      </c>
      <c r="BC418" s="1049"/>
      <c r="BD418" s="1142"/>
      <c r="BE418" s="1049"/>
      <c r="BF418" s="1058">
        <f>BF406*0.8</f>
        <v>5.0240000000000009</v>
      </c>
      <c r="BG418" s="1086">
        <v>14</v>
      </c>
      <c r="BH418" s="1085">
        <v>15</v>
      </c>
      <c r="BI418" s="1874">
        <v>0.2</v>
      </c>
      <c r="BJ418" s="1736"/>
      <c r="BK418" s="1049"/>
      <c r="BL418" s="1058">
        <f>BL406*0.8</f>
        <v>0</v>
      </c>
      <c r="BM418" s="1086">
        <v>14</v>
      </c>
      <c r="BN418" s="1085">
        <v>15</v>
      </c>
      <c r="BO418" s="1084"/>
      <c r="BP418" s="1084"/>
      <c r="BQ418" s="1049"/>
    </row>
    <row r="419" spans="1:69" ht="14.4">
      <c r="A419" s="1049"/>
      <c r="B419" s="1060"/>
      <c r="C419" s="1086">
        <v>15</v>
      </c>
      <c r="D419" s="1085">
        <v>16</v>
      </c>
      <c r="E419" s="1091">
        <v>0.4</v>
      </c>
      <c r="F419" s="1090">
        <v>1.1499999999999999</v>
      </c>
      <c r="G419" s="1089">
        <f t="shared" si="176"/>
        <v>2.8749999999999996</v>
      </c>
      <c r="H419" s="1049"/>
      <c r="I419" s="1060"/>
      <c r="J419" s="1086">
        <v>15</v>
      </c>
      <c r="K419" s="1085">
        <v>16</v>
      </c>
      <c r="L419" s="1084">
        <v>1.4279999999999999</v>
      </c>
      <c r="M419" s="1088">
        <v>3.19</v>
      </c>
      <c r="N419" s="1087">
        <f t="shared" si="177"/>
        <v>2.2338935574229692</v>
      </c>
      <c r="O419" s="1049"/>
      <c r="P419" s="1058" t="s">
        <v>1126</v>
      </c>
      <c r="Q419" s="1086">
        <v>15</v>
      </c>
      <c r="R419" s="1085">
        <v>16</v>
      </c>
      <c r="S419" s="1084">
        <v>2.9830000000000001</v>
      </c>
      <c r="T419" s="1054">
        <f t="shared" si="178"/>
        <v>7.3978400000000004</v>
      </c>
      <c r="U419" s="1142">
        <v>10.52</v>
      </c>
      <c r="V419" s="1052">
        <f t="shared" si="179"/>
        <v>3.52665102246061</v>
      </c>
      <c r="W419" s="1049"/>
      <c r="X419" s="1051">
        <v>2.48</v>
      </c>
      <c r="Y419" s="1049"/>
      <c r="Z419" s="1050">
        <f t="shared" si="180"/>
        <v>5.0114400000000003</v>
      </c>
      <c r="AA419" s="1058" t="s">
        <v>1126</v>
      </c>
      <c r="AB419" s="1086">
        <v>15</v>
      </c>
      <c r="AC419" s="1085">
        <v>16</v>
      </c>
      <c r="AD419" s="1084">
        <v>2.59</v>
      </c>
      <c r="AE419" s="1143">
        <f t="shared" si="181"/>
        <v>3.6518999999999995</v>
      </c>
      <c r="AF419" s="1142">
        <v>5.44</v>
      </c>
      <c r="AG419" s="1052">
        <f t="shared" si="182"/>
        <v>2.1003861003861006</v>
      </c>
      <c r="AH419" s="1049"/>
      <c r="AI419" s="1142">
        <v>1.41</v>
      </c>
      <c r="AJ419" s="1049"/>
      <c r="AK419" s="1050">
        <f t="shared" si="183"/>
        <v>1.5798999999999996</v>
      </c>
      <c r="AL419" s="1049"/>
      <c r="AM419" s="1058" t="s">
        <v>1126</v>
      </c>
      <c r="AN419" s="1086">
        <v>15</v>
      </c>
      <c r="AO419" s="1085">
        <v>16</v>
      </c>
      <c r="AP419" s="1084">
        <v>0.75</v>
      </c>
      <c r="AQ419" s="1748">
        <f t="shared" si="184"/>
        <v>0</v>
      </c>
      <c r="AR419" s="1742">
        <v>0.85</v>
      </c>
      <c r="AS419" s="1052">
        <f t="shared" si="185"/>
        <v>1.1333333333333333</v>
      </c>
      <c r="AT419" s="1049"/>
      <c r="AU419" s="1142"/>
      <c r="AV419" s="1049"/>
      <c r="AW419" s="1058" t="s">
        <v>1126</v>
      </c>
      <c r="AX419" s="1086">
        <v>15</v>
      </c>
      <c r="AY419" s="1085">
        <v>16</v>
      </c>
      <c r="AZ419" s="1084">
        <v>0.36</v>
      </c>
      <c r="BA419" s="1736">
        <v>0.62</v>
      </c>
      <c r="BB419" s="1742">
        <f t="shared" si="186"/>
        <v>1.7222222222222223</v>
      </c>
      <c r="BC419" s="1049"/>
      <c r="BD419" s="1142"/>
      <c r="BE419" s="1049"/>
      <c r="BF419" s="1058" t="s">
        <v>1126</v>
      </c>
      <c r="BG419" s="1086">
        <v>15</v>
      </c>
      <c r="BH419" s="1085">
        <v>16</v>
      </c>
      <c r="BI419" s="1874">
        <v>0.19</v>
      </c>
      <c r="BJ419" s="1736"/>
      <c r="BK419" s="1049"/>
      <c r="BL419" s="1058" t="s">
        <v>1126</v>
      </c>
      <c r="BM419" s="1086">
        <v>15</v>
      </c>
      <c r="BN419" s="1085">
        <v>16</v>
      </c>
      <c r="BO419" s="1084"/>
      <c r="BP419" s="1084"/>
      <c r="BQ419" s="1049"/>
    </row>
    <row r="420" spans="1:69" ht="15" thickBot="1">
      <c r="A420" s="1049"/>
      <c r="B420" s="1060"/>
      <c r="C420" s="1077">
        <v>16</v>
      </c>
      <c r="D420" s="1076">
        <v>17</v>
      </c>
      <c r="E420" s="1083">
        <v>0.41</v>
      </c>
      <c r="F420" s="1082">
        <v>1.18</v>
      </c>
      <c r="G420" s="1081">
        <f t="shared" si="176"/>
        <v>2.8780487804878048</v>
      </c>
      <c r="H420" s="1049"/>
      <c r="I420" s="1060"/>
      <c r="J420" s="1077">
        <v>16</v>
      </c>
      <c r="K420" s="1076">
        <v>17</v>
      </c>
      <c r="L420" s="1075">
        <v>1.468</v>
      </c>
      <c r="M420" s="1080">
        <v>3.31</v>
      </c>
      <c r="N420" s="1079">
        <f t="shared" si="177"/>
        <v>2.2547683923705724</v>
      </c>
      <c r="O420" s="1049"/>
      <c r="P420" s="1078">
        <f>P406*(X403-0.8)</f>
        <v>73.331960624999994</v>
      </c>
      <c r="Q420" s="1077">
        <v>16</v>
      </c>
      <c r="R420" s="1076">
        <v>17</v>
      </c>
      <c r="S420" s="1075">
        <v>2.1190000000000002</v>
      </c>
      <c r="T420" s="1054">
        <f t="shared" si="178"/>
        <v>5.5305900000000001</v>
      </c>
      <c r="U420" s="1140">
        <v>7.75</v>
      </c>
      <c r="V420" s="1052">
        <f t="shared" si="179"/>
        <v>3.6573855592260496</v>
      </c>
      <c r="W420" s="1049"/>
      <c r="X420" s="1074">
        <v>2.61</v>
      </c>
      <c r="Y420" s="1049"/>
      <c r="Z420" s="1050">
        <f t="shared" si="180"/>
        <v>3.8353899999999999</v>
      </c>
      <c r="AA420" s="1078">
        <f>AA406*(AI403-0.8)</f>
        <v>40.586586249999982</v>
      </c>
      <c r="AB420" s="1077">
        <v>16</v>
      </c>
      <c r="AC420" s="1076">
        <v>17</v>
      </c>
      <c r="AD420" s="1075">
        <v>3.0619999999999998</v>
      </c>
      <c r="AE420" s="1141">
        <f t="shared" si="181"/>
        <v>4.9604400000000002</v>
      </c>
      <c r="AF420" s="1140">
        <v>7.07</v>
      </c>
      <c r="AG420" s="1052">
        <f t="shared" si="182"/>
        <v>2.3089483997387332</v>
      </c>
      <c r="AH420" s="1049"/>
      <c r="AI420" s="1140">
        <v>1.62</v>
      </c>
      <c r="AJ420" s="1049"/>
      <c r="AK420" s="1050">
        <f t="shared" si="183"/>
        <v>2.51084</v>
      </c>
      <c r="AL420" s="1049"/>
      <c r="AM420" s="1078" t="e">
        <f>AM406*(AU403-0.8)</f>
        <v>#DIV/0!</v>
      </c>
      <c r="AN420" s="1077">
        <v>16</v>
      </c>
      <c r="AO420" s="1076">
        <v>17</v>
      </c>
      <c r="AP420" s="1075">
        <v>0.28999999999999998</v>
      </c>
      <c r="AQ420" s="1749">
        <f t="shared" si="184"/>
        <v>0</v>
      </c>
      <c r="AR420" s="1743">
        <v>0.43</v>
      </c>
      <c r="AS420" s="1052">
        <f t="shared" si="185"/>
        <v>1.4827586206896552</v>
      </c>
      <c r="AT420" s="1049"/>
      <c r="AU420" s="1140"/>
      <c r="AV420" s="1049"/>
      <c r="AW420" s="1078" t="e">
        <f>AW406*(BD403-0.8)</f>
        <v>#DIV/0!</v>
      </c>
      <c r="AX420" s="1077">
        <v>16</v>
      </c>
      <c r="AY420" s="1076">
        <v>17</v>
      </c>
      <c r="AZ420" s="1075">
        <v>0.3</v>
      </c>
      <c r="BA420" s="1738">
        <v>0.55000000000000004</v>
      </c>
      <c r="BB420" s="1743">
        <f t="shared" si="186"/>
        <v>1.8333333333333335</v>
      </c>
      <c r="BC420" s="1049"/>
      <c r="BD420" s="1140"/>
      <c r="BE420" s="1049"/>
      <c r="BF420" s="1078">
        <f>BF406*(BM403-0.8)</f>
        <v>-5.0240000000000009</v>
      </c>
      <c r="BG420" s="1077">
        <v>16</v>
      </c>
      <c r="BH420" s="1076">
        <v>17</v>
      </c>
      <c r="BI420" s="1874">
        <v>0.32</v>
      </c>
      <c r="BJ420" s="1738"/>
      <c r="BK420" s="1049"/>
      <c r="BL420" s="1078">
        <f>BL406*(BS403-0.8)</f>
        <v>0</v>
      </c>
      <c r="BM420" s="1077">
        <v>16</v>
      </c>
      <c r="BN420" s="1076">
        <v>17</v>
      </c>
      <c r="BO420" s="1075"/>
      <c r="BP420" s="1075"/>
      <c r="BQ420" s="1049"/>
    </row>
    <row r="421" spans="1:69" ht="14.4">
      <c r="A421" s="1049"/>
      <c r="B421" s="1060"/>
      <c r="C421" s="1068">
        <v>17</v>
      </c>
      <c r="D421" s="1067">
        <v>18</v>
      </c>
      <c r="E421" s="1073">
        <v>0.37</v>
      </c>
      <c r="F421" s="1072">
        <v>1.28</v>
      </c>
      <c r="G421" s="1071">
        <f t="shared" si="176"/>
        <v>3.4594594594594597</v>
      </c>
      <c r="H421" s="1049"/>
      <c r="I421" s="1060"/>
      <c r="J421" s="1068">
        <v>17</v>
      </c>
      <c r="K421" s="1067">
        <v>18</v>
      </c>
      <c r="L421" s="1066">
        <v>2.3719999999999999</v>
      </c>
      <c r="M421" s="1070">
        <v>7.33</v>
      </c>
      <c r="N421" s="1069">
        <f t="shared" si="177"/>
        <v>3.0902192242833055</v>
      </c>
      <c r="O421" s="1049"/>
      <c r="P421" s="1058"/>
      <c r="Q421" s="1068">
        <v>17</v>
      </c>
      <c r="R421" s="1067">
        <v>18</v>
      </c>
      <c r="S421" s="1066">
        <v>1.659</v>
      </c>
      <c r="T421" s="1054">
        <f t="shared" si="178"/>
        <v>4.2802199999999999</v>
      </c>
      <c r="U421" s="1138">
        <v>6.01</v>
      </c>
      <c r="V421" s="1052">
        <f t="shared" si="179"/>
        <v>3.6226642555756476</v>
      </c>
      <c r="W421" s="1049"/>
      <c r="X421" s="1065">
        <v>2.58</v>
      </c>
      <c r="Y421" s="1049"/>
      <c r="Z421" s="1050">
        <f t="shared" si="180"/>
        <v>2.95302</v>
      </c>
      <c r="AA421" s="1058"/>
      <c r="AB421" s="1068">
        <v>17</v>
      </c>
      <c r="AC421" s="1067">
        <v>18</v>
      </c>
      <c r="AD421" s="1066">
        <v>3.1619999999999999</v>
      </c>
      <c r="AE421" s="1139">
        <f t="shared" si="181"/>
        <v>5.0275800000000004</v>
      </c>
      <c r="AF421" s="1138">
        <v>9.67</v>
      </c>
      <c r="AG421" s="1052">
        <f t="shared" si="182"/>
        <v>3.0581910183428209</v>
      </c>
      <c r="AH421" s="1049"/>
      <c r="AI421" s="1138">
        <v>1.59</v>
      </c>
      <c r="AJ421" s="1049"/>
      <c r="AK421" s="1050">
        <f t="shared" si="183"/>
        <v>2.4979800000000001</v>
      </c>
      <c r="AL421" s="1049"/>
      <c r="AM421" s="1058"/>
      <c r="AN421" s="1068">
        <v>17</v>
      </c>
      <c r="AO421" s="1067">
        <v>18</v>
      </c>
      <c r="AP421" s="1066">
        <v>0.37</v>
      </c>
      <c r="AQ421" s="1750">
        <f t="shared" si="184"/>
        <v>0</v>
      </c>
      <c r="AR421" s="1744">
        <v>0.87</v>
      </c>
      <c r="AS421" s="1052">
        <f t="shared" si="185"/>
        <v>2.3513513513513513</v>
      </c>
      <c r="AT421" s="1049"/>
      <c r="AU421" s="1138"/>
      <c r="AV421" s="1049"/>
      <c r="AW421" s="1058"/>
      <c r="AX421" s="1068">
        <v>17</v>
      </c>
      <c r="AY421" s="1067">
        <v>18</v>
      </c>
      <c r="AZ421" s="1066">
        <v>0.23</v>
      </c>
      <c r="BA421" s="1740">
        <v>0.6</v>
      </c>
      <c r="BB421" s="1744">
        <f t="shared" si="186"/>
        <v>2.6086956521739126</v>
      </c>
      <c r="BC421" s="1049"/>
      <c r="BD421" s="1138"/>
      <c r="BE421" s="1049"/>
      <c r="BF421" s="1058"/>
      <c r="BG421" s="1068">
        <v>17</v>
      </c>
      <c r="BH421" s="1067">
        <v>18</v>
      </c>
      <c r="BI421" s="1874">
        <v>1.47</v>
      </c>
      <c r="BJ421" s="1740"/>
      <c r="BK421" s="1049"/>
      <c r="BL421" s="1058"/>
      <c r="BM421" s="1068">
        <v>17</v>
      </c>
      <c r="BN421" s="1067">
        <v>18</v>
      </c>
      <c r="BO421" s="1066"/>
      <c r="BP421" s="1066"/>
      <c r="BQ421" s="1049"/>
    </row>
    <row r="422" spans="1:69" ht="14.4">
      <c r="A422" s="1049"/>
      <c r="B422" s="1060"/>
      <c r="C422" s="1057">
        <v>18</v>
      </c>
      <c r="D422" s="1056">
        <v>19</v>
      </c>
      <c r="E422" s="1063">
        <v>0.51</v>
      </c>
      <c r="F422" s="1062">
        <v>1.77</v>
      </c>
      <c r="G422" s="1061">
        <f t="shared" si="176"/>
        <v>3.4705882352941178</v>
      </c>
      <c r="H422" s="1049"/>
      <c r="I422" s="1060"/>
      <c r="J422" s="1057">
        <v>18</v>
      </c>
      <c r="K422" s="1056">
        <v>19</v>
      </c>
      <c r="L422" s="1055">
        <v>1.47</v>
      </c>
      <c r="M422" s="1059">
        <v>4.3499999999999996</v>
      </c>
      <c r="N422" s="1052">
        <f t="shared" si="177"/>
        <v>2.9591836734693877</v>
      </c>
      <c r="O422" s="1049"/>
      <c r="P422" s="1058"/>
      <c r="Q422" s="1057">
        <v>18</v>
      </c>
      <c r="R422" s="1056">
        <v>19</v>
      </c>
      <c r="S422" s="1055">
        <v>1.357</v>
      </c>
      <c r="T422" s="1054">
        <f t="shared" si="178"/>
        <v>3.3517900000000003</v>
      </c>
      <c r="U422" s="1136">
        <v>4.7699999999999996</v>
      </c>
      <c r="V422" s="1052">
        <f t="shared" si="179"/>
        <v>3.5151068533529841</v>
      </c>
      <c r="W422" s="1049"/>
      <c r="X422" s="1051">
        <v>2.4700000000000002</v>
      </c>
      <c r="Y422" s="1049"/>
      <c r="Z422" s="1050">
        <f t="shared" si="180"/>
        <v>2.2661900000000004</v>
      </c>
      <c r="AA422" s="1058"/>
      <c r="AB422" s="1057">
        <v>18</v>
      </c>
      <c r="AC422" s="1056">
        <v>19</v>
      </c>
      <c r="AD422" s="1055">
        <v>2.8370000000000002</v>
      </c>
      <c r="AE422" s="1137">
        <f t="shared" si="181"/>
        <v>4.3973500000000003</v>
      </c>
      <c r="AF422" s="1136">
        <v>8.56</v>
      </c>
      <c r="AG422" s="1052">
        <f t="shared" si="182"/>
        <v>3.0172717659499471</v>
      </c>
      <c r="AH422" s="1049"/>
      <c r="AI422" s="1136">
        <v>1.55</v>
      </c>
      <c r="AJ422" s="1049"/>
      <c r="AK422" s="1050">
        <f t="shared" si="183"/>
        <v>2.1277500000000003</v>
      </c>
      <c r="AL422" s="1049"/>
      <c r="AM422" s="1058"/>
      <c r="AN422" s="1057">
        <v>18</v>
      </c>
      <c r="AO422" s="1056">
        <v>19</v>
      </c>
      <c r="AP422" s="1055">
        <v>0.3</v>
      </c>
      <c r="AQ422" s="1745">
        <f t="shared" si="184"/>
        <v>0</v>
      </c>
      <c r="AR422" s="1737">
        <v>0.73</v>
      </c>
      <c r="AS422" s="1052">
        <f t="shared" si="185"/>
        <v>2.4333333333333336</v>
      </c>
      <c r="AT422" s="1049"/>
      <c r="AU422" s="1136"/>
      <c r="AV422" s="1049"/>
      <c r="AW422" s="1058"/>
      <c r="AX422" s="1057">
        <v>18</v>
      </c>
      <c r="AY422" s="1056">
        <v>19</v>
      </c>
      <c r="AZ422" s="1055">
        <v>1.18</v>
      </c>
      <c r="BA422" s="1736">
        <v>3.07</v>
      </c>
      <c r="BB422" s="1737">
        <f t="shared" si="186"/>
        <v>2.6016949152542375</v>
      </c>
      <c r="BC422" s="1049"/>
      <c r="BD422" s="1136"/>
      <c r="BE422" s="1049"/>
      <c r="BF422" s="1058"/>
      <c r="BG422" s="1057">
        <v>18</v>
      </c>
      <c r="BH422" s="1056">
        <v>19</v>
      </c>
      <c r="BI422" s="1874">
        <v>0.31</v>
      </c>
      <c r="BJ422" s="1736"/>
      <c r="BK422" s="1049"/>
      <c r="BL422" s="1058"/>
      <c r="BM422" s="1057">
        <v>18</v>
      </c>
      <c r="BN422" s="1056">
        <v>19</v>
      </c>
      <c r="BO422" s="1055"/>
      <c r="BP422" s="1055"/>
      <c r="BQ422" s="1049"/>
    </row>
    <row r="423" spans="1:69" ht="14.4">
      <c r="A423" s="1049"/>
      <c r="B423" s="1060"/>
      <c r="C423" s="1057">
        <v>19</v>
      </c>
      <c r="D423" s="1056">
        <v>20</v>
      </c>
      <c r="E423" s="1063">
        <v>0.35</v>
      </c>
      <c r="F423" s="1062">
        <v>1.24</v>
      </c>
      <c r="G423" s="1061">
        <f t="shared" si="176"/>
        <v>3.5428571428571431</v>
      </c>
      <c r="H423" s="1049"/>
      <c r="I423" s="1060"/>
      <c r="J423" s="1057">
        <v>19</v>
      </c>
      <c r="K423" s="1056">
        <v>20</v>
      </c>
      <c r="L423" s="1055">
        <v>1.4650000000000001</v>
      </c>
      <c r="M423" s="1059">
        <v>4.18</v>
      </c>
      <c r="N423" s="1052">
        <f t="shared" si="177"/>
        <v>2.8532423208191124</v>
      </c>
      <c r="O423" s="1049"/>
      <c r="P423" s="1058"/>
      <c r="Q423" s="1057">
        <v>19</v>
      </c>
      <c r="R423" s="1056">
        <v>20</v>
      </c>
      <c r="S423" s="1055">
        <v>2.0019999999999998</v>
      </c>
      <c r="T423" s="1054">
        <f t="shared" si="178"/>
        <v>4.764759999999999</v>
      </c>
      <c r="U423" s="1136">
        <v>6.86</v>
      </c>
      <c r="V423" s="1052">
        <f t="shared" si="179"/>
        <v>3.4265734265734271</v>
      </c>
      <c r="W423" s="1049"/>
      <c r="X423" s="1051">
        <v>2.38</v>
      </c>
      <c r="Y423" s="1049"/>
      <c r="Z423" s="1050">
        <f t="shared" si="180"/>
        <v>3.1631599999999995</v>
      </c>
      <c r="AA423" s="1058"/>
      <c r="AB423" s="1057">
        <v>19</v>
      </c>
      <c r="AC423" s="1056">
        <v>20</v>
      </c>
      <c r="AD423" s="1055">
        <v>3.25</v>
      </c>
      <c r="AE423" s="1137">
        <f t="shared" si="181"/>
        <v>4.8099999999999996</v>
      </c>
      <c r="AF423" s="1136">
        <v>9.6</v>
      </c>
      <c r="AG423" s="1052">
        <f t="shared" si="182"/>
        <v>2.9538461538461536</v>
      </c>
      <c r="AH423" s="1049"/>
      <c r="AI423" s="1136">
        <v>1.48</v>
      </c>
      <c r="AJ423" s="1049"/>
      <c r="AK423" s="1050">
        <f t="shared" si="183"/>
        <v>2.21</v>
      </c>
      <c r="AL423" s="1049"/>
      <c r="AM423" s="1058"/>
      <c r="AN423" s="1057">
        <v>19</v>
      </c>
      <c r="AO423" s="1056">
        <v>20</v>
      </c>
      <c r="AP423" s="1055">
        <v>0.3</v>
      </c>
      <c r="AQ423" s="1745">
        <f t="shared" si="184"/>
        <v>0</v>
      </c>
      <c r="AR423" s="1737">
        <v>0.72</v>
      </c>
      <c r="AS423" s="1052">
        <f t="shared" si="185"/>
        <v>2.4</v>
      </c>
      <c r="AT423" s="1049"/>
      <c r="AU423" s="1136"/>
      <c r="AV423" s="1049"/>
      <c r="AW423" s="1058"/>
      <c r="AX423" s="1057">
        <v>19</v>
      </c>
      <c r="AY423" s="1056">
        <v>20</v>
      </c>
      <c r="AZ423" s="1055">
        <v>0.41</v>
      </c>
      <c r="BA423" s="1736">
        <v>1.06</v>
      </c>
      <c r="BB423" s="1737">
        <f t="shared" si="186"/>
        <v>2.5853658536585367</v>
      </c>
      <c r="BC423" s="1049"/>
      <c r="BD423" s="1136"/>
      <c r="BE423" s="1049"/>
      <c r="BF423" s="1058"/>
      <c r="BG423" s="1057">
        <v>19</v>
      </c>
      <c r="BH423" s="1056">
        <v>20</v>
      </c>
      <c r="BI423" s="1874">
        <v>0.33</v>
      </c>
      <c r="BJ423" s="1736"/>
      <c r="BK423" s="1049"/>
      <c r="BL423" s="1058"/>
      <c r="BM423" s="1057">
        <v>19</v>
      </c>
      <c r="BN423" s="1056">
        <v>20</v>
      </c>
      <c r="BO423" s="1055"/>
      <c r="BP423" s="1055"/>
      <c r="BQ423" s="1049"/>
    </row>
    <row r="424" spans="1:69" ht="14.4">
      <c r="A424" s="1049"/>
      <c r="B424" s="1060"/>
      <c r="C424" s="1057">
        <v>20</v>
      </c>
      <c r="D424" s="1056">
        <v>21</v>
      </c>
      <c r="E424" s="1063">
        <v>0.44</v>
      </c>
      <c r="F424" s="1062">
        <v>1.28</v>
      </c>
      <c r="G424" s="1061">
        <f t="shared" si="176"/>
        <v>2.9090909090909092</v>
      </c>
      <c r="H424" s="1049"/>
      <c r="I424" s="1060"/>
      <c r="J424" s="1057">
        <v>20</v>
      </c>
      <c r="K424" s="1056">
        <v>21</v>
      </c>
      <c r="L424" s="1055">
        <v>1.456</v>
      </c>
      <c r="M424" s="1059">
        <v>3.02</v>
      </c>
      <c r="N424" s="1052">
        <f t="shared" si="177"/>
        <v>2.0741758241758244</v>
      </c>
      <c r="O424" s="1049"/>
      <c r="P424" s="1058"/>
      <c r="Q424" s="1057">
        <v>20</v>
      </c>
      <c r="R424" s="1056">
        <v>21</v>
      </c>
      <c r="S424" s="1055">
        <v>2.1080000000000001</v>
      </c>
      <c r="T424" s="1054">
        <f t="shared" si="178"/>
        <v>4.8062399999999998</v>
      </c>
      <c r="U424" s="1136">
        <v>7.01</v>
      </c>
      <c r="V424" s="1052">
        <f t="shared" si="179"/>
        <v>3.3254269449715368</v>
      </c>
      <c r="W424" s="1049"/>
      <c r="X424" s="1051">
        <v>2.2799999999999998</v>
      </c>
      <c r="Y424" s="1049"/>
      <c r="Z424" s="1050">
        <f t="shared" si="180"/>
        <v>3.1198399999999995</v>
      </c>
      <c r="AA424" s="1058"/>
      <c r="AB424" s="1057">
        <v>20</v>
      </c>
      <c r="AC424" s="1056">
        <v>21</v>
      </c>
      <c r="AD424" s="1055">
        <v>3.1869999999999998</v>
      </c>
      <c r="AE424" s="1137">
        <f t="shared" si="181"/>
        <v>4.55741</v>
      </c>
      <c r="AF424" s="1136">
        <v>6.75</v>
      </c>
      <c r="AG424" s="1052">
        <f t="shared" si="182"/>
        <v>2.1179792908691559</v>
      </c>
      <c r="AH424" s="1049"/>
      <c r="AI424" s="1136">
        <v>1.43</v>
      </c>
      <c r="AJ424" s="1049"/>
      <c r="AK424" s="1050">
        <f t="shared" si="183"/>
        <v>2.0078099999999997</v>
      </c>
      <c r="AL424" s="1049"/>
      <c r="AM424" s="1058"/>
      <c r="AN424" s="1057">
        <v>20</v>
      </c>
      <c r="AO424" s="1056">
        <v>21</v>
      </c>
      <c r="AP424" s="1055">
        <v>0.36</v>
      </c>
      <c r="AQ424" s="1745">
        <f t="shared" si="184"/>
        <v>0</v>
      </c>
      <c r="AR424" s="1737">
        <v>0.5</v>
      </c>
      <c r="AS424" s="1052">
        <f t="shared" si="185"/>
        <v>1.3888888888888888</v>
      </c>
      <c r="AT424" s="1049"/>
      <c r="AU424" s="1136"/>
      <c r="AV424" s="1049"/>
      <c r="AW424" s="1058"/>
      <c r="AX424" s="1057">
        <v>20</v>
      </c>
      <c r="AY424" s="1056">
        <v>21</v>
      </c>
      <c r="AZ424" s="1055">
        <v>0.28000000000000003</v>
      </c>
      <c r="BA424" s="1736">
        <v>0.5</v>
      </c>
      <c r="BB424" s="1737">
        <f t="shared" si="186"/>
        <v>1.7857142857142856</v>
      </c>
      <c r="BC424" s="1049"/>
      <c r="BD424" s="1136"/>
      <c r="BE424" s="1049"/>
      <c r="BF424" s="1058"/>
      <c r="BG424" s="1057">
        <v>20</v>
      </c>
      <c r="BH424" s="1056">
        <v>21</v>
      </c>
      <c r="BI424" s="1874">
        <v>0.28999999999999998</v>
      </c>
      <c r="BJ424" s="1736"/>
      <c r="BK424" s="1049"/>
      <c r="BL424" s="1058"/>
      <c r="BM424" s="1057">
        <v>20</v>
      </c>
      <c r="BN424" s="1056">
        <v>21</v>
      </c>
      <c r="BO424" s="1055"/>
      <c r="BP424" s="1055"/>
      <c r="BQ424" s="1049"/>
    </row>
    <row r="425" spans="1:69" ht="14.4">
      <c r="A425" s="1049"/>
      <c r="B425" s="1060"/>
      <c r="C425" s="1057">
        <v>21</v>
      </c>
      <c r="D425" s="1056">
        <v>22</v>
      </c>
      <c r="E425" s="1063">
        <v>0.32</v>
      </c>
      <c r="F425" s="1062">
        <v>0.94</v>
      </c>
      <c r="G425" s="1061">
        <f t="shared" si="176"/>
        <v>2.9374999999999996</v>
      </c>
      <c r="H425" s="1049"/>
      <c r="I425" s="1060"/>
      <c r="J425" s="1057">
        <v>21</v>
      </c>
      <c r="K425" s="1056">
        <v>22</v>
      </c>
      <c r="L425" s="1055">
        <v>1.474</v>
      </c>
      <c r="M425" s="1059">
        <v>2.96</v>
      </c>
      <c r="N425" s="1052">
        <f t="shared" si="177"/>
        <v>2.0081411126187247</v>
      </c>
      <c r="O425" s="1049"/>
      <c r="P425" s="1058"/>
      <c r="Q425" s="1057">
        <v>21</v>
      </c>
      <c r="R425" s="1056">
        <v>22</v>
      </c>
      <c r="S425" s="1055">
        <v>2.1280000000000001</v>
      </c>
      <c r="T425" s="1054">
        <f t="shared" si="178"/>
        <v>4.8305600000000002</v>
      </c>
      <c r="U425" s="1136">
        <v>7.05</v>
      </c>
      <c r="V425" s="1052">
        <f t="shared" si="179"/>
        <v>3.3129699248120299</v>
      </c>
      <c r="W425" s="1049"/>
      <c r="X425" s="1051">
        <v>2.27</v>
      </c>
      <c r="Y425" s="1049"/>
      <c r="Z425" s="1050">
        <f t="shared" si="180"/>
        <v>3.1281600000000003</v>
      </c>
      <c r="AA425" s="1058"/>
      <c r="AB425" s="1057">
        <v>21</v>
      </c>
      <c r="AC425" s="1056">
        <v>22</v>
      </c>
      <c r="AD425" s="1055">
        <v>3.2290000000000001</v>
      </c>
      <c r="AE425" s="1137">
        <f t="shared" si="181"/>
        <v>4.5206</v>
      </c>
      <c r="AF425" s="1136">
        <v>6.74</v>
      </c>
      <c r="AG425" s="1052">
        <f t="shared" si="182"/>
        <v>2.0873335397956025</v>
      </c>
      <c r="AH425" s="1049"/>
      <c r="AI425" s="1136">
        <v>1.4</v>
      </c>
      <c r="AJ425" s="1049"/>
      <c r="AK425" s="1050">
        <f t="shared" si="183"/>
        <v>1.9373999999999996</v>
      </c>
      <c r="AL425" s="1049"/>
      <c r="AM425" s="1058"/>
      <c r="AN425" s="1057">
        <v>21</v>
      </c>
      <c r="AO425" s="1056">
        <v>22</v>
      </c>
      <c r="AP425" s="1055">
        <v>0.3</v>
      </c>
      <c r="AQ425" s="1745">
        <f t="shared" si="184"/>
        <v>0</v>
      </c>
      <c r="AR425" s="1737">
        <v>0.38</v>
      </c>
      <c r="AS425" s="1052">
        <f t="shared" si="185"/>
        <v>1.2666666666666668</v>
      </c>
      <c r="AT425" s="1049"/>
      <c r="AU425" s="1136"/>
      <c r="AV425" s="1049"/>
      <c r="AW425" s="1058"/>
      <c r="AX425" s="1057">
        <v>21</v>
      </c>
      <c r="AY425" s="1056">
        <v>22</v>
      </c>
      <c r="AZ425" s="1055">
        <v>0.28000000000000003</v>
      </c>
      <c r="BA425" s="1736">
        <v>0.49</v>
      </c>
      <c r="BB425" s="1737">
        <f t="shared" si="186"/>
        <v>1.7499999999999998</v>
      </c>
      <c r="BC425" s="1049"/>
      <c r="BD425" s="1136"/>
      <c r="BE425" s="1049"/>
      <c r="BF425" s="1058"/>
      <c r="BG425" s="1057">
        <v>21</v>
      </c>
      <c r="BH425" s="1056">
        <v>22</v>
      </c>
      <c r="BI425" s="1874">
        <v>0.27</v>
      </c>
      <c r="BJ425" s="1736"/>
      <c r="BK425" s="1049"/>
      <c r="BL425" s="1058"/>
      <c r="BM425" s="1057">
        <v>21</v>
      </c>
      <c r="BN425" s="1056">
        <v>22</v>
      </c>
      <c r="BO425" s="1055"/>
      <c r="BP425" s="1055"/>
      <c r="BQ425" s="1049"/>
    </row>
    <row r="426" spans="1:69" ht="14.4">
      <c r="A426" s="1049"/>
      <c r="B426" s="1060"/>
      <c r="C426" s="1057">
        <v>22</v>
      </c>
      <c r="D426" s="1056">
        <v>23</v>
      </c>
      <c r="E426" s="1063">
        <v>0.28999999999999998</v>
      </c>
      <c r="F426" s="1062">
        <v>0.85</v>
      </c>
      <c r="G426" s="1061">
        <f t="shared" si="176"/>
        <v>2.931034482758621</v>
      </c>
      <c r="H426" s="1049"/>
      <c r="I426" s="1060"/>
      <c r="J426" s="1057">
        <v>22</v>
      </c>
      <c r="K426" s="1056">
        <v>23</v>
      </c>
      <c r="L426" s="1055">
        <v>1.36</v>
      </c>
      <c r="M426" s="1059">
        <v>2.76</v>
      </c>
      <c r="N426" s="1052">
        <f t="shared" si="177"/>
        <v>2.0294117647058822</v>
      </c>
      <c r="O426" s="1049"/>
      <c r="P426" s="1058"/>
      <c r="Q426" s="1057">
        <v>22</v>
      </c>
      <c r="R426" s="1056">
        <v>23</v>
      </c>
      <c r="S426" s="1055">
        <v>2.5219999999999998</v>
      </c>
      <c r="T426" s="1054">
        <f t="shared" si="178"/>
        <v>4.9683399999999995</v>
      </c>
      <c r="U426" s="1136">
        <v>7.6</v>
      </c>
      <c r="V426" s="1052">
        <f t="shared" si="179"/>
        <v>3.0134813639968279</v>
      </c>
      <c r="W426" s="1049"/>
      <c r="X426" s="1051">
        <v>1.97</v>
      </c>
      <c r="Y426" s="1049"/>
      <c r="Z426" s="1050">
        <f t="shared" si="180"/>
        <v>2.9507399999999997</v>
      </c>
      <c r="AA426" s="1058"/>
      <c r="AB426" s="1057">
        <v>22</v>
      </c>
      <c r="AC426" s="1056">
        <v>23</v>
      </c>
      <c r="AD426" s="1055">
        <v>3.2970000000000002</v>
      </c>
      <c r="AE426" s="1137">
        <f t="shared" si="181"/>
        <v>4.3850100000000003</v>
      </c>
      <c r="AF426" s="1136">
        <v>6.65</v>
      </c>
      <c r="AG426" s="1052">
        <f t="shared" si="182"/>
        <v>2.0169851380042463</v>
      </c>
      <c r="AH426" s="1049"/>
      <c r="AI426" s="1136">
        <v>1.33</v>
      </c>
      <c r="AJ426" s="1049"/>
      <c r="AK426" s="1050">
        <f t="shared" si="183"/>
        <v>1.7474100000000001</v>
      </c>
      <c r="AL426" s="1049"/>
      <c r="AM426" s="1058"/>
      <c r="AN426" s="1057">
        <v>22</v>
      </c>
      <c r="AO426" s="1056">
        <v>23</v>
      </c>
      <c r="AP426" s="1055">
        <v>0.15</v>
      </c>
      <c r="AQ426" s="1745">
        <f t="shared" si="184"/>
        <v>0</v>
      </c>
      <c r="AR426" s="1737">
        <v>0.18</v>
      </c>
      <c r="AS426" s="1052">
        <f t="shared" si="185"/>
        <v>1.2</v>
      </c>
      <c r="AT426" s="1049"/>
      <c r="AU426" s="1136"/>
      <c r="AV426" s="1049"/>
      <c r="AW426" s="1058"/>
      <c r="AX426" s="1057">
        <v>22</v>
      </c>
      <c r="AY426" s="1056">
        <v>23</v>
      </c>
      <c r="AZ426" s="1055">
        <v>0.27</v>
      </c>
      <c r="BA426" s="1736">
        <v>0.47</v>
      </c>
      <c r="BB426" s="1737">
        <f t="shared" si="186"/>
        <v>1.7407407407407405</v>
      </c>
      <c r="BC426" s="1049"/>
      <c r="BD426" s="1136"/>
      <c r="BE426" s="1049"/>
      <c r="BF426" s="1058"/>
      <c r="BG426" s="1057">
        <v>22</v>
      </c>
      <c r="BH426" s="1056">
        <v>23</v>
      </c>
      <c r="BI426" s="1874">
        <v>0.16</v>
      </c>
      <c r="BJ426" s="1736"/>
      <c r="BK426" s="1049"/>
      <c r="BL426" s="1058"/>
      <c r="BM426" s="1057">
        <v>22</v>
      </c>
      <c r="BN426" s="1056">
        <v>23</v>
      </c>
      <c r="BO426" s="1055"/>
      <c r="BP426" s="1055"/>
      <c r="BQ426" s="1049"/>
    </row>
    <row r="427" spans="1:69" ht="14.4">
      <c r="A427" s="1049"/>
      <c r="B427" s="1060"/>
      <c r="C427" s="1057">
        <v>23</v>
      </c>
      <c r="D427" s="1056">
        <v>24</v>
      </c>
      <c r="E427" s="1063">
        <v>0.25</v>
      </c>
      <c r="F427" s="1062">
        <v>0.71</v>
      </c>
      <c r="G427" s="1061">
        <f t="shared" si="176"/>
        <v>2.84</v>
      </c>
      <c r="H427" s="1049"/>
      <c r="I427" s="1060"/>
      <c r="J427" s="1057">
        <v>23</v>
      </c>
      <c r="K427" s="1056">
        <v>24</v>
      </c>
      <c r="L427" s="1055">
        <v>1.23</v>
      </c>
      <c r="M427" s="1059">
        <v>2.41</v>
      </c>
      <c r="N427" s="1052">
        <f t="shared" si="177"/>
        <v>1.9593495934959351</v>
      </c>
      <c r="O427" s="1049"/>
      <c r="P427" s="1058"/>
      <c r="Q427" s="1057">
        <v>23</v>
      </c>
      <c r="R427" s="1056">
        <v>24</v>
      </c>
      <c r="S427" s="1055">
        <v>1.9550000000000001</v>
      </c>
      <c r="T427" s="1054">
        <f t="shared" si="178"/>
        <v>3.8122500000000001</v>
      </c>
      <c r="U427" s="1136">
        <v>5.85</v>
      </c>
      <c r="V427" s="1052">
        <f t="shared" si="179"/>
        <v>2.9923273657289</v>
      </c>
      <c r="W427" s="1049"/>
      <c r="X427" s="1051">
        <v>1.95</v>
      </c>
      <c r="Y427" s="1049"/>
      <c r="Z427" s="1050">
        <f t="shared" si="180"/>
        <v>2.2482500000000001</v>
      </c>
      <c r="AA427" s="1058"/>
      <c r="AB427" s="1057">
        <v>23</v>
      </c>
      <c r="AC427" s="1056">
        <v>24</v>
      </c>
      <c r="AD427" s="1055">
        <v>3.2090000000000001</v>
      </c>
      <c r="AE427" s="1137">
        <f t="shared" si="181"/>
        <v>4.1396100000000002</v>
      </c>
      <c r="AF427" s="1136">
        <v>6.35</v>
      </c>
      <c r="AG427" s="1052">
        <f t="shared" si="182"/>
        <v>1.9788095980056091</v>
      </c>
      <c r="AH427" s="1049"/>
      <c r="AI427" s="1136">
        <v>1.29</v>
      </c>
      <c r="AJ427" s="1049"/>
      <c r="AK427" s="1050">
        <f t="shared" si="183"/>
        <v>1.5724100000000001</v>
      </c>
      <c r="AL427" s="1049"/>
      <c r="AM427" s="1058"/>
      <c r="AN427" s="1057">
        <v>23</v>
      </c>
      <c r="AO427" s="1056">
        <v>24</v>
      </c>
      <c r="AP427" s="1055">
        <v>0.09</v>
      </c>
      <c r="AQ427" s="1745">
        <f t="shared" si="184"/>
        <v>0</v>
      </c>
      <c r="AR427" s="1737">
        <v>0.09</v>
      </c>
      <c r="AS427" s="1052">
        <f t="shared" si="185"/>
        <v>1</v>
      </c>
      <c r="AT427" s="1049"/>
      <c r="AU427" s="1136"/>
      <c r="AV427" s="1049"/>
      <c r="AW427" s="1058"/>
      <c r="AX427" s="1057">
        <v>23</v>
      </c>
      <c r="AY427" s="1056">
        <v>24</v>
      </c>
      <c r="AZ427" s="1055">
        <v>0.1</v>
      </c>
      <c r="BA427" s="1736">
        <v>0.18</v>
      </c>
      <c r="BB427" s="1737">
        <f t="shared" si="186"/>
        <v>1.7999999999999998</v>
      </c>
      <c r="BC427" s="1049"/>
      <c r="BD427" s="1136"/>
      <c r="BE427" s="1049"/>
      <c r="BF427" s="1058"/>
      <c r="BG427" s="1057">
        <v>23</v>
      </c>
      <c r="BH427" s="1056">
        <v>24</v>
      </c>
      <c r="BI427" s="1874">
        <v>0.22</v>
      </c>
      <c r="BJ427" s="1736"/>
      <c r="BK427" s="1049"/>
      <c r="BL427" s="1058"/>
      <c r="BM427" s="1057">
        <v>23</v>
      </c>
      <c r="BN427" s="1056">
        <v>24</v>
      </c>
      <c r="BO427" s="1055"/>
      <c r="BP427" s="1055"/>
      <c r="BQ427" s="1049"/>
    </row>
    <row r="428" spans="1:69" ht="14.4">
      <c r="A428" s="1036"/>
      <c r="B428" s="1044"/>
      <c r="C428" s="1135"/>
      <c r="D428" s="1135"/>
      <c r="E428" s="1134"/>
      <c r="F428" s="1133"/>
      <c r="G428" s="1132"/>
      <c r="H428" s="1044"/>
      <c r="I428" s="1044" t="s">
        <v>1130</v>
      </c>
      <c r="J428" s="1046"/>
      <c r="K428" s="1046"/>
      <c r="L428" s="1129">
        <f>AVERAGE(L429:L452)</f>
        <v>1.6445416666666663</v>
      </c>
      <c r="M428" s="1131">
        <f>AVERAGE(M429:M452)</f>
        <v>4.5750000000000002</v>
      </c>
      <c r="N428" s="1039">
        <f>AVERAGE(N429:N452)</f>
        <v>2.7642071159569581</v>
      </c>
      <c r="O428" s="1044"/>
      <c r="P428" s="1130" t="s">
        <v>1139</v>
      </c>
      <c r="Q428" s="1046"/>
      <c r="R428" s="1046"/>
      <c r="S428" s="1129">
        <f>AVERAGE(S429:S452)</f>
        <v>1.677083333333333</v>
      </c>
      <c r="T428" s="1128">
        <f>SUM(T429:T452)</f>
        <v>76.563100000000006</v>
      </c>
      <c r="U428" s="1040">
        <f>AVERAGE(U429:U452)</f>
        <v>4.9379166666666654</v>
      </c>
      <c r="V428" s="1039">
        <f>AVERAGE(V429:V452)</f>
        <v>2.938857730408595</v>
      </c>
      <c r="W428" s="1036"/>
      <c r="X428" s="1038">
        <f>AVERAGE(X437:X452)</f>
        <v>1.9793749999999999</v>
      </c>
      <c r="Y428" s="1036"/>
      <c r="Z428" s="1127">
        <f>SUM(Z429:Z452)</f>
        <v>44.363099999999996</v>
      </c>
      <c r="AA428" s="1130"/>
      <c r="AB428" s="1046"/>
      <c r="AC428" s="1046"/>
      <c r="AD428" s="1129">
        <f>AVERAGE(AD429:AD452)</f>
        <v>2.734083333333333</v>
      </c>
      <c r="AE428" s="1128">
        <f>SUM(AE429:AE452)</f>
        <v>89.913699999999977</v>
      </c>
      <c r="AF428" s="1040">
        <f>AVERAGE(AF429:AF452)</f>
        <v>5.788333333333334</v>
      </c>
      <c r="AG428" s="1039">
        <f>AVERAGE(AG429:AG452)</f>
        <v>2.1152905802237112</v>
      </c>
      <c r="AH428" s="1036"/>
      <c r="AI428" s="1038">
        <f>AVERAGE(AI437:AI452)</f>
        <v>1.3987500000000002</v>
      </c>
      <c r="AJ428" s="1036"/>
      <c r="AK428" s="1127">
        <f>SUM(AK429:AK452)</f>
        <v>37.4193</v>
      </c>
      <c r="AL428" s="1036"/>
      <c r="AM428" s="1130"/>
      <c r="AN428" s="1046"/>
      <c r="AO428" s="1046"/>
      <c r="AP428" s="1129">
        <f>AVERAGE(AP429:AP452)</f>
        <v>0.32833333333333331</v>
      </c>
      <c r="AQ428" s="1734">
        <f>SUM(AQ429:AQ452)</f>
        <v>0</v>
      </c>
      <c r="AR428" s="1735">
        <f>AVERAGE(AR429:AR452)</f>
        <v>0.64666666666666683</v>
      </c>
      <c r="AS428" s="1039">
        <f>AVERAGE(AS429:AS452)</f>
        <v>1.7288570226070226</v>
      </c>
      <c r="AT428" s="1036"/>
      <c r="AU428" s="1038" t="e">
        <f>AVERAGE(AU437:AU452)</f>
        <v>#DIV/0!</v>
      </c>
      <c r="AV428" s="1036"/>
      <c r="AW428" s="1130" t="s">
        <v>1128</v>
      </c>
      <c r="AX428" s="1046"/>
      <c r="AY428" s="1046"/>
      <c r="AZ428" s="1129">
        <f>AVERAGE(AZ429:AZ452)</f>
        <v>0.26791666666666675</v>
      </c>
      <c r="BA428" s="1045">
        <f>AVERAGE(BA429:BA452)</f>
        <v>0.52583333333333326</v>
      </c>
      <c r="BB428" s="1039">
        <f>AVERAGE(BB429:BB452)</f>
        <v>1.937796650705162</v>
      </c>
      <c r="BC428" s="1036"/>
      <c r="BD428" s="1038" t="e">
        <f>AVERAGE(BD437:BD452)</f>
        <v>#DIV/0!</v>
      </c>
      <c r="BE428" s="1036"/>
      <c r="BF428" s="1130" t="s">
        <v>1128</v>
      </c>
      <c r="BG428" s="2756">
        <f>BF429</f>
        <v>45034</v>
      </c>
      <c r="BH428" s="2756"/>
      <c r="BI428" s="1897">
        <f>SUM(BI429:BI452)</f>
        <v>6.4299999999999988</v>
      </c>
      <c r="BJ428" s="1898">
        <f>SUM(BJ429:BJ452)</f>
        <v>0</v>
      </c>
      <c r="BK428" s="1036"/>
      <c r="BL428" s="1130" t="s">
        <v>1128</v>
      </c>
      <c r="BM428" s="1046"/>
      <c r="BN428" s="1046"/>
      <c r="BO428" s="1129" t="e">
        <f>AVERAGE(BO429:BO452)</f>
        <v>#DIV/0!</v>
      </c>
      <c r="BP428" s="1129" t="e">
        <f>AVERAGE(BP429:BP452)</f>
        <v>#DIV/0!</v>
      </c>
      <c r="BQ428" s="1036"/>
    </row>
    <row r="429" spans="1:69" ht="14.4">
      <c r="A429" s="1049"/>
      <c r="B429" s="1126">
        <v>44852</v>
      </c>
      <c r="C429" s="1057">
        <v>0</v>
      </c>
      <c r="D429" s="1056">
        <v>1</v>
      </c>
      <c r="E429" s="1063">
        <v>0.27</v>
      </c>
      <c r="F429" s="1062">
        <v>0.76</v>
      </c>
      <c r="G429" s="1061">
        <f t="shared" ref="G429:G452" si="187">F429/E429</f>
        <v>2.8148148148148149</v>
      </c>
      <c r="H429" s="1049"/>
      <c r="I429" s="1126">
        <v>44883</v>
      </c>
      <c r="J429" s="1057">
        <v>0</v>
      </c>
      <c r="K429" s="1056">
        <v>1</v>
      </c>
      <c r="L429" s="1055">
        <v>1.2330000000000001</v>
      </c>
      <c r="M429" s="1059">
        <v>2.95</v>
      </c>
      <c r="N429" s="1052">
        <f t="shared" ref="N429:N452" si="188">M429/L429</f>
        <v>2.3925385239253854</v>
      </c>
      <c r="O429" s="1049"/>
      <c r="P429" s="1125">
        <v>44913</v>
      </c>
      <c r="Q429" s="1057">
        <v>0</v>
      </c>
      <c r="R429" s="1056">
        <v>1</v>
      </c>
      <c r="S429" s="1055">
        <v>1.26</v>
      </c>
      <c r="T429" s="1054">
        <f t="shared" ref="T429:T452" si="189">S429*X429</f>
        <v>2.2302</v>
      </c>
      <c r="U429" s="1136">
        <v>3.54</v>
      </c>
      <c r="V429" s="1052">
        <f t="shared" ref="V429:V452" si="190">U429/S429</f>
        <v>2.8095238095238093</v>
      </c>
      <c r="W429" s="1049"/>
      <c r="X429" s="1051">
        <v>1.77</v>
      </c>
      <c r="Y429" s="1049"/>
      <c r="Z429" s="1050">
        <f t="shared" ref="Z429:Z452" si="191">S429*(X429-0.8)</f>
        <v>1.2222</v>
      </c>
      <c r="AA429" s="1125">
        <v>44944</v>
      </c>
      <c r="AB429" s="1057">
        <v>0</v>
      </c>
      <c r="AC429" s="1056">
        <v>1</v>
      </c>
      <c r="AD429" s="1055">
        <v>1.9690000000000001</v>
      </c>
      <c r="AE429" s="1137">
        <f t="shared" ref="AE429:AE452" si="192">AD429*AI429</f>
        <v>2.44156</v>
      </c>
      <c r="AF429" s="1136">
        <v>3.8</v>
      </c>
      <c r="AG429" s="1052">
        <f t="shared" ref="AG429:AG452" si="193">AF429/AD429</f>
        <v>1.929913661757237</v>
      </c>
      <c r="AH429" s="1049"/>
      <c r="AI429" s="1136">
        <v>1.24</v>
      </c>
      <c r="AJ429" s="1049"/>
      <c r="AK429" s="1050">
        <f t="shared" ref="AK429:AK452" si="194">AD429*(AI429-0.8)</f>
        <v>0.86635999999999991</v>
      </c>
      <c r="AL429" s="1049"/>
      <c r="AM429" s="1125">
        <v>44975</v>
      </c>
      <c r="AN429" s="1057">
        <v>0</v>
      </c>
      <c r="AO429" s="1056">
        <v>1</v>
      </c>
      <c r="AP429" s="1055">
        <v>0.11</v>
      </c>
      <c r="AQ429" s="1745">
        <f t="shared" ref="AQ429:AQ452" si="195">AP429*AU429</f>
        <v>0</v>
      </c>
      <c r="AR429" s="1737">
        <v>0.12</v>
      </c>
      <c r="AS429" s="1052">
        <f t="shared" ref="AS429:AS452" si="196">AR429/AP429</f>
        <v>1.0909090909090908</v>
      </c>
      <c r="AT429" s="1049"/>
      <c r="AU429" s="1136"/>
      <c r="AV429" s="1049"/>
      <c r="AW429" s="1125">
        <v>45003</v>
      </c>
      <c r="AX429" s="1057">
        <v>0</v>
      </c>
      <c r="AY429" s="1056">
        <v>1</v>
      </c>
      <c r="AZ429" s="1055">
        <v>0.14000000000000001</v>
      </c>
      <c r="BA429" s="1736">
        <v>0.25</v>
      </c>
      <c r="BB429" s="1737">
        <f t="shared" ref="BB429:BB452" si="197">BA429/AZ429</f>
        <v>1.7857142857142856</v>
      </c>
      <c r="BC429" s="1049"/>
      <c r="BD429" s="1136"/>
      <c r="BE429" s="1049"/>
      <c r="BF429" s="1125">
        <v>45034</v>
      </c>
      <c r="BG429" s="1057">
        <v>0</v>
      </c>
      <c r="BH429" s="1056">
        <v>1</v>
      </c>
      <c r="BI429" s="1874">
        <v>0.06</v>
      </c>
      <c r="BJ429" s="1736"/>
      <c r="BK429" s="1049"/>
      <c r="BL429" s="1125">
        <v>45034</v>
      </c>
      <c r="BM429" s="1057">
        <v>0</v>
      </c>
      <c r="BN429" s="1056">
        <v>1</v>
      </c>
      <c r="BO429" s="1055"/>
      <c r="BP429" s="1055"/>
      <c r="BQ429" s="1049"/>
    </row>
    <row r="430" spans="1:69" ht="14.4">
      <c r="A430" s="1049"/>
      <c r="B430" s="1124"/>
      <c r="C430" s="1057">
        <v>1</v>
      </c>
      <c r="D430" s="1056">
        <v>2</v>
      </c>
      <c r="E430" s="1063">
        <v>0.72</v>
      </c>
      <c r="F430" s="1062">
        <v>2.0099999999999998</v>
      </c>
      <c r="G430" s="1061">
        <f t="shared" si="187"/>
        <v>2.7916666666666665</v>
      </c>
      <c r="H430" s="1049"/>
      <c r="I430" s="1124"/>
      <c r="J430" s="1057">
        <v>1</v>
      </c>
      <c r="K430" s="1056">
        <v>2</v>
      </c>
      <c r="L430" s="1055">
        <v>1.2709999999999999</v>
      </c>
      <c r="M430" s="1059">
        <v>3</v>
      </c>
      <c r="N430" s="1052">
        <f t="shared" si="188"/>
        <v>2.3603461841070024</v>
      </c>
      <c r="O430" s="1049"/>
      <c r="P430" s="1123"/>
      <c r="Q430" s="1057">
        <v>1</v>
      </c>
      <c r="R430" s="1056">
        <v>2</v>
      </c>
      <c r="S430" s="1055">
        <v>1.1499999999999999</v>
      </c>
      <c r="T430" s="1054">
        <f t="shared" si="189"/>
        <v>1.9549999999999998</v>
      </c>
      <c r="U430" s="1136">
        <v>3.15</v>
      </c>
      <c r="V430" s="1052">
        <f t="shared" si="190"/>
        <v>2.7391304347826089</v>
      </c>
      <c r="W430" s="1049"/>
      <c r="X430" s="1051">
        <v>1.7</v>
      </c>
      <c r="Y430" s="1049"/>
      <c r="Z430" s="1050">
        <f t="shared" si="191"/>
        <v>1.0349999999999999</v>
      </c>
      <c r="AA430" s="1123"/>
      <c r="AB430" s="1057">
        <v>1</v>
      </c>
      <c r="AC430" s="1056">
        <v>2</v>
      </c>
      <c r="AD430" s="1055">
        <v>1.8640000000000001</v>
      </c>
      <c r="AE430" s="1137">
        <f t="shared" si="192"/>
        <v>2.2927200000000001</v>
      </c>
      <c r="AF430" s="1136">
        <v>3.58</v>
      </c>
      <c r="AG430" s="1052">
        <f t="shared" si="193"/>
        <v>1.9206008583690986</v>
      </c>
      <c r="AH430" s="1049"/>
      <c r="AI430" s="1136">
        <v>1.23</v>
      </c>
      <c r="AJ430" s="1049"/>
      <c r="AK430" s="1050">
        <f t="shared" si="194"/>
        <v>0.8015199999999999</v>
      </c>
      <c r="AL430" s="1049"/>
      <c r="AM430" s="1123"/>
      <c r="AN430" s="1057">
        <v>1</v>
      </c>
      <c r="AO430" s="1056">
        <v>2</v>
      </c>
      <c r="AP430" s="1055">
        <v>0.15</v>
      </c>
      <c r="AQ430" s="1745">
        <f t="shared" si="195"/>
        <v>0</v>
      </c>
      <c r="AR430" s="1737">
        <v>0.17</v>
      </c>
      <c r="AS430" s="1052">
        <f t="shared" si="196"/>
        <v>1.1333333333333335</v>
      </c>
      <c r="AT430" s="1049"/>
      <c r="AU430" s="1136"/>
      <c r="AV430" s="1049"/>
      <c r="AW430" s="1123"/>
      <c r="AX430" s="1057">
        <v>1</v>
      </c>
      <c r="AY430" s="1056">
        <v>2</v>
      </c>
      <c r="AZ430" s="1055">
        <v>0.15</v>
      </c>
      <c r="BA430" s="1736">
        <v>0.26</v>
      </c>
      <c r="BB430" s="1737">
        <f t="shared" si="197"/>
        <v>1.7333333333333334</v>
      </c>
      <c r="BC430" s="1049"/>
      <c r="BD430" s="1136"/>
      <c r="BE430" s="1049"/>
      <c r="BF430" s="1123"/>
      <c r="BG430" s="1057">
        <v>1</v>
      </c>
      <c r="BH430" s="1056">
        <v>2</v>
      </c>
      <c r="BI430" s="1874">
        <v>0.12</v>
      </c>
      <c r="BJ430" s="1736"/>
      <c r="BK430" s="1049"/>
      <c r="BL430" s="1123"/>
      <c r="BM430" s="1057">
        <v>1</v>
      </c>
      <c r="BN430" s="1056">
        <v>2</v>
      </c>
      <c r="BO430" s="1055"/>
      <c r="BP430" s="1055"/>
      <c r="BQ430" s="1049"/>
    </row>
    <row r="431" spans="1:69" ht="14.4">
      <c r="A431" s="1049"/>
      <c r="B431" s="1122">
        <f>SUM(E429:E452)</f>
        <v>15.129999999999999</v>
      </c>
      <c r="C431" s="1057">
        <v>2</v>
      </c>
      <c r="D431" s="1056">
        <v>3</v>
      </c>
      <c r="E431" s="1063">
        <v>0.2</v>
      </c>
      <c r="F431" s="1062">
        <v>0.56999999999999995</v>
      </c>
      <c r="G431" s="1061">
        <f t="shared" si="187"/>
        <v>2.8499999999999996</v>
      </c>
      <c r="H431" s="1049"/>
      <c r="I431" s="1122">
        <f>SUM(L429:L452)</f>
        <v>39.468999999999994</v>
      </c>
      <c r="J431" s="1057">
        <v>2</v>
      </c>
      <c r="K431" s="1056">
        <v>3</v>
      </c>
      <c r="L431" s="1055">
        <v>1.238</v>
      </c>
      <c r="M431" s="1059">
        <v>2.88</v>
      </c>
      <c r="N431" s="1052">
        <f t="shared" si="188"/>
        <v>2.3263327948303716</v>
      </c>
      <c r="O431" s="1049"/>
      <c r="P431" s="1121">
        <f>SUM(S429:S452)</f>
        <v>40.249999999999993</v>
      </c>
      <c r="Q431" s="1057">
        <v>2</v>
      </c>
      <c r="R431" s="1056">
        <v>3</v>
      </c>
      <c r="S431" s="1055">
        <v>1.1100000000000001</v>
      </c>
      <c r="T431" s="1054">
        <f t="shared" si="189"/>
        <v>1.9092000000000002</v>
      </c>
      <c r="U431" s="1136">
        <v>3.07</v>
      </c>
      <c r="V431" s="1052">
        <f t="shared" si="190"/>
        <v>2.7657657657657655</v>
      </c>
      <c r="W431" s="1049"/>
      <c r="X431" s="1051">
        <v>1.72</v>
      </c>
      <c r="Y431" s="1049"/>
      <c r="Z431" s="1050">
        <f t="shared" si="191"/>
        <v>1.0212000000000001</v>
      </c>
      <c r="AA431" s="1121">
        <f>SUM(AD429:AD452)</f>
        <v>65.617999999999995</v>
      </c>
      <c r="AB431" s="1057">
        <v>2</v>
      </c>
      <c r="AC431" s="1056">
        <v>3</v>
      </c>
      <c r="AD431" s="1055">
        <v>1.905</v>
      </c>
      <c r="AE431" s="1137">
        <f t="shared" si="192"/>
        <v>2.3622000000000001</v>
      </c>
      <c r="AF431" s="1136">
        <v>3.68</v>
      </c>
      <c r="AG431" s="1052">
        <f t="shared" si="193"/>
        <v>1.931758530183727</v>
      </c>
      <c r="AH431" s="1049"/>
      <c r="AI431" s="1136">
        <v>1.24</v>
      </c>
      <c r="AJ431" s="1049"/>
      <c r="AK431" s="1050">
        <f t="shared" si="194"/>
        <v>0.83819999999999995</v>
      </c>
      <c r="AL431" s="1049"/>
      <c r="AM431" s="1121">
        <f>SUM(AP429:AP452)</f>
        <v>7.88</v>
      </c>
      <c r="AN431" s="1057">
        <v>2</v>
      </c>
      <c r="AO431" s="1056">
        <v>3</v>
      </c>
      <c r="AP431" s="1055">
        <v>0.11</v>
      </c>
      <c r="AQ431" s="1745">
        <f t="shared" si="195"/>
        <v>0</v>
      </c>
      <c r="AR431" s="1737">
        <v>0.13</v>
      </c>
      <c r="AS431" s="1052">
        <f t="shared" si="196"/>
        <v>1.1818181818181819</v>
      </c>
      <c r="AT431" s="1049"/>
      <c r="AU431" s="1136"/>
      <c r="AV431" s="1049"/>
      <c r="AW431" s="1121">
        <f>SUM(AZ429:AZ452)</f>
        <v>6.4300000000000015</v>
      </c>
      <c r="AX431" s="1057">
        <v>2</v>
      </c>
      <c r="AY431" s="1056">
        <v>3</v>
      </c>
      <c r="AZ431" s="1055">
        <v>0.12</v>
      </c>
      <c r="BA431" s="1736">
        <v>0.21</v>
      </c>
      <c r="BB431" s="1737">
        <f t="shared" si="197"/>
        <v>1.75</v>
      </c>
      <c r="BC431" s="1049"/>
      <c r="BD431" s="1136"/>
      <c r="BE431" s="1049"/>
      <c r="BF431" s="1121">
        <f>SUM(BI429:BI452)</f>
        <v>6.4299999999999988</v>
      </c>
      <c r="BG431" s="1057">
        <v>2</v>
      </c>
      <c r="BH431" s="1056">
        <v>3</v>
      </c>
      <c r="BI431" s="1874">
        <v>0.14000000000000001</v>
      </c>
      <c r="BJ431" s="1736"/>
      <c r="BK431" s="1049"/>
      <c r="BL431" s="1121">
        <f>SUM(BO429:BO452)+SUM(BP429:BP452)</f>
        <v>0</v>
      </c>
      <c r="BM431" s="1057">
        <v>2</v>
      </c>
      <c r="BN431" s="1056">
        <v>3</v>
      </c>
      <c r="BO431" s="1055"/>
      <c r="BP431" s="1055"/>
      <c r="BQ431" s="1049"/>
    </row>
    <row r="432" spans="1:69" ht="14.4">
      <c r="A432" s="1049"/>
      <c r="B432" s="1120">
        <f>B431/24</f>
        <v>0.63041666666666663</v>
      </c>
      <c r="C432" s="1057">
        <v>3</v>
      </c>
      <c r="D432" s="1056">
        <v>4</v>
      </c>
      <c r="E432" s="1063">
        <v>0.23</v>
      </c>
      <c r="F432" s="1062">
        <v>0.66</v>
      </c>
      <c r="G432" s="1061">
        <f t="shared" si="187"/>
        <v>2.8695652173913042</v>
      </c>
      <c r="H432" s="1049"/>
      <c r="I432" s="1120">
        <f>I431/24</f>
        <v>1.6445416666666663</v>
      </c>
      <c r="J432" s="1057">
        <v>3</v>
      </c>
      <c r="K432" s="1056">
        <v>4</v>
      </c>
      <c r="L432" s="1055">
        <v>1.7210000000000001</v>
      </c>
      <c r="M432" s="1059">
        <v>3.97</v>
      </c>
      <c r="N432" s="1052">
        <f t="shared" si="188"/>
        <v>2.306798373038931</v>
      </c>
      <c r="O432" s="1049"/>
      <c r="P432" s="1120">
        <f>P431/24</f>
        <v>1.677083333333333</v>
      </c>
      <c r="Q432" s="1057">
        <v>3</v>
      </c>
      <c r="R432" s="1056">
        <v>4</v>
      </c>
      <c r="S432" s="1055">
        <v>1.1299999999999999</v>
      </c>
      <c r="T432" s="1054">
        <f t="shared" si="189"/>
        <v>1.9548999999999999</v>
      </c>
      <c r="U432" s="1136">
        <v>3.15</v>
      </c>
      <c r="V432" s="1052">
        <f t="shared" si="190"/>
        <v>2.7876106194690267</v>
      </c>
      <c r="W432" s="1049"/>
      <c r="X432" s="1051">
        <v>1.73</v>
      </c>
      <c r="Y432" s="1049"/>
      <c r="Z432" s="1050">
        <f t="shared" si="191"/>
        <v>1.0508999999999997</v>
      </c>
      <c r="AA432" s="1120">
        <f>AA431/24</f>
        <v>2.734083333333333</v>
      </c>
      <c r="AB432" s="1057">
        <v>3</v>
      </c>
      <c r="AC432" s="1056">
        <v>4</v>
      </c>
      <c r="AD432" s="1055">
        <v>1.9410000000000001</v>
      </c>
      <c r="AE432" s="1137">
        <f t="shared" si="192"/>
        <v>2.4068399999999999</v>
      </c>
      <c r="AF432" s="1136">
        <v>3.74</v>
      </c>
      <c r="AG432" s="1052">
        <f t="shared" si="193"/>
        <v>1.9268418341061309</v>
      </c>
      <c r="AH432" s="1049"/>
      <c r="AI432" s="1136">
        <v>1.24</v>
      </c>
      <c r="AJ432" s="1049"/>
      <c r="AK432" s="1050">
        <f t="shared" si="194"/>
        <v>0.85403999999999991</v>
      </c>
      <c r="AL432" s="1049"/>
      <c r="AM432" s="1120">
        <f>AM431/24</f>
        <v>0.32833333333333331</v>
      </c>
      <c r="AN432" s="1057">
        <v>3</v>
      </c>
      <c r="AO432" s="1056">
        <v>4</v>
      </c>
      <c r="AP432" s="1055">
        <v>0.08</v>
      </c>
      <c r="AQ432" s="1745">
        <f t="shared" si="195"/>
        <v>0</v>
      </c>
      <c r="AR432" s="1737">
        <v>0.1</v>
      </c>
      <c r="AS432" s="1052">
        <f t="shared" si="196"/>
        <v>1.25</v>
      </c>
      <c r="AT432" s="1049"/>
      <c r="AU432" s="1136"/>
      <c r="AV432" s="1049"/>
      <c r="AW432" s="1120">
        <f>AW431/24</f>
        <v>0.26791666666666675</v>
      </c>
      <c r="AX432" s="1057">
        <v>3</v>
      </c>
      <c r="AY432" s="1056">
        <v>4</v>
      </c>
      <c r="AZ432" s="1055">
        <v>0.09</v>
      </c>
      <c r="BA432" s="1736">
        <v>0.15</v>
      </c>
      <c r="BB432" s="1737">
        <f t="shared" si="197"/>
        <v>1.6666666666666667</v>
      </c>
      <c r="BC432" s="1049"/>
      <c r="BD432" s="1136"/>
      <c r="BE432" s="1049"/>
      <c r="BF432" s="1120">
        <f>BF431/24</f>
        <v>0.26791666666666664</v>
      </c>
      <c r="BG432" s="1057">
        <v>3</v>
      </c>
      <c r="BH432" s="1056">
        <v>4</v>
      </c>
      <c r="BI432" s="1874">
        <v>0.12</v>
      </c>
      <c r="BJ432" s="1736"/>
      <c r="BK432" s="1049"/>
      <c r="BL432" s="1120">
        <f>BL431/24</f>
        <v>0</v>
      </c>
      <c r="BM432" s="1057">
        <v>3</v>
      </c>
      <c r="BN432" s="1056">
        <v>4</v>
      </c>
      <c r="BO432" s="1055"/>
      <c r="BP432" s="1055"/>
      <c r="BQ432" s="1049"/>
    </row>
    <row r="433" spans="1:69" ht="14.4">
      <c r="A433" s="1049"/>
      <c r="B433" s="1119"/>
      <c r="C433" s="1057">
        <v>4</v>
      </c>
      <c r="D433" s="1056">
        <v>5</v>
      </c>
      <c r="E433" s="1063">
        <v>0.27</v>
      </c>
      <c r="F433" s="1062">
        <v>0.77</v>
      </c>
      <c r="G433" s="1061">
        <f t="shared" si="187"/>
        <v>2.8518518518518516</v>
      </c>
      <c r="H433" s="1049"/>
      <c r="I433" s="1119"/>
      <c r="J433" s="1057">
        <v>4</v>
      </c>
      <c r="K433" s="1056">
        <v>5</v>
      </c>
      <c r="L433" s="1055">
        <v>1.173</v>
      </c>
      <c r="M433" s="1059">
        <v>2.81</v>
      </c>
      <c r="N433" s="1052">
        <f t="shared" si="188"/>
        <v>2.3955669224211422</v>
      </c>
      <c r="O433" s="1049"/>
      <c r="P433" s="1118"/>
      <c r="Q433" s="1057">
        <v>4</v>
      </c>
      <c r="R433" s="1056">
        <v>5</v>
      </c>
      <c r="S433" s="1055">
        <v>1.36</v>
      </c>
      <c r="T433" s="1054">
        <f t="shared" si="189"/>
        <v>2.3664000000000001</v>
      </c>
      <c r="U433" s="1136">
        <v>3.79</v>
      </c>
      <c r="V433" s="1052">
        <f t="shared" si="190"/>
        <v>2.7867647058823528</v>
      </c>
      <c r="W433" s="1049"/>
      <c r="X433" s="1051">
        <v>1.74</v>
      </c>
      <c r="Y433" s="1049"/>
      <c r="Z433" s="1050">
        <f t="shared" si="191"/>
        <v>1.2784</v>
      </c>
      <c r="AA433" s="1118"/>
      <c r="AB433" s="1057">
        <v>4</v>
      </c>
      <c r="AC433" s="1056">
        <v>5</v>
      </c>
      <c r="AD433" s="1055">
        <v>1.9770000000000001</v>
      </c>
      <c r="AE433" s="1137">
        <f t="shared" si="192"/>
        <v>2.3921700000000001</v>
      </c>
      <c r="AF433" s="1136">
        <v>3.76</v>
      </c>
      <c r="AG433" s="1052">
        <f t="shared" si="193"/>
        <v>1.9018715225088516</v>
      </c>
      <c r="AH433" s="1049"/>
      <c r="AI433" s="1136">
        <v>1.21</v>
      </c>
      <c r="AJ433" s="1049"/>
      <c r="AK433" s="1050">
        <f t="shared" si="194"/>
        <v>0.8105699999999999</v>
      </c>
      <c r="AL433" s="1049"/>
      <c r="AM433" s="1118"/>
      <c r="AN433" s="1057">
        <v>4</v>
      </c>
      <c r="AO433" s="1056">
        <v>5</v>
      </c>
      <c r="AP433" s="1055">
        <v>0.14000000000000001</v>
      </c>
      <c r="AQ433" s="1745">
        <f t="shared" si="195"/>
        <v>0</v>
      </c>
      <c r="AR433" s="1737">
        <v>0.2</v>
      </c>
      <c r="AS433" s="1052">
        <f t="shared" si="196"/>
        <v>1.4285714285714286</v>
      </c>
      <c r="AT433" s="1049"/>
      <c r="AU433" s="1136"/>
      <c r="AV433" s="1049"/>
      <c r="AW433" s="1118"/>
      <c r="AX433" s="1057">
        <v>4</v>
      </c>
      <c r="AY433" s="1056">
        <v>5</v>
      </c>
      <c r="AZ433" s="1055">
        <v>0.26</v>
      </c>
      <c r="BA433" s="1736">
        <v>0.45</v>
      </c>
      <c r="BB433" s="1737">
        <f t="shared" si="197"/>
        <v>1.7307692307692308</v>
      </c>
      <c r="BC433" s="1049"/>
      <c r="BD433" s="1136"/>
      <c r="BE433" s="1049"/>
      <c r="BF433" s="1118"/>
      <c r="BG433" s="1057">
        <v>4</v>
      </c>
      <c r="BH433" s="1056">
        <v>5</v>
      </c>
      <c r="BI433" s="1874">
        <v>0.11</v>
      </c>
      <c r="BJ433" s="1736"/>
      <c r="BK433" s="1049"/>
      <c r="BL433" s="1118"/>
      <c r="BM433" s="1057">
        <v>4</v>
      </c>
      <c r="BN433" s="1056">
        <v>5</v>
      </c>
      <c r="BO433" s="1055"/>
      <c r="BP433" s="1055"/>
      <c r="BQ433" s="1049"/>
    </row>
    <row r="434" spans="1:69" ht="15" thickBot="1">
      <c r="A434" s="1049"/>
      <c r="B434" s="1058">
        <f>SUM(F429:F452)</f>
        <v>47.08</v>
      </c>
      <c r="C434" s="1111">
        <v>5</v>
      </c>
      <c r="D434" s="1110">
        <v>6</v>
      </c>
      <c r="E434" s="1117">
        <v>0.24</v>
      </c>
      <c r="F434" s="1116">
        <v>0.68</v>
      </c>
      <c r="G434" s="1115">
        <f t="shared" si="187"/>
        <v>2.8333333333333335</v>
      </c>
      <c r="H434" s="1049"/>
      <c r="I434" s="1058">
        <f>SUM(M429:M452)</f>
        <v>109.8</v>
      </c>
      <c r="J434" s="1111">
        <v>5</v>
      </c>
      <c r="K434" s="1110">
        <v>6</v>
      </c>
      <c r="L434" s="1109">
        <v>1.3149999999999999</v>
      </c>
      <c r="M434" s="1114">
        <v>3.23</v>
      </c>
      <c r="N434" s="1113">
        <f t="shared" si="188"/>
        <v>2.456273764258555</v>
      </c>
      <c r="O434" s="1049"/>
      <c r="P434" s="1112">
        <f>SUM(U429:U452)</f>
        <v>118.50999999999998</v>
      </c>
      <c r="Q434" s="1111">
        <v>5</v>
      </c>
      <c r="R434" s="1110">
        <v>6</v>
      </c>
      <c r="S434" s="1109">
        <v>1.72</v>
      </c>
      <c r="T434" s="1054">
        <f t="shared" si="189"/>
        <v>2.9411999999999998</v>
      </c>
      <c r="U434" s="1146">
        <v>4.7300000000000004</v>
      </c>
      <c r="V434" s="1052">
        <f t="shared" si="190"/>
        <v>2.7500000000000004</v>
      </c>
      <c r="W434" s="1049"/>
      <c r="X434" s="1074">
        <v>1.71</v>
      </c>
      <c r="Y434" s="1049"/>
      <c r="Z434" s="1050">
        <f t="shared" si="191"/>
        <v>1.5651999999999999</v>
      </c>
      <c r="AA434" s="1112">
        <f>SUM(AF429:AF452)</f>
        <v>138.92000000000002</v>
      </c>
      <c r="AB434" s="1111">
        <v>5</v>
      </c>
      <c r="AC434" s="1110">
        <v>6</v>
      </c>
      <c r="AD434" s="1109">
        <v>2.0830000000000002</v>
      </c>
      <c r="AE434" s="1147">
        <f t="shared" si="192"/>
        <v>2.6454100000000005</v>
      </c>
      <c r="AF434" s="1146">
        <v>4.07</v>
      </c>
      <c r="AG434" s="1052">
        <f t="shared" si="193"/>
        <v>1.9539126260201631</v>
      </c>
      <c r="AH434" s="1049"/>
      <c r="AI434" s="1146">
        <v>1.27</v>
      </c>
      <c r="AJ434" s="1049"/>
      <c r="AK434" s="1050">
        <f t="shared" si="194"/>
        <v>0.97901000000000005</v>
      </c>
      <c r="AL434" s="1049"/>
      <c r="AM434" s="1112">
        <f>SUM(AR429:AR452)</f>
        <v>15.520000000000003</v>
      </c>
      <c r="AN434" s="1111">
        <v>5</v>
      </c>
      <c r="AO434" s="1110">
        <v>6</v>
      </c>
      <c r="AP434" s="1109">
        <v>0.11</v>
      </c>
      <c r="AQ434" s="1746">
        <f t="shared" si="195"/>
        <v>0</v>
      </c>
      <c r="AR434" s="1739">
        <v>0.16</v>
      </c>
      <c r="AS434" s="1052">
        <f t="shared" si="196"/>
        <v>1.4545454545454546</v>
      </c>
      <c r="AT434" s="1049"/>
      <c r="AU434" s="1146"/>
      <c r="AV434" s="1049"/>
      <c r="AW434" s="1112">
        <f>SUM(BA429:BA452)</f>
        <v>12.62</v>
      </c>
      <c r="AX434" s="1111">
        <v>5</v>
      </c>
      <c r="AY434" s="1110">
        <v>6</v>
      </c>
      <c r="AZ434" s="1109">
        <v>0.28000000000000003</v>
      </c>
      <c r="BA434" s="1738">
        <v>0.49</v>
      </c>
      <c r="BB434" s="1739">
        <f t="shared" si="197"/>
        <v>1.7499999999999998</v>
      </c>
      <c r="BC434" s="1049"/>
      <c r="BD434" s="1146"/>
      <c r="BE434" s="1049"/>
      <c r="BF434" s="1112">
        <f>SUM(BJ429:BJ452)</f>
        <v>0</v>
      </c>
      <c r="BG434" s="1111">
        <v>5</v>
      </c>
      <c r="BH434" s="1110">
        <v>6</v>
      </c>
      <c r="BI434" s="1874">
        <v>0.18</v>
      </c>
      <c r="BJ434" s="1738"/>
      <c r="BK434" s="1049"/>
      <c r="BL434" s="1112">
        <f>SUM(BP429:BP452)</f>
        <v>0</v>
      </c>
      <c r="BM434" s="1111">
        <v>5</v>
      </c>
      <c r="BN434" s="1110">
        <v>6</v>
      </c>
      <c r="BO434" s="1109"/>
      <c r="BP434" s="1109"/>
      <c r="BQ434" s="1049"/>
    </row>
    <row r="435" spans="1:69" ht="14.4">
      <c r="A435" s="1049"/>
      <c r="B435" s="1093">
        <f>B434/B431</f>
        <v>3.1116986120290813</v>
      </c>
      <c r="C435" s="1100">
        <v>6</v>
      </c>
      <c r="D435" s="1099">
        <v>7</v>
      </c>
      <c r="E435" s="1107">
        <v>0.26</v>
      </c>
      <c r="F435" s="1106">
        <v>0.77</v>
      </c>
      <c r="G435" s="1105">
        <f t="shared" si="187"/>
        <v>2.9615384615384617</v>
      </c>
      <c r="H435" s="1049"/>
      <c r="I435" s="1093">
        <f>I434/I431</f>
        <v>2.7819301223745221</v>
      </c>
      <c r="J435" s="1100">
        <v>6</v>
      </c>
      <c r="K435" s="1099">
        <v>7</v>
      </c>
      <c r="L435" s="1098">
        <v>1.3</v>
      </c>
      <c r="M435" s="1103">
        <v>3.38</v>
      </c>
      <c r="N435" s="1102">
        <f t="shared" si="188"/>
        <v>2.5999999999999996</v>
      </c>
      <c r="O435" s="1049"/>
      <c r="P435" s="1093">
        <f>P434/P431</f>
        <v>2.9443478260869567</v>
      </c>
      <c r="Q435" s="1100">
        <v>6</v>
      </c>
      <c r="R435" s="1099">
        <v>7</v>
      </c>
      <c r="S435" s="1098">
        <v>1.95</v>
      </c>
      <c r="T435" s="1054">
        <f t="shared" si="189"/>
        <v>3.3149999999999999</v>
      </c>
      <c r="U435" s="1144">
        <v>5.35</v>
      </c>
      <c r="V435" s="1052">
        <f t="shared" si="190"/>
        <v>2.7435897435897436</v>
      </c>
      <c r="W435" s="1049"/>
      <c r="X435" s="1108">
        <v>1.7</v>
      </c>
      <c r="Y435" s="1049"/>
      <c r="Z435" s="1050">
        <f t="shared" si="191"/>
        <v>1.7549999999999999</v>
      </c>
      <c r="AA435" s="1093">
        <f>AA434/AA431</f>
        <v>2.117102014691091</v>
      </c>
      <c r="AB435" s="1100">
        <v>6</v>
      </c>
      <c r="AC435" s="1099">
        <v>7</v>
      </c>
      <c r="AD435" s="1098">
        <v>2.2879999999999998</v>
      </c>
      <c r="AE435" s="1145">
        <f t="shared" si="192"/>
        <v>3.0659199999999998</v>
      </c>
      <c r="AF435" s="1144">
        <v>4.66</v>
      </c>
      <c r="AG435" s="1052">
        <f t="shared" si="193"/>
        <v>2.0367132867132871</v>
      </c>
      <c r="AH435" s="1049"/>
      <c r="AI435" s="1144">
        <v>1.34</v>
      </c>
      <c r="AJ435" s="1049"/>
      <c r="AK435" s="1050">
        <f t="shared" si="194"/>
        <v>1.23552</v>
      </c>
      <c r="AL435" s="1049"/>
      <c r="AM435" s="1093">
        <f>AM434/AM431</f>
        <v>1.9695431472081222</v>
      </c>
      <c r="AN435" s="1100">
        <v>6</v>
      </c>
      <c r="AO435" s="1099">
        <v>7</v>
      </c>
      <c r="AP435" s="1098">
        <v>0.18</v>
      </c>
      <c r="AQ435" s="1747">
        <f t="shared" si="195"/>
        <v>0</v>
      </c>
      <c r="AR435" s="1741">
        <v>0.28999999999999998</v>
      </c>
      <c r="AS435" s="1052">
        <f t="shared" si="196"/>
        <v>1.6111111111111112</v>
      </c>
      <c r="AT435" s="1049"/>
      <c r="AU435" s="1144"/>
      <c r="AV435" s="1049"/>
      <c r="AW435" s="1093">
        <f>AW434/AW431</f>
        <v>1.9626749611197505</v>
      </c>
      <c r="AX435" s="1100">
        <v>6</v>
      </c>
      <c r="AY435" s="1099">
        <v>7</v>
      </c>
      <c r="AZ435" s="1098">
        <v>0.33</v>
      </c>
      <c r="BA435" s="1740">
        <v>0.59</v>
      </c>
      <c r="BB435" s="1741">
        <f t="shared" si="197"/>
        <v>1.7878787878787876</v>
      </c>
      <c r="BC435" s="1049"/>
      <c r="BD435" s="1144"/>
      <c r="BE435" s="1049"/>
      <c r="BF435" s="1093">
        <f>BF434/BF431</f>
        <v>0</v>
      </c>
      <c r="BG435" s="1100">
        <v>6</v>
      </c>
      <c r="BH435" s="1099">
        <v>7</v>
      </c>
      <c r="BI435" s="1874">
        <v>0.27</v>
      </c>
      <c r="BJ435" s="1740"/>
      <c r="BK435" s="1049"/>
      <c r="BL435" s="1093" t="e">
        <f>BL434/BL431</f>
        <v>#DIV/0!</v>
      </c>
      <c r="BM435" s="1100">
        <v>6</v>
      </c>
      <c r="BN435" s="1099">
        <v>7</v>
      </c>
      <c r="BO435" s="1098"/>
      <c r="BP435" s="1098"/>
      <c r="BQ435" s="1049"/>
    </row>
    <row r="436" spans="1:69" ht="14.4">
      <c r="A436" s="1049"/>
      <c r="B436" s="1104"/>
      <c r="C436" s="1100">
        <v>7</v>
      </c>
      <c r="D436" s="1099">
        <v>8</v>
      </c>
      <c r="E436" s="1107">
        <v>0.32</v>
      </c>
      <c r="F436" s="1106">
        <v>1.03</v>
      </c>
      <c r="G436" s="1105">
        <f t="shared" si="187"/>
        <v>3.21875</v>
      </c>
      <c r="H436" s="1049"/>
      <c r="I436" s="1104"/>
      <c r="J436" s="1100">
        <v>7</v>
      </c>
      <c r="K436" s="1099">
        <v>8</v>
      </c>
      <c r="L436" s="1098">
        <v>1.4330000000000001</v>
      </c>
      <c r="M436" s="1103">
        <v>4</v>
      </c>
      <c r="N436" s="1102">
        <f t="shared" si="188"/>
        <v>2.7913468248429867</v>
      </c>
      <c r="O436" s="1049"/>
      <c r="P436" s="1101"/>
      <c r="Q436" s="1100">
        <v>7</v>
      </c>
      <c r="R436" s="1099">
        <v>8</v>
      </c>
      <c r="S436" s="1098">
        <v>2.99</v>
      </c>
      <c r="T436" s="1054">
        <f t="shared" si="189"/>
        <v>5.3222000000000005</v>
      </c>
      <c r="U436" s="1144">
        <v>8.44</v>
      </c>
      <c r="V436" s="1052">
        <f t="shared" si="190"/>
        <v>2.8227424749163874</v>
      </c>
      <c r="W436" s="1049"/>
      <c r="X436" s="1065">
        <v>1.78</v>
      </c>
      <c r="Y436" s="1049"/>
      <c r="Z436" s="1050">
        <f t="shared" si="191"/>
        <v>2.9302000000000001</v>
      </c>
      <c r="AA436" s="1101"/>
      <c r="AB436" s="1100">
        <v>7</v>
      </c>
      <c r="AC436" s="1099">
        <v>8</v>
      </c>
      <c r="AD436" s="1098">
        <v>2.4580000000000002</v>
      </c>
      <c r="AE436" s="1145">
        <f t="shared" si="192"/>
        <v>4.1294399999999998</v>
      </c>
      <c r="AF436" s="1144">
        <v>5.82</v>
      </c>
      <c r="AG436" s="1052">
        <f t="shared" si="193"/>
        <v>2.3677786818551669</v>
      </c>
      <c r="AH436" s="1049"/>
      <c r="AI436" s="1144">
        <v>1.68</v>
      </c>
      <c r="AJ436" s="1049"/>
      <c r="AK436" s="1050">
        <f t="shared" si="194"/>
        <v>2.1630400000000001</v>
      </c>
      <c r="AL436" s="1049"/>
      <c r="AM436" s="1101"/>
      <c r="AN436" s="1100">
        <v>7</v>
      </c>
      <c r="AO436" s="1099">
        <v>8</v>
      </c>
      <c r="AP436" s="1098">
        <v>0.21</v>
      </c>
      <c r="AQ436" s="1747">
        <f t="shared" si="195"/>
        <v>0</v>
      </c>
      <c r="AR436" s="1741">
        <v>0.35</v>
      </c>
      <c r="AS436" s="1052">
        <f t="shared" si="196"/>
        <v>1.6666666666666665</v>
      </c>
      <c r="AT436" s="1049"/>
      <c r="AU436" s="1144"/>
      <c r="AV436" s="1049"/>
      <c r="AW436" s="1101"/>
      <c r="AX436" s="1100">
        <v>7</v>
      </c>
      <c r="AY436" s="1099">
        <v>8</v>
      </c>
      <c r="AZ436" s="1098">
        <v>0.32</v>
      </c>
      <c r="BA436" s="1736">
        <v>0.57999999999999996</v>
      </c>
      <c r="BB436" s="1741">
        <f t="shared" si="197"/>
        <v>1.8124999999999998</v>
      </c>
      <c r="BC436" s="1049"/>
      <c r="BD436" s="1144"/>
      <c r="BE436" s="1049"/>
      <c r="BF436" s="1101"/>
      <c r="BG436" s="1100">
        <v>7</v>
      </c>
      <c r="BH436" s="1099">
        <v>8</v>
      </c>
      <c r="BI436" s="1874">
        <v>0.35</v>
      </c>
      <c r="BJ436" s="1736"/>
      <c r="BK436" s="1049"/>
      <c r="BL436" s="1101"/>
      <c r="BM436" s="1100">
        <v>7</v>
      </c>
      <c r="BN436" s="1099">
        <v>8</v>
      </c>
      <c r="BO436" s="1098"/>
      <c r="BP436" s="1098"/>
      <c r="BQ436" s="1049"/>
    </row>
    <row r="437" spans="1:69" ht="14.4">
      <c r="A437" s="1049"/>
      <c r="B437" s="1097">
        <f>B434/24</f>
        <v>1.9616666666666667</v>
      </c>
      <c r="C437" s="1086">
        <v>8</v>
      </c>
      <c r="D437" s="1085">
        <v>9</v>
      </c>
      <c r="E437" s="1091">
        <v>0.42</v>
      </c>
      <c r="F437" s="1090">
        <v>1.56</v>
      </c>
      <c r="G437" s="1089">
        <f t="shared" si="187"/>
        <v>3.7142857142857144</v>
      </c>
      <c r="H437" s="1049"/>
      <c r="I437" s="1097">
        <f>I434/24</f>
        <v>4.5750000000000002</v>
      </c>
      <c r="J437" s="1086">
        <v>8</v>
      </c>
      <c r="K437" s="1085">
        <v>9</v>
      </c>
      <c r="L437" s="1084">
        <v>1.423</v>
      </c>
      <c r="M437" s="1088">
        <v>4.1900000000000004</v>
      </c>
      <c r="N437" s="1087">
        <f t="shared" si="188"/>
        <v>2.9444834855938162</v>
      </c>
      <c r="O437" s="1049"/>
      <c r="P437" s="1096">
        <f>P434/24</f>
        <v>4.9379166666666654</v>
      </c>
      <c r="Q437" s="1086">
        <v>8</v>
      </c>
      <c r="R437" s="1085">
        <v>9</v>
      </c>
      <c r="S437" s="1084">
        <v>1.49</v>
      </c>
      <c r="T437" s="1054">
        <f t="shared" si="189"/>
        <v>3.0992000000000002</v>
      </c>
      <c r="U437" s="1142">
        <v>4.66</v>
      </c>
      <c r="V437" s="1052">
        <f t="shared" si="190"/>
        <v>3.1275167785234901</v>
      </c>
      <c r="W437" s="1049"/>
      <c r="X437" s="1051">
        <v>2.08</v>
      </c>
      <c r="Y437" s="1049"/>
      <c r="Z437" s="1050">
        <f t="shared" si="191"/>
        <v>1.9072</v>
      </c>
      <c r="AA437" s="1096">
        <f>AA434/24</f>
        <v>5.788333333333334</v>
      </c>
      <c r="AB437" s="1086">
        <v>8</v>
      </c>
      <c r="AC437" s="1085">
        <v>9</v>
      </c>
      <c r="AD437" s="1084">
        <v>2.8439999999999999</v>
      </c>
      <c r="AE437" s="1143">
        <f t="shared" si="192"/>
        <v>5.1760799999999998</v>
      </c>
      <c r="AF437" s="1142">
        <v>7.14</v>
      </c>
      <c r="AG437" s="1052">
        <f t="shared" si="193"/>
        <v>2.5105485232067513</v>
      </c>
      <c r="AH437" s="1049"/>
      <c r="AI437" s="1142">
        <v>1.82</v>
      </c>
      <c r="AJ437" s="1049"/>
      <c r="AK437" s="1050">
        <f t="shared" si="194"/>
        <v>2.9008799999999999</v>
      </c>
      <c r="AL437" s="1049"/>
      <c r="AM437" s="1096">
        <f>AM434/24</f>
        <v>0.64666666666666683</v>
      </c>
      <c r="AN437" s="1086">
        <v>8</v>
      </c>
      <c r="AO437" s="1085">
        <v>9</v>
      </c>
      <c r="AP437" s="1084">
        <v>0.22</v>
      </c>
      <c r="AQ437" s="1748">
        <f t="shared" si="195"/>
        <v>0</v>
      </c>
      <c r="AR437" s="1742">
        <v>0.38</v>
      </c>
      <c r="AS437" s="1052">
        <f t="shared" si="196"/>
        <v>1.7272727272727273</v>
      </c>
      <c r="AT437" s="1049"/>
      <c r="AU437" s="1142"/>
      <c r="AV437" s="1049"/>
      <c r="AW437" s="1096">
        <f>AW434/24</f>
        <v>0.52583333333333326</v>
      </c>
      <c r="AX437" s="1086">
        <v>8</v>
      </c>
      <c r="AY437" s="1085">
        <v>9</v>
      </c>
      <c r="AZ437" s="1084">
        <v>0.22</v>
      </c>
      <c r="BA437" s="1736">
        <v>0.39</v>
      </c>
      <c r="BB437" s="1742">
        <f t="shared" si="197"/>
        <v>1.7727272727272727</v>
      </c>
      <c r="BC437" s="1049"/>
      <c r="BD437" s="1142"/>
      <c r="BE437" s="1049"/>
      <c r="BF437" s="1096">
        <f>BF434/24</f>
        <v>0</v>
      </c>
      <c r="BG437" s="1086">
        <v>8</v>
      </c>
      <c r="BH437" s="1085">
        <v>9</v>
      </c>
      <c r="BI437" s="1874">
        <v>0.26</v>
      </c>
      <c r="BJ437" s="1736"/>
      <c r="BK437" s="1049"/>
      <c r="BL437" s="1096">
        <f>BL434/24</f>
        <v>0</v>
      </c>
      <c r="BM437" s="1086">
        <v>8</v>
      </c>
      <c r="BN437" s="1085">
        <v>9</v>
      </c>
      <c r="BO437" s="1084"/>
      <c r="BP437" s="1084"/>
      <c r="BQ437" s="1049"/>
    </row>
    <row r="438" spans="1:69" ht="14.4">
      <c r="A438" s="1049"/>
      <c r="B438" s="1097"/>
      <c r="C438" s="1086">
        <v>9</v>
      </c>
      <c r="D438" s="1085">
        <v>10</v>
      </c>
      <c r="E438" s="1091">
        <v>0.6</v>
      </c>
      <c r="F438" s="1090">
        <v>2.0499999999999998</v>
      </c>
      <c r="G438" s="1089">
        <f t="shared" si="187"/>
        <v>3.4166666666666665</v>
      </c>
      <c r="H438" s="1049"/>
      <c r="I438" s="1097"/>
      <c r="J438" s="1086">
        <v>9</v>
      </c>
      <c r="K438" s="1085">
        <v>10</v>
      </c>
      <c r="L438" s="1084">
        <v>1.385</v>
      </c>
      <c r="M438" s="1088">
        <v>4.03</v>
      </c>
      <c r="N438" s="1087">
        <f t="shared" si="188"/>
        <v>2.9097472924187726</v>
      </c>
      <c r="O438" s="1049"/>
      <c r="P438" s="1096"/>
      <c r="Q438" s="1086">
        <v>9</v>
      </c>
      <c r="R438" s="1085">
        <v>10</v>
      </c>
      <c r="S438" s="1084">
        <v>1.44</v>
      </c>
      <c r="T438" s="1054">
        <f t="shared" si="189"/>
        <v>2.9952000000000001</v>
      </c>
      <c r="U438" s="1142">
        <v>4.5</v>
      </c>
      <c r="V438" s="1052">
        <f t="shared" si="190"/>
        <v>3.125</v>
      </c>
      <c r="W438" s="1049"/>
      <c r="X438" s="1051">
        <v>2.08</v>
      </c>
      <c r="Y438" s="1049"/>
      <c r="Z438" s="1050">
        <f t="shared" si="191"/>
        <v>1.8431999999999999</v>
      </c>
      <c r="AA438" s="1096"/>
      <c r="AB438" s="1086">
        <v>9</v>
      </c>
      <c r="AC438" s="1085">
        <v>10</v>
      </c>
      <c r="AD438" s="1084">
        <v>2.6059999999999999</v>
      </c>
      <c r="AE438" s="1143">
        <f t="shared" si="192"/>
        <v>4.6126199999999997</v>
      </c>
      <c r="AF438" s="1142">
        <v>6.42</v>
      </c>
      <c r="AG438" s="1052">
        <f t="shared" si="193"/>
        <v>2.4635456638526478</v>
      </c>
      <c r="AH438" s="1049"/>
      <c r="AI438" s="1142">
        <v>1.77</v>
      </c>
      <c r="AJ438" s="1049"/>
      <c r="AK438" s="1050">
        <f t="shared" si="194"/>
        <v>2.5278199999999997</v>
      </c>
      <c r="AL438" s="1049"/>
      <c r="AM438" s="1096"/>
      <c r="AN438" s="1086">
        <v>9</v>
      </c>
      <c r="AO438" s="1085">
        <v>10</v>
      </c>
      <c r="AP438" s="1084">
        <v>0.16</v>
      </c>
      <c r="AQ438" s="1748">
        <f t="shared" si="195"/>
        <v>0</v>
      </c>
      <c r="AR438" s="1742">
        <v>0.28999999999999998</v>
      </c>
      <c r="AS438" s="1052">
        <f t="shared" si="196"/>
        <v>1.8124999999999998</v>
      </c>
      <c r="AT438" s="1049"/>
      <c r="AU438" s="1142"/>
      <c r="AV438" s="1049"/>
      <c r="AW438" s="1096"/>
      <c r="AX438" s="1086">
        <v>9</v>
      </c>
      <c r="AY438" s="1085">
        <v>10</v>
      </c>
      <c r="AZ438" s="1084">
        <v>0.24</v>
      </c>
      <c r="BA438" s="1736">
        <v>0.43</v>
      </c>
      <c r="BB438" s="1742">
        <f t="shared" si="197"/>
        <v>1.7916666666666667</v>
      </c>
      <c r="BC438" s="1049"/>
      <c r="BD438" s="1142"/>
      <c r="BE438" s="1049"/>
      <c r="BF438" s="1096"/>
      <c r="BG438" s="1086">
        <v>9</v>
      </c>
      <c r="BH438" s="1085">
        <v>10</v>
      </c>
      <c r="BI438" s="1874">
        <v>0.2</v>
      </c>
      <c r="BJ438" s="1736"/>
      <c r="BK438" s="1049"/>
      <c r="BL438" s="1096"/>
      <c r="BM438" s="1086">
        <v>9</v>
      </c>
      <c r="BN438" s="1085">
        <v>10</v>
      </c>
      <c r="BO438" s="1084"/>
      <c r="BP438" s="1084"/>
      <c r="BQ438" s="1049"/>
    </row>
    <row r="439" spans="1:69" ht="14.4">
      <c r="A439" s="1049"/>
      <c r="B439" s="1060"/>
      <c r="C439" s="1086">
        <v>10</v>
      </c>
      <c r="D439" s="1085">
        <v>11</v>
      </c>
      <c r="E439" s="1091">
        <v>0.59</v>
      </c>
      <c r="F439" s="1090">
        <v>1.98</v>
      </c>
      <c r="G439" s="1089">
        <f t="shared" si="187"/>
        <v>3.3559322033898304</v>
      </c>
      <c r="H439" s="1049"/>
      <c r="I439" s="1060"/>
      <c r="J439" s="1086">
        <v>10</v>
      </c>
      <c r="K439" s="1085">
        <v>11</v>
      </c>
      <c r="L439" s="1084">
        <v>2.113</v>
      </c>
      <c r="M439" s="1088">
        <v>5.85</v>
      </c>
      <c r="N439" s="1087">
        <f t="shared" si="188"/>
        <v>2.7685754850922857</v>
      </c>
      <c r="O439" s="1049"/>
      <c r="P439" s="1095">
        <f>SUM(Z429:Z452)</f>
        <v>44.363099999999996</v>
      </c>
      <c r="Q439" s="1086">
        <v>10</v>
      </c>
      <c r="R439" s="1085">
        <v>11</v>
      </c>
      <c r="S439" s="1084">
        <v>1.4</v>
      </c>
      <c r="T439" s="1054">
        <f t="shared" si="189"/>
        <v>3.024</v>
      </c>
      <c r="U439" s="1142">
        <v>4.47</v>
      </c>
      <c r="V439" s="1052">
        <f t="shared" si="190"/>
        <v>3.1928571428571431</v>
      </c>
      <c r="W439" s="1049"/>
      <c r="X439" s="1051">
        <v>2.16</v>
      </c>
      <c r="Y439" s="1049"/>
      <c r="Z439" s="1050">
        <f t="shared" si="191"/>
        <v>1.9039999999999999</v>
      </c>
      <c r="AA439" s="1095">
        <f>SUM(AK429:AK452)</f>
        <v>37.4193</v>
      </c>
      <c r="AB439" s="1086">
        <v>10</v>
      </c>
      <c r="AC439" s="1085">
        <v>11</v>
      </c>
      <c r="AD439" s="1084">
        <v>2.8279999999999998</v>
      </c>
      <c r="AE439" s="1143">
        <f t="shared" si="192"/>
        <v>4.0440399999999999</v>
      </c>
      <c r="AF439" s="1142">
        <v>6.01</v>
      </c>
      <c r="AG439" s="1052">
        <f t="shared" si="193"/>
        <v>2.1251768033946252</v>
      </c>
      <c r="AH439" s="1049"/>
      <c r="AI439" s="1142">
        <v>1.43</v>
      </c>
      <c r="AJ439" s="1049"/>
      <c r="AK439" s="1050">
        <f t="shared" si="194"/>
        <v>1.7816399999999997</v>
      </c>
      <c r="AL439" s="1049"/>
      <c r="AM439" s="1095" t="e">
        <f>SUM(#REF!)</f>
        <v>#REF!</v>
      </c>
      <c r="AN439" s="1086">
        <v>10</v>
      </c>
      <c r="AO439" s="1085">
        <v>11</v>
      </c>
      <c r="AP439" s="1084">
        <v>0.21</v>
      </c>
      <c r="AQ439" s="1748">
        <f t="shared" si="195"/>
        <v>0</v>
      </c>
      <c r="AR439" s="1742">
        <v>0.38</v>
      </c>
      <c r="AS439" s="1052">
        <f t="shared" si="196"/>
        <v>1.8095238095238095</v>
      </c>
      <c r="AT439" s="1049"/>
      <c r="AU439" s="1142"/>
      <c r="AV439" s="1049"/>
      <c r="AW439" s="1095" t="e">
        <f>SUM(#REF!)</f>
        <v>#REF!</v>
      </c>
      <c r="AX439" s="1086">
        <v>10</v>
      </c>
      <c r="AY439" s="1085">
        <v>11</v>
      </c>
      <c r="AZ439" s="1084">
        <v>0.38</v>
      </c>
      <c r="BA439" s="1736">
        <v>0.66</v>
      </c>
      <c r="BB439" s="1742">
        <f t="shared" si="197"/>
        <v>1.736842105263158</v>
      </c>
      <c r="BC439" s="1049"/>
      <c r="BD439" s="1142"/>
      <c r="BE439" s="1049"/>
      <c r="BF439" s="1095" t="e">
        <f>SUM(#REF!)</f>
        <v>#REF!</v>
      </c>
      <c r="BG439" s="1086">
        <v>10</v>
      </c>
      <c r="BH439" s="1085">
        <v>11</v>
      </c>
      <c r="BI439" s="1874">
        <v>0.28999999999999998</v>
      </c>
      <c r="BJ439" s="1736"/>
      <c r="BK439" s="1049"/>
      <c r="BL439" s="1095" t="e">
        <f>SUM(#REF!)</f>
        <v>#REF!</v>
      </c>
      <c r="BM439" s="1086">
        <v>10</v>
      </c>
      <c r="BN439" s="1085">
        <v>11</v>
      </c>
      <c r="BO439" s="1084"/>
      <c r="BP439" s="1084"/>
      <c r="BQ439" s="1049"/>
    </row>
    <row r="440" spans="1:69" ht="14.4">
      <c r="A440" s="1049"/>
      <c r="B440" s="1060"/>
      <c r="C440" s="1086">
        <v>11</v>
      </c>
      <c r="D440" s="1085">
        <v>12</v>
      </c>
      <c r="E440" s="1091">
        <v>1.77</v>
      </c>
      <c r="F440" s="1090">
        <v>5.67</v>
      </c>
      <c r="G440" s="1089">
        <f t="shared" si="187"/>
        <v>3.2033898305084745</v>
      </c>
      <c r="H440" s="1049"/>
      <c r="I440" s="1060"/>
      <c r="J440" s="1086">
        <v>11</v>
      </c>
      <c r="K440" s="1085">
        <v>12</v>
      </c>
      <c r="L440" s="1084">
        <v>2.4910000000000001</v>
      </c>
      <c r="M440" s="1088">
        <v>6.69</v>
      </c>
      <c r="N440" s="1087">
        <f t="shared" si="188"/>
        <v>2.6856684062625451</v>
      </c>
      <c r="O440" s="1049"/>
      <c r="P440" s="1093">
        <f>P439/P431</f>
        <v>1.1021888198757765</v>
      </c>
      <c r="Q440" s="1086">
        <v>11</v>
      </c>
      <c r="R440" s="1085">
        <v>12</v>
      </c>
      <c r="S440" s="1084">
        <v>1.79</v>
      </c>
      <c r="T440" s="1054">
        <f t="shared" si="189"/>
        <v>3.8306000000000004</v>
      </c>
      <c r="U440" s="1142">
        <v>5.69</v>
      </c>
      <c r="V440" s="1052">
        <f t="shared" si="190"/>
        <v>3.1787709497206706</v>
      </c>
      <c r="W440" s="1049"/>
      <c r="X440" s="1051">
        <v>2.14</v>
      </c>
      <c r="Y440" s="1049"/>
      <c r="Z440" s="1050">
        <f t="shared" si="191"/>
        <v>2.3986000000000001</v>
      </c>
      <c r="AA440" s="1093">
        <f>AA439/AA431</f>
        <v>0.57025968484257372</v>
      </c>
      <c r="AB440" s="1086">
        <v>11</v>
      </c>
      <c r="AC440" s="1085">
        <v>12</v>
      </c>
      <c r="AD440" s="1084">
        <v>3.31</v>
      </c>
      <c r="AE440" s="1143">
        <f t="shared" si="192"/>
        <v>4.4354000000000005</v>
      </c>
      <c r="AF440" s="1142">
        <v>6.73</v>
      </c>
      <c r="AG440" s="1052">
        <f t="shared" si="193"/>
        <v>2.0332326283987916</v>
      </c>
      <c r="AH440" s="1049"/>
      <c r="AI440" s="1142">
        <v>1.34</v>
      </c>
      <c r="AJ440" s="1049"/>
      <c r="AK440" s="1050">
        <f t="shared" si="194"/>
        <v>1.7874000000000001</v>
      </c>
      <c r="AL440" s="1049"/>
      <c r="AM440" s="1093" t="e">
        <f>AM439/AM431</f>
        <v>#REF!</v>
      </c>
      <c r="AN440" s="1086">
        <v>11</v>
      </c>
      <c r="AO440" s="1085">
        <v>12</v>
      </c>
      <c r="AP440" s="1084">
        <v>0.27</v>
      </c>
      <c r="AQ440" s="1748">
        <f t="shared" si="195"/>
        <v>0</v>
      </c>
      <c r="AR440" s="1742">
        <v>0.48</v>
      </c>
      <c r="AS440" s="1052">
        <f t="shared" si="196"/>
        <v>1.7777777777777777</v>
      </c>
      <c r="AT440" s="1049"/>
      <c r="AU440" s="1142"/>
      <c r="AV440" s="1049"/>
      <c r="AW440" s="1093" t="e">
        <f>AW439/AW431</f>
        <v>#REF!</v>
      </c>
      <c r="AX440" s="1086">
        <v>11</v>
      </c>
      <c r="AY440" s="1085">
        <v>12</v>
      </c>
      <c r="AZ440" s="1084">
        <v>0.41</v>
      </c>
      <c r="BA440" s="1736">
        <v>0.68</v>
      </c>
      <c r="BB440" s="1742">
        <f t="shared" si="197"/>
        <v>1.6585365853658538</v>
      </c>
      <c r="BC440" s="1049"/>
      <c r="BD440" s="1142"/>
      <c r="BE440" s="1049"/>
      <c r="BF440" s="1093" t="e">
        <f>BF439/BF431</f>
        <v>#REF!</v>
      </c>
      <c r="BG440" s="1086">
        <v>11</v>
      </c>
      <c r="BH440" s="1085">
        <v>12</v>
      </c>
      <c r="BI440" s="1874">
        <v>0.25</v>
      </c>
      <c r="BJ440" s="1736"/>
      <c r="BK440" s="1049"/>
      <c r="BL440" s="1093" t="e">
        <f>BL439/BL431</f>
        <v>#REF!</v>
      </c>
      <c r="BM440" s="1086">
        <v>11</v>
      </c>
      <c r="BN440" s="1085">
        <v>12</v>
      </c>
      <c r="BO440" s="1084"/>
      <c r="BP440" s="1084"/>
      <c r="BQ440" s="1049"/>
    </row>
    <row r="441" spans="1:69" ht="14.4">
      <c r="A441" s="1049"/>
      <c r="B441" s="1060"/>
      <c r="C441" s="1086">
        <v>12</v>
      </c>
      <c r="D441" s="1085">
        <v>13</v>
      </c>
      <c r="E441" s="1091">
        <v>1.54</v>
      </c>
      <c r="F441" s="1090">
        <v>4.1900000000000004</v>
      </c>
      <c r="G441" s="1089">
        <f t="shared" si="187"/>
        <v>2.720779220779221</v>
      </c>
      <c r="H441" s="1049"/>
      <c r="I441" s="1060"/>
      <c r="J441" s="1086">
        <v>12</v>
      </c>
      <c r="K441" s="1085">
        <v>13</v>
      </c>
      <c r="L441" s="1084">
        <v>2.452</v>
      </c>
      <c r="M441" s="1088">
        <v>6.53</v>
      </c>
      <c r="N441" s="1087">
        <f t="shared" si="188"/>
        <v>2.6631321370309951</v>
      </c>
      <c r="O441" s="1049"/>
      <c r="P441" s="1060"/>
      <c r="Q441" s="1086">
        <v>12</v>
      </c>
      <c r="R441" s="1085">
        <v>13</v>
      </c>
      <c r="S441" s="1084">
        <v>2.12</v>
      </c>
      <c r="T441" s="1054">
        <f t="shared" si="189"/>
        <v>3.9432000000000005</v>
      </c>
      <c r="U441" s="1142">
        <v>6.16</v>
      </c>
      <c r="V441" s="1052">
        <f t="shared" si="190"/>
        <v>2.9056603773584904</v>
      </c>
      <c r="W441" s="1049"/>
      <c r="X441" s="1051">
        <v>1.86</v>
      </c>
      <c r="Y441" s="1049"/>
      <c r="Z441" s="1050">
        <f t="shared" si="191"/>
        <v>2.2472000000000003</v>
      </c>
      <c r="AA441" s="1060"/>
      <c r="AB441" s="1086">
        <v>12</v>
      </c>
      <c r="AC441" s="1085">
        <v>13</v>
      </c>
      <c r="AD441" s="1084">
        <v>3.4</v>
      </c>
      <c r="AE441" s="1143">
        <f t="shared" si="192"/>
        <v>4.3520000000000003</v>
      </c>
      <c r="AF441" s="1142">
        <v>6.68</v>
      </c>
      <c r="AG441" s="1052">
        <f t="shared" si="193"/>
        <v>1.9647058823529411</v>
      </c>
      <c r="AH441" s="1049"/>
      <c r="AI441" s="1142">
        <v>1.28</v>
      </c>
      <c r="AJ441" s="1049"/>
      <c r="AK441" s="1050">
        <f t="shared" si="194"/>
        <v>1.6319999999999999</v>
      </c>
      <c r="AL441" s="1049"/>
      <c r="AM441" s="1060"/>
      <c r="AN441" s="1086">
        <v>12</v>
      </c>
      <c r="AO441" s="1085">
        <v>13</v>
      </c>
      <c r="AP441" s="1084">
        <v>0.26</v>
      </c>
      <c r="AQ441" s="1748">
        <f t="shared" si="195"/>
        <v>0</v>
      </c>
      <c r="AR441" s="1742">
        <v>0.44</v>
      </c>
      <c r="AS441" s="1052">
        <f t="shared" si="196"/>
        <v>1.6923076923076923</v>
      </c>
      <c r="AT441" s="1049"/>
      <c r="AU441" s="1142"/>
      <c r="AV441" s="1049"/>
      <c r="AW441" s="1060"/>
      <c r="AX441" s="1086">
        <v>12</v>
      </c>
      <c r="AY441" s="1085">
        <v>13</v>
      </c>
      <c r="AZ441" s="1084">
        <v>0.22</v>
      </c>
      <c r="BA441" s="1736">
        <v>0.35</v>
      </c>
      <c r="BB441" s="1742">
        <f t="shared" si="197"/>
        <v>1.5909090909090908</v>
      </c>
      <c r="BC441" s="1049"/>
      <c r="BD441" s="1142"/>
      <c r="BE441" s="1049"/>
      <c r="BF441" s="1060"/>
      <c r="BG441" s="1086">
        <v>12</v>
      </c>
      <c r="BH441" s="1085">
        <v>13</v>
      </c>
      <c r="BI441" s="1874">
        <v>0.39</v>
      </c>
      <c r="BJ441" s="1736"/>
      <c r="BK441" s="1049"/>
      <c r="BL441" s="1060"/>
      <c r="BM441" s="1086">
        <v>12</v>
      </c>
      <c r="BN441" s="1085">
        <v>13</v>
      </c>
      <c r="BO441" s="1084"/>
      <c r="BP441" s="1084"/>
      <c r="BQ441" s="1049"/>
    </row>
    <row r="442" spans="1:69" ht="14.4">
      <c r="A442" s="1049"/>
      <c r="B442" s="1060"/>
      <c r="C442" s="1086">
        <v>13</v>
      </c>
      <c r="D442" s="1085">
        <v>14</v>
      </c>
      <c r="E442" s="1091">
        <v>1.89</v>
      </c>
      <c r="F442" s="1090">
        <v>5.35</v>
      </c>
      <c r="G442" s="1089">
        <f t="shared" si="187"/>
        <v>2.8306878306878307</v>
      </c>
      <c r="H442" s="1049"/>
      <c r="I442" s="1060"/>
      <c r="J442" s="1086">
        <v>13</v>
      </c>
      <c r="K442" s="1085">
        <v>14</v>
      </c>
      <c r="L442" s="1084">
        <v>2.04</v>
      </c>
      <c r="M442" s="1088">
        <v>5.4</v>
      </c>
      <c r="N442" s="1087">
        <f t="shared" si="188"/>
        <v>2.6470588235294117</v>
      </c>
      <c r="O442" s="1049"/>
      <c r="P442" s="1092" t="s">
        <v>1127</v>
      </c>
      <c r="Q442" s="1086">
        <v>13</v>
      </c>
      <c r="R442" s="1085">
        <v>14</v>
      </c>
      <c r="S442" s="1084">
        <v>2.44</v>
      </c>
      <c r="T442" s="1054">
        <f t="shared" si="189"/>
        <v>5.4168000000000003</v>
      </c>
      <c r="U442" s="1142">
        <v>7.97</v>
      </c>
      <c r="V442" s="1052">
        <f t="shared" si="190"/>
        <v>3.2663934426229506</v>
      </c>
      <c r="W442" s="1049"/>
      <c r="X442" s="1051">
        <v>2.2200000000000002</v>
      </c>
      <c r="Y442" s="1049"/>
      <c r="Z442" s="1050">
        <f t="shared" si="191"/>
        <v>3.4648000000000003</v>
      </c>
      <c r="AA442" s="1092" t="s">
        <v>1127</v>
      </c>
      <c r="AB442" s="1086">
        <v>13</v>
      </c>
      <c r="AC442" s="1085">
        <v>14</v>
      </c>
      <c r="AD442" s="1084">
        <v>3.4860000000000002</v>
      </c>
      <c r="AE442" s="1143">
        <f t="shared" si="192"/>
        <v>4.3574999999999999</v>
      </c>
      <c r="AF442" s="1142">
        <v>6.76</v>
      </c>
      <c r="AG442" s="1052">
        <f t="shared" si="193"/>
        <v>1.9391853126792884</v>
      </c>
      <c r="AH442" s="1049"/>
      <c r="AI442" s="1142">
        <v>1.25</v>
      </c>
      <c r="AJ442" s="1049"/>
      <c r="AK442" s="1050">
        <f t="shared" si="194"/>
        <v>1.5687</v>
      </c>
      <c r="AL442" s="1049"/>
      <c r="AM442" s="1092" t="s">
        <v>1127</v>
      </c>
      <c r="AN442" s="1086">
        <v>13</v>
      </c>
      <c r="AO442" s="1085">
        <v>14</v>
      </c>
      <c r="AP442" s="1084">
        <v>0.7</v>
      </c>
      <c r="AQ442" s="1748">
        <f t="shared" si="195"/>
        <v>0</v>
      </c>
      <c r="AR442" s="1742">
        <v>1.1200000000000001</v>
      </c>
      <c r="AS442" s="1052">
        <f t="shared" si="196"/>
        <v>1.6000000000000003</v>
      </c>
      <c r="AT442" s="1049"/>
      <c r="AU442" s="1142"/>
      <c r="AV442" s="1049"/>
      <c r="AW442" s="1092" t="s">
        <v>1127</v>
      </c>
      <c r="AX442" s="1086">
        <v>13</v>
      </c>
      <c r="AY442" s="1085">
        <v>14</v>
      </c>
      <c r="AZ442" s="1084">
        <v>0.34</v>
      </c>
      <c r="BA442" s="1736">
        <v>0.53</v>
      </c>
      <c r="BB442" s="1742">
        <f t="shared" si="197"/>
        <v>1.5588235294117647</v>
      </c>
      <c r="BC442" s="1049"/>
      <c r="BD442" s="1142"/>
      <c r="BE442" s="1049"/>
      <c r="BF442" s="1092" t="s">
        <v>1127</v>
      </c>
      <c r="BG442" s="1086">
        <v>13</v>
      </c>
      <c r="BH442" s="1085">
        <v>14</v>
      </c>
      <c r="BI442" s="1874">
        <v>0.3</v>
      </c>
      <c r="BJ442" s="1736"/>
      <c r="BK442" s="1049"/>
      <c r="BL442" s="1092" t="s">
        <v>1127</v>
      </c>
      <c r="BM442" s="1086">
        <v>13</v>
      </c>
      <c r="BN442" s="1085">
        <v>14</v>
      </c>
      <c r="BO442" s="1084"/>
      <c r="BP442" s="1084"/>
      <c r="BQ442" s="1049"/>
    </row>
    <row r="443" spans="1:69" ht="14.4">
      <c r="A443" s="1049"/>
      <c r="B443" s="1060"/>
      <c r="C443" s="1086">
        <v>14</v>
      </c>
      <c r="D443" s="1085">
        <v>15</v>
      </c>
      <c r="E443" s="1091">
        <v>1.08</v>
      </c>
      <c r="F443" s="1090">
        <v>2.88</v>
      </c>
      <c r="G443" s="1089">
        <f t="shared" si="187"/>
        <v>2.6666666666666665</v>
      </c>
      <c r="H443" s="1049"/>
      <c r="I443" s="1060"/>
      <c r="J443" s="1086">
        <v>14</v>
      </c>
      <c r="K443" s="1085">
        <v>15</v>
      </c>
      <c r="L443" s="1084">
        <v>1.748</v>
      </c>
      <c r="M443" s="1088">
        <v>4.6500000000000004</v>
      </c>
      <c r="N443" s="1087">
        <f t="shared" si="188"/>
        <v>2.6601830663615562</v>
      </c>
      <c r="O443" s="1049"/>
      <c r="P443" s="1058">
        <f>P431*0.8</f>
        <v>32.199999999999996</v>
      </c>
      <c r="Q443" s="1086">
        <v>14</v>
      </c>
      <c r="R443" s="1085">
        <v>15</v>
      </c>
      <c r="S443" s="1084">
        <v>2.0699999999999998</v>
      </c>
      <c r="T443" s="1054">
        <f t="shared" si="189"/>
        <v>4.6989000000000001</v>
      </c>
      <c r="U443" s="1142">
        <v>6.85</v>
      </c>
      <c r="V443" s="1052">
        <f t="shared" si="190"/>
        <v>3.3091787439613527</v>
      </c>
      <c r="W443" s="1049"/>
      <c r="X443" s="1051">
        <v>2.27</v>
      </c>
      <c r="Y443" s="1049"/>
      <c r="Z443" s="1050">
        <f t="shared" si="191"/>
        <v>3.0428999999999995</v>
      </c>
      <c r="AA443" s="1058">
        <f>AA431*0.8</f>
        <v>52.494399999999999</v>
      </c>
      <c r="AB443" s="1086">
        <v>14</v>
      </c>
      <c r="AC443" s="1085">
        <v>15</v>
      </c>
      <c r="AD443" s="1084">
        <v>3.762</v>
      </c>
      <c r="AE443" s="1143">
        <f t="shared" si="192"/>
        <v>4.8153600000000001</v>
      </c>
      <c r="AF443" s="1142">
        <v>7.42</v>
      </c>
      <c r="AG443" s="1052">
        <f t="shared" si="193"/>
        <v>1.972355130249867</v>
      </c>
      <c r="AH443" s="1049"/>
      <c r="AI443" s="1142">
        <v>1.28</v>
      </c>
      <c r="AJ443" s="1049"/>
      <c r="AK443" s="1050">
        <f t="shared" si="194"/>
        <v>1.80576</v>
      </c>
      <c r="AL443" s="1049"/>
      <c r="AM443" s="1058">
        <f>AM431*0.8</f>
        <v>6.3040000000000003</v>
      </c>
      <c r="AN443" s="1086">
        <v>14</v>
      </c>
      <c r="AO443" s="1085">
        <v>15</v>
      </c>
      <c r="AP443" s="1084">
        <v>0.3</v>
      </c>
      <c r="AQ443" s="1748">
        <f t="shared" si="195"/>
        <v>0</v>
      </c>
      <c r="AR443" s="1742">
        <v>0.49</v>
      </c>
      <c r="AS443" s="1052">
        <f t="shared" si="196"/>
        <v>1.6333333333333333</v>
      </c>
      <c r="AT443" s="1049"/>
      <c r="AU443" s="1142"/>
      <c r="AV443" s="1049"/>
      <c r="AW443" s="1058">
        <f>AW431*0.8</f>
        <v>5.1440000000000019</v>
      </c>
      <c r="AX443" s="1086">
        <v>14</v>
      </c>
      <c r="AY443" s="1085">
        <v>15</v>
      </c>
      <c r="AZ443" s="1084">
        <v>0.44</v>
      </c>
      <c r="BA443" s="1736">
        <v>0.72</v>
      </c>
      <c r="BB443" s="1742">
        <f t="shared" si="197"/>
        <v>1.6363636363636362</v>
      </c>
      <c r="BC443" s="1049"/>
      <c r="BD443" s="1142"/>
      <c r="BE443" s="1049"/>
      <c r="BF443" s="1058">
        <f>BF431*0.8</f>
        <v>5.1439999999999992</v>
      </c>
      <c r="BG443" s="1086">
        <v>14</v>
      </c>
      <c r="BH443" s="1085">
        <v>15</v>
      </c>
      <c r="BI443" s="1874">
        <v>0.38</v>
      </c>
      <c r="BJ443" s="1736"/>
      <c r="BK443" s="1049"/>
      <c r="BL443" s="1058">
        <f>BL431*0.8</f>
        <v>0</v>
      </c>
      <c r="BM443" s="1086">
        <v>14</v>
      </c>
      <c r="BN443" s="1085">
        <v>15</v>
      </c>
      <c r="BO443" s="1084"/>
      <c r="BP443" s="1084"/>
      <c r="BQ443" s="1049"/>
    </row>
    <row r="444" spans="1:69" ht="14.4">
      <c r="A444" s="1049"/>
      <c r="B444" s="1060"/>
      <c r="C444" s="1086">
        <v>15</v>
      </c>
      <c r="D444" s="1085">
        <v>16</v>
      </c>
      <c r="E444" s="1091">
        <v>0.7</v>
      </c>
      <c r="F444" s="1090">
        <v>1.97</v>
      </c>
      <c r="G444" s="1089">
        <f t="shared" si="187"/>
        <v>2.8142857142857145</v>
      </c>
      <c r="H444" s="1049"/>
      <c r="I444" s="1060"/>
      <c r="J444" s="1086">
        <v>15</v>
      </c>
      <c r="K444" s="1085">
        <v>16</v>
      </c>
      <c r="L444" s="1084">
        <v>1.5660000000000001</v>
      </c>
      <c r="M444" s="1088">
        <v>4.3099999999999996</v>
      </c>
      <c r="N444" s="1087">
        <f t="shared" si="188"/>
        <v>2.7522349936143038</v>
      </c>
      <c r="O444" s="1049"/>
      <c r="P444" s="1058" t="s">
        <v>1126</v>
      </c>
      <c r="Q444" s="1086">
        <v>15</v>
      </c>
      <c r="R444" s="1085">
        <v>16</v>
      </c>
      <c r="S444" s="1084">
        <v>2.08</v>
      </c>
      <c r="T444" s="1054">
        <f t="shared" si="189"/>
        <v>4.9088000000000003</v>
      </c>
      <c r="U444" s="1142">
        <v>7.07</v>
      </c>
      <c r="V444" s="1052">
        <f t="shared" si="190"/>
        <v>3.3990384615384617</v>
      </c>
      <c r="W444" s="1049"/>
      <c r="X444" s="1051">
        <v>2.36</v>
      </c>
      <c r="Y444" s="1049"/>
      <c r="Z444" s="1050">
        <f t="shared" si="191"/>
        <v>3.2447999999999997</v>
      </c>
      <c r="AA444" s="1058" t="s">
        <v>1126</v>
      </c>
      <c r="AB444" s="1086">
        <v>15</v>
      </c>
      <c r="AC444" s="1085">
        <v>16</v>
      </c>
      <c r="AD444" s="1084">
        <v>3.5960000000000001</v>
      </c>
      <c r="AE444" s="1143">
        <f t="shared" si="192"/>
        <v>5.1422799999999995</v>
      </c>
      <c r="AF444" s="1142">
        <v>7.64</v>
      </c>
      <c r="AG444" s="1052">
        <f t="shared" si="193"/>
        <v>2.1245828698553946</v>
      </c>
      <c r="AH444" s="1049"/>
      <c r="AI444" s="1142">
        <v>1.43</v>
      </c>
      <c r="AJ444" s="1049"/>
      <c r="AK444" s="1050">
        <f t="shared" si="194"/>
        <v>2.2654799999999997</v>
      </c>
      <c r="AL444" s="1049"/>
      <c r="AM444" s="1058" t="s">
        <v>1126</v>
      </c>
      <c r="AN444" s="1086">
        <v>15</v>
      </c>
      <c r="AO444" s="1085">
        <v>16</v>
      </c>
      <c r="AP444" s="1084">
        <v>0.44</v>
      </c>
      <c r="AQ444" s="1748">
        <f t="shared" si="195"/>
        <v>0</v>
      </c>
      <c r="AR444" s="1742">
        <v>0.74</v>
      </c>
      <c r="AS444" s="1052">
        <f t="shared" si="196"/>
        <v>1.6818181818181819</v>
      </c>
      <c r="AT444" s="1049"/>
      <c r="AU444" s="1142"/>
      <c r="AV444" s="1049"/>
      <c r="AW444" s="1058" t="s">
        <v>1126</v>
      </c>
      <c r="AX444" s="1086">
        <v>15</v>
      </c>
      <c r="AY444" s="1085">
        <v>16</v>
      </c>
      <c r="AZ444" s="1084">
        <v>0.28999999999999998</v>
      </c>
      <c r="BA444" s="1736">
        <v>0.49</v>
      </c>
      <c r="BB444" s="1742">
        <f t="shared" si="197"/>
        <v>1.6896551724137931</v>
      </c>
      <c r="BC444" s="1049"/>
      <c r="BD444" s="1142"/>
      <c r="BE444" s="1049"/>
      <c r="BF444" s="1058" t="s">
        <v>1126</v>
      </c>
      <c r="BG444" s="1086">
        <v>15</v>
      </c>
      <c r="BH444" s="1085">
        <v>16</v>
      </c>
      <c r="BI444" s="1874">
        <v>0.67</v>
      </c>
      <c r="BJ444" s="1736"/>
      <c r="BK444" s="1049"/>
      <c r="BL444" s="1058" t="s">
        <v>1126</v>
      </c>
      <c r="BM444" s="1086">
        <v>15</v>
      </c>
      <c r="BN444" s="1085">
        <v>16</v>
      </c>
      <c r="BO444" s="1084"/>
      <c r="BP444" s="1084"/>
      <c r="BQ444" s="1049"/>
    </row>
    <row r="445" spans="1:69" ht="15" thickBot="1">
      <c r="A445" s="1049"/>
      <c r="B445" s="1060"/>
      <c r="C445" s="1077">
        <v>16</v>
      </c>
      <c r="D445" s="1076">
        <v>17</v>
      </c>
      <c r="E445" s="1083">
        <v>0.48</v>
      </c>
      <c r="F445" s="1082">
        <v>1.43</v>
      </c>
      <c r="G445" s="1081">
        <f t="shared" si="187"/>
        <v>2.9791666666666665</v>
      </c>
      <c r="H445" s="1049"/>
      <c r="I445" s="1060"/>
      <c r="J445" s="1077">
        <v>16</v>
      </c>
      <c r="K445" s="1076">
        <v>17</v>
      </c>
      <c r="L445" s="1075">
        <v>1.631</v>
      </c>
      <c r="M445" s="1080">
        <v>4.72</v>
      </c>
      <c r="N445" s="1079">
        <f t="shared" si="188"/>
        <v>2.8939301042305332</v>
      </c>
      <c r="O445" s="1049"/>
      <c r="P445" s="1078">
        <f>P431*(X428-0.8)</f>
        <v>47.469843749999988</v>
      </c>
      <c r="Q445" s="1077">
        <v>16</v>
      </c>
      <c r="R445" s="1076">
        <v>17</v>
      </c>
      <c r="S445" s="1075">
        <v>1.1599999999999999</v>
      </c>
      <c r="T445" s="1054">
        <f t="shared" si="189"/>
        <v>2.6679999999999997</v>
      </c>
      <c r="U445" s="1140">
        <v>3.87</v>
      </c>
      <c r="V445" s="1052">
        <f t="shared" si="190"/>
        <v>3.3362068965517246</v>
      </c>
      <c r="W445" s="1049"/>
      <c r="X445" s="1074">
        <v>2.2999999999999998</v>
      </c>
      <c r="Y445" s="1049"/>
      <c r="Z445" s="1050">
        <f t="shared" si="191"/>
        <v>1.7399999999999995</v>
      </c>
      <c r="AA445" s="1078">
        <f>AA431*(AI428-0.8)</f>
        <v>39.288777500000002</v>
      </c>
      <c r="AB445" s="1077">
        <v>16</v>
      </c>
      <c r="AC445" s="1076">
        <v>17</v>
      </c>
      <c r="AD445" s="1075">
        <v>2.7639999999999998</v>
      </c>
      <c r="AE445" s="1141">
        <f t="shared" si="192"/>
        <v>4.1736399999999998</v>
      </c>
      <c r="AF445" s="1140">
        <v>6.08</v>
      </c>
      <c r="AG445" s="1052">
        <f t="shared" si="193"/>
        <v>2.1997105643994215</v>
      </c>
      <c r="AH445" s="1049"/>
      <c r="AI445" s="1140">
        <v>1.51</v>
      </c>
      <c r="AJ445" s="1049"/>
      <c r="AK445" s="1050">
        <f t="shared" si="194"/>
        <v>1.9624399999999997</v>
      </c>
      <c r="AL445" s="1049"/>
      <c r="AM445" s="1078" t="e">
        <f>AM431*(AU428-0.8)</f>
        <v>#DIV/0!</v>
      </c>
      <c r="AN445" s="1077">
        <v>16</v>
      </c>
      <c r="AO445" s="1076">
        <v>17</v>
      </c>
      <c r="AP445" s="1075">
        <v>0.35</v>
      </c>
      <c r="AQ445" s="1749">
        <f t="shared" si="195"/>
        <v>0</v>
      </c>
      <c r="AR445" s="1743">
        <v>0.61</v>
      </c>
      <c r="AS445" s="1052">
        <f t="shared" si="196"/>
        <v>1.7428571428571429</v>
      </c>
      <c r="AT445" s="1049"/>
      <c r="AU445" s="1140"/>
      <c r="AV445" s="1049"/>
      <c r="AW445" s="1078" t="e">
        <f>AW431*(BD428-0.8)</f>
        <v>#DIV/0!</v>
      </c>
      <c r="AX445" s="1077">
        <v>16</v>
      </c>
      <c r="AY445" s="1076">
        <v>17</v>
      </c>
      <c r="AZ445" s="1075">
        <v>0.24</v>
      </c>
      <c r="BA445" s="1738">
        <v>0.43</v>
      </c>
      <c r="BB445" s="1743">
        <f t="shared" si="197"/>
        <v>1.7916666666666667</v>
      </c>
      <c r="BC445" s="1049"/>
      <c r="BD445" s="1140"/>
      <c r="BE445" s="1049"/>
      <c r="BF445" s="1078">
        <f>BF431*(BM428-0.8)</f>
        <v>-5.1439999999999992</v>
      </c>
      <c r="BG445" s="1077">
        <v>16</v>
      </c>
      <c r="BH445" s="1076">
        <v>17</v>
      </c>
      <c r="BI445" s="1874">
        <v>0.27</v>
      </c>
      <c r="BJ445" s="1738"/>
      <c r="BK445" s="1049"/>
      <c r="BL445" s="1078">
        <f>BL431*(BS428-0.8)</f>
        <v>0</v>
      </c>
      <c r="BM445" s="1077">
        <v>16</v>
      </c>
      <c r="BN445" s="1076">
        <v>17</v>
      </c>
      <c r="BO445" s="1075"/>
      <c r="BP445" s="1075"/>
      <c r="BQ445" s="1049"/>
    </row>
    <row r="446" spans="1:69" ht="14.4">
      <c r="A446" s="1049"/>
      <c r="B446" s="1060"/>
      <c r="C446" s="1068">
        <v>17</v>
      </c>
      <c r="D446" s="1067">
        <v>18</v>
      </c>
      <c r="E446" s="1073">
        <v>0.57999999999999996</v>
      </c>
      <c r="F446" s="1072">
        <v>2.31</v>
      </c>
      <c r="G446" s="1071">
        <f t="shared" si="187"/>
        <v>3.9827586206896557</v>
      </c>
      <c r="H446" s="1049"/>
      <c r="I446" s="1060"/>
      <c r="J446" s="1068">
        <v>17</v>
      </c>
      <c r="K446" s="1067">
        <v>18</v>
      </c>
      <c r="L446" s="1066">
        <v>1.645</v>
      </c>
      <c r="M446" s="1070">
        <v>6.12</v>
      </c>
      <c r="N446" s="1069">
        <f t="shared" si="188"/>
        <v>3.7203647416413372</v>
      </c>
      <c r="O446" s="1049"/>
      <c r="P446" s="1058"/>
      <c r="Q446" s="1068">
        <v>17</v>
      </c>
      <c r="R446" s="1067">
        <v>18</v>
      </c>
      <c r="S446" s="1066">
        <v>1.31</v>
      </c>
      <c r="T446" s="1054">
        <f t="shared" si="189"/>
        <v>2.9737</v>
      </c>
      <c r="U446" s="1138">
        <v>4.33</v>
      </c>
      <c r="V446" s="1052">
        <f t="shared" si="190"/>
        <v>3.3053435114503817</v>
      </c>
      <c r="W446" s="1049"/>
      <c r="X446" s="1065">
        <v>2.27</v>
      </c>
      <c r="Y446" s="1049"/>
      <c r="Z446" s="1050">
        <f t="shared" si="191"/>
        <v>1.9257</v>
      </c>
      <c r="AA446" s="1058"/>
      <c r="AB446" s="1068">
        <v>17</v>
      </c>
      <c r="AC446" s="1067">
        <v>18</v>
      </c>
      <c r="AD446" s="1066">
        <v>2.5129999999999999</v>
      </c>
      <c r="AE446" s="1139">
        <f t="shared" si="192"/>
        <v>4.0710600000000001</v>
      </c>
      <c r="AF446" s="1138">
        <v>7.77</v>
      </c>
      <c r="AG446" s="1052">
        <f t="shared" si="193"/>
        <v>3.0919220055710306</v>
      </c>
      <c r="AH446" s="1049"/>
      <c r="AI446" s="1138">
        <v>1.62</v>
      </c>
      <c r="AJ446" s="1049"/>
      <c r="AK446" s="1050">
        <f t="shared" si="194"/>
        <v>2.0606599999999999</v>
      </c>
      <c r="AL446" s="1049"/>
      <c r="AM446" s="1058"/>
      <c r="AN446" s="1068">
        <v>17</v>
      </c>
      <c r="AO446" s="1067">
        <v>18</v>
      </c>
      <c r="AP446" s="1066">
        <v>0.72</v>
      </c>
      <c r="AQ446" s="1750">
        <f t="shared" si="195"/>
        <v>0</v>
      </c>
      <c r="AR446" s="1744">
        <v>1.86</v>
      </c>
      <c r="AS446" s="1052">
        <f t="shared" si="196"/>
        <v>2.5833333333333335</v>
      </c>
      <c r="AT446" s="1049"/>
      <c r="AU446" s="1138"/>
      <c r="AV446" s="1049"/>
      <c r="AW446" s="1058"/>
      <c r="AX446" s="1068">
        <v>17</v>
      </c>
      <c r="AY446" s="1067">
        <v>18</v>
      </c>
      <c r="AZ446" s="1066">
        <v>0.33</v>
      </c>
      <c r="BA446" s="1740">
        <v>0.93</v>
      </c>
      <c r="BB446" s="1744">
        <f t="shared" si="197"/>
        <v>2.8181818181818183</v>
      </c>
      <c r="BC446" s="1049"/>
      <c r="BD446" s="1138"/>
      <c r="BE446" s="1049"/>
      <c r="BF446" s="1058"/>
      <c r="BG446" s="1068">
        <v>17</v>
      </c>
      <c r="BH446" s="1067">
        <v>18</v>
      </c>
      <c r="BI446" s="1874">
        <v>0.47</v>
      </c>
      <c r="BJ446" s="1740"/>
      <c r="BK446" s="1049"/>
      <c r="BL446" s="1058"/>
      <c r="BM446" s="1068">
        <v>17</v>
      </c>
      <c r="BN446" s="1067">
        <v>18</v>
      </c>
      <c r="BO446" s="1066"/>
      <c r="BP446" s="1066"/>
      <c r="BQ446" s="1049"/>
    </row>
    <row r="447" spans="1:69" ht="14.4">
      <c r="A447" s="1049"/>
      <c r="B447" s="1060"/>
      <c r="C447" s="1057">
        <v>18</v>
      </c>
      <c r="D447" s="1056">
        <v>19</v>
      </c>
      <c r="E447" s="1063">
        <v>0.44</v>
      </c>
      <c r="F447" s="1062">
        <v>1.89</v>
      </c>
      <c r="G447" s="1061">
        <f t="shared" si="187"/>
        <v>4.295454545454545</v>
      </c>
      <c r="H447" s="1049"/>
      <c r="I447" s="1060"/>
      <c r="J447" s="1057">
        <v>18</v>
      </c>
      <c r="K447" s="1056">
        <v>19</v>
      </c>
      <c r="L447" s="1055">
        <v>1.6439999999999999</v>
      </c>
      <c r="M447" s="1059">
        <v>6.15</v>
      </c>
      <c r="N447" s="1052">
        <f t="shared" si="188"/>
        <v>3.7408759124087596</v>
      </c>
      <c r="O447" s="1049"/>
      <c r="P447" s="1058"/>
      <c r="Q447" s="1057">
        <v>18</v>
      </c>
      <c r="R447" s="1056">
        <v>19</v>
      </c>
      <c r="S447" s="1055">
        <v>1.32</v>
      </c>
      <c r="T447" s="1054">
        <f t="shared" si="189"/>
        <v>2.8776000000000002</v>
      </c>
      <c r="U447" s="1136">
        <v>4.25</v>
      </c>
      <c r="V447" s="1052">
        <f t="shared" si="190"/>
        <v>3.2196969696969697</v>
      </c>
      <c r="W447" s="1049"/>
      <c r="X447" s="1051">
        <v>2.1800000000000002</v>
      </c>
      <c r="Y447" s="1049"/>
      <c r="Z447" s="1050">
        <f t="shared" si="191"/>
        <v>1.8216000000000003</v>
      </c>
      <c r="AA447" s="1058"/>
      <c r="AB447" s="1057">
        <v>18</v>
      </c>
      <c r="AC447" s="1056">
        <v>19</v>
      </c>
      <c r="AD447" s="1055">
        <v>2.9860000000000002</v>
      </c>
      <c r="AE447" s="1137">
        <f t="shared" si="192"/>
        <v>4.2102599999999999</v>
      </c>
      <c r="AF447" s="1136">
        <v>8.6</v>
      </c>
      <c r="AG447" s="1052">
        <f t="shared" si="193"/>
        <v>2.8801071667782985</v>
      </c>
      <c r="AH447" s="1049"/>
      <c r="AI447" s="1136">
        <v>1.41</v>
      </c>
      <c r="AJ447" s="1049"/>
      <c r="AK447" s="1050">
        <f t="shared" si="194"/>
        <v>1.8214599999999999</v>
      </c>
      <c r="AL447" s="1049"/>
      <c r="AM447" s="1058"/>
      <c r="AN447" s="1057">
        <v>18</v>
      </c>
      <c r="AO447" s="1056">
        <v>19</v>
      </c>
      <c r="AP447" s="1055">
        <v>0.88</v>
      </c>
      <c r="AQ447" s="1745">
        <f t="shared" si="195"/>
        <v>0</v>
      </c>
      <c r="AR447" s="1737">
        <v>2.29</v>
      </c>
      <c r="AS447" s="1052">
        <f t="shared" si="196"/>
        <v>2.6022727272727275</v>
      </c>
      <c r="AT447" s="1049"/>
      <c r="AU447" s="1136"/>
      <c r="AV447" s="1049"/>
      <c r="AW447" s="1058"/>
      <c r="AX447" s="1057">
        <v>18</v>
      </c>
      <c r="AY447" s="1056">
        <v>19</v>
      </c>
      <c r="AZ447" s="1055">
        <v>0.38</v>
      </c>
      <c r="BA447" s="1736">
        <v>1.1599999999999999</v>
      </c>
      <c r="BB447" s="1737">
        <f t="shared" si="197"/>
        <v>3.0526315789473681</v>
      </c>
      <c r="BC447" s="1049"/>
      <c r="BD447" s="1136"/>
      <c r="BE447" s="1049"/>
      <c r="BF447" s="1058"/>
      <c r="BG447" s="1057">
        <v>18</v>
      </c>
      <c r="BH447" s="1056">
        <v>19</v>
      </c>
      <c r="BI447" s="1874">
        <v>0.32</v>
      </c>
      <c r="BJ447" s="1736"/>
      <c r="BK447" s="1049"/>
      <c r="BL447" s="1058"/>
      <c r="BM447" s="1057">
        <v>18</v>
      </c>
      <c r="BN447" s="1056">
        <v>19</v>
      </c>
      <c r="BO447" s="1055"/>
      <c r="BP447" s="1055"/>
      <c r="BQ447" s="1049"/>
    </row>
    <row r="448" spans="1:69" ht="14.4">
      <c r="A448" s="1049"/>
      <c r="B448" s="1060"/>
      <c r="C448" s="1057">
        <v>19</v>
      </c>
      <c r="D448" s="1056">
        <v>20</v>
      </c>
      <c r="E448" s="1063">
        <v>0.42</v>
      </c>
      <c r="F448" s="1062">
        <v>1.87</v>
      </c>
      <c r="G448" s="1061">
        <f t="shared" si="187"/>
        <v>4.4523809523809526</v>
      </c>
      <c r="H448" s="1049"/>
      <c r="I448" s="1060"/>
      <c r="J448" s="1057">
        <v>19</v>
      </c>
      <c r="K448" s="1056">
        <v>20</v>
      </c>
      <c r="L448" s="1055">
        <v>1.921</v>
      </c>
      <c r="M448" s="1059">
        <v>6.8</v>
      </c>
      <c r="N448" s="1052">
        <f t="shared" si="188"/>
        <v>3.5398230088495573</v>
      </c>
      <c r="O448" s="1049"/>
      <c r="P448" s="1058"/>
      <c r="Q448" s="1057">
        <v>19</v>
      </c>
      <c r="R448" s="1056">
        <v>20</v>
      </c>
      <c r="S448" s="1055">
        <v>1.95</v>
      </c>
      <c r="T448" s="1054">
        <f t="shared" si="189"/>
        <v>4.0364999999999993</v>
      </c>
      <c r="U448" s="1136">
        <v>6.06</v>
      </c>
      <c r="V448" s="1052">
        <f t="shared" si="190"/>
        <v>3.1076923076923078</v>
      </c>
      <c r="W448" s="1049"/>
      <c r="X448" s="1051">
        <v>2.0699999999999998</v>
      </c>
      <c r="Y448" s="1049"/>
      <c r="Z448" s="1050">
        <f t="shared" si="191"/>
        <v>2.4764999999999997</v>
      </c>
      <c r="AA448" s="1058"/>
      <c r="AB448" s="1057">
        <v>19</v>
      </c>
      <c r="AC448" s="1056">
        <v>20</v>
      </c>
      <c r="AD448" s="1055">
        <v>3.05</v>
      </c>
      <c r="AE448" s="1137">
        <f t="shared" si="192"/>
        <v>4.0869999999999997</v>
      </c>
      <c r="AF448" s="1136">
        <v>5.58</v>
      </c>
      <c r="AG448" s="1052">
        <f t="shared" si="193"/>
        <v>1.8295081967213116</v>
      </c>
      <c r="AH448" s="1049"/>
      <c r="AI448" s="1136">
        <v>1.34</v>
      </c>
      <c r="AJ448" s="1049"/>
      <c r="AK448" s="1050">
        <f t="shared" si="194"/>
        <v>1.647</v>
      </c>
      <c r="AL448" s="1049"/>
      <c r="AM448" s="1058"/>
      <c r="AN448" s="1057">
        <v>19</v>
      </c>
      <c r="AO448" s="1056">
        <v>20</v>
      </c>
      <c r="AP448" s="1055">
        <v>0.96</v>
      </c>
      <c r="AQ448" s="1745">
        <f t="shared" si="195"/>
        <v>0</v>
      </c>
      <c r="AR448" s="1737">
        <v>2.5</v>
      </c>
      <c r="AS448" s="1052">
        <f t="shared" si="196"/>
        <v>2.604166666666667</v>
      </c>
      <c r="AT448" s="1049"/>
      <c r="AU448" s="1136"/>
      <c r="AV448" s="1049"/>
      <c r="AW448" s="1058"/>
      <c r="AX448" s="1057">
        <v>19</v>
      </c>
      <c r="AY448" s="1056">
        <v>20</v>
      </c>
      <c r="AZ448" s="1055">
        <v>0.27</v>
      </c>
      <c r="BA448" s="1736">
        <v>0.86</v>
      </c>
      <c r="BB448" s="1737">
        <f t="shared" si="197"/>
        <v>3.1851851851851851</v>
      </c>
      <c r="BC448" s="1049"/>
      <c r="BD448" s="1136"/>
      <c r="BE448" s="1049"/>
      <c r="BF448" s="1058"/>
      <c r="BG448" s="1057">
        <v>19</v>
      </c>
      <c r="BH448" s="1056">
        <v>20</v>
      </c>
      <c r="BI448" s="1874">
        <v>0.31</v>
      </c>
      <c r="BJ448" s="1736"/>
      <c r="BK448" s="1049"/>
      <c r="BL448" s="1058"/>
      <c r="BM448" s="1057">
        <v>19</v>
      </c>
      <c r="BN448" s="1056">
        <v>20</v>
      </c>
      <c r="BO448" s="1055"/>
      <c r="BP448" s="1055"/>
      <c r="BQ448" s="1049"/>
    </row>
    <row r="449" spans="1:69" ht="14.4">
      <c r="A449" s="1049"/>
      <c r="B449" s="1060"/>
      <c r="C449" s="1057">
        <v>20</v>
      </c>
      <c r="D449" s="1056">
        <v>21</v>
      </c>
      <c r="E449" s="1063">
        <v>0.7</v>
      </c>
      <c r="F449" s="1062">
        <v>2.36</v>
      </c>
      <c r="G449" s="1061">
        <f t="shared" si="187"/>
        <v>3.3714285714285714</v>
      </c>
      <c r="H449" s="1049"/>
      <c r="I449" s="1060"/>
      <c r="J449" s="1057">
        <v>20</v>
      </c>
      <c r="K449" s="1056">
        <v>21</v>
      </c>
      <c r="L449" s="1055">
        <v>1.6319999999999999</v>
      </c>
      <c r="M449" s="1059">
        <v>4.42</v>
      </c>
      <c r="N449" s="1052">
        <f t="shared" si="188"/>
        <v>2.7083333333333335</v>
      </c>
      <c r="O449" s="1049"/>
      <c r="P449" s="1058"/>
      <c r="Q449" s="1057">
        <v>20</v>
      </c>
      <c r="R449" s="1056">
        <v>21</v>
      </c>
      <c r="S449" s="1055">
        <v>2.09</v>
      </c>
      <c r="T449" s="1054">
        <f t="shared" si="189"/>
        <v>2.8005999999999998</v>
      </c>
      <c r="U449" s="1136">
        <v>4.99</v>
      </c>
      <c r="V449" s="1052">
        <f t="shared" si="190"/>
        <v>2.3875598086124405</v>
      </c>
      <c r="W449" s="1049"/>
      <c r="X449" s="1051">
        <v>1.34</v>
      </c>
      <c r="Y449" s="1049"/>
      <c r="Z449" s="1050">
        <f t="shared" si="191"/>
        <v>1.1286</v>
      </c>
      <c r="AA449" s="1058"/>
      <c r="AB449" s="1057">
        <v>20</v>
      </c>
      <c r="AC449" s="1056">
        <v>21</v>
      </c>
      <c r="AD449" s="1055">
        <v>3.1360000000000001</v>
      </c>
      <c r="AE449" s="1137">
        <f t="shared" si="192"/>
        <v>3.9513600000000002</v>
      </c>
      <c r="AF449" s="1136">
        <v>6.11</v>
      </c>
      <c r="AG449" s="1052">
        <f t="shared" si="193"/>
        <v>1.9483418367346939</v>
      </c>
      <c r="AH449" s="1049"/>
      <c r="AI449" s="1136">
        <v>1.26</v>
      </c>
      <c r="AJ449" s="1049"/>
      <c r="AK449" s="1050">
        <f t="shared" si="194"/>
        <v>1.4425599999999998</v>
      </c>
      <c r="AL449" s="1049"/>
      <c r="AM449" s="1058"/>
      <c r="AN449" s="1057">
        <v>20</v>
      </c>
      <c r="AO449" s="1056">
        <v>21</v>
      </c>
      <c r="AP449" s="1055">
        <v>0.8</v>
      </c>
      <c r="AQ449" s="1745">
        <f t="shared" si="195"/>
        <v>0</v>
      </c>
      <c r="AR449" s="1737">
        <v>1.46</v>
      </c>
      <c r="AS449" s="1052">
        <f t="shared" si="196"/>
        <v>1.825</v>
      </c>
      <c r="AT449" s="1049"/>
      <c r="AU449" s="1136"/>
      <c r="AV449" s="1049"/>
      <c r="AW449" s="1058"/>
      <c r="AX449" s="1057">
        <v>20</v>
      </c>
      <c r="AY449" s="1056">
        <v>21</v>
      </c>
      <c r="AZ449" s="1055">
        <v>0.24</v>
      </c>
      <c r="BA449" s="1736">
        <v>0.52</v>
      </c>
      <c r="BB449" s="1737">
        <f t="shared" si="197"/>
        <v>2.166666666666667</v>
      </c>
      <c r="BC449" s="1049"/>
      <c r="BD449" s="1136"/>
      <c r="BE449" s="1049"/>
      <c r="BF449" s="1058"/>
      <c r="BG449" s="1057">
        <v>20</v>
      </c>
      <c r="BH449" s="1056">
        <v>21</v>
      </c>
      <c r="BI449" s="1874">
        <v>0.33</v>
      </c>
      <c r="BJ449" s="1736"/>
      <c r="BK449" s="1049"/>
      <c r="BL449" s="1058"/>
      <c r="BM449" s="1057">
        <v>20</v>
      </c>
      <c r="BN449" s="1056">
        <v>21</v>
      </c>
      <c r="BO449" s="1055"/>
      <c r="BP449" s="1055"/>
      <c r="BQ449" s="1049"/>
    </row>
    <row r="450" spans="1:69" ht="14.4">
      <c r="A450" s="1049"/>
      <c r="B450" s="1060"/>
      <c r="C450" s="1057">
        <v>21</v>
      </c>
      <c r="D450" s="1056">
        <v>22</v>
      </c>
      <c r="E450" s="1063">
        <v>0.66</v>
      </c>
      <c r="F450" s="1062">
        <v>2.0499999999999998</v>
      </c>
      <c r="G450" s="1061">
        <f t="shared" si="187"/>
        <v>3.1060606060606055</v>
      </c>
      <c r="H450" s="1049"/>
      <c r="I450" s="1060"/>
      <c r="J450" s="1057">
        <v>21</v>
      </c>
      <c r="K450" s="1056">
        <v>22</v>
      </c>
      <c r="L450" s="1055">
        <v>1.62</v>
      </c>
      <c r="M450" s="1059">
        <v>4.4000000000000004</v>
      </c>
      <c r="N450" s="1052">
        <f t="shared" si="188"/>
        <v>2.7160493827160495</v>
      </c>
      <c r="O450" s="1049"/>
      <c r="P450" s="1058"/>
      <c r="Q450" s="1057">
        <v>21</v>
      </c>
      <c r="R450" s="1056">
        <v>22</v>
      </c>
      <c r="S450" s="1055">
        <v>2.12</v>
      </c>
      <c r="T450" s="1054">
        <f t="shared" si="189"/>
        <v>3.4979999999999998</v>
      </c>
      <c r="U450" s="1136">
        <v>5.7</v>
      </c>
      <c r="V450" s="1052">
        <f t="shared" si="190"/>
        <v>2.6886792452830188</v>
      </c>
      <c r="W450" s="1049"/>
      <c r="X450" s="1051">
        <v>1.65</v>
      </c>
      <c r="Y450" s="1049"/>
      <c r="Z450" s="1050">
        <f t="shared" si="191"/>
        <v>1.8019999999999998</v>
      </c>
      <c r="AA450" s="1058"/>
      <c r="AB450" s="1057">
        <v>21</v>
      </c>
      <c r="AC450" s="1056">
        <v>22</v>
      </c>
      <c r="AD450" s="1055">
        <v>3.08</v>
      </c>
      <c r="AE450" s="1137">
        <f t="shared" si="192"/>
        <v>3.85</v>
      </c>
      <c r="AF450" s="1136">
        <v>5.97</v>
      </c>
      <c r="AG450" s="1052">
        <f t="shared" si="193"/>
        <v>1.9383116883116882</v>
      </c>
      <c r="AH450" s="1049"/>
      <c r="AI450" s="1136">
        <v>1.25</v>
      </c>
      <c r="AJ450" s="1049"/>
      <c r="AK450" s="1050">
        <f t="shared" si="194"/>
        <v>1.3859999999999999</v>
      </c>
      <c r="AL450" s="1049"/>
      <c r="AM450" s="1058"/>
      <c r="AN450" s="1057">
        <v>21</v>
      </c>
      <c r="AO450" s="1056">
        <v>22</v>
      </c>
      <c r="AP450" s="1055">
        <v>0.26</v>
      </c>
      <c r="AQ450" s="1745">
        <f t="shared" si="195"/>
        <v>0</v>
      </c>
      <c r="AR450" s="1737">
        <v>0.47</v>
      </c>
      <c r="AS450" s="1052">
        <f t="shared" si="196"/>
        <v>1.8076923076923075</v>
      </c>
      <c r="AT450" s="1049"/>
      <c r="AU450" s="1136"/>
      <c r="AV450" s="1049"/>
      <c r="AW450" s="1058"/>
      <c r="AX450" s="1057">
        <v>21</v>
      </c>
      <c r="AY450" s="1056">
        <v>22</v>
      </c>
      <c r="AZ450" s="1055">
        <v>0.26</v>
      </c>
      <c r="BA450" s="1736">
        <v>0.54</v>
      </c>
      <c r="BB450" s="1737">
        <f t="shared" si="197"/>
        <v>2.0769230769230771</v>
      </c>
      <c r="BC450" s="1049"/>
      <c r="BD450" s="1136"/>
      <c r="BE450" s="1049"/>
      <c r="BF450" s="1058"/>
      <c r="BG450" s="1057">
        <v>21</v>
      </c>
      <c r="BH450" s="1056">
        <v>22</v>
      </c>
      <c r="BI450" s="1874">
        <v>0.31</v>
      </c>
      <c r="BJ450" s="1736"/>
      <c r="BK450" s="1049"/>
      <c r="BL450" s="1058"/>
      <c r="BM450" s="1057">
        <v>21</v>
      </c>
      <c r="BN450" s="1056">
        <v>22</v>
      </c>
      <c r="BO450" s="1055"/>
      <c r="BP450" s="1055"/>
      <c r="BQ450" s="1049"/>
    </row>
    <row r="451" spans="1:69" ht="14.4">
      <c r="A451" s="1049"/>
      <c r="B451" s="1060"/>
      <c r="C451" s="1057">
        <v>22</v>
      </c>
      <c r="D451" s="1056">
        <v>23</v>
      </c>
      <c r="E451" s="1063">
        <v>0.42</v>
      </c>
      <c r="F451" s="1062">
        <v>1.28</v>
      </c>
      <c r="G451" s="1061">
        <f t="shared" si="187"/>
        <v>3.0476190476190479</v>
      </c>
      <c r="H451" s="1049"/>
      <c r="I451" s="1060"/>
      <c r="J451" s="1057">
        <v>22</v>
      </c>
      <c r="K451" s="1056">
        <v>23</v>
      </c>
      <c r="L451" s="1055">
        <v>2.0310000000000001</v>
      </c>
      <c r="M451" s="1059">
        <v>5.47</v>
      </c>
      <c r="N451" s="1052">
        <f t="shared" si="188"/>
        <v>2.6932545544066957</v>
      </c>
      <c r="O451" s="1049"/>
      <c r="P451" s="1058"/>
      <c r="Q451" s="1057">
        <v>22</v>
      </c>
      <c r="R451" s="1056">
        <v>23</v>
      </c>
      <c r="S451" s="1055">
        <v>1.51</v>
      </c>
      <c r="T451" s="1054">
        <f t="shared" si="189"/>
        <v>2.2498999999999998</v>
      </c>
      <c r="U451" s="1136">
        <v>3.82</v>
      </c>
      <c r="V451" s="1052">
        <f t="shared" si="190"/>
        <v>2.5298013245033113</v>
      </c>
      <c r="W451" s="1049"/>
      <c r="X451" s="1051">
        <v>1.49</v>
      </c>
      <c r="Y451" s="1049"/>
      <c r="Z451" s="1050">
        <f t="shared" si="191"/>
        <v>1.0418999999999998</v>
      </c>
      <c r="AA451" s="1058"/>
      <c r="AB451" s="1057">
        <v>22</v>
      </c>
      <c r="AC451" s="1056">
        <v>23</v>
      </c>
      <c r="AD451" s="1055">
        <v>2.9119999999999999</v>
      </c>
      <c r="AE451" s="1137">
        <f t="shared" si="192"/>
        <v>3.5526399999999998</v>
      </c>
      <c r="AF451" s="1136">
        <v>5.58</v>
      </c>
      <c r="AG451" s="1052">
        <f t="shared" si="193"/>
        <v>1.9162087912087913</v>
      </c>
      <c r="AH451" s="1049"/>
      <c r="AI451" s="1136">
        <v>1.22</v>
      </c>
      <c r="AJ451" s="1049"/>
      <c r="AK451" s="1050">
        <f t="shared" si="194"/>
        <v>1.2230399999999997</v>
      </c>
      <c r="AL451" s="1049"/>
      <c r="AM451" s="1058"/>
      <c r="AN451" s="1057">
        <v>22</v>
      </c>
      <c r="AO451" s="1056">
        <v>23</v>
      </c>
      <c r="AP451" s="1055">
        <v>0.15</v>
      </c>
      <c r="AQ451" s="1745">
        <f t="shared" si="195"/>
        <v>0</v>
      </c>
      <c r="AR451" s="1737">
        <v>0.28000000000000003</v>
      </c>
      <c r="AS451" s="1052">
        <f t="shared" si="196"/>
        <v>1.8666666666666669</v>
      </c>
      <c r="AT451" s="1049"/>
      <c r="AU451" s="1136"/>
      <c r="AV451" s="1049"/>
      <c r="AW451" s="1058"/>
      <c r="AX451" s="1057">
        <v>22</v>
      </c>
      <c r="AY451" s="1056">
        <v>23</v>
      </c>
      <c r="AZ451" s="1055">
        <v>0.23</v>
      </c>
      <c r="BA451" s="1736">
        <v>0.47</v>
      </c>
      <c r="BB451" s="1737">
        <f t="shared" si="197"/>
        <v>2.043478260869565</v>
      </c>
      <c r="BC451" s="1049"/>
      <c r="BD451" s="1136"/>
      <c r="BE451" s="1049"/>
      <c r="BF451" s="1058"/>
      <c r="BG451" s="1057">
        <v>22</v>
      </c>
      <c r="BH451" s="1056">
        <v>23</v>
      </c>
      <c r="BI451" s="1874">
        <v>0.18</v>
      </c>
      <c r="BJ451" s="1736"/>
      <c r="BK451" s="1049"/>
      <c r="BL451" s="1058"/>
      <c r="BM451" s="1057">
        <v>22</v>
      </c>
      <c r="BN451" s="1056">
        <v>23</v>
      </c>
      <c r="BO451" s="1055"/>
      <c r="BP451" s="1055"/>
      <c r="BQ451" s="1049"/>
    </row>
    <row r="452" spans="1:69" ht="14.4">
      <c r="A452" s="1049"/>
      <c r="B452" s="1060"/>
      <c r="C452" s="1057">
        <v>23</v>
      </c>
      <c r="D452" s="1056">
        <v>24</v>
      </c>
      <c r="E452" s="1063">
        <v>0.33</v>
      </c>
      <c r="F452" s="1062">
        <v>0.99</v>
      </c>
      <c r="G452" s="1061">
        <f t="shared" si="187"/>
        <v>3</v>
      </c>
      <c r="H452" s="1049"/>
      <c r="I452" s="1060"/>
      <c r="J452" s="1057">
        <v>23</v>
      </c>
      <c r="K452" s="1056">
        <v>24</v>
      </c>
      <c r="L452" s="1055">
        <v>1.4430000000000001</v>
      </c>
      <c r="M452" s="1059">
        <v>3.85</v>
      </c>
      <c r="N452" s="1052">
        <f t="shared" si="188"/>
        <v>2.6680526680526682</v>
      </c>
      <c r="O452" s="1049"/>
      <c r="P452" s="1058"/>
      <c r="Q452" s="1057">
        <v>23</v>
      </c>
      <c r="R452" s="1056">
        <v>24</v>
      </c>
      <c r="S452" s="1055">
        <v>1.29</v>
      </c>
      <c r="T452" s="1054">
        <f t="shared" si="189"/>
        <v>1.548</v>
      </c>
      <c r="U452" s="1136">
        <v>2.9</v>
      </c>
      <c r="V452" s="1052">
        <f t="shared" si="190"/>
        <v>2.248062015503876</v>
      </c>
      <c r="W452" s="1049"/>
      <c r="X452" s="1051">
        <v>1.2</v>
      </c>
      <c r="Y452" s="1049"/>
      <c r="Z452" s="1050">
        <f t="shared" si="191"/>
        <v>0.5159999999999999</v>
      </c>
      <c r="AA452" s="1058"/>
      <c r="AB452" s="1057">
        <v>23</v>
      </c>
      <c r="AC452" s="1056">
        <v>24</v>
      </c>
      <c r="AD452" s="1055">
        <v>2.86</v>
      </c>
      <c r="AE452" s="1137">
        <f t="shared" si="192"/>
        <v>3.3461999999999996</v>
      </c>
      <c r="AF452" s="1136">
        <v>5.32</v>
      </c>
      <c r="AG452" s="1052">
        <f t="shared" si="193"/>
        <v>1.8601398601398602</v>
      </c>
      <c r="AH452" s="1049"/>
      <c r="AI452" s="1136">
        <v>1.17</v>
      </c>
      <c r="AJ452" s="1049"/>
      <c r="AK452" s="1050">
        <f t="shared" si="194"/>
        <v>1.0581999999999996</v>
      </c>
      <c r="AL452" s="1049"/>
      <c r="AM452" s="1058"/>
      <c r="AN452" s="1057">
        <v>23</v>
      </c>
      <c r="AO452" s="1056">
        <v>24</v>
      </c>
      <c r="AP452" s="1055">
        <v>0.11</v>
      </c>
      <c r="AQ452" s="1745">
        <f t="shared" si="195"/>
        <v>0</v>
      </c>
      <c r="AR452" s="1737">
        <v>0.21</v>
      </c>
      <c r="AS452" s="1052">
        <f t="shared" si="196"/>
        <v>1.9090909090909089</v>
      </c>
      <c r="AT452" s="1049"/>
      <c r="AU452" s="1136"/>
      <c r="AV452" s="1049"/>
      <c r="AW452" s="1058"/>
      <c r="AX452" s="1057">
        <v>23</v>
      </c>
      <c r="AY452" s="1056">
        <v>24</v>
      </c>
      <c r="AZ452" s="1055">
        <v>0.25</v>
      </c>
      <c r="BA452" s="1736">
        <v>0.48</v>
      </c>
      <c r="BB452" s="1737">
        <f t="shared" si="197"/>
        <v>1.92</v>
      </c>
      <c r="BC452" s="1049"/>
      <c r="BD452" s="1136"/>
      <c r="BE452" s="1049"/>
      <c r="BF452" s="1058"/>
      <c r="BG452" s="1057">
        <v>23</v>
      </c>
      <c r="BH452" s="1056">
        <v>24</v>
      </c>
      <c r="BI452" s="1874">
        <v>0.15</v>
      </c>
      <c r="BJ452" s="1736"/>
      <c r="BK452" s="1049"/>
      <c r="BL452" s="1058"/>
      <c r="BM452" s="1057">
        <v>23</v>
      </c>
      <c r="BN452" s="1056">
        <v>24</v>
      </c>
      <c r="BO452" s="1055"/>
      <c r="BP452" s="1055"/>
      <c r="BQ452" s="1049"/>
    </row>
    <row r="453" spans="1:69" ht="14.4">
      <c r="A453" s="1036"/>
      <c r="B453" s="1044"/>
      <c r="C453" s="1135"/>
      <c r="D453" s="1135"/>
      <c r="E453" s="1134"/>
      <c r="F453" s="1133"/>
      <c r="G453" s="1132"/>
      <c r="H453" s="1044"/>
      <c r="I453" s="1044" t="s">
        <v>1128</v>
      </c>
      <c r="J453" s="1046"/>
      <c r="K453" s="1046"/>
      <c r="L453" s="1129">
        <f>AVERAGE(L454:L477)</f>
        <v>1.735625</v>
      </c>
      <c r="M453" s="1131">
        <f>AVERAGE(M454:M477)</f>
        <v>6.1641666666666666</v>
      </c>
      <c r="N453" s="1039">
        <f>AVERAGE(N454:N477)</f>
        <v>3.5350521719927515</v>
      </c>
      <c r="O453" s="1044"/>
      <c r="P453" s="1130" t="s">
        <v>1138</v>
      </c>
      <c r="Q453" s="1046"/>
      <c r="R453" s="1046"/>
      <c r="S453" s="1129">
        <f>AVERAGE(S454:S477)</f>
        <v>1.7883333333333333</v>
      </c>
      <c r="T453" s="1128">
        <f>SUM(T454:T477)</f>
        <v>91.005800000000022</v>
      </c>
      <c r="U453" s="1040">
        <f>AVERAGE(U454:U477)</f>
        <v>5.6550000000000011</v>
      </c>
      <c r="V453" s="1039">
        <f>AVERAGE(V454:V477)</f>
        <v>2.9588980489296737</v>
      </c>
      <c r="W453" s="1036"/>
      <c r="X453" s="1038">
        <f>AVERAGE(X462:X477)</f>
        <v>2.2312499999999997</v>
      </c>
      <c r="Y453" s="1036"/>
      <c r="Z453" s="1127">
        <f>SUM(Z454:Z477)</f>
        <v>56.669800000000002</v>
      </c>
      <c r="AA453" s="1130"/>
      <c r="AB453" s="1046"/>
      <c r="AC453" s="1046"/>
      <c r="AD453" s="1129">
        <f>AVERAGE(AD454:AD477)</f>
        <v>2.7808333333333337</v>
      </c>
      <c r="AE453" s="1128">
        <f>SUM(AE454:AE477)</f>
        <v>101.30699999999999</v>
      </c>
      <c r="AF453" s="1040">
        <f>AVERAGE(AF454:AF477)</f>
        <v>6.4304166666666669</v>
      </c>
      <c r="AG453" s="1039">
        <f>AVERAGE(AG454:AG477)</f>
        <v>2.2725509688849117</v>
      </c>
      <c r="AH453" s="1036"/>
      <c r="AI453" s="1038">
        <f>AVERAGE(AI462:AI477)</f>
        <v>1.6375000000000002</v>
      </c>
      <c r="AJ453" s="1036"/>
      <c r="AK453" s="1127">
        <f>SUM(AK454:AK477)</f>
        <v>47.914999999999999</v>
      </c>
      <c r="AL453" s="1130"/>
      <c r="AM453" s="1130"/>
      <c r="AN453" s="1046"/>
      <c r="AO453" s="1046"/>
      <c r="AP453" s="1129">
        <f>AVERAGE(AP454:AP477)</f>
        <v>0.34375000000000006</v>
      </c>
      <c r="AQ453" s="1734">
        <f>SUM(AQ454:AQ477)</f>
        <v>0</v>
      </c>
      <c r="AR453" s="1735">
        <f>AVERAGE(AR454:AR477)</f>
        <v>0.63874999999999982</v>
      </c>
      <c r="AS453" s="1039">
        <f>AVERAGE(AS454:AS477)</f>
        <v>1.8422626583474984</v>
      </c>
      <c r="AT453" s="1036"/>
      <c r="AU453" s="1038" t="e">
        <f>AVERAGE(AU462:AU477)</f>
        <v>#DIV/0!</v>
      </c>
      <c r="AV453" s="1036"/>
      <c r="AW453" s="1130" t="s">
        <v>1139</v>
      </c>
      <c r="AX453" s="1046"/>
      <c r="AY453" s="1046"/>
      <c r="AZ453" s="1129">
        <f>AVERAGE(AZ454:AZ477)</f>
        <v>0.29958333333333337</v>
      </c>
      <c r="BA453" s="1045">
        <f>AVERAGE(BA454:BA477)</f>
        <v>0.64041666666666675</v>
      </c>
      <c r="BB453" s="1039">
        <f>AVERAGE(BB454:BB477)</f>
        <v>1.9682574210334787</v>
      </c>
      <c r="BC453" s="1036"/>
      <c r="BD453" s="1038" t="e">
        <f>AVERAGE(BD462:BD477)</f>
        <v>#DIV/0!</v>
      </c>
      <c r="BE453" s="1036"/>
      <c r="BF453" s="1130" t="s">
        <v>1139</v>
      </c>
      <c r="BG453" s="2756">
        <f>BF454</f>
        <v>45035</v>
      </c>
      <c r="BH453" s="2756"/>
      <c r="BI453" s="1897">
        <f>SUM(BI454:BI477)</f>
        <v>5.4699999999999989</v>
      </c>
      <c r="BJ453" s="1898">
        <f>SUM(BJ454:BJ477)</f>
        <v>0</v>
      </c>
      <c r="BK453" s="1036"/>
      <c r="BL453" s="1130" t="s">
        <v>1139</v>
      </c>
      <c r="BM453" s="1046"/>
      <c r="BN453" s="1046"/>
      <c r="BO453" s="1129" t="e">
        <f>AVERAGE(BO454:BO477)</f>
        <v>#DIV/0!</v>
      </c>
      <c r="BP453" s="1129" t="e">
        <f>AVERAGE(BP454:BP477)</f>
        <v>#DIV/0!</v>
      </c>
      <c r="BQ453" s="1036"/>
    </row>
    <row r="454" spans="1:69" ht="14.4">
      <c r="A454" s="1049"/>
      <c r="B454" s="1126">
        <v>44853</v>
      </c>
      <c r="C454" s="1057">
        <v>0</v>
      </c>
      <c r="D454" s="1056">
        <v>1</v>
      </c>
      <c r="E454" s="1063">
        <v>0.26</v>
      </c>
      <c r="F454" s="1062">
        <v>0.73</v>
      </c>
      <c r="G454" s="1061">
        <f t="shared" ref="G454:G477" si="198">F454/E454</f>
        <v>2.8076923076923075</v>
      </c>
      <c r="H454" s="1049"/>
      <c r="I454" s="1126">
        <v>44884</v>
      </c>
      <c r="J454" s="1057">
        <v>0</v>
      </c>
      <c r="K454" s="1056">
        <v>1</v>
      </c>
      <c r="L454" s="1055">
        <v>1.4319999999999999</v>
      </c>
      <c r="M454" s="1059">
        <v>4.05</v>
      </c>
      <c r="N454" s="1052">
        <f t="shared" ref="N454:N477" si="199">M454/L454</f>
        <v>2.8282122905027931</v>
      </c>
      <c r="O454" s="1049"/>
      <c r="P454" s="1125">
        <v>44914</v>
      </c>
      <c r="Q454" s="1057">
        <v>0</v>
      </c>
      <c r="R454" s="1056">
        <v>1</v>
      </c>
      <c r="S454" s="1055">
        <v>1.08</v>
      </c>
      <c r="T454" s="1054">
        <f t="shared" ref="T454:T477" si="200">S454*X454</f>
        <v>1.35</v>
      </c>
      <c r="U454" s="1148">
        <v>2.48</v>
      </c>
      <c r="V454" s="1052">
        <f t="shared" ref="V454:V477" si="201">U454/S454</f>
        <v>2.2962962962962963</v>
      </c>
      <c r="W454" s="1049"/>
      <c r="X454" s="1051">
        <v>1.25</v>
      </c>
      <c r="Y454" s="1049"/>
      <c r="Z454" s="1050">
        <f t="shared" ref="Z454:Z477" si="202">S454*(X454-0.8)</f>
        <v>0.48599999999999999</v>
      </c>
      <c r="AA454" s="1125">
        <v>44945</v>
      </c>
      <c r="AB454" s="1057">
        <v>0</v>
      </c>
      <c r="AC454" s="1056">
        <v>1</v>
      </c>
      <c r="AD454" s="1055">
        <v>2.2799999999999998</v>
      </c>
      <c r="AE454" s="1137">
        <f t="shared" ref="AE454:AE477" si="203">AD454*AI454</f>
        <v>2.6675999999999997</v>
      </c>
      <c r="AF454" s="1136">
        <v>4.24</v>
      </c>
      <c r="AG454" s="1052">
        <f t="shared" ref="AG454:AG477" si="204">AF454/AD454</f>
        <v>1.8596491228070178</v>
      </c>
      <c r="AH454" s="1049"/>
      <c r="AI454" s="1136">
        <v>1.17</v>
      </c>
      <c r="AJ454" s="1049"/>
      <c r="AK454" s="1050">
        <f t="shared" ref="AK454:AK477" si="205">AD454*(AI454-0.8)</f>
        <v>0.84359999999999968</v>
      </c>
      <c r="AL454" s="1125"/>
      <c r="AM454" s="1125">
        <v>44976</v>
      </c>
      <c r="AN454" s="1057">
        <v>0</v>
      </c>
      <c r="AO454" s="1056">
        <v>1</v>
      </c>
      <c r="AP454" s="1055">
        <v>0.13</v>
      </c>
      <c r="AQ454" s="1745">
        <f t="shared" ref="AQ454:AQ477" si="206">AP454*AU454</f>
        <v>0</v>
      </c>
      <c r="AR454" s="1737">
        <v>0.24</v>
      </c>
      <c r="AS454" s="1052">
        <f t="shared" ref="AS454:AS477" si="207">AR454/AP454</f>
        <v>1.846153846153846</v>
      </c>
      <c r="AT454" s="1049"/>
      <c r="AU454" s="1136"/>
      <c r="AV454" s="1049"/>
      <c r="AW454" s="1125">
        <v>45004</v>
      </c>
      <c r="AX454" s="1057">
        <v>0</v>
      </c>
      <c r="AY454" s="1056">
        <v>1</v>
      </c>
      <c r="AZ454" s="1055">
        <v>0.12</v>
      </c>
      <c r="BA454" s="1736">
        <v>0.22</v>
      </c>
      <c r="BB454" s="1737">
        <f t="shared" ref="BB454:BB477" si="208">BA454/AZ454</f>
        <v>1.8333333333333335</v>
      </c>
      <c r="BC454" s="1049"/>
      <c r="BD454" s="1136"/>
      <c r="BE454" s="1049"/>
      <c r="BF454" s="1125">
        <v>45035</v>
      </c>
      <c r="BG454" s="1057">
        <v>0</v>
      </c>
      <c r="BH454" s="1056">
        <v>1</v>
      </c>
      <c r="BI454" s="1874">
        <v>0.14000000000000001</v>
      </c>
      <c r="BJ454" s="1736"/>
      <c r="BK454" s="1049"/>
      <c r="BL454" s="1125">
        <v>45035</v>
      </c>
      <c r="BM454" s="1057">
        <v>0</v>
      </c>
      <c r="BN454" s="1056">
        <v>1</v>
      </c>
      <c r="BO454" s="1055"/>
      <c r="BP454" s="1055"/>
      <c r="BQ454" s="1049"/>
    </row>
    <row r="455" spans="1:69" ht="14.4">
      <c r="A455" s="1049"/>
      <c r="B455" s="1124"/>
      <c r="C455" s="1057">
        <v>1</v>
      </c>
      <c r="D455" s="1056">
        <v>2</v>
      </c>
      <c r="E455" s="1063">
        <v>0.18</v>
      </c>
      <c r="F455" s="1062">
        <v>0.5</v>
      </c>
      <c r="G455" s="1061">
        <f t="shared" si="198"/>
        <v>2.7777777777777777</v>
      </c>
      <c r="H455" s="1049"/>
      <c r="I455" s="1124"/>
      <c r="J455" s="1057">
        <v>1</v>
      </c>
      <c r="K455" s="1056">
        <v>2</v>
      </c>
      <c r="L455" s="1055">
        <v>1.4350000000000001</v>
      </c>
      <c r="M455" s="1059">
        <v>3.98</v>
      </c>
      <c r="N455" s="1052">
        <f t="shared" si="199"/>
        <v>2.7735191637630661</v>
      </c>
      <c r="O455" s="1049"/>
      <c r="P455" s="1123"/>
      <c r="Q455" s="1057">
        <v>1</v>
      </c>
      <c r="R455" s="1056">
        <v>2</v>
      </c>
      <c r="S455" s="1055">
        <v>0.38</v>
      </c>
      <c r="T455" s="1054">
        <f t="shared" si="200"/>
        <v>0.42560000000000003</v>
      </c>
      <c r="U455" s="1148">
        <v>0.81</v>
      </c>
      <c r="V455" s="1052">
        <f t="shared" si="201"/>
        <v>2.1315789473684212</v>
      </c>
      <c r="W455" s="1049"/>
      <c r="X455" s="1051">
        <v>1.1200000000000001</v>
      </c>
      <c r="Y455" s="1049"/>
      <c r="Z455" s="1050">
        <f t="shared" si="202"/>
        <v>0.12160000000000003</v>
      </c>
      <c r="AA455" s="1123"/>
      <c r="AB455" s="1057">
        <v>1</v>
      </c>
      <c r="AC455" s="1056">
        <v>2</v>
      </c>
      <c r="AD455" s="1055">
        <v>2.06</v>
      </c>
      <c r="AE455" s="1137">
        <f t="shared" si="203"/>
        <v>2.3277999999999999</v>
      </c>
      <c r="AF455" s="1136">
        <v>3.74</v>
      </c>
      <c r="AG455" s="1052">
        <f t="shared" si="204"/>
        <v>1.8155339805825244</v>
      </c>
      <c r="AH455" s="1049"/>
      <c r="AI455" s="1136">
        <v>1.1299999999999999</v>
      </c>
      <c r="AJ455" s="1049"/>
      <c r="AK455" s="1050">
        <f t="shared" si="205"/>
        <v>0.67979999999999974</v>
      </c>
      <c r="AL455" s="1123"/>
      <c r="AM455" s="1123"/>
      <c r="AN455" s="1057">
        <v>1</v>
      </c>
      <c r="AO455" s="1056">
        <v>2</v>
      </c>
      <c r="AP455" s="1055">
        <v>0.12</v>
      </c>
      <c r="AQ455" s="1745">
        <f t="shared" si="206"/>
        <v>0</v>
      </c>
      <c r="AR455" s="1737">
        <v>0.21</v>
      </c>
      <c r="AS455" s="1052">
        <f t="shared" si="207"/>
        <v>1.75</v>
      </c>
      <c r="AT455" s="1049"/>
      <c r="AU455" s="1136"/>
      <c r="AV455" s="1049"/>
      <c r="AW455" s="1123"/>
      <c r="AX455" s="1057">
        <v>1</v>
      </c>
      <c r="AY455" s="1056">
        <v>2</v>
      </c>
      <c r="AZ455" s="1055">
        <v>0.12</v>
      </c>
      <c r="BA455" s="1736">
        <v>0.22</v>
      </c>
      <c r="BB455" s="1737">
        <f t="shared" si="208"/>
        <v>1.8333333333333335</v>
      </c>
      <c r="BC455" s="1049"/>
      <c r="BD455" s="1136"/>
      <c r="BE455" s="1049"/>
      <c r="BF455" s="1123"/>
      <c r="BG455" s="1057">
        <v>1</v>
      </c>
      <c r="BH455" s="1056">
        <v>2</v>
      </c>
      <c r="BI455" s="1874">
        <v>0.05</v>
      </c>
      <c r="BJ455" s="1736"/>
      <c r="BK455" s="1049"/>
      <c r="BL455" s="1123"/>
      <c r="BM455" s="1057">
        <v>1</v>
      </c>
      <c r="BN455" s="1056">
        <v>2</v>
      </c>
      <c r="BO455" s="1055"/>
      <c r="BP455" s="1055"/>
      <c r="BQ455" s="1049"/>
    </row>
    <row r="456" spans="1:69" ht="14.4">
      <c r="A456" s="1049"/>
      <c r="B456" s="1122">
        <f>SUM(E454:E477)</f>
        <v>12.58</v>
      </c>
      <c r="C456" s="1057">
        <v>2</v>
      </c>
      <c r="D456" s="1056">
        <v>3</v>
      </c>
      <c r="E456" s="1063">
        <v>0.17</v>
      </c>
      <c r="F456" s="1062">
        <v>0.47</v>
      </c>
      <c r="G456" s="1061">
        <f t="shared" si="198"/>
        <v>2.7647058823529407</v>
      </c>
      <c r="H456" s="1049"/>
      <c r="I456" s="1122">
        <f>SUM(L454:L477)</f>
        <v>41.655000000000001</v>
      </c>
      <c r="J456" s="1057">
        <v>2</v>
      </c>
      <c r="K456" s="1056">
        <v>3</v>
      </c>
      <c r="L456" s="1055">
        <v>1.46</v>
      </c>
      <c r="M456" s="1059">
        <v>4.0999999999999996</v>
      </c>
      <c r="N456" s="1052">
        <f t="shared" si="199"/>
        <v>2.8082191780821915</v>
      </c>
      <c r="O456" s="1049"/>
      <c r="P456" s="1121">
        <f>SUM(S454:S477)</f>
        <v>42.92</v>
      </c>
      <c r="Q456" s="1057">
        <v>2</v>
      </c>
      <c r="R456" s="1056">
        <v>3</v>
      </c>
      <c r="S456" s="1055">
        <v>0.48</v>
      </c>
      <c r="T456" s="1054">
        <f t="shared" si="200"/>
        <v>0.47519999999999996</v>
      </c>
      <c r="U456" s="1148">
        <v>0.98</v>
      </c>
      <c r="V456" s="1052">
        <f t="shared" si="201"/>
        <v>2.0416666666666665</v>
      </c>
      <c r="W456" s="1049"/>
      <c r="X456" s="1051">
        <v>0.99</v>
      </c>
      <c r="Y456" s="1049"/>
      <c r="Z456" s="1050">
        <f t="shared" si="202"/>
        <v>9.1199999999999976E-2</v>
      </c>
      <c r="AA456" s="1121">
        <f>SUM(AD454:AD477)</f>
        <v>66.740000000000009</v>
      </c>
      <c r="AB456" s="1057">
        <v>2</v>
      </c>
      <c r="AC456" s="1056">
        <v>3</v>
      </c>
      <c r="AD456" s="1055">
        <v>1.89</v>
      </c>
      <c r="AE456" s="1137">
        <f t="shared" si="203"/>
        <v>2.0979000000000001</v>
      </c>
      <c r="AF456" s="1136">
        <v>3.39</v>
      </c>
      <c r="AG456" s="1052">
        <f t="shared" si="204"/>
        <v>1.7936507936507937</v>
      </c>
      <c r="AH456" s="1049"/>
      <c r="AI456" s="1136">
        <v>1.1100000000000001</v>
      </c>
      <c r="AJ456" s="1049"/>
      <c r="AK456" s="1050">
        <f t="shared" si="205"/>
        <v>0.58590000000000009</v>
      </c>
      <c r="AL456" s="1121"/>
      <c r="AM456" s="1121">
        <f>SUM(AP454:AP477)</f>
        <v>8.2500000000000018</v>
      </c>
      <c r="AN456" s="1057">
        <v>2</v>
      </c>
      <c r="AO456" s="1056">
        <v>3</v>
      </c>
      <c r="AP456" s="1055">
        <v>0.12</v>
      </c>
      <c r="AQ456" s="1745">
        <f t="shared" si="206"/>
        <v>0</v>
      </c>
      <c r="AR456" s="1737">
        <v>0.21</v>
      </c>
      <c r="AS456" s="1052">
        <f t="shared" si="207"/>
        <v>1.75</v>
      </c>
      <c r="AT456" s="1049"/>
      <c r="AU456" s="1136"/>
      <c r="AV456" s="1049"/>
      <c r="AW456" s="1121">
        <f>SUM(AZ454:AZ477)</f>
        <v>7.19</v>
      </c>
      <c r="AX456" s="1057">
        <v>2</v>
      </c>
      <c r="AY456" s="1056">
        <v>3</v>
      </c>
      <c r="AZ456" s="1055">
        <v>0.17</v>
      </c>
      <c r="BA456" s="1736">
        <v>0.3</v>
      </c>
      <c r="BB456" s="1737">
        <f t="shared" si="208"/>
        <v>1.7647058823529409</v>
      </c>
      <c r="BC456" s="1049"/>
      <c r="BD456" s="1136"/>
      <c r="BE456" s="1049"/>
      <c r="BF456" s="1121">
        <f>SUM(BI454:BI477)</f>
        <v>5.4699999999999989</v>
      </c>
      <c r="BG456" s="1057">
        <v>2</v>
      </c>
      <c r="BH456" s="1056">
        <v>3</v>
      </c>
      <c r="BI456" s="1874">
        <v>0.12</v>
      </c>
      <c r="BJ456" s="1736"/>
      <c r="BK456" s="1049"/>
      <c r="BL456" s="1121">
        <f>SUM(BO454:BO477)+SUM(BP454:BP477)</f>
        <v>0</v>
      </c>
      <c r="BM456" s="1057">
        <v>2</v>
      </c>
      <c r="BN456" s="1056">
        <v>3</v>
      </c>
      <c r="BO456" s="1055"/>
      <c r="BP456" s="1055"/>
      <c r="BQ456" s="1049"/>
    </row>
    <row r="457" spans="1:69" ht="14.4">
      <c r="A457" s="1049"/>
      <c r="B457" s="1120">
        <f>B456/24</f>
        <v>0.52416666666666667</v>
      </c>
      <c r="C457" s="1057">
        <v>3</v>
      </c>
      <c r="D457" s="1056">
        <v>4</v>
      </c>
      <c r="E457" s="1063">
        <v>0.2</v>
      </c>
      <c r="F457" s="1062">
        <v>0.54</v>
      </c>
      <c r="G457" s="1061">
        <f t="shared" si="198"/>
        <v>2.7</v>
      </c>
      <c r="H457" s="1049"/>
      <c r="I457" s="1120">
        <f>I456/24</f>
        <v>1.735625</v>
      </c>
      <c r="J457" s="1057">
        <v>3</v>
      </c>
      <c r="K457" s="1056">
        <v>4</v>
      </c>
      <c r="L457" s="1055">
        <v>1.415</v>
      </c>
      <c r="M457" s="1059">
        <v>3.97</v>
      </c>
      <c r="N457" s="1052">
        <f t="shared" si="199"/>
        <v>2.8056537102473498</v>
      </c>
      <c r="O457" s="1049"/>
      <c r="P457" s="1120">
        <f>P456/24</f>
        <v>1.7883333333333333</v>
      </c>
      <c r="Q457" s="1057">
        <v>3</v>
      </c>
      <c r="R457" s="1056">
        <v>4</v>
      </c>
      <c r="S457" s="1055">
        <v>0.43</v>
      </c>
      <c r="T457" s="1054">
        <f t="shared" si="200"/>
        <v>0.36119999999999997</v>
      </c>
      <c r="U457" s="1148">
        <v>0.8</v>
      </c>
      <c r="V457" s="1052">
        <f t="shared" si="201"/>
        <v>1.86046511627907</v>
      </c>
      <c r="W457" s="1049"/>
      <c r="X457" s="1051">
        <v>0.84</v>
      </c>
      <c r="Y457" s="1049"/>
      <c r="Z457" s="1050">
        <f t="shared" si="202"/>
        <v>1.7199999999999969E-2</v>
      </c>
      <c r="AA457" s="1120">
        <f>AA456/24</f>
        <v>2.7808333333333337</v>
      </c>
      <c r="AB457" s="1057">
        <v>3</v>
      </c>
      <c r="AC457" s="1056">
        <v>4</v>
      </c>
      <c r="AD457" s="1055">
        <v>1.94</v>
      </c>
      <c r="AE457" s="1137">
        <f t="shared" si="203"/>
        <v>2.0952000000000002</v>
      </c>
      <c r="AF457" s="1136">
        <v>3.42</v>
      </c>
      <c r="AG457" s="1052">
        <f t="shared" si="204"/>
        <v>1.7628865979381443</v>
      </c>
      <c r="AH457" s="1049"/>
      <c r="AI457" s="1136">
        <v>1.08</v>
      </c>
      <c r="AJ457" s="1049"/>
      <c r="AK457" s="1050">
        <f t="shared" si="205"/>
        <v>0.54320000000000002</v>
      </c>
      <c r="AL457" s="1120"/>
      <c r="AM457" s="1120">
        <f>AM456/24</f>
        <v>0.34375000000000006</v>
      </c>
      <c r="AN457" s="1057">
        <v>3</v>
      </c>
      <c r="AO457" s="1056">
        <v>4</v>
      </c>
      <c r="AP457" s="1055">
        <v>0.14000000000000001</v>
      </c>
      <c r="AQ457" s="1745">
        <f t="shared" si="206"/>
        <v>0</v>
      </c>
      <c r="AR457" s="1737">
        <v>0.24</v>
      </c>
      <c r="AS457" s="1052">
        <f t="shared" si="207"/>
        <v>1.714285714285714</v>
      </c>
      <c r="AT457" s="1049"/>
      <c r="AU457" s="1136"/>
      <c r="AV457" s="1049"/>
      <c r="AW457" s="1120">
        <f>AW456/24</f>
        <v>0.29958333333333337</v>
      </c>
      <c r="AX457" s="1057">
        <v>3</v>
      </c>
      <c r="AY457" s="1056">
        <v>4</v>
      </c>
      <c r="AZ457" s="1055">
        <v>0.13</v>
      </c>
      <c r="BA457" s="1736">
        <v>0.23</v>
      </c>
      <c r="BB457" s="1737">
        <f t="shared" si="208"/>
        <v>1.7692307692307692</v>
      </c>
      <c r="BC457" s="1049"/>
      <c r="BD457" s="1136"/>
      <c r="BE457" s="1049"/>
      <c r="BF457" s="1120">
        <f>BF456/24</f>
        <v>0.22791666666666663</v>
      </c>
      <c r="BG457" s="1057">
        <v>3</v>
      </c>
      <c r="BH457" s="1056">
        <v>4</v>
      </c>
      <c r="BI457" s="1874">
        <v>0.14000000000000001</v>
      </c>
      <c r="BJ457" s="1736"/>
      <c r="BK457" s="1049"/>
      <c r="BL457" s="1120">
        <f>BL456/24</f>
        <v>0</v>
      </c>
      <c r="BM457" s="1057">
        <v>3</v>
      </c>
      <c r="BN457" s="1056">
        <v>4</v>
      </c>
      <c r="BO457" s="1055"/>
      <c r="BP457" s="1055"/>
      <c r="BQ457" s="1049"/>
    </row>
    <row r="458" spans="1:69" ht="14.4">
      <c r="A458" s="1049"/>
      <c r="B458" s="1119"/>
      <c r="C458" s="1057">
        <v>4</v>
      </c>
      <c r="D458" s="1056">
        <v>5</v>
      </c>
      <c r="E458" s="1063">
        <v>0.34</v>
      </c>
      <c r="F458" s="1062">
        <v>0.96</v>
      </c>
      <c r="G458" s="1061">
        <f t="shared" si="198"/>
        <v>2.8235294117647056</v>
      </c>
      <c r="H458" s="1049"/>
      <c r="I458" s="1119"/>
      <c r="J458" s="1057">
        <v>4</v>
      </c>
      <c r="K458" s="1056">
        <v>5</v>
      </c>
      <c r="L458" s="1055">
        <v>1.4950000000000001</v>
      </c>
      <c r="M458" s="1059">
        <v>4.2</v>
      </c>
      <c r="N458" s="1052">
        <f t="shared" si="199"/>
        <v>2.8093645484949832</v>
      </c>
      <c r="O458" s="1049"/>
      <c r="P458" s="1118"/>
      <c r="Q458" s="1057">
        <v>4</v>
      </c>
      <c r="R458" s="1056">
        <v>5</v>
      </c>
      <c r="S458" s="1055">
        <v>0.38</v>
      </c>
      <c r="T458" s="1054">
        <f t="shared" si="200"/>
        <v>0.32300000000000001</v>
      </c>
      <c r="U458" s="1148">
        <v>0.73</v>
      </c>
      <c r="V458" s="1052">
        <f t="shared" si="201"/>
        <v>1.9210526315789473</v>
      </c>
      <c r="W458" s="1049"/>
      <c r="X458" s="1051">
        <v>0.85</v>
      </c>
      <c r="Y458" s="1049"/>
      <c r="Z458" s="1050">
        <f t="shared" si="202"/>
        <v>1.8999999999999975E-2</v>
      </c>
      <c r="AA458" s="1118"/>
      <c r="AB458" s="1057">
        <v>4</v>
      </c>
      <c r="AC458" s="1056">
        <v>5</v>
      </c>
      <c r="AD458" s="1055">
        <v>1.94</v>
      </c>
      <c r="AE458" s="1137">
        <f t="shared" si="203"/>
        <v>2.0369999999999999</v>
      </c>
      <c r="AF458" s="1136">
        <v>3.38</v>
      </c>
      <c r="AG458" s="1052">
        <f t="shared" si="204"/>
        <v>1.7422680412371134</v>
      </c>
      <c r="AH458" s="1049"/>
      <c r="AI458" s="1136">
        <v>1.05</v>
      </c>
      <c r="AJ458" s="1049"/>
      <c r="AK458" s="1050">
        <f t="shared" si="205"/>
        <v>0.48499999999999999</v>
      </c>
      <c r="AL458" s="1118"/>
      <c r="AM458" s="1118"/>
      <c r="AN458" s="1057">
        <v>4</v>
      </c>
      <c r="AO458" s="1056">
        <v>5</v>
      </c>
      <c r="AP458" s="1055">
        <v>0.1</v>
      </c>
      <c r="AQ458" s="1745">
        <f t="shared" si="206"/>
        <v>0</v>
      </c>
      <c r="AR458" s="1737">
        <v>0.17</v>
      </c>
      <c r="AS458" s="1052">
        <f t="shared" si="207"/>
        <v>1.7</v>
      </c>
      <c r="AT458" s="1049"/>
      <c r="AU458" s="1136"/>
      <c r="AV458" s="1049"/>
      <c r="AW458" s="1118"/>
      <c r="AX458" s="1057">
        <v>4</v>
      </c>
      <c r="AY458" s="1056">
        <v>5</v>
      </c>
      <c r="AZ458" s="1055">
        <v>0.13</v>
      </c>
      <c r="BA458" s="1736">
        <v>0.23</v>
      </c>
      <c r="BB458" s="1737">
        <f t="shared" si="208"/>
        <v>1.7692307692307692</v>
      </c>
      <c r="BC458" s="1049"/>
      <c r="BD458" s="1136"/>
      <c r="BE458" s="1049"/>
      <c r="BF458" s="1118"/>
      <c r="BG458" s="1057">
        <v>4</v>
      </c>
      <c r="BH458" s="1056">
        <v>5</v>
      </c>
      <c r="BI458" s="1874">
        <v>0.1</v>
      </c>
      <c r="BJ458" s="1736"/>
      <c r="BK458" s="1049"/>
      <c r="BL458" s="1118"/>
      <c r="BM458" s="1057">
        <v>4</v>
      </c>
      <c r="BN458" s="1056">
        <v>5</v>
      </c>
      <c r="BO458" s="1055"/>
      <c r="BP458" s="1055"/>
      <c r="BQ458" s="1049"/>
    </row>
    <row r="459" spans="1:69" ht="15" thickBot="1">
      <c r="A459" s="1049"/>
      <c r="B459" s="1058">
        <f>SUM(F454:F477)</f>
        <v>41.67</v>
      </c>
      <c r="C459" s="1111">
        <v>5</v>
      </c>
      <c r="D459" s="1110">
        <v>6</v>
      </c>
      <c r="E459" s="1117">
        <v>0.78</v>
      </c>
      <c r="F459" s="1116">
        <v>2.29</v>
      </c>
      <c r="G459" s="1115">
        <f t="shared" si="198"/>
        <v>2.9358974358974357</v>
      </c>
      <c r="H459" s="1049"/>
      <c r="I459" s="1058">
        <f>SUM(M454:M477)</f>
        <v>147.94</v>
      </c>
      <c r="J459" s="1111">
        <v>5</v>
      </c>
      <c r="K459" s="1110">
        <v>6</v>
      </c>
      <c r="L459" s="1109">
        <v>1.5580000000000001</v>
      </c>
      <c r="M459" s="1114">
        <v>4.4000000000000004</v>
      </c>
      <c r="N459" s="1113">
        <f t="shared" si="199"/>
        <v>2.8241335044929397</v>
      </c>
      <c r="O459" s="1049"/>
      <c r="P459" s="1112">
        <f>SUM(U454:U477)</f>
        <v>135.72000000000003</v>
      </c>
      <c r="Q459" s="1111">
        <v>5</v>
      </c>
      <c r="R459" s="1110">
        <v>6</v>
      </c>
      <c r="S459" s="1109">
        <v>1.17</v>
      </c>
      <c r="T459" s="1054">
        <f t="shared" si="200"/>
        <v>1.3454999999999999</v>
      </c>
      <c r="U459" s="1148">
        <v>2.5499999999999998</v>
      </c>
      <c r="V459" s="1052">
        <f t="shared" si="201"/>
        <v>2.1794871794871793</v>
      </c>
      <c r="W459" s="1049"/>
      <c r="X459" s="1074">
        <v>1.1499999999999999</v>
      </c>
      <c r="Y459" s="1049"/>
      <c r="Z459" s="1050">
        <f t="shared" si="202"/>
        <v>0.40949999999999981</v>
      </c>
      <c r="AA459" s="1112">
        <f>SUM(AF454:AF477)</f>
        <v>154.33000000000001</v>
      </c>
      <c r="AB459" s="1111">
        <v>5</v>
      </c>
      <c r="AC459" s="1110">
        <v>6</v>
      </c>
      <c r="AD459" s="1109">
        <v>1.95</v>
      </c>
      <c r="AE459" s="1147">
        <f t="shared" si="203"/>
        <v>2.262</v>
      </c>
      <c r="AF459" s="1146">
        <v>3.62</v>
      </c>
      <c r="AG459" s="1052">
        <f t="shared" si="204"/>
        <v>1.8564102564102565</v>
      </c>
      <c r="AH459" s="1049"/>
      <c r="AI459" s="1146">
        <v>1.1599999999999999</v>
      </c>
      <c r="AJ459" s="1049"/>
      <c r="AK459" s="1050">
        <f t="shared" si="205"/>
        <v>0.70199999999999974</v>
      </c>
      <c r="AL459" s="1112"/>
      <c r="AM459" s="1112">
        <f>SUM(AR454:AR477)</f>
        <v>15.329999999999997</v>
      </c>
      <c r="AN459" s="1111">
        <v>5</v>
      </c>
      <c r="AO459" s="1110">
        <v>6</v>
      </c>
      <c r="AP459" s="1109">
        <v>0.8</v>
      </c>
      <c r="AQ459" s="1746">
        <f t="shared" si="206"/>
        <v>0</v>
      </c>
      <c r="AR459" s="1739">
        <v>1.39</v>
      </c>
      <c r="AS459" s="1052">
        <f t="shared" si="207"/>
        <v>1.7374999999999998</v>
      </c>
      <c r="AT459" s="1049"/>
      <c r="AU459" s="1146"/>
      <c r="AV459" s="1049"/>
      <c r="AW459" s="1112">
        <f>SUM(BA454:BA477)</f>
        <v>15.370000000000003</v>
      </c>
      <c r="AX459" s="1111">
        <v>5</v>
      </c>
      <c r="AY459" s="1110">
        <v>6</v>
      </c>
      <c r="AZ459" s="1109">
        <v>0.3</v>
      </c>
      <c r="BA459" s="1738">
        <v>0.54</v>
      </c>
      <c r="BB459" s="1739">
        <f t="shared" si="208"/>
        <v>1.8000000000000003</v>
      </c>
      <c r="BC459" s="1049"/>
      <c r="BD459" s="1146"/>
      <c r="BE459" s="1049"/>
      <c r="BF459" s="1112">
        <f>SUM(BJ454:BJ477)</f>
        <v>0</v>
      </c>
      <c r="BG459" s="1111">
        <v>5</v>
      </c>
      <c r="BH459" s="1110">
        <v>6</v>
      </c>
      <c r="BI459" s="1874">
        <v>0.14000000000000001</v>
      </c>
      <c r="BJ459" s="1738"/>
      <c r="BK459" s="1049"/>
      <c r="BL459" s="1112">
        <f>SUM(BP454:BP477)</f>
        <v>0</v>
      </c>
      <c r="BM459" s="1111">
        <v>5</v>
      </c>
      <c r="BN459" s="1110">
        <v>6</v>
      </c>
      <c r="BO459" s="1109"/>
      <c r="BP459" s="1109"/>
      <c r="BQ459" s="1049"/>
    </row>
    <row r="460" spans="1:69" ht="14.4">
      <c r="A460" s="1049"/>
      <c r="B460" s="1093">
        <f>B459/B456</f>
        <v>3.312400635930048</v>
      </c>
      <c r="C460" s="1100">
        <v>6</v>
      </c>
      <c r="D460" s="1099">
        <v>7</v>
      </c>
      <c r="E460" s="1107">
        <v>0.32</v>
      </c>
      <c r="F460" s="1106">
        <v>0.98</v>
      </c>
      <c r="G460" s="1105">
        <f t="shared" si="198"/>
        <v>3.0625</v>
      </c>
      <c r="H460" s="1049"/>
      <c r="I460" s="1093">
        <f>I459/I456</f>
        <v>3.5515544352418678</v>
      </c>
      <c r="J460" s="1100">
        <v>6</v>
      </c>
      <c r="K460" s="1099">
        <v>7</v>
      </c>
      <c r="L460" s="1098">
        <v>1.5069999999999999</v>
      </c>
      <c r="M460" s="1103">
        <v>4.28</v>
      </c>
      <c r="N460" s="1102">
        <f t="shared" si="199"/>
        <v>2.8400796284007965</v>
      </c>
      <c r="O460" s="1049"/>
      <c r="P460" s="1093">
        <f>P459/P456</f>
        <v>3.1621621621621627</v>
      </c>
      <c r="Q460" s="1100">
        <v>6</v>
      </c>
      <c r="R460" s="1099">
        <v>7</v>
      </c>
      <c r="S460" s="1098">
        <v>1.08</v>
      </c>
      <c r="T460" s="1054">
        <f t="shared" si="200"/>
        <v>1.9008</v>
      </c>
      <c r="U460" s="1148">
        <v>3.02</v>
      </c>
      <c r="V460" s="1052">
        <f t="shared" si="201"/>
        <v>2.7962962962962963</v>
      </c>
      <c r="W460" s="1049"/>
      <c r="X460" s="1108">
        <v>1.76</v>
      </c>
      <c r="Y460" s="1049"/>
      <c r="Z460" s="1050">
        <f t="shared" si="202"/>
        <v>1.0367999999999999</v>
      </c>
      <c r="AA460" s="1093">
        <f>AA459/AA456</f>
        <v>2.3124063530116872</v>
      </c>
      <c r="AB460" s="1100">
        <v>6</v>
      </c>
      <c r="AC460" s="1099">
        <v>7</v>
      </c>
      <c r="AD460" s="1098">
        <v>2.2599999999999998</v>
      </c>
      <c r="AE460" s="1145">
        <f t="shared" si="203"/>
        <v>2.7797999999999998</v>
      </c>
      <c r="AF460" s="1144">
        <v>4.34</v>
      </c>
      <c r="AG460" s="1052">
        <f t="shared" si="204"/>
        <v>1.9203539823008851</v>
      </c>
      <c r="AH460" s="1049"/>
      <c r="AI460" s="1144">
        <v>1.23</v>
      </c>
      <c r="AJ460" s="1049"/>
      <c r="AK460" s="1050">
        <f t="shared" si="205"/>
        <v>0.97179999999999978</v>
      </c>
      <c r="AL460" s="1093"/>
      <c r="AM460" s="1093">
        <f>AM459/AM456</f>
        <v>1.8581818181818173</v>
      </c>
      <c r="AN460" s="1100">
        <v>6</v>
      </c>
      <c r="AO460" s="1099">
        <v>7</v>
      </c>
      <c r="AP460" s="1098">
        <v>0.66</v>
      </c>
      <c r="AQ460" s="1747">
        <f t="shared" si="206"/>
        <v>0</v>
      </c>
      <c r="AR460" s="1741">
        <v>1.1499999999999999</v>
      </c>
      <c r="AS460" s="1052">
        <f t="shared" si="207"/>
        <v>1.7424242424242422</v>
      </c>
      <c r="AT460" s="1049"/>
      <c r="AU460" s="1144"/>
      <c r="AV460" s="1049"/>
      <c r="AW460" s="1093">
        <f>AW459/AW456</f>
        <v>2.1376912378303201</v>
      </c>
      <c r="AX460" s="1100">
        <v>6</v>
      </c>
      <c r="AY460" s="1099">
        <v>7</v>
      </c>
      <c r="AZ460" s="1098">
        <v>0.26</v>
      </c>
      <c r="BA460" s="1740">
        <v>0.46</v>
      </c>
      <c r="BB460" s="1741">
        <f t="shared" si="208"/>
        <v>1.7692307692307692</v>
      </c>
      <c r="BC460" s="1049"/>
      <c r="BD460" s="1144"/>
      <c r="BE460" s="1049"/>
      <c r="BF460" s="1093">
        <f>BF459/BF456</f>
        <v>0</v>
      </c>
      <c r="BG460" s="1100">
        <v>6</v>
      </c>
      <c r="BH460" s="1099">
        <v>7</v>
      </c>
      <c r="BI460" s="1874">
        <v>0.11</v>
      </c>
      <c r="BJ460" s="1740"/>
      <c r="BK460" s="1049"/>
      <c r="BL460" s="1093" t="e">
        <f>BL459/BL456</f>
        <v>#DIV/0!</v>
      </c>
      <c r="BM460" s="1100">
        <v>6</v>
      </c>
      <c r="BN460" s="1099">
        <v>7</v>
      </c>
      <c r="BO460" s="1098"/>
      <c r="BP460" s="1098"/>
      <c r="BQ460" s="1049"/>
    </row>
    <row r="461" spans="1:69" ht="14.4">
      <c r="A461" s="1049"/>
      <c r="B461" s="1104"/>
      <c r="C461" s="1100">
        <v>7</v>
      </c>
      <c r="D461" s="1099">
        <v>8</v>
      </c>
      <c r="E461" s="1107">
        <v>0.57999999999999996</v>
      </c>
      <c r="F461" s="1106">
        <v>2.2000000000000002</v>
      </c>
      <c r="G461" s="1105">
        <f t="shared" si="198"/>
        <v>3.7931034482758625</v>
      </c>
      <c r="H461" s="1049"/>
      <c r="I461" s="1104"/>
      <c r="J461" s="1100">
        <v>7</v>
      </c>
      <c r="K461" s="1099">
        <v>8</v>
      </c>
      <c r="L461" s="1098">
        <v>2.085</v>
      </c>
      <c r="M461" s="1103">
        <v>6.56</v>
      </c>
      <c r="N461" s="1102">
        <f t="shared" si="199"/>
        <v>3.1462829736211031</v>
      </c>
      <c r="O461" s="1049"/>
      <c r="P461" s="1101"/>
      <c r="Q461" s="1100">
        <v>7</v>
      </c>
      <c r="R461" s="1099">
        <v>8</v>
      </c>
      <c r="S461" s="1098">
        <v>1.42</v>
      </c>
      <c r="T461" s="1054">
        <f t="shared" si="200"/>
        <v>3.3511999999999995</v>
      </c>
      <c r="U461" s="1148">
        <v>4.8499999999999996</v>
      </c>
      <c r="V461" s="1052">
        <f t="shared" si="201"/>
        <v>3.415492957746479</v>
      </c>
      <c r="W461" s="1049"/>
      <c r="X461" s="1065">
        <v>2.36</v>
      </c>
      <c r="Y461" s="1049"/>
      <c r="Z461" s="1050">
        <f t="shared" si="202"/>
        <v>2.2151999999999998</v>
      </c>
      <c r="AA461" s="1101"/>
      <c r="AB461" s="1100">
        <v>7</v>
      </c>
      <c r="AC461" s="1099">
        <v>8</v>
      </c>
      <c r="AD461" s="1098">
        <v>2.67</v>
      </c>
      <c r="AE461" s="1145">
        <f t="shared" si="203"/>
        <v>4.0583999999999998</v>
      </c>
      <c r="AF461" s="1144">
        <v>5.9</v>
      </c>
      <c r="AG461" s="1052">
        <f t="shared" si="204"/>
        <v>2.2097378277153559</v>
      </c>
      <c r="AH461" s="1049"/>
      <c r="AI461" s="1144">
        <v>1.52</v>
      </c>
      <c r="AJ461" s="1049"/>
      <c r="AK461" s="1050">
        <f t="shared" si="205"/>
        <v>1.9223999999999999</v>
      </c>
      <c r="AL461" s="1101"/>
      <c r="AM461" s="1101"/>
      <c r="AN461" s="1100">
        <v>7</v>
      </c>
      <c r="AO461" s="1099">
        <v>8</v>
      </c>
      <c r="AP461" s="1098">
        <v>0.34</v>
      </c>
      <c r="AQ461" s="1747">
        <f t="shared" si="206"/>
        <v>0</v>
      </c>
      <c r="AR461" s="1741">
        <v>0.62</v>
      </c>
      <c r="AS461" s="1052">
        <f t="shared" si="207"/>
        <v>1.8235294117647058</v>
      </c>
      <c r="AT461" s="1049"/>
      <c r="AU461" s="1144"/>
      <c r="AV461" s="1049"/>
      <c r="AW461" s="1101"/>
      <c r="AX461" s="1100">
        <v>7</v>
      </c>
      <c r="AY461" s="1099">
        <v>8</v>
      </c>
      <c r="AZ461" s="1098">
        <v>0.25</v>
      </c>
      <c r="BA461" s="1736">
        <v>0.44</v>
      </c>
      <c r="BB461" s="1741">
        <f t="shared" si="208"/>
        <v>1.76</v>
      </c>
      <c r="BC461" s="1049"/>
      <c r="BD461" s="1144"/>
      <c r="BE461" s="1049"/>
      <c r="BF461" s="1101"/>
      <c r="BG461" s="1100">
        <v>7</v>
      </c>
      <c r="BH461" s="1099">
        <v>8</v>
      </c>
      <c r="BI461" s="1874">
        <v>0.19</v>
      </c>
      <c r="BJ461" s="1736"/>
      <c r="BK461" s="1049"/>
      <c r="BL461" s="1101"/>
      <c r="BM461" s="1100">
        <v>7</v>
      </c>
      <c r="BN461" s="1099">
        <v>8</v>
      </c>
      <c r="BO461" s="1098"/>
      <c r="BP461" s="1098"/>
      <c r="BQ461" s="1049"/>
    </row>
    <row r="462" spans="1:69" ht="14.4">
      <c r="A462" s="1049"/>
      <c r="B462" s="1097">
        <f>B459/24</f>
        <v>1.7362500000000001</v>
      </c>
      <c r="C462" s="1086">
        <v>8</v>
      </c>
      <c r="D462" s="1085">
        <v>9</v>
      </c>
      <c r="E462" s="1091">
        <v>1.36</v>
      </c>
      <c r="F462" s="1090">
        <v>5.22</v>
      </c>
      <c r="G462" s="1089">
        <f t="shared" si="198"/>
        <v>3.8382352941176467</v>
      </c>
      <c r="H462" s="1049"/>
      <c r="I462" s="1097">
        <f>I459/24</f>
        <v>6.1641666666666666</v>
      </c>
      <c r="J462" s="1086">
        <v>8</v>
      </c>
      <c r="K462" s="1085">
        <v>9</v>
      </c>
      <c r="L462" s="1084">
        <v>1.5469999999999999</v>
      </c>
      <c r="M462" s="1088">
        <v>5.53</v>
      </c>
      <c r="N462" s="1087">
        <f t="shared" si="199"/>
        <v>3.5746606334841631</v>
      </c>
      <c r="O462" s="1049"/>
      <c r="P462" s="1096">
        <f>P459/24</f>
        <v>5.6550000000000011</v>
      </c>
      <c r="Q462" s="1086">
        <v>8</v>
      </c>
      <c r="R462" s="1085">
        <v>9</v>
      </c>
      <c r="S462" s="1084">
        <v>1.82</v>
      </c>
      <c r="T462" s="1054">
        <f t="shared" si="200"/>
        <v>4.4590000000000005</v>
      </c>
      <c r="U462" s="1148">
        <v>6.37</v>
      </c>
      <c r="V462" s="1052">
        <f t="shared" si="201"/>
        <v>3.5</v>
      </c>
      <c r="W462" s="1049"/>
      <c r="X462" s="1051">
        <v>2.4500000000000002</v>
      </c>
      <c r="Y462" s="1049"/>
      <c r="Z462" s="1050">
        <f t="shared" si="202"/>
        <v>3.0030000000000006</v>
      </c>
      <c r="AA462" s="1096">
        <f>AA459/24</f>
        <v>6.4304166666666669</v>
      </c>
      <c r="AB462" s="1086">
        <v>8</v>
      </c>
      <c r="AC462" s="1085">
        <v>9</v>
      </c>
      <c r="AD462" s="1084">
        <v>2.64</v>
      </c>
      <c r="AE462" s="1143">
        <f t="shared" si="203"/>
        <v>4.2768000000000006</v>
      </c>
      <c r="AF462" s="1142">
        <v>6.1</v>
      </c>
      <c r="AG462" s="1052">
        <f t="shared" si="204"/>
        <v>2.3106060606060606</v>
      </c>
      <c r="AH462" s="1049"/>
      <c r="AI462" s="1142">
        <v>1.62</v>
      </c>
      <c r="AJ462" s="1049"/>
      <c r="AK462" s="1050">
        <f t="shared" si="205"/>
        <v>2.1648000000000001</v>
      </c>
      <c r="AL462" s="1096"/>
      <c r="AM462" s="1096">
        <f>AM459/24</f>
        <v>0.63874999999999982</v>
      </c>
      <c r="AN462" s="1086">
        <v>8</v>
      </c>
      <c r="AO462" s="1085">
        <v>9</v>
      </c>
      <c r="AP462" s="1084">
        <v>1.22</v>
      </c>
      <c r="AQ462" s="1748">
        <f t="shared" si="206"/>
        <v>0</v>
      </c>
      <c r="AR462" s="1742">
        <v>2.2999999999999998</v>
      </c>
      <c r="AS462" s="1052">
        <f t="shared" si="207"/>
        <v>1.8852459016393441</v>
      </c>
      <c r="AT462" s="1049"/>
      <c r="AU462" s="1142"/>
      <c r="AV462" s="1049"/>
      <c r="AW462" s="1096">
        <f>AW459/24</f>
        <v>0.64041666666666675</v>
      </c>
      <c r="AX462" s="1086">
        <v>8</v>
      </c>
      <c r="AY462" s="1085">
        <v>9</v>
      </c>
      <c r="AZ462" s="1084">
        <v>0.49</v>
      </c>
      <c r="BA462" s="1736">
        <v>0.87</v>
      </c>
      <c r="BB462" s="1742">
        <f t="shared" si="208"/>
        <v>1.7755102040816326</v>
      </c>
      <c r="BC462" s="1049"/>
      <c r="BD462" s="1142"/>
      <c r="BE462" s="1049"/>
      <c r="BF462" s="1096">
        <f>BF459/24</f>
        <v>0</v>
      </c>
      <c r="BG462" s="1086">
        <v>8</v>
      </c>
      <c r="BH462" s="1085">
        <v>9</v>
      </c>
      <c r="BI462" s="1874">
        <v>0.31</v>
      </c>
      <c r="BJ462" s="1736"/>
      <c r="BK462" s="1049"/>
      <c r="BL462" s="1096">
        <f>BL459/24</f>
        <v>0</v>
      </c>
      <c r="BM462" s="1086">
        <v>8</v>
      </c>
      <c r="BN462" s="1085">
        <v>9</v>
      </c>
      <c r="BO462" s="1084"/>
      <c r="BP462" s="1084"/>
      <c r="BQ462" s="1049"/>
    </row>
    <row r="463" spans="1:69" ht="14.4">
      <c r="A463" s="1049"/>
      <c r="B463" s="1097"/>
      <c r="C463" s="1086">
        <v>9</v>
      </c>
      <c r="D463" s="1085">
        <v>10</v>
      </c>
      <c r="E463" s="1091">
        <v>1.32</v>
      </c>
      <c r="F463" s="1090">
        <v>4.71</v>
      </c>
      <c r="G463" s="1089">
        <f t="shared" si="198"/>
        <v>3.5681818181818179</v>
      </c>
      <c r="H463" s="1049"/>
      <c r="I463" s="1097"/>
      <c r="J463" s="1086">
        <v>9</v>
      </c>
      <c r="K463" s="1085">
        <v>10</v>
      </c>
      <c r="L463" s="1084">
        <v>1.516</v>
      </c>
      <c r="M463" s="1088">
        <v>5.55</v>
      </c>
      <c r="N463" s="1087">
        <f t="shared" si="199"/>
        <v>3.6609498680738786</v>
      </c>
      <c r="O463" s="1049"/>
      <c r="P463" s="1096"/>
      <c r="Q463" s="1086">
        <v>9</v>
      </c>
      <c r="R463" s="1085">
        <v>10</v>
      </c>
      <c r="S463" s="1084">
        <v>2.35</v>
      </c>
      <c r="T463" s="1054">
        <f t="shared" si="200"/>
        <v>5.7575000000000003</v>
      </c>
      <c r="U463" s="1148">
        <v>8.1999999999999993</v>
      </c>
      <c r="V463" s="1052">
        <f t="shared" si="201"/>
        <v>3.4893617021276593</v>
      </c>
      <c r="W463" s="1049"/>
      <c r="X463" s="1051">
        <v>2.4500000000000002</v>
      </c>
      <c r="Y463" s="1049"/>
      <c r="Z463" s="1050">
        <f t="shared" si="202"/>
        <v>3.8775000000000004</v>
      </c>
      <c r="AA463" s="1096"/>
      <c r="AB463" s="1086">
        <v>9</v>
      </c>
      <c r="AC463" s="1085">
        <v>10</v>
      </c>
      <c r="AD463" s="1084">
        <v>2.64</v>
      </c>
      <c r="AE463" s="1143">
        <f t="shared" si="203"/>
        <v>4.1712000000000007</v>
      </c>
      <c r="AF463" s="1142">
        <v>6</v>
      </c>
      <c r="AG463" s="1052">
        <f t="shared" si="204"/>
        <v>2.2727272727272725</v>
      </c>
      <c r="AH463" s="1049"/>
      <c r="AI463" s="1142">
        <v>1.58</v>
      </c>
      <c r="AJ463" s="1049"/>
      <c r="AK463" s="1050">
        <f t="shared" si="205"/>
        <v>2.0592000000000001</v>
      </c>
      <c r="AL463" s="1096"/>
      <c r="AM463" s="1096"/>
      <c r="AN463" s="1086">
        <v>9</v>
      </c>
      <c r="AO463" s="1085">
        <v>10</v>
      </c>
      <c r="AP463" s="1084">
        <v>0.81</v>
      </c>
      <c r="AQ463" s="1748">
        <f t="shared" si="206"/>
        <v>0</v>
      </c>
      <c r="AR463" s="1742">
        <v>1.56</v>
      </c>
      <c r="AS463" s="1052">
        <f t="shared" si="207"/>
        <v>1.9259259259259258</v>
      </c>
      <c r="AT463" s="1049"/>
      <c r="AU463" s="1142"/>
      <c r="AV463" s="1049"/>
      <c r="AW463" s="1096"/>
      <c r="AX463" s="1086">
        <v>9</v>
      </c>
      <c r="AY463" s="1085">
        <v>10</v>
      </c>
      <c r="AZ463" s="1084">
        <v>0.28000000000000003</v>
      </c>
      <c r="BA463" s="1736">
        <v>0.5</v>
      </c>
      <c r="BB463" s="1742">
        <f t="shared" si="208"/>
        <v>1.7857142857142856</v>
      </c>
      <c r="BC463" s="1049"/>
      <c r="BD463" s="1142"/>
      <c r="BE463" s="1049"/>
      <c r="BF463" s="1096"/>
      <c r="BG463" s="1086">
        <v>9</v>
      </c>
      <c r="BH463" s="1085">
        <v>10</v>
      </c>
      <c r="BI463" s="1874">
        <v>0.25</v>
      </c>
      <c r="BJ463" s="1736"/>
      <c r="BK463" s="1049"/>
      <c r="BL463" s="1096"/>
      <c r="BM463" s="1086">
        <v>9</v>
      </c>
      <c r="BN463" s="1085">
        <v>10</v>
      </c>
      <c r="BO463" s="1084"/>
      <c r="BP463" s="1084"/>
      <c r="BQ463" s="1049"/>
    </row>
    <row r="464" spans="1:69" ht="14.4">
      <c r="A464" s="1049"/>
      <c r="B464" s="1060"/>
      <c r="C464" s="1086">
        <v>10</v>
      </c>
      <c r="D464" s="1085">
        <v>11</v>
      </c>
      <c r="E464" s="1091">
        <v>1.35</v>
      </c>
      <c r="F464" s="1090">
        <v>4.43</v>
      </c>
      <c r="G464" s="1089">
        <f t="shared" si="198"/>
        <v>3.2814814814814812</v>
      </c>
      <c r="H464" s="1049"/>
      <c r="I464" s="1060"/>
      <c r="J464" s="1086">
        <v>10</v>
      </c>
      <c r="K464" s="1085">
        <v>11</v>
      </c>
      <c r="L464" s="1084">
        <v>1.6319999999999999</v>
      </c>
      <c r="M464" s="1088">
        <v>5.39</v>
      </c>
      <c r="N464" s="1087">
        <f t="shared" si="199"/>
        <v>3.3026960784313726</v>
      </c>
      <c r="O464" s="1049"/>
      <c r="P464" s="1095">
        <f>SUM(Z454:Z477)</f>
        <v>56.669800000000002</v>
      </c>
      <c r="Q464" s="1086">
        <v>10</v>
      </c>
      <c r="R464" s="1085">
        <v>11</v>
      </c>
      <c r="S464" s="1084">
        <v>2.2999999999999998</v>
      </c>
      <c r="T464" s="1054">
        <f t="shared" si="200"/>
        <v>5.6349999999999998</v>
      </c>
      <c r="U464" s="1148">
        <v>8.01</v>
      </c>
      <c r="V464" s="1052">
        <f t="shared" si="201"/>
        <v>3.482608695652174</v>
      </c>
      <c r="W464" s="1049"/>
      <c r="X464" s="1051">
        <v>2.4500000000000002</v>
      </c>
      <c r="Y464" s="1049"/>
      <c r="Z464" s="1050">
        <f t="shared" si="202"/>
        <v>3.7949999999999999</v>
      </c>
      <c r="AA464" s="1095">
        <f>SUM(AK454:AK477)</f>
        <v>47.914999999999999</v>
      </c>
      <c r="AB464" s="1086">
        <v>10</v>
      </c>
      <c r="AC464" s="1085">
        <v>11</v>
      </c>
      <c r="AD464" s="1084">
        <v>3.29</v>
      </c>
      <c r="AE464" s="1143">
        <f t="shared" si="203"/>
        <v>5.1653000000000002</v>
      </c>
      <c r="AF464" s="1142">
        <v>7.43</v>
      </c>
      <c r="AG464" s="1052">
        <f t="shared" si="204"/>
        <v>2.2583586626139818</v>
      </c>
      <c r="AH464" s="1049"/>
      <c r="AI464" s="1142">
        <v>1.57</v>
      </c>
      <c r="AJ464" s="1049"/>
      <c r="AK464" s="1050">
        <f t="shared" si="205"/>
        <v>2.5333000000000001</v>
      </c>
      <c r="AL464" s="1095"/>
      <c r="AM464" s="1095" t="e">
        <f>SUM(#REF!)</f>
        <v>#REF!</v>
      </c>
      <c r="AN464" s="1086">
        <v>10</v>
      </c>
      <c r="AO464" s="1085">
        <v>11</v>
      </c>
      <c r="AP464" s="1084">
        <v>0.28000000000000003</v>
      </c>
      <c r="AQ464" s="1748">
        <f t="shared" si="206"/>
        <v>0</v>
      </c>
      <c r="AR464" s="1742">
        <v>0.5</v>
      </c>
      <c r="AS464" s="1052">
        <f t="shared" si="207"/>
        <v>1.7857142857142856</v>
      </c>
      <c r="AT464" s="1049"/>
      <c r="AU464" s="1142"/>
      <c r="AV464" s="1049"/>
      <c r="AW464" s="1095" t="e">
        <f>SUM(#REF!)</f>
        <v>#REF!</v>
      </c>
      <c r="AX464" s="1086">
        <v>10</v>
      </c>
      <c r="AY464" s="1085">
        <v>11</v>
      </c>
      <c r="AZ464" s="1084">
        <v>0.48</v>
      </c>
      <c r="BA464" s="1736">
        <v>0.84</v>
      </c>
      <c r="BB464" s="1742">
        <f t="shared" si="208"/>
        <v>1.75</v>
      </c>
      <c r="BC464" s="1049"/>
      <c r="BD464" s="1142"/>
      <c r="BE464" s="1049"/>
      <c r="BF464" s="1095" t="e">
        <f>SUM(#REF!)</f>
        <v>#REF!</v>
      </c>
      <c r="BG464" s="1086">
        <v>10</v>
      </c>
      <c r="BH464" s="1085">
        <v>11</v>
      </c>
      <c r="BI464" s="1874">
        <v>0.23</v>
      </c>
      <c r="BJ464" s="1736"/>
      <c r="BK464" s="1049"/>
      <c r="BL464" s="1095" t="e">
        <f>SUM(#REF!)</f>
        <v>#REF!</v>
      </c>
      <c r="BM464" s="1086">
        <v>10</v>
      </c>
      <c r="BN464" s="1085">
        <v>11</v>
      </c>
      <c r="BO464" s="1084"/>
      <c r="BP464" s="1084"/>
      <c r="BQ464" s="1049"/>
    </row>
    <row r="465" spans="1:69" ht="14.4">
      <c r="A465" s="1049"/>
      <c r="B465" s="1060"/>
      <c r="C465" s="1086">
        <v>11</v>
      </c>
      <c r="D465" s="1085">
        <v>12</v>
      </c>
      <c r="E465" s="1091">
        <v>0.25</v>
      </c>
      <c r="F465" s="1090">
        <v>0.79</v>
      </c>
      <c r="G465" s="1089">
        <f t="shared" si="198"/>
        <v>3.16</v>
      </c>
      <c r="H465" s="1049"/>
      <c r="I465" s="1060"/>
      <c r="J465" s="1086">
        <v>11</v>
      </c>
      <c r="K465" s="1085">
        <v>12</v>
      </c>
      <c r="L465" s="1084">
        <v>1.83</v>
      </c>
      <c r="M465" s="1088">
        <v>6.42</v>
      </c>
      <c r="N465" s="1087">
        <f t="shared" si="199"/>
        <v>3.5081967213114753</v>
      </c>
      <c r="O465" s="1049"/>
      <c r="P465" s="1093">
        <f>P464/P456</f>
        <v>1.3203588070829451</v>
      </c>
      <c r="Q465" s="1086">
        <v>11</v>
      </c>
      <c r="R465" s="1085">
        <v>12</v>
      </c>
      <c r="S465" s="1084">
        <v>2.64</v>
      </c>
      <c r="T465" s="1054">
        <f t="shared" si="200"/>
        <v>6.4152000000000005</v>
      </c>
      <c r="U465" s="1148">
        <v>9.17</v>
      </c>
      <c r="V465" s="1052">
        <f t="shared" si="201"/>
        <v>3.4734848484848482</v>
      </c>
      <c r="W465" s="1049"/>
      <c r="X465" s="1051">
        <v>2.4300000000000002</v>
      </c>
      <c r="Y465" s="1049"/>
      <c r="Z465" s="1050">
        <f t="shared" si="202"/>
        <v>4.3032000000000004</v>
      </c>
      <c r="AA465" s="1093">
        <f>AA464/AA456</f>
        <v>0.71793527120167799</v>
      </c>
      <c r="AB465" s="1086">
        <v>11</v>
      </c>
      <c r="AC465" s="1085">
        <v>12</v>
      </c>
      <c r="AD465" s="1084">
        <v>3.52</v>
      </c>
      <c r="AE465" s="1143">
        <f t="shared" si="203"/>
        <v>4.9984000000000002</v>
      </c>
      <c r="AF465" s="1142">
        <v>7.43</v>
      </c>
      <c r="AG465" s="1052">
        <f t="shared" si="204"/>
        <v>2.1107954545454546</v>
      </c>
      <c r="AH465" s="1049"/>
      <c r="AI465" s="1142">
        <v>1.42</v>
      </c>
      <c r="AJ465" s="1049"/>
      <c r="AK465" s="1050">
        <f t="shared" si="205"/>
        <v>2.1823999999999995</v>
      </c>
      <c r="AL465" s="1093"/>
      <c r="AM465" s="1093" t="e">
        <f>AM464/AM456</f>
        <v>#REF!</v>
      </c>
      <c r="AN465" s="1086">
        <v>11</v>
      </c>
      <c r="AO465" s="1085">
        <v>12</v>
      </c>
      <c r="AP465" s="1084">
        <v>0.33</v>
      </c>
      <c r="AQ465" s="1748">
        <f t="shared" si="206"/>
        <v>0</v>
      </c>
      <c r="AR465" s="1742">
        <v>0.57999999999999996</v>
      </c>
      <c r="AS465" s="1052">
        <f t="shared" si="207"/>
        <v>1.7575757575757573</v>
      </c>
      <c r="AT465" s="1049"/>
      <c r="AU465" s="1142"/>
      <c r="AV465" s="1049"/>
      <c r="AW465" s="1093" t="e">
        <f>AW464/AW456</f>
        <v>#REF!</v>
      </c>
      <c r="AX465" s="1086">
        <v>11</v>
      </c>
      <c r="AY465" s="1085">
        <v>12</v>
      </c>
      <c r="AZ465" s="1084">
        <v>0.38</v>
      </c>
      <c r="BA465" s="1736">
        <v>0.66</v>
      </c>
      <c r="BB465" s="1742">
        <f t="shared" si="208"/>
        <v>1.736842105263158</v>
      </c>
      <c r="BC465" s="1049"/>
      <c r="BD465" s="1142"/>
      <c r="BE465" s="1049"/>
      <c r="BF465" s="1093" t="e">
        <f>BF464/BF456</f>
        <v>#REF!</v>
      </c>
      <c r="BG465" s="1086">
        <v>11</v>
      </c>
      <c r="BH465" s="1085">
        <v>12</v>
      </c>
      <c r="BI465" s="1874">
        <v>0.23</v>
      </c>
      <c r="BJ465" s="1736"/>
      <c r="BK465" s="1049"/>
      <c r="BL465" s="1093" t="e">
        <f>BL464/BL456</f>
        <v>#REF!</v>
      </c>
      <c r="BM465" s="1086">
        <v>11</v>
      </c>
      <c r="BN465" s="1085">
        <v>12</v>
      </c>
      <c r="BO465" s="1084"/>
      <c r="BP465" s="1084"/>
      <c r="BQ465" s="1049"/>
    </row>
    <row r="466" spans="1:69" ht="14.4">
      <c r="A466" s="1049"/>
      <c r="B466" s="1060"/>
      <c r="C466" s="1086">
        <v>12</v>
      </c>
      <c r="D466" s="1085">
        <v>13</v>
      </c>
      <c r="E466" s="1091">
        <v>0.44</v>
      </c>
      <c r="F466" s="1090">
        <v>1.29</v>
      </c>
      <c r="G466" s="1089">
        <f t="shared" si="198"/>
        <v>2.9318181818181821</v>
      </c>
      <c r="H466" s="1049"/>
      <c r="I466" s="1060"/>
      <c r="J466" s="1086">
        <v>12</v>
      </c>
      <c r="K466" s="1085">
        <v>13</v>
      </c>
      <c r="L466" s="1084">
        <v>2.63</v>
      </c>
      <c r="M466" s="1088">
        <v>8.93</v>
      </c>
      <c r="N466" s="1087">
        <f t="shared" si="199"/>
        <v>3.3954372623574143</v>
      </c>
      <c r="O466" s="1049"/>
      <c r="P466" s="1060"/>
      <c r="Q466" s="1086">
        <v>12</v>
      </c>
      <c r="R466" s="1085">
        <v>13</v>
      </c>
      <c r="S466" s="1084">
        <v>2.2799999999999998</v>
      </c>
      <c r="T466" s="1054">
        <f t="shared" si="200"/>
        <v>5.5631999999999993</v>
      </c>
      <c r="U466" s="1148">
        <v>7.97</v>
      </c>
      <c r="V466" s="1052">
        <f t="shared" si="201"/>
        <v>3.4956140350877196</v>
      </c>
      <c r="W466" s="1049"/>
      <c r="X466" s="1051">
        <v>2.44</v>
      </c>
      <c r="Y466" s="1049"/>
      <c r="Z466" s="1050">
        <f t="shared" si="202"/>
        <v>3.7391999999999994</v>
      </c>
      <c r="AA466" s="1060"/>
      <c r="AB466" s="1086">
        <v>12</v>
      </c>
      <c r="AC466" s="1085">
        <v>13</v>
      </c>
      <c r="AD466" s="1084">
        <v>3.38</v>
      </c>
      <c r="AE466" s="1143">
        <f t="shared" si="203"/>
        <v>5.1714000000000002</v>
      </c>
      <c r="AF466" s="1142">
        <v>7.5</v>
      </c>
      <c r="AG466" s="1052">
        <f t="shared" si="204"/>
        <v>2.2189349112426036</v>
      </c>
      <c r="AH466" s="1049"/>
      <c r="AI466" s="1142">
        <v>1.53</v>
      </c>
      <c r="AJ466" s="1049"/>
      <c r="AK466" s="1050">
        <f t="shared" si="205"/>
        <v>2.4674</v>
      </c>
      <c r="AL466" s="1060"/>
      <c r="AM466" s="1060"/>
      <c r="AN466" s="1086">
        <v>12</v>
      </c>
      <c r="AO466" s="1085">
        <v>13</v>
      </c>
      <c r="AP466" s="1084">
        <v>0.5</v>
      </c>
      <c r="AQ466" s="1748">
        <f t="shared" si="206"/>
        <v>0</v>
      </c>
      <c r="AR466" s="1742">
        <v>0.86</v>
      </c>
      <c r="AS466" s="1052">
        <f t="shared" si="207"/>
        <v>1.72</v>
      </c>
      <c r="AT466" s="1049"/>
      <c r="AU466" s="1142"/>
      <c r="AV466" s="1049"/>
      <c r="AW466" s="1060"/>
      <c r="AX466" s="1086">
        <v>12</v>
      </c>
      <c r="AY466" s="1085">
        <v>13</v>
      </c>
      <c r="AZ466" s="1084">
        <v>0.33</v>
      </c>
      <c r="BA466" s="1736">
        <v>0.56999999999999995</v>
      </c>
      <c r="BB466" s="1742">
        <f t="shared" si="208"/>
        <v>1.7272727272727271</v>
      </c>
      <c r="BC466" s="1049"/>
      <c r="BD466" s="1142"/>
      <c r="BE466" s="1049"/>
      <c r="BF466" s="1060"/>
      <c r="BG466" s="1086">
        <v>12</v>
      </c>
      <c r="BH466" s="1085">
        <v>13</v>
      </c>
      <c r="BI466" s="1874">
        <v>0.35</v>
      </c>
      <c r="BJ466" s="1736"/>
      <c r="BK466" s="1049"/>
      <c r="BL466" s="1060"/>
      <c r="BM466" s="1086">
        <v>12</v>
      </c>
      <c r="BN466" s="1085">
        <v>13</v>
      </c>
      <c r="BO466" s="1084"/>
      <c r="BP466" s="1084"/>
      <c r="BQ466" s="1049"/>
    </row>
    <row r="467" spans="1:69" ht="14.4">
      <c r="A467" s="1049"/>
      <c r="B467" s="1060"/>
      <c r="C467" s="1086">
        <v>13</v>
      </c>
      <c r="D467" s="1085">
        <v>14</v>
      </c>
      <c r="E467" s="1091">
        <v>0.35</v>
      </c>
      <c r="F467" s="1090">
        <v>1.03</v>
      </c>
      <c r="G467" s="1089">
        <f t="shared" si="198"/>
        <v>2.9428571428571431</v>
      </c>
      <c r="H467" s="1049"/>
      <c r="I467" s="1060"/>
      <c r="J467" s="1086">
        <v>13</v>
      </c>
      <c r="K467" s="1085">
        <v>14</v>
      </c>
      <c r="L467" s="1084">
        <v>2.597</v>
      </c>
      <c r="M467" s="1088">
        <v>8.9499999999999993</v>
      </c>
      <c r="N467" s="1087">
        <f t="shared" si="199"/>
        <v>3.4462841740469772</v>
      </c>
      <c r="O467" s="1049"/>
      <c r="P467" s="1092" t="s">
        <v>1127</v>
      </c>
      <c r="Q467" s="1086">
        <v>13</v>
      </c>
      <c r="R467" s="1085">
        <v>14</v>
      </c>
      <c r="S467" s="1084">
        <v>2.16</v>
      </c>
      <c r="T467" s="1054">
        <f t="shared" si="200"/>
        <v>5.2271999999999998</v>
      </c>
      <c r="U467" s="1148">
        <v>7.47</v>
      </c>
      <c r="V467" s="1052">
        <f t="shared" si="201"/>
        <v>3.458333333333333</v>
      </c>
      <c r="W467" s="1049"/>
      <c r="X467" s="1051">
        <v>2.42</v>
      </c>
      <c r="Y467" s="1049"/>
      <c r="Z467" s="1050">
        <f t="shared" si="202"/>
        <v>3.4992000000000001</v>
      </c>
      <c r="AA467" s="1092" t="s">
        <v>1127</v>
      </c>
      <c r="AB467" s="1086">
        <v>13</v>
      </c>
      <c r="AC467" s="1085">
        <v>14</v>
      </c>
      <c r="AD467" s="1084">
        <v>3.82</v>
      </c>
      <c r="AE467" s="1143">
        <f t="shared" si="203"/>
        <v>5.9973999999999998</v>
      </c>
      <c r="AF467" s="1142">
        <v>8.65</v>
      </c>
      <c r="AG467" s="1052">
        <f t="shared" si="204"/>
        <v>2.2643979057591626</v>
      </c>
      <c r="AH467" s="1049"/>
      <c r="AI467" s="1142">
        <v>1.57</v>
      </c>
      <c r="AJ467" s="1049"/>
      <c r="AK467" s="1050">
        <f t="shared" si="205"/>
        <v>2.9413999999999998</v>
      </c>
      <c r="AL467" s="1092"/>
      <c r="AM467" s="1092" t="s">
        <v>1127</v>
      </c>
      <c r="AN467" s="1086">
        <v>13</v>
      </c>
      <c r="AO467" s="1085">
        <v>14</v>
      </c>
      <c r="AP467" s="1084">
        <v>0.32</v>
      </c>
      <c r="AQ467" s="1748">
        <f t="shared" si="206"/>
        <v>0</v>
      </c>
      <c r="AR467" s="1742">
        <v>0.53</v>
      </c>
      <c r="AS467" s="1052">
        <f t="shared" si="207"/>
        <v>1.65625</v>
      </c>
      <c r="AT467" s="1049"/>
      <c r="AU467" s="1142"/>
      <c r="AV467" s="1049"/>
      <c r="AW467" s="1092" t="s">
        <v>1127</v>
      </c>
      <c r="AX467" s="1086">
        <v>13</v>
      </c>
      <c r="AY467" s="1085">
        <v>14</v>
      </c>
      <c r="AZ467" s="1084">
        <v>0.21</v>
      </c>
      <c r="BA467" s="1736">
        <v>0.36</v>
      </c>
      <c r="BB467" s="1742">
        <f t="shared" si="208"/>
        <v>1.7142857142857142</v>
      </c>
      <c r="BC467" s="1049"/>
      <c r="BD467" s="1142"/>
      <c r="BE467" s="1049"/>
      <c r="BF467" s="1092" t="s">
        <v>1127</v>
      </c>
      <c r="BG467" s="1086">
        <v>13</v>
      </c>
      <c r="BH467" s="1085">
        <v>14</v>
      </c>
      <c r="BI467" s="1874">
        <v>0.23</v>
      </c>
      <c r="BJ467" s="1736"/>
      <c r="BK467" s="1049"/>
      <c r="BL467" s="1092" t="s">
        <v>1127</v>
      </c>
      <c r="BM467" s="1086">
        <v>13</v>
      </c>
      <c r="BN467" s="1085">
        <v>14</v>
      </c>
      <c r="BO467" s="1084"/>
      <c r="BP467" s="1084"/>
      <c r="BQ467" s="1049"/>
    </row>
    <row r="468" spans="1:69" ht="14.4">
      <c r="A468" s="1049"/>
      <c r="B468" s="1060"/>
      <c r="C468" s="1086">
        <v>14</v>
      </c>
      <c r="D468" s="1085">
        <v>15</v>
      </c>
      <c r="E468" s="1091">
        <v>0.42</v>
      </c>
      <c r="F468" s="1090">
        <v>1.19</v>
      </c>
      <c r="G468" s="1089">
        <f t="shared" si="198"/>
        <v>2.8333333333333335</v>
      </c>
      <c r="H468" s="1049"/>
      <c r="I468" s="1060"/>
      <c r="J468" s="1086">
        <v>14</v>
      </c>
      <c r="K468" s="1085">
        <v>15</v>
      </c>
      <c r="L468" s="1084">
        <v>2.645</v>
      </c>
      <c r="M468" s="1088">
        <v>9.64</v>
      </c>
      <c r="N468" s="1087">
        <f t="shared" si="199"/>
        <v>3.6446124763705106</v>
      </c>
      <c r="O468" s="1049"/>
      <c r="P468" s="1058">
        <f>P456*0.8</f>
        <v>34.336000000000006</v>
      </c>
      <c r="Q468" s="1086">
        <v>14</v>
      </c>
      <c r="R468" s="1085">
        <v>15</v>
      </c>
      <c r="S468" s="1084">
        <v>1.96</v>
      </c>
      <c r="T468" s="1054">
        <f t="shared" si="200"/>
        <v>4.8020000000000005</v>
      </c>
      <c r="U468" s="1148">
        <v>6.85</v>
      </c>
      <c r="V468" s="1052">
        <f t="shared" si="201"/>
        <v>3.4948979591836733</v>
      </c>
      <c r="W468" s="1049"/>
      <c r="X468" s="1051">
        <v>2.4500000000000002</v>
      </c>
      <c r="Y468" s="1049"/>
      <c r="Z468" s="1050">
        <f t="shared" si="202"/>
        <v>3.234</v>
      </c>
      <c r="AA468" s="1058">
        <f>AA456*0.8</f>
        <v>53.39200000000001</v>
      </c>
      <c r="AB468" s="1086">
        <v>14</v>
      </c>
      <c r="AC468" s="1085">
        <v>15</v>
      </c>
      <c r="AD468" s="1084">
        <v>3.62</v>
      </c>
      <c r="AE468" s="1143">
        <f t="shared" si="203"/>
        <v>5.8644000000000007</v>
      </c>
      <c r="AF468" s="1142">
        <v>8.3699999999999992</v>
      </c>
      <c r="AG468" s="1052">
        <f t="shared" si="204"/>
        <v>2.3121546961325965</v>
      </c>
      <c r="AH468" s="1049"/>
      <c r="AI468" s="1142">
        <v>1.62</v>
      </c>
      <c r="AJ468" s="1049"/>
      <c r="AK468" s="1050">
        <f t="shared" si="205"/>
        <v>2.9684000000000004</v>
      </c>
      <c r="AL468" s="1058"/>
      <c r="AM468" s="1058">
        <f>AM456*0.8</f>
        <v>6.6000000000000014</v>
      </c>
      <c r="AN468" s="1086">
        <v>14</v>
      </c>
      <c r="AO468" s="1085">
        <v>15</v>
      </c>
      <c r="AP468" s="1084">
        <v>0.25</v>
      </c>
      <c r="AQ468" s="1748">
        <f t="shared" si="206"/>
        <v>0</v>
      </c>
      <c r="AR468" s="1742">
        <v>0.41</v>
      </c>
      <c r="AS468" s="1052">
        <f t="shared" si="207"/>
        <v>1.64</v>
      </c>
      <c r="AT468" s="1049"/>
      <c r="AU468" s="1142"/>
      <c r="AV468" s="1049"/>
      <c r="AW468" s="1058">
        <f>AW456*0.8</f>
        <v>5.7520000000000007</v>
      </c>
      <c r="AX468" s="1086">
        <v>14</v>
      </c>
      <c r="AY468" s="1085">
        <v>15</v>
      </c>
      <c r="AZ468" s="1084">
        <v>0.14000000000000001</v>
      </c>
      <c r="BA468" s="1736">
        <v>0.24</v>
      </c>
      <c r="BB468" s="1742">
        <f t="shared" si="208"/>
        <v>1.714285714285714</v>
      </c>
      <c r="BC468" s="1049"/>
      <c r="BD468" s="1142"/>
      <c r="BE468" s="1049"/>
      <c r="BF468" s="1058">
        <f>BF456*0.8</f>
        <v>4.3759999999999994</v>
      </c>
      <c r="BG468" s="1086">
        <v>14</v>
      </c>
      <c r="BH468" s="1085">
        <v>15</v>
      </c>
      <c r="BI468" s="1874">
        <v>0.24</v>
      </c>
      <c r="BJ468" s="1736"/>
      <c r="BK468" s="1049"/>
      <c r="BL468" s="1058">
        <f>BL456*0.8</f>
        <v>0</v>
      </c>
      <c r="BM468" s="1086">
        <v>14</v>
      </c>
      <c r="BN468" s="1085">
        <v>15</v>
      </c>
      <c r="BO468" s="1084"/>
      <c r="BP468" s="1084"/>
      <c r="BQ468" s="1049"/>
    </row>
    <row r="469" spans="1:69" ht="14.4">
      <c r="A469" s="1049"/>
      <c r="B469" s="1060"/>
      <c r="C469" s="1086">
        <v>15</v>
      </c>
      <c r="D469" s="1085">
        <v>16</v>
      </c>
      <c r="E469" s="1091">
        <v>0.5</v>
      </c>
      <c r="F469" s="1090">
        <v>1.47</v>
      </c>
      <c r="G469" s="1089">
        <f t="shared" si="198"/>
        <v>2.94</v>
      </c>
      <c r="H469" s="1049"/>
      <c r="I469" s="1060"/>
      <c r="J469" s="1086">
        <v>15</v>
      </c>
      <c r="K469" s="1085">
        <v>16</v>
      </c>
      <c r="L469" s="1084">
        <v>2.294</v>
      </c>
      <c r="M469" s="1088">
        <v>8.65</v>
      </c>
      <c r="N469" s="1087">
        <f t="shared" si="199"/>
        <v>3.7707061900610288</v>
      </c>
      <c r="O469" s="1049"/>
      <c r="P469" s="1058" t="s">
        <v>1126</v>
      </c>
      <c r="Q469" s="1086">
        <v>15</v>
      </c>
      <c r="R469" s="1085">
        <v>16</v>
      </c>
      <c r="S469" s="1084">
        <v>2.4900000000000002</v>
      </c>
      <c r="T469" s="1054">
        <f t="shared" si="200"/>
        <v>6.1005000000000011</v>
      </c>
      <c r="U469" s="1148">
        <v>8.67</v>
      </c>
      <c r="V469" s="1052">
        <f t="shared" si="201"/>
        <v>3.4819277108433733</v>
      </c>
      <c r="W469" s="1049"/>
      <c r="X469" s="1051">
        <v>2.4500000000000002</v>
      </c>
      <c r="Y469" s="1049"/>
      <c r="Z469" s="1050">
        <f t="shared" si="202"/>
        <v>4.1085000000000003</v>
      </c>
      <c r="AA469" s="1058" t="s">
        <v>1126</v>
      </c>
      <c r="AB469" s="1086">
        <v>15</v>
      </c>
      <c r="AC469" s="1085">
        <v>16</v>
      </c>
      <c r="AD469" s="1084">
        <v>2.62</v>
      </c>
      <c r="AE469" s="1143">
        <f t="shared" si="203"/>
        <v>4.6374000000000004</v>
      </c>
      <c r="AF469" s="1142">
        <v>6.44</v>
      </c>
      <c r="AG469" s="1052">
        <f t="shared" si="204"/>
        <v>2.4580152671755724</v>
      </c>
      <c r="AH469" s="1049"/>
      <c r="AI469" s="1142">
        <v>1.77</v>
      </c>
      <c r="AJ469" s="1049"/>
      <c r="AK469" s="1050">
        <f t="shared" si="205"/>
        <v>2.5413999999999999</v>
      </c>
      <c r="AL469" s="1058"/>
      <c r="AM469" s="1058" t="s">
        <v>1126</v>
      </c>
      <c r="AN469" s="1086">
        <v>15</v>
      </c>
      <c r="AO469" s="1085">
        <v>16</v>
      </c>
      <c r="AP469" s="1084">
        <v>0.15</v>
      </c>
      <c r="AQ469" s="1748">
        <f t="shared" si="206"/>
        <v>0</v>
      </c>
      <c r="AR469" s="1742">
        <v>0.25</v>
      </c>
      <c r="AS469" s="1052">
        <f t="shared" si="207"/>
        <v>1.6666666666666667</v>
      </c>
      <c r="AT469" s="1049"/>
      <c r="AU469" s="1142"/>
      <c r="AV469" s="1049"/>
      <c r="AW469" s="1058" t="s">
        <v>1126</v>
      </c>
      <c r="AX469" s="1086">
        <v>15</v>
      </c>
      <c r="AY469" s="1085">
        <v>16</v>
      </c>
      <c r="AZ469" s="1084">
        <v>0.27</v>
      </c>
      <c r="BA469" s="1736">
        <v>0.47</v>
      </c>
      <c r="BB469" s="1742">
        <f t="shared" si="208"/>
        <v>1.7407407407407405</v>
      </c>
      <c r="BC469" s="1049"/>
      <c r="BD469" s="1142"/>
      <c r="BE469" s="1049"/>
      <c r="BF469" s="1058" t="s">
        <v>1126</v>
      </c>
      <c r="BG469" s="1086">
        <v>15</v>
      </c>
      <c r="BH469" s="1085">
        <v>16</v>
      </c>
      <c r="BI469" s="1874">
        <v>0.25</v>
      </c>
      <c r="BJ469" s="1736"/>
      <c r="BK469" s="1049"/>
      <c r="BL469" s="1058" t="s">
        <v>1126</v>
      </c>
      <c r="BM469" s="1086">
        <v>15</v>
      </c>
      <c r="BN469" s="1085">
        <v>16</v>
      </c>
      <c r="BO469" s="1084"/>
      <c r="BP469" s="1084"/>
      <c r="BQ469" s="1049"/>
    </row>
    <row r="470" spans="1:69" ht="15" thickBot="1">
      <c r="A470" s="1049"/>
      <c r="B470" s="1060"/>
      <c r="C470" s="1077">
        <v>16</v>
      </c>
      <c r="D470" s="1076">
        <v>17</v>
      </c>
      <c r="E470" s="1083">
        <v>0.38</v>
      </c>
      <c r="F470" s="1082">
        <v>1.17</v>
      </c>
      <c r="G470" s="1081">
        <f t="shared" si="198"/>
        <v>3.0789473684210522</v>
      </c>
      <c r="H470" s="1049"/>
      <c r="I470" s="1060"/>
      <c r="J470" s="1077">
        <v>16</v>
      </c>
      <c r="K470" s="1076">
        <v>17</v>
      </c>
      <c r="L470" s="1075">
        <v>1.6060000000000001</v>
      </c>
      <c r="M470" s="1080">
        <v>6.3</v>
      </c>
      <c r="N470" s="1079">
        <f t="shared" si="199"/>
        <v>3.9227895392278951</v>
      </c>
      <c r="O470" s="1049"/>
      <c r="P470" s="1078">
        <f>P456*(X453-0.8)</f>
        <v>61.429249999999989</v>
      </c>
      <c r="Q470" s="1077">
        <v>16</v>
      </c>
      <c r="R470" s="1076">
        <v>17</v>
      </c>
      <c r="S470" s="1075">
        <v>2.4500000000000002</v>
      </c>
      <c r="T470" s="1054">
        <f t="shared" si="200"/>
        <v>6.0025000000000013</v>
      </c>
      <c r="U470" s="1148">
        <v>8.56</v>
      </c>
      <c r="V470" s="1052">
        <f t="shared" si="201"/>
        <v>3.4938775510204083</v>
      </c>
      <c r="W470" s="1049"/>
      <c r="X470" s="1074">
        <v>2.4500000000000002</v>
      </c>
      <c r="Y470" s="1049"/>
      <c r="Z470" s="1050">
        <f t="shared" si="202"/>
        <v>4.0425000000000004</v>
      </c>
      <c r="AA470" s="1078">
        <f>AA456*(AI453-0.8)</f>
        <v>55.894750000000016</v>
      </c>
      <c r="AB470" s="1077">
        <v>16</v>
      </c>
      <c r="AC470" s="1076">
        <v>17</v>
      </c>
      <c r="AD470" s="1075">
        <v>2.59</v>
      </c>
      <c r="AE470" s="1141">
        <f t="shared" si="203"/>
        <v>4.8174000000000001</v>
      </c>
      <c r="AF470" s="1140">
        <v>6.62</v>
      </c>
      <c r="AG470" s="1052">
        <f t="shared" si="204"/>
        <v>2.5559845559845562</v>
      </c>
      <c r="AH470" s="1049"/>
      <c r="AI470" s="1140">
        <v>1.86</v>
      </c>
      <c r="AJ470" s="1049"/>
      <c r="AK470" s="1050">
        <f t="shared" si="205"/>
        <v>2.7454000000000001</v>
      </c>
      <c r="AL470" s="1078"/>
      <c r="AM470" s="1078" t="e">
        <f>AM456*(AU453-0.8)</f>
        <v>#DIV/0!</v>
      </c>
      <c r="AN470" s="1077">
        <v>16</v>
      </c>
      <c r="AO470" s="1076">
        <v>17</v>
      </c>
      <c r="AP470" s="1075">
        <v>0.21</v>
      </c>
      <c r="AQ470" s="1749">
        <f t="shared" si="206"/>
        <v>0</v>
      </c>
      <c r="AR470" s="1743">
        <v>0.36</v>
      </c>
      <c r="AS470" s="1052">
        <f t="shared" si="207"/>
        <v>1.7142857142857142</v>
      </c>
      <c r="AT470" s="1049"/>
      <c r="AU470" s="1140"/>
      <c r="AV470" s="1049"/>
      <c r="AW470" s="1078" t="e">
        <f>AW456*(BD453-0.8)</f>
        <v>#DIV/0!</v>
      </c>
      <c r="AX470" s="1077">
        <v>16</v>
      </c>
      <c r="AY470" s="1076">
        <v>17</v>
      </c>
      <c r="AZ470" s="1075">
        <v>0.27</v>
      </c>
      <c r="BA470" s="1738">
        <v>0.49</v>
      </c>
      <c r="BB470" s="1743">
        <f t="shared" si="208"/>
        <v>1.8148148148148147</v>
      </c>
      <c r="BC470" s="1049"/>
      <c r="BD470" s="1140"/>
      <c r="BE470" s="1049"/>
      <c r="BF470" s="1078">
        <f>BF456*(BM453-0.8)</f>
        <v>-4.3759999999999994</v>
      </c>
      <c r="BG470" s="1077">
        <v>16</v>
      </c>
      <c r="BH470" s="1076">
        <v>17</v>
      </c>
      <c r="BI470" s="1874">
        <v>0.3</v>
      </c>
      <c r="BJ470" s="1738"/>
      <c r="BK470" s="1049"/>
      <c r="BL470" s="1078">
        <f>BL456*(BS453-0.8)</f>
        <v>0</v>
      </c>
      <c r="BM470" s="1077">
        <v>16</v>
      </c>
      <c r="BN470" s="1076">
        <v>17</v>
      </c>
      <c r="BO470" s="1075"/>
      <c r="BP470" s="1075"/>
      <c r="BQ470" s="1049"/>
    </row>
    <row r="471" spans="1:69" ht="14.4">
      <c r="A471" s="1049"/>
      <c r="B471" s="1060"/>
      <c r="C471" s="1068">
        <v>17</v>
      </c>
      <c r="D471" s="1067">
        <v>18</v>
      </c>
      <c r="E471" s="1073">
        <v>0.34</v>
      </c>
      <c r="F471" s="1072">
        <v>1.36</v>
      </c>
      <c r="G471" s="1071">
        <f t="shared" si="198"/>
        <v>4</v>
      </c>
      <c r="H471" s="1049"/>
      <c r="I471" s="1060"/>
      <c r="J471" s="1068">
        <v>17</v>
      </c>
      <c r="K471" s="1067">
        <v>18</v>
      </c>
      <c r="L471" s="1066">
        <v>1.597</v>
      </c>
      <c r="M471" s="1070">
        <v>8.01</v>
      </c>
      <c r="N471" s="1069">
        <f t="shared" si="199"/>
        <v>5.0156543519098307</v>
      </c>
      <c r="O471" s="1049"/>
      <c r="P471" s="1058"/>
      <c r="Q471" s="1068">
        <v>17</v>
      </c>
      <c r="R471" s="1067">
        <v>18</v>
      </c>
      <c r="S471" s="1066">
        <v>2.58</v>
      </c>
      <c r="T471" s="1054">
        <f t="shared" si="200"/>
        <v>6.3210000000000006</v>
      </c>
      <c r="U471" s="1148">
        <v>9.01</v>
      </c>
      <c r="V471" s="1052">
        <f t="shared" si="201"/>
        <v>3.4922480620155039</v>
      </c>
      <c r="W471" s="1049"/>
      <c r="X471" s="1065">
        <v>2.4500000000000002</v>
      </c>
      <c r="Y471" s="1049"/>
      <c r="Z471" s="1050">
        <f t="shared" si="202"/>
        <v>4.2570000000000006</v>
      </c>
      <c r="AA471" s="1058"/>
      <c r="AB471" s="1068">
        <v>17</v>
      </c>
      <c r="AC471" s="1067">
        <v>18</v>
      </c>
      <c r="AD471" s="1066">
        <v>3.23</v>
      </c>
      <c r="AE471" s="1139">
        <f t="shared" si="203"/>
        <v>6.3953999999999995</v>
      </c>
      <c r="AF471" s="1138">
        <v>11.13</v>
      </c>
      <c r="AG471" s="1052">
        <f t="shared" si="204"/>
        <v>3.4458204334365328</v>
      </c>
      <c r="AH471" s="1049"/>
      <c r="AI471" s="1138">
        <v>1.98</v>
      </c>
      <c r="AJ471" s="1049"/>
      <c r="AK471" s="1050">
        <f t="shared" si="205"/>
        <v>3.8113999999999999</v>
      </c>
      <c r="AL471" s="1058"/>
      <c r="AM471" s="1058"/>
      <c r="AN471" s="1068">
        <v>17</v>
      </c>
      <c r="AO471" s="1067">
        <v>18</v>
      </c>
      <c r="AP471" s="1066">
        <v>0.27</v>
      </c>
      <c r="AQ471" s="1750">
        <f t="shared" si="206"/>
        <v>0</v>
      </c>
      <c r="AR471" s="1744">
        <v>0.7</v>
      </c>
      <c r="AS471" s="1052">
        <f t="shared" si="207"/>
        <v>2.5925925925925921</v>
      </c>
      <c r="AT471" s="1049"/>
      <c r="AU471" s="1138"/>
      <c r="AV471" s="1049"/>
      <c r="AW471" s="1058"/>
      <c r="AX471" s="1068">
        <v>17</v>
      </c>
      <c r="AY471" s="1067">
        <v>18</v>
      </c>
      <c r="AZ471" s="1066">
        <v>1.1299999999999999</v>
      </c>
      <c r="BA471" s="1740">
        <v>3.21</v>
      </c>
      <c r="BB471" s="1744">
        <f t="shared" si="208"/>
        <v>2.8407079646017701</v>
      </c>
      <c r="BC471" s="1049"/>
      <c r="BD471" s="1138"/>
      <c r="BE471" s="1049"/>
      <c r="BF471" s="1058"/>
      <c r="BG471" s="1068">
        <v>17</v>
      </c>
      <c r="BH471" s="1067">
        <v>18</v>
      </c>
      <c r="BI471" s="1874">
        <v>0.34</v>
      </c>
      <c r="BJ471" s="1740"/>
      <c r="BK471" s="1049"/>
      <c r="BL471" s="1058"/>
      <c r="BM471" s="1068">
        <v>17</v>
      </c>
      <c r="BN471" s="1067">
        <v>18</v>
      </c>
      <c r="BO471" s="1066"/>
      <c r="BP471" s="1066"/>
      <c r="BQ471" s="1049"/>
    </row>
    <row r="472" spans="1:69" ht="14.4">
      <c r="A472" s="1049"/>
      <c r="B472" s="1060"/>
      <c r="C472" s="1057">
        <v>18</v>
      </c>
      <c r="D472" s="1056">
        <v>19</v>
      </c>
      <c r="E472" s="1063">
        <v>0.62</v>
      </c>
      <c r="F472" s="1062">
        <v>2.73</v>
      </c>
      <c r="G472" s="1061">
        <f t="shared" si="198"/>
        <v>4.403225806451613</v>
      </c>
      <c r="H472" s="1049"/>
      <c r="I472" s="1060"/>
      <c r="J472" s="1057">
        <v>18</v>
      </c>
      <c r="K472" s="1056">
        <v>19</v>
      </c>
      <c r="L472" s="1055">
        <v>1.72</v>
      </c>
      <c r="M472" s="1059">
        <v>8.7100000000000009</v>
      </c>
      <c r="N472" s="1052">
        <f t="shared" si="199"/>
        <v>5.0639534883720936</v>
      </c>
      <c r="O472" s="1049"/>
      <c r="P472" s="1058"/>
      <c r="Q472" s="1057">
        <v>18</v>
      </c>
      <c r="R472" s="1056">
        <v>19</v>
      </c>
      <c r="S472" s="1055">
        <v>2.04</v>
      </c>
      <c r="T472" s="1054">
        <f t="shared" si="200"/>
        <v>4.9980000000000002</v>
      </c>
      <c r="U472" s="1148">
        <v>7.11</v>
      </c>
      <c r="V472" s="1052">
        <f t="shared" si="201"/>
        <v>3.4852941176470589</v>
      </c>
      <c r="W472" s="1049"/>
      <c r="X472" s="1051">
        <v>2.4500000000000002</v>
      </c>
      <c r="Y472" s="1049"/>
      <c r="Z472" s="1050">
        <f t="shared" si="202"/>
        <v>3.3660000000000005</v>
      </c>
      <c r="AA472" s="1058"/>
      <c r="AB472" s="1057">
        <v>18</v>
      </c>
      <c r="AC472" s="1056">
        <v>19</v>
      </c>
      <c r="AD472" s="1055">
        <v>2.6</v>
      </c>
      <c r="AE472" s="1137">
        <f t="shared" si="203"/>
        <v>5.1219999999999999</v>
      </c>
      <c r="AF472" s="1136">
        <v>8.94</v>
      </c>
      <c r="AG472" s="1052">
        <f t="shared" si="204"/>
        <v>3.4384615384615382</v>
      </c>
      <c r="AH472" s="1049"/>
      <c r="AI472" s="1136">
        <v>1.97</v>
      </c>
      <c r="AJ472" s="1049"/>
      <c r="AK472" s="1050">
        <f t="shared" si="205"/>
        <v>3.0419999999999998</v>
      </c>
      <c r="AL472" s="1058"/>
      <c r="AM472" s="1058"/>
      <c r="AN472" s="1057">
        <v>18</v>
      </c>
      <c r="AO472" s="1056">
        <v>19</v>
      </c>
      <c r="AP472" s="1055">
        <v>0.36</v>
      </c>
      <c r="AQ472" s="1745">
        <f t="shared" si="206"/>
        <v>0</v>
      </c>
      <c r="AR472" s="1737">
        <v>0.93</v>
      </c>
      <c r="AS472" s="1052">
        <f t="shared" si="207"/>
        <v>2.5833333333333335</v>
      </c>
      <c r="AT472" s="1049"/>
      <c r="AU472" s="1136"/>
      <c r="AV472" s="1049"/>
      <c r="AW472" s="1058"/>
      <c r="AX472" s="1057">
        <v>18</v>
      </c>
      <c r="AY472" s="1056">
        <v>19</v>
      </c>
      <c r="AZ472" s="1055">
        <v>0.62</v>
      </c>
      <c r="BA472" s="1736">
        <v>1.83</v>
      </c>
      <c r="BB472" s="1737">
        <f t="shared" si="208"/>
        <v>2.9516129032258065</v>
      </c>
      <c r="BC472" s="1049"/>
      <c r="BD472" s="1136"/>
      <c r="BE472" s="1049"/>
      <c r="BF472" s="1058"/>
      <c r="BG472" s="1057">
        <v>18</v>
      </c>
      <c r="BH472" s="1056">
        <v>19</v>
      </c>
      <c r="BI472" s="1874">
        <v>0.35</v>
      </c>
      <c r="BJ472" s="1736"/>
      <c r="BK472" s="1049"/>
      <c r="BL472" s="1058"/>
      <c r="BM472" s="1057">
        <v>18</v>
      </c>
      <c r="BN472" s="1056">
        <v>19</v>
      </c>
      <c r="BO472" s="1055"/>
      <c r="BP472" s="1055"/>
      <c r="BQ472" s="1049"/>
    </row>
    <row r="473" spans="1:69" ht="14.4">
      <c r="A473" s="1049"/>
      <c r="B473" s="1060"/>
      <c r="C473" s="1057">
        <v>19</v>
      </c>
      <c r="D473" s="1056">
        <v>20</v>
      </c>
      <c r="E473" s="1063">
        <v>0.34</v>
      </c>
      <c r="F473" s="1062">
        <v>1.46</v>
      </c>
      <c r="G473" s="1061">
        <f t="shared" si="198"/>
        <v>4.2941176470588234</v>
      </c>
      <c r="H473" s="1049"/>
      <c r="I473" s="1060"/>
      <c r="J473" s="1057">
        <v>19</v>
      </c>
      <c r="K473" s="1056">
        <v>20</v>
      </c>
      <c r="L473" s="1055">
        <v>1.629</v>
      </c>
      <c r="M473" s="1059">
        <v>7.85</v>
      </c>
      <c r="N473" s="1052">
        <f t="shared" si="199"/>
        <v>4.8189073050951503</v>
      </c>
      <c r="O473" s="1049"/>
      <c r="P473" s="1058"/>
      <c r="Q473" s="1057">
        <v>19</v>
      </c>
      <c r="R473" s="1056">
        <v>20</v>
      </c>
      <c r="S473" s="1055">
        <v>2.33</v>
      </c>
      <c r="T473" s="1054">
        <f t="shared" si="200"/>
        <v>5.2192000000000007</v>
      </c>
      <c r="U473" s="1148">
        <v>7.65</v>
      </c>
      <c r="V473" s="1052">
        <f t="shared" si="201"/>
        <v>3.2832618025751072</v>
      </c>
      <c r="W473" s="1049"/>
      <c r="X473" s="1051">
        <v>2.2400000000000002</v>
      </c>
      <c r="Y473" s="1049"/>
      <c r="Z473" s="1050">
        <f t="shared" si="202"/>
        <v>3.3552000000000004</v>
      </c>
      <c r="AA473" s="1058"/>
      <c r="AB473" s="1057">
        <v>19</v>
      </c>
      <c r="AC473" s="1056">
        <v>20</v>
      </c>
      <c r="AD473" s="1055">
        <v>3.13</v>
      </c>
      <c r="AE473" s="1137">
        <f t="shared" si="203"/>
        <v>5.4148999999999994</v>
      </c>
      <c r="AF473" s="1136">
        <v>10</v>
      </c>
      <c r="AG473" s="1052">
        <f t="shared" si="204"/>
        <v>3.1948881789137382</v>
      </c>
      <c r="AH473" s="1049"/>
      <c r="AI473" s="1136">
        <v>1.73</v>
      </c>
      <c r="AJ473" s="1049"/>
      <c r="AK473" s="1050">
        <f t="shared" si="205"/>
        <v>2.9108999999999998</v>
      </c>
      <c r="AL473" s="1058"/>
      <c r="AM473" s="1058"/>
      <c r="AN473" s="1057">
        <v>19</v>
      </c>
      <c r="AO473" s="1056">
        <v>20</v>
      </c>
      <c r="AP473" s="1055">
        <v>0.24</v>
      </c>
      <c r="AQ473" s="1745">
        <f t="shared" si="206"/>
        <v>0</v>
      </c>
      <c r="AR473" s="1737">
        <v>0.61</v>
      </c>
      <c r="AS473" s="1052">
        <f t="shared" si="207"/>
        <v>2.5416666666666665</v>
      </c>
      <c r="AT473" s="1049"/>
      <c r="AU473" s="1136"/>
      <c r="AV473" s="1049"/>
      <c r="AW473" s="1058"/>
      <c r="AX473" s="1057">
        <v>19</v>
      </c>
      <c r="AY473" s="1056">
        <v>20</v>
      </c>
      <c r="AZ473" s="1055">
        <v>0.38</v>
      </c>
      <c r="BA473" s="1736">
        <v>1.1499999999999999</v>
      </c>
      <c r="BB473" s="1737">
        <f t="shared" si="208"/>
        <v>3.0263157894736841</v>
      </c>
      <c r="BC473" s="1049"/>
      <c r="BD473" s="1136"/>
      <c r="BE473" s="1049"/>
      <c r="BF473" s="1058"/>
      <c r="BG473" s="1057">
        <v>19</v>
      </c>
      <c r="BH473" s="1056">
        <v>20</v>
      </c>
      <c r="BI473" s="1874">
        <v>0.31</v>
      </c>
      <c r="BJ473" s="1736"/>
      <c r="BK473" s="1049"/>
      <c r="BL473" s="1058"/>
      <c r="BM473" s="1057">
        <v>19</v>
      </c>
      <c r="BN473" s="1056">
        <v>20</v>
      </c>
      <c r="BO473" s="1055"/>
      <c r="BP473" s="1055"/>
      <c r="BQ473" s="1049"/>
    </row>
    <row r="474" spans="1:69" ht="14.4">
      <c r="A474" s="1049"/>
      <c r="B474" s="1060"/>
      <c r="C474" s="1057">
        <v>20</v>
      </c>
      <c r="D474" s="1056">
        <v>21</v>
      </c>
      <c r="E474" s="1063">
        <v>0.7</v>
      </c>
      <c r="F474" s="1062">
        <v>2.17</v>
      </c>
      <c r="G474" s="1061">
        <f t="shared" si="198"/>
        <v>3.1</v>
      </c>
      <c r="H474" s="1049"/>
      <c r="I474" s="1060"/>
      <c r="J474" s="1057">
        <v>20</v>
      </c>
      <c r="K474" s="1056">
        <v>21</v>
      </c>
      <c r="L474" s="1055">
        <v>1.6819999999999999</v>
      </c>
      <c r="M474" s="1059">
        <v>6.55</v>
      </c>
      <c r="N474" s="1052">
        <f t="shared" si="199"/>
        <v>3.8941736028537455</v>
      </c>
      <c r="O474" s="1049"/>
      <c r="P474" s="1058"/>
      <c r="Q474" s="1057">
        <v>20</v>
      </c>
      <c r="R474" s="1056">
        <v>21</v>
      </c>
      <c r="S474" s="1055">
        <v>2.17</v>
      </c>
      <c r="T474" s="1054">
        <f t="shared" si="200"/>
        <v>4.0795999999999992</v>
      </c>
      <c r="U474" s="1148">
        <v>6.34</v>
      </c>
      <c r="V474" s="1052">
        <f t="shared" si="201"/>
        <v>2.9216589861751152</v>
      </c>
      <c r="W474" s="1049"/>
      <c r="X474" s="1051">
        <v>1.88</v>
      </c>
      <c r="Y474" s="1049"/>
      <c r="Z474" s="1050">
        <f t="shared" si="202"/>
        <v>2.3435999999999995</v>
      </c>
      <c r="AA474" s="1058"/>
      <c r="AB474" s="1057">
        <v>20</v>
      </c>
      <c r="AC474" s="1056">
        <v>21</v>
      </c>
      <c r="AD474" s="1055">
        <v>3.2</v>
      </c>
      <c r="AE474" s="1137">
        <f t="shared" si="203"/>
        <v>4.8960000000000008</v>
      </c>
      <c r="AF474" s="1136">
        <v>7.09</v>
      </c>
      <c r="AG474" s="1052">
        <f t="shared" si="204"/>
        <v>2.2156249999999997</v>
      </c>
      <c r="AH474" s="1049"/>
      <c r="AI474" s="1136">
        <v>1.53</v>
      </c>
      <c r="AJ474" s="1049"/>
      <c r="AK474" s="1050">
        <f t="shared" si="205"/>
        <v>2.3359999999999999</v>
      </c>
      <c r="AL474" s="1058"/>
      <c r="AM474" s="1058"/>
      <c r="AN474" s="1057">
        <v>20</v>
      </c>
      <c r="AO474" s="1056">
        <v>21</v>
      </c>
      <c r="AP474" s="1055">
        <v>0.28999999999999998</v>
      </c>
      <c r="AQ474" s="1745">
        <f t="shared" si="206"/>
        <v>0</v>
      </c>
      <c r="AR474" s="1737">
        <v>0.5</v>
      </c>
      <c r="AS474" s="1052">
        <f t="shared" si="207"/>
        <v>1.7241379310344829</v>
      </c>
      <c r="AT474" s="1049"/>
      <c r="AU474" s="1136"/>
      <c r="AV474" s="1049"/>
      <c r="AW474" s="1058"/>
      <c r="AX474" s="1057">
        <v>20</v>
      </c>
      <c r="AY474" s="1056">
        <v>21</v>
      </c>
      <c r="AZ474" s="1055">
        <v>0.28999999999999998</v>
      </c>
      <c r="BA474" s="1736">
        <v>0.63</v>
      </c>
      <c r="BB474" s="1737">
        <f t="shared" si="208"/>
        <v>2.1724137931034484</v>
      </c>
      <c r="BC474" s="1049"/>
      <c r="BD474" s="1136"/>
      <c r="BE474" s="1049"/>
      <c r="BF474" s="1058"/>
      <c r="BG474" s="1057">
        <v>20</v>
      </c>
      <c r="BH474" s="1056">
        <v>21</v>
      </c>
      <c r="BI474" s="1874">
        <v>0.36</v>
      </c>
      <c r="BJ474" s="1736"/>
      <c r="BK474" s="1049"/>
      <c r="BL474" s="1058"/>
      <c r="BM474" s="1057">
        <v>20</v>
      </c>
      <c r="BN474" s="1056">
        <v>21</v>
      </c>
      <c r="BO474" s="1055"/>
      <c r="BP474" s="1055"/>
      <c r="BQ474" s="1049"/>
    </row>
    <row r="475" spans="1:69" ht="14.4">
      <c r="A475" s="1049"/>
      <c r="B475" s="1060"/>
      <c r="C475" s="1057">
        <v>21</v>
      </c>
      <c r="D475" s="1056">
        <v>22</v>
      </c>
      <c r="E475" s="1063">
        <v>0.73</v>
      </c>
      <c r="F475" s="1062">
        <v>2.13</v>
      </c>
      <c r="G475" s="1061">
        <f t="shared" si="198"/>
        <v>2.9178082191780823</v>
      </c>
      <c r="H475" s="1049"/>
      <c r="I475" s="1060"/>
      <c r="J475" s="1057">
        <v>21</v>
      </c>
      <c r="K475" s="1056">
        <v>22</v>
      </c>
      <c r="L475" s="1055">
        <v>1.4930000000000001</v>
      </c>
      <c r="M475" s="1059">
        <v>5.7</v>
      </c>
      <c r="N475" s="1052">
        <f t="shared" si="199"/>
        <v>3.8178164768921632</v>
      </c>
      <c r="O475" s="1049"/>
      <c r="P475" s="1058"/>
      <c r="Q475" s="1057">
        <v>21</v>
      </c>
      <c r="R475" s="1056">
        <v>22</v>
      </c>
      <c r="S475" s="1055">
        <v>2.57</v>
      </c>
      <c r="T475" s="1054">
        <f t="shared" si="200"/>
        <v>4.5232000000000001</v>
      </c>
      <c r="U475" s="1148">
        <v>7.2</v>
      </c>
      <c r="V475" s="1052">
        <f t="shared" si="201"/>
        <v>2.8015564202334633</v>
      </c>
      <c r="W475" s="1049"/>
      <c r="X475" s="1051">
        <v>1.76</v>
      </c>
      <c r="Y475" s="1049"/>
      <c r="Z475" s="1050">
        <f t="shared" si="202"/>
        <v>2.4671999999999996</v>
      </c>
      <c r="AA475" s="1058"/>
      <c r="AB475" s="1057">
        <v>21</v>
      </c>
      <c r="AC475" s="1056">
        <v>22</v>
      </c>
      <c r="AD475" s="1055">
        <v>3.21</v>
      </c>
      <c r="AE475" s="1137">
        <f t="shared" si="203"/>
        <v>4.8471000000000002</v>
      </c>
      <c r="AF475" s="1136">
        <v>7.07</v>
      </c>
      <c r="AG475" s="1052">
        <f t="shared" si="204"/>
        <v>2.2024922118380061</v>
      </c>
      <c r="AH475" s="1049"/>
      <c r="AI475" s="1136">
        <v>1.51</v>
      </c>
      <c r="AJ475" s="1049"/>
      <c r="AK475" s="1050">
        <f t="shared" si="205"/>
        <v>2.2790999999999997</v>
      </c>
      <c r="AL475" s="1058"/>
      <c r="AM475" s="1058"/>
      <c r="AN475" s="1057">
        <v>21</v>
      </c>
      <c r="AO475" s="1056">
        <v>22</v>
      </c>
      <c r="AP475" s="1055">
        <v>0.23</v>
      </c>
      <c r="AQ475" s="1745">
        <f t="shared" si="206"/>
        <v>0</v>
      </c>
      <c r="AR475" s="1737">
        <v>0.39</v>
      </c>
      <c r="AS475" s="1052">
        <f t="shared" si="207"/>
        <v>1.6956521739130435</v>
      </c>
      <c r="AT475" s="1049"/>
      <c r="AU475" s="1136"/>
      <c r="AV475" s="1049"/>
      <c r="AW475" s="1058"/>
      <c r="AX475" s="1057">
        <v>21</v>
      </c>
      <c r="AY475" s="1056">
        <v>22</v>
      </c>
      <c r="AZ475" s="1055">
        <v>0.19</v>
      </c>
      <c r="BA475" s="1736">
        <v>0.4</v>
      </c>
      <c r="BB475" s="1737">
        <f t="shared" si="208"/>
        <v>2.1052631578947367</v>
      </c>
      <c r="BC475" s="1049"/>
      <c r="BD475" s="1136"/>
      <c r="BE475" s="1049"/>
      <c r="BF475" s="1058"/>
      <c r="BG475" s="1057">
        <v>21</v>
      </c>
      <c r="BH475" s="1056">
        <v>22</v>
      </c>
      <c r="BI475" s="1874">
        <v>0.3</v>
      </c>
      <c r="BJ475" s="1736"/>
      <c r="BK475" s="1049"/>
      <c r="BL475" s="1058"/>
      <c r="BM475" s="1057">
        <v>21</v>
      </c>
      <c r="BN475" s="1056">
        <v>22</v>
      </c>
      <c r="BO475" s="1055"/>
      <c r="BP475" s="1055"/>
      <c r="BQ475" s="1049"/>
    </row>
    <row r="476" spans="1:69" ht="14.4">
      <c r="A476" s="1049"/>
      <c r="B476" s="1060"/>
      <c r="C476" s="1057">
        <v>22</v>
      </c>
      <c r="D476" s="1056">
        <v>23</v>
      </c>
      <c r="E476" s="1063">
        <v>0.36</v>
      </c>
      <c r="F476" s="1062">
        <v>1.04</v>
      </c>
      <c r="G476" s="1061">
        <f t="shared" si="198"/>
        <v>2.8888888888888893</v>
      </c>
      <c r="H476" s="1049"/>
      <c r="I476" s="1060"/>
      <c r="J476" s="1057">
        <v>22</v>
      </c>
      <c r="K476" s="1056">
        <v>23</v>
      </c>
      <c r="L476" s="1055">
        <v>1.458</v>
      </c>
      <c r="M476" s="1059">
        <v>5.32</v>
      </c>
      <c r="N476" s="1052">
        <f t="shared" si="199"/>
        <v>3.64883401920439</v>
      </c>
      <c r="O476" s="1049"/>
      <c r="P476" s="1058"/>
      <c r="Q476" s="1057">
        <v>22</v>
      </c>
      <c r="R476" s="1056">
        <v>23</v>
      </c>
      <c r="S476" s="1055">
        <v>2.14</v>
      </c>
      <c r="T476" s="1054">
        <f t="shared" si="200"/>
        <v>3.5952000000000002</v>
      </c>
      <c r="U476" s="1148">
        <v>5.83</v>
      </c>
      <c r="V476" s="1052">
        <f t="shared" si="201"/>
        <v>2.7242990654205608</v>
      </c>
      <c r="W476" s="1049"/>
      <c r="X476" s="1051">
        <v>1.68</v>
      </c>
      <c r="Y476" s="1049"/>
      <c r="Z476" s="1050">
        <f t="shared" si="202"/>
        <v>1.8832</v>
      </c>
      <c r="AA476" s="1058"/>
      <c r="AB476" s="1057">
        <v>22</v>
      </c>
      <c r="AC476" s="1056">
        <v>23</v>
      </c>
      <c r="AD476" s="1055">
        <v>3.17</v>
      </c>
      <c r="AE476" s="1137">
        <f t="shared" si="203"/>
        <v>4.8183999999999996</v>
      </c>
      <c r="AF476" s="1136">
        <v>7</v>
      </c>
      <c r="AG476" s="1052">
        <f t="shared" si="204"/>
        <v>2.2082018927444795</v>
      </c>
      <c r="AH476" s="1049"/>
      <c r="AI476" s="1136">
        <v>1.52</v>
      </c>
      <c r="AJ476" s="1049"/>
      <c r="AK476" s="1050">
        <f t="shared" si="205"/>
        <v>2.2824</v>
      </c>
      <c r="AL476" s="1058"/>
      <c r="AM476" s="1058"/>
      <c r="AN476" s="1057">
        <v>22</v>
      </c>
      <c r="AO476" s="1056">
        <v>23</v>
      </c>
      <c r="AP476" s="1055">
        <v>0.22</v>
      </c>
      <c r="AQ476" s="1745">
        <f t="shared" si="206"/>
        <v>0</v>
      </c>
      <c r="AR476" s="1737">
        <v>0.36</v>
      </c>
      <c r="AS476" s="1052">
        <f t="shared" si="207"/>
        <v>1.6363636363636362</v>
      </c>
      <c r="AT476" s="1049"/>
      <c r="AU476" s="1136"/>
      <c r="AV476" s="1049"/>
      <c r="AW476" s="1058"/>
      <c r="AX476" s="1057">
        <v>22</v>
      </c>
      <c r="AY476" s="1056">
        <v>23</v>
      </c>
      <c r="AZ476" s="1055">
        <v>0.12</v>
      </c>
      <c r="BA476" s="1736">
        <v>0.25</v>
      </c>
      <c r="BB476" s="1737">
        <f t="shared" si="208"/>
        <v>2.0833333333333335</v>
      </c>
      <c r="BC476" s="1049"/>
      <c r="BD476" s="1136"/>
      <c r="BE476" s="1049"/>
      <c r="BF476" s="1058"/>
      <c r="BG476" s="1057">
        <v>22</v>
      </c>
      <c r="BH476" s="1056">
        <v>23</v>
      </c>
      <c r="BI476" s="1874">
        <v>0.28999999999999998</v>
      </c>
      <c r="BJ476" s="1736"/>
      <c r="BK476" s="1049"/>
      <c r="BL476" s="1058"/>
      <c r="BM476" s="1057">
        <v>22</v>
      </c>
      <c r="BN476" s="1056">
        <v>23</v>
      </c>
      <c r="BO476" s="1055"/>
      <c r="BP476" s="1055"/>
      <c r="BQ476" s="1049"/>
    </row>
    <row r="477" spans="1:69" ht="14.4">
      <c r="A477" s="1049"/>
      <c r="B477" s="1060"/>
      <c r="C477" s="1057">
        <v>23</v>
      </c>
      <c r="D477" s="1056">
        <v>24</v>
      </c>
      <c r="E477" s="1063">
        <v>0.28999999999999998</v>
      </c>
      <c r="F477" s="1062">
        <v>0.81</v>
      </c>
      <c r="G477" s="1061">
        <f t="shared" si="198"/>
        <v>2.7931034482758625</v>
      </c>
      <c r="H477" s="1049"/>
      <c r="I477" s="1060"/>
      <c r="J477" s="1057">
        <v>23</v>
      </c>
      <c r="K477" s="1056">
        <v>24</v>
      </c>
      <c r="L477" s="1055">
        <v>1.3919999999999999</v>
      </c>
      <c r="M477" s="1059">
        <v>4.9000000000000004</v>
      </c>
      <c r="N477" s="1052">
        <f t="shared" si="199"/>
        <v>3.5201149425287359</v>
      </c>
      <c r="O477" s="1049"/>
      <c r="P477" s="1058"/>
      <c r="Q477" s="1057">
        <v>23</v>
      </c>
      <c r="R477" s="1056">
        <v>24</v>
      </c>
      <c r="S477" s="1055">
        <v>2.2200000000000002</v>
      </c>
      <c r="T477" s="1054">
        <f t="shared" si="200"/>
        <v>2.7750000000000004</v>
      </c>
      <c r="U477" s="1148">
        <v>5.09</v>
      </c>
      <c r="V477" s="1052">
        <f t="shared" si="201"/>
        <v>2.2927927927927927</v>
      </c>
      <c r="W477" s="1049"/>
      <c r="X477" s="1051">
        <v>1.25</v>
      </c>
      <c r="Y477" s="1049"/>
      <c r="Z477" s="1050">
        <f t="shared" si="202"/>
        <v>0.999</v>
      </c>
      <c r="AA477" s="1058"/>
      <c r="AB477" s="1057">
        <v>23</v>
      </c>
      <c r="AC477" s="1056">
        <v>24</v>
      </c>
      <c r="AD477" s="1055">
        <v>3.09</v>
      </c>
      <c r="AE477" s="1137">
        <f t="shared" si="203"/>
        <v>4.3877999999999995</v>
      </c>
      <c r="AF477" s="1136">
        <v>6.53</v>
      </c>
      <c r="AG477" s="1052">
        <f t="shared" si="204"/>
        <v>2.1132686084142396</v>
      </c>
      <c r="AH477" s="1049"/>
      <c r="AI477" s="1136">
        <v>1.42</v>
      </c>
      <c r="AJ477" s="1049"/>
      <c r="AK477" s="1050">
        <f t="shared" si="205"/>
        <v>1.9157999999999995</v>
      </c>
      <c r="AL477" s="1058"/>
      <c r="AM477" s="1058"/>
      <c r="AN477" s="1057">
        <v>23</v>
      </c>
      <c r="AO477" s="1056">
        <v>24</v>
      </c>
      <c r="AP477" s="1055">
        <v>0.16</v>
      </c>
      <c r="AQ477" s="1745">
        <f t="shared" si="206"/>
        <v>0</v>
      </c>
      <c r="AR477" s="1737">
        <v>0.26</v>
      </c>
      <c r="AS477" s="1052">
        <f t="shared" si="207"/>
        <v>1.625</v>
      </c>
      <c r="AT477" s="1049"/>
      <c r="AU477" s="1136"/>
      <c r="AV477" s="1049"/>
      <c r="AW477" s="1058"/>
      <c r="AX477" s="1057">
        <v>23</v>
      </c>
      <c r="AY477" s="1056">
        <v>24</v>
      </c>
      <c r="AZ477" s="1055">
        <v>0.13</v>
      </c>
      <c r="BA477" s="1736">
        <v>0.26</v>
      </c>
      <c r="BB477" s="1737">
        <f t="shared" si="208"/>
        <v>2</v>
      </c>
      <c r="BC477" s="1049"/>
      <c r="BD477" s="1136"/>
      <c r="BE477" s="1049"/>
      <c r="BF477" s="1058"/>
      <c r="BG477" s="1057">
        <v>23</v>
      </c>
      <c r="BH477" s="1056">
        <v>24</v>
      </c>
      <c r="BI477" s="1874">
        <v>0.14000000000000001</v>
      </c>
      <c r="BJ477" s="1736"/>
      <c r="BK477" s="1049"/>
      <c r="BL477" s="1058"/>
      <c r="BM477" s="1057">
        <v>23</v>
      </c>
      <c r="BN477" s="1056">
        <v>24</v>
      </c>
      <c r="BO477" s="1055"/>
      <c r="BP477" s="1055"/>
      <c r="BQ477" s="1049"/>
    </row>
    <row r="478" spans="1:69" ht="14.4">
      <c r="A478" s="1036"/>
      <c r="B478" s="1044"/>
      <c r="C478" s="1135"/>
      <c r="D478" s="1135"/>
      <c r="E478" s="1134"/>
      <c r="F478" s="1133"/>
      <c r="G478" s="1132"/>
      <c r="H478" s="1044"/>
      <c r="I478" s="1044" t="s">
        <v>1139</v>
      </c>
      <c r="J478" s="1046"/>
      <c r="K478" s="1046"/>
      <c r="L478" s="1129">
        <f>AVERAGE(L479:L502)</f>
        <v>1.672833333333333</v>
      </c>
      <c r="M478" s="1131">
        <f>AVERAGE(M479:M502)</f>
        <v>6.2229166666666664</v>
      </c>
      <c r="N478" s="1039">
        <f>AVERAGE(N479:N502)</f>
        <v>3.7024072924403737</v>
      </c>
      <c r="O478" s="1044"/>
      <c r="P478" s="1130" t="s">
        <v>1137</v>
      </c>
      <c r="Q478" s="1046"/>
      <c r="R478" s="1046"/>
      <c r="S478" s="1129">
        <f>AVERAGE(S479:S502)</f>
        <v>2.379083333333333</v>
      </c>
      <c r="T478" s="1128">
        <f>SUM(T479:T502)</f>
        <v>110.82497000000001</v>
      </c>
      <c r="U478" s="1040">
        <f>AVERAGE(U479:U502)</f>
        <v>5.0795833333333329</v>
      </c>
      <c r="V478" s="1039">
        <f>AVERAGE(V479:V502)</f>
        <v>2.0985354699951349</v>
      </c>
      <c r="W478" s="1036"/>
      <c r="X478" s="1038">
        <f>AVERAGE(X487:X502)</f>
        <v>2.2006249999999996</v>
      </c>
      <c r="Y478" s="1036"/>
      <c r="Z478" s="1127">
        <f>SUM(Z479:Z502)</f>
        <v>65.146569999999997</v>
      </c>
      <c r="AA478" s="1130"/>
      <c r="AB478" s="1046"/>
      <c r="AC478" s="1046"/>
      <c r="AD478" s="1129">
        <f>AVERAGE(AD479:AD502)</f>
        <v>2.7354166666666662</v>
      </c>
      <c r="AE478" s="1128">
        <f>SUM(AE479:AE502)</f>
        <v>120.71069999999999</v>
      </c>
      <c r="AF478" s="1040">
        <f>AVERAGE(AF479:AF502)</f>
        <v>7.1849999999999996</v>
      </c>
      <c r="AG478" s="1039">
        <f>AVERAGE(AG479:AG502)</f>
        <v>2.5990566105702042</v>
      </c>
      <c r="AH478" s="1036"/>
      <c r="AI478" s="1038">
        <f>AVERAGE(AI487:AI502)</f>
        <v>1.921875</v>
      </c>
      <c r="AJ478" s="1036"/>
      <c r="AK478" s="1127">
        <f>SUM(AK479:AK502)</f>
        <v>68.190699999999993</v>
      </c>
      <c r="AL478" s="1130"/>
      <c r="AM478" s="1130"/>
      <c r="AN478" s="1046"/>
      <c r="AO478" s="1046"/>
      <c r="AP478" s="1129">
        <f>AVERAGE(AP479:AP502)</f>
        <v>0.31624999999999998</v>
      </c>
      <c r="AQ478" s="1734">
        <f>SUM(AQ479:AQ502)</f>
        <v>0</v>
      </c>
      <c r="AR478" s="1735">
        <f>AVERAGE(AR479:AR502)</f>
        <v>0.52958333333333329</v>
      </c>
      <c r="AS478" s="1039">
        <f>AVERAGE(AS479:AS502)</f>
        <v>1.4664596477151823</v>
      </c>
      <c r="AT478" s="1036"/>
      <c r="AU478" s="1038" t="e">
        <f>AVERAGE(AU487:AU502)</f>
        <v>#DIV/0!</v>
      </c>
      <c r="AV478" s="1036"/>
      <c r="AW478" s="1130"/>
      <c r="AX478" s="1046"/>
      <c r="AY478" s="1046"/>
      <c r="AZ478" s="1129">
        <f>AVERAGE(AZ479:AZ502)</f>
        <v>0.29250000000000004</v>
      </c>
      <c r="BA478" s="1045">
        <f>AVERAGE(BA479:BA502)</f>
        <v>0.60708333333333331</v>
      </c>
      <c r="BB478" s="1039">
        <f>AVERAGE(BB479:BB502)</f>
        <v>2.0602463882391424</v>
      </c>
      <c r="BC478" s="1036"/>
      <c r="BD478" s="1038" t="e">
        <f>AVERAGE(BD487:BD502)</f>
        <v>#DIV/0!</v>
      </c>
      <c r="BE478" s="1036"/>
      <c r="BF478" s="1130"/>
      <c r="BG478" s="2756">
        <f>BF479</f>
        <v>45036</v>
      </c>
      <c r="BH478" s="2756"/>
      <c r="BI478" s="1897">
        <f>SUM(BI479:BI502)</f>
        <v>6.5500000000000007</v>
      </c>
      <c r="BJ478" s="1898">
        <f>SUM(BJ479:BJ502)</f>
        <v>0</v>
      </c>
      <c r="BK478" s="1036"/>
      <c r="BL478" s="1130"/>
      <c r="BM478" s="1046"/>
      <c r="BN478" s="1046"/>
      <c r="BO478" s="1129" t="e">
        <f>AVERAGE(BO479:BO502)</f>
        <v>#DIV/0!</v>
      </c>
      <c r="BP478" s="1129" t="e">
        <f>AVERAGE(BP479:BP502)</f>
        <v>#DIV/0!</v>
      </c>
      <c r="BQ478" s="1036"/>
    </row>
    <row r="479" spans="1:69" ht="14.4">
      <c r="A479" s="1049"/>
      <c r="B479" s="1126">
        <v>44854</v>
      </c>
      <c r="C479" s="1057">
        <v>0</v>
      </c>
      <c r="D479" s="1056">
        <v>1</v>
      </c>
      <c r="E479" s="1063">
        <v>0.23</v>
      </c>
      <c r="F479" s="1062">
        <v>0.63</v>
      </c>
      <c r="G479" s="1061">
        <f t="shared" ref="G479:G502" si="209">F479/E479</f>
        <v>2.7391304347826084</v>
      </c>
      <c r="H479" s="1049"/>
      <c r="I479" s="1126">
        <v>44885</v>
      </c>
      <c r="J479" s="1057">
        <v>0</v>
      </c>
      <c r="K479" s="1056">
        <v>1</v>
      </c>
      <c r="L479" s="1055">
        <v>1.976</v>
      </c>
      <c r="M479" s="1059">
        <v>6.97</v>
      </c>
      <c r="N479" s="1052">
        <f t="shared" ref="N479:N502" si="210">M479/L479</f>
        <v>3.5273279352226719</v>
      </c>
      <c r="O479" s="1049"/>
      <c r="P479" s="1125">
        <v>44915</v>
      </c>
      <c r="Q479" s="1057">
        <v>0</v>
      </c>
      <c r="R479" s="1056">
        <v>1</v>
      </c>
      <c r="S479" s="1055">
        <v>1.625</v>
      </c>
      <c r="T479" s="1054">
        <f t="shared" ref="T479:T502" si="211">S479*X479</f>
        <v>1.8524999999999998</v>
      </c>
      <c r="U479" s="1064">
        <v>1.27</v>
      </c>
      <c r="V479" s="1052">
        <f t="shared" ref="V479:V502" si="212">U479/S479</f>
        <v>0.78153846153846152</v>
      </c>
      <c r="W479" s="1049"/>
      <c r="X479" s="1051">
        <v>1.1399999999999999</v>
      </c>
      <c r="Y479" s="1049"/>
      <c r="Z479" s="1050">
        <f t="shared" ref="Z479:Z502" si="213">S479*(X479-0.8)</f>
        <v>0.55249999999999977</v>
      </c>
      <c r="AA479" s="1125">
        <v>44946</v>
      </c>
      <c r="AB479" s="1057">
        <v>0</v>
      </c>
      <c r="AC479" s="1056">
        <v>1</v>
      </c>
      <c r="AD479" s="1055">
        <v>2.34</v>
      </c>
      <c r="AE479" s="1137">
        <f t="shared" ref="AE479:AE502" si="214">AD479*AI479</f>
        <v>3.51</v>
      </c>
      <c r="AF479" s="1136">
        <v>5.12</v>
      </c>
      <c r="AG479" s="1052">
        <f t="shared" ref="AG479:AG502" si="215">AF479/AD479</f>
        <v>2.1880341880341883</v>
      </c>
      <c r="AH479" s="1049"/>
      <c r="AI479" s="1136">
        <v>1.5</v>
      </c>
      <c r="AJ479" s="1049"/>
      <c r="AK479" s="1050">
        <f t="shared" ref="AK479:AK502" si="216">AD479*(AI479-0.8)</f>
        <v>1.6379999999999999</v>
      </c>
      <c r="AL479" s="1125"/>
      <c r="AM479" s="1125">
        <v>44977</v>
      </c>
      <c r="AN479" s="1057">
        <v>0</v>
      </c>
      <c r="AO479" s="1056">
        <v>1</v>
      </c>
      <c r="AP479" s="1055">
        <v>0.15</v>
      </c>
      <c r="AQ479" s="1745">
        <f t="shared" ref="AQ479:AQ502" si="217">AP479*AU479</f>
        <v>0</v>
      </c>
      <c r="AR479" s="1737">
        <v>0.23</v>
      </c>
      <c r="AS479" s="1052">
        <f t="shared" ref="AS479:AS502" si="218">AR479/AP479</f>
        <v>1.5333333333333334</v>
      </c>
      <c r="AT479" s="1049"/>
      <c r="AU479" s="1136"/>
      <c r="AV479" s="1049"/>
      <c r="AW479" s="1125">
        <v>45005</v>
      </c>
      <c r="AX479" s="1057">
        <v>0</v>
      </c>
      <c r="AY479" s="1056">
        <v>1</v>
      </c>
      <c r="AZ479" s="1055">
        <v>0.26</v>
      </c>
      <c r="BA479" s="1736">
        <v>0.51</v>
      </c>
      <c r="BB479" s="1737">
        <f t="shared" ref="BB479:BB502" si="219">BA479/AZ479</f>
        <v>1.9615384615384615</v>
      </c>
      <c r="BC479" s="1049"/>
      <c r="BD479" s="1136"/>
      <c r="BE479" s="1049"/>
      <c r="BF479" s="1125">
        <v>45036</v>
      </c>
      <c r="BG479" s="1057">
        <v>0</v>
      </c>
      <c r="BH479" s="1056">
        <v>1</v>
      </c>
      <c r="BI479" s="1874">
        <v>0.11</v>
      </c>
      <c r="BJ479" s="1736"/>
      <c r="BK479" s="1049"/>
      <c r="BL479" s="1125">
        <v>45036</v>
      </c>
      <c r="BM479" s="1057">
        <v>0</v>
      </c>
      <c r="BN479" s="1056">
        <v>1</v>
      </c>
      <c r="BO479" s="1055"/>
      <c r="BP479" s="1055"/>
      <c r="BQ479" s="1049"/>
    </row>
    <row r="480" spans="1:69" ht="14.4">
      <c r="A480" s="1049"/>
      <c r="B480" s="1124"/>
      <c r="C480" s="1057">
        <v>1</v>
      </c>
      <c r="D480" s="1056">
        <v>2</v>
      </c>
      <c r="E480" s="1063">
        <v>0.14000000000000001</v>
      </c>
      <c r="F480" s="1062">
        <v>0.35</v>
      </c>
      <c r="G480" s="1061">
        <f t="shared" si="209"/>
        <v>2.4999999999999996</v>
      </c>
      <c r="H480" s="1049"/>
      <c r="I480" s="1124"/>
      <c r="J480" s="1057">
        <v>1</v>
      </c>
      <c r="K480" s="1056">
        <v>2</v>
      </c>
      <c r="L480" s="1055">
        <v>1.43</v>
      </c>
      <c r="M480" s="1059">
        <v>4.76</v>
      </c>
      <c r="N480" s="1052">
        <f t="shared" si="210"/>
        <v>3.3286713286713288</v>
      </c>
      <c r="O480" s="1049"/>
      <c r="P480" s="1123"/>
      <c r="Q480" s="1057">
        <v>1</v>
      </c>
      <c r="R480" s="1056">
        <v>2</v>
      </c>
      <c r="S480" s="1055">
        <v>1.3879999999999999</v>
      </c>
      <c r="T480" s="1054">
        <f t="shared" si="211"/>
        <v>1.3741199999999998</v>
      </c>
      <c r="U480" s="1064">
        <v>1.1200000000000001</v>
      </c>
      <c r="V480" s="1052">
        <f t="shared" si="212"/>
        <v>0.80691642651296847</v>
      </c>
      <c r="W480" s="1049"/>
      <c r="X480" s="1051">
        <v>0.99</v>
      </c>
      <c r="Y480" s="1049"/>
      <c r="Z480" s="1050">
        <f t="shared" si="213"/>
        <v>0.2637199999999999</v>
      </c>
      <c r="AA480" s="1123"/>
      <c r="AB480" s="1057">
        <v>1</v>
      </c>
      <c r="AC480" s="1056">
        <v>2</v>
      </c>
      <c r="AD480" s="1055">
        <v>1.92</v>
      </c>
      <c r="AE480" s="1137">
        <f t="shared" si="214"/>
        <v>2.8415999999999997</v>
      </c>
      <c r="AF480" s="1136">
        <v>4.1500000000000004</v>
      </c>
      <c r="AG480" s="1052">
        <f t="shared" si="215"/>
        <v>2.1614583333333335</v>
      </c>
      <c r="AH480" s="1049"/>
      <c r="AI480" s="1136">
        <v>1.48</v>
      </c>
      <c r="AJ480" s="1049"/>
      <c r="AK480" s="1050">
        <f t="shared" si="216"/>
        <v>1.3055999999999999</v>
      </c>
      <c r="AL480" s="1123"/>
      <c r="AM480" s="1123"/>
      <c r="AN480" s="1057">
        <v>1</v>
      </c>
      <c r="AO480" s="1056">
        <v>2</v>
      </c>
      <c r="AP480" s="1055">
        <v>0.08</v>
      </c>
      <c r="AQ480" s="1745">
        <f t="shared" si="217"/>
        <v>0</v>
      </c>
      <c r="AR480" s="1737">
        <v>0.1</v>
      </c>
      <c r="AS480" s="1052">
        <f t="shared" si="218"/>
        <v>1.25</v>
      </c>
      <c r="AT480" s="1049"/>
      <c r="AU480" s="1136"/>
      <c r="AV480" s="1049"/>
      <c r="AW480" s="1123"/>
      <c r="AX480" s="1057">
        <v>1</v>
      </c>
      <c r="AY480" s="1056">
        <v>2</v>
      </c>
      <c r="AZ480" s="1055">
        <v>0.22</v>
      </c>
      <c r="BA480" s="1736">
        <v>0.42</v>
      </c>
      <c r="BB480" s="1737">
        <f t="shared" si="219"/>
        <v>1.9090909090909089</v>
      </c>
      <c r="BC480" s="1049"/>
      <c r="BD480" s="1136"/>
      <c r="BE480" s="1049"/>
      <c r="BF480" s="1123"/>
      <c r="BG480" s="1057">
        <v>1</v>
      </c>
      <c r="BH480" s="1056">
        <v>2</v>
      </c>
      <c r="BI480" s="1874">
        <v>0.11</v>
      </c>
      <c r="BJ480" s="1736"/>
      <c r="BK480" s="1049"/>
      <c r="BL480" s="1123"/>
      <c r="BM480" s="1057">
        <v>1</v>
      </c>
      <c r="BN480" s="1056">
        <v>2</v>
      </c>
      <c r="BO480" s="1055"/>
      <c r="BP480" s="1055"/>
      <c r="BQ480" s="1049"/>
    </row>
    <row r="481" spans="1:69" ht="14.4">
      <c r="A481" s="1049"/>
      <c r="B481" s="1122">
        <f>SUM(E479:E502)</f>
        <v>11.77</v>
      </c>
      <c r="C481" s="1057">
        <v>2</v>
      </c>
      <c r="D481" s="1056">
        <v>3</v>
      </c>
      <c r="E481" s="1063">
        <v>0.23</v>
      </c>
      <c r="F481" s="1062">
        <v>0.52</v>
      </c>
      <c r="G481" s="1061">
        <f t="shared" si="209"/>
        <v>2.2608695652173911</v>
      </c>
      <c r="H481" s="1049"/>
      <c r="I481" s="1122">
        <f>SUM(L479:L502)</f>
        <v>40.147999999999989</v>
      </c>
      <c r="J481" s="1057">
        <v>2</v>
      </c>
      <c r="K481" s="1056">
        <v>3</v>
      </c>
      <c r="L481" s="1055">
        <v>1.3879999999999999</v>
      </c>
      <c r="M481" s="1059">
        <v>4.67</v>
      </c>
      <c r="N481" s="1052">
        <f t="shared" si="210"/>
        <v>3.3645533141210375</v>
      </c>
      <c r="O481" s="1049"/>
      <c r="P481" s="1121">
        <f>SUM(S479:S502)</f>
        <v>57.097999999999992</v>
      </c>
      <c r="Q481" s="1057">
        <v>2</v>
      </c>
      <c r="R481" s="1056">
        <v>3</v>
      </c>
      <c r="S481" s="1055">
        <v>1.3380000000000001</v>
      </c>
      <c r="T481" s="1054">
        <f t="shared" si="211"/>
        <v>1.3246200000000001</v>
      </c>
      <c r="U481" s="1064">
        <v>1.95</v>
      </c>
      <c r="V481" s="1052">
        <f t="shared" si="212"/>
        <v>1.4573991031390134</v>
      </c>
      <c r="W481" s="1049"/>
      <c r="X481" s="1051">
        <v>0.99</v>
      </c>
      <c r="Y481" s="1049"/>
      <c r="Z481" s="1050">
        <f t="shared" si="213"/>
        <v>0.25421999999999995</v>
      </c>
      <c r="AA481" s="1121">
        <f>SUM(AD479:AD502)</f>
        <v>65.649999999999991</v>
      </c>
      <c r="AB481" s="1057">
        <v>2</v>
      </c>
      <c r="AC481" s="1056">
        <v>3</v>
      </c>
      <c r="AD481" s="1055">
        <v>1.91</v>
      </c>
      <c r="AE481" s="1137">
        <f t="shared" si="214"/>
        <v>2.7885999999999997</v>
      </c>
      <c r="AF481" s="1136">
        <v>4.09</v>
      </c>
      <c r="AG481" s="1052">
        <f t="shared" si="215"/>
        <v>2.1413612565445028</v>
      </c>
      <c r="AH481" s="1049"/>
      <c r="AI481" s="1136">
        <v>1.46</v>
      </c>
      <c r="AJ481" s="1049"/>
      <c r="AK481" s="1050">
        <f t="shared" si="216"/>
        <v>1.2605999999999997</v>
      </c>
      <c r="AL481" s="1121"/>
      <c r="AM481" s="1121">
        <f>SUM(AP479:AP502)</f>
        <v>7.59</v>
      </c>
      <c r="AN481" s="1057">
        <v>2</v>
      </c>
      <c r="AO481" s="1056">
        <v>3</v>
      </c>
      <c r="AP481" s="1055">
        <v>0.11</v>
      </c>
      <c r="AQ481" s="1745">
        <f t="shared" si="217"/>
        <v>0</v>
      </c>
      <c r="AR481" s="1737">
        <v>0.14000000000000001</v>
      </c>
      <c r="AS481" s="1052">
        <f t="shared" si="218"/>
        <v>1.2727272727272729</v>
      </c>
      <c r="AT481" s="1049"/>
      <c r="AU481" s="1136"/>
      <c r="AV481" s="1049"/>
      <c r="AW481" s="1121">
        <f>SUM(AZ479:AZ502)</f>
        <v>7.0200000000000005</v>
      </c>
      <c r="AX481" s="1057">
        <v>2</v>
      </c>
      <c r="AY481" s="1056">
        <v>3</v>
      </c>
      <c r="AZ481" s="1055">
        <v>0.13</v>
      </c>
      <c r="BA481" s="1736">
        <v>0.24</v>
      </c>
      <c r="BB481" s="1737">
        <f t="shared" si="219"/>
        <v>1.846153846153846</v>
      </c>
      <c r="BC481" s="1049"/>
      <c r="BD481" s="1136"/>
      <c r="BE481" s="1049"/>
      <c r="BF481" s="1121">
        <f>SUM(BI479:BI502)</f>
        <v>6.5500000000000007</v>
      </c>
      <c r="BG481" s="1057">
        <v>2</v>
      </c>
      <c r="BH481" s="1056">
        <v>3</v>
      </c>
      <c r="BI481" s="1874">
        <v>0.1</v>
      </c>
      <c r="BJ481" s="1736"/>
      <c r="BK481" s="1049"/>
      <c r="BL481" s="1121">
        <f>SUM(BO479:BO502)+SUM(BP479:BP502)</f>
        <v>0</v>
      </c>
      <c r="BM481" s="1057">
        <v>2</v>
      </c>
      <c r="BN481" s="1056">
        <v>3</v>
      </c>
      <c r="BO481" s="1055"/>
      <c r="BP481" s="1055"/>
      <c r="BQ481" s="1049"/>
    </row>
    <row r="482" spans="1:69" ht="14.4">
      <c r="A482" s="1049"/>
      <c r="B482" s="1120">
        <f>B481/24</f>
        <v>0.49041666666666667</v>
      </c>
      <c r="C482" s="1057">
        <v>3</v>
      </c>
      <c r="D482" s="1056">
        <v>4</v>
      </c>
      <c r="E482" s="1063">
        <v>0.22</v>
      </c>
      <c r="F482" s="1062">
        <v>0.48</v>
      </c>
      <c r="G482" s="1061">
        <f t="shared" si="209"/>
        <v>2.1818181818181817</v>
      </c>
      <c r="H482" s="1049"/>
      <c r="I482" s="1120">
        <f>I481/24</f>
        <v>1.672833333333333</v>
      </c>
      <c r="J482" s="1057">
        <v>3</v>
      </c>
      <c r="K482" s="1056">
        <v>4</v>
      </c>
      <c r="L482" s="1055">
        <v>1.4490000000000001</v>
      </c>
      <c r="M482" s="1059">
        <v>4.78</v>
      </c>
      <c r="N482" s="1052">
        <f t="shared" si="210"/>
        <v>3.2988267770876467</v>
      </c>
      <c r="O482" s="1049"/>
      <c r="P482" s="1120">
        <f>P481/24</f>
        <v>2.379083333333333</v>
      </c>
      <c r="Q482" s="1057">
        <v>3</v>
      </c>
      <c r="R482" s="1056">
        <v>4</v>
      </c>
      <c r="S482" s="1055">
        <v>1.4530000000000001</v>
      </c>
      <c r="T482" s="1054">
        <f t="shared" si="211"/>
        <v>1.22052</v>
      </c>
      <c r="U482" s="1064">
        <v>0.81</v>
      </c>
      <c r="V482" s="1052">
        <f t="shared" si="212"/>
        <v>0.5574673090158293</v>
      </c>
      <c r="W482" s="1049"/>
      <c r="X482" s="1051">
        <v>0.84</v>
      </c>
      <c r="Y482" s="1049"/>
      <c r="Z482" s="1050">
        <f t="shared" si="213"/>
        <v>5.8119999999999894E-2</v>
      </c>
      <c r="AA482" s="1120">
        <f>AA481/24</f>
        <v>2.7354166666666662</v>
      </c>
      <c r="AB482" s="1057">
        <v>3</v>
      </c>
      <c r="AC482" s="1056">
        <v>4</v>
      </c>
      <c r="AD482" s="1055">
        <v>1.89</v>
      </c>
      <c r="AE482" s="1137">
        <f t="shared" si="214"/>
        <v>2.7593999999999999</v>
      </c>
      <c r="AF482" s="1136">
        <v>4.07</v>
      </c>
      <c r="AG482" s="1052">
        <f t="shared" si="215"/>
        <v>2.1534391534391535</v>
      </c>
      <c r="AH482" s="1049"/>
      <c r="AI482" s="1136">
        <v>1.46</v>
      </c>
      <c r="AJ482" s="1049"/>
      <c r="AK482" s="1050">
        <f t="shared" si="216"/>
        <v>1.2473999999999998</v>
      </c>
      <c r="AL482" s="1120"/>
      <c r="AM482" s="1120">
        <f>AM481/24</f>
        <v>0.31624999999999998</v>
      </c>
      <c r="AN482" s="1057">
        <v>3</v>
      </c>
      <c r="AO482" s="1056">
        <v>4</v>
      </c>
      <c r="AP482" s="1055">
        <v>0.15</v>
      </c>
      <c r="AQ482" s="1745">
        <f t="shared" si="217"/>
        <v>0</v>
      </c>
      <c r="AR482" s="1737">
        <v>0.17</v>
      </c>
      <c r="AS482" s="1052">
        <f t="shared" si="218"/>
        <v>1.1333333333333335</v>
      </c>
      <c r="AT482" s="1049"/>
      <c r="AU482" s="1136"/>
      <c r="AV482" s="1049"/>
      <c r="AW482" s="1120">
        <f>AW481/24</f>
        <v>0.29250000000000004</v>
      </c>
      <c r="AX482" s="1057">
        <v>3</v>
      </c>
      <c r="AY482" s="1056">
        <v>4</v>
      </c>
      <c r="AZ482" s="1055">
        <v>0.12</v>
      </c>
      <c r="BA482" s="1736">
        <v>0.22</v>
      </c>
      <c r="BB482" s="1737">
        <f t="shared" si="219"/>
        <v>1.8333333333333335</v>
      </c>
      <c r="BC482" s="1049"/>
      <c r="BD482" s="1136"/>
      <c r="BE482" s="1049"/>
      <c r="BF482" s="1120">
        <f>BF481/24</f>
        <v>0.2729166666666667</v>
      </c>
      <c r="BG482" s="1057">
        <v>3</v>
      </c>
      <c r="BH482" s="1056">
        <v>4</v>
      </c>
      <c r="BI482" s="1874">
        <v>0.1</v>
      </c>
      <c r="BJ482" s="1736"/>
      <c r="BK482" s="1049"/>
      <c r="BL482" s="1120">
        <f>BL481/24</f>
        <v>0</v>
      </c>
      <c r="BM482" s="1057">
        <v>3</v>
      </c>
      <c r="BN482" s="1056">
        <v>4</v>
      </c>
      <c r="BO482" s="1055"/>
      <c r="BP482" s="1055"/>
      <c r="BQ482" s="1049"/>
    </row>
    <row r="483" spans="1:69" ht="14.4">
      <c r="A483" s="1049"/>
      <c r="B483" s="1119"/>
      <c r="C483" s="1057">
        <v>4</v>
      </c>
      <c r="D483" s="1056">
        <v>5</v>
      </c>
      <c r="E483" s="1063">
        <v>0.21</v>
      </c>
      <c r="F483" s="1062">
        <v>0.47</v>
      </c>
      <c r="G483" s="1061">
        <f t="shared" si="209"/>
        <v>2.2380952380952381</v>
      </c>
      <c r="H483" s="1049"/>
      <c r="I483" s="1119"/>
      <c r="J483" s="1057">
        <v>4</v>
      </c>
      <c r="K483" s="1056">
        <v>5</v>
      </c>
      <c r="L483" s="1055">
        <v>1.36</v>
      </c>
      <c r="M483" s="1059">
        <v>4.41</v>
      </c>
      <c r="N483" s="1052">
        <f t="shared" si="210"/>
        <v>3.2426470588235294</v>
      </c>
      <c r="O483" s="1049"/>
      <c r="P483" s="1118"/>
      <c r="Q483" s="1057">
        <v>4</v>
      </c>
      <c r="R483" s="1056">
        <v>5</v>
      </c>
      <c r="S483" s="1055">
        <v>2.149</v>
      </c>
      <c r="T483" s="1054">
        <f t="shared" si="211"/>
        <v>1.9126100000000001</v>
      </c>
      <c r="U483" s="1064">
        <v>0.9</v>
      </c>
      <c r="V483" s="1052">
        <f t="shared" si="212"/>
        <v>0.41879944160074456</v>
      </c>
      <c r="W483" s="1049"/>
      <c r="X483" s="1051">
        <v>0.89</v>
      </c>
      <c r="Y483" s="1049"/>
      <c r="Z483" s="1050">
        <f t="shared" si="213"/>
        <v>0.19340999999999994</v>
      </c>
      <c r="AA483" s="1118"/>
      <c r="AB483" s="1057">
        <v>4</v>
      </c>
      <c r="AC483" s="1056">
        <v>5</v>
      </c>
      <c r="AD483" s="1055">
        <v>1.94</v>
      </c>
      <c r="AE483" s="1137">
        <f t="shared" si="214"/>
        <v>2.8712</v>
      </c>
      <c r="AF483" s="1136">
        <v>4.21</v>
      </c>
      <c r="AG483" s="1052">
        <f t="shared" si="215"/>
        <v>2.170103092783505</v>
      </c>
      <c r="AH483" s="1049"/>
      <c r="AI483" s="1136">
        <v>1.48</v>
      </c>
      <c r="AJ483" s="1049"/>
      <c r="AK483" s="1050">
        <f t="shared" si="216"/>
        <v>1.3191999999999999</v>
      </c>
      <c r="AL483" s="1118"/>
      <c r="AM483" s="1118"/>
      <c r="AN483" s="1057">
        <v>4</v>
      </c>
      <c r="AO483" s="1056">
        <v>5</v>
      </c>
      <c r="AP483" s="1055">
        <v>0.11</v>
      </c>
      <c r="AQ483" s="1745">
        <f t="shared" si="217"/>
        <v>0</v>
      </c>
      <c r="AR483" s="1737">
        <v>0.12</v>
      </c>
      <c r="AS483" s="1052">
        <f t="shared" si="218"/>
        <v>1.0909090909090908</v>
      </c>
      <c r="AT483" s="1049"/>
      <c r="AU483" s="1136"/>
      <c r="AV483" s="1049"/>
      <c r="AW483" s="1118"/>
      <c r="AX483" s="1057">
        <v>4</v>
      </c>
      <c r="AY483" s="1056">
        <v>5</v>
      </c>
      <c r="AZ483" s="1055">
        <v>0.25</v>
      </c>
      <c r="BA483" s="1736">
        <v>0.45</v>
      </c>
      <c r="BB483" s="1737">
        <f t="shared" si="219"/>
        <v>1.8</v>
      </c>
      <c r="BC483" s="1049"/>
      <c r="BD483" s="1136"/>
      <c r="BE483" s="1049"/>
      <c r="BF483" s="1118"/>
      <c r="BG483" s="1057">
        <v>4</v>
      </c>
      <c r="BH483" s="1056">
        <v>5</v>
      </c>
      <c r="BI483" s="1874">
        <v>0.14000000000000001</v>
      </c>
      <c r="BJ483" s="1736"/>
      <c r="BK483" s="1049"/>
      <c r="BL483" s="1118"/>
      <c r="BM483" s="1057">
        <v>4</v>
      </c>
      <c r="BN483" s="1056">
        <v>5</v>
      </c>
      <c r="BO483" s="1055"/>
      <c r="BP483" s="1055"/>
      <c r="BQ483" s="1049"/>
    </row>
    <row r="484" spans="1:69" ht="15" thickBot="1">
      <c r="A484" s="1049"/>
      <c r="B484" s="1058">
        <f>SUM(F479:F502)</f>
        <v>35.43</v>
      </c>
      <c r="C484" s="1111">
        <v>5</v>
      </c>
      <c r="D484" s="1110">
        <v>6</v>
      </c>
      <c r="E484" s="1117">
        <v>0.17</v>
      </c>
      <c r="F484" s="1116">
        <v>0.45</v>
      </c>
      <c r="G484" s="1115">
        <f t="shared" si="209"/>
        <v>2.6470588235294117</v>
      </c>
      <c r="H484" s="1049"/>
      <c r="I484" s="1058">
        <f>SUM(M479:M502)</f>
        <v>149.35</v>
      </c>
      <c r="J484" s="1111">
        <v>5</v>
      </c>
      <c r="K484" s="1110">
        <v>6</v>
      </c>
      <c r="L484" s="1109">
        <v>1.415</v>
      </c>
      <c r="M484" s="1114">
        <v>4.66</v>
      </c>
      <c r="N484" s="1113">
        <f t="shared" si="210"/>
        <v>3.2932862190812719</v>
      </c>
      <c r="O484" s="1049"/>
      <c r="P484" s="1112">
        <f>SUM(U479:U502)</f>
        <v>121.91</v>
      </c>
      <c r="Q484" s="1111">
        <v>5</v>
      </c>
      <c r="R484" s="1110">
        <v>6</v>
      </c>
      <c r="S484" s="1109">
        <v>2.6589999999999998</v>
      </c>
      <c r="T484" s="1054">
        <f t="shared" si="211"/>
        <v>2.7919499999999999</v>
      </c>
      <c r="U484" s="1064">
        <v>2.11</v>
      </c>
      <c r="V484" s="1052">
        <f t="shared" si="212"/>
        <v>0.79353140278300116</v>
      </c>
      <c r="W484" s="1049"/>
      <c r="X484" s="1074">
        <v>1.05</v>
      </c>
      <c r="Y484" s="1049"/>
      <c r="Z484" s="1050">
        <f t="shared" si="213"/>
        <v>0.66474999999999995</v>
      </c>
      <c r="AA484" s="1112">
        <f>SUM(AF479:AF502)</f>
        <v>172.44</v>
      </c>
      <c r="AB484" s="1111">
        <v>5</v>
      </c>
      <c r="AC484" s="1110">
        <v>6</v>
      </c>
      <c r="AD484" s="1109">
        <v>2.02</v>
      </c>
      <c r="AE484" s="1147">
        <f t="shared" si="214"/>
        <v>3.0906000000000002</v>
      </c>
      <c r="AF484" s="1146">
        <v>4.4800000000000004</v>
      </c>
      <c r="AG484" s="1052">
        <f t="shared" si="215"/>
        <v>2.217821782178218</v>
      </c>
      <c r="AH484" s="1049"/>
      <c r="AI484" s="1146">
        <v>1.53</v>
      </c>
      <c r="AJ484" s="1049"/>
      <c r="AK484" s="1050">
        <f t="shared" si="216"/>
        <v>1.4745999999999999</v>
      </c>
      <c r="AL484" s="1112"/>
      <c r="AM484" s="1112">
        <f>SUM(AR479:AR502)</f>
        <v>12.709999999999999</v>
      </c>
      <c r="AN484" s="1111">
        <v>5</v>
      </c>
      <c r="AO484" s="1110">
        <v>6</v>
      </c>
      <c r="AP484" s="1109">
        <v>0.11</v>
      </c>
      <c r="AQ484" s="1746">
        <f t="shared" si="217"/>
        <v>0</v>
      </c>
      <c r="AR484" s="1739">
        <v>0.13</v>
      </c>
      <c r="AS484" s="1052">
        <f t="shared" si="218"/>
        <v>1.1818181818181819</v>
      </c>
      <c r="AT484" s="1049"/>
      <c r="AU484" s="1146"/>
      <c r="AV484" s="1049"/>
      <c r="AW484" s="1112">
        <f>SUM(BA479:BA502)</f>
        <v>14.569999999999999</v>
      </c>
      <c r="AX484" s="1111">
        <v>5</v>
      </c>
      <c r="AY484" s="1110">
        <v>6</v>
      </c>
      <c r="AZ484" s="1109">
        <v>0.2</v>
      </c>
      <c r="BA484" s="1738">
        <v>0.38</v>
      </c>
      <c r="BB484" s="1739">
        <f t="shared" si="219"/>
        <v>1.9</v>
      </c>
      <c r="BC484" s="1049"/>
      <c r="BD484" s="1146"/>
      <c r="BE484" s="1049"/>
      <c r="BF484" s="1112">
        <f>SUM(BJ479:BJ502)</f>
        <v>0</v>
      </c>
      <c r="BG484" s="1111">
        <v>5</v>
      </c>
      <c r="BH484" s="1110">
        <v>6</v>
      </c>
      <c r="BI484" s="1874">
        <v>0.27</v>
      </c>
      <c r="BJ484" s="1738"/>
      <c r="BK484" s="1049"/>
      <c r="BL484" s="1112">
        <f>SUM(BP479:BP502)</f>
        <v>0</v>
      </c>
      <c r="BM484" s="1111">
        <v>5</v>
      </c>
      <c r="BN484" s="1110">
        <v>6</v>
      </c>
      <c r="BO484" s="1109"/>
      <c r="BP484" s="1109"/>
      <c r="BQ484" s="1049"/>
    </row>
    <row r="485" spans="1:69" ht="14.4">
      <c r="A485" s="1049"/>
      <c r="B485" s="1093">
        <f>B484/B481</f>
        <v>3.0101954120645709</v>
      </c>
      <c r="C485" s="1100">
        <v>6</v>
      </c>
      <c r="D485" s="1099">
        <v>7</v>
      </c>
      <c r="E485" s="1107">
        <v>0.5</v>
      </c>
      <c r="F485" s="1106">
        <v>1.48</v>
      </c>
      <c r="G485" s="1105">
        <f t="shared" si="209"/>
        <v>2.96</v>
      </c>
      <c r="H485" s="1049"/>
      <c r="I485" s="1093">
        <f>I484/I481</f>
        <v>3.7199860516090473</v>
      </c>
      <c r="J485" s="1100">
        <v>6</v>
      </c>
      <c r="K485" s="1099">
        <v>7</v>
      </c>
      <c r="L485" s="1098">
        <v>1.504</v>
      </c>
      <c r="M485" s="1103">
        <v>5.0199999999999996</v>
      </c>
      <c r="N485" s="1102">
        <f t="shared" si="210"/>
        <v>3.3377659574468082</v>
      </c>
      <c r="O485" s="1049"/>
      <c r="P485" s="1093">
        <f>P484/P481</f>
        <v>2.1351010543276474</v>
      </c>
      <c r="Q485" s="1100">
        <v>6</v>
      </c>
      <c r="R485" s="1099">
        <v>7</v>
      </c>
      <c r="S485" s="1098">
        <v>2.343</v>
      </c>
      <c r="T485" s="1054">
        <f t="shared" si="211"/>
        <v>3.5847899999999999</v>
      </c>
      <c r="U485" s="1064">
        <v>2.46</v>
      </c>
      <c r="V485" s="1052">
        <f t="shared" si="212"/>
        <v>1.0499359795134442</v>
      </c>
      <c r="W485" s="1049"/>
      <c r="X485" s="1108">
        <v>1.53</v>
      </c>
      <c r="Y485" s="1049"/>
      <c r="Z485" s="1050">
        <f t="shared" si="213"/>
        <v>1.7103899999999999</v>
      </c>
      <c r="AA485" s="1093">
        <f>AA484/AA481</f>
        <v>2.6266565118050269</v>
      </c>
      <c r="AB485" s="1100">
        <v>6</v>
      </c>
      <c r="AC485" s="1099">
        <v>7</v>
      </c>
      <c r="AD485" s="1098">
        <v>2.3199999999999998</v>
      </c>
      <c r="AE485" s="1145">
        <f t="shared" si="214"/>
        <v>4.1063999999999998</v>
      </c>
      <c r="AF485" s="1144">
        <v>5.71</v>
      </c>
      <c r="AG485" s="1052">
        <f t="shared" si="215"/>
        <v>2.4612068965517242</v>
      </c>
      <c r="AH485" s="1049"/>
      <c r="AI485" s="1144">
        <v>1.77</v>
      </c>
      <c r="AJ485" s="1049"/>
      <c r="AK485" s="1050">
        <f t="shared" si="216"/>
        <v>2.2504</v>
      </c>
      <c r="AL485" s="1093"/>
      <c r="AM485" s="1093">
        <f>AM484/AM481</f>
        <v>1.6745718050065874</v>
      </c>
      <c r="AN485" s="1100">
        <v>6</v>
      </c>
      <c r="AO485" s="1099">
        <v>7</v>
      </c>
      <c r="AP485" s="1098">
        <v>0.11</v>
      </c>
      <c r="AQ485" s="1747">
        <f t="shared" si="217"/>
        <v>0</v>
      </c>
      <c r="AR485" s="1741">
        <v>0.16</v>
      </c>
      <c r="AS485" s="1052">
        <f t="shared" si="218"/>
        <v>1.4545454545454546</v>
      </c>
      <c r="AT485" s="1049"/>
      <c r="AU485" s="1144"/>
      <c r="AV485" s="1049"/>
      <c r="AW485" s="1093">
        <f>AW484/AW481</f>
        <v>2.0754985754985751</v>
      </c>
      <c r="AX485" s="1100">
        <v>6</v>
      </c>
      <c r="AY485" s="1099">
        <v>7</v>
      </c>
      <c r="AZ485" s="1098">
        <v>0.33</v>
      </c>
      <c r="BA485" s="1740">
        <v>0.68</v>
      </c>
      <c r="BB485" s="1741">
        <f t="shared" si="219"/>
        <v>2.0606060606060606</v>
      </c>
      <c r="BC485" s="1049"/>
      <c r="BD485" s="1144"/>
      <c r="BE485" s="1049"/>
      <c r="BF485" s="1093">
        <f>BF484/BF481</f>
        <v>0</v>
      </c>
      <c r="BG485" s="1100">
        <v>6</v>
      </c>
      <c r="BH485" s="1099">
        <v>7</v>
      </c>
      <c r="BI485" s="1874">
        <v>0.23</v>
      </c>
      <c r="BJ485" s="1740"/>
      <c r="BK485" s="1049"/>
      <c r="BL485" s="1093" t="e">
        <f>BL484/BL481</f>
        <v>#DIV/0!</v>
      </c>
      <c r="BM485" s="1100">
        <v>6</v>
      </c>
      <c r="BN485" s="1099">
        <v>7</v>
      </c>
      <c r="BO485" s="1098"/>
      <c r="BP485" s="1098"/>
      <c r="BQ485" s="1049"/>
    </row>
    <row r="486" spans="1:69" ht="14.4">
      <c r="A486" s="1049"/>
      <c r="B486" s="1104"/>
      <c r="C486" s="1100">
        <v>7</v>
      </c>
      <c r="D486" s="1099">
        <v>8</v>
      </c>
      <c r="E486" s="1107">
        <v>0.63</v>
      </c>
      <c r="F486" s="1106">
        <v>1.98</v>
      </c>
      <c r="G486" s="1105">
        <f t="shared" si="209"/>
        <v>3.1428571428571428</v>
      </c>
      <c r="H486" s="1049"/>
      <c r="I486" s="1104"/>
      <c r="J486" s="1100">
        <v>7</v>
      </c>
      <c r="K486" s="1099">
        <v>8</v>
      </c>
      <c r="L486" s="1098">
        <v>1.5580000000000001</v>
      </c>
      <c r="M486" s="1103">
        <v>5.4</v>
      </c>
      <c r="N486" s="1102">
        <f t="shared" si="210"/>
        <v>3.4659820282413349</v>
      </c>
      <c r="O486" s="1049"/>
      <c r="P486" s="1101"/>
      <c r="Q486" s="1100">
        <v>7</v>
      </c>
      <c r="R486" s="1099">
        <v>8</v>
      </c>
      <c r="S486" s="1098">
        <v>2.5499999999999998</v>
      </c>
      <c r="T486" s="1054">
        <f t="shared" si="211"/>
        <v>5.0744999999999996</v>
      </c>
      <c r="U486" s="1064">
        <v>4.3600000000000003</v>
      </c>
      <c r="V486" s="1052">
        <f t="shared" si="212"/>
        <v>1.7098039215686276</v>
      </c>
      <c r="W486" s="1049"/>
      <c r="X486" s="1065">
        <v>1.99</v>
      </c>
      <c r="Y486" s="1049"/>
      <c r="Z486" s="1050">
        <f t="shared" si="213"/>
        <v>3.0344999999999995</v>
      </c>
      <c r="AA486" s="1101"/>
      <c r="AB486" s="1100">
        <v>7</v>
      </c>
      <c r="AC486" s="1099">
        <v>8</v>
      </c>
      <c r="AD486" s="1098">
        <v>2.5099999999999998</v>
      </c>
      <c r="AE486" s="1145">
        <f t="shared" si="214"/>
        <v>5.1956999999999995</v>
      </c>
      <c r="AF486" s="1144">
        <v>6.92</v>
      </c>
      <c r="AG486" s="1052">
        <f t="shared" si="215"/>
        <v>2.7569721115537851</v>
      </c>
      <c r="AH486" s="1049"/>
      <c r="AI486" s="1144">
        <v>2.0699999999999998</v>
      </c>
      <c r="AJ486" s="1049"/>
      <c r="AK486" s="1050">
        <f t="shared" si="216"/>
        <v>3.1876999999999991</v>
      </c>
      <c r="AL486" s="1101"/>
      <c r="AM486" s="1101"/>
      <c r="AN486" s="1100">
        <v>7</v>
      </c>
      <c r="AO486" s="1099">
        <v>8</v>
      </c>
      <c r="AP486" s="1098">
        <v>0.25</v>
      </c>
      <c r="AQ486" s="1747">
        <f t="shared" si="217"/>
        <v>0</v>
      </c>
      <c r="AR486" s="1741">
        <v>0.39</v>
      </c>
      <c r="AS486" s="1052">
        <f t="shared" si="218"/>
        <v>1.56</v>
      </c>
      <c r="AT486" s="1049"/>
      <c r="AU486" s="1144"/>
      <c r="AV486" s="1049"/>
      <c r="AW486" s="1101"/>
      <c r="AX486" s="1100">
        <v>7</v>
      </c>
      <c r="AY486" s="1099">
        <v>8</v>
      </c>
      <c r="AZ486" s="1098">
        <v>0.12</v>
      </c>
      <c r="BA486" s="1736">
        <v>0.26</v>
      </c>
      <c r="BB486" s="1741">
        <f t="shared" si="219"/>
        <v>2.166666666666667</v>
      </c>
      <c r="BC486" s="1049"/>
      <c r="BD486" s="1144"/>
      <c r="BE486" s="1049"/>
      <c r="BF486" s="1101"/>
      <c r="BG486" s="1100">
        <v>7</v>
      </c>
      <c r="BH486" s="1099">
        <v>8</v>
      </c>
      <c r="BI486" s="1874">
        <v>0.19</v>
      </c>
      <c r="BJ486" s="1736"/>
      <c r="BK486" s="1049"/>
      <c r="BL486" s="1101"/>
      <c r="BM486" s="1100">
        <v>7</v>
      </c>
      <c r="BN486" s="1099">
        <v>8</v>
      </c>
      <c r="BO486" s="1098"/>
      <c r="BP486" s="1098"/>
      <c r="BQ486" s="1049"/>
    </row>
    <row r="487" spans="1:69" ht="14.4">
      <c r="A487" s="1049"/>
      <c r="B487" s="1097">
        <f>B484/24</f>
        <v>1.4762500000000001</v>
      </c>
      <c r="C487" s="1086">
        <v>8</v>
      </c>
      <c r="D487" s="1085">
        <v>9</v>
      </c>
      <c r="E487" s="1091">
        <v>0.49</v>
      </c>
      <c r="F487" s="1090">
        <v>1.65</v>
      </c>
      <c r="G487" s="1089">
        <f t="shared" si="209"/>
        <v>3.3673469387755102</v>
      </c>
      <c r="H487" s="1049"/>
      <c r="I487" s="1097">
        <f>I484/24</f>
        <v>6.2229166666666664</v>
      </c>
      <c r="J487" s="1086">
        <v>8</v>
      </c>
      <c r="K487" s="1085">
        <v>9</v>
      </c>
      <c r="L487" s="1084">
        <v>1.5449999999999999</v>
      </c>
      <c r="M487" s="1088">
        <v>5.44</v>
      </c>
      <c r="N487" s="1087">
        <f t="shared" si="210"/>
        <v>3.521035598705502</v>
      </c>
      <c r="O487" s="1049"/>
      <c r="P487" s="1096">
        <f>P484/24</f>
        <v>5.0795833333333329</v>
      </c>
      <c r="Q487" s="1086">
        <v>8</v>
      </c>
      <c r="R487" s="1085">
        <v>9</v>
      </c>
      <c r="S487" s="1084">
        <v>2.3769999999999998</v>
      </c>
      <c r="T487" s="1054">
        <f t="shared" si="211"/>
        <v>5.253169999999999</v>
      </c>
      <c r="U487" s="1064">
        <v>5.96</v>
      </c>
      <c r="V487" s="1052">
        <f t="shared" si="212"/>
        <v>2.507362221287337</v>
      </c>
      <c r="W487" s="1049"/>
      <c r="X487" s="1051">
        <v>2.21</v>
      </c>
      <c r="Y487" s="1049"/>
      <c r="Z487" s="1050">
        <f t="shared" si="213"/>
        <v>3.3515699999999997</v>
      </c>
      <c r="AA487" s="1096">
        <f>AA484/24</f>
        <v>7.1849999999999996</v>
      </c>
      <c r="AB487" s="1086">
        <v>8</v>
      </c>
      <c r="AC487" s="1085">
        <v>9</v>
      </c>
      <c r="AD487" s="1084">
        <v>2.7</v>
      </c>
      <c r="AE487" s="1143">
        <f t="shared" si="214"/>
        <v>6.2640000000000002</v>
      </c>
      <c r="AF487" s="1142">
        <v>8.11</v>
      </c>
      <c r="AG487" s="1052">
        <f t="shared" si="215"/>
        <v>3.0037037037037031</v>
      </c>
      <c r="AH487" s="1049"/>
      <c r="AI487" s="1142">
        <v>2.3199999999999998</v>
      </c>
      <c r="AJ487" s="1049"/>
      <c r="AK487" s="1050">
        <f t="shared" si="216"/>
        <v>4.1040000000000001</v>
      </c>
      <c r="AL487" s="1096"/>
      <c r="AM487" s="1096">
        <f>AM484/24</f>
        <v>0.52958333333333329</v>
      </c>
      <c r="AN487" s="1086">
        <v>8</v>
      </c>
      <c r="AO487" s="1085">
        <v>9</v>
      </c>
      <c r="AP487" s="1084">
        <v>0.3</v>
      </c>
      <c r="AQ487" s="1748">
        <f t="shared" si="217"/>
        <v>0</v>
      </c>
      <c r="AR487" s="1742">
        <v>0.46</v>
      </c>
      <c r="AS487" s="1052">
        <f t="shared" si="218"/>
        <v>1.5333333333333334</v>
      </c>
      <c r="AT487" s="1049"/>
      <c r="AU487" s="1142"/>
      <c r="AV487" s="1049"/>
      <c r="AW487" s="1096">
        <f>AW484/24</f>
        <v>0.60708333333333331</v>
      </c>
      <c r="AX487" s="1086">
        <v>8</v>
      </c>
      <c r="AY487" s="1085">
        <v>9</v>
      </c>
      <c r="AZ487" s="1084">
        <v>0.16</v>
      </c>
      <c r="BA487" s="1736">
        <v>0.35</v>
      </c>
      <c r="BB487" s="1742">
        <f t="shared" si="219"/>
        <v>2.1875</v>
      </c>
      <c r="BC487" s="1049"/>
      <c r="BD487" s="1142"/>
      <c r="BE487" s="1049"/>
      <c r="BF487" s="1096">
        <f>BF484/24</f>
        <v>0</v>
      </c>
      <c r="BG487" s="1086">
        <v>8</v>
      </c>
      <c r="BH487" s="1085">
        <v>9</v>
      </c>
      <c r="BI487" s="1874">
        <v>0.34</v>
      </c>
      <c r="BJ487" s="1736"/>
      <c r="BK487" s="1049"/>
      <c r="BL487" s="1096">
        <f>BL484/24</f>
        <v>0</v>
      </c>
      <c r="BM487" s="1086">
        <v>8</v>
      </c>
      <c r="BN487" s="1085">
        <v>9</v>
      </c>
      <c r="BO487" s="1084"/>
      <c r="BP487" s="1084"/>
      <c r="BQ487" s="1049"/>
    </row>
    <row r="488" spans="1:69" ht="14.4">
      <c r="A488" s="1049"/>
      <c r="B488" s="1097"/>
      <c r="C488" s="1086">
        <v>9</v>
      </c>
      <c r="D488" s="1085">
        <v>10</v>
      </c>
      <c r="E488" s="1091">
        <v>0.32</v>
      </c>
      <c r="F488" s="1090">
        <v>0.98</v>
      </c>
      <c r="G488" s="1089">
        <f t="shared" si="209"/>
        <v>3.0625</v>
      </c>
      <c r="H488" s="1049"/>
      <c r="I488" s="1097"/>
      <c r="J488" s="1086">
        <v>9</v>
      </c>
      <c r="K488" s="1085">
        <v>10</v>
      </c>
      <c r="L488" s="1084">
        <v>1.88</v>
      </c>
      <c r="M488" s="1088">
        <v>6.88</v>
      </c>
      <c r="N488" s="1087">
        <f t="shared" si="210"/>
        <v>3.6595744680851063</v>
      </c>
      <c r="O488" s="1049"/>
      <c r="P488" s="1096"/>
      <c r="Q488" s="1086">
        <v>9</v>
      </c>
      <c r="R488" s="1085">
        <v>10</v>
      </c>
      <c r="S488" s="1084">
        <v>2.9129999999999998</v>
      </c>
      <c r="T488" s="1054">
        <f t="shared" si="211"/>
        <v>6.4959899999999999</v>
      </c>
      <c r="U488" s="1064">
        <v>6.19</v>
      </c>
      <c r="V488" s="1052">
        <f t="shared" si="212"/>
        <v>2.124957088911775</v>
      </c>
      <c r="W488" s="1049"/>
      <c r="X488" s="1051">
        <v>2.23</v>
      </c>
      <c r="Y488" s="1049"/>
      <c r="Z488" s="1050">
        <f t="shared" si="213"/>
        <v>4.1655899999999999</v>
      </c>
      <c r="AA488" s="1096"/>
      <c r="AB488" s="1086">
        <v>9</v>
      </c>
      <c r="AC488" s="1085">
        <v>10</v>
      </c>
      <c r="AD488" s="1084">
        <v>3.21</v>
      </c>
      <c r="AE488" s="1143">
        <f t="shared" si="214"/>
        <v>7.0298999999999996</v>
      </c>
      <c r="AF488" s="1142">
        <v>9.27</v>
      </c>
      <c r="AG488" s="1052">
        <f t="shared" si="215"/>
        <v>2.8878504672897196</v>
      </c>
      <c r="AH488" s="1049"/>
      <c r="AI488" s="1142">
        <v>2.19</v>
      </c>
      <c r="AJ488" s="1049"/>
      <c r="AK488" s="1050">
        <f t="shared" si="216"/>
        <v>4.4619</v>
      </c>
      <c r="AL488" s="1096"/>
      <c r="AM488" s="1096"/>
      <c r="AN488" s="1086">
        <v>9</v>
      </c>
      <c r="AO488" s="1085">
        <v>10</v>
      </c>
      <c r="AP488" s="1084">
        <v>0.25</v>
      </c>
      <c r="AQ488" s="1748">
        <f t="shared" si="217"/>
        <v>0</v>
      </c>
      <c r="AR488" s="1742">
        <v>0.32</v>
      </c>
      <c r="AS488" s="1052">
        <f t="shared" si="218"/>
        <v>1.28</v>
      </c>
      <c r="AT488" s="1049"/>
      <c r="AU488" s="1142"/>
      <c r="AV488" s="1049"/>
      <c r="AW488" s="1096"/>
      <c r="AX488" s="1086">
        <v>9</v>
      </c>
      <c r="AY488" s="1085">
        <v>10</v>
      </c>
      <c r="AZ488" s="1084">
        <v>0.23</v>
      </c>
      <c r="BA488" s="1736">
        <v>0.48</v>
      </c>
      <c r="BB488" s="1742">
        <f t="shared" si="219"/>
        <v>2.0869565217391304</v>
      </c>
      <c r="BC488" s="1049"/>
      <c r="BD488" s="1142"/>
      <c r="BE488" s="1049"/>
      <c r="BF488" s="1096"/>
      <c r="BG488" s="1086">
        <v>9</v>
      </c>
      <c r="BH488" s="1085">
        <v>10</v>
      </c>
      <c r="BI488" s="1874">
        <v>0.21</v>
      </c>
      <c r="BJ488" s="1736"/>
      <c r="BK488" s="1049"/>
      <c r="BL488" s="1096"/>
      <c r="BM488" s="1086">
        <v>9</v>
      </c>
      <c r="BN488" s="1085">
        <v>10</v>
      </c>
      <c r="BO488" s="1084"/>
      <c r="BP488" s="1084"/>
      <c r="BQ488" s="1049"/>
    </row>
    <row r="489" spans="1:69" ht="14.4">
      <c r="A489" s="1049"/>
      <c r="B489" s="1060"/>
      <c r="C489" s="1086">
        <v>10</v>
      </c>
      <c r="D489" s="1085">
        <v>11</v>
      </c>
      <c r="E489" s="1091">
        <v>0.4</v>
      </c>
      <c r="F489" s="1090">
        <v>1.23</v>
      </c>
      <c r="G489" s="1089">
        <f t="shared" si="209"/>
        <v>3.0749999999999997</v>
      </c>
      <c r="H489" s="1049"/>
      <c r="I489" s="1060"/>
      <c r="J489" s="1086">
        <v>10</v>
      </c>
      <c r="K489" s="1085">
        <v>11</v>
      </c>
      <c r="L489" s="1084">
        <v>1.6419999999999999</v>
      </c>
      <c r="M489" s="1088">
        <v>5.96</v>
      </c>
      <c r="N489" s="1087">
        <f t="shared" si="210"/>
        <v>3.6297198538367845</v>
      </c>
      <c r="O489" s="1049"/>
      <c r="P489" s="1095">
        <f>SUM(Z479:Z502)</f>
        <v>65.146569999999997</v>
      </c>
      <c r="Q489" s="1086">
        <v>10</v>
      </c>
      <c r="R489" s="1085">
        <v>11</v>
      </c>
      <c r="S489" s="1084">
        <v>2.5510000000000002</v>
      </c>
      <c r="T489" s="1054">
        <f t="shared" si="211"/>
        <v>5.5611800000000011</v>
      </c>
      <c r="U489" s="1064">
        <v>5.91</v>
      </c>
      <c r="V489" s="1052">
        <f t="shared" si="212"/>
        <v>2.3167385339082713</v>
      </c>
      <c r="W489" s="1049"/>
      <c r="X489" s="1051">
        <v>2.1800000000000002</v>
      </c>
      <c r="Y489" s="1049"/>
      <c r="Z489" s="1050">
        <f t="shared" si="213"/>
        <v>3.5203800000000007</v>
      </c>
      <c r="AA489" s="1095">
        <f>SUM(AK479:AK502)</f>
        <v>68.190699999999993</v>
      </c>
      <c r="AB489" s="1086">
        <v>10</v>
      </c>
      <c r="AC489" s="1085">
        <v>11</v>
      </c>
      <c r="AD489" s="1084">
        <v>3.6</v>
      </c>
      <c r="AE489" s="1143">
        <f t="shared" si="214"/>
        <v>7.4880000000000004</v>
      </c>
      <c r="AF489" s="1142">
        <v>9.98</v>
      </c>
      <c r="AG489" s="1052">
        <f t="shared" si="215"/>
        <v>2.7722222222222221</v>
      </c>
      <c r="AH489" s="1049"/>
      <c r="AI489" s="1142">
        <v>2.08</v>
      </c>
      <c r="AJ489" s="1049"/>
      <c r="AK489" s="1050">
        <f t="shared" si="216"/>
        <v>4.6080000000000005</v>
      </c>
      <c r="AL489" s="1095"/>
      <c r="AM489" s="1095" t="e">
        <f>SUM(#REF!)</f>
        <v>#REF!</v>
      </c>
      <c r="AN489" s="1086">
        <v>10</v>
      </c>
      <c r="AO489" s="1085">
        <v>11</v>
      </c>
      <c r="AP489" s="1084">
        <v>0.26</v>
      </c>
      <c r="AQ489" s="1748">
        <f t="shared" si="217"/>
        <v>0</v>
      </c>
      <c r="AR489" s="1742">
        <v>0.32</v>
      </c>
      <c r="AS489" s="1052">
        <f t="shared" si="218"/>
        <v>1.2307692307692308</v>
      </c>
      <c r="AT489" s="1049"/>
      <c r="AU489" s="1142"/>
      <c r="AV489" s="1049"/>
      <c r="AW489" s="1095" t="e">
        <f>SUM(#REF!)</f>
        <v>#REF!</v>
      </c>
      <c r="AX489" s="1086">
        <v>10</v>
      </c>
      <c r="AY489" s="1085">
        <v>11</v>
      </c>
      <c r="AZ489" s="1084">
        <v>0.33</v>
      </c>
      <c r="BA489" s="1736">
        <v>0.63</v>
      </c>
      <c r="BB489" s="1742">
        <f t="shared" si="219"/>
        <v>1.9090909090909089</v>
      </c>
      <c r="BC489" s="1049"/>
      <c r="BD489" s="1142"/>
      <c r="BE489" s="1049"/>
      <c r="BF489" s="1095" t="e">
        <f>SUM(#REF!)</f>
        <v>#REF!</v>
      </c>
      <c r="BG489" s="1086">
        <v>10</v>
      </c>
      <c r="BH489" s="1085">
        <v>11</v>
      </c>
      <c r="BI489" s="1874">
        <v>0.19</v>
      </c>
      <c r="BJ489" s="1736"/>
      <c r="BK489" s="1049"/>
      <c r="BL489" s="1095" t="e">
        <f>SUM(#REF!)</f>
        <v>#REF!</v>
      </c>
      <c r="BM489" s="1086">
        <v>10</v>
      </c>
      <c r="BN489" s="1085">
        <v>11</v>
      </c>
      <c r="BO489" s="1084"/>
      <c r="BP489" s="1084"/>
      <c r="BQ489" s="1049"/>
    </row>
    <row r="490" spans="1:69" ht="14.4">
      <c r="A490" s="1049"/>
      <c r="B490" s="1060"/>
      <c r="C490" s="1086">
        <v>11</v>
      </c>
      <c r="D490" s="1085">
        <v>12</v>
      </c>
      <c r="E490" s="1091">
        <v>0.28999999999999998</v>
      </c>
      <c r="F490" s="1090">
        <v>0.85</v>
      </c>
      <c r="G490" s="1089">
        <f t="shared" si="209"/>
        <v>2.931034482758621</v>
      </c>
      <c r="H490" s="1049"/>
      <c r="I490" s="1060"/>
      <c r="J490" s="1086">
        <v>11</v>
      </c>
      <c r="K490" s="1085">
        <v>12</v>
      </c>
      <c r="L490" s="1084">
        <v>1.9379999999999999</v>
      </c>
      <c r="M490" s="1088">
        <v>7.15</v>
      </c>
      <c r="N490" s="1087">
        <f t="shared" si="210"/>
        <v>3.68937048503612</v>
      </c>
      <c r="O490" s="1049"/>
      <c r="P490" s="1093">
        <f>P489/P481</f>
        <v>1.1409606290938388</v>
      </c>
      <c r="Q490" s="1086">
        <v>11</v>
      </c>
      <c r="R490" s="1094" t="s">
        <v>238</v>
      </c>
      <c r="S490" s="1084">
        <v>2.8460000000000001</v>
      </c>
      <c r="T490" s="1054">
        <f t="shared" si="211"/>
        <v>6.4035000000000002</v>
      </c>
      <c r="U490" s="1064">
        <v>7.17</v>
      </c>
      <c r="V490" s="1052">
        <f t="shared" si="212"/>
        <v>2.5193253689388615</v>
      </c>
      <c r="W490" s="1049"/>
      <c r="X490" s="1051">
        <v>2.25</v>
      </c>
      <c r="Y490" s="1049"/>
      <c r="Z490" s="1050">
        <f t="shared" si="213"/>
        <v>4.1266999999999996</v>
      </c>
      <c r="AA490" s="1093">
        <f>AA489/AA481</f>
        <v>1.0387006854531606</v>
      </c>
      <c r="AB490" s="1086">
        <v>11</v>
      </c>
      <c r="AC490" s="1085">
        <v>12</v>
      </c>
      <c r="AD490" s="1084">
        <v>3.57</v>
      </c>
      <c r="AE490" s="1143">
        <f t="shared" si="214"/>
        <v>7.1756999999999991</v>
      </c>
      <c r="AF490" s="1142">
        <v>9.6300000000000008</v>
      </c>
      <c r="AG490" s="1052">
        <f t="shared" si="215"/>
        <v>2.6974789915966388</v>
      </c>
      <c r="AH490" s="1049"/>
      <c r="AI490" s="1142">
        <v>2.0099999999999998</v>
      </c>
      <c r="AJ490" s="1049"/>
      <c r="AK490" s="1050">
        <f t="shared" si="216"/>
        <v>4.3196999999999992</v>
      </c>
      <c r="AL490" s="1093"/>
      <c r="AM490" s="1093" t="e">
        <f>AM489/AM481</f>
        <v>#REF!</v>
      </c>
      <c r="AN490" s="1086">
        <v>11</v>
      </c>
      <c r="AO490" s="1085">
        <v>12</v>
      </c>
      <c r="AP490" s="1084">
        <v>0.28000000000000003</v>
      </c>
      <c r="AQ490" s="1748">
        <f t="shared" si="217"/>
        <v>0</v>
      </c>
      <c r="AR490" s="1742">
        <v>0.28999999999999998</v>
      </c>
      <c r="AS490" s="1052">
        <f t="shared" si="218"/>
        <v>1.0357142857142856</v>
      </c>
      <c r="AT490" s="1049"/>
      <c r="AU490" s="1142"/>
      <c r="AV490" s="1049"/>
      <c r="AW490" s="1093" t="e">
        <f>AW489/AW481</f>
        <v>#REF!</v>
      </c>
      <c r="AX490" s="1086">
        <v>11</v>
      </c>
      <c r="AY490" s="1085">
        <v>12</v>
      </c>
      <c r="AZ490" s="1084">
        <v>0.32</v>
      </c>
      <c r="BA490" s="1736">
        <v>0.56999999999999995</v>
      </c>
      <c r="BB490" s="1742">
        <f t="shared" si="219"/>
        <v>1.7812499999999998</v>
      </c>
      <c r="BC490" s="1049"/>
      <c r="BD490" s="1142"/>
      <c r="BE490" s="1049"/>
      <c r="BF490" s="1093" t="e">
        <f>BF489/BF481</f>
        <v>#REF!</v>
      </c>
      <c r="BG490" s="1086">
        <v>11</v>
      </c>
      <c r="BH490" s="1085">
        <v>12</v>
      </c>
      <c r="BI490" s="1874">
        <v>0.35</v>
      </c>
      <c r="BJ490" s="1736"/>
      <c r="BK490" s="1049"/>
      <c r="BL490" s="1093" t="e">
        <f>BL489/BL481</f>
        <v>#REF!</v>
      </c>
      <c r="BM490" s="1086">
        <v>11</v>
      </c>
      <c r="BN490" s="1085">
        <v>12</v>
      </c>
      <c r="BO490" s="1084"/>
      <c r="BP490" s="1084"/>
      <c r="BQ490" s="1049"/>
    </row>
    <row r="491" spans="1:69" ht="14.4">
      <c r="A491" s="1049"/>
      <c r="B491" s="1060"/>
      <c r="C491" s="1086">
        <v>12</v>
      </c>
      <c r="D491" s="1085">
        <v>13</v>
      </c>
      <c r="E491" s="1091">
        <v>0.47</v>
      </c>
      <c r="F491" s="1090">
        <v>1.3</v>
      </c>
      <c r="G491" s="1089">
        <f t="shared" si="209"/>
        <v>2.7659574468085109</v>
      </c>
      <c r="H491" s="1049"/>
      <c r="I491" s="1060"/>
      <c r="J491" s="1086">
        <v>12</v>
      </c>
      <c r="K491" s="1085">
        <v>13</v>
      </c>
      <c r="L491" s="1084">
        <v>1.5309999999999999</v>
      </c>
      <c r="M491" s="1088">
        <v>5.53</v>
      </c>
      <c r="N491" s="1087">
        <f t="shared" si="210"/>
        <v>3.6120182887001961</v>
      </c>
      <c r="O491" s="1049"/>
      <c r="P491" s="1060"/>
      <c r="Q491" s="1086">
        <v>12</v>
      </c>
      <c r="R491" s="1085">
        <v>13</v>
      </c>
      <c r="S491" s="1084">
        <v>2.42</v>
      </c>
      <c r="T491" s="1054">
        <f t="shared" si="211"/>
        <v>5.2513999999999994</v>
      </c>
      <c r="U491" s="1064">
        <v>6.84</v>
      </c>
      <c r="V491" s="1052">
        <f t="shared" si="212"/>
        <v>2.8264462809917354</v>
      </c>
      <c r="W491" s="1049"/>
      <c r="X491" s="1051">
        <v>2.17</v>
      </c>
      <c r="Y491" s="1049"/>
      <c r="Z491" s="1050">
        <f t="shared" si="213"/>
        <v>3.3153999999999995</v>
      </c>
      <c r="AA491" s="1060"/>
      <c r="AB491" s="1086">
        <v>12</v>
      </c>
      <c r="AC491" s="1085">
        <v>13</v>
      </c>
      <c r="AD491" s="1084">
        <v>3.59</v>
      </c>
      <c r="AE491" s="1143">
        <f t="shared" si="214"/>
        <v>6.785099999999999</v>
      </c>
      <c r="AF491" s="1142">
        <v>9.27</v>
      </c>
      <c r="AG491" s="1052">
        <f t="shared" si="215"/>
        <v>2.5821727019498608</v>
      </c>
      <c r="AH491" s="1049"/>
      <c r="AI491" s="1142">
        <v>1.89</v>
      </c>
      <c r="AJ491" s="1049"/>
      <c r="AK491" s="1050">
        <f t="shared" si="216"/>
        <v>3.9130999999999991</v>
      </c>
      <c r="AL491" s="1060"/>
      <c r="AM491" s="1060"/>
      <c r="AN491" s="1086">
        <v>12</v>
      </c>
      <c r="AO491" s="1085">
        <v>13</v>
      </c>
      <c r="AP491" s="1084">
        <v>0.27</v>
      </c>
      <c r="AQ491" s="1748">
        <f t="shared" si="217"/>
        <v>0</v>
      </c>
      <c r="AR491" s="1742">
        <v>0.28000000000000003</v>
      </c>
      <c r="AS491" s="1052">
        <f t="shared" si="218"/>
        <v>1.037037037037037</v>
      </c>
      <c r="AT491" s="1049"/>
      <c r="AU491" s="1142"/>
      <c r="AV491" s="1049"/>
      <c r="AW491" s="1060"/>
      <c r="AX491" s="1086">
        <v>12</v>
      </c>
      <c r="AY491" s="1085">
        <v>13</v>
      </c>
      <c r="AZ491" s="1084">
        <v>0.25</v>
      </c>
      <c r="BA491" s="1736">
        <v>0.44</v>
      </c>
      <c r="BB491" s="1742">
        <f t="shared" si="219"/>
        <v>1.76</v>
      </c>
      <c r="BC491" s="1049"/>
      <c r="BD491" s="1142"/>
      <c r="BE491" s="1049"/>
      <c r="BF491" s="1060"/>
      <c r="BG491" s="1086">
        <v>12</v>
      </c>
      <c r="BH491" s="1085">
        <v>13</v>
      </c>
      <c r="BI491" s="1874">
        <v>0.28999999999999998</v>
      </c>
      <c r="BJ491" s="1736"/>
      <c r="BK491" s="1049"/>
      <c r="BL491" s="1060"/>
      <c r="BM491" s="1086">
        <v>12</v>
      </c>
      <c r="BN491" s="1085">
        <v>13</v>
      </c>
      <c r="BO491" s="1084"/>
      <c r="BP491" s="1084"/>
      <c r="BQ491" s="1049"/>
    </row>
    <row r="492" spans="1:69" ht="14.4">
      <c r="A492" s="1049"/>
      <c r="B492" s="1060"/>
      <c r="C492" s="1086">
        <v>13</v>
      </c>
      <c r="D492" s="1085">
        <v>14</v>
      </c>
      <c r="E492" s="1091">
        <v>0.37</v>
      </c>
      <c r="F492" s="1090">
        <v>1</v>
      </c>
      <c r="G492" s="1089">
        <f t="shared" si="209"/>
        <v>2.7027027027027026</v>
      </c>
      <c r="H492" s="1049"/>
      <c r="I492" s="1060"/>
      <c r="J492" s="1086">
        <v>13</v>
      </c>
      <c r="K492" s="1085">
        <v>14</v>
      </c>
      <c r="L492" s="1084">
        <v>1.734</v>
      </c>
      <c r="M492" s="1088">
        <v>6.09</v>
      </c>
      <c r="N492" s="1087">
        <f t="shared" si="210"/>
        <v>3.5121107266435985</v>
      </c>
      <c r="O492" s="1049"/>
      <c r="P492" s="1092" t="s">
        <v>1127</v>
      </c>
      <c r="Q492" s="1086">
        <v>13</v>
      </c>
      <c r="R492" s="1085">
        <v>14</v>
      </c>
      <c r="S492" s="1084">
        <v>2.4510000000000001</v>
      </c>
      <c r="T492" s="1054">
        <f t="shared" si="211"/>
        <v>5.2451400000000001</v>
      </c>
      <c r="U492" s="1064">
        <v>8.02</v>
      </c>
      <c r="V492" s="1052">
        <f t="shared" si="212"/>
        <v>3.2721338229294163</v>
      </c>
      <c r="W492" s="1049"/>
      <c r="X492" s="1051">
        <v>2.14</v>
      </c>
      <c r="Y492" s="1049"/>
      <c r="Z492" s="1050">
        <f t="shared" si="213"/>
        <v>3.2843400000000003</v>
      </c>
      <c r="AA492" s="1092" t="s">
        <v>1127</v>
      </c>
      <c r="AB492" s="1086">
        <v>13</v>
      </c>
      <c r="AC492" s="1085">
        <v>14</v>
      </c>
      <c r="AD492" s="1084">
        <v>3.47</v>
      </c>
      <c r="AE492" s="1143">
        <f t="shared" si="214"/>
        <v>6.3154000000000003</v>
      </c>
      <c r="AF492" s="1142">
        <v>8.7200000000000006</v>
      </c>
      <c r="AG492" s="1052">
        <f t="shared" si="215"/>
        <v>2.5129682997118157</v>
      </c>
      <c r="AH492" s="1049"/>
      <c r="AI492" s="1142">
        <v>1.82</v>
      </c>
      <c r="AJ492" s="1049"/>
      <c r="AK492" s="1050">
        <f t="shared" si="216"/>
        <v>3.5394000000000001</v>
      </c>
      <c r="AL492" s="1092"/>
      <c r="AM492" s="1092" t="s">
        <v>1127</v>
      </c>
      <c r="AN492" s="1086">
        <v>13</v>
      </c>
      <c r="AO492" s="1085">
        <v>14</v>
      </c>
      <c r="AP492" s="1084">
        <v>0.34</v>
      </c>
      <c r="AQ492" s="1748">
        <f t="shared" si="217"/>
        <v>0</v>
      </c>
      <c r="AR492" s="1742">
        <v>0.35</v>
      </c>
      <c r="AS492" s="1052">
        <f t="shared" si="218"/>
        <v>1.0294117647058822</v>
      </c>
      <c r="AT492" s="1049"/>
      <c r="AU492" s="1142"/>
      <c r="AV492" s="1049"/>
      <c r="AW492" s="1092" t="s">
        <v>1127</v>
      </c>
      <c r="AX492" s="1086">
        <v>13</v>
      </c>
      <c r="AY492" s="1085">
        <v>14</v>
      </c>
      <c r="AZ492" s="1084">
        <v>0.34</v>
      </c>
      <c r="BA492" s="1736">
        <v>0.59</v>
      </c>
      <c r="BB492" s="1742">
        <f t="shared" si="219"/>
        <v>1.7352941176470587</v>
      </c>
      <c r="BC492" s="1049"/>
      <c r="BD492" s="1142"/>
      <c r="BE492" s="1049"/>
      <c r="BF492" s="1092" t="s">
        <v>1127</v>
      </c>
      <c r="BG492" s="1086">
        <v>13</v>
      </c>
      <c r="BH492" s="1085">
        <v>14</v>
      </c>
      <c r="BI492" s="1874">
        <v>0.31</v>
      </c>
      <c r="BJ492" s="1736"/>
      <c r="BK492" s="1049"/>
      <c r="BL492" s="1092" t="s">
        <v>1127</v>
      </c>
      <c r="BM492" s="1086">
        <v>13</v>
      </c>
      <c r="BN492" s="1085">
        <v>14</v>
      </c>
      <c r="BO492" s="1084"/>
      <c r="BP492" s="1084"/>
      <c r="BQ492" s="1049"/>
    </row>
    <row r="493" spans="1:69" ht="14.4">
      <c r="A493" s="1049"/>
      <c r="B493" s="1060"/>
      <c r="C493" s="1086">
        <v>14</v>
      </c>
      <c r="D493" s="1085">
        <v>15</v>
      </c>
      <c r="E493" s="1091">
        <v>0.47</v>
      </c>
      <c r="F493" s="1090">
        <v>1.28</v>
      </c>
      <c r="G493" s="1089">
        <f t="shared" si="209"/>
        <v>2.7234042553191493</v>
      </c>
      <c r="H493" s="1049"/>
      <c r="I493" s="1060"/>
      <c r="J493" s="1086">
        <v>14</v>
      </c>
      <c r="K493" s="1085">
        <v>15</v>
      </c>
      <c r="L493" s="1084">
        <v>2.6150000000000002</v>
      </c>
      <c r="M493" s="1088">
        <v>9.33</v>
      </c>
      <c r="N493" s="1087">
        <f t="shared" si="210"/>
        <v>3.5678776290630974</v>
      </c>
      <c r="O493" s="1049"/>
      <c r="P493" s="1058">
        <f>P481*0.8</f>
        <v>45.678399999999996</v>
      </c>
      <c r="Q493" s="1086">
        <v>14</v>
      </c>
      <c r="R493" s="1085">
        <v>15</v>
      </c>
      <c r="S493" s="1084">
        <v>2.1230000000000002</v>
      </c>
      <c r="T493" s="1054">
        <f t="shared" si="211"/>
        <v>4.7767500000000007</v>
      </c>
      <c r="U493" s="1064">
        <v>9.3800000000000008</v>
      </c>
      <c r="V493" s="1052">
        <f t="shared" si="212"/>
        <v>4.4182760244936405</v>
      </c>
      <c r="W493" s="1049"/>
      <c r="X493" s="1051">
        <v>2.25</v>
      </c>
      <c r="Y493" s="1049"/>
      <c r="Z493" s="1050">
        <f t="shared" si="213"/>
        <v>3.0783500000000004</v>
      </c>
      <c r="AA493" s="1058">
        <f>AA481*0.8</f>
        <v>52.519999999999996</v>
      </c>
      <c r="AB493" s="1086">
        <v>14</v>
      </c>
      <c r="AC493" s="1085">
        <v>15</v>
      </c>
      <c r="AD493" s="1084">
        <v>2.61</v>
      </c>
      <c r="AE493" s="1143">
        <f t="shared" si="214"/>
        <v>4.7763</v>
      </c>
      <c r="AF493" s="1142">
        <v>6.58</v>
      </c>
      <c r="AG493" s="1052">
        <f t="shared" si="215"/>
        <v>2.5210727969348659</v>
      </c>
      <c r="AH493" s="1049"/>
      <c r="AI493" s="1142">
        <v>1.83</v>
      </c>
      <c r="AJ493" s="1049"/>
      <c r="AK493" s="1050">
        <f t="shared" si="216"/>
        <v>2.6882999999999999</v>
      </c>
      <c r="AL493" s="1058"/>
      <c r="AM493" s="1058">
        <f>AM481*0.8</f>
        <v>6.0720000000000001</v>
      </c>
      <c r="AN493" s="1086">
        <v>14</v>
      </c>
      <c r="AO493" s="1085">
        <v>15</v>
      </c>
      <c r="AP493" s="1084">
        <v>0.22</v>
      </c>
      <c r="AQ493" s="1748">
        <f t="shared" si="217"/>
        <v>0</v>
      </c>
      <c r="AR493" s="1742">
        <v>0.27</v>
      </c>
      <c r="AS493" s="1052">
        <f t="shared" si="218"/>
        <v>1.2272727272727273</v>
      </c>
      <c r="AT493" s="1049"/>
      <c r="AU493" s="1142"/>
      <c r="AV493" s="1049"/>
      <c r="AW493" s="1058">
        <f>AW481*0.8</f>
        <v>5.6160000000000005</v>
      </c>
      <c r="AX493" s="1086">
        <v>14</v>
      </c>
      <c r="AY493" s="1085">
        <v>15</v>
      </c>
      <c r="AZ493" s="1084">
        <v>0.34</v>
      </c>
      <c r="BA493" s="1736">
        <v>0.59</v>
      </c>
      <c r="BB493" s="1742">
        <f t="shared" si="219"/>
        <v>1.7352941176470587</v>
      </c>
      <c r="BC493" s="1049"/>
      <c r="BD493" s="1142"/>
      <c r="BE493" s="1049"/>
      <c r="BF493" s="1058">
        <f>BF481*0.8</f>
        <v>5.2400000000000011</v>
      </c>
      <c r="BG493" s="1086">
        <v>14</v>
      </c>
      <c r="BH493" s="1085">
        <v>15</v>
      </c>
      <c r="BI493" s="1874">
        <v>0.22</v>
      </c>
      <c r="BJ493" s="1736"/>
      <c r="BK493" s="1049"/>
      <c r="BL493" s="1058">
        <f>BL481*0.8</f>
        <v>0</v>
      </c>
      <c r="BM493" s="1086">
        <v>14</v>
      </c>
      <c r="BN493" s="1085">
        <v>15</v>
      </c>
      <c r="BO493" s="1084"/>
      <c r="BP493" s="1084"/>
      <c r="BQ493" s="1049"/>
    </row>
    <row r="494" spans="1:69" ht="14.4">
      <c r="A494" s="1049"/>
      <c r="B494" s="1060"/>
      <c r="C494" s="1086">
        <v>15</v>
      </c>
      <c r="D494" s="1085">
        <v>16</v>
      </c>
      <c r="E494" s="1091">
        <v>1.08</v>
      </c>
      <c r="F494" s="1090">
        <v>3</v>
      </c>
      <c r="G494" s="1089">
        <f t="shared" si="209"/>
        <v>2.7777777777777777</v>
      </c>
      <c r="H494" s="1049"/>
      <c r="I494" s="1060"/>
      <c r="J494" s="1086">
        <v>15</v>
      </c>
      <c r="K494" s="1085">
        <v>16</v>
      </c>
      <c r="L494" s="1084">
        <v>2.6539999999999999</v>
      </c>
      <c r="M494" s="1088">
        <v>9.9499999999999993</v>
      </c>
      <c r="N494" s="1087">
        <f t="shared" si="210"/>
        <v>3.7490580256217028</v>
      </c>
      <c r="O494" s="1049"/>
      <c r="P494" s="1058" t="s">
        <v>1126</v>
      </c>
      <c r="Q494" s="1086">
        <v>15</v>
      </c>
      <c r="R494" s="1085">
        <v>16</v>
      </c>
      <c r="S494" s="1084">
        <v>2.0499999999999998</v>
      </c>
      <c r="T494" s="1054">
        <f t="shared" si="211"/>
        <v>4.5510000000000002</v>
      </c>
      <c r="U494" s="1064">
        <v>7.56</v>
      </c>
      <c r="V494" s="1052">
        <f t="shared" si="212"/>
        <v>3.6878048780487807</v>
      </c>
      <c r="W494" s="1049"/>
      <c r="X494" s="1051">
        <v>2.2200000000000002</v>
      </c>
      <c r="Y494" s="1049"/>
      <c r="Z494" s="1050">
        <f t="shared" si="213"/>
        <v>2.911</v>
      </c>
      <c r="AA494" s="1058" t="s">
        <v>1126</v>
      </c>
      <c r="AB494" s="1086">
        <v>15</v>
      </c>
      <c r="AC494" s="1085">
        <v>16</v>
      </c>
      <c r="AD494" s="1084">
        <v>2.5499999999999998</v>
      </c>
      <c r="AE494" s="1143">
        <f t="shared" si="214"/>
        <v>4.8959999999999999</v>
      </c>
      <c r="AF494" s="1142">
        <v>6.65</v>
      </c>
      <c r="AG494" s="1052">
        <f t="shared" si="215"/>
        <v>2.6078431372549025</v>
      </c>
      <c r="AH494" s="1049"/>
      <c r="AI494" s="1142">
        <v>1.92</v>
      </c>
      <c r="AJ494" s="1049"/>
      <c r="AK494" s="1050">
        <f t="shared" si="216"/>
        <v>2.8559999999999994</v>
      </c>
      <c r="AL494" s="1058"/>
      <c r="AM494" s="1058" t="s">
        <v>1126</v>
      </c>
      <c r="AN494" s="1086">
        <v>15</v>
      </c>
      <c r="AO494" s="1085">
        <v>16</v>
      </c>
      <c r="AP494" s="1084">
        <v>0.28000000000000003</v>
      </c>
      <c r="AQ494" s="1748">
        <f t="shared" si="217"/>
        <v>0</v>
      </c>
      <c r="AR494" s="1742">
        <v>0.37</v>
      </c>
      <c r="AS494" s="1052">
        <f t="shared" si="218"/>
        <v>1.3214285714285714</v>
      </c>
      <c r="AT494" s="1049"/>
      <c r="AU494" s="1142"/>
      <c r="AV494" s="1049"/>
      <c r="AW494" s="1058" t="s">
        <v>1126</v>
      </c>
      <c r="AX494" s="1086">
        <v>15</v>
      </c>
      <c r="AY494" s="1085">
        <v>16</v>
      </c>
      <c r="AZ494" s="1084">
        <v>0.37</v>
      </c>
      <c r="BA494" s="1736">
        <v>0.65</v>
      </c>
      <c r="BB494" s="1742">
        <f t="shared" si="219"/>
        <v>1.7567567567567568</v>
      </c>
      <c r="BC494" s="1049"/>
      <c r="BD494" s="1142"/>
      <c r="BE494" s="1049"/>
      <c r="BF494" s="1058" t="s">
        <v>1126</v>
      </c>
      <c r="BG494" s="1086">
        <v>15</v>
      </c>
      <c r="BH494" s="1085">
        <v>16</v>
      </c>
      <c r="BI494" s="1874">
        <v>0.47</v>
      </c>
      <c r="BJ494" s="1736"/>
      <c r="BK494" s="1049"/>
      <c r="BL494" s="1058" t="s">
        <v>1126</v>
      </c>
      <c r="BM494" s="1086">
        <v>15</v>
      </c>
      <c r="BN494" s="1085">
        <v>16</v>
      </c>
      <c r="BO494" s="1084"/>
      <c r="BP494" s="1084"/>
      <c r="BQ494" s="1049"/>
    </row>
    <row r="495" spans="1:69" ht="15" thickBot="1">
      <c r="A495" s="1049"/>
      <c r="B495" s="1060"/>
      <c r="C495" s="1077">
        <v>16</v>
      </c>
      <c r="D495" s="1076">
        <v>17</v>
      </c>
      <c r="E495" s="1083">
        <v>1.63</v>
      </c>
      <c r="F495" s="1082">
        <v>4.6500000000000004</v>
      </c>
      <c r="G495" s="1081">
        <f t="shared" si="209"/>
        <v>2.8527607361963194</v>
      </c>
      <c r="H495" s="1049"/>
      <c r="I495" s="1060"/>
      <c r="J495" s="1077">
        <v>16</v>
      </c>
      <c r="K495" s="1076">
        <v>17</v>
      </c>
      <c r="L495" s="1075">
        <v>2.214</v>
      </c>
      <c r="M495" s="1080">
        <v>8.66</v>
      </c>
      <c r="N495" s="1079">
        <f t="shared" si="210"/>
        <v>3.9114724480578142</v>
      </c>
      <c r="O495" s="1049"/>
      <c r="P495" s="1078">
        <f>P481*(X478-0.8)</f>
        <v>79.972886249999959</v>
      </c>
      <c r="Q495" s="1077">
        <v>16</v>
      </c>
      <c r="R495" s="1076">
        <v>17</v>
      </c>
      <c r="S495" s="1075">
        <v>2.6240000000000001</v>
      </c>
      <c r="T495" s="1054">
        <f t="shared" si="211"/>
        <v>5.9039999999999999</v>
      </c>
      <c r="U495" s="1064">
        <v>8.36</v>
      </c>
      <c r="V495" s="1052">
        <f t="shared" si="212"/>
        <v>3.1859756097560972</v>
      </c>
      <c r="W495" s="1049"/>
      <c r="X495" s="1074">
        <v>2.25</v>
      </c>
      <c r="Y495" s="1049"/>
      <c r="Z495" s="1050">
        <f t="shared" si="213"/>
        <v>3.8048000000000002</v>
      </c>
      <c r="AA495" s="1078">
        <f>AA481*(AI478-0.8)</f>
        <v>73.651093749999987</v>
      </c>
      <c r="AB495" s="1077">
        <v>16</v>
      </c>
      <c r="AC495" s="1076">
        <v>17</v>
      </c>
      <c r="AD495" s="1075">
        <v>2.5299999999999998</v>
      </c>
      <c r="AE495" s="1141">
        <f t="shared" si="214"/>
        <v>5.0347</v>
      </c>
      <c r="AF495" s="1140">
        <v>6.78</v>
      </c>
      <c r="AG495" s="1052">
        <f t="shared" si="215"/>
        <v>2.6798418972332021</v>
      </c>
      <c r="AH495" s="1049"/>
      <c r="AI495" s="1140">
        <v>1.99</v>
      </c>
      <c r="AJ495" s="1049"/>
      <c r="AK495" s="1050">
        <f t="shared" si="216"/>
        <v>3.0106999999999995</v>
      </c>
      <c r="AL495" s="1078"/>
      <c r="AM495" s="1078" t="e">
        <f>AM481*(AU478-0.8)</f>
        <v>#DIV/0!</v>
      </c>
      <c r="AN495" s="1077">
        <v>16</v>
      </c>
      <c r="AO495" s="1076">
        <v>17</v>
      </c>
      <c r="AP495" s="1075">
        <v>1.1200000000000001</v>
      </c>
      <c r="AQ495" s="1749">
        <f t="shared" si="217"/>
        <v>0</v>
      </c>
      <c r="AR495" s="1743">
        <v>1.52</v>
      </c>
      <c r="AS495" s="1052">
        <f t="shared" si="218"/>
        <v>1.357142857142857</v>
      </c>
      <c r="AT495" s="1049"/>
      <c r="AU495" s="1140"/>
      <c r="AV495" s="1049"/>
      <c r="AW495" s="1078" t="e">
        <f>AW481*(BD478-0.8)</f>
        <v>#DIV/0!</v>
      </c>
      <c r="AX495" s="1077">
        <v>16</v>
      </c>
      <c r="AY495" s="1076">
        <v>17</v>
      </c>
      <c r="AZ495" s="1075">
        <v>0.86</v>
      </c>
      <c r="BA495" s="1738">
        <v>1.53</v>
      </c>
      <c r="BB495" s="1743">
        <f t="shared" si="219"/>
        <v>1.7790697674418605</v>
      </c>
      <c r="BC495" s="1049"/>
      <c r="BD495" s="1140"/>
      <c r="BE495" s="1049"/>
      <c r="BF495" s="1078">
        <f>BF481*(BM478-0.8)</f>
        <v>-5.2400000000000011</v>
      </c>
      <c r="BG495" s="1077">
        <v>16</v>
      </c>
      <c r="BH495" s="1076">
        <v>17</v>
      </c>
      <c r="BI495" s="1874">
        <v>0.55000000000000004</v>
      </c>
      <c r="BJ495" s="1738"/>
      <c r="BK495" s="1049"/>
      <c r="BL495" s="1078">
        <f>BL481*(BS478-0.8)</f>
        <v>0</v>
      </c>
      <c r="BM495" s="1077">
        <v>16</v>
      </c>
      <c r="BN495" s="1076">
        <v>17</v>
      </c>
      <c r="BO495" s="1075"/>
      <c r="BP495" s="1075"/>
      <c r="BQ495" s="1049"/>
    </row>
    <row r="496" spans="1:69" ht="14.4">
      <c r="A496" s="1049"/>
      <c r="B496" s="1060"/>
      <c r="C496" s="1068">
        <v>17</v>
      </c>
      <c r="D496" s="1067">
        <v>18</v>
      </c>
      <c r="E496" s="1073">
        <v>1.34</v>
      </c>
      <c r="F496" s="1072">
        <v>4.97</v>
      </c>
      <c r="G496" s="1071">
        <f t="shared" si="209"/>
        <v>3.7089552238805967</v>
      </c>
      <c r="H496" s="1049"/>
      <c r="I496" s="1060"/>
      <c r="J496" s="1068">
        <v>17</v>
      </c>
      <c r="K496" s="1067">
        <v>18</v>
      </c>
      <c r="L496" s="1066">
        <v>1.647</v>
      </c>
      <c r="M496" s="1070">
        <v>8.0399999999999991</v>
      </c>
      <c r="N496" s="1069">
        <f t="shared" si="210"/>
        <v>4.8816029143897994</v>
      </c>
      <c r="O496" s="1049"/>
      <c r="P496" s="1058"/>
      <c r="Q496" s="1068">
        <v>17</v>
      </c>
      <c r="R496" s="1067">
        <v>18</v>
      </c>
      <c r="S496" s="1066">
        <v>4.6050000000000004</v>
      </c>
      <c r="T496" s="1054">
        <f t="shared" si="211"/>
        <v>10.407299999999999</v>
      </c>
      <c r="U496" s="1064">
        <v>4.6399999999999997</v>
      </c>
      <c r="V496" s="1052">
        <f t="shared" si="212"/>
        <v>1.0076004343105318</v>
      </c>
      <c r="W496" s="1049"/>
      <c r="X496" s="1065">
        <v>2.2599999999999998</v>
      </c>
      <c r="Y496" s="1049"/>
      <c r="Z496" s="1050">
        <f t="shared" si="213"/>
        <v>6.7232999999999992</v>
      </c>
      <c r="AA496" s="1058"/>
      <c r="AB496" s="1068">
        <v>17</v>
      </c>
      <c r="AC496" s="1067">
        <v>18</v>
      </c>
      <c r="AD496" s="1066">
        <v>2.5</v>
      </c>
      <c r="AE496" s="1139">
        <f t="shared" si="214"/>
        <v>5.1749999999999998</v>
      </c>
      <c r="AF496" s="1138">
        <v>8.84</v>
      </c>
      <c r="AG496" s="1052">
        <f t="shared" si="215"/>
        <v>3.536</v>
      </c>
      <c r="AH496" s="1049"/>
      <c r="AI496" s="1138">
        <v>2.0699999999999998</v>
      </c>
      <c r="AJ496" s="1049"/>
      <c r="AK496" s="1050">
        <f t="shared" si="216"/>
        <v>3.1749999999999994</v>
      </c>
      <c r="AL496" s="1058"/>
      <c r="AM496" s="1058"/>
      <c r="AN496" s="1068">
        <v>17</v>
      </c>
      <c r="AO496" s="1067">
        <v>18</v>
      </c>
      <c r="AP496" s="1066">
        <v>1.35</v>
      </c>
      <c r="AQ496" s="1750">
        <f t="shared" si="217"/>
        <v>0</v>
      </c>
      <c r="AR496" s="1744">
        <v>3.36</v>
      </c>
      <c r="AS496" s="1052">
        <f t="shared" si="218"/>
        <v>2.4888888888888885</v>
      </c>
      <c r="AT496" s="1049"/>
      <c r="AU496" s="1138"/>
      <c r="AV496" s="1049"/>
      <c r="AW496" s="1058"/>
      <c r="AX496" s="1068">
        <v>17</v>
      </c>
      <c r="AY496" s="1067">
        <v>18</v>
      </c>
      <c r="AZ496" s="1066">
        <v>0.45</v>
      </c>
      <c r="BA496" s="1740">
        <v>1.28</v>
      </c>
      <c r="BB496" s="1744">
        <f t="shared" si="219"/>
        <v>2.8444444444444446</v>
      </c>
      <c r="BC496" s="1049"/>
      <c r="BD496" s="1138"/>
      <c r="BE496" s="1049"/>
      <c r="BF496" s="1058"/>
      <c r="BG496" s="1068">
        <v>17</v>
      </c>
      <c r="BH496" s="1067">
        <v>18</v>
      </c>
      <c r="BI496" s="1874">
        <v>0.56000000000000005</v>
      </c>
      <c r="BJ496" s="1740"/>
      <c r="BK496" s="1049"/>
      <c r="BL496" s="1058"/>
      <c r="BM496" s="1068">
        <v>17</v>
      </c>
      <c r="BN496" s="1067">
        <v>18</v>
      </c>
      <c r="BO496" s="1066"/>
      <c r="BP496" s="1066"/>
      <c r="BQ496" s="1049"/>
    </row>
    <row r="497" spans="1:69" ht="14.4">
      <c r="A497" s="1049"/>
      <c r="B497" s="1060"/>
      <c r="C497" s="1057">
        <v>18</v>
      </c>
      <c r="D497" s="1056">
        <v>19</v>
      </c>
      <c r="E497" s="1063">
        <v>0.38</v>
      </c>
      <c r="F497" s="1062">
        <v>1.43</v>
      </c>
      <c r="G497" s="1061">
        <f t="shared" si="209"/>
        <v>3.763157894736842</v>
      </c>
      <c r="H497" s="1049"/>
      <c r="I497" s="1060"/>
      <c r="J497" s="1057">
        <v>18</v>
      </c>
      <c r="K497" s="1056">
        <v>19</v>
      </c>
      <c r="L497" s="1055">
        <v>1.651</v>
      </c>
      <c r="M497" s="1059">
        <v>8.14</v>
      </c>
      <c r="N497" s="1052">
        <f t="shared" si="210"/>
        <v>4.9303452453058751</v>
      </c>
      <c r="O497" s="1049"/>
      <c r="P497" s="1058"/>
      <c r="Q497" s="1057">
        <v>18</v>
      </c>
      <c r="R497" s="1056">
        <v>19</v>
      </c>
      <c r="S497" s="1055">
        <v>2.0110000000000001</v>
      </c>
      <c r="T497" s="1054">
        <f t="shared" si="211"/>
        <v>4.64541</v>
      </c>
      <c r="U497" s="1064">
        <v>5.2</v>
      </c>
      <c r="V497" s="1052">
        <f t="shared" si="212"/>
        <v>2.5857782197911487</v>
      </c>
      <c r="W497" s="1049"/>
      <c r="X497" s="1051">
        <v>2.31</v>
      </c>
      <c r="Y497" s="1049"/>
      <c r="Z497" s="1050">
        <f t="shared" si="213"/>
        <v>3.03661</v>
      </c>
      <c r="AA497" s="1058"/>
      <c r="AB497" s="1057">
        <v>18</v>
      </c>
      <c r="AC497" s="1056">
        <v>19</v>
      </c>
      <c r="AD497" s="1055">
        <v>2.73</v>
      </c>
      <c r="AE497" s="1137">
        <f t="shared" si="214"/>
        <v>5.6510999999999996</v>
      </c>
      <c r="AF497" s="1136">
        <v>9.67</v>
      </c>
      <c r="AG497" s="1052">
        <f t="shared" si="215"/>
        <v>3.542124542124542</v>
      </c>
      <c r="AH497" s="1049"/>
      <c r="AI497" s="1136">
        <v>2.0699999999999998</v>
      </c>
      <c r="AJ497" s="1049"/>
      <c r="AK497" s="1050">
        <f t="shared" si="216"/>
        <v>3.4670999999999994</v>
      </c>
      <c r="AL497" s="1058"/>
      <c r="AM497" s="1058"/>
      <c r="AN497" s="1057">
        <v>18</v>
      </c>
      <c r="AO497" s="1056">
        <v>19</v>
      </c>
      <c r="AP497" s="1055">
        <v>0.62</v>
      </c>
      <c r="AQ497" s="1745">
        <f t="shared" si="217"/>
        <v>0</v>
      </c>
      <c r="AR497" s="1737">
        <v>1.51</v>
      </c>
      <c r="AS497" s="1052">
        <f t="shared" si="218"/>
        <v>2.435483870967742</v>
      </c>
      <c r="AT497" s="1049"/>
      <c r="AU497" s="1136"/>
      <c r="AV497" s="1049"/>
      <c r="AW497" s="1058"/>
      <c r="AX497" s="1057">
        <v>18</v>
      </c>
      <c r="AY497" s="1056">
        <v>19</v>
      </c>
      <c r="AZ497" s="1055">
        <v>0.37</v>
      </c>
      <c r="BA497" s="1736">
        <v>1.1100000000000001</v>
      </c>
      <c r="BB497" s="1737">
        <f t="shared" si="219"/>
        <v>3.0000000000000004</v>
      </c>
      <c r="BC497" s="1049"/>
      <c r="BD497" s="1136"/>
      <c r="BE497" s="1049"/>
      <c r="BF497" s="1058"/>
      <c r="BG497" s="1057">
        <v>18</v>
      </c>
      <c r="BH497" s="1056">
        <v>19</v>
      </c>
      <c r="BI497" s="1874">
        <v>0.45</v>
      </c>
      <c r="BJ497" s="1736"/>
      <c r="BK497" s="1049"/>
      <c r="BL497" s="1058"/>
      <c r="BM497" s="1057">
        <v>18</v>
      </c>
      <c r="BN497" s="1056">
        <v>19</v>
      </c>
      <c r="BO497" s="1055"/>
      <c r="BP497" s="1055"/>
      <c r="BQ497" s="1049"/>
    </row>
    <row r="498" spans="1:69" ht="14.4">
      <c r="A498" s="1049"/>
      <c r="B498" s="1060"/>
      <c r="C498" s="1057">
        <v>19</v>
      </c>
      <c r="D498" s="1056">
        <v>20</v>
      </c>
      <c r="E498" s="1063">
        <v>0.53</v>
      </c>
      <c r="F498" s="1062">
        <v>2.02</v>
      </c>
      <c r="G498" s="1061">
        <f t="shared" si="209"/>
        <v>3.8113207547169812</v>
      </c>
      <c r="H498" s="1049"/>
      <c r="I498" s="1060"/>
      <c r="J498" s="1057">
        <v>19</v>
      </c>
      <c r="K498" s="1056">
        <v>20</v>
      </c>
      <c r="L498" s="1055">
        <v>1.671</v>
      </c>
      <c r="M498" s="1059">
        <v>8.14</v>
      </c>
      <c r="N498" s="1052">
        <f t="shared" si="210"/>
        <v>4.8713345302214242</v>
      </c>
      <c r="O498" s="1049"/>
      <c r="P498" s="1058"/>
      <c r="Q498" s="1057">
        <v>19</v>
      </c>
      <c r="R498" s="1056">
        <v>20</v>
      </c>
      <c r="S498" s="1055">
        <v>2.5960000000000001</v>
      </c>
      <c r="T498" s="1054">
        <f t="shared" si="211"/>
        <v>5.8929200000000002</v>
      </c>
      <c r="U498" s="1064">
        <v>7.27</v>
      </c>
      <c r="V498" s="1052">
        <f t="shared" si="212"/>
        <v>2.8004622496147915</v>
      </c>
      <c r="W498" s="1049"/>
      <c r="X498" s="1051">
        <v>2.27</v>
      </c>
      <c r="Y498" s="1049"/>
      <c r="Z498" s="1050">
        <f t="shared" si="213"/>
        <v>3.8161200000000002</v>
      </c>
      <c r="AA498" s="1058"/>
      <c r="AB498" s="1057">
        <v>19</v>
      </c>
      <c r="AC498" s="1056">
        <v>20</v>
      </c>
      <c r="AD498" s="1055">
        <v>3.07</v>
      </c>
      <c r="AE498" s="1137">
        <f t="shared" si="214"/>
        <v>6.0171999999999999</v>
      </c>
      <c r="AF498" s="1136">
        <v>10.53</v>
      </c>
      <c r="AG498" s="1052">
        <f t="shared" si="215"/>
        <v>3.4299674267100979</v>
      </c>
      <c r="AH498" s="1049"/>
      <c r="AI498" s="1136">
        <v>1.96</v>
      </c>
      <c r="AJ498" s="1049"/>
      <c r="AK498" s="1050">
        <f t="shared" si="216"/>
        <v>3.5611999999999995</v>
      </c>
      <c r="AL498" s="1058"/>
      <c r="AM498" s="1058"/>
      <c r="AN498" s="1057">
        <v>19</v>
      </c>
      <c r="AO498" s="1056">
        <v>20</v>
      </c>
      <c r="AP498" s="1055">
        <v>0.31</v>
      </c>
      <c r="AQ498" s="1745">
        <f t="shared" si="217"/>
        <v>0</v>
      </c>
      <c r="AR498" s="1737">
        <v>0.75</v>
      </c>
      <c r="AS498" s="1052">
        <f t="shared" si="218"/>
        <v>2.4193548387096775</v>
      </c>
      <c r="AT498" s="1049"/>
      <c r="AU498" s="1136"/>
      <c r="AV498" s="1049"/>
      <c r="AW498" s="1058"/>
      <c r="AX498" s="1057">
        <v>19</v>
      </c>
      <c r="AY498" s="1056">
        <v>20</v>
      </c>
      <c r="AZ498" s="1055">
        <v>0.32</v>
      </c>
      <c r="BA498" s="1736">
        <v>1.01</v>
      </c>
      <c r="BB498" s="1737">
        <f t="shared" si="219"/>
        <v>3.15625</v>
      </c>
      <c r="BC498" s="1049"/>
      <c r="BD498" s="1136"/>
      <c r="BE498" s="1049"/>
      <c r="BF498" s="1058"/>
      <c r="BG498" s="1057">
        <v>19</v>
      </c>
      <c r="BH498" s="1056">
        <v>20</v>
      </c>
      <c r="BI498" s="1874">
        <v>0.37</v>
      </c>
      <c r="BJ498" s="1736"/>
      <c r="BK498" s="1049"/>
      <c r="BL498" s="1058"/>
      <c r="BM498" s="1057">
        <v>19</v>
      </c>
      <c r="BN498" s="1056">
        <v>20</v>
      </c>
      <c r="BO498" s="1055"/>
      <c r="BP498" s="1055"/>
      <c r="BQ498" s="1049"/>
    </row>
    <row r="499" spans="1:69" ht="14.4">
      <c r="A499" s="1049"/>
      <c r="B499" s="1060"/>
      <c r="C499" s="1057">
        <v>20</v>
      </c>
      <c r="D499" s="1056">
        <v>21</v>
      </c>
      <c r="E499" s="1063">
        <v>0.49</v>
      </c>
      <c r="F499" s="1062">
        <v>1.46</v>
      </c>
      <c r="G499" s="1061">
        <f t="shared" si="209"/>
        <v>2.9795918367346941</v>
      </c>
      <c r="H499" s="1049"/>
      <c r="I499" s="1060"/>
      <c r="J499" s="1057">
        <v>20</v>
      </c>
      <c r="K499" s="1056">
        <v>21</v>
      </c>
      <c r="L499" s="1055">
        <v>1.3939999999999999</v>
      </c>
      <c r="M499" s="1059">
        <v>5.49</v>
      </c>
      <c r="N499" s="1052">
        <f t="shared" si="210"/>
        <v>3.9383070301291254</v>
      </c>
      <c r="O499" s="1049"/>
      <c r="P499" s="1058"/>
      <c r="Q499" s="1057">
        <v>20</v>
      </c>
      <c r="R499" s="1056">
        <v>21</v>
      </c>
      <c r="S499" s="1055">
        <v>2.718</v>
      </c>
      <c r="T499" s="1054">
        <f t="shared" si="211"/>
        <v>6.1154999999999999</v>
      </c>
      <c r="U499" s="1064">
        <v>9.4499999999999993</v>
      </c>
      <c r="V499" s="1052">
        <f t="shared" si="212"/>
        <v>3.4768211920529799</v>
      </c>
      <c r="W499" s="1049"/>
      <c r="X499" s="1051">
        <v>2.25</v>
      </c>
      <c r="Y499" s="1049"/>
      <c r="Z499" s="1050">
        <f t="shared" si="213"/>
        <v>3.9411</v>
      </c>
      <c r="AA499" s="1058"/>
      <c r="AB499" s="1057">
        <v>20</v>
      </c>
      <c r="AC499" s="1056">
        <v>21</v>
      </c>
      <c r="AD499" s="1055">
        <v>3.14</v>
      </c>
      <c r="AE499" s="1137">
        <f t="shared" si="214"/>
        <v>5.5578000000000003</v>
      </c>
      <c r="AF499" s="1136">
        <v>7.71</v>
      </c>
      <c r="AG499" s="1052">
        <f t="shared" si="215"/>
        <v>2.4554140127388533</v>
      </c>
      <c r="AH499" s="1049"/>
      <c r="AI499" s="1136">
        <v>1.77</v>
      </c>
      <c r="AJ499" s="1049"/>
      <c r="AK499" s="1050">
        <f t="shared" si="216"/>
        <v>3.0457999999999998</v>
      </c>
      <c r="AL499" s="1058"/>
      <c r="AM499" s="1058"/>
      <c r="AN499" s="1057">
        <v>20</v>
      </c>
      <c r="AO499" s="1056">
        <v>21</v>
      </c>
      <c r="AP499" s="1055">
        <v>0.39</v>
      </c>
      <c r="AQ499" s="1745">
        <f t="shared" si="217"/>
        <v>0</v>
      </c>
      <c r="AR499" s="1737">
        <v>0.63</v>
      </c>
      <c r="AS499" s="1052">
        <f t="shared" si="218"/>
        <v>1.6153846153846154</v>
      </c>
      <c r="AT499" s="1049"/>
      <c r="AU499" s="1136"/>
      <c r="AV499" s="1049"/>
      <c r="AW499" s="1058"/>
      <c r="AX499" s="1057">
        <v>20</v>
      </c>
      <c r="AY499" s="1056">
        <v>21</v>
      </c>
      <c r="AZ499" s="1055">
        <v>0.28999999999999998</v>
      </c>
      <c r="BA499" s="1736">
        <v>0.65</v>
      </c>
      <c r="BB499" s="1737">
        <f t="shared" si="219"/>
        <v>2.2413793103448278</v>
      </c>
      <c r="BC499" s="1049"/>
      <c r="BD499" s="1136"/>
      <c r="BE499" s="1049"/>
      <c r="BF499" s="1058"/>
      <c r="BG499" s="1057">
        <v>20</v>
      </c>
      <c r="BH499" s="1056">
        <v>21</v>
      </c>
      <c r="BI499" s="1874">
        <v>0.28000000000000003</v>
      </c>
      <c r="BJ499" s="1736"/>
      <c r="BK499" s="1049"/>
      <c r="BL499" s="1058"/>
      <c r="BM499" s="1057">
        <v>20</v>
      </c>
      <c r="BN499" s="1056">
        <v>21</v>
      </c>
      <c r="BO499" s="1055"/>
      <c r="BP499" s="1055"/>
      <c r="BQ499" s="1049"/>
    </row>
    <row r="500" spans="1:69" ht="14.4">
      <c r="A500" s="1049"/>
      <c r="B500" s="1060"/>
      <c r="C500" s="1057">
        <v>21</v>
      </c>
      <c r="D500" s="1056">
        <v>22</v>
      </c>
      <c r="E500" s="1063">
        <v>0.42</v>
      </c>
      <c r="F500" s="1062">
        <v>1.19</v>
      </c>
      <c r="G500" s="1061">
        <f t="shared" si="209"/>
        <v>2.8333333333333335</v>
      </c>
      <c r="H500" s="1049"/>
      <c r="I500" s="1060"/>
      <c r="J500" s="1057">
        <v>21</v>
      </c>
      <c r="K500" s="1056">
        <v>22</v>
      </c>
      <c r="L500" s="1055">
        <v>1.2969999999999999</v>
      </c>
      <c r="M500" s="1059">
        <v>4.75</v>
      </c>
      <c r="N500" s="1052">
        <f t="shared" si="210"/>
        <v>3.6622976098689284</v>
      </c>
      <c r="O500" s="1049"/>
      <c r="P500" s="1058"/>
      <c r="Q500" s="1057">
        <v>21</v>
      </c>
      <c r="R500" s="1056">
        <v>22</v>
      </c>
      <c r="S500" s="1055">
        <v>2.7149999999999999</v>
      </c>
      <c r="T500" s="1054">
        <f t="shared" si="211"/>
        <v>6.1630500000000001</v>
      </c>
      <c r="U500" s="1064">
        <v>7.8</v>
      </c>
      <c r="V500" s="1052">
        <f t="shared" si="212"/>
        <v>2.8729281767955803</v>
      </c>
      <c r="W500" s="1049"/>
      <c r="X500" s="1051">
        <v>2.27</v>
      </c>
      <c r="Y500" s="1049"/>
      <c r="Z500" s="1050">
        <f t="shared" si="213"/>
        <v>3.9910499999999995</v>
      </c>
      <c r="AA500" s="1058"/>
      <c r="AB500" s="1057">
        <v>21</v>
      </c>
      <c r="AC500" s="1056">
        <v>22</v>
      </c>
      <c r="AD500" s="1055">
        <v>3.3</v>
      </c>
      <c r="AE500" s="1137">
        <f t="shared" si="214"/>
        <v>5.5439999999999996</v>
      </c>
      <c r="AF500" s="1136">
        <v>7.81</v>
      </c>
      <c r="AG500" s="1052">
        <f t="shared" si="215"/>
        <v>2.3666666666666667</v>
      </c>
      <c r="AH500" s="1049"/>
      <c r="AI500" s="1136">
        <v>1.68</v>
      </c>
      <c r="AJ500" s="1049"/>
      <c r="AK500" s="1050">
        <f t="shared" si="216"/>
        <v>2.9039999999999995</v>
      </c>
      <c r="AL500" s="1058"/>
      <c r="AM500" s="1058"/>
      <c r="AN500" s="1057">
        <v>21</v>
      </c>
      <c r="AO500" s="1056">
        <v>22</v>
      </c>
      <c r="AP500" s="1055">
        <v>0.28000000000000003</v>
      </c>
      <c r="AQ500" s="1745">
        <f t="shared" si="217"/>
        <v>0</v>
      </c>
      <c r="AR500" s="1737">
        <v>0.45</v>
      </c>
      <c r="AS500" s="1052">
        <f t="shared" si="218"/>
        <v>1.607142857142857</v>
      </c>
      <c r="AT500" s="1049"/>
      <c r="AU500" s="1136"/>
      <c r="AV500" s="1049"/>
      <c r="AW500" s="1058"/>
      <c r="AX500" s="1057">
        <v>21</v>
      </c>
      <c r="AY500" s="1056">
        <v>22</v>
      </c>
      <c r="AZ500" s="1055">
        <v>0.3</v>
      </c>
      <c r="BA500" s="1736">
        <v>0.62</v>
      </c>
      <c r="BB500" s="1737">
        <f t="shared" si="219"/>
        <v>2.0666666666666669</v>
      </c>
      <c r="BC500" s="1049"/>
      <c r="BD500" s="1136"/>
      <c r="BE500" s="1049"/>
      <c r="BF500" s="1058"/>
      <c r="BG500" s="1057">
        <v>21</v>
      </c>
      <c r="BH500" s="1056">
        <v>22</v>
      </c>
      <c r="BI500" s="1874">
        <v>0.32</v>
      </c>
      <c r="BJ500" s="1736"/>
      <c r="BK500" s="1049"/>
      <c r="BL500" s="1058"/>
      <c r="BM500" s="1057">
        <v>21</v>
      </c>
      <c r="BN500" s="1056">
        <v>22</v>
      </c>
      <c r="BO500" s="1055"/>
      <c r="BP500" s="1055"/>
      <c r="BQ500" s="1049"/>
    </row>
    <row r="501" spans="1:69" ht="14.4">
      <c r="A501" s="1049"/>
      <c r="B501" s="1060"/>
      <c r="C501" s="1057">
        <v>22</v>
      </c>
      <c r="D501" s="1056">
        <v>23</v>
      </c>
      <c r="E501" s="1063">
        <v>0.45</v>
      </c>
      <c r="F501" s="1062">
        <v>1.24</v>
      </c>
      <c r="G501" s="1061">
        <f t="shared" si="209"/>
        <v>2.7555555555555555</v>
      </c>
      <c r="H501" s="1049"/>
      <c r="I501" s="1060"/>
      <c r="J501" s="1057">
        <v>22</v>
      </c>
      <c r="K501" s="1056">
        <v>23</v>
      </c>
      <c r="L501" s="1055">
        <v>1.3779999999999999</v>
      </c>
      <c r="M501" s="1059">
        <v>5</v>
      </c>
      <c r="N501" s="1052">
        <f t="shared" si="210"/>
        <v>3.6284470246734402</v>
      </c>
      <c r="O501" s="1049"/>
      <c r="P501" s="1058"/>
      <c r="Q501" s="1057">
        <v>22</v>
      </c>
      <c r="R501" s="1056">
        <v>23</v>
      </c>
      <c r="S501" s="1055">
        <v>2.1040000000000001</v>
      </c>
      <c r="T501" s="1054">
        <f t="shared" si="211"/>
        <v>4.4184000000000001</v>
      </c>
      <c r="U501" s="1064">
        <v>4.1100000000000003</v>
      </c>
      <c r="V501" s="1052">
        <f t="shared" si="212"/>
        <v>1.9534220532319393</v>
      </c>
      <c r="W501" s="1049"/>
      <c r="X501" s="1051">
        <v>2.1</v>
      </c>
      <c r="Y501" s="1049"/>
      <c r="Z501" s="1050">
        <f t="shared" si="213"/>
        <v>2.7352000000000003</v>
      </c>
      <c r="AA501" s="1058"/>
      <c r="AB501" s="1057">
        <v>22</v>
      </c>
      <c r="AC501" s="1056">
        <v>23</v>
      </c>
      <c r="AD501" s="1055">
        <v>3.28</v>
      </c>
      <c r="AE501" s="1137">
        <f t="shared" si="214"/>
        <v>5.411999999999999</v>
      </c>
      <c r="AF501" s="1136">
        <v>7.67</v>
      </c>
      <c r="AG501" s="1052">
        <f t="shared" si="215"/>
        <v>2.3384146341463414</v>
      </c>
      <c r="AH501" s="1049"/>
      <c r="AI501" s="1136">
        <v>1.65</v>
      </c>
      <c r="AJ501" s="1049"/>
      <c r="AK501" s="1050">
        <f t="shared" si="216"/>
        <v>2.7879999999999994</v>
      </c>
      <c r="AL501" s="1058"/>
      <c r="AM501" s="1058"/>
      <c r="AN501" s="1057">
        <v>22</v>
      </c>
      <c r="AO501" s="1056">
        <v>23</v>
      </c>
      <c r="AP501" s="1055">
        <v>0.15</v>
      </c>
      <c r="AQ501" s="1745">
        <f t="shared" si="217"/>
        <v>0</v>
      </c>
      <c r="AR501" s="1737">
        <v>0.24</v>
      </c>
      <c r="AS501" s="1052">
        <f t="shared" si="218"/>
        <v>1.6</v>
      </c>
      <c r="AT501" s="1049"/>
      <c r="AU501" s="1136"/>
      <c r="AV501" s="1049"/>
      <c r="AW501" s="1058"/>
      <c r="AX501" s="1057">
        <v>22</v>
      </c>
      <c r="AY501" s="1056">
        <v>23</v>
      </c>
      <c r="AZ501" s="1055">
        <v>0.32</v>
      </c>
      <c r="BA501" s="1736">
        <v>0.64</v>
      </c>
      <c r="BB501" s="1737">
        <f t="shared" si="219"/>
        <v>2</v>
      </c>
      <c r="BC501" s="1049"/>
      <c r="BD501" s="1136"/>
      <c r="BE501" s="1049"/>
      <c r="BF501" s="1058"/>
      <c r="BG501" s="1057">
        <v>22</v>
      </c>
      <c r="BH501" s="1056">
        <v>23</v>
      </c>
      <c r="BI501" s="1874">
        <v>0.21</v>
      </c>
      <c r="BJ501" s="1736"/>
      <c r="BK501" s="1049"/>
      <c r="BL501" s="1058"/>
      <c r="BM501" s="1057">
        <v>22</v>
      </c>
      <c r="BN501" s="1056">
        <v>23</v>
      </c>
      <c r="BO501" s="1055"/>
      <c r="BP501" s="1055"/>
      <c r="BQ501" s="1049"/>
    </row>
    <row r="502" spans="1:69" ht="14.4">
      <c r="A502" s="1049"/>
      <c r="B502" s="1060"/>
      <c r="C502" s="1057">
        <v>23</v>
      </c>
      <c r="D502" s="1056">
        <v>24</v>
      </c>
      <c r="E502" s="1063">
        <v>0.31</v>
      </c>
      <c r="F502" s="1062">
        <v>0.82</v>
      </c>
      <c r="G502" s="1061">
        <f t="shared" si="209"/>
        <v>2.6451612903225805</v>
      </c>
      <c r="H502" s="1049"/>
      <c r="I502" s="1060"/>
      <c r="J502" s="1057">
        <v>23</v>
      </c>
      <c r="K502" s="1056">
        <v>24</v>
      </c>
      <c r="L502" s="1055">
        <v>1.2769999999999999</v>
      </c>
      <c r="M502" s="1059">
        <v>4.13</v>
      </c>
      <c r="N502" s="1052">
        <f t="shared" si="210"/>
        <v>3.2341425215348476</v>
      </c>
      <c r="O502" s="1049"/>
      <c r="P502" s="1058"/>
      <c r="Q502" s="1057">
        <v>23</v>
      </c>
      <c r="R502" s="1056">
        <v>24</v>
      </c>
      <c r="S502" s="1055">
        <v>2.4889999999999999</v>
      </c>
      <c r="T502" s="1054">
        <f t="shared" si="211"/>
        <v>4.6046500000000004</v>
      </c>
      <c r="U502" s="1053">
        <v>3.07</v>
      </c>
      <c r="V502" s="1052">
        <f t="shared" si="212"/>
        <v>1.2334270791482522</v>
      </c>
      <c r="W502" s="1049"/>
      <c r="X502" s="1051">
        <v>1.85</v>
      </c>
      <c r="Y502" s="1049"/>
      <c r="Z502" s="1050">
        <f t="shared" si="213"/>
        <v>2.6134499999999998</v>
      </c>
      <c r="AA502" s="1058"/>
      <c r="AB502" s="1057">
        <v>23</v>
      </c>
      <c r="AC502" s="1056">
        <v>24</v>
      </c>
      <c r="AD502" s="1055">
        <v>2.95</v>
      </c>
      <c r="AE502" s="1137">
        <f t="shared" si="214"/>
        <v>4.4250000000000007</v>
      </c>
      <c r="AF502" s="1136">
        <v>6.47</v>
      </c>
      <c r="AG502" s="1052">
        <f t="shared" si="215"/>
        <v>2.1932203389830507</v>
      </c>
      <c r="AH502" s="1049"/>
      <c r="AI502" s="1136">
        <v>1.5</v>
      </c>
      <c r="AJ502" s="1049"/>
      <c r="AK502" s="1050">
        <f t="shared" si="216"/>
        <v>2.0649999999999999</v>
      </c>
      <c r="AL502" s="1058"/>
      <c r="AM502" s="1058"/>
      <c r="AN502" s="1057">
        <v>23</v>
      </c>
      <c r="AO502" s="1056">
        <v>24</v>
      </c>
      <c r="AP502" s="1055">
        <v>0.1</v>
      </c>
      <c r="AQ502" s="1745">
        <f t="shared" si="217"/>
        <v>0</v>
      </c>
      <c r="AR502" s="1737">
        <v>0.15</v>
      </c>
      <c r="AS502" s="1052">
        <f t="shared" si="218"/>
        <v>1.4999999999999998</v>
      </c>
      <c r="AT502" s="1049"/>
      <c r="AU502" s="1136"/>
      <c r="AV502" s="1049"/>
      <c r="AW502" s="1058"/>
      <c r="AX502" s="1057">
        <v>23</v>
      </c>
      <c r="AY502" s="1056">
        <v>24</v>
      </c>
      <c r="AZ502" s="1055">
        <v>0.14000000000000001</v>
      </c>
      <c r="BA502" s="1736">
        <v>0.27</v>
      </c>
      <c r="BB502" s="1737">
        <f t="shared" si="219"/>
        <v>1.9285714285714286</v>
      </c>
      <c r="BC502" s="1049"/>
      <c r="BD502" s="1136"/>
      <c r="BE502" s="1049"/>
      <c r="BF502" s="1058"/>
      <c r="BG502" s="1057">
        <v>23</v>
      </c>
      <c r="BH502" s="1056">
        <v>24</v>
      </c>
      <c r="BI502" s="1874">
        <v>0.18</v>
      </c>
      <c r="BJ502" s="1736"/>
      <c r="BK502" s="1049"/>
      <c r="BL502" s="1058"/>
      <c r="BM502" s="1057">
        <v>23</v>
      </c>
      <c r="BN502" s="1056">
        <v>24</v>
      </c>
      <c r="BO502" s="1055"/>
      <c r="BP502" s="1055"/>
      <c r="BQ502" s="1049"/>
    </row>
    <row r="503" spans="1:69" ht="14.4">
      <c r="A503" s="1036"/>
      <c r="B503" s="1044"/>
      <c r="C503" s="1135"/>
      <c r="D503" s="1135"/>
      <c r="E503" s="1134"/>
      <c r="F503" s="1133"/>
      <c r="G503" s="1132"/>
      <c r="H503" s="1044"/>
      <c r="I503" s="1044" t="s">
        <v>1138</v>
      </c>
      <c r="J503" s="1046"/>
      <c r="K503" s="1046"/>
      <c r="L503" s="1129">
        <f>AVERAGE(L504:L527)</f>
        <v>1.5900416666666668</v>
      </c>
      <c r="M503" s="1131">
        <f>AVERAGE(M504:M527)</f>
        <v>6.6358333333333333</v>
      </c>
      <c r="N503" s="1039">
        <f>AVERAGE(N504:N527)</f>
        <v>4.1117134351015325</v>
      </c>
      <c r="O503" s="1044"/>
      <c r="P503" s="1130" t="s">
        <v>1131</v>
      </c>
      <c r="Q503" s="1046"/>
      <c r="R503" s="1046"/>
      <c r="S503" s="1129">
        <f>AVERAGE(S504:S527)</f>
        <v>1.9975000000000003</v>
      </c>
      <c r="T503" s="1128">
        <f>SUM(T504:T527)</f>
        <v>112.96376000000002</v>
      </c>
      <c r="U503" s="1040">
        <f>AVERAGE(U504:U527)</f>
        <v>6.5487499999999992</v>
      </c>
      <c r="V503" s="1039">
        <f>AVERAGE(V504:V527)</f>
        <v>3.0613928326686164</v>
      </c>
      <c r="W503" s="1036"/>
      <c r="X503" s="1038">
        <f>AVERAGE(X512:X527)</f>
        <v>2.3612500000000005</v>
      </c>
      <c r="Y503" s="1036"/>
      <c r="Z503" s="1127">
        <f>SUM(Z504:Z527)</f>
        <v>74.61175999999999</v>
      </c>
      <c r="AA503" s="1130"/>
      <c r="AB503" s="1046"/>
      <c r="AC503" s="1046"/>
      <c r="AD503" s="1129">
        <f>AVERAGE(AD504:AD527)</f>
        <v>2.6789583333333336</v>
      </c>
      <c r="AE503" s="1128">
        <f>SUM(AE504:AE527)</f>
        <v>95.110950000000017</v>
      </c>
      <c r="AF503" s="1040">
        <f>AVERAGE(AF504:AF527)</f>
        <v>6.120000000000001</v>
      </c>
      <c r="AG503" s="1039">
        <f>AVERAGE(AG504:AG527)</f>
        <v>2.1741171527613026</v>
      </c>
      <c r="AH503" s="1036"/>
      <c r="AI503" s="1038">
        <f>AVERAGE(AI512:AI527)</f>
        <v>1.5125</v>
      </c>
      <c r="AJ503" s="1036"/>
      <c r="AK503" s="1127">
        <f>SUM(AK504:AK527)</f>
        <v>43.674949999999995</v>
      </c>
      <c r="AL503" s="1130"/>
      <c r="AM503" s="1130"/>
      <c r="AN503" s="1046"/>
      <c r="AO503" s="1046"/>
      <c r="AP503" s="1129">
        <f>AVERAGE(AP504:AP527)</f>
        <v>0.29291666666666666</v>
      </c>
      <c r="AQ503" s="1734">
        <f>SUM(AQ504:AQ527)</f>
        <v>0</v>
      </c>
      <c r="AR503" s="1735">
        <f>AVERAGE(AR504:AR527)</f>
        <v>0.65249999999999997</v>
      </c>
      <c r="AS503" s="1039">
        <f>AVERAGE(AS504:AS527)</f>
        <v>1.9065824469998429</v>
      </c>
      <c r="AT503" s="1036"/>
      <c r="AU503" s="1038" t="e">
        <f>AVERAGE(AU512:AU527)</f>
        <v>#DIV/0!</v>
      </c>
      <c r="AV503" s="1036"/>
      <c r="AW503" s="1130"/>
      <c r="AX503" s="1046"/>
      <c r="AY503" s="1046"/>
      <c r="AZ503" s="1129">
        <f>AVERAGE(AZ504:AZ527)</f>
        <v>0.32375000000000004</v>
      </c>
      <c r="BA503" s="1045">
        <f>AVERAGE(BA504:BA527)</f>
        <v>0.61375000000000013</v>
      </c>
      <c r="BB503" s="1039">
        <f>AVERAGE(BB504:BB527)</f>
        <v>1.8513648273445336</v>
      </c>
      <c r="BC503" s="1036"/>
      <c r="BD503" s="1038" t="e">
        <f>AVERAGE(BD512:BD527)</f>
        <v>#DIV/0!</v>
      </c>
      <c r="BE503" s="1036"/>
      <c r="BF503" s="1130"/>
      <c r="BG503" s="2756">
        <f>BF504</f>
        <v>45037</v>
      </c>
      <c r="BH503" s="2756"/>
      <c r="BI503" s="1897">
        <f>SUM(BI504:BI527)</f>
        <v>6.2100000000000009</v>
      </c>
      <c r="BJ503" s="1898">
        <f>SUM(BJ504:BJ527)</f>
        <v>0</v>
      </c>
      <c r="BK503" s="1036"/>
      <c r="BL503" s="1130"/>
      <c r="BM503" s="1046"/>
      <c r="BN503" s="1046"/>
      <c r="BO503" s="1129" t="e">
        <f>AVERAGE(BO504:BO527)</f>
        <v>#DIV/0!</v>
      </c>
      <c r="BP503" s="1129" t="e">
        <f>AVERAGE(BP504:BP527)</f>
        <v>#DIV/0!</v>
      </c>
      <c r="BQ503" s="1036"/>
    </row>
    <row r="504" spans="1:69" ht="14.4">
      <c r="A504" s="1049"/>
      <c r="B504" s="1126">
        <v>44855</v>
      </c>
      <c r="C504" s="1057">
        <v>0</v>
      </c>
      <c r="D504" s="1056">
        <v>1</v>
      </c>
      <c r="E504" s="1063">
        <v>0.22</v>
      </c>
      <c r="F504" s="1062">
        <v>0.62</v>
      </c>
      <c r="G504" s="1061">
        <f t="shared" ref="G504:G527" si="220">F504/E504</f>
        <v>2.8181818181818183</v>
      </c>
      <c r="H504" s="1049"/>
      <c r="I504" s="1126">
        <v>44886</v>
      </c>
      <c r="J504" s="1057">
        <v>0</v>
      </c>
      <c r="K504" s="1056">
        <v>1</v>
      </c>
      <c r="L504" s="1055">
        <v>1.77</v>
      </c>
      <c r="M504" s="1059">
        <v>5.23</v>
      </c>
      <c r="N504" s="1052">
        <f t="shared" ref="N504:N527" si="221">M504/L504</f>
        <v>2.9548022598870061</v>
      </c>
      <c r="O504" s="1049"/>
      <c r="P504" s="1125">
        <v>44916</v>
      </c>
      <c r="Q504" s="1057">
        <v>0</v>
      </c>
      <c r="R504" s="1056">
        <v>1</v>
      </c>
      <c r="S504" s="1055">
        <v>1.224</v>
      </c>
      <c r="T504" s="1054">
        <f t="shared" ref="T504:T527" si="222">S504*X504</f>
        <v>2.3745599999999998</v>
      </c>
      <c r="U504" s="1064">
        <v>3.51</v>
      </c>
      <c r="V504" s="1052">
        <f>U504/S504</f>
        <v>2.8676470588235294</v>
      </c>
      <c r="W504" s="1049"/>
      <c r="X504" s="1051">
        <v>1.94</v>
      </c>
      <c r="Y504" s="1049"/>
      <c r="Z504" s="1050">
        <f t="shared" ref="Z504:Z527" si="223">S504*(X504-0.8)</f>
        <v>1.3953599999999999</v>
      </c>
      <c r="AA504" s="1125">
        <v>44947</v>
      </c>
      <c r="AB504" s="1057">
        <v>0</v>
      </c>
      <c r="AC504" s="1056">
        <v>1</v>
      </c>
      <c r="AD504" s="1055">
        <v>1.9830000000000001</v>
      </c>
      <c r="AE504" s="1137">
        <f t="shared" ref="AE504:AE527" si="224">AD504*AI504</f>
        <v>2.9150100000000001</v>
      </c>
      <c r="AF504" s="1136">
        <v>4.29</v>
      </c>
      <c r="AG504" s="1052">
        <f>AF504/AD504</f>
        <v>2.1633888048411496</v>
      </c>
      <c r="AH504" s="1049"/>
      <c r="AI504" s="1136">
        <v>1.47</v>
      </c>
      <c r="AJ504" s="1049"/>
      <c r="AK504" s="1050">
        <f t="shared" ref="AK504:AK527" si="225">AD504*(AI504-0.8)</f>
        <v>1.3286099999999998</v>
      </c>
      <c r="AL504" s="1125"/>
      <c r="AM504" s="1125">
        <v>44978</v>
      </c>
      <c r="AN504" s="1057">
        <v>0</v>
      </c>
      <c r="AO504" s="1056">
        <v>1</v>
      </c>
      <c r="AP504" s="1055">
        <v>0.12</v>
      </c>
      <c r="AQ504" s="1745">
        <f t="shared" ref="AQ504:AQ527" si="226">AP504*AU504</f>
        <v>0</v>
      </c>
      <c r="AR504" s="1737">
        <v>0.16</v>
      </c>
      <c r="AS504" s="1052">
        <f>AR504/AP504</f>
        <v>1.3333333333333335</v>
      </c>
      <c r="AT504" s="1049"/>
      <c r="AU504" s="1136"/>
      <c r="AV504" s="1049"/>
      <c r="AW504" s="1125">
        <v>45006</v>
      </c>
      <c r="AX504" s="1057">
        <v>0</v>
      </c>
      <c r="AY504" s="1056">
        <v>1</v>
      </c>
      <c r="AZ504" s="1055">
        <v>0.1</v>
      </c>
      <c r="BA504" s="1736">
        <v>0.19</v>
      </c>
      <c r="BB504" s="1737">
        <f>BA504/AZ504</f>
        <v>1.9</v>
      </c>
      <c r="BC504" s="1049"/>
      <c r="BD504" s="1136"/>
      <c r="BE504" s="1049"/>
      <c r="BF504" s="1125">
        <v>45037</v>
      </c>
      <c r="BG504" s="1057">
        <v>0</v>
      </c>
      <c r="BH504" s="1056">
        <v>1</v>
      </c>
      <c r="BI504" s="1874">
        <v>0.1</v>
      </c>
      <c r="BJ504" s="1736"/>
      <c r="BK504" s="1049"/>
      <c r="BL504" s="1125">
        <v>45037</v>
      </c>
      <c r="BM504" s="1057">
        <v>0</v>
      </c>
      <c r="BN504" s="1056">
        <v>1</v>
      </c>
      <c r="BO504" s="1055"/>
      <c r="BP504" s="1055"/>
      <c r="BQ504" s="1049"/>
    </row>
    <row r="505" spans="1:69" ht="14.4">
      <c r="A505" s="1049"/>
      <c r="B505" s="1124"/>
      <c r="C505" s="1057">
        <v>1</v>
      </c>
      <c r="D505" s="1056">
        <v>2</v>
      </c>
      <c r="E505" s="1063">
        <v>0.17</v>
      </c>
      <c r="F505" s="1062">
        <v>0.45</v>
      </c>
      <c r="G505" s="1061">
        <f t="shared" si="220"/>
        <v>2.6470588235294117</v>
      </c>
      <c r="H505" s="1049"/>
      <c r="I505" s="1124"/>
      <c r="J505" s="1057">
        <v>1</v>
      </c>
      <c r="K505" s="1056">
        <v>2</v>
      </c>
      <c r="L505" s="1055">
        <v>1.2210000000000001</v>
      </c>
      <c r="M505" s="1059">
        <v>3.62</v>
      </c>
      <c r="N505" s="1052">
        <f t="shared" si="221"/>
        <v>2.9647829647829647</v>
      </c>
      <c r="O505" s="1049"/>
      <c r="P505" s="1123"/>
      <c r="Q505" s="1057">
        <v>1</v>
      </c>
      <c r="R505" s="1056">
        <v>2</v>
      </c>
      <c r="S505" s="1055">
        <v>0.02</v>
      </c>
      <c r="T505" s="1054">
        <f t="shared" si="222"/>
        <v>3.7600000000000001E-2</v>
      </c>
      <c r="U505" s="1064">
        <v>0.06</v>
      </c>
      <c r="V505" s="1052">
        <f>U505/S505</f>
        <v>3</v>
      </c>
      <c r="W505" s="1049"/>
      <c r="X505" s="1051">
        <v>1.88</v>
      </c>
      <c r="Y505" s="1049"/>
      <c r="Z505" s="1050">
        <f t="shared" si="223"/>
        <v>2.1599999999999998E-2</v>
      </c>
      <c r="AA505" s="1123"/>
      <c r="AB505" s="1057">
        <v>1</v>
      </c>
      <c r="AC505" s="1056">
        <v>2</v>
      </c>
      <c r="AD505" s="1055">
        <v>1.859</v>
      </c>
      <c r="AE505" s="1137">
        <f t="shared" si="224"/>
        <v>2.6583699999999997</v>
      </c>
      <c r="AF505" s="1136">
        <v>3.95</v>
      </c>
      <c r="AG505" s="1052">
        <f>AF505/AD505</f>
        <v>2.1247982786444326</v>
      </c>
      <c r="AH505" s="1049"/>
      <c r="AI505" s="1136">
        <v>1.43</v>
      </c>
      <c r="AJ505" s="1049"/>
      <c r="AK505" s="1050">
        <f t="shared" si="225"/>
        <v>1.1711699999999998</v>
      </c>
      <c r="AL505" s="1123"/>
      <c r="AM505" s="1123"/>
      <c r="AN505" s="1057">
        <v>1</v>
      </c>
      <c r="AO505" s="1056">
        <v>2</v>
      </c>
      <c r="AP505" s="1055">
        <v>0.11</v>
      </c>
      <c r="AQ505" s="1745">
        <f t="shared" si="226"/>
        <v>0</v>
      </c>
      <c r="AR505" s="1737">
        <v>0.14000000000000001</v>
      </c>
      <c r="AS505" s="1052">
        <f>AR505/AP505</f>
        <v>1.2727272727272729</v>
      </c>
      <c r="AT505" s="1049"/>
      <c r="AU505" s="1136"/>
      <c r="AV505" s="1049"/>
      <c r="AW505" s="1123"/>
      <c r="AX505" s="1057">
        <v>1</v>
      </c>
      <c r="AY505" s="1056">
        <v>2</v>
      </c>
      <c r="AZ505" s="1055">
        <v>0.31</v>
      </c>
      <c r="BA505" s="1736">
        <v>0.57999999999999996</v>
      </c>
      <c r="BB505" s="1737">
        <f>BA505/AZ505</f>
        <v>1.8709677419354838</v>
      </c>
      <c r="BC505" s="1049"/>
      <c r="BD505" s="1136"/>
      <c r="BE505" s="1049"/>
      <c r="BF505" s="1123"/>
      <c r="BG505" s="1057">
        <v>1</v>
      </c>
      <c r="BH505" s="1056">
        <v>2</v>
      </c>
      <c r="BI505" s="1874">
        <v>0.16</v>
      </c>
      <c r="BJ505" s="1736"/>
      <c r="BK505" s="1049"/>
      <c r="BL505" s="1123"/>
      <c r="BM505" s="1057">
        <v>1</v>
      </c>
      <c r="BN505" s="1056">
        <v>2</v>
      </c>
      <c r="BO505" s="1055"/>
      <c r="BP505" s="1055"/>
      <c r="BQ505" s="1049"/>
    </row>
    <row r="506" spans="1:69" ht="14.4">
      <c r="A506" s="1049"/>
      <c r="B506" s="1122">
        <f>SUM(E504:E527)</f>
        <v>13.950000000000001</v>
      </c>
      <c r="C506" s="1057">
        <v>2</v>
      </c>
      <c r="D506" s="1056">
        <v>3</v>
      </c>
      <c r="E506" s="1063">
        <v>0.18</v>
      </c>
      <c r="F506" s="1062">
        <v>0.48</v>
      </c>
      <c r="G506" s="1061">
        <f t="shared" si="220"/>
        <v>2.6666666666666665</v>
      </c>
      <c r="H506" s="1049"/>
      <c r="I506" s="1122">
        <f>SUM(L504:L527)</f>
        <v>38.161000000000001</v>
      </c>
      <c r="J506" s="1057">
        <v>2</v>
      </c>
      <c r="K506" s="1056">
        <v>3</v>
      </c>
      <c r="L506" s="1055">
        <v>1.198</v>
      </c>
      <c r="M506" s="1059">
        <v>3.65</v>
      </c>
      <c r="N506" s="1052">
        <f t="shared" si="221"/>
        <v>3.0467445742904844</v>
      </c>
      <c r="O506" s="1049"/>
      <c r="P506" s="1121">
        <f>SUM(S504:S527)</f>
        <v>47.940000000000005</v>
      </c>
      <c r="Q506" s="1057">
        <v>2</v>
      </c>
      <c r="R506" s="1056">
        <v>3</v>
      </c>
      <c r="S506" s="1055">
        <v>0</v>
      </c>
      <c r="T506" s="1054">
        <f t="shared" si="222"/>
        <v>0</v>
      </c>
      <c r="U506" s="1064">
        <v>0</v>
      </c>
      <c r="V506" s="1052">
        <v>0</v>
      </c>
      <c r="W506" s="1049"/>
      <c r="X506" s="1051">
        <v>1.92</v>
      </c>
      <c r="Y506" s="1049"/>
      <c r="Z506" s="1050">
        <f t="shared" si="223"/>
        <v>0</v>
      </c>
      <c r="AA506" s="1121">
        <f>SUM(AD504:AD527)</f>
        <v>64.295000000000002</v>
      </c>
      <c r="AB506" s="1057">
        <v>2</v>
      </c>
      <c r="AC506" s="1056">
        <v>3</v>
      </c>
      <c r="AD506" s="1055">
        <v>1.925</v>
      </c>
      <c r="AE506" s="1137">
        <f t="shared" si="224"/>
        <v>2.7719999999999998</v>
      </c>
      <c r="AF506" s="1136">
        <v>4.09</v>
      </c>
      <c r="AG506" s="1052">
        <v>0</v>
      </c>
      <c r="AH506" s="1049"/>
      <c r="AI506" s="1136">
        <v>1.44</v>
      </c>
      <c r="AJ506" s="1049"/>
      <c r="AK506" s="1050">
        <f t="shared" si="225"/>
        <v>1.2319999999999998</v>
      </c>
      <c r="AL506" s="1121"/>
      <c r="AM506" s="1121">
        <f>SUM(AP504:AP527)</f>
        <v>7.03</v>
      </c>
      <c r="AN506" s="1057">
        <v>2</v>
      </c>
      <c r="AO506" s="1056">
        <v>3</v>
      </c>
      <c r="AP506" s="1055">
        <v>0.13</v>
      </c>
      <c r="AQ506" s="1745">
        <f t="shared" si="226"/>
        <v>0</v>
      </c>
      <c r="AR506" s="1737">
        <v>0.16</v>
      </c>
      <c r="AS506" s="1052">
        <v>0</v>
      </c>
      <c r="AT506" s="1049"/>
      <c r="AU506" s="1136"/>
      <c r="AV506" s="1049"/>
      <c r="AW506" s="1121">
        <f>SUM(AZ504:AZ527)</f>
        <v>7.7700000000000014</v>
      </c>
      <c r="AX506" s="1057">
        <v>2</v>
      </c>
      <c r="AY506" s="1056">
        <v>3</v>
      </c>
      <c r="AZ506" s="1055">
        <v>0.2</v>
      </c>
      <c r="BA506" s="1736">
        <v>0.37</v>
      </c>
      <c r="BB506" s="1737">
        <v>0</v>
      </c>
      <c r="BC506" s="1049"/>
      <c r="BD506" s="1136"/>
      <c r="BE506" s="1049"/>
      <c r="BF506" s="1121">
        <f>SUM(BI504:BI527)</f>
        <v>6.2100000000000009</v>
      </c>
      <c r="BG506" s="1057">
        <v>2</v>
      </c>
      <c r="BH506" s="1056">
        <v>3</v>
      </c>
      <c r="BI506" s="1874">
        <v>0.12</v>
      </c>
      <c r="BJ506" s="1736"/>
      <c r="BK506" s="1049"/>
      <c r="BL506" s="1121">
        <f>SUM(BO504:BO527)+SUM(BP504:BP527)</f>
        <v>0</v>
      </c>
      <c r="BM506" s="1057">
        <v>2</v>
      </c>
      <c r="BN506" s="1056">
        <v>3</v>
      </c>
      <c r="BO506" s="1055"/>
      <c r="BP506" s="1055"/>
      <c r="BQ506" s="1049"/>
    </row>
    <row r="507" spans="1:69" ht="14.4">
      <c r="A507" s="1049"/>
      <c r="B507" s="1120">
        <f>B506/24</f>
        <v>0.58125000000000004</v>
      </c>
      <c r="C507" s="1057">
        <v>3</v>
      </c>
      <c r="D507" s="1056">
        <v>4</v>
      </c>
      <c r="E507" s="1063">
        <v>0.71</v>
      </c>
      <c r="F507" s="1062">
        <v>1.84</v>
      </c>
      <c r="G507" s="1061">
        <f t="shared" si="220"/>
        <v>2.591549295774648</v>
      </c>
      <c r="H507" s="1049"/>
      <c r="I507" s="1120">
        <f>I506/24</f>
        <v>1.5900416666666668</v>
      </c>
      <c r="J507" s="1057">
        <v>3</v>
      </c>
      <c r="K507" s="1056">
        <v>4</v>
      </c>
      <c r="L507" s="1055">
        <v>1.2090000000000001</v>
      </c>
      <c r="M507" s="1059">
        <v>3.64</v>
      </c>
      <c r="N507" s="1052">
        <f t="shared" si="221"/>
        <v>3.010752688172043</v>
      </c>
      <c r="O507" s="1049"/>
      <c r="P507" s="1120">
        <f>P506/24</f>
        <v>1.9975000000000003</v>
      </c>
      <c r="Q507" s="1057">
        <v>3</v>
      </c>
      <c r="R507" s="1056">
        <v>4</v>
      </c>
      <c r="S507" s="1055">
        <v>0.88600000000000001</v>
      </c>
      <c r="T507" s="1054">
        <f t="shared" si="222"/>
        <v>1.6125200000000002</v>
      </c>
      <c r="U507" s="1064">
        <v>2.4300000000000002</v>
      </c>
      <c r="V507" s="1052">
        <f t="shared" ref="V507:V527" si="227">U507/S507</f>
        <v>2.7426636568848761</v>
      </c>
      <c r="W507" s="1049"/>
      <c r="X507" s="1051">
        <v>1.82</v>
      </c>
      <c r="Y507" s="1049"/>
      <c r="Z507" s="1050">
        <f t="shared" si="223"/>
        <v>0.90372000000000008</v>
      </c>
      <c r="AA507" s="1120">
        <f>AA506/24</f>
        <v>2.6789583333333336</v>
      </c>
      <c r="AB507" s="1057">
        <v>3</v>
      </c>
      <c r="AC507" s="1056">
        <v>4</v>
      </c>
      <c r="AD507" s="1055">
        <v>1.994</v>
      </c>
      <c r="AE507" s="1137">
        <f t="shared" si="224"/>
        <v>2.7517199999999997</v>
      </c>
      <c r="AF507" s="1136">
        <v>4.12</v>
      </c>
      <c r="AG507" s="1052">
        <f t="shared" ref="AG507:AG527" si="228">AF507/AD507</f>
        <v>2.0661985957873621</v>
      </c>
      <c r="AH507" s="1049"/>
      <c r="AI507" s="1136">
        <v>1.38</v>
      </c>
      <c r="AJ507" s="1049"/>
      <c r="AK507" s="1050">
        <f t="shared" si="225"/>
        <v>1.1565199999999998</v>
      </c>
      <c r="AL507" s="1120"/>
      <c r="AM507" s="1120">
        <f>AM506/24</f>
        <v>0.29291666666666666</v>
      </c>
      <c r="AN507" s="1057">
        <v>3</v>
      </c>
      <c r="AO507" s="1056">
        <v>4</v>
      </c>
      <c r="AP507" s="1055">
        <v>7.0000000000000007E-2</v>
      </c>
      <c r="AQ507" s="1745">
        <f t="shared" si="226"/>
        <v>0</v>
      </c>
      <c r="AR507" s="1737">
        <v>0.09</v>
      </c>
      <c r="AS507" s="1052">
        <f t="shared" ref="AS507:AS527" si="229">AR507/AP507</f>
        <v>1.2857142857142856</v>
      </c>
      <c r="AT507" s="1049"/>
      <c r="AU507" s="1136"/>
      <c r="AV507" s="1049"/>
      <c r="AW507" s="1120">
        <f>AW506/24</f>
        <v>0.32375000000000004</v>
      </c>
      <c r="AX507" s="1057">
        <v>3</v>
      </c>
      <c r="AY507" s="1056">
        <v>4</v>
      </c>
      <c r="AZ507" s="1055">
        <v>0.15</v>
      </c>
      <c r="BA507" s="1736">
        <v>0.28000000000000003</v>
      </c>
      <c r="BB507" s="1737">
        <f t="shared" ref="BB507:BB527" si="230">BA507/AZ507</f>
        <v>1.8666666666666669</v>
      </c>
      <c r="BC507" s="1049"/>
      <c r="BD507" s="1136"/>
      <c r="BE507" s="1049"/>
      <c r="BF507" s="1120">
        <f>BF506/24</f>
        <v>0.25875000000000004</v>
      </c>
      <c r="BG507" s="1057">
        <v>3</v>
      </c>
      <c r="BH507" s="1056">
        <v>4</v>
      </c>
      <c r="BI507" s="1874">
        <v>0.1</v>
      </c>
      <c r="BJ507" s="1736"/>
      <c r="BK507" s="1049"/>
      <c r="BL507" s="1120">
        <f>BL506/24</f>
        <v>0</v>
      </c>
      <c r="BM507" s="1057">
        <v>3</v>
      </c>
      <c r="BN507" s="1056">
        <v>4</v>
      </c>
      <c r="BO507" s="1055"/>
      <c r="BP507" s="1055"/>
      <c r="BQ507" s="1049"/>
    </row>
    <row r="508" spans="1:69" ht="14.4">
      <c r="A508" s="1049"/>
      <c r="B508" s="1119"/>
      <c r="C508" s="1057">
        <v>4</v>
      </c>
      <c r="D508" s="1056">
        <v>5</v>
      </c>
      <c r="E508" s="1063">
        <v>0.33</v>
      </c>
      <c r="F508" s="1062">
        <v>0.87</v>
      </c>
      <c r="G508" s="1061">
        <f t="shared" si="220"/>
        <v>2.6363636363636362</v>
      </c>
      <c r="H508" s="1049"/>
      <c r="I508" s="1119"/>
      <c r="J508" s="1057">
        <v>4</v>
      </c>
      <c r="K508" s="1056">
        <v>5</v>
      </c>
      <c r="L508" s="1055">
        <v>1.224</v>
      </c>
      <c r="M508" s="1059">
        <v>3.79</v>
      </c>
      <c r="N508" s="1052">
        <f t="shared" si="221"/>
        <v>3.09640522875817</v>
      </c>
      <c r="O508" s="1049"/>
      <c r="P508" s="1118"/>
      <c r="Q508" s="1057">
        <v>4</v>
      </c>
      <c r="R508" s="1056">
        <v>5</v>
      </c>
      <c r="S508" s="1055">
        <v>1.9239999999999999</v>
      </c>
      <c r="T508" s="1054">
        <f t="shared" si="222"/>
        <v>3.5209199999999998</v>
      </c>
      <c r="U508" s="1064">
        <v>5.29</v>
      </c>
      <c r="V508" s="1052">
        <f t="shared" si="227"/>
        <v>2.7494802494802495</v>
      </c>
      <c r="W508" s="1049"/>
      <c r="X508" s="1051">
        <v>1.83</v>
      </c>
      <c r="Y508" s="1049"/>
      <c r="Z508" s="1050">
        <f t="shared" si="223"/>
        <v>1.9817199999999999</v>
      </c>
      <c r="AA508" s="1118"/>
      <c r="AB508" s="1057">
        <v>4</v>
      </c>
      <c r="AC508" s="1056">
        <v>5</v>
      </c>
      <c r="AD508" s="1055">
        <v>2.0270000000000001</v>
      </c>
      <c r="AE508" s="1137">
        <f t="shared" si="224"/>
        <v>2.7364500000000005</v>
      </c>
      <c r="AF508" s="1136">
        <v>4.1399999999999997</v>
      </c>
      <c r="AG508" s="1052">
        <f t="shared" si="228"/>
        <v>2.0424272323630981</v>
      </c>
      <c r="AH508" s="1049"/>
      <c r="AI508" s="1136">
        <v>1.35</v>
      </c>
      <c r="AJ508" s="1049"/>
      <c r="AK508" s="1050">
        <f t="shared" si="225"/>
        <v>1.1148500000000001</v>
      </c>
      <c r="AL508" s="1118"/>
      <c r="AM508" s="1118"/>
      <c r="AN508" s="1057">
        <v>4</v>
      </c>
      <c r="AO508" s="1056">
        <v>5</v>
      </c>
      <c r="AP508" s="1055">
        <v>0.11</v>
      </c>
      <c r="AQ508" s="1745">
        <f t="shared" si="226"/>
        <v>0</v>
      </c>
      <c r="AR508" s="1737">
        <v>0.16</v>
      </c>
      <c r="AS508" s="1052">
        <f t="shared" si="229"/>
        <v>1.4545454545454546</v>
      </c>
      <c r="AT508" s="1049"/>
      <c r="AU508" s="1136"/>
      <c r="AV508" s="1049"/>
      <c r="AW508" s="1118"/>
      <c r="AX508" s="1057">
        <v>4</v>
      </c>
      <c r="AY508" s="1056">
        <v>5</v>
      </c>
      <c r="AZ508" s="1055">
        <v>0.1</v>
      </c>
      <c r="BA508" s="1736">
        <v>0.18</v>
      </c>
      <c r="BB508" s="1737">
        <f t="shared" si="230"/>
        <v>1.7999999999999998</v>
      </c>
      <c r="BC508" s="1049"/>
      <c r="BD508" s="1136"/>
      <c r="BE508" s="1049"/>
      <c r="BF508" s="1118"/>
      <c r="BG508" s="1057">
        <v>4</v>
      </c>
      <c r="BH508" s="1056">
        <v>5</v>
      </c>
      <c r="BI508" s="1874">
        <v>0.1</v>
      </c>
      <c r="BJ508" s="1736"/>
      <c r="BK508" s="1049"/>
      <c r="BL508" s="1118"/>
      <c r="BM508" s="1057">
        <v>4</v>
      </c>
      <c r="BN508" s="1056">
        <v>5</v>
      </c>
      <c r="BO508" s="1055"/>
      <c r="BP508" s="1055"/>
      <c r="BQ508" s="1049"/>
    </row>
    <row r="509" spans="1:69" ht="15" thickBot="1">
      <c r="A509" s="1049"/>
      <c r="B509" s="1058">
        <f>SUM(F504:F527)</f>
        <v>44.639999999999993</v>
      </c>
      <c r="C509" s="1111">
        <v>5</v>
      </c>
      <c r="D509" s="1110">
        <v>6</v>
      </c>
      <c r="E509" s="1117">
        <v>0.23</v>
      </c>
      <c r="F509" s="1116">
        <v>0.65</v>
      </c>
      <c r="G509" s="1115">
        <f t="shared" si="220"/>
        <v>2.8260869565217392</v>
      </c>
      <c r="H509" s="1049"/>
      <c r="I509" s="1058">
        <f>SUM(M504:M527)</f>
        <v>159.26</v>
      </c>
      <c r="J509" s="1111">
        <v>5</v>
      </c>
      <c r="K509" s="1110">
        <v>6</v>
      </c>
      <c r="L509" s="1109">
        <v>1.3109999999999999</v>
      </c>
      <c r="M509" s="1114">
        <v>4.22</v>
      </c>
      <c r="N509" s="1113">
        <f t="shared" si="221"/>
        <v>3.2189168573607931</v>
      </c>
      <c r="O509" s="1049"/>
      <c r="P509" s="1112">
        <f>SUM(U504:U527)</f>
        <v>157.16999999999999</v>
      </c>
      <c r="Q509" s="1111">
        <v>5</v>
      </c>
      <c r="R509" s="1110">
        <v>6</v>
      </c>
      <c r="S509" s="1109">
        <v>1.986</v>
      </c>
      <c r="T509" s="1054">
        <f t="shared" si="222"/>
        <v>3.8329800000000001</v>
      </c>
      <c r="U509" s="1064">
        <v>5.66</v>
      </c>
      <c r="V509" s="1052">
        <f t="shared" si="227"/>
        <v>2.8499496475327293</v>
      </c>
      <c r="W509" s="1049"/>
      <c r="X509" s="1074">
        <v>1.93</v>
      </c>
      <c r="Y509" s="1049"/>
      <c r="Z509" s="1050">
        <f t="shared" si="223"/>
        <v>2.2441799999999996</v>
      </c>
      <c r="AA509" s="1112">
        <f>SUM(AF504:AF527)</f>
        <v>146.88000000000002</v>
      </c>
      <c r="AB509" s="1111">
        <v>5</v>
      </c>
      <c r="AC509" s="1110">
        <v>6</v>
      </c>
      <c r="AD509" s="1109">
        <v>2.052</v>
      </c>
      <c r="AE509" s="1147">
        <f t="shared" si="224"/>
        <v>2.7907200000000003</v>
      </c>
      <c r="AF509" s="1146">
        <v>4.21</v>
      </c>
      <c r="AG509" s="1052">
        <f t="shared" si="228"/>
        <v>2.0516569200779728</v>
      </c>
      <c r="AH509" s="1049"/>
      <c r="AI509" s="1146">
        <v>1.36</v>
      </c>
      <c r="AJ509" s="1049"/>
      <c r="AK509" s="1050">
        <f t="shared" si="225"/>
        <v>1.1491200000000001</v>
      </c>
      <c r="AL509" s="1112"/>
      <c r="AM509" s="1112">
        <f>SUM(AR504:AR527)</f>
        <v>15.66</v>
      </c>
      <c r="AN509" s="1111">
        <v>5</v>
      </c>
      <c r="AO509" s="1110">
        <v>6</v>
      </c>
      <c r="AP509" s="1109">
        <v>0.12</v>
      </c>
      <c r="AQ509" s="1746">
        <f t="shared" si="226"/>
        <v>0</v>
      </c>
      <c r="AR509" s="1739">
        <v>0.19</v>
      </c>
      <c r="AS509" s="1052">
        <f t="shared" si="229"/>
        <v>1.5833333333333335</v>
      </c>
      <c r="AT509" s="1049"/>
      <c r="AU509" s="1146"/>
      <c r="AV509" s="1049"/>
      <c r="AW509" s="1112">
        <f>SUM(BA504:BA527)</f>
        <v>14.730000000000002</v>
      </c>
      <c r="AX509" s="1111">
        <v>5</v>
      </c>
      <c r="AY509" s="1110">
        <v>6</v>
      </c>
      <c r="AZ509" s="1109">
        <v>0.15</v>
      </c>
      <c r="BA509" s="1738">
        <v>0.28999999999999998</v>
      </c>
      <c r="BB509" s="1739">
        <f t="shared" si="230"/>
        <v>1.9333333333333333</v>
      </c>
      <c r="BC509" s="1049"/>
      <c r="BD509" s="1146"/>
      <c r="BE509" s="1049"/>
      <c r="BF509" s="1112">
        <f>SUM(BJ504:BJ527)</f>
        <v>0</v>
      </c>
      <c r="BG509" s="1111">
        <v>5</v>
      </c>
      <c r="BH509" s="1110">
        <v>6</v>
      </c>
      <c r="BI509" s="1874">
        <v>0.14000000000000001</v>
      </c>
      <c r="BJ509" s="1738"/>
      <c r="BK509" s="1049"/>
      <c r="BL509" s="1112">
        <f>SUM(BP504:BP527)</f>
        <v>0</v>
      </c>
      <c r="BM509" s="1111">
        <v>5</v>
      </c>
      <c r="BN509" s="1110">
        <v>6</v>
      </c>
      <c r="BO509" s="1109"/>
      <c r="BP509" s="1109"/>
      <c r="BQ509" s="1049"/>
    </row>
    <row r="510" spans="1:69" ht="14.4">
      <c r="A510" s="1049"/>
      <c r="B510" s="1093">
        <f>B509/B506</f>
        <v>3.1999999999999993</v>
      </c>
      <c r="C510" s="1100">
        <v>6</v>
      </c>
      <c r="D510" s="1099">
        <v>7</v>
      </c>
      <c r="E510" s="1107">
        <v>0.34</v>
      </c>
      <c r="F510" s="1106">
        <v>1.02</v>
      </c>
      <c r="G510" s="1105">
        <f t="shared" si="220"/>
        <v>3</v>
      </c>
      <c r="H510" s="1049"/>
      <c r="I510" s="1093">
        <f>I509/I506</f>
        <v>4.1733707187966766</v>
      </c>
      <c r="J510" s="1100">
        <v>6</v>
      </c>
      <c r="K510" s="1099">
        <v>7</v>
      </c>
      <c r="L510" s="1098">
        <v>1.3160000000000001</v>
      </c>
      <c r="M510" s="1103">
        <v>5.49</v>
      </c>
      <c r="N510" s="1102">
        <f t="shared" si="221"/>
        <v>4.1717325227963524</v>
      </c>
      <c r="O510" s="1049"/>
      <c r="P510" s="1093">
        <f>P509/P506</f>
        <v>3.2784730913642046</v>
      </c>
      <c r="Q510" s="1100">
        <v>6</v>
      </c>
      <c r="R510" s="1099">
        <v>7</v>
      </c>
      <c r="S510" s="1098">
        <v>2.391</v>
      </c>
      <c r="T510" s="1054">
        <f t="shared" si="222"/>
        <v>5.47539</v>
      </c>
      <c r="U510" s="1064">
        <v>7.67</v>
      </c>
      <c r="V510" s="1052">
        <f t="shared" si="227"/>
        <v>3.207862818904224</v>
      </c>
      <c r="W510" s="1049"/>
      <c r="X510" s="1108">
        <v>2.29</v>
      </c>
      <c r="Y510" s="1049"/>
      <c r="Z510" s="1050">
        <f t="shared" si="223"/>
        <v>3.5625900000000001</v>
      </c>
      <c r="AA510" s="1093">
        <f>AA509/AA506</f>
        <v>2.2844700209969675</v>
      </c>
      <c r="AB510" s="1100">
        <v>6</v>
      </c>
      <c r="AC510" s="1099">
        <v>7</v>
      </c>
      <c r="AD510" s="1098">
        <v>2.2970000000000002</v>
      </c>
      <c r="AE510" s="1145">
        <f t="shared" si="224"/>
        <v>3.1009500000000005</v>
      </c>
      <c r="AF510" s="1144">
        <v>4.68</v>
      </c>
      <c r="AG510" s="1052">
        <f t="shared" si="228"/>
        <v>2.037440139312146</v>
      </c>
      <c r="AH510" s="1049"/>
      <c r="AI510" s="1144">
        <v>1.35</v>
      </c>
      <c r="AJ510" s="1049"/>
      <c r="AK510" s="1050">
        <f t="shared" si="225"/>
        <v>1.2633500000000002</v>
      </c>
      <c r="AL510" s="1093"/>
      <c r="AM510" s="1093">
        <f>AM509/AM506</f>
        <v>2.2275960170697013</v>
      </c>
      <c r="AN510" s="1100">
        <v>6</v>
      </c>
      <c r="AO510" s="1099">
        <v>7</v>
      </c>
      <c r="AP510" s="1098">
        <v>0.28999999999999998</v>
      </c>
      <c r="AQ510" s="1747">
        <f t="shared" si="226"/>
        <v>0</v>
      </c>
      <c r="AR510" s="1741">
        <v>0.48</v>
      </c>
      <c r="AS510" s="1052">
        <f t="shared" si="229"/>
        <v>1.6551724137931034</v>
      </c>
      <c r="AT510" s="1049"/>
      <c r="AU510" s="1144"/>
      <c r="AV510" s="1049"/>
      <c r="AW510" s="1093">
        <f>AW509/AW506</f>
        <v>1.8957528957528957</v>
      </c>
      <c r="AX510" s="1100">
        <v>6</v>
      </c>
      <c r="AY510" s="1099">
        <v>7</v>
      </c>
      <c r="AZ510" s="1098">
        <v>0.13</v>
      </c>
      <c r="BA510" s="1740">
        <v>0.26</v>
      </c>
      <c r="BB510" s="1741">
        <f t="shared" si="230"/>
        <v>2</v>
      </c>
      <c r="BC510" s="1049"/>
      <c r="BD510" s="1144"/>
      <c r="BE510" s="1049"/>
      <c r="BF510" s="1093">
        <f>BF509/BF506</f>
        <v>0</v>
      </c>
      <c r="BG510" s="1100">
        <v>6</v>
      </c>
      <c r="BH510" s="1099">
        <v>7</v>
      </c>
      <c r="BI510" s="1874">
        <v>0.16</v>
      </c>
      <c r="BJ510" s="1740"/>
      <c r="BK510" s="1049"/>
      <c r="BL510" s="1093" t="e">
        <f>BL509/BL506</f>
        <v>#DIV/0!</v>
      </c>
      <c r="BM510" s="1100">
        <v>6</v>
      </c>
      <c r="BN510" s="1099">
        <v>7</v>
      </c>
      <c r="BO510" s="1098"/>
      <c r="BP510" s="1098"/>
      <c r="BQ510" s="1049"/>
    </row>
    <row r="511" spans="1:69" ht="14.4">
      <c r="A511" s="1049"/>
      <c r="B511" s="1104"/>
      <c r="C511" s="1100">
        <v>7</v>
      </c>
      <c r="D511" s="1099">
        <v>8</v>
      </c>
      <c r="E511" s="1107">
        <v>0.33</v>
      </c>
      <c r="F511" s="1106">
        <v>1.06</v>
      </c>
      <c r="G511" s="1105">
        <f t="shared" si="220"/>
        <v>3.2121212121212119</v>
      </c>
      <c r="H511" s="1049"/>
      <c r="I511" s="1104"/>
      <c r="J511" s="1100">
        <v>7</v>
      </c>
      <c r="K511" s="1099">
        <v>8</v>
      </c>
      <c r="L511" s="1098">
        <v>1.4810000000000001</v>
      </c>
      <c r="M511" s="1103">
        <v>6.82</v>
      </c>
      <c r="N511" s="1102">
        <f t="shared" si="221"/>
        <v>4.6049966239027684</v>
      </c>
      <c r="O511" s="1049"/>
      <c r="P511" s="1101"/>
      <c r="Q511" s="1100">
        <v>7</v>
      </c>
      <c r="R511" s="1099">
        <v>8</v>
      </c>
      <c r="S511" s="1098">
        <v>2.2130000000000001</v>
      </c>
      <c r="T511" s="1054">
        <f t="shared" si="222"/>
        <v>5.7759299999999998</v>
      </c>
      <c r="U511" s="1064">
        <v>7.81</v>
      </c>
      <c r="V511" s="1052">
        <f t="shared" si="227"/>
        <v>3.5291459557162219</v>
      </c>
      <c r="W511" s="1049"/>
      <c r="X511" s="1065">
        <v>2.61</v>
      </c>
      <c r="Y511" s="1049"/>
      <c r="Z511" s="1050">
        <f t="shared" si="223"/>
        <v>4.0055299999999994</v>
      </c>
      <c r="AA511" s="1101"/>
      <c r="AB511" s="1100">
        <v>7</v>
      </c>
      <c r="AC511" s="1099">
        <v>8</v>
      </c>
      <c r="AD511" s="1098">
        <v>2.9420000000000002</v>
      </c>
      <c r="AE511" s="1145">
        <f t="shared" si="224"/>
        <v>4.2364800000000002</v>
      </c>
      <c r="AF511" s="1144">
        <v>6.26</v>
      </c>
      <c r="AG511" s="1052">
        <f t="shared" si="228"/>
        <v>2.1278042148198502</v>
      </c>
      <c r="AH511" s="1049"/>
      <c r="AI511" s="1144">
        <v>1.44</v>
      </c>
      <c r="AJ511" s="1049"/>
      <c r="AK511" s="1050">
        <f t="shared" si="225"/>
        <v>1.8828799999999999</v>
      </c>
      <c r="AL511" s="1101"/>
      <c r="AM511" s="1101"/>
      <c r="AN511" s="1100">
        <v>7</v>
      </c>
      <c r="AO511" s="1099">
        <v>8</v>
      </c>
      <c r="AP511" s="1098">
        <v>0.33</v>
      </c>
      <c r="AQ511" s="1747">
        <f t="shared" si="226"/>
        <v>0</v>
      </c>
      <c r="AR511" s="1741">
        <v>0.56999999999999995</v>
      </c>
      <c r="AS511" s="1052">
        <f t="shared" si="229"/>
        <v>1.7272727272727271</v>
      </c>
      <c r="AT511" s="1049"/>
      <c r="AU511" s="1144"/>
      <c r="AV511" s="1049"/>
      <c r="AW511" s="1101"/>
      <c r="AX511" s="1100">
        <v>7</v>
      </c>
      <c r="AY511" s="1099">
        <v>8</v>
      </c>
      <c r="AZ511" s="1098">
        <v>0.14000000000000001</v>
      </c>
      <c r="BA511" s="1736">
        <v>0.3</v>
      </c>
      <c r="BB511" s="1741">
        <f t="shared" si="230"/>
        <v>2.1428571428571428</v>
      </c>
      <c r="BC511" s="1049"/>
      <c r="BD511" s="1144"/>
      <c r="BE511" s="1049"/>
      <c r="BF511" s="1101"/>
      <c r="BG511" s="1100">
        <v>7</v>
      </c>
      <c r="BH511" s="1099">
        <v>8</v>
      </c>
      <c r="BI511" s="1874">
        <v>0.18</v>
      </c>
      <c r="BJ511" s="1736"/>
      <c r="BK511" s="1049"/>
      <c r="BL511" s="1101"/>
      <c r="BM511" s="1100">
        <v>7</v>
      </c>
      <c r="BN511" s="1099">
        <v>8</v>
      </c>
      <c r="BO511" s="1098"/>
      <c r="BP511" s="1098"/>
      <c r="BQ511" s="1049"/>
    </row>
    <row r="512" spans="1:69" ht="14.4">
      <c r="A512" s="1049"/>
      <c r="B512" s="1097">
        <f>B509/24</f>
        <v>1.8599999999999997</v>
      </c>
      <c r="C512" s="1086">
        <v>8</v>
      </c>
      <c r="D512" s="1085">
        <v>9</v>
      </c>
      <c r="E512" s="1091">
        <v>0.76</v>
      </c>
      <c r="F512" s="1090">
        <v>2.56</v>
      </c>
      <c r="G512" s="1089">
        <f t="shared" si="220"/>
        <v>3.3684210526315788</v>
      </c>
      <c r="H512" s="1049"/>
      <c r="I512" s="1097">
        <f>I509/24</f>
        <v>6.6358333333333333</v>
      </c>
      <c r="J512" s="1086">
        <v>8</v>
      </c>
      <c r="K512" s="1085">
        <v>9</v>
      </c>
      <c r="L512" s="1084">
        <v>1.82</v>
      </c>
      <c r="M512" s="1088">
        <v>8.51</v>
      </c>
      <c r="N512" s="1087">
        <f t="shared" si="221"/>
        <v>4.6758241758241752</v>
      </c>
      <c r="O512" s="1049"/>
      <c r="P512" s="1096">
        <f>P509/24</f>
        <v>6.5487499999999992</v>
      </c>
      <c r="Q512" s="1086">
        <v>8</v>
      </c>
      <c r="R512" s="1085">
        <v>9</v>
      </c>
      <c r="S512" s="1084">
        <v>2.2469999999999999</v>
      </c>
      <c r="T512" s="1054">
        <f t="shared" si="222"/>
        <v>6.2691299999999996</v>
      </c>
      <c r="U512" s="1064">
        <v>8.35</v>
      </c>
      <c r="V512" s="1052">
        <f t="shared" si="227"/>
        <v>3.7160658655985759</v>
      </c>
      <c r="W512" s="1049"/>
      <c r="X512" s="1051">
        <v>2.79</v>
      </c>
      <c r="Y512" s="1049"/>
      <c r="Z512" s="1050">
        <f t="shared" si="223"/>
        <v>4.4715299999999996</v>
      </c>
      <c r="AA512" s="1096">
        <f>AA509/24</f>
        <v>6.120000000000001</v>
      </c>
      <c r="AB512" s="1086">
        <v>8</v>
      </c>
      <c r="AC512" s="1085">
        <v>9</v>
      </c>
      <c r="AD512" s="1084">
        <v>2.6349999999999998</v>
      </c>
      <c r="AE512" s="1143">
        <f t="shared" si="224"/>
        <v>4.0842499999999999</v>
      </c>
      <c r="AF512" s="1142">
        <v>5.9</v>
      </c>
      <c r="AG512" s="1052">
        <f t="shared" si="228"/>
        <v>2.2390891840607212</v>
      </c>
      <c r="AH512" s="1049"/>
      <c r="AI512" s="1142">
        <v>1.55</v>
      </c>
      <c r="AJ512" s="1049"/>
      <c r="AK512" s="1050">
        <f t="shared" si="225"/>
        <v>1.9762499999999998</v>
      </c>
      <c r="AL512" s="1096"/>
      <c r="AM512" s="1096">
        <f>AM509/24</f>
        <v>0.65249999999999997</v>
      </c>
      <c r="AN512" s="1086">
        <v>8</v>
      </c>
      <c r="AO512" s="1085">
        <v>9</v>
      </c>
      <c r="AP512" s="1084">
        <v>0.56000000000000005</v>
      </c>
      <c r="AQ512" s="1748">
        <f t="shared" si="226"/>
        <v>0</v>
      </c>
      <c r="AR512" s="1742">
        <v>0.99</v>
      </c>
      <c r="AS512" s="1052">
        <f t="shared" si="229"/>
        <v>1.7678571428571426</v>
      </c>
      <c r="AT512" s="1049"/>
      <c r="AU512" s="1142"/>
      <c r="AV512" s="1049"/>
      <c r="AW512" s="1096">
        <f>AW509/24</f>
        <v>0.61375000000000013</v>
      </c>
      <c r="AX512" s="1086">
        <v>8</v>
      </c>
      <c r="AY512" s="1085">
        <v>9</v>
      </c>
      <c r="AZ512" s="1084">
        <v>0.12</v>
      </c>
      <c r="BA512" s="1736">
        <v>0.26</v>
      </c>
      <c r="BB512" s="1742">
        <f t="shared" si="230"/>
        <v>2.166666666666667</v>
      </c>
      <c r="BC512" s="1049"/>
      <c r="BD512" s="1142"/>
      <c r="BE512" s="1049"/>
      <c r="BF512" s="1096">
        <f>BF509/24</f>
        <v>0</v>
      </c>
      <c r="BG512" s="1086">
        <v>8</v>
      </c>
      <c r="BH512" s="1085">
        <v>9</v>
      </c>
      <c r="BI512" s="1874">
        <v>0.2</v>
      </c>
      <c r="BJ512" s="1736"/>
      <c r="BK512" s="1049"/>
      <c r="BL512" s="1096">
        <f>BL509/24</f>
        <v>0</v>
      </c>
      <c r="BM512" s="1086">
        <v>8</v>
      </c>
      <c r="BN512" s="1085">
        <v>9</v>
      </c>
      <c r="BO512" s="1084"/>
      <c r="BP512" s="1084"/>
      <c r="BQ512" s="1049"/>
    </row>
    <row r="513" spans="1:69" ht="14.4">
      <c r="A513" s="1049"/>
      <c r="B513" s="1097"/>
      <c r="C513" s="1086">
        <v>9</v>
      </c>
      <c r="D513" s="1085">
        <v>10</v>
      </c>
      <c r="E513" s="1091">
        <v>1.45</v>
      </c>
      <c r="F513" s="1090">
        <v>4.8499999999999996</v>
      </c>
      <c r="G513" s="1089">
        <f t="shared" si="220"/>
        <v>3.3448275862068964</v>
      </c>
      <c r="H513" s="1049"/>
      <c r="I513" s="1097"/>
      <c r="J513" s="1086">
        <v>9</v>
      </c>
      <c r="K513" s="1085">
        <v>10</v>
      </c>
      <c r="L513" s="1084">
        <v>2.2690000000000001</v>
      </c>
      <c r="M513" s="1088">
        <v>10.27</v>
      </c>
      <c r="N513" s="1087">
        <f t="shared" si="221"/>
        <v>4.5262230057293955</v>
      </c>
      <c r="O513" s="1049"/>
      <c r="P513" s="1096"/>
      <c r="Q513" s="1086">
        <v>9</v>
      </c>
      <c r="R513" s="1085">
        <v>10</v>
      </c>
      <c r="S513" s="1084">
        <v>3.1309999999999998</v>
      </c>
      <c r="T513" s="1054">
        <f t="shared" si="222"/>
        <v>8.6728699999999996</v>
      </c>
      <c r="U513" s="1064">
        <v>11.54</v>
      </c>
      <c r="V513" s="1052">
        <f t="shared" si="227"/>
        <v>3.6857234110507826</v>
      </c>
      <c r="W513" s="1049"/>
      <c r="X513" s="1051">
        <v>2.77</v>
      </c>
      <c r="Y513" s="1049"/>
      <c r="Z513" s="1050">
        <f t="shared" si="223"/>
        <v>6.1680699999999993</v>
      </c>
      <c r="AA513" s="1096"/>
      <c r="AB513" s="1086">
        <v>9</v>
      </c>
      <c r="AC513" s="1085">
        <v>10</v>
      </c>
      <c r="AD513" s="1084">
        <v>2.56</v>
      </c>
      <c r="AE513" s="1143">
        <f t="shared" si="224"/>
        <v>4.4287999999999998</v>
      </c>
      <c r="AF513" s="1142">
        <v>6.19</v>
      </c>
      <c r="AG513" s="1052">
        <f t="shared" si="228"/>
        <v>2.41796875</v>
      </c>
      <c r="AH513" s="1049"/>
      <c r="AI513" s="1142">
        <v>1.73</v>
      </c>
      <c r="AJ513" s="1049"/>
      <c r="AK513" s="1050">
        <f t="shared" si="225"/>
        <v>2.3807999999999998</v>
      </c>
      <c r="AL513" s="1096"/>
      <c r="AM513" s="1096"/>
      <c r="AN513" s="1086">
        <v>9</v>
      </c>
      <c r="AO513" s="1085">
        <v>10</v>
      </c>
      <c r="AP513" s="1084">
        <v>0.43</v>
      </c>
      <c r="AQ513" s="1748">
        <f t="shared" si="226"/>
        <v>0</v>
      </c>
      <c r="AR513" s="1742">
        <v>0.76</v>
      </c>
      <c r="AS513" s="1052">
        <f t="shared" si="229"/>
        <v>1.7674418604651163</v>
      </c>
      <c r="AT513" s="1049"/>
      <c r="AU513" s="1142"/>
      <c r="AV513" s="1049"/>
      <c r="AW513" s="1096"/>
      <c r="AX513" s="1086">
        <v>9</v>
      </c>
      <c r="AY513" s="1085">
        <v>10</v>
      </c>
      <c r="AZ513" s="1084">
        <v>0.37</v>
      </c>
      <c r="BA513" s="1736">
        <v>0.75</v>
      </c>
      <c r="BB513" s="1742">
        <f t="shared" si="230"/>
        <v>2.0270270270270272</v>
      </c>
      <c r="BC513" s="1049"/>
      <c r="BD513" s="1142"/>
      <c r="BE513" s="1049"/>
      <c r="BF513" s="1096"/>
      <c r="BG513" s="1086">
        <v>9</v>
      </c>
      <c r="BH513" s="1085">
        <v>10</v>
      </c>
      <c r="BI513" s="1874">
        <v>0.3</v>
      </c>
      <c r="BJ513" s="1736"/>
      <c r="BK513" s="1049"/>
      <c r="BL513" s="1096"/>
      <c r="BM513" s="1086">
        <v>9</v>
      </c>
      <c r="BN513" s="1085">
        <v>10</v>
      </c>
      <c r="BO513" s="1084"/>
      <c r="BP513" s="1084"/>
      <c r="BQ513" s="1049"/>
    </row>
    <row r="514" spans="1:69" ht="14.4">
      <c r="A514" s="1049"/>
      <c r="B514" s="1060"/>
      <c r="C514" s="1086">
        <v>10</v>
      </c>
      <c r="D514" s="1085">
        <v>11</v>
      </c>
      <c r="E514" s="1091">
        <v>1.3</v>
      </c>
      <c r="F514" s="1090">
        <v>4.21</v>
      </c>
      <c r="G514" s="1089">
        <f t="shared" si="220"/>
        <v>3.2384615384615385</v>
      </c>
      <c r="H514" s="1049"/>
      <c r="I514" s="1060"/>
      <c r="J514" s="1086">
        <v>10</v>
      </c>
      <c r="K514" s="1085">
        <v>11</v>
      </c>
      <c r="L514" s="1084">
        <v>2.29</v>
      </c>
      <c r="M514" s="1088">
        <v>10.11</v>
      </c>
      <c r="N514" s="1087">
        <f t="shared" si="221"/>
        <v>4.4148471615720517</v>
      </c>
      <c r="O514" s="1049"/>
      <c r="P514" s="1095">
        <f>SUM(Z504:Z527)</f>
        <v>74.61175999999999</v>
      </c>
      <c r="Q514" s="1086">
        <v>10</v>
      </c>
      <c r="R514" s="1085">
        <v>11</v>
      </c>
      <c r="S514" s="1084">
        <v>2.3250000000000002</v>
      </c>
      <c r="T514" s="1054">
        <f t="shared" si="222"/>
        <v>6.0217499999999999</v>
      </c>
      <c r="U514" s="1064">
        <v>8.18</v>
      </c>
      <c r="V514" s="1052">
        <f t="shared" si="227"/>
        <v>3.5182795698924729</v>
      </c>
      <c r="W514" s="1049"/>
      <c r="X514" s="1051">
        <v>2.59</v>
      </c>
      <c r="Y514" s="1049"/>
      <c r="Z514" s="1050">
        <f t="shared" si="223"/>
        <v>4.1617499999999996</v>
      </c>
      <c r="AA514" s="1095">
        <f>SUM(AK504:AK527)</f>
        <v>43.674949999999995</v>
      </c>
      <c r="AB514" s="1086">
        <v>10</v>
      </c>
      <c r="AC514" s="1085">
        <v>11</v>
      </c>
      <c r="AD514" s="1084">
        <v>2.6419999999999999</v>
      </c>
      <c r="AE514" s="1143">
        <f t="shared" si="224"/>
        <v>4.5178199999999995</v>
      </c>
      <c r="AF514" s="1142">
        <v>6.35</v>
      </c>
      <c r="AG514" s="1052">
        <f t="shared" si="228"/>
        <v>2.4034822104466311</v>
      </c>
      <c r="AH514" s="1049"/>
      <c r="AI514" s="1142">
        <v>1.71</v>
      </c>
      <c r="AJ514" s="1049"/>
      <c r="AK514" s="1050">
        <f t="shared" si="225"/>
        <v>2.4042199999999996</v>
      </c>
      <c r="AL514" s="1095"/>
      <c r="AM514" s="1095" t="e">
        <f>SUM(#REF!)</f>
        <v>#REF!</v>
      </c>
      <c r="AN514" s="1086">
        <v>10</v>
      </c>
      <c r="AO514" s="1085">
        <v>11</v>
      </c>
      <c r="AP514" s="1084">
        <v>0.26</v>
      </c>
      <c r="AQ514" s="1748">
        <f t="shared" si="226"/>
        <v>0</v>
      </c>
      <c r="AR514" s="1742">
        <v>0.46</v>
      </c>
      <c r="AS514" s="1052">
        <f t="shared" si="229"/>
        <v>1.7692307692307692</v>
      </c>
      <c r="AT514" s="1049"/>
      <c r="AU514" s="1142"/>
      <c r="AV514" s="1049"/>
      <c r="AW514" s="1095" t="e">
        <f>SUM(#REF!)</f>
        <v>#REF!</v>
      </c>
      <c r="AX514" s="1086">
        <v>10</v>
      </c>
      <c r="AY514" s="1085">
        <v>11</v>
      </c>
      <c r="AZ514" s="1084">
        <v>0.32</v>
      </c>
      <c r="BA514" s="1736">
        <v>0.61</v>
      </c>
      <c r="BB514" s="1742">
        <f t="shared" si="230"/>
        <v>1.90625</v>
      </c>
      <c r="BC514" s="1049"/>
      <c r="BD514" s="1142"/>
      <c r="BE514" s="1049"/>
      <c r="BF514" s="1095" t="e">
        <f>SUM(#REF!)</f>
        <v>#REF!</v>
      </c>
      <c r="BG514" s="1086">
        <v>10</v>
      </c>
      <c r="BH514" s="1085">
        <v>11</v>
      </c>
      <c r="BI514" s="1874">
        <v>0.39</v>
      </c>
      <c r="BJ514" s="1736"/>
      <c r="BK514" s="1049"/>
      <c r="BL514" s="1095" t="e">
        <f>SUM(#REF!)</f>
        <v>#REF!</v>
      </c>
      <c r="BM514" s="1086">
        <v>10</v>
      </c>
      <c r="BN514" s="1085">
        <v>11</v>
      </c>
      <c r="BO514" s="1084"/>
      <c r="BP514" s="1084"/>
      <c r="BQ514" s="1049"/>
    </row>
    <row r="515" spans="1:69" ht="14.4">
      <c r="A515" s="1049"/>
      <c r="B515" s="1060"/>
      <c r="C515" s="1086">
        <v>11</v>
      </c>
      <c r="D515" s="1085">
        <v>12</v>
      </c>
      <c r="E515" s="1091">
        <v>1.57</v>
      </c>
      <c r="F515" s="1090">
        <v>5.0199999999999996</v>
      </c>
      <c r="G515" s="1089">
        <f t="shared" si="220"/>
        <v>3.1974522292993628</v>
      </c>
      <c r="H515" s="1049"/>
      <c r="I515" s="1060"/>
      <c r="J515" s="1086">
        <v>11</v>
      </c>
      <c r="K515" s="1085">
        <v>12</v>
      </c>
      <c r="L515" s="1084">
        <v>2.359</v>
      </c>
      <c r="M515" s="1088">
        <v>10.66</v>
      </c>
      <c r="N515" s="1087">
        <f t="shared" si="221"/>
        <v>4.5188639253921155</v>
      </c>
      <c r="O515" s="1049"/>
      <c r="P515" s="1093">
        <f>P514/P506</f>
        <v>1.5563571130579887</v>
      </c>
      <c r="Q515" s="1086">
        <v>11</v>
      </c>
      <c r="R515" s="1085">
        <v>12</v>
      </c>
      <c r="S515" s="1084">
        <v>2.806</v>
      </c>
      <c r="T515" s="1054">
        <f t="shared" si="222"/>
        <v>7.1833600000000004</v>
      </c>
      <c r="U515" s="1064">
        <v>9.77</v>
      </c>
      <c r="V515" s="1052">
        <f t="shared" si="227"/>
        <v>3.4818246614397719</v>
      </c>
      <c r="W515" s="1049"/>
      <c r="X515" s="1051">
        <v>2.56</v>
      </c>
      <c r="Y515" s="1049"/>
      <c r="Z515" s="1050">
        <f t="shared" si="223"/>
        <v>4.9385599999999998</v>
      </c>
      <c r="AA515" s="1093">
        <f>AA514/AA506</f>
        <v>0.67928999144568003</v>
      </c>
      <c r="AB515" s="1086">
        <v>11</v>
      </c>
      <c r="AC515" s="1085">
        <v>12</v>
      </c>
      <c r="AD515" s="1084">
        <v>2.738</v>
      </c>
      <c r="AE515" s="1143">
        <f t="shared" si="224"/>
        <v>4.3534199999999998</v>
      </c>
      <c r="AF515" s="1142">
        <v>6.25</v>
      </c>
      <c r="AG515" s="1052">
        <f t="shared" si="228"/>
        <v>2.2826880934989044</v>
      </c>
      <c r="AH515" s="1049"/>
      <c r="AI515" s="1142">
        <v>1.59</v>
      </c>
      <c r="AJ515" s="1049"/>
      <c r="AK515" s="1050">
        <f t="shared" si="225"/>
        <v>2.1630199999999999</v>
      </c>
      <c r="AL515" s="1093"/>
      <c r="AM515" s="1093" t="e">
        <f>AM514/AM506</f>
        <v>#REF!</v>
      </c>
      <c r="AN515" s="1086">
        <v>11</v>
      </c>
      <c r="AO515" s="1085">
        <v>12</v>
      </c>
      <c r="AP515" s="1084">
        <v>0.3</v>
      </c>
      <c r="AQ515" s="1748">
        <f t="shared" si="226"/>
        <v>0</v>
      </c>
      <c r="AR515" s="1742">
        <v>0.53</v>
      </c>
      <c r="AS515" s="1052">
        <f t="shared" si="229"/>
        <v>1.7666666666666668</v>
      </c>
      <c r="AT515" s="1049"/>
      <c r="AU515" s="1142"/>
      <c r="AV515" s="1049"/>
      <c r="AW515" s="1093" t="e">
        <f>AW514/AW506</f>
        <v>#REF!</v>
      </c>
      <c r="AX515" s="1086">
        <v>11</v>
      </c>
      <c r="AY515" s="1085">
        <v>12</v>
      </c>
      <c r="AZ515" s="1084">
        <v>0.18</v>
      </c>
      <c r="BA515" s="1736">
        <v>0.33</v>
      </c>
      <c r="BB515" s="1742">
        <f t="shared" si="230"/>
        <v>1.8333333333333335</v>
      </c>
      <c r="BC515" s="1049"/>
      <c r="BD515" s="1142"/>
      <c r="BE515" s="1049"/>
      <c r="BF515" s="1093" t="e">
        <f>BF514/BF506</f>
        <v>#REF!</v>
      </c>
      <c r="BG515" s="1086">
        <v>11</v>
      </c>
      <c r="BH515" s="1085">
        <v>12</v>
      </c>
      <c r="BI515" s="1874">
        <v>0.45</v>
      </c>
      <c r="BJ515" s="1736"/>
      <c r="BK515" s="1049"/>
      <c r="BL515" s="1093" t="e">
        <f>BL514/BL506</f>
        <v>#REF!</v>
      </c>
      <c r="BM515" s="1086">
        <v>11</v>
      </c>
      <c r="BN515" s="1085">
        <v>12</v>
      </c>
      <c r="BO515" s="1084"/>
      <c r="BP515" s="1084"/>
      <c r="BQ515" s="1049"/>
    </row>
    <row r="516" spans="1:69" ht="14.4">
      <c r="A516" s="1049"/>
      <c r="B516" s="1060"/>
      <c r="C516" s="1086">
        <v>12</v>
      </c>
      <c r="D516" s="1085">
        <v>13</v>
      </c>
      <c r="E516" s="1091">
        <v>0.99</v>
      </c>
      <c r="F516" s="1090">
        <v>3.13</v>
      </c>
      <c r="G516" s="1089">
        <f t="shared" si="220"/>
        <v>3.1616161616161613</v>
      </c>
      <c r="H516" s="1049"/>
      <c r="I516" s="1060"/>
      <c r="J516" s="1086">
        <v>12</v>
      </c>
      <c r="K516" s="1085">
        <v>13</v>
      </c>
      <c r="L516" s="1084">
        <v>1.9319999999999999</v>
      </c>
      <c r="M516" s="1088">
        <v>8.59</v>
      </c>
      <c r="N516" s="1087">
        <f t="shared" si="221"/>
        <v>4.446169772256729</v>
      </c>
      <c r="O516" s="1049"/>
      <c r="P516" s="1060"/>
      <c r="Q516" s="1086">
        <v>12</v>
      </c>
      <c r="R516" s="1085">
        <v>13</v>
      </c>
      <c r="S516" s="1084">
        <v>3.1339999999999999</v>
      </c>
      <c r="T516" s="1054">
        <f t="shared" si="222"/>
        <v>7.7409800000000004</v>
      </c>
      <c r="U516" s="1064">
        <v>10.63</v>
      </c>
      <c r="V516" s="1052">
        <f t="shared" si="227"/>
        <v>3.3918315252074032</v>
      </c>
      <c r="W516" s="1049"/>
      <c r="X516" s="1051">
        <v>2.4700000000000002</v>
      </c>
      <c r="Y516" s="1049"/>
      <c r="Z516" s="1050">
        <f t="shared" si="223"/>
        <v>5.2337800000000003</v>
      </c>
      <c r="AA516" s="1060"/>
      <c r="AB516" s="1086">
        <v>12</v>
      </c>
      <c r="AC516" s="1085">
        <v>13</v>
      </c>
      <c r="AD516" s="1084">
        <v>2.75</v>
      </c>
      <c r="AE516" s="1143">
        <f t="shared" si="224"/>
        <v>4.1524999999999999</v>
      </c>
      <c r="AF516" s="1142">
        <v>6.04</v>
      </c>
      <c r="AG516" s="1052">
        <f t="shared" si="228"/>
        <v>2.1963636363636363</v>
      </c>
      <c r="AH516" s="1049"/>
      <c r="AI516" s="1142">
        <v>1.51</v>
      </c>
      <c r="AJ516" s="1049"/>
      <c r="AK516" s="1050">
        <f t="shared" si="225"/>
        <v>1.9524999999999999</v>
      </c>
      <c r="AL516" s="1060"/>
      <c r="AM516" s="1060"/>
      <c r="AN516" s="1086">
        <v>12</v>
      </c>
      <c r="AO516" s="1085">
        <v>13</v>
      </c>
      <c r="AP516" s="1084">
        <v>0.23</v>
      </c>
      <c r="AQ516" s="1748">
        <f t="shared" si="226"/>
        <v>0</v>
      </c>
      <c r="AR516" s="1742">
        <v>0.41</v>
      </c>
      <c r="AS516" s="1052">
        <f t="shared" si="229"/>
        <v>1.7826086956521738</v>
      </c>
      <c r="AT516" s="1049"/>
      <c r="AU516" s="1142"/>
      <c r="AV516" s="1049"/>
      <c r="AW516" s="1060"/>
      <c r="AX516" s="1086">
        <v>12</v>
      </c>
      <c r="AY516" s="1085">
        <v>13</v>
      </c>
      <c r="AZ516" s="1084">
        <v>1.21</v>
      </c>
      <c r="BA516" s="1736">
        <v>2.14</v>
      </c>
      <c r="BB516" s="1742">
        <f t="shared" si="230"/>
        <v>1.7685950413223142</v>
      </c>
      <c r="BC516" s="1049"/>
      <c r="BD516" s="1142"/>
      <c r="BE516" s="1049"/>
      <c r="BF516" s="1060"/>
      <c r="BG516" s="1086">
        <v>12</v>
      </c>
      <c r="BH516" s="1085">
        <v>13</v>
      </c>
      <c r="BI516" s="1874">
        <v>0.22</v>
      </c>
      <c r="BJ516" s="1736"/>
      <c r="BK516" s="1049"/>
      <c r="BL516" s="1060"/>
      <c r="BM516" s="1086">
        <v>12</v>
      </c>
      <c r="BN516" s="1085">
        <v>13</v>
      </c>
      <c r="BO516" s="1084"/>
      <c r="BP516" s="1084"/>
      <c r="BQ516" s="1049"/>
    </row>
    <row r="517" spans="1:69" ht="14.4">
      <c r="A517" s="1049"/>
      <c r="B517" s="1060"/>
      <c r="C517" s="1086">
        <v>13</v>
      </c>
      <c r="D517" s="1085">
        <v>14</v>
      </c>
      <c r="E517" s="1091">
        <v>0.36</v>
      </c>
      <c r="F517" s="1090">
        <v>1.1100000000000001</v>
      </c>
      <c r="G517" s="1089">
        <f t="shared" si="220"/>
        <v>3.0833333333333339</v>
      </c>
      <c r="H517" s="1049"/>
      <c r="I517" s="1060"/>
      <c r="J517" s="1086">
        <v>13</v>
      </c>
      <c r="K517" s="1085">
        <v>14</v>
      </c>
      <c r="L517" s="1084">
        <v>1.4379999999999999</v>
      </c>
      <c r="M517" s="1088">
        <v>6.43</v>
      </c>
      <c r="N517" s="1087">
        <f t="shared" si="221"/>
        <v>4.4714881780250346</v>
      </c>
      <c r="O517" s="1049"/>
      <c r="P517" s="1092" t="s">
        <v>1127</v>
      </c>
      <c r="Q517" s="1086">
        <v>13</v>
      </c>
      <c r="R517" s="1085">
        <v>14</v>
      </c>
      <c r="S517" s="1084">
        <v>3.593</v>
      </c>
      <c r="T517" s="1054">
        <f t="shared" si="222"/>
        <v>8.6950599999999998</v>
      </c>
      <c r="U517" s="1064">
        <v>12.01</v>
      </c>
      <c r="V517" s="1052">
        <f t="shared" si="227"/>
        <v>3.3426106317840243</v>
      </c>
      <c r="W517" s="1049"/>
      <c r="X517" s="1051">
        <v>2.42</v>
      </c>
      <c r="Y517" s="1049"/>
      <c r="Z517" s="1050">
        <f t="shared" si="223"/>
        <v>5.8206599999999993</v>
      </c>
      <c r="AA517" s="1092" t="s">
        <v>1127</v>
      </c>
      <c r="AB517" s="1086">
        <v>13</v>
      </c>
      <c r="AC517" s="1085">
        <v>14</v>
      </c>
      <c r="AD517" s="1084">
        <v>2.7269999999999999</v>
      </c>
      <c r="AE517" s="1143">
        <f t="shared" si="224"/>
        <v>3.8450699999999998</v>
      </c>
      <c r="AF517" s="1142">
        <v>5.72</v>
      </c>
      <c r="AG517" s="1052">
        <f t="shared" si="228"/>
        <v>2.0975430876420975</v>
      </c>
      <c r="AH517" s="1049"/>
      <c r="AI517" s="1142">
        <v>1.41</v>
      </c>
      <c r="AJ517" s="1049"/>
      <c r="AK517" s="1050">
        <f t="shared" si="225"/>
        <v>1.6634699999999996</v>
      </c>
      <c r="AL517" s="1092"/>
      <c r="AM517" s="1092" t="s">
        <v>1127</v>
      </c>
      <c r="AN517" s="1086">
        <v>13</v>
      </c>
      <c r="AO517" s="1085">
        <v>14</v>
      </c>
      <c r="AP517" s="1084">
        <v>0.27</v>
      </c>
      <c r="AQ517" s="1748">
        <f t="shared" si="226"/>
        <v>0</v>
      </c>
      <c r="AR517" s="1742">
        <v>0.48</v>
      </c>
      <c r="AS517" s="1052">
        <f t="shared" si="229"/>
        <v>1.7777777777777777</v>
      </c>
      <c r="AT517" s="1049"/>
      <c r="AU517" s="1142"/>
      <c r="AV517" s="1049"/>
      <c r="AW517" s="1092" t="s">
        <v>1127</v>
      </c>
      <c r="AX517" s="1086">
        <v>13</v>
      </c>
      <c r="AY517" s="1085">
        <v>14</v>
      </c>
      <c r="AZ517" s="1084">
        <v>0.9</v>
      </c>
      <c r="BA517" s="1736">
        <v>1.57</v>
      </c>
      <c r="BB517" s="1742">
        <f t="shared" si="230"/>
        <v>1.7444444444444445</v>
      </c>
      <c r="BC517" s="1049"/>
      <c r="BD517" s="1142"/>
      <c r="BE517" s="1049"/>
      <c r="BF517" s="1092" t="s">
        <v>1127</v>
      </c>
      <c r="BG517" s="1086">
        <v>13</v>
      </c>
      <c r="BH517" s="1085">
        <v>14</v>
      </c>
      <c r="BI517" s="1874">
        <v>0.31</v>
      </c>
      <c r="BJ517" s="1736"/>
      <c r="BK517" s="1049"/>
      <c r="BL517" s="1092" t="s">
        <v>1127</v>
      </c>
      <c r="BM517" s="1086">
        <v>13</v>
      </c>
      <c r="BN517" s="1085">
        <v>14</v>
      </c>
      <c r="BO517" s="1084"/>
      <c r="BP517" s="1084"/>
      <c r="BQ517" s="1049"/>
    </row>
    <row r="518" spans="1:69" ht="14.4">
      <c r="A518" s="1049"/>
      <c r="B518" s="1060"/>
      <c r="C518" s="1086">
        <v>14</v>
      </c>
      <c r="D518" s="1085">
        <v>15</v>
      </c>
      <c r="E518" s="1091">
        <v>0.48</v>
      </c>
      <c r="F518" s="1090">
        <v>1.5</v>
      </c>
      <c r="G518" s="1089">
        <f t="shared" si="220"/>
        <v>3.125</v>
      </c>
      <c r="H518" s="1049"/>
      <c r="I518" s="1060"/>
      <c r="J518" s="1086">
        <v>14</v>
      </c>
      <c r="K518" s="1085">
        <v>15</v>
      </c>
      <c r="L518" s="1084">
        <v>1.3140000000000001</v>
      </c>
      <c r="M518" s="1088">
        <v>6.24</v>
      </c>
      <c r="N518" s="1087">
        <f t="shared" si="221"/>
        <v>4.7488584474885842</v>
      </c>
      <c r="O518" s="1049"/>
      <c r="P518" s="1058">
        <f>P506*0.8</f>
        <v>38.352000000000004</v>
      </c>
      <c r="Q518" s="1086">
        <v>14</v>
      </c>
      <c r="R518" s="1085">
        <v>15</v>
      </c>
      <c r="S518" s="1084">
        <v>3.6549999999999998</v>
      </c>
      <c r="T518" s="1054">
        <f t="shared" si="222"/>
        <v>9.100950000000001</v>
      </c>
      <c r="U518" s="1064">
        <v>12.49</v>
      </c>
      <c r="V518" s="1052">
        <f t="shared" si="227"/>
        <v>3.4172366621067032</v>
      </c>
      <c r="W518" s="1049"/>
      <c r="X518" s="1051">
        <v>2.4900000000000002</v>
      </c>
      <c r="Y518" s="1049"/>
      <c r="Z518" s="1050">
        <f t="shared" si="223"/>
        <v>6.1769500000000006</v>
      </c>
      <c r="AA518" s="1058">
        <f>AA506*0.8</f>
        <v>51.436000000000007</v>
      </c>
      <c r="AB518" s="1086">
        <v>14</v>
      </c>
      <c r="AC518" s="1085">
        <v>15</v>
      </c>
      <c r="AD518" s="1084">
        <v>2.7549999999999999</v>
      </c>
      <c r="AE518" s="1143">
        <f t="shared" si="224"/>
        <v>3.8569999999999998</v>
      </c>
      <c r="AF518" s="1142">
        <v>5.76</v>
      </c>
      <c r="AG518" s="1052">
        <f t="shared" si="228"/>
        <v>2.0907441016333936</v>
      </c>
      <c r="AH518" s="1049"/>
      <c r="AI518" s="1142">
        <v>1.4</v>
      </c>
      <c r="AJ518" s="1049"/>
      <c r="AK518" s="1050">
        <f t="shared" si="225"/>
        <v>1.6529999999999996</v>
      </c>
      <c r="AL518" s="1058"/>
      <c r="AM518" s="1058">
        <f>AM506*0.8</f>
        <v>5.6240000000000006</v>
      </c>
      <c r="AN518" s="1086">
        <v>14</v>
      </c>
      <c r="AO518" s="1085">
        <v>15</v>
      </c>
      <c r="AP518" s="1084">
        <v>0.2</v>
      </c>
      <c r="AQ518" s="1748">
        <f t="shared" si="226"/>
        <v>0</v>
      </c>
      <c r="AR518" s="1742">
        <v>0.37</v>
      </c>
      <c r="AS518" s="1052">
        <f t="shared" si="229"/>
        <v>1.8499999999999999</v>
      </c>
      <c r="AT518" s="1049"/>
      <c r="AU518" s="1142"/>
      <c r="AV518" s="1049"/>
      <c r="AW518" s="1058">
        <f>AW506*0.8</f>
        <v>6.2160000000000011</v>
      </c>
      <c r="AX518" s="1086">
        <v>14</v>
      </c>
      <c r="AY518" s="1085">
        <v>15</v>
      </c>
      <c r="AZ518" s="1084">
        <v>0.31</v>
      </c>
      <c r="BA518" s="1736">
        <v>0.53</v>
      </c>
      <c r="BB518" s="1742">
        <f t="shared" si="230"/>
        <v>1.7096774193548387</v>
      </c>
      <c r="BC518" s="1049"/>
      <c r="BD518" s="1142"/>
      <c r="BE518" s="1049"/>
      <c r="BF518" s="1058">
        <f>BF506*0.8</f>
        <v>4.9680000000000009</v>
      </c>
      <c r="BG518" s="1086">
        <v>14</v>
      </c>
      <c r="BH518" s="1085">
        <v>15</v>
      </c>
      <c r="BI518" s="1874">
        <v>0.25</v>
      </c>
      <c r="BJ518" s="1736"/>
      <c r="BK518" s="1049"/>
      <c r="BL518" s="1058">
        <f>BL506*0.8</f>
        <v>0</v>
      </c>
      <c r="BM518" s="1086">
        <v>14</v>
      </c>
      <c r="BN518" s="1085">
        <v>15</v>
      </c>
      <c r="BO518" s="1084"/>
      <c r="BP518" s="1084"/>
      <c r="BQ518" s="1049"/>
    </row>
    <row r="519" spans="1:69" ht="14.4">
      <c r="A519" s="1049"/>
      <c r="B519" s="1060"/>
      <c r="C519" s="1086">
        <v>15</v>
      </c>
      <c r="D519" s="1085">
        <v>16</v>
      </c>
      <c r="E519" s="1091">
        <v>0.34</v>
      </c>
      <c r="F519" s="1090">
        <v>1.06</v>
      </c>
      <c r="G519" s="1089">
        <f t="shared" si="220"/>
        <v>3.1176470588235294</v>
      </c>
      <c r="H519" s="1049"/>
      <c r="I519" s="1060"/>
      <c r="J519" s="1086">
        <v>15</v>
      </c>
      <c r="K519" s="1085">
        <v>16</v>
      </c>
      <c r="L519" s="1084">
        <v>1.4690000000000001</v>
      </c>
      <c r="M519" s="1088">
        <v>7</v>
      </c>
      <c r="N519" s="1087">
        <f t="shared" si="221"/>
        <v>4.7651463580667119</v>
      </c>
      <c r="O519" s="1049"/>
      <c r="P519" s="1058" t="s">
        <v>1126</v>
      </c>
      <c r="Q519" s="1086">
        <v>15</v>
      </c>
      <c r="R519" s="1085">
        <v>16</v>
      </c>
      <c r="S519" s="1084">
        <v>3.7149999999999999</v>
      </c>
      <c r="T519" s="1054">
        <f t="shared" si="222"/>
        <v>8.8416999999999994</v>
      </c>
      <c r="U519" s="1064">
        <v>12.28</v>
      </c>
      <c r="V519" s="1052">
        <f t="shared" si="227"/>
        <v>3.3055181695827724</v>
      </c>
      <c r="W519" s="1049"/>
      <c r="X519" s="1051">
        <v>2.38</v>
      </c>
      <c r="Y519" s="1049"/>
      <c r="Z519" s="1050">
        <f t="shared" si="223"/>
        <v>5.869699999999999</v>
      </c>
      <c r="AA519" s="1058" t="s">
        <v>1126</v>
      </c>
      <c r="AB519" s="1086">
        <v>15</v>
      </c>
      <c r="AC519" s="1085">
        <v>16</v>
      </c>
      <c r="AD519" s="1084">
        <v>2.782</v>
      </c>
      <c r="AE519" s="1143">
        <f t="shared" si="224"/>
        <v>3.8947999999999996</v>
      </c>
      <c r="AF519" s="1142">
        <v>5.8</v>
      </c>
      <c r="AG519" s="1052">
        <f t="shared" si="228"/>
        <v>2.0848310567936736</v>
      </c>
      <c r="AH519" s="1049"/>
      <c r="AI519" s="1142">
        <v>1.4</v>
      </c>
      <c r="AJ519" s="1049"/>
      <c r="AK519" s="1050">
        <f t="shared" si="225"/>
        <v>1.6691999999999996</v>
      </c>
      <c r="AL519" s="1058"/>
      <c r="AM519" s="1058" t="s">
        <v>1126</v>
      </c>
      <c r="AN519" s="1086">
        <v>15</v>
      </c>
      <c r="AO519" s="1085">
        <v>16</v>
      </c>
      <c r="AP519" s="1084">
        <v>0.27</v>
      </c>
      <c r="AQ519" s="1748">
        <f t="shared" si="226"/>
        <v>0</v>
      </c>
      <c r="AR519" s="1742">
        <v>0.55000000000000004</v>
      </c>
      <c r="AS519" s="1052">
        <f t="shared" si="229"/>
        <v>2.0370370370370372</v>
      </c>
      <c r="AT519" s="1049"/>
      <c r="AU519" s="1142"/>
      <c r="AV519" s="1049"/>
      <c r="AW519" s="1058" t="s">
        <v>1126</v>
      </c>
      <c r="AX519" s="1086">
        <v>15</v>
      </c>
      <c r="AY519" s="1085">
        <v>16</v>
      </c>
      <c r="AZ519" s="1084">
        <v>0.37</v>
      </c>
      <c r="BA519" s="1736">
        <v>0.63</v>
      </c>
      <c r="BB519" s="1742">
        <f t="shared" si="230"/>
        <v>1.7027027027027026</v>
      </c>
      <c r="BC519" s="1049"/>
      <c r="BD519" s="1142"/>
      <c r="BE519" s="1049"/>
      <c r="BF519" s="1058" t="s">
        <v>1126</v>
      </c>
      <c r="BG519" s="1086">
        <v>15</v>
      </c>
      <c r="BH519" s="1085">
        <v>16</v>
      </c>
      <c r="BI519" s="1874">
        <v>0.31</v>
      </c>
      <c r="BJ519" s="1736"/>
      <c r="BK519" s="1049"/>
      <c r="BL519" s="1058" t="s">
        <v>1126</v>
      </c>
      <c r="BM519" s="1086">
        <v>15</v>
      </c>
      <c r="BN519" s="1085">
        <v>16</v>
      </c>
      <c r="BO519" s="1084"/>
      <c r="BP519" s="1084"/>
      <c r="BQ519" s="1049"/>
    </row>
    <row r="520" spans="1:69" ht="15" thickBot="1">
      <c r="A520" s="1049"/>
      <c r="B520" s="1060"/>
      <c r="C520" s="1077">
        <v>16</v>
      </c>
      <c r="D520" s="1076">
        <v>17</v>
      </c>
      <c r="E520" s="1083">
        <v>0.3</v>
      </c>
      <c r="F520" s="1082">
        <v>0.96</v>
      </c>
      <c r="G520" s="1081">
        <f t="shared" si="220"/>
        <v>3.2</v>
      </c>
      <c r="H520" s="1049"/>
      <c r="I520" s="1060"/>
      <c r="J520" s="1077">
        <v>16</v>
      </c>
      <c r="K520" s="1076">
        <v>17</v>
      </c>
      <c r="L520" s="1075">
        <v>1.4219999999999999</v>
      </c>
      <c r="M520" s="1080">
        <v>6.79</v>
      </c>
      <c r="N520" s="1079">
        <f t="shared" si="221"/>
        <v>4.7749648382559782</v>
      </c>
      <c r="O520" s="1049"/>
      <c r="P520" s="1078">
        <f>P506*(X503-0.8)</f>
        <v>74.846325000000036</v>
      </c>
      <c r="Q520" s="1077">
        <v>16</v>
      </c>
      <c r="R520" s="1076">
        <v>17</v>
      </c>
      <c r="S520" s="1075">
        <v>2.8450000000000002</v>
      </c>
      <c r="T520" s="1054">
        <f t="shared" si="222"/>
        <v>6.6573000000000002</v>
      </c>
      <c r="U520" s="1064">
        <v>9.2899999999999991</v>
      </c>
      <c r="V520" s="1052">
        <f t="shared" si="227"/>
        <v>3.2653778558875213</v>
      </c>
      <c r="W520" s="1049"/>
      <c r="X520" s="1074">
        <v>2.34</v>
      </c>
      <c r="Y520" s="1049"/>
      <c r="Z520" s="1050">
        <f t="shared" si="223"/>
        <v>4.3812999999999995</v>
      </c>
      <c r="AA520" s="1078">
        <f>AA506*(AI503-0.8)</f>
        <v>45.810187499999998</v>
      </c>
      <c r="AB520" s="1077">
        <v>16</v>
      </c>
      <c r="AC520" s="1076">
        <v>17</v>
      </c>
      <c r="AD520" s="1075">
        <v>2.839</v>
      </c>
      <c r="AE520" s="1141">
        <f t="shared" si="224"/>
        <v>4.17333</v>
      </c>
      <c r="AF520" s="1140">
        <v>6.14</v>
      </c>
      <c r="AG520" s="1052">
        <f t="shared" si="228"/>
        <v>2.1627333568157803</v>
      </c>
      <c r="AH520" s="1049"/>
      <c r="AI520" s="1140">
        <v>1.47</v>
      </c>
      <c r="AJ520" s="1049"/>
      <c r="AK520" s="1050">
        <f t="shared" si="225"/>
        <v>1.9021299999999999</v>
      </c>
      <c r="AL520" s="1078"/>
      <c r="AM520" s="1078" t="e">
        <f>AM506*(AU503-0.8)</f>
        <v>#DIV/0!</v>
      </c>
      <c r="AN520" s="1077">
        <v>16</v>
      </c>
      <c r="AO520" s="1076">
        <v>17</v>
      </c>
      <c r="AP520" s="1075">
        <v>0.31</v>
      </c>
      <c r="AQ520" s="1749">
        <f t="shared" si="226"/>
        <v>0</v>
      </c>
      <c r="AR520" s="1743">
        <v>0.68</v>
      </c>
      <c r="AS520" s="1052">
        <f t="shared" si="229"/>
        <v>2.1935483870967745</v>
      </c>
      <c r="AT520" s="1049"/>
      <c r="AU520" s="1140"/>
      <c r="AV520" s="1049"/>
      <c r="AW520" s="1078" t="e">
        <f>AW506*(BD503-0.8)</f>
        <v>#DIV/0!</v>
      </c>
      <c r="AX520" s="1077">
        <v>16</v>
      </c>
      <c r="AY520" s="1076">
        <v>17</v>
      </c>
      <c r="AZ520" s="1075">
        <v>0.22</v>
      </c>
      <c r="BA520" s="1738">
        <v>0.38</v>
      </c>
      <c r="BB520" s="1743">
        <f t="shared" si="230"/>
        <v>1.7272727272727273</v>
      </c>
      <c r="BC520" s="1049"/>
      <c r="BD520" s="1140"/>
      <c r="BE520" s="1049"/>
      <c r="BF520" s="1078">
        <f>BF506*(BM503-0.8)</f>
        <v>-4.9680000000000009</v>
      </c>
      <c r="BG520" s="1077">
        <v>16</v>
      </c>
      <c r="BH520" s="1076">
        <v>17</v>
      </c>
      <c r="BI520" s="1874">
        <v>0.27</v>
      </c>
      <c r="BJ520" s="1738"/>
      <c r="BK520" s="1049"/>
      <c r="BL520" s="1078">
        <f>BL506*(BS503-0.8)</f>
        <v>0</v>
      </c>
      <c r="BM520" s="1077">
        <v>16</v>
      </c>
      <c r="BN520" s="1076">
        <v>17</v>
      </c>
      <c r="BO520" s="1075"/>
      <c r="BP520" s="1075"/>
      <c r="BQ520" s="1049"/>
    </row>
    <row r="521" spans="1:69" ht="14.4">
      <c r="A521" s="1049"/>
      <c r="B521" s="1060"/>
      <c r="C521" s="1068">
        <v>17</v>
      </c>
      <c r="D521" s="1067">
        <v>18</v>
      </c>
      <c r="E521" s="1073">
        <v>0.5</v>
      </c>
      <c r="F521" s="1072">
        <v>1.98</v>
      </c>
      <c r="G521" s="1071">
        <f t="shared" si="220"/>
        <v>3.96</v>
      </c>
      <c r="H521" s="1049"/>
      <c r="I521" s="1060"/>
      <c r="J521" s="1068">
        <v>17</v>
      </c>
      <c r="K521" s="1067">
        <v>18</v>
      </c>
      <c r="L521" s="1066">
        <v>1.518</v>
      </c>
      <c r="M521" s="1070">
        <v>8.3699999999999992</v>
      </c>
      <c r="N521" s="1069">
        <f t="shared" si="221"/>
        <v>5.5138339920948614</v>
      </c>
      <c r="O521" s="1049"/>
      <c r="P521" s="1058"/>
      <c r="Q521" s="1068">
        <v>17</v>
      </c>
      <c r="R521" s="1067">
        <v>18</v>
      </c>
      <c r="S521" s="1066">
        <v>2.069</v>
      </c>
      <c r="T521" s="1054">
        <f t="shared" si="222"/>
        <v>5.2552599999999998</v>
      </c>
      <c r="U521" s="1064">
        <v>7.17</v>
      </c>
      <c r="V521" s="1052">
        <f t="shared" si="227"/>
        <v>3.4654422426292895</v>
      </c>
      <c r="W521" s="1049"/>
      <c r="X521" s="1065">
        <v>2.54</v>
      </c>
      <c r="Y521" s="1049"/>
      <c r="Z521" s="1050">
        <f t="shared" si="223"/>
        <v>3.60006</v>
      </c>
      <c r="AA521" s="1058"/>
      <c r="AB521" s="1068">
        <v>17</v>
      </c>
      <c r="AC521" s="1067">
        <v>18</v>
      </c>
      <c r="AD521" s="1066">
        <v>3.42</v>
      </c>
      <c r="AE521" s="1139">
        <f t="shared" si="224"/>
        <v>5.9849999999999994</v>
      </c>
      <c r="AF521" s="1138">
        <v>11.01</v>
      </c>
      <c r="AG521" s="1052">
        <f t="shared" si="228"/>
        <v>3.2192982456140351</v>
      </c>
      <c r="AH521" s="1049"/>
      <c r="AI521" s="1138">
        <v>1.75</v>
      </c>
      <c r="AJ521" s="1049"/>
      <c r="AK521" s="1050">
        <f t="shared" si="225"/>
        <v>3.2489999999999997</v>
      </c>
      <c r="AL521" s="1058"/>
      <c r="AM521" s="1058"/>
      <c r="AN521" s="1068">
        <v>17</v>
      </c>
      <c r="AO521" s="1067">
        <v>18</v>
      </c>
      <c r="AP521" s="1066">
        <v>1.23</v>
      </c>
      <c r="AQ521" s="1750">
        <f t="shared" si="226"/>
        <v>0</v>
      </c>
      <c r="AR521" s="1744">
        <v>3.86</v>
      </c>
      <c r="AS521" s="1052">
        <f t="shared" si="229"/>
        <v>3.1382113821138211</v>
      </c>
      <c r="AT521" s="1049"/>
      <c r="AU521" s="1138"/>
      <c r="AV521" s="1049"/>
      <c r="AW521" s="1058"/>
      <c r="AX521" s="1068">
        <v>17</v>
      </c>
      <c r="AY521" s="1067">
        <v>18</v>
      </c>
      <c r="AZ521" s="1066">
        <v>0.23</v>
      </c>
      <c r="BA521" s="1740">
        <v>0.59</v>
      </c>
      <c r="BB521" s="1744">
        <f t="shared" si="230"/>
        <v>2.5652173913043477</v>
      </c>
      <c r="BC521" s="1049"/>
      <c r="BD521" s="1138"/>
      <c r="BE521" s="1049"/>
      <c r="BF521" s="1058"/>
      <c r="BG521" s="1068">
        <v>17</v>
      </c>
      <c r="BH521" s="1067">
        <v>18</v>
      </c>
      <c r="BI521" s="1874">
        <v>0.43</v>
      </c>
      <c r="BJ521" s="1740"/>
      <c r="BK521" s="1049"/>
      <c r="BL521" s="1058"/>
      <c r="BM521" s="1068">
        <v>17</v>
      </c>
      <c r="BN521" s="1067">
        <v>18</v>
      </c>
      <c r="BO521" s="1066"/>
      <c r="BP521" s="1066"/>
      <c r="BQ521" s="1049"/>
    </row>
    <row r="522" spans="1:69" ht="14.4">
      <c r="A522" s="1049"/>
      <c r="B522" s="1060"/>
      <c r="C522" s="1057">
        <v>18</v>
      </c>
      <c r="D522" s="1056">
        <v>19</v>
      </c>
      <c r="E522" s="1063">
        <v>0.45</v>
      </c>
      <c r="F522" s="1062">
        <v>1.8</v>
      </c>
      <c r="G522" s="1061">
        <f t="shared" si="220"/>
        <v>4</v>
      </c>
      <c r="H522" s="1049"/>
      <c r="I522" s="1060"/>
      <c r="J522" s="1057">
        <v>18</v>
      </c>
      <c r="K522" s="1056">
        <v>19</v>
      </c>
      <c r="L522" s="1055">
        <v>1.448</v>
      </c>
      <c r="M522" s="1059">
        <v>7.71</v>
      </c>
      <c r="N522" s="1052">
        <f t="shared" si="221"/>
        <v>5.3245856353591163</v>
      </c>
      <c r="O522" s="1049"/>
      <c r="P522" s="1058"/>
      <c r="Q522" s="1057">
        <v>18</v>
      </c>
      <c r="R522" s="1056">
        <v>19</v>
      </c>
      <c r="S522" s="1055">
        <v>0.622</v>
      </c>
      <c r="T522" s="1054">
        <f t="shared" si="222"/>
        <v>1.5176799999999999</v>
      </c>
      <c r="U522" s="1064">
        <v>2.09</v>
      </c>
      <c r="V522" s="1052">
        <f t="shared" si="227"/>
        <v>3.360128617363344</v>
      </c>
      <c r="W522" s="1049"/>
      <c r="X522" s="1051">
        <v>2.44</v>
      </c>
      <c r="Y522" s="1049"/>
      <c r="Z522" s="1050">
        <f t="shared" si="223"/>
        <v>1.0200799999999999</v>
      </c>
      <c r="AA522" s="1058"/>
      <c r="AB522" s="1057">
        <v>18</v>
      </c>
      <c r="AC522" s="1056">
        <v>19</v>
      </c>
      <c r="AD522" s="1055">
        <v>2.78</v>
      </c>
      <c r="AE522" s="1137">
        <f t="shared" si="224"/>
        <v>5.0039999999999996</v>
      </c>
      <c r="AF522" s="1136">
        <v>9.08</v>
      </c>
      <c r="AG522" s="1052">
        <f t="shared" si="228"/>
        <v>3.2661870503597124</v>
      </c>
      <c r="AH522" s="1049"/>
      <c r="AI522" s="1136">
        <v>1.8</v>
      </c>
      <c r="AJ522" s="1049"/>
      <c r="AK522" s="1050">
        <f t="shared" si="225"/>
        <v>2.78</v>
      </c>
      <c r="AL522" s="1058"/>
      <c r="AM522" s="1058"/>
      <c r="AN522" s="1057">
        <v>18</v>
      </c>
      <c r="AO522" s="1056">
        <v>19</v>
      </c>
      <c r="AP522" s="1055">
        <v>0.4</v>
      </c>
      <c r="AQ522" s="1745">
        <f t="shared" si="226"/>
        <v>0</v>
      </c>
      <c r="AR522" s="1737">
        <v>1.3</v>
      </c>
      <c r="AS522" s="1052">
        <f t="shared" si="229"/>
        <v>3.25</v>
      </c>
      <c r="AT522" s="1049"/>
      <c r="AU522" s="1136"/>
      <c r="AV522" s="1049"/>
      <c r="AW522" s="1058"/>
      <c r="AX522" s="1057">
        <v>18</v>
      </c>
      <c r="AY522" s="1056">
        <v>19</v>
      </c>
      <c r="AZ522" s="1055">
        <v>0.41</v>
      </c>
      <c r="BA522" s="1736">
        <v>1.06</v>
      </c>
      <c r="BB522" s="1737">
        <f t="shared" si="230"/>
        <v>2.5853658536585367</v>
      </c>
      <c r="BC522" s="1049"/>
      <c r="BD522" s="1136"/>
      <c r="BE522" s="1049"/>
      <c r="BF522" s="1058"/>
      <c r="BG522" s="1057">
        <v>18</v>
      </c>
      <c r="BH522" s="1056">
        <v>19</v>
      </c>
      <c r="BI522" s="1874">
        <v>0.32</v>
      </c>
      <c r="BJ522" s="1736"/>
      <c r="BK522" s="1049"/>
      <c r="BL522" s="1058"/>
      <c r="BM522" s="1057">
        <v>18</v>
      </c>
      <c r="BN522" s="1056">
        <v>19</v>
      </c>
      <c r="BO522" s="1055"/>
      <c r="BP522" s="1055"/>
      <c r="BQ522" s="1049"/>
    </row>
    <row r="523" spans="1:69" ht="14.4">
      <c r="A523" s="1049"/>
      <c r="B523" s="1060"/>
      <c r="C523" s="1057">
        <v>19</v>
      </c>
      <c r="D523" s="1056">
        <v>20</v>
      </c>
      <c r="E523" s="1063">
        <v>0.69</v>
      </c>
      <c r="F523" s="1062">
        <v>2.63</v>
      </c>
      <c r="G523" s="1061">
        <f t="shared" si="220"/>
        <v>3.8115942028985508</v>
      </c>
      <c r="H523" s="1049"/>
      <c r="I523" s="1060"/>
      <c r="J523" s="1057">
        <v>19</v>
      </c>
      <c r="K523" s="1056">
        <v>20</v>
      </c>
      <c r="L523" s="1055">
        <v>1.992</v>
      </c>
      <c r="M523" s="1059">
        <v>10.16</v>
      </c>
      <c r="N523" s="1052">
        <f t="shared" si="221"/>
        <v>5.1004016064257032</v>
      </c>
      <c r="O523" s="1049"/>
      <c r="P523" s="1058"/>
      <c r="Q523" s="1057">
        <v>19</v>
      </c>
      <c r="R523" s="1056">
        <v>20</v>
      </c>
      <c r="S523" s="1055">
        <v>1.542</v>
      </c>
      <c r="T523" s="1054">
        <f t="shared" si="222"/>
        <v>3.6391199999999997</v>
      </c>
      <c r="U523" s="1064">
        <v>5.05</v>
      </c>
      <c r="V523" s="1052">
        <f t="shared" si="227"/>
        <v>3.2749675745784694</v>
      </c>
      <c r="W523" s="1049"/>
      <c r="X523" s="1051">
        <v>2.36</v>
      </c>
      <c r="Y523" s="1049"/>
      <c r="Z523" s="1050">
        <f t="shared" si="223"/>
        <v>2.4055199999999997</v>
      </c>
      <c r="AA523" s="1058"/>
      <c r="AB523" s="1057">
        <v>19</v>
      </c>
      <c r="AC523" s="1056">
        <v>20</v>
      </c>
      <c r="AD523" s="1055">
        <v>3.359</v>
      </c>
      <c r="AE523" s="1137">
        <f t="shared" si="224"/>
        <v>4.9377300000000002</v>
      </c>
      <c r="AF523" s="1136">
        <v>9.8699999999999992</v>
      </c>
      <c r="AG523" s="1052">
        <f t="shared" si="228"/>
        <v>2.9383745162250667</v>
      </c>
      <c r="AH523" s="1049"/>
      <c r="AI523" s="1136">
        <v>1.47</v>
      </c>
      <c r="AJ523" s="1049"/>
      <c r="AK523" s="1050">
        <f t="shared" si="225"/>
        <v>2.2505299999999999</v>
      </c>
      <c r="AL523" s="1058"/>
      <c r="AM523" s="1058"/>
      <c r="AN523" s="1057">
        <v>19</v>
      </c>
      <c r="AO523" s="1056">
        <v>20</v>
      </c>
      <c r="AP523" s="1055">
        <v>0.38</v>
      </c>
      <c r="AQ523" s="1745">
        <f t="shared" si="226"/>
        <v>0</v>
      </c>
      <c r="AR523" s="1737">
        <v>1.24</v>
      </c>
      <c r="AS523" s="1052">
        <f t="shared" si="229"/>
        <v>3.263157894736842</v>
      </c>
      <c r="AT523" s="1049"/>
      <c r="AU523" s="1136"/>
      <c r="AV523" s="1049"/>
      <c r="AW523" s="1058"/>
      <c r="AX523" s="1057">
        <v>19</v>
      </c>
      <c r="AY523" s="1056">
        <v>20</v>
      </c>
      <c r="AZ523" s="1055">
        <v>0.4</v>
      </c>
      <c r="BA523" s="1736">
        <v>1</v>
      </c>
      <c r="BB523" s="1737">
        <f t="shared" si="230"/>
        <v>2.5</v>
      </c>
      <c r="BC523" s="1049"/>
      <c r="BD523" s="1136"/>
      <c r="BE523" s="1049"/>
      <c r="BF523" s="1058"/>
      <c r="BG523" s="1057">
        <v>19</v>
      </c>
      <c r="BH523" s="1056">
        <v>20</v>
      </c>
      <c r="BI523" s="1874">
        <v>0.32</v>
      </c>
      <c r="BJ523" s="1736"/>
      <c r="BK523" s="1049"/>
      <c r="BL523" s="1058"/>
      <c r="BM523" s="1057">
        <v>19</v>
      </c>
      <c r="BN523" s="1056">
        <v>20</v>
      </c>
      <c r="BO523" s="1055"/>
      <c r="BP523" s="1055"/>
      <c r="BQ523" s="1049"/>
    </row>
    <row r="524" spans="1:69" ht="14.4">
      <c r="A524" s="1049"/>
      <c r="B524" s="1060"/>
      <c r="C524" s="1057">
        <v>20</v>
      </c>
      <c r="D524" s="1056">
        <v>21</v>
      </c>
      <c r="E524" s="1063">
        <v>0.48</v>
      </c>
      <c r="F524" s="1062">
        <v>1.54</v>
      </c>
      <c r="G524" s="1061">
        <f t="shared" si="220"/>
        <v>3.2083333333333335</v>
      </c>
      <c r="H524" s="1049"/>
      <c r="I524" s="1060"/>
      <c r="J524" s="1057">
        <v>20</v>
      </c>
      <c r="K524" s="1056">
        <v>21</v>
      </c>
      <c r="L524" s="1055">
        <v>1.522</v>
      </c>
      <c r="M524" s="1059">
        <v>6.1</v>
      </c>
      <c r="N524" s="1052">
        <f t="shared" si="221"/>
        <v>4.0078843626806826</v>
      </c>
      <c r="O524" s="1049"/>
      <c r="P524" s="1058"/>
      <c r="Q524" s="1057">
        <v>20</v>
      </c>
      <c r="R524" s="1056">
        <v>21</v>
      </c>
      <c r="S524" s="1055">
        <v>1.5109999999999999</v>
      </c>
      <c r="T524" s="1054">
        <f t="shared" si="222"/>
        <v>3.3544200000000002</v>
      </c>
      <c r="U524" s="1064">
        <v>4.74</v>
      </c>
      <c r="V524" s="1052">
        <f t="shared" si="227"/>
        <v>3.1369953673064201</v>
      </c>
      <c r="W524" s="1049"/>
      <c r="X524" s="1051">
        <v>2.2200000000000002</v>
      </c>
      <c r="Y524" s="1049"/>
      <c r="Z524" s="1050">
        <f t="shared" si="223"/>
        <v>2.1456200000000001</v>
      </c>
      <c r="AA524" s="1058"/>
      <c r="AB524" s="1057">
        <v>20</v>
      </c>
      <c r="AC524" s="1056">
        <v>21</v>
      </c>
      <c r="AD524" s="1055">
        <v>3.3860000000000001</v>
      </c>
      <c r="AE524" s="1137">
        <f t="shared" si="224"/>
        <v>4.8081199999999997</v>
      </c>
      <c r="AF524" s="1136">
        <v>7.15</v>
      </c>
      <c r="AG524" s="1052">
        <f t="shared" si="228"/>
        <v>2.1116361488481985</v>
      </c>
      <c r="AH524" s="1049"/>
      <c r="AI524" s="1136">
        <v>1.42</v>
      </c>
      <c r="AJ524" s="1049"/>
      <c r="AK524" s="1050">
        <f t="shared" si="225"/>
        <v>2.0993199999999996</v>
      </c>
      <c r="AL524" s="1058"/>
      <c r="AM524" s="1058"/>
      <c r="AN524" s="1057">
        <v>20</v>
      </c>
      <c r="AO524" s="1056">
        <v>21</v>
      </c>
      <c r="AP524" s="1055">
        <v>0.28000000000000003</v>
      </c>
      <c r="AQ524" s="1745">
        <f t="shared" si="226"/>
        <v>0</v>
      </c>
      <c r="AR524" s="1737">
        <v>0.67</v>
      </c>
      <c r="AS524" s="1052">
        <f t="shared" si="229"/>
        <v>2.3928571428571428</v>
      </c>
      <c r="AT524" s="1049"/>
      <c r="AU524" s="1136"/>
      <c r="AV524" s="1049"/>
      <c r="AW524" s="1058"/>
      <c r="AX524" s="1057">
        <v>20</v>
      </c>
      <c r="AY524" s="1056">
        <v>21</v>
      </c>
      <c r="AZ524" s="1055">
        <v>0.46</v>
      </c>
      <c r="BA524" s="1736">
        <v>0.78</v>
      </c>
      <c r="BB524" s="1737">
        <f t="shared" si="230"/>
        <v>1.6956521739130435</v>
      </c>
      <c r="BC524" s="1049"/>
      <c r="BD524" s="1136"/>
      <c r="BE524" s="1049"/>
      <c r="BF524" s="1058"/>
      <c r="BG524" s="1057">
        <v>20</v>
      </c>
      <c r="BH524" s="1056">
        <v>21</v>
      </c>
      <c r="BI524" s="1874">
        <v>0.35</v>
      </c>
      <c r="BJ524" s="1736"/>
      <c r="BK524" s="1049"/>
      <c r="BL524" s="1058"/>
      <c r="BM524" s="1057">
        <v>20</v>
      </c>
      <c r="BN524" s="1056">
        <v>21</v>
      </c>
      <c r="BO524" s="1055"/>
      <c r="BP524" s="1055"/>
      <c r="BQ524" s="1049"/>
    </row>
    <row r="525" spans="1:69" ht="14.4">
      <c r="A525" s="1049"/>
      <c r="B525" s="1060"/>
      <c r="C525" s="1057">
        <v>21</v>
      </c>
      <c r="D525" s="1056">
        <v>22</v>
      </c>
      <c r="E525" s="1063">
        <v>0.56999999999999995</v>
      </c>
      <c r="F525" s="1062">
        <v>1.75</v>
      </c>
      <c r="G525" s="1061">
        <f t="shared" si="220"/>
        <v>3.0701754385964914</v>
      </c>
      <c r="H525" s="1049"/>
      <c r="I525" s="1060"/>
      <c r="J525" s="1057">
        <v>21</v>
      </c>
      <c r="K525" s="1056">
        <v>22</v>
      </c>
      <c r="L525" s="1055">
        <v>1.198</v>
      </c>
      <c r="M525" s="1059">
        <v>4.4400000000000004</v>
      </c>
      <c r="N525" s="1052">
        <f t="shared" si="221"/>
        <v>3.7061769616026714</v>
      </c>
      <c r="O525" s="1049"/>
      <c r="P525" s="1058"/>
      <c r="Q525" s="1057">
        <v>21</v>
      </c>
      <c r="R525" s="1056">
        <v>22</v>
      </c>
      <c r="S525" s="1055">
        <v>1.3720000000000001</v>
      </c>
      <c r="T525" s="1054">
        <f t="shared" si="222"/>
        <v>2.7577199999999999</v>
      </c>
      <c r="U525" s="1064">
        <v>4.01</v>
      </c>
      <c r="V525" s="1052">
        <f t="shared" si="227"/>
        <v>2.9227405247813407</v>
      </c>
      <c r="W525" s="1049"/>
      <c r="X525" s="1051">
        <v>2.0099999999999998</v>
      </c>
      <c r="Y525" s="1049"/>
      <c r="Z525" s="1050">
        <f t="shared" si="223"/>
        <v>1.6601199999999998</v>
      </c>
      <c r="AA525" s="1058"/>
      <c r="AB525" s="1057">
        <v>21</v>
      </c>
      <c r="AC525" s="1056">
        <v>22</v>
      </c>
      <c r="AD525" s="1055">
        <v>3.3809999999999998</v>
      </c>
      <c r="AE525" s="1137">
        <f t="shared" si="224"/>
        <v>4.7333999999999996</v>
      </c>
      <c r="AF525" s="1136">
        <v>7.06</v>
      </c>
      <c r="AG525" s="1052">
        <f t="shared" si="228"/>
        <v>2.0881396036675541</v>
      </c>
      <c r="AH525" s="1049"/>
      <c r="AI525" s="1136">
        <v>1.4</v>
      </c>
      <c r="AJ525" s="1049"/>
      <c r="AK525" s="1050">
        <f t="shared" si="225"/>
        <v>2.0285999999999995</v>
      </c>
      <c r="AL525" s="1058"/>
      <c r="AM525" s="1058"/>
      <c r="AN525" s="1057">
        <v>21</v>
      </c>
      <c r="AO525" s="1056">
        <v>22</v>
      </c>
      <c r="AP525" s="1055">
        <v>0.27</v>
      </c>
      <c r="AQ525" s="1745">
        <f t="shared" si="226"/>
        <v>0</v>
      </c>
      <c r="AR525" s="1737">
        <v>0.62</v>
      </c>
      <c r="AS525" s="1052">
        <f t="shared" si="229"/>
        <v>2.2962962962962963</v>
      </c>
      <c r="AT525" s="1049"/>
      <c r="AU525" s="1136"/>
      <c r="AV525" s="1049"/>
      <c r="AW525" s="1058"/>
      <c r="AX525" s="1057">
        <v>21</v>
      </c>
      <c r="AY525" s="1056">
        <v>22</v>
      </c>
      <c r="AZ525" s="1055">
        <v>0.42</v>
      </c>
      <c r="BA525" s="1736">
        <v>0.71</v>
      </c>
      <c r="BB525" s="1737">
        <f t="shared" si="230"/>
        <v>1.6904761904761905</v>
      </c>
      <c r="BC525" s="1049"/>
      <c r="BD525" s="1136"/>
      <c r="BE525" s="1049"/>
      <c r="BF525" s="1058"/>
      <c r="BG525" s="1057">
        <v>21</v>
      </c>
      <c r="BH525" s="1056">
        <v>22</v>
      </c>
      <c r="BI525" s="1874">
        <v>0.44</v>
      </c>
      <c r="BJ525" s="1736"/>
      <c r="BK525" s="1049"/>
      <c r="BL525" s="1058"/>
      <c r="BM525" s="1057">
        <v>21</v>
      </c>
      <c r="BN525" s="1056">
        <v>22</v>
      </c>
      <c r="BO525" s="1055"/>
      <c r="BP525" s="1055"/>
      <c r="BQ525" s="1049"/>
    </row>
    <row r="526" spans="1:69" ht="14.4">
      <c r="A526" s="1049"/>
      <c r="B526" s="1060"/>
      <c r="C526" s="1057">
        <v>22</v>
      </c>
      <c r="D526" s="1056">
        <v>23</v>
      </c>
      <c r="E526" s="1063">
        <v>0.9</v>
      </c>
      <c r="F526" s="1062">
        <v>2.69</v>
      </c>
      <c r="G526" s="1061">
        <f t="shared" si="220"/>
        <v>2.9888888888888889</v>
      </c>
      <c r="H526" s="1049"/>
      <c r="I526" s="1060"/>
      <c r="J526" s="1057">
        <v>22</v>
      </c>
      <c r="K526" s="1056">
        <v>23</v>
      </c>
      <c r="L526" s="1055">
        <v>1.8140000000000001</v>
      </c>
      <c r="M526" s="1059">
        <v>6.38</v>
      </c>
      <c r="N526" s="1052">
        <f t="shared" si="221"/>
        <v>3.5170893054024255</v>
      </c>
      <c r="O526" s="1049"/>
      <c r="P526" s="1058"/>
      <c r="Q526" s="1057">
        <v>22</v>
      </c>
      <c r="R526" s="1056">
        <v>23</v>
      </c>
      <c r="S526" s="1055">
        <v>1.319</v>
      </c>
      <c r="T526" s="1054">
        <f t="shared" si="222"/>
        <v>2.4269600000000002</v>
      </c>
      <c r="U526" s="1064">
        <v>3.64</v>
      </c>
      <c r="V526" s="1052">
        <f t="shared" si="227"/>
        <v>2.7596664139499625</v>
      </c>
      <c r="W526" s="1049"/>
      <c r="X526" s="1051">
        <v>1.84</v>
      </c>
      <c r="Y526" s="1049"/>
      <c r="Z526" s="1050">
        <f t="shared" si="223"/>
        <v>1.3717600000000001</v>
      </c>
      <c r="AA526" s="1058"/>
      <c r="AB526" s="1057">
        <v>22</v>
      </c>
      <c r="AC526" s="1056">
        <v>23</v>
      </c>
      <c r="AD526" s="1055">
        <v>3.2749999999999999</v>
      </c>
      <c r="AE526" s="1137">
        <f t="shared" si="224"/>
        <v>4.4540000000000006</v>
      </c>
      <c r="AF526" s="1136">
        <v>6.71</v>
      </c>
      <c r="AG526" s="1052">
        <f t="shared" si="228"/>
        <v>2.0488549618320611</v>
      </c>
      <c r="AH526" s="1049"/>
      <c r="AI526" s="1136">
        <v>1.36</v>
      </c>
      <c r="AJ526" s="1049"/>
      <c r="AK526" s="1050">
        <f t="shared" si="225"/>
        <v>1.8340000000000001</v>
      </c>
      <c r="AL526" s="1058"/>
      <c r="AM526" s="1058"/>
      <c r="AN526" s="1057">
        <v>22</v>
      </c>
      <c r="AO526" s="1056">
        <v>23</v>
      </c>
      <c r="AP526" s="1055">
        <v>0.17</v>
      </c>
      <c r="AQ526" s="1745">
        <f t="shared" si="226"/>
        <v>0</v>
      </c>
      <c r="AR526" s="1737">
        <v>0.38</v>
      </c>
      <c r="AS526" s="1052">
        <f t="shared" si="229"/>
        <v>2.2352941176470589</v>
      </c>
      <c r="AT526" s="1049"/>
      <c r="AU526" s="1136"/>
      <c r="AV526" s="1049"/>
      <c r="AW526" s="1058"/>
      <c r="AX526" s="1057">
        <v>22</v>
      </c>
      <c r="AY526" s="1056">
        <v>23</v>
      </c>
      <c r="AZ526" s="1055">
        <v>0.32</v>
      </c>
      <c r="BA526" s="1736">
        <v>0.53</v>
      </c>
      <c r="BB526" s="1737">
        <f t="shared" si="230"/>
        <v>1.65625</v>
      </c>
      <c r="BC526" s="1049"/>
      <c r="BD526" s="1136"/>
      <c r="BE526" s="1049"/>
      <c r="BF526" s="1058"/>
      <c r="BG526" s="1057">
        <v>22</v>
      </c>
      <c r="BH526" s="1056">
        <v>23</v>
      </c>
      <c r="BI526" s="1874">
        <v>0.35</v>
      </c>
      <c r="BJ526" s="1736"/>
      <c r="BK526" s="1049"/>
      <c r="BL526" s="1058"/>
      <c r="BM526" s="1057">
        <v>22</v>
      </c>
      <c r="BN526" s="1056">
        <v>23</v>
      </c>
      <c r="BO526" s="1055"/>
      <c r="BP526" s="1055"/>
      <c r="BQ526" s="1049"/>
    </row>
    <row r="527" spans="1:69" ht="14.4">
      <c r="A527" s="1049"/>
      <c r="B527" s="1060"/>
      <c r="C527" s="1057">
        <v>23</v>
      </c>
      <c r="D527" s="1056">
        <v>24</v>
      </c>
      <c r="E527" s="1063">
        <v>0.3</v>
      </c>
      <c r="F527" s="1062">
        <v>0.86</v>
      </c>
      <c r="G527" s="1061">
        <f t="shared" si="220"/>
        <v>2.8666666666666667</v>
      </c>
      <c r="H527" s="1049"/>
      <c r="I527" s="1060"/>
      <c r="J527" s="1057">
        <v>23</v>
      </c>
      <c r="K527" s="1056">
        <v>24</v>
      </c>
      <c r="L527" s="1055">
        <v>1.6259999999999999</v>
      </c>
      <c r="M527" s="1059">
        <v>5.04</v>
      </c>
      <c r="N527" s="1052">
        <f t="shared" si="221"/>
        <v>3.0996309963099633</v>
      </c>
      <c r="O527" s="1049"/>
      <c r="P527" s="1058"/>
      <c r="Q527" s="1057">
        <v>23</v>
      </c>
      <c r="R527" s="1056">
        <v>24</v>
      </c>
      <c r="S527" s="1055">
        <v>1.41</v>
      </c>
      <c r="T527" s="1054">
        <f t="shared" si="222"/>
        <v>2.1995999999999998</v>
      </c>
      <c r="U527" s="1053">
        <v>3.5</v>
      </c>
      <c r="V527" s="1052">
        <f t="shared" si="227"/>
        <v>2.4822695035460995</v>
      </c>
      <c r="W527" s="1049"/>
      <c r="X527" s="1051">
        <v>1.56</v>
      </c>
      <c r="Y527" s="1049"/>
      <c r="Z527" s="1050">
        <f t="shared" si="223"/>
        <v>1.0715999999999999</v>
      </c>
      <c r="AA527" s="1058"/>
      <c r="AB527" s="1057">
        <v>23</v>
      </c>
      <c r="AC527" s="1056">
        <v>24</v>
      </c>
      <c r="AD527" s="1055">
        <v>3.1869999999999998</v>
      </c>
      <c r="AE527" s="1137">
        <f t="shared" si="224"/>
        <v>3.9200099999999996</v>
      </c>
      <c r="AF527" s="1136">
        <v>6.11</v>
      </c>
      <c r="AG527" s="1052">
        <f t="shared" si="228"/>
        <v>1.9171634766237844</v>
      </c>
      <c r="AH527" s="1049"/>
      <c r="AI527" s="1136">
        <v>1.23</v>
      </c>
      <c r="AJ527" s="1049"/>
      <c r="AK527" s="1050">
        <f t="shared" si="225"/>
        <v>1.3704099999999997</v>
      </c>
      <c r="AL527" s="1058"/>
      <c r="AM527" s="1058"/>
      <c r="AN527" s="1057">
        <v>23</v>
      </c>
      <c r="AO527" s="1056">
        <v>24</v>
      </c>
      <c r="AP527" s="1055">
        <v>0.19</v>
      </c>
      <c r="AQ527" s="1745">
        <f t="shared" si="226"/>
        <v>0</v>
      </c>
      <c r="AR527" s="1737">
        <v>0.41</v>
      </c>
      <c r="AS527" s="1052">
        <f t="shared" si="229"/>
        <v>2.1578947368421053</v>
      </c>
      <c r="AT527" s="1049"/>
      <c r="AU527" s="1136"/>
      <c r="AV527" s="1049"/>
      <c r="AW527" s="1058"/>
      <c r="AX527" s="1057">
        <v>23</v>
      </c>
      <c r="AY527" s="1056">
        <v>24</v>
      </c>
      <c r="AZ527" s="1055">
        <v>0.25</v>
      </c>
      <c r="BA527" s="1736">
        <v>0.41</v>
      </c>
      <c r="BB527" s="1737">
        <f t="shared" si="230"/>
        <v>1.64</v>
      </c>
      <c r="BC527" s="1049"/>
      <c r="BD527" s="1136"/>
      <c r="BE527" s="1049"/>
      <c r="BF527" s="1058"/>
      <c r="BG527" s="1057">
        <v>23</v>
      </c>
      <c r="BH527" s="1056">
        <v>24</v>
      </c>
      <c r="BI527" s="1874">
        <v>0.24</v>
      </c>
      <c r="BJ527" s="1736"/>
      <c r="BK527" s="1049"/>
      <c r="BL527" s="1058"/>
      <c r="BM527" s="1057">
        <v>23</v>
      </c>
      <c r="BN527" s="1056">
        <v>24</v>
      </c>
      <c r="BO527" s="1055"/>
      <c r="BP527" s="1055"/>
      <c r="BQ527" s="1049"/>
    </row>
    <row r="528" spans="1:69" ht="14.4">
      <c r="A528" s="1036"/>
      <c r="B528" s="1044"/>
      <c r="C528" s="1135"/>
      <c r="D528" s="1135"/>
      <c r="E528" s="1134"/>
      <c r="F528" s="1133"/>
      <c r="G528" s="1132"/>
      <c r="H528" s="1044"/>
      <c r="I528" s="1044" t="s">
        <v>1137</v>
      </c>
      <c r="J528" s="1046"/>
      <c r="K528" s="1046"/>
      <c r="L528" s="1129">
        <f>AVERAGE(L529:L552)</f>
        <v>1.0347083333333333</v>
      </c>
      <c r="M528" s="1131">
        <f>AVERAGE(M529:M552)</f>
        <v>4.8620833333333335</v>
      </c>
      <c r="N528" s="1039">
        <f>AVERAGE(N529:N552)</f>
        <v>5.0903377966858416</v>
      </c>
      <c r="O528" s="1044"/>
      <c r="P528" s="1130" t="s">
        <v>1136</v>
      </c>
      <c r="Q528" s="1046"/>
      <c r="R528" s="1046"/>
      <c r="S528" s="1129">
        <f>AVERAGE(S529:S552)</f>
        <v>2.1191666666666666</v>
      </c>
      <c r="T528" s="1128">
        <f>SUM(T529:T552)</f>
        <v>102.03540000000002</v>
      </c>
      <c r="U528" s="1040">
        <f>AVERAGE(U529:U552)</f>
        <v>6.4604166666666671</v>
      </c>
      <c r="V528" s="1039">
        <f>AVERAGE(V529:V552)</f>
        <v>2.9594112196500242</v>
      </c>
      <c r="W528" s="1036"/>
      <c r="X528" s="1038">
        <f>AVERAGE(X537:X552)</f>
        <v>2.0731249999999997</v>
      </c>
      <c r="Y528" s="1036"/>
      <c r="Z528" s="1127">
        <f>SUM(Z529:Z552)</f>
        <v>61.3474</v>
      </c>
      <c r="AA528" s="1130"/>
      <c r="AB528" s="1046"/>
      <c r="AC528" s="1046"/>
      <c r="AD528" s="1129">
        <f>AVERAGE(AD529:AD552)</f>
        <v>2.7582083333333336</v>
      </c>
      <c r="AE528" s="1128">
        <f>SUM(AE529:AE552)</f>
        <v>0</v>
      </c>
      <c r="AF528" s="1040">
        <f>AVERAGE(AF529:AF552)</f>
        <v>6.4454166666666666</v>
      </c>
      <c r="AG528" s="1039">
        <f>AVERAGE(AG529:AG552)</f>
        <v>2.308347587354346</v>
      </c>
      <c r="AH528" s="1036"/>
      <c r="AI528" s="1038" t="e">
        <f>AVERAGE(AI537:AI552)</f>
        <v>#DIV/0!</v>
      </c>
      <c r="AJ528" s="1036"/>
      <c r="AK528" s="1127">
        <f>SUM(AK529:AK552)</f>
        <v>-52.957599999999999</v>
      </c>
      <c r="AL528" s="1130"/>
      <c r="AM528" s="1130"/>
      <c r="AN528" s="1046"/>
      <c r="AO528" s="1046"/>
      <c r="AP528" s="1129">
        <f>AVERAGE(AP529:AP552)</f>
        <v>0.29833333333333334</v>
      </c>
      <c r="AQ528" s="1734">
        <f>SUM(AQ529:AQ552)</f>
        <v>0</v>
      </c>
      <c r="AR528" s="1735">
        <f>AVERAGE(AR529:AR552)</f>
        <v>0.71125000000000005</v>
      </c>
      <c r="AS528" s="1039">
        <f>AVERAGE(AS529:AS552)</f>
        <v>2.2326261876859155</v>
      </c>
      <c r="AT528" s="1036"/>
      <c r="AU528" s="1038" t="e">
        <f>AVERAGE(AU537:AU552)</f>
        <v>#DIV/0!</v>
      </c>
      <c r="AV528" s="1036"/>
      <c r="AW528" s="1130"/>
      <c r="AX528" s="1046"/>
      <c r="AY528" s="1046"/>
      <c r="AZ528" s="1129">
        <f>AVERAGE(AZ529:AZ552)</f>
        <v>0.24333333333333332</v>
      </c>
      <c r="BA528" s="1045">
        <f>AVERAGE(BA529:BA552)</f>
        <v>0.39250000000000002</v>
      </c>
      <c r="BB528" s="1039">
        <f>AVERAGE(BB529:BB552)</f>
        <v>1.5808801974744735</v>
      </c>
      <c r="BC528" s="1036"/>
      <c r="BD528" s="1038" t="e">
        <f>AVERAGE(BD537:BD552)</f>
        <v>#DIV/0!</v>
      </c>
      <c r="BE528" s="1036"/>
      <c r="BF528" s="1130"/>
      <c r="BG528" s="2756">
        <f>BF529</f>
        <v>45038</v>
      </c>
      <c r="BH528" s="2756"/>
      <c r="BI528" s="1897">
        <f>SUM(BI529:BI552)</f>
        <v>8.240000000000002</v>
      </c>
      <c r="BJ528" s="1898">
        <f>SUM(BJ529:BJ552)</f>
        <v>0</v>
      </c>
      <c r="BK528" s="1036"/>
      <c r="BL528" s="1130"/>
      <c r="BM528" s="1046"/>
      <c r="BN528" s="1046"/>
      <c r="BO528" s="1129" t="e">
        <f>AVERAGE(BO529:BO552)</f>
        <v>#DIV/0!</v>
      </c>
      <c r="BP528" s="1129" t="e">
        <f>AVERAGE(BP529:BP552)</f>
        <v>#DIV/0!</v>
      </c>
      <c r="BQ528" s="1036"/>
    </row>
    <row r="529" spans="1:69" ht="14.4">
      <c r="A529" s="1049"/>
      <c r="B529" s="1126">
        <v>44856</v>
      </c>
      <c r="C529" s="1057">
        <v>0</v>
      </c>
      <c r="D529" s="1056">
        <v>1</v>
      </c>
      <c r="E529" s="1063">
        <v>0.22</v>
      </c>
      <c r="F529" s="1062">
        <v>0.63</v>
      </c>
      <c r="G529" s="1061">
        <f t="shared" ref="G529:G552" si="231">F529/E529</f>
        <v>2.8636363636363638</v>
      </c>
      <c r="H529" s="1049"/>
      <c r="I529" s="1126">
        <v>44887</v>
      </c>
      <c r="J529" s="1057">
        <v>0</v>
      </c>
      <c r="K529" s="1056">
        <v>1</v>
      </c>
      <c r="L529" s="1055">
        <v>0.59399999999999997</v>
      </c>
      <c r="M529" s="1059">
        <v>3.36</v>
      </c>
      <c r="N529" s="1052">
        <f t="shared" ref="N529:N552" si="232">M529/L529</f>
        <v>5.6565656565656566</v>
      </c>
      <c r="O529" s="1049"/>
      <c r="P529" s="1125">
        <v>44917</v>
      </c>
      <c r="Q529" s="1057">
        <v>0</v>
      </c>
      <c r="R529" s="1056">
        <v>1</v>
      </c>
      <c r="S529" s="1055">
        <v>0.88</v>
      </c>
      <c r="T529" s="1054">
        <f t="shared" ref="T529:T552" si="233">S529*X529</f>
        <v>1.4168000000000001</v>
      </c>
      <c r="U529" s="1064">
        <v>2.3199999999999998</v>
      </c>
      <c r="V529" s="1052">
        <f t="shared" ref="V529:V552" si="234">U529/S529</f>
        <v>2.6363636363636362</v>
      </c>
      <c r="W529" s="1049"/>
      <c r="X529" s="1051">
        <v>1.61</v>
      </c>
      <c r="Y529" s="1049"/>
      <c r="Z529" s="1050">
        <f t="shared" ref="Z529:Z552" si="235">S529*(X529-0.8)</f>
        <v>0.7128000000000001</v>
      </c>
      <c r="AA529" s="1125">
        <v>44948</v>
      </c>
      <c r="AB529" s="1057">
        <v>0</v>
      </c>
      <c r="AC529" s="1056">
        <v>1</v>
      </c>
      <c r="AD529" s="1055">
        <v>2.1869999999999998</v>
      </c>
      <c r="AE529" s="1137">
        <f t="shared" ref="AE529:AE552" si="236">AD529*AI529</f>
        <v>0</v>
      </c>
      <c r="AF529" s="1136">
        <v>4.3899999999999997</v>
      </c>
      <c r="AG529" s="1052">
        <f t="shared" ref="AG529:AG552" si="237">AF529/AD529</f>
        <v>2.0073159579332418</v>
      </c>
      <c r="AH529" s="1049"/>
      <c r="AI529" s="1136"/>
      <c r="AJ529" s="1049"/>
      <c r="AK529" s="1050">
        <f t="shared" ref="AK529:AK552" si="238">AD529*(AI529-0.8)</f>
        <v>-1.7496</v>
      </c>
      <c r="AL529" s="1125"/>
      <c r="AM529" s="1125">
        <v>44979</v>
      </c>
      <c r="AN529" s="1057">
        <v>0</v>
      </c>
      <c r="AO529" s="1056">
        <v>1</v>
      </c>
      <c r="AP529" s="1055">
        <v>0.11</v>
      </c>
      <c r="AQ529" s="1745">
        <f t="shared" ref="AQ529:AQ552" si="239">AP529*AU529</f>
        <v>0</v>
      </c>
      <c r="AR529" s="1737">
        <v>0.23</v>
      </c>
      <c r="AS529" s="1052">
        <f t="shared" ref="AS529:AS552" si="240">AR529/AP529</f>
        <v>2.0909090909090908</v>
      </c>
      <c r="AT529" s="1049"/>
      <c r="AU529" s="1136"/>
      <c r="AV529" s="1049"/>
      <c r="AW529" s="1125">
        <v>45007</v>
      </c>
      <c r="AX529" s="1057">
        <v>0</v>
      </c>
      <c r="AY529" s="1056">
        <v>1</v>
      </c>
      <c r="AZ529" s="1055">
        <v>0.11</v>
      </c>
      <c r="BA529" s="1736">
        <v>0.17</v>
      </c>
      <c r="BB529" s="1737">
        <f t="shared" ref="BB529:BB552" si="241">BA529/AZ529</f>
        <v>1.5454545454545456</v>
      </c>
      <c r="BC529" s="1049"/>
      <c r="BD529" s="1136"/>
      <c r="BE529" s="1049"/>
      <c r="BF529" s="1125">
        <v>45038</v>
      </c>
      <c r="BG529" s="1057">
        <v>0</v>
      </c>
      <c r="BH529" s="1056">
        <v>1</v>
      </c>
      <c r="BI529" s="1874">
        <v>0.22</v>
      </c>
      <c r="BJ529" s="1736"/>
      <c r="BK529" s="1049"/>
      <c r="BL529" s="1125">
        <v>45038</v>
      </c>
      <c r="BM529" s="1057">
        <v>0</v>
      </c>
      <c r="BN529" s="1056">
        <v>1</v>
      </c>
      <c r="BO529" s="1055"/>
      <c r="BP529" s="1055"/>
      <c r="BQ529" s="1049"/>
    </row>
    <row r="530" spans="1:69" ht="14.4">
      <c r="A530" s="1049"/>
      <c r="B530" s="1124"/>
      <c r="C530" s="1057">
        <v>1</v>
      </c>
      <c r="D530" s="1056">
        <v>2</v>
      </c>
      <c r="E530" s="1063">
        <v>0.22</v>
      </c>
      <c r="F530" s="1062">
        <v>0.61</v>
      </c>
      <c r="G530" s="1061">
        <f t="shared" si="231"/>
        <v>2.7727272727272725</v>
      </c>
      <c r="H530" s="1049"/>
      <c r="I530" s="1124"/>
      <c r="J530" s="1057">
        <v>1</v>
      </c>
      <c r="K530" s="1056">
        <v>2</v>
      </c>
      <c r="L530" s="1055">
        <v>0.61499999999999999</v>
      </c>
      <c r="M530" s="1059">
        <v>3.35</v>
      </c>
      <c r="N530" s="1052">
        <f t="shared" si="232"/>
        <v>5.4471544715447155</v>
      </c>
      <c r="O530" s="1049"/>
      <c r="P530" s="1123"/>
      <c r="Q530" s="1057">
        <v>1</v>
      </c>
      <c r="R530" s="1056">
        <v>2</v>
      </c>
      <c r="S530" s="1055">
        <v>1.08</v>
      </c>
      <c r="T530" s="1054">
        <f t="shared" si="233"/>
        <v>1.6092000000000002</v>
      </c>
      <c r="U530" s="1064">
        <v>2.74</v>
      </c>
      <c r="V530" s="1052">
        <f t="shared" si="234"/>
        <v>2.5370370370370372</v>
      </c>
      <c r="W530" s="1049"/>
      <c r="X530" s="1051">
        <v>1.49</v>
      </c>
      <c r="Y530" s="1049"/>
      <c r="Z530" s="1050">
        <f t="shared" si="235"/>
        <v>0.74519999999999997</v>
      </c>
      <c r="AA530" s="1123"/>
      <c r="AB530" s="1057">
        <v>1</v>
      </c>
      <c r="AC530" s="1056">
        <v>2</v>
      </c>
      <c r="AD530" s="1055">
        <v>2.1469999999999998</v>
      </c>
      <c r="AE530" s="1137">
        <f t="shared" si="236"/>
        <v>0</v>
      </c>
      <c r="AF530" s="1136">
        <v>4.1399999999999997</v>
      </c>
      <c r="AG530" s="1052">
        <f t="shared" si="237"/>
        <v>1.928272007452259</v>
      </c>
      <c r="AH530" s="1049"/>
      <c r="AI530" s="1136"/>
      <c r="AJ530" s="1049"/>
      <c r="AK530" s="1050">
        <f t="shared" si="238"/>
        <v>-1.7176</v>
      </c>
      <c r="AL530" s="1123"/>
      <c r="AM530" s="1123"/>
      <c r="AN530" s="1057">
        <v>1</v>
      </c>
      <c r="AO530" s="1056">
        <v>2</v>
      </c>
      <c r="AP530" s="1055">
        <v>0.1</v>
      </c>
      <c r="AQ530" s="1745">
        <f t="shared" si="239"/>
        <v>0</v>
      </c>
      <c r="AR530" s="1737">
        <v>0.2</v>
      </c>
      <c r="AS530" s="1052">
        <f t="shared" si="240"/>
        <v>2</v>
      </c>
      <c r="AT530" s="1049"/>
      <c r="AU530" s="1136"/>
      <c r="AV530" s="1049"/>
      <c r="AW530" s="1123"/>
      <c r="AX530" s="1057">
        <v>1</v>
      </c>
      <c r="AY530" s="1056">
        <v>2</v>
      </c>
      <c r="AZ530" s="1055">
        <v>0.12</v>
      </c>
      <c r="BA530" s="1736">
        <v>0.18</v>
      </c>
      <c r="BB530" s="1737">
        <f t="shared" si="241"/>
        <v>1.5</v>
      </c>
      <c r="BC530" s="1049"/>
      <c r="BD530" s="1136"/>
      <c r="BE530" s="1049"/>
      <c r="BF530" s="1123"/>
      <c r="BG530" s="1057">
        <v>1</v>
      </c>
      <c r="BH530" s="1056">
        <v>2</v>
      </c>
      <c r="BI530" s="1874">
        <v>0.22</v>
      </c>
      <c r="BJ530" s="1736"/>
      <c r="BK530" s="1049"/>
      <c r="BL530" s="1123"/>
      <c r="BM530" s="1057">
        <v>1</v>
      </c>
      <c r="BN530" s="1056">
        <v>2</v>
      </c>
      <c r="BO530" s="1055"/>
      <c r="BP530" s="1055"/>
      <c r="BQ530" s="1049"/>
    </row>
    <row r="531" spans="1:69" ht="14.4">
      <c r="A531" s="1049"/>
      <c r="B531" s="1122">
        <f>SUM(E529:E552)</f>
        <v>12.569999999999999</v>
      </c>
      <c r="C531" s="1057">
        <v>2</v>
      </c>
      <c r="D531" s="1056">
        <v>3</v>
      </c>
      <c r="E531" s="1063">
        <v>0.18</v>
      </c>
      <c r="F531" s="1062">
        <v>0.5</v>
      </c>
      <c r="G531" s="1061">
        <f t="shared" si="231"/>
        <v>2.7777777777777777</v>
      </c>
      <c r="H531" s="1049"/>
      <c r="I531" s="1122">
        <f>SUM(L529:L552)</f>
        <v>24.833000000000002</v>
      </c>
      <c r="J531" s="1057">
        <v>2</v>
      </c>
      <c r="K531" s="1056">
        <v>3</v>
      </c>
      <c r="L531" s="1055">
        <v>0.53600000000000003</v>
      </c>
      <c r="M531" s="1059">
        <v>3.13</v>
      </c>
      <c r="N531" s="1052">
        <f t="shared" si="232"/>
        <v>5.83955223880597</v>
      </c>
      <c r="O531" s="1049"/>
      <c r="P531" s="1121">
        <f>SUM(S529:S552)</f>
        <v>50.86</v>
      </c>
      <c r="Q531" s="1057">
        <v>2</v>
      </c>
      <c r="R531" s="1056">
        <v>3</v>
      </c>
      <c r="S531" s="1055">
        <v>0.53</v>
      </c>
      <c r="T531" s="1054">
        <f t="shared" si="233"/>
        <v>0.76319999999999999</v>
      </c>
      <c r="U531" s="1064">
        <v>1.31</v>
      </c>
      <c r="V531" s="1052">
        <f t="shared" si="234"/>
        <v>2.4716981132075473</v>
      </c>
      <c r="W531" s="1049"/>
      <c r="X531" s="1051">
        <v>1.44</v>
      </c>
      <c r="Y531" s="1049"/>
      <c r="Z531" s="1050">
        <f t="shared" si="235"/>
        <v>0.33919999999999995</v>
      </c>
      <c r="AA531" s="1121">
        <f>SUM(AD529:AD552)</f>
        <v>66.197000000000003</v>
      </c>
      <c r="AB531" s="1057">
        <v>2</v>
      </c>
      <c r="AC531" s="1056">
        <v>3</v>
      </c>
      <c r="AD531" s="1055">
        <v>2.1459999999999999</v>
      </c>
      <c r="AE531" s="1137">
        <f t="shared" si="236"/>
        <v>0</v>
      </c>
      <c r="AF531" s="1136">
        <v>4.0999999999999996</v>
      </c>
      <c r="AG531" s="1052">
        <f t="shared" si="237"/>
        <v>1.9105312208760483</v>
      </c>
      <c r="AH531" s="1049"/>
      <c r="AI531" s="1136"/>
      <c r="AJ531" s="1049"/>
      <c r="AK531" s="1050">
        <f t="shared" si="238"/>
        <v>-1.7168000000000001</v>
      </c>
      <c r="AL531" s="1121"/>
      <c r="AM531" s="1121">
        <f>SUM(AP529:AP552)</f>
        <v>7.16</v>
      </c>
      <c r="AN531" s="1057">
        <v>2</v>
      </c>
      <c r="AO531" s="1056">
        <v>3</v>
      </c>
      <c r="AP531" s="1055">
        <v>0.12</v>
      </c>
      <c r="AQ531" s="1745">
        <f t="shared" si="239"/>
        <v>0</v>
      </c>
      <c r="AR531" s="1737">
        <v>0.24</v>
      </c>
      <c r="AS531" s="1052">
        <f t="shared" si="240"/>
        <v>2</v>
      </c>
      <c r="AT531" s="1049"/>
      <c r="AU531" s="1136"/>
      <c r="AV531" s="1049"/>
      <c r="AW531" s="1121">
        <f>SUM(AZ529:AZ552)</f>
        <v>5.84</v>
      </c>
      <c r="AX531" s="1057">
        <v>2</v>
      </c>
      <c r="AY531" s="1056">
        <v>3</v>
      </c>
      <c r="AZ531" s="1055">
        <v>0.12</v>
      </c>
      <c r="BA531" s="1736">
        <v>0.18</v>
      </c>
      <c r="BB531" s="1737">
        <f t="shared" si="241"/>
        <v>1.5</v>
      </c>
      <c r="BC531" s="1049"/>
      <c r="BD531" s="1136"/>
      <c r="BE531" s="1049"/>
      <c r="BF531" s="1121">
        <f>SUM(BI529:BI552)</f>
        <v>8.240000000000002</v>
      </c>
      <c r="BG531" s="1057">
        <v>2</v>
      </c>
      <c r="BH531" s="1056">
        <v>3</v>
      </c>
      <c r="BI531" s="1874">
        <v>0.21</v>
      </c>
      <c r="BJ531" s="1736"/>
      <c r="BK531" s="1049"/>
      <c r="BL531" s="1121">
        <f>SUM(BO529:BO552)+SUM(BP529:BP552)</f>
        <v>0</v>
      </c>
      <c r="BM531" s="1057">
        <v>2</v>
      </c>
      <c r="BN531" s="1056">
        <v>3</v>
      </c>
      <c r="BO531" s="1055"/>
      <c r="BP531" s="1055"/>
      <c r="BQ531" s="1049"/>
    </row>
    <row r="532" spans="1:69" ht="14.4">
      <c r="A532" s="1049"/>
      <c r="B532" s="1120">
        <f>B531/24</f>
        <v>0.52374999999999994</v>
      </c>
      <c r="C532" s="1057">
        <v>3</v>
      </c>
      <c r="D532" s="1056">
        <v>4</v>
      </c>
      <c r="E532" s="1063">
        <v>0.16</v>
      </c>
      <c r="F532" s="1062">
        <v>0.46</v>
      </c>
      <c r="G532" s="1061">
        <f t="shared" si="231"/>
        <v>2.875</v>
      </c>
      <c r="H532" s="1049"/>
      <c r="I532" s="1120">
        <f>I531/24</f>
        <v>1.0347083333333333</v>
      </c>
      <c r="J532" s="1057">
        <v>3</v>
      </c>
      <c r="K532" s="1056">
        <v>4</v>
      </c>
      <c r="L532" s="1055">
        <v>1.244</v>
      </c>
      <c r="M532" s="1059">
        <v>3.38</v>
      </c>
      <c r="N532" s="1052">
        <f t="shared" si="232"/>
        <v>2.7170418006430865</v>
      </c>
      <c r="O532" s="1049"/>
      <c r="P532" s="1120">
        <f>P531/24</f>
        <v>2.1191666666666666</v>
      </c>
      <c r="Q532" s="1057">
        <v>3</v>
      </c>
      <c r="R532" s="1056">
        <v>4</v>
      </c>
      <c r="S532" s="1055">
        <v>0.41</v>
      </c>
      <c r="T532" s="1054">
        <f t="shared" si="233"/>
        <v>0.55759999999999998</v>
      </c>
      <c r="U532" s="1064">
        <v>0.98</v>
      </c>
      <c r="V532" s="1052">
        <f t="shared" si="234"/>
        <v>2.3902439024390243</v>
      </c>
      <c r="W532" s="1049"/>
      <c r="X532" s="1051">
        <v>1.36</v>
      </c>
      <c r="Y532" s="1049"/>
      <c r="Z532" s="1050">
        <f t="shared" si="235"/>
        <v>0.2296</v>
      </c>
      <c r="AA532" s="1120">
        <f>AA531/24</f>
        <v>2.7582083333333336</v>
      </c>
      <c r="AB532" s="1057">
        <v>3</v>
      </c>
      <c r="AC532" s="1056">
        <v>4</v>
      </c>
      <c r="AD532" s="1055">
        <v>2.6179999999999999</v>
      </c>
      <c r="AE532" s="1137">
        <f t="shared" si="236"/>
        <v>0</v>
      </c>
      <c r="AF532" s="1136">
        <v>5.03</v>
      </c>
      <c r="AG532" s="1052">
        <f t="shared" si="237"/>
        <v>1.9213139801375096</v>
      </c>
      <c r="AH532" s="1049"/>
      <c r="AI532" s="1136"/>
      <c r="AJ532" s="1049"/>
      <c r="AK532" s="1050">
        <f t="shared" si="238"/>
        <v>-2.0943999999999998</v>
      </c>
      <c r="AL532" s="1120"/>
      <c r="AM532" s="1120">
        <f>AM531/24</f>
        <v>0.29833333333333334</v>
      </c>
      <c r="AN532" s="1057">
        <v>3</v>
      </c>
      <c r="AO532" s="1056">
        <v>4</v>
      </c>
      <c r="AP532" s="1055">
        <v>0.11</v>
      </c>
      <c r="AQ532" s="1745">
        <f t="shared" si="239"/>
        <v>0</v>
      </c>
      <c r="AR532" s="1737">
        <v>0.22</v>
      </c>
      <c r="AS532" s="1052">
        <f t="shared" si="240"/>
        <v>2</v>
      </c>
      <c r="AT532" s="1049"/>
      <c r="AU532" s="1136"/>
      <c r="AV532" s="1049"/>
      <c r="AW532" s="1120">
        <f>AW531/24</f>
        <v>0.24333333333333332</v>
      </c>
      <c r="AX532" s="1057">
        <v>3</v>
      </c>
      <c r="AY532" s="1056">
        <v>4</v>
      </c>
      <c r="AZ532" s="1055">
        <v>0.28000000000000003</v>
      </c>
      <c r="BA532" s="1736">
        <v>0.41</v>
      </c>
      <c r="BB532" s="1737">
        <f t="shared" si="241"/>
        <v>1.464285714285714</v>
      </c>
      <c r="BC532" s="1049"/>
      <c r="BD532" s="1136"/>
      <c r="BE532" s="1049"/>
      <c r="BF532" s="1120">
        <f>BF531/24</f>
        <v>0.34333333333333343</v>
      </c>
      <c r="BG532" s="1057">
        <v>3</v>
      </c>
      <c r="BH532" s="1056">
        <v>4</v>
      </c>
      <c r="BI532" s="1874">
        <v>0.15</v>
      </c>
      <c r="BJ532" s="1736"/>
      <c r="BK532" s="1049"/>
      <c r="BL532" s="1120">
        <f>BL531/24</f>
        <v>0</v>
      </c>
      <c r="BM532" s="1057">
        <v>3</v>
      </c>
      <c r="BN532" s="1056">
        <v>4</v>
      </c>
      <c r="BO532" s="1055"/>
      <c r="BP532" s="1055"/>
      <c r="BQ532" s="1049"/>
    </row>
    <row r="533" spans="1:69" ht="14.4">
      <c r="A533" s="1049"/>
      <c r="B533" s="1119"/>
      <c r="C533" s="1057">
        <v>4</v>
      </c>
      <c r="D533" s="1056">
        <v>5</v>
      </c>
      <c r="E533" s="1063">
        <v>0.19</v>
      </c>
      <c r="F533" s="1062">
        <v>0.51</v>
      </c>
      <c r="G533" s="1061">
        <f t="shared" si="231"/>
        <v>2.6842105263157894</v>
      </c>
      <c r="H533" s="1049"/>
      <c r="I533" s="1119"/>
      <c r="J533" s="1057">
        <v>4</v>
      </c>
      <c r="K533" s="1056">
        <v>5</v>
      </c>
      <c r="L533" s="1055">
        <v>0.625</v>
      </c>
      <c r="M533" s="1059">
        <v>4.01</v>
      </c>
      <c r="N533" s="1052">
        <f t="shared" si="232"/>
        <v>6.4159999999999995</v>
      </c>
      <c r="O533" s="1049"/>
      <c r="P533" s="1118"/>
      <c r="Q533" s="1057">
        <v>4</v>
      </c>
      <c r="R533" s="1056">
        <v>5</v>
      </c>
      <c r="S533" s="1055">
        <v>1</v>
      </c>
      <c r="T533" s="1054">
        <f t="shared" si="233"/>
        <v>1.32</v>
      </c>
      <c r="U533" s="1064">
        <v>2.37</v>
      </c>
      <c r="V533" s="1052">
        <f t="shared" si="234"/>
        <v>2.37</v>
      </c>
      <c r="W533" s="1049"/>
      <c r="X533" s="1051">
        <v>1.32</v>
      </c>
      <c r="Y533" s="1049"/>
      <c r="Z533" s="1050">
        <f t="shared" si="235"/>
        <v>0.52</v>
      </c>
      <c r="AA533" s="1118"/>
      <c r="AB533" s="1057">
        <v>4</v>
      </c>
      <c r="AC533" s="1056">
        <v>5</v>
      </c>
      <c r="AD533" s="1055">
        <v>2.1509999999999998</v>
      </c>
      <c r="AE533" s="1137">
        <f t="shared" si="236"/>
        <v>0</v>
      </c>
      <c r="AF533" s="1136">
        <v>4.21</v>
      </c>
      <c r="AG533" s="1052">
        <f t="shared" si="237"/>
        <v>1.9572291957229198</v>
      </c>
      <c r="AH533" s="1049"/>
      <c r="AI533" s="1136"/>
      <c r="AJ533" s="1049"/>
      <c r="AK533" s="1050">
        <f t="shared" si="238"/>
        <v>-1.7207999999999999</v>
      </c>
      <c r="AL533" s="1118"/>
      <c r="AM533" s="1118"/>
      <c r="AN533" s="1057">
        <v>4</v>
      </c>
      <c r="AO533" s="1056">
        <v>5</v>
      </c>
      <c r="AP533" s="1055">
        <v>0.13</v>
      </c>
      <c r="AQ533" s="1745">
        <f t="shared" si="239"/>
        <v>0</v>
      </c>
      <c r="AR533" s="1737">
        <v>0.25</v>
      </c>
      <c r="AS533" s="1052">
        <f t="shared" si="240"/>
        <v>1.9230769230769229</v>
      </c>
      <c r="AT533" s="1049"/>
      <c r="AU533" s="1136"/>
      <c r="AV533" s="1049"/>
      <c r="AW533" s="1118"/>
      <c r="AX533" s="1057">
        <v>4</v>
      </c>
      <c r="AY533" s="1056">
        <v>5</v>
      </c>
      <c r="AZ533" s="1055">
        <v>0.2</v>
      </c>
      <c r="BA533" s="1736">
        <v>0.28999999999999998</v>
      </c>
      <c r="BB533" s="1737">
        <f t="shared" si="241"/>
        <v>1.4499999999999997</v>
      </c>
      <c r="BC533" s="1049"/>
      <c r="BD533" s="1136"/>
      <c r="BE533" s="1049"/>
      <c r="BF533" s="1118"/>
      <c r="BG533" s="1057">
        <v>4</v>
      </c>
      <c r="BH533" s="1056">
        <v>5</v>
      </c>
      <c r="BI533" s="1874">
        <v>0.16</v>
      </c>
      <c r="BJ533" s="1736"/>
      <c r="BK533" s="1049"/>
      <c r="BL533" s="1118"/>
      <c r="BM533" s="1057">
        <v>4</v>
      </c>
      <c r="BN533" s="1056">
        <v>5</v>
      </c>
      <c r="BO533" s="1055"/>
      <c r="BP533" s="1055"/>
      <c r="BQ533" s="1049"/>
    </row>
    <row r="534" spans="1:69" ht="15" thickBot="1">
      <c r="A534" s="1049"/>
      <c r="B534" s="1058">
        <f>SUM(F529:F552)</f>
        <v>36.439999999999991</v>
      </c>
      <c r="C534" s="1111">
        <v>5</v>
      </c>
      <c r="D534" s="1110">
        <v>6</v>
      </c>
      <c r="E534" s="1117">
        <v>0.23</v>
      </c>
      <c r="F534" s="1116">
        <v>0.63</v>
      </c>
      <c r="G534" s="1115">
        <f t="shared" si="231"/>
        <v>2.7391304347826084</v>
      </c>
      <c r="H534" s="1049"/>
      <c r="I534" s="1058">
        <f>SUM(M529:M552)</f>
        <v>116.69</v>
      </c>
      <c r="J534" s="1111">
        <v>5</v>
      </c>
      <c r="K534" s="1110">
        <v>6</v>
      </c>
      <c r="L534" s="1109">
        <v>0.80300000000000005</v>
      </c>
      <c r="M534" s="1114">
        <v>3.3</v>
      </c>
      <c r="N534" s="1113">
        <f t="shared" si="232"/>
        <v>4.10958904109589</v>
      </c>
      <c r="O534" s="1049"/>
      <c r="P534" s="1112">
        <f>SUM(U529:U552)</f>
        <v>155.05000000000001</v>
      </c>
      <c r="Q534" s="1111">
        <v>5</v>
      </c>
      <c r="R534" s="1110">
        <v>6</v>
      </c>
      <c r="S534" s="1109">
        <v>1.92</v>
      </c>
      <c r="T534" s="1054">
        <f t="shared" si="233"/>
        <v>3.0335999999999999</v>
      </c>
      <c r="U534" s="1064">
        <v>5.04</v>
      </c>
      <c r="V534" s="1052">
        <f t="shared" si="234"/>
        <v>2.625</v>
      </c>
      <c r="W534" s="1049"/>
      <c r="X534" s="1074">
        <v>1.58</v>
      </c>
      <c r="Y534" s="1049"/>
      <c r="Z534" s="1050">
        <f t="shared" si="235"/>
        <v>1.4976</v>
      </c>
      <c r="AA534" s="1112">
        <f>SUM(AF529:AF552)</f>
        <v>154.69</v>
      </c>
      <c r="AB534" s="1111">
        <v>5</v>
      </c>
      <c r="AC534" s="1110">
        <v>6</v>
      </c>
      <c r="AD534" s="1109">
        <v>2.129</v>
      </c>
      <c r="AE534" s="1147">
        <f t="shared" si="236"/>
        <v>0</v>
      </c>
      <c r="AF534" s="1146">
        <v>4.08</v>
      </c>
      <c r="AG534" s="1052">
        <f t="shared" si="237"/>
        <v>1.9163926726162519</v>
      </c>
      <c r="AH534" s="1049"/>
      <c r="AI534" s="1146"/>
      <c r="AJ534" s="1049"/>
      <c r="AK534" s="1050">
        <f t="shared" si="238"/>
        <v>-1.7032</v>
      </c>
      <c r="AL534" s="1112"/>
      <c r="AM534" s="1112">
        <f>SUM(AR529:AR552)</f>
        <v>17.07</v>
      </c>
      <c r="AN534" s="1111">
        <v>5</v>
      </c>
      <c r="AO534" s="1110">
        <v>6</v>
      </c>
      <c r="AP534" s="1109">
        <v>0.08</v>
      </c>
      <c r="AQ534" s="1746">
        <f t="shared" si="239"/>
        <v>0</v>
      </c>
      <c r="AR534" s="1739">
        <v>0.17</v>
      </c>
      <c r="AS534" s="1052">
        <f t="shared" si="240"/>
        <v>2.125</v>
      </c>
      <c r="AT534" s="1049"/>
      <c r="AU534" s="1146"/>
      <c r="AV534" s="1049"/>
      <c r="AW534" s="1112">
        <f>SUM(BA529:BA552)</f>
        <v>9.42</v>
      </c>
      <c r="AX534" s="1111">
        <v>5</v>
      </c>
      <c r="AY534" s="1110">
        <v>6</v>
      </c>
      <c r="AZ534" s="1109">
        <v>0.17</v>
      </c>
      <c r="BA534" s="1738">
        <v>0.25</v>
      </c>
      <c r="BB534" s="1739">
        <f t="shared" si="241"/>
        <v>1.4705882352941175</v>
      </c>
      <c r="BC534" s="1049"/>
      <c r="BD534" s="1146"/>
      <c r="BE534" s="1049"/>
      <c r="BF534" s="1112">
        <f>SUM(BJ529:BJ552)</f>
        <v>0</v>
      </c>
      <c r="BG534" s="1111">
        <v>5</v>
      </c>
      <c r="BH534" s="1110">
        <v>6</v>
      </c>
      <c r="BI534" s="1874">
        <v>0.28999999999999998</v>
      </c>
      <c r="BJ534" s="1738"/>
      <c r="BK534" s="1049"/>
      <c r="BL534" s="1112">
        <f>SUM(BP529:BP552)</f>
        <v>0</v>
      </c>
      <c r="BM534" s="1111">
        <v>5</v>
      </c>
      <c r="BN534" s="1110">
        <v>6</v>
      </c>
      <c r="BO534" s="1109"/>
      <c r="BP534" s="1109"/>
      <c r="BQ534" s="1049"/>
    </row>
    <row r="535" spans="1:69" ht="14.4">
      <c r="A535" s="1049"/>
      <c r="B535" s="1093">
        <f>B534/B531</f>
        <v>2.8989657915672233</v>
      </c>
      <c r="C535" s="1100">
        <v>6</v>
      </c>
      <c r="D535" s="1099">
        <v>7</v>
      </c>
      <c r="E535" s="1107">
        <v>0.35</v>
      </c>
      <c r="F535" s="1106">
        <v>0.97</v>
      </c>
      <c r="G535" s="1105">
        <f t="shared" si="231"/>
        <v>2.7714285714285714</v>
      </c>
      <c r="H535" s="1049"/>
      <c r="I535" s="1093">
        <f>I534/I531</f>
        <v>4.6989892481778277</v>
      </c>
      <c r="J535" s="1100">
        <v>6</v>
      </c>
      <c r="K535" s="1099">
        <v>7</v>
      </c>
      <c r="L535" s="1098">
        <v>0.745</v>
      </c>
      <c r="M535" s="1103">
        <v>3.74</v>
      </c>
      <c r="N535" s="1102">
        <f t="shared" si="232"/>
        <v>5.0201342281879198</v>
      </c>
      <c r="O535" s="1049"/>
      <c r="P535" s="1093">
        <f>P534/P531</f>
        <v>3.0485646873771137</v>
      </c>
      <c r="Q535" s="1100">
        <v>6</v>
      </c>
      <c r="R535" s="1099">
        <v>7</v>
      </c>
      <c r="S535" s="1098">
        <v>2.35</v>
      </c>
      <c r="T535" s="1054">
        <f t="shared" si="233"/>
        <v>4.3240000000000007</v>
      </c>
      <c r="U535" s="1064">
        <v>6.79</v>
      </c>
      <c r="V535" s="1052">
        <f t="shared" si="234"/>
        <v>2.8893617021276596</v>
      </c>
      <c r="W535" s="1049"/>
      <c r="X535" s="1108">
        <v>1.84</v>
      </c>
      <c r="Y535" s="1049"/>
      <c r="Z535" s="1050">
        <f t="shared" si="235"/>
        <v>2.4440000000000004</v>
      </c>
      <c r="AA535" s="1093">
        <f>AA534/AA531</f>
        <v>2.336812846503618</v>
      </c>
      <c r="AB535" s="1100">
        <v>6</v>
      </c>
      <c r="AC535" s="1099">
        <v>7</v>
      </c>
      <c r="AD535" s="1098">
        <v>2.4500000000000002</v>
      </c>
      <c r="AE535" s="1145">
        <f t="shared" si="236"/>
        <v>0</v>
      </c>
      <c r="AF535" s="1144">
        <v>4.92</v>
      </c>
      <c r="AG535" s="1052">
        <f t="shared" si="237"/>
        <v>2.0081632653061221</v>
      </c>
      <c r="AH535" s="1049"/>
      <c r="AI535" s="1144"/>
      <c r="AJ535" s="1049"/>
      <c r="AK535" s="1050">
        <f t="shared" si="238"/>
        <v>-1.9600000000000002</v>
      </c>
      <c r="AL535" s="1093"/>
      <c r="AM535" s="1093">
        <f>AM534/AM531</f>
        <v>2.3840782122905027</v>
      </c>
      <c r="AN535" s="1100">
        <v>6</v>
      </c>
      <c r="AO535" s="1099">
        <v>7</v>
      </c>
      <c r="AP535" s="1098">
        <v>0.12</v>
      </c>
      <c r="AQ535" s="1747">
        <f t="shared" si="239"/>
        <v>0</v>
      </c>
      <c r="AR535" s="1741">
        <v>0.27</v>
      </c>
      <c r="AS535" s="1052">
        <f t="shared" si="240"/>
        <v>2.2500000000000004</v>
      </c>
      <c r="AT535" s="1049"/>
      <c r="AU535" s="1144"/>
      <c r="AV535" s="1049"/>
      <c r="AW535" s="1093">
        <f>AW534/AW531</f>
        <v>1.6130136986301371</v>
      </c>
      <c r="AX535" s="1100">
        <v>6</v>
      </c>
      <c r="AY535" s="1099">
        <v>7</v>
      </c>
      <c r="AZ535" s="1098">
        <v>0.23</v>
      </c>
      <c r="BA535" s="1740">
        <v>0.37</v>
      </c>
      <c r="BB535" s="1741">
        <f t="shared" si="241"/>
        <v>1.6086956521739129</v>
      </c>
      <c r="BC535" s="1049"/>
      <c r="BD535" s="1144"/>
      <c r="BE535" s="1049"/>
      <c r="BF535" s="1093">
        <f>BF534/BF531</f>
        <v>0</v>
      </c>
      <c r="BG535" s="1100">
        <v>6</v>
      </c>
      <c r="BH535" s="1099">
        <v>7</v>
      </c>
      <c r="BI535" s="1874">
        <v>0.36</v>
      </c>
      <c r="BJ535" s="1740"/>
      <c r="BK535" s="1049"/>
      <c r="BL535" s="1093" t="e">
        <f>BL534/BL531</f>
        <v>#DIV/0!</v>
      </c>
      <c r="BM535" s="1100">
        <v>6</v>
      </c>
      <c r="BN535" s="1099">
        <v>7</v>
      </c>
      <c r="BO535" s="1098"/>
      <c r="BP535" s="1098"/>
      <c r="BQ535" s="1049"/>
    </row>
    <row r="536" spans="1:69" ht="14.4">
      <c r="A536" s="1049"/>
      <c r="B536" s="1104"/>
      <c r="C536" s="1100">
        <v>7</v>
      </c>
      <c r="D536" s="1099">
        <v>8</v>
      </c>
      <c r="E536" s="1107">
        <v>0.34</v>
      </c>
      <c r="F536" s="1106">
        <v>0.98</v>
      </c>
      <c r="G536" s="1105">
        <f t="shared" si="231"/>
        <v>2.8823529411764701</v>
      </c>
      <c r="H536" s="1049"/>
      <c r="I536" s="1104"/>
      <c r="J536" s="1100">
        <v>7</v>
      </c>
      <c r="K536" s="1099">
        <v>8</v>
      </c>
      <c r="L536" s="1098">
        <v>1</v>
      </c>
      <c r="M536" s="1103">
        <v>5.29</v>
      </c>
      <c r="N536" s="1102">
        <f t="shared" si="232"/>
        <v>5.29</v>
      </c>
      <c r="O536" s="1049"/>
      <c r="P536" s="1101"/>
      <c r="Q536" s="1100">
        <v>7</v>
      </c>
      <c r="R536" s="1099">
        <v>8</v>
      </c>
      <c r="S536" s="1098">
        <v>2.27</v>
      </c>
      <c r="T536" s="1054">
        <f t="shared" si="233"/>
        <v>5.0394000000000005</v>
      </c>
      <c r="U536" s="1064">
        <v>7.43</v>
      </c>
      <c r="V536" s="1052">
        <f t="shared" si="234"/>
        <v>3.2731277533039647</v>
      </c>
      <c r="W536" s="1049"/>
      <c r="X536" s="1065">
        <v>2.2200000000000002</v>
      </c>
      <c r="Y536" s="1049"/>
      <c r="Z536" s="1050">
        <f t="shared" si="235"/>
        <v>3.2234000000000003</v>
      </c>
      <c r="AA536" s="1101"/>
      <c r="AB536" s="1100">
        <v>7</v>
      </c>
      <c r="AC536" s="1099">
        <v>8</v>
      </c>
      <c r="AD536" s="1098">
        <v>2.5299999999999998</v>
      </c>
      <c r="AE536" s="1145">
        <f t="shared" si="236"/>
        <v>0</v>
      </c>
      <c r="AF536" s="1144">
        <v>5.08</v>
      </c>
      <c r="AG536" s="1052">
        <f t="shared" si="237"/>
        <v>2.0079051383399213</v>
      </c>
      <c r="AH536" s="1049"/>
      <c r="AI536" s="1144"/>
      <c r="AJ536" s="1049"/>
      <c r="AK536" s="1050">
        <f t="shared" si="238"/>
        <v>-2.024</v>
      </c>
      <c r="AL536" s="1101"/>
      <c r="AM536" s="1101"/>
      <c r="AN536" s="1100">
        <v>7</v>
      </c>
      <c r="AO536" s="1099">
        <v>8</v>
      </c>
      <c r="AP536" s="1098">
        <v>0.64</v>
      </c>
      <c r="AQ536" s="1747">
        <f t="shared" si="239"/>
        <v>0</v>
      </c>
      <c r="AR536" s="1741">
        <v>1.56</v>
      </c>
      <c r="AS536" s="1052">
        <f t="shared" si="240"/>
        <v>2.4375</v>
      </c>
      <c r="AT536" s="1049"/>
      <c r="AU536" s="1144"/>
      <c r="AV536" s="1049"/>
      <c r="AW536" s="1101"/>
      <c r="AX536" s="1100">
        <v>7</v>
      </c>
      <c r="AY536" s="1099">
        <v>8</v>
      </c>
      <c r="AZ536" s="1098">
        <v>0.15</v>
      </c>
      <c r="BA536" s="1736">
        <v>0.25</v>
      </c>
      <c r="BB536" s="1741">
        <f t="shared" si="241"/>
        <v>1.6666666666666667</v>
      </c>
      <c r="BC536" s="1049"/>
      <c r="BD536" s="1144"/>
      <c r="BE536" s="1049"/>
      <c r="BF536" s="1101"/>
      <c r="BG536" s="1100">
        <v>7</v>
      </c>
      <c r="BH536" s="1099">
        <v>8</v>
      </c>
      <c r="BI536" s="1874">
        <v>0.28999999999999998</v>
      </c>
      <c r="BJ536" s="1736"/>
      <c r="BK536" s="1049"/>
      <c r="BL536" s="1101"/>
      <c r="BM536" s="1100">
        <v>7</v>
      </c>
      <c r="BN536" s="1099">
        <v>8</v>
      </c>
      <c r="BO536" s="1098"/>
      <c r="BP536" s="1098"/>
      <c r="BQ536" s="1049"/>
    </row>
    <row r="537" spans="1:69" ht="14.4">
      <c r="A537" s="1049"/>
      <c r="B537" s="1097">
        <f>B534/24</f>
        <v>1.5183333333333329</v>
      </c>
      <c r="C537" s="1086">
        <v>8</v>
      </c>
      <c r="D537" s="1085">
        <v>9</v>
      </c>
      <c r="E537" s="1091">
        <v>0.66</v>
      </c>
      <c r="F537" s="1090">
        <v>1.92</v>
      </c>
      <c r="G537" s="1089">
        <f t="shared" si="231"/>
        <v>2.9090909090909087</v>
      </c>
      <c r="H537" s="1049"/>
      <c r="I537" s="1097">
        <f>I534/24</f>
        <v>4.8620833333333335</v>
      </c>
      <c r="J537" s="1086">
        <v>8</v>
      </c>
      <c r="K537" s="1085">
        <v>9</v>
      </c>
      <c r="L537" s="1084">
        <v>0.59199999999999997</v>
      </c>
      <c r="M537" s="1088">
        <v>4.8099999999999996</v>
      </c>
      <c r="N537" s="1087">
        <f t="shared" si="232"/>
        <v>8.125</v>
      </c>
      <c r="O537" s="1049"/>
      <c r="P537" s="1096">
        <f>P534/24</f>
        <v>6.4604166666666671</v>
      </c>
      <c r="Q537" s="1086">
        <v>8</v>
      </c>
      <c r="R537" s="1085">
        <v>9</v>
      </c>
      <c r="S537" s="1084">
        <v>2.63</v>
      </c>
      <c r="T537" s="1054">
        <f t="shared" si="233"/>
        <v>5.8386000000000005</v>
      </c>
      <c r="U537" s="1064">
        <v>8.59</v>
      </c>
      <c r="V537" s="1052">
        <f t="shared" si="234"/>
        <v>3.2661596958174908</v>
      </c>
      <c r="W537" s="1049"/>
      <c r="X537" s="1051">
        <v>2.2200000000000002</v>
      </c>
      <c r="Y537" s="1049"/>
      <c r="Z537" s="1050">
        <f t="shared" si="235"/>
        <v>3.7346000000000004</v>
      </c>
      <c r="AA537" s="1096">
        <f>AA534/24</f>
        <v>6.4454166666666666</v>
      </c>
      <c r="AB537" s="1086">
        <v>8</v>
      </c>
      <c r="AC537" s="1085">
        <v>9</v>
      </c>
      <c r="AD537" s="1084">
        <v>2.5329999999999999</v>
      </c>
      <c r="AE537" s="1143">
        <f t="shared" si="236"/>
        <v>0</v>
      </c>
      <c r="AF537" s="1142">
        <v>5.32</v>
      </c>
      <c r="AG537" s="1052">
        <f t="shared" si="237"/>
        <v>2.100276352151599</v>
      </c>
      <c r="AH537" s="1049"/>
      <c r="AI537" s="1142"/>
      <c r="AJ537" s="1049"/>
      <c r="AK537" s="1050">
        <f t="shared" si="238"/>
        <v>-2.0264000000000002</v>
      </c>
      <c r="AL537" s="1096"/>
      <c r="AM537" s="1096">
        <f>AM534/24</f>
        <v>0.71125000000000005</v>
      </c>
      <c r="AN537" s="1086">
        <v>8</v>
      </c>
      <c r="AO537" s="1085">
        <v>9</v>
      </c>
      <c r="AP537" s="1084">
        <v>0.43</v>
      </c>
      <c r="AQ537" s="1748">
        <f t="shared" si="239"/>
        <v>0</v>
      </c>
      <c r="AR537" s="1742">
        <v>1.06</v>
      </c>
      <c r="AS537" s="1052">
        <f t="shared" si="240"/>
        <v>2.4651162790697678</v>
      </c>
      <c r="AT537" s="1049"/>
      <c r="AU537" s="1142"/>
      <c r="AV537" s="1049"/>
      <c r="AW537" s="1096">
        <f>AW534/24</f>
        <v>0.39250000000000002</v>
      </c>
      <c r="AX537" s="1086">
        <v>8</v>
      </c>
      <c r="AY537" s="1085">
        <v>9</v>
      </c>
      <c r="AZ537" s="1084">
        <v>0.15</v>
      </c>
      <c r="BA537" s="1736">
        <v>0.25</v>
      </c>
      <c r="BB537" s="1742">
        <f t="shared" si="241"/>
        <v>1.6666666666666667</v>
      </c>
      <c r="BC537" s="1049"/>
      <c r="BD537" s="1142"/>
      <c r="BE537" s="1049"/>
      <c r="BF537" s="1096">
        <f>BF534/24</f>
        <v>0</v>
      </c>
      <c r="BG537" s="1086">
        <v>8</v>
      </c>
      <c r="BH537" s="1085">
        <v>9</v>
      </c>
      <c r="BI537" s="1874">
        <v>0.39</v>
      </c>
      <c r="BJ537" s="1736"/>
      <c r="BK537" s="1049"/>
      <c r="BL537" s="1096">
        <f>BL534/24</f>
        <v>0</v>
      </c>
      <c r="BM537" s="1086">
        <v>8</v>
      </c>
      <c r="BN537" s="1085">
        <v>9</v>
      </c>
      <c r="BO537" s="1084"/>
      <c r="BP537" s="1084"/>
      <c r="BQ537" s="1049"/>
    </row>
    <row r="538" spans="1:69" ht="14.4">
      <c r="A538" s="1049"/>
      <c r="B538" s="1097"/>
      <c r="C538" s="1086">
        <v>9</v>
      </c>
      <c r="D538" s="1085">
        <v>10</v>
      </c>
      <c r="E538" s="1091">
        <v>0.64</v>
      </c>
      <c r="F538" s="1090">
        <v>1.86</v>
      </c>
      <c r="G538" s="1089">
        <f t="shared" si="231"/>
        <v>2.90625</v>
      </c>
      <c r="H538" s="1049"/>
      <c r="I538" s="1097"/>
      <c r="J538" s="1086">
        <v>9</v>
      </c>
      <c r="K538" s="1085">
        <v>10</v>
      </c>
      <c r="L538" s="1084">
        <v>0.82399999999999995</v>
      </c>
      <c r="M538" s="1088">
        <v>3.59</v>
      </c>
      <c r="N538" s="1087">
        <f t="shared" si="232"/>
        <v>4.3567961165048548</v>
      </c>
      <c r="O538" s="1049"/>
      <c r="P538" s="1096"/>
      <c r="Q538" s="1086">
        <v>9</v>
      </c>
      <c r="R538" s="1085">
        <v>10</v>
      </c>
      <c r="S538" s="1084">
        <v>2.2400000000000002</v>
      </c>
      <c r="T538" s="1054">
        <f t="shared" si="233"/>
        <v>4.9504000000000001</v>
      </c>
      <c r="U538" s="1064">
        <v>7.28</v>
      </c>
      <c r="V538" s="1052">
        <f t="shared" si="234"/>
        <v>3.25</v>
      </c>
      <c r="W538" s="1049"/>
      <c r="X538" s="1051">
        <v>2.21</v>
      </c>
      <c r="Y538" s="1049"/>
      <c r="Z538" s="1050">
        <f t="shared" si="235"/>
        <v>3.1584000000000003</v>
      </c>
      <c r="AA538" s="1096"/>
      <c r="AB538" s="1086">
        <v>9</v>
      </c>
      <c r="AC538" s="1085">
        <v>10</v>
      </c>
      <c r="AD538" s="1084">
        <v>2.504</v>
      </c>
      <c r="AE538" s="1143">
        <f t="shared" si="236"/>
        <v>0</v>
      </c>
      <c r="AF538" s="1142">
        <v>5.45</v>
      </c>
      <c r="AG538" s="1052">
        <f t="shared" si="237"/>
        <v>2.1765175718849843</v>
      </c>
      <c r="AH538" s="1049"/>
      <c r="AI538" s="1142"/>
      <c r="AJ538" s="1049"/>
      <c r="AK538" s="1050">
        <f t="shared" si="238"/>
        <v>-2.0032000000000001</v>
      </c>
      <c r="AL538" s="1096"/>
      <c r="AM538" s="1096"/>
      <c r="AN538" s="1086">
        <v>9</v>
      </c>
      <c r="AO538" s="1085">
        <v>10</v>
      </c>
      <c r="AP538" s="1084">
        <v>0.24</v>
      </c>
      <c r="AQ538" s="1748">
        <f t="shared" si="239"/>
        <v>0</v>
      </c>
      <c r="AR538" s="1742">
        <v>0.56000000000000005</v>
      </c>
      <c r="AS538" s="1052">
        <f t="shared" si="240"/>
        <v>2.3333333333333335</v>
      </c>
      <c r="AT538" s="1049"/>
      <c r="AU538" s="1142"/>
      <c r="AV538" s="1049"/>
      <c r="AW538" s="1096"/>
      <c r="AX538" s="1086">
        <v>9</v>
      </c>
      <c r="AY538" s="1085">
        <v>10</v>
      </c>
      <c r="AZ538" s="1084">
        <v>0.23</v>
      </c>
      <c r="BA538" s="1736">
        <v>0.37</v>
      </c>
      <c r="BB538" s="1742">
        <f t="shared" si="241"/>
        <v>1.6086956521739129</v>
      </c>
      <c r="BC538" s="1049"/>
      <c r="BD538" s="1142"/>
      <c r="BE538" s="1049"/>
      <c r="BF538" s="1096"/>
      <c r="BG538" s="1086">
        <v>9</v>
      </c>
      <c r="BH538" s="1085">
        <v>10</v>
      </c>
      <c r="BI538" s="1874">
        <v>0.88</v>
      </c>
      <c r="BJ538" s="1736"/>
      <c r="BK538" s="1049"/>
      <c r="BL538" s="1096"/>
      <c r="BM538" s="1086">
        <v>9</v>
      </c>
      <c r="BN538" s="1085">
        <v>10</v>
      </c>
      <c r="BO538" s="1084"/>
      <c r="BP538" s="1084"/>
      <c r="BQ538" s="1049"/>
    </row>
    <row r="539" spans="1:69" ht="14.4">
      <c r="A539" s="1049"/>
      <c r="B539" s="1060"/>
      <c r="C539" s="1086">
        <v>10</v>
      </c>
      <c r="D539" s="1085">
        <v>11</v>
      </c>
      <c r="E539" s="1091">
        <v>0.36</v>
      </c>
      <c r="F539" s="1090">
        <v>1.02</v>
      </c>
      <c r="G539" s="1089">
        <f t="shared" si="231"/>
        <v>2.8333333333333335</v>
      </c>
      <c r="H539" s="1049"/>
      <c r="I539" s="1060"/>
      <c r="J539" s="1086">
        <v>10</v>
      </c>
      <c r="K539" s="1085">
        <v>11</v>
      </c>
      <c r="L539" s="1084">
        <v>0.59399999999999997</v>
      </c>
      <c r="M539" s="1088">
        <v>4.6500000000000004</v>
      </c>
      <c r="N539" s="1087">
        <f t="shared" si="232"/>
        <v>7.8282828282828296</v>
      </c>
      <c r="O539" s="1049"/>
      <c r="P539" s="1095">
        <f>SUM(Z529:Z552)</f>
        <v>61.3474</v>
      </c>
      <c r="Q539" s="1086">
        <v>10</v>
      </c>
      <c r="R539" s="1085">
        <v>11</v>
      </c>
      <c r="S539" s="1084">
        <v>2.2599999999999998</v>
      </c>
      <c r="T539" s="1054">
        <f t="shared" si="233"/>
        <v>5.0397999999999996</v>
      </c>
      <c r="U539" s="1064">
        <v>7.38</v>
      </c>
      <c r="V539" s="1052">
        <f t="shared" si="234"/>
        <v>3.2654867256637172</v>
      </c>
      <c r="W539" s="1049"/>
      <c r="X539" s="1051">
        <v>2.23</v>
      </c>
      <c r="Y539" s="1049"/>
      <c r="Z539" s="1050">
        <f t="shared" si="235"/>
        <v>3.2317999999999993</v>
      </c>
      <c r="AA539" s="1095">
        <f>SUM(AK529:AK552)</f>
        <v>-52.957599999999999</v>
      </c>
      <c r="AB539" s="1086">
        <v>10</v>
      </c>
      <c r="AC539" s="1085">
        <v>11</v>
      </c>
      <c r="AD539" s="1084">
        <v>2.6709999999999998</v>
      </c>
      <c r="AE539" s="1143">
        <f t="shared" si="236"/>
        <v>0</v>
      </c>
      <c r="AF539" s="1142">
        <v>5.95</v>
      </c>
      <c r="AG539" s="1052">
        <f t="shared" si="237"/>
        <v>2.2276301010857358</v>
      </c>
      <c r="AH539" s="1049"/>
      <c r="AI539" s="1142"/>
      <c r="AJ539" s="1049"/>
      <c r="AK539" s="1050">
        <f t="shared" si="238"/>
        <v>-2.1368</v>
      </c>
      <c r="AL539" s="1095"/>
      <c r="AM539" s="1095" t="e">
        <f>SUM(#REF!)</f>
        <v>#REF!</v>
      </c>
      <c r="AN539" s="1086">
        <v>10</v>
      </c>
      <c r="AO539" s="1085">
        <v>11</v>
      </c>
      <c r="AP539" s="1084">
        <v>0.32</v>
      </c>
      <c r="AQ539" s="1748">
        <f t="shared" si="239"/>
        <v>0</v>
      </c>
      <c r="AR539" s="1742">
        <v>0.72</v>
      </c>
      <c r="AS539" s="1052">
        <f t="shared" si="240"/>
        <v>2.25</v>
      </c>
      <c r="AT539" s="1049"/>
      <c r="AU539" s="1142"/>
      <c r="AV539" s="1049"/>
      <c r="AW539" s="1095" t="e">
        <f>SUM(#REF!)</f>
        <v>#REF!</v>
      </c>
      <c r="AX539" s="1086">
        <v>10</v>
      </c>
      <c r="AY539" s="1085">
        <v>11</v>
      </c>
      <c r="AZ539" s="1084">
        <v>0.28000000000000003</v>
      </c>
      <c r="BA539" s="1736">
        <v>0.38</v>
      </c>
      <c r="BB539" s="1742">
        <f t="shared" si="241"/>
        <v>1.357142857142857</v>
      </c>
      <c r="BC539" s="1049"/>
      <c r="BD539" s="1142"/>
      <c r="BE539" s="1049"/>
      <c r="BF539" s="1095" t="e">
        <f>SUM(#REF!)</f>
        <v>#REF!</v>
      </c>
      <c r="BG539" s="1086">
        <v>10</v>
      </c>
      <c r="BH539" s="1085">
        <v>11</v>
      </c>
      <c r="BI539" s="1874">
        <v>1.06</v>
      </c>
      <c r="BJ539" s="1736"/>
      <c r="BK539" s="1049"/>
      <c r="BL539" s="1095" t="e">
        <f>SUM(#REF!)</f>
        <v>#REF!</v>
      </c>
      <c r="BM539" s="1086">
        <v>10</v>
      </c>
      <c r="BN539" s="1085">
        <v>11</v>
      </c>
      <c r="BO539" s="1084"/>
      <c r="BP539" s="1084"/>
      <c r="BQ539" s="1049"/>
    </row>
    <row r="540" spans="1:69" ht="14.4">
      <c r="A540" s="1049"/>
      <c r="B540" s="1060"/>
      <c r="C540" s="1086">
        <v>11</v>
      </c>
      <c r="D540" s="1085">
        <v>12</v>
      </c>
      <c r="E540" s="1091">
        <v>0.49</v>
      </c>
      <c r="F540" s="1090">
        <v>1.35</v>
      </c>
      <c r="G540" s="1089">
        <f t="shared" si="231"/>
        <v>2.7551020408163267</v>
      </c>
      <c r="H540" s="1049"/>
      <c r="I540" s="1060"/>
      <c r="J540" s="1086">
        <v>11</v>
      </c>
      <c r="K540" s="1085">
        <v>12</v>
      </c>
      <c r="L540" s="1084">
        <v>0.81499999999999995</v>
      </c>
      <c r="M540" s="1088">
        <v>5.66</v>
      </c>
      <c r="N540" s="1087">
        <f t="shared" si="232"/>
        <v>6.9447852760736204</v>
      </c>
      <c r="O540" s="1049"/>
      <c r="P540" s="1093">
        <f>P539/P531</f>
        <v>1.2062013370035392</v>
      </c>
      <c r="Q540" s="1086">
        <v>11</v>
      </c>
      <c r="R540" s="1085">
        <v>12</v>
      </c>
      <c r="S540" s="1084">
        <v>2.86</v>
      </c>
      <c r="T540" s="1054">
        <f t="shared" si="233"/>
        <v>6.3492000000000006</v>
      </c>
      <c r="U540" s="1064">
        <v>9.34</v>
      </c>
      <c r="V540" s="1052">
        <f t="shared" si="234"/>
        <v>3.2657342657342658</v>
      </c>
      <c r="W540" s="1049"/>
      <c r="X540" s="1051">
        <v>2.2200000000000002</v>
      </c>
      <c r="Y540" s="1049"/>
      <c r="Z540" s="1050">
        <f t="shared" si="235"/>
        <v>4.0612000000000004</v>
      </c>
      <c r="AA540" s="1093">
        <f>AA539/AA531</f>
        <v>-0.79999999999999993</v>
      </c>
      <c r="AB540" s="1086">
        <v>11</v>
      </c>
      <c r="AC540" s="1085">
        <v>12</v>
      </c>
      <c r="AD540" s="1084">
        <v>2.6589999999999998</v>
      </c>
      <c r="AE540" s="1143">
        <f t="shared" si="236"/>
        <v>0</v>
      </c>
      <c r="AF540" s="1142">
        <v>5.97</v>
      </c>
      <c r="AG540" s="1052">
        <f t="shared" si="237"/>
        <v>2.2452049642722827</v>
      </c>
      <c r="AH540" s="1049"/>
      <c r="AI540" s="1142"/>
      <c r="AJ540" s="1049"/>
      <c r="AK540" s="1050">
        <f t="shared" si="238"/>
        <v>-2.1271999999999998</v>
      </c>
      <c r="AL540" s="1093"/>
      <c r="AM540" s="1093" t="e">
        <f>AM539/AM531</f>
        <v>#REF!</v>
      </c>
      <c r="AN540" s="1086">
        <v>11</v>
      </c>
      <c r="AO540" s="1085">
        <v>12</v>
      </c>
      <c r="AP540" s="1084">
        <v>0.32</v>
      </c>
      <c r="AQ540" s="1748">
        <f t="shared" si="239"/>
        <v>0</v>
      </c>
      <c r="AR540" s="1742">
        <v>0.67</v>
      </c>
      <c r="AS540" s="1052">
        <f t="shared" si="240"/>
        <v>2.09375</v>
      </c>
      <c r="AT540" s="1049"/>
      <c r="AU540" s="1142"/>
      <c r="AV540" s="1049"/>
      <c r="AW540" s="1093" t="e">
        <f>AW539/AW531</f>
        <v>#REF!</v>
      </c>
      <c r="AX540" s="1086">
        <v>11</v>
      </c>
      <c r="AY540" s="1085">
        <v>12</v>
      </c>
      <c r="AZ540" s="1084">
        <v>0.38</v>
      </c>
      <c r="BA540" s="1736">
        <v>0.41</v>
      </c>
      <c r="BB540" s="1742">
        <f t="shared" si="241"/>
        <v>1.0789473684210527</v>
      </c>
      <c r="BC540" s="1049"/>
      <c r="BD540" s="1142"/>
      <c r="BE540" s="1049"/>
      <c r="BF540" s="1093" t="e">
        <f>BF539/BF531</f>
        <v>#REF!</v>
      </c>
      <c r="BG540" s="1086">
        <v>11</v>
      </c>
      <c r="BH540" s="1085">
        <v>12</v>
      </c>
      <c r="BI540" s="1874">
        <v>0.37</v>
      </c>
      <c r="BJ540" s="1736"/>
      <c r="BK540" s="1049"/>
      <c r="BL540" s="1093" t="e">
        <f>BL539/BL531</f>
        <v>#REF!</v>
      </c>
      <c r="BM540" s="1086">
        <v>11</v>
      </c>
      <c r="BN540" s="1085">
        <v>12</v>
      </c>
      <c r="BO540" s="1084"/>
      <c r="BP540" s="1084"/>
      <c r="BQ540" s="1049"/>
    </row>
    <row r="541" spans="1:69" ht="14.4">
      <c r="A541" s="1049"/>
      <c r="B541" s="1060"/>
      <c r="C541" s="1086">
        <v>12</v>
      </c>
      <c r="D541" s="1085">
        <v>13</v>
      </c>
      <c r="E541" s="1091">
        <v>0.48</v>
      </c>
      <c r="F541" s="1090">
        <v>1.32</v>
      </c>
      <c r="G541" s="1089">
        <f t="shared" si="231"/>
        <v>2.7500000000000004</v>
      </c>
      <c r="H541" s="1049"/>
      <c r="I541" s="1060"/>
      <c r="J541" s="1086">
        <v>12</v>
      </c>
      <c r="K541" s="1085">
        <v>13</v>
      </c>
      <c r="L541" s="1084">
        <v>1.4490000000000001</v>
      </c>
      <c r="M541" s="1088">
        <v>5.67</v>
      </c>
      <c r="N541" s="1087">
        <f t="shared" si="232"/>
        <v>3.9130434782608692</v>
      </c>
      <c r="O541" s="1049"/>
      <c r="P541" s="1060"/>
      <c r="Q541" s="1086">
        <v>12</v>
      </c>
      <c r="R541" s="1085">
        <v>13</v>
      </c>
      <c r="S541" s="1084">
        <v>2.21</v>
      </c>
      <c r="T541" s="1054">
        <f t="shared" si="233"/>
        <v>4.9062000000000001</v>
      </c>
      <c r="U541" s="1064">
        <v>7.21</v>
      </c>
      <c r="V541" s="1052">
        <f t="shared" si="234"/>
        <v>3.2624434389140271</v>
      </c>
      <c r="W541" s="1049"/>
      <c r="X541" s="1051">
        <v>2.2200000000000002</v>
      </c>
      <c r="Y541" s="1049"/>
      <c r="Z541" s="1050">
        <f t="shared" si="235"/>
        <v>3.1382000000000003</v>
      </c>
      <c r="AA541" s="1060"/>
      <c r="AB541" s="1086">
        <v>12</v>
      </c>
      <c r="AC541" s="1085">
        <v>13</v>
      </c>
      <c r="AD541" s="1084">
        <v>2.7749999999999999</v>
      </c>
      <c r="AE541" s="1143">
        <f t="shared" si="236"/>
        <v>0</v>
      </c>
      <c r="AF541" s="1142">
        <v>6.06</v>
      </c>
      <c r="AG541" s="1052">
        <f t="shared" si="237"/>
        <v>2.1837837837837837</v>
      </c>
      <c r="AH541" s="1049"/>
      <c r="AI541" s="1142"/>
      <c r="AJ541" s="1049"/>
      <c r="AK541" s="1050">
        <f t="shared" si="238"/>
        <v>-2.2200000000000002</v>
      </c>
      <c r="AL541" s="1060"/>
      <c r="AM541" s="1060"/>
      <c r="AN541" s="1086">
        <v>12</v>
      </c>
      <c r="AO541" s="1085">
        <v>13</v>
      </c>
      <c r="AP541" s="1084">
        <v>0.27</v>
      </c>
      <c r="AQ541" s="1748">
        <f t="shared" si="239"/>
        <v>0</v>
      </c>
      <c r="AR541" s="1742">
        <v>0.54</v>
      </c>
      <c r="AS541" s="1052">
        <f t="shared" si="240"/>
        <v>2</v>
      </c>
      <c r="AT541" s="1049"/>
      <c r="AU541" s="1142"/>
      <c r="AV541" s="1049"/>
      <c r="AW541" s="1060"/>
      <c r="AX541" s="1086">
        <v>12</v>
      </c>
      <c r="AY541" s="1085">
        <v>13</v>
      </c>
      <c r="AZ541" s="1084">
        <v>0.23</v>
      </c>
      <c r="BA541" s="1736">
        <v>0.24</v>
      </c>
      <c r="BB541" s="1742">
        <f t="shared" si="241"/>
        <v>1.0434782608695652</v>
      </c>
      <c r="BC541" s="1049"/>
      <c r="BD541" s="1142"/>
      <c r="BE541" s="1049"/>
      <c r="BF541" s="1060"/>
      <c r="BG541" s="1086">
        <v>12</v>
      </c>
      <c r="BH541" s="1085">
        <v>13</v>
      </c>
      <c r="BI541" s="1874">
        <v>0.4</v>
      </c>
      <c r="BJ541" s="1736"/>
      <c r="BK541" s="1049"/>
      <c r="BL541" s="1060"/>
      <c r="BM541" s="1086">
        <v>12</v>
      </c>
      <c r="BN541" s="1085">
        <v>13</v>
      </c>
      <c r="BO541" s="1084"/>
      <c r="BP541" s="1084"/>
      <c r="BQ541" s="1049"/>
    </row>
    <row r="542" spans="1:69" ht="14.4">
      <c r="A542" s="1049"/>
      <c r="B542" s="1060"/>
      <c r="C542" s="1086">
        <v>13</v>
      </c>
      <c r="D542" s="1085">
        <v>14</v>
      </c>
      <c r="E542" s="1091">
        <v>1.32</v>
      </c>
      <c r="F542" s="1090">
        <v>3.52</v>
      </c>
      <c r="G542" s="1089">
        <f t="shared" si="231"/>
        <v>2.6666666666666665</v>
      </c>
      <c r="H542" s="1049"/>
      <c r="I542" s="1060"/>
      <c r="J542" s="1086">
        <v>13</v>
      </c>
      <c r="K542" s="1085">
        <v>14</v>
      </c>
      <c r="L542" s="1084">
        <v>1.2110000000000001</v>
      </c>
      <c r="M542" s="1088">
        <v>6.36</v>
      </c>
      <c r="N542" s="1087">
        <f t="shared" si="232"/>
        <v>5.2518579686209748</v>
      </c>
      <c r="O542" s="1049"/>
      <c r="P542" s="1092" t="s">
        <v>1127</v>
      </c>
      <c r="Q542" s="1086">
        <v>13</v>
      </c>
      <c r="R542" s="1085">
        <v>14</v>
      </c>
      <c r="S542" s="1084">
        <v>3.11</v>
      </c>
      <c r="T542" s="1054">
        <f t="shared" si="233"/>
        <v>6.6864999999999997</v>
      </c>
      <c r="U542" s="1064">
        <v>9.93</v>
      </c>
      <c r="V542" s="1052">
        <f t="shared" si="234"/>
        <v>3.192926045016077</v>
      </c>
      <c r="W542" s="1049"/>
      <c r="X542" s="1051">
        <v>2.15</v>
      </c>
      <c r="Y542" s="1049"/>
      <c r="Z542" s="1050">
        <f t="shared" si="235"/>
        <v>4.1984999999999992</v>
      </c>
      <c r="AA542" s="1092" t="s">
        <v>1127</v>
      </c>
      <c r="AB542" s="1086">
        <v>13</v>
      </c>
      <c r="AC542" s="1085">
        <v>14</v>
      </c>
      <c r="AD542" s="1084">
        <v>3.133</v>
      </c>
      <c r="AE542" s="1143">
        <f t="shared" si="236"/>
        <v>0</v>
      </c>
      <c r="AF542" s="1142">
        <v>6.95</v>
      </c>
      <c r="AG542" s="1052">
        <f t="shared" si="237"/>
        <v>2.2183210979891479</v>
      </c>
      <c r="AH542" s="1049"/>
      <c r="AI542" s="1142"/>
      <c r="AJ542" s="1049"/>
      <c r="AK542" s="1050">
        <f t="shared" si="238"/>
        <v>-2.5064000000000002</v>
      </c>
      <c r="AL542" s="1092"/>
      <c r="AM542" s="1092" t="s">
        <v>1127</v>
      </c>
      <c r="AN542" s="1086">
        <v>13</v>
      </c>
      <c r="AO542" s="1085">
        <v>14</v>
      </c>
      <c r="AP542" s="1084">
        <v>0.19</v>
      </c>
      <c r="AQ542" s="1748">
        <f t="shared" si="239"/>
        <v>0</v>
      </c>
      <c r="AR542" s="1742">
        <v>0.38</v>
      </c>
      <c r="AS542" s="1052">
        <f t="shared" si="240"/>
        <v>2</v>
      </c>
      <c r="AT542" s="1049"/>
      <c r="AU542" s="1142"/>
      <c r="AV542" s="1049"/>
      <c r="AW542" s="1092" t="s">
        <v>1127</v>
      </c>
      <c r="AX542" s="1086">
        <v>13</v>
      </c>
      <c r="AY542" s="1085">
        <v>14</v>
      </c>
      <c r="AZ542" s="1084">
        <v>0.24</v>
      </c>
      <c r="BA542" s="1736">
        <v>0.24</v>
      </c>
      <c r="BB542" s="1742">
        <f t="shared" si="241"/>
        <v>1</v>
      </c>
      <c r="BC542" s="1049"/>
      <c r="BD542" s="1142"/>
      <c r="BE542" s="1049"/>
      <c r="BF542" s="1092" t="s">
        <v>1127</v>
      </c>
      <c r="BG542" s="1086">
        <v>13</v>
      </c>
      <c r="BH542" s="1085">
        <v>14</v>
      </c>
      <c r="BI542" s="1874">
        <v>0.36</v>
      </c>
      <c r="BJ542" s="1736"/>
      <c r="BK542" s="1049"/>
      <c r="BL542" s="1092" t="s">
        <v>1127</v>
      </c>
      <c r="BM542" s="1086">
        <v>13</v>
      </c>
      <c r="BN542" s="1085">
        <v>14</v>
      </c>
      <c r="BO542" s="1084"/>
      <c r="BP542" s="1084"/>
      <c r="BQ542" s="1049"/>
    </row>
    <row r="543" spans="1:69" ht="14.4">
      <c r="A543" s="1049"/>
      <c r="B543" s="1060"/>
      <c r="C543" s="1086">
        <v>14</v>
      </c>
      <c r="D543" s="1085">
        <v>15</v>
      </c>
      <c r="E543" s="1091">
        <v>1.75</v>
      </c>
      <c r="F543" s="1090">
        <v>4.57</v>
      </c>
      <c r="G543" s="1089">
        <f t="shared" si="231"/>
        <v>2.6114285714285717</v>
      </c>
      <c r="H543" s="1049"/>
      <c r="I543" s="1060"/>
      <c r="J543" s="1086">
        <v>14</v>
      </c>
      <c r="K543" s="1085">
        <v>15</v>
      </c>
      <c r="L543" s="1084">
        <v>1.4770000000000001</v>
      </c>
      <c r="M543" s="1088">
        <v>6.34</v>
      </c>
      <c r="N543" s="1087">
        <f t="shared" si="232"/>
        <v>4.2924847664184149</v>
      </c>
      <c r="O543" s="1049"/>
      <c r="P543" s="1058">
        <f>P531*0.8</f>
        <v>40.688000000000002</v>
      </c>
      <c r="Q543" s="1086">
        <v>14</v>
      </c>
      <c r="R543" s="1085">
        <v>15</v>
      </c>
      <c r="S543" s="1084">
        <v>3.17</v>
      </c>
      <c r="T543" s="1054">
        <f t="shared" si="233"/>
        <v>6.7204000000000006</v>
      </c>
      <c r="U543" s="1064">
        <v>10.02</v>
      </c>
      <c r="V543" s="1052">
        <f t="shared" si="234"/>
        <v>3.1608832807570977</v>
      </c>
      <c r="W543" s="1049"/>
      <c r="X543" s="1051">
        <v>2.12</v>
      </c>
      <c r="Y543" s="1049"/>
      <c r="Z543" s="1050">
        <f t="shared" si="235"/>
        <v>4.1844000000000001</v>
      </c>
      <c r="AA543" s="1058">
        <f>AA531*0.8</f>
        <v>52.957600000000006</v>
      </c>
      <c r="AB543" s="1086">
        <v>14</v>
      </c>
      <c r="AC543" s="1085">
        <v>15</v>
      </c>
      <c r="AD543" s="1084">
        <v>3.2549999999999999</v>
      </c>
      <c r="AE543" s="1143">
        <f t="shared" si="236"/>
        <v>0</v>
      </c>
      <c r="AF543" s="1142">
        <v>7.37</v>
      </c>
      <c r="AG543" s="1052">
        <f t="shared" si="237"/>
        <v>2.2642089093701996</v>
      </c>
      <c r="AH543" s="1049"/>
      <c r="AI543" s="1142"/>
      <c r="AJ543" s="1049"/>
      <c r="AK543" s="1050">
        <f t="shared" si="238"/>
        <v>-2.6040000000000001</v>
      </c>
      <c r="AL543" s="1058"/>
      <c r="AM543" s="1058">
        <f>AM531*0.8</f>
        <v>5.7280000000000006</v>
      </c>
      <c r="AN543" s="1086">
        <v>14</v>
      </c>
      <c r="AO543" s="1085">
        <v>15</v>
      </c>
      <c r="AP543" s="1084">
        <v>0.26</v>
      </c>
      <c r="AQ543" s="1748">
        <f t="shared" si="239"/>
        <v>0</v>
      </c>
      <c r="AR543" s="1742">
        <v>0.54</v>
      </c>
      <c r="AS543" s="1052">
        <f t="shared" si="240"/>
        <v>2.0769230769230771</v>
      </c>
      <c r="AT543" s="1049"/>
      <c r="AU543" s="1142"/>
      <c r="AV543" s="1049"/>
      <c r="AW543" s="1058">
        <f>AW531*0.8</f>
        <v>4.6719999999999997</v>
      </c>
      <c r="AX543" s="1086">
        <v>14</v>
      </c>
      <c r="AY543" s="1085">
        <v>15</v>
      </c>
      <c r="AZ543" s="1084">
        <v>0.18</v>
      </c>
      <c r="BA543" s="1736">
        <v>0.21</v>
      </c>
      <c r="BB543" s="1742">
        <f t="shared" si="241"/>
        <v>1.1666666666666667</v>
      </c>
      <c r="BC543" s="1049"/>
      <c r="BD543" s="1142"/>
      <c r="BE543" s="1049"/>
      <c r="BF543" s="1058">
        <f>BF531*0.8</f>
        <v>6.5920000000000023</v>
      </c>
      <c r="BG543" s="1086">
        <v>14</v>
      </c>
      <c r="BH543" s="1085">
        <v>15</v>
      </c>
      <c r="BI543" s="1874">
        <v>0.34</v>
      </c>
      <c r="BJ543" s="1736"/>
      <c r="BK543" s="1049"/>
      <c r="BL543" s="1058">
        <f>BL531*0.8</f>
        <v>0</v>
      </c>
      <c r="BM543" s="1086">
        <v>14</v>
      </c>
      <c r="BN543" s="1085">
        <v>15</v>
      </c>
      <c r="BO543" s="1084"/>
      <c r="BP543" s="1084"/>
      <c r="BQ543" s="1049"/>
    </row>
    <row r="544" spans="1:69" ht="14.4">
      <c r="A544" s="1049"/>
      <c r="B544" s="1060"/>
      <c r="C544" s="1086">
        <v>15</v>
      </c>
      <c r="D544" s="1085">
        <v>16</v>
      </c>
      <c r="E544" s="1091">
        <v>0.72</v>
      </c>
      <c r="F544" s="1090">
        <v>1.89</v>
      </c>
      <c r="G544" s="1089">
        <f t="shared" si="231"/>
        <v>2.625</v>
      </c>
      <c r="H544" s="1049"/>
      <c r="I544" s="1060"/>
      <c r="J544" s="1086">
        <v>15</v>
      </c>
      <c r="K544" s="1085">
        <v>16</v>
      </c>
      <c r="L544" s="1084">
        <v>0.97899999999999998</v>
      </c>
      <c r="M544" s="1088">
        <v>5.88</v>
      </c>
      <c r="N544" s="1087">
        <f t="shared" si="232"/>
        <v>6.0061287027579162</v>
      </c>
      <c r="O544" s="1049"/>
      <c r="P544" s="1058" t="s">
        <v>1126</v>
      </c>
      <c r="Q544" s="1086">
        <v>15</v>
      </c>
      <c r="R544" s="1085">
        <v>16</v>
      </c>
      <c r="S544" s="1084">
        <v>3.05</v>
      </c>
      <c r="T544" s="1054">
        <f t="shared" si="233"/>
        <v>6.3744999999999994</v>
      </c>
      <c r="U544" s="1064">
        <v>9.5399999999999991</v>
      </c>
      <c r="V544" s="1052">
        <f t="shared" si="234"/>
        <v>3.1278688524590161</v>
      </c>
      <c r="W544" s="1049"/>
      <c r="X544" s="1051">
        <v>2.09</v>
      </c>
      <c r="Y544" s="1049"/>
      <c r="Z544" s="1050">
        <f t="shared" si="235"/>
        <v>3.934499999999999</v>
      </c>
      <c r="AA544" s="1058" t="s">
        <v>1126</v>
      </c>
      <c r="AB544" s="1086">
        <v>15</v>
      </c>
      <c r="AC544" s="1085">
        <v>16</v>
      </c>
      <c r="AD544" s="1084">
        <v>3.9049999999999998</v>
      </c>
      <c r="AE544" s="1143">
        <f t="shared" si="236"/>
        <v>0</v>
      </c>
      <c r="AF544" s="1142">
        <v>8.93</v>
      </c>
      <c r="AG544" s="1052">
        <f t="shared" si="237"/>
        <v>2.2868117797695264</v>
      </c>
      <c r="AH544" s="1049"/>
      <c r="AI544" s="1142"/>
      <c r="AJ544" s="1049"/>
      <c r="AK544" s="1050">
        <f t="shared" si="238"/>
        <v>-3.1240000000000001</v>
      </c>
      <c r="AL544" s="1058"/>
      <c r="AM544" s="1058" t="s">
        <v>1126</v>
      </c>
      <c r="AN544" s="1086">
        <v>15</v>
      </c>
      <c r="AO544" s="1085">
        <v>16</v>
      </c>
      <c r="AP544" s="1084">
        <v>0.36</v>
      </c>
      <c r="AQ544" s="1748">
        <f t="shared" si="239"/>
        <v>0</v>
      </c>
      <c r="AR544" s="1742">
        <v>0.8</v>
      </c>
      <c r="AS544" s="1052">
        <f t="shared" si="240"/>
        <v>2.2222222222222223</v>
      </c>
      <c r="AT544" s="1049"/>
      <c r="AU544" s="1142"/>
      <c r="AV544" s="1049"/>
      <c r="AW544" s="1058" t="s">
        <v>1126</v>
      </c>
      <c r="AX544" s="1086">
        <v>15</v>
      </c>
      <c r="AY544" s="1085">
        <v>16</v>
      </c>
      <c r="AZ544" s="1084">
        <v>0.3</v>
      </c>
      <c r="BA544" s="1736">
        <v>0.44</v>
      </c>
      <c r="BB544" s="1742">
        <f t="shared" si="241"/>
        <v>1.4666666666666668</v>
      </c>
      <c r="BC544" s="1049"/>
      <c r="BD544" s="1142"/>
      <c r="BE544" s="1049"/>
      <c r="BF544" s="1058" t="s">
        <v>1126</v>
      </c>
      <c r="BG544" s="1086">
        <v>15</v>
      </c>
      <c r="BH544" s="1085">
        <v>16</v>
      </c>
      <c r="BI544" s="1874">
        <v>0.24</v>
      </c>
      <c r="BJ544" s="1736"/>
      <c r="BK544" s="1049"/>
      <c r="BL544" s="1058" t="s">
        <v>1126</v>
      </c>
      <c r="BM544" s="1086">
        <v>15</v>
      </c>
      <c r="BN544" s="1085">
        <v>16</v>
      </c>
      <c r="BO544" s="1084"/>
      <c r="BP544" s="1084"/>
      <c r="BQ544" s="1049"/>
    </row>
    <row r="545" spans="1:69" ht="15" thickBot="1">
      <c r="A545" s="1049"/>
      <c r="B545" s="1060"/>
      <c r="C545" s="1077">
        <v>16</v>
      </c>
      <c r="D545" s="1076">
        <v>17</v>
      </c>
      <c r="E545" s="1083">
        <v>0.44</v>
      </c>
      <c r="F545" s="1082">
        <v>1.22</v>
      </c>
      <c r="G545" s="1081">
        <f t="shared" si="231"/>
        <v>2.7727272727272725</v>
      </c>
      <c r="H545" s="1049"/>
      <c r="I545" s="1060"/>
      <c r="J545" s="1077">
        <v>16</v>
      </c>
      <c r="K545" s="1076">
        <v>17</v>
      </c>
      <c r="L545" s="1075">
        <v>0.97099999999999997</v>
      </c>
      <c r="M545" s="1080">
        <v>5.39</v>
      </c>
      <c r="N545" s="1079">
        <f t="shared" si="232"/>
        <v>5.5509783728115343</v>
      </c>
      <c r="O545" s="1049"/>
      <c r="P545" s="1078">
        <f>P531*(X528-0.8)</f>
        <v>64.751137499999984</v>
      </c>
      <c r="Q545" s="1077">
        <v>16</v>
      </c>
      <c r="R545" s="1076">
        <v>17</v>
      </c>
      <c r="S545" s="1075">
        <v>2.4500000000000002</v>
      </c>
      <c r="T545" s="1054">
        <f t="shared" si="233"/>
        <v>5.1695000000000002</v>
      </c>
      <c r="U545" s="1064">
        <v>7.73</v>
      </c>
      <c r="V545" s="1052">
        <f t="shared" si="234"/>
        <v>3.1551020408163266</v>
      </c>
      <c r="W545" s="1049"/>
      <c r="X545" s="1074">
        <v>2.11</v>
      </c>
      <c r="Y545" s="1049"/>
      <c r="Z545" s="1050">
        <f t="shared" si="235"/>
        <v>3.2094999999999998</v>
      </c>
      <c r="AA545" s="1078" t="e">
        <f>AA531*(AI528-0.8)</f>
        <v>#DIV/0!</v>
      </c>
      <c r="AB545" s="1077">
        <v>16</v>
      </c>
      <c r="AC545" s="1076">
        <v>17</v>
      </c>
      <c r="AD545" s="1075">
        <v>3.5680000000000001</v>
      </c>
      <c r="AE545" s="1141">
        <f t="shared" si="236"/>
        <v>0</v>
      </c>
      <c r="AF545" s="1140">
        <v>8.61</v>
      </c>
      <c r="AG545" s="1052">
        <f t="shared" si="237"/>
        <v>2.4131165919282509</v>
      </c>
      <c r="AH545" s="1049"/>
      <c r="AI545" s="1140"/>
      <c r="AJ545" s="1049"/>
      <c r="AK545" s="1050">
        <f t="shared" si="238"/>
        <v>-2.8544</v>
      </c>
      <c r="AL545" s="1078"/>
      <c r="AM545" s="1078" t="e">
        <f>AM531*(AU528-0.8)</f>
        <v>#DIV/0!</v>
      </c>
      <c r="AN545" s="1077">
        <v>16</v>
      </c>
      <c r="AO545" s="1076">
        <v>17</v>
      </c>
      <c r="AP545" s="1075">
        <v>0.33</v>
      </c>
      <c r="AQ545" s="1749">
        <f t="shared" si="239"/>
        <v>0</v>
      </c>
      <c r="AR545" s="1743">
        <v>0.75</v>
      </c>
      <c r="AS545" s="1052">
        <f t="shared" si="240"/>
        <v>2.2727272727272725</v>
      </c>
      <c r="AT545" s="1049"/>
      <c r="AU545" s="1140"/>
      <c r="AV545" s="1049"/>
      <c r="AW545" s="1078" t="e">
        <f>AW531*(BD528-0.8)</f>
        <v>#DIV/0!</v>
      </c>
      <c r="AX545" s="1077">
        <v>16</v>
      </c>
      <c r="AY545" s="1076">
        <v>17</v>
      </c>
      <c r="AZ545" s="1075">
        <v>0.33</v>
      </c>
      <c r="BA545" s="1738">
        <v>0.51</v>
      </c>
      <c r="BB545" s="1743">
        <f t="shared" si="241"/>
        <v>1.5454545454545454</v>
      </c>
      <c r="BC545" s="1049"/>
      <c r="BD545" s="1140"/>
      <c r="BE545" s="1049"/>
      <c r="BF545" s="1078">
        <f>BF531*(BM528-0.8)</f>
        <v>-6.5920000000000023</v>
      </c>
      <c r="BG545" s="1077">
        <v>16</v>
      </c>
      <c r="BH545" s="1076">
        <v>17</v>
      </c>
      <c r="BI545" s="1874">
        <v>0.24</v>
      </c>
      <c r="BJ545" s="1738"/>
      <c r="BK545" s="1049"/>
      <c r="BL545" s="1078">
        <f>BL531*(BS528-0.8)</f>
        <v>0</v>
      </c>
      <c r="BM545" s="1077">
        <v>16</v>
      </c>
      <c r="BN545" s="1076">
        <v>17</v>
      </c>
      <c r="BO545" s="1075"/>
      <c r="BP545" s="1075"/>
      <c r="BQ545" s="1049"/>
    </row>
    <row r="546" spans="1:69" ht="14.4">
      <c r="A546" s="1049"/>
      <c r="B546" s="1060"/>
      <c r="C546" s="1068">
        <v>17</v>
      </c>
      <c r="D546" s="1067">
        <v>18</v>
      </c>
      <c r="E546" s="1073">
        <v>0.69</v>
      </c>
      <c r="F546" s="1072">
        <v>2.5</v>
      </c>
      <c r="G546" s="1071">
        <f t="shared" si="231"/>
        <v>3.6231884057971016</v>
      </c>
      <c r="H546" s="1049"/>
      <c r="I546" s="1060"/>
      <c r="J546" s="1068">
        <v>17</v>
      </c>
      <c r="K546" s="1067">
        <v>18</v>
      </c>
      <c r="L546" s="1066">
        <v>1.19</v>
      </c>
      <c r="M546" s="1070">
        <v>6.51</v>
      </c>
      <c r="N546" s="1069">
        <f t="shared" si="232"/>
        <v>5.4705882352941178</v>
      </c>
      <c r="O546" s="1049"/>
      <c r="P546" s="1058"/>
      <c r="Q546" s="1068">
        <v>17</v>
      </c>
      <c r="R546" s="1067">
        <v>18</v>
      </c>
      <c r="S546" s="1066">
        <v>2.59</v>
      </c>
      <c r="T546" s="1054">
        <f t="shared" si="233"/>
        <v>5.4908000000000001</v>
      </c>
      <c r="U546" s="1064">
        <v>8.19</v>
      </c>
      <c r="V546" s="1052">
        <f t="shared" si="234"/>
        <v>3.1621621621621623</v>
      </c>
      <c r="W546" s="1049"/>
      <c r="X546" s="1065">
        <v>2.12</v>
      </c>
      <c r="Y546" s="1049"/>
      <c r="Z546" s="1050">
        <f t="shared" si="235"/>
        <v>3.4188000000000001</v>
      </c>
      <c r="AA546" s="1058"/>
      <c r="AB546" s="1068">
        <v>17</v>
      </c>
      <c r="AC546" s="1067">
        <v>18</v>
      </c>
      <c r="AD546" s="1066">
        <v>2.8809999999999998</v>
      </c>
      <c r="AE546" s="1139">
        <f t="shared" si="236"/>
        <v>0</v>
      </c>
      <c r="AF546" s="1138">
        <v>9.76</v>
      </c>
      <c r="AG546" s="1052">
        <f t="shared" si="237"/>
        <v>3.387712599791739</v>
      </c>
      <c r="AH546" s="1049"/>
      <c r="AI546" s="1138"/>
      <c r="AJ546" s="1049"/>
      <c r="AK546" s="1050">
        <f t="shared" si="238"/>
        <v>-2.3047999999999997</v>
      </c>
      <c r="AL546" s="1058"/>
      <c r="AM546" s="1058"/>
      <c r="AN546" s="1068">
        <v>17</v>
      </c>
      <c r="AO546" s="1067">
        <v>18</v>
      </c>
      <c r="AP546" s="1066">
        <v>0.28999999999999998</v>
      </c>
      <c r="AQ546" s="1750">
        <f t="shared" si="239"/>
        <v>0</v>
      </c>
      <c r="AR546" s="1744">
        <v>0.91</v>
      </c>
      <c r="AS546" s="1052">
        <f t="shared" si="240"/>
        <v>3.1379310344827589</v>
      </c>
      <c r="AT546" s="1049"/>
      <c r="AU546" s="1138"/>
      <c r="AV546" s="1049"/>
      <c r="AW546" s="1058"/>
      <c r="AX546" s="1068">
        <v>17</v>
      </c>
      <c r="AY546" s="1067">
        <v>18</v>
      </c>
      <c r="AZ546" s="1066">
        <v>0.34</v>
      </c>
      <c r="BA546" s="1740">
        <v>0.82</v>
      </c>
      <c r="BB546" s="1744">
        <f t="shared" si="241"/>
        <v>2.4117647058823528</v>
      </c>
      <c r="BC546" s="1049"/>
      <c r="BD546" s="1138"/>
      <c r="BE546" s="1049"/>
      <c r="BF546" s="1058"/>
      <c r="BG546" s="1068">
        <v>17</v>
      </c>
      <c r="BH546" s="1067">
        <v>18</v>
      </c>
      <c r="BI546" s="1874">
        <v>0.24</v>
      </c>
      <c r="BJ546" s="1740"/>
      <c r="BK546" s="1049"/>
      <c r="BL546" s="1058"/>
      <c r="BM546" s="1068">
        <v>17</v>
      </c>
      <c r="BN546" s="1067">
        <v>18</v>
      </c>
      <c r="BO546" s="1066"/>
      <c r="BP546" s="1066"/>
      <c r="BQ546" s="1049"/>
    </row>
    <row r="547" spans="1:69" ht="14.4">
      <c r="A547" s="1049"/>
      <c r="B547" s="1060"/>
      <c r="C547" s="1057">
        <v>18</v>
      </c>
      <c r="D547" s="1056">
        <v>19</v>
      </c>
      <c r="E547" s="1063">
        <v>0.49</v>
      </c>
      <c r="F547" s="1062">
        <v>1.88</v>
      </c>
      <c r="G547" s="1061">
        <f t="shared" si="231"/>
        <v>3.8367346938775508</v>
      </c>
      <c r="H547" s="1049"/>
      <c r="I547" s="1060"/>
      <c r="J547" s="1057">
        <v>18</v>
      </c>
      <c r="K547" s="1056">
        <v>19</v>
      </c>
      <c r="L547" s="1055">
        <v>0.93600000000000005</v>
      </c>
      <c r="M547" s="1059">
        <v>6.75</v>
      </c>
      <c r="N547" s="1052">
        <f t="shared" si="232"/>
        <v>7.2115384615384608</v>
      </c>
      <c r="O547" s="1049"/>
      <c r="P547" s="1058"/>
      <c r="Q547" s="1057">
        <v>18</v>
      </c>
      <c r="R547" s="1056">
        <v>19</v>
      </c>
      <c r="S547" s="1055">
        <v>2.19</v>
      </c>
      <c r="T547" s="1054">
        <f t="shared" si="233"/>
        <v>4.7523</v>
      </c>
      <c r="U547" s="1064">
        <v>7.03</v>
      </c>
      <c r="V547" s="1052">
        <f t="shared" si="234"/>
        <v>3.2100456621004567</v>
      </c>
      <c r="W547" s="1049"/>
      <c r="X547" s="1051">
        <v>2.17</v>
      </c>
      <c r="Y547" s="1049"/>
      <c r="Z547" s="1050">
        <f t="shared" si="235"/>
        <v>3.0002999999999997</v>
      </c>
      <c r="AA547" s="1058"/>
      <c r="AB547" s="1057">
        <v>18</v>
      </c>
      <c r="AC547" s="1056">
        <v>19</v>
      </c>
      <c r="AD547" s="1055">
        <v>2.7919999999999998</v>
      </c>
      <c r="AE547" s="1137">
        <f t="shared" si="236"/>
        <v>0</v>
      </c>
      <c r="AF547" s="1136">
        <v>9.7200000000000006</v>
      </c>
      <c r="AG547" s="1052">
        <f t="shared" si="237"/>
        <v>3.4813753581661895</v>
      </c>
      <c r="AH547" s="1049"/>
      <c r="AI547" s="1136"/>
      <c r="AJ547" s="1049"/>
      <c r="AK547" s="1050">
        <f t="shared" si="238"/>
        <v>-2.2336</v>
      </c>
      <c r="AL547" s="1058"/>
      <c r="AM547" s="1058"/>
      <c r="AN547" s="1057">
        <v>18</v>
      </c>
      <c r="AO547" s="1056">
        <v>19</v>
      </c>
      <c r="AP547" s="1055">
        <v>0.28999999999999998</v>
      </c>
      <c r="AQ547" s="1745">
        <f t="shared" si="239"/>
        <v>0</v>
      </c>
      <c r="AR547" s="1737">
        <v>0.54</v>
      </c>
      <c r="AS547" s="1052">
        <f t="shared" si="240"/>
        <v>1.8620689655172415</v>
      </c>
      <c r="AT547" s="1049"/>
      <c r="AU547" s="1136"/>
      <c r="AV547" s="1049"/>
      <c r="AW547" s="1058"/>
      <c r="AX547" s="1057">
        <v>18</v>
      </c>
      <c r="AY547" s="1056">
        <v>19</v>
      </c>
      <c r="AZ547" s="1055">
        <v>0.26</v>
      </c>
      <c r="BA547" s="1736">
        <v>0.62</v>
      </c>
      <c r="BB547" s="1737">
        <f t="shared" si="241"/>
        <v>2.3846153846153846</v>
      </c>
      <c r="BC547" s="1049"/>
      <c r="BD547" s="1136"/>
      <c r="BE547" s="1049"/>
      <c r="BF547" s="1058"/>
      <c r="BG547" s="1057">
        <v>18</v>
      </c>
      <c r="BH547" s="1056">
        <v>19</v>
      </c>
      <c r="BI547" s="1874">
        <v>0.36</v>
      </c>
      <c r="BJ547" s="1736"/>
      <c r="BK547" s="1049"/>
      <c r="BL547" s="1058"/>
      <c r="BM547" s="1057">
        <v>18</v>
      </c>
      <c r="BN547" s="1056">
        <v>19</v>
      </c>
      <c r="BO547" s="1055"/>
      <c r="BP547" s="1055"/>
      <c r="BQ547" s="1049"/>
    </row>
    <row r="548" spans="1:69" ht="14.4">
      <c r="A548" s="1049"/>
      <c r="B548" s="1060"/>
      <c r="C548" s="1057">
        <v>19</v>
      </c>
      <c r="D548" s="1056">
        <v>20</v>
      </c>
      <c r="E548" s="1063">
        <v>0.54</v>
      </c>
      <c r="F548" s="1062">
        <v>2.0699999999999998</v>
      </c>
      <c r="G548" s="1061">
        <f t="shared" si="231"/>
        <v>3.8333333333333326</v>
      </c>
      <c r="H548" s="1049"/>
      <c r="I548" s="1060"/>
      <c r="J548" s="1057">
        <v>19</v>
      </c>
      <c r="K548" s="1056">
        <v>20</v>
      </c>
      <c r="L548" s="1055">
        <v>1.4039999999999999</v>
      </c>
      <c r="M548" s="1059">
        <v>4.25</v>
      </c>
      <c r="N548" s="1052">
        <f t="shared" si="232"/>
        <v>3.0270655270655271</v>
      </c>
      <c r="O548" s="1049"/>
      <c r="P548" s="1058"/>
      <c r="Q548" s="1057">
        <v>19</v>
      </c>
      <c r="R548" s="1056">
        <v>20</v>
      </c>
      <c r="S548" s="1055">
        <v>2.12</v>
      </c>
      <c r="T548" s="1054">
        <f t="shared" si="233"/>
        <v>4.5156000000000001</v>
      </c>
      <c r="U548" s="1064">
        <v>6.71</v>
      </c>
      <c r="V548" s="1052">
        <f t="shared" si="234"/>
        <v>3.1650943396226414</v>
      </c>
      <c r="W548" s="1049"/>
      <c r="X548" s="1051">
        <v>2.13</v>
      </c>
      <c r="Y548" s="1049"/>
      <c r="Z548" s="1050">
        <f t="shared" si="235"/>
        <v>2.8195999999999999</v>
      </c>
      <c r="AA548" s="1058"/>
      <c r="AB548" s="1057">
        <v>19</v>
      </c>
      <c r="AC548" s="1056">
        <v>20</v>
      </c>
      <c r="AD548" s="1055">
        <v>2.9780000000000002</v>
      </c>
      <c r="AE548" s="1137">
        <f t="shared" si="236"/>
        <v>0</v>
      </c>
      <c r="AF548" s="1136">
        <v>10.29</v>
      </c>
      <c r="AG548" s="1052">
        <f t="shared" si="237"/>
        <v>3.4553391537944926</v>
      </c>
      <c r="AH548" s="1049"/>
      <c r="AI548" s="1136"/>
      <c r="AJ548" s="1049"/>
      <c r="AK548" s="1050">
        <f t="shared" si="238"/>
        <v>-2.3824000000000001</v>
      </c>
      <c r="AL548" s="1058"/>
      <c r="AM548" s="1058"/>
      <c r="AN548" s="1057">
        <v>19</v>
      </c>
      <c r="AO548" s="1056">
        <v>20</v>
      </c>
      <c r="AP548" s="1055">
        <v>0.98</v>
      </c>
      <c r="AQ548" s="1745">
        <f t="shared" si="239"/>
        <v>0</v>
      </c>
      <c r="AR548" s="1737">
        <v>3.15</v>
      </c>
      <c r="AS548" s="1052">
        <f t="shared" si="240"/>
        <v>3.2142857142857144</v>
      </c>
      <c r="AT548" s="1049"/>
      <c r="AU548" s="1136"/>
      <c r="AV548" s="1049"/>
      <c r="AW548" s="1058"/>
      <c r="AX548" s="1057">
        <v>19</v>
      </c>
      <c r="AY548" s="1056">
        <v>20</v>
      </c>
      <c r="AZ548" s="1055">
        <v>0.38</v>
      </c>
      <c r="BA548" s="1736">
        <v>0.92</v>
      </c>
      <c r="BB548" s="1737">
        <f t="shared" si="241"/>
        <v>2.4210526315789473</v>
      </c>
      <c r="BC548" s="1049"/>
      <c r="BD548" s="1136"/>
      <c r="BE548" s="1049"/>
      <c r="BF548" s="1058"/>
      <c r="BG548" s="1057">
        <v>19</v>
      </c>
      <c r="BH548" s="1056">
        <v>20</v>
      </c>
      <c r="BI548" s="1874">
        <v>0.42</v>
      </c>
      <c r="BJ548" s="1736"/>
      <c r="BK548" s="1049"/>
      <c r="BL548" s="1058"/>
      <c r="BM548" s="1057">
        <v>19</v>
      </c>
      <c r="BN548" s="1056">
        <v>20</v>
      </c>
      <c r="BO548" s="1055"/>
      <c r="BP548" s="1055"/>
      <c r="BQ548" s="1049"/>
    </row>
    <row r="549" spans="1:69" ht="14.4">
      <c r="A549" s="1049"/>
      <c r="B549" s="1060"/>
      <c r="C549" s="1057">
        <v>20</v>
      </c>
      <c r="D549" s="1056">
        <v>21</v>
      </c>
      <c r="E549" s="1063">
        <v>0.44</v>
      </c>
      <c r="F549" s="1062">
        <v>1.36</v>
      </c>
      <c r="G549" s="1061">
        <f t="shared" si="231"/>
        <v>3.0909090909090913</v>
      </c>
      <c r="H549" s="1049"/>
      <c r="I549" s="1060"/>
      <c r="J549" s="1057">
        <v>20</v>
      </c>
      <c r="K549" s="1056">
        <v>21</v>
      </c>
      <c r="L549" s="1055">
        <v>1.5409999999999999</v>
      </c>
      <c r="M549" s="1059">
        <v>4.49</v>
      </c>
      <c r="N549" s="1052">
        <f t="shared" si="232"/>
        <v>2.9136924075275799</v>
      </c>
      <c r="O549" s="1049"/>
      <c r="P549" s="1058"/>
      <c r="Q549" s="1057">
        <v>20</v>
      </c>
      <c r="R549" s="1056">
        <v>21</v>
      </c>
      <c r="S549" s="1055">
        <v>2.4700000000000002</v>
      </c>
      <c r="T549" s="1054">
        <f t="shared" si="233"/>
        <v>4.8906000000000001</v>
      </c>
      <c r="U549" s="1064">
        <v>7.46</v>
      </c>
      <c r="V549" s="1052">
        <f t="shared" si="234"/>
        <v>3.0202429149797569</v>
      </c>
      <c r="W549" s="1049"/>
      <c r="X549" s="1051">
        <v>1.98</v>
      </c>
      <c r="Y549" s="1049"/>
      <c r="Z549" s="1050">
        <f t="shared" si="235"/>
        <v>2.9146000000000001</v>
      </c>
      <c r="AA549" s="1058"/>
      <c r="AB549" s="1057">
        <v>20</v>
      </c>
      <c r="AC549" s="1056">
        <v>21</v>
      </c>
      <c r="AD549" s="1055">
        <v>3.12</v>
      </c>
      <c r="AE549" s="1137">
        <f t="shared" si="236"/>
        <v>0</v>
      </c>
      <c r="AF549" s="1136">
        <v>7.63</v>
      </c>
      <c r="AG549" s="1052">
        <f t="shared" si="237"/>
        <v>2.4455128205128203</v>
      </c>
      <c r="AH549" s="1049"/>
      <c r="AI549" s="1136"/>
      <c r="AJ549" s="1049"/>
      <c r="AK549" s="1050">
        <f t="shared" si="238"/>
        <v>-2.4960000000000004</v>
      </c>
      <c r="AL549" s="1058"/>
      <c r="AM549" s="1058"/>
      <c r="AN549" s="1057">
        <v>20</v>
      </c>
      <c r="AO549" s="1056">
        <v>21</v>
      </c>
      <c r="AP549" s="1055">
        <v>0.69</v>
      </c>
      <c r="AQ549" s="1745">
        <f t="shared" si="239"/>
        <v>0</v>
      </c>
      <c r="AR549" s="1737">
        <v>1.61</v>
      </c>
      <c r="AS549" s="1052">
        <f t="shared" si="240"/>
        <v>2.3333333333333335</v>
      </c>
      <c r="AT549" s="1049"/>
      <c r="AU549" s="1136"/>
      <c r="AV549" s="1049"/>
      <c r="AW549" s="1058"/>
      <c r="AX549" s="1057">
        <v>20</v>
      </c>
      <c r="AY549" s="1056">
        <v>21</v>
      </c>
      <c r="AZ549" s="1055">
        <v>0.34</v>
      </c>
      <c r="BA549" s="1736">
        <v>0.56000000000000005</v>
      </c>
      <c r="BB549" s="1737">
        <f t="shared" si="241"/>
        <v>1.6470588235294119</v>
      </c>
      <c r="BC549" s="1049"/>
      <c r="BD549" s="1136"/>
      <c r="BE549" s="1049"/>
      <c r="BF549" s="1058"/>
      <c r="BG549" s="1057">
        <v>20</v>
      </c>
      <c r="BH549" s="1056">
        <v>21</v>
      </c>
      <c r="BI549" s="1874">
        <v>0.34</v>
      </c>
      <c r="BJ549" s="1736"/>
      <c r="BK549" s="1049"/>
      <c r="BL549" s="1058"/>
      <c r="BM549" s="1057">
        <v>20</v>
      </c>
      <c r="BN549" s="1056">
        <v>21</v>
      </c>
      <c r="BO549" s="1055"/>
      <c r="BP549" s="1055"/>
      <c r="BQ549" s="1049"/>
    </row>
    <row r="550" spans="1:69" ht="14.4">
      <c r="A550" s="1049"/>
      <c r="B550" s="1060"/>
      <c r="C550" s="1057">
        <v>21</v>
      </c>
      <c r="D550" s="1056">
        <v>22</v>
      </c>
      <c r="E550" s="1063">
        <v>0.4</v>
      </c>
      <c r="F550" s="1062">
        <v>1.1599999999999999</v>
      </c>
      <c r="G550" s="1061">
        <f t="shared" si="231"/>
        <v>2.8999999999999995</v>
      </c>
      <c r="H550" s="1049"/>
      <c r="I550" s="1060"/>
      <c r="J550" s="1057">
        <v>21</v>
      </c>
      <c r="K550" s="1056">
        <v>22</v>
      </c>
      <c r="L550" s="1055">
        <v>1.506</v>
      </c>
      <c r="M550" s="1059">
        <v>6.47</v>
      </c>
      <c r="N550" s="1052">
        <f t="shared" si="232"/>
        <v>4.2961487383798138</v>
      </c>
      <c r="O550" s="1049"/>
      <c r="P550" s="1058"/>
      <c r="Q550" s="1057">
        <v>21</v>
      </c>
      <c r="R550" s="1056">
        <v>22</v>
      </c>
      <c r="S550" s="1055">
        <v>2.61</v>
      </c>
      <c r="T550" s="1054">
        <f t="shared" si="233"/>
        <v>4.8023999999999996</v>
      </c>
      <c r="U550" s="1064">
        <v>7.52</v>
      </c>
      <c r="V550" s="1052">
        <f t="shared" si="234"/>
        <v>2.8812260536398466</v>
      </c>
      <c r="W550" s="1049"/>
      <c r="X550" s="1051">
        <v>1.84</v>
      </c>
      <c r="Y550" s="1049"/>
      <c r="Z550" s="1050">
        <f t="shared" si="235"/>
        <v>2.7143999999999999</v>
      </c>
      <c r="AA550" s="1058"/>
      <c r="AB550" s="1057">
        <v>21</v>
      </c>
      <c r="AC550" s="1056">
        <v>22</v>
      </c>
      <c r="AD550" s="1055">
        <v>3.08</v>
      </c>
      <c r="AE550" s="1137">
        <f t="shared" si="236"/>
        <v>0</v>
      </c>
      <c r="AF550" s="1136">
        <v>7.3</v>
      </c>
      <c r="AG550" s="1052">
        <f t="shared" si="237"/>
        <v>2.3701298701298699</v>
      </c>
      <c r="AH550" s="1049"/>
      <c r="AI550" s="1136"/>
      <c r="AJ550" s="1049"/>
      <c r="AK550" s="1050">
        <f t="shared" si="238"/>
        <v>-2.4640000000000004</v>
      </c>
      <c r="AL550" s="1058"/>
      <c r="AM550" s="1058"/>
      <c r="AN550" s="1057">
        <v>21</v>
      </c>
      <c r="AO550" s="1056">
        <v>22</v>
      </c>
      <c r="AP550" s="1055">
        <v>0.36</v>
      </c>
      <c r="AQ550" s="1745">
        <f t="shared" si="239"/>
        <v>0</v>
      </c>
      <c r="AR550" s="1737">
        <v>0.81</v>
      </c>
      <c r="AS550" s="1052">
        <f t="shared" si="240"/>
        <v>2.2500000000000004</v>
      </c>
      <c r="AT550" s="1049"/>
      <c r="AU550" s="1136"/>
      <c r="AV550" s="1049"/>
      <c r="AW550" s="1058"/>
      <c r="AX550" s="1057">
        <v>21</v>
      </c>
      <c r="AY550" s="1056">
        <v>22</v>
      </c>
      <c r="AZ550" s="1055">
        <v>0.28999999999999998</v>
      </c>
      <c r="BA550" s="1736">
        <v>0.48</v>
      </c>
      <c r="BB550" s="1737">
        <f t="shared" si="241"/>
        <v>1.6551724137931034</v>
      </c>
      <c r="BC550" s="1049"/>
      <c r="BD550" s="1136"/>
      <c r="BE550" s="1049"/>
      <c r="BF550" s="1058"/>
      <c r="BG550" s="1057">
        <v>21</v>
      </c>
      <c r="BH550" s="1056">
        <v>22</v>
      </c>
      <c r="BI550" s="1874">
        <v>0.3</v>
      </c>
      <c r="BJ550" s="1736"/>
      <c r="BK550" s="1049"/>
      <c r="BL550" s="1058"/>
      <c r="BM550" s="1057">
        <v>21</v>
      </c>
      <c r="BN550" s="1056">
        <v>22</v>
      </c>
      <c r="BO550" s="1055"/>
      <c r="BP550" s="1055"/>
      <c r="BQ550" s="1049"/>
    </row>
    <row r="551" spans="1:69" ht="14.4">
      <c r="A551" s="1049"/>
      <c r="B551" s="1060"/>
      <c r="C551" s="1057">
        <v>22</v>
      </c>
      <c r="D551" s="1056">
        <v>23</v>
      </c>
      <c r="E551" s="1063">
        <v>0.68</v>
      </c>
      <c r="F551" s="1062">
        <v>1.9</v>
      </c>
      <c r="G551" s="1061">
        <f t="shared" si="231"/>
        <v>2.7941176470588234</v>
      </c>
      <c r="H551" s="1049"/>
      <c r="I551" s="1060"/>
      <c r="J551" s="1057">
        <v>22</v>
      </c>
      <c r="K551" s="1056">
        <v>23</v>
      </c>
      <c r="L551" s="1055">
        <v>1.5649999999999999</v>
      </c>
      <c r="M551" s="1059">
        <v>5.24</v>
      </c>
      <c r="N551" s="1052">
        <f t="shared" si="232"/>
        <v>3.3482428115015979</v>
      </c>
      <c r="O551" s="1049"/>
      <c r="P551" s="1058"/>
      <c r="Q551" s="1057">
        <v>22</v>
      </c>
      <c r="R551" s="1056">
        <v>23</v>
      </c>
      <c r="S551" s="1055">
        <v>2.13</v>
      </c>
      <c r="T551" s="1054">
        <f t="shared" si="233"/>
        <v>3.6635999999999997</v>
      </c>
      <c r="U551" s="1064">
        <v>5.89</v>
      </c>
      <c r="V551" s="1052">
        <f t="shared" si="234"/>
        <v>2.7652582159624415</v>
      </c>
      <c r="W551" s="1049"/>
      <c r="X551" s="1051">
        <v>1.72</v>
      </c>
      <c r="Y551" s="1049"/>
      <c r="Z551" s="1050">
        <f t="shared" si="235"/>
        <v>1.9595999999999998</v>
      </c>
      <c r="AA551" s="1058"/>
      <c r="AB551" s="1057">
        <v>22</v>
      </c>
      <c r="AC551" s="1056">
        <v>23</v>
      </c>
      <c r="AD551" s="1055">
        <v>3.0139999999999998</v>
      </c>
      <c r="AE551" s="1137">
        <f t="shared" si="236"/>
        <v>0</v>
      </c>
      <c r="AF551" s="1136">
        <v>6.89</v>
      </c>
      <c r="AG551" s="1052">
        <f t="shared" si="237"/>
        <v>2.2859986728599866</v>
      </c>
      <c r="AH551" s="1049"/>
      <c r="AI551" s="1136"/>
      <c r="AJ551" s="1049"/>
      <c r="AK551" s="1050">
        <f t="shared" si="238"/>
        <v>-2.4112</v>
      </c>
      <c r="AL551" s="1058"/>
      <c r="AM551" s="1058"/>
      <c r="AN551" s="1057">
        <v>22</v>
      </c>
      <c r="AO551" s="1056">
        <v>23</v>
      </c>
      <c r="AP551" s="1055">
        <v>0.19</v>
      </c>
      <c r="AQ551" s="1745">
        <f t="shared" si="239"/>
        <v>0</v>
      </c>
      <c r="AR551" s="1737">
        <v>0.41</v>
      </c>
      <c r="AS551" s="1052">
        <f t="shared" si="240"/>
        <v>2.1578947368421053</v>
      </c>
      <c r="AT551" s="1049"/>
      <c r="AU551" s="1136"/>
      <c r="AV551" s="1049"/>
      <c r="AW551" s="1058"/>
      <c r="AX551" s="1057">
        <v>22</v>
      </c>
      <c r="AY551" s="1056">
        <v>23</v>
      </c>
      <c r="AZ551" s="1055">
        <v>0.27</v>
      </c>
      <c r="BA551" s="1736">
        <v>0.45</v>
      </c>
      <c r="BB551" s="1737">
        <f t="shared" si="241"/>
        <v>1.6666666666666665</v>
      </c>
      <c r="BC551" s="1049"/>
      <c r="BD551" s="1136"/>
      <c r="BE551" s="1049"/>
      <c r="BF551" s="1058"/>
      <c r="BG551" s="1057">
        <v>22</v>
      </c>
      <c r="BH551" s="1056">
        <v>23</v>
      </c>
      <c r="BI551" s="1874">
        <v>0.21</v>
      </c>
      <c r="BJ551" s="1736"/>
      <c r="BK551" s="1049"/>
      <c r="BL551" s="1058"/>
      <c r="BM551" s="1057">
        <v>22</v>
      </c>
      <c r="BN551" s="1056">
        <v>23</v>
      </c>
      <c r="BO551" s="1055"/>
      <c r="BP551" s="1055"/>
      <c r="BQ551" s="1049"/>
    </row>
    <row r="552" spans="1:69" ht="14.4">
      <c r="A552" s="1049"/>
      <c r="B552" s="1060"/>
      <c r="C552" s="1057">
        <v>23</v>
      </c>
      <c r="D552" s="1056">
        <v>24</v>
      </c>
      <c r="E552" s="1063">
        <v>0.57999999999999996</v>
      </c>
      <c r="F552" s="1062">
        <v>1.61</v>
      </c>
      <c r="G552" s="1061">
        <f t="shared" si="231"/>
        <v>2.7758620689655178</v>
      </c>
      <c r="H552" s="1049"/>
      <c r="I552" s="1060"/>
      <c r="J552" s="1057">
        <v>23</v>
      </c>
      <c r="K552" s="1056">
        <v>24</v>
      </c>
      <c r="L552" s="1055">
        <v>1.617</v>
      </c>
      <c r="M552" s="1059">
        <v>5.07</v>
      </c>
      <c r="N552" s="1052">
        <f t="shared" si="232"/>
        <v>3.13543599257885</v>
      </c>
      <c r="O552" s="1049"/>
      <c r="P552" s="1058"/>
      <c r="Q552" s="1057">
        <v>23</v>
      </c>
      <c r="R552" s="1056">
        <v>24</v>
      </c>
      <c r="S552" s="1055">
        <v>2.33</v>
      </c>
      <c r="T552" s="1054">
        <f t="shared" si="233"/>
        <v>3.8211999999999997</v>
      </c>
      <c r="U552" s="1053">
        <v>6.25</v>
      </c>
      <c r="V552" s="1052">
        <f t="shared" si="234"/>
        <v>2.6824034334763946</v>
      </c>
      <c r="W552" s="1049"/>
      <c r="X552" s="1051">
        <v>1.64</v>
      </c>
      <c r="Y552" s="1049"/>
      <c r="Z552" s="1050">
        <f t="shared" si="235"/>
        <v>1.9571999999999998</v>
      </c>
      <c r="AA552" s="1058"/>
      <c r="AB552" s="1057">
        <v>23</v>
      </c>
      <c r="AC552" s="1056">
        <v>24</v>
      </c>
      <c r="AD552" s="1055">
        <v>2.9710000000000001</v>
      </c>
      <c r="AE552" s="1137">
        <f t="shared" si="236"/>
        <v>0</v>
      </c>
      <c r="AF552" s="1136">
        <v>6.54</v>
      </c>
      <c r="AG552" s="1052">
        <f t="shared" si="237"/>
        <v>2.2012790306294177</v>
      </c>
      <c r="AH552" s="1049"/>
      <c r="AI552" s="1136"/>
      <c r="AJ552" s="1049"/>
      <c r="AK552" s="1050">
        <f t="shared" si="238"/>
        <v>-2.3768000000000002</v>
      </c>
      <c r="AL552" s="1058"/>
      <c r="AM552" s="1058"/>
      <c r="AN552" s="1057">
        <v>23</v>
      </c>
      <c r="AO552" s="1056">
        <v>24</v>
      </c>
      <c r="AP552" s="1055">
        <v>0.23</v>
      </c>
      <c r="AQ552" s="1745">
        <f t="shared" si="239"/>
        <v>0</v>
      </c>
      <c r="AR552" s="1737">
        <v>0.48</v>
      </c>
      <c r="AS552" s="1052">
        <f t="shared" si="240"/>
        <v>2.0869565217391304</v>
      </c>
      <c r="AT552" s="1049"/>
      <c r="AU552" s="1136"/>
      <c r="AV552" s="1049"/>
      <c r="AW552" s="1058"/>
      <c r="AX552" s="1057">
        <v>23</v>
      </c>
      <c r="AY552" s="1056">
        <v>24</v>
      </c>
      <c r="AZ552" s="1055">
        <v>0.26</v>
      </c>
      <c r="BA552" s="1736">
        <v>0.42</v>
      </c>
      <c r="BB552" s="1737">
        <f t="shared" si="241"/>
        <v>1.6153846153846152</v>
      </c>
      <c r="BC552" s="1049"/>
      <c r="BD552" s="1136"/>
      <c r="BE552" s="1049"/>
      <c r="BF552" s="1058"/>
      <c r="BG552" s="1057">
        <v>23</v>
      </c>
      <c r="BH552" s="1056">
        <v>24</v>
      </c>
      <c r="BI552" s="1874">
        <v>0.19</v>
      </c>
      <c r="BJ552" s="1736"/>
      <c r="BK552" s="1049"/>
      <c r="BL552" s="1058"/>
      <c r="BM552" s="1057">
        <v>23</v>
      </c>
      <c r="BN552" s="1056">
        <v>24</v>
      </c>
      <c r="BO552" s="1055"/>
      <c r="BP552" s="1055"/>
      <c r="BQ552" s="1049"/>
    </row>
    <row r="553" spans="1:69" ht="14.4">
      <c r="A553" s="1036"/>
      <c r="B553" s="1044"/>
      <c r="C553" s="1135"/>
      <c r="D553" s="1135"/>
      <c r="E553" s="1134"/>
      <c r="F553" s="1133"/>
      <c r="G553" s="1132"/>
      <c r="H553" s="1044"/>
      <c r="I553" s="1044" t="s">
        <v>1131</v>
      </c>
      <c r="J553" s="1046"/>
      <c r="K553" s="1046"/>
      <c r="L553" s="1129">
        <f>AVERAGE(L554:L577)</f>
        <v>1.257125</v>
      </c>
      <c r="M553" s="1131">
        <f>AVERAGE(M554:M577)</f>
        <v>4.0304166666666665</v>
      </c>
      <c r="N553" s="1039">
        <f>AVERAGE(N554:N577)</f>
        <v>3.1451465201016515</v>
      </c>
      <c r="O553" s="1044"/>
      <c r="P553" s="1130" t="s">
        <v>1130</v>
      </c>
      <c r="Q553" s="1046"/>
      <c r="R553" s="1046"/>
      <c r="S553" s="1129">
        <f>AVERAGE(S554:S577)</f>
        <v>2.5770000000000004</v>
      </c>
      <c r="T553" s="1128">
        <f>SUM(T554:T577)</f>
        <v>118.62384000000002</v>
      </c>
      <c r="U553" s="1040">
        <f>AVERAGE(U554:U577)</f>
        <v>7.6325000000000012</v>
      </c>
      <c r="V553" s="1039">
        <f>AVERAGE(V554:V577)</f>
        <v>2.9039885704610797</v>
      </c>
      <c r="W553" s="1036"/>
      <c r="X553" s="1038">
        <f>AVERAGE(X562:X577)</f>
        <v>2.0100000000000007</v>
      </c>
      <c r="Y553" s="1036"/>
      <c r="Z553" s="1127">
        <f>SUM(Z554:Z577)</f>
        <v>69.145440000000008</v>
      </c>
      <c r="AA553" s="1130"/>
      <c r="AB553" s="1046"/>
      <c r="AC553" s="1046"/>
      <c r="AD553" s="1129">
        <f>AVERAGE(AD554:AD577)</f>
        <v>2.6983333333333337</v>
      </c>
      <c r="AE553" s="1128">
        <f>SUM(AE554:AE577)</f>
        <v>0</v>
      </c>
      <c r="AF553" s="1040">
        <f>AVERAGE(AF554:AF577)</f>
        <v>7.615000000000002</v>
      </c>
      <c r="AG553" s="1039">
        <f>AVERAGE(AG554:AG577)</f>
        <v>2.8026206194403147</v>
      </c>
      <c r="AH553" s="1036"/>
      <c r="AI553" s="1038" t="e">
        <f>AVERAGE(AI562:AI577)</f>
        <v>#DIV/0!</v>
      </c>
      <c r="AJ553" s="1036"/>
      <c r="AK553" s="1127">
        <f>SUM(AK554:AK577)</f>
        <v>-51.808</v>
      </c>
      <c r="AL553" s="1130"/>
      <c r="AM553" s="1130"/>
      <c r="AN553" s="1046"/>
      <c r="AO553" s="1046"/>
      <c r="AP553" s="1129">
        <f>AVERAGE(AP554:AP577)</f>
        <v>0.31624999999999998</v>
      </c>
      <c r="AQ553" s="1734">
        <f>SUM(AQ554:AQ577)</f>
        <v>0</v>
      </c>
      <c r="AR553" s="1735">
        <f>AVERAGE(AR554:AR577)</f>
        <v>0.67499999999999993</v>
      </c>
      <c r="AS553" s="1039">
        <f>AVERAGE(AS554:AS577)</f>
        <v>2.0907322115989238</v>
      </c>
      <c r="AT553" s="1036"/>
      <c r="AU553" s="1038" t="e">
        <f>AVERAGE(AU562:AU577)</f>
        <v>#DIV/0!</v>
      </c>
      <c r="AV553" s="1036"/>
      <c r="AW553" s="1130"/>
      <c r="AX553" s="1046"/>
      <c r="AY553" s="1046"/>
      <c r="AZ553" s="1129">
        <f>AVERAGE(AZ554:AZ577)</f>
        <v>0.35291666666666671</v>
      </c>
      <c r="BA553" s="1045">
        <f>AVERAGE(BA554:BA577)</f>
        <v>0.55500000000000005</v>
      </c>
      <c r="BB553" s="1039">
        <f>AVERAGE(BB554:BB577)</f>
        <v>1.53771631248444</v>
      </c>
      <c r="BC553" s="1036"/>
      <c r="BD553" s="1038" t="e">
        <f>AVERAGE(BD562:BD577)</f>
        <v>#DIV/0!</v>
      </c>
      <c r="BE553" s="1036"/>
      <c r="BF553" s="1130"/>
      <c r="BG553" s="2756">
        <f>BF554</f>
        <v>45039</v>
      </c>
      <c r="BH553" s="2756"/>
      <c r="BI553" s="1897">
        <f>SUM(BI554:BI577)</f>
        <v>6.9300000000000006</v>
      </c>
      <c r="BJ553" s="1898">
        <f>SUM(BJ554:BJ577)</f>
        <v>0</v>
      </c>
      <c r="BK553" s="1036"/>
      <c r="BL553" s="1130"/>
      <c r="BM553" s="1046"/>
      <c r="BN553" s="1046"/>
      <c r="BO553" s="1129" t="e">
        <f>AVERAGE(BO554:BO577)</f>
        <v>#DIV/0!</v>
      </c>
      <c r="BP553" s="1129" t="e">
        <f>AVERAGE(BP554:BP577)</f>
        <v>#DIV/0!</v>
      </c>
      <c r="BQ553" s="1036"/>
    </row>
    <row r="554" spans="1:69" ht="14.4">
      <c r="A554" s="1049"/>
      <c r="B554" s="1126" t="s">
        <v>1141</v>
      </c>
      <c r="C554" s="1057">
        <v>0</v>
      </c>
      <c r="D554" s="1056">
        <v>1</v>
      </c>
      <c r="E554" s="1063">
        <v>0.23</v>
      </c>
      <c r="F554" s="1062">
        <v>0.59</v>
      </c>
      <c r="G554" s="1061">
        <f t="shared" ref="G554:G577" si="242">F554/E554</f>
        <v>2.5652173913043477</v>
      </c>
      <c r="H554" s="1049"/>
      <c r="I554" s="1126">
        <v>44888</v>
      </c>
      <c r="J554" s="1057">
        <v>0</v>
      </c>
      <c r="K554" s="1056">
        <v>1</v>
      </c>
      <c r="L554" s="1055">
        <v>0.77500000000000002</v>
      </c>
      <c r="M554" s="1059">
        <v>2.21</v>
      </c>
      <c r="N554" s="1052">
        <f t="shared" ref="N554:N577" si="243">M554/L554</f>
        <v>2.8516129032258064</v>
      </c>
      <c r="O554" s="1049"/>
      <c r="P554" s="1125">
        <v>44918</v>
      </c>
      <c r="Q554" s="1057">
        <v>0</v>
      </c>
      <c r="R554" s="1056">
        <v>1</v>
      </c>
      <c r="S554" s="1055">
        <v>1.4339999999999999</v>
      </c>
      <c r="T554" s="1054">
        <f t="shared" ref="T554:T577" si="244">S554*X554</f>
        <v>2.16534</v>
      </c>
      <c r="U554" s="1064">
        <v>3.67</v>
      </c>
      <c r="V554" s="1052">
        <f t="shared" ref="V554:V577" si="245">U554/S554</f>
        <v>2.5592747559274756</v>
      </c>
      <c r="W554" s="1049"/>
      <c r="X554" s="1051">
        <v>1.51</v>
      </c>
      <c r="Y554" s="1049"/>
      <c r="Z554" s="1050">
        <f t="shared" ref="Z554:Z577" si="246">S554*(X554-0.8)</f>
        <v>1.0181399999999998</v>
      </c>
      <c r="AA554" s="1125">
        <v>44949</v>
      </c>
      <c r="AB554" s="1057">
        <v>0</v>
      </c>
      <c r="AC554" s="1056">
        <v>1</v>
      </c>
      <c r="AD554" s="1055">
        <v>2.0449999999999999</v>
      </c>
      <c r="AE554" s="1137">
        <f t="shared" ref="AE554:AE577" si="247">AD554*AI554</f>
        <v>0</v>
      </c>
      <c r="AF554" s="1136">
        <v>4.51</v>
      </c>
      <c r="AG554" s="1052">
        <f t="shared" ref="AG554:AG577" si="248">AF554/AD554</f>
        <v>2.2053789731051343</v>
      </c>
      <c r="AH554" s="1049"/>
      <c r="AI554" s="1136"/>
      <c r="AJ554" s="1049"/>
      <c r="AK554" s="1050">
        <f t="shared" ref="AK554:AK577" si="249">AD554*(AI554-0.8)</f>
        <v>-1.6360000000000001</v>
      </c>
      <c r="AL554" s="1125"/>
      <c r="AM554" s="1125">
        <v>44980</v>
      </c>
      <c r="AN554" s="1057">
        <v>0</v>
      </c>
      <c r="AO554" s="1056">
        <v>1</v>
      </c>
      <c r="AP554" s="1055">
        <v>0.2</v>
      </c>
      <c r="AQ554" s="1745">
        <f t="shared" ref="AQ554:AQ577" si="250">AP554*AU554</f>
        <v>0</v>
      </c>
      <c r="AR554" s="1737">
        <v>0.42</v>
      </c>
      <c r="AS554" s="1052">
        <f t="shared" ref="AS554:AS577" si="251">AR554/AP554</f>
        <v>2.0999999999999996</v>
      </c>
      <c r="AT554" s="1049"/>
      <c r="AU554" s="1136"/>
      <c r="AV554" s="1049"/>
      <c r="AW554" s="1125">
        <v>45008</v>
      </c>
      <c r="AX554" s="1057">
        <v>0</v>
      </c>
      <c r="AY554" s="1056">
        <v>1</v>
      </c>
      <c r="AZ554" s="1055">
        <v>0.21</v>
      </c>
      <c r="BA554" s="1736">
        <v>0.31</v>
      </c>
      <c r="BB554" s="1737">
        <f t="shared" ref="BB554:BB577" si="252">BA554/AZ554</f>
        <v>1.4761904761904763</v>
      </c>
      <c r="BC554" s="1049"/>
      <c r="BD554" s="1136"/>
      <c r="BE554" s="1049"/>
      <c r="BF554" s="1125">
        <v>45039</v>
      </c>
      <c r="BG554" s="1057">
        <v>0</v>
      </c>
      <c r="BH554" s="1056">
        <v>1</v>
      </c>
      <c r="BI554" s="1874">
        <v>0.21</v>
      </c>
      <c r="BJ554" s="1736"/>
      <c r="BK554" s="1049"/>
      <c r="BL554" s="1125">
        <v>45039</v>
      </c>
      <c r="BM554" s="1057">
        <v>0</v>
      </c>
      <c r="BN554" s="1056">
        <v>1</v>
      </c>
      <c r="BO554" s="1055"/>
      <c r="BP554" s="1055"/>
      <c r="BQ554" s="1049"/>
    </row>
    <row r="555" spans="1:69" ht="14.4">
      <c r="A555" s="1049"/>
      <c r="B555" s="1124"/>
      <c r="C555" s="1057">
        <v>1</v>
      </c>
      <c r="D555" s="1056">
        <v>2</v>
      </c>
      <c r="E555" s="1063">
        <v>0.22</v>
      </c>
      <c r="F555" s="1062">
        <v>0.53</v>
      </c>
      <c r="G555" s="1061">
        <f t="shared" si="242"/>
        <v>2.4090909090909092</v>
      </c>
      <c r="H555" s="1049"/>
      <c r="I555" s="1124"/>
      <c r="J555" s="1057">
        <v>1</v>
      </c>
      <c r="K555" s="1056">
        <v>2</v>
      </c>
      <c r="L555" s="1055">
        <v>0.82799999999999996</v>
      </c>
      <c r="M555" s="1059">
        <v>2.33</v>
      </c>
      <c r="N555" s="1052">
        <f t="shared" si="243"/>
        <v>2.8140096618357489</v>
      </c>
      <c r="O555" s="1049"/>
      <c r="P555" s="1123"/>
      <c r="Q555" s="1057">
        <v>1</v>
      </c>
      <c r="R555" s="1056">
        <v>2</v>
      </c>
      <c r="S555" s="1055">
        <v>1.157</v>
      </c>
      <c r="T555" s="1054">
        <f t="shared" si="244"/>
        <v>1.7470700000000001</v>
      </c>
      <c r="U555" s="1064">
        <v>2.96</v>
      </c>
      <c r="V555" s="1052">
        <f t="shared" si="245"/>
        <v>2.5583405358686258</v>
      </c>
      <c r="W555" s="1049"/>
      <c r="X555" s="1051">
        <v>1.51</v>
      </c>
      <c r="Y555" s="1049"/>
      <c r="Z555" s="1050">
        <f t="shared" si="246"/>
        <v>0.82147000000000003</v>
      </c>
      <c r="AA555" s="1123"/>
      <c r="AB555" s="1057">
        <v>1</v>
      </c>
      <c r="AC555" s="1056">
        <v>2</v>
      </c>
      <c r="AD555" s="1055">
        <v>2.4609999999999999</v>
      </c>
      <c r="AE555" s="1137">
        <f t="shared" si="247"/>
        <v>0</v>
      </c>
      <c r="AF555" s="1136">
        <v>5.43</v>
      </c>
      <c r="AG555" s="1052">
        <f t="shared" si="248"/>
        <v>2.2064201544087769</v>
      </c>
      <c r="AH555" s="1049"/>
      <c r="AI555" s="1136"/>
      <c r="AJ555" s="1049"/>
      <c r="AK555" s="1050">
        <f t="shared" si="249"/>
        <v>-1.9687999999999999</v>
      </c>
      <c r="AL555" s="1123"/>
      <c r="AM555" s="1123"/>
      <c r="AN555" s="1057">
        <v>1</v>
      </c>
      <c r="AO555" s="1056">
        <v>2</v>
      </c>
      <c r="AP555" s="1055">
        <v>0.12</v>
      </c>
      <c r="AQ555" s="1745">
        <f t="shared" si="250"/>
        <v>0</v>
      </c>
      <c r="AR555" s="1737">
        <v>0.25</v>
      </c>
      <c r="AS555" s="1052">
        <f t="shared" si="251"/>
        <v>2.0833333333333335</v>
      </c>
      <c r="AT555" s="1049"/>
      <c r="AU555" s="1136"/>
      <c r="AV555" s="1049"/>
      <c r="AW555" s="1123"/>
      <c r="AX555" s="1057">
        <v>1</v>
      </c>
      <c r="AY555" s="1056">
        <v>2</v>
      </c>
      <c r="AZ555" s="1055">
        <v>0.24</v>
      </c>
      <c r="BA555" s="1736">
        <v>0.34</v>
      </c>
      <c r="BB555" s="1737">
        <f t="shared" si="252"/>
        <v>1.4166666666666667</v>
      </c>
      <c r="BC555" s="1049"/>
      <c r="BD555" s="1136"/>
      <c r="BE555" s="1049"/>
      <c r="BF555" s="1123"/>
      <c r="BG555" s="1057">
        <v>1</v>
      </c>
      <c r="BH555" s="1056">
        <v>2</v>
      </c>
      <c r="BI555" s="1874">
        <v>0.2</v>
      </c>
      <c r="BJ555" s="1736"/>
      <c r="BK555" s="1049"/>
      <c r="BL555" s="1123"/>
      <c r="BM555" s="1057">
        <v>1</v>
      </c>
      <c r="BN555" s="1056">
        <v>2</v>
      </c>
      <c r="BO555" s="1055"/>
      <c r="BP555" s="1055"/>
      <c r="BQ555" s="1049"/>
    </row>
    <row r="556" spans="1:69" ht="14.4">
      <c r="A556" s="1049"/>
      <c r="B556" s="1122">
        <f>SUM(E554:E577)</f>
        <v>13.090000000000002</v>
      </c>
      <c r="C556" s="1057">
        <v>2</v>
      </c>
      <c r="D556" s="1056">
        <v>3</v>
      </c>
      <c r="E556" s="1063">
        <v>0.19</v>
      </c>
      <c r="F556" s="1062">
        <v>0.46</v>
      </c>
      <c r="G556" s="1061">
        <f t="shared" si="242"/>
        <v>2.4210526315789473</v>
      </c>
      <c r="H556" s="1049"/>
      <c r="I556" s="1122">
        <f>SUM(L554:L577)</f>
        <v>30.170999999999999</v>
      </c>
      <c r="J556" s="1057">
        <v>2</v>
      </c>
      <c r="K556" s="1056">
        <v>3</v>
      </c>
      <c r="L556" s="1055">
        <v>0.81</v>
      </c>
      <c r="M556" s="1059">
        <v>2.25</v>
      </c>
      <c r="N556" s="1052">
        <f t="shared" si="243"/>
        <v>2.7777777777777777</v>
      </c>
      <c r="O556" s="1049"/>
      <c r="P556" s="1121">
        <f>SUM(S554:S577)</f>
        <v>61.848000000000006</v>
      </c>
      <c r="Q556" s="1057">
        <v>2</v>
      </c>
      <c r="R556" s="1056">
        <v>3</v>
      </c>
      <c r="S556" s="1055">
        <v>1.099</v>
      </c>
      <c r="T556" s="1054">
        <f t="shared" si="244"/>
        <v>1.63751</v>
      </c>
      <c r="U556" s="1064">
        <v>2.79</v>
      </c>
      <c r="V556" s="1052">
        <f t="shared" si="245"/>
        <v>2.5386715195632394</v>
      </c>
      <c r="W556" s="1049"/>
      <c r="X556" s="1051">
        <v>1.49</v>
      </c>
      <c r="Y556" s="1049"/>
      <c r="Z556" s="1050">
        <f t="shared" si="246"/>
        <v>0.75830999999999993</v>
      </c>
      <c r="AA556" s="1121">
        <f>SUM(AD554:AD577)</f>
        <v>64.760000000000005</v>
      </c>
      <c r="AB556" s="1057">
        <v>2</v>
      </c>
      <c r="AC556" s="1056">
        <v>3</v>
      </c>
      <c r="AD556" s="1055">
        <v>2.0089999999999999</v>
      </c>
      <c r="AE556" s="1137">
        <f t="shared" si="247"/>
        <v>0</v>
      </c>
      <c r="AF556" s="1136">
        <v>4.42</v>
      </c>
      <c r="AG556" s="1052">
        <f t="shared" si="248"/>
        <v>2.2000995520159283</v>
      </c>
      <c r="AH556" s="1049"/>
      <c r="AI556" s="1136"/>
      <c r="AJ556" s="1049"/>
      <c r="AK556" s="1050">
        <f t="shared" si="249"/>
        <v>-1.6072</v>
      </c>
      <c r="AL556" s="1121"/>
      <c r="AM556" s="1121">
        <f>SUM(AP554:AP577)</f>
        <v>7.59</v>
      </c>
      <c r="AN556" s="1057">
        <v>2</v>
      </c>
      <c r="AO556" s="1056">
        <v>3</v>
      </c>
      <c r="AP556" s="1055">
        <v>0.08</v>
      </c>
      <c r="AQ556" s="1745">
        <f t="shared" si="250"/>
        <v>0</v>
      </c>
      <c r="AR556" s="1737">
        <v>0.16</v>
      </c>
      <c r="AS556" s="1052">
        <f t="shared" si="251"/>
        <v>2</v>
      </c>
      <c r="AT556" s="1049"/>
      <c r="AU556" s="1136"/>
      <c r="AV556" s="1049"/>
      <c r="AW556" s="1121">
        <f>SUM(AZ554:AZ577)</f>
        <v>8.4700000000000006</v>
      </c>
      <c r="AX556" s="1057">
        <v>2</v>
      </c>
      <c r="AY556" s="1056">
        <v>3</v>
      </c>
      <c r="AZ556" s="1055">
        <v>0.12</v>
      </c>
      <c r="BA556" s="1736">
        <v>0.16</v>
      </c>
      <c r="BB556" s="1737">
        <f t="shared" si="252"/>
        <v>1.3333333333333335</v>
      </c>
      <c r="BC556" s="1049"/>
      <c r="BD556" s="1136"/>
      <c r="BE556" s="1049"/>
      <c r="BF556" s="1121">
        <f>SUM(BI554:BI577)</f>
        <v>6.9300000000000006</v>
      </c>
      <c r="BG556" s="1057">
        <v>2</v>
      </c>
      <c r="BH556" s="1056">
        <v>3</v>
      </c>
      <c r="BI556" s="1874">
        <v>0.2</v>
      </c>
      <c r="BJ556" s="1736"/>
      <c r="BK556" s="1049"/>
      <c r="BL556" s="1121">
        <f>SUM(BO554:BO577)+SUM(BP554:BP577)</f>
        <v>0</v>
      </c>
      <c r="BM556" s="1057">
        <v>2</v>
      </c>
      <c r="BN556" s="1056">
        <v>3</v>
      </c>
      <c r="BO556" s="1055"/>
      <c r="BP556" s="1055"/>
      <c r="BQ556" s="1049"/>
    </row>
    <row r="557" spans="1:69" ht="14.4">
      <c r="A557" s="1049"/>
      <c r="B557" s="1120">
        <f>B556/24</f>
        <v>0.54541666666666677</v>
      </c>
      <c r="C557" s="1057">
        <v>3</v>
      </c>
      <c r="D557" s="1056">
        <v>4</v>
      </c>
      <c r="E557" s="1063">
        <v>0.22</v>
      </c>
      <c r="F557" s="1062">
        <v>0.53</v>
      </c>
      <c r="G557" s="1061">
        <f t="shared" si="242"/>
        <v>2.4090909090909092</v>
      </c>
      <c r="H557" s="1049"/>
      <c r="I557" s="1120">
        <f>I556/24</f>
        <v>1.257125</v>
      </c>
      <c r="J557" s="1057">
        <v>3</v>
      </c>
      <c r="K557" s="1056">
        <v>4</v>
      </c>
      <c r="L557" s="1055">
        <v>0.92800000000000005</v>
      </c>
      <c r="M557" s="1059">
        <v>2.54</v>
      </c>
      <c r="N557" s="1052">
        <f t="shared" si="243"/>
        <v>2.7370689655172411</v>
      </c>
      <c r="O557" s="1049"/>
      <c r="P557" s="1120">
        <f>P556/24</f>
        <v>2.5770000000000004</v>
      </c>
      <c r="Q557" s="1057">
        <v>3</v>
      </c>
      <c r="R557" s="1056">
        <v>4</v>
      </c>
      <c r="S557" s="1055">
        <v>1.3149999999999999</v>
      </c>
      <c r="T557" s="1054">
        <f t="shared" si="244"/>
        <v>1.8541499999999997</v>
      </c>
      <c r="U557" s="1064">
        <v>3.23</v>
      </c>
      <c r="V557" s="1052">
        <f t="shared" si="245"/>
        <v>2.456273764258555</v>
      </c>
      <c r="W557" s="1049"/>
      <c r="X557" s="1051">
        <v>1.41</v>
      </c>
      <c r="Y557" s="1049"/>
      <c r="Z557" s="1050">
        <f t="shared" si="246"/>
        <v>0.80214999999999981</v>
      </c>
      <c r="AA557" s="1120">
        <f>AA556/24</f>
        <v>2.6983333333333337</v>
      </c>
      <c r="AB557" s="1057">
        <v>3</v>
      </c>
      <c r="AC557" s="1056">
        <v>4</v>
      </c>
      <c r="AD557" s="1055">
        <v>2.0670000000000002</v>
      </c>
      <c r="AE557" s="1137">
        <f t="shared" si="247"/>
        <v>0</v>
      </c>
      <c r="AF557" s="1136">
        <v>4.54</v>
      </c>
      <c r="AG557" s="1052">
        <f t="shared" si="248"/>
        <v>2.1964199322689888</v>
      </c>
      <c r="AH557" s="1049"/>
      <c r="AI557" s="1136"/>
      <c r="AJ557" s="1049"/>
      <c r="AK557" s="1050">
        <f t="shared" si="249"/>
        <v>-1.6536000000000002</v>
      </c>
      <c r="AL557" s="1120"/>
      <c r="AM557" s="1120">
        <f>AM556/24</f>
        <v>0.31624999999999998</v>
      </c>
      <c r="AN557" s="1057">
        <v>3</v>
      </c>
      <c r="AO557" s="1056">
        <v>4</v>
      </c>
      <c r="AP557" s="1055">
        <v>0.12</v>
      </c>
      <c r="AQ557" s="1745">
        <f t="shared" si="250"/>
        <v>0</v>
      </c>
      <c r="AR557" s="1737">
        <v>0.24</v>
      </c>
      <c r="AS557" s="1052">
        <f t="shared" si="251"/>
        <v>2</v>
      </c>
      <c r="AT557" s="1049"/>
      <c r="AU557" s="1136"/>
      <c r="AV557" s="1049"/>
      <c r="AW557" s="1120">
        <f>AW556/24</f>
        <v>0.35291666666666671</v>
      </c>
      <c r="AX557" s="1057">
        <v>3</v>
      </c>
      <c r="AY557" s="1056">
        <v>4</v>
      </c>
      <c r="AZ557" s="1055">
        <v>0.1</v>
      </c>
      <c r="BA557" s="1736">
        <v>0.13</v>
      </c>
      <c r="BB557" s="1737">
        <f t="shared" si="252"/>
        <v>1.3</v>
      </c>
      <c r="BC557" s="1049"/>
      <c r="BD557" s="1136"/>
      <c r="BE557" s="1049"/>
      <c r="BF557" s="1120">
        <f>BF556/24</f>
        <v>0.28875000000000001</v>
      </c>
      <c r="BG557" s="1057">
        <v>3</v>
      </c>
      <c r="BH557" s="1056">
        <v>4</v>
      </c>
      <c r="BI557" s="1874">
        <v>0.16</v>
      </c>
      <c r="BJ557" s="1736"/>
      <c r="BK557" s="1049"/>
      <c r="BL557" s="1120">
        <f>BL556/24</f>
        <v>0</v>
      </c>
      <c r="BM557" s="1057">
        <v>3</v>
      </c>
      <c r="BN557" s="1056">
        <v>4</v>
      </c>
      <c r="BO557" s="1055"/>
      <c r="BP557" s="1055"/>
      <c r="BQ557" s="1049"/>
    </row>
    <row r="558" spans="1:69" ht="14.4">
      <c r="A558" s="1049"/>
      <c r="B558" s="1119"/>
      <c r="C558" s="1057">
        <v>4</v>
      </c>
      <c r="D558" s="1056">
        <v>5</v>
      </c>
      <c r="E558" s="1063">
        <v>0.3</v>
      </c>
      <c r="F558" s="1062">
        <v>0.72</v>
      </c>
      <c r="G558" s="1061">
        <f t="shared" si="242"/>
        <v>2.4</v>
      </c>
      <c r="H558" s="1049"/>
      <c r="I558" s="1119"/>
      <c r="J558" s="1057">
        <v>4</v>
      </c>
      <c r="K558" s="1056">
        <v>5</v>
      </c>
      <c r="L558" s="1055">
        <v>0.88300000000000001</v>
      </c>
      <c r="M558" s="1059">
        <v>2.4</v>
      </c>
      <c r="N558" s="1052">
        <f t="shared" si="243"/>
        <v>2.7180067950169873</v>
      </c>
      <c r="O558" s="1049"/>
      <c r="P558" s="1118"/>
      <c r="Q558" s="1057">
        <v>4</v>
      </c>
      <c r="R558" s="1056">
        <v>5</v>
      </c>
      <c r="S558" s="1055">
        <v>1.825</v>
      </c>
      <c r="T558" s="1054">
        <f t="shared" si="244"/>
        <v>2.6279999999999997</v>
      </c>
      <c r="U558" s="1064">
        <v>4.54</v>
      </c>
      <c r="V558" s="1052">
        <f t="shared" si="245"/>
        <v>2.4876712328767123</v>
      </c>
      <c r="W558" s="1049"/>
      <c r="X558" s="1051">
        <v>1.44</v>
      </c>
      <c r="Y558" s="1049"/>
      <c r="Z558" s="1050">
        <f t="shared" si="246"/>
        <v>1.1679999999999997</v>
      </c>
      <c r="AA558" s="1118"/>
      <c r="AB558" s="1057">
        <v>4</v>
      </c>
      <c r="AC558" s="1056">
        <v>5</v>
      </c>
      <c r="AD558" s="1055">
        <v>2.1219999999999999</v>
      </c>
      <c r="AE558" s="1137">
        <f t="shared" si="247"/>
        <v>0</v>
      </c>
      <c r="AF558" s="1136">
        <v>4.7</v>
      </c>
      <c r="AG558" s="1052">
        <f t="shared" si="248"/>
        <v>2.2148916116870878</v>
      </c>
      <c r="AH558" s="1049"/>
      <c r="AI558" s="1136"/>
      <c r="AJ558" s="1049"/>
      <c r="AK558" s="1050">
        <f t="shared" si="249"/>
        <v>-1.6976</v>
      </c>
      <c r="AL558" s="1118"/>
      <c r="AM558" s="1118"/>
      <c r="AN558" s="1057">
        <v>4</v>
      </c>
      <c r="AO558" s="1056">
        <v>5</v>
      </c>
      <c r="AP558" s="1055">
        <v>0.31</v>
      </c>
      <c r="AQ558" s="1745">
        <f t="shared" si="250"/>
        <v>0</v>
      </c>
      <c r="AR558" s="1737">
        <v>0.62</v>
      </c>
      <c r="AS558" s="1052">
        <f t="shared" si="251"/>
        <v>2</v>
      </c>
      <c r="AT558" s="1049"/>
      <c r="AU558" s="1136"/>
      <c r="AV558" s="1049"/>
      <c r="AW558" s="1118"/>
      <c r="AX558" s="1057">
        <v>4</v>
      </c>
      <c r="AY558" s="1056">
        <v>5</v>
      </c>
      <c r="AZ558" s="1055">
        <v>0.11</v>
      </c>
      <c r="BA558" s="1736">
        <v>0.12</v>
      </c>
      <c r="BB558" s="1737">
        <f t="shared" si="252"/>
        <v>1.0909090909090908</v>
      </c>
      <c r="BC558" s="1049"/>
      <c r="BD558" s="1136"/>
      <c r="BE558" s="1049"/>
      <c r="BF558" s="1118"/>
      <c r="BG558" s="1057">
        <v>4</v>
      </c>
      <c r="BH558" s="1056">
        <v>5</v>
      </c>
      <c r="BI558" s="1874">
        <v>0.19</v>
      </c>
      <c r="BJ558" s="1736"/>
      <c r="BK558" s="1049"/>
      <c r="BL558" s="1118"/>
      <c r="BM558" s="1057">
        <v>4</v>
      </c>
      <c r="BN558" s="1056">
        <v>5</v>
      </c>
      <c r="BO558" s="1055"/>
      <c r="BP558" s="1055"/>
      <c r="BQ558" s="1049"/>
    </row>
    <row r="559" spans="1:69" ht="15" thickBot="1">
      <c r="A559" s="1049"/>
      <c r="B559" s="1058">
        <f>SUM(F554:F577)</f>
        <v>32.220000000000006</v>
      </c>
      <c r="C559" s="1111">
        <v>5</v>
      </c>
      <c r="D559" s="1110">
        <v>6</v>
      </c>
      <c r="E559" s="1117">
        <v>0.24</v>
      </c>
      <c r="F559" s="1116">
        <v>0.56999999999999995</v>
      </c>
      <c r="G559" s="1115">
        <f t="shared" si="242"/>
        <v>2.375</v>
      </c>
      <c r="H559" s="1049"/>
      <c r="I559" s="1058">
        <f>SUM(M554:M577)</f>
        <v>96.72999999999999</v>
      </c>
      <c r="J559" s="1111">
        <v>5</v>
      </c>
      <c r="K559" s="1110">
        <v>6</v>
      </c>
      <c r="L559" s="1109">
        <v>0.84599999999999997</v>
      </c>
      <c r="M559" s="1114">
        <v>2.35</v>
      </c>
      <c r="N559" s="1113">
        <f t="shared" si="243"/>
        <v>2.7777777777777781</v>
      </c>
      <c r="O559" s="1049"/>
      <c r="P559" s="1112">
        <f>SUM(U554:U577)</f>
        <v>183.18000000000004</v>
      </c>
      <c r="Q559" s="1111">
        <v>5</v>
      </c>
      <c r="R559" s="1110">
        <v>6</v>
      </c>
      <c r="S559" s="1109">
        <v>2.1259999999999999</v>
      </c>
      <c r="T559" s="1054">
        <f t="shared" si="244"/>
        <v>3.2102599999999999</v>
      </c>
      <c r="U559" s="1064">
        <v>5.44</v>
      </c>
      <c r="V559" s="1052">
        <f t="shared" si="245"/>
        <v>2.5587958607714021</v>
      </c>
      <c r="W559" s="1049"/>
      <c r="X559" s="1074">
        <v>1.51</v>
      </c>
      <c r="Y559" s="1049"/>
      <c r="Z559" s="1050">
        <f t="shared" si="246"/>
        <v>1.5094599999999998</v>
      </c>
      <c r="AA559" s="1112">
        <f>SUM(AF554:AF577)</f>
        <v>182.76000000000005</v>
      </c>
      <c r="AB559" s="1111">
        <v>5</v>
      </c>
      <c r="AC559" s="1110">
        <v>6</v>
      </c>
      <c r="AD559" s="1109">
        <v>2.056</v>
      </c>
      <c r="AE559" s="1147">
        <f t="shared" si="247"/>
        <v>0</v>
      </c>
      <c r="AF559" s="1146">
        <v>4.5599999999999996</v>
      </c>
      <c r="AG559" s="1052">
        <f t="shared" si="248"/>
        <v>2.2178988326848246</v>
      </c>
      <c r="AH559" s="1049"/>
      <c r="AI559" s="1146"/>
      <c r="AJ559" s="1049"/>
      <c r="AK559" s="1050">
        <f t="shared" si="249"/>
        <v>-1.6448</v>
      </c>
      <c r="AL559" s="1112"/>
      <c r="AM559" s="1112">
        <f>SUM(AR554:AR577)</f>
        <v>16.2</v>
      </c>
      <c r="AN559" s="1111">
        <v>5</v>
      </c>
      <c r="AO559" s="1110">
        <v>6</v>
      </c>
      <c r="AP559" s="1109">
        <v>0.33</v>
      </c>
      <c r="AQ559" s="1746">
        <f t="shared" si="250"/>
        <v>0</v>
      </c>
      <c r="AR559" s="1739">
        <v>0.67</v>
      </c>
      <c r="AS559" s="1052">
        <f t="shared" si="251"/>
        <v>2.0303030303030303</v>
      </c>
      <c r="AT559" s="1049"/>
      <c r="AU559" s="1146"/>
      <c r="AV559" s="1049"/>
      <c r="AW559" s="1112">
        <f>SUM(BA554:BA577)</f>
        <v>13.32</v>
      </c>
      <c r="AX559" s="1111">
        <v>5</v>
      </c>
      <c r="AY559" s="1110">
        <v>6</v>
      </c>
      <c r="AZ559" s="1109">
        <v>0.14000000000000001</v>
      </c>
      <c r="BA559" s="1738">
        <v>0.19</v>
      </c>
      <c r="BB559" s="1739">
        <f t="shared" si="252"/>
        <v>1.357142857142857</v>
      </c>
      <c r="BC559" s="1049"/>
      <c r="BD559" s="1146"/>
      <c r="BE559" s="1049"/>
      <c r="BF559" s="1112">
        <f>SUM(BJ554:BJ577)</f>
        <v>0</v>
      </c>
      <c r="BG559" s="1111">
        <v>5</v>
      </c>
      <c r="BH559" s="1110">
        <v>6</v>
      </c>
      <c r="BI559" s="1874">
        <v>0.24</v>
      </c>
      <c r="BJ559" s="1738"/>
      <c r="BK559" s="1049"/>
      <c r="BL559" s="1112">
        <f>SUM(BP554:BP577)</f>
        <v>0</v>
      </c>
      <c r="BM559" s="1111">
        <v>5</v>
      </c>
      <c r="BN559" s="1110">
        <v>6</v>
      </c>
      <c r="BO559" s="1109"/>
      <c r="BP559" s="1109"/>
      <c r="BQ559" s="1049"/>
    </row>
    <row r="560" spans="1:69" ht="14.4">
      <c r="A560" s="1049"/>
      <c r="B560" s="1093">
        <f>B559/B556</f>
        <v>2.4614209320091676</v>
      </c>
      <c r="C560" s="1100">
        <v>6</v>
      </c>
      <c r="D560" s="1099">
        <v>7</v>
      </c>
      <c r="E560" s="1107">
        <v>0.3</v>
      </c>
      <c r="F560" s="1106">
        <v>0.77</v>
      </c>
      <c r="G560" s="1105">
        <f t="shared" si="242"/>
        <v>2.5666666666666669</v>
      </c>
      <c r="H560" s="1049"/>
      <c r="I560" s="1093">
        <f>I559/I556</f>
        <v>3.2060587981836859</v>
      </c>
      <c r="J560" s="1100">
        <v>6</v>
      </c>
      <c r="K560" s="1099">
        <v>7</v>
      </c>
      <c r="L560" s="1098">
        <v>1.018</v>
      </c>
      <c r="M560" s="1103">
        <v>3.02</v>
      </c>
      <c r="N560" s="1102">
        <f t="shared" si="243"/>
        <v>2.9666011787819255</v>
      </c>
      <c r="O560" s="1049"/>
      <c r="P560" s="1093">
        <f>P559/P556</f>
        <v>2.9617772603802872</v>
      </c>
      <c r="Q560" s="1100">
        <v>6</v>
      </c>
      <c r="R560" s="1099">
        <v>7</v>
      </c>
      <c r="S560" s="1098">
        <v>2.3820000000000001</v>
      </c>
      <c r="T560" s="1054">
        <f t="shared" si="244"/>
        <v>4.0732200000000001</v>
      </c>
      <c r="U560" s="1064">
        <v>6.55</v>
      </c>
      <c r="V560" s="1052">
        <f t="shared" si="245"/>
        <v>2.7497900923593619</v>
      </c>
      <c r="W560" s="1049"/>
      <c r="X560" s="1108">
        <v>1.71</v>
      </c>
      <c r="Y560" s="1049"/>
      <c r="Z560" s="1050">
        <f t="shared" si="246"/>
        <v>2.1676199999999999</v>
      </c>
      <c r="AA560" s="1093">
        <f>AA559/AA556</f>
        <v>2.8221124150710319</v>
      </c>
      <c r="AB560" s="1100">
        <v>6</v>
      </c>
      <c r="AC560" s="1099">
        <v>7</v>
      </c>
      <c r="AD560" s="1098">
        <v>2.37</v>
      </c>
      <c r="AE560" s="1145">
        <f t="shared" si="247"/>
        <v>0</v>
      </c>
      <c r="AF560" s="1144">
        <v>6.14</v>
      </c>
      <c r="AG560" s="1052">
        <f t="shared" si="248"/>
        <v>2.590717299578059</v>
      </c>
      <c r="AH560" s="1049"/>
      <c r="AI560" s="1144"/>
      <c r="AJ560" s="1049"/>
      <c r="AK560" s="1050">
        <f t="shared" si="249"/>
        <v>-1.8960000000000001</v>
      </c>
      <c r="AL560" s="1093"/>
      <c r="AM560" s="1093">
        <f>AM559/AM556</f>
        <v>2.1343873517786562</v>
      </c>
      <c r="AN560" s="1100">
        <v>6</v>
      </c>
      <c r="AO560" s="1099">
        <v>7</v>
      </c>
      <c r="AP560" s="1098">
        <v>0.38</v>
      </c>
      <c r="AQ560" s="1747">
        <f t="shared" si="250"/>
        <v>0</v>
      </c>
      <c r="AR560" s="1741">
        <v>0.86</v>
      </c>
      <c r="AS560" s="1052">
        <f t="shared" si="251"/>
        <v>2.263157894736842</v>
      </c>
      <c r="AT560" s="1049"/>
      <c r="AU560" s="1144"/>
      <c r="AV560" s="1049"/>
      <c r="AW560" s="1093">
        <f>AW559/AW556</f>
        <v>1.5726092089728452</v>
      </c>
      <c r="AX560" s="1100">
        <v>6</v>
      </c>
      <c r="AY560" s="1099">
        <v>7</v>
      </c>
      <c r="AZ560" s="1098">
        <v>0.32</v>
      </c>
      <c r="BA560" s="1740">
        <v>0.5</v>
      </c>
      <c r="BB560" s="1741">
        <f t="shared" si="252"/>
        <v>1.5625</v>
      </c>
      <c r="BC560" s="1049"/>
      <c r="BD560" s="1144"/>
      <c r="BE560" s="1049"/>
      <c r="BF560" s="1093">
        <f>BF559/BF556</f>
        <v>0</v>
      </c>
      <c r="BG560" s="1100">
        <v>6</v>
      </c>
      <c r="BH560" s="1099">
        <v>7</v>
      </c>
      <c r="BI560" s="1874">
        <v>0.25</v>
      </c>
      <c r="BJ560" s="1740"/>
      <c r="BK560" s="1049"/>
      <c r="BL560" s="1093" t="e">
        <f>BL559/BL556</f>
        <v>#DIV/0!</v>
      </c>
      <c r="BM560" s="1100">
        <v>6</v>
      </c>
      <c r="BN560" s="1099">
        <v>7</v>
      </c>
      <c r="BO560" s="1098"/>
      <c r="BP560" s="1098"/>
      <c r="BQ560" s="1049"/>
    </row>
    <row r="561" spans="1:69" ht="14.4">
      <c r="A561" s="1049"/>
      <c r="B561" s="1104"/>
      <c r="C561" s="1100">
        <v>7</v>
      </c>
      <c r="D561" s="1099">
        <v>8</v>
      </c>
      <c r="E561" s="1107">
        <v>0.4</v>
      </c>
      <c r="F561" s="1106">
        <v>1.03</v>
      </c>
      <c r="G561" s="1105">
        <f t="shared" si="242"/>
        <v>2.5749999999999997</v>
      </c>
      <c r="H561" s="1049"/>
      <c r="I561" s="1104"/>
      <c r="J561" s="1100">
        <v>7</v>
      </c>
      <c r="K561" s="1099">
        <v>8</v>
      </c>
      <c r="L561" s="1098">
        <v>1.0189999999999999</v>
      </c>
      <c r="M561" s="1103">
        <v>3.11</v>
      </c>
      <c r="N561" s="1102">
        <f t="shared" si="243"/>
        <v>3.0520117762512267</v>
      </c>
      <c r="O561" s="1049"/>
      <c r="P561" s="1101"/>
      <c r="Q561" s="1100">
        <v>7</v>
      </c>
      <c r="R561" s="1099">
        <v>8</v>
      </c>
      <c r="S561" s="1098">
        <v>2.3319999999999999</v>
      </c>
      <c r="T561" s="1054">
        <f t="shared" si="244"/>
        <v>4.4074799999999996</v>
      </c>
      <c r="U561" s="1064">
        <v>6.84</v>
      </c>
      <c r="V561" s="1052">
        <f t="shared" si="245"/>
        <v>2.933104631217839</v>
      </c>
      <c r="W561" s="1049"/>
      <c r="X561" s="1065">
        <v>1.89</v>
      </c>
      <c r="Y561" s="1049"/>
      <c r="Z561" s="1050">
        <f t="shared" si="246"/>
        <v>2.5418799999999995</v>
      </c>
      <c r="AA561" s="1101"/>
      <c r="AB561" s="1100">
        <v>7</v>
      </c>
      <c r="AC561" s="1099">
        <v>8</v>
      </c>
      <c r="AD561" s="1098">
        <v>2.4260000000000002</v>
      </c>
      <c r="AE561" s="1145">
        <f t="shared" si="247"/>
        <v>0</v>
      </c>
      <c r="AF561" s="1144">
        <v>7.11</v>
      </c>
      <c r="AG561" s="1052">
        <f t="shared" si="248"/>
        <v>2.9307502061005772</v>
      </c>
      <c r="AH561" s="1049"/>
      <c r="AI561" s="1144"/>
      <c r="AJ561" s="1049"/>
      <c r="AK561" s="1050">
        <f t="shared" si="249"/>
        <v>-1.9408000000000003</v>
      </c>
      <c r="AL561" s="1101"/>
      <c r="AM561" s="1101"/>
      <c r="AN561" s="1100">
        <v>7</v>
      </c>
      <c r="AO561" s="1099">
        <v>8</v>
      </c>
      <c r="AP561" s="1098">
        <v>0.2</v>
      </c>
      <c r="AQ561" s="1747">
        <f t="shared" si="250"/>
        <v>0</v>
      </c>
      <c r="AR561" s="1741">
        <v>0.48</v>
      </c>
      <c r="AS561" s="1052">
        <f t="shared" si="251"/>
        <v>2.4</v>
      </c>
      <c r="AT561" s="1049"/>
      <c r="AU561" s="1144"/>
      <c r="AV561" s="1049"/>
      <c r="AW561" s="1101"/>
      <c r="AX561" s="1100">
        <v>7</v>
      </c>
      <c r="AY561" s="1099">
        <v>8</v>
      </c>
      <c r="AZ561" s="1098">
        <v>0.34</v>
      </c>
      <c r="BA561" s="1736">
        <v>0.56000000000000005</v>
      </c>
      <c r="BB561" s="1741">
        <f t="shared" si="252"/>
        <v>1.6470588235294119</v>
      </c>
      <c r="BC561" s="1049"/>
      <c r="BD561" s="1144"/>
      <c r="BE561" s="1049"/>
      <c r="BF561" s="1101"/>
      <c r="BG561" s="1100">
        <v>7</v>
      </c>
      <c r="BH561" s="1099">
        <v>8</v>
      </c>
      <c r="BI561" s="1874">
        <v>0.18</v>
      </c>
      <c r="BJ561" s="1736"/>
      <c r="BK561" s="1049"/>
      <c r="BL561" s="1101"/>
      <c r="BM561" s="1100">
        <v>7</v>
      </c>
      <c r="BN561" s="1099">
        <v>8</v>
      </c>
      <c r="BO561" s="1098"/>
      <c r="BP561" s="1098"/>
      <c r="BQ561" s="1049"/>
    </row>
    <row r="562" spans="1:69" ht="14.4">
      <c r="A562" s="1049"/>
      <c r="B562" s="1097">
        <f>B559/24</f>
        <v>1.3425000000000002</v>
      </c>
      <c r="C562" s="1086">
        <v>8</v>
      </c>
      <c r="D562" s="1085">
        <v>9</v>
      </c>
      <c r="E562" s="1091">
        <v>0.32</v>
      </c>
      <c r="F562" s="1090">
        <v>0.86</v>
      </c>
      <c r="G562" s="1089">
        <f t="shared" si="242"/>
        <v>2.6875</v>
      </c>
      <c r="H562" s="1049"/>
      <c r="I562" s="1097">
        <f>I559/24</f>
        <v>4.0304166666666665</v>
      </c>
      <c r="J562" s="1086">
        <v>8</v>
      </c>
      <c r="K562" s="1085">
        <v>9</v>
      </c>
      <c r="L562" s="1084">
        <v>1.018</v>
      </c>
      <c r="M562" s="1088">
        <v>3.26</v>
      </c>
      <c r="N562" s="1087">
        <f t="shared" si="243"/>
        <v>3.2023575638506871</v>
      </c>
      <c r="O562" s="1049"/>
      <c r="P562" s="1096">
        <f>P559/24</f>
        <v>7.6325000000000012</v>
      </c>
      <c r="Q562" s="1086">
        <v>8</v>
      </c>
      <c r="R562" s="1085">
        <v>9</v>
      </c>
      <c r="S562" s="1084">
        <v>2.2530000000000001</v>
      </c>
      <c r="T562" s="1054">
        <f t="shared" si="244"/>
        <v>4.8439500000000004</v>
      </c>
      <c r="U562" s="1064">
        <v>7.2</v>
      </c>
      <c r="V562" s="1052">
        <f t="shared" si="245"/>
        <v>3.1957390146471369</v>
      </c>
      <c r="W562" s="1049"/>
      <c r="X562" s="1051">
        <v>2.15</v>
      </c>
      <c r="Y562" s="1049"/>
      <c r="Z562" s="1050">
        <f t="shared" si="246"/>
        <v>3.04155</v>
      </c>
      <c r="AA562" s="1096">
        <f>AA559/24</f>
        <v>7.615000000000002</v>
      </c>
      <c r="AB562" s="1086">
        <v>8</v>
      </c>
      <c r="AC562" s="1085">
        <v>9</v>
      </c>
      <c r="AD562" s="1084">
        <v>2.5449999999999999</v>
      </c>
      <c r="AE562" s="1143">
        <f t="shared" si="247"/>
        <v>0</v>
      </c>
      <c r="AF562" s="1142">
        <v>8.1999999999999993</v>
      </c>
      <c r="AG562" s="1052">
        <f t="shared" si="248"/>
        <v>3.2220039292730842</v>
      </c>
      <c r="AH562" s="1049"/>
      <c r="AI562" s="1142"/>
      <c r="AJ562" s="1049"/>
      <c r="AK562" s="1050">
        <f t="shared" si="249"/>
        <v>-2.036</v>
      </c>
      <c r="AL562" s="1096"/>
      <c r="AM562" s="1096">
        <f>AM559/24</f>
        <v>0.67499999999999993</v>
      </c>
      <c r="AN562" s="1086">
        <v>8</v>
      </c>
      <c r="AO562" s="1085">
        <v>9</v>
      </c>
      <c r="AP562" s="1084">
        <v>0.24</v>
      </c>
      <c r="AQ562" s="1748">
        <f t="shared" si="250"/>
        <v>0</v>
      </c>
      <c r="AR562" s="1742">
        <v>0.6</v>
      </c>
      <c r="AS562" s="1052">
        <f t="shared" si="251"/>
        <v>2.5</v>
      </c>
      <c r="AT562" s="1049"/>
      <c r="AU562" s="1142"/>
      <c r="AV562" s="1049"/>
      <c r="AW562" s="1096">
        <f>AW559/24</f>
        <v>0.55500000000000005</v>
      </c>
      <c r="AX562" s="1086">
        <v>8</v>
      </c>
      <c r="AY562" s="1085">
        <v>9</v>
      </c>
      <c r="AZ562" s="1084">
        <v>0.4</v>
      </c>
      <c r="BA562" s="1736">
        <v>0.67</v>
      </c>
      <c r="BB562" s="1742">
        <f t="shared" si="252"/>
        <v>1.675</v>
      </c>
      <c r="BC562" s="1049"/>
      <c r="BD562" s="1142"/>
      <c r="BE562" s="1049"/>
      <c r="BF562" s="1096">
        <f>BF559/24</f>
        <v>0</v>
      </c>
      <c r="BG562" s="1086">
        <v>8</v>
      </c>
      <c r="BH562" s="1085">
        <v>9</v>
      </c>
      <c r="BI562" s="1874">
        <v>0.11</v>
      </c>
      <c r="BJ562" s="1736"/>
      <c r="BK562" s="1049"/>
      <c r="BL562" s="1096">
        <f>BL559/24</f>
        <v>0</v>
      </c>
      <c r="BM562" s="1086">
        <v>8</v>
      </c>
      <c r="BN562" s="1085">
        <v>9</v>
      </c>
      <c r="BO562" s="1084"/>
      <c r="BP562" s="1084"/>
      <c r="BQ562" s="1049"/>
    </row>
    <row r="563" spans="1:69" ht="14.4">
      <c r="A563" s="1049"/>
      <c r="B563" s="1097"/>
      <c r="C563" s="1086">
        <v>9</v>
      </c>
      <c r="D563" s="1085">
        <v>10</v>
      </c>
      <c r="E563" s="1091">
        <v>0.81</v>
      </c>
      <c r="F563" s="1090">
        <v>2.11</v>
      </c>
      <c r="G563" s="1089">
        <f t="shared" si="242"/>
        <v>2.6049382716049378</v>
      </c>
      <c r="H563" s="1049"/>
      <c r="I563" s="1097"/>
      <c r="J563" s="1086">
        <v>9</v>
      </c>
      <c r="K563" s="1085">
        <v>10</v>
      </c>
      <c r="L563" s="1084">
        <v>1.8819999999999999</v>
      </c>
      <c r="M563" s="1088">
        <v>6.11</v>
      </c>
      <c r="N563" s="1087">
        <f t="shared" si="243"/>
        <v>3.2465462274176411</v>
      </c>
      <c r="O563" s="1049"/>
      <c r="P563" s="1096"/>
      <c r="Q563" s="1086">
        <v>9</v>
      </c>
      <c r="R563" s="1085">
        <v>10</v>
      </c>
      <c r="S563" s="1084">
        <v>3.0790000000000002</v>
      </c>
      <c r="T563" s="1054">
        <f t="shared" si="244"/>
        <v>6.7738000000000014</v>
      </c>
      <c r="U563" s="1064">
        <v>9.98</v>
      </c>
      <c r="V563" s="1052">
        <f t="shared" si="245"/>
        <v>3.2413121143228318</v>
      </c>
      <c r="W563" s="1049"/>
      <c r="X563" s="1051">
        <v>2.2000000000000002</v>
      </c>
      <c r="Y563" s="1049"/>
      <c r="Z563" s="1050">
        <f t="shared" si="246"/>
        <v>4.3106000000000009</v>
      </c>
      <c r="AA563" s="1096"/>
      <c r="AB563" s="1086">
        <v>9</v>
      </c>
      <c r="AC563" s="1085">
        <v>10</v>
      </c>
      <c r="AD563" s="1084">
        <v>2.5009999999999999</v>
      </c>
      <c r="AE563" s="1143">
        <f t="shared" si="247"/>
        <v>0</v>
      </c>
      <c r="AF563" s="1142">
        <v>8.34</v>
      </c>
      <c r="AG563" s="1052">
        <f t="shared" si="248"/>
        <v>3.3346661335465813</v>
      </c>
      <c r="AH563" s="1049"/>
      <c r="AI563" s="1142"/>
      <c r="AJ563" s="1049"/>
      <c r="AK563" s="1050">
        <f t="shared" si="249"/>
        <v>-2.0007999999999999</v>
      </c>
      <c r="AL563" s="1096"/>
      <c r="AM563" s="1096"/>
      <c r="AN563" s="1086">
        <v>9</v>
      </c>
      <c r="AO563" s="1085">
        <v>10</v>
      </c>
      <c r="AP563" s="1084">
        <v>0.14000000000000001</v>
      </c>
      <c r="AQ563" s="1748">
        <f t="shared" si="250"/>
        <v>0</v>
      </c>
      <c r="AR563" s="1742">
        <v>0.33</v>
      </c>
      <c r="AS563" s="1052">
        <f t="shared" si="251"/>
        <v>2.3571428571428572</v>
      </c>
      <c r="AT563" s="1049"/>
      <c r="AU563" s="1142"/>
      <c r="AV563" s="1049"/>
      <c r="AW563" s="1096"/>
      <c r="AX563" s="1086">
        <v>9</v>
      </c>
      <c r="AY563" s="1085">
        <v>10</v>
      </c>
      <c r="AZ563" s="1084">
        <v>0.16</v>
      </c>
      <c r="BA563" s="1736">
        <v>0.24</v>
      </c>
      <c r="BB563" s="1742">
        <f t="shared" si="252"/>
        <v>1.5</v>
      </c>
      <c r="BC563" s="1049"/>
      <c r="BD563" s="1142"/>
      <c r="BE563" s="1049"/>
      <c r="BF563" s="1096"/>
      <c r="BG563" s="1086">
        <v>9</v>
      </c>
      <c r="BH563" s="1085">
        <v>10</v>
      </c>
      <c r="BI563" s="1874">
        <v>0.26</v>
      </c>
      <c r="BJ563" s="1736"/>
      <c r="BK563" s="1049"/>
      <c r="BL563" s="1096"/>
      <c r="BM563" s="1086">
        <v>9</v>
      </c>
      <c r="BN563" s="1085">
        <v>10</v>
      </c>
      <c r="BO563" s="1084"/>
      <c r="BP563" s="1084"/>
      <c r="BQ563" s="1049"/>
    </row>
    <row r="564" spans="1:69" ht="14.4">
      <c r="A564" s="1049"/>
      <c r="B564" s="1060"/>
      <c r="C564" s="1086">
        <v>10</v>
      </c>
      <c r="D564" s="1085">
        <v>11</v>
      </c>
      <c r="E564" s="1091">
        <v>1.27</v>
      </c>
      <c r="F564" s="1090">
        <v>3.1</v>
      </c>
      <c r="G564" s="1089">
        <f t="shared" si="242"/>
        <v>2.4409448818897639</v>
      </c>
      <c r="H564" s="1049"/>
      <c r="I564" s="1060"/>
      <c r="J564" s="1086">
        <v>10</v>
      </c>
      <c r="K564" s="1085">
        <v>11</v>
      </c>
      <c r="L564" s="1084">
        <v>1.079</v>
      </c>
      <c r="M564" s="1088">
        <v>3.52</v>
      </c>
      <c r="N564" s="1087">
        <f t="shared" si="243"/>
        <v>3.2622798887859132</v>
      </c>
      <c r="O564" s="1049"/>
      <c r="P564" s="1095">
        <f>SUM(Z554:Z577)</f>
        <v>69.145440000000008</v>
      </c>
      <c r="Q564" s="1086">
        <v>10</v>
      </c>
      <c r="R564" s="1085">
        <v>11</v>
      </c>
      <c r="S564" s="1084">
        <v>3.3109999999999999</v>
      </c>
      <c r="T564" s="1054">
        <f t="shared" si="244"/>
        <v>7.3504200000000006</v>
      </c>
      <c r="U564" s="1064">
        <v>10.82</v>
      </c>
      <c r="V564" s="1052">
        <f t="shared" si="245"/>
        <v>3.2678948958018728</v>
      </c>
      <c r="W564" s="1049"/>
      <c r="X564" s="1051">
        <v>2.2200000000000002</v>
      </c>
      <c r="Y564" s="1049"/>
      <c r="Z564" s="1050">
        <f t="shared" si="246"/>
        <v>4.7016200000000001</v>
      </c>
      <c r="AA564" s="1095">
        <f>SUM(AK554:AK577)</f>
        <v>-51.808</v>
      </c>
      <c r="AB564" s="1086">
        <v>10</v>
      </c>
      <c r="AC564" s="1085">
        <v>11</v>
      </c>
      <c r="AD564" s="1084">
        <v>2.4630000000000001</v>
      </c>
      <c r="AE564" s="1143">
        <f t="shared" si="247"/>
        <v>0</v>
      </c>
      <c r="AF564" s="1142">
        <v>7.75</v>
      </c>
      <c r="AG564" s="1052">
        <f t="shared" si="248"/>
        <v>3.1465692245229393</v>
      </c>
      <c r="AH564" s="1049"/>
      <c r="AI564" s="1142"/>
      <c r="AJ564" s="1049"/>
      <c r="AK564" s="1050">
        <f t="shared" si="249"/>
        <v>-1.9704000000000002</v>
      </c>
      <c r="AL564" s="1095"/>
      <c r="AM564" s="1095" t="e">
        <f>SUM(#REF!)</f>
        <v>#REF!</v>
      </c>
      <c r="AN564" s="1086">
        <v>10</v>
      </c>
      <c r="AO564" s="1085">
        <v>11</v>
      </c>
      <c r="AP564" s="1084">
        <v>0.12</v>
      </c>
      <c r="AQ564" s="1748">
        <f t="shared" si="250"/>
        <v>0</v>
      </c>
      <c r="AR564" s="1742">
        <v>0.25</v>
      </c>
      <c r="AS564" s="1052">
        <f t="shared" si="251"/>
        <v>2.0833333333333335</v>
      </c>
      <c r="AT564" s="1049"/>
      <c r="AU564" s="1142"/>
      <c r="AV564" s="1049"/>
      <c r="AW564" s="1095" t="e">
        <f>SUM(#REF!)</f>
        <v>#REF!</v>
      </c>
      <c r="AX564" s="1086">
        <v>10</v>
      </c>
      <c r="AY564" s="1085">
        <v>11</v>
      </c>
      <c r="AZ564" s="1084">
        <v>0.16</v>
      </c>
      <c r="BA564" s="1736">
        <v>0.19</v>
      </c>
      <c r="BB564" s="1742">
        <f t="shared" si="252"/>
        <v>1.1875</v>
      </c>
      <c r="BC564" s="1049"/>
      <c r="BD564" s="1142"/>
      <c r="BE564" s="1049"/>
      <c r="BF564" s="1095" t="e">
        <f>SUM(#REF!)</f>
        <v>#REF!</v>
      </c>
      <c r="BG564" s="1086">
        <v>10</v>
      </c>
      <c r="BH564" s="1085">
        <v>11</v>
      </c>
      <c r="BI564" s="1874">
        <v>0.35</v>
      </c>
      <c r="BJ564" s="1736"/>
      <c r="BK564" s="1049"/>
      <c r="BL564" s="1095" t="e">
        <f>SUM(#REF!)</f>
        <v>#REF!</v>
      </c>
      <c r="BM564" s="1086">
        <v>10</v>
      </c>
      <c r="BN564" s="1085">
        <v>11</v>
      </c>
      <c r="BO564" s="1084"/>
      <c r="BP564" s="1084"/>
      <c r="BQ564" s="1049"/>
    </row>
    <row r="565" spans="1:69" ht="14.4">
      <c r="A565" s="1049"/>
      <c r="B565" s="1060"/>
      <c r="C565" s="1086">
        <v>11</v>
      </c>
      <c r="D565" s="1085">
        <v>12</v>
      </c>
      <c r="E565" s="1091">
        <v>1.58</v>
      </c>
      <c r="F565" s="1090">
        <v>3.81</v>
      </c>
      <c r="G565" s="1089">
        <f t="shared" si="242"/>
        <v>2.4113924050632911</v>
      </c>
      <c r="H565" s="1049"/>
      <c r="I565" s="1060"/>
      <c r="J565" s="1086">
        <v>11</v>
      </c>
      <c r="K565" s="1085">
        <v>12</v>
      </c>
      <c r="L565" s="1084">
        <v>1.1579999999999999</v>
      </c>
      <c r="M565" s="1088">
        <v>3.72</v>
      </c>
      <c r="N565" s="1087">
        <f t="shared" si="243"/>
        <v>3.2124352331606221</v>
      </c>
      <c r="O565" s="1049"/>
      <c r="P565" s="1093">
        <f>P564/P556</f>
        <v>1.1179899107489328</v>
      </c>
      <c r="Q565" s="1086">
        <v>11</v>
      </c>
      <c r="R565" s="1085">
        <v>12</v>
      </c>
      <c r="S565" s="1084">
        <v>3.427</v>
      </c>
      <c r="T565" s="1054">
        <f t="shared" si="244"/>
        <v>7.5394000000000005</v>
      </c>
      <c r="U565" s="1064">
        <v>11.1</v>
      </c>
      <c r="V565" s="1052">
        <f t="shared" si="245"/>
        <v>3.2389845345783481</v>
      </c>
      <c r="W565" s="1049"/>
      <c r="X565" s="1051">
        <v>2.2000000000000002</v>
      </c>
      <c r="Y565" s="1049"/>
      <c r="Z565" s="1050">
        <f t="shared" si="246"/>
        <v>4.7978000000000005</v>
      </c>
      <c r="AA565" s="1093">
        <f>AA564/AA556</f>
        <v>-0.79999999999999993</v>
      </c>
      <c r="AB565" s="1086">
        <v>11</v>
      </c>
      <c r="AC565" s="1085">
        <v>12</v>
      </c>
      <c r="AD565" s="1084">
        <v>3.0579999999999998</v>
      </c>
      <c r="AE565" s="1143">
        <f t="shared" si="247"/>
        <v>0</v>
      </c>
      <c r="AF565" s="1142">
        <v>9.06</v>
      </c>
      <c r="AG565" s="1052">
        <f t="shared" si="248"/>
        <v>2.9627207325049056</v>
      </c>
      <c r="AH565" s="1049"/>
      <c r="AI565" s="1142"/>
      <c r="AJ565" s="1049"/>
      <c r="AK565" s="1050">
        <f t="shared" si="249"/>
        <v>-2.4464000000000001</v>
      </c>
      <c r="AL565" s="1093"/>
      <c r="AM565" s="1093" t="e">
        <f>AM564/AM556</f>
        <v>#REF!</v>
      </c>
      <c r="AN565" s="1086">
        <v>11</v>
      </c>
      <c r="AO565" s="1085">
        <v>12</v>
      </c>
      <c r="AP565" s="1084">
        <v>0.19</v>
      </c>
      <c r="AQ565" s="1748">
        <f t="shared" si="250"/>
        <v>0</v>
      </c>
      <c r="AR565" s="1742">
        <v>0.37</v>
      </c>
      <c r="AS565" s="1052">
        <f t="shared" si="251"/>
        <v>1.9473684210526316</v>
      </c>
      <c r="AT565" s="1049"/>
      <c r="AU565" s="1142"/>
      <c r="AV565" s="1049"/>
      <c r="AW565" s="1093" t="e">
        <f>AW564/AW556</f>
        <v>#REF!</v>
      </c>
      <c r="AX565" s="1086">
        <v>11</v>
      </c>
      <c r="AY565" s="1085">
        <v>12</v>
      </c>
      <c r="AZ565" s="1084">
        <v>0.4</v>
      </c>
      <c r="BA565" s="1736">
        <v>0.46</v>
      </c>
      <c r="BB565" s="1742">
        <f t="shared" si="252"/>
        <v>1.1499999999999999</v>
      </c>
      <c r="BC565" s="1049"/>
      <c r="BD565" s="1142"/>
      <c r="BE565" s="1049"/>
      <c r="BF565" s="1093" t="e">
        <f>BF564/BF556</f>
        <v>#REF!</v>
      </c>
      <c r="BG565" s="1086">
        <v>11</v>
      </c>
      <c r="BH565" s="1085">
        <v>12</v>
      </c>
      <c r="BI565" s="1874">
        <v>0.42</v>
      </c>
      <c r="BJ565" s="1736"/>
      <c r="BK565" s="1049"/>
      <c r="BL565" s="1093" t="e">
        <f>BL564/BL556</f>
        <v>#REF!</v>
      </c>
      <c r="BM565" s="1086">
        <v>11</v>
      </c>
      <c r="BN565" s="1085">
        <v>12</v>
      </c>
      <c r="BO565" s="1084"/>
      <c r="BP565" s="1084"/>
      <c r="BQ565" s="1049"/>
    </row>
    <row r="566" spans="1:69" ht="14.4">
      <c r="A566" s="1049"/>
      <c r="B566" s="1060"/>
      <c r="C566" s="1086">
        <v>12</v>
      </c>
      <c r="D566" s="1085">
        <v>13</v>
      </c>
      <c r="E566" s="1091">
        <v>1.38</v>
      </c>
      <c r="F566" s="1090">
        <v>3.19</v>
      </c>
      <c r="G566" s="1089">
        <f t="shared" si="242"/>
        <v>2.3115942028985508</v>
      </c>
      <c r="H566" s="1049"/>
      <c r="I566" s="1060"/>
      <c r="J566" s="1086">
        <v>12</v>
      </c>
      <c r="K566" s="1085">
        <v>13</v>
      </c>
      <c r="L566" s="1084">
        <v>2.5750000000000002</v>
      </c>
      <c r="M566" s="1088">
        <v>8.17</v>
      </c>
      <c r="N566" s="1087">
        <f t="shared" si="243"/>
        <v>3.1728155339805824</v>
      </c>
      <c r="O566" s="1049"/>
      <c r="P566" s="1060"/>
      <c r="Q566" s="1086">
        <v>12</v>
      </c>
      <c r="R566" s="1085">
        <v>13</v>
      </c>
      <c r="S566" s="1084">
        <v>3.3180000000000001</v>
      </c>
      <c r="T566" s="1054">
        <f t="shared" si="244"/>
        <v>7.3327799999999996</v>
      </c>
      <c r="U566" s="1064">
        <v>10.81</v>
      </c>
      <c r="V566" s="1052">
        <f t="shared" si="245"/>
        <v>3.2579867389993975</v>
      </c>
      <c r="W566" s="1049"/>
      <c r="X566" s="1051">
        <v>2.21</v>
      </c>
      <c r="Y566" s="1049"/>
      <c r="Z566" s="1050">
        <f t="shared" si="246"/>
        <v>4.6783799999999998</v>
      </c>
      <c r="AA566" s="1060"/>
      <c r="AB566" s="1086">
        <v>12</v>
      </c>
      <c r="AC566" s="1085">
        <v>13</v>
      </c>
      <c r="AD566" s="1084">
        <v>3.4849999999999999</v>
      </c>
      <c r="AE566" s="1143">
        <f t="shared" si="247"/>
        <v>0</v>
      </c>
      <c r="AF566" s="1142">
        <v>10.029999999999999</v>
      </c>
      <c r="AG566" s="1052">
        <f t="shared" si="248"/>
        <v>2.8780487804878048</v>
      </c>
      <c r="AH566" s="1049"/>
      <c r="AI566" s="1142"/>
      <c r="AJ566" s="1049"/>
      <c r="AK566" s="1050">
        <f t="shared" si="249"/>
        <v>-2.7880000000000003</v>
      </c>
      <c r="AL566" s="1060"/>
      <c r="AM566" s="1060"/>
      <c r="AN566" s="1086">
        <v>12</v>
      </c>
      <c r="AO566" s="1085">
        <v>13</v>
      </c>
      <c r="AP566" s="1084">
        <v>0.2</v>
      </c>
      <c r="AQ566" s="1748">
        <f t="shared" si="250"/>
        <v>0</v>
      </c>
      <c r="AR566" s="1742">
        <v>0.38</v>
      </c>
      <c r="AS566" s="1052">
        <f t="shared" si="251"/>
        <v>1.9</v>
      </c>
      <c r="AT566" s="1049"/>
      <c r="AU566" s="1142"/>
      <c r="AV566" s="1049"/>
      <c r="AW566" s="1060"/>
      <c r="AX566" s="1086">
        <v>12</v>
      </c>
      <c r="AY566" s="1085">
        <v>13</v>
      </c>
      <c r="AZ566" s="1084">
        <v>0.94</v>
      </c>
      <c r="BA566" s="1736">
        <v>1.08</v>
      </c>
      <c r="BB566" s="1742">
        <f t="shared" si="252"/>
        <v>1.1489361702127661</v>
      </c>
      <c r="BC566" s="1049"/>
      <c r="BD566" s="1142"/>
      <c r="BE566" s="1049"/>
      <c r="BF566" s="1060"/>
      <c r="BG566" s="1086">
        <v>12</v>
      </c>
      <c r="BH566" s="1085">
        <v>13</v>
      </c>
      <c r="BI566" s="1874">
        <v>0.18</v>
      </c>
      <c r="BJ566" s="1736"/>
      <c r="BK566" s="1049"/>
      <c r="BL566" s="1060"/>
      <c r="BM566" s="1086">
        <v>12</v>
      </c>
      <c r="BN566" s="1085">
        <v>13</v>
      </c>
      <c r="BO566" s="1084"/>
      <c r="BP566" s="1084"/>
      <c r="BQ566" s="1049"/>
    </row>
    <row r="567" spans="1:69" ht="14.4">
      <c r="A567" s="1049"/>
      <c r="B567" s="1060"/>
      <c r="C567" s="1086">
        <v>13</v>
      </c>
      <c r="D567" s="1085">
        <v>14</v>
      </c>
      <c r="E567" s="1091">
        <v>1.3</v>
      </c>
      <c r="F567" s="1090">
        <v>2.94</v>
      </c>
      <c r="G567" s="1089">
        <f t="shared" si="242"/>
        <v>2.2615384615384615</v>
      </c>
      <c r="H567" s="1049"/>
      <c r="I567" s="1060"/>
      <c r="J567" s="1086">
        <v>13</v>
      </c>
      <c r="K567" s="1085">
        <v>14</v>
      </c>
      <c r="L567" s="1084">
        <v>2.3279999999999998</v>
      </c>
      <c r="M567" s="1088">
        <v>7.35</v>
      </c>
      <c r="N567" s="1087">
        <f t="shared" si="243"/>
        <v>3.1572164948453607</v>
      </c>
      <c r="O567" s="1049"/>
      <c r="P567" s="1092" t="s">
        <v>1127</v>
      </c>
      <c r="Q567" s="1086">
        <v>13</v>
      </c>
      <c r="R567" s="1085">
        <v>14</v>
      </c>
      <c r="S567" s="1084">
        <v>3.653</v>
      </c>
      <c r="T567" s="1054">
        <f t="shared" si="244"/>
        <v>8.2557799999999997</v>
      </c>
      <c r="U567" s="1064">
        <v>12.05</v>
      </c>
      <c r="V567" s="1052">
        <f t="shared" si="245"/>
        <v>3.2986586367369286</v>
      </c>
      <c r="W567" s="1049"/>
      <c r="X567" s="1051">
        <v>2.2599999999999998</v>
      </c>
      <c r="Y567" s="1049"/>
      <c r="Z567" s="1050">
        <f t="shared" si="246"/>
        <v>5.3333799999999991</v>
      </c>
      <c r="AA567" s="1092" t="s">
        <v>1127</v>
      </c>
      <c r="AB567" s="1086">
        <v>13</v>
      </c>
      <c r="AC567" s="1085">
        <v>14</v>
      </c>
      <c r="AD567" s="1084">
        <v>3.5680000000000001</v>
      </c>
      <c r="AE567" s="1143">
        <f t="shared" si="247"/>
        <v>0</v>
      </c>
      <c r="AF567" s="1142">
        <v>10.210000000000001</v>
      </c>
      <c r="AG567" s="1052">
        <f t="shared" si="248"/>
        <v>2.8615470852017939</v>
      </c>
      <c r="AH567" s="1049"/>
      <c r="AI567" s="1142"/>
      <c r="AJ567" s="1049"/>
      <c r="AK567" s="1050">
        <f t="shared" si="249"/>
        <v>-2.8544</v>
      </c>
      <c r="AL567" s="1092"/>
      <c r="AM567" s="1092" t="s">
        <v>1127</v>
      </c>
      <c r="AN567" s="1086">
        <v>13</v>
      </c>
      <c r="AO567" s="1085">
        <v>14</v>
      </c>
      <c r="AP567" s="1084">
        <v>0.17</v>
      </c>
      <c r="AQ567" s="1748">
        <f t="shared" si="250"/>
        <v>0</v>
      </c>
      <c r="AR567" s="1742">
        <v>0.31</v>
      </c>
      <c r="AS567" s="1052">
        <f t="shared" si="251"/>
        <v>1.8235294117647058</v>
      </c>
      <c r="AT567" s="1049"/>
      <c r="AU567" s="1142"/>
      <c r="AV567" s="1049"/>
      <c r="AW567" s="1092" t="s">
        <v>1127</v>
      </c>
      <c r="AX567" s="1086">
        <v>13</v>
      </c>
      <c r="AY567" s="1085">
        <v>14</v>
      </c>
      <c r="AZ567" s="1084">
        <v>0.95</v>
      </c>
      <c r="BA567" s="1736">
        <v>1.1000000000000001</v>
      </c>
      <c r="BB567" s="1742">
        <f t="shared" si="252"/>
        <v>1.1578947368421053</v>
      </c>
      <c r="BC567" s="1049"/>
      <c r="BD567" s="1142"/>
      <c r="BE567" s="1049"/>
      <c r="BF567" s="1092" t="s">
        <v>1127</v>
      </c>
      <c r="BG567" s="1086">
        <v>13</v>
      </c>
      <c r="BH567" s="1085">
        <v>14</v>
      </c>
      <c r="BI567" s="1874">
        <v>0.2</v>
      </c>
      <c r="BJ567" s="1736"/>
      <c r="BK567" s="1049"/>
      <c r="BL567" s="1092" t="s">
        <v>1127</v>
      </c>
      <c r="BM567" s="1086">
        <v>13</v>
      </c>
      <c r="BN567" s="1085">
        <v>14</v>
      </c>
      <c r="BO567" s="1084"/>
      <c r="BP567" s="1084"/>
      <c r="BQ567" s="1049"/>
    </row>
    <row r="568" spans="1:69" ht="14.4">
      <c r="A568" s="1049"/>
      <c r="B568" s="1060"/>
      <c r="C568" s="1086">
        <v>14</v>
      </c>
      <c r="D568" s="1085">
        <v>15</v>
      </c>
      <c r="E568" s="1091">
        <v>0.75</v>
      </c>
      <c r="F568" s="1090">
        <v>1.7</v>
      </c>
      <c r="G568" s="1089">
        <f t="shared" si="242"/>
        <v>2.2666666666666666</v>
      </c>
      <c r="H568" s="1049"/>
      <c r="I568" s="1060"/>
      <c r="J568" s="1086">
        <v>14</v>
      </c>
      <c r="K568" s="1085">
        <v>15</v>
      </c>
      <c r="L568" s="1084">
        <v>1.583</v>
      </c>
      <c r="M568" s="1088">
        <v>5.22</v>
      </c>
      <c r="N568" s="1087">
        <f t="shared" si="243"/>
        <v>3.2975363234365127</v>
      </c>
      <c r="O568" s="1049"/>
      <c r="P568" s="1058">
        <f>P556*0.8</f>
        <v>49.478400000000008</v>
      </c>
      <c r="Q568" s="1086">
        <v>14</v>
      </c>
      <c r="R568" s="1085">
        <v>15</v>
      </c>
      <c r="S568" s="1084">
        <v>2.9209999999999998</v>
      </c>
      <c r="T568" s="1054">
        <f t="shared" si="244"/>
        <v>6.5138299999999996</v>
      </c>
      <c r="U568" s="1064">
        <v>9.57</v>
      </c>
      <c r="V568" s="1052">
        <f t="shared" si="245"/>
        <v>3.2762752482026705</v>
      </c>
      <c r="W568" s="1049"/>
      <c r="X568" s="1051">
        <v>2.23</v>
      </c>
      <c r="Y568" s="1049"/>
      <c r="Z568" s="1050">
        <f t="shared" si="246"/>
        <v>4.1770299999999994</v>
      </c>
      <c r="AA568" s="1058">
        <f>AA556*0.8</f>
        <v>51.808000000000007</v>
      </c>
      <c r="AB568" s="1086">
        <v>14</v>
      </c>
      <c r="AC568" s="1085">
        <v>15</v>
      </c>
      <c r="AD568" s="1084">
        <v>3.4140000000000001</v>
      </c>
      <c r="AE568" s="1143">
        <f t="shared" si="247"/>
        <v>0</v>
      </c>
      <c r="AF568" s="1142">
        <v>9.7799999999999994</v>
      </c>
      <c r="AG568" s="1052">
        <f t="shared" si="248"/>
        <v>2.8646748681898062</v>
      </c>
      <c r="AH568" s="1049"/>
      <c r="AI568" s="1142"/>
      <c r="AJ568" s="1049"/>
      <c r="AK568" s="1050">
        <f t="shared" si="249"/>
        <v>-2.7312000000000003</v>
      </c>
      <c r="AL568" s="1058"/>
      <c r="AM568" s="1058">
        <f>AM556*0.8</f>
        <v>6.0720000000000001</v>
      </c>
      <c r="AN568" s="1086">
        <v>14</v>
      </c>
      <c r="AO568" s="1085">
        <v>15</v>
      </c>
      <c r="AP568" s="1084">
        <v>0.37</v>
      </c>
      <c r="AQ568" s="1748">
        <f t="shared" si="250"/>
        <v>0</v>
      </c>
      <c r="AR568" s="1742">
        <v>0.68</v>
      </c>
      <c r="AS568" s="1052">
        <f t="shared" si="251"/>
        <v>1.8378378378378379</v>
      </c>
      <c r="AT568" s="1049"/>
      <c r="AU568" s="1142"/>
      <c r="AV568" s="1049"/>
      <c r="AW568" s="1058">
        <f>AW556*0.8</f>
        <v>6.7760000000000007</v>
      </c>
      <c r="AX568" s="1086">
        <v>14</v>
      </c>
      <c r="AY568" s="1085">
        <v>15</v>
      </c>
      <c r="AZ568" s="1084">
        <v>0.56999999999999995</v>
      </c>
      <c r="BA568" s="1736">
        <v>0.69</v>
      </c>
      <c r="BB568" s="1742">
        <f t="shared" si="252"/>
        <v>1.2105263157894737</v>
      </c>
      <c r="BC568" s="1049"/>
      <c r="BD568" s="1142"/>
      <c r="BE568" s="1049"/>
      <c r="BF568" s="1058">
        <f>BF556*0.8</f>
        <v>5.5440000000000005</v>
      </c>
      <c r="BG568" s="1086">
        <v>14</v>
      </c>
      <c r="BH568" s="1085">
        <v>15</v>
      </c>
      <c r="BI568" s="1874">
        <v>0.28999999999999998</v>
      </c>
      <c r="BJ568" s="1736"/>
      <c r="BK568" s="1049"/>
      <c r="BL568" s="1058">
        <f>BL556*0.8</f>
        <v>0</v>
      </c>
      <c r="BM568" s="1086">
        <v>14</v>
      </c>
      <c r="BN568" s="1085">
        <v>15</v>
      </c>
      <c r="BO568" s="1084"/>
      <c r="BP568" s="1084"/>
      <c r="BQ568" s="1049"/>
    </row>
    <row r="569" spans="1:69" ht="14.4">
      <c r="A569" s="1049"/>
      <c r="B569" s="1060"/>
      <c r="C569" s="1086">
        <v>15</v>
      </c>
      <c r="D569" s="1085">
        <v>16</v>
      </c>
      <c r="E569" s="1091">
        <v>0.39</v>
      </c>
      <c r="F569" s="1090">
        <v>0.89</v>
      </c>
      <c r="G569" s="1089">
        <f t="shared" si="242"/>
        <v>2.2820512820512819</v>
      </c>
      <c r="H569" s="1049"/>
      <c r="I569" s="1060"/>
      <c r="J569" s="1086">
        <v>15</v>
      </c>
      <c r="K569" s="1085">
        <v>16</v>
      </c>
      <c r="L569" s="1084">
        <v>1.165</v>
      </c>
      <c r="M569" s="1088">
        <v>3.88</v>
      </c>
      <c r="N569" s="1087">
        <f t="shared" si="243"/>
        <v>3.3304721030042916</v>
      </c>
      <c r="O569" s="1049"/>
      <c r="P569" s="1058" t="s">
        <v>1126</v>
      </c>
      <c r="Q569" s="1086">
        <v>15</v>
      </c>
      <c r="R569" s="1085">
        <v>16</v>
      </c>
      <c r="S569" s="1084">
        <v>2.85</v>
      </c>
      <c r="T569" s="1054">
        <f t="shared" si="244"/>
        <v>6.213000000000001</v>
      </c>
      <c r="U569" s="1064">
        <v>9.18</v>
      </c>
      <c r="V569" s="1052">
        <f t="shared" si="245"/>
        <v>3.2210526315789472</v>
      </c>
      <c r="W569" s="1049"/>
      <c r="X569" s="1051">
        <v>2.1800000000000002</v>
      </c>
      <c r="Y569" s="1049"/>
      <c r="Z569" s="1050">
        <f t="shared" si="246"/>
        <v>3.9330000000000003</v>
      </c>
      <c r="AA569" s="1058" t="s">
        <v>1126</v>
      </c>
      <c r="AB569" s="1086">
        <v>15</v>
      </c>
      <c r="AC569" s="1085">
        <v>16</v>
      </c>
      <c r="AD569" s="1084">
        <v>2.6190000000000002</v>
      </c>
      <c r="AE569" s="1143">
        <f t="shared" si="247"/>
        <v>0</v>
      </c>
      <c r="AF569" s="1142">
        <v>7.49</v>
      </c>
      <c r="AG569" s="1052">
        <f t="shared" si="248"/>
        <v>2.8598701794578081</v>
      </c>
      <c r="AH569" s="1049"/>
      <c r="AI569" s="1142"/>
      <c r="AJ569" s="1049"/>
      <c r="AK569" s="1050">
        <f t="shared" si="249"/>
        <v>-2.0952000000000002</v>
      </c>
      <c r="AL569" s="1058"/>
      <c r="AM569" s="1058" t="s">
        <v>1126</v>
      </c>
      <c r="AN569" s="1086">
        <v>15</v>
      </c>
      <c r="AO569" s="1085">
        <v>16</v>
      </c>
      <c r="AP569" s="1084">
        <v>0.56999999999999995</v>
      </c>
      <c r="AQ569" s="1748">
        <f t="shared" si="250"/>
        <v>0</v>
      </c>
      <c r="AR569" s="1742">
        <v>1.05</v>
      </c>
      <c r="AS569" s="1052">
        <f t="shared" si="251"/>
        <v>1.8421052631578949</v>
      </c>
      <c r="AT569" s="1049"/>
      <c r="AU569" s="1142"/>
      <c r="AV569" s="1049"/>
      <c r="AW569" s="1058" t="s">
        <v>1126</v>
      </c>
      <c r="AX569" s="1086">
        <v>15</v>
      </c>
      <c r="AY569" s="1085">
        <v>16</v>
      </c>
      <c r="AZ569" s="1084">
        <v>0.34</v>
      </c>
      <c r="BA569" s="1736">
        <v>0.45</v>
      </c>
      <c r="BB569" s="1742">
        <f t="shared" si="252"/>
        <v>1.3235294117647058</v>
      </c>
      <c r="BC569" s="1049"/>
      <c r="BD569" s="1142"/>
      <c r="BE569" s="1049"/>
      <c r="BF569" s="1058" t="s">
        <v>1126</v>
      </c>
      <c r="BG569" s="1086">
        <v>15</v>
      </c>
      <c r="BH569" s="1085">
        <v>16</v>
      </c>
      <c r="BI569" s="1874">
        <v>0.33</v>
      </c>
      <c r="BJ569" s="1736"/>
      <c r="BK569" s="1049"/>
      <c r="BL569" s="1058" t="s">
        <v>1126</v>
      </c>
      <c r="BM569" s="1086">
        <v>15</v>
      </c>
      <c r="BN569" s="1085">
        <v>16</v>
      </c>
      <c r="BO569" s="1084"/>
      <c r="BP569" s="1084"/>
      <c r="BQ569" s="1049"/>
    </row>
    <row r="570" spans="1:69" ht="15" thickBot="1">
      <c r="A570" s="1049"/>
      <c r="B570" s="1060"/>
      <c r="C570" s="1077">
        <v>16</v>
      </c>
      <c r="D570" s="1076">
        <v>17</v>
      </c>
      <c r="E570" s="1083">
        <v>0.4</v>
      </c>
      <c r="F570" s="1082">
        <v>0.95</v>
      </c>
      <c r="G570" s="1081">
        <f t="shared" si="242"/>
        <v>2.3749999999999996</v>
      </c>
      <c r="H570" s="1049"/>
      <c r="I570" s="1060"/>
      <c r="J570" s="1077">
        <v>16</v>
      </c>
      <c r="K570" s="1076">
        <v>17</v>
      </c>
      <c r="L570" s="1075">
        <v>0.79100000000000004</v>
      </c>
      <c r="M570" s="1080">
        <v>2.68</v>
      </c>
      <c r="N570" s="1079">
        <f t="shared" si="243"/>
        <v>3.3881163084702908</v>
      </c>
      <c r="O570" s="1049"/>
      <c r="P570" s="1078">
        <f>P556*(X553-0.8)</f>
        <v>74.836080000000052</v>
      </c>
      <c r="Q570" s="1077">
        <v>16</v>
      </c>
      <c r="R570" s="1076">
        <v>17</v>
      </c>
      <c r="S570" s="1075">
        <v>2.8039999999999998</v>
      </c>
      <c r="T570" s="1054">
        <f t="shared" si="244"/>
        <v>6.1688000000000001</v>
      </c>
      <c r="U570" s="1064">
        <v>9.09</v>
      </c>
      <c r="V570" s="1052">
        <f t="shared" si="245"/>
        <v>3.2417974322396579</v>
      </c>
      <c r="W570" s="1049"/>
      <c r="X570" s="1074">
        <v>2.2000000000000002</v>
      </c>
      <c r="Y570" s="1049"/>
      <c r="Z570" s="1050">
        <f t="shared" si="246"/>
        <v>3.9256000000000002</v>
      </c>
      <c r="AA570" s="1078" t="e">
        <f>AA556*(AI553-0.8)</f>
        <v>#DIV/0!</v>
      </c>
      <c r="AB570" s="1077">
        <v>16</v>
      </c>
      <c r="AC570" s="1076">
        <v>17</v>
      </c>
      <c r="AD570" s="1075">
        <v>2.5129999999999999</v>
      </c>
      <c r="AE570" s="1141">
        <f t="shared" si="247"/>
        <v>0</v>
      </c>
      <c r="AF570" s="1140">
        <v>7.31</v>
      </c>
      <c r="AG570" s="1052">
        <f t="shared" si="248"/>
        <v>2.9088738559490648</v>
      </c>
      <c r="AH570" s="1049"/>
      <c r="AI570" s="1140"/>
      <c r="AJ570" s="1049"/>
      <c r="AK570" s="1050">
        <f t="shared" si="249"/>
        <v>-2.0104000000000002</v>
      </c>
      <c r="AL570" s="1078"/>
      <c r="AM570" s="1078" t="e">
        <f>AM556*(AU553-0.8)</f>
        <v>#DIV/0!</v>
      </c>
      <c r="AN570" s="1077">
        <v>16</v>
      </c>
      <c r="AO570" s="1076">
        <v>17</v>
      </c>
      <c r="AP570" s="1075">
        <v>1.28</v>
      </c>
      <c r="AQ570" s="1749">
        <f t="shared" si="250"/>
        <v>0</v>
      </c>
      <c r="AR570" s="1743">
        <v>2.36</v>
      </c>
      <c r="AS570" s="1052">
        <f t="shared" si="251"/>
        <v>1.8437499999999998</v>
      </c>
      <c r="AT570" s="1049"/>
      <c r="AU570" s="1140"/>
      <c r="AV570" s="1049"/>
      <c r="AW570" s="1078" t="e">
        <f>AW556*(BD553-0.8)</f>
        <v>#DIV/0!</v>
      </c>
      <c r="AX570" s="1077">
        <v>16</v>
      </c>
      <c r="AY570" s="1076">
        <v>17</v>
      </c>
      <c r="AZ570" s="1075">
        <v>0.31</v>
      </c>
      <c r="BA570" s="1738">
        <v>0.47</v>
      </c>
      <c r="BB570" s="1743">
        <f t="shared" si="252"/>
        <v>1.5161290322580645</v>
      </c>
      <c r="BC570" s="1049"/>
      <c r="BD570" s="1140"/>
      <c r="BE570" s="1049"/>
      <c r="BF570" s="1078">
        <f>BF556*(BM553-0.8)</f>
        <v>-5.5440000000000005</v>
      </c>
      <c r="BG570" s="1077">
        <v>16</v>
      </c>
      <c r="BH570" s="1076">
        <v>17</v>
      </c>
      <c r="BI570" s="1874">
        <v>1.06</v>
      </c>
      <c r="BJ570" s="1738"/>
      <c r="BK570" s="1049"/>
      <c r="BL570" s="1078">
        <f>BL556*(BS553-0.8)</f>
        <v>0</v>
      </c>
      <c r="BM570" s="1077">
        <v>16</v>
      </c>
      <c r="BN570" s="1076">
        <v>17</v>
      </c>
      <c r="BO570" s="1075"/>
      <c r="BP570" s="1075"/>
      <c r="BQ570" s="1049"/>
    </row>
    <row r="571" spans="1:69" ht="14.4">
      <c r="A571" s="1049"/>
      <c r="B571" s="1060"/>
      <c r="C571" s="1068">
        <v>17</v>
      </c>
      <c r="D571" s="1067">
        <v>18</v>
      </c>
      <c r="E571" s="1073">
        <v>0.39</v>
      </c>
      <c r="F571" s="1072">
        <v>1.2</v>
      </c>
      <c r="G571" s="1071">
        <f t="shared" si="242"/>
        <v>3.0769230769230766</v>
      </c>
      <c r="H571" s="1049"/>
      <c r="I571" s="1060"/>
      <c r="J571" s="1068">
        <v>17</v>
      </c>
      <c r="K571" s="1067">
        <v>18</v>
      </c>
      <c r="L571" s="1066">
        <v>2.3839999999999999</v>
      </c>
      <c r="M571" s="1070">
        <v>10.54</v>
      </c>
      <c r="N571" s="1069">
        <f t="shared" si="243"/>
        <v>4.4211409395973149</v>
      </c>
      <c r="O571" s="1049"/>
      <c r="P571" s="1058"/>
      <c r="Q571" s="1068">
        <v>17</v>
      </c>
      <c r="R571" s="1067">
        <v>18</v>
      </c>
      <c r="S571" s="1066">
        <v>2.4900000000000002</v>
      </c>
      <c r="T571" s="1054">
        <f t="shared" si="244"/>
        <v>5.2788000000000004</v>
      </c>
      <c r="U571" s="1064">
        <v>7.88</v>
      </c>
      <c r="V571" s="1052">
        <f t="shared" si="245"/>
        <v>3.1646586345381524</v>
      </c>
      <c r="W571" s="1049"/>
      <c r="X571" s="1065">
        <v>2.12</v>
      </c>
      <c r="Y571" s="1049"/>
      <c r="Z571" s="1050">
        <f t="shared" si="246"/>
        <v>3.2868000000000004</v>
      </c>
      <c r="AA571" s="1058"/>
      <c r="AB571" s="1068">
        <v>17</v>
      </c>
      <c r="AC571" s="1067">
        <v>18</v>
      </c>
      <c r="AD571" s="1066">
        <v>2.4809999999999999</v>
      </c>
      <c r="AE571" s="1139">
        <f t="shared" si="247"/>
        <v>0</v>
      </c>
      <c r="AF571" s="1138">
        <v>9.7200000000000006</v>
      </c>
      <c r="AG571" s="1052">
        <f t="shared" si="248"/>
        <v>3.9177750906892386</v>
      </c>
      <c r="AH571" s="1049"/>
      <c r="AI571" s="1138"/>
      <c r="AJ571" s="1049"/>
      <c r="AK571" s="1050">
        <f t="shared" si="249"/>
        <v>-1.9847999999999999</v>
      </c>
      <c r="AL571" s="1058"/>
      <c r="AM571" s="1058"/>
      <c r="AN571" s="1068">
        <v>17</v>
      </c>
      <c r="AO571" s="1067">
        <v>18</v>
      </c>
      <c r="AP571" s="1066">
        <v>1.17</v>
      </c>
      <c r="AQ571" s="1750">
        <f t="shared" si="250"/>
        <v>0</v>
      </c>
      <c r="AR571" s="1744">
        <v>3.19</v>
      </c>
      <c r="AS571" s="1052">
        <f t="shared" si="251"/>
        <v>2.7264957264957266</v>
      </c>
      <c r="AT571" s="1049"/>
      <c r="AU571" s="1138"/>
      <c r="AV571" s="1049"/>
      <c r="AW571" s="1058"/>
      <c r="AX571" s="1068">
        <v>17</v>
      </c>
      <c r="AY571" s="1067">
        <v>18</v>
      </c>
      <c r="AZ571" s="1066">
        <v>0.89</v>
      </c>
      <c r="BA571" s="1740">
        <v>2.15</v>
      </c>
      <c r="BB571" s="1744">
        <f t="shared" si="252"/>
        <v>2.4157303370786516</v>
      </c>
      <c r="BC571" s="1049"/>
      <c r="BD571" s="1138"/>
      <c r="BE571" s="1049"/>
      <c r="BF571" s="1058"/>
      <c r="BG571" s="1068">
        <v>17</v>
      </c>
      <c r="BH571" s="1067">
        <v>18</v>
      </c>
      <c r="BI571" s="1874">
        <v>0.45</v>
      </c>
      <c r="BJ571" s="1740"/>
      <c r="BK571" s="1049"/>
      <c r="BL571" s="1058"/>
      <c r="BM571" s="1068">
        <v>17</v>
      </c>
      <c r="BN571" s="1067">
        <v>18</v>
      </c>
      <c r="BO571" s="1066"/>
      <c r="BP571" s="1066"/>
      <c r="BQ571" s="1049"/>
    </row>
    <row r="572" spans="1:69" ht="14.4">
      <c r="A572" s="1049"/>
      <c r="B572" s="1060"/>
      <c r="C572" s="1057">
        <v>18</v>
      </c>
      <c r="D572" s="1056">
        <v>19</v>
      </c>
      <c r="E572" s="1063">
        <v>0.4</v>
      </c>
      <c r="F572" s="1062">
        <v>1.28</v>
      </c>
      <c r="G572" s="1061">
        <f t="shared" si="242"/>
        <v>3.1999999999999997</v>
      </c>
      <c r="H572" s="1049"/>
      <c r="I572" s="1060"/>
      <c r="J572" s="1057">
        <v>18</v>
      </c>
      <c r="K572" s="1056">
        <v>19</v>
      </c>
      <c r="L572" s="1055">
        <v>1.0369999999999999</v>
      </c>
      <c r="M572" s="1059">
        <v>4.08</v>
      </c>
      <c r="N572" s="1052">
        <f t="shared" si="243"/>
        <v>3.9344262295081971</v>
      </c>
      <c r="O572" s="1049"/>
      <c r="P572" s="1058"/>
      <c r="Q572" s="1057">
        <v>18</v>
      </c>
      <c r="R572" s="1056">
        <v>19</v>
      </c>
      <c r="S572" s="1055">
        <v>2.105</v>
      </c>
      <c r="T572" s="1054">
        <f t="shared" si="244"/>
        <v>4.3784000000000001</v>
      </c>
      <c r="U572" s="1064">
        <v>6.58</v>
      </c>
      <c r="V572" s="1052">
        <f t="shared" si="245"/>
        <v>3.125890736342043</v>
      </c>
      <c r="W572" s="1049"/>
      <c r="X572" s="1051">
        <v>2.08</v>
      </c>
      <c r="Y572" s="1049"/>
      <c r="Z572" s="1050">
        <f t="shared" si="246"/>
        <v>2.6943999999999999</v>
      </c>
      <c r="AA572" s="1058"/>
      <c r="AB572" s="1057">
        <v>18</v>
      </c>
      <c r="AC572" s="1056">
        <v>19</v>
      </c>
      <c r="AD572" s="1055">
        <v>2.649</v>
      </c>
      <c r="AE572" s="1137">
        <f t="shared" si="247"/>
        <v>0</v>
      </c>
      <c r="AF572" s="1136">
        <v>10.36</v>
      </c>
      <c r="AG572" s="1052">
        <f t="shared" si="248"/>
        <v>3.9109097772744428</v>
      </c>
      <c r="AH572" s="1049"/>
      <c r="AI572" s="1136"/>
      <c r="AJ572" s="1049"/>
      <c r="AK572" s="1050">
        <f t="shared" si="249"/>
        <v>-2.1192000000000002</v>
      </c>
      <c r="AL572" s="1058"/>
      <c r="AM572" s="1058"/>
      <c r="AN572" s="1057">
        <v>18</v>
      </c>
      <c r="AO572" s="1056">
        <v>19</v>
      </c>
      <c r="AP572" s="1055">
        <v>0.33</v>
      </c>
      <c r="AQ572" s="1745">
        <f t="shared" si="250"/>
        <v>0</v>
      </c>
      <c r="AR572" s="1737">
        <v>0.91</v>
      </c>
      <c r="AS572" s="1052">
        <f t="shared" si="251"/>
        <v>2.7575757575757573</v>
      </c>
      <c r="AT572" s="1049"/>
      <c r="AU572" s="1136"/>
      <c r="AV572" s="1049"/>
      <c r="AW572" s="1058"/>
      <c r="AX572" s="1057">
        <v>18</v>
      </c>
      <c r="AY572" s="1056">
        <v>19</v>
      </c>
      <c r="AZ572" s="1055">
        <v>0.4</v>
      </c>
      <c r="BA572" s="1736">
        <v>0.99</v>
      </c>
      <c r="BB572" s="1737">
        <f t="shared" si="252"/>
        <v>2.4749999999999996</v>
      </c>
      <c r="BC572" s="1049"/>
      <c r="BD572" s="1136"/>
      <c r="BE572" s="1049"/>
      <c r="BF572" s="1058"/>
      <c r="BG572" s="1057">
        <v>18</v>
      </c>
      <c r="BH572" s="1056">
        <v>19</v>
      </c>
      <c r="BI572" s="1874">
        <v>0.37</v>
      </c>
      <c r="BJ572" s="1736"/>
      <c r="BK572" s="1049"/>
      <c r="BL572" s="1058"/>
      <c r="BM572" s="1057">
        <v>18</v>
      </c>
      <c r="BN572" s="1056">
        <v>19</v>
      </c>
      <c r="BO572" s="1055"/>
      <c r="BP572" s="1055"/>
      <c r="BQ572" s="1049"/>
    </row>
    <row r="573" spans="1:69" ht="14.4">
      <c r="A573" s="1049"/>
      <c r="B573" s="1060"/>
      <c r="C573" s="1057">
        <v>19</v>
      </c>
      <c r="D573" s="1056">
        <v>20</v>
      </c>
      <c r="E573" s="1063">
        <v>0.35</v>
      </c>
      <c r="F573" s="1062">
        <v>1.1399999999999999</v>
      </c>
      <c r="G573" s="1061">
        <f t="shared" si="242"/>
        <v>3.2571428571428571</v>
      </c>
      <c r="H573" s="1049"/>
      <c r="I573" s="1060"/>
      <c r="J573" s="1057">
        <v>19</v>
      </c>
      <c r="K573" s="1056">
        <v>20</v>
      </c>
      <c r="L573" s="1055">
        <v>0.89300000000000002</v>
      </c>
      <c r="M573" s="1059">
        <v>3.42</v>
      </c>
      <c r="N573" s="1052">
        <f t="shared" si="243"/>
        <v>3.8297872340425529</v>
      </c>
      <c r="O573" s="1049"/>
      <c r="P573" s="1058"/>
      <c r="Q573" s="1057">
        <v>19</v>
      </c>
      <c r="R573" s="1056">
        <v>20</v>
      </c>
      <c r="S573" s="1055">
        <v>3.492</v>
      </c>
      <c r="T573" s="1054">
        <f t="shared" si="244"/>
        <v>6.9141599999999999</v>
      </c>
      <c r="U573" s="1064">
        <v>10.55</v>
      </c>
      <c r="V573" s="1052">
        <f t="shared" si="245"/>
        <v>3.021191294387171</v>
      </c>
      <c r="W573" s="1049"/>
      <c r="X573" s="1051">
        <v>1.98</v>
      </c>
      <c r="Y573" s="1049"/>
      <c r="Z573" s="1050">
        <f t="shared" si="246"/>
        <v>4.1205599999999993</v>
      </c>
      <c r="AA573" s="1058"/>
      <c r="AB573" s="1057">
        <v>19</v>
      </c>
      <c r="AC573" s="1056">
        <v>20</v>
      </c>
      <c r="AD573" s="1055">
        <v>3.016</v>
      </c>
      <c r="AE573" s="1137">
        <f t="shared" si="247"/>
        <v>0</v>
      </c>
      <c r="AF573" s="1136">
        <v>11.09</v>
      </c>
      <c r="AG573" s="1052">
        <f t="shared" si="248"/>
        <v>3.6770557029177717</v>
      </c>
      <c r="AH573" s="1049"/>
      <c r="AI573" s="1136"/>
      <c r="AJ573" s="1049"/>
      <c r="AK573" s="1050">
        <f t="shared" si="249"/>
        <v>-2.4128000000000003</v>
      </c>
      <c r="AL573" s="1058"/>
      <c r="AM573" s="1058"/>
      <c r="AN573" s="1057">
        <v>19</v>
      </c>
      <c r="AO573" s="1056">
        <v>20</v>
      </c>
      <c r="AP573" s="1055">
        <v>0.21</v>
      </c>
      <c r="AQ573" s="1745">
        <f t="shared" si="250"/>
        <v>0</v>
      </c>
      <c r="AR573" s="1737">
        <v>0.55000000000000004</v>
      </c>
      <c r="AS573" s="1052">
        <f t="shared" si="251"/>
        <v>2.6190476190476195</v>
      </c>
      <c r="AT573" s="1049"/>
      <c r="AU573" s="1136"/>
      <c r="AV573" s="1049"/>
      <c r="AW573" s="1058"/>
      <c r="AX573" s="1057">
        <v>19</v>
      </c>
      <c r="AY573" s="1056">
        <v>20</v>
      </c>
      <c r="AZ573" s="1055">
        <v>0.33</v>
      </c>
      <c r="BA573" s="1736">
        <v>0.82</v>
      </c>
      <c r="BB573" s="1737">
        <f t="shared" si="252"/>
        <v>2.4848484848484844</v>
      </c>
      <c r="BC573" s="1049"/>
      <c r="BD573" s="1136"/>
      <c r="BE573" s="1049"/>
      <c r="BF573" s="1058"/>
      <c r="BG573" s="1057">
        <v>19</v>
      </c>
      <c r="BH573" s="1056">
        <v>20</v>
      </c>
      <c r="BI573" s="1874">
        <v>0.39</v>
      </c>
      <c r="BJ573" s="1736"/>
      <c r="BK573" s="1049"/>
      <c r="BL573" s="1058"/>
      <c r="BM573" s="1057">
        <v>19</v>
      </c>
      <c r="BN573" s="1056">
        <v>20</v>
      </c>
      <c r="BO573" s="1055"/>
      <c r="BP573" s="1055"/>
      <c r="BQ573" s="1049"/>
    </row>
    <row r="574" spans="1:69" ht="14.4">
      <c r="A574" s="1049"/>
      <c r="B574" s="1060"/>
      <c r="C574" s="1057">
        <v>20</v>
      </c>
      <c r="D574" s="1056">
        <v>21</v>
      </c>
      <c r="E574" s="1063">
        <v>0.42</v>
      </c>
      <c r="F574" s="1062">
        <v>1.05</v>
      </c>
      <c r="G574" s="1061">
        <f t="shared" si="242"/>
        <v>2.5</v>
      </c>
      <c r="H574" s="1049"/>
      <c r="I574" s="1060"/>
      <c r="J574" s="1057">
        <v>20</v>
      </c>
      <c r="K574" s="1056">
        <v>21</v>
      </c>
      <c r="L574" s="1055">
        <v>0.89900000000000002</v>
      </c>
      <c r="M574" s="1059">
        <v>2.66</v>
      </c>
      <c r="N574" s="1052">
        <f t="shared" si="243"/>
        <v>2.9588431590656286</v>
      </c>
      <c r="O574" s="1049"/>
      <c r="P574" s="1058"/>
      <c r="Q574" s="1057">
        <v>20</v>
      </c>
      <c r="R574" s="1056">
        <v>21</v>
      </c>
      <c r="S574" s="1055">
        <v>3.4279999999999999</v>
      </c>
      <c r="T574" s="1054">
        <f t="shared" si="244"/>
        <v>6.2389600000000005</v>
      </c>
      <c r="U574" s="1064">
        <v>9.81</v>
      </c>
      <c r="V574" s="1052">
        <f t="shared" si="245"/>
        <v>2.8617269544924158</v>
      </c>
      <c r="W574" s="1049"/>
      <c r="X574" s="1051">
        <v>1.82</v>
      </c>
      <c r="Y574" s="1049"/>
      <c r="Z574" s="1050">
        <f t="shared" si="246"/>
        <v>3.4965600000000001</v>
      </c>
      <c r="AA574" s="1058"/>
      <c r="AB574" s="1057">
        <v>20</v>
      </c>
      <c r="AC574" s="1056">
        <v>21</v>
      </c>
      <c r="AD574" s="1055">
        <v>3.1219999999999999</v>
      </c>
      <c r="AE574" s="1137">
        <f t="shared" si="247"/>
        <v>0</v>
      </c>
      <c r="AF574" s="1136">
        <v>8.48</v>
      </c>
      <c r="AG574" s="1052">
        <f t="shared" si="248"/>
        <v>2.7162075592568868</v>
      </c>
      <c r="AH574" s="1049"/>
      <c r="AI574" s="1136"/>
      <c r="AJ574" s="1049"/>
      <c r="AK574" s="1050">
        <f t="shared" si="249"/>
        <v>-2.4976000000000003</v>
      </c>
      <c r="AL574" s="1058"/>
      <c r="AM574" s="1058"/>
      <c r="AN574" s="1057">
        <v>20</v>
      </c>
      <c r="AO574" s="1056">
        <v>21</v>
      </c>
      <c r="AP574" s="1055">
        <v>0.18</v>
      </c>
      <c r="AQ574" s="1745">
        <f t="shared" si="250"/>
        <v>0</v>
      </c>
      <c r="AR574" s="1737">
        <v>0.32</v>
      </c>
      <c r="AS574" s="1052">
        <f t="shared" si="251"/>
        <v>1.7777777777777779</v>
      </c>
      <c r="AT574" s="1049"/>
      <c r="AU574" s="1136"/>
      <c r="AV574" s="1049"/>
      <c r="AW574" s="1058"/>
      <c r="AX574" s="1057">
        <v>20</v>
      </c>
      <c r="AY574" s="1056">
        <v>21</v>
      </c>
      <c r="AZ574" s="1055">
        <v>0.34</v>
      </c>
      <c r="BA574" s="1736">
        <v>0.56999999999999995</v>
      </c>
      <c r="BB574" s="1737">
        <f t="shared" si="252"/>
        <v>1.6764705882352939</v>
      </c>
      <c r="BC574" s="1049"/>
      <c r="BD574" s="1136"/>
      <c r="BE574" s="1049"/>
      <c r="BF574" s="1058"/>
      <c r="BG574" s="1057">
        <v>20</v>
      </c>
      <c r="BH574" s="1056">
        <v>21</v>
      </c>
      <c r="BI574" s="1874">
        <v>0.36</v>
      </c>
      <c r="BJ574" s="1736"/>
      <c r="BK574" s="1049"/>
      <c r="BL574" s="1058"/>
      <c r="BM574" s="1057">
        <v>20</v>
      </c>
      <c r="BN574" s="1056">
        <v>21</v>
      </c>
      <c r="BO574" s="1055"/>
      <c r="BP574" s="1055"/>
      <c r="BQ574" s="1049"/>
    </row>
    <row r="575" spans="1:69" ht="14.4">
      <c r="A575" s="1049"/>
      <c r="B575" s="1060"/>
      <c r="C575" s="1057">
        <v>21</v>
      </c>
      <c r="D575" s="1056">
        <v>22</v>
      </c>
      <c r="E575" s="1063">
        <v>0.4</v>
      </c>
      <c r="F575" s="1062">
        <v>0.94</v>
      </c>
      <c r="G575" s="1061">
        <f t="shared" si="242"/>
        <v>2.3499999999999996</v>
      </c>
      <c r="H575" s="1049"/>
      <c r="I575" s="1060"/>
      <c r="J575" s="1057">
        <v>21</v>
      </c>
      <c r="K575" s="1056">
        <v>22</v>
      </c>
      <c r="L575" s="1055">
        <v>1.1970000000000001</v>
      </c>
      <c r="M575" s="1059">
        <v>3.38</v>
      </c>
      <c r="N575" s="1052">
        <f t="shared" si="243"/>
        <v>2.8237259816207181</v>
      </c>
      <c r="O575" s="1049"/>
      <c r="P575" s="1058"/>
      <c r="Q575" s="1057">
        <v>21</v>
      </c>
      <c r="R575" s="1056">
        <v>22</v>
      </c>
      <c r="S575" s="1055">
        <v>3.3769999999999998</v>
      </c>
      <c r="T575" s="1054">
        <f t="shared" si="244"/>
        <v>5.2343500000000001</v>
      </c>
      <c r="U575" s="1064">
        <v>8.75</v>
      </c>
      <c r="V575" s="1052">
        <f t="shared" si="245"/>
        <v>2.5910571513177376</v>
      </c>
      <c r="W575" s="1049"/>
      <c r="X575" s="1051">
        <v>1.55</v>
      </c>
      <c r="Y575" s="1049"/>
      <c r="Z575" s="1050">
        <f t="shared" si="246"/>
        <v>2.5327500000000001</v>
      </c>
      <c r="AA575" s="1058"/>
      <c r="AB575" s="1057">
        <v>21</v>
      </c>
      <c r="AC575" s="1056">
        <v>22</v>
      </c>
      <c r="AD575" s="1055">
        <v>3.1429999999999998</v>
      </c>
      <c r="AE575" s="1137">
        <f t="shared" si="247"/>
        <v>0</v>
      </c>
      <c r="AF575" s="1136">
        <v>7.96</v>
      </c>
      <c r="AG575" s="1052">
        <f t="shared" si="248"/>
        <v>2.5326121539930004</v>
      </c>
      <c r="AH575" s="1049"/>
      <c r="AI575" s="1136"/>
      <c r="AJ575" s="1049"/>
      <c r="AK575" s="1050">
        <f t="shared" si="249"/>
        <v>-2.5144000000000002</v>
      </c>
      <c r="AL575" s="1058"/>
      <c r="AM575" s="1058"/>
      <c r="AN575" s="1057">
        <v>21</v>
      </c>
      <c r="AO575" s="1056">
        <v>22</v>
      </c>
      <c r="AP575" s="1055">
        <v>0.27</v>
      </c>
      <c r="AQ575" s="1745">
        <f t="shared" si="250"/>
        <v>0</v>
      </c>
      <c r="AR575" s="1737">
        <v>0.49</v>
      </c>
      <c r="AS575" s="1052">
        <f t="shared" si="251"/>
        <v>1.8148148148148147</v>
      </c>
      <c r="AT575" s="1049"/>
      <c r="AU575" s="1136"/>
      <c r="AV575" s="1049"/>
      <c r="AW575" s="1058"/>
      <c r="AX575" s="1057">
        <v>21</v>
      </c>
      <c r="AY575" s="1056">
        <v>22</v>
      </c>
      <c r="AZ575" s="1055">
        <v>0.33</v>
      </c>
      <c r="BA575" s="1736">
        <v>0.54</v>
      </c>
      <c r="BB575" s="1737">
        <f t="shared" si="252"/>
        <v>1.6363636363636365</v>
      </c>
      <c r="BC575" s="1049"/>
      <c r="BD575" s="1136"/>
      <c r="BE575" s="1049"/>
      <c r="BF575" s="1058"/>
      <c r="BG575" s="1057">
        <v>21</v>
      </c>
      <c r="BH575" s="1056">
        <v>22</v>
      </c>
      <c r="BI575" s="1874">
        <v>0.32</v>
      </c>
      <c r="BJ575" s="1736"/>
      <c r="BK575" s="1049"/>
      <c r="BL575" s="1058"/>
      <c r="BM575" s="1057">
        <v>21</v>
      </c>
      <c r="BN575" s="1056">
        <v>22</v>
      </c>
      <c r="BO575" s="1055"/>
      <c r="BP575" s="1055"/>
      <c r="BQ575" s="1049"/>
    </row>
    <row r="576" spans="1:69" ht="14.4">
      <c r="A576" s="1049"/>
      <c r="B576" s="1060"/>
      <c r="C576" s="1057">
        <v>22</v>
      </c>
      <c r="D576" s="1056">
        <v>23</v>
      </c>
      <c r="E576" s="1063">
        <v>0.31</v>
      </c>
      <c r="F576" s="1062">
        <v>0.71</v>
      </c>
      <c r="G576" s="1061">
        <f t="shared" si="242"/>
        <v>2.290322580645161</v>
      </c>
      <c r="H576" s="1049"/>
      <c r="I576" s="1060"/>
      <c r="J576" s="1057">
        <v>22</v>
      </c>
      <c r="K576" s="1056">
        <v>23</v>
      </c>
      <c r="L576" s="1055">
        <v>1.4950000000000001</v>
      </c>
      <c r="M576" s="1059">
        <v>4.2300000000000004</v>
      </c>
      <c r="N576" s="1052">
        <f t="shared" si="243"/>
        <v>2.8294314381270902</v>
      </c>
      <c r="O576" s="1049"/>
      <c r="P576" s="1058"/>
      <c r="Q576" s="1057">
        <v>22</v>
      </c>
      <c r="R576" s="1056">
        <v>23</v>
      </c>
      <c r="S576" s="1055">
        <v>2.988</v>
      </c>
      <c r="T576" s="1054">
        <f t="shared" si="244"/>
        <v>4.5118799999999997</v>
      </c>
      <c r="U576" s="1064">
        <v>7.65</v>
      </c>
      <c r="V576" s="1052">
        <f t="shared" si="245"/>
        <v>2.560240963855422</v>
      </c>
      <c r="W576" s="1049"/>
      <c r="X576" s="1051">
        <v>1.51</v>
      </c>
      <c r="Y576" s="1049"/>
      <c r="Z576" s="1050">
        <f t="shared" si="246"/>
        <v>2.12148</v>
      </c>
      <c r="AA576" s="1058"/>
      <c r="AB576" s="1057">
        <v>22</v>
      </c>
      <c r="AC576" s="1056">
        <v>23</v>
      </c>
      <c r="AD576" s="1055">
        <v>3.1280000000000001</v>
      </c>
      <c r="AE576" s="1137">
        <f t="shared" si="247"/>
        <v>0</v>
      </c>
      <c r="AF576" s="1136">
        <v>7.58</v>
      </c>
      <c r="AG576" s="1052">
        <f t="shared" si="248"/>
        <v>2.4232736572890023</v>
      </c>
      <c r="AH576" s="1049"/>
      <c r="AI576" s="1136"/>
      <c r="AJ576" s="1049"/>
      <c r="AK576" s="1050">
        <f t="shared" si="249"/>
        <v>-2.5024000000000002</v>
      </c>
      <c r="AL576" s="1058"/>
      <c r="AM576" s="1058"/>
      <c r="AN576" s="1057">
        <v>22</v>
      </c>
      <c r="AO576" s="1056">
        <v>23</v>
      </c>
      <c r="AP576" s="1055">
        <v>0.16</v>
      </c>
      <c r="AQ576" s="1745">
        <f t="shared" si="250"/>
        <v>0</v>
      </c>
      <c r="AR576" s="1737">
        <v>0.28000000000000003</v>
      </c>
      <c r="AS576" s="1052">
        <f t="shared" si="251"/>
        <v>1.7500000000000002</v>
      </c>
      <c r="AT576" s="1049"/>
      <c r="AU576" s="1136"/>
      <c r="AV576" s="1049"/>
      <c r="AW576" s="1058"/>
      <c r="AX576" s="1057">
        <v>22</v>
      </c>
      <c r="AY576" s="1056">
        <v>23</v>
      </c>
      <c r="AZ576" s="1055">
        <v>0.24</v>
      </c>
      <c r="BA576" s="1736">
        <v>0.39</v>
      </c>
      <c r="BB576" s="1737">
        <f t="shared" si="252"/>
        <v>1.6250000000000002</v>
      </c>
      <c r="BC576" s="1049"/>
      <c r="BD576" s="1136"/>
      <c r="BE576" s="1049"/>
      <c r="BF576" s="1058"/>
      <c r="BG576" s="1057">
        <v>22</v>
      </c>
      <c r="BH576" s="1056">
        <v>23</v>
      </c>
      <c r="BI576" s="1874">
        <v>0.11</v>
      </c>
      <c r="BJ576" s="1736"/>
      <c r="BK576" s="1049"/>
      <c r="BL576" s="1058"/>
      <c r="BM576" s="1057">
        <v>22</v>
      </c>
      <c r="BN576" s="1056">
        <v>23</v>
      </c>
      <c r="BO576" s="1055"/>
      <c r="BP576" s="1055"/>
      <c r="BQ576" s="1049"/>
    </row>
    <row r="577" spans="1:69" ht="14.4">
      <c r="A577" s="1049"/>
      <c r="B577" s="1060"/>
      <c r="C577" s="1057">
        <v>23</v>
      </c>
      <c r="D577" s="1056">
        <v>24</v>
      </c>
      <c r="E577" s="1063">
        <v>0.52</v>
      </c>
      <c r="F577" s="1062">
        <v>1.1499999999999999</v>
      </c>
      <c r="G577" s="1061">
        <f t="shared" si="242"/>
        <v>2.2115384615384612</v>
      </c>
      <c r="H577" s="1049"/>
      <c r="I577" s="1060"/>
      <c r="J577" s="1057">
        <v>23</v>
      </c>
      <c r="K577" s="1056">
        <v>24</v>
      </c>
      <c r="L577" s="1055">
        <v>1.58</v>
      </c>
      <c r="M577" s="1059">
        <v>4.3</v>
      </c>
      <c r="N577" s="1052">
        <f t="shared" si="243"/>
        <v>2.721518987341772</v>
      </c>
      <c r="O577" s="1049"/>
      <c r="P577" s="1058"/>
      <c r="Q577" s="1057">
        <v>23</v>
      </c>
      <c r="R577" s="1056">
        <v>24</v>
      </c>
      <c r="S577" s="1055">
        <v>2.6819999999999999</v>
      </c>
      <c r="T577" s="1054">
        <f t="shared" si="244"/>
        <v>3.3525</v>
      </c>
      <c r="U577" s="1053">
        <v>6.14</v>
      </c>
      <c r="V577" s="1052">
        <f t="shared" si="245"/>
        <v>2.2893363161819535</v>
      </c>
      <c r="W577" s="1049"/>
      <c r="X577" s="1051">
        <v>1.25</v>
      </c>
      <c r="Y577" s="1049"/>
      <c r="Z577" s="1050">
        <f t="shared" si="246"/>
        <v>1.2068999999999999</v>
      </c>
      <c r="AA577" s="1058"/>
      <c r="AB577" s="1057">
        <v>23</v>
      </c>
      <c r="AC577" s="1056">
        <v>24</v>
      </c>
      <c r="AD577" s="1055">
        <v>3.4990000000000001</v>
      </c>
      <c r="AE577" s="1137">
        <f t="shared" si="247"/>
        <v>0</v>
      </c>
      <c r="AF577" s="1136">
        <v>7.99</v>
      </c>
      <c r="AG577" s="1052">
        <f t="shared" si="248"/>
        <v>2.283509574164047</v>
      </c>
      <c r="AH577" s="1049"/>
      <c r="AI577" s="1136"/>
      <c r="AJ577" s="1049"/>
      <c r="AK577" s="1050">
        <f t="shared" si="249"/>
        <v>-2.7992000000000004</v>
      </c>
      <c r="AL577" s="1058"/>
      <c r="AM577" s="1058"/>
      <c r="AN577" s="1057">
        <v>23</v>
      </c>
      <c r="AO577" s="1056">
        <v>24</v>
      </c>
      <c r="AP577" s="1055">
        <v>0.25</v>
      </c>
      <c r="AQ577" s="1745">
        <f t="shared" si="250"/>
        <v>0</v>
      </c>
      <c r="AR577" s="1737">
        <v>0.43</v>
      </c>
      <c r="AS577" s="1052">
        <f t="shared" si="251"/>
        <v>1.72</v>
      </c>
      <c r="AT577" s="1049"/>
      <c r="AU577" s="1136"/>
      <c r="AV577" s="1049"/>
      <c r="AW577" s="1058"/>
      <c r="AX577" s="1057">
        <v>23</v>
      </c>
      <c r="AY577" s="1056">
        <v>24</v>
      </c>
      <c r="AZ577" s="1055">
        <v>0.13</v>
      </c>
      <c r="BA577" s="1736">
        <v>0.2</v>
      </c>
      <c r="BB577" s="1737">
        <f t="shared" si="252"/>
        <v>1.5384615384615385</v>
      </c>
      <c r="BC577" s="1049"/>
      <c r="BD577" s="1136"/>
      <c r="BE577" s="1049"/>
      <c r="BF577" s="1058"/>
      <c r="BG577" s="1057">
        <v>23</v>
      </c>
      <c r="BH577" s="1056">
        <v>24</v>
      </c>
      <c r="BI577" s="1874">
        <v>0.1</v>
      </c>
      <c r="BJ577" s="1736"/>
      <c r="BK577" s="1049"/>
      <c r="BL577" s="1058"/>
      <c r="BM577" s="1057">
        <v>23</v>
      </c>
      <c r="BN577" s="1056">
        <v>24</v>
      </c>
      <c r="BO577" s="1055"/>
      <c r="BP577" s="1055"/>
      <c r="BQ577" s="1049"/>
    </row>
    <row r="578" spans="1:69" ht="14.4">
      <c r="A578" s="1036"/>
      <c r="B578" s="1044"/>
      <c r="C578" s="1135"/>
      <c r="D578" s="1135"/>
      <c r="E578" s="1134"/>
      <c r="F578" s="1133"/>
      <c r="G578" s="1132"/>
      <c r="H578" s="1044"/>
      <c r="I578" s="1044" t="s">
        <v>1136</v>
      </c>
      <c r="J578" s="1046"/>
      <c r="K578" s="1046"/>
      <c r="L578" s="1129">
        <f>AVERAGE(L579:L602)</f>
        <v>1.2099166666666665</v>
      </c>
      <c r="M578" s="1131">
        <f>AVERAGE(M579:M602)</f>
        <v>4.97</v>
      </c>
      <c r="N578" s="1039">
        <f>AVERAGE(N579:N602)</f>
        <v>3.9559140614473391</v>
      </c>
      <c r="O578" s="1044"/>
      <c r="P578" s="1130" t="s">
        <v>1128</v>
      </c>
      <c r="Q578" s="1046"/>
      <c r="R578" s="1046"/>
      <c r="S578" s="1129">
        <f>AVERAGE(S579:S602)</f>
        <v>2.4759583333333333</v>
      </c>
      <c r="T578" s="1128">
        <f>SUM(T579:T602)</f>
        <v>73.732689999999991</v>
      </c>
      <c r="U578" s="1040">
        <f>AVERAGE(U579:U602)</f>
        <v>5.65625</v>
      </c>
      <c r="V578" s="1039">
        <f>AVERAGE(V579:V602)</f>
        <v>2.2278815797929066</v>
      </c>
      <c r="W578" s="1036"/>
      <c r="X578" s="1038">
        <f>AVERAGE(X587:X602)</f>
        <v>1.4449999999999998</v>
      </c>
      <c r="Y578" s="1036"/>
      <c r="Z578" s="1127">
        <f>SUM(Z579:Z602)</f>
        <v>29.070439999999998</v>
      </c>
      <c r="AA578" s="1130"/>
      <c r="AB578" s="1046"/>
      <c r="AC578" s="1046"/>
      <c r="AD578" s="1129">
        <f>AVERAGE(AD579:AD602)</f>
        <v>2.6837500000000003</v>
      </c>
      <c r="AE578" s="1128">
        <f>SUM(AE579:AE602)</f>
        <v>0</v>
      </c>
      <c r="AF578" s="1040">
        <f>AVERAGE(AF579:AF602)</f>
        <v>7.5004166666666672</v>
      </c>
      <c r="AG578" s="1039">
        <f>AVERAGE(AG579:AG602)</f>
        <v>2.7607542094059965</v>
      </c>
      <c r="AH578" s="1036"/>
      <c r="AI578" s="1038" t="e">
        <f>AVERAGE(AI587:AI602)</f>
        <v>#DIV/0!</v>
      </c>
      <c r="AJ578" s="1036"/>
      <c r="AK578" s="1127">
        <f>SUM(AK579:AK602)</f>
        <v>-41.559999999999995</v>
      </c>
      <c r="AL578" s="1036"/>
      <c r="AM578" s="1130"/>
      <c r="AN578" s="1046"/>
      <c r="AO578" s="1046"/>
      <c r="AP578" s="1129">
        <f>AVERAGE(AP579:AP602)</f>
        <v>0.3075</v>
      </c>
      <c r="AQ578" s="1734">
        <f>SUM(AQ579:AQ602)</f>
        <v>0</v>
      </c>
      <c r="AR578" s="1735">
        <f>AVERAGE(AR579:AR602)</f>
        <v>0.60583333333333333</v>
      </c>
      <c r="AS578" s="1039">
        <f>AVERAGE(AS579:AS602)</f>
        <v>1.7875039123569192</v>
      </c>
      <c r="AT578" s="1036"/>
      <c r="AU578" s="1038" t="e">
        <f>AVERAGE(AU587:AU602)</f>
        <v>#DIV/0!</v>
      </c>
      <c r="AV578" s="1036"/>
      <c r="AW578" s="1130"/>
      <c r="AX578" s="1046"/>
      <c r="AY578" s="1046"/>
      <c r="AZ578" s="1129">
        <f>AVERAGE(AZ579:AZ602)</f>
        <v>0.34499999999999997</v>
      </c>
      <c r="BA578" s="1045">
        <f>AVERAGE(BA579:BA602)</f>
        <v>0.50416666666666665</v>
      </c>
      <c r="BB578" s="1039">
        <f>AVERAGE(BB579:BB602)</f>
        <v>1.3932362956952691</v>
      </c>
      <c r="BC578" s="1036"/>
      <c r="BD578" s="1038" t="e">
        <f>AVERAGE(BD587:BD602)</f>
        <v>#DIV/0!</v>
      </c>
      <c r="BE578" s="1036"/>
      <c r="BF578" s="1130"/>
      <c r="BG578" s="2756">
        <f>BF579</f>
        <v>45040</v>
      </c>
      <c r="BH578" s="2756"/>
      <c r="BI578" s="1897">
        <f>SUM(BI579:BI602)</f>
        <v>7.2999999999999989</v>
      </c>
      <c r="BJ578" s="1898">
        <f>SUM(BJ579:BJ602)</f>
        <v>0</v>
      </c>
      <c r="BK578" s="1036"/>
      <c r="BL578" s="1130"/>
      <c r="BM578" s="1046"/>
      <c r="BN578" s="1046"/>
      <c r="BO578" s="1129" t="e">
        <f>AVERAGE(BO579:BO602)</f>
        <v>#DIV/0!</v>
      </c>
      <c r="BP578" s="1129" t="e">
        <f>AVERAGE(BP579:BP602)</f>
        <v>#DIV/0!</v>
      </c>
      <c r="BQ578" s="1036"/>
    </row>
    <row r="579" spans="1:69" ht="14.4">
      <c r="A579" s="1049"/>
      <c r="B579" s="1126" t="s">
        <v>1140</v>
      </c>
      <c r="C579" s="1057">
        <v>0</v>
      </c>
      <c r="D579" s="1056">
        <v>1</v>
      </c>
      <c r="E579" s="1063">
        <v>0.43</v>
      </c>
      <c r="F579" s="1062">
        <v>0.87</v>
      </c>
      <c r="G579" s="1061">
        <f t="shared" ref="G579:G602" si="253">F579/E579</f>
        <v>2.0232558139534884</v>
      </c>
      <c r="H579" s="1049"/>
      <c r="I579" s="1126">
        <v>44889</v>
      </c>
      <c r="J579" s="1057">
        <v>0</v>
      </c>
      <c r="K579" s="1056">
        <v>1</v>
      </c>
      <c r="L579" s="1055">
        <v>0.64</v>
      </c>
      <c r="M579" s="1059">
        <v>1.89</v>
      </c>
      <c r="N579" s="1052">
        <f t="shared" ref="N579:N602" si="254">M579/L579</f>
        <v>2.953125</v>
      </c>
      <c r="O579" s="1049"/>
      <c r="P579" s="1125">
        <v>44919</v>
      </c>
      <c r="Q579" s="1057">
        <v>0</v>
      </c>
      <c r="R579" s="1056">
        <v>1</v>
      </c>
      <c r="S579" s="1055">
        <v>2.0630000000000002</v>
      </c>
      <c r="T579" s="1054">
        <f t="shared" ref="T579:T602" si="255">S579*X579</f>
        <v>1.8360700000000001</v>
      </c>
      <c r="U579" s="1064">
        <v>3.98</v>
      </c>
      <c r="V579" s="1052">
        <f t="shared" ref="V579:V602" si="256">U579/S579</f>
        <v>1.9292292777508482</v>
      </c>
      <c r="W579" s="1049"/>
      <c r="X579" s="1051">
        <v>0.89</v>
      </c>
      <c r="Y579" s="1049"/>
      <c r="Z579" s="1050">
        <f>S579*(X579-0.8)</f>
        <v>0.18566999999999995</v>
      </c>
      <c r="AA579" s="1125">
        <v>44950</v>
      </c>
      <c r="AB579" s="1057">
        <v>0</v>
      </c>
      <c r="AC579" s="1056">
        <v>1</v>
      </c>
      <c r="AD579" s="1055">
        <v>2.0699999999999998</v>
      </c>
      <c r="AE579" s="1137">
        <f t="shared" ref="AE579:AE602" si="257">AD579*AI579</f>
        <v>0</v>
      </c>
      <c r="AF579" s="1136">
        <v>4.8899999999999997</v>
      </c>
      <c r="AG579" s="1052">
        <f t="shared" ref="AG579:AG602" si="258">AF579/AD579</f>
        <v>2.36231884057971</v>
      </c>
      <c r="AH579" s="1049"/>
      <c r="AI579" s="1136"/>
      <c r="AJ579" s="1049"/>
      <c r="AK579" s="1050">
        <f>AD579*(AI579-0.8)</f>
        <v>-1.6559999999999999</v>
      </c>
      <c r="AL579" s="1049"/>
      <c r="AM579" s="1125">
        <v>44981</v>
      </c>
      <c r="AN579" s="1057">
        <v>0</v>
      </c>
      <c r="AO579" s="1056">
        <v>1</v>
      </c>
      <c r="AP579" s="1055">
        <v>0.13</v>
      </c>
      <c r="AQ579" s="1745">
        <f t="shared" ref="AQ579:AQ602" si="259">AP579*AU579</f>
        <v>0</v>
      </c>
      <c r="AR579" s="1737">
        <v>0.22</v>
      </c>
      <c r="AS579" s="1052">
        <f t="shared" ref="AS579:AS602" si="260">AR579/AP579</f>
        <v>1.6923076923076923</v>
      </c>
      <c r="AT579" s="1049"/>
      <c r="AU579" s="1136"/>
      <c r="AV579" s="1049"/>
      <c r="AW579" s="1125">
        <v>45009</v>
      </c>
      <c r="AX579" s="1057">
        <v>0</v>
      </c>
      <c r="AY579" s="1056">
        <v>1</v>
      </c>
      <c r="AZ579" s="1055">
        <v>0.1</v>
      </c>
      <c r="BA579" s="1736">
        <v>0.13</v>
      </c>
      <c r="BB579" s="1737">
        <f t="shared" ref="BB579:BB602" si="261">BA579/AZ579</f>
        <v>1.3</v>
      </c>
      <c r="BC579" s="1049"/>
      <c r="BD579" s="1136"/>
      <c r="BE579" s="1049"/>
      <c r="BF579" s="1125">
        <v>45040</v>
      </c>
      <c r="BG579" s="1057">
        <v>0</v>
      </c>
      <c r="BH579" s="1056">
        <v>1</v>
      </c>
      <c r="BI579" s="1874">
        <v>0.15</v>
      </c>
      <c r="BJ579" s="1736"/>
      <c r="BK579" s="1049"/>
      <c r="BL579" s="1125">
        <v>45040</v>
      </c>
      <c r="BM579" s="1057">
        <v>0</v>
      </c>
      <c r="BN579" s="1056">
        <v>1</v>
      </c>
      <c r="BO579" s="1055"/>
      <c r="BP579" s="1055"/>
      <c r="BQ579" s="1049"/>
    </row>
    <row r="580" spans="1:69" ht="14.4">
      <c r="A580" s="1049"/>
      <c r="B580" s="1124"/>
      <c r="C580" s="1057">
        <v>1</v>
      </c>
      <c r="D580" s="1056">
        <v>2</v>
      </c>
      <c r="E580" s="1063">
        <v>0.22</v>
      </c>
      <c r="F580" s="1062">
        <v>0.43</v>
      </c>
      <c r="G580" s="1061">
        <f t="shared" si="253"/>
        <v>1.9545454545454546</v>
      </c>
      <c r="H580" s="1049"/>
      <c r="I580" s="1124"/>
      <c r="J580" s="1057">
        <v>1</v>
      </c>
      <c r="K580" s="1056">
        <v>2</v>
      </c>
      <c r="L580" s="1055">
        <v>0.55000000000000004</v>
      </c>
      <c r="M580" s="1059">
        <v>1.55</v>
      </c>
      <c r="N580" s="1052">
        <f t="shared" si="254"/>
        <v>2.8181818181818179</v>
      </c>
      <c r="O580" s="1049"/>
      <c r="P580" s="1123"/>
      <c r="Q580" s="1057">
        <v>1</v>
      </c>
      <c r="R580" s="1056">
        <v>2</v>
      </c>
      <c r="S580" s="1055">
        <v>1.78</v>
      </c>
      <c r="T580" s="1054">
        <f t="shared" si="255"/>
        <v>1.0680000000000001</v>
      </c>
      <c r="U580" s="1064">
        <v>2.93</v>
      </c>
      <c r="V580" s="1052">
        <f t="shared" si="256"/>
        <v>1.6460674157303372</v>
      </c>
      <c r="W580" s="1049"/>
      <c r="X580" s="1051">
        <v>0.6</v>
      </c>
      <c r="Y580" s="1049"/>
      <c r="Z580" s="1050"/>
      <c r="AA580" s="1123"/>
      <c r="AB580" s="1057">
        <v>1</v>
      </c>
      <c r="AC580" s="1056">
        <v>2</v>
      </c>
      <c r="AD580" s="1055">
        <v>1.94</v>
      </c>
      <c r="AE580" s="1137">
        <f t="shared" si="257"/>
        <v>0</v>
      </c>
      <c r="AF580" s="1136">
        <v>4.4800000000000004</v>
      </c>
      <c r="AG580" s="1052">
        <f t="shared" si="258"/>
        <v>2.3092783505154642</v>
      </c>
      <c r="AH580" s="1049"/>
      <c r="AI580" s="1136"/>
      <c r="AJ580" s="1049"/>
      <c r="AK580" s="1050"/>
      <c r="AL580" s="1049"/>
      <c r="AM580" s="1123"/>
      <c r="AN580" s="1057">
        <v>1</v>
      </c>
      <c r="AO580" s="1056">
        <v>2</v>
      </c>
      <c r="AP580" s="1055">
        <v>0.1</v>
      </c>
      <c r="AQ580" s="1745">
        <f t="shared" si="259"/>
        <v>0</v>
      </c>
      <c r="AR580" s="1737">
        <v>0.17</v>
      </c>
      <c r="AS580" s="1052">
        <f t="shared" si="260"/>
        <v>1.7</v>
      </c>
      <c r="AT580" s="1049"/>
      <c r="AU580" s="1136"/>
      <c r="AV580" s="1049"/>
      <c r="AW580" s="1123"/>
      <c r="AX580" s="1057">
        <v>1</v>
      </c>
      <c r="AY580" s="1056">
        <v>2</v>
      </c>
      <c r="AZ580" s="1055">
        <v>0.12</v>
      </c>
      <c r="BA580" s="1736">
        <v>0.15</v>
      </c>
      <c r="BB580" s="1737">
        <f t="shared" si="261"/>
        <v>1.25</v>
      </c>
      <c r="BC580" s="1049"/>
      <c r="BD580" s="1136"/>
      <c r="BE580" s="1049"/>
      <c r="BF580" s="1123"/>
      <c r="BG580" s="1057">
        <v>1</v>
      </c>
      <c r="BH580" s="1056">
        <v>2</v>
      </c>
      <c r="BI580" s="1874">
        <v>0.14000000000000001</v>
      </c>
      <c r="BJ580" s="1736"/>
      <c r="BK580" s="1049"/>
      <c r="BL580" s="1123"/>
      <c r="BM580" s="1057">
        <v>1</v>
      </c>
      <c r="BN580" s="1056">
        <v>2</v>
      </c>
      <c r="BO580" s="1055"/>
      <c r="BP580" s="1055"/>
      <c r="BQ580" s="1049"/>
    </row>
    <row r="581" spans="1:69" ht="14.4">
      <c r="A581" s="1049"/>
      <c r="B581" s="1122">
        <f>SUM(E579:E602)</f>
        <v>13.660000000000004</v>
      </c>
      <c r="C581" s="1057">
        <v>2</v>
      </c>
      <c r="D581" s="1056">
        <v>3</v>
      </c>
      <c r="E581" s="1063">
        <v>0.18</v>
      </c>
      <c r="F581" s="1062">
        <v>0.34</v>
      </c>
      <c r="G581" s="1061">
        <f t="shared" si="253"/>
        <v>1.8888888888888891</v>
      </c>
      <c r="H581" s="1049"/>
      <c r="I581" s="1122">
        <f>SUM(L579:L602)</f>
        <v>29.037999999999997</v>
      </c>
      <c r="J581" s="1057">
        <v>2</v>
      </c>
      <c r="K581" s="1056">
        <v>3</v>
      </c>
      <c r="L581" s="1055">
        <v>0.621</v>
      </c>
      <c r="M581" s="1059">
        <v>1.74</v>
      </c>
      <c r="N581" s="1052">
        <f t="shared" si="254"/>
        <v>2.8019323671497585</v>
      </c>
      <c r="O581" s="1049"/>
      <c r="P581" s="1121">
        <f>SUM(S579:S602)</f>
        <v>59.423000000000002</v>
      </c>
      <c r="Q581" s="1057">
        <v>2</v>
      </c>
      <c r="R581" s="1056">
        <v>3</v>
      </c>
      <c r="S581" s="1055">
        <v>1.8280000000000001</v>
      </c>
      <c r="T581" s="1054">
        <f t="shared" si="255"/>
        <v>1.0968</v>
      </c>
      <c r="U581" s="1064">
        <v>3</v>
      </c>
      <c r="V581" s="1052">
        <f t="shared" si="256"/>
        <v>1.6411378555798686</v>
      </c>
      <c r="W581" s="1049"/>
      <c r="X581" s="1051">
        <v>0.6</v>
      </c>
      <c r="Y581" s="1049"/>
      <c r="Z581" s="1050"/>
      <c r="AA581" s="1121">
        <f>SUM(AD579:AD602)</f>
        <v>64.410000000000011</v>
      </c>
      <c r="AB581" s="1057">
        <v>2</v>
      </c>
      <c r="AC581" s="1056">
        <v>3</v>
      </c>
      <c r="AD581" s="1055">
        <v>2.02</v>
      </c>
      <c r="AE581" s="1137">
        <f t="shared" si="257"/>
        <v>0</v>
      </c>
      <c r="AF581" s="1136">
        <v>4.4000000000000004</v>
      </c>
      <c r="AG581" s="1052">
        <f t="shared" si="258"/>
        <v>2.1782178217821784</v>
      </c>
      <c r="AH581" s="1049"/>
      <c r="AI581" s="1136"/>
      <c r="AJ581" s="1049"/>
      <c r="AK581" s="1050"/>
      <c r="AL581" s="1049"/>
      <c r="AM581" s="1121">
        <f>SUM(AP579:AP602)</f>
        <v>7.38</v>
      </c>
      <c r="AN581" s="1057">
        <v>2</v>
      </c>
      <c r="AO581" s="1056">
        <v>3</v>
      </c>
      <c r="AP581" s="1055">
        <v>0.13</v>
      </c>
      <c r="AQ581" s="1745">
        <f t="shared" si="259"/>
        <v>0</v>
      </c>
      <c r="AR581" s="1737">
        <v>0.22</v>
      </c>
      <c r="AS581" s="1052">
        <f t="shared" si="260"/>
        <v>1.6923076923076923</v>
      </c>
      <c r="AT581" s="1049"/>
      <c r="AU581" s="1136"/>
      <c r="AV581" s="1049"/>
      <c r="AW581" s="1121">
        <f>SUM(AZ579:AZ602)</f>
        <v>8.2799999999999994</v>
      </c>
      <c r="AX581" s="1057">
        <v>2</v>
      </c>
      <c r="AY581" s="1056">
        <v>3</v>
      </c>
      <c r="AZ581" s="1055">
        <v>0.15</v>
      </c>
      <c r="BA581" s="1736">
        <v>0.18</v>
      </c>
      <c r="BB581" s="1737">
        <f t="shared" si="261"/>
        <v>1.2</v>
      </c>
      <c r="BC581" s="1049"/>
      <c r="BD581" s="1136"/>
      <c r="BE581" s="1049"/>
      <c r="BF581" s="1121">
        <f>SUM(BI579:BI602)</f>
        <v>7.2999999999999989</v>
      </c>
      <c r="BG581" s="1057">
        <v>2</v>
      </c>
      <c r="BH581" s="1056">
        <v>3</v>
      </c>
      <c r="BI581" s="1874">
        <v>0.14000000000000001</v>
      </c>
      <c r="BJ581" s="1736"/>
      <c r="BK581" s="1049"/>
      <c r="BL581" s="1121">
        <f>SUM(BO579:BO602)+SUM(BP579:BP602)</f>
        <v>0</v>
      </c>
      <c r="BM581" s="1057">
        <v>2</v>
      </c>
      <c r="BN581" s="1056">
        <v>3</v>
      </c>
      <c r="BO581" s="1055"/>
      <c r="BP581" s="1055"/>
      <c r="BQ581" s="1049"/>
    </row>
    <row r="582" spans="1:69" ht="14.4">
      <c r="A582" s="1049"/>
      <c r="B582" s="1120">
        <f>B581/24</f>
        <v>0.56916666666666682</v>
      </c>
      <c r="C582" s="1057">
        <v>3</v>
      </c>
      <c r="D582" s="1056">
        <v>4</v>
      </c>
      <c r="E582" s="1063">
        <v>0.21</v>
      </c>
      <c r="F582" s="1062">
        <v>0.38</v>
      </c>
      <c r="G582" s="1061">
        <f t="shared" si="253"/>
        <v>1.8095238095238095</v>
      </c>
      <c r="H582" s="1049"/>
      <c r="I582" s="1120">
        <f>I581/24</f>
        <v>1.2099166666666665</v>
      </c>
      <c r="J582" s="1057">
        <v>3</v>
      </c>
      <c r="K582" s="1056">
        <v>4</v>
      </c>
      <c r="L582" s="1055">
        <v>0.57599999999999996</v>
      </c>
      <c r="M582" s="1059">
        <v>1.59</v>
      </c>
      <c r="N582" s="1052">
        <f t="shared" si="254"/>
        <v>2.760416666666667</v>
      </c>
      <c r="O582" s="1049"/>
      <c r="P582" s="1120">
        <f>P581/24</f>
        <v>2.4759583333333333</v>
      </c>
      <c r="Q582" s="1057">
        <v>3</v>
      </c>
      <c r="R582" s="1056">
        <v>4</v>
      </c>
      <c r="S582" s="1055">
        <v>2.2170000000000001</v>
      </c>
      <c r="T582" s="1054">
        <f t="shared" si="255"/>
        <v>0.97548000000000001</v>
      </c>
      <c r="U582" s="1064">
        <v>3.29</v>
      </c>
      <c r="V582" s="1052">
        <f t="shared" si="256"/>
        <v>1.4839873703202526</v>
      </c>
      <c r="W582" s="1049"/>
      <c r="X582" s="1051">
        <v>0.44</v>
      </c>
      <c r="Y582" s="1049"/>
      <c r="Z582" s="1050"/>
      <c r="AA582" s="1120">
        <f>AA581/24</f>
        <v>2.6837500000000003</v>
      </c>
      <c r="AB582" s="1057">
        <v>3</v>
      </c>
      <c r="AC582" s="1056">
        <v>4</v>
      </c>
      <c r="AD582" s="1055">
        <v>1.98</v>
      </c>
      <c r="AE582" s="1137">
        <f t="shared" si="257"/>
        <v>0</v>
      </c>
      <c r="AF582" s="1136">
        <v>4.24</v>
      </c>
      <c r="AG582" s="1052">
        <f t="shared" si="258"/>
        <v>2.1414141414141414</v>
      </c>
      <c r="AH582" s="1049"/>
      <c r="AI582" s="1136"/>
      <c r="AJ582" s="1049"/>
      <c r="AK582" s="1050"/>
      <c r="AL582" s="1049"/>
      <c r="AM582" s="1120">
        <f>AM581/24</f>
        <v>0.3075</v>
      </c>
      <c r="AN582" s="1057">
        <v>3</v>
      </c>
      <c r="AO582" s="1056">
        <v>4</v>
      </c>
      <c r="AP582" s="1055">
        <v>0.1</v>
      </c>
      <c r="AQ582" s="1745">
        <f t="shared" si="259"/>
        <v>0</v>
      </c>
      <c r="AR582" s="1737">
        <v>0.17</v>
      </c>
      <c r="AS582" s="1052">
        <f t="shared" si="260"/>
        <v>1.7</v>
      </c>
      <c r="AT582" s="1049"/>
      <c r="AU582" s="1136"/>
      <c r="AV582" s="1049"/>
      <c r="AW582" s="1120">
        <f>AW581/24</f>
        <v>0.34499999999999997</v>
      </c>
      <c r="AX582" s="1057">
        <v>3</v>
      </c>
      <c r="AY582" s="1056">
        <v>4</v>
      </c>
      <c r="AZ582" s="1055">
        <v>0.1</v>
      </c>
      <c r="BA582" s="1736">
        <v>0.12</v>
      </c>
      <c r="BB582" s="1737">
        <f t="shared" si="261"/>
        <v>1.2</v>
      </c>
      <c r="BC582" s="1049"/>
      <c r="BD582" s="1136"/>
      <c r="BE582" s="1049"/>
      <c r="BF582" s="1120">
        <f>BF581/24</f>
        <v>0.30416666666666664</v>
      </c>
      <c r="BG582" s="1057">
        <v>3</v>
      </c>
      <c r="BH582" s="1056">
        <v>4</v>
      </c>
      <c r="BI582" s="1874">
        <v>0.1</v>
      </c>
      <c r="BJ582" s="1736"/>
      <c r="BK582" s="1049"/>
      <c r="BL582" s="1120">
        <f>BL581/24</f>
        <v>0</v>
      </c>
      <c r="BM582" s="1057">
        <v>3</v>
      </c>
      <c r="BN582" s="1056">
        <v>4</v>
      </c>
      <c r="BO582" s="1055"/>
      <c r="BP582" s="1055"/>
      <c r="BQ582" s="1049"/>
    </row>
    <row r="583" spans="1:69" ht="14.4">
      <c r="A583" s="1049"/>
      <c r="B583" s="1119"/>
      <c r="C583" s="1057">
        <v>4</v>
      </c>
      <c r="D583" s="1056">
        <v>5</v>
      </c>
      <c r="E583" s="1063">
        <v>0.18</v>
      </c>
      <c r="F583" s="1062">
        <v>0.33</v>
      </c>
      <c r="G583" s="1061">
        <f t="shared" si="253"/>
        <v>1.8333333333333335</v>
      </c>
      <c r="H583" s="1049"/>
      <c r="I583" s="1119"/>
      <c r="J583" s="1057">
        <v>4</v>
      </c>
      <c r="K583" s="1056">
        <v>5</v>
      </c>
      <c r="L583" s="1055">
        <v>0.65100000000000002</v>
      </c>
      <c r="M583" s="1059">
        <v>1.84</v>
      </c>
      <c r="N583" s="1052">
        <f t="shared" si="254"/>
        <v>2.8264208909370199</v>
      </c>
      <c r="O583" s="1049"/>
      <c r="P583" s="1118"/>
      <c r="Q583" s="1057">
        <v>4</v>
      </c>
      <c r="R583" s="1056">
        <v>5</v>
      </c>
      <c r="S583" s="1055">
        <v>2.0510000000000002</v>
      </c>
      <c r="T583" s="1054">
        <f t="shared" si="255"/>
        <v>0.98448000000000002</v>
      </c>
      <c r="U583" s="1064">
        <v>3.12</v>
      </c>
      <c r="V583" s="1052">
        <f t="shared" si="256"/>
        <v>1.5212091662603608</v>
      </c>
      <c r="W583" s="1049"/>
      <c r="X583" s="1051">
        <v>0.48</v>
      </c>
      <c r="Y583" s="1049"/>
      <c r="Z583" s="1050"/>
      <c r="AA583" s="1118"/>
      <c r="AB583" s="1057">
        <v>4</v>
      </c>
      <c r="AC583" s="1056">
        <v>5</v>
      </c>
      <c r="AD583" s="1055">
        <v>2</v>
      </c>
      <c r="AE583" s="1137">
        <f t="shared" si="257"/>
        <v>0</v>
      </c>
      <c r="AF583" s="1136">
        <v>4.5</v>
      </c>
      <c r="AG583" s="1052">
        <f t="shared" si="258"/>
        <v>2.25</v>
      </c>
      <c r="AH583" s="1049"/>
      <c r="AI583" s="1136"/>
      <c r="AJ583" s="1049"/>
      <c r="AK583" s="1050"/>
      <c r="AL583" s="1049"/>
      <c r="AM583" s="1118"/>
      <c r="AN583" s="1057">
        <v>4</v>
      </c>
      <c r="AO583" s="1056">
        <v>5</v>
      </c>
      <c r="AP583" s="1055">
        <v>0.13</v>
      </c>
      <c r="AQ583" s="1745">
        <f t="shared" si="259"/>
        <v>0</v>
      </c>
      <c r="AR583" s="1737">
        <v>0.21</v>
      </c>
      <c r="AS583" s="1052">
        <f t="shared" si="260"/>
        <v>1.6153846153846152</v>
      </c>
      <c r="AT583" s="1049"/>
      <c r="AU583" s="1136"/>
      <c r="AV583" s="1049"/>
      <c r="AW583" s="1118"/>
      <c r="AX583" s="1057">
        <v>4</v>
      </c>
      <c r="AY583" s="1056">
        <v>5</v>
      </c>
      <c r="AZ583" s="1055">
        <v>0.11</v>
      </c>
      <c r="BA583" s="1736">
        <v>0.13</v>
      </c>
      <c r="BB583" s="1737">
        <f t="shared" si="261"/>
        <v>1.1818181818181819</v>
      </c>
      <c r="BC583" s="1049"/>
      <c r="BD583" s="1136"/>
      <c r="BE583" s="1049"/>
      <c r="BF583" s="1118"/>
      <c r="BG583" s="1057">
        <v>4</v>
      </c>
      <c r="BH583" s="1056">
        <v>5</v>
      </c>
      <c r="BI583" s="1874">
        <v>0.1</v>
      </c>
      <c r="BJ583" s="1736"/>
      <c r="BK583" s="1049"/>
      <c r="BL583" s="1118"/>
      <c r="BM583" s="1057">
        <v>4</v>
      </c>
      <c r="BN583" s="1056">
        <v>5</v>
      </c>
      <c r="BO583" s="1055"/>
      <c r="BP583" s="1055"/>
      <c r="BQ583" s="1049"/>
    </row>
    <row r="584" spans="1:69" ht="15" thickBot="1">
      <c r="A584" s="1049"/>
      <c r="B584" s="1058">
        <f>SUM(F579:F602)</f>
        <v>33.260000000000005</v>
      </c>
      <c r="C584" s="1111">
        <v>5</v>
      </c>
      <c r="D584" s="1110">
        <v>6</v>
      </c>
      <c r="E584" s="1117">
        <v>0.21</v>
      </c>
      <c r="F584" s="1116">
        <v>0.43</v>
      </c>
      <c r="G584" s="1115">
        <f t="shared" si="253"/>
        <v>2.0476190476190474</v>
      </c>
      <c r="H584" s="1049"/>
      <c r="I584" s="1058">
        <f>SUM(M579:M602)</f>
        <v>119.28</v>
      </c>
      <c r="J584" s="1111">
        <v>5</v>
      </c>
      <c r="K584" s="1110">
        <v>6</v>
      </c>
      <c r="L584" s="1109">
        <v>0.66500000000000004</v>
      </c>
      <c r="M584" s="1114">
        <v>2.0299999999999998</v>
      </c>
      <c r="N584" s="1113">
        <f t="shared" si="254"/>
        <v>3.0526315789473681</v>
      </c>
      <c r="O584" s="1049"/>
      <c r="P584" s="1112">
        <f>SUM(U579:U602)</f>
        <v>135.75</v>
      </c>
      <c r="Q584" s="1111">
        <v>5</v>
      </c>
      <c r="R584" s="1110">
        <v>6</v>
      </c>
      <c r="S584" s="1109">
        <v>1.994</v>
      </c>
      <c r="T584" s="1054">
        <f t="shared" si="255"/>
        <v>1.15652</v>
      </c>
      <c r="U584" s="1064">
        <v>3.24</v>
      </c>
      <c r="V584" s="1052">
        <f t="shared" si="256"/>
        <v>1.624874623871615</v>
      </c>
      <c r="W584" s="1049"/>
      <c r="X584" s="1074">
        <v>0.57999999999999996</v>
      </c>
      <c r="Y584" s="1049"/>
      <c r="Z584" s="1050"/>
      <c r="AA584" s="1112">
        <f>SUM(AF579:AF602)</f>
        <v>180.01000000000002</v>
      </c>
      <c r="AB584" s="1111">
        <v>5</v>
      </c>
      <c r="AC584" s="1110">
        <v>6</v>
      </c>
      <c r="AD584" s="1109">
        <v>2.0499999999999998</v>
      </c>
      <c r="AE584" s="1147">
        <f t="shared" si="257"/>
        <v>0</v>
      </c>
      <c r="AF584" s="1146">
        <v>4.66</v>
      </c>
      <c r="AG584" s="1052">
        <f t="shared" si="258"/>
        <v>2.2731707317073173</v>
      </c>
      <c r="AH584" s="1049"/>
      <c r="AI584" s="1146"/>
      <c r="AJ584" s="1049"/>
      <c r="AK584" s="1050"/>
      <c r="AL584" s="1049"/>
      <c r="AM584" s="1112">
        <f>SUM(AR579:AR602)</f>
        <v>14.54</v>
      </c>
      <c r="AN584" s="1111">
        <v>5</v>
      </c>
      <c r="AO584" s="1110">
        <v>6</v>
      </c>
      <c r="AP584" s="1109">
        <v>0.06</v>
      </c>
      <c r="AQ584" s="1746">
        <f t="shared" si="259"/>
        <v>0</v>
      </c>
      <c r="AR584" s="1739">
        <v>0.1</v>
      </c>
      <c r="AS584" s="1052">
        <f t="shared" si="260"/>
        <v>1.6666666666666667</v>
      </c>
      <c r="AT584" s="1049"/>
      <c r="AU584" s="1146"/>
      <c r="AV584" s="1049"/>
      <c r="AW584" s="1112">
        <f>SUM(BA579:BA602)</f>
        <v>12.1</v>
      </c>
      <c r="AX584" s="1111">
        <v>5</v>
      </c>
      <c r="AY584" s="1110">
        <v>6</v>
      </c>
      <c r="AZ584" s="1109">
        <v>0.1</v>
      </c>
      <c r="BA584" s="1738">
        <v>0.12</v>
      </c>
      <c r="BB584" s="1739">
        <f t="shared" si="261"/>
        <v>1.2</v>
      </c>
      <c r="BC584" s="1049"/>
      <c r="BD584" s="1146"/>
      <c r="BE584" s="1049"/>
      <c r="BF584" s="1112">
        <f>SUM(BJ579:BJ602)</f>
        <v>0</v>
      </c>
      <c r="BG584" s="1111">
        <v>5</v>
      </c>
      <c r="BH584" s="1110">
        <v>6</v>
      </c>
      <c r="BI584" s="1874">
        <v>0.24</v>
      </c>
      <c r="BJ584" s="1738"/>
      <c r="BK584" s="1049"/>
      <c r="BL584" s="1112">
        <f>SUM(BP579:BP602)</f>
        <v>0</v>
      </c>
      <c r="BM584" s="1111">
        <v>5</v>
      </c>
      <c r="BN584" s="1110">
        <v>6</v>
      </c>
      <c r="BO584" s="1109"/>
      <c r="BP584" s="1109"/>
      <c r="BQ584" s="1049"/>
    </row>
    <row r="585" spans="1:69" ht="14.4">
      <c r="A585" s="1049"/>
      <c r="B585" s="1093">
        <f>B584/B581</f>
        <v>2.4348462664714492</v>
      </c>
      <c r="C585" s="1100">
        <v>6</v>
      </c>
      <c r="D585" s="1099">
        <v>7</v>
      </c>
      <c r="E585" s="1107">
        <v>0.19</v>
      </c>
      <c r="F585" s="1106">
        <v>0.42</v>
      </c>
      <c r="G585" s="1105">
        <f t="shared" si="253"/>
        <v>2.2105263157894735</v>
      </c>
      <c r="H585" s="1049"/>
      <c r="I585" s="1093">
        <f>I584/I581</f>
        <v>4.1077209174185558</v>
      </c>
      <c r="J585" s="1100">
        <v>6</v>
      </c>
      <c r="K585" s="1099">
        <v>7</v>
      </c>
      <c r="L585" s="1098">
        <v>0.92700000000000005</v>
      </c>
      <c r="M585" s="1103">
        <v>3.33</v>
      </c>
      <c r="N585" s="1102">
        <f t="shared" si="254"/>
        <v>3.5922330097087376</v>
      </c>
      <c r="O585" s="1049"/>
      <c r="P585" s="1093">
        <f>P584/P581</f>
        <v>2.2844689766588693</v>
      </c>
      <c r="Q585" s="1100">
        <v>6</v>
      </c>
      <c r="R585" s="1099">
        <v>7</v>
      </c>
      <c r="S585" s="1098">
        <v>2.0110000000000001</v>
      </c>
      <c r="T585" s="1054">
        <f t="shared" si="255"/>
        <v>1.3473700000000002</v>
      </c>
      <c r="U585" s="1064">
        <v>3.44</v>
      </c>
      <c r="V585" s="1052">
        <f t="shared" si="256"/>
        <v>1.7105917454002981</v>
      </c>
      <c r="W585" s="1049"/>
      <c r="X585" s="1108">
        <v>0.67</v>
      </c>
      <c r="Y585" s="1049"/>
      <c r="Z585" s="1050"/>
      <c r="AA585" s="1093">
        <f>AA584/AA581</f>
        <v>2.7947523676447754</v>
      </c>
      <c r="AB585" s="1100">
        <v>6</v>
      </c>
      <c r="AC585" s="1099">
        <v>7</v>
      </c>
      <c r="AD585" s="1098">
        <v>2.4700000000000002</v>
      </c>
      <c r="AE585" s="1145">
        <f t="shared" si="257"/>
        <v>0</v>
      </c>
      <c r="AF585" s="1144">
        <v>6.24</v>
      </c>
      <c r="AG585" s="1052">
        <f t="shared" si="258"/>
        <v>2.5263157894736841</v>
      </c>
      <c r="AH585" s="1049"/>
      <c r="AI585" s="1144"/>
      <c r="AJ585" s="1049"/>
      <c r="AK585" s="1050"/>
      <c r="AL585" s="1049"/>
      <c r="AM585" s="1093">
        <f>AM584/AM581</f>
        <v>1.9701897018970189</v>
      </c>
      <c r="AN585" s="1100">
        <v>6</v>
      </c>
      <c r="AO585" s="1099">
        <v>7</v>
      </c>
      <c r="AP585" s="1098">
        <v>0.14000000000000001</v>
      </c>
      <c r="AQ585" s="1747">
        <f t="shared" si="259"/>
        <v>0</v>
      </c>
      <c r="AR585" s="1741">
        <v>0.24</v>
      </c>
      <c r="AS585" s="1052">
        <f t="shared" si="260"/>
        <v>1.714285714285714</v>
      </c>
      <c r="AT585" s="1049"/>
      <c r="AU585" s="1144"/>
      <c r="AV585" s="1049"/>
      <c r="AW585" s="1093">
        <f>AW584/AW581</f>
        <v>1.461352657004831</v>
      </c>
      <c r="AX585" s="1100">
        <v>6</v>
      </c>
      <c r="AY585" s="1099">
        <v>7</v>
      </c>
      <c r="AZ585" s="1098">
        <v>0.27</v>
      </c>
      <c r="BA585" s="1740">
        <v>0.38</v>
      </c>
      <c r="BB585" s="1741">
        <f t="shared" si="261"/>
        <v>1.4074074074074074</v>
      </c>
      <c r="BC585" s="1049"/>
      <c r="BD585" s="1144"/>
      <c r="BE585" s="1049"/>
      <c r="BF585" s="1093">
        <f>BF584/BF581</f>
        <v>0</v>
      </c>
      <c r="BG585" s="1100">
        <v>6</v>
      </c>
      <c r="BH585" s="1099">
        <v>7</v>
      </c>
      <c r="BI585" s="1874">
        <v>0.22</v>
      </c>
      <c r="BJ585" s="1740"/>
      <c r="BK585" s="1049"/>
      <c r="BL585" s="1093" t="e">
        <f>BL584/BL581</f>
        <v>#DIV/0!</v>
      </c>
      <c r="BM585" s="1100">
        <v>6</v>
      </c>
      <c r="BN585" s="1099">
        <v>7</v>
      </c>
      <c r="BO585" s="1098"/>
      <c r="BP585" s="1098"/>
      <c r="BQ585" s="1049"/>
    </row>
    <row r="586" spans="1:69" ht="14.4">
      <c r="A586" s="1049"/>
      <c r="B586" s="1104"/>
      <c r="C586" s="1100">
        <v>7</v>
      </c>
      <c r="D586" s="1099">
        <v>8</v>
      </c>
      <c r="E586" s="1107">
        <v>0.25</v>
      </c>
      <c r="F586" s="1106">
        <v>0.62</v>
      </c>
      <c r="G586" s="1105">
        <f t="shared" si="253"/>
        <v>2.48</v>
      </c>
      <c r="H586" s="1049"/>
      <c r="I586" s="1104"/>
      <c r="J586" s="1100">
        <v>7</v>
      </c>
      <c r="K586" s="1099">
        <v>8</v>
      </c>
      <c r="L586" s="1098">
        <v>0.72599999999999998</v>
      </c>
      <c r="M586" s="1103">
        <v>3.18</v>
      </c>
      <c r="N586" s="1102">
        <f t="shared" si="254"/>
        <v>4.3801652892561984</v>
      </c>
      <c r="O586" s="1049"/>
      <c r="P586" s="1101"/>
      <c r="Q586" s="1100">
        <v>7</v>
      </c>
      <c r="R586" s="1099">
        <v>8</v>
      </c>
      <c r="S586" s="1098">
        <v>2</v>
      </c>
      <c r="T586" s="1054">
        <f t="shared" si="255"/>
        <v>2.08</v>
      </c>
      <c r="U586" s="1064">
        <v>4.18</v>
      </c>
      <c r="V586" s="1052">
        <f t="shared" si="256"/>
        <v>2.09</v>
      </c>
      <c r="W586" s="1049"/>
      <c r="X586" s="1065">
        <v>1.04</v>
      </c>
      <c r="Y586" s="1049"/>
      <c r="Z586" s="1050">
        <f t="shared" ref="Z586:Z602" si="262">S586*(X586-0.8)</f>
        <v>0.48</v>
      </c>
      <c r="AA586" s="1101"/>
      <c r="AB586" s="1100">
        <v>7</v>
      </c>
      <c r="AC586" s="1099">
        <v>8</v>
      </c>
      <c r="AD586" s="1098">
        <v>2.38</v>
      </c>
      <c r="AE586" s="1145">
        <f t="shared" si="257"/>
        <v>0</v>
      </c>
      <c r="AF586" s="1144">
        <v>6.6</v>
      </c>
      <c r="AG586" s="1052">
        <f t="shared" si="258"/>
        <v>2.7731092436974789</v>
      </c>
      <c r="AH586" s="1049"/>
      <c r="AI586" s="1144"/>
      <c r="AJ586" s="1049"/>
      <c r="AK586" s="1050">
        <f t="shared" ref="AK586:AK602" si="263">AD586*(AI586-0.8)</f>
        <v>-1.9039999999999999</v>
      </c>
      <c r="AL586" s="1049"/>
      <c r="AM586" s="1101"/>
      <c r="AN586" s="1100">
        <v>7</v>
      </c>
      <c r="AO586" s="1099">
        <v>8</v>
      </c>
      <c r="AP586" s="1098">
        <v>0.19</v>
      </c>
      <c r="AQ586" s="1747">
        <f t="shared" si="259"/>
        <v>0</v>
      </c>
      <c r="AR586" s="1741">
        <v>0.33</v>
      </c>
      <c r="AS586" s="1052">
        <f t="shared" si="260"/>
        <v>1.736842105263158</v>
      </c>
      <c r="AT586" s="1049"/>
      <c r="AU586" s="1144"/>
      <c r="AV586" s="1049"/>
      <c r="AW586" s="1101"/>
      <c r="AX586" s="1100">
        <v>7</v>
      </c>
      <c r="AY586" s="1099">
        <v>8</v>
      </c>
      <c r="AZ586" s="1098">
        <v>0.25</v>
      </c>
      <c r="BA586" s="1736">
        <v>0.39</v>
      </c>
      <c r="BB586" s="1741">
        <f t="shared" si="261"/>
        <v>1.56</v>
      </c>
      <c r="BC586" s="1049"/>
      <c r="BD586" s="1144"/>
      <c r="BE586" s="1049"/>
      <c r="BF586" s="1101"/>
      <c r="BG586" s="1100">
        <v>7</v>
      </c>
      <c r="BH586" s="1099">
        <v>8</v>
      </c>
      <c r="BI586" s="1874">
        <v>0.23</v>
      </c>
      <c r="BJ586" s="1736"/>
      <c r="BK586" s="1049"/>
      <c r="BL586" s="1101"/>
      <c r="BM586" s="1100">
        <v>7</v>
      </c>
      <c r="BN586" s="1099">
        <v>8</v>
      </c>
      <c r="BO586" s="1098"/>
      <c r="BP586" s="1098"/>
      <c r="BQ586" s="1049"/>
    </row>
    <row r="587" spans="1:69" ht="14.4">
      <c r="A587" s="1049"/>
      <c r="B587" s="1097">
        <f>B584/24</f>
        <v>1.3858333333333335</v>
      </c>
      <c r="C587" s="1086">
        <v>8</v>
      </c>
      <c r="D587" s="1085">
        <v>9</v>
      </c>
      <c r="E587" s="1091">
        <v>0.42</v>
      </c>
      <c r="F587" s="1090">
        <v>1.1299999999999999</v>
      </c>
      <c r="G587" s="1089">
        <f t="shared" si="253"/>
        <v>2.6904761904761902</v>
      </c>
      <c r="H587" s="1049"/>
      <c r="I587" s="1097">
        <f>I584/24</f>
        <v>4.97</v>
      </c>
      <c r="J587" s="1086">
        <v>8</v>
      </c>
      <c r="K587" s="1085">
        <v>9</v>
      </c>
      <c r="L587" s="1084">
        <v>0.98699999999999999</v>
      </c>
      <c r="M587" s="1088">
        <v>4.47</v>
      </c>
      <c r="N587" s="1087">
        <f t="shared" si="254"/>
        <v>4.5288753799392092</v>
      </c>
      <c r="O587" s="1049"/>
      <c r="P587" s="1096">
        <f>P584/24</f>
        <v>5.65625</v>
      </c>
      <c r="Q587" s="1086">
        <v>8</v>
      </c>
      <c r="R587" s="1085">
        <v>9</v>
      </c>
      <c r="S587" s="1084">
        <v>2.0150000000000001</v>
      </c>
      <c r="T587" s="1054">
        <f t="shared" si="255"/>
        <v>2.55905</v>
      </c>
      <c r="U587" s="1064">
        <v>4.66</v>
      </c>
      <c r="V587" s="1052">
        <f t="shared" si="256"/>
        <v>2.3126550868486353</v>
      </c>
      <c r="W587" s="1049"/>
      <c r="X587" s="1051">
        <v>1.27</v>
      </c>
      <c r="Y587" s="1049"/>
      <c r="Z587" s="1050">
        <f t="shared" si="262"/>
        <v>0.94705000000000006</v>
      </c>
      <c r="AA587" s="1096">
        <f>AA584/24</f>
        <v>7.5004166666666672</v>
      </c>
      <c r="AB587" s="1086">
        <v>8</v>
      </c>
      <c r="AC587" s="1085">
        <v>9</v>
      </c>
      <c r="AD587" s="1084">
        <v>2.68</v>
      </c>
      <c r="AE587" s="1143">
        <f t="shared" si="257"/>
        <v>0</v>
      </c>
      <c r="AF587" s="1142">
        <v>8.4600000000000009</v>
      </c>
      <c r="AG587" s="1052">
        <f t="shared" si="258"/>
        <v>3.1567164179104479</v>
      </c>
      <c r="AH587" s="1049"/>
      <c r="AI587" s="1142"/>
      <c r="AJ587" s="1049"/>
      <c r="AK587" s="1050">
        <f t="shared" si="263"/>
        <v>-2.1440000000000001</v>
      </c>
      <c r="AL587" s="1049"/>
      <c r="AM587" s="1096">
        <f>AM584/24</f>
        <v>0.60583333333333333</v>
      </c>
      <c r="AN587" s="1086">
        <v>8</v>
      </c>
      <c r="AO587" s="1085">
        <v>9</v>
      </c>
      <c r="AP587" s="1084">
        <v>0.24</v>
      </c>
      <c r="AQ587" s="1748">
        <f t="shared" si="259"/>
        <v>0</v>
      </c>
      <c r="AR587" s="1742">
        <v>0.43</v>
      </c>
      <c r="AS587" s="1052">
        <f t="shared" si="260"/>
        <v>1.7916666666666667</v>
      </c>
      <c r="AT587" s="1049"/>
      <c r="AU587" s="1142"/>
      <c r="AV587" s="1049"/>
      <c r="AW587" s="1096">
        <f>AW584/24</f>
        <v>0.50416666666666665</v>
      </c>
      <c r="AX587" s="1086">
        <v>8</v>
      </c>
      <c r="AY587" s="1085">
        <v>9</v>
      </c>
      <c r="AZ587" s="1084">
        <v>0.28999999999999998</v>
      </c>
      <c r="BA587" s="1736">
        <v>0.46</v>
      </c>
      <c r="BB587" s="1742">
        <f t="shared" si="261"/>
        <v>1.5862068965517244</v>
      </c>
      <c r="BC587" s="1049"/>
      <c r="BD587" s="1142"/>
      <c r="BE587" s="1049"/>
      <c r="BF587" s="1096">
        <f>BF584/24</f>
        <v>0</v>
      </c>
      <c r="BG587" s="1086">
        <v>8</v>
      </c>
      <c r="BH587" s="1085">
        <v>9</v>
      </c>
      <c r="BI587" s="1874">
        <v>0.28999999999999998</v>
      </c>
      <c r="BJ587" s="1736"/>
      <c r="BK587" s="1049"/>
      <c r="BL587" s="1096">
        <f>BL584/24</f>
        <v>0</v>
      </c>
      <c r="BM587" s="1086">
        <v>8</v>
      </c>
      <c r="BN587" s="1085">
        <v>9</v>
      </c>
      <c r="BO587" s="1084"/>
      <c r="BP587" s="1084"/>
      <c r="BQ587" s="1049"/>
    </row>
    <row r="588" spans="1:69" ht="14.4">
      <c r="A588" s="1049"/>
      <c r="B588" s="1097"/>
      <c r="C588" s="1086">
        <v>9</v>
      </c>
      <c r="D588" s="1085">
        <v>10</v>
      </c>
      <c r="E588" s="1091">
        <v>0.44</v>
      </c>
      <c r="F588" s="1090">
        <v>1.1200000000000001</v>
      </c>
      <c r="G588" s="1089">
        <f t="shared" si="253"/>
        <v>2.5454545454545459</v>
      </c>
      <c r="H588" s="1049"/>
      <c r="I588" s="1097"/>
      <c r="J588" s="1086">
        <v>9</v>
      </c>
      <c r="K588" s="1085">
        <v>10</v>
      </c>
      <c r="L588" s="1084">
        <v>1.0720000000000001</v>
      </c>
      <c r="M588" s="1088">
        <v>4.72</v>
      </c>
      <c r="N588" s="1087">
        <f t="shared" si="254"/>
        <v>4.4029850746268648</v>
      </c>
      <c r="O588" s="1049"/>
      <c r="P588" s="1096"/>
      <c r="Q588" s="1086">
        <v>9</v>
      </c>
      <c r="R588" s="1085">
        <v>10</v>
      </c>
      <c r="S588" s="1084">
        <v>2.0619999999999998</v>
      </c>
      <c r="T588" s="1054">
        <f t="shared" si="255"/>
        <v>3.0723799999999999</v>
      </c>
      <c r="U588" s="1064">
        <v>5.22</v>
      </c>
      <c r="V588" s="1052">
        <f t="shared" si="256"/>
        <v>2.531522793404462</v>
      </c>
      <c r="W588" s="1049"/>
      <c r="X588" s="1051">
        <v>1.49</v>
      </c>
      <c r="Y588" s="1049"/>
      <c r="Z588" s="1050">
        <f t="shared" si="262"/>
        <v>1.4227799999999997</v>
      </c>
      <c r="AA588" s="1096"/>
      <c r="AB588" s="1086">
        <v>9</v>
      </c>
      <c r="AC588" s="1085">
        <v>10</v>
      </c>
      <c r="AD588" s="1084">
        <v>2.66</v>
      </c>
      <c r="AE588" s="1143">
        <f t="shared" si="257"/>
        <v>0</v>
      </c>
      <c r="AF588" s="1142">
        <v>8.51</v>
      </c>
      <c r="AG588" s="1052">
        <f t="shared" si="258"/>
        <v>3.1992481203007515</v>
      </c>
      <c r="AH588" s="1049"/>
      <c r="AI588" s="1142"/>
      <c r="AJ588" s="1049"/>
      <c r="AK588" s="1050">
        <f t="shared" si="263"/>
        <v>-2.1280000000000001</v>
      </c>
      <c r="AL588" s="1049"/>
      <c r="AM588" s="1096"/>
      <c r="AN588" s="1086">
        <v>9</v>
      </c>
      <c r="AO588" s="1085">
        <v>10</v>
      </c>
      <c r="AP588" s="1084">
        <v>0.32</v>
      </c>
      <c r="AQ588" s="1748">
        <f t="shared" si="259"/>
        <v>0</v>
      </c>
      <c r="AR588" s="1742">
        <v>0.56000000000000005</v>
      </c>
      <c r="AS588" s="1052">
        <f t="shared" si="260"/>
        <v>1.7500000000000002</v>
      </c>
      <c r="AT588" s="1049"/>
      <c r="AU588" s="1142"/>
      <c r="AV588" s="1049"/>
      <c r="AW588" s="1096"/>
      <c r="AX588" s="1086">
        <v>9</v>
      </c>
      <c r="AY588" s="1085">
        <v>10</v>
      </c>
      <c r="AZ588" s="1084">
        <v>0.27</v>
      </c>
      <c r="BA588" s="1736">
        <v>0.38</v>
      </c>
      <c r="BB588" s="1742">
        <f t="shared" si="261"/>
        <v>1.4074074074074074</v>
      </c>
      <c r="BC588" s="1049"/>
      <c r="BD588" s="1142"/>
      <c r="BE588" s="1049"/>
      <c r="BF588" s="1096"/>
      <c r="BG588" s="1086">
        <v>9</v>
      </c>
      <c r="BH588" s="1085">
        <v>10</v>
      </c>
      <c r="BI588" s="1874">
        <v>0.28999999999999998</v>
      </c>
      <c r="BJ588" s="1736"/>
      <c r="BK588" s="1049"/>
      <c r="BL588" s="1096"/>
      <c r="BM588" s="1086">
        <v>9</v>
      </c>
      <c r="BN588" s="1085">
        <v>10</v>
      </c>
      <c r="BO588" s="1084"/>
      <c r="BP588" s="1084"/>
      <c r="BQ588" s="1049"/>
    </row>
    <row r="589" spans="1:69" ht="14.4">
      <c r="A589" s="1049"/>
      <c r="B589" s="1060"/>
      <c r="C589" s="1086">
        <v>10</v>
      </c>
      <c r="D589" s="1085">
        <v>11</v>
      </c>
      <c r="E589" s="1091">
        <v>0.34</v>
      </c>
      <c r="F589" s="1090">
        <v>0.86</v>
      </c>
      <c r="G589" s="1089">
        <f t="shared" si="253"/>
        <v>2.5294117647058822</v>
      </c>
      <c r="H589" s="1049"/>
      <c r="I589" s="1060"/>
      <c r="J589" s="1086">
        <v>10</v>
      </c>
      <c r="K589" s="1085">
        <v>11</v>
      </c>
      <c r="L589" s="1084">
        <v>1.06</v>
      </c>
      <c r="M589" s="1088">
        <v>4.67</v>
      </c>
      <c r="N589" s="1087">
        <f t="shared" si="254"/>
        <v>4.4056603773584904</v>
      </c>
      <c r="O589" s="1049"/>
      <c r="P589" s="1095">
        <f>SUM(Z579:Z602)</f>
        <v>29.070439999999998</v>
      </c>
      <c r="Q589" s="1086">
        <v>10</v>
      </c>
      <c r="R589" s="1085">
        <v>11</v>
      </c>
      <c r="S589" s="1084">
        <v>2.0960000000000001</v>
      </c>
      <c r="T589" s="1054">
        <f t="shared" si="255"/>
        <v>3.2488000000000001</v>
      </c>
      <c r="U589" s="1064">
        <v>5.45</v>
      </c>
      <c r="V589" s="1052">
        <f t="shared" si="256"/>
        <v>2.6001908396946565</v>
      </c>
      <c r="W589" s="1049"/>
      <c r="X589" s="1051">
        <v>1.55</v>
      </c>
      <c r="Y589" s="1049"/>
      <c r="Z589" s="1050">
        <f t="shared" si="262"/>
        <v>1.5720000000000001</v>
      </c>
      <c r="AA589" s="1095">
        <f>SUM(AK579:AK602)</f>
        <v>-41.559999999999995</v>
      </c>
      <c r="AB589" s="1086">
        <v>10</v>
      </c>
      <c r="AC589" s="1085">
        <v>11</v>
      </c>
      <c r="AD589" s="1084">
        <v>2.42</v>
      </c>
      <c r="AE589" s="1143">
        <f t="shared" si="257"/>
        <v>0</v>
      </c>
      <c r="AF589" s="1142">
        <v>7.35</v>
      </c>
      <c r="AG589" s="1052">
        <f t="shared" si="258"/>
        <v>3.0371900826446279</v>
      </c>
      <c r="AH589" s="1049"/>
      <c r="AI589" s="1142"/>
      <c r="AJ589" s="1049"/>
      <c r="AK589" s="1050">
        <f t="shared" si="263"/>
        <v>-1.9359999999999999</v>
      </c>
      <c r="AL589" s="1049"/>
      <c r="AM589" s="1095" t="e">
        <f>SUM(#REF!)</f>
        <v>#REF!</v>
      </c>
      <c r="AN589" s="1086">
        <v>10</v>
      </c>
      <c r="AO589" s="1085">
        <v>11</v>
      </c>
      <c r="AP589" s="1084">
        <v>0.33</v>
      </c>
      <c r="AQ589" s="1748">
        <f t="shared" si="259"/>
        <v>0</v>
      </c>
      <c r="AR589" s="1742">
        <v>0.56999999999999995</v>
      </c>
      <c r="AS589" s="1052">
        <f t="shared" si="260"/>
        <v>1.7272727272727271</v>
      </c>
      <c r="AT589" s="1049"/>
      <c r="AU589" s="1142"/>
      <c r="AV589" s="1049"/>
      <c r="AW589" s="1095" t="e">
        <f>SUM(#REF!)</f>
        <v>#REF!</v>
      </c>
      <c r="AX589" s="1086">
        <v>10</v>
      </c>
      <c r="AY589" s="1085">
        <v>11</v>
      </c>
      <c r="AZ589" s="1084">
        <v>0.44</v>
      </c>
      <c r="BA589" s="1736">
        <v>0.51</v>
      </c>
      <c r="BB589" s="1742">
        <f t="shared" si="261"/>
        <v>1.1590909090909092</v>
      </c>
      <c r="BC589" s="1049"/>
      <c r="BD589" s="1142"/>
      <c r="BE589" s="1049"/>
      <c r="BF589" s="1095" t="e">
        <f>SUM(#REF!)</f>
        <v>#REF!</v>
      </c>
      <c r="BG589" s="1086">
        <v>10</v>
      </c>
      <c r="BH589" s="1085">
        <v>11</v>
      </c>
      <c r="BI589" s="1874">
        <v>0.33</v>
      </c>
      <c r="BJ589" s="1736"/>
      <c r="BK589" s="1049"/>
      <c r="BL589" s="1095" t="e">
        <f>SUM(#REF!)</f>
        <v>#REF!</v>
      </c>
      <c r="BM589" s="1086">
        <v>10</v>
      </c>
      <c r="BN589" s="1085">
        <v>11</v>
      </c>
      <c r="BO589" s="1084"/>
      <c r="BP589" s="1084"/>
      <c r="BQ589" s="1049"/>
    </row>
    <row r="590" spans="1:69" ht="14.4">
      <c r="A590" s="1049"/>
      <c r="B590" s="1060"/>
      <c r="C590" s="1086">
        <v>11</v>
      </c>
      <c r="D590" s="1085">
        <v>12</v>
      </c>
      <c r="E590" s="1091">
        <v>0.9</v>
      </c>
      <c r="F590" s="1090">
        <v>2.06</v>
      </c>
      <c r="G590" s="1089">
        <f t="shared" si="253"/>
        <v>2.2888888888888888</v>
      </c>
      <c r="H590" s="1049"/>
      <c r="I590" s="1060"/>
      <c r="J590" s="1086">
        <v>11</v>
      </c>
      <c r="K590" s="1085">
        <v>12</v>
      </c>
      <c r="L590" s="1084">
        <v>1.6519999999999999</v>
      </c>
      <c r="M590" s="1088">
        <v>7.2</v>
      </c>
      <c r="N590" s="1087">
        <f t="shared" si="254"/>
        <v>4.358353510895884</v>
      </c>
      <c r="O590" s="1049"/>
      <c r="P590" s="1093">
        <f>P589/P581</f>
        <v>0.48921192130993046</v>
      </c>
      <c r="Q590" s="1086">
        <v>11</v>
      </c>
      <c r="R590" s="1085">
        <v>12</v>
      </c>
      <c r="S590" s="1084">
        <v>2.327</v>
      </c>
      <c r="T590" s="1054">
        <f t="shared" si="255"/>
        <v>3.4439599999999997</v>
      </c>
      <c r="U590" s="1064">
        <v>5.87</v>
      </c>
      <c r="V590" s="1052">
        <f t="shared" si="256"/>
        <v>2.5225612376450366</v>
      </c>
      <c r="W590" s="1049"/>
      <c r="X590" s="1051">
        <v>1.48</v>
      </c>
      <c r="Y590" s="1049"/>
      <c r="Z590" s="1050">
        <f t="shared" si="262"/>
        <v>1.5823599999999998</v>
      </c>
      <c r="AA590" s="1093">
        <f>AA589/AA581</f>
        <v>-0.64524142213941915</v>
      </c>
      <c r="AB590" s="1086">
        <v>11</v>
      </c>
      <c r="AC590" s="1085">
        <v>12</v>
      </c>
      <c r="AD590" s="1084">
        <v>2.2799999999999998</v>
      </c>
      <c r="AE590" s="1143">
        <f t="shared" si="257"/>
        <v>0</v>
      </c>
      <c r="AF590" s="1142">
        <v>6.75</v>
      </c>
      <c r="AG590" s="1052">
        <f t="shared" si="258"/>
        <v>2.9605263157894739</v>
      </c>
      <c r="AH590" s="1049"/>
      <c r="AI590" s="1142"/>
      <c r="AJ590" s="1049"/>
      <c r="AK590" s="1050">
        <f t="shared" si="263"/>
        <v>-1.8239999999999998</v>
      </c>
      <c r="AL590" s="1049"/>
      <c r="AM590" s="1093" t="e">
        <f>AM589/AM581</f>
        <v>#REF!</v>
      </c>
      <c r="AN590" s="1086">
        <v>11</v>
      </c>
      <c r="AO590" s="1085">
        <v>12</v>
      </c>
      <c r="AP590" s="1084">
        <v>0.33</v>
      </c>
      <c r="AQ590" s="1748">
        <f t="shared" si="259"/>
        <v>0</v>
      </c>
      <c r="AR590" s="1742">
        <v>0.56999999999999995</v>
      </c>
      <c r="AS590" s="1052">
        <f t="shared" si="260"/>
        <v>1.7272727272727271</v>
      </c>
      <c r="AT590" s="1049"/>
      <c r="AU590" s="1142"/>
      <c r="AV590" s="1049"/>
      <c r="AW590" s="1093" t="e">
        <f>AW589/AW581</f>
        <v>#REF!</v>
      </c>
      <c r="AX590" s="1086">
        <v>11</v>
      </c>
      <c r="AY590" s="1085">
        <v>12</v>
      </c>
      <c r="AZ590" s="1084">
        <v>0.42</v>
      </c>
      <c r="BA590" s="1736">
        <v>0.44</v>
      </c>
      <c r="BB590" s="1742">
        <f t="shared" si="261"/>
        <v>1.0476190476190477</v>
      </c>
      <c r="BC590" s="1049"/>
      <c r="BD590" s="1142"/>
      <c r="BE590" s="1049"/>
      <c r="BF590" s="1093" t="e">
        <f>BF589/BF581</f>
        <v>#REF!</v>
      </c>
      <c r="BG590" s="1086">
        <v>11</v>
      </c>
      <c r="BH590" s="1085">
        <v>12</v>
      </c>
      <c r="BI590" s="1874">
        <v>0.33</v>
      </c>
      <c r="BJ590" s="1736"/>
      <c r="BK590" s="1049"/>
      <c r="BL590" s="1093" t="e">
        <f>BL589/BL581</f>
        <v>#REF!</v>
      </c>
      <c r="BM590" s="1086">
        <v>11</v>
      </c>
      <c r="BN590" s="1085">
        <v>12</v>
      </c>
      <c r="BO590" s="1084"/>
      <c r="BP590" s="1084"/>
      <c r="BQ590" s="1049"/>
    </row>
    <row r="591" spans="1:69" ht="14.4">
      <c r="A591" s="1049"/>
      <c r="B591" s="1060"/>
      <c r="C591" s="1086">
        <v>12</v>
      </c>
      <c r="D591" s="1085">
        <v>13</v>
      </c>
      <c r="E591" s="1091">
        <v>0.65</v>
      </c>
      <c r="F591" s="1090">
        <v>1.41</v>
      </c>
      <c r="G591" s="1089">
        <f t="shared" si="253"/>
        <v>2.1692307692307691</v>
      </c>
      <c r="H591" s="1049"/>
      <c r="I591" s="1060"/>
      <c r="J591" s="1086">
        <v>12</v>
      </c>
      <c r="K591" s="1085">
        <v>13</v>
      </c>
      <c r="L591" s="1084">
        <v>1.7929999999999999</v>
      </c>
      <c r="M591" s="1088">
        <v>7.53</v>
      </c>
      <c r="N591" s="1087">
        <f t="shared" si="254"/>
        <v>4.1996653653095377</v>
      </c>
      <c r="O591" s="1049"/>
      <c r="P591" s="1060"/>
      <c r="Q591" s="1086">
        <v>12</v>
      </c>
      <c r="R591" s="1085">
        <v>13</v>
      </c>
      <c r="S591" s="1084">
        <v>2.915</v>
      </c>
      <c r="T591" s="1054">
        <f t="shared" si="255"/>
        <v>4.1392999999999995</v>
      </c>
      <c r="U591" s="1064">
        <v>7.18</v>
      </c>
      <c r="V591" s="1052">
        <f t="shared" si="256"/>
        <v>2.4631217838765007</v>
      </c>
      <c r="W591" s="1049"/>
      <c r="X591" s="1051">
        <v>1.42</v>
      </c>
      <c r="Y591" s="1049"/>
      <c r="Z591" s="1050">
        <f t="shared" si="262"/>
        <v>1.8072999999999997</v>
      </c>
      <c r="AA591" s="1060"/>
      <c r="AB591" s="1086">
        <v>12</v>
      </c>
      <c r="AC591" s="1085">
        <v>13</v>
      </c>
      <c r="AD591" s="1084">
        <v>2.5</v>
      </c>
      <c r="AE591" s="1143">
        <f t="shared" si="257"/>
        <v>0</v>
      </c>
      <c r="AF591" s="1142">
        <v>7.11</v>
      </c>
      <c r="AG591" s="1052">
        <f t="shared" si="258"/>
        <v>2.8440000000000003</v>
      </c>
      <c r="AH591" s="1049"/>
      <c r="AI591" s="1142"/>
      <c r="AJ591" s="1049"/>
      <c r="AK591" s="1050">
        <f t="shared" si="263"/>
        <v>-2</v>
      </c>
      <c r="AL591" s="1049"/>
      <c r="AM591" s="1060"/>
      <c r="AN591" s="1086">
        <v>12</v>
      </c>
      <c r="AO591" s="1085">
        <v>13</v>
      </c>
      <c r="AP591" s="1084">
        <v>0.38</v>
      </c>
      <c r="AQ591" s="1748">
        <f t="shared" si="259"/>
        <v>0</v>
      </c>
      <c r="AR591" s="1742">
        <v>0.65</v>
      </c>
      <c r="AS591" s="1052">
        <f t="shared" si="260"/>
        <v>1.7105263157894737</v>
      </c>
      <c r="AT591" s="1049"/>
      <c r="AU591" s="1142"/>
      <c r="AV591" s="1049"/>
      <c r="AW591" s="1060"/>
      <c r="AX591" s="1086">
        <v>12</v>
      </c>
      <c r="AY591" s="1085">
        <v>13</v>
      </c>
      <c r="AZ591" s="1084">
        <v>0.23</v>
      </c>
      <c r="BA591" s="1736">
        <v>0.21</v>
      </c>
      <c r="BB591" s="1742">
        <f t="shared" si="261"/>
        <v>0.91304347826086951</v>
      </c>
      <c r="BC591" s="1049"/>
      <c r="BD591" s="1142"/>
      <c r="BE591" s="1049"/>
      <c r="BF591" s="1060"/>
      <c r="BG591" s="1086">
        <v>12</v>
      </c>
      <c r="BH591" s="1085">
        <v>13</v>
      </c>
      <c r="BI591" s="1874">
        <v>0.17</v>
      </c>
      <c r="BJ591" s="1736"/>
      <c r="BK591" s="1049"/>
      <c r="BL591" s="1060"/>
      <c r="BM591" s="1086">
        <v>12</v>
      </c>
      <c r="BN591" s="1085">
        <v>13</v>
      </c>
      <c r="BO591" s="1084"/>
      <c r="BP591" s="1084"/>
      <c r="BQ591" s="1049"/>
    </row>
    <row r="592" spans="1:69" ht="14.4">
      <c r="A592" s="1049"/>
      <c r="B592" s="1060"/>
      <c r="C592" s="1086">
        <v>13</v>
      </c>
      <c r="D592" s="1085">
        <v>14</v>
      </c>
      <c r="E592" s="1091">
        <v>1.35</v>
      </c>
      <c r="F592" s="1090">
        <v>2.94</v>
      </c>
      <c r="G592" s="1089">
        <f t="shared" si="253"/>
        <v>2.1777777777777776</v>
      </c>
      <c r="H592" s="1049"/>
      <c r="I592" s="1060"/>
      <c r="J592" s="1086">
        <v>13</v>
      </c>
      <c r="K592" s="1085">
        <v>14</v>
      </c>
      <c r="L592" s="1084">
        <v>1.9910000000000001</v>
      </c>
      <c r="M592" s="1088">
        <v>8.3000000000000007</v>
      </c>
      <c r="N592" s="1087">
        <f t="shared" si="254"/>
        <v>4.1687594173782019</v>
      </c>
      <c r="O592" s="1049"/>
      <c r="P592" s="1092" t="s">
        <v>1127</v>
      </c>
      <c r="Q592" s="1086">
        <v>13</v>
      </c>
      <c r="R592" s="1085">
        <v>14</v>
      </c>
      <c r="S592" s="1084">
        <v>3.7839999999999998</v>
      </c>
      <c r="T592" s="1054">
        <f t="shared" si="255"/>
        <v>5.7138399999999994</v>
      </c>
      <c r="U592" s="1064">
        <v>9.67</v>
      </c>
      <c r="V592" s="1052">
        <f t="shared" si="256"/>
        <v>2.5554968287526427</v>
      </c>
      <c r="W592" s="1049"/>
      <c r="X592" s="1051">
        <v>1.51</v>
      </c>
      <c r="Y592" s="1049"/>
      <c r="Z592" s="1050">
        <f t="shared" si="262"/>
        <v>2.6866399999999997</v>
      </c>
      <c r="AA592" s="1092" t="s">
        <v>1127</v>
      </c>
      <c r="AB592" s="1086">
        <v>13</v>
      </c>
      <c r="AC592" s="1085">
        <v>14</v>
      </c>
      <c r="AD592" s="1084">
        <v>3.38</v>
      </c>
      <c r="AE592" s="1143">
        <f t="shared" si="257"/>
        <v>0</v>
      </c>
      <c r="AF592" s="1142">
        <v>9.25</v>
      </c>
      <c r="AG592" s="1052">
        <f t="shared" si="258"/>
        <v>2.7366863905325443</v>
      </c>
      <c r="AH592" s="1049"/>
      <c r="AI592" s="1142"/>
      <c r="AJ592" s="1049"/>
      <c r="AK592" s="1050">
        <f t="shared" si="263"/>
        <v>-2.7040000000000002</v>
      </c>
      <c r="AL592" s="1049"/>
      <c r="AM592" s="1092" t="s">
        <v>1127</v>
      </c>
      <c r="AN592" s="1086">
        <v>13</v>
      </c>
      <c r="AO592" s="1085">
        <v>14</v>
      </c>
      <c r="AP592" s="1084">
        <v>0.5</v>
      </c>
      <c r="AQ592" s="1748">
        <f t="shared" si="259"/>
        <v>0</v>
      </c>
      <c r="AR592" s="1742">
        <v>0.84</v>
      </c>
      <c r="AS592" s="1052">
        <f t="shared" si="260"/>
        <v>1.68</v>
      </c>
      <c r="AT592" s="1049"/>
      <c r="AU592" s="1142"/>
      <c r="AV592" s="1049"/>
      <c r="AW592" s="1092" t="s">
        <v>1127</v>
      </c>
      <c r="AX592" s="1086">
        <v>13</v>
      </c>
      <c r="AY592" s="1085">
        <v>14</v>
      </c>
      <c r="AZ592" s="1084">
        <v>0.84</v>
      </c>
      <c r="BA592" s="1736">
        <v>0.72</v>
      </c>
      <c r="BB592" s="1742">
        <f t="shared" si="261"/>
        <v>0.8571428571428571</v>
      </c>
      <c r="BC592" s="1049"/>
      <c r="BD592" s="1142"/>
      <c r="BE592" s="1049"/>
      <c r="BF592" s="1092" t="s">
        <v>1127</v>
      </c>
      <c r="BG592" s="1086">
        <v>13</v>
      </c>
      <c r="BH592" s="1085">
        <v>14</v>
      </c>
      <c r="BI592" s="1874">
        <v>0.22</v>
      </c>
      <c r="BJ592" s="1736"/>
      <c r="BK592" s="1049"/>
      <c r="BL592" s="1092" t="s">
        <v>1127</v>
      </c>
      <c r="BM592" s="1086">
        <v>13</v>
      </c>
      <c r="BN592" s="1085">
        <v>14</v>
      </c>
      <c r="BO592" s="1084"/>
      <c r="BP592" s="1084"/>
      <c r="BQ592" s="1049"/>
    </row>
    <row r="593" spans="1:69" ht="14.4">
      <c r="A593" s="1049"/>
      <c r="B593" s="1060"/>
      <c r="C593" s="1086">
        <v>14</v>
      </c>
      <c r="D593" s="1085">
        <v>15</v>
      </c>
      <c r="E593" s="1091">
        <v>1.28</v>
      </c>
      <c r="F593" s="1090">
        <v>2.78</v>
      </c>
      <c r="G593" s="1089">
        <f t="shared" si="253"/>
        <v>2.171875</v>
      </c>
      <c r="H593" s="1049"/>
      <c r="I593" s="1060"/>
      <c r="J593" s="1086">
        <v>14</v>
      </c>
      <c r="K593" s="1085">
        <v>15</v>
      </c>
      <c r="L593" s="1084">
        <v>1.8260000000000001</v>
      </c>
      <c r="M593" s="1088">
        <v>7.65</v>
      </c>
      <c r="N593" s="1087">
        <f t="shared" si="254"/>
        <v>4.189485213581599</v>
      </c>
      <c r="O593" s="1049"/>
      <c r="P593" s="1058">
        <f>P581*0.8</f>
        <v>47.538400000000003</v>
      </c>
      <c r="Q593" s="1086">
        <v>14</v>
      </c>
      <c r="R593" s="1085">
        <v>15</v>
      </c>
      <c r="S593" s="1084">
        <v>3.8010000000000002</v>
      </c>
      <c r="T593" s="1054">
        <f t="shared" si="255"/>
        <v>5.8535400000000006</v>
      </c>
      <c r="U593" s="1064">
        <v>9.81</v>
      </c>
      <c r="V593" s="1052">
        <f t="shared" si="256"/>
        <v>2.5808997632202053</v>
      </c>
      <c r="W593" s="1049"/>
      <c r="X593" s="1051">
        <v>1.54</v>
      </c>
      <c r="Y593" s="1049"/>
      <c r="Z593" s="1050">
        <f t="shared" si="262"/>
        <v>2.8127400000000002</v>
      </c>
      <c r="AA593" s="1058">
        <f>AA581*0.8</f>
        <v>51.528000000000013</v>
      </c>
      <c r="AB593" s="1086">
        <v>14</v>
      </c>
      <c r="AC593" s="1085">
        <v>15</v>
      </c>
      <c r="AD593" s="1084">
        <v>3.52</v>
      </c>
      <c r="AE593" s="1143">
        <f t="shared" si="257"/>
        <v>0</v>
      </c>
      <c r="AF593" s="1142">
        <v>9.94</v>
      </c>
      <c r="AG593" s="1052">
        <f t="shared" si="258"/>
        <v>2.8238636363636362</v>
      </c>
      <c r="AH593" s="1049"/>
      <c r="AI593" s="1142"/>
      <c r="AJ593" s="1049"/>
      <c r="AK593" s="1050">
        <f t="shared" si="263"/>
        <v>-2.8160000000000003</v>
      </c>
      <c r="AL593" s="1049"/>
      <c r="AM593" s="1058">
        <f>AM581*0.8</f>
        <v>5.9039999999999999</v>
      </c>
      <c r="AN593" s="1086">
        <v>14</v>
      </c>
      <c r="AO593" s="1085">
        <v>15</v>
      </c>
      <c r="AP593" s="1084">
        <v>0.25</v>
      </c>
      <c r="AQ593" s="1748">
        <f t="shared" si="259"/>
        <v>0</v>
      </c>
      <c r="AR593" s="1742">
        <v>0.42</v>
      </c>
      <c r="AS593" s="1052">
        <f t="shared" si="260"/>
        <v>1.68</v>
      </c>
      <c r="AT593" s="1049"/>
      <c r="AU593" s="1142"/>
      <c r="AV593" s="1049"/>
      <c r="AW593" s="1058">
        <f>AW581*0.8</f>
        <v>6.6239999999999997</v>
      </c>
      <c r="AX593" s="1086">
        <v>14</v>
      </c>
      <c r="AY593" s="1085">
        <v>15</v>
      </c>
      <c r="AZ593" s="1084">
        <v>0.41</v>
      </c>
      <c r="BA593" s="1736">
        <v>0.35</v>
      </c>
      <c r="BB593" s="1742">
        <f t="shared" si="261"/>
        <v>0.85365853658536583</v>
      </c>
      <c r="BC593" s="1049"/>
      <c r="BD593" s="1142"/>
      <c r="BE593" s="1049"/>
      <c r="BF593" s="1058">
        <f>BF581*0.8</f>
        <v>5.84</v>
      </c>
      <c r="BG593" s="1086">
        <v>14</v>
      </c>
      <c r="BH593" s="1085">
        <v>15</v>
      </c>
      <c r="BI593" s="1874">
        <v>0.94</v>
      </c>
      <c r="BJ593" s="1736"/>
      <c r="BK593" s="1049"/>
      <c r="BL593" s="1058">
        <f>BL581*0.8</f>
        <v>0</v>
      </c>
      <c r="BM593" s="1086">
        <v>14</v>
      </c>
      <c r="BN593" s="1085">
        <v>15</v>
      </c>
      <c r="BO593" s="1084"/>
      <c r="BP593" s="1084"/>
      <c r="BQ593" s="1049"/>
    </row>
    <row r="594" spans="1:69" ht="14.4">
      <c r="A594" s="1049"/>
      <c r="B594" s="1060"/>
      <c r="C594" s="1086">
        <v>15</v>
      </c>
      <c r="D594" s="1085">
        <v>16</v>
      </c>
      <c r="E594" s="1091">
        <v>1.31</v>
      </c>
      <c r="F594" s="1090">
        <v>2.96</v>
      </c>
      <c r="G594" s="1089">
        <f t="shared" si="253"/>
        <v>2.2595419847328242</v>
      </c>
      <c r="H594" s="1049"/>
      <c r="I594" s="1060"/>
      <c r="J594" s="1086">
        <v>15</v>
      </c>
      <c r="K594" s="1085">
        <v>16</v>
      </c>
      <c r="L594" s="1084">
        <v>1.2210000000000001</v>
      </c>
      <c r="M594" s="1088">
        <v>5.44</v>
      </c>
      <c r="N594" s="1087">
        <f t="shared" si="254"/>
        <v>4.4553644553644558</v>
      </c>
      <c r="O594" s="1049"/>
      <c r="P594" s="1058" t="s">
        <v>1126</v>
      </c>
      <c r="Q594" s="1086">
        <v>15</v>
      </c>
      <c r="R594" s="1085">
        <v>16</v>
      </c>
      <c r="S594" s="1084">
        <v>3.6349999999999998</v>
      </c>
      <c r="T594" s="1054">
        <f t="shared" si="255"/>
        <v>5.8887</v>
      </c>
      <c r="U594" s="1064">
        <v>9.69</v>
      </c>
      <c r="V594" s="1052">
        <f t="shared" si="256"/>
        <v>2.6657496561210454</v>
      </c>
      <c r="W594" s="1049"/>
      <c r="X594" s="1051">
        <v>1.62</v>
      </c>
      <c r="Y594" s="1049"/>
      <c r="Z594" s="1050">
        <f t="shared" si="262"/>
        <v>2.9807000000000001</v>
      </c>
      <c r="AA594" s="1058" t="s">
        <v>1126</v>
      </c>
      <c r="AB594" s="1086">
        <v>15</v>
      </c>
      <c r="AC594" s="1085">
        <v>16</v>
      </c>
      <c r="AD594" s="1084">
        <v>3.72</v>
      </c>
      <c r="AE594" s="1143">
        <f t="shared" si="257"/>
        <v>0</v>
      </c>
      <c r="AF594" s="1142">
        <v>10.59</v>
      </c>
      <c r="AG594" s="1052">
        <f t="shared" si="258"/>
        <v>2.846774193548387</v>
      </c>
      <c r="AH594" s="1049"/>
      <c r="AI594" s="1142"/>
      <c r="AJ594" s="1049"/>
      <c r="AK594" s="1050">
        <f t="shared" si="263"/>
        <v>-2.9760000000000004</v>
      </c>
      <c r="AL594" s="1049"/>
      <c r="AM594" s="1058" t="s">
        <v>1126</v>
      </c>
      <c r="AN594" s="1086">
        <v>15</v>
      </c>
      <c r="AO594" s="1085">
        <v>16</v>
      </c>
      <c r="AP594" s="1084">
        <v>0.3</v>
      </c>
      <c r="AQ594" s="1748">
        <f t="shared" si="259"/>
        <v>0</v>
      </c>
      <c r="AR594" s="1742">
        <v>0.5</v>
      </c>
      <c r="AS594" s="1052">
        <f t="shared" si="260"/>
        <v>1.6666666666666667</v>
      </c>
      <c r="AT594" s="1049"/>
      <c r="AU594" s="1142"/>
      <c r="AV594" s="1049"/>
      <c r="AW594" s="1058" t="s">
        <v>1126</v>
      </c>
      <c r="AX594" s="1086">
        <v>15</v>
      </c>
      <c r="AY594" s="1085">
        <v>16</v>
      </c>
      <c r="AZ594" s="1084">
        <v>0.33</v>
      </c>
      <c r="BA594" s="1736">
        <v>0.28999999999999998</v>
      </c>
      <c r="BB594" s="1742">
        <f t="shared" si="261"/>
        <v>0.87878787878787867</v>
      </c>
      <c r="BC594" s="1049"/>
      <c r="BD594" s="1142"/>
      <c r="BE594" s="1049"/>
      <c r="BF594" s="1058" t="s">
        <v>1126</v>
      </c>
      <c r="BG594" s="1086">
        <v>15</v>
      </c>
      <c r="BH594" s="1085">
        <v>16</v>
      </c>
      <c r="BI594" s="1874">
        <v>0.92</v>
      </c>
      <c r="BJ594" s="1736"/>
      <c r="BK594" s="1049"/>
      <c r="BL594" s="1058" t="s">
        <v>1126</v>
      </c>
      <c r="BM594" s="1086">
        <v>15</v>
      </c>
      <c r="BN594" s="1085">
        <v>16</v>
      </c>
      <c r="BO594" s="1084"/>
      <c r="BP594" s="1084"/>
      <c r="BQ594" s="1049"/>
    </row>
    <row r="595" spans="1:69" ht="15" thickBot="1">
      <c r="A595" s="1049"/>
      <c r="B595" s="1060"/>
      <c r="C595" s="1077">
        <v>16</v>
      </c>
      <c r="D595" s="1076">
        <v>17</v>
      </c>
      <c r="E595" s="1083">
        <v>0.8</v>
      </c>
      <c r="F595" s="1082">
        <v>1.86</v>
      </c>
      <c r="G595" s="1081">
        <f t="shared" si="253"/>
        <v>2.3250000000000002</v>
      </c>
      <c r="H595" s="1049"/>
      <c r="I595" s="1060"/>
      <c r="J595" s="1077">
        <v>16</v>
      </c>
      <c r="K595" s="1076">
        <v>17</v>
      </c>
      <c r="L595" s="1075">
        <v>1.24</v>
      </c>
      <c r="M595" s="1080">
        <v>5.69</v>
      </c>
      <c r="N595" s="1079">
        <f t="shared" si="254"/>
        <v>4.588709677419355</v>
      </c>
      <c r="O595" s="1049"/>
      <c r="P595" s="1078">
        <f>P581*(X578-0.8)</f>
        <v>38.327834999999986</v>
      </c>
      <c r="Q595" s="1077">
        <v>16</v>
      </c>
      <c r="R595" s="1076">
        <v>17</v>
      </c>
      <c r="S595" s="1075">
        <v>2.8929999999999998</v>
      </c>
      <c r="T595" s="1054">
        <f t="shared" si="255"/>
        <v>4.7734499999999995</v>
      </c>
      <c r="U595" s="1064">
        <v>7.79</v>
      </c>
      <c r="V595" s="1052">
        <f t="shared" si="256"/>
        <v>2.6927065330107158</v>
      </c>
      <c r="W595" s="1049"/>
      <c r="X595" s="1074">
        <v>1.65</v>
      </c>
      <c r="Y595" s="1049"/>
      <c r="Z595" s="1050">
        <f t="shared" si="262"/>
        <v>2.4590499999999995</v>
      </c>
      <c r="AA595" s="1078" t="e">
        <f>AA581*(AI578-0.8)</f>
        <v>#DIV/0!</v>
      </c>
      <c r="AB595" s="1077">
        <v>16</v>
      </c>
      <c r="AC595" s="1076">
        <v>17</v>
      </c>
      <c r="AD595" s="1075">
        <v>3.41</v>
      </c>
      <c r="AE595" s="1141">
        <f t="shared" si="257"/>
        <v>0</v>
      </c>
      <c r="AF595" s="1140">
        <v>9.93</v>
      </c>
      <c r="AG595" s="1052">
        <f t="shared" si="258"/>
        <v>2.9120234604105568</v>
      </c>
      <c r="AH595" s="1049"/>
      <c r="AI595" s="1140"/>
      <c r="AJ595" s="1049"/>
      <c r="AK595" s="1050">
        <f t="shared" si="263"/>
        <v>-2.7280000000000002</v>
      </c>
      <c r="AL595" s="1049"/>
      <c r="AM595" s="1078" t="e">
        <f>AM581*(AU578-0.8)</f>
        <v>#DIV/0!</v>
      </c>
      <c r="AN595" s="1077">
        <v>16</v>
      </c>
      <c r="AO595" s="1076">
        <v>17</v>
      </c>
      <c r="AP595" s="1075">
        <v>0.36</v>
      </c>
      <c r="AQ595" s="1749">
        <f t="shared" si="259"/>
        <v>0</v>
      </c>
      <c r="AR595" s="1743">
        <v>0.62</v>
      </c>
      <c r="AS595" s="1052">
        <f t="shared" si="260"/>
        <v>1.7222222222222223</v>
      </c>
      <c r="AT595" s="1049"/>
      <c r="AU595" s="1140"/>
      <c r="AV595" s="1049"/>
      <c r="AW595" s="1078" t="e">
        <f>AW581*(BD578-0.8)</f>
        <v>#DIV/0!</v>
      </c>
      <c r="AX595" s="1077">
        <v>16</v>
      </c>
      <c r="AY595" s="1076">
        <v>17</v>
      </c>
      <c r="AZ595" s="1075">
        <v>0.95</v>
      </c>
      <c r="BA595" s="1738">
        <v>1.04</v>
      </c>
      <c r="BB595" s="1743">
        <f t="shared" si="261"/>
        <v>1.0947368421052632</v>
      </c>
      <c r="BC595" s="1049"/>
      <c r="BD595" s="1140"/>
      <c r="BE595" s="1049"/>
      <c r="BF595" s="1078">
        <f>BF581*(BM578-0.8)</f>
        <v>-5.84</v>
      </c>
      <c r="BG595" s="1077">
        <v>16</v>
      </c>
      <c r="BH595" s="1076">
        <v>17</v>
      </c>
      <c r="BI595" s="1874">
        <v>0.42</v>
      </c>
      <c r="BJ595" s="1738"/>
      <c r="BK595" s="1049"/>
      <c r="BL595" s="1078">
        <f>BL581*(BS578-0.8)</f>
        <v>0</v>
      </c>
      <c r="BM595" s="1077">
        <v>16</v>
      </c>
      <c r="BN595" s="1076">
        <v>17</v>
      </c>
      <c r="BO595" s="1075"/>
      <c r="BP595" s="1075"/>
      <c r="BQ595" s="1049"/>
    </row>
    <row r="596" spans="1:69" ht="14.4">
      <c r="A596" s="1049"/>
      <c r="B596" s="1060"/>
      <c r="C596" s="1068">
        <v>17</v>
      </c>
      <c r="D596" s="1067">
        <v>18</v>
      </c>
      <c r="E596" s="1073">
        <v>0.79</v>
      </c>
      <c r="F596" s="1072">
        <v>2.52</v>
      </c>
      <c r="G596" s="1071">
        <f t="shared" si="253"/>
        <v>3.1898734177215187</v>
      </c>
      <c r="H596" s="1049"/>
      <c r="I596" s="1060"/>
      <c r="J596" s="1068">
        <v>17</v>
      </c>
      <c r="K596" s="1067">
        <v>18</v>
      </c>
      <c r="L596" s="1066">
        <v>1.2370000000000001</v>
      </c>
      <c r="M596" s="1070">
        <v>6.67</v>
      </c>
      <c r="N596" s="1069">
        <f t="shared" si="254"/>
        <v>5.3920776071139853</v>
      </c>
      <c r="O596" s="1049"/>
      <c r="P596" s="1058"/>
      <c r="Q596" s="1068">
        <v>17</v>
      </c>
      <c r="R596" s="1067">
        <v>18</v>
      </c>
      <c r="S596" s="1066">
        <v>2.4689999999999999</v>
      </c>
      <c r="T596" s="1054">
        <f t="shared" si="255"/>
        <v>4.1479200000000001</v>
      </c>
      <c r="U596" s="1064">
        <v>6.72</v>
      </c>
      <c r="V596" s="1052">
        <f t="shared" si="256"/>
        <v>2.7217496962332928</v>
      </c>
      <c r="W596" s="1049"/>
      <c r="X596" s="1065">
        <v>1.68</v>
      </c>
      <c r="Y596" s="1049"/>
      <c r="Z596" s="1050">
        <f t="shared" si="262"/>
        <v>2.1727199999999995</v>
      </c>
      <c r="AA596" s="1058"/>
      <c r="AB596" s="1068">
        <v>17</v>
      </c>
      <c r="AC596" s="1067">
        <v>18</v>
      </c>
      <c r="AD596" s="1066">
        <v>2.99</v>
      </c>
      <c r="AE596" s="1139">
        <f t="shared" si="257"/>
        <v>0</v>
      </c>
      <c r="AF596" s="1138">
        <v>11.74</v>
      </c>
      <c r="AG596" s="1052">
        <f t="shared" si="258"/>
        <v>3.9264214046822739</v>
      </c>
      <c r="AH596" s="1049"/>
      <c r="AI596" s="1138"/>
      <c r="AJ596" s="1049"/>
      <c r="AK596" s="1050">
        <f t="shared" si="263"/>
        <v>-2.3920000000000003</v>
      </c>
      <c r="AL596" s="1049"/>
      <c r="AM596" s="1058"/>
      <c r="AN596" s="1068">
        <v>17</v>
      </c>
      <c r="AO596" s="1067">
        <v>18</v>
      </c>
      <c r="AP596" s="1066">
        <v>1.91</v>
      </c>
      <c r="AQ596" s="1750">
        <f t="shared" si="259"/>
        <v>0</v>
      </c>
      <c r="AR596" s="1744">
        <v>4.79</v>
      </c>
      <c r="AS596" s="1052">
        <f t="shared" si="260"/>
        <v>2.5078534031413615</v>
      </c>
      <c r="AT596" s="1049"/>
      <c r="AU596" s="1138"/>
      <c r="AV596" s="1049"/>
      <c r="AW596" s="1058"/>
      <c r="AX596" s="1068">
        <v>17</v>
      </c>
      <c r="AY596" s="1067">
        <v>18</v>
      </c>
      <c r="AZ596" s="1066">
        <v>1.05</v>
      </c>
      <c r="BA596" s="1740">
        <v>2.46</v>
      </c>
      <c r="BB596" s="1744">
        <f t="shared" si="261"/>
        <v>2.3428571428571425</v>
      </c>
      <c r="BC596" s="1049"/>
      <c r="BD596" s="1138"/>
      <c r="BE596" s="1049"/>
      <c r="BF596" s="1058"/>
      <c r="BG596" s="1068">
        <v>17</v>
      </c>
      <c r="BH596" s="1067">
        <v>18</v>
      </c>
      <c r="BI596" s="1874">
        <v>0.35</v>
      </c>
      <c r="BJ596" s="1740"/>
      <c r="BK596" s="1049"/>
      <c r="BL596" s="1058"/>
      <c r="BM596" s="1068">
        <v>17</v>
      </c>
      <c r="BN596" s="1067">
        <v>18</v>
      </c>
      <c r="BO596" s="1066"/>
      <c r="BP596" s="1066"/>
      <c r="BQ596" s="1049"/>
    </row>
    <row r="597" spans="1:69" ht="14.4">
      <c r="A597" s="1049"/>
      <c r="B597" s="1060"/>
      <c r="C597" s="1057">
        <v>18</v>
      </c>
      <c r="D597" s="1056">
        <v>19</v>
      </c>
      <c r="E597" s="1063">
        <v>1.1200000000000001</v>
      </c>
      <c r="F597" s="1062">
        <v>3.65</v>
      </c>
      <c r="G597" s="1061">
        <f t="shared" si="253"/>
        <v>3.2589285714285712</v>
      </c>
      <c r="H597" s="1049"/>
      <c r="I597" s="1060"/>
      <c r="J597" s="1057">
        <v>18</v>
      </c>
      <c r="K597" s="1056">
        <v>19</v>
      </c>
      <c r="L597" s="1055">
        <v>1.331</v>
      </c>
      <c r="M597" s="1059">
        <v>6.89</v>
      </c>
      <c r="N597" s="1052">
        <f t="shared" si="254"/>
        <v>5.1765589782118706</v>
      </c>
      <c r="O597" s="1049"/>
      <c r="P597" s="1058"/>
      <c r="Q597" s="1057">
        <v>18</v>
      </c>
      <c r="R597" s="1056">
        <v>19</v>
      </c>
      <c r="S597" s="1055">
        <v>2.0299999999999998</v>
      </c>
      <c r="T597" s="1054">
        <f t="shared" si="255"/>
        <v>3.0855999999999999</v>
      </c>
      <c r="U597" s="1064">
        <v>5.21</v>
      </c>
      <c r="V597" s="1052">
        <f t="shared" si="256"/>
        <v>2.5665024630541873</v>
      </c>
      <c r="W597" s="1049"/>
      <c r="X597" s="1051">
        <v>1.52</v>
      </c>
      <c r="Y597" s="1049"/>
      <c r="Z597" s="1050">
        <f t="shared" si="262"/>
        <v>1.4615999999999998</v>
      </c>
      <c r="AA597" s="1058"/>
      <c r="AB597" s="1057">
        <v>18</v>
      </c>
      <c r="AC597" s="1056">
        <v>19</v>
      </c>
      <c r="AD597" s="1055">
        <v>2.63</v>
      </c>
      <c r="AE597" s="1137">
        <f t="shared" si="257"/>
        <v>0</v>
      </c>
      <c r="AF597" s="1136">
        <v>10.34</v>
      </c>
      <c r="AG597" s="1052">
        <f t="shared" si="258"/>
        <v>3.9315589353612168</v>
      </c>
      <c r="AH597" s="1049"/>
      <c r="AI597" s="1136"/>
      <c r="AJ597" s="1049"/>
      <c r="AK597" s="1050">
        <f t="shared" si="263"/>
        <v>-2.1040000000000001</v>
      </c>
      <c r="AL597" s="1049"/>
      <c r="AM597" s="1058"/>
      <c r="AN597" s="1057">
        <v>18</v>
      </c>
      <c r="AO597" s="1056">
        <v>19</v>
      </c>
      <c r="AP597" s="1055">
        <v>0.3</v>
      </c>
      <c r="AQ597" s="1745">
        <f t="shared" si="259"/>
        <v>0</v>
      </c>
      <c r="AR597" s="1737">
        <v>0.75</v>
      </c>
      <c r="AS597" s="1052">
        <f t="shared" si="260"/>
        <v>2.5</v>
      </c>
      <c r="AT597" s="1049"/>
      <c r="AU597" s="1136"/>
      <c r="AV597" s="1049"/>
      <c r="AW597" s="1058"/>
      <c r="AX597" s="1057">
        <v>18</v>
      </c>
      <c r="AY597" s="1056">
        <v>19</v>
      </c>
      <c r="AZ597" s="1055">
        <v>0.42</v>
      </c>
      <c r="BA597" s="1736">
        <v>1.01</v>
      </c>
      <c r="BB597" s="1737">
        <f t="shared" si="261"/>
        <v>2.4047619047619047</v>
      </c>
      <c r="BC597" s="1049"/>
      <c r="BD597" s="1136"/>
      <c r="BE597" s="1049"/>
      <c r="BF597" s="1058"/>
      <c r="BG597" s="1057">
        <v>18</v>
      </c>
      <c r="BH597" s="1056">
        <v>19</v>
      </c>
      <c r="BI597" s="1874">
        <v>0.39</v>
      </c>
      <c r="BJ597" s="1736"/>
      <c r="BK597" s="1049"/>
      <c r="BL597" s="1058"/>
      <c r="BM597" s="1057">
        <v>18</v>
      </c>
      <c r="BN597" s="1056">
        <v>19</v>
      </c>
      <c r="BO597" s="1055"/>
      <c r="BP597" s="1055"/>
      <c r="BQ597" s="1049"/>
    </row>
    <row r="598" spans="1:69" ht="14.4">
      <c r="A598" s="1049"/>
      <c r="B598" s="1060"/>
      <c r="C598" s="1057">
        <v>19</v>
      </c>
      <c r="D598" s="1056">
        <v>20</v>
      </c>
      <c r="E598" s="1063">
        <v>0.46</v>
      </c>
      <c r="F598" s="1062">
        <v>1.52</v>
      </c>
      <c r="G598" s="1061">
        <f t="shared" si="253"/>
        <v>3.3043478260869565</v>
      </c>
      <c r="H598" s="1049"/>
      <c r="I598" s="1060"/>
      <c r="J598" s="1057">
        <v>19</v>
      </c>
      <c r="K598" s="1056">
        <v>20</v>
      </c>
      <c r="L598" s="1055">
        <v>1.5329999999999999</v>
      </c>
      <c r="M598" s="1059">
        <v>7.74</v>
      </c>
      <c r="N598" s="1052">
        <f t="shared" si="254"/>
        <v>5.0489236790606657</v>
      </c>
      <c r="O598" s="1049"/>
      <c r="P598" s="1058"/>
      <c r="Q598" s="1057">
        <v>19</v>
      </c>
      <c r="R598" s="1056">
        <v>20</v>
      </c>
      <c r="S598" s="1055">
        <v>2.7360000000000002</v>
      </c>
      <c r="T598" s="1054">
        <f t="shared" si="255"/>
        <v>3.8851200000000001</v>
      </c>
      <c r="U598" s="1064">
        <v>6.75</v>
      </c>
      <c r="V598" s="1052">
        <f t="shared" si="256"/>
        <v>2.4671052631578947</v>
      </c>
      <c r="W598" s="1049"/>
      <c r="X598" s="1051">
        <v>1.42</v>
      </c>
      <c r="Y598" s="1049"/>
      <c r="Z598" s="1050">
        <f t="shared" si="262"/>
        <v>1.6963199999999998</v>
      </c>
      <c r="AA598" s="1058"/>
      <c r="AB598" s="1057">
        <v>19</v>
      </c>
      <c r="AC598" s="1056">
        <v>20</v>
      </c>
      <c r="AD598" s="1055">
        <v>3.03</v>
      </c>
      <c r="AE598" s="1137">
        <f t="shared" si="257"/>
        <v>0</v>
      </c>
      <c r="AF598" s="1136">
        <v>11.37</v>
      </c>
      <c r="AG598" s="1052">
        <f t="shared" si="258"/>
        <v>3.7524752475247523</v>
      </c>
      <c r="AH598" s="1049"/>
      <c r="AI598" s="1136"/>
      <c r="AJ598" s="1049"/>
      <c r="AK598" s="1050">
        <f t="shared" si="263"/>
        <v>-2.4239999999999999</v>
      </c>
      <c r="AL598" s="1049"/>
      <c r="AM598" s="1058"/>
      <c r="AN598" s="1057">
        <v>19</v>
      </c>
      <c r="AO598" s="1056">
        <v>20</v>
      </c>
      <c r="AP598" s="1055">
        <v>0.32</v>
      </c>
      <c r="AQ598" s="1745">
        <f t="shared" si="259"/>
        <v>0</v>
      </c>
      <c r="AR598" s="1737">
        <v>0.78</v>
      </c>
      <c r="AS598" s="1052">
        <f t="shared" si="260"/>
        <v>2.4375</v>
      </c>
      <c r="AT598" s="1049"/>
      <c r="AU598" s="1136"/>
      <c r="AV598" s="1049"/>
      <c r="AW598" s="1058"/>
      <c r="AX598" s="1057">
        <v>19</v>
      </c>
      <c r="AY598" s="1056">
        <v>20</v>
      </c>
      <c r="AZ598" s="1055">
        <v>0.45</v>
      </c>
      <c r="BA598" s="1736">
        <v>1.0900000000000001</v>
      </c>
      <c r="BB598" s="1737">
        <f t="shared" si="261"/>
        <v>2.4222222222222225</v>
      </c>
      <c r="BC598" s="1049"/>
      <c r="BD598" s="1136"/>
      <c r="BE598" s="1049"/>
      <c r="BF598" s="1058"/>
      <c r="BG598" s="1057">
        <v>19</v>
      </c>
      <c r="BH598" s="1056">
        <v>20</v>
      </c>
      <c r="BI598" s="1874">
        <v>0.31</v>
      </c>
      <c r="BJ598" s="1736"/>
      <c r="BK598" s="1049"/>
      <c r="BL598" s="1058"/>
      <c r="BM598" s="1057">
        <v>19</v>
      </c>
      <c r="BN598" s="1056">
        <v>20</v>
      </c>
      <c r="BO598" s="1055"/>
      <c r="BP598" s="1055"/>
      <c r="BQ598" s="1049"/>
    </row>
    <row r="599" spans="1:69" ht="14.4">
      <c r="A599" s="1049"/>
      <c r="B599" s="1060"/>
      <c r="C599" s="1057">
        <v>20</v>
      </c>
      <c r="D599" s="1056">
        <v>21</v>
      </c>
      <c r="E599" s="1063">
        <v>0.75</v>
      </c>
      <c r="F599" s="1062">
        <v>1.89</v>
      </c>
      <c r="G599" s="1061">
        <f t="shared" si="253"/>
        <v>2.52</v>
      </c>
      <c r="H599" s="1049"/>
      <c r="I599" s="1060"/>
      <c r="J599" s="1057">
        <v>20</v>
      </c>
      <c r="K599" s="1056">
        <v>21</v>
      </c>
      <c r="L599" s="1055">
        <v>1.657</v>
      </c>
      <c r="M599" s="1059">
        <v>6.78</v>
      </c>
      <c r="N599" s="1052">
        <f t="shared" si="254"/>
        <v>4.0917320458660233</v>
      </c>
      <c r="O599" s="1049"/>
      <c r="P599" s="1058"/>
      <c r="Q599" s="1057">
        <v>20</v>
      </c>
      <c r="R599" s="1056">
        <v>21</v>
      </c>
      <c r="S599" s="1055">
        <v>2.944</v>
      </c>
      <c r="T599" s="1054">
        <f t="shared" si="255"/>
        <v>3.94496</v>
      </c>
      <c r="U599" s="1064">
        <v>7.01</v>
      </c>
      <c r="V599" s="1052">
        <f t="shared" si="256"/>
        <v>2.3811141304347827</v>
      </c>
      <c r="W599" s="1049"/>
      <c r="X599" s="1051">
        <v>1.34</v>
      </c>
      <c r="Y599" s="1049"/>
      <c r="Z599" s="1050">
        <f t="shared" si="262"/>
        <v>1.5897600000000001</v>
      </c>
      <c r="AA599" s="1058"/>
      <c r="AB599" s="1057">
        <v>20</v>
      </c>
      <c r="AC599" s="1056">
        <v>21</v>
      </c>
      <c r="AD599" s="1055">
        <v>3.14</v>
      </c>
      <c r="AE599" s="1137">
        <f t="shared" si="257"/>
        <v>0</v>
      </c>
      <c r="AF599" s="1136">
        <v>8.6199999999999992</v>
      </c>
      <c r="AG599" s="1052">
        <f t="shared" si="258"/>
        <v>2.7452229299363053</v>
      </c>
      <c r="AH599" s="1049"/>
      <c r="AI599" s="1136"/>
      <c r="AJ599" s="1049"/>
      <c r="AK599" s="1050">
        <f t="shared" si="263"/>
        <v>-2.5120000000000005</v>
      </c>
      <c r="AL599" s="1049"/>
      <c r="AM599" s="1058"/>
      <c r="AN599" s="1057">
        <v>20</v>
      </c>
      <c r="AO599" s="1056">
        <v>21</v>
      </c>
      <c r="AP599" s="1055">
        <v>0.3</v>
      </c>
      <c r="AQ599" s="1745">
        <f t="shared" si="259"/>
        <v>0</v>
      </c>
      <c r="AR599" s="1737">
        <v>0.49</v>
      </c>
      <c r="AS599" s="1052">
        <f t="shared" si="260"/>
        <v>1.6333333333333333</v>
      </c>
      <c r="AT599" s="1049"/>
      <c r="AU599" s="1136"/>
      <c r="AV599" s="1049"/>
      <c r="AW599" s="1058"/>
      <c r="AX599" s="1057">
        <v>20</v>
      </c>
      <c r="AY599" s="1056">
        <v>21</v>
      </c>
      <c r="AZ599" s="1055">
        <v>0.3</v>
      </c>
      <c r="BA599" s="1736">
        <v>0.49</v>
      </c>
      <c r="BB599" s="1737">
        <f t="shared" si="261"/>
        <v>1.6333333333333333</v>
      </c>
      <c r="BC599" s="1049"/>
      <c r="BD599" s="1136"/>
      <c r="BE599" s="1049"/>
      <c r="BF599" s="1058"/>
      <c r="BG599" s="1057">
        <v>20</v>
      </c>
      <c r="BH599" s="1056">
        <v>21</v>
      </c>
      <c r="BI599" s="1874">
        <v>0.35</v>
      </c>
      <c r="BJ599" s="1736"/>
      <c r="BK599" s="1049"/>
      <c r="BL599" s="1058"/>
      <c r="BM599" s="1057">
        <v>20</v>
      </c>
      <c r="BN599" s="1056">
        <v>21</v>
      </c>
      <c r="BO599" s="1055"/>
      <c r="BP599" s="1055"/>
      <c r="BQ599" s="1049"/>
    </row>
    <row r="600" spans="1:69" ht="14.4">
      <c r="A600" s="1049"/>
      <c r="B600" s="1060"/>
      <c r="C600" s="1057">
        <v>21</v>
      </c>
      <c r="D600" s="1056">
        <v>22</v>
      </c>
      <c r="E600" s="1063">
        <v>0.68</v>
      </c>
      <c r="F600" s="1062">
        <v>1.59</v>
      </c>
      <c r="G600" s="1061">
        <f t="shared" si="253"/>
        <v>2.3382352941176472</v>
      </c>
      <c r="H600" s="1049"/>
      <c r="I600" s="1060"/>
      <c r="J600" s="1057">
        <v>21</v>
      </c>
      <c r="K600" s="1056">
        <v>22</v>
      </c>
      <c r="L600" s="1055">
        <v>1.893</v>
      </c>
      <c r="M600" s="1059">
        <v>7.19</v>
      </c>
      <c r="N600" s="1052">
        <f t="shared" si="254"/>
        <v>3.798203909138933</v>
      </c>
      <c r="O600" s="1049"/>
      <c r="P600" s="1058"/>
      <c r="Q600" s="1057">
        <v>21</v>
      </c>
      <c r="R600" s="1056">
        <v>22</v>
      </c>
      <c r="S600" s="1055">
        <v>2.9289999999999998</v>
      </c>
      <c r="T600" s="1054">
        <f t="shared" si="255"/>
        <v>3.6612499999999999</v>
      </c>
      <c r="U600" s="1064">
        <v>6.71</v>
      </c>
      <c r="V600" s="1052">
        <f t="shared" si="256"/>
        <v>2.2908842608398774</v>
      </c>
      <c r="W600" s="1049"/>
      <c r="X600" s="1051">
        <v>1.25</v>
      </c>
      <c r="Y600" s="1049"/>
      <c r="Z600" s="1050">
        <f t="shared" si="262"/>
        <v>1.3180499999999997</v>
      </c>
      <c r="AA600" s="1058"/>
      <c r="AB600" s="1057">
        <v>21</v>
      </c>
      <c r="AC600" s="1056">
        <v>22</v>
      </c>
      <c r="AD600" s="1055">
        <v>3.08</v>
      </c>
      <c r="AE600" s="1137">
        <f t="shared" si="257"/>
        <v>0</v>
      </c>
      <c r="AF600" s="1136">
        <v>7.55</v>
      </c>
      <c r="AG600" s="1052">
        <f t="shared" si="258"/>
        <v>2.4512987012987013</v>
      </c>
      <c r="AH600" s="1049"/>
      <c r="AI600" s="1136"/>
      <c r="AJ600" s="1049"/>
      <c r="AK600" s="1050">
        <f t="shared" si="263"/>
        <v>-2.4640000000000004</v>
      </c>
      <c r="AL600" s="1049"/>
      <c r="AM600" s="1058"/>
      <c r="AN600" s="1057">
        <v>21</v>
      </c>
      <c r="AO600" s="1056">
        <v>22</v>
      </c>
      <c r="AP600" s="1055">
        <v>0.28000000000000003</v>
      </c>
      <c r="AQ600" s="1745">
        <f t="shared" si="259"/>
        <v>0</v>
      </c>
      <c r="AR600" s="1737">
        <v>0.46</v>
      </c>
      <c r="AS600" s="1052">
        <f t="shared" si="260"/>
        <v>1.6428571428571428</v>
      </c>
      <c r="AT600" s="1049"/>
      <c r="AU600" s="1136"/>
      <c r="AV600" s="1049"/>
      <c r="AW600" s="1058"/>
      <c r="AX600" s="1057">
        <v>21</v>
      </c>
      <c r="AY600" s="1056">
        <v>22</v>
      </c>
      <c r="AZ600" s="1055">
        <v>0.37</v>
      </c>
      <c r="BA600" s="1736">
        <v>0.59</v>
      </c>
      <c r="BB600" s="1737">
        <f t="shared" si="261"/>
        <v>1.5945945945945945</v>
      </c>
      <c r="BC600" s="1049"/>
      <c r="BD600" s="1136"/>
      <c r="BE600" s="1049"/>
      <c r="BF600" s="1058"/>
      <c r="BG600" s="1057">
        <v>21</v>
      </c>
      <c r="BH600" s="1056">
        <v>22</v>
      </c>
      <c r="BI600" s="1874">
        <v>0.3</v>
      </c>
      <c r="BJ600" s="1736"/>
      <c r="BK600" s="1049"/>
      <c r="BL600" s="1058"/>
      <c r="BM600" s="1057">
        <v>21</v>
      </c>
      <c r="BN600" s="1056">
        <v>22</v>
      </c>
      <c r="BO600" s="1055"/>
      <c r="BP600" s="1055"/>
      <c r="BQ600" s="1049"/>
    </row>
    <row r="601" spans="1:69" ht="14.4">
      <c r="A601" s="1049"/>
      <c r="B601" s="1060"/>
      <c r="C601" s="1057">
        <v>22</v>
      </c>
      <c r="D601" s="1056">
        <v>23</v>
      </c>
      <c r="E601" s="1063">
        <v>0.27</v>
      </c>
      <c r="F601" s="1062">
        <v>0.63</v>
      </c>
      <c r="G601" s="1061">
        <f t="shared" si="253"/>
        <v>2.333333333333333</v>
      </c>
      <c r="H601" s="1049"/>
      <c r="I601" s="1060"/>
      <c r="J601" s="1057">
        <v>22</v>
      </c>
      <c r="K601" s="1056">
        <v>23</v>
      </c>
      <c r="L601" s="1055">
        <v>1.853</v>
      </c>
      <c r="M601" s="1059">
        <v>6.82</v>
      </c>
      <c r="N601" s="1052">
        <f t="shared" si="254"/>
        <v>3.6805180787911498</v>
      </c>
      <c r="O601" s="1049"/>
      <c r="P601" s="1058"/>
      <c r="Q601" s="1057">
        <v>22</v>
      </c>
      <c r="R601" s="1056">
        <v>23</v>
      </c>
      <c r="S601" s="1055">
        <v>2.5369999999999999</v>
      </c>
      <c r="T601" s="1054">
        <f t="shared" si="255"/>
        <v>3.0951399999999998</v>
      </c>
      <c r="U601" s="1064">
        <v>5.74</v>
      </c>
      <c r="V601" s="1052">
        <f t="shared" si="256"/>
        <v>2.2625147812376825</v>
      </c>
      <c r="W601" s="1049"/>
      <c r="X601" s="1051">
        <v>1.22</v>
      </c>
      <c r="Y601" s="1049"/>
      <c r="Z601" s="1050">
        <f t="shared" si="262"/>
        <v>1.0655399999999997</v>
      </c>
      <c r="AA601" s="1058"/>
      <c r="AB601" s="1057">
        <v>22</v>
      </c>
      <c r="AC601" s="1056">
        <v>23</v>
      </c>
      <c r="AD601" s="1055">
        <v>3.1</v>
      </c>
      <c r="AE601" s="1137">
        <f t="shared" si="257"/>
        <v>0</v>
      </c>
      <c r="AF601" s="1136">
        <v>6.51</v>
      </c>
      <c r="AG601" s="1052">
        <f t="shared" si="258"/>
        <v>2.1</v>
      </c>
      <c r="AH601" s="1049"/>
      <c r="AI601" s="1136"/>
      <c r="AJ601" s="1049"/>
      <c r="AK601" s="1050">
        <f t="shared" si="263"/>
        <v>-2.4800000000000004</v>
      </c>
      <c r="AL601" s="1049"/>
      <c r="AM601" s="1058"/>
      <c r="AN601" s="1057">
        <v>22</v>
      </c>
      <c r="AO601" s="1056">
        <v>23</v>
      </c>
      <c r="AP601" s="1055">
        <v>0.15</v>
      </c>
      <c r="AQ601" s="1745">
        <f t="shared" si="259"/>
        <v>0</v>
      </c>
      <c r="AR601" s="1737">
        <v>0.25</v>
      </c>
      <c r="AS601" s="1052">
        <f t="shared" si="260"/>
        <v>1.6666666666666667</v>
      </c>
      <c r="AT601" s="1049"/>
      <c r="AU601" s="1136"/>
      <c r="AV601" s="1049"/>
      <c r="AW601" s="1058"/>
      <c r="AX601" s="1057">
        <v>22</v>
      </c>
      <c r="AY601" s="1056">
        <v>23</v>
      </c>
      <c r="AZ601" s="1055">
        <v>0.19</v>
      </c>
      <c r="BA601" s="1736">
        <v>0.28999999999999998</v>
      </c>
      <c r="BB601" s="1737">
        <f t="shared" si="261"/>
        <v>1.5263157894736841</v>
      </c>
      <c r="BC601" s="1049"/>
      <c r="BD601" s="1136"/>
      <c r="BE601" s="1049"/>
      <c r="BF601" s="1058"/>
      <c r="BG601" s="1057">
        <v>22</v>
      </c>
      <c r="BH601" s="1056">
        <v>23</v>
      </c>
      <c r="BI601" s="1874">
        <v>0.23</v>
      </c>
      <c r="BJ601" s="1736"/>
      <c r="BK601" s="1049"/>
      <c r="BL601" s="1058"/>
      <c r="BM601" s="1057">
        <v>22</v>
      </c>
      <c r="BN601" s="1056">
        <v>23</v>
      </c>
      <c r="BO601" s="1055"/>
      <c r="BP601" s="1055"/>
      <c r="BQ601" s="1049"/>
    </row>
    <row r="602" spans="1:69" ht="14.4">
      <c r="A602" s="1049"/>
      <c r="B602" s="1060"/>
      <c r="C602" s="1057">
        <v>23</v>
      </c>
      <c r="D602" s="1056">
        <v>24</v>
      </c>
      <c r="E602" s="1063">
        <v>0.23</v>
      </c>
      <c r="F602" s="1062">
        <v>0.52</v>
      </c>
      <c r="G602" s="1061">
        <f t="shared" si="253"/>
        <v>2.2608695652173911</v>
      </c>
      <c r="H602" s="1049"/>
      <c r="I602" s="1060"/>
      <c r="J602" s="1057">
        <v>23</v>
      </c>
      <c r="K602" s="1056">
        <v>24</v>
      </c>
      <c r="L602" s="1055">
        <v>1.3360000000000001</v>
      </c>
      <c r="M602" s="1059">
        <v>4.37</v>
      </c>
      <c r="N602" s="1052">
        <f t="shared" si="254"/>
        <v>3.2709580838323351</v>
      </c>
      <c r="O602" s="1049"/>
      <c r="P602" s="1058"/>
      <c r="Q602" s="1057">
        <v>23</v>
      </c>
      <c r="R602" s="1056">
        <v>24</v>
      </c>
      <c r="S602" s="1055">
        <v>2.306</v>
      </c>
      <c r="T602" s="1054">
        <f t="shared" si="255"/>
        <v>2.67496</v>
      </c>
      <c r="U602" s="1053">
        <v>5.09</v>
      </c>
      <c r="V602" s="1052">
        <f t="shared" si="256"/>
        <v>2.2072853425845618</v>
      </c>
      <c r="W602" s="1049"/>
      <c r="X602" s="1051">
        <v>1.1599999999999999</v>
      </c>
      <c r="Y602" s="1049"/>
      <c r="Z602" s="1050">
        <f t="shared" si="262"/>
        <v>0.83015999999999968</v>
      </c>
      <c r="AA602" s="1058"/>
      <c r="AB602" s="1057">
        <v>23</v>
      </c>
      <c r="AC602" s="1056">
        <v>24</v>
      </c>
      <c r="AD602" s="1055">
        <v>2.96</v>
      </c>
      <c r="AE602" s="1137">
        <f t="shared" si="257"/>
        <v>0</v>
      </c>
      <c r="AF602" s="1136">
        <v>5.98</v>
      </c>
      <c r="AG602" s="1052">
        <f t="shared" si="258"/>
        <v>2.0202702702702706</v>
      </c>
      <c r="AH602" s="1049"/>
      <c r="AI602" s="1136"/>
      <c r="AJ602" s="1049"/>
      <c r="AK602" s="1050">
        <f t="shared" si="263"/>
        <v>-2.3679999999999999</v>
      </c>
      <c r="AL602" s="1049"/>
      <c r="AM602" s="1058"/>
      <c r="AN602" s="1057">
        <v>23</v>
      </c>
      <c r="AO602" s="1056">
        <v>24</v>
      </c>
      <c r="AP602" s="1055">
        <v>0.13</v>
      </c>
      <c r="AQ602" s="1745">
        <f t="shared" si="259"/>
        <v>0</v>
      </c>
      <c r="AR602" s="1737">
        <v>0.2</v>
      </c>
      <c r="AS602" s="1052">
        <f t="shared" si="260"/>
        <v>1.5384615384615385</v>
      </c>
      <c r="AT602" s="1049"/>
      <c r="AU602" s="1136"/>
      <c r="AV602" s="1049"/>
      <c r="AW602" s="1058"/>
      <c r="AX602" s="1057">
        <v>23</v>
      </c>
      <c r="AY602" s="1056">
        <v>24</v>
      </c>
      <c r="AZ602" s="1055">
        <v>0.12</v>
      </c>
      <c r="BA602" s="1736">
        <v>0.17</v>
      </c>
      <c r="BB602" s="1737">
        <f t="shared" si="261"/>
        <v>1.4166666666666667</v>
      </c>
      <c r="BC602" s="1049"/>
      <c r="BD602" s="1136"/>
      <c r="BE602" s="1049"/>
      <c r="BF602" s="1058"/>
      <c r="BG602" s="1057">
        <v>23</v>
      </c>
      <c r="BH602" s="1056">
        <v>24</v>
      </c>
      <c r="BI602" s="1874">
        <v>0.14000000000000001</v>
      </c>
      <c r="BJ602" s="1736"/>
      <c r="BK602" s="1049"/>
      <c r="BL602" s="1058"/>
      <c r="BM602" s="1057">
        <v>23</v>
      </c>
      <c r="BN602" s="1056">
        <v>24</v>
      </c>
      <c r="BO602" s="1055"/>
      <c r="BP602" s="1055"/>
      <c r="BQ602" s="1049"/>
    </row>
    <row r="603" spans="1:69" ht="14.4">
      <c r="A603" s="1036"/>
      <c r="B603" s="1044" t="s">
        <v>1137</v>
      </c>
      <c r="C603" s="1135"/>
      <c r="D603" s="1135"/>
      <c r="E603" s="1134"/>
      <c r="F603" s="1133"/>
      <c r="G603" s="1132"/>
      <c r="H603" s="1044"/>
      <c r="I603" s="1044" t="s">
        <v>1130</v>
      </c>
      <c r="J603" s="1046"/>
      <c r="K603" s="1046"/>
      <c r="L603" s="1129">
        <f>AVERAGE(L604:L627)</f>
        <v>1.2842499999999999</v>
      </c>
      <c r="M603" s="1131">
        <f>AVERAGE(M604:M627)</f>
        <v>5.371666666666667</v>
      </c>
      <c r="N603" s="1039">
        <f>AVERAGE(N604:N627)</f>
        <v>4.1409598731970867</v>
      </c>
      <c r="O603" s="1044"/>
      <c r="P603" s="1130" t="s">
        <v>1139</v>
      </c>
      <c r="Q603" s="1046"/>
      <c r="R603" s="1046"/>
      <c r="S603" s="1129">
        <f>AVERAGE(S604:S627)</f>
        <v>2.6267499999999995</v>
      </c>
      <c r="T603" s="1128">
        <f>SUM(T604:T627)</f>
        <v>70.899259999999998</v>
      </c>
      <c r="U603" s="1040">
        <f>AVERAGE(U604:U627)</f>
        <v>5.6970833333333344</v>
      </c>
      <c r="V603" s="1039">
        <f>AVERAGE(V604:V627)</f>
        <v>2.1617824213819619</v>
      </c>
      <c r="W603" s="1036"/>
      <c r="X603" s="1038">
        <f>AVERAGE(X612:X627)</f>
        <v>1.1575</v>
      </c>
      <c r="Y603" s="1036"/>
      <c r="Z603" s="1127">
        <f>SUM(Z604:Z627)</f>
        <v>17.886890000000001</v>
      </c>
      <c r="AA603" s="1130"/>
      <c r="AB603" s="1046"/>
      <c r="AC603" s="1046"/>
      <c r="AD603" s="1129">
        <f>AVERAGE(AD604:AD627)</f>
        <v>2.45425</v>
      </c>
      <c r="AE603" s="1128">
        <f>SUM(AE604:AE627)</f>
        <v>0</v>
      </c>
      <c r="AF603" s="1040">
        <f>AVERAGE(AF604:AF627)</f>
        <v>5.4450000000000003</v>
      </c>
      <c r="AG603" s="1039">
        <f>AVERAGE(AG604:AG627)</f>
        <v>2.1739408317889848</v>
      </c>
      <c r="AH603" s="1036"/>
      <c r="AI603" s="1038" t="e">
        <f>AVERAGE(AI612:AI627)</f>
        <v>#DIV/0!</v>
      </c>
      <c r="AJ603" s="1036"/>
      <c r="AK603" s="1127">
        <f>SUM(AK604:AK627)</f>
        <v>-37.127199999999988</v>
      </c>
      <c r="AL603" s="1036"/>
      <c r="AM603" s="1130"/>
      <c r="AN603" s="1046"/>
      <c r="AO603" s="1046"/>
      <c r="AP603" s="1129">
        <f>AVERAGE(AP604:AP627)</f>
        <v>0.23500000000000001</v>
      </c>
      <c r="AQ603" s="1734">
        <f>SUM(AQ604:AQ627)</f>
        <v>0</v>
      </c>
      <c r="AR603" s="1735">
        <f>AVERAGE(AR604:AR627)</f>
        <v>0.38541666666666669</v>
      </c>
      <c r="AS603" s="1039">
        <f>AVERAGE(AS604:AS627)</f>
        <v>1.6592626716787986</v>
      </c>
      <c r="AT603" s="1036"/>
      <c r="AU603" s="1038" t="e">
        <f>AVERAGE(AU612:AU627)</f>
        <v>#DIV/0!</v>
      </c>
      <c r="AV603" s="1036"/>
      <c r="AW603" s="1130"/>
      <c r="AX603" s="1046"/>
      <c r="AY603" s="1046"/>
      <c r="AZ603" s="1129">
        <f>AVERAGE(AZ604:AZ627)</f>
        <v>0.35291666666666671</v>
      </c>
      <c r="BA603" s="1045">
        <f>AVERAGE(BA604:BA627)</f>
        <v>0.50416666666666665</v>
      </c>
      <c r="BB603" s="1039">
        <f>AVERAGE(BB604:BB627)</f>
        <v>1.8014303230091258</v>
      </c>
      <c r="BC603" s="1036"/>
      <c r="BD603" s="1038" t="e">
        <f>AVERAGE(BD612:BD627)</f>
        <v>#DIV/0!</v>
      </c>
      <c r="BE603" s="1036"/>
      <c r="BF603" s="1130"/>
      <c r="BG603" s="2756">
        <f>BF604</f>
        <v>45041</v>
      </c>
      <c r="BH603" s="2756"/>
      <c r="BI603" s="1897">
        <f>SUM(BI604:BI627)</f>
        <v>7.12</v>
      </c>
      <c r="BJ603" s="1898">
        <f>SUM(BJ604:BJ627)</f>
        <v>0</v>
      </c>
      <c r="BK603" s="1036"/>
      <c r="BL603" s="1130"/>
      <c r="BM603" s="1046"/>
      <c r="BN603" s="1046"/>
      <c r="BO603" s="1129" t="e">
        <f>AVERAGE(BO604:BO627)</f>
        <v>#DIV/0!</v>
      </c>
      <c r="BP603" s="1129" t="e">
        <f>AVERAGE(BP604:BP627)</f>
        <v>#DIV/0!</v>
      </c>
      <c r="BQ603" s="1036"/>
    </row>
    <row r="604" spans="1:69" ht="14.4">
      <c r="A604" s="1049"/>
      <c r="B604" s="1126">
        <v>44859</v>
      </c>
      <c r="C604" s="1057">
        <v>0</v>
      </c>
      <c r="D604" s="1056">
        <v>1</v>
      </c>
      <c r="E604" s="1063">
        <v>0.18</v>
      </c>
      <c r="F604" s="1062">
        <v>0.32</v>
      </c>
      <c r="G604" s="1061">
        <f t="shared" ref="G604:G627" si="264">F604/E604</f>
        <v>1.7777777777777779</v>
      </c>
      <c r="H604" s="1049"/>
      <c r="I604" s="1126">
        <v>44890</v>
      </c>
      <c r="J604" s="1057">
        <v>0</v>
      </c>
      <c r="K604" s="1056">
        <v>1</v>
      </c>
      <c r="L604" s="1055">
        <v>1.403</v>
      </c>
      <c r="M604" s="1059">
        <v>4.7699999999999996</v>
      </c>
      <c r="N604" s="1052">
        <f t="shared" ref="N604:N627" si="265">M604/L604</f>
        <v>3.3998574483250175</v>
      </c>
      <c r="O604" s="1049"/>
      <c r="P604" s="1125">
        <v>44920</v>
      </c>
      <c r="Q604" s="1057">
        <v>0</v>
      </c>
      <c r="R604" s="1056">
        <v>1</v>
      </c>
      <c r="S604" s="1055">
        <v>1.829</v>
      </c>
      <c r="T604" s="1054">
        <f t="shared" ref="T604:T627" si="266">S604*X604</f>
        <v>2.2862499999999999</v>
      </c>
      <c r="U604" s="1064">
        <v>4.2</v>
      </c>
      <c r="V604" s="1052">
        <f t="shared" ref="V604:V627" si="267">U604/S604</f>
        <v>2.2963367960634229</v>
      </c>
      <c r="W604" s="1049"/>
      <c r="X604" s="1051">
        <v>1.25</v>
      </c>
      <c r="Y604" s="1049"/>
      <c r="Z604" s="1050">
        <f>S604*(X604-0.8)</f>
        <v>0.82304999999999995</v>
      </c>
      <c r="AA604" s="1125">
        <v>44951</v>
      </c>
      <c r="AB604" s="1057">
        <v>0</v>
      </c>
      <c r="AC604" s="1056">
        <v>1</v>
      </c>
      <c r="AD604" s="1055">
        <v>1.9830000000000001</v>
      </c>
      <c r="AE604" s="1137">
        <f t="shared" ref="AE604:AE652" si="268">AD604*AI604</f>
        <v>0</v>
      </c>
      <c r="AF604" s="1136">
        <v>3.93</v>
      </c>
      <c r="AG604" s="1052">
        <f t="shared" ref="AG604:AG627" si="269">AF604/AD604</f>
        <v>1.9818456883509834</v>
      </c>
      <c r="AH604" s="1049"/>
      <c r="AI604" s="1136"/>
      <c r="AJ604" s="1049"/>
      <c r="AK604" s="1050">
        <f>AD604*(AI604-0.8)</f>
        <v>-1.5864000000000003</v>
      </c>
      <c r="AL604" s="1049"/>
      <c r="AM604" s="1125">
        <v>44982</v>
      </c>
      <c r="AN604" s="1057">
        <v>0</v>
      </c>
      <c r="AO604" s="1056">
        <v>1</v>
      </c>
      <c r="AP604" s="1055">
        <v>0.18</v>
      </c>
      <c r="AQ604" s="1745">
        <f t="shared" ref="AQ604:AQ627" si="270">AP604*AU604</f>
        <v>0</v>
      </c>
      <c r="AR604" s="1737">
        <v>0.3</v>
      </c>
      <c r="AS604" s="1052">
        <f t="shared" ref="AS604:AS627" si="271">AR604/AP604</f>
        <v>1.6666666666666667</v>
      </c>
      <c r="AT604" s="1049"/>
      <c r="AU604" s="1136"/>
      <c r="AV604" s="1049"/>
      <c r="AW604" s="1125">
        <v>45010</v>
      </c>
      <c r="AX604" s="1057">
        <v>0</v>
      </c>
      <c r="AY604" s="1056">
        <v>1</v>
      </c>
      <c r="AZ604" s="1055">
        <v>0.14000000000000001</v>
      </c>
      <c r="BA604" s="1736">
        <v>0.13</v>
      </c>
      <c r="BB604" s="1737">
        <f t="shared" ref="BB604:BB627" si="272">BA604/AZ604</f>
        <v>0.92857142857142849</v>
      </c>
      <c r="BC604" s="1049"/>
      <c r="BD604" s="1136"/>
      <c r="BE604" s="1049"/>
      <c r="BF604" s="1125">
        <v>45041</v>
      </c>
      <c r="BG604" s="1057">
        <v>0</v>
      </c>
      <c r="BH604" s="1056">
        <v>1</v>
      </c>
      <c r="BI604" s="1874">
        <v>0.12</v>
      </c>
      <c r="BJ604" s="1736"/>
      <c r="BK604" s="1049"/>
      <c r="BL604" s="1125">
        <v>45041</v>
      </c>
      <c r="BM604" s="1057">
        <v>0</v>
      </c>
      <c r="BN604" s="1056">
        <v>1</v>
      </c>
      <c r="BO604" s="1055"/>
      <c r="BP604" s="1055"/>
      <c r="BQ604" s="1049"/>
    </row>
    <row r="605" spans="1:69" ht="14.4">
      <c r="A605" s="1049"/>
      <c r="B605" s="1124"/>
      <c r="C605" s="1057">
        <v>1</v>
      </c>
      <c r="D605" s="1056">
        <v>2</v>
      </c>
      <c r="E605" s="1063">
        <v>0.21</v>
      </c>
      <c r="F605" s="1062">
        <v>0.43</v>
      </c>
      <c r="G605" s="1061">
        <f t="shared" si="264"/>
        <v>2.0476190476190474</v>
      </c>
      <c r="H605" s="1049"/>
      <c r="I605" s="1124"/>
      <c r="J605" s="1057">
        <v>1</v>
      </c>
      <c r="K605" s="1056">
        <v>2</v>
      </c>
      <c r="L605" s="1055">
        <v>0.84</v>
      </c>
      <c r="M605" s="1059">
        <v>2.76</v>
      </c>
      <c r="N605" s="1052">
        <f t="shared" si="265"/>
        <v>3.2857142857142856</v>
      </c>
      <c r="O605" s="1049"/>
      <c r="P605" s="1123"/>
      <c r="Q605" s="1057">
        <v>1</v>
      </c>
      <c r="R605" s="1056">
        <v>2</v>
      </c>
      <c r="S605" s="1055">
        <v>2.306</v>
      </c>
      <c r="T605" s="1054">
        <f t="shared" si="266"/>
        <v>2.6980200000000001</v>
      </c>
      <c r="U605" s="1064">
        <v>5.12</v>
      </c>
      <c r="V605" s="1052">
        <f t="shared" si="267"/>
        <v>2.2202948829141369</v>
      </c>
      <c r="W605" s="1049"/>
      <c r="X605" s="1051">
        <v>1.17</v>
      </c>
      <c r="Y605" s="1049"/>
      <c r="Z605" s="1050">
        <v>0</v>
      </c>
      <c r="AA605" s="1123"/>
      <c r="AB605" s="1057">
        <v>1</v>
      </c>
      <c r="AC605" s="1056">
        <v>2</v>
      </c>
      <c r="AD605" s="1055">
        <v>2.3460000000000001</v>
      </c>
      <c r="AE605" s="1137">
        <f t="shared" si="268"/>
        <v>0</v>
      </c>
      <c r="AF605" s="1136">
        <v>4.55</v>
      </c>
      <c r="AG605" s="1052">
        <f t="shared" si="269"/>
        <v>1.9394714407502129</v>
      </c>
      <c r="AH605" s="1049"/>
      <c r="AI605" s="1136"/>
      <c r="AJ605" s="1049"/>
      <c r="AK605" s="1050">
        <v>0</v>
      </c>
      <c r="AL605" s="1049"/>
      <c r="AM605" s="1123"/>
      <c r="AN605" s="1057">
        <v>1</v>
      </c>
      <c r="AO605" s="1056">
        <v>2</v>
      </c>
      <c r="AP605" s="1055">
        <v>0.13</v>
      </c>
      <c r="AQ605" s="1745">
        <f t="shared" si="270"/>
        <v>0</v>
      </c>
      <c r="AR605" s="1737">
        <v>0.21</v>
      </c>
      <c r="AS605" s="1052">
        <f t="shared" si="271"/>
        <v>1.6153846153846152</v>
      </c>
      <c r="AT605" s="1049"/>
      <c r="AU605" s="1136"/>
      <c r="AV605" s="1049"/>
      <c r="AW605" s="1123"/>
      <c r="AX605" s="1057">
        <v>1</v>
      </c>
      <c r="AY605" s="1056">
        <v>2</v>
      </c>
      <c r="AZ605" s="1055">
        <v>7.0000000000000007E-2</v>
      </c>
      <c r="BA605" s="1736">
        <v>0.15</v>
      </c>
      <c r="BB605" s="1737">
        <f t="shared" si="272"/>
        <v>2.1428571428571428</v>
      </c>
      <c r="BC605" s="1049"/>
      <c r="BD605" s="1136"/>
      <c r="BE605" s="1049"/>
      <c r="BF605" s="1123"/>
      <c r="BG605" s="1057">
        <v>1</v>
      </c>
      <c r="BH605" s="1056">
        <v>2</v>
      </c>
      <c r="BI605" s="1874">
        <v>0.11</v>
      </c>
      <c r="BJ605" s="1736"/>
      <c r="BK605" s="1049"/>
      <c r="BL605" s="1123"/>
      <c r="BM605" s="1057">
        <v>1</v>
      </c>
      <c r="BN605" s="1056">
        <v>2</v>
      </c>
      <c r="BO605" s="1055"/>
      <c r="BP605" s="1055"/>
      <c r="BQ605" s="1049"/>
    </row>
    <row r="606" spans="1:69" ht="14.4">
      <c r="A606" s="1049"/>
      <c r="B606" s="1122">
        <f>SUM(E604:E627)</f>
        <v>15.63</v>
      </c>
      <c r="C606" s="1057">
        <v>2</v>
      </c>
      <c r="D606" s="1056">
        <v>3</v>
      </c>
      <c r="E606" s="1063">
        <v>0.22</v>
      </c>
      <c r="F606" s="1062">
        <v>0.45</v>
      </c>
      <c r="G606" s="1061">
        <f t="shared" si="264"/>
        <v>2.0454545454545454</v>
      </c>
      <c r="H606" s="1049"/>
      <c r="I606" s="1122">
        <f>SUM(L604:L627)</f>
        <v>30.821999999999999</v>
      </c>
      <c r="J606" s="1057">
        <v>2</v>
      </c>
      <c r="K606" s="1056">
        <v>3</v>
      </c>
      <c r="L606" s="1055">
        <v>0.875</v>
      </c>
      <c r="M606" s="1059">
        <v>2.78</v>
      </c>
      <c r="N606" s="1052">
        <f t="shared" si="265"/>
        <v>3.177142857142857</v>
      </c>
      <c r="O606" s="1049"/>
      <c r="P606" s="1121">
        <f>SUM(S604:S627)</f>
        <v>63.041999999999987</v>
      </c>
      <c r="Q606" s="1057">
        <v>2</v>
      </c>
      <c r="R606" s="1056">
        <v>3</v>
      </c>
      <c r="S606" s="1055">
        <v>1.784</v>
      </c>
      <c r="T606" s="1054">
        <f t="shared" si="266"/>
        <v>1.9980800000000003</v>
      </c>
      <c r="U606" s="1064">
        <v>3.87</v>
      </c>
      <c r="V606" s="1052">
        <f t="shared" si="267"/>
        <v>2.1692825112107625</v>
      </c>
      <c r="W606" s="1049"/>
      <c r="X606" s="1051">
        <v>1.1200000000000001</v>
      </c>
      <c r="Y606" s="1049"/>
      <c r="Z606" s="1050">
        <v>0</v>
      </c>
      <c r="AA606" s="1121">
        <f>SUM(AD604:AD627)</f>
        <v>58.902000000000001</v>
      </c>
      <c r="AB606" s="1057">
        <v>2</v>
      </c>
      <c r="AC606" s="1056">
        <v>3</v>
      </c>
      <c r="AD606" s="1055">
        <v>1.9059999999999999</v>
      </c>
      <c r="AE606" s="1137">
        <f t="shared" si="268"/>
        <v>0</v>
      </c>
      <c r="AF606" s="1136">
        <v>3.67</v>
      </c>
      <c r="AG606" s="1052">
        <f t="shared" si="269"/>
        <v>1.925498426023085</v>
      </c>
      <c r="AH606" s="1049"/>
      <c r="AI606" s="1136"/>
      <c r="AJ606" s="1049"/>
      <c r="AK606" s="1050">
        <v>0</v>
      </c>
      <c r="AL606" s="1049"/>
      <c r="AM606" s="1121">
        <f>SUM(AP604:AP627)</f>
        <v>5.6400000000000006</v>
      </c>
      <c r="AN606" s="1057">
        <v>2</v>
      </c>
      <c r="AO606" s="1056">
        <v>3</v>
      </c>
      <c r="AP606" s="1055">
        <v>0.08</v>
      </c>
      <c r="AQ606" s="1745">
        <f t="shared" si="270"/>
        <v>0</v>
      </c>
      <c r="AR606" s="1737">
        <v>0.12</v>
      </c>
      <c r="AS606" s="1052">
        <f t="shared" si="271"/>
        <v>1.5</v>
      </c>
      <c r="AT606" s="1049"/>
      <c r="AU606" s="1136"/>
      <c r="AV606" s="1049"/>
      <c r="AW606" s="1121">
        <f>SUM(AZ604:AZ627)</f>
        <v>8.4700000000000006</v>
      </c>
      <c r="AX606" s="1057">
        <v>2</v>
      </c>
      <c r="AY606" s="1056">
        <v>3</v>
      </c>
      <c r="AZ606" s="1055">
        <v>0.15</v>
      </c>
      <c r="BA606" s="1736">
        <v>0.18</v>
      </c>
      <c r="BB606" s="1737">
        <f t="shared" si="272"/>
        <v>1.2</v>
      </c>
      <c r="BC606" s="1049"/>
      <c r="BD606" s="1136"/>
      <c r="BE606" s="1049"/>
      <c r="BF606" s="1121">
        <f>SUM(BI604:BI627)</f>
        <v>7.12</v>
      </c>
      <c r="BG606" s="1057">
        <v>2</v>
      </c>
      <c r="BH606" s="1056">
        <v>3</v>
      </c>
      <c r="BI606" s="1874">
        <v>0.1</v>
      </c>
      <c r="BJ606" s="1736"/>
      <c r="BK606" s="1049"/>
      <c r="BL606" s="1121">
        <f>SUM(BO604:BO627)+SUM(BP604:BP627)</f>
        <v>0</v>
      </c>
      <c r="BM606" s="1057">
        <v>2</v>
      </c>
      <c r="BN606" s="1056">
        <v>3</v>
      </c>
      <c r="BO606" s="1055"/>
      <c r="BP606" s="1055"/>
      <c r="BQ606" s="1049"/>
    </row>
    <row r="607" spans="1:69" ht="14.4">
      <c r="A607" s="1049"/>
      <c r="B607" s="1120">
        <f>B606/24</f>
        <v>0.65125</v>
      </c>
      <c r="C607" s="1057">
        <v>3</v>
      </c>
      <c r="D607" s="1056">
        <v>4</v>
      </c>
      <c r="E607" s="1063">
        <v>0.39</v>
      </c>
      <c r="F607" s="1062">
        <v>0.81</v>
      </c>
      <c r="G607" s="1061">
        <f t="shared" si="264"/>
        <v>2.0769230769230771</v>
      </c>
      <c r="H607" s="1049"/>
      <c r="I607" s="1120">
        <f>I606/24</f>
        <v>1.2842499999999999</v>
      </c>
      <c r="J607" s="1057">
        <v>3</v>
      </c>
      <c r="K607" s="1056">
        <v>4</v>
      </c>
      <c r="L607" s="1055">
        <v>0.83599999999999997</v>
      </c>
      <c r="M607" s="1059">
        <v>2.57</v>
      </c>
      <c r="N607" s="1052">
        <f t="shared" si="265"/>
        <v>3.0741626794258372</v>
      </c>
      <c r="O607" s="1049"/>
      <c r="P607" s="1120">
        <f>P606/24</f>
        <v>2.6267499999999995</v>
      </c>
      <c r="Q607" s="1057">
        <v>3</v>
      </c>
      <c r="R607" s="1056">
        <v>4</v>
      </c>
      <c r="S607" s="1055">
        <v>1.8149999999999999</v>
      </c>
      <c r="T607" s="1054">
        <f t="shared" si="266"/>
        <v>1.7786999999999999</v>
      </c>
      <c r="U607" s="1064">
        <v>3.67</v>
      </c>
      <c r="V607" s="1052">
        <f t="shared" si="267"/>
        <v>2.0220385674931132</v>
      </c>
      <c r="W607" s="1049"/>
      <c r="X607" s="1051">
        <v>0.98</v>
      </c>
      <c r="Y607" s="1049"/>
      <c r="Z607" s="1050">
        <v>0</v>
      </c>
      <c r="AA607" s="1120">
        <f>AA606/24</f>
        <v>2.45425</v>
      </c>
      <c r="AB607" s="1057">
        <v>3</v>
      </c>
      <c r="AC607" s="1056">
        <v>4</v>
      </c>
      <c r="AD607" s="1055">
        <v>1.869</v>
      </c>
      <c r="AE607" s="1137">
        <f t="shared" si="268"/>
        <v>0</v>
      </c>
      <c r="AF607" s="1136">
        <v>3.56</v>
      </c>
      <c r="AG607" s="1052">
        <f t="shared" si="269"/>
        <v>1.9047619047619049</v>
      </c>
      <c r="AH607" s="1049"/>
      <c r="AI607" s="1136"/>
      <c r="AJ607" s="1049"/>
      <c r="AK607" s="1050">
        <v>0</v>
      </c>
      <c r="AL607" s="1049"/>
      <c r="AM607" s="1120">
        <f>AM606/24</f>
        <v>0.23500000000000001</v>
      </c>
      <c r="AN607" s="1057">
        <v>3</v>
      </c>
      <c r="AO607" s="1056">
        <v>4</v>
      </c>
      <c r="AP607" s="1055">
        <v>0.1</v>
      </c>
      <c r="AQ607" s="1745">
        <f t="shared" si="270"/>
        <v>0</v>
      </c>
      <c r="AR607" s="1737">
        <v>0.15</v>
      </c>
      <c r="AS607" s="1052">
        <f t="shared" si="271"/>
        <v>1.4999999999999998</v>
      </c>
      <c r="AT607" s="1049"/>
      <c r="AU607" s="1136"/>
      <c r="AV607" s="1049"/>
      <c r="AW607" s="1120">
        <f>AW606/24</f>
        <v>0.35291666666666671</v>
      </c>
      <c r="AX607" s="1057">
        <v>3</v>
      </c>
      <c r="AY607" s="1056">
        <v>4</v>
      </c>
      <c r="AZ607" s="1055">
        <v>0.13</v>
      </c>
      <c r="BA607" s="1736">
        <v>0.12</v>
      </c>
      <c r="BB607" s="1737">
        <f t="shared" si="272"/>
        <v>0.92307692307692302</v>
      </c>
      <c r="BC607" s="1049"/>
      <c r="BD607" s="1136"/>
      <c r="BE607" s="1049"/>
      <c r="BF607" s="1120">
        <f>BF606/24</f>
        <v>0.29666666666666669</v>
      </c>
      <c r="BG607" s="1057">
        <v>3</v>
      </c>
      <c r="BH607" s="1056">
        <v>4</v>
      </c>
      <c r="BI607" s="1874">
        <v>0.12</v>
      </c>
      <c r="BJ607" s="1736"/>
      <c r="BK607" s="1049"/>
      <c r="BL607" s="1120">
        <f>BL606/24</f>
        <v>0</v>
      </c>
      <c r="BM607" s="1057">
        <v>3</v>
      </c>
      <c r="BN607" s="1056">
        <v>4</v>
      </c>
      <c r="BO607" s="1055"/>
      <c r="BP607" s="1055"/>
      <c r="BQ607" s="1049"/>
    </row>
    <row r="608" spans="1:69" ht="14.4">
      <c r="A608" s="1049"/>
      <c r="B608" s="1119"/>
      <c r="C608" s="1057">
        <v>4</v>
      </c>
      <c r="D608" s="1056">
        <v>5</v>
      </c>
      <c r="E608" s="1063">
        <v>0.34</v>
      </c>
      <c r="F608" s="1062">
        <v>0.74</v>
      </c>
      <c r="G608" s="1061">
        <f t="shared" si="264"/>
        <v>2.1764705882352939</v>
      </c>
      <c r="H608" s="1049"/>
      <c r="I608" s="1119"/>
      <c r="J608" s="1057">
        <v>4</v>
      </c>
      <c r="K608" s="1056">
        <v>5</v>
      </c>
      <c r="L608" s="1055">
        <v>0.85</v>
      </c>
      <c r="M608" s="1059">
        <v>2.67</v>
      </c>
      <c r="N608" s="1052">
        <f t="shared" si="265"/>
        <v>3.1411764705882352</v>
      </c>
      <c r="O608" s="1049"/>
      <c r="P608" s="1118"/>
      <c r="Q608" s="1057">
        <v>4</v>
      </c>
      <c r="R608" s="1056">
        <v>5</v>
      </c>
      <c r="S608" s="1055">
        <v>2.0649999999999999</v>
      </c>
      <c r="T608" s="1054">
        <f t="shared" si="266"/>
        <v>1.92045</v>
      </c>
      <c r="U608" s="1064">
        <v>4.07</v>
      </c>
      <c r="V608" s="1052">
        <f t="shared" si="267"/>
        <v>1.9709443099273609</v>
      </c>
      <c r="W608" s="1049"/>
      <c r="X608" s="1051">
        <v>0.93</v>
      </c>
      <c r="Y608" s="1049"/>
      <c r="Z608" s="1050">
        <v>0</v>
      </c>
      <c r="AA608" s="1118"/>
      <c r="AB608" s="1057">
        <v>4</v>
      </c>
      <c r="AC608" s="1056">
        <v>5</v>
      </c>
      <c r="AD608" s="1055">
        <v>2.0419999999999998</v>
      </c>
      <c r="AE608" s="1137">
        <f t="shared" si="268"/>
        <v>0</v>
      </c>
      <c r="AF608" s="1136">
        <v>3.9</v>
      </c>
      <c r="AG608" s="1052">
        <f t="shared" si="269"/>
        <v>1.9098922624877572</v>
      </c>
      <c r="AH608" s="1049"/>
      <c r="AI608" s="1136"/>
      <c r="AJ608" s="1049"/>
      <c r="AK608" s="1050">
        <v>0</v>
      </c>
      <c r="AL608" s="1049"/>
      <c r="AM608" s="1118"/>
      <c r="AN608" s="1057">
        <v>4</v>
      </c>
      <c r="AO608" s="1056">
        <v>5</v>
      </c>
      <c r="AP608" s="1055">
        <v>0.22</v>
      </c>
      <c r="AQ608" s="1745">
        <f t="shared" si="270"/>
        <v>0</v>
      </c>
      <c r="AR608" s="1737">
        <v>0.35</v>
      </c>
      <c r="AS608" s="1052">
        <f t="shared" si="271"/>
        <v>1.5909090909090908</v>
      </c>
      <c r="AT608" s="1049"/>
      <c r="AU608" s="1136"/>
      <c r="AV608" s="1049"/>
      <c r="AW608" s="1118"/>
      <c r="AX608" s="1057">
        <v>4</v>
      </c>
      <c r="AY608" s="1056">
        <v>5</v>
      </c>
      <c r="AZ608" s="1055">
        <v>0.11</v>
      </c>
      <c r="BA608" s="1736">
        <v>0.13</v>
      </c>
      <c r="BB608" s="1737">
        <f t="shared" si="272"/>
        <v>1.1818181818181819</v>
      </c>
      <c r="BC608" s="1049"/>
      <c r="BD608" s="1136"/>
      <c r="BE608" s="1049"/>
      <c r="BF608" s="1118"/>
      <c r="BG608" s="1057">
        <v>4</v>
      </c>
      <c r="BH608" s="1056">
        <v>5</v>
      </c>
      <c r="BI608" s="1874">
        <v>0.15</v>
      </c>
      <c r="BJ608" s="1736"/>
      <c r="BK608" s="1049"/>
      <c r="BL608" s="1118"/>
      <c r="BM608" s="1057">
        <v>4</v>
      </c>
      <c r="BN608" s="1056">
        <v>5</v>
      </c>
      <c r="BO608" s="1055"/>
      <c r="BP608" s="1055"/>
      <c r="BQ608" s="1049"/>
    </row>
    <row r="609" spans="1:69" ht="15" thickBot="1">
      <c r="A609" s="1049"/>
      <c r="B609" s="1058">
        <f>SUM(F604:F627)</f>
        <v>42.000000000000007</v>
      </c>
      <c r="C609" s="1111">
        <v>5</v>
      </c>
      <c r="D609" s="1110">
        <v>6</v>
      </c>
      <c r="E609" s="1117">
        <v>0.3</v>
      </c>
      <c r="F609" s="1116">
        <v>0.65</v>
      </c>
      <c r="G609" s="1115">
        <f t="shared" si="264"/>
        <v>2.166666666666667</v>
      </c>
      <c r="H609" s="1049"/>
      <c r="I609" s="1058">
        <f>SUM(M604:M627)</f>
        <v>128.92000000000002</v>
      </c>
      <c r="J609" s="1111">
        <v>5</v>
      </c>
      <c r="K609" s="1110">
        <v>6</v>
      </c>
      <c r="L609" s="1109">
        <v>0.77900000000000003</v>
      </c>
      <c r="M609" s="1114">
        <v>2.58</v>
      </c>
      <c r="N609" s="1113">
        <f t="shared" si="265"/>
        <v>3.3119383825417201</v>
      </c>
      <c r="O609" s="1049"/>
      <c r="P609" s="1112">
        <f>SUM(U604:U627)</f>
        <v>136.73000000000002</v>
      </c>
      <c r="Q609" s="1111">
        <v>5</v>
      </c>
      <c r="R609" s="1110">
        <v>6</v>
      </c>
      <c r="S609" s="1109">
        <v>2.2029999999999998</v>
      </c>
      <c r="T609" s="1054">
        <f t="shared" si="266"/>
        <v>2.0487899999999999</v>
      </c>
      <c r="U609" s="1064">
        <v>4.3499999999999996</v>
      </c>
      <c r="V609" s="1052">
        <f t="shared" si="267"/>
        <v>1.9745801180208806</v>
      </c>
      <c r="W609" s="1049"/>
      <c r="X609" s="1074">
        <v>0.93</v>
      </c>
      <c r="Y609" s="1049"/>
      <c r="Z609" s="1050">
        <v>0</v>
      </c>
      <c r="AA609" s="1112">
        <f>SUM(AF604:AF627)</f>
        <v>130.68</v>
      </c>
      <c r="AB609" s="1111">
        <v>5</v>
      </c>
      <c r="AC609" s="1110">
        <v>6</v>
      </c>
      <c r="AD609" s="1109">
        <v>2.0169999999999999</v>
      </c>
      <c r="AE609" s="1147">
        <f t="shared" si="268"/>
        <v>0</v>
      </c>
      <c r="AF609" s="1146">
        <v>3.93</v>
      </c>
      <c r="AG609" s="1052">
        <f t="shared" si="269"/>
        <v>1.9484382746653448</v>
      </c>
      <c r="AH609" s="1049"/>
      <c r="AI609" s="1146"/>
      <c r="AJ609" s="1049"/>
      <c r="AK609" s="1050">
        <v>0</v>
      </c>
      <c r="AL609" s="1049"/>
      <c r="AM609" s="1112">
        <f>SUM(AR604:AR627)</f>
        <v>9.25</v>
      </c>
      <c r="AN609" s="1111">
        <v>5</v>
      </c>
      <c r="AO609" s="1110">
        <v>6</v>
      </c>
      <c r="AP609" s="1109">
        <v>0.21</v>
      </c>
      <c r="AQ609" s="1746">
        <f t="shared" si="270"/>
        <v>0</v>
      </c>
      <c r="AR609" s="1739">
        <v>0.33</v>
      </c>
      <c r="AS609" s="1052">
        <f t="shared" si="271"/>
        <v>1.5714285714285716</v>
      </c>
      <c r="AT609" s="1049"/>
      <c r="AU609" s="1146"/>
      <c r="AV609" s="1049"/>
      <c r="AW609" s="1112">
        <f>SUM(BA604:BA627)</f>
        <v>12.1</v>
      </c>
      <c r="AX609" s="1111">
        <v>5</v>
      </c>
      <c r="AY609" s="1110">
        <v>6</v>
      </c>
      <c r="AZ609" s="1109">
        <v>0.11</v>
      </c>
      <c r="BA609" s="1738">
        <v>0.12</v>
      </c>
      <c r="BB609" s="1739">
        <f t="shared" si="272"/>
        <v>1.0909090909090908</v>
      </c>
      <c r="BC609" s="1049"/>
      <c r="BD609" s="1146"/>
      <c r="BE609" s="1049"/>
      <c r="BF609" s="1112">
        <f>SUM(BJ604:BJ627)</f>
        <v>0</v>
      </c>
      <c r="BG609" s="1111">
        <v>5</v>
      </c>
      <c r="BH609" s="1110">
        <v>6</v>
      </c>
      <c r="BI609" s="1874">
        <v>0.14000000000000001</v>
      </c>
      <c r="BJ609" s="1738"/>
      <c r="BK609" s="1049"/>
      <c r="BL609" s="1112">
        <f>SUM(BP604:BP627)</f>
        <v>0</v>
      </c>
      <c r="BM609" s="1111">
        <v>5</v>
      </c>
      <c r="BN609" s="1110">
        <v>6</v>
      </c>
      <c r="BO609" s="1109"/>
      <c r="BP609" s="1109"/>
      <c r="BQ609" s="1049"/>
    </row>
    <row r="610" spans="1:69" ht="14.4">
      <c r="A610" s="1049"/>
      <c r="B610" s="1093">
        <f>B609/B606</f>
        <v>2.6871401151631482</v>
      </c>
      <c r="C610" s="1100">
        <v>6</v>
      </c>
      <c r="D610" s="1099">
        <v>7</v>
      </c>
      <c r="E610" s="1107">
        <v>1.1399999999999999</v>
      </c>
      <c r="F610" s="1106">
        <v>2.68</v>
      </c>
      <c r="G610" s="1105">
        <f t="shared" si="264"/>
        <v>2.3508771929824563</v>
      </c>
      <c r="H610" s="1049"/>
      <c r="I610" s="1093">
        <f>I609/I606</f>
        <v>4.1827266238401144</v>
      </c>
      <c r="J610" s="1100">
        <v>6</v>
      </c>
      <c r="K610" s="1099">
        <v>7</v>
      </c>
      <c r="L610" s="1098">
        <v>1.0609999999999999</v>
      </c>
      <c r="M610" s="1103">
        <v>3.98</v>
      </c>
      <c r="N610" s="1102">
        <f t="shared" si="265"/>
        <v>3.751178133836004</v>
      </c>
      <c r="O610" s="1049"/>
      <c r="P610" s="1093">
        <f>P609/P606</f>
        <v>2.168871545953492</v>
      </c>
      <c r="Q610" s="1100">
        <v>6</v>
      </c>
      <c r="R610" s="1099">
        <v>7</v>
      </c>
      <c r="S610" s="1098">
        <v>2.101</v>
      </c>
      <c r="T610" s="1054">
        <f t="shared" si="266"/>
        <v>1.9539300000000002</v>
      </c>
      <c r="U610" s="1064">
        <v>4.1399999999999997</v>
      </c>
      <c r="V610" s="1052">
        <f t="shared" si="267"/>
        <v>1.9704902427415516</v>
      </c>
      <c r="W610" s="1049"/>
      <c r="X610" s="1108">
        <v>0.93</v>
      </c>
      <c r="Y610" s="1049"/>
      <c r="Z610" s="1050">
        <v>0</v>
      </c>
      <c r="AA610" s="1093">
        <f>AA609/AA606</f>
        <v>2.2186003870836304</v>
      </c>
      <c r="AB610" s="1100">
        <v>6</v>
      </c>
      <c r="AC610" s="1099">
        <v>7</v>
      </c>
      <c r="AD610" s="1098">
        <v>2.3130000000000002</v>
      </c>
      <c r="AE610" s="1145">
        <f t="shared" si="268"/>
        <v>0</v>
      </c>
      <c r="AF610" s="1144">
        <v>4.5999999999999996</v>
      </c>
      <c r="AG610" s="1052">
        <f t="shared" si="269"/>
        <v>1.9887591872027666</v>
      </c>
      <c r="AH610" s="1049"/>
      <c r="AI610" s="1144"/>
      <c r="AJ610" s="1049"/>
      <c r="AK610" s="1050">
        <v>0</v>
      </c>
      <c r="AL610" s="1049"/>
      <c r="AM610" s="1093">
        <f>AM609/AM606</f>
        <v>1.6400709219858154</v>
      </c>
      <c r="AN610" s="1100">
        <v>6</v>
      </c>
      <c r="AO610" s="1099">
        <v>7</v>
      </c>
      <c r="AP610" s="1098">
        <v>0.27</v>
      </c>
      <c r="AQ610" s="1747">
        <f t="shared" si="270"/>
        <v>0</v>
      </c>
      <c r="AR610" s="1741">
        <v>0.41</v>
      </c>
      <c r="AS610" s="1052">
        <f t="shared" si="271"/>
        <v>1.5185185185185184</v>
      </c>
      <c r="AT610" s="1049"/>
      <c r="AU610" s="1144"/>
      <c r="AV610" s="1049"/>
      <c r="AW610" s="1093">
        <f>AW609/AW606</f>
        <v>1.4285714285714284</v>
      </c>
      <c r="AX610" s="1100">
        <v>6</v>
      </c>
      <c r="AY610" s="1099">
        <v>7</v>
      </c>
      <c r="AZ610" s="1098">
        <v>0.1</v>
      </c>
      <c r="BA610" s="1740">
        <v>0.38</v>
      </c>
      <c r="BB610" s="1741">
        <f t="shared" si="272"/>
        <v>3.8</v>
      </c>
      <c r="BC610" s="1049"/>
      <c r="BD610" s="1144"/>
      <c r="BE610" s="1049"/>
      <c r="BF610" s="1093">
        <f>BF609/BF606</f>
        <v>0</v>
      </c>
      <c r="BG610" s="1100">
        <v>6</v>
      </c>
      <c r="BH610" s="1099">
        <v>7</v>
      </c>
      <c r="BI610" s="1874">
        <v>0.14000000000000001</v>
      </c>
      <c r="BJ610" s="1740"/>
      <c r="BK610" s="1049"/>
      <c r="BL610" s="1093" t="e">
        <f>BL609/BL606</f>
        <v>#DIV/0!</v>
      </c>
      <c r="BM610" s="1100">
        <v>6</v>
      </c>
      <c r="BN610" s="1099">
        <v>7</v>
      </c>
      <c r="BO610" s="1098"/>
      <c r="BP610" s="1098"/>
      <c r="BQ610" s="1049"/>
    </row>
    <row r="611" spans="1:69" ht="14.4">
      <c r="A611" s="1049"/>
      <c r="B611" s="1104"/>
      <c r="C611" s="1100">
        <v>7</v>
      </c>
      <c r="D611" s="1099">
        <v>8</v>
      </c>
      <c r="E611" s="1107">
        <v>2</v>
      </c>
      <c r="F611" s="1106">
        <v>5.25</v>
      </c>
      <c r="G611" s="1105">
        <f t="shared" si="264"/>
        <v>2.625</v>
      </c>
      <c r="H611" s="1049"/>
      <c r="I611" s="1104"/>
      <c r="J611" s="1100">
        <v>7</v>
      </c>
      <c r="K611" s="1099">
        <v>8</v>
      </c>
      <c r="L611" s="1098">
        <v>1.1599999999999999</v>
      </c>
      <c r="M611" s="1103">
        <v>5.13</v>
      </c>
      <c r="N611" s="1102">
        <f t="shared" si="265"/>
        <v>4.4224137931034484</v>
      </c>
      <c r="O611" s="1049"/>
      <c r="P611" s="1101"/>
      <c r="Q611" s="1100">
        <v>7</v>
      </c>
      <c r="R611" s="1099">
        <v>8</v>
      </c>
      <c r="S611" s="1098">
        <v>2.254</v>
      </c>
      <c r="T611" s="1054">
        <f t="shared" si="266"/>
        <v>2.2314599999999998</v>
      </c>
      <c r="U611" s="1064">
        <v>4.59</v>
      </c>
      <c r="V611" s="1052">
        <f t="shared" si="267"/>
        <v>2.0363797692990238</v>
      </c>
      <c r="W611" s="1049"/>
      <c r="X611" s="1065">
        <v>0.99</v>
      </c>
      <c r="Y611" s="1049"/>
      <c r="Z611" s="1050">
        <f t="shared" ref="Z611:Z627" si="273">S611*(X611-0.8)</f>
        <v>0.42825999999999986</v>
      </c>
      <c r="AA611" s="1101"/>
      <c r="AB611" s="1100">
        <v>7</v>
      </c>
      <c r="AC611" s="1099">
        <v>8</v>
      </c>
      <c r="AD611" s="1098">
        <v>2.3919999999999999</v>
      </c>
      <c r="AE611" s="1145">
        <f t="shared" si="268"/>
        <v>0</v>
      </c>
      <c r="AF611" s="1144">
        <v>5.61</v>
      </c>
      <c r="AG611" s="1052">
        <f t="shared" si="269"/>
        <v>2.3453177257525084</v>
      </c>
      <c r="AH611" s="1049"/>
      <c r="AI611" s="1144"/>
      <c r="AJ611" s="1049"/>
      <c r="AK611" s="1050">
        <f t="shared" ref="AK611:AK627" si="274">AD611*(AI611-0.8)</f>
        <v>-1.9136</v>
      </c>
      <c r="AL611" s="1049"/>
      <c r="AM611" s="1101"/>
      <c r="AN611" s="1100">
        <v>7</v>
      </c>
      <c r="AO611" s="1099">
        <v>8</v>
      </c>
      <c r="AP611" s="1098">
        <v>0.31</v>
      </c>
      <c r="AQ611" s="1747">
        <f t="shared" si="270"/>
        <v>0</v>
      </c>
      <c r="AR611" s="1741">
        <v>0.5</v>
      </c>
      <c r="AS611" s="1052">
        <f t="shared" si="271"/>
        <v>1.6129032258064517</v>
      </c>
      <c r="AT611" s="1049"/>
      <c r="AU611" s="1144"/>
      <c r="AV611" s="1049"/>
      <c r="AW611" s="1101"/>
      <c r="AX611" s="1100">
        <v>7</v>
      </c>
      <c r="AY611" s="1099">
        <v>8</v>
      </c>
      <c r="AZ611" s="1098">
        <v>1.03</v>
      </c>
      <c r="BA611" s="1736">
        <v>0.39</v>
      </c>
      <c r="BB611" s="1741">
        <f t="shared" si="272"/>
        <v>0.37864077669902912</v>
      </c>
      <c r="BC611" s="1049"/>
      <c r="BD611" s="1144"/>
      <c r="BE611" s="1049"/>
      <c r="BF611" s="1101"/>
      <c r="BG611" s="1100">
        <v>7</v>
      </c>
      <c r="BH611" s="1099">
        <v>8</v>
      </c>
      <c r="BI611" s="1874">
        <v>0.16</v>
      </c>
      <c r="BJ611" s="1736"/>
      <c r="BK611" s="1049"/>
      <c r="BL611" s="1101"/>
      <c r="BM611" s="1100">
        <v>7</v>
      </c>
      <c r="BN611" s="1099">
        <v>8</v>
      </c>
      <c r="BO611" s="1098"/>
      <c r="BP611" s="1098"/>
      <c r="BQ611" s="1049"/>
    </row>
    <row r="612" spans="1:69" ht="14.4">
      <c r="A612" s="1049"/>
      <c r="B612" s="1097">
        <f>B609/24</f>
        <v>1.7500000000000002</v>
      </c>
      <c r="C612" s="1086">
        <v>8</v>
      </c>
      <c r="D612" s="1085">
        <v>9</v>
      </c>
      <c r="E612" s="1091">
        <v>1.48</v>
      </c>
      <c r="F612" s="1090">
        <v>4.04</v>
      </c>
      <c r="G612" s="1089">
        <f t="shared" si="264"/>
        <v>2.7297297297297298</v>
      </c>
      <c r="H612" s="1049"/>
      <c r="I612" s="1097">
        <f>I609/24</f>
        <v>5.371666666666667</v>
      </c>
      <c r="J612" s="1086">
        <v>8</v>
      </c>
      <c r="K612" s="1085">
        <v>9</v>
      </c>
      <c r="L612" s="1084">
        <v>1.167</v>
      </c>
      <c r="M612" s="1088">
        <v>5.28</v>
      </c>
      <c r="N612" s="1087">
        <f t="shared" si="265"/>
        <v>4.5244215938303345</v>
      </c>
      <c r="O612" s="1049"/>
      <c r="P612" s="1096">
        <f>P609/24</f>
        <v>5.6970833333333344</v>
      </c>
      <c r="Q612" s="1086">
        <v>8</v>
      </c>
      <c r="R612" s="1085">
        <v>9</v>
      </c>
      <c r="S612" s="1084">
        <v>2.9289999999999998</v>
      </c>
      <c r="T612" s="1054">
        <f t="shared" si="266"/>
        <v>3.3976399999999995</v>
      </c>
      <c r="U612" s="1064">
        <v>6.44</v>
      </c>
      <c r="V612" s="1052">
        <f t="shared" si="267"/>
        <v>2.1987026288835785</v>
      </c>
      <c r="W612" s="1049"/>
      <c r="X612" s="1051">
        <v>1.1599999999999999</v>
      </c>
      <c r="Y612" s="1049"/>
      <c r="Z612" s="1050">
        <f t="shared" si="273"/>
        <v>1.0544399999999996</v>
      </c>
      <c r="AA612" s="1096">
        <f>AA609/24</f>
        <v>5.4450000000000003</v>
      </c>
      <c r="AB612" s="1086">
        <v>8</v>
      </c>
      <c r="AC612" s="1085">
        <v>9</v>
      </c>
      <c r="AD612" s="1084">
        <v>2.4700000000000002</v>
      </c>
      <c r="AE612" s="1143">
        <f t="shared" si="268"/>
        <v>0</v>
      </c>
      <c r="AF612" s="1142">
        <v>5.84</v>
      </c>
      <c r="AG612" s="1052">
        <f t="shared" si="269"/>
        <v>2.3643724696356272</v>
      </c>
      <c r="AH612" s="1049"/>
      <c r="AI612" s="1142"/>
      <c r="AJ612" s="1049"/>
      <c r="AK612" s="1050">
        <f t="shared" si="274"/>
        <v>-1.9760000000000002</v>
      </c>
      <c r="AL612" s="1049"/>
      <c r="AM612" s="1096">
        <f>AM609/24</f>
        <v>0.38541666666666669</v>
      </c>
      <c r="AN612" s="1086">
        <v>8</v>
      </c>
      <c r="AO612" s="1085">
        <v>9</v>
      </c>
      <c r="AP612" s="1084">
        <v>0.59</v>
      </c>
      <c r="AQ612" s="1748">
        <f t="shared" si="270"/>
        <v>0</v>
      </c>
      <c r="AR612" s="1742">
        <v>0.98</v>
      </c>
      <c r="AS612" s="1052">
        <f t="shared" si="271"/>
        <v>1.6610169491525424</v>
      </c>
      <c r="AT612" s="1049"/>
      <c r="AU612" s="1142"/>
      <c r="AV612" s="1049"/>
      <c r="AW612" s="1096">
        <f>AW609/24</f>
        <v>0.50416666666666665</v>
      </c>
      <c r="AX612" s="1086">
        <v>8</v>
      </c>
      <c r="AY612" s="1085">
        <v>9</v>
      </c>
      <c r="AZ612" s="1084">
        <v>0.38</v>
      </c>
      <c r="BA612" s="1736">
        <v>0.46</v>
      </c>
      <c r="BB612" s="1742">
        <f t="shared" si="272"/>
        <v>1.2105263157894737</v>
      </c>
      <c r="BC612" s="1049"/>
      <c r="BD612" s="1142"/>
      <c r="BE612" s="1049"/>
      <c r="BF612" s="1096">
        <f>BF609/24</f>
        <v>0</v>
      </c>
      <c r="BG612" s="1086">
        <v>8</v>
      </c>
      <c r="BH612" s="1085">
        <v>9</v>
      </c>
      <c r="BI612" s="1874">
        <v>0.26</v>
      </c>
      <c r="BJ612" s="1736"/>
      <c r="BK612" s="1049"/>
      <c r="BL612" s="1096">
        <f>BL609/24</f>
        <v>0</v>
      </c>
      <c r="BM612" s="1086">
        <v>8</v>
      </c>
      <c r="BN612" s="1085">
        <v>9</v>
      </c>
      <c r="BO612" s="1084"/>
      <c r="BP612" s="1084"/>
      <c r="BQ612" s="1049"/>
    </row>
    <row r="613" spans="1:69" ht="14.4">
      <c r="A613" s="1049"/>
      <c r="B613" s="1097"/>
      <c r="C613" s="1086">
        <v>9</v>
      </c>
      <c r="D613" s="1085">
        <v>10</v>
      </c>
      <c r="E613" s="1091">
        <v>1.26</v>
      </c>
      <c r="F613" s="1090">
        <v>3.42</v>
      </c>
      <c r="G613" s="1089">
        <f t="shared" si="264"/>
        <v>2.7142857142857144</v>
      </c>
      <c r="H613" s="1049"/>
      <c r="I613" s="1097"/>
      <c r="J613" s="1086">
        <v>9</v>
      </c>
      <c r="K613" s="1085">
        <v>10</v>
      </c>
      <c r="L613" s="1084">
        <v>1.1639999999999999</v>
      </c>
      <c r="M613" s="1088">
        <v>4.99</v>
      </c>
      <c r="N613" s="1087">
        <f t="shared" si="265"/>
        <v>4.2869415807560145</v>
      </c>
      <c r="O613" s="1049"/>
      <c r="P613" s="1096"/>
      <c r="Q613" s="1086">
        <v>9</v>
      </c>
      <c r="R613" s="1085">
        <v>10</v>
      </c>
      <c r="S613" s="1084">
        <v>2.4020000000000001</v>
      </c>
      <c r="T613" s="1054">
        <f t="shared" si="266"/>
        <v>2.8583799999999999</v>
      </c>
      <c r="U613" s="1064">
        <v>5.35</v>
      </c>
      <c r="V613" s="1052">
        <f t="shared" si="267"/>
        <v>2.227310574521232</v>
      </c>
      <c r="W613" s="1049"/>
      <c r="X613" s="1051">
        <v>1.19</v>
      </c>
      <c r="Y613" s="1049"/>
      <c r="Z613" s="1050">
        <f t="shared" si="273"/>
        <v>0.93677999999999984</v>
      </c>
      <c r="AA613" s="1096"/>
      <c r="AB613" s="1086">
        <v>9</v>
      </c>
      <c r="AC613" s="1085">
        <v>10</v>
      </c>
      <c r="AD613" s="1084">
        <v>2.512</v>
      </c>
      <c r="AE613" s="1143">
        <f t="shared" si="268"/>
        <v>0</v>
      </c>
      <c r="AF613" s="1142">
        <v>5.68</v>
      </c>
      <c r="AG613" s="1052">
        <f t="shared" si="269"/>
        <v>2.2611464968152863</v>
      </c>
      <c r="AH613" s="1049"/>
      <c r="AI613" s="1142"/>
      <c r="AJ613" s="1049"/>
      <c r="AK613" s="1050">
        <f t="shared" si="274"/>
        <v>-2.0096000000000003</v>
      </c>
      <c r="AL613" s="1049"/>
      <c r="AM613" s="1096"/>
      <c r="AN613" s="1086">
        <v>9</v>
      </c>
      <c r="AO613" s="1085">
        <v>10</v>
      </c>
      <c r="AP613" s="1084">
        <v>0.25</v>
      </c>
      <c r="AQ613" s="1748">
        <f t="shared" si="270"/>
        <v>0</v>
      </c>
      <c r="AR613" s="1742">
        <v>0.41</v>
      </c>
      <c r="AS613" s="1052">
        <f t="shared" si="271"/>
        <v>1.64</v>
      </c>
      <c r="AT613" s="1049"/>
      <c r="AU613" s="1142"/>
      <c r="AV613" s="1049"/>
      <c r="AW613" s="1096"/>
      <c r="AX613" s="1086">
        <v>9</v>
      </c>
      <c r="AY613" s="1085">
        <v>10</v>
      </c>
      <c r="AZ613" s="1084">
        <v>1.65</v>
      </c>
      <c r="BA613" s="1736">
        <v>0.38</v>
      </c>
      <c r="BB613" s="1742">
        <f t="shared" si="272"/>
        <v>0.23030303030303031</v>
      </c>
      <c r="BC613" s="1049"/>
      <c r="BD613" s="1142"/>
      <c r="BE613" s="1049"/>
      <c r="BF613" s="1096"/>
      <c r="BG613" s="1086">
        <v>9</v>
      </c>
      <c r="BH613" s="1085">
        <v>10</v>
      </c>
      <c r="BI613" s="1874">
        <v>0.21</v>
      </c>
      <c r="BJ613" s="1736"/>
      <c r="BK613" s="1049"/>
      <c r="BL613" s="1096"/>
      <c r="BM613" s="1086">
        <v>9</v>
      </c>
      <c r="BN613" s="1085">
        <v>10</v>
      </c>
      <c r="BO613" s="1084"/>
      <c r="BP613" s="1084"/>
      <c r="BQ613" s="1049"/>
    </row>
    <row r="614" spans="1:69" ht="14.4">
      <c r="A614" s="1049"/>
      <c r="B614" s="1060"/>
      <c r="C614" s="1086">
        <v>10</v>
      </c>
      <c r="D614" s="1085">
        <v>11</v>
      </c>
      <c r="E614" s="1091">
        <v>0.17</v>
      </c>
      <c r="F614" s="1090">
        <v>0.42</v>
      </c>
      <c r="G614" s="1089">
        <f t="shared" si="264"/>
        <v>2.4705882352941173</v>
      </c>
      <c r="H614" s="1049"/>
      <c r="I614" s="1060"/>
      <c r="J614" s="1086">
        <v>10</v>
      </c>
      <c r="K614" s="1085">
        <v>11</v>
      </c>
      <c r="L614" s="1084">
        <v>1.21</v>
      </c>
      <c r="M614" s="1088">
        <v>5.16</v>
      </c>
      <c r="N614" s="1087">
        <f t="shared" si="265"/>
        <v>4.2644628099173554</v>
      </c>
      <c r="O614" s="1049"/>
      <c r="P614" s="1095">
        <f>SUM(Z604:Z627)</f>
        <v>17.886890000000001</v>
      </c>
      <c r="Q614" s="1086">
        <v>10</v>
      </c>
      <c r="R614" s="1085">
        <v>11</v>
      </c>
      <c r="S614" s="1084">
        <v>2.194</v>
      </c>
      <c r="T614" s="1054">
        <f t="shared" si="266"/>
        <v>2.7205599999999999</v>
      </c>
      <c r="U614" s="1064">
        <v>5.0199999999999996</v>
      </c>
      <c r="V614" s="1052">
        <f t="shared" si="267"/>
        <v>2.2880583409298083</v>
      </c>
      <c r="W614" s="1049"/>
      <c r="X614" s="1051">
        <v>1.24</v>
      </c>
      <c r="Y614" s="1049"/>
      <c r="Z614" s="1050">
        <f t="shared" si="273"/>
        <v>0.96535999999999988</v>
      </c>
      <c r="AA614" s="1095">
        <f>SUM(AK604:AK627)</f>
        <v>-37.127199999999988</v>
      </c>
      <c r="AB614" s="1086">
        <v>10</v>
      </c>
      <c r="AC614" s="1085">
        <v>11</v>
      </c>
      <c r="AD614" s="1084">
        <v>1.9319999999999999</v>
      </c>
      <c r="AE614" s="1143">
        <f t="shared" si="268"/>
        <v>0</v>
      </c>
      <c r="AF614" s="1142">
        <v>4.12</v>
      </c>
      <c r="AG614" s="1052">
        <f t="shared" si="269"/>
        <v>2.1325051759834368</v>
      </c>
      <c r="AH614" s="1049"/>
      <c r="AI614" s="1142"/>
      <c r="AJ614" s="1049"/>
      <c r="AK614" s="1050">
        <f t="shared" si="274"/>
        <v>-1.5456000000000001</v>
      </c>
      <c r="AL614" s="1049"/>
      <c r="AM614" s="1095" t="e">
        <f>SUM(#REF!)</f>
        <v>#REF!</v>
      </c>
      <c r="AN614" s="1086">
        <v>10</v>
      </c>
      <c r="AO614" s="1085">
        <v>11</v>
      </c>
      <c r="AP614" s="1084">
        <v>0.19</v>
      </c>
      <c r="AQ614" s="1748">
        <f t="shared" si="270"/>
        <v>0</v>
      </c>
      <c r="AR614" s="1742">
        <v>0.28999999999999998</v>
      </c>
      <c r="AS614" s="1052">
        <f t="shared" si="271"/>
        <v>1.5263157894736841</v>
      </c>
      <c r="AT614" s="1049"/>
      <c r="AU614" s="1142"/>
      <c r="AV614" s="1049"/>
      <c r="AW614" s="1095" t="e">
        <f>SUM(#REF!)</f>
        <v>#REF!</v>
      </c>
      <c r="AX614" s="1086">
        <v>10</v>
      </c>
      <c r="AY614" s="1085">
        <v>11</v>
      </c>
      <c r="AZ614" s="1084">
        <v>0.34</v>
      </c>
      <c r="BA614" s="1736">
        <v>0.51</v>
      </c>
      <c r="BB614" s="1742">
        <f t="shared" si="272"/>
        <v>1.5</v>
      </c>
      <c r="BC614" s="1049"/>
      <c r="BD614" s="1142"/>
      <c r="BE614" s="1049"/>
      <c r="BF614" s="1095" t="e">
        <f>SUM(#REF!)</f>
        <v>#REF!</v>
      </c>
      <c r="BG614" s="1086">
        <v>10</v>
      </c>
      <c r="BH614" s="1085">
        <v>11</v>
      </c>
      <c r="BI614" s="1874">
        <v>0.28999999999999998</v>
      </c>
      <c r="BJ614" s="1736"/>
      <c r="BK614" s="1049"/>
      <c r="BL614" s="1095" t="e">
        <f>SUM(#REF!)</f>
        <v>#REF!</v>
      </c>
      <c r="BM614" s="1086">
        <v>10</v>
      </c>
      <c r="BN614" s="1085">
        <v>11</v>
      </c>
      <c r="BO614" s="1084"/>
      <c r="BP614" s="1084"/>
      <c r="BQ614" s="1049"/>
    </row>
    <row r="615" spans="1:69" ht="14.4">
      <c r="A615" s="1049"/>
      <c r="B615" s="1060"/>
      <c r="C615" s="1086">
        <v>11</v>
      </c>
      <c r="D615" s="1085">
        <v>12</v>
      </c>
      <c r="E615" s="1091">
        <v>0.42</v>
      </c>
      <c r="F615" s="1090">
        <v>1.03</v>
      </c>
      <c r="G615" s="1089">
        <f t="shared" si="264"/>
        <v>2.4523809523809526</v>
      </c>
      <c r="H615" s="1049"/>
      <c r="I615" s="1060"/>
      <c r="J615" s="1086">
        <v>11</v>
      </c>
      <c r="K615" s="1085">
        <v>12</v>
      </c>
      <c r="L615" s="1084">
        <v>1.9590000000000001</v>
      </c>
      <c r="M615" s="1088">
        <v>8.0500000000000007</v>
      </c>
      <c r="N615" s="1087">
        <f t="shared" si="265"/>
        <v>4.1092394078611543</v>
      </c>
      <c r="O615" s="1049"/>
      <c r="P615" s="1093">
        <f>P614/P606</f>
        <v>0.28372973573173449</v>
      </c>
      <c r="Q615" s="1086">
        <v>11</v>
      </c>
      <c r="R615" s="1085">
        <v>12</v>
      </c>
      <c r="S615" s="1084">
        <v>3.1989999999999998</v>
      </c>
      <c r="T615" s="1054">
        <f t="shared" si="266"/>
        <v>4.0307399999999998</v>
      </c>
      <c r="U615" s="1064">
        <v>7.37</v>
      </c>
      <c r="V615" s="1052">
        <f t="shared" si="267"/>
        <v>2.3038449515473589</v>
      </c>
      <c r="W615" s="1049"/>
      <c r="X615" s="1051">
        <v>1.26</v>
      </c>
      <c r="Y615" s="1049"/>
      <c r="Z615" s="1050">
        <f t="shared" si="273"/>
        <v>1.4715399999999998</v>
      </c>
      <c r="AA615" s="1093">
        <f>AA614/AA606</f>
        <v>-0.63032155105089793</v>
      </c>
      <c r="AB615" s="1086">
        <v>11</v>
      </c>
      <c r="AC615" s="1085">
        <v>12</v>
      </c>
      <c r="AD615" s="1084">
        <v>2.0150000000000001</v>
      </c>
      <c r="AE615" s="1143">
        <f t="shared" si="268"/>
        <v>0</v>
      </c>
      <c r="AF615" s="1142">
        <v>4.17</v>
      </c>
      <c r="AG615" s="1052">
        <f t="shared" si="269"/>
        <v>2.0694789081885854</v>
      </c>
      <c r="AH615" s="1049"/>
      <c r="AI615" s="1142"/>
      <c r="AJ615" s="1049"/>
      <c r="AK615" s="1050">
        <f t="shared" si="274"/>
        <v>-1.6120000000000001</v>
      </c>
      <c r="AL615" s="1049"/>
      <c r="AM615" s="1093" t="e">
        <f>AM614/AM606</f>
        <v>#REF!</v>
      </c>
      <c r="AN615" s="1086">
        <v>11</v>
      </c>
      <c r="AO615" s="1085">
        <v>12</v>
      </c>
      <c r="AP615" s="1084">
        <v>0.3</v>
      </c>
      <c r="AQ615" s="1748">
        <f t="shared" si="270"/>
        <v>0</v>
      </c>
      <c r="AR615" s="1742">
        <v>0.4</v>
      </c>
      <c r="AS615" s="1052">
        <f t="shared" si="271"/>
        <v>1.3333333333333335</v>
      </c>
      <c r="AT615" s="1049"/>
      <c r="AU615" s="1142"/>
      <c r="AV615" s="1049"/>
      <c r="AW615" s="1093" t="e">
        <f>AW614/AW606</f>
        <v>#REF!</v>
      </c>
      <c r="AX615" s="1086">
        <v>11</v>
      </c>
      <c r="AY615" s="1085">
        <v>12</v>
      </c>
      <c r="AZ615" s="1084">
        <v>0.36</v>
      </c>
      <c r="BA615" s="1736">
        <v>0.44</v>
      </c>
      <c r="BB615" s="1742">
        <f t="shared" si="272"/>
        <v>1.2222222222222223</v>
      </c>
      <c r="BC615" s="1049"/>
      <c r="BD615" s="1142"/>
      <c r="BE615" s="1049"/>
      <c r="BF615" s="1093" t="e">
        <f>BF614/BF606</f>
        <v>#REF!</v>
      </c>
      <c r="BG615" s="1086">
        <v>11</v>
      </c>
      <c r="BH615" s="1085">
        <v>12</v>
      </c>
      <c r="BI615" s="1874">
        <v>0.41</v>
      </c>
      <c r="BJ615" s="1736"/>
      <c r="BK615" s="1049"/>
      <c r="BL615" s="1093" t="e">
        <f>BL614/BL606</f>
        <v>#REF!</v>
      </c>
      <c r="BM615" s="1086">
        <v>11</v>
      </c>
      <c r="BN615" s="1085">
        <v>12</v>
      </c>
      <c r="BO615" s="1084"/>
      <c r="BP615" s="1084"/>
      <c r="BQ615" s="1049"/>
    </row>
    <row r="616" spans="1:69" ht="14.4">
      <c r="A616" s="1049"/>
      <c r="B616" s="1060"/>
      <c r="C616" s="1086">
        <v>12</v>
      </c>
      <c r="D616" s="1085">
        <v>13</v>
      </c>
      <c r="E616" s="1091">
        <v>0.4</v>
      </c>
      <c r="F616" s="1090">
        <v>0.97</v>
      </c>
      <c r="G616" s="1089">
        <f t="shared" si="264"/>
        <v>2.4249999999999998</v>
      </c>
      <c r="H616" s="1049"/>
      <c r="I616" s="1060"/>
      <c r="J616" s="1086">
        <v>12</v>
      </c>
      <c r="K616" s="1085">
        <v>13</v>
      </c>
      <c r="L616" s="1084">
        <v>1.994</v>
      </c>
      <c r="M616" s="1088">
        <v>8.06</v>
      </c>
      <c r="N616" s="1087">
        <f t="shared" si="265"/>
        <v>4.0421263791374127</v>
      </c>
      <c r="O616" s="1049"/>
      <c r="P616" s="1060"/>
      <c r="Q616" s="1086">
        <v>12</v>
      </c>
      <c r="R616" s="1085">
        <v>13</v>
      </c>
      <c r="S616" s="1084">
        <v>2.3050000000000002</v>
      </c>
      <c r="T616" s="1054">
        <f t="shared" si="266"/>
        <v>2.4663500000000003</v>
      </c>
      <c r="U616" s="1064">
        <v>4.88</v>
      </c>
      <c r="V616" s="1052">
        <f t="shared" si="267"/>
        <v>2.1171366594360084</v>
      </c>
      <c r="W616" s="1049"/>
      <c r="X616" s="1051">
        <v>1.07</v>
      </c>
      <c r="Y616" s="1049"/>
      <c r="Z616" s="1050">
        <f t="shared" si="273"/>
        <v>0.62235000000000007</v>
      </c>
      <c r="AA616" s="1060"/>
      <c r="AB616" s="1086">
        <v>12</v>
      </c>
      <c r="AC616" s="1085">
        <v>13</v>
      </c>
      <c r="AD616" s="1084">
        <v>1.625</v>
      </c>
      <c r="AE616" s="1143">
        <f t="shared" si="268"/>
        <v>0</v>
      </c>
      <c r="AF616" s="1142">
        <v>3.32</v>
      </c>
      <c r="AG616" s="1052">
        <f t="shared" si="269"/>
        <v>2.043076923076923</v>
      </c>
      <c r="AH616" s="1049"/>
      <c r="AI616" s="1142"/>
      <c r="AJ616" s="1049"/>
      <c r="AK616" s="1050">
        <f t="shared" si="274"/>
        <v>-1.3</v>
      </c>
      <c r="AL616" s="1049"/>
      <c r="AM616" s="1060"/>
      <c r="AN616" s="1086">
        <v>12</v>
      </c>
      <c r="AO616" s="1085">
        <v>13</v>
      </c>
      <c r="AP616" s="1084">
        <v>0.24</v>
      </c>
      <c r="AQ616" s="1748">
        <f t="shared" si="270"/>
        <v>0</v>
      </c>
      <c r="AR616" s="1742">
        <v>0.3</v>
      </c>
      <c r="AS616" s="1052">
        <f t="shared" si="271"/>
        <v>1.25</v>
      </c>
      <c r="AT616" s="1049"/>
      <c r="AU616" s="1142"/>
      <c r="AV616" s="1049"/>
      <c r="AW616" s="1060"/>
      <c r="AX616" s="1086">
        <v>12</v>
      </c>
      <c r="AY616" s="1085">
        <v>13</v>
      </c>
      <c r="AZ616" s="1084">
        <v>0.48</v>
      </c>
      <c r="BA616" s="1736">
        <v>0.21</v>
      </c>
      <c r="BB616" s="1742">
        <f t="shared" si="272"/>
        <v>0.4375</v>
      </c>
      <c r="BC616" s="1049"/>
      <c r="BD616" s="1142"/>
      <c r="BE616" s="1049"/>
      <c r="BF616" s="1060"/>
      <c r="BG616" s="1086">
        <v>12</v>
      </c>
      <c r="BH616" s="1085">
        <v>13</v>
      </c>
      <c r="BI616" s="1874">
        <v>0.33</v>
      </c>
      <c r="BJ616" s="1736"/>
      <c r="BK616" s="1049"/>
      <c r="BL616" s="1060"/>
      <c r="BM616" s="1086">
        <v>12</v>
      </c>
      <c r="BN616" s="1085">
        <v>13</v>
      </c>
      <c r="BO616" s="1084"/>
      <c r="BP616" s="1084"/>
      <c r="BQ616" s="1049"/>
    </row>
    <row r="617" spans="1:69" ht="14.4">
      <c r="A617" s="1049"/>
      <c r="B617" s="1060"/>
      <c r="C617" s="1086">
        <v>13</v>
      </c>
      <c r="D617" s="1085">
        <v>14</v>
      </c>
      <c r="E617" s="1091">
        <v>0.8</v>
      </c>
      <c r="F617" s="1090">
        <v>1.81</v>
      </c>
      <c r="G617" s="1089">
        <f t="shared" si="264"/>
        <v>2.2624999999999997</v>
      </c>
      <c r="H617" s="1049"/>
      <c r="I617" s="1060"/>
      <c r="J617" s="1086">
        <v>13</v>
      </c>
      <c r="K617" s="1085">
        <v>14</v>
      </c>
      <c r="L617" s="1084">
        <v>1.409</v>
      </c>
      <c r="M617" s="1088">
        <v>5.91</v>
      </c>
      <c r="N617" s="1087">
        <f t="shared" si="265"/>
        <v>4.1944641589779987</v>
      </c>
      <c r="O617" s="1049"/>
      <c r="P617" s="1092" t="s">
        <v>1127</v>
      </c>
      <c r="Q617" s="1086">
        <v>13</v>
      </c>
      <c r="R617" s="1085">
        <v>14</v>
      </c>
      <c r="S617" s="1084">
        <v>2.915</v>
      </c>
      <c r="T617" s="1054">
        <f t="shared" si="266"/>
        <v>2.9733000000000001</v>
      </c>
      <c r="U617" s="1064">
        <v>6.02</v>
      </c>
      <c r="V617" s="1052">
        <f t="shared" si="267"/>
        <v>2.065180102915952</v>
      </c>
      <c r="W617" s="1049"/>
      <c r="X617" s="1051">
        <v>1.02</v>
      </c>
      <c r="Y617" s="1049"/>
      <c r="Z617" s="1050">
        <f t="shared" si="273"/>
        <v>0.64129999999999998</v>
      </c>
      <c r="AA617" s="1092" t="s">
        <v>1127</v>
      </c>
      <c r="AB617" s="1086">
        <v>13</v>
      </c>
      <c r="AC617" s="1085">
        <v>14</v>
      </c>
      <c r="AD617" s="1084">
        <v>1.508</v>
      </c>
      <c r="AE617" s="1143">
        <f t="shared" si="268"/>
        <v>0</v>
      </c>
      <c r="AF617" s="1142">
        <v>3.08</v>
      </c>
      <c r="AG617" s="1052">
        <f t="shared" si="269"/>
        <v>2.0424403183023871</v>
      </c>
      <c r="AH617" s="1049"/>
      <c r="AI617" s="1142"/>
      <c r="AJ617" s="1049"/>
      <c r="AK617" s="1050">
        <f t="shared" si="274"/>
        <v>-1.2064000000000001</v>
      </c>
      <c r="AL617" s="1049"/>
      <c r="AM617" s="1092" t="s">
        <v>1127</v>
      </c>
      <c r="AN617" s="1086">
        <v>13</v>
      </c>
      <c r="AO617" s="1085">
        <v>14</v>
      </c>
      <c r="AP617" s="1084">
        <v>0.31</v>
      </c>
      <c r="AQ617" s="1748">
        <f t="shared" si="270"/>
        <v>0</v>
      </c>
      <c r="AR617" s="1742">
        <v>0.36</v>
      </c>
      <c r="AS617" s="1052">
        <f t="shared" si="271"/>
        <v>1.161290322580645</v>
      </c>
      <c r="AT617" s="1049"/>
      <c r="AU617" s="1142"/>
      <c r="AV617" s="1049"/>
      <c r="AW617" s="1092" t="s">
        <v>1127</v>
      </c>
      <c r="AX617" s="1086">
        <v>13</v>
      </c>
      <c r="AY617" s="1085">
        <v>14</v>
      </c>
      <c r="AZ617" s="1084">
        <v>0.18</v>
      </c>
      <c r="BA617" s="1736">
        <v>0.72</v>
      </c>
      <c r="BB617" s="1742">
        <f t="shared" si="272"/>
        <v>4</v>
      </c>
      <c r="BC617" s="1049"/>
      <c r="BD617" s="1142"/>
      <c r="BE617" s="1049"/>
      <c r="BF617" s="1092" t="s">
        <v>1127</v>
      </c>
      <c r="BG617" s="1086">
        <v>13</v>
      </c>
      <c r="BH617" s="1085">
        <v>14</v>
      </c>
      <c r="BI617" s="1874">
        <v>0.33</v>
      </c>
      <c r="BJ617" s="1736"/>
      <c r="BK617" s="1049"/>
      <c r="BL617" s="1092" t="s">
        <v>1127</v>
      </c>
      <c r="BM617" s="1086">
        <v>13</v>
      </c>
      <c r="BN617" s="1085">
        <v>14</v>
      </c>
      <c r="BO617" s="1084"/>
      <c r="BP617" s="1084"/>
      <c r="BQ617" s="1049"/>
    </row>
    <row r="618" spans="1:69" ht="14.4">
      <c r="A618" s="1049"/>
      <c r="B618" s="1060"/>
      <c r="C618" s="1086">
        <v>14</v>
      </c>
      <c r="D618" s="1085">
        <v>15</v>
      </c>
      <c r="E618" s="1091">
        <v>0.77</v>
      </c>
      <c r="F618" s="1090">
        <v>1.76</v>
      </c>
      <c r="G618" s="1089">
        <f t="shared" si="264"/>
        <v>2.2857142857142856</v>
      </c>
      <c r="H618" s="1049"/>
      <c r="I618" s="1060"/>
      <c r="J618" s="1086">
        <v>14</v>
      </c>
      <c r="K618" s="1085">
        <v>15</v>
      </c>
      <c r="L618" s="1084">
        <v>1.115</v>
      </c>
      <c r="M618" s="1088">
        <v>4.8600000000000003</v>
      </c>
      <c r="N618" s="1087">
        <f t="shared" si="265"/>
        <v>4.3587443946188342</v>
      </c>
      <c r="O618" s="1049"/>
      <c r="P618" s="1058">
        <f>P606*0.8</f>
        <v>50.433599999999991</v>
      </c>
      <c r="Q618" s="1086">
        <v>14</v>
      </c>
      <c r="R618" s="1085">
        <v>15</v>
      </c>
      <c r="S618" s="1084">
        <v>2.7959999999999998</v>
      </c>
      <c r="T618" s="1054">
        <f t="shared" si="266"/>
        <v>2.7959999999999998</v>
      </c>
      <c r="U618" s="1064">
        <v>5.7</v>
      </c>
      <c r="V618" s="1052">
        <f t="shared" si="267"/>
        <v>2.0386266094420602</v>
      </c>
      <c r="W618" s="1049"/>
      <c r="X618" s="1051">
        <v>1</v>
      </c>
      <c r="Y618" s="1049"/>
      <c r="Z618" s="1050">
        <f t="shared" si="273"/>
        <v>0.55919999999999981</v>
      </c>
      <c r="AA618" s="1058">
        <f>AA606*0.8</f>
        <v>47.121600000000001</v>
      </c>
      <c r="AB618" s="1086">
        <v>14</v>
      </c>
      <c r="AC618" s="1085">
        <v>15</v>
      </c>
      <c r="AD618" s="1084">
        <v>2.0529999999999999</v>
      </c>
      <c r="AE618" s="1143">
        <f t="shared" si="268"/>
        <v>0</v>
      </c>
      <c r="AF618" s="1142">
        <v>4.18</v>
      </c>
      <c r="AG618" s="1052">
        <f t="shared" si="269"/>
        <v>2.0360448124695565</v>
      </c>
      <c r="AH618" s="1049"/>
      <c r="AI618" s="1142"/>
      <c r="AJ618" s="1049"/>
      <c r="AK618" s="1050">
        <f t="shared" si="274"/>
        <v>-1.6424000000000001</v>
      </c>
      <c r="AL618" s="1049"/>
      <c r="AM618" s="1058">
        <f>AM606*0.8</f>
        <v>4.5120000000000005</v>
      </c>
      <c r="AN618" s="1086">
        <v>14</v>
      </c>
      <c r="AO618" s="1085">
        <v>15</v>
      </c>
      <c r="AP618" s="1084">
        <v>0.3</v>
      </c>
      <c r="AQ618" s="1748">
        <f t="shared" si="270"/>
        <v>0</v>
      </c>
      <c r="AR618" s="1742">
        <v>0.39</v>
      </c>
      <c r="AS618" s="1052">
        <f t="shared" si="271"/>
        <v>1.3</v>
      </c>
      <c r="AT618" s="1049"/>
      <c r="AU618" s="1142"/>
      <c r="AV618" s="1049"/>
      <c r="AW618" s="1058">
        <f>AW606*0.8</f>
        <v>6.7760000000000007</v>
      </c>
      <c r="AX618" s="1086">
        <v>14</v>
      </c>
      <c r="AY618" s="1085">
        <v>15</v>
      </c>
      <c r="AZ618" s="1084">
        <v>0.32</v>
      </c>
      <c r="BA618" s="1736">
        <v>0.35</v>
      </c>
      <c r="BB618" s="1742">
        <f t="shared" si="272"/>
        <v>1.09375</v>
      </c>
      <c r="BC618" s="1049"/>
      <c r="BD618" s="1142"/>
      <c r="BE618" s="1049"/>
      <c r="BF618" s="1058">
        <f>BF606*0.8</f>
        <v>5.6960000000000006</v>
      </c>
      <c r="BG618" s="1086">
        <v>14</v>
      </c>
      <c r="BH618" s="1085">
        <v>15</v>
      </c>
      <c r="BI618" s="1874">
        <v>0.48</v>
      </c>
      <c r="BJ618" s="1736"/>
      <c r="BK618" s="1049"/>
      <c r="BL618" s="1058">
        <f>BL606*0.8</f>
        <v>0</v>
      </c>
      <c r="BM618" s="1086">
        <v>14</v>
      </c>
      <c r="BN618" s="1085">
        <v>15</v>
      </c>
      <c r="BO618" s="1084"/>
      <c r="BP618" s="1084"/>
      <c r="BQ618" s="1049"/>
    </row>
    <row r="619" spans="1:69" ht="14.4">
      <c r="A619" s="1049"/>
      <c r="B619" s="1060"/>
      <c r="C619" s="1086">
        <v>15</v>
      </c>
      <c r="D619" s="1085">
        <v>16</v>
      </c>
      <c r="E619" s="1091">
        <v>0.46</v>
      </c>
      <c r="F619" s="1090">
        <v>1.1000000000000001</v>
      </c>
      <c r="G619" s="1089">
        <f t="shared" si="264"/>
        <v>2.3913043478260869</v>
      </c>
      <c r="H619" s="1049"/>
      <c r="I619" s="1060"/>
      <c r="J619" s="1086">
        <v>15</v>
      </c>
      <c r="K619" s="1085">
        <v>16</v>
      </c>
      <c r="L619" s="1084">
        <v>1.097</v>
      </c>
      <c r="M619" s="1088">
        <v>5.07</v>
      </c>
      <c r="N619" s="1087">
        <f t="shared" si="265"/>
        <v>4.621695533272562</v>
      </c>
      <c r="O619" s="1049"/>
      <c r="P619" s="1058" t="s">
        <v>1126</v>
      </c>
      <c r="Q619" s="1086">
        <v>15</v>
      </c>
      <c r="R619" s="1085">
        <v>16</v>
      </c>
      <c r="S619" s="1084">
        <v>2.778</v>
      </c>
      <c r="T619" s="1054">
        <f t="shared" si="266"/>
        <v>3.22248</v>
      </c>
      <c r="U619" s="1064">
        <v>6.11</v>
      </c>
      <c r="V619" s="1052">
        <f t="shared" si="267"/>
        <v>2.1994240460763139</v>
      </c>
      <c r="W619" s="1049"/>
      <c r="X619" s="1051">
        <v>1.1599999999999999</v>
      </c>
      <c r="Y619" s="1049"/>
      <c r="Z619" s="1050">
        <f t="shared" si="273"/>
        <v>1.0000799999999996</v>
      </c>
      <c r="AA619" s="1058" t="s">
        <v>1126</v>
      </c>
      <c r="AB619" s="1086">
        <v>15</v>
      </c>
      <c r="AC619" s="1085">
        <v>16</v>
      </c>
      <c r="AD619" s="1084">
        <v>2.5579999999999998</v>
      </c>
      <c r="AE619" s="1143">
        <f t="shared" si="268"/>
        <v>0</v>
      </c>
      <c r="AF619" s="1142">
        <v>4.92</v>
      </c>
      <c r="AG619" s="1052">
        <f t="shared" si="269"/>
        <v>1.9233776387802972</v>
      </c>
      <c r="AH619" s="1049"/>
      <c r="AI619" s="1142"/>
      <c r="AJ619" s="1049"/>
      <c r="AK619" s="1050">
        <f t="shared" si="274"/>
        <v>-2.0463999999999998</v>
      </c>
      <c r="AL619" s="1049"/>
      <c r="AM619" s="1058" t="s">
        <v>1126</v>
      </c>
      <c r="AN619" s="1086">
        <v>15</v>
      </c>
      <c r="AO619" s="1085">
        <v>16</v>
      </c>
      <c r="AP619" s="1084">
        <v>0.28000000000000003</v>
      </c>
      <c r="AQ619" s="1748">
        <f t="shared" si="270"/>
        <v>0</v>
      </c>
      <c r="AR619" s="1742">
        <v>0.4</v>
      </c>
      <c r="AS619" s="1052">
        <f t="shared" si="271"/>
        <v>1.4285714285714286</v>
      </c>
      <c r="AT619" s="1049"/>
      <c r="AU619" s="1142"/>
      <c r="AV619" s="1049"/>
      <c r="AW619" s="1058" t="s">
        <v>1126</v>
      </c>
      <c r="AX619" s="1086">
        <v>15</v>
      </c>
      <c r="AY619" s="1085">
        <v>16</v>
      </c>
      <c r="AZ619" s="1084">
        <v>0.39</v>
      </c>
      <c r="BA619" s="1736">
        <v>0.28999999999999998</v>
      </c>
      <c r="BB619" s="1742">
        <f t="shared" si="272"/>
        <v>0.7435897435897435</v>
      </c>
      <c r="BC619" s="1049"/>
      <c r="BD619" s="1142"/>
      <c r="BE619" s="1049"/>
      <c r="BF619" s="1058" t="s">
        <v>1126</v>
      </c>
      <c r="BG619" s="1086">
        <v>15</v>
      </c>
      <c r="BH619" s="1085">
        <v>16</v>
      </c>
      <c r="BI619" s="1874">
        <v>0.4</v>
      </c>
      <c r="BJ619" s="1736"/>
      <c r="BK619" s="1049"/>
      <c r="BL619" s="1058" t="s">
        <v>1126</v>
      </c>
      <c r="BM619" s="1086">
        <v>15</v>
      </c>
      <c r="BN619" s="1085">
        <v>16</v>
      </c>
      <c r="BO619" s="1084"/>
      <c r="BP619" s="1084"/>
      <c r="BQ619" s="1049"/>
    </row>
    <row r="620" spans="1:69" ht="15" thickBot="1">
      <c r="A620" s="1049"/>
      <c r="B620" s="1060"/>
      <c r="C620" s="1077">
        <v>16</v>
      </c>
      <c r="D620" s="1076">
        <v>17</v>
      </c>
      <c r="E620" s="1083">
        <v>0.53</v>
      </c>
      <c r="F620" s="1082">
        <v>1.4</v>
      </c>
      <c r="G620" s="1081">
        <f t="shared" si="264"/>
        <v>2.641509433962264</v>
      </c>
      <c r="H620" s="1049"/>
      <c r="I620" s="1060"/>
      <c r="J620" s="1077">
        <v>16</v>
      </c>
      <c r="K620" s="1076">
        <v>17</v>
      </c>
      <c r="L620" s="1075">
        <v>1.1000000000000001</v>
      </c>
      <c r="M620" s="1080">
        <v>5.17</v>
      </c>
      <c r="N620" s="1079">
        <f t="shared" si="265"/>
        <v>4.6999999999999993</v>
      </c>
      <c r="O620" s="1049"/>
      <c r="P620" s="1078">
        <f>P606*(X603-0.8)</f>
        <v>22.537514999999992</v>
      </c>
      <c r="Q620" s="1077">
        <v>16</v>
      </c>
      <c r="R620" s="1076">
        <v>17</v>
      </c>
      <c r="S620" s="1075">
        <v>2.8730000000000002</v>
      </c>
      <c r="T620" s="1054">
        <f t="shared" si="266"/>
        <v>3.3901400000000002</v>
      </c>
      <c r="U620" s="1064">
        <v>6.39</v>
      </c>
      <c r="V620" s="1052">
        <f t="shared" si="267"/>
        <v>2.2241559345631741</v>
      </c>
      <c r="W620" s="1049"/>
      <c r="X620" s="1074">
        <v>1.18</v>
      </c>
      <c r="Y620" s="1049"/>
      <c r="Z620" s="1050">
        <f t="shared" si="273"/>
        <v>1.0917399999999997</v>
      </c>
      <c r="AA620" s="1078" t="e">
        <f>AA606*(AI603-0.8)</f>
        <v>#DIV/0!</v>
      </c>
      <c r="AB620" s="1077">
        <v>16</v>
      </c>
      <c r="AC620" s="1076">
        <v>17</v>
      </c>
      <c r="AD620" s="1075">
        <v>2.573</v>
      </c>
      <c r="AE620" s="1141">
        <f t="shared" si="268"/>
        <v>0</v>
      </c>
      <c r="AF620" s="1140">
        <v>5.31</v>
      </c>
      <c r="AG620" s="1052">
        <f t="shared" si="269"/>
        <v>2.0637388262728331</v>
      </c>
      <c r="AH620" s="1049"/>
      <c r="AI620" s="1140"/>
      <c r="AJ620" s="1049"/>
      <c r="AK620" s="1050">
        <f t="shared" si="274"/>
        <v>-2.0584000000000002</v>
      </c>
      <c r="AL620" s="1049"/>
      <c r="AM620" s="1078" t="e">
        <f>AM606*(AU603-0.8)</f>
        <v>#DIV/0!</v>
      </c>
      <c r="AN620" s="1077">
        <v>16</v>
      </c>
      <c r="AO620" s="1076">
        <v>17</v>
      </c>
      <c r="AP620" s="1075">
        <v>0.21</v>
      </c>
      <c r="AQ620" s="1749">
        <f t="shared" si="270"/>
        <v>0</v>
      </c>
      <c r="AR620" s="1743">
        <v>0.33</v>
      </c>
      <c r="AS620" s="1052">
        <f t="shared" si="271"/>
        <v>1.5714285714285716</v>
      </c>
      <c r="AT620" s="1049"/>
      <c r="AU620" s="1140"/>
      <c r="AV620" s="1049"/>
      <c r="AW620" s="1078" t="e">
        <f>AW606*(BD603-0.8)</f>
        <v>#DIV/0!</v>
      </c>
      <c r="AX620" s="1077">
        <v>16</v>
      </c>
      <c r="AY620" s="1076">
        <v>17</v>
      </c>
      <c r="AZ620" s="1075">
        <v>0.38</v>
      </c>
      <c r="BA620" s="1738">
        <v>1.04</v>
      </c>
      <c r="BB620" s="1743">
        <f t="shared" si="272"/>
        <v>2.736842105263158</v>
      </c>
      <c r="BC620" s="1049"/>
      <c r="BD620" s="1140"/>
      <c r="BE620" s="1049"/>
      <c r="BF620" s="1078">
        <f>BF606*(BM603-0.8)</f>
        <v>-5.6960000000000006</v>
      </c>
      <c r="BG620" s="1077">
        <v>16</v>
      </c>
      <c r="BH620" s="1076">
        <v>17</v>
      </c>
      <c r="BI620" s="1874">
        <v>0.42</v>
      </c>
      <c r="BJ620" s="1738"/>
      <c r="BK620" s="1049"/>
      <c r="BL620" s="1078">
        <f>BL606*(BS603-0.8)</f>
        <v>0</v>
      </c>
      <c r="BM620" s="1077">
        <v>16</v>
      </c>
      <c r="BN620" s="1076">
        <v>17</v>
      </c>
      <c r="BO620" s="1075"/>
      <c r="BP620" s="1075"/>
      <c r="BQ620" s="1049"/>
    </row>
    <row r="621" spans="1:69" ht="14.4">
      <c r="A621" s="1049"/>
      <c r="B621" s="1060"/>
      <c r="C621" s="1068">
        <v>17</v>
      </c>
      <c r="D621" s="1067">
        <v>18</v>
      </c>
      <c r="E621" s="1073">
        <v>0.44</v>
      </c>
      <c r="F621" s="1072">
        <v>1.58</v>
      </c>
      <c r="G621" s="1071">
        <f t="shared" si="264"/>
        <v>3.5909090909090913</v>
      </c>
      <c r="H621" s="1049"/>
      <c r="I621" s="1060"/>
      <c r="J621" s="1068">
        <v>17</v>
      </c>
      <c r="K621" s="1067">
        <v>18</v>
      </c>
      <c r="L621" s="1066">
        <v>1.1950000000000001</v>
      </c>
      <c r="M621" s="1070">
        <v>6.75</v>
      </c>
      <c r="N621" s="1069">
        <f t="shared" si="265"/>
        <v>5.6485355648535558</v>
      </c>
      <c r="O621" s="1049"/>
      <c r="P621" s="1058"/>
      <c r="Q621" s="1068">
        <v>17</v>
      </c>
      <c r="R621" s="1067">
        <v>18</v>
      </c>
      <c r="S621" s="1066">
        <v>2.75</v>
      </c>
      <c r="T621" s="1054">
        <f t="shared" si="266"/>
        <v>3.6850000000000001</v>
      </c>
      <c r="U621" s="1064">
        <v>6.57</v>
      </c>
      <c r="V621" s="1052">
        <f t="shared" si="267"/>
        <v>2.3890909090909092</v>
      </c>
      <c r="W621" s="1049"/>
      <c r="X621" s="1065">
        <v>1.34</v>
      </c>
      <c r="Y621" s="1049"/>
      <c r="Z621" s="1050">
        <f t="shared" si="273"/>
        <v>1.4850000000000001</v>
      </c>
      <c r="AA621" s="1058"/>
      <c r="AB621" s="1068">
        <v>17</v>
      </c>
      <c r="AC621" s="1067">
        <v>18</v>
      </c>
      <c r="AD621" s="1066">
        <v>2.7519999999999998</v>
      </c>
      <c r="AE621" s="1139">
        <f t="shared" si="268"/>
        <v>0</v>
      </c>
      <c r="AF621" s="1138">
        <v>8.09</v>
      </c>
      <c r="AG621" s="1052">
        <f t="shared" si="269"/>
        <v>2.9396802325581399</v>
      </c>
      <c r="AH621" s="1049"/>
      <c r="AI621" s="1138"/>
      <c r="AJ621" s="1049"/>
      <c r="AK621" s="1050">
        <f t="shared" si="274"/>
        <v>-2.2016</v>
      </c>
      <c r="AL621" s="1049"/>
      <c r="AM621" s="1058"/>
      <c r="AN621" s="1068">
        <v>17</v>
      </c>
      <c r="AO621" s="1067">
        <v>18</v>
      </c>
      <c r="AP621" s="1066">
        <v>0.2</v>
      </c>
      <c r="AQ621" s="1750">
        <f t="shared" si="270"/>
        <v>0</v>
      </c>
      <c r="AR621" s="1744">
        <v>0.5</v>
      </c>
      <c r="AS621" s="1052">
        <f t="shared" si="271"/>
        <v>2.5</v>
      </c>
      <c r="AT621" s="1049"/>
      <c r="AU621" s="1138"/>
      <c r="AV621" s="1049"/>
      <c r="AW621" s="1058"/>
      <c r="AX621" s="1068">
        <v>17</v>
      </c>
      <c r="AY621" s="1067">
        <v>18</v>
      </c>
      <c r="AZ621" s="1066">
        <v>0.48</v>
      </c>
      <c r="BA621" s="1740">
        <v>2.46</v>
      </c>
      <c r="BB621" s="1744">
        <f t="shared" si="272"/>
        <v>5.125</v>
      </c>
      <c r="BC621" s="1049"/>
      <c r="BD621" s="1138"/>
      <c r="BE621" s="1049"/>
      <c r="BF621" s="1058"/>
      <c r="BG621" s="1068">
        <v>17</v>
      </c>
      <c r="BH621" s="1067">
        <v>18</v>
      </c>
      <c r="BI621" s="1874">
        <v>1.1299999999999999</v>
      </c>
      <c r="BJ621" s="1740"/>
      <c r="BK621" s="1049"/>
      <c r="BL621" s="1058"/>
      <c r="BM621" s="1068">
        <v>17</v>
      </c>
      <c r="BN621" s="1067">
        <v>18</v>
      </c>
      <c r="BO621" s="1066"/>
      <c r="BP621" s="1066"/>
      <c r="BQ621" s="1049"/>
    </row>
    <row r="622" spans="1:69" ht="14.4">
      <c r="A622" s="1049"/>
      <c r="B622" s="1060"/>
      <c r="C622" s="1057">
        <v>18</v>
      </c>
      <c r="D622" s="1056">
        <v>19</v>
      </c>
      <c r="E622" s="1063">
        <v>0.62</v>
      </c>
      <c r="F622" s="1062">
        <v>2.35</v>
      </c>
      <c r="G622" s="1061">
        <f t="shared" si="264"/>
        <v>3.7903225806451615</v>
      </c>
      <c r="H622" s="1049"/>
      <c r="I622" s="1060"/>
      <c r="J622" s="1057">
        <v>18</v>
      </c>
      <c r="K622" s="1056">
        <v>19</v>
      </c>
      <c r="L622" s="1055">
        <v>1.2949999999999999</v>
      </c>
      <c r="M622" s="1059">
        <v>7.17</v>
      </c>
      <c r="N622" s="1052">
        <f t="shared" si="265"/>
        <v>5.5366795366795367</v>
      </c>
      <c r="O622" s="1049"/>
      <c r="P622" s="1058"/>
      <c r="Q622" s="1057">
        <v>18</v>
      </c>
      <c r="R622" s="1056">
        <v>19</v>
      </c>
      <c r="S622" s="1055">
        <v>2.7749999999999999</v>
      </c>
      <c r="T622" s="1054">
        <f t="shared" si="266"/>
        <v>3.46875</v>
      </c>
      <c r="U622" s="1064">
        <v>6.37</v>
      </c>
      <c r="V622" s="1052">
        <f t="shared" si="267"/>
        <v>2.2954954954954956</v>
      </c>
      <c r="W622" s="1049"/>
      <c r="X622" s="1051">
        <v>1.25</v>
      </c>
      <c r="Y622" s="1049"/>
      <c r="Z622" s="1050">
        <f t="shared" si="273"/>
        <v>1.2487499999999998</v>
      </c>
      <c r="AA622" s="1058"/>
      <c r="AB622" s="1057">
        <v>18</v>
      </c>
      <c r="AC622" s="1056">
        <v>19</v>
      </c>
      <c r="AD622" s="1055">
        <v>3.335</v>
      </c>
      <c r="AE622" s="1137">
        <f t="shared" si="268"/>
        <v>0</v>
      </c>
      <c r="AF622" s="1136">
        <v>9.67</v>
      </c>
      <c r="AG622" s="1052">
        <f t="shared" si="269"/>
        <v>2.8995502248875562</v>
      </c>
      <c r="AH622" s="1049"/>
      <c r="AI622" s="1136"/>
      <c r="AJ622" s="1049"/>
      <c r="AK622" s="1050">
        <f t="shared" si="274"/>
        <v>-2.6680000000000001</v>
      </c>
      <c r="AL622" s="1049"/>
      <c r="AM622" s="1058"/>
      <c r="AN622" s="1057">
        <v>18</v>
      </c>
      <c r="AO622" s="1056">
        <v>19</v>
      </c>
      <c r="AP622" s="1055">
        <v>0.15</v>
      </c>
      <c r="AQ622" s="1745">
        <f t="shared" si="270"/>
        <v>0</v>
      </c>
      <c r="AR622" s="1737">
        <v>0.38</v>
      </c>
      <c r="AS622" s="1052">
        <f t="shared" si="271"/>
        <v>2.5333333333333337</v>
      </c>
      <c r="AT622" s="1049"/>
      <c r="AU622" s="1136"/>
      <c r="AV622" s="1049"/>
      <c r="AW622" s="1058"/>
      <c r="AX622" s="1057">
        <v>18</v>
      </c>
      <c r="AY622" s="1056">
        <v>19</v>
      </c>
      <c r="AZ622" s="1055">
        <v>0.46</v>
      </c>
      <c r="BA622" s="1736">
        <v>1.01</v>
      </c>
      <c r="BB622" s="1737">
        <f t="shared" si="272"/>
        <v>2.1956521739130435</v>
      </c>
      <c r="BC622" s="1049"/>
      <c r="BD622" s="1136"/>
      <c r="BE622" s="1049"/>
      <c r="BF622" s="1058"/>
      <c r="BG622" s="1057">
        <v>18</v>
      </c>
      <c r="BH622" s="1056">
        <v>19</v>
      </c>
      <c r="BI622" s="1874">
        <v>0.51</v>
      </c>
      <c r="BJ622" s="1736"/>
      <c r="BK622" s="1049"/>
      <c r="BL622" s="1058"/>
      <c r="BM622" s="1057">
        <v>18</v>
      </c>
      <c r="BN622" s="1056">
        <v>19</v>
      </c>
      <c r="BO622" s="1055"/>
      <c r="BP622" s="1055"/>
      <c r="BQ622" s="1049"/>
    </row>
    <row r="623" spans="1:69" ht="14.4">
      <c r="A623" s="1049"/>
      <c r="B623" s="1060"/>
      <c r="C623" s="1057">
        <v>19</v>
      </c>
      <c r="D623" s="1056">
        <v>20</v>
      </c>
      <c r="E623" s="1063">
        <v>1.07</v>
      </c>
      <c r="F623" s="1062">
        <v>4.1399999999999997</v>
      </c>
      <c r="G623" s="1061">
        <f t="shared" si="264"/>
        <v>3.8691588785046722</v>
      </c>
      <c r="H623" s="1049"/>
      <c r="I623" s="1060"/>
      <c r="J623" s="1057">
        <v>19</v>
      </c>
      <c r="K623" s="1056">
        <v>20</v>
      </c>
      <c r="L623" s="1055">
        <v>1.181</v>
      </c>
      <c r="M623" s="1059">
        <v>6.28</v>
      </c>
      <c r="N623" s="1052">
        <f t="shared" si="265"/>
        <v>5.3175275190516516</v>
      </c>
      <c r="O623" s="1049"/>
      <c r="P623" s="1058"/>
      <c r="Q623" s="1057">
        <v>19</v>
      </c>
      <c r="R623" s="1056">
        <v>20</v>
      </c>
      <c r="S623" s="1055">
        <v>3.1989999999999998</v>
      </c>
      <c r="T623" s="1054">
        <f t="shared" si="266"/>
        <v>3.7108399999999997</v>
      </c>
      <c r="U623" s="1064">
        <v>7.04</v>
      </c>
      <c r="V623" s="1052">
        <f t="shared" si="267"/>
        <v>2.2006877149109099</v>
      </c>
      <c r="W623" s="1049"/>
      <c r="X623" s="1051">
        <v>1.1599999999999999</v>
      </c>
      <c r="Y623" s="1049"/>
      <c r="Z623" s="1050">
        <f t="shared" si="273"/>
        <v>1.1516399999999996</v>
      </c>
      <c r="AA623" s="1058"/>
      <c r="AB623" s="1057">
        <v>19</v>
      </c>
      <c r="AC623" s="1056">
        <v>20</v>
      </c>
      <c r="AD623" s="1055">
        <v>3.7349999999999999</v>
      </c>
      <c r="AE623" s="1137">
        <f t="shared" si="268"/>
        <v>0</v>
      </c>
      <c r="AF623" s="1136">
        <v>10.55</v>
      </c>
      <c r="AG623" s="1052">
        <f t="shared" si="269"/>
        <v>2.8246318607764396</v>
      </c>
      <c r="AH623" s="1049"/>
      <c r="AI623" s="1136"/>
      <c r="AJ623" s="1049"/>
      <c r="AK623" s="1050">
        <f t="shared" si="274"/>
        <v>-2.988</v>
      </c>
      <c r="AL623" s="1049"/>
      <c r="AM623" s="1058"/>
      <c r="AN623" s="1057">
        <v>19</v>
      </c>
      <c r="AO623" s="1056">
        <v>20</v>
      </c>
      <c r="AP623" s="1055">
        <v>0.28000000000000003</v>
      </c>
      <c r="AQ623" s="1745">
        <f t="shared" si="270"/>
        <v>0</v>
      </c>
      <c r="AR623" s="1737">
        <v>0.71</v>
      </c>
      <c r="AS623" s="1052">
        <f t="shared" si="271"/>
        <v>2.5357142857142851</v>
      </c>
      <c r="AT623" s="1049"/>
      <c r="AU623" s="1136"/>
      <c r="AV623" s="1049"/>
      <c r="AW623" s="1058"/>
      <c r="AX623" s="1057">
        <v>19</v>
      </c>
      <c r="AY623" s="1056">
        <v>20</v>
      </c>
      <c r="AZ623" s="1055">
        <v>0.33</v>
      </c>
      <c r="BA623" s="1736">
        <v>1.0900000000000001</v>
      </c>
      <c r="BB623" s="1737">
        <f t="shared" si="272"/>
        <v>3.3030303030303032</v>
      </c>
      <c r="BC623" s="1049"/>
      <c r="BD623" s="1136"/>
      <c r="BE623" s="1049"/>
      <c r="BF623" s="1058"/>
      <c r="BG623" s="1057">
        <v>19</v>
      </c>
      <c r="BH623" s="1056">
        <v>20</v>
      </c>
      <c r="BI623" s="1874">
        <v>0.37</v>
      </c>
      <c r="BJ623" s="1736"/>
      <c r="BK623" s="1049"/>
      <c r="BL623" s="1058"/>
      <c r="BM623" s="1057">
        <v>19</v>
      </c>
      <c r="BN623" s="1056">
        <v>20</v>
      </c>
      <c r="BO623" s="1055"/>
      <c r="BP623" s="1055"/>
      <c r="BQ623" s="1049"/>
    </row>
    <row r="624" spans="1:69" ht="14.4">
      <c r="A624" s="1049"/>
      <c r="B624" s="1060"/>
      <c r="C624" s="1057">
        <v>20</v>
      </c>
      <c r="D624" s="1056">
        <v>21</v>
      </c>
      <c r="E624" s="1063">
        <v>0.57999999999999996</v>
      </c>
      <c r="F624" s="1062">
        <v>1.71</v>
      </c>
      <c r="G624" s="1061">
        <f t="shared" si="264"/>
        <v>2.9482758620689657</v>
      </c>
      <c r="H624" s="1049"/>
      <c r="I624" s="1060"/>
      <c r="J624" s="1057">
        <v>20</v>
      </c>
      <c r="K624" s="1056">
        <v>21</v>
      </c>
      <c r="L624" s="1055">
        <v>1.5249999999999999</v>
      </c>
      <c r="M624" s="1059">
        <v>6.42</v>
      </c>
      <c r="N624" s="1052">
        <f t="shared" si="265"/>
        <v>4.2098360655737705</v>
      </c>
      <c r="O624" s="1049"/>
      <c r="P624" s="1058"/>
      <c r="Q624" s="1057">
        <v>20</v>
      </c>
      <c r="R624" s="1056">
        <v>21</v>
      </c>
      <c r="S624" s="1055">
        <v>3.53</v>
      </c>
      <c r="T624" s="1054">
        <f t="shared" si="266"/>
        <v>4.3418999999999999</v>
      </c>
      <c r="U624" s="1064">
        <v>8.0299999999999994</v>
      </c>
      <c r="V624" s="1052">
        <f t="shared" si="267"/>
        <v>2.2747875354107649</v>
      </c>
      <c r="W624" s="1049"/>
      <c r="X624" s="1051">
        <v>1.23</v>
      </c>
      <c r="Y624" s="1049"/>
      <c r="Z624" s="1050">
        <f t="shared" si="273"/>
        <v>1.5178999999999998</v>
      </c>
      <c r="AA624" s="1058"/>
      <c r="AB624" s="1057">
        <v>20</v>
      </c>
      <c r="AC624" s="1056">
        <v>21</v>
      </c>
      <c r="AD624" s="1055">
        <v>3.2890000000000001</v>
      </c>
      <c r="AE624" s="1137">
        <f t="shared" si="268"/>
        <v>0</v>
      </c>
      <c r="AF624" s="1136">
        <v>7.29</v>
      </c>
      <c r="AG624" s="1052">
        <f t="shared" si="269"/>
        <v>2.2164791730009119</v>
      </c>
      <c r="AH624" s="1049"/>
      <c r="AI624" s="1136"/>
      <c r="AJ624" s="1049"/>
      <c r="AK624" s="1050">
        <f t="shared" si="274"/>
        <v>-2.6312000000000002</v>
      </c>
      <c r="AL624" s="1049"/>
      <c r="AM624" s="1058"/>
      <c r="AN624" s="1057">
        <v>20</v>
      </c>
      <c r="AO624" s="1056">
        <v>21</v>
      </c>
      <c r="AP624" s="1055">
        <v>0.2</v>
      </c>
      <c r="AQ624" s="1745">
        <f t="shared" si="270"/>
        <v>0</v>
      </c>
      <c r="AR624" s="1737">
        <v>0.34</v>
      </c>
      <c r="AS624" s="1052">
        <f t="shared" si="271"/>
        <v>1.7</v>
      </c>
      <c r="AT624" s="1049"/>
      <c r="AU624" s="1136"/>
      <c r="AV624" s="1049"/>
      <c r="AW624" s="1058"/>
      <c r="AX624" s="1057">
        <v>20</v>
      </c>
      <c r="AY624" s="1056">
        <v>21</v>
      </c>
      <c r="AZ624" s="1055">
        <v>0.35</v>
      </c>
      <c r="BA624" s="1736">
        <v>0.49</v>
      </c>
      <c r="BB624" s="1737">
        <f t="shared" si="272"/>
        <v>1.4000000000000001</v>
      </c>
      <c r="BC624" s="1049"/>
      <c r="BD624" s="1136"/>
      <c r="BE624" s="1049"/>
      <c r="BF624" s="1058"/>
      <c r="BG624" s="1057">
        <v>20</v>
      </c>
      <c r="BH624" s="1056">
        <v>21</v>
      </c>
      <c r="BI624" s="1874">
        <v>0.32</v>
      </c>
      <c r="BJ624" s="1736"/>
      <c r="BK624" s="1049"/>
      <c r="BL624" s="1058"/>
      <c r="BM624" s="1057">
        <v>20</v>
      </c>
      <c r="BN624" s="1056">
        <v>21</v>
      </c>
      <c r="BO624" s="1055"/>
      <c r="BP624" s="1055"/>
      <c r="BQ624" s="1049"/>
    </row>
    <row r="625" spans="1:69" ht="14.4">
      <c r="A625" s="1049"/>
      <c r="B625" s="1060"/>
      <c r="C625" s="1057">
        <v>21</v>
      </c>
      <c r="D625" s="1056">
        <v>22</v>
      </c>
      <c r="E625" s="1063">
        <v>0.56000000000000005</v>
      </c>
      <c r="F625" s="1062">
        <v>1.53</v>
      </c>
      <c r="G625" s="1061">
        <f t="shared" si="264"/>
        <v>2.7321428571428568</v>
      </c>
      <c r="H625" s="1049"/>
      <c r="I625" s="1060"/>
      <c r="J625" s="1057">
        <v>21</v>
      </c>
      <c r="K625" s="1056">
        <v>22</v>
      </c>
      <c r="L625" s="1055">
        <v>1.718</v>
      </c>
      <c r="M625" s="1059">
        <v>7</v>
      </c>
      <c r="N625" s="1052">
        <f t="shared" si="265"/>
        <v>4.0745052386495928</v>
      </c>
      <c r="O625" s="1049"/>
      <c r="P625" s="1058"/>
      <c r="Q625" s="1057">
        <v>21</v>
      </c>
      <c r="R625" s="1056">
        <v>22</v>
      </c>
      <c r="S625" s="1055">
        <v>3.5619999999999998</v>
      </c>
      <c r="T625" s="1054">
        <f t="shared" si="266"/>
        <v>3.9894400000000001</v>
      </c>
      <c r="U625" s="1064">
        <v>7.72</v>
      </c>
      <c r="V625" s="1052">
        <f t="shared" si="267"/>
        <v>2.1673217293655251</v>
      </c>
      <c r="W625" s="1049"/>
      <c r="X625" s="1051">
        <v>1.1200000000000001</v>
      </c>
      <c r="Y625" s="1049"/>
      <c r="Z625" s="1050">
        <f t="shared" si="273"/>
        <v>1.1398400000000002</v>
      </c>
      <c r="AA625" s="1058"/>
      <c r="AB625" s="1057">
        <v>21</v>
      </c>
      <c r="AC625" s="1056">
        <v>22</v>
      </c>
      <c r="AD625" s="1055">
        <v>3.5419999999999998</v>
      </c>
      <c r="AE625" s="1137">
        <f t="shared" si="268"/>
        <v>0</v>
      </c>
      <c r="AF625" s="1136">
        <v>7.67</v>
      </c>
      <c r="AG625" s="1052">
        <f t="shared" si="269"/>
        <v>2.1654432523997742</v>
      </c>
      <c r="AH625" s="1049"/>
      <c r="AI625" s="1136"/>
      <c r="AJ625" s="1049"/>
      <c r="AK625" s="1050">
        <f t="shared" si="274"/>
        <v>-2.8336000000000001</v>
      </c>
      <c r="AL625" s="1049"/>
      <c r="AM625" s="1058"/>
      <c r="AN625" s="1057">
        <v>21</v>
      </c>
      <c r="AO625" s="1056">
        <v>22</v>
      </c>
      <c r="AP625" s="1055">
        <v>0.21</v>
      </c>
      <c r="AQ625" s="1745">
        <f t="shared" si="270"/>
        <v>0</v>
      </c>
      <c r="AR625" s="1737">
        <v>0.36</v>
      </c>
      <c r="AS625" s="1052">
        <f t="shared" si="271"/>
        <v>1.7142857142857142</v>
      </c>
      <c r="AT625" s="1049"/>
      <c r="AU625" s="1136"/>
      <c r="AV625" s="1049"/>
      <c r="AW625" s="1058"/>
      <c r="AX625" s="1057">
        <v>21</v>
      </c>
      <c r="AY625" s="1056">
        <v>22</v>
      </c>
      <c r="AZ625" s="1055">
        <v>0.28999999999999998</v>
      </c>
      <c r="BA625" s="1736">
        <v>0.59</v>
      </c>
      <c r="BB625" s="1737">
        <f t="shared" si="272"/>
        <v>2.0344827586206895</v>
      </c>
      <c r="BC625" s="1049"/>
      <c r="BD625" s="1136"/>
      <c r="BE625" s="1049"/>
      <c r="BF625" s="1058"/>
      <c r="BG625" s="1057">
        <v>21</v>
      </c>
      <c r="BH625" s="1056">
        <v>22</v>
      </c>
      <c r="BI625" s="1874">
        <v>0.3</v>
      </c>
      <c r="BJ625" s="1736"/>
      <c r="BK625" s="1049"/>
      <c r="BL625" s="1058"/>
      <c r="BM625" s="1057">
        <v>21</v>
      </c>
      <c r="BN625" s="1056">
        <v>22</v>
      </c>
      <c r="BO625" s="1055"/>
      <c r="BP625" s="1055"/>
      <c r="BQ625" s="1049"/>
    </row>
    <row r="626" spans="1:69" ht="14.4">
      <c r="A626" s="1049"/>
      <c r="B626" s="1060"/>
      <c r="C626" s="1057">
        <v>22</v>
      </c>
      <c r="D626" s="1056">
        <v>23</v>
      </c>
      <c r="E626" s="1063">
        <v>0.91</v>
      </c>
      <c r="F626" s="1062">
        <v>2.42</v>
      </c>
      <c r="G626" s="1061">
        <f t="shared" si="264"/>
        <v>2.6593406593406592</v>
      </c>
      <c r="H626" s="1049"/>
      <c r="I626" s="1060"/>
      <c r="J626" s="1057">
        <v>22</v>
      </c>
      <c r="K626" s="1056">
        <v>23</v>
      </c>
      <c r="L626" s="1055">
        <v>2.1629999999999998</v>
      </c>
      <c r="M626" s="1059">
        <v>9.02</v>
      </c>
      <c r="N626" s="1052">
        <f t="shared" si="265"/>
        <v>4.1701340730466949</v>
      </c>
      <c r="O626" s="1049"/>
      <c r="P626" s="1058"/>
      <c r="Q626" s="1057">
        <v>22</v>
      </c>
      <c r="R626" s="1056">
        <v>23</v>
      </c>
      <c r="S626" s="1055">
        <v>3.2690000000000001</v>
      </c>
      <c r="T626" s="1054">
        <f t="shared" si="266"/>
        <v>3.5305200000000005</v>
      </c>
      <c r="U626" s="1064">
        <v>6.95</v>
      </c>
      <c r="V626" s="1052">
        <f t="shared" si="267"/>
        <v>2.126032425818293</v>
      </c>
      <c r="W626" s="1049"/>
      <c r="X626" s="1051">
        <v>1.08</v>
      </c>
      <c r="Y626" s="1049"/>
      <c r="Z626" s="1050">
        <f t="shared" si="273"/>
        <v>0.91532000000000013</v>
      </c>
      <c r="AA626" s="1058"/>
      <c r="AB626" s="1057">
        <v>22</v>
      </c>
      <c r="AC626" s="1056">
        <v>23</v>
      </c>
      <c r="AD626" s="1055">
        <v>3.1459999999999999</v>
      </c>
      <c r="AE626" s="1137">
        <f t="shared" si="268"/>
        <v>0</v>
      </c>
      <c r="AF626" s="1136">
        <v>6.83</v>
      </c>
      <c r="AG626" s="1052">
        <f t="shared" si="269"/>
        <v>2.1710108073744436</v>
      </c>
      <c r="AH626" s="1049"/>
      <c r="AI626" s="1136"/>
      <c r="AJ626" s="1049"/>
      <c r="AK626" s="1050">
        <f t="shared" si="274"/>
        <v>-2.5167999999999999</v>
      </c>
      <c r="AL626" s="1049"/>
      <c r="AM626" s="1058"/>
      <c r="AN626" s="1057">
        <v>22</v>
      </c>
      <c r="AO626" s="1056">
        <v>23</v>
      </c>
      <c r="AP626" s="1055">
        <v>0.27</v>
      </c>
      <c r="AQ626" s="1745">
        <f t="shared" si="270"/>
        <v>0</v>
      </c>
      <c r="AR626" s="1737">
        <v>0.46</v>
      </c>
      <c r="AS626" s="1052">
        <f t="shared" si="271"/>
        <v>1.7037037037037037</v>
      </c>
      <c r="AT626" s="1049"/>
      <c r="AU626" s="1136"/>
      <c r="AV626" s="1049"/>
      <c r="AW626" s="1058"/>
      <c r="AX626" s="1057">
        <v>22</v>
      </c>
      <c r="AY626" s="1056">
        <v>23</v>
      </c>
      <c r="AZ626" s="1055">
        <v>0.09</v>
      </c>
      <c r="BA626" s="1736">
        <v>0.28999999999999998</v>
      </c>
      <c r="BB626" s="1737">
        <f t="shared" si="272"/>
        <v>3.2222222222222223</v>
      </c>
      <c r="BC626" s="1049"/>
      <c r="BD626" s="1136"/>
      <c r="BE626" s="1049"/>
      <c r="BF626" s="1058"/>
      <c r="BG626" s="1057">
        <v>22</v>
      </c>
      <c r="BH626" s="1056">
        <v>23</v>
      </c>
      <c r="BI626" s="1874">
        <v>0.19</v>
      </c>
      <c r="BJ626" s="1736"/>
      <c r="BK626" s="1049"/>
      <c r="BL626" s="1058"/>
      <c r="BM626" s="1057">
        <v>22</v>
      </c>
      <c r="BN626" s="1056">
        <v>23</v>
      </c>
      <c r="BO626" s="1055"/>
      <c r="BP626" s="1055"/>
      <c r="BQ626" s="1049"/>
    </row>
    <row r="627" spans="1:69" ht="14.4">
      <c r="A627" s="1049"/>
      <c r="B627" s="1060"/>
      <c r="C627" s="1057">
        <v>23</v>
      </c>
      <c r="D627" s="1056">
        <v>24</v>
      </c>
      <c r="E627" s="1063">
        <v>0.38</v>
      </c>
      <c r="F627" s="1062">
        <v>0.99</v>
      </c>
      <c r="G627" s="1061">
        <f t="shared" si="264"/>
        <v>2.6052631578947367</v>
      </c>
      <c r="H627" s="1049"/>
      <c r="I627" s="1060"/>
      <c r="J627" s="1057">
        <v>23</v>
      </c>
      <c r="K627" s="1056">
        <v>24</v>
      </c>
      <c r="L627" s="1055">
        <v>1.726</v>
      </c>
      <c r="M627" s="1059">
        <v>6.49</v>
      </c>
      <c r="N627" s="1052">
        <f t="shared" si="265"/>
        <v>3.7601390498261877</v>
      </c>
      <c r="O627" s="1049"/>
      <c r="P627" s="1058"/>
      <c r="Q627" s="1057">
        <v>23</v>
      </c>
      <c r="R627" s="1056">
        <v>24</v>
      </c>
      <c r="S627" s="1055">
        <v>3.2090000000000001</v>
      </c>
      <c r="T627" s="1054">
        <f t="shared" si="266"/>
        <v>3.4015400000000002</v>
      </c>
      <c r="U627" s="1053">
        <v>6.76</v>
      </c>
      <c r="V627" s="1052">
        <f t="shared" si="267"/>
        <v>2.1065752570894358</v>
      </c>
      <c r="W627" s="1049"/>
      <c r="X627" s="1051">
        <v>1.06</v>
      </c>
      <c r="Y627" s="1049"/>
      <c r="Z627" s="1050">
        <f t="shared" si="273"/>
        <v>0.83434000000000008</v>
      </c>
      <c r="AA627" s="1058"/>
      <c r="AB627" s="1057">
        <v>23</v>
      </c>
      <c r="AC627" s="1056">
        <v>24</v>
      </c>
      <c r="AD627" s="1055">
        <v>2.9889999999999999</v>
      </c>
      <c r="AE627" s="1137">
        <f t="shared" si="268"/>
        <v>0</v>
      </c>
      <c r="AF627" s="1136">
        <v>6.21</v>
      </c>
      <c r="AG627" s="1052">
        <f t="shared" si="269"/>
        <v>2.0776179324188693</v>
      </c>
      <c r="AH627" s="1049"/>
      <c r="AI627" s="1136"/>
      <c r="AJ627" s="1049"/>
      <c r="AK627" s="1050">
        <f t="shared" si="274"/>
        <v>-2.3912</v>
      </c>
      <c r="AL627" s="1049"/>
      <c r="AM627" s="1058"/>
      <c r="AN627" s="1057">
        <v>23</v>
      </c>
      <c r="AO627" s="1056">
        <v>24</v>
      </c>
      <c r="AP627" s="1055">
        <v>0.16</v>
      </c>
      <c r="AQ627" s="1745">
        <f t="shared" si="270"/>
        <v>0</v>
      </c>
      <c r="AR627" s="1737">
        <v>0.27</v>
      </c>
      <c r="AS627" s="1052">
        <f t="shared" si="271"/>
        <v>1.6875</v>
      </c>
      <c r="AT627" s="1049"/>
      <c r="AU627" s="1136"/>
      <c r="AV627" s="1049"/>
      <c r="AW627" s="1058"/>
      <c r="AX627" s="1057">
        <v>23</v>
      </c>
      <c r="AY627" s="1056">
        <v>24</v>
      </c>
      <c r="AZ627" s="1055">
        <v>0.15</v>
      </c>
      <c r="BA627" s="1736">
        <v>0.17</v>
      </c>
      <c r="BB627" s="1737">
        <f t="shared" si="272"/>
        <v>1.1333333333333335</v>
      </c>
      <c r="BC627" s="1049"/>
      <c r="BD627" s="1136"/>
      <c r="BE627" s="1049"/>
      <c r="BF627" s="1058"/>
      <c r="BG627" s="1057">
        <v>23</v>
      </c>
      <c r="BH627" s="1056">
        <v>24</v>
      </c>
      <c r="BI627" s="1874">
        <v>0.13</v>
      </c>
      <c r="BJ627" s="1736"/>
      <c r="BK627" s="1049"/>
      <c r="BL627" s="1058"/>
      <c r="BM627" s="1057">
        <v>23</v>
      </c>
      <c r="BN627" s="1056">
        <v>24</v>
      </c>
      <c r="BO627" s="1055"/>
      <c r="BP627" s="1055"/>
      <c r="BQ627" s="1049"/>
    </row>
    <row r="628" spans="1:69" ht="14.4">
      <c r="A628" s="1036"/>
      <c r="B628" s="1044" t="s">
        <v>1131</v>
      </c>
      <c r="C628" s="1135"/>
      <c r="D628" s="1135"/>
      <c r="E628" s="1134"/>
      <c r="F628" s="1133"/>
      <c r="G628" s="1132"/>
      <c r="H628" s="1044"/>
      <c r="I628" s="1044" t="s">
        <v>1128</v>
      </c>
      <c r="J628" s="1046"/>
      <c r="K628" s="1046"/>
      <c r="L628" s="1129">
        <f>AVERAGE(L629:L652)</f>
        <v>1.4842916666666668</v>
      </c>
      <c r="M628" s="1131">
        <f>AVERAGE(M629:M652)</f>
        <v>5.915</v>
      </c>
      <c r="N628" s="1039">
        <f>AVERAGE(N629:N652)</f>
        <v>3.9726784805795976</v>
      </c>
      <c r="O628" s="1044"/>
      <c r="P628" s="1130" t="s">
        <v>1138</v>
      </c>
      <c r="Q628" s="1046"/>
      <c r="R628" s="1046"/>
      <c r="S628" s="1129">
        <f>AVERAGE(S629:S652)</f>
        <v>2.6944583333333334</v>
      </c>
      <c r="T628" s="1128"/>
      <c r="U628" s="1040">
        <f>AVERAGE(U629:U652)</f>
        <v>4.1837499999999999</v>
      </c>
      <c r="V628" s="1039">
        <f>AVERAGE(V629:V652)</f>
        <v>1.5572087051970886</v>
      </c>
      <c r="W628" s="1036"/>
      <c r="X628" s="1038">
        <f>AVERAGE(X637:X652)</f>
        <v>0.57375000000000009</v>
      </c>
      <c r="Y628" s="1036"/>
      <c r="Z628" s="1127">
        <f>SUM(Z629:Z652)</f>
        <v>0</v>
      </c>
      <c r="AA628" s="1130"/>
      <c r="AB628" s="1046"/>
      <c r="AC628" s="1046"/>
      <c r="AD628" s="1129">
        <f>AVERAGE(AD629:AD652)</f>
        <v>2.7849999999999997</v>
      </c>
      <c r="AE628" s="1128"/>
      <c r="AF628" s="1040">
        <f>AVERAGE(AF629:AF652)</f>
        <v>6.4970833333333333</v>
      </c>
      <c r="AG628" s="1039">
        <f>AVERAGE(AG629:AG652)</f>
        <v>2.2954364863143586</v>
      </c>
      <c r="AH628" s="1036"/>
      <c r="AI628" s="1038" t="e">
        <f>AVERAGE(AI637:AI652)</f>
        <v>#DIV/0!</v>
      </c>
      <c r="AJ628" s="1036"/>
      <c r="AK628" s="1127">
        <f>SUM(AK629:AK652)</f>
        <v>0</v>
      </c>
      <c r="AL628" s="1036"/>
      <c r="AM628" s="1130"/>
      <c r="AN628" s="1046"/>
      <c r="AO628" s="1046"/>
      <c r="AP628" s="1129">
        <f>AVERAGE(AP629:AP652)</f>
        <v>0.53749999999999998</v>
      </c>
      <c r="AQ628" s="1734"/>
      <c r="AR628" s="1735">
        <f>AVERAGE(AR629:AR652)</f>
        <v>1.0516666666666667</v>
      </c>
      <c r="AS628" s="1039">
        <f>AVERAGE(AS629:AS652)</f>
        <v>1.9406028976411223</v>
      </c>
      <c r="AT628" s="1036"/>
      <c r="AU628" s="1038" t="e">
        <f>AVERAGE(AU637:AU652)</f>
        <v>#DIV/0!</v>
      </c>
      <c r="AV628" s="1036"/>
      <c r="AW628" s="1130"/>
      <c r="AX628" s="1046"/>
      <c r="AY628" s="1046"/>
      <c r="AZ628" s="1129">
        <f>AVERAGE(AZ629:AZ652)</f>
        <v>0.18130434782608695</v>
      </c>
      <c r="BA628" s="1045">
        <f>AVERAGE(BA629:BA652)</f>
        <v>0.31086956521739134</v>
      </c>
      <c r="BB628" s="1039" t="e">
        <f>AVERAGE(BB629:BB652)</f>
        <v>#DIV/0!</v>
      </c>
      <c r="BC628" s="1036"/>
      <c r="BD628" s="1038" t="e">
        <f>AVERAGE(BD637:BD652)</f>
        <v>#DIV/0!</v>
      </c>
      <c r="BE628" s="1036"/>
      <c r="BF628" s="1130"/>
      <c r="BG628" s="2756">
        <f>BF629</f>
        <v>45042</v>
      </c>
      <c r="BH628" s="2756"/>
      <c r="BI628" s="1897">
        <f>SUM(BI629:BI652)</f>
        <v>6.72</v>
      </c>
      <c r="BJ628" s="1898">
        <f>SUM(BJ629:BJ652)</f>
        <v>0</v>
      </c>
      <c r="BK628" s="1036"/>
      <c r="BL628" s="1130"/>
      <c r="BM628" s="1046"/>
      <c r="BN628" s="1046"/>
      <c r="BO628" s="1129" t="e">
        <f>AVERAGE(BO629:BO652)</f>
        <v>#DIV/0!</v>
      </c>
      <c r="BP628" s="1129" t="e">
        <f>AVERAGE(BP629:BP652)</f>
        <v>#DIV/0!</v>
      </c>
      <c r="BQ628" s="1036"/>
    </row>
    <row r="629" spans="1:69" ht="14.4">
      <c r="A629" s="1049"/>
      <c r="B629" s="1126">
        <v>44860</v>
      </c>
      <c r="C629" s="1057">
        <v>0</v>
      </c>
      <c r="D629" s="1056">
        <v>1</v>
      </c>
      <c r="E629" s="1063">
        <v>0.34</v>
      </c>
      <c r="F629" s="1062">
        <v>0.83</v>
      </c>
      <c r="G629" s="1061">
        <f t="shared" ref="G629:G652" si="275">F629/E629</f>
        <v>2.4411764705882351</v>
      </c>
      <c r="H629" s="1049"/>
      <c r="I629" s="1126">
        <v>44891</v>
      </c>
      <c r="J629" s="1057">
        <v>0</v>
      </c>
      <c r="K629" s="1056">
        <v>1</v>
      </c>
      <c r="L629" s="1055">
        <v>1.26</v>
      </c>
      <c r="M629" s="1059">
        <v>4.58</v>
      </c>
      <c r="N629" s="1052">
        <f t="shared" ref="N629:N652" si="276">M629/L629</f>
        <v>3.6349206349206349</v>
      </c>
      <c r="O629" s="1049"/>
      <c r="P629" s="1125">
        <v>44921</v>
      </c>
      <c r="Q629" s="1057">
        <v>0</v>
      </c>
      <c r="R629" s="1056">
        <v>1</v>
      </c>
      <c r="S629" s="1055">
        <v>2.5390000000000001</v>
      </c>
      <c r="T629" s="1054">
        <v>4.17</v>
      </c>
      <c r="U629" s="1064">
        <v>4.17</v>
      </c>
      <c r="V629" s="1052">
        <f t="shared" ref="V629:V652" si="277">U629/S629</f>
        <v>1.6423788893265063</v>
      </c>
      <c r="W629" s="1049"/>
      <c r="X629" s="1051">
        <v>0.6</v>
      </c>
      <c r="Y629" s="1049"/>
      <c r="Z629" s="1050">
        <f>IF(X629&lt;0.8,0,S629*(X629-0.8))</f>
        <v>0</v>
      </c>
      <c r="AA629" s="1125">
        <v>44952</v>
      </c>
      <c r="AB629" s="1057">
        <v>0</v>
      </c>
      <c r="AC629" s="1056">
        <v>1</v>
      </c>
      <c r="AD629" s="1055">
        <v>2.0299999999999998</v>
      </c>
      <c r="AE629" s="1137">
        <f t="shared" si="268"/>
        <v>0</v>
      </c>
      <c r="AF629" s="1136">
        <v>4.49</v>
      </c>
      <c r="AG629" s="1052">
        <f t="shared" ref="AG629:AG652" si="278">AF629/AD629</f>
        <v>2.2118226600985227</v>
      </c>
      <c r="AH629" s="1049"/>
      <c r="AI629" s="1136"/>
      <c r="AJ629" s="1049"/>
      <c r="AK629" s="1050">
        <f>IF(AI629&lt;0.8,0,AD629*(AI629-0.8))</f>
        <v>0</v>
      </c>
      <c r="AL629" s="1049"/>
      <c r="AM629" s="1125">
        <v>44983</v>
      </c>
      <c r="AN629" s="1057">
        <v>0</v>
      </c>
      <c r="AO629" s="1056">
        <v>1</v>
      </c>
      <c r="AP629" s="1055">
        <v>0.18</v>
      </c>
      <c r="AQ629" s="1745">
        <f t="shared" ref="AQ629:AQ652" si="279">AP629*AU629</f>
        <v>0</v>
      </c>
      <c r="AR629" s="1737">
        <v>0.32</v>
      </c>
      <c r="AS629" s="1052">
        <f t="shared" ref="AS629:AS652" si="280">AR629/AP629</f>
        <v>1.7777777777777779</v>
      </c>
      <c r="AT629" s="1049"/>
      <c r="AU629" s="1136"/>
      <c r="AV629" s="1049"/>
      <c r="AW629" s="1125">
        <v>45011</v>
      </c>
      <c r="AX629" s="1057">
        <v>0</v>
      </c>
      <c r="AY629" s="1056">
        <v>1</v>
      </c>
      <c r="AZ629" s="1055">
        <v>0.1</v>
      </c>
      <c r="BA629" s="1736">
        <v>0.12</v>
      </c>
      <c r="BB629" s="1737">
        <f t="shared" ref="BB629:BB652" si="281">BA629/AZ629</f>
        <v>1.2</v>
      </c>
      <c r="BC629" s="1049"/>
      <c r="BD629" s="1136"/>
      <c r="BE629" s="1049"/>
      <c r="BF629" s="1125">
        <v>45042</v>
      </c>
      <c r="BG629" s="1057">
        <v>0</v>
      </c>
      <c r="BH629" s="1056">
        <v>1</v>
      </c>
      <c r="BI629" s="1874">
        <v>0.11</v>
      </c>
      <c r="BJ629" s="1736"/>
      <c r="BK629" s="1049"/>
      <c r="BL629" s="1125">
        <v>45042</v>
      </c>
      <c r="BM629" s="1057">
        <v>0</v>
      </c>
      <c r="BN629" s="1056">
        <v>1</v>
      </c>
      <c r="BO629" s="1055"/>
      <c r="BP629" s="1055"/>
      <c r="BQ629" s="1049"/>
    </row>
    <row r="630" spans="1:69" ht="14.4">
      <c r="A630" s="1049"/>
      <c r="B630" s="1124"/>
      <c r="C630" s="1057">
        <v>1</v>
      </c>
      <c r="D630" s="1056">
        <v>2</v>
      </c>
      <c r="E630" s="1063">
        <v>0.28000000000000003</v>
      </c>
      <c r="F630" s="1062">
        <v>0.67</v>
      </c>
      <c r="G630" s="1061">
        <f t="shared" si="275"/>
        <v>2.3928571428571428</v>
      </c>
      <c r="H630" s="1049"/>
      <c r="I630" s="1124"/>
      <c r="J630" s="1057">
        <v>1</v>
      </c>
      <c r="K630" s="1056">
        <v>2</v>
      </c>
      <c r="L630" s="1055">
        <v>1.278</v>
      </c>
      <c r="M630" s="1059">
        <v>4.63</v>
      </c>
      <c r="N630" s="1052">
        <f t="shared" si="276"/>
        <v>3.6228482003129887</v>
      </c>
      <c r="O630" s="1049"/>
      <c r="P630" s="1123"/>
      <c r="Q630" s="1057">
        <v>1</v>
      </c>
      <c r="R630" s="1056">
        <v>2</v>
      </c>
      <c r="S630" s="1055">
        <v>2.35</v>
      </c>
      <c r="T630" s="1054">
        <v>3.57</v>
      </c>
      <c r="U630" s="1064">
        <v>3.57</v>
      </c>
      <c r="V630" s="1052">
        <f t="shared" si="277"/>
        <v>1.5191489361702126</v>
      </c>
      <c r="W630" s="1049"/>
      <c r="X630" s="1051">
        <v>0.48</v>
      </c>
      <c r="Y630" s="1049"/>
      <c r="Z630" s="1050">
        <f t="shared" ref="Z630:Z652" si="282">IF(X630&lt;0.8,0,S630*(U630-0.8))</f>
        <v>0</v>
      </c>
      <c r="AA630" s="1123"/>
      <c r="AB630" s="1057">
        <v>1</v>
      </c>
      <c r="AC630" s="1056">
        <v>2</v>
      </c>
      <c r="AD630" s="1055">
        <v>1.93</v>
      </c>
      <c r="AE630" s="1137">
        <f t="shared" si="268"/>
        <v>0</v>
      </c>
      <c r="AF630" s="1136">
        <v>3.9</v>
      </c>
      <c r="AG630" s="1052">
        <f t="shared" si="278"/>
        <v>2.0207253886010363</v>
      </c>
      <c r="AH630" s="1049"/>
      <c r="AI630" s="1136"/>
      <c r="AJ630" s="1049"/>
      <c r="AK630" s="1050">
        <f t="shared" ref="AK630:AK652" si="283">IF(AI630&lt;0.8,0,AD630*(AF630-0.8))</f>
        <v>0</v>
      </c>
      <c r="AL630" s="1049"/>
      <c r="AM630" s="1123"/>
      <c r="AN630" s="1057">
        <v>1</v>
      </c>
      <c r="AO630" s="1056">
        <v>2</v>
      </c>
      <c r="AP630" s="1055">
        <v>0.15</v>
      </c>
      <c r="AQ630" s="1745">
        <f t="shared" si="279"/>
        <v>0</v>
      </c>
      <c r="AR630" s="1737">
        <v>0.27</v>
      </c>
      <c r="AS630" s="1052">
        <f t="shared" si="280"/>
        <v>1.8000000000000003</v>
      </c>
      <c r="AT630" s="1049"/>
      <c r="AU630" s="1136"/>
      <c r="AV630" s="1049"/>
      <c r="AW630" s="1123"/>
      <c r="AX630" s="1057">
        <v>1</v>
      </c>
      <c r="AY630" s="1056">
        <v>2</v>
      </c>
      <c r="AZ630" s="1055">
        <v>0.18</v>
      </c>
      <c r="BA630" s="1736">
        <v>0.21</v>
      </c>
      <c r="BB630" s="1737">
        <f t="shared" si="281"/>
        <v>1.1666666666666667</v>
      </c>
      <c r="BC630" s="1049"/>
      <c r="BD630" s="1136"/>
      <c r="BE630" s="1049"/>
      <c r="BF630" s="1123"/>
      <c r="BG630" s="1057">
        <v>1</v>
      </c>
      <c r="BH630" s="1056">
        <v>2</v>
      </c>
      <c r="BI630" s="1874">
        <v>0.15</v>
      </c>
      <c r="BJ630" s="1736"/>
      <c r="BK630" s="1049"/>
      <c r="BL630" s="1123"/>
      <c r="BM630" s="1057">
        <v>1</v>
      </c>
      <c r="BN630" s="1056">
        <v>2</v>
      </c>
      <c r="BO630" s="1055"/>
      <c r="BP630" s="1055"/>
      <c r="BQ630" s="1049"/>
    </row>
    <row r="631" spans="1:69" ht="14.4">
      <c r="A631" s="1049"/>
      <c r="B631" s="1122">
        <f>SUM(E629:E652)</f>
        <v>16.59</v>
      </c>
      <c r="C631" s="1057">
        <v>2</v>
      </c>
      <c r="D631" s="1056">
        <v>3</v>
      </c>
      <c r="E631" s="1063">
        <v>0.28000000000000003</v>
      </c>
      <c r="F631" s="1062">
        <v>0.65</v>
      </c>
      <c r="G631" s="1061">
        <f t="shared" si="275"/>
        <v>2.3214285714285712</v>
      </c>
      <c r="H631" s="1049"/>
      <c r="I631" s="1122">
        <f>SUM(L629:L652)</f>
        <v>35.623000000000005</v>
      </c>
      <c r="J631" s="1057">
        <v>2</v>
      </c>
      <c r="K631" s="1056">
        <v>3</v>
      </c>
      <c r="L631" s="1055">
        <v>1.3380000000000001</v>
      </c>
      <c r="M631" s="1059">
        <v>4.7</v>
      </c>
      <c r="N631" s="1052">
        <f t="shared" si="276"/>
        <v>3.5127055306427502</v>
      </c>
      <c r="O631" s="1049"/>
      <c r="P631" s="1121">
        <f>SUM(S629:S652)</f>
        <v>64.667000000000002</v>
      </c>
      <c r="Q631" s="1057">
        <v>2</v>
      </c>
      <c r="R631" s="1056">
        <v>3</v>
      </c>
      <c r="S631" s="1055">
        <v>2.3879999999999999</v>
      </c>
      <c r="T631" s="1054">
        <v>3.65</v>
      </c>
      <c r="U631" s="1064">
        <v>3.65</v>
      </c>
      <c r="V631" s="1052">
        <f t="shared" si="277"/>
        <v>1.5284757118927974</v>
      </c>
      <c r="W631" s="1049"/>
      <c r="X631" s="1051">
        <v>0.48</v>
      </c>
      <c r="Y631" s="1049"/>
      <c r="Z631" s="1050">
        <f t="shared" si="282"/>
        <v>0</v>
      </c>
      <c r="AA631" s="1121">
        <f>SUM(AD629:AD652)</f>
        <v>66.839999999999989</v>
      </c>
      <c r="AB631" s="1057">
        <v>2</v>
      </c>
      <c r="AC631" s="1056">
        <v>3</v>
      </c>
      <c r="AD631" s="1055">
        <v>1.95</v>
      </c>
      <c r="AE631" s="1137">
        <f t="shared" si="268"/>
        <v>0</v>
      </c>
      <c r="AF631" s="1136">
        <v>3.94</v>
      </c>
      <c r="AG631" s="1052">
        <f t="shared" si="278"/>
        <v>2.0205128205128204</v>
      </c>
      <c r="AH631" s="1049"/>
      <c r="AI631" s="1136"/>
      <c r="AJ631" s="1049"/>
      <c r="AK631" s="1050">
        <f t="shared" si="283"/>
        <v>0</v>
      </c>
      <c r="AL631" s="1049"/>
      <c r="AM631" s="1121">
        <f>SUM(AP629:AP652)</f>
        <v>12.899999999999999</v>
      </c>
      <c r="AN631" s="1057">
        <v>2</v>
      </c>
      <c r="AO631" s="1056">
        <v>3</v>
      </c>
      <c r="AP631" s="1055">
        <v>0.13</v>
      </c>
      <c r="AQ631" s="1745">
        <f t="shared" si="279"/>
        <v>0</v>
      </c>
      <c r="AR631" s="1737">
        <v>0.23</v>
      </c>
      <c r="AS631" s="1052">
        <f t="shared" si="280"/>
        <v>1.7692307692307692</v>
      </c>
      <c r="AT631" s="1049"/>
      <c r="AU631" s="1136"/>
      <c r="AV631" s="1049"/>
      <c r="AW631" s="1121">
        <f>SUM(AZ629:AZ652)</f>
        <v>4.17</v>
      </c>
      <c r="AX631" s="1057">
        <v>2</v>
      </c>
      <c r="AY631" s="1056">
        <v>3</v>
      </c>
      <c r="AZ631" s="1055">
        <v>0.18</v>
      </c>
      <c r="BA631" s="1736">
        <v>0.22</v>
      </c>
      <c r="BB631" s="1737">
        <f t="shared" si="281"/>
        <v>1.2222222222222223</v>
      </c>
      <c r="BC631" s="1049"/>
      <c r="BD631" s="1136"/>
      <c r="BE631" s="1049"/>
      <c r="BF631" s="1121">
        <f>SUM(BI629:BI652)</f>
        <v>6.72</v>
      </c>
      <c r="BG631" s="1057">
        <v>2</v>
      </c>
      <c r="BH631" s="1056">
        <v>3</v>
      </c>
      <c r="BI631" s="1874">
        <v>0.11</v>
      </c>
      <c r="BJ631" s="1736"/>
      <c r="BK631" s="1049"/>
      <c r="BL631" s="1121">
        <f>SUM(BO629:BO652)+SUM(BP629:BP652)</f>
        <v>0</v>
      </c>
      <c r="BM631" s="1057">
        <v>2</v>
      </c>
      <c r="BN631" s="1056">
        <v>3</v>
      </c>
      <c r="BO631" s="1055"/>
      <c r="BP631" s="1055"/>
      <c r="BQ631" s="1049"/>
    </row>
    <row r="632" spans="1:69" ht="14.4">
      <c r="A632" s="1049"/>
      <c r="B632" s="1120">
        <f>B631/24</f>
        <v>0.69125000000000003</v>
      </c>
      <c r="C632" s="1057">
        <v>3</v>
      </c>
      <c r="D632" s="1056">
        <v>4</v>
      </c>
      <c r="E632" s="1063">
        <v>0.28000000000000003</v>
      </c>
      <c r="F632" s="1062">
        <v>0.67</v>
      </c>
      <c r="G632" s="1061">
        <f t="shared" si="275"/>
        <v>2.3928571428571428</v>
      </c>
      <c r="H632" s="1049"/>
      <c r="I632" s="1120">
        <f>I631/24</f>
        <v>1.4842916666666668</v>
      </c>
      <c r="J632" s="1057">
        <v>3</v>
      </c>
      <c r="K632" s="1056">
        <v>4</v>
      </c>
      <c r="L632" s="1055">
        <v>1.355</v>
      </c>
      <c r="M632" s="1059">
        <v>4.7699999999999996</v>
      </c>
      <c r="N632" s="1052">
        <f t="shared" si="276"/>
        <v>3.5202952029520294</v>
      </c>
      <c r="O632" s="1049"/>
      <c r="P632" s="1120">
        <f>P631/24</f>
        <v>2.6944583333333334</v>
      </c>
      <c r="Q632" s="1057">
        <v>3</v>
      </c>
      <c r="R632" s="1056">
        <v>4</v>
      </c>
      <c r="S632" s="1055">
        <v>2.367</v>
      </c>
      <c r="T632" s="1054">
        <v>3.25</v>
      </c>
      <c r="U632" s="1064">
        <v>3.25</v>
      </c>
      <c r="V632" s="1052">
        <f t="shared" si="277"/>
        <v>1.3730460498521335</v>
      </c>
      <c r="W632" s="1049"/>
      <c r="X632" s="1051">
        <v>0.33</v>
      </c>
      <c r="Y632" s="1049"/>
      <c r="Z632" s="1050">
        <f t="shared" si="282"/>
        <v>0</v>
      </c>
      <c r="AA632" s="1120">
        <f>AA631/24</f>
        <v>2.7849999999999997</v>
      </c>
      <c r="AB632" s="1057">
        <v>3</v>
      </c>
      <c r="AC632" s="1056">
        <v>4</v>
      </c>
      <c r="AD632" s="1055">
        <v>2.02</v>
      </c>
      <c r="AE632" s="1137">
        <f t="shared" si="268"/>
        <v>0</v>
      </c>
      <c r="AF632" s="1136">
        <v>4.04</v>
      </c>
      <c r="AG632" s="1052">
        <f t="shared" si="278"/>
        <v>2</v>
      </c>
      <c r="AH632" s="1049"/>
      <c r="AI632" s="1136"/>
      <c r="AJ632" s="1049"/>
      <c r="AK632" s="1050">
        <f t="shared" si="283"/>
        <v>0</v>
      </c>
      <c r="AL632" s="1049"/>
      <c r="AM632" s="1120">
        <f>AM631/24</f>
        <v>0.53749999999999998</v>
      </c>
      <c r="AN632" s="1057">
        <v>3</v>
      </c>
      <c r="AO632" s="1056">
        <v>4</v>
      </c>
      <c r="AP632" s="1055">
        <v>0.14000000000000001</v>
      </c>
      <c r="AQ632" s="1745">
        <f t="shared" si="279"/>
        <v>0</v>
      </c>
      <c r="AR632" s="1737">
        <v>0.25</v>
      </c>
      <c r="AS632" s="1052">
        <f t="shared" si="280"/>
        <v>1.7857142857142856</v>
      </c>
      <c r="AT632" s="1049"/>
      <c r="AU632" s="1136"/>
      <c r="AV632" s="1049"/>
      <c r="AW632" s="1120">
        <f>AW631/24</f>
        <v>0.17374999999999999</v>
      </c>
      <c r="AX632" s="1057">
        <v>3</v>
      </c>
      <c r="AY632" s="1056">
        <v>4</v>
      </c>
      <c r="AZ632" s="1055">
        <v>0.2</v>
      </c>
      <c r="BA632" s="1736">
        <v>0.24</v>
      </c>
      <c r="BB632" s="1737">
        <f t="shared" si="281"/>
        <v>1.2</v>
      </c>
      <c r="BC632" s="1049"/>
      <c r="BD632" s="1136"/>
      <c r="BE632" s="1049"/>
      <c r="BF632" s="1120">
        <f>BF631/24</f>
        <v>0.27999999999999997</v>
      </c>
      <c r="BG632" s="1057">
        <v>3</v>
      </c>
      <c r="BH632" s="1056">
        <v>4</v>
      </c>
      <c r="BI632" s="1874">
        <v>0.09</v>
      </c>
      <c r="BJ632" s="1736"/>
      <c r="BK632" s="1049"/>
      <c r="BL632" s="1120">
        <f>BL631/24</f>
        <v>0</v>
      </c>
      <c r="BM632" s="1057">
        <v>3</v>
      </c>
      <c r="BN632" s="1056">
        <v>4</v>
      </c>
      <c r="BO632" s="1055"/>
      <c r="BP632" s="1055"/>
      <c r="BQ632" s="1049"/>
    </row>
    <row r="633" spans="1:69" ht="14.4">
      <c r="A633" s="1049"/>
      <c r="B633" s="1119"/>
      <c r="C633" s="1057">
        <v>4</v>
      </c>
      <c r="D633" s="1056">
        <v>5</v>
      </c>
      <c r="E633" s="1063">
        <v>0.26</v>
      </c>
      <c r="F633" s="1062">
        <v>0.64</v>
      </c>
      <c r="G633" s="1061">
        <f t="shared" si="275"/>
        <v>2.4615384615384617</v>
      </c>
      <c r="H633" s="1049"/>
      <c r="I633" s="1119"/>
      <c r="J633" s="1057">
        <v>4</v>
      </c>
      <c r="K633" s="1056">
        <v>5</v>
      </c>
      <c r="L633" s="1055">
        <v>1.403</v>
      </c>
      <c r="M633" s="1059">
        <v>4.91</v>
      </c>
      <c r="N633" s="1052">
        <f t="shared" si="276"/>
        <v>3.4996436208125448</v>
      </c>
      <c r="O633" s="1049"/>
      <c r="P633" s="1118"/>
      <c r="Q633" s="1057">
        <v>4</v>
      </c>
      <c r="R633" s="1056">
        <v>5</v>
      </c>
      <c r="S633" s="1055">
        <v>2.6640000000000001</v>
      </c>
      <c r="T633" s="1054">
        <v>3.58</v>
      </c>
      <c r="U633" s="1064">
        <v>3.58</v>
      </c>
      <c r="V633" s="1052">
        <f t="shared" si="277"/>
        <v>1.3438438438438438</v>
      </c>
      <c r="W633" s="1049"/>
      <c r="X633" s="1051">
        <v>0.3</v>
      </c>
      <c r="Y633" s="1049"/>
      <c r="Z633" s="1050">
        <f t="shared" si="282"/>
        <v>0</v>
      </c>
      <c r="AA633" s="1118"/>
      <c r="AB633" s="1057">
        <v>4</v>
      </c>
      <c r="AC633" s="1056">
        <v>5</v>
      </c>
      <c r="AD633" s="1055">
        <v>2.04</v>
      </c>
      <c r="AE633" s="1137">
        <f t="shared" si="268"/>
        <v>0</v>
      </c>
      <c r="AF633" s="1136">
        <v>4.12</v>
      </c>
      <c r="AG633" s="1052">
        <f t="shared" si="278"/>
        <v>2.0196078431372548</v>
      </c>
      <c r="AH633" s="1049"/>
      <c r="AI633" s="1136"/>
      <c r="AJ633" s="1049"/>
      <c r="AK633" s="1050">
        <f t="shared" si="283"/>
        <v>0</v>
      </c>
      <c r="AL633" s="1049"/>
      <c r="AM633" s="1118"/>
      <c r="AN633" s="1057">
        <v>4</v>
      </c>
      <c r="AO633" s="1056">
        <v>5</v>
      </c>
      <c r="AP633" s="1055">
        <v>0.17</v>
      </c>
      <c r="AQ633" s="1745">
        <f t="shared" si="279"/>
        <v>0</v>
      </c>
      <c r="AR633" s="1737">
        <v>0.3</v>
      </c>
      <c r="AS633" s="1052">
        <f t="shared" si="280"/>
        <v>1.7647058823529409</v>
      </c>
      <c r="AT633" s="1049"/>
      <c r="AU633" s="1136"/>
      <c r="AV633" s="1049"/>
      <c r="AW633" s="1118"/>
      <c r="AX633" s="1057">
        <v>4</v>
      </c>
      <c r="AY633" s="1056">
        <v>5</v>
      </c>
      <c r="AZ633" s="1055">
        <v>0.12</v>
      </c>
      <c r="BA633" s="1736">
        <v>0.14000000000000001</v>
      </c>
      <c r="BB633" s="1737">
        <f t="shared" si="281"/>
        <v>1.1666666666666667</v>
      </c>
      <c r="BC633" s="1049"/>
      <c r="BD633" s="1136"/>
      <c r="BE633" s="1049"/>
      <c r="BF633" s="1118"/>
      <c r="BG633" s="1057">
        <v>4</v>
      </c>
      <c r="BH633" s="1056">
        <v>5</v>
      </c>
      <c r="BI633" s="1874">
        <v>0.18</v>
      </c>
      <c r="BJ633" s="1736"/>
      <c r="BK633" s="1049"/>
      <c r="BL633" s="1118"/>
      <c r="BM633" s="1057">
        <v>4</v>
      </c>
      <c r="BN633" s="1056">
        <v>5</v>
      </c>
      <c r="BO633" s="1055"/>
      <c r="BP633" s="1055"/>
      <c r="BQ633" s="1049"/>
    </row>
    <row r="634" spans="1:69" ht="15" thickBot="1">
      <c r="A634" s="1049"/>
      <c r="B634" s="1058">
        <f>SUM(F629:F652)</f>
        <v>46.21</v>
      </c>
      <c r="C634" s="1111">
        <v>5</v>
      </c>
      <c r="D634" s="1110">
        <v>6</v>
      </c>
      <c r="E634" s="1117">
        <v>0.3</v>
      </c>
      <c r="F634" s="1116">
        <v>0.77</v>
      </c>
      <c r="G634" s="1115">
        <f t="shared" si="275"/>
        <v>2.5666666666666669</v>
      </c>
      <c r="H634" s="1049"/>
      <c r="I634" s="1058">
        <f>SUM(M629:M652)</f>
        <v>141.96</v>
      </c>
      <c r="J634" s="1111">
        <v>5</v>
      </c>
      <c r="K634" s="1110">
        <v>6</v>
      </c>
      <c r="L634" s="1109">
        <v>1.413</v>
      </c>
      <c r="M634" s="1114">
        <v>5.13</v>
      </c>
      <c r="N634" s="1113">
        <f t="shared" si="276"/>
        <v>3.630573248407643</v>
      </c>
      <c r="O634" s="1049"/>
      <c r="P634" s="1112">
        <f>SUM(U629:U652)</f>
        <v>100.41</v>
      </c>
      <c r="Q634" s="1111">
        <v>5</v>
      </c>
      <c r="R634" s="1110">
        <v>6</v>
      </c>
      <c r="S634" s="1109">
        <v>2.5089999999999999</v>
      </c>
      <c r="T634" s="1054">
        <v>3.33</v>
      </c>
      <c r="U634" s="1064">
        <v>3.33</v>
      </c>
      <c r="V634" s="1052">
        <f t="shared" si="277"/>
        <v>1.3272220007971305</v>
      </c>
      <c r="W634" s="1049"/>
      <c r="X634" s="1074">
        <v>0.28000000000000003</v>
      </c>
      <c r="Y634" s="1049"/>
      <c r="Z634" s="1050">
        <f t="shared" si="282"/>
        <v>0</v>
      </c>
      <c r="AA634" s="1112">
        <f>SUM(AF629:AF652)</f>
        <v>155.93</v>
      </c>
      <c r="AB634" s="1111">
        <v>5</v>
      </c>
      <c r="AC634" s="1110">
        <v>6</v>
      </c>
      <c r="AD634" s="1109">
        <v>2.06</v>
      </c>
      <c r="AE634" s="1147">
        <f t="shared" si="268"/>
        <v>0</v>
      </c>
      <c r="AF634" s="1146">
        <v>4.07</v>
      </c>
      <c r="AG634" s="1052">
        <f t="shared" si="278"/>
        <v>1.9757281553398058</v>
      </c>
      <c r="AH634" s="1049"/>
      <c r="AI634" s="1146"/>
      <c r="AJ634" s="1049"/>
      <c r="AK634" s="1050">
        <f t="shared" si="283"/>
        <v>0</v>
      </c>
      <c r="AL634" s="1049"/>
      <c r="AM634" s="1112">
        <f>SUM(AR629:AR652)</f>
        <v>25.240000000000002</v>
      </c>
      <c r="AN634" s="1111">
        <v>5</v>
      </c>
      <c r="AO634" s="1110">
        <v>6</v>
      </c>
      <c r="AP634" s="1109">
        <v>0.17</v>
      </c>
      <c r="AQ634" s="1746">
        <f t="shared" si="279"/>
        <v>0</v>
      </c>
      <c r="AR634" s="1739">
        <v>0.31</v>
      </c>
      <c r="AS634" s="1052">
        <f t="shared" si="280"/>
        <v>1.8235294117647058</v>
      </c>
      <c r="AT634" s="1049"/>
      <c r="AU634" s="1146"/>
      <c r="AV634" s="1049"/>
      <c r="AW634" s="1112">
        <f>SUM(BA629:BA652)</f>
        <v>7.15</v>
      </c>
      <c r="AX634" s="1111">
        <v>5</v>
      </c>
      <c r="AY634" s="1110">
        <v>6</v>
      </c>
      <c r="AZ634" s="1109">
        <v>0.13</v>
      </c>
      <c r="BA634" s="1738">
        <v>0.18</v>
      </c>
      <c r="BB634" s="1739">
        <f t="shared" si="281"/>
        <v>1.3846153846153846</v>
      </c>
      <c r="BC634" s="1049"/>
      <c r="BD634" s="1146"/>
      <c r="BE634" s="1049"/>
      <c r="BF634" s="1112">
        <f>SUM(BJ629:BJ652)</f>
        <v>0</v>
      </c>
      <c r="BG634" s="1111">
        <v>5</v>
      </c>
      <c r="BH634" s="1110">
        <v>6</v>
      </c>
      <c r="BI634" s="1874">
        <v>0.2</v>
      </c>
      <c r="BJ634" s="1738"/>
      <c r="BK634" s="1049"/>
      <c r="BL634" s="1112">
        <f>SUM(BP629:BP652)</f>
        <v>0</v>
      </c>
      <c r="BM634" s="1111">
        <v>5</v>
      </c>
      <c r="BN634" s="1110">
        <v>6</v>
      </c>
      <c r="BO634" s="1109"/>
      <c r="BP634" s="1109"/>
      <c r="BQ634" s="1049"/>
    </row>
    <row r="635" spans="1:69" ht="14.4">
      <c r="A635" s="1049"/>
      <c r="B635" s="1093">
        <f>B634/B631</f>
        <v>2.7854128993369502</v>
      </c>
      <c r="C635" s="1100">
        <v>6</v>
      </c>
      <c r="D635" s="1099">
        <v>7</v>
      </c>
      <c r="E635" s="1107">
        <v>0.41</v>
      </c>
      <c r="F635" s="1106">
        <v>1.1299999999999999</v>
      </c>
      <c r="G635" s="1105">
        <f t="shared" si="275"/>
        <v>2.7560975609756095</v>
      </c>
      <c r="H635" s="1049"/>
      <c r="I635" s="1093">
        <f>I634/I631</f>
        <v>3.9850658282570248</v>
      </c>
      <c r="J635" s="1100">
        <v>6</v>
      </c>
      <c r="K635" s="1099">
        <v>7</v>
      </c>
      <c r="L635" s="1098">
        <v>1.571</v>
      </c>
      <c r="M635" s="1103">
        <v>5.75</v>
      </c>
      <c r="N635" s="1102">
        <f t="shared" si="276"/>
        <v>3.66008911521324</v>
      </c>
      <c r="O635" s="1049"/>
      <c r="P635" s="1093">
        <f>P634/P631</f>
        <v>1.5527239550311596</v>
      </c>
      <c r="Q635" s="1100">
        <v>6</v>
      </c>
      <c r="R635" s="1099">
        <v>7</v>
      </c>
      <c r="S635" s="1098">
        <v>2.706</v>
      </c>
      <c r="T635" s="1054">
        <v>3.64</v>
      </c>
      <c r="U635" s="1064">
        <v>3.64</v>
      </c>
      <c r="V635" s="1052">
        <f t="shared" si="277"/>
        <v>1.3451589061345159</v>
      </c>
      <c r="W635" s="1049"/>
      <c r="X635" s="1108">
        <v>0.3</v>
      </c>
      <c r="Y635" s="1049"/>
      <c r="Z635" s="1050">
        <f t="shared" si="282"/>
        <v>0</v>
      </c>
      <c r="AA635" s="1093">
        <f>AA634/AA631</f>
        <v>2.3328845002992225</v>
      </c>
      <c r="AB635" s="1100">
        <v>6</v>
      </c>
      <c r="AC635" s="1099">
        <v>7</v>
      </c>
      <c r="AD635" s="1098">
        <v>2.83</v>
      </c>
      <c r="AE635" s="1145">
        <f t="shared" si="268"/>
        <v>0</v>
      </c>
      <c r="AF635" s="1144">
        <v>6.56</v>
      </c>
      <c r="AG635" s="1052">
        <f t="shared" si="278"/>
        <v>2.3180212014134272</v>
      </c>
      <c r="AH635" s="1049"/>
      <c r="AI635" s="1144"/>
      <c r="AJ635" s="1049"/>
      <c r="AK635" s="1050">
        <f t="shared" si="283"/>
        <v>0</v>
      </c>
      <c r="AL635" s="1049"/>
      <c r="AM635" s="1093">
        <f>AM634/AM631</f>
        <v>1.956589147286822</v>
      </c>
      <c r="AN635" s="1100">
        <v>6</v>
      </c>
      <c r="AO635" s="1099">
        <v>7</v>
      </c>
      <c r="AP635" s="1098">
        <v>0.14000000000000001</v>
      </c>
      <c r="AQ635" s="1747">
        <f t="shared" si="279"/>
        <v>0</v>
      </c>
      <c r="AR635" s="1741">
        <v>0.25</v>
      </c>
      <c r="AS635" s="1052">
        <f t="shared" si="280"/>
        <v>1.7857142857142856</v>
      </c>
      <c r="AT635" s="1049"/>
      <c r="AU635" s="1144"/>
      <c r="AV635" s="1049"/>
      <c r="AW635" s="1093">
        <f>AW634/AW631</f>
        <v>1.7146282973621105</v>
      </c>
      <c r="AX635" s="1100">
        <v>6</v>
      </c>
      <c r="AY635" s="1099">
        <v>7</v>
      </c>
      <c r="AZ635" s="1098">
        <v>0.26</v>
      </c>
      <c r="BA635" s="1740">
        <v>0.39</v>
      </c>
      <c r="BB635" s="1741">
        <f t="shared" si="281"/>
        <v>1.5</v>
      </c>
      <c r="BC635" s="1049"/>
      <c r="BD635" s="1144"/>
      <c r="BE635" s="1049"/>
      <c r="BF635" s="1093">
        <f>BF634/BF631</f>
        <v>0</v>
      </c>
      <c r="BG635" s="1100">
        <v>6</v>
      </c>
      <c r="BH635" s="1099">
        <v>7</v>
      </c>
      <c r="BI635" s="1874">
        <v>0.26</v>
      </c>
      <c r="BJ635" s="1740"/>
      <c r="BK635" s="1049"/>
      <c r="BL635" s="1093" t="e">
        <f>BL634/BL631</f>
        <v>#DIV/0!</v>
      </c>
      <c r="BM635" s="1100">
        <v>6</v>
      </c>
      <c r="BN635" s="1099">
        <v>7</v>
      </c>
      <c r="BO635" s="1098"/>
      <c r="BP635" s="1098"/>
      <c r="BQ635" s="1049"/>
    </row>
    <row r="636" spans="1:69" ht="14.4">
      <c r="A636" s="1049"/>
      <c r="B636" s="1104"/>
      <c r="C636" s="1100">
        <v>7</v>
      </c>
      <c r="D636" s="1099">
        <v>8</v>
      </c>
      <c r="E636" s="1107">
        <v>0.5</v>
      </c>
      <c r="F636" s="1106">
        <v>1.48</v>
      </c>
      <c r="G636" s="1105">
        <f t="shared" si="275"/>
        <v>2.96</v>
      </c>
      <c r="H636" s="1049"/>
      <c r="I636" s="1104"/>
      <c r="J636" s="1100">
        <v>7</v>
      </c>
      <c r="K636" s="1099">
        <v>8</v>
      </c>
      <c r="L636" s="1098">
        <v>1.07</v>
      </c>
      <c r="M636" s="1103">
        <v>4.07</v>
      </c>
      <c r="N636" s="1102">
        <f t="shared" si="276"/>
        <v>3.8037383177570092</v>
      </c>
      <c r="O636" s="1049"/>
      <c r="P636" s="1101"/>
      <c r="Q636" s="1100">
        <v>7</v>
      </c>
      <c r="R636" s="1099">
        <v>8</v>
      </c>
      <c r="S636" s="1098">
        <v>3.5310000000000001</v>
      </c>
      <c r="T636" s="1054">
        <v>4.92</v>
      </c>
      <c r="U636" s="1064">
        <v>4.92</v>
      </c>
      <c r="V636" s="1052">
        <f t="shared" si="277"/>
        <v>1.3933729821580287</v>
      </c>
      <c r="W636" s="1049"/>
      <c r="X636" s="1065">
        <v>0.35</v>
      </c>
      <c r="Y636" s="1049"/>
      <c r="Z636" s="1050">
        <f t="shared" si="282"/>
        <v>0</v>
      </c>
      <c r="AA636" s="1101"/>
      <c r="AB636" s="1100">
        <v>7</v>
      </c>
      <c r="AC636" s="1099">
        <v>8</v>
      </c>
      <c r="AD636" s="1098">
        <v>3.35</v>
      </c>
      <c r="AE636" s="1145">
        <f t="shared" si="268"/>
        <v>0</v>
      </c>
      <c r="AF636" s="1144">
        <v>8.43</v>
      </c>
      <c r="AG636" s="1052">
        <f t="shared" si="278"/>
        <v>2.5164179104477609</v>
      </c>
      <c r="AH636" s="1049"/>
      <c r="AI636" s="1144"/>
      <c r="AJ636" s="1049"/>
      <c r="AK636" s="1050">
        <f t="shared" si="283"/>
        <v>0</v>
      </c>
      <c r="AL636" s="1049"/>
      <c r="AM636" s="1101"/>
      <c r="AN636" s="1100">
        <v>7</v>
      </c>
      <c r="AO636" s="1099">
        <v>8</v>
      </c>
      <c r="AP636" s="1098">
        <v>0.27</v>
      </c>
      <c r="AQ636" s="1747">
        <f t="shared" si="279"/>
        <v>0</v>
      </c>
      <c r="AR636" s="1741">
        <v>0.5</v>
      </c>
      <c r="AS636" s="1052">
        <f t="shared" si="280"/>
        <v>1.8518518518518516</v>
      </c>
      <c r="AT636" s="1049"/>
      <c r="AU636" s="1144"/>
      <c r="AV636" s="1049"/>
      <c r="AW636" s="1101"/>
      <c r="AX636" s="1100">
        <v>7</v>
      </c>
      <c r="AY636" s="1099">
        <v>8</v>
      </c>
      <c r="AZ636" s="1098">
        <v>0.19</v>
      </c>
      <c r="BA636" s="1736">
        <v>0.28999999999999998</v>
      </c>
      <c r="BB636" s="1741">
        <f t="shared" si="281"/>
        <v>1.5263157894736841</v>
      </c>
      <c r="BC636" s="1049"/>
      <c r="BD636" s="1144"/>
      <c r="BE636" s="1049"/>
      <c r="BF636" s="1101"/>
      <c r="BG636" s="1100">
        <v>7</v>
      </c>
      <c r="BH636" s="1099">
        <v>8</v>
      </c>
      <c r="BI636" s="1874">
        <v>0.28000000000000003</v>
      </c>
      <c r="BJ636" s="1736"/>
      <c r="BK636" s="1049"/>
      <c r="BL636" s="1101"/>
      <c r="BM636" s="1100">
        <v>7</v>
      </c>
      <c r="BN636" s="1099">
        <v>8</v>
      </c>
      <c r="BO636" s="1098"/>
      <c r="BP636" s="1098"/>
      <c r="BQ636" s="1049"/>
    </row>
    <row r="637" spans="1:69" ht="14.4">
      <c r="A637" s="1049"/>
      <c r="B637" s="1097">
        <f>B634/24</f>
        <v>1.9254166666666668</v>
      </c>
      <c r="C637" s="1086">
        <v>8</v>
      </c>
      <c r="D637" s="1085">
        <v>9</v>
      </c>
      <c r="E637" s="1091">
        <v>1.03</v>
      </c>
      <c r="F637" s="1090">
        <v>3.13</v>
      </c>
      <c r="G637" s="1089">
        <f t="shared" si="275"/>
        <v>3.0388349514563107</v>
      </c>
      <c r="H637" s="1049"/>
      <c r="I637" s="1097">
        <f>I634/24</f>
        <v>5.915</v>
      </c>
      <c r="J637" s="1086">
        <v>8</v>
      </c>
      <c r="K637" s="1085">
        <v>9</v>
      </c>
      <c r="L637" s="1084">
        <v>0.98699999999999999</v>
      </c>
      <c r="M637" s="1088">
        <v>4.07</v>
      </c>
      <c r="N637" s="1087">
        <f t="shared" si="276"/>
        <v>4.1236068895643365</v>
      </c>
      <c r="O637" s="1049"/>
      <c r="P637" s="1096">
        <f>P634/24</f>
        <v>4.1837499999999999</v>
      </c>
      <c r="Q637" s="1086">
        <v>8</v>
      </c>
      <c r="R637" s="1085">
        <v>9</v>
      </c>
      <c r="S637" s="1084">
        <v>2.7080000000000002</v>
      </c>
      <c r="T637" s="1054">
        <v>4.16</v>
      </c>
      <c r="U637" s="1064">
        <v>4.16</v>
      </c>
      <c r="V637" s="1052">
        <f t="shared" si="277"/>
        <v>1.5361890694239291</v>
      </c>
      <c r="W637" s="1049"/>
      <c r="X637" s="1051">
        <v>0.49</v>
      </c>
      <c r="Y637" s="1049"/>
      <c r="Z637" s="1050">
        <f t="shared" si="282"/>
        <v>0</v>
      </c>
      <c r="AA637" s="1096">
        <f>AA634/24</f>
        <v>6.4970833333333333</v>
      </c>
      <c r="AB637" s="1086">
        <v>8</v>
      </c>
      <c r="AC637" s="1085">
        <v>9</v>
      </c>
      <c r="AD637" s="1084">
        <v>3.33</v>
      </c>
      <c r="AE637" s="1143">
        <f t="shared" si="268"/>
        <v>0</v>
      </c>
      <c r="AF637" s="1142">
        <v>8.8800000000000008</v>
      </c>
      <c r="AG637" s="1052">
        <f t="shared" si="278"/>
        <v>2.666666666666667</v>
      </c>
      <c r="AH637" s="1049"/>
      <c r="AI637" s="1142"/>
      <c r="AJ637" s="1049"/>
      <c r="AK637" s="1050">
        <f t="shared" si="283"/>
        <v>0</v>
      </c>
      <c r="AL637" s="1049"/>
      <c r="AM637" s="1096">
        <f>AM634/24</f>
        <v>1.0516666666666667</v>
      </c>
      <c r="AN637" s="1086">
        <v>8</v>
      </c>
      <c r="AO637" s="1085">
        <v>9</v>
      </c>
      <c r="AP637" s="1084">
        <v>0.72</v>
      </c>
      <c r="AQ637" s="1748">
        <f t="shared" si="279"/>
        <v>0</v>
      </c>
      <c r="AR637" s="1742">
        <v>1.32</v>
      </c>
      <c r="AS637" s="1052">
        <f t="shared" si="280"/>
        <v>1.8333333333333335</v>
      </c>
      <c r="AT637" s="1049"/>
      <c r="AU637" s="1142"/>
      <c r="AV637" s="1049"/>
      <c r="AW637" s="1096">
        <f>AW634/24</f>
        <v>0.29791666666666666</v>
      </c>
      <c r="AX637" s="1086">
        <v>8</v>
      </c>
      <c r="AY637" s="1085">
        <v>9</v>
      </c>
      <c r="AZ637" s="1084">
        <v>0.36</v>
      </c>
      <c r="BA637" s="1736">
        <v>0.56000000000000005</v>
      </c>
      <c r="BB637" s="1742">
        <f t="shared" si="281"/>
        <v>1.5555555555555558</v>
      </c>
      <c r="BC637" s="1049"/>
      <c r="BD637" s="1142"/>
      <c r="BE637" s="1049"/>
      <c r="BF637" s="1096">
        <f>BF634/24</f>
        <v>0</v>
      </c>
      <c r="BG637" s="1086">
        <v>8</v>
      </c>
      <c r="BH637" s="1085">
        <v>9</v>
      </c>
      <c r="BI637" s="1874">
        <v>0.15</v>
      </c>
      <c r="BJ637" s="1736"/>
      <c r="BK637" s="1049"/>
      <c r="BL637" s="1096">
        <f>BL634/24</f>
        <v>0</v>
      </c>
      <c r="BM637" s="1086">
        <v>8</v>
      </c>
      <c r="BN637" s="1085">
        <v>9</v>
      </c>
      <c r="BO637" s="1084"/>
      <c r="BP637" s="1084"/>
      <c r="BQ637" s="1049"/>
    </row>
    <row r="638" spans="1:69" ht="14.4">
      <c r="A638" s="1049"/>
      <c r="B638" s="1097"/>
      <c r="C638" s="1086">
        <v>9</v>
      </c>
      <c r="D638" s="1085">
        <v>10</v>
      </c>
      <c r="E638" s="1091">
        <v>1.64</v>
      </c>
      <c r="F638" s="1090">
        <v>4.8899999999999997</v>
      </c>
      <c r="G638" s="1089">
        <f t="shared" si="275"/>
        <v>2.9817073170731705</v>
      </c>
      <c r="H638" s="1049"/>
      <c r="I638" s="1097"/>
      <c r="J638" s="1086">
        <v>9</v>
      </c>
      <c r="K638" s="1085">
        <v>10</v>
      </c>
      <c r="L638" s="1084">
        <v>1.4259999999999999</v>
      </c>
      <c r="M638" s="1088">
        <v>6.08</v>
      </c>
      <c r="N638" s="1087">
        <f t="shared" si="276"/>
        <v>4.2636746143057502</v>
      </c>
      <c r="O638" s="1049"/>
      <c r="P638" s="1096"/>
      <c r="Q638" s="1086">
        <v>9</v>
      </c>
      <c r="R638" s="1085">
        <v>10</v>
      </c>
      <c r="S638" s="1084">
        <v>2.7629999999999999</v>
      </c>
      <c r="T638" s="1054">
        <v>4.63</v>
      </c>
      <c r="U638" s="1064">
        <v>4.63</v>
      </c>
      <c r="V638" s="1052">
        <f t="shared" si="277"/>
        <v>1.6757148027506334</v>
      </c>
      <c r="W638" s="1049"/>
      <c r="X638" s="1051">
        <v>0.63</v>
      </c>
      <c r="Y638" s="1049"/>
      <c r="Z638" s="1050">
        <f t="shared" si="282"/>
        <v>0</v>
      </c>
      <c r="AA638" s="1096"/>
      <c r="AB638" s="1086">
        <v>9</v>
      </c>
      <c r="AC638" s="1085">
        <v>10</v>
      </c>
      <c r="AD638" s="1084">
        <v>3.93</v>
      </c>
      <c r="AE638" s="1143">
        <f t="shared" si="268"/>
        <v>0</v>
      </c>
      <c r="AF638" s="1142">
        <v>10.51</v>
      </c>
      <c r="AG638" s="1052">
        <f t="shared" si="278"/>
        <v>2.674300254452926</v>
      </c>
      <c r="AH638" s="1049"/>
      <c r="AI638" s="1142"/>
      <c r="AJ638" s="1049"/>
      <c r="AK638" s="1050">
        <f t="shared" si="283"/>
        <v>0</v>
      </c>
      <c r="AL638" s="1049"/>
      <c r="AM638" s="1096"/>
      <c r="AN638" s="1086">
        <v>9</v>
      </c>
      <c r="AO638" s="1085">
        <v>10</v>
      </c>
      <c r="AP638" s="1084">
        <v>0.74</v>
      </c>
      <c r="AQ638" s="1748">
        <f t="shared" si="279"/>
        <v>0</v>
      </c>
      <c r="AR638" s="1742">
        <v>1.34</v>
      </c>
      <c r="AS638" s="1052">
        <f t="shared" si="280"/>
        <v>1.810810810810811</v>
      </c>
      <c r="AT638" s="1049"/>
      <c r="AU638" s="1142"/>
      <c r="AV638" s="1049"/>
      <c r="AW638" s="1096"/>
      <c r="AX638" s="1086">
        <v>9</v>
      </c>
      <c r="AY638" s="1085">
        <v>10</v>
      </c>
      <c r="AZ638" s="1084">
        <v>0.37</v>
      </c>
      <c r="BA638" s="1736">
        <v>0.57999999999999996</v>
      </c>
      <c r="BB638" s="1742">
        <f t="shared" si="281"/>
        <v>1.5675675675675675</v>
      </c>
      <c r="BC638" s="1049"/>
      <c r="BD638" s="1142"/>
      <c r="BE638" s="1049"/>
      <c r="BF638" s="1096"/>
      <c r="BG638" s="1086">
        <v>9</v>
      </c>
      <c r="BH638" s="1085">
        <v>10</v>
      </c>
      <c r="BI638" s="1874">
        <v>0.32</v>
      </c>
      <c r="BJ638" s="1736"/>
      <c r="BK638" s="1049"/>
      <c r="BL638" s="1096"/>
      <c r="BM638" s="1086">
        <v>9</v>
      </c>
      <c r="BN638" s="1085">
        <v>10</v>
      </c>
      <c r="BO638" s="1084"/>
      <c r="BP638" s="1084"/>
      <c r="BQ638" s="1049"/>
    </row>
    <row r="639" spans="1:69" ht="14.4">
      <c r="A639" s="1049"/>
      <c r="B639" s="1060"/>
      <c r="C639" s="1086">
        <v>10</v>
      </c>
      <c r="D639" s="1085">
        <v>11</v>
      </c>
      <c r="E639" s="1091">
        <v>1.62</v>
      </c>
      <c r="F639" s="1090">
        <v>4.51</v>
      </c>
      <c r="G639" s="1089">
        <f t="shared" si="275"/>
        <v>2.7839506172839501</v>
      </c>
      <c r="H639" s="1049"/>
      <c r="I639" s="1060"/>
      <c r="J639" s="1086">
        <v>10</v>
      </c>
      <c r="K639" s="1085">
        <v>11</v>
      </c>
      <c r="L639" s="1084">
        <v>1.4650000000000001</v>
      </c>
      <c r="M639" s="1088">
        <v>5.94</v>
      </c>
      <c r="N639" s="1087">
        <f t="shared" si="276"/>
        <v>4.0546075085324231</v>
      </c>
      <c r="O639" s="1049"/>
      <c r="P639" s="1095">
        <f>SUM(Z629:Z652)</f>
        <v>0</v>
      </c>
      <c r="Q639" s="1086">
        <v>10</v>
      </c>
      <c r="R639" s="1085">
        <v>11</v>
      </c>
      <c r="S639" s="1084">
        <v>2.8479999999999999</v>
      </c>
      <c r="T639" s="1054">
        <v>4.92</v>
      </c>
      <c r="U639" s="1064">
        <v>4.92</v>
      </c>
      <c r="V639" s="1052">
        <f t="shared" si="277"/>
        <v>1.7275280898876406</v>
      </c>
      <c r="W639" s="1049"/>
      <c r="X639" s="1051">
        <v>0.68</v>
      </c>
      <c r="Y639" s="1049"/>
      <c r="Z639" s="1050">
        <f t="shared" si="282"/>
        <v>0</v>
      </c>
      <c r="AA639" s="1095">
        <f>SUM(AK629:AK652)</f>
        <v>0</v>
      </c>
      <c r="AB639" s="1086">
        <v>10</v>
      </c>
      <c r="AC639" s="1085">
        <v>11</v>
      </c>
      <c r="AD639" s="1084">
        <v>3.56</v>
      </c>
      <c r="AE639" s="1143">
        <f t="shared" si="268"/>
        <v>0</v>
      </c>
      <c r="AF639" s="1142">
        <v>9.3000000000000007</v>
      </c>
      <c r="AG639" s="1052">
        <f t="shared" si="278"/>
        <v>2.612359550561798</v>
      </c>
      <c r="AH639" s="1049"/>
      <c r="AI639" s="1142"/>
      <c r="AJ639" s="1049"/>
      <c r="AK639" s="1050">
        <f t="shared" si="283"/>
        <v>0</v>
      </c>
      <c r="AL639" s="1049"/>
      <c r="AM639" s="1095" t="e">
        <f>SUM(#REF!)</f>
        <v>#REF!</v>
      </c>
      <c r="AN639" s="1086">
        <v>10</v>
      </c>
      <c r="AO639" s="1085">
        <v>11</v>
      </c>
      <c r="AP639" s="1084">
        <v>0.93</v>
      </c>
      <c r="AQ639" s="1748">
        <f t="shared" si="279"/>
        <v>0</v>
      </c>
      <c r="AR639" s="1742">
        <v>1.61</v>
      </c>
      <c r="AS639" s="1052">
        <f t="shared" si="280"/>
        <v>1.7311827956989247</v>
      </c>
      <c r="AT639" s="1049"/>
      <c r="AU639" s="1142"/>
      <c r="AV639" s="1049"/>
      <c r="AW639" s="1095" t="e">
        <f>SUM(#REF!)</f>
        <v>#REF!</v>
      </c>
      <c r="AX639" s="1086">
        <v>10</v>
      </c>
      <c r="AY639" s="1085">
        <v>11</v>
      </c>
      <c r="AZ639" s="1084">
        <v>0.14000000000000001</v>
      </c>
      <c r="BA639" s="1736">
        <v>0.21</v>
      </c>
      <c r="BB639" s="1742">
        <f t="shared" si="281"/>
        <v>1.4999999999999998</v>
      </c>
      <c r="BC639" s="1049"/>
      <c r="BD639" s="1142"/>
      <c r="BE639" s="1049"/>
      <c r="BF639" s="1095" t="e">
        <f>SUM(#REF!)</f>
        <v>#REF!</v>
      </c>
      <c r="BG639" s="1086">
        <v>10</v>
      </c>
      <c r="BH639" s="1085">
        <v>11</v>
      </c>
      <c r="BI639" s="1874">
        <v>0.31</v>
      </c>
      <c r="BJ639" s="1736"/>
      <c r="BK639" s="1049"/>
      <c r="BL639" s="1095" t="e">
        <f>SUM(#REF!)</f>
        <v>#REF!</v>
      </c>
      <c r="BM639" s="1086">
        <v>10</v>
      </c>
      <c r="BN639" s="1085">
        <v>11</v>
      </c>
      <c r="BO639" s="1084"/>
      <c r="BP639" s="1084"/>
      <c r="BQ639" s="1049"/>
    </row>
    <row r="640" spans="1:69" ht="14.4">
      <c r="A640" s="1049"/>
      <c r="B640" s="1060"/>
      <c r="C640" s="1086">
        <v>11</v>
      </c>
      <c r="D640" s="1085">
        <v>12</v>
      </c>
      <c r="E640" s="1091">
        <v>1.45</v>
      </c>
      <c r="F640" s="1090">
        <v>3.84</v>
      </c>
      <c r="G640" s="1089">
        <f t="shared" si="275"/>
        <v>2.6482758620689655</v>
      </c>
      <c r="H640" s="1049"/>
      <c r="I640" s="1060"/>
      <c r="J640" s="1086">
        <v>11</v>
      </c>
      <c r="K640" s="1085">
        <v>12</v>
      </c>
      <c r="L640" s="1084">
        <v>1.607</v>
      </c>
      <c r="M640" s="1088">
        <v>6.45</v>
      </c>
      <c r="N640" s="1087">
        <f t="shared" si="276"/>
        <v>4.0136901057871812</v>
      </c>
      <c r="O640" s="1049"/>
      <c r="P640" s="1093">
        <f>P639/P631</f>
        <v>0</v>
      </c>
      <c r="Q640" s="1086">
        <v>11</v>
      </c>
      <c r="R640" s="1085">
        <v>12</v>
      </c>
      <c r="S640" s="1084">
        <v>3.2909999999999999</v>
      </c>
      <c r="T640" s="1054">
        <v>5.68</v>
      </c>
      <c r="U640" s="1064">
        <v>5.68</v>
      </c>
      <c r="V640" s="1052">
        <f t="shared" si="277"/>
        <v>1.7259191735034944</v>
      </c>
      <c r="W640" s="1049"/>
      <c r="X640" s="1051">
        <v>0.68</v>
      </c>
      <c r="Y640" s="1049"/>
      <c r="Z640" s="1050">
        <f t="shared" si="282"/>
        <v>0</v>
      </c>
      <c r="AA640" s="1093">
        <f>AA639/AA631</f>
        <v>0</v>
      </c>
      <c r="AB640" s="1086">
        <v>11</v>
      </c>
      <c r="AC640" s="1085">
        <v>12</v>
      </c>
      <c r="AD640" s="1084">
        <v>3.51</v>
      </c>
      <c r="AE640" s="1143">
        <f t="shared" si="268"/>
        <v>0</v>
      </c>
      <c r="AF640" s="1142">
        <v>8.69</v>
      </c>
      <c r="AG640" s="1052">
        <f t="shared" si="278"/>
        <v>2.4757834757834756</v>
      </c>
      <c r="AH640" s="1049"/>
      <c r="AI640" s="1142"/>
      <c r="AJ640" s="1049"/>
      <c r="AK640" s="1050">
        <f t="shared" si="283"/>
        <v>0</v>
      </c>
      <c r="AL640" s="1049"/>
      <c r="AM640" s="1093" t="e">
        <f>AM639/AM631</f>
        <v>#REF!</v>
      </c>
      <c r="AN640" s="1086">
        <v>11</v>
      </c>
      <c r="AO640" s="1085">
        <v>12</v>
      </c>
      <c r="AP640" s="1084">
        <v>0.53</v>
      </c>
      <c r="AQ640" s="1748">
        <f t="shared" si="279"/>
        <v>0</v>
      </c>
      <c r="AR640" s="1742">
        <v>0.89</v>
      </c>
      <c r="AS640" s="1052">
        <f t="shared" si="280"/>
        <v>1.6792452830188678</v>
      </c>
      <c r="AT640" s="1049"/>
      <c r="AU640" s="1142"/>
      <c r="AV640" s="1049"/>
      <c r="AW640" s="1093" t="e">
        <f>AW639/AW631</f>
        <v>#REF!</v>
      </c>
      <c r="AX640" s="1086">
        <v>11</v>
      </c>
      <c r="AY640" s="1085">
        <v>12</v>
      </c>
      <c r="AZ640" s="1084">
        <v>0.09</v>
      </c>
      <c r="BA640" s="1736">
        <v>0.13</v>
      </c>
      <c r="BB640" s="1742">
        <f t="shared" si="281"/>
        <v>1.4444444444444446</v>
      </c>
      <c r="BC640" s="1049"/>
      <c r="BD640" s="1142"/>
      <c r="BE640" s="1049"/>
      <c r="BF640" s="1093" t="e">
        <f>BF639/BF631</f>
        <v>#REF!</v>
      </c>
      <c r="BG640" s="1086">
        <v>11</v>
      </c>
      <c r="BH640" s="1085">
        <v>12</v>
      </c>
      <c r="BI640" s="1874">
        <v>0.26</v>
      </c>
      <c r="BJ640" s="1736"/>
      <c r="BK640" s="1049"/>
      <c r="BL640" s="1093" t="e">
        <f>BL639/BL631</f>
        <v>#REF!</v>
      </c>
      <c r="BM640" s="1086">
        <v>11</v>
      </c>
      <c r="BN640" s="1085">
        <v>12</v>
      </c>
      <c r="BO640" s="1084"/>
      <c r="BP640" s="1084"/>
      <c r="BQ640" s="1049"/>
    </row>
    <row r="641" spans="1:69" ht="14.4">
      <c r="A641" s="1049"/>
      <c r="B641" s="1060"/>
      <c r="C641" s="1086">
        <v>12</v>
      </c>
      <c r="D641" s="1085">
        <v>13</v>
      </c>
      <c r="E641" s="1091">
        <v>1.52</v>
      </c>
      <c r="F641" s="1090">
        <v>3.93</v>
      </c>
      <c r="G641" s="1089">
        <f t="shared" si="275"/>
        <v>2.5855263157894739</v>
      </c>
      <c r="H641" s="1049"/>
      <c r="I641" s="1060"/>
      <c r="J641" s="1086">
        <v>12</v>
      </c>
      <c r="K641" s="1085">
        <v>13</v>
      </c>
      <c r="L641" s="1084">
        <v>1.2689999999999999</v>
      </c>
      <c r="M641" s="1088">
        <v>5.0599999999999996</v>
      </c>
      <c r="N641" s="1087">
        <f t="shared" si="276"/>
        <v>3.987391646966115</v>
      </c>
      <c r="O641" s="1049"/>
      <c r="P641" s="1060"/>
      <c r="Q641" s="1086">
        <v>12</v>
      </c>
      <c r="R641" s="1085">
        <v>13</v>
      </c>
      <c r="S641" s="1084">
        <v>3.77</v>
      </c>
      <c r="T641" s="1054">
        <v>6.36</v>
      </c>
      <c r="U641" s="1064">
        <v>6.36</v>
      </c>
      <c r="V641" s="1052">
        <f t="shared" si="277"/>
        <v>1.687002652519894</v>
      </c>
      <c r="W641" s="1049"/>
      <c r="X641" s="1051">
        <v>0.64</v>
      </c>
      <c r="Y641" s="1049"/>
      <c r="Z641" s="1050">
        <f t="shared" si="282"/>
        <v>0</v>
      </c>
      <c r="AA641" s="1060"/>
      <c r="AB641" s="1086">
        <v>12</v>
      </c>
      <c r="AC641" s="1085">
        <v>13</v>
      </c>
      <c r="AD641" s="1084">
        <v>2.8</v>
      </c>
      <c r="AE641" s="1143">
        <f t="shared" si="268"/>
        <v>0</v>
      </c>
      <c r="AF641" s="1142">
        <v>5.85</v>
      </c>
      <c r="AG641" s="1052">
        <f t="shared" si="278"/>
        <v>2.0892857142857144</v>
      </c>
      <c r="AH641" s="1049"/>
      <c r="AI641" s="1142"/>
      <c r="AJ641" s="1049"/>
      <c r="AK641" s="1050">
        <f t="shared" si="283"/>
        <v>0</v>
      </c>
      <c r="AL641" s="1049"/>
      <c r="AM641" s="1060"/>
      <c r="AN641" s="1086">
        <v>12</v>
      </c>
      <c r="AO641" s="1085">
        <v>13</v>
      </c>
      <c r="AP641" s="1084">
        <v>0.99</v>
      </c>
      <c r="AQ641" s="1748">
        <f t="shared" si="279"/>
        <v>0</v>
      </c>
      <c r="AR641" s="1742">
        <v>1.6</v>
      </c>
      <c r="AS641" s="1052">
        <f t="shared" si="280"/>
        <v>1.6161616161616164</v>
      </c>
      <c r="AT641" s="1049"/>
      <c r="AU641" s="1142"/>
      <c r="AV641" s="1049"/>
      <c r="AW641" s="1060"/>
      <c r="AX641" s="1086">
        <v>12</v>
      </c>
      <c r="AY641" s="1085">
        <v>13</v>
      </c>
      <c r="AZ641" s="1084">
        <v>0.15</v>
      </c>
      <c r="BA641" s="1736">
        <v>0.2</v>
      </c>
      <c r="BB641" s="1742">
        <f t="shared" si="281"/>
        <v>1.3333333333333335</v>
      </c>
      <c r="BC641" s="1049"/>
      <c r="BD641" s="1142"/>
      <c r="BE641" s="1049"/>
      <c r="BF641" s="1060"/>
      <c r="BG641" s="1086">
        <v>12</v>
      </c>
      <c r="BH641" s="1085">
        <v>13</v>
      </c>
      <c r="BI641" s="1874">
        <v>0.18</v>
      </c>
      <c r="BJ641" s="1736"/>
      <c r="BK641" s="1049"/>
      <c r="BL641" s="1060"/>
      <c r="BM641" s="1086">
        <v>12</v>
      </c>
      <c r="BN641" s="1085">
        <v>13</v>
      </c>
      <c r="BO641" s="1084"/>
      <c r="BP641" s="1084"/>
      <c r="BQ641" s="1049"/>
    </row>
    <row r="642" spans="1:69" ht="14.4">
      <c r="A642" s="1049"/>
      <c r="B642" s="1060"/>
      <c r="C642" s="1086">
        <v>13</v>
      </c>
      <c r="D642" s="1085">
        <v>14</v>
      </c>
      <c r="E642" s="1091">
        <v>1.2</v>
      </c>
      <c r="F642" s="1090">
        <v>3.14</v>
      </c>
      <c r="G642" s="1089">
        <f t="shared" si="275"/>
        <v>2.6166666666666667</v>
      </c>
      <c r="H642" s="1049"/>
      <c r="I642" s="1060"/>
      <c r="J642" s="1086">
        <v>13</v>
      </c>
      <c r="K642" s="1085">
        <v>14</v>
      </c>
      <c r="L642" s="1084">
        <v>1.4470000000000001</v>
      </c>
      <c r="M642" s="1088">
        <v>5.6</v>
      </c>
      <c r="N642" s="1087">
        <f t="shared" si="276"/>
        <v>3.8700760193503796</v>
      </c>
      <c r="O642" s="1049"/>
      <c r="P642" s="1092" t="s">
        <v>1127</v>
      </c>
      <c r="Q642" s="1086">
        <v>13</v>
      </c>
      <c r="R642" s="1085">
        <v>14</v>
      </c>
      <c r="S642" s="1084">
        <v>3.7069999999999999</v>
      </c>
      <c r="T642" s="1054">
        <v>5.39</v>
      </c>
      <c r="U642" s="1064">
        <v>5.39</v>
      </c>
      <c r="V642" s="1052">
        <f t="shared" si="277"/>
        <v>1.4540059347181009</v>
      </c>
      <c r="W642" s="1049"/>
      <c r="X642" s="1051">
        <v>0.41</v>
      </c>
      <c r="Y642" s="1049"/>
      <c r="Z642" s="1050">
        <f t="shared" si="282"/>
        <v>0</v>
      </c>
      <c r="AA642" s="1092" t="s">
        <v>1127</v>
      </c>
      <c r="AB642" s="1086">
        <v>13</v>
      </c>
      <c r="AC642" s="1085">
        <v>14</v>
      </c>
      <c r="AD642" s="1084">
        <v>2.84</v>
      </c>
      <c r="AE642" s="1143">
        <f t="shared" si="268"/>
        <v>0</v>
      </c>
      <c r="AF642" s="1142">
        <v>5.76</v>
      </c>
      <c r="AG642" s="1052">
        <f t="shared" si="278"/>
        <v>2.028169014084507</v>
      </c>
      <c r="AH642" s="1049"/>
      <c r="AI642" s="1142"/>
      <c r="AJ642" s="1049"/>
      <c r="AK642" s="1050">
        <f t="shared" si="283"/>
        <v>0</v>
      </c>
      <c r="AL642" s="1049"/>
      <c r="AM642" s="1092" t="s">
        <v>1127</v>
      </c>
      <c r="AN642" s="1086">
        <v>13</v>
      </c>
      <c r="AO642" s="1085">
        <v>14</v>
      </c>
      <c r="AP642" s="1084">
        <v>1.47</v>
      </c>
      <c r="AQ642" s="1748">
        <f t="shared" si="279"/>
        <v>0</v>
      </c>
      <c r="AR642" s="1742">
        <v>1.96</v>
      </c>
      <c r="AS642" s="1052">
        <f t="shared" si="280"/>
        <v>1.3333333333333333</v>
      </c>
      <c r="AT642" s="1049"/>
      <c r="AU642" s="1142"/>
      <c r="AV642" s="1049"/>
      <c r="AW642" s="1092" t="s">
        <v>1127</v>
      </c>
      <c r="AX642" s="1086">
        <v>13</v>
      </c>
      <c r="AY642" s="1085">
        <v>14</v>
      </c>
      <c r="AZ642" s="1084">
        <v>0.1</v>
      </c>
      <c r="BA642" s="1736">
        <v>0.13</v>
      </c>
      <c r="BB642" s="1742">
        <f t="shared" si="281"/>
        <v>1.3</v>
      </c>
      <c r="BC642" s="1049"/>
      <c r="BD642" s="1142"/>
      <c r="BE642" s="1049"/>
      <c r="BF642" s="1092" t="s">
        <v>1127</v>
      </c>
      <c r="BG642" s="1086">
        <v>13</v>
      </c>
      <c r="BH642" s="1085">
        <v>14</v>
      </c>
      <c r="BI642" s="1874">
        <v>0.14000000000000001</v>
      </c>
      <c r="BJ642" s="1736"/>
      <c r="BK642" s="1049"/>
      <c r="BL642" s="1092" t="s">
        <v>1127</v>
      </c>
      <c r="BM642" s="1086">
        <v>13</v>
      </c>
      <c r="BN642" s="1085">
        <v>14</v>
      </c>
      <c r="BO642" s="1084"/>
      <c r="BP642" s="1084"/>
      <c r="BQ642" s="1049"/>
    </row>
    <row r="643" spans="1:69" ht="14.4">
      <c r="A643" s="1049"/>
      <c r="B643" s="1060"/>
      <c r="C643" s="1086">
        <v>14</v>
      </c>
      <c r="D643" s="1085">
        <v>15</v>
      </c>
      <c r="E643" s="1091">
        <v>0.53</v>
      </c>
      <c r="F643" s="1090">
        <v>1.4</v>
      </c>
      <c r="G643" s="1089">
        <f t="shared" si="275"/>
        <v>2.641509433962264</v>
      </c>
      <c r="H643" s="1049"/>
      <c r="I643" s="1060"/>
      <c r="J643" s="1086">
        <v>14</v>
      </c>
      <c r="K643" s="1085">
        <v>15</v>
      </c>
      <c r="L643" s="1084">
        <v>1.53</v>
      </c>
      <c r="M643" s="1088">
        <v>6.2</v>
      </c>
      <c r="N643" s="1087">
        <f t="shared" si="276"/>
        <v>4.0522875816993462</v>
      </c>
      <c r="O643" s="1049"/>
      <c r="P643" s="1058">
        <f>P631*0.8</f>
        <v>51.733600000000003</v>
      </c>
      <c r="Q643" s="1086">
        <v>14</v>
      </c>
      <c r="R643" s="1085">
        <v>15</v>
      </c>
      <c r="S643" s="1084">
        <v>3.778</v>
      </c>
      <c r="T643" s="1054">
        <v>5.59</v>
      </c>
      <c r="U643" s="1064">
        <v>5.59</v>
      </c>
      <c r="V643" s="1052">
        <f t="shared" si="277"/>
        <v>1.4796188459502382</v>
      </c>
      <c r="W643" s="1049"/>
      <c r="X643" s="1051">
        <v>0.44</v>
      </c>
      <c r="Y643" s="1049"/>
      <c r="Z643" s="1050">
        <f t="shared" si="282"/>
        <v>0</v>
      </c>
      <c r="AA643" s="1058">
        <f>AA631*0.8</f>
        <v>53.471999999999994</v>
      </c>
      <c r="AB643" s="1086">
        <v>14</v>
      </c>
      <c r="AC643" s="1085">
        <v>15</v>
      </c>
      <c r="AD643" s="1084">
        <v>2.9</v>
      </c>
      <c r="AE643" s="1143">
        <f t="shared" si="268"/>
        <v>0</v>
      </c>
      <c r="AF643" s="1142">
        <v>5.84</v>
      </c>
      <c r="AG643" s="1052">
        <f t="shared" si="278"/>
        <v>2.0137931034482759</v>
      </c>
      <c r="AH643" s="1049"/>
      <c r="AI643" s="1142"/>
      <c r="AJ643" s="1049"/>
      <c r="AK643" s="1050">
        <f t="shared" si="283"/>
        <v>0</v>
      </c>
      <c r="AL643" s="1049"/>
      <c r="AM643" s="1058">
        <f>AM631*0.8</f>
        <v>10.32</v>
      </c>
      <c r="AN643" s="1086">
        <v>14</v>
      </c>
      <c r="AO643" s="1085">
        <v>15</v>
      </c>
      <c r="AP643" s="1084">
        <v>1.57</v>
      </c>
      <c r="AQ643" s="1748">
        <f t="shared" si="279"/>
        <v>0</v>
      </c>
      <c r="AR643" s="1742">
        <v>2.1</v>
      </c>
      <c r="AS643" s="1052">
        <f t="shared" si="280"/>
        <v>1.3375796178343948</v>
      </c>
      <c r="AT643" s="1049"/>
      <c r="AU643" s="1142"/>
      <c r="AV643" s="1049"/>
      <c r="AW643" s="1058">
        <f>AW631*0.8</f>
        <v>3.3360000000000003</v>
      </c>
      <c r="AX643" s="1086">
        <v>14</v>
      </c>
      <c r="AY643" s="1085">
        <v>15</v>
      </c>
      <c r="AZ643" s="1084">
        <v>0.13</v>
      </c>
      <c r="BA643" s="1736">
        <v>0.16</v>
      </c>
      <c r="BB643" s="1742">
        <f t="shared" si="281"/>
        <v>1.2307692307692308</v>
      </c>
      <c r="BC643" s="1049"/>
      <c r="BD643" s="1142"/>
      <c r="BE643" s="1049"/>
      <c r="BF643" s="1058">
        <f>BF631*0.8</f>
        <v>5.3760000000000003</v>
      </c>
      <c r="BG643" s="1086">
        <v>14</v>
      </c>
      <c r="BH643" s="1085">
        <v>15</v>
      </c>
      <c r="BI643" s="1874">
        <v>0.15</v>
      </c>
      <c r="BJ643" s="1736"/>
      <c r="BK643" s="1049"/>
      <c r="BL643" s="1058">
        <f>BL631*0.8</f>
        <v>0</v>
      </c>
      <c r="BM643" s="1086">
        <v>14</v>
      </c>
      <c r="BN643" s="1085">
        <v>15</v>
      </c>
      <c r="BO643" s="1084"/>
      <c r="BP643" s="1084"/>
      <c r="BQ643" s="1049"/>
    </row>
    <row r="644" spans="1:69" ht="14.4">
      <c r="A644" s="1049"/>
      <c r="B644" s="1060"/>
      <c r="C644" s="1086">
        <v>15</v>
      </c>
      <c r="D644" s="1085">
        <v>16</v>
      </c>
      <c r="E644" s="1091">
        <v>0.65</v>
      </c>
      <c r="F644" s="1090">
        <v>1.75</v>
      </c>
      <c r="G644" s="1089">
        <f t="shared" si="275"/>
        <v>2.6923076923076921</v>
      </c>
      <c r="H644" s="1049"/>
      <c r="I644" s="1060"/>
      <c r="J644" s="1086">
        <v>15</v>
      </c>
      <c r="K644" s="1085">
        <v>16</v>
      </c>
      <c r="L644" s="1084">
        <v>1.4690000000000001</v>
      </c>
      <c r="M644" s="1088">
        <v>6.04</v>
      </c>
      <c r="N644" s="1087">
        <f t="shared" si="276"/>
        <v>4.1116405718175626</v>
      </c>
      <c r="O644" s="1049"/>
      <c r="P644" s="1058" t="s">
        <v>1126</v>
      </c>
      <c r="Q644" s="1086">
        <v>15</v>
      </c>
      <c r="R644" s="1085">
        <v>16</v>
      </c>
      <c r="S644" s="1084">
        <v>2.9380000000000002</v>
      </c>
      <c r="T644" s="1054">
        <v>4.38</v>
      </c>
      <c r="U644" s="1064">
        <v>4.38</v>
      </c>
      <c r="V644" s="1052">
        <f t="shared" si="277"/>
        <v>1.4908100748808712</v>
      </c>
      <c r="W644" s="1049"/>
      <c r="X644" s="1051">
        <v>0.45</v>
      </c>
      <c r="Y644" s="1049"/>
      <c r="Z644" s="1050">
        <f t="shared" si="282"/>
        <v>0</v>
      </c>
      <c r="AA644" s="1058" t="s">
        <v>1126</v>
      </c>
      <c r="AB644" s="1086">
        <v>15</v>
      </c>
      <c r="AC644" s="1085">
        <v>16</v>
      </c>
      <c r="AD644" s="1084">
        <v>2.4900000000000002</v>
      </c>
      <c r="AE644" s="1143">
        <f t="shared" si="268"/>
        <v>0</v>
      </c>
      <c r="AF644" s="1142">
        <v>5.17</v>
      </c>
      <c r="AG644" s="1052">
        <f t="shared" si="278"/>
        <v>2.0763052208835338</v>
      </c>
      <c r="AH644" s="1049"/>
      <c r="AI644" s="1142"/>
      <c r="AJ644" s="1049"/>
      <c r="AK644" s="1050">
        <f t="shared" si="283"/>
        <v>0</v>
      </c>
      <c r="AL644" s="1049"/>
      <c r="AM644" s="1058" t="s">
        <v>1126</v>
      </c>
      <c r="AN644" s="1086">
        <v>15</v>
      </c>
      <c r="AO644" s="1085">
        <v>16</v>
      </c>
      <c r="AP644" s="1084">
        <v>0.35</v>
      </c>
      <c r="AQ644" s="1748">
        <f t="shared" si="279"/>
        <v>0</v>
      </c>
      <c r="AR644" s="1742">
        <v>0.56000000000000005</v>
      </c>
      <c r="AS644" s="1052">
        <f t="shared" si="280"/>
        <v>1.6000000000000003</v>
      </c>
      <c r="AT644" s="1049"/>
      <c r="AU644" s="1142"/>
      <c r="AV644" s="1049"/>
      <c r="AW644" s="1058" t="s">
        <v>1126</v>
      </c>
      <c r="AX644" s="1086">
        <v>15</v>
      </c>
      <c r="AY644" s="1085">
        <v>16</v>
      </c>
      <c r="AZ644" s="1084">
        <v>7.0000000000000007E-2</v>
      </c>
      <c r="BA644" s="1736">
        <v>0.09</v>
      </c>
      <c r="BB644" s="1742">
        <f t="shared" si="281"/>
        <v>1.2857142857142856</v>
      </c>
      <c r="BC644" s="1049"/>
      <c r="BD644" s="1142"/>
      <c r="BE644" s="1049"/>
      <c r="BF644" s="1058" t="s">
        <v>1126</v>
      </c>
      <c r="BG644" s="1086">
        <v>15</v>
      </c>
      <c r="BH644" s="1085">
        <v>16</v>
      </c>
      <c r="BI644" s="1874">
        <v>0.15</v>
      </c>
      <c r="BJ644" s="1736"/>
      <c r="BK644" s="1049"/>
      <c r="BL644" s="1058" t="s">
        <v>1126</v>
      </c>
      <c r="BM644" s="1086">
        <v>15</v>
      </c>
      <c r="BN644" s="1085">
        <v>16</v>
      </c>
      <c r="BO644" s="1084"/>
      <c r="BP644" s="1084"/>
      <c r="BQ644" s="1049"/>
    </row>
    <row r="645" spans="1:69" ht="15" thickBot="1">
      <c r="A645" s="1049"/>
      <c r="B645" s="1060"/>
      <c r="C645" s="1077">
        <v>16</v>
      </c>
      <c r="D645" s="1076">
        <v>17</v>
      </c>
      <c r="E645" s="1083">
        <v>0.57999999999999996</v>
      </c>
      <c r="F645" s="1082">
        <v>1.7</v>
      </c>
      <c r="G645" s="1081">
        <f t="shared" si="275"/>
        <v>2.931034482758621</v>
      </c>
      <c r="H645" s="1049"/>
      <c r="I645" s="1060"/>
      <c r="J645" s="1077">
        <v>16</v>
      </c>
      <c r="K645" s="1076">
        <v>17</v>
      </c>
      <c r="L645" s="1075">
        <v>1.5920000000000001</v>
      </c>
      <c r="M645" s="1080">
        <v>6.91</v>
      </c>
      <c r="N645" s="1079">
        <f t="shared" si="276"/>
        <v>4.3404522613065328</v>
      </c>
      <c r="O645" s="1049"/>
      <c r="P645" s="1078">
        <f>P631*(X628-0.8)</f>
        <v>-14.630908749999998</v>
      </c>
      <c r="Q645" s="1077">
        <v>16</v>
      </c>
      <c r="R645" s="1076">
        <v>17</v>
      </c>
      <c r="S645" s="1075">
        <v>2.3279999999999998</v>
      </c>
      <c r="T645" s="1054">
        <v>3.77</v>
      </c>
      <c r="U645" s="1064">
        <v>3.77</v>
      </c>
      <c r="V645" s="1052">
        <f t="shared" si="277"/>
        <v>1.6194158075601375</v>
      </c>
      <c r="W645" s="1049"/>
      <c r="X645" s="1074">
        <v>0.56999999999999995</v>
      </c>
      <c r="Y645" s="1049"/>
      <c r="Z645" s="1050">
        <f t="shared" si="282"/>
        <v>0</v>
      </c>
      <c r="AA645" s="1078" t="e">
        <f>AA631*(AI628-0.8)</f>
        <v>#DIV/0!</v>
      </c>
      <c r="AB645" s="1077">
        <v>16</v>
      </c>
      <c r="AC645" s="1076">
        <v>17</v>
      </c>
      <c r="AD645" s="1075">
        <v>2.4700000000000002</v>
      </c>
      <c r="AE645" s="1141">
        <f t="shared" si="268"/>
        <v>0</v>
      </c>
      <c r="AF645" s="1140">
        <v>5.54</v>
      </c>
      <c r="AG645" s="1052">
        <f t="shared" si="278"/>
        <v>2.2429149797570846</v>
      </c>
      <c r="AH645" s="1049"/>
      <c r="AI645" s="1140"/>
      <c r="AJ645" s="1049"/>
      <c r="AK645" s="1050">
        <f t="shared" si="283"/>
        <v>0</v>
      </c>
      <c r="AL645" s="1049"/>
      <c r="AM645" s="1078" t="e">
        <f>AM631*(AU628-0.8)</f>
        <v>#DIV/0!</v>
      </c>
      <c r="AN645" s="1077">
        <v>16</v>
      </c>
      <c r="AO645" s="1076">
        <v>17</v>
      </c>
      <c r="AP645" s="1075">
        <v>0.49</v>
      </c>
      <c r="AQ645" s="1749">
        <f t="shared" si="279"/>
        <v>0</v>
      </c>
      <c r="AR645" s="1743">
        <v>0.85</v>
      </c>
      <c r="AS645" s="1052">
        <f t="shared" si="280"/>
        <v>1.7346938775510203</v>
      </c>
      <c r="AT645" s="1049"/>
      <c r="AU645" s="1140"/>
      <c r="AV645" s="1049"/>
      <c r="AW645" s="1078" t="e">
        <f>AW631*(BD628-0.8)</f>
        <v>#DIV/0!</v>
      </c>
      <c r="AX645" s="1077">
        <v>16</v>
      </c>
      <c r="AY645" s="1076">
        <v>17</v>
      </c>
      <c r="AZ645" s="1075">
        <v>0.14000000000000001</v>
      </c>
      <c r="BA645" s="1738">
        <v>0.32</v>
      </c>
      <c r="BB645" s="1743">
        <f t="shared" si="281"/>
        <v>2.2857142857142856</v>
      </c>
      <c r="BC645" s="1049"/>
      <c r="BD645" s="1140"/>
      <c r="BE645" s="1049"/>
      <c r="BF645" s="1078">
        <f>BF631*(BM628-0.8)</f>
        <v>-5.3760000000000003</v>
      </c>
      <c r="BG645" s="1077">
        <v>16</v>
      </c>
      <c r="BH645" s="1076">
        <v>17</v>
      </c>
      <c r="BI645" s="1874">
        <v>0.15</v>
      </c>
      <c r="BJ645" s="1738"/>
      <c r="BK645" s="1049"/>
      <c r="BL645" s="1078">
        <f>BL631*(BS628-0.8)</f>
        <v>0</v>
      </c>
      <c r="BM645" s="1077">
        <v>16</v>
      </c>
      <c r="BN645" s="1076">
        <v>17</v>
      </c>
      <c r="BO645" s="1075"/>
      <c r="BP645" s="1075"/>
      <c r="BQ645" s="1049"/>
    </row>
    <row r="646" spans="1:69" ht="14.4">
      <c r="A646" s="1049"/>
      <c r="B646" s="1060"/>
      <c r="C646" s="1068">
        <v>17</v>
      </c>
      <c r="D646" s="1067">
        <v>18</v>
      </c>
      <c r="E646" s="1073">
        <v>0.56999999999999995</v>
      </c>
      <c r="F646" s="1072">
        <v>2</v>
      </c>
      <c r="G646" s="1071">
        <f t="shared" si="275"/>
        <v>3.5087719298245617</v>
      </c>
      <c r="H646" s="1049"/>
      <c r="I646" s="1060"/>
      <c r="J646" s="1068">
        <v>17</v>
      </c>
      <c r="K646" s="1067">
        <v>18</v>
      </c>
      <c r="L646" s="1066">
        <v>1.9570000000000001</v>
      </c>
      <c r="M646" s="1070">
        <v>10.43</v>
      </c>
      <c r="N646" s="1069">
        <f t="shared" si="276"/>
        <v>5.3295861011752681</v>
      </c>
      <c r="O646" s="1049"/>
      <c r="P646" s="1058"/>
      <c r="Q646" s="1068">
        <v>17</v>
      </c>
      <c r="R646" s="1067">
        <v>18</v>
      </c>
      <c r="S646" s="1066">
        <v>2.0550000000000002</v>
      </c>
      <c r="T646" s="1054">
        <v>3.47</v>
      </c>
      <c r="U646" s="1064">
        <v>3.47</v>
      </c>
      <c r="V646" s="1052">
        <f t="shared" si="277"/>
        <v>1.6885644768856447</v>
      </c>
      <c r="W646" s="1049"/>
      <c r="X646" s="1065">
        <v>0.64</v>
      </c>
      <c r="Y646" s="1049"/>
      <c r="Z646" s="1050">
        <f t="shared" si="282"/>
        <v>0</v>
      </c>
      <c r="AA646" s="1058"/>
      <c r="AB646" s="1068">
        <v>17</v>
      </c>
      <c r="AC646" s="1067">
        <v>18</v>
      </c>
      <c r="AD646" s="1066">
        <v>2.93</v>
      </c>
      <c r="AE646" s="1139">
        <f t="shared" si="268"/>
        <v>0</v>
      </c>
      <c r="AF646" s="1138">
        <v>9.7799999999999994</v>
      </c>
      <c r="AG646" s="1052">
        <f t="shared" si="278"/>
        <v>3.3378839590443681</v>
      </c>
      <c r="AH646" s="1049"/>
      <c r="AI646" s="1138"/>
      <c r="AJ646" s="1049"/>
      <c r="AK646" s="1050">
        <f t="shared" si="283"/>
        <v>0</v>
      </c>
      <c r="AL646" s="1049"/>
      <c r="AM646" s="1058"/>
      <c r="AN646" s="1068">
        <v>17</v>
      </c>
      <c r="AO646" s="1067">
        <v>18</v>
      </c>
      <c r="AP646" s="1066">
        <v>0.79</v>
      </c>
      <c r="AQ646" s="1750">
        <f t="shared" si="279"/>
        <v>0</v>
      </c>
      <c r="AR646" s="1744">
        <v>2.2200000000000002</v>
      </c>
      <c r="AS646" s="1052">
        <f t="shared" si="280"/>
        <v>2.8101265822784813</v>
      </c>
      <c r="AT646" s="1049"/>
      <c r="AU646" s="1138"/>
      <c r="AV646" s="1049"/>
      <c r="AW646" s="1058"/>
      <c r="AX646" s="1068">
        <v>17</v>
      </c>
      <c r="AY646" s="1067">
        <v>18</v>
      </c>
      <c r="AZ646" s="1066">
        <v>0.12</v>
      </c>
      <c r="BA646" s="1740">
        <v>0.31</v>
      </c>
      <c r="BB646" s="1744">
        <f t="shared" si="281"/>
        <v>2.5833333333333335</v>
      </c>
      <c r="BC646" s="1049"/>
      <c r="BD646" s="1138"/>
      <c r="BE646" s="1049"/>
      <c r="BF646" s="1058"/>
      <c r="BG646" s="1068">
        <v>17</v>
      </c>
      <c r="BH646" s="1067">
        <v>18</v>
      </c>
      <c r="BI646" s="1874">
        <v>1.23</v>
      </c>
      <c r="BJ646" s="1740"/>
      <c r="BK646" s="1049"/>
      <c r="BL646" s="1058"/>
      <c r="BM646" s="1068">
        <v>17</v>
      </c>
      <c r="BN646" s="1067">
        <v>18</v>
      </c>
      <c r="BO646" s="1066"/>
      <c r="BP646" s="1066"/>
      <c r="BQ646" s="1049"/>
    </row>
    <row r="647" spans="1:69" ht="14.4">
      <c r="A647" s="1049"/>
      <c r="B647" s="1060"/>
      <c r="C647" s="1057">
        <v>18</v>
      </c>
      <c r="D647" s="1056">
        <v>19</v>
      </c>
      <c r="E647" s="1063">
        <v>0.52</v>
      </c>
      <c r="F647" s="1062">
        <v>1.86</v>
      </c>
      <c r="G647" s="1061">
        <f t="shared" si="275"/>
        <v>3.5769230769230771</v>
      </c>
      <c r="H647" s="1049"/>
      <c r="I647" s="1060"/>
      <c r="J647" s="1057">
        <v>18</v>
      </c>
      <c r="K647" s="1056">
        <v>19</v>
      </c>
      <c r="L647" s="1055">
        <v>1.391</v>
      </c>
      <c r="M647" s="1059">
        <v>7.29</v>
      </c>
      <c r="N647" s="1052">
        <f t="shared" si="276"/>
        <v>5.2408339324227171</v>
      </c>
      <c r="O647" s="1049"/>
      <c r="P647" s="1058"/>
      <c r="Q647" s="1057">
        <v>18</v>
      </c>
      <c r="R647" s="1056">
        <v>19</v>
      </c>
      <c r="S647" s="1055">
        <v>1.7210000000000001</v>
      </c>
      <c r="T647" s="1054">
        <v>2.86</v>
      </c>
      <c r="U647" s="1064">
        <v>2.86</v>
      </c>
      <c r="V647" s="1052">
        <f t="shared" si="277"/>
        <v>1.6618245206275419</v>
      </c>
      <c r="W647" s="1049"/>
      <c r="X647" s="1051">
        <v>0.62</v>
      </c>
      <c r="Y647" s="1049"/>
      <c r="Z647" s="1050">
        <f t="shared" si="282"/>
        <v>0</v>
      </c>
      <c r="AA647" s="1058"/>
      <c r="AB647" s="1057">
        <v>18</v>
      </c>
      <c r="AC647" s="1056">
        <v>19</v>
      </c>
      <c r="AD647" s="1055">
        <v>2.5499999999999998</v>
      </c>
      <c r="AE647" s="1137">
        <f t="shared" si="268"/>
        <v>0</v>
      </c>
      <c r="AF647" s="1136">
        <v>7.65</v>
      </c>
      <c r="AG647" s="1052">
        <f t="shared" si="278"/>
        <v>3.0000000000000004</v>
      </c>
      <c r="AH647" s="1049"/>
      <c r="AI647" s="1136"/>
      <c r="AJ647" s="1049"/>
      <c r="AK647" s="1050">
        <f t="shared" si="283"/>
        <v>0</v>
      </c>
      <c r="AL647" s="1049"/>
      <c r="AM647" s="1058"/>
      <c r="AN647" s="1057">
        <v>18</v>
      </c>
      <c r="AO647" s="1056">
        <v>19</v>
      </c>
      <c r="AP647" s="1055">
        <v>1.03</v>
      </c>
      <c r="AQ647" s="1745">
        <f t="shared" si="279"/>
        <v>0</v>
      </c>
      <c r="AR647" s="1737">
        <v>3.12</v>
      </c>
      <c r="AS647" s="1052">
        <f t="shared" si="280"/>
        <v>3.029126213592233</v>
      </c>
      <c r="AT647" s="1049"/>
      <c r="AU647" s="1136"/>
      <c r="AV647" s="1049"/>
      <c r="AW647" s="1058"/>
      <c r="AX647" s="1057">
        <v>18</v>
      </c>
      <c r="AY647" s="1056">
        <v>19</v>
      </c>
      <c r="AZ647" s="1055">
        <v>0.71</v>
      </c>
      <c r="BA647" s="1736">
        <v>1.92</v>
      </c>
      <c r="BB647" s="1737">
        <f t="shared" si="281"/>
        <v>2.704225352112676</v>
      </c>
      <c r="BC647" s="1049"/>
      <c r="BD647" s="1136"/>
      <c r="BE647" s="1049"/>
      <c r="BF647" s="1058"/>
      <c r="BG647" s="1057">
        <v>18</v>
      </c>
      <c r="BH647" s="1056">
        <v>19</v>
      </c>
      <c r="BI647" s="1874">
        <v>0.95</v>
      </c>
      <c r="BJ647" s="1736"/>
      <c r="BK647" s="1049"/>
      <c r="BL647" s="1058"/>
      <c r="BM647" s="1057">
        <v>18</v>
      </c>
      <c r="BN647" s="1056">
        <v>19</v>
      </c>
      <c r="BO647" s="1055"/>
      <c r="BP647" s="1055"/>
      <c r="BQ647" s="1049"/>
    </row>
    <row r="648" spans="1:69" ht="14.4">
      <c r="A648" s="1049"/>
      <c r="B648" s="1060"/>
      <c r="C648" s="1057">
        <v>19</v>
      </c>
      <c r="D648" s="1056">
        <v>20</v>
      </c>
      <c r="E648" s="1063">
        <v>0.51</v>
      </c>
      <c r="F648" s="1062">
        <v>1.81</v>
      </c>
      <c r="G648" s="1061">
        <f t="shared" si="275"/>
        <v>3.5490196078431371</v>
      </c>
      <c r="H648" s="1049"/>
      <c r="I648" s="1060"/>
      <c r="J648" s="1057">
        <v>19</v>
      </c>
      <c r="K648" s="1056">
        <v>20</v>
      </c>
      <c r="L648" s="1055">
        <v>1.6779999999999999</v>
      </c>
      <c r="M648" s="1059">
        <v>8.23</v>
      </c>
      <c r="N648" s="1052">
        <f t="shared" si="276"/>
        <v>4.9046483909415972</v>
      </c>
      <c r="O648" s="1049"/>
      <c r="P648" s="1058"/>
      <c r="Q648" s="1057">
        <v>19</v>
      </c>
      <c r="R648" s="1056">
        <v>20</v>
      </c>
      <c r="S648" s="1055">
        <v>2.3050000000000002</v>
      </c>
      <c r="T648" s="1054">
        <v>3.98</v>
      </c>
      <c r="U648" s="1064">
        <v>3.98</v>
      </c>
      <c r="V648" s="1052">
        <f t="shared" si="277"/>
        <v>1.7266811279826464</v>
      </c>
      <c r="W648" s="1049"/>
      <c r="X648" s="1051">
        <v>0.68</v>
      </c>
      <c r="Y648" s="1049"/>
      <c r="Z648" s="1050">
        <f t="shared" si="282"/>
        <v>0</v>
      </c>
      <c r="AA648" s="1058"/>
      <c r="AB648" s="1057">
        <v>19</v>
      </c>
      <c r="AC648" s="1056">
        <v>20</v>
      </c>
      <c r="AD648" s="1055">
        <v>3.46</v>
      </c>
      <c r="AE648" s="1137">
        <f t="shared" si="268"/>
        <v>0</v>
      </c>
      <c r="AF648" s="1136">
        <v>9.86</v>
      </c>
      <c r="AG648" s="1052">
        <f t="shared" si="278"/>
        <v>2.8497109826589595</v>
      </c>
      <c r="AH648" s="1049"/>
      <c r="AI648" s="1136"/>
      <c r="AJ648" s="1049"/>
      <c r="AK648" s="1050">
        <f t="shared" si="283"/>
        <v>0</v>
      </c>
      <c r="AL648" s="1049"/>
      <c r="AM648" s="1058"/>
      <c r="AN648" s="1057">
        <v>19</v>
      </c>
      <c r="AO648" s="1056">
        <v>20</v>
      </c>
      <c r="AP648" s="1055">
        <v>1.1399999999999999</v>
      </c>
      <c r="AQ648" s="1745">
        <f t="shared" si="279"/>
        <v>0</v>
      </c>
      <c r="AR648" s="1737">
        <v>3.49</v>
      </c>
      <c r="AS648" s="1052">
        <f t="shared" si="280"/>
        <v>3.0614035087719302</v>
      </c>
      <c r="AT648" s="1049"/>
      <c r="AU648" s="1136"/>
      <c r="AV648" s="1049"/>
      <c r="AW648" s="1058"/>
      <c r="AX648" s="1057">
        <v>19</v>
      </c>
      <c r="AY648" s="1056">
        <v>20</v>
      </c>
      <c r="AZ648" s="1055">
        <v>7.0000000000000007E-2</v>
      </c>
      <c r="BA648" s="1736">
        <v>0.12</v>
      </c>
      <c r="BB648" s="1737">
        <f t="shared" si="281"/>
        <v>1.714285714285714</v>
      </c>
      <c r="BC648" s="1049"/>
      <c r="BD648" s="1136"/>
      <c r="BE648" s="1049"/>
      <c r="BF648" s="1058"/>
      <c r="BG648" s="1057">
        <v>19</v>
      </c>
      <c r="BH648" s="1056">
        <v>20</v>
      </c>
      <c r="BI648" s="1874">
        <v>0.35</v>
      </c>
      <c r="BJ648" s="1736"/>
      <c r="BK648" s="1049"/>
      <c r="BL648" s="1058"/>
      <c r="BM648" s="1057">
        <v>19</v>
      </c>
      <c r="BN648" s="1056">
        <v>20</v>
      </c>
      <c r="BO648" s="1055"/>
      <c r="BP648" s="1055"/>
      <c r="BQ648" s="1049"/>
    </row>
    <row r="649" spans="1:69" ht="14.4">
      <c r="A649" s="1049"/>
      <c r="B649" s="1060"/>
      <c r="C649" s="1057">
        <v>20</v>
      </c>
      <c r="D649" s="1056">
        <v>21</v>
      </c>
      <c r="E649" s="1063">
        <v>0.5</v>
      </c>
      <c r="F649" s="1062">
        <v>1.36</v>
      </c>
      <c r="G649" s="1061">
        <f t="shared" si="275"/>
        <v>2.72</v>
      </c>
      <c r="H649" s="1049"/>
      <c r="I649" s="1060"/>
      <c r="J649" s="1057">
        <v>20</v>
      </c>
      <c r="K649" s="1056">
        <v>21</v>
      </c>
      <c r="L649" s="1055">
        <v>1.506</v>
      </c>
      <c r="M649" s="1059">
        <v>5.75</v>
      </c>
      <c r="N649" s="1052">
        <f t="shared" si="276"/>
        <v>3.8180610889774238</v>
      </c>
      <c r="O649" s="1049"/>
      <c r="P649" s="1058"/>
      <c r="Q649" s="1057">
        <v>20</v>
      </c>
      <c r="R649" s="1056">
        <v>21</v>
      </c>
      <c r="S649" s="1055">
        <v>2.5089999999999999</v>
      </c>
      <c r="T649" s="1054">
        <v>4.3099999999999996</v>
      </c>
      <c r="U649" s="1064">
        <v>4.3099999999999996</v>
      </c>
      <c r="V649" s="1052">
        <f t="shared" si="277"/>
        <v>1.7178158628935831</v>
      </c>
      <c r="W649" s="1049"/>
      <c r="X649" s="1051">
        <v>0.68</v>
      </c>
      <c r="Y649" s="1049"/>
      <c r="Z649" s="1050">
        <f t="shared" si="282"/>
        <v>0</v>
      </c>
      <c r="AA649" s="1058"/>
      <c r="AB649" s="1057">
        <v>20</v>
      </c>
      <c r="AC649" s="1056">
        <v>21</v>
      </c>
      <c r="AD649" s="1055">
        <v>3.14</v>
      </c>
      <c r="AE649" s="1137">
        <f t="shared" si="268"/>
        <v>0</v>
      </c>
      <c r="AF649" s="1136">
        <v>6.32</v>
      </c>
      <c r="AG649" s="1052">
        <f t="shared" si="278"/>
        <v>2.0127388535031847</v>
      </c>
      <c r="AH649" s="1049"/>
      <c r="AI649" s="1136"/>
      <c r="AJ649" s="1049"/>
      <c r="AK649" s="1050">
        <f t="shared" si="283"/>
        <v>0</v>
      </c>
      <c r="AL649" s="1049"/>
      <c r="AM649" s="1058"/>
      <c r="AN649" s="1057">
        <v>20</v>
      </c>
      <c r="AO649" s="1056">
        <v>21</v>
      </c>
      <c r="AP649" s="1055">
        <v>0.34</v>
      </c>
      <c r="AQ649" s="1745">
        <f t="shared" si="279"/>
        <v>0</v>
      </c>
      <c r="AR649" s="1737">
        <v>0.77</v>
      </c>
      <c r="AS649" s="1052">
        <f t="shared" si="280"/>
        <v>2.2647058823529411</v>
      </c>
      <c r="AT649" s="1049"/>
      <c r="AU649" s="1136"/>
      <c r="AV649" s="1049"/>
      <c r="AW649" s="1058"/>
      <c r="AX649" s="1057">
        <v>20</v>
      </c>
      <c r="AY649" s="1056">
        <v>21</v>
      </c>
      <c r="AZ649" s="1055">
        <v>0.13</v>
      </c>
      <c r="BA649" s="1736">
        <v>0.23</v>
      </c>
      <c r="BB649" s="1737">
        <f t="shared" si="281"/>
        <v>1.7692307692307692</v>
      </c>
      <c r="BC649" s="1049"/>
      <c r="BD649" s="1136"/>
      <c r="BE649" s="1049"/>
      <c r="BF649" s="1058"/>
      <c r="BG649" s="1057">
        <v>20</v>
      </c>
      <c r="BH649" s="1056">
        <v>21</v>
      </c>
      <c r="BI649" s="1874">
        <v>0.32</v>
      </c>
      <c r="BJ649" s="1736"/>
      <c r="BK649" s="1049"/>
      <c r="BL649" s="1058"/>
      <c r="BM649" s="1057">
        <v>20</v>
      </c>
      <c r="BN649" s="1056">
        <v>21</v>
      </c>
      <c r="BO649" s="1055"/>
      <c r="BP649" s="1055"/>
      <c r="BQ649" s="1049"/>
    </row>
    <row r="650" spans="1:69" ht="14.4">
      <c r="A650" s="1049"/>
      <c r="B650" s="1060"/>
      <c r="C650" s="1057">
        <v>21</v>
      </c>
      <c r="D650" s="1056">
        <v>22</v>
      </c>
      <c r="E650" s="1063">
        <v>0.52</v>
      </c>
      <c r="F650" s="1062">
        <v>1.35</v>
      </c>
      <c r="G650" s="1061">
        <f t="shared" si="275"/>
        <v>2.5961538461538463</v>
      </c>
      <c r="H650" s="1049"/>
      <c r="I650" s="1060"/>
      <c r="J650" s="1057">
        <v>21</v>
      </c>
      <c r="K650" s="1056">
        <v>22</v>
      </c>
      <c r="L650" s="1055">
        <v>1.6779999999999999</v>
      </c>
      <c r="M650" s="1059">
        <v>6.03</v>
      </c>
      <c r="N650" s="1052">
        <f t="shared" si="276"/>
        <v>3.593563766388558</v>
      </c>
      <c r="O650" s="1049"/>
      <c r="P650" s="1058"/>
      <c r="Q650" s="1057">
        <v>21</v>
      </c>
      <c r="R650" s="1056">
        <v>22</v>
      </c>
      <c r="S650" s="1055">
        <v>2.2829999999999999</v>
      </c>
      <c r="T650" s="1054">
        <v>3.94</v>
      </c>
      <c r="U650" s="1064">
        <v>3.94</v>
      </c>
      <c r="V650" s="1052">
        <f t="shared" si="277"/>
        <v>1.7257993867717916</v>
      </c>
      <c r="W650" s="1049"/>
      <c r="X650" s="1051">
        <v>0.68</v>
      </c>
      <c r="Y650" s="1049"/>
      <c r="Z650" s="1050">
        <f t="shared" si="282"/>
        <v>0</v>
      </c>
      <c r="AA650" s="1058"/>
      <c r="AB650" s="1057">
        <v>21</v>
      </c>
      <c r="AC650" s="1056">
        <v>22</v>
      </c>
      <c r="AD650" s="1055">
        <v>2.92</v>
      </c>
      <c r="AE650" s="1137">
        <f t="shared" si="268"/>
        <v>0</v>
      </c>
      <c r="AF650" s="1136">
        <v>5.78</v>
      </c>
      <c r="AG650" s="1052">
        <f t="shared" si="278"/>
        <v>1.9794520547945207</v>
      </c>
      <c r="AH650" s="1049"/>
      <c r="AI650" s="1136"/>
      <c r="AJ650" s="1049"/>
      <c r="AK650" s="1050">
        <f t="shared" si="283"/>
        <v>0</v>
      </c>
      <c r="AL650" s="1049"/>
      <c r="AM650" s="1058"/>
      <c r="AN650" s="1057">
        <v>21</v>
      </c>
      <c r="AO650" s="1056">
        <v>22</v>
      </c>
      <c r="AP650" s="1055">
        <v>0.2</v>
      </c>
      <c r="AQ650" s="1745">
        <f t="shared" si="279"/>
        <v>0</v>
      </c>
      <c r="AR650" s="1737">
        <v>0.43</v>
      </c>
      <c r="AS650" s="1052">
        <f t="shared" si="280"/>
        <v>2.15</v>
      </c>
      <c r="AT650" s="1049"/>
      <c r="AU650" s="1136"/>
      <c r="AV650" s="1049"/>
      <c r="AW650" s="1058"/>
      <c r="AX650" s="1057">
        <v>21</v>
      </c>
      <c r="AY650" s="1056">
        <v>22</v>
      </c>
      <c r="AZ650" s="1055">
        <v>0.12</v>
      </c>
      <c r="BA650" s="1736">
        <v>0.21</v>
      </c>
      <c r="BB650" s="1737">
        <f t="shared" si="281"/>
        <v>1.75</v>
      </c>
      <c r="BC650" s="1049"/>
      <c r="BD650" s="1136"/>
      <c r="BE650" s="1049"/>
      <c r="BF650" s="1058"/>
      <c r="BG650" s="1057">
        <v>21</v>
      </c>
      <c r="BH650" s="1056">
        <v>22</v>
      </c>
      <c r="BI650" s="1874">
        <v>0.31</v>
      </c>
      <c r="BJ650" s="1736"/>
      <c r="BK650" s="1049"/>
      <c r="BL650" s="1058"/>
      <c r="BM650" s="1057">
        <v>21</v>
      </c>
      <c r="BN650" s="1056">
        <v>22</v>
      </c>
      <c r="BO650" s="1055"/>
      <c r="BP650" s="1055"/>
      <c r="BQ650" s="1049"/>
    </row>
    <row r="651" spans="1:69" ht="14.4">
      <c r="A651" s="1049"/>
      <c r="B651" s="1060"/>
      <c r="C651" s="1057">
        <v>22</v>
      </c>
      <c r="D651" s="1056">
        <v>23</v>
      </c>
      <c r="E651" s="1063">
        <v>0.84</v>
      </c>
      <c r="F651" s="1062">
        <v>2.0699999999999998</v>
      </c>
      <c r="G651" s="1061">
        <f t="shared" si="275"/>
        <v>2.464285714285714</v>
      </c>
      <c r="H651" s="1049"/>
      <c r="I651" s="1060"/>
      <c r="J651" s="1057">
        <v>22</v>
      </c>
      <c r="K651" s="1056">
        <v>23</v>
      </c>
      <c r="L651" s="1055">
        <v>2.1619999999999999</v>
      </c>
      <c r="M651" s="1059">
        <v>7.61</v>
      </c>
      <c r="N651" s="1052">
        <f t="shared" si="276"/>
        <v>3.5198889916743759</v>
      </c>
      <c r="O651" s="1049"/>
      <c r="P651" s="1058"/>
      <c r="Q651" s="1057">
        <v>22</v>
      </c>
      <c r="R651" s="1056">
        <v>23</v>
      </c>
      <c r="S651" s="1055">
        <v>2.2480000000000002</v>
      </c>
      <c r="T651" s="1054">
        <v>3.66</v>
      </c>
      <c r="U651" s="1064">
        <v>3.66</v>
      </c>
      <c r="V651" s="1052">
        <f t="shared" si="277"/>
        <v>1.6281138790035585</v>
      </c>
      <c r="W651" s="1049"/>
      <c r="X651" s="1051">
        <v>0.57999999999999996</v>
      </c>
      <c r="Y651" s="1049"/>
      <c r="Z651" s="1050">
        <f t="shared" si="282"/>
        <v>0</v>
      </c>
      <c r="AA651" s="1058"/>
      <c r="AB651" s="1057">
        <v>22</v>
      </c>
      <c r="AC651" s="1056">
        <v>23</v>
      </c>
      <c r="AD651" s="1055">
        <v>2.9</v>
      </c>
      <c r="AE651" s="1137">
        <f t="shared" si="268"/>
        <v>0</v>
      </c>
      <c r="AF651" s="1136">
        <v>5.77</v>
      </c>
      <c r="AG651" s="1052">
        <f t="shared" si="278"/>
        <v>1.989655172413793</v>
      </c>
      <c r="AH651" s="1049"/>
      <c r="AI651" s="1136"/>
      <c r="AJ651" s="1049"/>
      <c r="AK651" s="1050">
        <f t="shared" si="283"/>
        <v>0</v>
      </c>
      <c r="AL651" s="1049"/>
      <c r="AM651" s="1058"/>
      <c r="AN651" s="1057">
        <v>22</v>
      </c>
      <c r="AO651" s="1056">
        <v>23</v>
      </c>
      <c r="AP651" s="1055">
        <v>0.15</v>
      </c>
      <c r="AQ651" s="1745">
        <f t="shared" si="279"/>
        <v>0</v>
      </c>
      <c r="AR651" s="1737">
        <v>0.32</v>
      </c>
      <c r="AS651" s="1052">
        <f t="shared" si="280"/>
        <v>2.1333333333333333</v>
      </c>
      <c r="AT651" s="1049"/>
      <c r="AU651" s="1136"/>
      <c r="AV651" s="1049"/>
      <c r="AW651" s="1058"/>
      <c r="AX651" s="1057">
        <v>22</v>
      </c>
      <c r="AY651" s="1056">
        <v>23</v>
      </c>
      <c r="AZ651" s="1055">
        <v>0.11</v>
      </c>
      <c r="BA651" s="1736">
        <v>0.19</v>
      </c>
      <c r="BB651" s="1737">
        <f t="shared" si="281"/>
        <v>1.7272727272727273</v>
      </c>
      <c r="BC651" s="1049"/>
      <c r="BD651" s="1136"/>
      <c r="BE651" s="1049"/>
      <c r="BF651" s="1058"/>
      <c r="BG651" s="1057">
        <v>22</v>
      </c>
      <c r="BH651" s="1056">
        <v>23</v>
      </c>
      <c r="BI651" s="1874">
        <v>0.18</v>
      </c>
      <c r="BJ651" s="1736"/>
      <c r="BK651" s="1049"/>
      <c r="BL651" s="1058"/>
      <c r="BM651" s="1057">
        <v>22</v>
      </c>
      <c r="BN651" s="1056">
        <v>23</v>
      </c>
      <c r="BO651" s="1055"/>
      <c r="BP651" s="1055"/>
      <c r="BQ651" s="1049"/>
    </row>
    <row r="652" spans="1:69" ht="14.4">
      <c r="A652" s="1049"/>
      <c r="B652" s="1060"/>
      <c r="C652" s="1057">
        <v>23</v>
      </c>
      <c r="D652" s="1056">
        <v>24</v>
      </c>
      <c r="E652" s="1063">
        <v>0.26</v>
      </c>
      <c r="F652" s="1062">
        <v>0.63</v>
      </c>
      <c r="G652" s="1061">
        <f t="shared" si="275"/>
        <v>2.4230769230769229</v>
      </c>
      <c r="H652" s="1049"/>
      <c r="I652" s="1060"/>
      <c r="J652" s="1057">
        <v>23</v>
      </c>
      <c r="K652" s="1056">
        <v>24</v>
      </c>
      <c r="L652" s="1055">
        <v>1.7709999999999999</v>
      </c>
      <c r="M652" s="1059">
        <v>5.73</v>
      </c>
      <c r="N652" s="1052">
        <f t="shared" si="276"/>
        <v>3.2354601919819315</v>
      </c>
      <c r="O652" s="1049"/>
      <c r="P652" s="1058"/>
      <c r="Q652" s="1057">
        <v>23</v>
      </c>
      <c r="R652" s="1056">
        <v>24</v>
      </c>
      <c r="S652" s="1055">
        <v>2.3610000000000002</v>
      </c>
      <c r="T652" s="1054">
        <v>3.2</v>
      </c>
      <c r="U652" s="1053">
        <v>3.2</v>
      </c>
      <c r="V652" s="1052">
        <f t="shared" si="277"/>
        <v>1.3553578991952562</v>
      </c>
      <c r="W652" s="1049"/>
      <c r="X652" s="1051">
        <v>0.31</v>
      </c>
      <c r="Y652" s="1049"/>
      <c r="Z652" s="1050">
        <f t="shared" si="282"/>
        <v>0</v>
      </c>
      <c r="AA652" s="1058"/>
      <c r="AB652" s="1057">
        <v>23</v>
      </c>
      <c r="AC652" s="1056">
        <v>24</v>
      </c>
      <c r="AD652" s="1055">
        <v>2.9</v>
      </c>
      <c r="AE652" s="1137">
        <f t="shared" si="268"/>
        <v>0</v>
      </c>
      <c r="AF652" s="1136">
        <v>5.68</v>
      </c>
      <c r="AG652" s="1052">
        <f t="shared" si="278"/>
        <v>1.9586206896551723</v>
      </c>
      <c r="AH652" s="1049"/>
      <c r="AI652" s="1136"/>
      <c r="AJ652" s="1049"/>
      <c r="AK652" s="1050">
        <f t="shared" si="283"/>
        <v>0</v>
      </c>
      <c r="AL652" s="1049"/>
      <c r="AM652" s="1058"/>
      <c r="AN652" s="1057">
        <v>23</v>
      </c>
      <c r="AO652" s="1056">
        <v>24</v>
      </c>
      <c r="AP652" s="1055">
        <v>0.11</v>
      </c>
      <c r="AQ652" s="1745">
        <f t="shared" si="279"/>
        <v>0</v>
      </c>
      <c r="AR652" s="1737">
        <v>0.23</v>
      </c>
      <c r="AS652" s="1052">
        <f t="shared" si="280"/>
        <v>2.0909090909090908</v>
      </c>
      <c r="AT652" s="1049"/>
      <c r="AU652" s="1136"/>
      <c r="AV652" s="1049"/>
      <c r="AW652" s="1058"/>
      <c r="AX652" s="1057">
        <v>23</v>
      </c>
      <c r="AY652" s="1056">
        <v>24</v>
      </c>
      <c r="AZ652" s="1055"/>
      <c r="BA652" s="1736"/>
      <c r="BB652" s="1737" t="e">
        <f t="shared" si="281"/>
        <v>#DIV/0!</v>
      </c>
      <c r="BC652" s="1049"/>
      <c r="BD652" s="1136"/>
      <c r="BE652" s="1049"/>
      <c r="BF652" s="1058"/>
      <c r="BG652" s="1057">
        <v>23</v>
      </c>
      <c r="BH652" s="1056">
        <v>24</v>
      </c>
      <c r="BI652" s="1874">
        <v>0.19</v>
      </c>
      <c r="BJ652" s="1736"/>
      <c r="BK652" s="1049"/>
      <c r="BL652" s="1058"/>
      <c r="BM652" s="1057">
        <v>23</v>
      </c>
      <c r="BN652" s="1056">
        <v>24</v>
      </c>
      <c r="BO652" s="1055"/>
      <c r="BP652" s="1055"/>
      <c r="BQ652" s="1049"/>
    </row>
    <row r="653" spans="1:69" ht="14.4">
      <c r="A653" s="1036"/>
      <c r="B653" s="1044" t="s">
        <v>1136</v>
      </c>
      <c r="C653" s="1135"/>
      <c r="D653" s="1135"/>
      <c r="E653" s="1134"/>
      <c r="F653" s="1133"/>
      <c r="G653" s="1132"/>
      <c r="H653" s="1044"/>
      <c r="I653" s="1044" t="s">
        <v>1139</v>
      </c>
      <c r="J653" s="1046"/>
      <c r="K653" s="1046"/>
      <c r="L653" s="1129">
        <f>AVERAGE(L654:L677)</f>
        <v>1.781666666666667</v>
      </c>
      <c r="M653" s="1131">
        <f>AVERAGE(M654:M677)</f>
        <v>5.0383333333333331</v>
      </c>
      <c r="N653" s="1039">
        <f>AVERAGE(N654:N677)</f>
        <v>2.9219719173620207</v>
      </c>
      <c r="O653" s="1044"/>
      <c r="P653" s="1130" t="s">
        <v>1137</v>
      </c>
      <c r="Q653" s="1046"/>
      <c r="R653" s="1046"/>
      <c r="S653" s="1129">
        <f>AVERAGE(S654:S677)</f>
        <v>2.3666666666666667</v>
      </c>
      <c r="T653" s="1128">
        <f>SUM(T654:T677)</f>
        <v>64.538699999999992</v>
      </c>
      <c r="U653" s="1040">
        <f>AVERAGE(U654:U677)</f>
        <v>5.1645833333333329</v>
      </c>
      <c r="V653" s="1039">
        <f>AVERAGE(V654:V677)</f>
        <v>1.9079457364341084</v>
      </c>
      <c r="W653" s="1036"/>
      <c r="X653" s="1038">
        <f>AVERAGE(X662:X677)</f>
        <v>1.3012499999999998</v>
      </c>
      <c r="Y653" s="1036"/>
      <c r="Z653" s="1127">
        <f>SUM(Z654:Z677)</f>
        <v>290.66180000000003</v>
      </c>
      <c r="AA653" s="1130"/>
      <c r="AB653" s="1046"/>
      <c r="AC653" s="1046"/>
      <c r="AD653" s="1129">
        <f>AVERAGE(AD654:AD677)</f>
        <v>2.8025000000000007</v>
      </c>
      <c r="AE653" s="1128">
        <f>SUM(AE654:AE677)</f>
        <v>0</v>
      </c>
      <c r="AF653" s="1040">
        <f>AVERAGE(AF654:AF677)</f>
        <v>7.0887499999999983</v>
      </c>
      <c r="AG653" s="1039">
        <f>AVERAGE(AG654:AG677)</f>
        <v>0.96840136054421821</v>
      </c>
      <c r="AH653" s="1036"/>
      <c r="AI653" s="1038" t="e">
        <f>AVERAGE(AI662:AI677)</f>
        <v>#DIV/0!</v>
      </c>
      <c r="AJ653" s="1036"/>
      <c r="AK653" s="1127">
        <f>SUM(AK654:AK677)</f>
        <v>0</v>
      </c>
      <c r="AL653" s="1036"/>
      <c r="AM653" s="1130"/>
      <c r="AN653" s="1046"/>
      <c r="AO653" s="1046"/>
      <c r="AP653" s="1129">
        <f>AVERAGE(AP654:AP677)</f>
        <v>0.22958333333333336</v>
      </c>
      <c r="AQ653" s="1734">
        <f>SUM(AQ654:AQ677)</f>
        <v>0</v>
      </c>
      <c r="AR653" s="1735">
        <f>AVERAGE(AR654:AR677)</f>
        <v>0.53999999999999992</v>
      </c>
      <c r="AS653" s="1039">
        <f>AVERAGE(AS654:AS677)</f>
        <v>0.96500000000000041</v>
      </c>
      <c r="AT653" s="1036"/>
      <c r="AU653" s="1038" t="e">
        <f>AVERAGE(AU662:AU677)</f>
        <v>#DIV/0!</v>
      </c>
      <c r="AV653" s="1036"/>
      <c r="AW653" s="1130"/>
      <c r="AX653" s="1046"/>
      <c r="AY653" s="1046"/>
      <c r="AZ653" s="1129">
        <f>AVERAGE(AZ654:AZ677)</f>
        <v>0.23208333333333334</v>
      </c>
      <c r="BA653" s="1045">
        <f>AVERAGE(BA654:BA677)</f>
        <v>0.40749999999999997</v>
      </c>
      <c r="BB653" s="1039">
        <f>AVERAGE(BB654:BB677)</f>
        <v>0.95458333333333378</v>
      </c>
      <c r="BC653" s="1036"/>
      <c r="BD653" s="1038" t="e">
        <f>AVERAGE(BD662:BD677)</f>
        <v>#DIV/0!</v>
      </c>
      <c r="BE653" s="1036"/>
      <c r="BF653" s="1130"/>
      <c r="BG653" s="2756">
        <f>BF654</f>
        <v>45043</v>
      </c>
      <c r="BH653" s="2756"/>
      <c r="BI653" s="1897">
        <f>SUM(BI654:BI677)</f>
        <v>6.9499999999999993</v>
      </c>
      <c r="BJ653" s="1898">
        <f>SUM(BJ654:BJ677)</f>
        <v>0</v>
      </c>
      <c r="BK653" s="1036"/>
      <c r="BL653" s="1130"/>
      <c r="BM653" s="1046"/>
      <c r="BN653" s="1046"/>
      <c r="BO653" s="1129" t="e">
        <f>AVERAGE(BO654:BO677)</f>
        <v>#DIV/0!</v>
      </c>
      <c r="BP653" s="1129" t="e">
        <f>AVERAGE(BP654:BP677)</f>
        <v>#DIV/0!</v>
      </c>
      <c r="BQ653" s="1036"/>
    </row>
    <row r="654" spans="1:69" ht="14.4">
      <c r="A654" s="1049"/>
      <c r="B654" s="1126">
        <v>44861</v>
      </c>
      <c r="C654" s="1057">
        <v>0</v>
      </c>
      <c r="D654" s="1056">
        <v>1</v>
      </c>
      <c r="E654" s="1063">
        <v>0.25</v>
      </c>
      <c r="F654" s="1062">
        <v>0.6</v>
      </c>
      <c r="G654" s="1061">
        <f t="shared" ref="G654:G677" si="284">F654/E654</f>
        <v>2.4</v>
      </c>
      <c r="H654" s="1049"/>
      <c r="I654" s="1126">
        <v>44892</v>
      </c>
      <c r="J654" s="1057">
        <v>0</v>
      </c>
      <c r="K654" s="1056">
        <v>1</v>
      </c>
      <c r="L654" s="1055">
        <v>1.288</v>
      </c>
      <c r="M654" s="1059">
        <v>3.83</v>
      </c>
      <c r="N654" s="1052">
        <f t="shared" ref="N654:N677" si="285">M654/L654</f>
        <v>2.9736024844720497</v>
      </c>
      <c r="O654" s="1049"/>
      <c r="P654" s="1125">
        <v>44922</v>
      </c>
      <c r="Q654" s="1057">
        <v>0</v>
      </c>
      <c r="R654" s="1056">
        <v>1</v>
      </c>
      <c r="S654" s="1055">
        <v>2.15</v>
      </c>
      <c r="T654" s="1054">
        <f t="shared" ref="T654:T677" si="286">S654*X654</f>
        <v>0.75249999999999995</v>
      </c>
      <c r="U654" s="1064">
        <v>2.99</v>
      </c>
      <c r="V654" s="1052">
        <f>U654/S654</f>
        <v>1.3906976744186048</v>
      </c>
      <c r="W654" s="1049"/>
      <c r="X654" s="1051">
        <v>0.35</v>
      </c>
      <c r="Y654" s="1049"/>
      <c r="Z654" s="1050">
        <f>IF(X654&lt;0.8,0,S654*(X654-0.8))</f>
        <v>0</v>
      </c>
      <c r="AA654" s="1125">
        <v>44953</v>
      </c>
      <c r="AB654" s="1057">
        <v>0</v>
      </c>
      <c r="AC654" s="1056">
        <v>1</v>
      </c>
      <c r="AD654" s="1055">
        <v>1.96</v>
      </c>
      <c r="AE654" s="1137">
        <f t="shared" ref="AE654:AE677" si="287">AD654*AI654</f>
        <v>0</v>
      </c>
      <c r="AF654" s="1136">
        <v>4.08</v>
      </c>
      <c r="AG654" s="1052">
        <f>AF654/AD654</f>
        <v>2.0816326530612246</v>
      </c>
      <c r="AH654" s="1049"/>
      <c r="AI654" s="1136"/>
      <c r="AJ654" s="1049"/>
      <c r="AK654" s="1050">
        <f>IF(AI654&lt;0.8,0,AD654*(AI654-0.8))</f>
        <v>0</v>
      </c>
      <c r="AL654" s="1049"/>
      <c r="AM654" s="1125">
        <v>44984</v>
      </c>
      <c r="AN654" s="1057">
        <v>0</v>
      </c>
      <c r="AO654" s="1056">
        <v>1</v>
      </c>
      <c r="AP654" s="1055">
        <v>0.11</v>
      </c>
      <c r="AQ654" s="1745">
        <f t="shared" ref="AQ654:AQ677" si="288">AP654*AU654</f>
        <v>0</v>
      </c>
      <c r="AR654" s="1737">
        <v>0.22</v>
      </c>
      <c r="AS654" s="1052">
        <f>AR654/AP654</f>
        <v>2</v>
      </c>
      <c r="AT654" s="1049"/>
      <c r="AU654" s="1136"/>
      <c r="AV654" s="1049"/>
      <c r="AW654" s="1125">
        <v>45012</v>
      </c>
      <c r="AX654" s="1057">
        <v>0</v>
      </c>
      <c r="AY654" s="1056">
        <v>1</v>
      </c>
      <c r="AZ654" s="1055">
        <v>0.12</v>
      </c>
      <c r="BA654" s="1736">
        <v>0.21</v>
      </c>
      <c r="BB654" s="1737">
        <f>BA654/AZ654</f>
        <v>1.75</v>
      </c>
      <c r="BC654" s="1049"/>
      <c r="BD654" s="1136"/>
      <c r="BE654" s="1049"/>
      <c r="BF654" s="1125">
        <v>45043</v>
      </c>
      <c r="BG654" s="1057">
        <v>0</v>
      </c>
      <c r="BH654" s="1056">
        <v>1</v>
      </c>
      <c r="BI654" s="1874">
        <v>0.17</v>
      </c>
      <c r="BJ654" s="1736"/>
      <c r="BK654" s="1049"/>
      <c r="BL654" s="1125">
        <v>45043</v>
      </c>
      <c r="BM654" s="1057">
        <v>0</v>
      </c>
      <c r="BN654" s="1056">
        <v>1</v>
      </c>
      <c r="BO654" s="1055"/>
      <c r="BP654" s="1055"/>
      <c r="BQ654" s="1049"/>
    </row>
    <row r="655" spans="1:69" ht="14.4">
      <c r="A655" s="1049"/>
      <c r="B655" s="1124"/>
      <c r="C655" s="1057">
        <v>1</v>
      </c>
      <c r="D655" s="1056">
        <v>2</v>
      </c>
      <c r="E655" s="1063">
        <v>0.23</v>
      </c>
      <c r="F655" s="1062">
        <v>0.56000000000000005</v>
      </c>
      <c r="G655" s="1061">
        <f t="shared" si="284"/>
        <v>2.4347826086956523</v>
      </c>
      <c r="H655" s="1049"/>
      <c r="I655" s="1124"/>
      <c r="J655" s="1057">
        <v>1</v>
      </c>
      <c r="K655" s="1056">
        <v>2</v>
      </c>
      <c r="L655" s="1055">
        <v>1.2949999999999999</v>
      </c>
      <c r="M655" s="1059">
        <v>3.78</v>
      </c>
      <c r="N655" s="1052">
        <f t="shared" si="285"/>
        <v>2.9189189189189189</v>
      </c>
      <c r="O655" s="1049"/>
      <c r="P655" s="1123"/>
      <c r="Q655" s="1057">
        <v>1</v>
      </c>
      <c r="R655" s="1056">
        <v>2</v>
      </c>
      <c r="S655" s="1055">
        <v>1.62</v>
      </c>
      <c r="T655" s="1054">
        <f t="shared" si="286"/>
        <v>0.35640000000000005</v>
      </c>
      <c r="U655" s="1064">
        <v>2.06</v>
      </c>
      <c r="V655" s="1052">
        <f t="shared" ref="V655:V677" si="289">X655+0.92</f>
        <v>1.1400000000000001</v>
      </c>
      <c r="W655" s="1049"/>
      <c r="X655" s="1051">
        <v>0.22</v>
      </c>
      <c r="Y655" s="1049"/>
      <c r="Z655" s="1050">
        <f t="shared" ref="Z655:Z677" si="290">IF(X655&lt;0.8,0,S655*(U655-0.8))</f>
        <v>0</v>
      </c>
      <c r="AA655" s="1123"/>
      <c r="AB655" s="1057">
        <v>1</v>
      </c>
      <c r="AC655" s="1056">
        <v>2</v>
      </c>
      <c r="AD655" s="1055">
        <v>1.87</v>
      </c>
      <c r="AE655" s="1137">
        <f t="shared" si="287"/>
        <v>0</v>
      </c>
      <c r="AF655" s="1136">
        <v>3.53</v>
      </c>
      <c r="AG655" s="1052">
        <f t="shared" ref="AG655:AG677" si="291">AI655+0.92</f>
        <v>0.92</v>
      </c>
      <c r="AH655" s="1049"/>
      <c r="AI655" s="1136"/>
      <c r="AJ655" s="1049"/>
      <c r="AK655" s="1050">
        <f t="shared" ref="AK655:AK677" si="292">IF(AI655&lt;0.8,0,AD655*(AF655-0.8))</f>
        <v>0</v>
      </c>
      <c r="AL655" s="1049"/>
      <c r="AM655" s="1123"/>
      <c r="AN655" s="1057">
        <v>1</v>
      </c>
      <c r="AO655" s="1056">
        <v>2</v>
      </c>
      <c r="AP655" s="1055">
        <v>0.12</v>
      </c>
      <c r="AQ655" s="1745">
        <f t="shared" si="288"/>
        <v>0</v>
      </c>
      <c r="AR655" s="1737">
        <v>0.25</v>
      </c>
      <c r="AS655" s="1052">
        <f t="shared" ref="AS655:AS677" si="293">AU655+0.92</f>
        <v>0.92</v>
      </c>
      <c r="AT655" s="1049"/>
      <c r="AU655" s="1136"/>
      <c r="AV655" s="1049"/>
      <c r="AW655" s="1123"/>
      <c r="AX655" s="1057">
        <v>1</v>
      </c>
      <c r="AY655" s="1056">
        <v>2</v>
      </c>
      <c r="AZ655" s="1055">
        <v>7.0000000000000007E-2</v>
      </c>
      <c r="BA655" s="1736">
        <v>0.12</v>
      </c>
      <c r="BB655" s="1737">
        <f t="shared" ref="BB655:BB677" si="294">BD655+0.92</f>
        <v>0.92</v>
      </c>
      <c r="BC655" s="1049"/>
      <c r="BD655" s="1136"/>
      <c r="BE655" s="1049"/>
      <c r="BF655" s="1123"/>
      <c r="BG655" s="1057">
        <v>1</v>
      </c>
      <c r="BH655" s="1056">
        <v>2</v>
      </c>
      <c r="BI655" s="1874">
        <v>0.1</v>
      </c>
      <c r="BJ655" s="1736"/>
      <c r="BK655" s="1049"/>
      <c r="BL655" s="1123"/>
      <c r="BM655" s="1057">
        <v>1</v>
      </c>
      <c r="BN655" s="1056">
        <v>2</v>
      </c>
      <c r="BO655" s="1055"/>
      <c r="BP655" s="1055"/>
      <c r="BQ655" s="1049"/>
    </row>
    <row r="656" spans="1:69" ht="14.4">
      <c r="A656" s="1049"/>
      <c r="B656" s="1122">
        <f>SUM(E654:E677)</f>
        <v>10.849999999999998</v>
      </c>
      <c r="C656" s="1057">
        <v>2</v>
      </c>
      <c r="D656" s="1056">
        <v>3</v>
      </c>
      <c r="E656" s="1063">
        <v>0.2</v>
      </c>
      <c r="F656" s="1062">
        <v>0.49</v>
      </c>
      <c r="G656" s="1061">
        <f t="shared" si="284"/>
        <v>2.4499999999999997</v>
      </c>
      <c r="H656" s="1049"/>
      <c r="I656" s="1122">
        <f>SUM(L654:L677)</f>
        <v>42.760000000000005</v>
      </c>
      <c r="J656" s="1057">
        <v>2</v>
      </c>
      <c r="K656" s="1056">
        <v>3</v>
      </c>
      <c r="L656" s="1055">
        <v>1.264</v>
      </c>
      <c r="M656" s="1059">
        <v>3.53</v>
      </c>
      <c r="N656" s="1052">
        <f t="shared" si="285"/>
        <v>2.7927215189873418</v>
      </c>
      <c r="O656" s="1049"/>
      <c r="P656" s="1121">
        <f>SUM(S654:S677)</f>
        <v>56.8</v>
      </c>
      <c r="Q656" s="1057">
        <v>2</v>
      </c>
      <c r="R656" s="1056">
        <v>3</v>
      </c>
      <c r="S656" s="1055">
        <v>1.49</v>
      </c>
      <c r="T656" s="1054">
        <f t="shared" si="286"/>
        <v>0.26819999999999999</v>
      </c>
      <c r="U656" s="1064">
        <v>1.83</v>
      </c>
      <c r="V656" s="1052">
        <f t="shared" si="289"/>
        <v>1.1000000000000001</v>
      </c>
      <c r="W656" s="1049"/>
      <c r="X656" s="1051">
        <v>0.18</v>
      </c>
      <c r="Y656" s="1049"/>
      <c r="Z656" s="1050">
        <f t="shared" si="290"/>
        <v>0</v>
      </c>
      <c r="AA656" s="1121">
        <f>SUM(AD654:AD677)</f>
        <v>67.260000000000019</v>
      </c>
      <c r="AB656" s="1057">
        <v>2</v>
      </c>
      <c r="AC656" s="1056">
        <v>3</v>
      </c>
      <c r="AD656" s="1055">
        <v>1.9</v>
      </c>
      <c r="AE656" s="1137">
        <f t="shared" si="287"/>
        <v>0</v>
      </c>
      <c r="AF656" s="1136">
        <v>3.68</v>
      </c>
      <c r="AG656" s="1052">
        <f t="shared" si="291"/>
        <v>0.92</v>
      </c>
      <c r="AH656" s="1049"/>
      <c r="AI656" s="1136"/>
      <c r="AJ656" s="1049"/>
      <c r="AK656" s="1050">
        <f t="shared" si="292"/>
        <v>0</v>
      </c>
      <c r="AL656" s="1049"/>
      <c r="AM656" s="1121">
        <f>SUM(AP654:AP677)</f>
        <v>5.5100000000000007</v>
      </c>
      <c r="AN656" s="1057">
        <v>2</v>
      </c>
      <c r="AO656" s="1056">
        <v>3</v>
      </c>
      <c r="AP656" s="1055">
        <v>0.11</v>
      </c>
      <c r="AQ656" s="1745">
        <f t="shared" si="288"/>
        <v>0</v>
      </c>
      <c r="AR656" s="1737">
        <v>0.23</v>
      </c>
      <c r="AS656" s="1052">
        <f t="shared" si="293"/>
        <v>0.92</v>
      </c>
      <c r="AT656" s="1049"/>
      <c r="AU656" s="1136"/>
      <c r="AV656" s="1049"/>
      <c r="AW656" s="1121">
        <f>SUM(AZ654:AZ677)</f>
        <v>5.57</v>
      </c>
      <c r="AX656" s="1057">
        <v>2</v>
      </c>
      <c r="AY656" s="1056">
        <v>3</v>
      </c>
      <c r="AZ656" s="1055">
        <v>0.14000000000000001</v>
      </c>
      <c r="BA656" s="1736">
        <v>0.23</v>
      </c>
      <c r="BB656" s="1737">
        <f t="shared" si="294"/>
        <v>0.92</v>
      </c>
      <c r="BC656" s="1049"/>
      <c r="BD656" s="1136"/>
      <c r="BE656" s="1049"/>
      <c r="BF656" s="1121">
        <f>SUM(BI654:BI677)</f>
        <v>6.9499999999999993</v>
      </c>
      <c r="BG656" s="1057">
        <v>2</v>
      </c>
      <c r="BH656" s="1056">
        <v>3</v>
      </c>
      <c r="BI656" s="1874">
        <v>0.14000000000000001</v>
      </c>
      <c r="BJ656" s="1736"/>
      <c r="BK656" s="1049"/>
      <c r="BL656" s="1121">
        <f>SUM(BO654:BO677)+SUM(BP654:BP677)</f>
        <v>0</v>
      </c>
      <c r="BM656" s="1057">
        <v>2</v>
      </c>
      <c r="BN656" s="1056">
        <v>3</v>
      </c>
      <c r="BO656" s="1055"/>
      <c r="BP656" s="1055"/>
      <c r="BQ656" s="1049"/>
    </row>
    <row r="657" spans="1:69" ht="14.4">
      <c r="A657" s="1049"/>
      <c r="B657" s="1120">
        <f>B656/24</f>
        <v>0.45208333333333323</v>
      </c>
      <c r="C657" s="1057">
        <v>3</v>
      </c>
      <c r="D657" s="1056">
        <v>4</v>
      </c>
      <c r="E657" s="1063">
        <v>0.27</v>
      </c>
      <c r="F657" s="1062">
        <v>0.65</v>
      </c>
      <c r="G657" s="1061">
        <f t="shared" si="284"/>
        <v>2.4074074074074074</v>
      </c>
      <c r="H657" s="1049"/>
      <c r="I657" s="1120">
        <f>I656/24</f>
        <v>1.781666666666667</v>
      </c>
      <c r="J657" s="1057">
        <v>3</v>
      </c>
      <c r="K657" s="1056">
        <v>4</v>
      </c>
      <c r="L657" s="1055">
        <v>1.71</v>
      </c>
      <c r="M657" s="1059">
        <v>3.55</v>
      </c>
      <c r="N657" s="1052">
        <f t="shared" si="285"/>
        <v>2.0760233918128654</v>
      </c>
      <c r="O657" s="1049"/>
      <c r="P657" s="1120">
        <f>P656/24</f>
        <v>2.3666666666666667</v>
      </c>
      <c r="Q657" s="1057">
        <v>3</v>
      </c>
      <c r="R657" s="1056">
        <v>4</v>
      </c>
      <c r="S657" s="1055">
        <v>0.91</v>
      </c>
      <c r="T657" s="1054">
        <f t="shared" si="286"/>
        <v>0.1638</v>
      </c>
      <c r="U657" s="1064">
        <v>1.1100000000000001</v>
      </c>
      <c r="V657" s="1052">
        <f t="shared" si="289"/>
        <v>1.1000000000000001</v>
      </c>
      <c r="W657" s="1049"/>
      <c r="X657" s="1051">
        <v>0.18</v>
      </c>
      <c r="Y657" s="1049"/>
      <c r="Z657" s="1050">
        <f t="shared" si="290"/>
        <v>0</v>
      </c>
      <c r="AA657" s="1120">
        <f>AA656/24</f>
        <v>2.8025000000000007</v>
      </c>
      <c r="AB657" s="1057">
        <v>3</v>
      </c>
      <c r="AC657" s="1056">
        <v>4</v>
      </c>
      <c r="AD657" s="1055">
        <v>2.37</v>
      </c>
      <c r="AE657" s="1137">
        <f t="shared" si="287"/>
        <v>0</v>
      </c>
      <c r="AF657" s="1136">
        <v>4.5</v>
      </c>
      <c r="AG657" s="1052">
        <f t="shared" si="291"/>
        <v>0.92</v>
      </c>
      <c r="AH657" s="1049"/>
      <c r="AI657" s="1136"/>
      <c r="AJ657" s="1049"/>
      <c r="AK657" s="1050">
        <f t="shared" si="292"/>
        <v>0</v>
      </c>
      <c r="AL657" s="1049"/>
      <c r="AM657" s="1120">
        <f>AM656/24</f>
        <v>0.22958333333333336</v>
      </c>
      <c r="AN657" s="1057">
        <v>3</v>
      </c>
      <c r="AO657" s="1056">
        <v>4</v>
      </c>
      <c r="AP657" s="1055">
        <v>0.12</v>
      </c>
      <c r="AQ657" s="1745">
        <f t="shared" si="288"/>
        <v>0</v>
      </c>
      <c r="AR657" s="1737">
        <v>0.24</v>
      </c>
      <c r="AS657" s="1052">
        <f t="shared" si="293"/>
        <v>0.92</v>
      </c>
      <c r="AT657" s="1049"/>
      <c r="AU657" s="1136"/>
      <c r="AV657" s="1049"/>
      <c r="AW657" s="1120">
        <f>AW656/24</f>
        <v>0.23208333333333334</v>
      </c>
      <c r="AX657" s="1057">
        <v>3</v>
      </c>
      <c r="AY657" s="1056">
        <v>4</v>
      </c>
      <c r="AZ657" s="1055">
        <v>0.12</v>
      </c>
      <c r="BA657" s="1736">
        <v>0.19</v>
      </c>
      <c r="BB657" s="1737">
        <f t="shared" si="294"/>
        <v>0.92</v>
      </c>
      <c r="BC657" s="1049"/>
      <c r="BD657" s="1136"/>
      <c r="BE657" s="1049"/>
      <c r="BF657" s="1120">
        <f>BF656/24</f>
        <v>0.2895833333333333</v>
      </c>
      <c r="BG657" s="1057">
        <v>3</v>
      </c>
      <c r="BH657" s="1056">
        <v>4</v>
      </c>
      <c r="BI657" s="1874">
        <v>7.0000000000000007E-2</v>
      </c>
      <c r="BJ657" s="1736"/>
      <c r="BK657" s="1049"/>
      <c r="BL657" s="1120">
        <f>BL656/24</f>
        <v>0</v>
      </c>
      <c r="BM657" s="1057">
        <v>3</v>
      </c>
      <c r="BN657" s="1056">
        <v>4</v>
      </c>
      <c r="BO657" s="1055"/>
      <c r="BP657" s="1055"/>
      <c r="BQ657" s="1049"/>
    </row>
    <row r="658" spans="1:69" ht="14.4">
      <c r="A658" s="1049"/>
      <c r="B658" s="1119"/>
      <c r="C658" s="1057">
        <v>4</v>
      </c>
      <c r="D658" s="1056">
        <v>5</v>
      </c>
      <c r="E658" s="1063">
        <v>0.23</v>
      </c>
      <c r="F658" s="1062">
        <v>0.56999999999999995</v>
      </c>
      <c r="G658" s="1061">
        <f t="shared" si="284"/>
        <v>2.4782608695652169</v>
      </c>
      <c r="H658" s="1049"/>
      <c r="I658" s="1119"/>
      <c r="J658" s="1057">
        <v>4</v>
      </c>
      <c r="K658" s="1056">
        <v>5</v>
      </c>
      <c r="L658" s="1055">
        <v>1.31</v>
      </c>
      <c r="M658" s="1059">
        <v>3.52</v>
      </c>
      <c r="N658" s="1052">
        <f t="shared" si="285"/>
        <v>2.6870229007633588</v>
      </c>
      <c r="O658" s="1049"/>
      <c r="P658" s="1118"/>
      <c r="Q658" s="1057">
        <v>4</v>
      </c>
      <c r="R658" s="1056">
        <v>5</v>
      </c>
      <c r="S658" s="1055">
        <v>1</v>
      </c>
      <c r="T658" s="1054">
        <f t="shared" si="286"/>
        <v>0.24</v>
      </c>
      <c r="U658" s="1064">
        <v>1.28</v>
      </c>
      <c r="V658" s="1052">
        <f t="shared" si="289"/>
        <v>1.1600000000000001</v>
      </c>
      <c r="W658" s="1049"/>
      <c r="X658" s="1051">
        <v>0.24</v>
      </c>
      <c r="Y658" s="1049"/>
      <c r="Z658" s="1050">
        <f t="shared" si="290"/>
        <v>0</v>
      </c>
      <c r="AA658" s="1118"/>
      <c r="AB658" s="1057">
        <v>4</v>
      </c>
      <c r="AC658" s="1056">
        <v>5</v>
      </c>
      <c r="AD658" s="1055">
        <v>1.9</v>
      </c>
      <c r="AE658" s="1137">
        <f t="shared" si="287"/>
        <v>0</v>
      </c>
      <c r="AF658" s="1136">
        <v>3.76</v>
      </c>
      <c r="AG658" s="1052">
        <f t="shared" si="291"/>
        <v>0.92</v>
      </c>
      <c r="AH658" s="1049"/>
      <c r="AI658" s="1136"/>
      <c r="AJ658" s="1049"/>
      <c r="AK658" s="1050">
        <f t="shared" si="292"/>
        <v>0</v>
      </c>
      <c r="AL658" s="1049"/>
      <c r="AM658" s="1118"/>
      <c r="AN658" s="1057">
        <v>4</v>
      </c>
      <c r="AO658" s="1056">
        <v>5</v>
      </c>
      <c r="AP658" s="1055">
        <v>0.09</v>
      </c>
      <c r="AQ658" s="1745">
        <f t="shared" si="288"/>
        <v>0</v>
      </c>
      <c r="AR658" s="1737">
        <v>0.17</v>
      </c>
      <c r="AS658" s="1052">
        <f t="shared" si="293"/>
        <v>0.92</v>
      </c>
      <c r="AT658" s="1049"/>
      <c r="AU658" s="1136"/>
      <c r="AV658" s="1049"/>
      <c r="AW658" s="1118"/>
      <c r="AX658" s="1057">
        <v>4</v>
      </c>
      <c r="AY658" s="1056">
        <v>5</v>
      </c>
      <c r="AZ658" s="1055">
        <v>0.1</v>
      </c>
      <c r="BA658" s="1736">
        <v>0.16</v>
      </c>
      <c r="BB658" s="1737">
        <f t="shared" si="294"/>
        <v>0.92</v>
      </c>
      <c r="BC658" s="1049"/>
      <c r="BD658" s="1136"/>
      <c r="BE658" s="1049"/>
      <c r="BF658" s="1118"/>
      <c r="BG658" s="1057">
        <v>4</v>
      </c>
      <c r="BH658" s="1056">
        <v>5</v>
      </c>
      <c r="BI658" s="1874">
        <v>0.1</v>
      </c>
      <c r="BJ658" s="1736"/>
      <c r="BK658" s="1049"/>
      <c r="BL658" s="1118"/>
      <c r="BM658" s="1057">
        <v>4</v>
      </c>
      <c r="BN658" s="1056">
        <v>5</v>
      </c>
      <c r="BO658" s="1055"/>
      <c r="BP658" s="1055"/>
      <c r="BQ658" s="1049"/>
    </row>
    <row r="659" spans="1:69" ht="15" thickBot="1">
      <c r="A659" s="1049"/>
      <c r="B659" s="1058">
        <f>SUM(F654:F677)</f>
        <v>30.619999999999994</v>
      </c>
      <c r="C659" s="1111">
        <v>5</v>
      </c>
      <c r="D659" s="1110">
        <v>6</v>
      </c>
      <c r="E659" s="1117">
        <v>0.28000000000000003</v>
      </c>
      <c r="F659" s="1116">
        <v>0.72</v>
      </c>
      <c r="G659" s="1115">
        <f t="shared" si="284"/>
        <v>2.5714285714285712</v>
      </c>
      <c r="H659" s="1049"/>
      <c r="I659" s="1058">
        <f>SUM(M654:M677)</f>
        <v>120.92</v>
      </c>
      <c r="J659" s="1111">
        <v>5</v>
      </c>
      <c r="K659" s="1110">
        <v>6</v>
      </c>
      <c r="L659" s="1109">
        <v>1.266</v>
      </c>
      <c r="M659" s="1114">
        <v>3.74</v>
      </c>
      <c r="N659" s="1113">
        <f t="shared" si="285"/>
        <v>2.9541864139020539</v>
      </c>
      <c r="O659" s="1049"/>
      <c r="P659" s="1112">
        <f>SUM(U654:U677)</f>
        <v>123.94999999999999</v>
      </c>
      <c r="Q659" s="1111">
        <v>5</v>
      </c>
      <c r="R659" s="1110">
        <v>6</v>
      </c>
      <c r="S659" s="1109">
        <v>1.07</v>
      </c>
      <c r="T659" s="1054">
        <f t="shared" si="286"/>
        <v>0.33169999999999999</v>
      </c>
      <c r="U659" s="1064">
        <v>1.46</v>
      </c>
      <c r="V659" s="1052">
        <f t="shared" si="289"/>
        <v>1.23</v>
      </c>
      <c r="W659" s="1049"/>
      <c r="X659" s="1074">
        <v>0.31</v>
      </c>
      <c r="Y659" s="1049"/>
      <c r="Z659" s="1050">
        <f t="shared" si="290"/>
        <v>0</v>
      </c>
      <c r="AA659" s="1112">
        <f>SUM(AF654:AF677)</f>
        <v>170.12999999999997</v>
      </c>
      <c r="AB659" s="1111">
        <v>5</v>
      </c>
      <c r="AC659" s="1110">
        <v>6</v>
      </c>
      <c r="AD659" s="1109">
        <v>2</v>
      </c>
      <c r="AE659" s="1147">
        <f t="shared" si="287"/>
        <v>0</v>
      </c>
      <c r="AF659" s="1146">
        <v>4</v>
      </c>
      <c r="AG659" s="1052">
        <f t="shared" si="291"/>
        <v>0.92</v>
      </c>
      <c r="AH659" s="1049"/>
      <c r="AI659" s="1146"/>
      <c r="AJ659" s="1049"/>
      <c r="AK659" s="1050">
        <f t="shared" si="292"/>
        <v>0</v>
      </c>
      <c r="AL659" s="1049"/>
      <c r="AM659" s="1112">
        <f>SUM(AR654:AR677)</f>
        <v>12.959999999999999</v>
      </c>
      <c r="AN659" s="1111">
        <v>5</v>
      </c>
      <c r="AO659" s="1110">
        <v>6</v>
      </c>
      <c r="AP659" s="1109">
        <v>0.13</v>
      </c>
      <c r="AQ659" s="1746">
        <f t="shared" si="288"/>
        <v>0</v>
      </c>
      <c r="AR659" s="1739">
        <v>0.28000000000000003</v>
      </c>
      <c r="AS659" s="1052">
        <f t="shared" si="293"/>
        <v>0.92</v>
      </c>
      <c r="AT659" s="1049"/>
      <c r="AU659" s="1146"/>
      <c r="AV659" s="1049"/>
      <c r="AW659" s="1112">
        <f>SUM(BA654:BA677)</f>
        <v>9.7799999999999994</v>
      </c>
      <c r="AX659" s="1111">
        <v>5</v>
      </c>
      <c r="AY659" s="1110">
        <v>6</v>
      </c>
      <c r="AZ659" s="1109">
        <v>0.1</v>
      </c>
      <c r="BA659" s="1738">
        <v>0.17</v>
      </c>
      <c r="BB659" s="1739">
        <f t="shared" si="294"/>
        <v>0.92</v>
      </c>
      <c r="BC659" s="1049"/>
      <c r="BD659" s="1146"/>
      <c r="BE659" s="1049"/>
      <c r="BF659" s="1112">
        <f>SUM(BJ654:BJ677)</f>
        <v>0</v>
      </c>
      <c r="BG659" s="1111">
        <v>5</v>
      </c>
      <c r="BH659" s="1110">
        <v>6</v>
      </c>
      <c r="BI659" s="1874">
        <v>0.14000000000000001</v>
      </c>
      <c r="BJ659" s="1738"/>
      <c r="BK659" s="1049"/>
      <c r="BL659" s="1112">
        <f>SUM(BP654:BP677)</f>
        <v>0</v>
      </c>
      <c r="BM659" s="1111">
        <v>5</v>
      </c>
      <c r="BN659" s="1110">
        <v>6</v>
      </c>
      <c r="BO659" s="1109"/>
      <c r="BP659" s="1109"/>
      <c r="BQ659" s="1049"/>
    </row>
    <row r="660" spans="1:69" ht="14.4">
      <c r="A660" s="1049"/>
      <c r="B660" s="1093">
        <f>B659/B656</f>
        <v>2.8221198156682026</v>
      </c>
      <c r="C660" s="1100">
        <v>6</v>
      </c>
      <c r="D660" s="1099">
        <v>7</v>
      </c>
      <c r="E660" s="1107">
        <v>0.25</v>
      </c>
      <c r="F660" s="1106">
        <v>0.67</v>
      </c>
      <c r="G660" s="1105">
        <f t="shared" si="284"/>
        <v>2.68</v>
      </c>
      <c r="H660" s="1049"/>
      <c r="I660" s="1093">
        <f>I659/I656</f>
        <v>2.827876520112254</v>
      </c>
      <c r="J660" s="1100">
        <v>6</v>
      </c>
      <c r="K660" s="1099">
        <v>7</v>
      </c>
      <c r="L660" s="1098">
        <v>1.3740000000000001</v>
      </c>
      <c r="M660" s="1103">
        <v>4.25</v>
      </c>
      <c r="N660" s="1102">
        <f t="shared" si="285"/>
        <v>3.0931586608442503</v>
      </c>
      <c r="O660" s="1049"/>
      <c r="P660" s="1093">
        <f>IF(P659&gt;0,P659/P656,0)</f>
        <v>2.182218309859155</v>
      </c>
      <c r="Q660" s="1100">
        <v>6</v>
      </c>
      <c r="R660" s="1099">
        <v>7</v>
      </c>
      <c r="S660" s="1098">
        <v>1.1200000000000001</v>
      </c>
      <c r="T660" s="1054">
        <f t="shared" si="286"/>
        <v>0.4592</v>
      </c>
      <c r="U660" s="1064">
        <v>1.63</v>
      </c>
      <c r="V660" s="1052">
        <f t="shared" si="289"/>
        <v>1.33</v>
      </c>
      <c r="W660" s="1049"/>
      <c r="X660" s="1108">
        <v>0.41</v>
      </c>
      <c r="Y660" s="1049"/>
      <c r="Z660" s="1050">
        <f t="shared" si="290"/>
        <v>0</v>
      </c>
      <c r="AA660" s="1093">
        <f>IF(AA659&gt;0,AA659/AA656,0)</f>
        <v>2.5294380017841203</v>
      </c>
      <c r="AB660" s="1100">
        <v>6</v>
      </c>
      <c r="AC660" s="1099">
        <v>7</v>
      </c>
      <c r="AD660" s="1098">
        <v>2.2999999999999998</v>
      </c>
      <c r="AE660" s="1145">
        <f t="shared" si="287"/>
        <v>0</v>
      </c>
      <c r="AF660" s="1144">
        <v>5.09</v>
      </c>
      <c r="AG660" s="1052">
        <f t="shared" si="291"/>
        <v>0.92</v>
      </c>
      <c r="AH660" s="1049"/>
      <c r="AI660" s="1144"/>
      <c r="AJ660" s="1049"/>
      <c r="AK660" s="1050">
        <f t="shared" si="292"/>
        <v>0</v>
      </c>
      <c r="AL660" s="1049"/>
      <c r="AM660" s="1093">
        <f>IF(AM659&gt;0,AM659/AM656,0)</f>
        <v>2.3520871143375675</v>
      </c>
      <c r="AN660" s="1100">
        <v>6</v>
      </c>
      <c r="AO660" s="1099">
        <v>7</v>
      </c>
      <c r="AP660" s="1098">
        <v>0.3</v>
      </c>
      <c r="AQ660" s="1747">
        <f t="shared" si="288"/>
        <v>0</v>
      </c>
      <c r="AR660" s="1741">
        <v>0.71</v>
      </c>
      <c r="AS660" s="1052">
        <f t="shared" si="293"/>
        <v>0.92</v>
      </c>
      <c r="AT660" s="1049"/>
      <c r="AU660" s="1144"/>
      <c r="AV660" s="1049"/>
      <c r="AW660" s="1093">
        <f>IF(AW659&gt;0,AW659/AW656,0)</f>
        <v>1.7558348294434469</v>
      </c>
      <c r="AX660" s="1100">
        <v>6</v>
      </c>
      <c r="AY660" s="1099">
        <v>7</v>
      </c>
      <c r="AZ660" s="1098">
        <v>0.09</v>
      </c>
      <c r="BA660" s="1740">
        <v>0.17</v>
      </c>
      <c r="BB660" s="1741">
        <f t="shared" si="294"/>
        <v>0.92</v>
      </c>
      <c r="BC660" s="1049"/>
      <c r="BD660" s="1144"/>
      <c r="BE660" s="1049"/>
      <c r="BF660" s="1093">
        <f>IF(BF659&gt;0,BF659/BF656,0)</f>
        <v>0</v>
      </c>
      <c r="BG660" s="1100">
        <v>6</v>
      </c>
      <c r="BH660" s="1099">
        <v>7</v>
      </c>
      <c r="BI660" s="1874">
        <v>0.24</v>
      </c>
      <c r="BJ660" s="1740"/>
      <c r="BK660" s="1049"/>
      <c r="BL660" s="1093">
        <f>IF(BL659&gt;0,BL659/BL656,0)</f>
        <v>0</v>
      </c>
      <c r="BM660" s="1100">
        <v>6</v>
      </c>
      <c r="BN660" s="1099">
        <v>7</v>
      </c>
      <c r="BO660" s="1098"/>
      <c r="BP660" s="1098"/>
      <c r="BQ660" s="1049"/>
    </row>
    <row r="661" spans="1:69" ht="14.4">
      <c r="A661" s="1049"/>
      <c r="B661" s="1104"/>
      <c r="C661" s="1100">
        <v>7</v>
      </c>
      <c r="D661" s="1099">
        <v>8</v>
      </c>
      <c r="E661" s="1107">
        <v>0.35</v>
      </c>
      <c r="F661" s="1106">
        <v>1.1299999999999999</v>
      </c>
      <c r="G661" s="1105">
        <f t="shared" si="284"/>
        <v>3.2285714285714286</v>
      </c>
      <c r="H661" s="1049"/>
      <c r="I661" s="1104"/>
      <c r="J661" s="1100">
        <v>7</v>
      </c>
      <c r="K661" s="1099">
        <v>8</v>
      </c>
      <c r="L661" s="1098">
        <v>1.647</v>
      </c>
      <c r="M661" s="1103">
        <v>4.51</v>
      </c>
      <c r="N661" s="1102">
        <f t="shared" si="285"/>
        <v>2.7383120825743776</v>
      </c>
      <c r="O661" s="1049"/>
      <c r="P661" s="1101"/>
      <c r="Q661" s="1100">
        <v>7</v>
      </c>
      <c r="R661" s="1099">
        <v>8</v>
      </c>
      <c r="S661" s="1098">
        <v>1.31</v>
      </c>
      <c r="T661" s="1054">
        <f t="shared" si="286"/>
        <v>1.1528</v>
      </c>
      <c r="U661" s="1064">
        <v>2.5299999999999998</v>
      </c>
      <c r="V661" s="1052">
        <f t="shared" si="289"/>
        <v>1.8</v>
      </c>
      <c r="W661" s="1049"/>
      <c r="X661" s="1065">
        <v>0.88</v>
      </c>
      <c r="Y661" s="1049"/>
      <c r="Z661" s="1050">
        <f t="shared" si="290"/>
        <v>2.2662999999999998</v>
      </c>
      <c r="AA661" s="1101"/>
      <c r="AB661" s="1100">
        <v>7</v>
      </c>
      <c r="AC661" s="1099">
        <v>8</v>
      </c>
      <c r="AD661" s="1098">
        <v>2.38</v>
      </c>
      <c r="AE661" s="1145">
        <f t="shared" si="287"/>
        <v>0</v>
      </c>
      <c r="AF661" s="1144">
        <v>5.85</v>
      </c>
      <c r="AG661" s="1052">
        <f t="shared" si="291"/>
        <v>0.92</v>
      </c>
      <c r="AH661" s="1049"/>
      <c r="AI661" s="1144"/>
      <c r="AJ661" s="1049"/>
      <c r="AK661" s="1050">
        <f t="shared" si="292"/>
        <v>0</v>
      </c>
      <c r="AL661" s="1049"/>
      <c r="AM661" s="1101"/>
      <c r="AN661" s="1100">
        <v>7</v>
      </c>
      <c r="AO661" s="1099">
        <v>8</v>
      </c>
      <c r="AP661" s="1098">
        <v>0.26</v>
      </c>
      <c r="AQ661" s="1747">
        <f t="shared" si="288"/>
        <v>0</v>
      </c>
      <c r="AR661" s="1741">
        <v>0.67</v>
      </c>
      <c r="AS661" s="1052">
        <f t="shared" si="293"/>
        <v>0.92</v>
      </c>
      <c r="AT661" s="1049"/>
      <c r="AU661" s="1144"/>
      <c r="AV661" s="1049"/>
      <c r="AW661" s="1101"/>
      <c r="AX661" s="1100">
        <v>7</v>
      </c>
      <c r="AY661" s="1099">
        <v>8</v>
      </c>
      <c r="AZ661" s="1098">
        <v>0.14000000000000001</v>
      </c>
      <c r="BA661" s="1736">
        <v>0.3</v>
      </c>
      <c r="BB661" s="1741">
        <f t="shared" si="294"/>
        <v>0.92</v>
      </c>
      <c r="BC661" s="1049"/>
      <c r="BD661" s="1144"/>
      <c r="BE661" s="1049"/>
      <c r="BF661" s="1101"/>
      <c r="BG661" s="1100">
        <v>7</v>
      </c>
      <c r="BH661" s="1099">
        <v>8</v>
      </c>
      <c r="BI661" s="1874">
        <v>0.34</v>
      </c>
      <c r="BJ661" s="1736"/>
      <c r="BK661" s="1049"/>
      <c r="BL661" s="1101"/>
      <c r="BM661" s="1100">
        <v>7</v>
      </c>
      <c r="BN661" s="1099">
        <v>8</v>
      </c>
      <c r="BO661" s="1098"/>
      <c r="BP661" s="1098"/>
      <c r="BQ661" s="1049"/>
    </row>
    <row r="662" spans="1:69" ht="14.4">
      <c r="A662" s="1049"/>
      <c r="B662" s="1097">
        <f>B659/24</f>
        <v>1.2758333333333332</v>
      </c>
      <c r="C662" s="1086">
        <v>8</v>
      </c>
      <c r="D662" s="1085">
        <v>9</v>
      </c>
      <c r="E662" s="1091">
        <v>0.47</v>
      </c>
      <c r="F662" s="1090">
        <v>1.49</v>
      </c>
      <c r="G662" s="1089">
        <f t="shared" si="284"/>
        <v>3.1702127659574471</v>
      </c>
      <c r="H662" s="1049"/>
      <c r="I662" s="1097">
        <f>I659/24</f>
        <v>5.0383333333333331</v>
      </c>
      <c r="J662" s="1086">
        <v>8</v>
      </c>
      <c r="K662" s="1085">
        <v>9</v>
      </c>
      <c r="L662" s="1084">
        <v>2.391</v>
      </c>
      <c r="M662" s="1088">
        <v>4.51</v>
      </c>
      <c r="N662" s="1087">
        <f t="shared" si="285"/>
        <v>1.8862400669176076</v>
      </c>
      <c r="O662" s="1049"/>
      <c r="P662" s="1096">
        <f>P659/24</f>
        <v>5.1645833333333329</v>
      </c>
      <c r="Q662" s="1086">
        <v>8</v>
      </c>
      <c r="R662" s="1085">
        <v>9</v>
      </c>
      <c r="S662" s="1084">
        <v>2.08</v>
      </c>
      <c r="T662" s="1054">
        <f t="shared" si="286"/>
        <v>2.1215999999999999</v>
      </c>
      <c r="U662" s="1064">
        <v>4.3</v>
      </c>
      <c r="V662" s="1052">
        <f t="shared" si="289"/>
        <v>1.94</v>
      </c>
      <c r="W662" s="1049"/>
      <c r="X662" s="1051">
        <v>1.02</v>
      </c>
      <c r="Y662" s="1049"/>
      <c r="Z662" s="1050">
        <f t="shared" si="290"/>
        <v>7.28</v>
      </c>
      <c r="AA662" s="1096">
        <f>AA659/24</f>
        <v>7.0887499999999983</v>
      </c>
      <c r="AB662" s="1086">
        <v>8</v>
      </c>
      <c r="AC662" s="1085">
        <v>9</v>
      </c>
      <c r="AD662" s="1084">
        <v>2.36</v>
      </c>
      <c r="AE662" s="1143">
        <f t="shared" si="287"/>
        <v>0</v>
      </c>
      <c r="AF662" s="1142">
        <v>6.23</v>
      </c>
      <c r="AG662" s="1052">
        <f t="shared" si="291"/>
        <v>0.92</v>
      </c>
      <c r="AH662" s="1049"/>
      <c r="AI662" s="1142"/>
      <c r="AJ662" s="1049"/>
      <c r="AK662" s="1050">
        <f t="shared" si="292"/>
        <v>0</v>
      </c>
      <c r="AL662" s="1049"/>
      <c r="AM662" s="1096">
        <f>AM659/24</f>
        <v>0.53999999999999992</v>
      </c>
      <c r="AN662" s="1086">
        <v>8</v>
      </c>
      <c r="AO662" s="1085">
        <v>9</v>
      </c>
      <c r="AP662" s="1084">
        <v>0.34</v>
      </c>
      <c r="AQ662" s="1748">
        <f t="shared" si="288"/>
        <v>0</v>
      </c>
      <c r="AR662" s="1742">
        <v>0.87</v>
      </c>
      <c r="AS662" s="1052">
        <f t="shared" si="293"/>
        <v>0.92</v>
      </c>
      <c r="AT662" s="1049"/>
      <c r="AU662" s="1142"/>
      <c r="AV662" s="1049"/>
      <c r="AW662" s="1096">
        <f>AW659/24</f>
        <v>0.40749999999999997</v>
      </c>
      <c r="AX662" s="1086">
        <v>8</v>
      </c>
      <c r="AY662" s="1085">
        <v>9</v>
      </c>
      <c r="AZ662" s="1084">
        <v>0.21</v>
      </c>
      <c r="BA662" s="1736">
        <v>0.44</v>
      </c>
      <c r="BB662" s="1742">
        <f t="shared" si="294"/>
        <v>0.92</v>
      </c>
      <c r="BC662" s="1049"/>
      <c r="BD662" s="1142"/>
      <c r="BE662" s="1049"/>
      <c r="BF662" s="1096">
        <f>BF659/24</f>
        <v>0</v>
      </c>
      <c r="BG662" s="1086">
        <v>8</v>
      </c>
      <c r="BH662" s="1085">
        <v>9</v>
      </c>
      <c r="BI662" s="1874">
        <v>0.2</v>
      </c>
      <c r="BJ662" s="1736"/>
      <c r="BK662" s="1049"/>
      <c r="BL662" s="1096">
        <f>BL659/24</f>
        <v>0</v>
      </c>
      <c r="BM662" s="1086">
        <v>8</v>
      </c>
      <c r="BN662" s="1085">
        <v>9</v>
      </c>
      <c r="BO662" s="1084"/>
      <c r="BP662" s="1084"/>
      <c r="BQ662" s="1049"/>
    </row>
    <row r="663" spans="1:69" ht="14.4">
      <c r="A663" s="1049"/>
      <c r="B663" s="1097"/>
      <c r="C663" s="1086">
        <v>9</v>
      </c>
      <c r="D663" s="1085">
        <v>10</v>
      </c>
      <c r="E663" s="1091">
        <v>0.9</v>
      </c>
      <c r="F663" s="1090">
        <v>2.61</v>
      </c>
      <c r="G663" s="1089">
        <f t="shared" si="284"/>
        <v>2.9</v>
      </c>
      <c r="H663" s="1049"/>
      <c r="I663" s="1097"/>
      <c r="J663" s="1086">
        <v>9</v>
      </c>
      <c r="K663" s="1085">
        <v>10</v>
      </c>
      <c r="L663" s="1084">
        <v>2.113</v>
      </c>
      <c r="M663" s="1088">
        <v>5.69</v>
      </c>
      <c r="N663" s="1087">
        <f t="shared" si="285"/>
        <v>2.6928537624230953</v>
      </c>
      <c r="O663" s="1049"/>
      <c r="P663" s="1096"/>
      <c r="Q663" s="1086">
        <v>9</v>
      </c>
      <c r="R663" s="1085">
        <v>10</v>
      </c>
      <c r="S663" s="1084">
        <v>2.13</v>
      </c>
      <c r="T663" s="1054">
        <f t="shared" si="286"/>
        <v>2.2578</v>
      </c>
      <c r="U663" s="1064">
        <v>4.4800000000000004</v>
      </c>
      <c r="V663" s="1052">
        <f t="shared" si="289"/>
        <v>1.98</v>
      </c>
      <c r="W663" s="1049"/>
      <c r="X663" s="1051">
        <v>1.06</v>
      </c>
      <c r="Y663" s="1049"/>
      <c r="Z663" s="1050">
        <f t="shared" si="290"/>
        <v>7.8384000000000009</v>
      </c>
      <c r="AA663" s="1096"/>
      <c r="AB663" s="1086">
        <v>9</v>
      </c>
      <c r="AC663" s="1085">
        <v>10</v>
      </c>
      <c r="AD663" s="1084">
        <v>2.39</v>
      </c>
      <c r="AE663" s="1143">
        <f t="shared" si="287"/>
        <v>0</v>
      </c>
      <c r="AF663" s="1142">
        <v>6.39</v>
      </c>
      <c r="AG663" s="1052">
        <f t="shared" si="291"/>
        <v>0.92</v>
      </c>
      <c r="AH663" s="1049"/>
      <c r="AI663" s="1142"/>
      <c r="AJ663" s="1049"/>
      <c r="AK663" s="1050">
        <f t="shared" si="292"/>
        <v>0</v>
      </c>
      <c r="AL663" s="1049"/>
      <c r="AM663" s="1096"/>
      <c r="AN663" s="1086">
        <v>9</v>
      </c>
      <c r="AO663" s="1085">
        <v>10</v>
      </c>
      <c r="AP663" s="1084">
        <v>0.24</v>
      </c>
      <c r="AQ663" s="1748">
        <f t="shared" si="288"/>
        <v>0</v>
      </c>
      <c r="AR663" s="1742">
        <v>0.48</v>
      </c>
      <c r="AS663" s="1052">
        <f t="shared" si="293"/>
        <v>0.92</v>
      </c>
      <c r="AT663" s="1049"/>
      <c r="AU663" s="1142"/>
      <c r="AV663" s="1049"/>
      <c r="AW663" s="1096"/>
      <c r="AX663" s="1086">
        <v>9</v>
      </c>
      <c r="AY663" s="1085">
        <v>10</v>
      </c>
      <c r="AZ663" s="1084">
        <v>0.17</v>
      </c>
      <c r="BA663" s="1736">
        <v>0.28999999999999998</v>
      </c>
      <c r="BB663" s="1742">
        <f t="shared" si="294"/>
        <v>0.92</v>
      </c>
      <c r="BC663" s="1049"/>
      <c r="BD663" s="1142"/>
      <c r="BE663" s="1049"/>
      <c r="BF663" s="1096"/>
      <c r="BG663" s="1086">
        <v>9</v>
      </c>
      <c r="BH663" s="1085">
        <v>10</v>
      </c>
      <c r="BI663" s="1874">
        <v>0.18</v>
      </c>
      <c r="BJ663" s="1736"/>
      <c r="BK663" s="1049"/>
      <c r="BL663" s="1096"/>
      <c r="BM663" s="1086">
        <v>9</v>
      </c>
      <c r="BN663" s="1085">
        <v>10</v>
      </c>
      <c r="BO663" s="1084"/>
      <c r="BP663" s="1084"/>
      <c r="BQ663" s="1049"/>
    </row>
    <row r="664" spans="1:69" ht="14.4">
      <c r="A664" s="1049"/>
      <c r="B664" s="1060"/>
      <c r="C664" s="1086">
        <v>10</v>
      </c>
      <c r="D664" s="1085">
        <v>11</v>
      </c>
      <c r="E664" s="1091">
        <v>0.31</v>
      </c>
      <c r="F664" s="1090">
        <v>0.86</v>
      </c>
      <c r="G664" s="1089">
        <f t="shared" si="284"/>
        <v>2.7741935483870965</v>
      </c>
      <c r="H664" s="1049"/>
      <c r="I664" s="1060"/>
      <c r="J664" s="1086">
        <v>10</v>
      </c>
      <c r="K664" s="1085">
        <v>11</v>
      </c>
      <c r="L664" s="1084">
        <v>1.4890000000000001</v>
      </c>
      <c r="M664" s="1088">
        <v>5.01</v>
      </c>
      <c r="N664" s="1087">
        <f t="shared" si="285"/>
        <v>3.3646742780389518</v>
      </c>
      <c r="O664" s="1049"/>
      <c r="P664" s="1095">
        <f>SUM(Z654:Z677)</f>
        <v>290.66180000000003</v>
      </c>
      <c r="Q664" s="1086">
        <v>10</v>
      </c>
      <c r="R664" s="1085">
        <v>11</v>
      </c>
      <c r="S664" s="1084">
        <v>2.58</v>
      </c>
      <c r="T664" s="1054">
        <f t="shared" si="286"/>
        <v>2.6316000000000002</v>
      </c>
      <c r="U664" s="1064">
        <v>5.33</v>
      </c>
      <c r="V664" s="1052">
        <f t="shared" si="289"/>
        <v>1.94</v>
      </c>
      <c r="W664" s="1049"/>
      <c r="X664" s="1051">
        <v>1.02</v>
      </c>
      <c r="Y664" s="1049"/>
      <c r="Z664" s="1050">
        <f t="shared" si="290"/>
        <v>11.6874</v>
      </c>
      <c r="AA664" s="1095">
        <f>SUM(AK654:AK677)</f>
        <v>0</v>
      </c>
      <c r="AB664" s="1086">
        <v>10</v>
      </c>
      <c r="AC664" s="1085">
        <v>11</v>
      </c>
      <c r="AD664" s="1084">
        <v>2.93</v>
      </c>
      <c r="AE664" s="1143">
        <f t="shared" si="287"/>
        <v>0</v>
      </c>
      <c r="AF664" s="1142">
        <v>7.73</v>
      </c>
      <c r="AG664" s="1052">
        <f t="shared" si="291"/>
        <v>0.92</v>
      </c>
      <c r="AH664" s="1049"/>
      <c r="AI664" s="1142"/>
      <c r="AJ664" s="1049"/>
      <c r="AK664" s="1050">
        <f t="shared" si="292"/>
        <v>0</v>
      </c>
      <c r="AL664" s="1049"/>
      <c r="AM664" s="1095" t="e">
        <f>SUM(#REF!)</f>
        <v>#REF!</v>
      </c>
      <c r="AN664" s="1086">
        <v>10</v>
      </c>
      <c r="AO664" s="1085">
        <v>11</v>
      </c>
      <c r="AP664" s="1084">
        <v>0.16</v>
      </c>
      <c r="AQ664" s="1748">
        <f t="shared" si="288"/>
        <v>0</v>
      </c>
      <c r="AR664" s="1742">
        <v>0.31</v>
      </c>
      <c r="AS664" s="1052">
        <f t="shared" si="293"/>
        <v>0.92</v>
      </c>
      <c r="AT664" s="1049"/>
      <c r="AU664" s="1142"/>
      <c r="AV664" s="1049"/>
      <c r="AW664" s="1095" t="e">
        <f>SUM(#REF!)</f>
        <v>#REF!</v>
      </c>
      <c r="AX664" s="1086">
        <v>10</v>
      </c>
      <c r="AY664" s="1085">
        <v>11</v>
      </c>
      <c r="AZ664" s="1084">
        <v>0.13</v>
      </c>
      <c r="BA664" s="1736">
        <v>0.22</v>
      </c>
      <c r="BB664" s="1742">
        <f t="shared" si="294"/>
        <v>0.92</v>
      </c>
      <c r="BC664" s="1049"/>
      <c r="BD664" s="1142"/>
      <c r="BE664" s="1049"/>
      <c r="BF664" s="1095" t="e">
        <f>SUM(#REF!)</f>
        <v>#REF!</v>
      </c>
      <c r="BG664" s="1086">
        <v>10</v>
      </c>
      <c r="BH664" s="1085">
        <v>11</v>
      </c>
      <c r="BI664" s="1874">
        <v>0.36</v>
      </c>
      <c r="BJ664" s="1736"/>
      <c r="BK664" s="1049"/>
      <c r="BL664" s="1095" t="e">
        <f>SUM(#REF!)</f>
        <v>#REF!</v>
      </c>
      <c r="BM664" s="1086">
        <v>10</v>
      </c>
      <c r="BN664" s="1085">
        <v>11</v>
      </c>
      <c r="BO664" s="1084"/>
      <c r="BP664" s="1084"/>
      <c r="BQ664" s="1049"/>
    </row>
    <row r="665" spans="1:69" ht="14.4">
      <c r="A665" s="1049"/>
      <c r="B665" s="1060"/>
      <c r="C665" s="1086">
        <v>11</v>
      </c>
      <c r="D665" s="1085">
        <v>12</v>
      </c>
      <c r="E665" s="1091">
        <v>0.38</v>
      </c>
      <c r="F665" s="1090">
        <v>0.99</v>
      </c>
      <c r="G665" s="1089">
        <f t="shared" si="284"/>
        <v>2.6052631578947367</v>
      </c>
      <c r="H665" s="1049"/>
      <c r="I665" s="1060"/>
      <c r="J665" s="1086">
        <v>11</v>
      </c>
      <c r="K665" s="1085">
        <v>12</v>
      </c>
      <c r="L665" s="1084">
        <v>1.734</v>
      </c>
      <c r="M665" s="1088">
        <v>6.09</v>
      </c>
      <c r="N665" s="1087">
        <f t="shared" si="285"/>
        <v>3.5121107266435985</v>
      </c>
      <c r="O665" s="1049"/>
      <c r="P665" s="1093">
        <f>IF(P664&gt;0,P664/P656,0)</f>
        <v>5.1172852112676059</v>
      </c>
      <c r="Q665" s="1086">
        <v>11</v>
      </c>
      <c r="R665" s="1085">
        <v>12</v>
      </c>
      <c r="S665" s="1084">
        <v>2.13</v>
      </c>
      <c r="T665" s="1054">
        <f t="shared" si="286"/>
        <v>2.4281999999999995</v>
      </c>
      <c r="U665" s="1064">
        <v>4.66</v>
      </c>
      <c r="V665" s="1052">
        <f t="shared" si="289"/>
        <v>2.06</v>
      </c>
      <c r="W665" s="1049"/>
      <c r="X665" s="1051">
        <v>1.1399999999999999</v>
      </c>
      <c r="Y665" s="1049"/>
      <c r="Z665" s="1050">
        <f t="shared" si="290"/>
        <v>8.2218</v>
      </c>
      <c r="AA665" s="1093">
        <f>IF(AA664&gt;0,AA664/AA656,0)</f>
        <v>0</v>
      </c>
      <c r="AB665" s="1086">
        <v>11</v>
      </c>
      <c r="AC665" s="1085">
        <v>12</v>
      </c>
      <c r="AD665" s="1084">
        <v>3.25</v>
      </c>
      <c r="AE665" s="1143">
        <f t="shared" si="287"/>
        <v>0</v>
      </c>
      <c r="AF665" s="1142">
        <v>8.41</v>
      </c>
      <c r="AG665" s="1052">
        <f t="shared" si="291"/>
        <v>0.92</v>
      </c>
      <c r="AH665" s="1049"/>
      <c r="AI665" s="1142"/>
      <c r="AJ665" s="1049"/>
      <c r="AK665" s="1050">
        <f t="shared" si="292"/>
        <v>0</v>
      </c>
      <c r="AL665" s="1049"/>
      <c r="AM665" s="1093" t="e">
        <f>IF(AM664&gt;0,AM664/AM656,0)</f>
        <v>#REF!</v>
      </c>
      <c r="AN665" s="1086">
        <v>11</v>
      </c>
      <c r="AO665" s="1085">
        <v>12</v>
      </c>
      <c r="AP665" s="1084">
        <v>0.15</v>
      </c>
      <c r="AQ665" s="1748">
        <f t="shared" si="288"/>
        <v>0</v>
      </c>
      <c r="AR665" s="1742">
        <v>0.28000000000000003</v>
      </c>
      <c r="AS665" s="1052">
        <f t="shared" si="293"/>
        <v>0.92</v>
      </c>
      <c r="AT665" s="1049"/>
      <c r="AU665" s="1142"/>
      <c r="AV665" s="1049"/>
      <c r="AW665" s="1093" t="e">
        <f>IF(AW664&gt;0,AW664/AW656,0)</f>
        <v>#REF!</v>
      </c>
      <c r="AX665" s="1086">
        <v>11</v>
      </c>
      <c r="AY665" s="1085">
        <v>12</v>
      </c>
      <c r="AZ665" s="1084">
        <v>0.24</v>
      </c>
      <c r="BA665" s="1736">
        <v>0.38</v>
      </c>
      <c r="BB665" s="1742">
        <f t="shared" si="294"/>
        <v>0.92</v>
      </c>
      <c r="BC665" s="1049"/>
      <c r="BD665" s="1142"/>
      <c r="BE665" s="1049"/>
      <c r="BF665" s="1093" t="e">
        <f>IF(BF664&gt;0,BF664/BF656,0)</f>
        <v>#REF!</v>
      </c>
      <c r="BG665" s="1086">
        <v>11</v>
      </c>
      <c r="BH665" s="1085">
        <v>12</v>
      </c>
      <c r="BI665" s="1874">
        <v>0.25</v>
      </c>
      <c r="BJ665" s="1736"/>
      <c r="BK665" s="1049"/>
      <c r="BL665" s="1093" t="e">
        <f>IF(BL664&gt;0,BL664/BL656,0)</f>
        <v>#REF!</v>
      </c>
      <c r="BM665" s="1086">
        <v>11</v>
      </c>
      <c r="BN665" s="1085">
        <v>12</v>
      </c>
      <c r="BO665" s="1084"/>
      <c r="BP665" s="1084"/>
      <c r="BQ665" s="1049"/>
    </row>
    <row r="666" spans="1:69" ht="14.4">
      <c r="A666" s="1049"/>
      <c r="B666" s="1060"/>
      <c r="C666" s="1086">
        <v>12</v>
      </c>
      <c r="D666" s="1085">
        <v>13</v>
      </c>
      <c r="E666" s="1091">
        <v>0.7</v>
      </c>
      <c r="F666" s="1090">
        <v>1.79</v>
      </c>
      <c r="G666" s="1089">
        <f t="shared" si="284"/>
        <v>2.5571428571428574</v>
      </c>
      <c r="H666" s="1049"/>
      <c r="I666" s="1060"/>
      <c r="J666" s="1086">
        <v>12</v>
      </c>
      <c r="K666" s="1085">
        <v>13</v>
      </c>
      <c r="L666" s="1084">
        <v>1.3879999999999999</v>
      </c>
      <c r="M666" s="1088">
        <v>4.76</v>
      </c>
      <c r="N666" s="1087">
        <f t="shared" si="285"/>
        <v>3.4293948126801155</v>
      </c>
      <c r="O666" s="1049"/>
      <c r="P666" s="1060"/>
      <c r="Q666" s="1086">
        <v>12</v>
      </c>
      <c r="R666" s="1085">
        <v>13</v>
      </c>
      <c r="S666" s="1084">
        <v>2.81</v>
      </c>
      <c r="T666" s="1054">
        <f t="shared" si="286"/>
        <v>3.2595999999999998</v>
      </c>
      <c r="U666" s="1064">
        <v>6.18</v>
      </c>
      <c r="V666" s="1052">
        <f t="shared" si="289"/>
        <v>2.08</v>
      </c>
      <c r="W666" s="1049"/>
      <c r="X666" s="1051">
        <v>1.1599999999999999</v>
      </c>
      <c r="Y666" s="1049"/>
      <c r="Z666" s="1050">
        <f t="shared" si="290"/>
        <v>15.117800000000001</v>
      </c>
      <c r="AA666" s="1060"/>
      <c r="AB666" s="1086">
        <v>12</v>
      </c>
      <c r="AC666" s="1085">
        <v>13</v>
      </c>
      <c r="AD666" s="1084">
        <v>3.87</v>
      </c>
      <c r="AE666" s="1143">
        <f t="shared" si="287"/>
        <v>0</v>
      </c>
      <c r="AF666" s="1142">
        <v>9.77</v>
      </c>
      <c r="AG666" s="1052">
        <f t="shared" si="291"/>
        <v>0.92</v>
      </c>
      <c r="AH666" s="1049"/>
      <c r="AI666" s="1142"/>
      <c r="AJ666" s="1049"/>
      <c r="AK666" s="1050">
        <f t="shared" si="292"/>
        <v>0</v>
      </c>
      <c r="AL666" s="1049"/>
      <c r="AM666" s="1060"/>
      <c r="AN666" s="1086">
        <v>12</v>
      </c>
      <c r="AO666" s="1085">
        <v>13</v>
      </c>
      <c r="AP666" s="1084">
        <v>0.15</v>
      </c>
      <c r="AQ666" s="1748">
        <f t="shared" si="288"/>
        <v>0</v>
      </c>
      <c r="AR666" s="1742">
        <v>0.28000000000000003</v>
      </c>
      <c r="AS666" s="1052">
        <f t="shared" si="293"/>
        <v>0.92</v>
      </c>
      <c r="AT666" s="1049"/>
      <c r="AU666" s="1142"/>
      <c r="AV666" s="1049"/>
      <c r="AW666" s="1060"/>
      <c r="AX666" s="1086">
        <v>12</v>
      </c>
      <c r="AY666" s="1085">
        <v>13</v>
      </c>
      <c r="AZ666" s="1084">
        <v>0.53</v>
      </c>
      <c r="BA666" s="1736">
        <v>0.77</v>
      </c>
      <c r="BB666" s="1742">
        <f t="shared" si="294"/>
        <v>0.92</v>
      </c>
      <c r="BC666" s="1049"/>
      <c r="BD666" s="1142"/>
      <c r="BE666" s="1049"/>
      <c r="BF666" s="1060"/>
      <c r="BG666" s="1086">
        <v>12</v>
      </c>
      <c r="BH666" s="1085">
        <v>13</v>
      </c>
      <c r="BI666" s="1874">
        <v>0.14000000000000001</v>
      </c>
      <c r="BJ666" s="1736"/>
      <c r="BK666" s="1049"/>
      <c r="BL666" s="1060"/>
      <c r="BM666" s="1086">
        <v>12</v>
      </c>
      <c r="BN666" s="1085">
        <v>13</v>
      </c>
      <c r="BO666" s="1084"/>
      <c r="BP666" s="1084"/>
      <c r="BQ666" s="1049"/>
    </row>
    <row r="667" spans="1:69" ht="14.4">
      <c r="A667" s="1049"/>
      <c r="B667" s="1060"/>
      <c r="C667" s="1086">
        <v>13</v>
      </c>
      <c r="D667" s="1085">
        <v>14</v>
      </c>
      <c r="E667" s="1091">
        <v>0.57999999999999996</v>
      </c>
      <c r="F667" s="1090">
        <v>1.45</v>
      </c>
      <c r="G667" s="1089">
        <f t="shared" si="284"/>
        <v>2.5</v>
      </c>
      <c r="H667" s="1049"/>
      <c r="I667" s="1060"/>
      <c r="J667" s="1086">
        <v>13</v>
      </c>
      <c r="K667" s="1085">
        <v>14</v>
      </c>
      <c r="L667" s="1084">
        <v>2.2999999999999998</v>
      </c>
      <c r="M667" s="1088">
        <v>5.33</v>
      </c>
      <c r="N667" s="1087">
        <f t="shared" si="285"/>
        <v>2.3173913043478263</v>
      </c>
      <c r="O667" s="1049"/>
      <c r="P667" s="1092" t="s">
        <v>1127</v>
      </c>
      <c r="Q667" s="1086">
        <v>13</v>
      </c>
      <c r="R667" s="1085">
        <v>14</v>
      </c>
      <c r="S667" s="1084">
        <v>3.7</v>
      </c>
      <c r="T667" s="1054">
        <f t="shared" si="286"/>
        <v>4.7730000000000006</v>
      </c>
      <c r="U667" s="1064">
        <v>8.64</v>
      </c>
      <c r="V667" s="1052">
        <f t="shared" si="289"/>
        <v>2.21</v>
      </c>
      <c r="W667" s="1049"/>
      <c r="X667" s="1051">
        <v>1.29</v>
      </c>
      <c r="Y667" s="1049"/>
      <c r="Z667" s="1050">
        <f t="shared" si="290"/>
        <v>29.008000000000003</v>
      </c>
      <c r="AA667" s="1092" t="s">
        <v>1127</v>
      </c>
      <c r="AB667" s="1086">
        <v>13</v>
      </c>
      <c r="AC667" s="1085">
        <v>14</v>
      </c>
      <c r="AD667" s="1084">
        <v>3.71</v>
      </c>
      <c r="AE667" s="1143">
        <f t="shared" si="287"/>
        <v>0</v>
      </c>
      <c r="AF667" s="1142">
        <v>9.27</v>
      </c>
      <c r="AG667" s="1052">
        <f t="shared" si="291"/>
        <v>0.92</v>
      </c>
      <c r="AH667" s="1049"/>
      <c r="AI667" s="1142"/>
      <c r="AJ667" s="1049"/>
      <c r="AK667" s="1050">
        <f t="shared" si="292"/>
        <v>0</v>
      </c>
      <c r="AL667" s="1049"/>
      <c r="AM667" s="1092" t="s">
        <v>1127</v>
      </c>
      <c r="AN667" s="1086">
        <v>13</v>
      </c>
      <c r="AO667" s="1085">
        <v>14</v>
      </c>
      <c r="AP667" s="1084">
        <v>0.38</v>
      </c>
      <c r="AQ667" s="1748">
        <f t="shared" si="288"/>
        <v>0</v>
      </c>
      <c r="AR667" s="1742">
        <v>0.68</v>
      </c>
      <c r="AS667" s="1052">
        <f t="shared" si="293"/>
        <v>0.92</v>
      </c>
      <c r="AT667" s="1049"/>
      <c r="AU667" s="1142"/>
      <c r="AV667" s="1049"/>
      <c r="AW667" s="1092" t="s">
        <v>1127</v>
      </c>
      <c r="AX667" s="1086">
        <v>13</v>
      </c>
      <c r="AY667" s="1085">
        <v>14</v>
      </c>
      <c r="AZ667" s="1084">
        <v>0.4</v>
      </c>
      <c r="BA667" s="1736">
        <v>0.53</v>
      </c>
      <c r="BB667" s="1742">
        <f t="shared" si="294"/>
        <v>0.92</v>
      </c>
      <c r="BC667" s="1049"/>
      <c r="BD667" s="1142"/>
      <c r="BE667" s="1049"/>
      <c r="BF667" s="1092" t="s">
        <v>1127</v>
      </c>
      <c r="BG667" s="1086">
        <v>13</v>
      </c>
      <c r="BH667" s="1085">
        <v>14</v>
      </c>
      <c r="BI667" s="1874">
        <v>0.05</v>
      </c>
      <c r="BJ667" s="1736"/>
      <c r="BK667" s="1049"/>
      <c r="BL667" s="1092" t="s">
        <v>1127</v>
      </c>
      <c r="BM667" s="1086">
        <v>13</v>
      </c>
      <c r="BN667" s="1085">
        <v>14</v>
      </c>
      <c r="BO667" s="1084"/>
      <c r="BP667" s="1084"/>
      <c r="BQ667" s="1049"/>
    </row>
    <row r="668" spans="1:69" ht="14.4">
      <c r="A668" s="1049"/>
      <c r="B668" s="1060"/>
      <c r="C668" s="1086">
        <v>14</v>
      </c>
      <c r="D668" s="1085">
        <v>15</v>
      </c>
      <c r="E668" s="1091">
        <v>0.48</v>
      </c>
      <c r="F668" s="1090">
        <v>1.22</v>
      </c>
      <c r="G668" s="1089">
        <f t="shared" si="284"/>
        <v>2.5416666666666665</v>
      </c>
      <c r="H668" s="1049"/>
      <c r="I668" s="1060"/>
      <c r="J668" s="1086">
        <v>14</v>
      </c>
      <c r="K668" s="1085" t="s">
        <v>144</v>
      </c>
      <c r="L668" s="1084">
        <v>2.41</v>
      </c>
      <c r="M668" s="1088">
        <v>8.16</v>
      </c>
      <c r="N668" s="1087">
        <f t="shared" si="285"/>
        <v>3.3858921161825726</v>
      </c>
      <c r="O668" s="1049"/>
      <c r="P668" s="1058">
        <f>P656*0.8</f>
        <v>45.44</v>
      </c>
      <c r="Q668" s="1086">
        <v>14</v>
      </c>
      <c r="R668" s="1085">
        <v>15</v>
      </c>
      <c r="S668" s="1084">
        <v>3.52</v>
      </c>
      <c r="T668" s="1054">
        <f t="shared" si="286"/>
        <v>4.9984000000000002</v>
      </c>
      <c r="U668" s="1064">
        <v>8.6999999999999993</v>
      </c>
      <c r="V668" s="1052">
        <f t="shared" si="289"/>
        <v>2.34</v>
      </c>
      <c r="W668" s="1049"/>
      <c r="X668" s="1051">
        <v>1.42</v>
      </c>
      <c r="Y668" s="1049"/>
      <c r="Z668" s="1050">
        <f t="shared" si="290"/>
        <v>27.808</v>
      </c>
      <c r="AA668" s="1058">
        <f>AA656*0.8</f>
        <v>53.808000000000021</v>
      </c>
      <c r="AB668" s="1086">
        <v>14</v>
      </c>
      <c r="AC668" s="1085">
        <v>15</v>
      </c>
      <c r="AD668" s="1084">
        <v>3.38</v>
      </c>
      <c r="AE668" s="1143">
        <f t="shared" si="287"/>
        <v>0</v>
      </c>
      <c r="AF668" s="1142">
        <v>8.4700000000000006</v>
      </c>
      <c r="AG668" s="1052">
        <f t="shared" si="291"/>
        <v>0.92</v>
      </c>
      <c r="AH668" s="1049"/>
      <c r="AI668" s="1142"/>
      <c r="AJ668" s="1049"/>
      <c r="AK668" s="1050">
        <f t="shared" si="292"/>
        <v>0</v>
      </c>
      <c r="AL668" s="1049"/>
      <c r="AM668" s="1058">
        <f>AM656*0.8</f>
        <v>4.4080000000000004</v>
      </c>
      <c r="AN668" s="1086">
        <v>14</v>
      </c>
      <c r="AO668" s="1085">
        <v>15</v>
      </c>
      <c r="AP668" s="1084">
        <v>0.44</v>
      </c>
      <c r="AQ668" s="1748">
        <f t="shared" si="288"/>
        <v>0</v>
      </c>
      <c r="AR668" s="1742">
        <v>0.9</v>
      </c>
      <c r="AS668" s="1052">
        <f t="shared" si="293"/>
        <v>0.92</v>
      </c>
      <c r="AT668" s="1049"/>
      <c r="AU668" s="1142"/>
      <c r="AV668" s="1049"/>
      <c r="AW668" s="1058">
        <f>AW656*0.8</f>
        <v>4.4560000000000004</v>
      </c>
      <c r="AX668" s="1086">
        <v>14</v>
      </c>
      <c r="AY668" s="1085">
        <v>15</v>
      </c>
      <c r="AZ668" s="1084">
        <v>0.28000000000000003</v>
      </c>
      <c r="BA668" s="1736">
        <v>0.34</v>
      </c>
      <c r="BB668" s="1742">
        <f t="shared" si="294"/>
        <v>0.92</v>
      </c>
      <c r="BC668" s="1049"/>
      <c r="BD668" s="1142"/>
      <c r="BE668" s="1049"/>
      <c r="BF668" s="1058">
        <f>BF656*0.8</f>
        <v>5.56</v>
      </c>
      <c r="BG668" s="1086">
        <v>14</v>
      </c>
      <c r="BH668" s="1085">
        <v>15</v>
      </c>
      <c r="BI668" s="1874">
        <v>0.47</v>
      </c>
      <c r="BJ668" s="1736"/>
      <c r="BK668" s="1049"/>
      <c r="BL668" s="1058">
        <f>BL656*0.8</f>
        <v>0</v>
      </c>
      <c r="BM668" s="1086">
        <v>14</v>
      </c>
      <c r="BN668" s="1085">
        <v>15</v>
      </c>
      <c r="BO668" s="1084"/>
      <c r="BP668" s="1084"/>
      <c r="BQ668" s="1049"/>
    </row>
    <row r="669" spans="1:69" ht="14.4">
      <c r="A669" s="1049"/>
      <c r="B669" s="1060"/>
      <c r="C669" s="1086">
        <v>15</v>
      </c>
      <c r="D669" s="1085">
        <v>16</v>
      </c>
      <c r="E669" s="1091">
        <v>0.61</v>
      </c>
      <c r="F669" s="1090">
        <v>1.63</v>
      </c>
      <c r="G669" s="1089">
        <f t="shared" si="284"/>
        <v>2.6721311475409837</v>
      </c>
      <c r="H669" s="1049"/>
      <c r="I669" s="1060"/>
      <c r="J669" s="1086">
        <v>15</v>
      </c>
      <c r="K669" s="1085"/>
      <c r="L669" s="1084">
        <v>2.379</v>
      </c>
      <c r="M669" s="1088">
        <v>8.31</v>
      </c>
      <c r="N669" s="1087">
        <f t="shared" si="285"/>
        <v>3.4930643127364442</v>
      </c>
      <c r="O669" s="1049"/>
      <c r="P669" s="1058" t="s">
        <v>1126</v>
      </c>
      <c r="Q669" s="1086">
        <v>15</v>
      </c>
      <c r="R669" s="1085">
        <v>16</v>
      </c>
      <c r="S669" s="1084">
        <v>3.72</v>
      </c>
      <c r="T669" s="1054">
        <f t="shared" si="286"/>
        <v>5.4312000000000005</v>
      </c>
      <c r="U669" s="1064">
        <v>9.33</v>
      </c>
      <c r="V669" s="1052">
        <f t="shared" si="289"/>
        <v>2.38</v>
      </c>
      <c r="W669" s="1049"/>
      <c r="X669" s="1051">
        <v>1.46</v>
      </c>
      <c r="Y669" s="1049"/>
      <c r="Z669" s="1050">
        <f t="shared" si="290"/>
        <v>31.7316</v>
      </c>
      <c r="AA669" s="1058" t="s">
        <v>1126</v>
      </c>
      <c r="AB669" s="1086">
        <v>15</v>
      </c>
      <c r="AC669" s="1085">
        <v>16</v>
      </c>
      <c r="AD669" s="1084">
        <v>3.35</v>
      </c>
      <c r="AE669" s="1143">
        <f t="shared" si="287"/>
        <v>0</v>
      </c>
      <c r="AF669" s="1142">
        <v>8.52</v>
      </c>
      <c r="AG669" s="1052">
        <f t="shared" si="291"/>
        <v>0.92</v>
      </c>
      <c r="AH669" s="1049"/>
      <c r="AI669" s="1142"/>
      <c r="AJ669" s="1049"/>
      <c r="AK669" s="1050">
        <f t="shared" si="292"/>
        <v>0</v>
      </c>
      <c r="AL669" s="1049"/>
      <c r="AM669" s="1058" t="s">
        <v>1126</v>
      </c>
      <c r="AN669" s="1086">
        <v>15</v>
      </c>
      <c r="AO669" s="1085">
        <v>16</v>
      </c>
      <c r="AP669" s="1084">
        <v>0.38</v>
      </c>
      <c r="AQ669" s="1748">
        <f t="shared" si="288"/>
        <v>0</v>
      </c>
      <c r="AR669" s="1742">
        <v>0.78</v>
      </c>
      <c r="AS669" s="1052">
        <f t="shared" si="293"/>
        <v>0.92</v>
      </c>
      <c r="AT669" s="1049"/>
      <c r="AU669" s="1142"/>
      <c r="AV669" s="1049"/>
      <c r="AW669" s="1058" t="s">
        <v>1126</v>
      </c>
      <c r="AX669" s="1086">
        <v>15</v>
      </c>
      <c r="AY669" s="1085">
        <v>16</v>
      </c>
      <c r="AZ669" s="1084">
        <v>0.22</v>
      </c>
      <c r="BA669" s="1736">
        <v>0.28000000000000003</v>
      </c>
      <c r="BB669" s="1742">
        <f t="shared" si="294"/>
        <v>0.92</v>
      </c>
      <c r="BC669" s="1049"/>
      <c r="BD669" s="1142"/>
      <c r="BE669" s="1049"/>
      <c r="BF669" s="1058" t="s">
        <v>1126</v>
      </c>
      <c r="BG669" s="1086">
        <v>15</v>
      </c>
      <c r="BH669" s="1085">
        <v>16</v>
      </c>
      <c r="BI669" s="1874">
        <v>0.4</v>
      </c>
      <c r="BJ669" s="1736"/>
      <c r="BK669" s="1049"/>
      <c r="BL669" s="1058" t="s">
        <v>1126</v>
      </c>
      <c r="BM669" s="1086">
        <v>15</v>
      </c>
      <c r="BN669" s="1085">
        <v>16</v>
      </c>
      <c r="BO669" s="1084"/>
      <c r="BP669" s="1084"/>
      <c r="BQ669" s="1049"/>
    </row>
    <row r="670" spans="1:69" ht="15" thickBot="1">
      <c r="A670" s="1049"/>
      <c r="B670" s="1060"/>
      <c r="C670" s="1077">
        <v>16</v>
      </c>
      <c r="D670" s="1076">
        <v>17</v>
      </c>
      <c r="E670" s="1083">
        <v>0.47</v>
      </c>
      <c r="F670" s="1082">
        <v>1.34</v>
      </c>
      <c r="G670" s="1081">
        <f t="shared" si="284"/>
        <v>2.8510638297872344</v>
      </c>
      <c r="H670" s="1049"/>
      <c r="I670" s="1060"/>
      <c r="J670" s="1077">
        <v>16</v>
      </c>
      <c r="K670" s="1076">
        <v>17</v>
      </c>
      <c r="L670" s="1075">
        <v>2.121</v>
      </c>
      <c r="M670" s="1080">
        <v>7.09</v>
      </c>
      <c r="N670" s="1079">
        <f t="shared" si="285"/>
        <v>3.3427628477133426</v>
      </c>
      <c r="O670" s="1049"/>
      <c r="P670" s="1078">
        <f>P656*(X653-0.8)</f>
        <v>28.470999999999986</v>
      </c>
      <c r="Q670" s="1077">
        <v>16</v>
      </c>
      <c r="R670" s="1076">
        <v>17</v>
      </c>
      <c r="S670" s="1075">
        <v>2.73</v>
      </c>
      <c r="T670" s="1054">
        <f t="shared" si="286"/>
        <v>4.0949999999999998</v>
      </c>
      <c r="U670" s="1064">
        <v>6.97</v>
      </c>
      <c r="V670" s="1052">
        <f t="shared" si="289"/>
        <v>2.42</v>
      </c>
      <c r="W670" s="1049"/>
      <c r="X670" s="1074">
        <v>1.5</v>
      </c>
      <c r="Y670" s="1049"/>
      <c r="Z670" s="1050">
        <f t="shared" si="290"/>
        <v>16.844100000000001</v>
      </c>
      <c r="AA670" s="1078" t="e">
        <f>AA656*(AI653-0.8)</f>
        <v>#DIV/0!</v>
      </c>
      <c r="AB670" s="1077">
        <v>16</v>
      </c>
      <c r="AC670" s="1076">
        <v>17</v>
      </c>
      <c r="AD670" s="1075">
        <v>3.38</v>
      </c>
      <c r="AE670" s="1141">
        <f t="shared" si="287"/>
        <v>0</v>
      </c>
      <c r="AF670" s="1140">
        <v>8.6999999999999993</v>
      </c>
      <c r="AG670" s="1052">
        <f t="shared" si="291"/>
        <v>0.92</v>
      </c>
      <c r="AH670" s="1049"/>
      <c r="AI670" s="1140"/>
      <c r="AJ670" s="1049"/>
      <c r="AK670" s="1050">
        <f t="shared" si="292"/>
        <v>0</v>
      </c>
      <c r="AL670" s="1049"/>
      <c r="AM670" s="1078" t="e">
        <f>AM656*(AU653-0.8)</f>
        <v>#DIV/0!</v>
      </c>
      <c r="AN670" s="1077">
        <v>16</v>
      </c>
      <c r="AO670" s="1076">
        <v>17</v>
      </c>
      <c r="AP670" s="1075">
        <v>0.35</v>
      </c>
      <c r="AQ670" s="1749">
        <f t="shared" si="288"/>
        <v>0</v>
      </c>
      <c r="AR670" s="1743">
        <v>0.79</v>
      </c>
      <c r="AS670" s="1052">
        <f t="shared" si="293"/>
        <v>0.92</v>
      </c>
      <c r="AT670" s="1049"/>
      <c r="AU670" s="1140"/>
      <c r="AV670" s="1049"/>
      <c r="AW670" s="1078" t="e">
        <f>AW656*(BD653-0.8)</f>
        <v>#DIV/0!</v>
      </c>
      <c r="AX670" s="1077">
        <v>16</v>
      </c>
      <c r="AY670" s="1076">
        <v>17</v>
      </c>
      <c r="AZ670" s="1075">
        <v>0.34</v>
      </c>
      <c r="BA670" s="1738">
        <v>0.44</v>
      </c>
      <c r="BB670" s="1743">
        <f t="shared" si="294"/>
        <v>0.92</v>
      </c>
      <c r="BC670" s="1049"/>
      <c r="BD670" s="1140"/>
      <c r="BE670" s="1049"/>
      <c r="BF670" s="1078">
        <f>BF656*(BM653-0.8)</f>
        <v>-5.56</v>
      </c>
      <c r="BG670" s="1077">
        <v>16</v>
      </c>
      <c r="BH670" s="1076">
        <v>17</v>
      </c>
      <c r="BI670" s="1874">
        <v>0.32</v>
      </c>
      <c r="BJ670" s="1738"/>
      <c r="BK670" s="1049"/>
      <c r="BL670" s="1078">
        <f>BL656*(BS653-0.8)</f>
        <v>0</v>
      </c>
      <c r="BM670" s="1077">
        <v>16</v>
      </c>
      <c r="BN670" s="1076">
        <v>17</v>
      </c>
      <c r="BO670" s="1075"/>
      <c r="BP670" s="1075"/>
      <c r="BQ670" s="1049"/>
    </row>
    <row r="671" spans="1:69" ht="14.4">
      <c r="A671" s="1049"/>
      <c r="B671" s="1060"/>
      <c r="C671" s="1068">
        <v>17</v>
      </c>
      <c r="D671" s="1067">
        <v>18</v>
      </c>
      <c r="E671" s="1073">
        <v>0.47</v>
      </c>
      <c r="F671" s="1072">
        <v>1.7</v>
      </c>
      <c r="G671" s="1071">
        <f t="shared" si="284"/>
        <v>3.6170212765957448</v>
      </c>
      <c r="H671" s="1049"/>
      <c r="I671" s="1060"/>
      <c r="J671" s="1068">
        <v>17</v>
      </c>
      <c r="K671" s="1067">
        <v>18</v>
      </c>
      <c r="L671" s="1066">
        <v>1.577</v>
      </c>
      <c r="M671" s="1070">
        <v>6.61</v>
      </c>
      <c r="N671" s="1069">
        <f t="shared" si="285"/>
        <v>4.1915028535193413</v>
      </c>
      <c r="O671" s="1049"/>
      <c r="P671" s="1058"/>
      <c r="Q671" s="1068">
        <v>17</v>
      </c>
      <c r="R671" s="1067">
        <v>18</v>
      </c>
      <c r="S671" s="1066">
        <v>2.92</v>
      </c>
      <c r="T671" s="1054">
        <f t="shared" si="286"/>
        <v>4.7012</v>
      </c>
      <c r="U671" s="1064">
        <v>7.73</v>
      </c>
      <c r="V671" s="1052">
        <f t="shared" si="289"/>
        <v>2.5300000000000002</v>
      </c>
      <c r="W671" s="1049"/>
      <c r="X671" s="1065">
        <v>1.61</v>
      </c>
      <c r="Y671" s="1049"/>
      <c r="Z671" s="1050">
        <f t="shared" si="290"/>
        <v>20.235600000000002</v>
      </c>
      <c r="AA671" s="1058"/>
      <c r="AB671" s="1068">
        <v>17</v>
      </c>
      <c r="AC671" s="1067">
        <v>18</v>
      </c>
      <c r="AD671" s="1066">
        <v>3.41</v>
      </c>
      <c r="AE671" s="1139">
        <f t="shared" si="287"/>
        <v>0</v>
      </c>
      <c r="AF671" s="1138">
        <v>11.74</v>
      </c>
      <c r="AG671" s="1052">
        <f t="shared" si="291"/>
        <v>0.92</v>
      </c>
      <c r="AH671" s="1049"/>
      <c r="AI671" s="1138"/>
      <c r="AJ671" s="1049"/>
      <c r="AK671" s="1050">
        <f t="shared" si="292"/>
        <v>0</v>
      </c>
      <c r="AL671" s="1049"/>
      <c r="AM671" s="1058"/>
      <c r="AN671" s="1068">
        <v>17</v>
      </c>
      <c r="AO671" s="1067">
        <v>18</v>
      </c>
      <c r="AP671" s="1066">
        <v>0.31</v>
      </c>
      <c r="AQ671" s="1750">
        <f t="shared" si="288"/>
        <v>0</v>
      </c>
      <c r="AR671" s="1744">
        <v>0.99</v>
      </c>
      <c r="AS671" s="1052">
        <f t="shared" si="293"/>
        <v>0.92</v>
      </c>
      <c r="AT671" s="1049"/>
      <c r="AU671" s="1138"/>
      <c r="AV671" s="1049"/>
      <c r="AW671" s="1058"/>
      <c r="AX671" s="1068">
        <v>17</v>
      </c>
      <c r="AY671" s="1067">
        <v>18</v>
      </c>
      <c r="AZ671" s="1066">
        <v>0.4</v>
      </c>
      <c r="BA671" s="1740">
        <v>0.92</v>
      </c>
      <c r="BB671" s="1744">
        <f t="shared" si="294"/>
        <v>0.92</v>
      </c>
      <c r="BC671" s="1049"/>
      <c r="BD671" s="1138"/>
      <c r="BE671" s="1049"/>
      <c r="BF671" s="1058"/>
      <c r="BG671" s="1068">
        <v>17</v>
      </c>
      <c r="BH671" s="1067">
        <v>18</v>
      </c>
      <c r="BI671" s="1874">
        <v>1.55</v>
      </c>
      <c r="BJ671" s="1740"/>
      <c r="BK671" s="1049"/>
      <c r="BL671" s="1058"/>
      <c r="BM671" s="1068">
        <v>17</v>
      </c>
      <c r="BN671" s="1067">
        <v>18</v>
      </c>
      <c r="BO671" s="1066"/>
      <c r="BP671" s="1066"/>
      <c r="BQ671" s="1049"/>
    </row>
    <row r="672" spans="1:69" ht="14.4">
      <c r="A672" s="1049"/>
      <c r="B672" s="1060"/>
      <c r="C672" s="1057">
        <v>18</v>
      </c>
      <c r="D672" s="1056">
        <v>19</v>
      </c>
      <c r="E672" s="1063">
        <v>0.56999999999999995</v>
      </c>
      <c r="F672" s="1062">
        <v>2.06</v>
      </c>
      <c r="G672" s="1061">
        <f t="shared" si="284"/>
        <v>3.6140350877192988</v>
      </c>
      <c r="H672" s="1049"/>
      <c r="I672" s="1060"/>
      <c r="J672" s="1057">
        <v>18</v>
      </c>
      <c r="K672" s="1056">
        <v>19</v>
      </c>
      <c r="L672" s="1055">
        <v>1.542</v>
      </c>
      <c r="M672" s="1059">
        <v>6.63</v>
      </c>
      <c r="N672" s="1052">
        <f t="shared" si="285"/>
        <v>4.2996108949416341</v>
      </c>
      <c r="O672" s="1049"/>
      <c r="P672" s="1058"/>
      <c r="Q672" s="1057">
        <v>18</v>
      </c>
      <c r="R672" s="1056">
        <v>19</v>
      </c>
      <c r="S672" s="1055">
        <v>2.81</v>
      </c>
      <c r="T672" s="1054">
        <f t="shared" si="286"/>
        <v>4.6646000000000001</v>
      </c>
      <c r="U672" s="1064">
        <v>7.61</v>
      </c>
      <c r="V672" s="1052">
        <f t="shared" si="289"/>
        <v>2.58</v>
      </c>
      <c r="W672" s="1049"/>
      <c r="X672" s="1051">
        <v>1.66</v>
      </c>
      <c r="Y672" s="1049"/>
      <c r="Z672" s="1050">
        <f t="shared" si="290"/>
        <v>19.136100000000003</v>
      </c>
      <c r="AA672" s="1058"/>
      <c r="AB672" s="1057">
        <v>18</v>
      </c>
      <c r="AC672" s="1056">
        <v>19</v>
      </c>
      <c r="AD672" s="1055">
        <v>2.67</v>
      </c>
      <c r="AE672" s="1137">
        <f t="shared" si="287"/>
        <v>0</v>
      </c>
      <c r="AF672" s="1136">
        <v>9.27</v>
      </c>
      <c r="AG672" s="1052">
        <f t="shared" si="291"/>
        <v>0.92</v>
      </c>
      <c r="AH672" s="1049"/>
      <c r="AI672" s="1136"/>
      <c r="AJ672" s="1049"/>
      <c r="AK672" s="1050">
        <f t="shared" si="292"/>
        <v>0</v>
      </c>
      <c r="AL672" s="1049"/>
      <c r="AM672" s="1058"/>
      <c r="AN672" s="1057">
        <v>18</v>
      </c>
      <c r="AO672" s="1056">
        <v>19</v>
      </c>
      <c r="AP672" s="1055">
        <v>0.38</v>
      </c>
      <c r="AQ672" s="1745">
        <f t="shared" si="288"/>
        <v>0</v>
      </c>
      <c r="AR672" s="1737">
        <v>1.28</v>
      </c>
      <c r="AS672" s="1052">
        <f t="shared" si="293"/>
        <v>0.92</v>
      </c>
      <c r="AT672" s="1049"/>
      <c r="AU672" s="1136"/>
      <c r="AV672" s="1049"/>
      <c r="AW672" s="1058"/>
      <c r="AX672" s="1057">
        <v>18</v>
      </c>
      <c r="AY672" s="1056">
        <v>19</v>
      </c>
      <c r="AZ672" s="1055">
        <v>0.44</v>
      </c>
      <c r="BA672" s="1736">
        <v>1.1000000000000001</v>
      </c>
      <c r="BB672" s="1737">
        <f t="shared" si="294"/>
        <v>0.92</v>
      </c>
      <c r="BC672" s="1049"/>
      <c r="BD672" s="1136"/>
      <c r="BE672" s="1049"/>
      <c r="BF672" s="1058"/>
      <c r="BG672" s="1057">
        <v>18</v>
      </c>
      <c r="BH672" s="1056">
        <v>19</v>
      </c>
      <c r="BI672" s="1874">
        <v>0.35</v>
      </c>
      <c r="BJ672" s="1736"/>
      <c r="BK672" s="1049"/>
      <c r="BL672" s="1058"/>
      <c r="BM672" s="1057">
        <v>18</v>
      </c>
      <c r="BN672" s="1056">
        <v>19</v>
      </c>
      <c r="BO672" s="1055"/>
      <c r="BP672" s="1055"/>
      <c r="BQ672" s="1049"/>
    </row>
    <row r="673" spans="1:69" ht="14.4">
      <c r="A673" s="1049"/>
      <c r="B673" s="1060"/>
      <c r="C673" s="1057">
        <v>19</v>
      </c>
      <c r="D673" s="1056">
        <v>20</v>
      </c>
      <c r="E673" s="1063">
        <v>0.53</v>
      </c>
      <c r="F673" s="1062">
        <v>1.86</v>
      </c>
      <c r="G673" s="1061">
        <f t="shared" si="284"/>
        <v>3.5094339622641511</v>
      </c>
      <c r="H673" s="1049"/>
      <c r="I673" s="1060"/>
      <c r="J673" s="1057">
        <v>19</v>
      </c>
      <c r="K673" s="1056">
        <v>20</v>
      </c>
      <c r="L673" s="1055">
        <v>1.516</v>
      </c>
      <c r="M673" s="1059">
        <v>6.53</v>
      </c>
      <c r="N673" s="1052">
        <f t="shared" si="285"/>
        <v>4.3073878627968343</v>
      </c>
      <c r="O673" s="1049"/>
      <c r="P673" s="1058"/>
      <c r="Q673" s="1057">
        <v>19</v>
      </c>
      <c r="R673" s="1056">
        <v>20</v>
      </c>
      <c r="S673" s="1055">
        <v>3.12</v>
      </c>
      <c r="T673" s="1054">
        <f t="shared" si="286"/>
        <v>4.9608000000000008</v>
      </c>
      <c r="U673" s="1064">
        <v>8.2200000000000006</v>
      </c>
      <c r="V673" s="1052">
        <f t="shared" si="289"/>
        <v>2.5100000000000002</v>
      </c>
      <c r="W673" s="1049"/>
      <c r="X673" s="1051">
        <v>1.59</v>
      </c>
      <c r="Y673" s="1049"/>
      <c r="Z673" s="1050">
        <f t="shared" si="290"/>
        <v>23.150400000000005</v>
      </c>
      <c r="AA673" s="1058"/>
      <c r="AB673" s="1057">
        <v>19</v>
      </c>
      <c r="AC673" s="1056">
        <v>20</v>
      </c>
      <c r="AD673" s="1055">
        <v>3.81</v>
      </c>
      <c r="AE673" s="1137">
        <f t="shared" si="287"/>
        <v>0</v>
      </c>
      <c r="AF673" s="1136">
        <v>12.97</v>
      </c>
      <c r="AG673" s="1052">
        <f t="shared" si="291"/>
        <v>0.92</v>
      </c>
      <c r="AH673" s="1049"/>
      <c r="AI673" s="1136"/>
      <c r="AJ673" s="1049"/>
      <c r="AK673" s="1050">
        <f t="shared" si="292"/>
        <v>0</v>
      </c>
      <c r="AL673" s="1049"/>
      <c r="AM673" s="1058"/>
      <c r="AN673" s="1057">
        <v>19</v>
      </c>
      <c r="AO673" s="1056">
        <v>20</v>
      </c>
      <c r="AP673" s="1055">
        <v>0.25</v>
      </c>
      <c r="AQ673" s="1745">
        <f t="shared" si="288"/>
        <v>0</v>
      </c>
      <c r="AR673" s="1737">
        <v>0.86</v>
      </c>
      <c r="AS673" s="1052">
        <f t="shared" si="293"/>
        <v>0.92</v>
      </c>
      <c r="AT673" s="1049"/>
      <c r="AU673" s="1136"/>
      <c r="AV673" s="1049"/>
      <c r="AW673" s="1058"/>
      <c r="AX673" s="1057">
        <v>19</v>
      </c>
      <c r="AY673" s="1056">
        <v>20</v>
      </c>
      <c r="AZ673" s="1055">
        <v>0.19</v>
      </c>
      <c r="BA673" s="1736">
        <v>0.52</v>
      </c>
      <c r="BB673" s="1737">
        <f t="shared" si="294"/>
        <v>0.92</v>
      </c>
      <c r="BC673" s="1049"/>
      <c r="BD673" s="1136"/>
      <c r="BE673" s="1049"/>
      <c r="BF673" s="1058"/>
      <c r="BG673" s="1057">
        <v>19</v>
      </c>
      <c r="BH673" s="1056">
        <v>20</v>
      </c>
      <c r="BI673" s="1874">
        <v>0.31</v>
      </c>
      <c r="BJ673" s="1736"/>
      <c r="BK673" s="1049"/>
      <c r="BL673" s="1058"/>
      <c r="BM673" s="1057">
        <v>19</v>
      </c>
      <c r="BN673" s="1056">
        <v>20</v>
      </c>
      <c r="BO673" s="1055"/>
      <c r="BP673" s="1055"/>
      <c r="BQ673" s="1049"/>
    </row>
    <row r="674" spans="1:69" ht="14.4">
      <c r="A674" s="1049"/>
      <c r="B674" s="1060"/>
      <c r="C674" s="1057">
        <v>20</v>
      </c>
      <c r="D674" s="1056">
        <v>21</v>
      </c>
      <c r="E674" s="1063">
        <v>0.53</v>
      </c>
      <c r="F674" s="1062">
        <v>1.48</v>
      </c>
      <c r="G674" s="1061">
        <f t="shared" si="284"/>
        <v>2.7924528301886791</v>
      </c>
      <c r="H674" s="1049"/>
      <c r="I674" s="1060"/>
      <c r="J674" s="1057">
        <v>20</v>
      </c>
      <c r="K674" s="1056">
        <v>21</v>
      </c>
      <c r="L674" s="1055">
        <v>1.526</v>
      </c>
      <c r="M674" s="1059">
        <v>4.29</v>
      </c>
      <c r="N674" s="1052">
        <f t="shared" si="285"/>
        <v>2.8112712975098297</v>
      </c>
      <c r="O674" s="1049"/>
      <c r="P674" s="1058"/>
      <c r="Q674" s="1057">
        <v>20</v>
      </c>
      <c r="R674" s="1056">
        <v>21</v>
      </c>
      <c r="S674" s="1055">
        <v>2.91</v>
      </c>
      <c r="T674" s="1054">
        <f t="shared" si="286"/>
        <v>4.3650000000000002</v>
      </c>
      <c r="U674" s="1064">
        <v>7.42</v>
      </c>
      <c r="V674" s="1052">
        <f t="shared" si="289"/>
        <v>2.42</v>
      </c>
      <c r="W674" s="1049"/>
      <c r="X674" s="1051">
        <v>1.5</v>
      </c>
      <c r="Y674" s="1049"/>
      <c r="Z674" s="1050">
        <f t="shared" si="290"/>
        <v>19.264200000000002</v>
      </c>
      <c r="AA674" s="1058"/>
      <c r="AB674" s="1057">
        <v>20</v>
      </c>
      <c r="AC674" s="1056">
        <v>21</v>
      </c>
      <c r="AD674" s="1055">
        <v>3.27</v>
      </c>
      <c r="AE674" s="1137">
        <f t="shared" si="287"/>
        <v>0</v>
      </c>
      <c r="AF674" s="1136">
        <v>8.1999999999999993</v>
      </c>
      <c r="AG674" s="1052">
        <f t="shared" si="291"/>
        <v>0.92</v>
      </c>
      <c r="AH674" s="1049"/>
      <c r="AI674" s="1136"/>
      <c r="AJ674" s="1049"/>
      <c r="AK674" s="1050">
        <f t="shared" si="292"/>
        <v>0</v>
      </c>
      <c r="AL674" s="1049"/>
      <c r="AM674" s="1058"/>
      <c r="AN674" s="1057">
        <v>20</v>
      </c>
      <c r="AO674" s="1056">
        <v>21</v>
      </c>
      <c r="AP674" s="1055">
        <v>0.15</v>
      </c>
      <c r="AQ674" s="1745">
        <f t="shared" si="288"/>
        <v>0</v>
      </c>
      <c r="AR674" s="1737">
        <v>0.37</v>
      </c>
      <c r="AS674" s="1052">
        <f t="shared" si="293"/>
        <v>0.92</v>
      </c>
      <c r="AT674" s="1049"/>
      <c r="AU674" s="1136"/>
      <c r="AV674" s="1049"/>
      <c r="AW674" s="1058"/>
      <c r="AX674" s="1057">
        <v>20</v>
      </c>
      <c r="AY674" s="1056">
        <v>21</v>
      </c>
      <c r="AZ674" s="1055">
        <v>0.2</v>
      </c>
      <c r="BA674" s="1736">
        <v>0.35</v>
      </c>
      <c r="BB674" s="1737">
        <f t="shared" si="294"/>
        <v>0.92</v>
      </c>
      <c r="BC674" s="1049"/>
      <c r="BD674" s="1136"/>
      <c r="BE674" s="1049"/>
      <c r="BF674" s="1058"/>
      <c r="BG674" s="1057">
        <v>20</v>
      </c>
      <c r="BH674" s="1056">
        <v>21</v>
      </c>
      <c r="BI674" s="1874">
        <v>0.38</v>
      </c>
      <c r="BJ674" s="1736"/>
      <c r="BK674" s="1049"/>
      <c r="BL674" s="1058"/>
      <c r="BM674" s="1057">
        <v>20</v>
      </c>
      <c r="BN674" s="1056">
        <v>21</v>
      </c>
      <c r="BO674" s="1055"/>
      <c r="BP674" s="1055"/>
      <c r="BQ674" s="1049"/>
    </row>
    <row r="675" spans="1:69" ht="14.4">
      <c r="A675" s="1049"/>
      <c r="B675" s="1060"/>
      <c r="C675" s="1057">
        <v>21</v>
      </c>
      <c r="D675" s="1056">
        <v>22</v>
      </c>
      <c r="E675" s="1063">
        <v>1.01</v>
      </c>
      <c r="F675" s="1062">
        <v>2.76</v>
      </c>
      <c r="G675" s="1061">
        <f t="shared" si="284"/>
        <v>2.7326732673267324</v>
      </c>
      <c r="H675" s="1049"/>
      <c r="I675" s="1060"/>
      <c r="J675" s="1057">
        <v>21</v>
      </c>
      <c r="K675" s="1056">
        <v>22</v>
      </c>
      <c r="L675" s="1055">
        <v>1.835</v>
      </c>
      <c r="M675" s="1059">
        <v>3.69</v>
      </c>
      <c r="N675" s="1052">
        <f t="shared" si="285"/>
        <v>2.0108991825613081</v>
      </c>
      <c r="O675" s="1049"/>
      <c r="P675" s="1058"/>
      <c r="Q675" s="1057">
        <v>21</v>
      </c>
      <c r="R675" s="1056">
        <v>22</v>
      </c>
      <c r="S675" s="1055">
        <v>2.96</v>
      </c>
      <c r="T675" s="1054">
        <f t="shared" si="286"/>
        <v>3.9368000000000003</v>
      </c>
      <c r="U675" s="1064">
        <v>7.03</v>
      </c>
      <c r="V675" s="1052">
        <f t="shared" si="289"/>
        <v>2.25</v>
      </c>
      <c r="W675" s="1049"/>
      <c r="X675" s="1051">
        <v>1.33</v>
      </c>
      <c r="Y675" s="1049"/>
      <c r="Z675" s="1050">
        <f t="shared" si="290"/>
        <v>18.440799999999999</v>
      </c>
      <c r="AA675" s="1058"/>
      <c r="AB675" s="1057">
        <v>21</v>
      </c>
      <c r="AC675" s="1056">
        <v>22</v>
      </c>
      <c r="AD675" s="1055">
        <v>2.95</v>
      </c>
      <c r="AE675" s="1137">
        <f t="shared" si="287"/>
        <v>0</v>
      </c>
      <c r="AF675" s="1136">
        <v>6.98</v>
      </c>
      <c r="AG675" s="1052">
        <f t="shared" si="291"/>
        <v>0.92</v>
      </c>
      <c r="AH675" s="1049"/>
      <c r="AI675" s="1136"/>
      <c r="AJ675" s="1049"/>
      <c r="AK675" s="1050">
        <f t="shared" si="292"/>
        <v>0</v>
      </c>
      <c r="AL675" s="1049"/>
      <c r="AM675" s="1058"/>
      <c r="AN675" s="1057">
        <v>21</v>
      </c>
      <c r="AO675" s="1056">
        <v>22</v>
      </c>
      <c r="AP675" s="1055">
        <v>0.11</v>
      </c>
      <c r="AQ675" s="1745">
        <f t="shared" si="288"/>
        <v>0</v>
      </c>
      <c r="AR675" s="1737">
        <v>0.25</v>
      </c>
      <c r="AS675" s="1052">
        <f t="shared" si="293"/>
        <v>0.92</v>
      </c>
      <c r="AT675" s="1049"/>
      <c r="AU675" s="1136"/>
      <c r="AV675" s="1049"/>
      <c r="AW675" s="1058"/>
      <c r="AX675" s="1057">
        <v>21</v>
      </c>
      <c r="AY675" s="1056">
        <v>22</v>
      </c>
      <c r="AZ675" s="1055">
        <v>0.38</v>
      </c>
      <c r="BA675" s="1736">
        <v>0.67</v>
      </c>
      <c r="BB675" s="1737">
        <f t="shared" si="294"/>
        <v>0.92</v>
      </c>
      <c r="BC675" s="1049"/>
      <c r="BD675" s="1136"/>
      <c r="BE675" s="1049"/>
      <c r="BF675" s="1058"/>
      <c r="BG675" s="1057">
        <v>21</v>
      </c>
      <c r="BH675" s="1056">
        <v>22</v>
      </c>
      <c r="BI675" s="1874">
        <v>0.28000000000000003</v>
      </c>
      <c r="BJ675" s="1736"/>
      <c r="BK675" s="1049"/>
      <c r="BL675" s="1058"/>
      <c r="BM675" s="1057">
        <v>21</v>
      </c>
      <c r="BN675" s="1056">
        <v>22</v>
      </c>
      <c r="BO675" s="1055"/>
      <c r="BP675" s="1055"/>
      <c r="BQ675" s="1049"/>
    </row>
    <row r="676" spans="1:69" ht="14.4">
      <c r="A676" s="1049"/>
      <c r="B676" s="1060"/>
      <c r="C676" s="1057">
        <v>22</v>
      </c>
      <c r="D676" s="1056">
        <v>23</v>
      </c>
      <c r="E676" s="1063">
        <v>0.42</v>
      </c>
      <c r="F676" s="1062">
        <v>1.1100000000000001</v>
      </c>
      <c r="G676" s="1061">
        <f t="shared" si="284"/>
        <v>2.6428571428571432</v>
      </c>
      <c r="H676" s="1049"/>
      <c r="I676" s="1060"/>
      <c r="J676" s="1057">
        <v>22</v>
      </c>
      <c r="K676" s="1056">
        <v>23</v>
      </c>
      <c r="L676" s="1055">
        <v>2.8530000000000002</v>
      </c>
      <c r="M676" s="1059">
        <v>3.95</v>
      </c>
      <c r="N676" s="1052">
        <f t="shared" si="285"/>
        <v>1.3845075359270942</v>
      </c>
      <c r="O676" s="1049"/>
      <c r="P676" s="1058"/>
      <c r="Q676" s="1057">
        <v>22</v>
      </c>
      <c r="R676" s="1056">
        <v>23</v>
      </c>
      <c r="S676" s="1055">
        <v>3</v>
      </c>
      <c r="T676" s="1054">
        <f t="shared" si="286"/>
        <v>3.3899999999999997</v>
      </c>
      <c r="U676" s="1064">
        <v>6.53</v>
      </c>
      <c r="V676" s="1052">
        <f t="shared" si="289"/>
        <v>2.0499999999999998</v>
      </c>
      <c r="W676" s="1049"/>
      <c r="X676" s="1051">
        <v>1.1299999999999999</v>
      </c>
      <c r="Y676" s="1049"/>
      <c r="Z676" s="1050">
        <f t="shared" si="290"/>
        <v>17.190000000000001</v>
      </c>
      <c r="AA676" s="1058"/>
      <c r="AB676" s="1057">
        <v>22</v>
      </c>
      <c r="AC676" s="1056">
        <v>23</v>
      </c>
      <c r="AD676" s="1055">
        <v>2.92</v>
      </c>
      <c r="AE676" s="1137">
        <f t="shared" si="287"/>
        <v>0</v>
      </c>
      <c r="AF676" s="1136">
        <v>6.61</v>
      </c>
      <c r="AG676" s="1052">
        <f t="shared" si="291"/>
        <v>0.92</v>
      </c>
      <c r="AH676" s="1049"/>
      <c r="AI676" s="1136"/>
      <c r="AJ676" s="1049"/>
      <c r="AK676" s="1050">
        <f t="shared" si="292"/>
        <v>0</v>
      </c>
      <c r="AL676" s="1049"/>
      <c r="AM676" s="1058"/>
      <c r="AN676" s="1057">
        <v>22</v>
      </c>
      <c r="AO676" s="1056">
        <v>23</v>
      </c>
      <c r="AP676" s="1055">
        <v>0.27</v>
      </c>
      <c r="AQ676" s="1745">
        <f t="shared" si="288"/>
        <v>0</v>
      </c>
      <c r="AR676" s="1737">
        <v>0.61</v>
      </c>
      <c r="AS676" s="1052">
        <f t="shared" si="293"/>
        <v>0.92</v>
      </c>
      <c r="AT676" s="1049"/>
      <c r="AU676" s="1136"/>
      <c r="AV676" s="1049"/>
      <c r="AW676" s="1058"/>
      <c r="AX676" s="1057">
        <v>22</v>
      </c>
      <c r="AY676" s="1056">
        <v>23</v>
      </c>
      <c r="AZ676" s="1055">
        <v>0.3</v>
      </c>
      <c r="BA676" s="1736">
        <v>0.54</v>
      </c>
      <c r="BB676" s="1737">
        <f t="shared" si="294"/>
        <v>0.92</v>
      </c>
      <c r="BC676" s="1049"/>
      <c r="BD676" s="1136"/>
      <c r="BE676" s="1049"/>
      <c r="BF676" s="1058"/>
      <c r="BG676" s="1057">
        <v>22</v>
      </c>
      <c r="BH676" s="1056">
        <v>23</v>
      </c>
      <c r="BI676" s="1874">
        <v>0.23</v>
      </c>
      <c r="BJ676" s="1736"/>
      <c r="BK676" s="1049"/>
      <c r="BL676" s="1058"/>
      <c r="BM676" s="1057">
        <v>22</v>
      </c>
      <c r="BN676" s="1056">
        <v>23</v>
      </c>
      <c r="BO676" s="1055"/>
      <c r="BP676" s="1055"/>
      <c r="BQ676" s="1049"/>
    </row>
    <row r="677" spans="1:69" ht="14.4">
      <c r="A677" s="1049"/>
      <c r="B677" s="1060"/>
      <c r="C677" s="1057">
        <v>23</v>
      </c>
      <c r="D677" s="1056">
        <v>24</v>
      </c>
      <c r="E677" s="1063">
        <v>0.36</v>
      </c>
      <c r="F677" s="1062">
        <v>0.88</v>
      </c>
      <c r="G677" s="1061">
        <f t="shared" si="284"/>
        <v>2.4444444444444446</v>
      </c>
      <c r="H677" s="1049"/>
      <c r="I677" s="1060"/>
      <c r="J677" s="1057">
        <v>23</v>
      </c>
      <c r="K677" s="1056">
        <v>24</v>
      </c>
      <c r="L677" s="1055">
        <v>2.4319999999999999</v>
      </c>
      <c r="M677" s="1059">
        <v>3.56</v>
      </c>
      <c r="N677" s="1052">
        <f t="shared" si="285"/>
        <v>1.4638157894736843</v>
      </c>
      <c r="O677" s="1049"/>
      <c r="P677" s="1058"/>
      <c r="Q677" s="1057">
        <v>23</v>
      </c>
      <c r="R677" s="1056">
        <v>24</v>
      </c>
      <c r="S677" s="1055">
        <v>3.01</v>
      </c>
      <c r="T677" s="1054">
        <f t="shared" si="286"/>
        <v>2.7993000000000001</v>
      </c>
      <c r="U677" s="1053">
        <v>5.93</v>
      </c>
      <c r="V677" s="1052">
        <f t="shared" si="289"/>
        <v>1.85</v>
      </c>
      <c r="W677" s="1049"/>
      <c r="X677" s="1051">
        <v>0.93</v>
      </c>
      <c r="Y677" s="1049"/>
      <c r="Z677" s="1050">
        <f t="shared" si="290"/>
        <v>15.441299999999998</v>
      </c>
      <c r="AA677" s="1058"/>
      <c r="AB677" s="1057">
        <v>23</v>
      </c>
      <c r="AC677" s="1056">
        <v>24</v>
      </c>
      <c r="AD677" s="1055">
        <v>2.93</v>
      </c>
      <c r="AE677" s="1137">
        <f t="shared" si="287"/>
        <v>0</v>
      </c>
      <c r="AF677" s="1136">
        <v>6.38</v>
      </c>
      <c r="AG677" s="1052">
        <f t="shared" si="291"/>
        <v>0.92</v>
      </c>
      <c r="AH677" s="1049"/>
      <c r="AI677" s="1136"/>
      <c r="AJ677" s="1049"/>
      <c r="AK677" s="1050">
        <f t="shared" si="292"/>
        <v>0</v>
      </c>
      <c r="AL677" s="1049"/>
      <c r="AM677" s="1058"/>
      <c r="AN677" s="1057">
        <v>23</v>
      </c>
      <c r="AO677" s="1056">
        <v>24</v>
      </c>
      <c r="AP677" s="1055">
        <v>0.21</v>
      </c>
      <c r="AQ677" s="1745">
        <f t="shared" si="288"/>
        <v>0</v>
      </c>
      <c r="AR677" s="1737">
        <v>0.46</v>
      </c>
      <c r="AS677" s="1052">
        <f t="shared" si="293"/>
        <v>0.92</v>
      </c>
      <c r="AT677" s="1049"/>
      <c r="AU677" s="1136"/>
      <c r="AV677" s="1049"/>
      <c r="AW677" s="1058"/>
      <c r="AX677" s="1057">
        <v>23</v>
      </c>
      <c r="AY677" s="1056">
        <v>24</v>
      </c>
      <c r="AZ677" s="1055">
        <v>0.26</v>
      </c>
      <c r="BA677" s="1736">
        <v>0.44</v>
      </c>
      <c r="BB677" s="1737">
        <f t="shared" si="294"/>
        <v>0.92</v>
      </c>
      <c r="BC677" s="1049"/>
      <c r="BD677" s="1136"/>
      <c r="BE677" s="1049"/>
      <c r="BF677" s="1058"/>
      <c r="BG677" s="1057">
        <v>23</v>
      </c>
      <c r="BH677" s="1056">
        <v>24</v>
      </c>
      <c r="BI677" s="1874">
        <v>0.18</v>
      </c>
      <c r="BJ677" s="1736"/>
      <c r="BK677" s="1049"/>
      <c r="BL677" s="1058"/>
      <c r="BM677" s="1057">
        <v>23</v>
      </c>
      <c r="BN677" s="1056">
        <v>24</v>
      </c>
      <c r="BO677" s="1055"/>
      <c r="BP677" s="1055"/>
      <c r="BQ677" s="1049"/>
    </row>
    <row r="678" spans="1:69" ht="14.4">
      <c r="A678" s="1036"/>
      <c r="B678" s="1044"/>
      <c r="C678" s="1135"/>
      <c r="D678" s="1135"/>
      <c r="E678" s="1134"/>
      <c r="F678" s="1133"/>
      <c r="G678" s="1132"/>
      <c r="H678" s="1044"/>
      <c r="I678" s="1044" t="s">
        <v>1138</v>
      </c>
      <c r="J678" s="1046"/>
      <c r="K678" s="1046"/>
      <c r="L678" s="1129">
        <f>AVERAGE(L679:L702)</f>
        <v>1.9612500000000004</v>
      </c>
      <c r="M678" s="1131">
        <f>AVERAGE(M679:M702)</f>
        <v>6.879999999999999</v>
      </c>
      <c r="N678" s="1039">
        <f>AVERAGE(N679:N702)</f>
        <v>3.5167493533238106</v>
      </c>
      <c r="O678" s="1044"/>
      <c r="P678" s="1130" t="s">
        <v>1131</v>
      </c>
      <c r="Q678" s="1046"/>
      <c r="R678" s="1046"/>
      <c r="S678" s="1129">
        <f>AVERAGE(S679:S702)</f>
        <v>1.9975000000000003</v>
      </c>
      <c r="T678" s="1128">
        <f>SUM(T679:T702)</f>
        <v>35.292839999999998</v>
      </c>
      <c r="U678" s="1040">
        <f>AVERAGE(U679:U702)</f>
        <v>3.5554166666666673</v>
      </c>
      <c r="V678" s="1039">
        <f>AVERAGE(V679:V702)</f>
        <v>1.5955119825708062</v>
      </c>
      <c r="W678" s="1036"/>
      <c r="X678" s="1038">
        <f>AVERAGE(X687:X702)</f>
        <v>0.86312499999999992</v>
      </c>
      <c r="Y678" s="1036"/>
      <c r="Z678" s="1127">
        <f>SUM(Z679:Z702)</f>
        <v>116.41649000000001</v>
      </c>
      <c r="AA678" s="1130"/>
      <c r="AB678" s="1046"/>
      <c r="AC678" s="1046"/>
      <c r="AD678" s="1129">
        <f>AVERAGE(AD679:AD702)</f>
        <v>2.8116666666666661</v>
      </c>
      <c r="AE678" s="1128">
        <f>SUM(AE679:AE702)</f>
        <v>81.895800000000008</v>
      </c>
      <c r="AF678" s="1040">
        <f>AVERAGE(AF679:AF702)</f>
        <v>5.6479166666666671</v>
      </c>
      <c r="AG678" s="1039">
        <f>AVERAGE(AG679:AG702)</f>
        <v>2.1377083333333338</v>
      </c>
      <c r="AH678" s="1036"/>
      <c r="AI678" s="1038">
        <f>AVERAGE(AI687:AI702)</f>
        <v>1.1743749999999999</v>
      </c>
      <c r="AJ678" s="1036"/>
      <c r="AK678" s="1127">
        <f>SUM(AK679:AK702)</f>
        <v>331.78409999999997</v>
      </c>
      <c r="AL678" s="1036"/>
      <c r="AM678" s="1130"/>
      <c r="AN678" s="1046"/>
      <c r="AO678" s="1046"/>
      <c r="AP678" s="1129">
        <f>AVERAGE(AP679:AP702)</f>
        <v>0.27916666666666662</v>
      </c>
      <c r="AQ678" s="1734">
        <f>SUM(AQ679:AQ702)</f>
        <v>0</v>
      </c>
      <c r="AR678" s="1735">
        <f>AVERAGE(AR679:AR702)</f>
        <v>0.71708333333333341</v>
      </c>
      <c r="AS678" s="1039">
        <f>AVERAGE(AS679:AS702)</f>
        <v>0.96847222222222273</v>
      </c>
      <c r="AT678" s="1036"/>
      <c r="AU678" s="1038" t="e">
        <f>AVERAGE(AU687:AU702)</f>
        <v>#DIV/0!</v>
      </c>
      <c r="AV678" s="1036"/>
      <c r="AW678" s="1130"/>
      <c r="AX678" s="1046"/>
      <c r="AY678" s="1046"/>
      <c r="AZ678" s="1129">
        <f>AVERAGE(AZ679:AZ702)</f>
        <v>0.33041666666666664</v>
      </c>
      <c r="BA678" s="1045">
        <f>AVERAGE(BA679:BA702)</f>
        <v>0.65249999999999997</v>
      </c>
      <c r="BB678" s="1039">
        <f>AVERAGE(BB679:BB702)</f>
        <v>2.1158333333333332</v>
      </c>
      <c r="BC678" s="1036"/>
      <c r="BD678" s="1038">
        <f>AVERAGE(BD687:BD702)</f>
        <v>1.1743749999999999</v>
      </c>
      <c r="BE678" s="1036"/>
      <c r="BF678" s="1130"/>
      <c r="BG678" s="2756">
        <f>BF679</f>
        <v>45044</v>
      </c>
      <c r="BH678" s="2756"/>
      <c r="BI678" s="1897">
        <f>SUM(BI679:BI702)</f>
        <v>5.57</v>
      </c>
      <c r="BJ678" s="1898">
        <f>SUM(BJ679:BJ702)</f>
        <v>0</v>
      </c>
      <c r="BK678" s="1036"/>
      <c r="BL678" s="1130"/>
      <c r="BM678" s="1046"/>
      <c r="BN678" s="1046"/>
      <c r="BO678" s="1129" t="e">
        <f>AVERAGE(BO679:BO702)</f>
        <v>#DIV/0!</v>
      </c>
      <c r="BP678" s="1129" t="e">
        <f>AVERAGE(BP679:BP702)</f>
        <v>#DIV/0!</v>
      </c>
      <c r="BQ678" s="1036"/>
    </row>
    <row r="679" spans="1:69" ht="14.4">
      <c r="A679" s="1049"/>
      <c r="B679" s="1126">
        <v>44862</v>
      </c>
      <c r="C679" s="1057">
        <v>0</v>
      </c>
      <c r="D679" s="1056">
        <v>1</v>
      </c>
      <c r="E679" s="1063">
        <v>0.37</v>
      </c>
      <c r="F679" s="1062">
        <v>0.88</v>
      </c>
      <c r="G679" s="1061">
        <f t="shared" ref="G679:G702" si="295">F679/E679</f>
        <v>2.3783783783783785</v>
      </c>
      <c r="H679" s="1049"/>
      <c r="I679" s="1126">
        <v>44893</v>
      </c>
      <c r="J679" s="1057">
        <v>0</v>
      </c>
      <c r="K679" s="1056">
        <v>1</v>
      </c>
      <c r="L679" s="1055">
        <v>1.9059999999999999</v>
      </c>
      <c r="M679" s="1059">
        <v>5.4</v>
      </c>
      <c r="N679" s="1052">
        <f t="shared" ref="N679:N702" si="296">M679/L679</f>
        <v>2.8331584470094442</v>
      </c>
      <c r="O679" s="1049"/>
      <c r="P679" s="1125">
        <v>44923</v>
      </c>
      <c r="Q679" s="1057">
        <v>0</v>
      </c>
      <c r="R679" s="1056">
        <v>1</v>
      </c>
      <c r="S679" s="1055">
        <v>1.224</v>
      </c>
      <c r="T679" s="1054">
        <f t="shared" ref="T679:T702" si="297">S679*X679</f>
        <v>0.62424000000000002</v>
      </c>
      <c r="U679" s="1064">
        <v>1.9</v>
      </c>
      <c r="V679" s="1052">
        <f>U679/S679</f>
        <v>1.5522875816993464</v>
      </c>
      <c r="W679" s="1049"/>
      <c r="X679" s="1051">
        <v>0.51</v>
      </c>
      <c r="Y679" s="1049"/>
      <c r="Z679" s="1050">
        <f>IF(X679&lt;0.8,0,S679*(X679-0.8))</f>
        <v>0</v>
      </c>
      <c r="AA679" s="1125">
        <v>44954</v>
      </c>
      <c r="AB679" s="1057">
        <v>0</v>
      </c>
      <c r="AC679" s="1056">
        <v>1</v>
      </c>
      <c r="AD679" s="1055">
        <v>2.4</v>
      </c>
      <c r="AE679" s="1137">
        <f t="shared" ref="AE679:AE702" si="298">AD679*AI679</f>
        <v>3.4319999999999999</v>
      </c>
      <c r="AF679" s="1136">
        <v>5.0999999999999996</v>
      </c>
      <c r="AG679" s="1052">
        <f>AF679/AD679</f>
        <v>2.125</v>
      </c>
      <c r="AH679" s="1049"/>
      <c r="AI679" s="1136">
        <v>1.43</v>
      </c>
      <c r="AJ679" s="1049"/>
      <c r="AK679" s="1050">
        <f>IF(AI679&lt;0.8,0,AD679*(AI679-0.8))</f>
        <v>1.5119999999999998</v>
      </c>
      <c r="AL679" s="1049"/>
      <c r="AM679" s="1125">
        <v>44985</v>
      </c>
      <c r="AN679" s="1057">
        <v>0</v>
      </c>
      <c r="AO679" s="1056">
        <v>1</v>
      </c>
      <c r="AP679" s="1055">
        <v>0.12</v>
      </c>
      <c r="AQ679" s="1745">
        <f t="shared" ref="AQ679:AQ702" si="299">AP679*AU679</f>
        <v>0</v>
      </c>
      <c r="AR679" s="1737">
        <v>0.25</v>
      </c>
      <c r="AS679" s="1052">
        <f>AR679/AP679</f>
        <v>2.0833333333333335</v>
      </c>
      <c r="AT679" s="1049"/>
      <c r="AU679" s="1136"/>
      <c r="AV679" s="1049"/>
      <c r="AW679" s="1125">
        <v>45013</v>
      </c>
      <c r="AX679" s="1057">
        <v>0</v>
      </c>
      <c r="AY679" s="1056">
        <v>1</v>
      </c>
      <c r="AZ679" s="1055">
        <v>0.1</v>
      </c>
      <c r="BA679" s="1736">
        <v>0.16</v>
      </c>
      <c r="BB679" s="1737">
        <f>BA679/AZ679</f>
        <v>1.5999999999999999</v>
      </c>
      <c r="BC679" s="1049"/>
      <c r="BD679" s="1136">
        <v>1.43</v>
      </c>
      <c r="BE679" s="1049"/>
      <c r="BF679" s="1125">
        <v>45044</v>
      </c>
      <c r="BG679" s="1057">
        <v>0</v>
      </c>
      <c r="BH679" s="1056">
        <v>1</v>
      </c>
      <c r="BI679" s="1874">
        <v>0.11</v>
      </c>
      <c r="BJ679" s="1736"/>
      <c r="BK679" s="1049"/>
      <c r="BL679" s="1125">
        <v>45044</v>
      </c>
      <c r="BM679" s="1057">
        <v>0</v>
      </c>
      <c r="BN679" s="1056">
        <v>1</v>
      </c>
      <c r="BO679" s="1055"/>
      <c r="BP679" s="1055"/>
      <c r="BQ679" s="1049"/>
    </row>
    <row r="680" spans="1:69" ht="14.4">
      <c r="A680" s="1049"/>
      <c r="B680" s="1124"/>
      <c r="C680" s="1057">
        <v>1</v>
      </c>
      <c r="D680" s="1056">
        <v>2</v>
      </c>
      <c r="E680" s="1063">
        <v>0.28000000000000003</v>
      </c>
      <c r="F680" s="1062">
        <v>0.66</v>
      </c>
      <c r="G680" s="1061">
        <f t="shared" si="295"/>
        <v>2.3571428571428572</v>
      </c>
      <c r="H680" s="1049"/>
      <c r="I680" s="1124"/>
      <c r="J680" s="1057">
        <v>1</v>
      </c>
      <c r="K680" s="1056">
        <v>2</v>
      </c>
      <c r="L680" s="1055">
        <v>2.302</v>
      </c>
      <c r="M680" s="1059">
        <v>6.53</v>
      </c>
      <c r="N680" s="1052">
        <f t="shared" si="296"/>
        <v>2.8366637706342313</v>
      </c>
      <c r="O680" s="1049"/>
      <c r="P680" s="1123"/>
      <c r="Q680" s="1057">
        <v>1</v>
      </c>
      <c r="R680" s="1056">
        <v>2</v>
      </c>
      <c r="S680" s="1055">
        <v>0.02</v>
      </c>
      <c r="T680" s="1054">
        <f t="shared" si="297"/>
        <v>8.8000000000000005E-3</v>
      </c>
      <c r="U680" s="1064">
        <v>0.03</v>
      </c>
      <c r="V680" s="1052">
        <f t="shared" ref="V680:V702" si="300">X680+0.92</f>
        <v>1.36</v>
      </c>
      <c r="W680" s="1049"/>
      <c r="X680" s="1051">
        <v>0.44</v>
      </c>
      <c r="Y680" s="1049"/>
      <c r="Z680" s="1050">
        <f t="shared" ref="Z680:Z702" si="301">IF(X680&lt;0.8,0,S680*(U680-0.8))</f>
        <v>0</v>
      </c>
      <c r="AA680" s="1123"/>
      <c r="AB680" s="1057">
        <v>1</v>
      </c>
      <c r="AC680" s="1056">
        <v>2</v>
      </c>
      <c r="AD680" s="1055">
        <v>1.91</v>
      </c>
      <c r="AE680" s="1137">
        <f t="shared" si="298"/>
        <v>2.6548999999999996</v>
      </c>
      <c r="AF680" s="1136">
        <v>3.97</v>
      </c>
      <c r="AG680" s="1052">
        <f t="shared" ref="AG680:AG702" si="302">AI680+0.92</f>
        <v>2.31</v>
      </c>
      <c r="AH680" s="1049"/>
      <c r="AI680" s="1136">
        <v>1.39</v>
      </c>
      <c r="AJ680" s="1049"/>
      <c r="AK680" s="1050">
        <f t="shared" ref="AK680:AK702" si="303">IF(AI680&lt;0.8,0,AD680*(AF680-0.8))</f>
        <v>6.0546999999999995</v>
      </c>
      <c r="AL680" s="1049"/>
      <c r="AM680" s="1123"/>
      <c r="AN680" s="1057">
        <v>1</v>
      </c>
      <c r="AO680" s="1056">
        <v>2</v>
      </c>
      <c r="AP680" s="1055">
        <v>0.08</v>
      </c>
      <c r="AQ680" s="1745">
        <f t="shared" si="299"/>
        <v>0</v>
      </c>
      <c r="AR680" s="1737">
        <v>0.16</v>
      </c>
      <c r="AS680" s="1052">
        <f t="shared" ref="AS680:AS702" si="304">AU680+0.92</f>
        <v>0.92</v>
      </c>
      <c r="AT680" s="1049"/>
      <c r="AU680" s="1136"/>
      <c r="AV680" s="1049"/>
      <c r="AW680" s="1123"/>
      <c r="AX680" s="1057">
        <v>1</v>
      </c>
      <c r="AY680" s="1056">
        <v>2</v>
      </c>
      <c r="AZ680" s="1055">
        <v>0.15</v>
      </c>
      <c r="BA680" s="1736">
        <v>0.24</v>
      </c>
      <c r="BB680" s="1737">
        <f t="shared" ref="BB680:BB702" si="305">BD680+0.92</f>
        <v>2.31</v>
      </c>
      <c r="BC680" s="1049"/>
      <c r="BD680" s="1136">
        <v>1.39</v>
      </c>
      <c r="BE680" s="1049"/>
      <c r="BF680" s="1123"/>
      <c r="BG680" s="1057">
        <v>1</v>
      </c>
      <c r="BH680" s="1056">
        <v>2</v>
      </c>
      <c r="BI680" s="1874">
        <v>0.15</v>
      </c>
      <c r="BJ680" s="1736"/>
      <c r="BK680" s="1049"/>
      <c r="BL680" s="1123"/>
      <c r="BM680" s="1057">
        <v>1</v>
      </c>
      <c r="BN680" s="1056">
        <v>2</v>
      </c>
      <c r="BO680" s="1055"/>
      <c r="BP680" s="1055"/>
      <c r="BQ680" s="1049"/>
    </row>
    <row r="681" spans="1:69" ht="14.4">
      <c r="A681" s="1049"/>
      <c r="B681" s="1122">
        <f>SUM(E679:E702)</f>
        <v>14.76</v>
      </c>
      <c r="C681" s="1057">
        <v>2</v>
      </c>
      <c r="D681" s="1056">
        <v>3</v>
      </c>
      <c r="E681" s="1063">
        <v>0.39</v>
      </c>
      <c r="F681" s="1062">
        <v>0.92</v>
      </c>
      <c r="G681" s="1061">
        <f t="shared" si="295"/>
        <v>2.358974358974359</v>
      </c>
      <c r="H681" s="1049"/>
      <c r="I681" s="1122">
        <f>SUM(L679:L702)</f>
        <v>47.070000000000007</v>
      </c>
      <c r="J681" s="1057">
        <v>2</v>
      </c>
      <c r="K681" s="1056">
        <v>3</v>
      </c>
      <c r="L681" s="1055">
        <v>2.0910000000000002</v>
      </c>
      <c r="M681" s="1059">
        <v>5.88</v>
      </c>
      <c r="N681" s="1052">
        <f t="shared" si="296"/>
        <v>2.8120516499282635</v>
      </c>
      <c r="O681" s="1049"/>
      <c r="P681" s="1121">
        <f>SUM(S679:S702)</f>
        <v>47.940000000000005</v>
      </c>
      <c r="Q681" s="1057">
        <v>2</v>
      </c>
      <c r="R681" s="1056">
        <v>3</v>
      </c>
      <c r="S681" s="1055">
        <v>0</v>
      </c>
      <c r="T681" s="1054">
        <f t="shared" si="297"/>
        <v>0</v>
      </c>
      <c r="U681" s="1064">
        <v>0</v>
      </c>
      <c r="V681" s="1052">
        <f t="shared" si="300"/>
        <v>1.1500000000000001</v>
      </c>
      <c r="W681" s="1049"/>
      <c r="X681" s="1051">
        <v>0.23</v>
      </c>
      <c r="Y681" s="1049"/>
      <c r="Z681" s="1050">
        <f t="shared" si="301"/>
        <v>0</v>
      </c>
      <c r="AA681" s="1121">
        <f>SUM(AD679:AD702)</f>
        <v>67.47999999999999</v>
      </c>
      <c r="AB681" s="1057">
        <v>2</v>
      </c>
      <c r="AC681" s="1056">
        <v>3</v>
      </c>
      <c r="AD681" s="1055">
        <v>1.98</v>
      </c>
      <c r="AE681" s="1137">
        <f t="shared" si="298"/>
        <v>2.7126000000000001</v>
      </c>
      <c r="AF681" s="1136">
        <v>4.09</v>
      </c>
      <c r="AG681" s="1052">
        <f t="shared" si="302"/>
        <v>2.29</v>
      </c>
      <c r="AH681" s="1049"/>
      <c r="AI681" s="1136">
        <v>1.37</v>
      </c>
      <c r="AJ681" s="1049"/>
      <c r="AK681" s="1050">
        <f t="shared" si="303"/>
        <v>6.5141999999999998</v>
      </c>
      <c r="AL681" s="1049"/>
      <c r="AM681" s="1121">
        <f>SUM(AP679:AP702)</f>
        <v>6.6999999999999993</v>
      </c>
      <c r="AN681" s="1057">
        <v>2</v>
      </c>
      <c r="AO681" s="1056">
        <v>3</v>
      </c>
      <c r="AP681" s="1055">
        <v>0.13</v>
      </c>
      <c r="AQ681" s="1745">
        <f t="shared" si="299"/>
        <v>0</v>
      </c>
      <c r="AR681" s="1737">
        <v>0.26</v>
      </c>
      <c r="AS681" s="1052">
        <f t="shared" si="304"/>
        <v>0.92</v>
      </c>
      <c r="AT681" s="1049"/>
      <c r="AU681" s="1136"/>
      <c r="AV681" s="1049"/>
      <c r="AW681" s="1121">
        <f>SUM(AZ679:AZ702)</f>
        <v>7.93</v>
      </c>
      <c r="AX681" s="1057">
        <v>2</v>
      </c>
      <c r="AY681" s="1056">
        <v>3</v>
      </c>
      <c r="AZ681" s="1055">
        <v>0.2</v>
      </c>
      <c r="BA681" s="1736">
        <v>0.32</v>
      </c>
      <c r="BB681" s="1737">
        <f t="shared" si="305"/>
        <v>2.29</v>
      </c>
      <c r="BC681" s="1049"/>
      <c r="BD681" s="1136">
        <v>1.37</v>
      </c>
      <c r="BE681" s="1049"/>
      <c r="BF681" s="1121">
        <f>SUM(BI679:BI702)</f>
        <v>5.57</v>
      </c>
      <c r="BG681" s="1057">
        <v>2</v>
      </c>
      <c r="BH681" s="1056">
        <v>3</v>
      </c>
      <c r="BI681" s="1874">
        <v>0.12</v>
      </c>
      <c r="BJ681" s="1736"/>
      <c r="BK681" s="1049"/>
      <c r="BL681" s="1121">
        <f>SUM(BO679:BO702)+SUM(BP679:BP702)</f>
        <v>0</v>
      </c>
      <c r="BM681" s="1057">
        <v>2</v>
      </c>
      <c r="BN681" s="1056">
        <v>3</v>
      </c>
      <c r="BO681" s="1055"/>
      <c r="BP681" s="1055"/>
      <c r="BQ681" s="1049"/>
    </row>
    <row r="682" spans="1:69" ht="14.4">
      <c r="A682" s="1049"/>
      <c r="B682" s="1120">
        <f>B681/24</f>
        <v>0.61499999999999999</v>
      </c>
      <c r="C682" s="1057">
        <v>3</v>
      </c>
      <c r="D682" s="1056">
        <v>4</v>
      </c>
      <c r="E682" s="1063">
        <v>0.4</v>
      </c>
      <c r="F682" s="1062">
        <v>0.94</v>
      </c>
      <c r="G682" s="1061">
        <f t="shared" si="295"/>
        <v>2.3499999999999996</v>
      </c>
      <c r="H682" s="1049"/>
      <c r="I682" s="1120">
        <f>I681/24</f>
        <v>1.9612500000000004</v>
      </c>
      <c r="J682" s="1057">
        <v>3</v>
      </c>
      <c r="K682" s="1056">
        <v>4</v>
      </c>
      <c r="L682" s="1055">
        <v>1.956</v>
      </c>
      <c r="M682" s="1059">
        <v>5.42</v>
      </c>
      <c r="N682" s="1052">
        <f t="shared" si="296"/>
        <v>2.7709611451942742</v>
      </c>
      <c r="O682" s="1049"/>
      <c r="P682" s="1120">
        <f>P681/24</f>
        <v>1.9975000000000003</v>
      </c>
      <c r="Q682" s="1057">
        <v>3</v>
      </c>
      <c r="R682" s="1056">
        <v>4</v>
      </c>
      <c r="S682" s="1055">
        <v>0.88600000000000001</v>
      </c>
      <c r="T682" s="1054">
        <f t="shared" si="297"/>
        <v>0.11518</v>
      </c>
      <c r="U682" s="1064">
        <v>1.04</v>
      </c>
      <c r="V682" s="1052">
        <f t="shared" si="300"/>
        <v>1.05</v>
      </c>
      <c r="W682" s="1049"/>
      <c r="X682" s="1051">
        <v>0.13</v>
      </c>
      <c r="Y682" s="1049"/>
      <c r="Z682" s="1050">
        <f t="shared" si="301"/>
        <v>0</v>
      </c>
      <c r="AA682" s="1120">
        <f>AA681/24</f>
        <v>2.8116666666666661</v>
      </c>
      <c r="AB682" s="1057">
        <v>3</v>
      </c>
      <c r="AC682" s="1056">
        <v>4</v>
      </c>
      <c r="AD682" s="1055">
        <v>1.97</v>
      </c>
      <c r="AE682" s="1137">
        <f t="shared" si="298"/>
        <v>2.6398000000000001</v>
      </c>
      <c r="AF682" s="1136">
        <v>3.98</v>
      </c>
      <c r="AG682" s="1052">
        <f t="shared" si="302"/>
        <v>2.2600000000000002</v>
      </c>
      <c r="AH682" s="1049"/>
      <c r="AI682" s="1136">
        <v>1.34</v>
      </c>
      <c r="AJ682" s="1049"/>
      <c r="AK682" s="1050">
        <f t="shared" si="303"/>
        <v>6.2645999999999997</v>
      </c>
      <c r="AL682" s="1049"/>
      <c r="AM682" s="1120">
        <f>AM681/24</f>
        <v>0.27916666666666662</v>
      </c>
      <c r="AN682" s="1057">
        <v>3</v>
      </c>
      <c r="AO682" s="1056">
        <v>4</v>
      </c>
      <c r="AP682" s="1055">
        <v>0.12</v>
      </c>
      <c r="AQ682" s="1745">
        <f t="shared" si="299"/>
        <v>0</v>
      </c>
      <c r="AR682" s="1737">
        <v>0.24</v>
      </c>
      <c r="AS682" s="1052">
        <f t="shared" si="304"/>
        <v>0.92</v>
      </c>
      <c r="AT682" s="1049"/>
      <c r="AU682" s="1136"/>
      <c r="AV682" s="1049"/>
      <c r="AW682" s="1120">
        <f>AW681/24</f>
        <v>0.33041666666666664</v>
      </c>
      <c r="AX682" s="1057">
        <v>3</v>
      </c>
      <c r="AY682" s="1056">
        <v>4</v>
      </c>
      <c r="AZ682" s="1055">
        <v>0.11</v>
      </c>
      <c r="BA682" s="1736">
        <v>0.19</v>
      </c>
      <c r="BB682" s="1737">
        <f t="shared" si="305"/>
        <v>2.2600000000000002</v>
      </c>
      <c r="BC682" s="1049"/>
      <c r="BD682" s="1136">
        <v>1.34</v>
      </c>
      <c r="BE682" s="1049"/>
      <c r="BF682" s="1120">
        <f>BF681/24</f>
        <v>0.23208333333333334</v>
      </c>
      <c r="BG682" s="1057">
        <v>3</v>
      </c>
      <c r="BH682" s="1056">
        <v>4</v>
      </c>
      <c r="BI682" s="1874">
        <v>0.05</v>
      </c>
      <c r="BJ682" s="1736"/>
      <c r="BK682" s="1049"/>
      <c r="BL682" s="1120">
        <f>BL681/24</f>
        <v>0</v>
      </c>
      <c r="BM682" s="1057">
        <v>3</v>
      </c>
      <c r="BN682" s="1056">
        <v>4</v>
      </c>
      <c r="BO682" s="1055"/>
      <c r="BP682" s="1055"/>
      <c r="BQ682" s="1049"/>
    </row>
    <row r="683" spans="1:69" ht="14.4">
      <c r="A683" s="1049"/>
      <c r="B683" s="1119"/>
      <c r="C683" s="1057">
        <v>4</v>
      </c>
      <c r="D683" s="1056">
        <v>5</v>
      </c>
      <c r="E683" s="1063">
        <v>0.26</v>
      </c>
      <c r="F683" s="1062">
        <v>0.62</v>
      </c>
      <c r="G683" s="1061">
        <f t="shared" si="295"/>
        <v>2.3846153846153846</v>
      </c>
      <c r="H683" s="1049"/>
      <c r="I683" s="1119"/>
      <c r="J683" s="1057">
        <v>4</v>
      </c>
      <c r="K683" s="1056">
        <v>5</v>
      </c>
      <c r="L683" s="1055">
        <v>1.93</v>
      </c>
      <c r="M683" s="1059">
        <v>5.29</v>
      </c>
      <c r="N683" s="1052">
        <f t="shared" si="296"/>
        <v>2.7409326424870466</v>
      </c>
      <c r="O683" s="1049"/>
      <c r="P683" s="1118"/>
      <c r="Q683" s="1057">
        <v>4</v>
      </c>
      <c r="R683" s="1056">
        <v>5</v>
      </c>
      <c r="S683" s="1055">
        <v>1.9239999999999999</v>
      </c>
      <c r="T683" s="1054">
        <f t="shared" si="297"/>
        <v>0.25012000000000001</v>
      </c>
      <c r="U683" s="1064">
        <v>2.2599999999999998</v>
      </c>
      <c r="V683" s="1052">
        <f t="shared" si="300"/>
        <v>1.05</v>
      </c>
      <c r="W683" s="1049"/>
      <c r="X683" s="1051">
        <v>0.13</v>
      </c>
      <c r="Y683" s="1049"/>
      <c r="Z683" s="1050">
        <f t="shared" si="301"/>
        <v>0</v>
      </c>
      <c r="AA683" s="1118"/>
      <c r="AB683" s="1057">
        <v>4</v>
      </c>
      <c r="AC683" s="1056">
        <v>5</v>
      </c>
      <c r="AD683" s="1055">
        <v>2.1</v>
      </c>
      <c r="AE683" s="1137">
        <f t="shared" si="298"/>
        <v>2.7300000000000004</v>
      </c>
      <c r="AF683" s="1136">
        <v>4.17</v>
      </c>
      <c r="AG683" s="1052">
        <f t="shared" si="302"/>
        <v>2.2200000000000002</v>
      </c>
      <c r="AH683" s="1049"/>
      <c r="AI683" s="1136">
        <v>1.3</v>
      </c>
      <c r="AJ683" s="1049"/>
      <c r="AK683" s="1050">
        <f t="shared" si="303"/>
        <v>7.0770000000000008</v>
      </c>
      <c r="AL683" s="1049"/>
      <c r="AM683" s="1118"/>
      <c r="AN683" s="1057">
        <v>4</v>
      </c>
      <c r="AO683" s="1056">
        <v>5</v>
      </c>
      <c r="AP683" s="1055">
        <v>0.12</v>
      </c>
      <c r="AQ683" s="1745">
        <f t="shared" si="299"/>
        <v>0</v>
      </c>
      <c r="AR683" s="1737">
        <v>0.24</v>
      </c>
      <c r="AS683" s="1052">
        <f t="shared" si="304"/>
        <v>0.92</v>
      </c>
      <c r="AT683" s="1049"/>
      <c r="AU683" s="1136"/>
      <c r="AV683" s="1049"/>
      <c r="AW683" s="1118"/>
      <c r="AX683" s="1057">
        <v>4</v>
      </c>
      <c r="AY683" s="1056">
        <v>5</v>
      </c>
      <c r="AZ683" s="1055">
        <v>7.0000000000000007E-2</v>
      </c>
      <c r="BA683" s="1736">
        <v>0.12</v>
      </c>
      <c r="BB683" s="1737">
        <f t="shared" si="305"/>
        <v>2.2200000000000002</v>
      </c>
      <c r="BC683" s="1049"/>
      <c r="BD683" s="1136">
        <v>1.3</v>
      </c>
      <c r="BE683" s="1049"/>
      <c r="BF683" s="1118"/>
      <c r="BG683" s="1057">
        <v>4</v>
      </c>
      <c r="BH683" s="1056">
        <v>5</v>
      </c>
      <c r="BI683" s="1874">
        <v>0.14000000000000001</v>
      </c>
      <c r="BJ683" s="1736"/>
      <c r="BK683" s="1049"/>
      <c r="BL683" s="1118"/>
      <c r="BM683" s="1057">
        <v>4</v>
      </c>
      <c r="BN683" s="1056">
        <v>5</v>
      </c>
      <c r="BO683" s="1055"/>
      <c r="BP683" s="1055"/>
      <c r="BQ683" s="1049"/>
    </row>
    <row r="684" spans="1:69" ht="15" thickBot="1">
      <c r="A684" s="1049"/>
      <c r="B684" s="1058">
        <f>SUM(F679:F702)</f>
        <v>39.900000000000006</v>
      </c>
      <c r="C684" s="1111">
        <v>5</v>
      </c>
      <c r="D684" s="1110">
        <v>6</v>
      </c>
      <c r="E684" s="1117">
        <v>0.28999999999999998</v>
      </c>
      <c r="F684" s="1116">
        <v>0.69</v>
      </c>
      <c r="G684" s="1115">
        <f t="shared" si="295"/>
        <v>2.3793103448275863</v>
      </c>
      <c r="H684" s="1049"/>
      <c r="I684" s="1058">
        <f>SUM(M679:M702)</f>
        <v>165.11999999999998</v>
      </c>
      <c r="J684" s="1111">
        <v>5</v>
      </c>
      <c r="K684" s="1110">
        <v>6</v>
      </c>
      <c r="L684" s="1109">
        <v>1.9139999999999999</v>
      </c>
      <c r="M684" s="1114">
        <v>5.31</v>
      </c>
      <c r="N684" s="1113">
        <f t="shared" si="296"/>
        <v>2.7742946708463947</v>
      </c>
      <c r="O684" s="1049"/>
      <c r="P684" s="1112">
        <f>SUM(U679:U702)</f>
        <v>85.330000000000013</v>
      </c>
      <c r="Q684" s="1111">
        <v>5</v>
      </c>
      <c r="R684" s="1110">
        <v>6</v>
      </c>
      <c r="S684" s="1109">
        <v>1.986</v>
      </c>
      <c r="T684" s="1054">
        <f t="shared" si="297"/>
        <v>0.25818000000000002</v>
      </c>
      <c r="U684" s="1064">
        <v>2.34</v>
      </c>
      <c r="V684" s="1052">
        <f t="shared" si="300"/>
        <v>1.05</v>
      </c>
      <c r="W684" s="1049"/>
      <c r="X684" s="1074">
        <v>0.13</v>
      </c>
      <c r="Y684" s="1049"/>
      <c r="Z684" s="1050">
        <f t="shared" si="301"/>
        <v>0</v>
      </c>
      <c r="AA684" s="1112">
        <f>SUM(AF679:AF702)</f>
        <v>135.55000000000001</v>
      </c>
      <c r="AB684" s="1111">
        <v>5</v>
      </c>
      <c r="AC684" s="1110">
        <v>6</v>
      </c>
      <c r="AD684" s="1109">
        <v>2.0099999999999998</v>
      </c>
      <c r="AE684" s="1147">
        <f t="shared" si="298"/>
        <v>2.5526999999999997</v>
      </c>
      <c r="AF684" s="1146">
        <v>3.94</v>
      </c>
      <c r="AG684" s="1052">
        <f t="shared" si="302"/>
        <v>2.19</v>
      </c>
      <c r="AH684" s="1049"/>
      <c r="AI684" s="1146">
        <v>1.27</v>
      </c>
      <c r="AJ684" s="1049"/>
      <c r="AK684" s="1050">
        <f t="shared" si="303"/>
        <v>6.311399999999999</v>
      </c>
      <c r="AL684" s="1049"/>
      <c r="AM684" s="1112">
        <f>SUM(AR679:AR702)</f>
        <v>17.21</v>
      </c>
      <c r="AN684" s="1111">
        <v>5</v>
      </c>
      <c r="AO684" s="1110">
        <v>6</v>
      </c>
      <c r="AP684" s="1109">
        <v>0.27</v>
      </c>
      <c r="AQ684" s="1746">
        <f t="shared" si="299"/>
        <v>0</v>
      </c>
      <c r="AR684" s="1739">
        <v>0.57999999999999996</v>
      </c>
      <c r="AS684" s="1052">
        <f t="shared" si="304"/>
        <v>0.92</v>
      </c>
      <c r="AT684" s="1049"/>
      <c r="AU684" s="1146"/>
      <c r="AV684" s="1049"/>
      <c r="AW684" s="1112">
        <f>SUM(BA679:BA702)</f>
        <v>15.66</v>
      </c>
      <c r="AX684" s="1111">
        <v>5</v>
      </c>
      <c r="AY684" s="1110">
        <v>6</v>
      </c>
      <c r="AZ684" s="1109">
        <v>0.18</v>
      </c>
      <c r="BA684" s="1738">
        <v>0.31</v>
      </c>
      <c r="BB684" s="1739">
        <f t="shared" si="305"/>
        <v>2.19</v>
      </c>
      <c r="BC684" s="1049"/>
      <c r="BD684" s="1146">
        <v>1.27</v>
      </c>
      <c r="BE684" s="1049"/>
      <c r="BF684" s="1112">
        <f>SUM(BJ679:BJ702)</f>
        <v>0</v>
      </c>
      <c r="BG684" s="1111">
        <v>5</v>
      </c>
      <c r="BH684" s="1110">
        <v>6</v>
      </c>
      <c r="BI684" s="1874">
        <v>0.14000000000000001</v>
      </c>
      <c r="BJ684" s="1738"/>
      <c r="BK684" s="1049"/>
      <c r="BL684" s="1112">
        <f>SUM(BP679:BP702)</f>
        <v>0</v>
      </c>
      <c r="BM684" s="1111">
        <v>5</v>
      </c>
      <c r="BN684" s="1110">
        <v>6</v>
      </c>
      <c r="BO684" s="1109"/>
      <c r="BP684" s="1109"/>
      <c r="BQ684" s="1049"/>
    </row>
    <row r="685" spans="1:69" ht="14.4">
      <c r="A685" s="1049"/>
      <c r="B685" s="1093">
        <f>B684/B681</f>
        <v>2.7032520325203255</v>
      </c>
      <c r="C685" s="1100">
        <v>6</v>
      </c>
      <c r="D685" s="1099">
        <v>7</v>
      </c>
      <c r="E685" s="1107">
        <v>0.27</v>
      </c>
      <c r="F685" s="1106">
        <v>0.7</v>
      </c>
      <c r="G685" s="1105">
        <f t="shared" si="295"/>
        <v>2.5925925925925921</v>
      </c>
      <c r="H685" s="1049"/>
      <c r="I685" s="1093">
        <f>I684/I681</f>
        <v>3.5079668578712546</v>
      </c>
      <c r="J685" s="1100">
        <v>6</v>
      </c>
      <c r="K685" s="1099">
        <v>7</v>
      </c>
      <c r="L685" s="1098">
        <v>1.413</v>
      </c>
      <c r="M685" s="1103">
        <v>4.28</v>
      </c>
      <c r="N685" s="1102">
        <f t="shared" si="296"/>
        <v>3.0290162774239207</v>
      </c>
      <c r="O685" s="1049"/>
      <c r="P685" s="1093">
        <f>IF(P684&gt;0,P684/P681,0)</f>
        <v>1.779933249895703</v>
      </c>
      <c r="Q685" s="1100">
        <v>6</v>
      </c>
      <c r="R685" s="1099">
        <v>7</v>
      </c>
      <c r="S685" s="1098">
        <v>2.391</v>
      </c>
      <c r="T685" s="1054">
        <f t="shared" si="297"/>
        <v>0.69338999999999995</v>
      </c>
      <c r="U685" s="1064">
        <v>3.19</v>
      </c>
      <c r="V685" s="1052">
        <f t="shared" si="300"/>
        <v>1.21</v>
      </c>
      <c r="W685" s="1049"/>
      <c r="X685" s="1108">
        <v>0.28999999999999998</v>
      </c>
      <c r="Y685" s="1049"/>
      <c r="Z685" s="1050">
        <f t="shared" si="301"/>
        <v>0</v>
      </c>
      <c r="AA685" s="1093">
        <f>IF(AA684&gt;0,AA684/AA681,0)</f>
        <v>2.0087433313574397</v>
      </c>
      <c r="AB685" s="1100">
        <v>6</v>
      </c>
      <c r="AC685" s="1099">
        <v>7</v>
      </c>
      <c r="AD685" s="1098">
        <v>2.31</v>
      </c>
      <c r="AE685" s="1145">
        <f t="shared" si="298"/>
        <v>3.0723000000000003</v>
      </c>
      <c r="AF685" s="1144">
        <v>4.66</v>
      </c>
      <c r="AG685" s="1052">
        <f t="shared" si="302"/>
        <v>2.25</v>
      </c>
      <c r="AH685" s="1049"/>
      <c r="AI685" s="1144">
        <v>1.33</v>
      </c>
      <c r="AJ685" s="1049"/>
      <c r="AK685" s="1050">
        <f t="shared" si="303"/>
        <v>8.9166000000000007</v>
      </c>
      <c r="AL685" s="1049"/>
      <c r="AM685" s="1093">
        <f>IF(AM684&gt;0,AM684/AM681,0)</f>
        <v>2.568656716417911</v>
      </c>
      <c r="AN685" s="1100">
        <v>6</v>
      </c>
      <c r="AO685" s="1099">
        <v>7</v>
      </c>
      <c r="AP685" s="1098">
        <v>0.3</v>
      </c>
      <c r="AQ685" s="1747">
        <f t="shared" si="299"/>
        <v>0</v>
      </c>
      <c r="AR685" s="1741">
        <v>0.7</v>
      </c>
      <c r="AS685" s="1052">
        <f t="shared" si="304"/>
        <v>0.92</v>
      </c>
      <c r="AT685" s="1049"/>
      <c r="AU685" s="1144"/>
      <c r="AV685" s="1049"/>
      <c r="AW685" s="1093">
        <f>IF(AW684&gt;0,AW684/AW681,0)</f>
        <v>1.9747793190416143</v>
      </c>
      <c r="AX685" s="1100">
        <v>6</v>
      </c>
      <c r="AY685" s="1099">
        <v>7</v>
      </c>
      <c r="AZ685" s="1098">
        <v>0.25</v>
      </c>
      <c r="BA685" s="1740">
        <v>0.51</v>
      </c>
      <c r="BB685" s="1741">
        <f t="shared" si="305"/>
        <v>2.25</v>
      </c>
      <c r="BC685" s="1049"/>
      <c r="BD685" s="1144">
        <v>1.33</v>
      </c>
      <c r="BE685" s="1049"/>
      <c r="BF685" s="1093">
        <f>IF(BF684&gt;0,BF684/BF681,0)</f>
        <v>0</v>
      </c>
      <c r="BG685" s="1100">
        <v>6</v>
      </c>
      <c r="BH685" s="1099">
        <v>7</v>
      </c>
      <c r="BI685" s="1874">
        <v>0.32</v>
      </c>
      <c r="BJ685" s="1740"/>
      <c r="BK685" s="1049"/>
      <c r="BL685" s="1093">
        <f>IF(BL684&gt;0,BL684/BL681,0)</f>
        <v>0</v>
      </c>
      <c r="BM685" s="1100">
        <v>6</v>
      </c>
      <c r="BN685" s="1099">
        <v>7</v>
      </c>
      <c r="BO685" s="1098"/>
      <c r="BP685" s="1098"/>
      <c r="BQ685" s="1049"/>
    </row>
    <row r="686" spans="1:69" ht="14.4">
      <c r="A686" s="1049"/>
      <c r="B686" s="1104"/>
      <c r="C686" s="1100">
        <v>7</v>
      </c>
      <c r="D686" s="1099">
        <v>8</v>
      </c>
      <c r="E686" s="1107">
        <v>0.33</v>
      </c>
      <c r="F686" s="1106">
        <v>0.9</v>
      </c>
      <c r="G686" s="1105">
        <f t="shared" si="295"/>
        <v>2.7272727272727271</v>
      </c>
      <c r="H686" s="1049"/>
      <c r="I686" s="1104"/>
      <c r="J686" s="1100">
        <v>7</v>
      </c>
      <c r="K686" s="1099">
        <v>8</v>
      </c>
      <c r="L686" s="1098">
        <v>1.766</v>
      </c>
      <c r="M686" s="1103">
        <v>5.92</v>
      </c>
      <c r="N686" s="1102">
        <f t="shared" si="296"/>
        <v>3.3522083805209513</v>
      </c>
      <c r="O686" s="1049"/>
      <c r="P686" s="1101"/>
      <c r="Q686" s="1100">
        <v>7</v>
      </c>
      <c r="R686" s="1099">
        <v>8</v>
      </c>
      <c r="S686" s="1098">
        <v>2.2130000000000001</v>
      </c>
      <c r="T686" s="1054">
        <f t="shared" si="297"/>
        <v>0.92945999999999995</v>
      </c>
      <c r="U686" s="1064">
        <v>3.25</v>
      </c>
      <c r="V686" s="1052">
        <f t="shared" si="300"/>
        <v>1.34</v>
      </c>
      <c r="W686" s="1049"/>
      <c r="X686" s="1065">
        <v>0.42</v>
      </c>
      <c r="Y686" s="1049"/>
      <c r="Z686" s="1050">
        <f t="shared" si="301"/>
        <v>0</v>
      </c>
      <c r="AA686" s="1101"/>
      <c r="AB686" s="1100">
        <v>7</v>
      </c>
      <c r="AC686" s="1099">
        <v>8</v>
      </c>
      <c r="AD686" s="1098">
        <v>2.4300000000000002</v>
      </c>
      <c r="AE686" s="1145">
        <f t="shared" si="298"/>
        <v>2.9889000000000001</v>
      </c>
      <c r="AF686" s="1144">
        <v>4.68</v>
      </c>
      <c r="AG686" s="1052">
        <f t="shared" si="302"/>
        <v>2.15</v>
      </c>
      <c r="AH686" s="1049"/>
      <c r="AI686" s="1144">
        <v>1.23</v>
      </c>
      <c r="AJ686" s="1049"/>
      <c r="AK686" s="1050">
        <f t="shared" si="303"/>
        <v>9.4283999999999999</v>
      </c>
      <c r="AL686" s="1049"/>
      <c r="AM686" s="1101"/>
      <c r="AN686" s="1100">
        <v>7</v>
      </c>
      <c r="AO686" s="1099">
        <v>8</v>
      </c>
      <c r="AP686" s="1098">
        <v>0.14000000000000001</v>
      </c>
      <c r="AQ686" s="1747">
        <f t="shared" si="299"/>
        <v>0</v>
      </c>
      <c r="AR686" s="1741">
        <v>0.35</v>
      </c>
      <c r="AS686" s="1052">
        <f t="shared" si="304"/>
        <v>0.92</v>
      </c>
      <c r="AT686" s="1049"/>
      <c r="AU686" s="1144"/>
      <c r="AV686" s="1049"/>
      <c r="AW686" s="1101"/>
      <c r="AX686" s="1100">
        <v>7</v>
      </c>
      <c r="AY686" s="1099">
        <v>8</v>
      </c>
      <c r="AZ686" s="1098">
        <v>0.23</v>
      </c>
      <c r="BA686" s="1736">
        <v>0.53</v>
      </c>
      <c r="BB686" s="1741">
        <f t="shared" si="305"/>
        <v>2.15</v>
      </c>
      <c r="BC686" s="1049"/>
      <c r="BD686" s="1144">
        <v>1.23</v>
      </c>
      <c r="BE686" s="1049"/>
      <c r="BF686" s="1101"/>
      <c r="BG686" s="1100">
        <v>7</v>
      </c>
      <c r="BH686" s="1099">
        <v>8</v>
      </c>
      <c r="BI686" s="1874">
        <v>0.34</v>
      </c>
      <c r="BJ686" s="1736"/>
      <c r="BK686" s="1049"/>
      <c r="BL686" s="1101"/>
      <c r="BM686" s="1100">
        <v>7</v>
      </c>
      <c r="BN686" s="1099">
        <v>8</v>
      </c>
      <c r="BO686" s="1098"/>
      <c r="BP686" s="1098"/>
      <c r="BQ686" s="1049"/>
    </row>
    <row r="687" spans="1:69" ht="14.4">
      <c r="A687" s="1049"/>
      <c r="B687" s="1097">
        <f>B684/24</f>
        <v>1.6625000000000003</v>
      </c>
      <c r="C687" s="1086">
        <v>8</v>
      </c>
      <c r="D687" s="1085">
        <v>9</v>
      </c>
      <c r="E687" s="1091">
        <v>0.38</v>
      </c>
      <c r="F687" s="1090">
        <v>1.07</v>
      </c>
      <c r="G687" s="1089">
        <f t="shared" si="295"/>
        <v>2.8157894736842106</v>
      </c>
      <c r="H687" s="1049"/>
      <c r="I687" s="1097">
        <f>I684/24</f>
        <v>6.879999999999999</v>
      </c>
      <c r="J687" s="1086">
        <v>8</v>
      </c>
      <c r="K687" s="1085" t="s">
        <v>144</v>
      </c>
      <c r="L687" s="1084">
        <v>2.3730000000000002</v>
      </c>
      <c r="M687" s="1088">
        <v>8.44</v>
      </c>
      <c r="N687" s="1087">
        <f t="shared" si="296"/>
        <v>3.5566793088916979</v>
      </c>
      <c r="O687" s="1049"/>
      <c r="P687" s="1096">
        <f>P684/24</f>
        <v>3.5554166666666673</v>
      </c>
      <c r="Q687" s="1086">
        <v>8</v>
      </c>
      <c r="R687" s="1085">
        <v>9</v>
      </c>
      <c r="S687" s="1084">
        <v>2.2469999999999999</v>
      </c>
      <c r="T687" s="1054">
        <f t="shared" si="297"/>
        <v>1.5728999999999997</v>
      </c>
      <c r="U687" s="1064">
        <v>3.91</v>
      </c>
      <c r="V687" s="1052">
        <f t="shared" si="300"/>
        <v>1.62</v>
      </c>
      <c r="W687" s="1049"/>
      <c r="X687" s="1051">
        <v>0.7</v>
      </c>
      <c r="Y687" s="1049"/>
      <c r="Z687" s="1050">
        <f t="shared" si="301"/>
        <v>0</v>
      </c>
      <c r="AA687" s="1096">
        <f>AA684/24</f>
        <v>5.6479166666666671</v>
      </c>
      <c r="AB687" s="1086">
        <v>8</v>
      </c>
      <c r="AC687" s="1085">
        <v>9</v>
      </c>
      <c r="AD687" s="1084">
        <v>2.72</v>
      </c>
      <c r="AE687" s="1143">
        <f t="shared" si="298"/>
        <v>3.3184</v>
      </c>
      <c r="AF687" s="1142">
        <v>5.19</v>
      </c>
      <c r="AG687" s="1052">
        <f t="shared" si="302"/>
        <v>2.14</v>
      </c>
      <c r="AH687" s="1049"/>
      <c r="AI687" s="1142">
        <v>1.22</v>
      </c>
      <c r="AJ687" s="1049"/>
      <c r="AK687" s="1050">
        <f t="shared" si="303"/>
        <v>11.940800000000003</v>
      </c>
      <c r="AL687" s="1049"/>
      <c r="AM687" s="1096">
        <f>AM684/24</f>
        <v>0.71708333333333341</v>
      </c>
      <c r="AN687" s="1086">
        <v>8</v>
      </c>
      <c r="AO687" s="1085">
        <v>9</v>
      </c>
      <c r="AP687" s="1084">
        <v>0.13</v>
      </c>
      <c r="AQ687" s="1748">
        <f t="shared" si="299"/>
        <v>0</v>
      </c>
      <c r="AR687" s="1742">
        <v>0.33</v>
      </c>
      <c r="AS687" s="1052">
        <f t="shared" si="304"/>
        <v>0.92</v>
      </c>
      <c r="AT687" s="1049"/>
      <c r="AU687" s="1142"/>
      <c r="AV687" s="1049"/>
      <c r="AW687" s="1096">
        <f>AW684/24</f>
        <v>0.65249999999999997</v>
      </c>
      <c r="AX687" s="1086">
        <v>8</v>
      </c>
      <c r="AY687" s="1085">
        <v>9</v>
      </c>
      <c r="AZ687" s="1084">
        <v>0.14000000000000001</v>
      </c>
      <c r="BA687" s="1736">
        <v>0.32</v>
      </c>
      <c r="BB687" s="1742">
        <f t="shared" si="305"/>
        <v>2.14</v>
      </c>
      <c r="BC687" s="1049"/>
      <c r="BD687" s="1142">
        <v>1.22</v>
      </c>
      <c r="BE687" s="1049"/>
      <c r="BF687" s="1096">
        <f>BF684/24</f>
        <v>0</v>
      </c>
      <c r="BG687" s="1086">
        <v>8</v>
      </c>
      <c r="BH687" s="1085">
        <v>9</v>
      </c>
      <c r="BI687" s="1874">
        <v>0.2</v>
      </c>
      <c r="BJ687" s="1736"/>
      <c r="BK687" s="1049"/>
      <c r="BL687" s="1096">
        <f>BL684/24</f>
        <v>0</v>
      </c>
      <c r="BM687" s="1086">
        <v>8</v>
      </c>
      <c r="BN687" s="1085">
        <v>9</v>
      </c>
      <c r="BO687" s="1084"/>
      <c r="BP687" s="1084"/>
      <c r="BQ687" s="1049"/>
    </row>
    <row r="688" spans="1:69" ht="14.4">
      <c r="A688" s="1049"/>
      <c r="B688" s="1097"/>
      <c r="C688" s="1086">
        <v>9</v>
      </c>
      <c r="D688" s="1085">
        <v>10</v>
      </c>
      <c r="E688" s="1091">
        <v>0.59</v>
      </c>
      <c r="F688" s="1090">
        <v>1.58</v>
      </c>
      <c r="G688" s="1089">
        <f t="shared" si="295"/>
        <v>2.6779661016949157</v>
      </c>
      <c r="H688" s="1049"/>
      <c r="I688" s="1097"/>
      <c r="J688" s="1086">
        <v>9</v>
      </c>
      <c r="K688" s="1085">
        <v>10</v>
      </c>
      <c r="L688" s="1084">
        <v>2.1280000000000001</v>
      </c>
      <c r="M688" s="1088">
        <v>7.62</v>
      </c>
      <c r="N688" s="1087">
        <f t="shared" si="296"/>
        <v>3.5808270676691727</v>
      </c>
      <c r="O688" s="1049"/>
      <c r="P688" s="1096"/>
      <c r="Q688" s="1086">
        <v>9</v>
      </c>
      <c r="R688" s="1085">
        <v>10</v>
      </c>
      <c r="S688" s="1084">
        <v>3.1309999999999998</v>
      </c>
      <c r="T688" s="1054">
        <f t="shared" si="297"/>
        <v>2.44218</v>
      </c>
      <c r="U688" s="1064">
        <v>5.71</v>
      </c>
      <c r="V688" s="1052">
        <f t="shared" si="300"/>
        <v>1.7000000000000002</v>
      </c>
      <c r="W688" s="1049"/>
      <c r="X688" s="1051">
        <v>0.78</v>
      </c>
      <c r="Y688" s="1049"/>
      <c r="Z688" s="1050">
        <f t="shared" si="301"/>
        <v>0</v>
      </c>
      <c r="AA688" s="1096"/>
      <c r="AB688" s="1086">
        <v>9</v>
      </c>
      <c r="AC688" s="1085">
        <v>10</v>
      </c>
      <c r="AD688" s="1084">
        <v>2.76</v>
      </c>
      <c r="AE688" s="1143">
        <f t="shared" si="298"/>
        <v>3.3671999999999995</v>
      </c>
      <c r="AF688" s="1142">
        <v>5.27</v>
      </c>
      <c r="AG688" s="1052">
        <f t="shared" si="302"/>
        <v>2.14</v>
      </c>
      <c r="AH688" s="1049"/>
      <c r="AI688" s="1142">
        <v>1.22</v>
      </c>
      <c r="AJ688" s="1049"/>
      <c r="AK688" s="1050">
        <f t="shared" si="303"/>
        <v>12.337199999999998</v>
      </c>
      <c r="AL688" s="1049"/>
      <c r="AM688" s="1096"/>
      <c r="AN688" s="1086">
        <v>9</v>
      </c>
      <c r="AO688" s="1085">
        <v>10</v>
      </c>
      <c r="AP688" s="1084">
        <v>0.1</v>
      </c>
      <c r="AQ688" s="1748">
        <f t="shared" si="299"/>
        <v>0</v>
      </c>
      <c r="AR688" s="1742">
        <v>0.23</v>
      </c>
      <c r="AS688" s="1052">
        <f t="shared" si="304"/>
        <v>0.92</v>
      </c>
      <c r="AT688" s="1049"/>
      <c r="AU688" s="1142"/>
      <c r="AV688" s="1049"/>
      <c r="AW688" s="1096"/>
      <c r="AX688" s="1086">
        <v>9</v>
      </c>
      <c r="AY688" s="1085">
        <v>10</v>
      </c>
      <c r="AZ688" s="1084">
        <v>0.14000000000000001</v>
      </c>
      <c r="BA688" s="1736">
        <v>0.28000000000000003</v>
      </c>
      <c r="BB688" s="1742">
        <f t="shared" si="305"/>
        <v>2.14</v>
      </c>
      <c r="BC688" s="1049"/>
      <c r="BD688" s="1142">
        <v>1.22</v>
      </c>
      <c r="BE688" s="1049"/>
      <c r="BF688" s="1096"/>
      <c r="BG688" s="1086">
        <v>9</v>
      </c>
      <c r="BH688" s="1085">
        <v>10</v>
      </c>
      <c r="BI688" s="1874">
        <v>0.17</v>
      </c>
      <c r="BJ688" s="1736"/>
      <c r="BK688" s="1049"/>
      <c r="BL688" s="1096"/>
      <c r="BM688" s="1086">
        <v>9</v>
      </c>
      <c r="BN688" s="1085">
        <v>10</v>
      </c>
      <c r="BO688" s="1084"/>
      <c r="BP688" s="1084"/>
      <c r="BQ688" s="1049"/>
    </row>
    <row r="689" spans="1:69" ht="14.4">
      <c r="A689" s="1049"/>
      <c r="B689" s="1060"/>
      <c r="C689" s="1086">
        <v>10</v>
      </c>
      <c r="D689" s="1085">
        <v>11</v>
      </c>
      <c r="E689" s="1091">
        <v>0.84</v>
      </c>
      <c r="F689" s="1090">
        <v>2.23</v>
      </c>
      <c r="G689" s="1089">
        <f t="shared" si="295"/>
        <v>2.6547619047619047</v>
      </c>
      <c r="H689" s="1049"/>
      <c r="I689" s="1060"/>
      <c r="J689" s="1086">
        <v>10</v>
      </c>
      <c r="K689" s="1085">
        <v>11</v>
      </c>
      <c r="L689" s="1084">
        <v>2.004</v>
      </c>
      <c r="M689" s="1088">
        <v>7.57</v>
      </c>
      <c r="N689" s="1087">
        <f t="shared" si="296"/>
        <v>3.7774451097804391</v>
      </c>
      <c r="O689" s="1049"/>
      <c r="P689" s="1095">
        <f>SUM(Z679:Z702)</f>
        <v>116.41649000000001</v>
      </c>
      <c r="Q689" s="1086">
        <v>10</v>
      </c>
      <c r="R689" s="1085">
        <v>11</v>
      </c>
      <c r="S689" s="1084">
        <v>2.3250000000000002</v>
      </c>
      <c r="T689" s="1054">
        <f t="shared" si="297"/>
        <v>1.8135000000000001</v>
      </c>
      <c r="U689" s="1064">
        <v>4.25</v>
      </c>
      <c r="V689" s="1052">
        <f t="shared" si="300"/>
        <v>1.7000000000000002</v>
      </c>
      <c r="W689" s="1049"/>
      <c r="X689" s="1051">
        <v>0.78</v>
      </c>
      <c r="Y689" s="1049"/>
      <c r="Z689" s="1050">
        <f t="shared" si="301"/>
        <v>0</v>
      </c>
      <c r="AA689" s="1095">
        <f>SUM(AK679:AK702)</f>
        <v>331.78409999999997</v>
      </c>
      <c r="AB689" s="1086">
        <v>10</v>
      </c>
      <c r="AC689" s="1085">
        <v>11</v>
      </c>
      <c r="AD689" s="1084">
        <v>3.24</v>
      </c>
      <c r="AE689" s="1143">
        <f t="shared" si="298"/>
        <v>4.0175999999999998</v>
      </c>
      <c r="AF689" s="1142">
        <v>6.26</v>
      </c>
      <c r="AG689" s="1052">
        <f t="shared" si="302"/>
        <v>2.16</v>
      </c>
      <c r="AH689" s="1049"/>
      <c r="AI689" s="1142">
        <v>1.24</v>
      </c>
      <c r="AJ689" s="1049"/>
      <c r="AK689" s="1050">
        <f t="shared" si="303"/>
        <v>17.6904</v>
      </c>
      <c r="AL689" s="1049"/>
      <c r="AM689" s="1095" t="e">
        <f>SUM(#REF!)</f>
        <v>#REF!</v>
      </c>
      <c r="AN689" s="1086">
        <v>10</v>
      </c>
      <c r="AO689" s="1085">
        <v>11</v>
      </c>
      <c r="AP689" s="1084">
        <v>0.17</v>
      </c>
      <c r="AQ689" s="1748">
        <f t="shared" si="299"/>
        <v>0</v>
      </c>
      <c r="AR689" s="1742">
        <v>0.35</v>
      </c>
      <c r="AS689" s="1052">
        <f t="shared" si="304"/>
        <v>0.92</v>
      </c>
      <c r="AT689" s="1049"/>
      <c r="AU689" s="1142"/>
      <c r="AV689" s="1049"/>
      <c r="AW689" s="1095" t="e">
        <f>SUM(#REF!)</f>
        <v>#REF!</v>
      </c>
      <c r="AX689" s="1086">
        <v>10</v>
      </c>
      <c r="AY689" s="1085">
        <v>11</v>
      </c>
      <c r="AZ689" s="1084">
        <v>0.3</v>
      </c>
      <c r="BA689" s="1736">
        <v>0.54</v>
      </c>
      <c r="BB689" s="1742">
        <f t="shared" si="305"/>
        <v>2.16</v>
      </c>
      <c r="BC689" s="1049"/>
      <c r="BD689" s="1142">
        <v>1.24</v>
      </c>
      <c r="BE689" s="1049"/>
      <c r="BF689" s="1095" t="e">
        <f>SUM(#REF!)</f>
        <v>#REF!</v>
      </c>
      <c r="BG689" s="1086">
        <v>10</v>
      </c>
      <c r="BH689" s="1085">
        <v>11</v>
      </c>
      <c r="BI689" s="1874">
        <v>0.25</v>
      </c>
      <c r="BJ689" s="1736"/>
      <c r="BK689" s="1049"/>
      <c r="BL689" s="1095" t="e">
        <f>SUM(#REF!)</f>
        <v>#REF!</v>
      </c>
      <c r="BM689" s="1086">
        <v>10</v>
      </c>
      <c r="BN689" s="1085">
        <v>11</v>
      </c>
      <c r="BO689" s="1084"/>
      <c r="BP689" s="1084"/>
      <c r="BQ689" s="1049"/>
    </row>
    <row r="690" spans="1:69" ht="14.4">
      <c r="A690" s="1049"/>
      <c r="B690" s="1060"/>
      <c r="C690" s="1086">
        <v>11</v>
      </c>
      <c r="D690" s="1085">
        <v>12</v>
      </c>
      <c r="E690" s="1091">
        <v>0.35</v>
      </c>
      <c r="F690" s="1090">
        <v>0.87</v>
      </c>
      <c r="G690" s="1089">
        <f t="shared" si="295"/>
        <v>2.4857142857142858</v>
      </c>
      <c r="H690" s="1049"/>
      <c r="I690" s="1060"/>
      <c r="J690" s="1086">
        <v>11</v>
      </c>
      <c r="K690" s="1085">
        <v>12</v>
      </c>
      <c r="L690" s="1084">
        <v>2.149</v>
      </c>
      <c r="M690" s="1088">
        <v>8.23</v>
      </c>
      <c r="N690" s="1087">
        <f t="shared" si="296"/>
        <v>3.829688227082364</v>
      </c>
      <c r="O690" s="1049"/>
      <c r="P690" s="1093">
        <f>IF(P689&gt;0,P689/P681,0)</f>
        <v>2.4283790154359615</v>
      </c>
      <c r="Q690" s="1086">
        <v>11</v>
      </c>
      <c r="R690" s="1085">
        <v>12</v>
      </c>
      <c r="S690" s="1084">
        <v>2.806</v>
      </c>
      <c r="T690" s="1054">
        <f t="shared" si="297"/>
        <v>2.2167400000000002</v>
      </c>
      <c r="U690" s="1064">
        <v>5.13</v>
      </c>
      <c r="V690" s="1052">
        <f t="shared" si="300"/>
        <v>1.71</v>
      </c>
      <c r="W690" s="1049"/>
      <c r="X690" s="1051">
        <v>0.79</v>
      </c>
      <c r="Y690" s="1049"/>
      <c r="Z690" s="1050">
        <f t="shared" si="301"/>
        <v>0</v>
      </c>
      <c r="AA690" s="1093">
        <f>IF(AA689&gt;0,AA689/AA681,0)</f>
        <v>4.9167768227623005</v>
      </c>
      <c r="AB690" s="1086">
        <v>11</v>
      </c>
      <c r="AC690" s="1085">
        <v>12</v>
      </c>
      <c r="AD690" s="1084">
        <v>3.15</v>
      </c>
      <c r="AE690" s="1143">
        <f t="shared" si="298"/>
        <v>3.843</v>
      </c>
      <c r="AF690" s="1142">
        <v>6.03</v>
      </c>
      <c r="AG690" s="1052">
        <f t="shared" si="302"/>
        <v>2.14</v>
      </c>
      <c r="AH690" s="1049"/>
      <c r="AI690" s="1142">
        <v>1.22</v>
      </c>
      <c r="AJ690" s="1049"/>
      <c r="AK690" s="1050">
        <f t="shared" si="303"/>
        <v>16.474500000000003</v>
      </c>
      <c r="AL690" s="1049"/>
      <c r="AM690" s="1093" t="e">
        <f>IF(AM689&gt;0,AM689/AM681,0)</f>
        <v>#REF!</v>
      </c>
      <c r="AN690" s="1086">
        <v>11</v>
      </c>
      <c r="AO690" s="1085">
        <v>12</v>
      </c>
      <c r="AP690" s="1084">
        <v>0.32</v>
      </c>
      <c r="AQ690" s="1748">
        <f t="shared" si="299"/>
        <v>0</v>
      </c>
      <c r="AR690" s="1742">
        <v>0.62</v>
      </c>
      <c r="AS690" s="1052">
        <f t="shared" si="304"/>
        <v>0.92</v>
      </c>
      <c r="AT690" s="1049"/>
      <c r="AU690" s="1142"/>
      <c r="AV690" s="1049"/>
      <c r="AW690" s="1093" t="e">
        <f>IF(AW689&gt;0,AW689/AW681,0)</f>
        <v>#REF!</v>
      </c>
      <c r="AX690" s="1086">
        <v>11</v>
      </c>
      <c r="AY690" s="1085">
        <v>12</v>
      </c>
      <c r="AZ690" s="1084">
        <v>0.68</v>
      </c>
      <c r="BA690" s="1736">
        <v>1.1599999999999999</v>
      </c>
      <c r="BB690" s="1742">
        <f t="shared" si="305"/>
        <v>2.14</v>
      </c>
      <c r="BC690" s="1049"/>
      <c r="BD690" s="1142">
        <v>1.22</v>
      </c>
      <c r="BE690" s="1049"/>
      <c r="BF690" s="1093" t="e">
        <f>IF(BF689&gt;0,BF689/BF681,0)</f>
        <v>#REF!</v>
      </c>
      <c r="BG690" s="1086">
        <v>11</v>
      </c>
      <c r="BH690" s="1085">
        <v>12</v>
      </c>
      <c r="BI690" s="1874">
        <v>0.31</v>
      </c>
      <c r="BJ690" s="1736"/>
      <c r="BK690" s="1049"/>
      <c r="BL690" s="1093" t="e">
        <f>IF(BL689&gt;0,BL689/BL681,0)</f>
        <v>#REF!</v>
      </c>
      <c r="BM690" s="1086">
        <v>11</v>
      </c>
      <c r="BN690" s="1085">
        <v>12</v>
      </c>
      <c r="BO690" s="1084"/>
      <c r="BP690" s="1084"/>
      <c r="BQ690" s="1049"/>
    </row>
    <row r="691" spans="1:69" ht="14.4">
      <c r="A691" s="1049"/>
      <c r="B691" s="1060"/>
      <c r="C691" s="1086">
        <v>12</v>
      </c>
      <c r="D691" s="1085">
        <v>13</v>
      </c>
      <c r="E691" s="1091">
        <v>0.67</v>
      </c>
      <c r="F691" s="1090">
        <v>1.65</v>
      </c>
      <c r="G691" s="1089">
        <f t="shared" si="295"/>
        <v>2.4626865671641789</v>
      </c>
      <c r="H691" s="1049"/>
      <c r="I691" s="1060"/>
      <c r="J691" s="1086">
        <v>12</v>
      </c>
      <c r="K691" s="1085">
        <v>13</v>
      </c>
      <c r="L691" s="1084">
        <v>2.1680000000000001</v>
      </c>
      <c r="M691" s="1088">
        <v>8.2799999999999994</v>
      </c>
      <c r="N691" s="1087">
        <f t="shared" si="296"/>
        <v>3.8191881918819184</v>
      </c>
      <c r="O691" s="1049"/>
      <c r="P691" s="1060"/>
      <c r="Q691" s="1086">
        <v>12</v>
      </c>
      <c r="R691" s="1085">
        <v>13</v>
      </c>
      <c r="S691" s="1084">
        <v>3.1339999999999999</v>
      </c>
      <c r="T691" s="1054">
        <f t="shared" si="297"/>
        <v>2.5072000000000001</v>
      </c>
      <c r="U691" s="1064">
        <v>5.79</v>
      </c>
      <c r="V691" s="1052">
        <f t="shared" si="300"/>
        <v>1.7200000000000002</v>
      </c>
      <c r="W691" s="1049"/>
      <c r="X691" s="1051">
        <v>0.8</v>
      </c>
      <c r="Y691" s="1049"/>
      <c r="Z691" s="1050">
        <f t="shared" si="301"/>
        <v>15.63866</v>
      </c>
      <c r="AA691" s="1060"/>
      <c r="AB691" s="1086">
        <v>12</v>
      </c>
      <c r="AC691" s="1085">
        <v>13</v>
      </c>
      <c r="AD691" s="1084">
        <v>2.9</v>
      </c>
      <c r="AE691" s="1143">
        <f t="shared" si="298"/>
        <v>3.4219999999999997</v>
      </c>
      <c r="AF691" s="1142">
        <v>5.41</v>
      </c>
      <c r="AG691" s="1052">
        <f t="shared" si="302"/>
        <v>2.1</v>
      </c>
      <c r="AH691" s="1049"/>
      <c r="AI691" s="1142">
        <v>1.18</v>
      </c>
      <c r="AJ691" s="1049"/>
      <c r="AK691" s="1050">
        <f t="shared" si="303"/>
        <v>13.369</v>
      </c>
      <c r="AL691" s="1049"/>
      <c r="AM691" s="1060"/>
      <c r="AN691" s="1086">
        <v>12</v>
      </c>
      <c r="AO691" s="1085">
        <v>13</v>
      </c>
      <c r="AP691" s="1084">
        <v>0.23</v>
      </c>
      <c r="AQ691" s="1748">
        <f t="shared" si="299"/>
        <v>0</v>
      </c>
      <c r="AR691" s="1742">
        <v>0.44</v>
      </c>
      <c r="AS691" s="1052">
        <f t="shared" si="304"/>
        <v>0.92</v>
      </c>
      <c r="AT691" s="1049"/>
      <c r="AU691" s="1142"/>
      <c r="AV691" s="1049"/>
      <c r="AW691" s="1060"/>
      <c r="AX691" s="1086">
        <v>12</v>
      </c>
      <c r="AY691" s="1085">
        <v>13</v>
      </c>
      <c r="AZ691" s="1084">
        <v>0.59</v>
      </c>
      <c r="BA691" s="1736">
        <v>1</v>
      </c>
      <c r="BB691" s="1742">
        <f t="shared" si="305"/>
        <v>2.1</v>
      </c>
      <c r="BC691" s="1049"/>
      <c r="BD691" s="1142">
        <v>1.18</v>
      </c>
      <c r="BE691" s="1049"/>
      <c r="BF691" s="1060"/>
      <c r="BG691" s="1086">
        <v>12</v>
      </c>
      <c r="BH691" s="1085">
        <v>13</v>
      </c>
      <c r="BI691" s="1874">
        <v>0.19</v>
      </c>
      <c r="BJ691" s="1736"/>
      <c r="BK691" s="1049"/>
      <c r="BL691" s="1060"/>
      <c r="BM691" s="1086">
        <v>12</v>
      </c>
      <c r="BN691" s="1085">
        <v>13</v>
      </c>
      <c r="BO691" s="1084"/>
      <c r="BP691" s="1084"/>
      <c r="BQ691" s="1049"/>
    </row>
    <row r="692" spans="1:69" ht="14.4">
      <c r="A692" s="1049"/>
      <c r="B692" s="1060"/>
      <c r="C692" s="1086">
        <v>13</v>
      </c>
      <c r="D692" s="1085">
        <v>14</v>
      </c>
      <c r="E692" s="1091">
        <v>0.52</v>
      </c>
      <c r="F692" s="1090">
        <v>1.23</v>
      </c>
      <c r="G692" s="1089">
        <f t="shared" si="295"/>
        <v>2.3653846153846154</v>
      </c>
      <c r="H692" s="1049"/>
      <c r="I692" s="1060"/>
      <c r="J692" s="1086">
        <v>13</v>
      </c>
      <c r="K692" s="1085">
        <v>14</v>
      </c>
      <c r="L692" s="1084">
        <v>2.8119999999999998</v>
      </c>
      <c r="M692" s="1088">
        <v>10.74</v>
      </c>
      <c r="N692" s="1087">
        <f t="shared" si="296"/>
        <v>3.8193456614509249</v>
      </c>
      <c r="O692" s="1049"/>
      <c r="P692" s="1092" t="s">
        <v>1127</v>
      </c>
      <c r="Q692" s="1086">
        <v>13</v>
      </c>
      <c r="R692" s="1085">
        <v>14</v>
      </c>
      <c r="S692" s="1084">
        <v>3.593</v>
      </c>
      <c r="T692" s="1054">
        <f t="shared" si="297"/>
        <v>3.0181199999999997</v>
      </c>
      <c r="U692" s="1064">
        <v>6.76</v>
      </c>
      <c r="V692" s="1052">
        <f t="shared" si="300"/>
        <v>1.76</v>
      </c>
      <c r="W692" s="1049"/>
      <c r="X692" s="1051">
        <v>0.84</v>
      </c>
      <c r="Y692" s="1049"/>
      <c r="Z692" s="1050">
        <f t="shared" si="301"/>
        <v>21.414279999999998</v>
      </c>
      <c r="AA692" s="1092" t="s">
        <v>1127</v>
      </c>
      <c r="AB692" s="1086">
        <v>13</v>
      </c>
      <c r="AC692" s="1085">
        <v>14</v>
      </c>
      <c r="AD692" s="1084">
        <v>3.3</v>
      </c>
      <c r="AE692" s="1143">
        <f t="shared" si="298"/>
        <v>3.8609999999999998</v>
      </c>
      <c r="AF692" s="1142">
        <v>6.14</v>
      </c>
      <c r="AG692" s="1052">
        <f t="shared" si="302"/>
        <v>2.09</v>
      </c>
      <c r="AH692" s="1049"/>
      <c r="AI692" s="1142">
        <v>1.17</v>
      </c>
      <c r="AJ692" s="1049"/>
      <c r="AK692" s="1050">
        <f t="shared" si="303"/>
        <v>17.622</v>
      </c>
      <c r="AL692" s="1049"/>
      <c r="AM692" s="1092" t="s">
        <v>1127</v>
      </c>
      <c r="AN692" s="1086">
        <v>13</v>
      </c>
      <c r="AO692" s="1085">
        <v>14</v>
      </c>
      <c r="AP692" s="1084">
        <v>0.33</v>
      </c>
      <c r="AQ692" s="1748">
        <f t="shared" si="299"/>
        <v>0</v>
      </c>
      <c r="AR692" s="1742">
        <v>0.63</v>
      </c>
      <c r="AS692" s="1052">
        <f t="shared" si="304"/>
        <v>0.92</v>
      </c>
      <c r="AT692" s="1049"/>
      <c r="AU692" s="1142"/>
      <c r="AV692" s="1049"/>
      <c r="AW692" s="1092" t="s">
        <v>1127</v>
      </c>
      <c r="AX692" s="1086">
        <v>13</v>
      </c>
      <c r="AY692" s="1085">
        <v>14</v>
      </c>
      <c r="AZ692" s="1084">
        <v>1.45</v>
      </c>
      <c r="BA692" s="1736">
        <v>2.4300000000000002</v>
      </c>
      <c r="BB692" s="1742">
        <f t="shared" si="305"/>
        <v>2.09</v>
      </c>
      <c r="BC692" s="1049"/>
      <c r="BD692" s="1142">
        <v>1.17</v>
      </c>
      <c r="BE692" s="1049"/>
      <c r="BF692" s="1092" t="s">
        <v>1127</v>
      </c>
      <c r="BG692" s="1086">
        <v>13</v>
      </c>
      <c r="BH692" s="1085">
        <v>14</v>
      </c>
      <c r="BI692" s="1874">
        <v>0.11</v>
      </c>
      <c r="BJ692" s="1736"/>
      <c r="BK692" s="1049"/>
      <c r="BL692" s="1092" t="s">
        <v>1127</v>
      </c>
      <c r="BM692" s="1086">
        <v>13</v>
      </c>
      <c r="BN692" s="1085">
        <v>14</v>
      </c>
      <c r="BO692" s="1084"/>
      <c r="BP692" s="1084"/>
      <c r="BQ692" s="1049"/>
    </row>
    <row r="693" spans="1:69" ht="14.4">
      <c r="A693" s="1049"/>
      <c r="B693" s="1060"/>
      <c r="C693" s="1086">
        <v>14</v>
      </c>
      <c r="D693" s="1085">
        <v>15</v>
      </c>
      <c r="E693" s="1091">
        <v>0.41</v>
      </c>
      <c r="F693" s="1090">
        <v>0.97</v>
      </c>
      <c r="G693" s="1089">
        <f t="shared" si="295"/>
        <v>2.3658536585365852</v>
      </c>
      <c r="H693" s="1049"/>
      <c r="I693" s="1060"/>
      <c r="J693" s="1086">
        <v>14</v>
      </c>
      <c r="K693" s="1085">
        <v>15</v>
      </c>
      <c r="L693" s="1084">
        <v>2.7989999999999999</v>
      </c>
      <c r="M693" s="1088">
        <v>10.69</v>
      </c>
      <c r="N693" s="1087">
        <f t="shared" si="296"/>
        <v>3.8192211504108609</v>
      </c>
      <c r="O693" s="1049"/>
      <c r="P693" s="1058">
        <f>P681*0.8</f>
        <v>38.352000000000004</v>
      </c>
      <c r="Q693" s="1086">
        <v>14</v>
      </c>
      <c r="R693" s="1085">
        <v>15</v>
      </c>
      <c r="S693" s="1084">
        <v>3.6549999999999998</v>
      </c>
      <c r="T693" s="1054">
        <f t="shared" si="297"/>
        <v>3.0336499999999997</v>
      </c>
      <c r="U693" s="1064">
        <v>6.84</v>
      </c>
      <c r="V693" s="1052">
        <f t="shared" si="300"/>
        <v>1.75</v>
      </c>
      <c r="W693" s="1049"/>
      <c r="X693" s="1051">
        <v>0.83</v>
      </c>
      <c r="Y693" s="1049"/>
      <c r="Z693" s="1050">
        <f t="shared" si="301"/>
        <v>22.0762</v>
      </c>
      <c r="AA693" s="1058">
        <f>AA681*0.8</f>
        <v>53.983999999999995</v>
      </c>
      <c r="AB693" s="1086">
        <v>14</v>
      </c>
      <c r="AC693" s="1085">
        <v>15</v>
      </c>
      <c r="AD693" s="1084">
        <v>3.6</v>
      </c>
      <c r="AE693" s="1143">
        <f t="shared" si="298"/>
        <v>4.1760000000000002</v>
      </c>
      <c r="AF693" s="1142">
        <v>6.66</v>
      </c>
      <c r="AG693" s="1052">
        <f t="shared" si="302"/>
        <v>2.08</v>
      </c>
      <c r="AH693" s="1049"/>
      <c r="AI693" s="1142">
        <v>1.1599999999999999</v>
      </c>
      <c r="AJ693" s="1049"/>
      <c r="AK693" s="1050">
        <f t="shared" si="303"/>
        <v>21.096</v>
      </c>
      <c r="AL693" s="1049"/>
      <c r="AM693" s="1058">
        <f>AM681*0.8</f>
        <v>5.3599999999999994</v>
      </c>
      <c r="AN693" s="1086">
        <v>14</v>
      </c>
      <c r="AO693" s="1085">
        <v>15</v>
      </c>
      <c r="AP693" s="1084">
        <v>0.28999999999999998</v>
      </c>
      <c r="AQ693" s="1748">
        <f t="shared" si="299"/>
        <v>0</v>
      </c>
      <c r="AR693" s="1742">
        <v>0.55000000000000004</v>
      </c>
      <c r="AS693" s="1052">
        <f t="shared" si="304"/>
        <v>0.92</v>
      </c>
      <c r="AT693" s="1049"/>
      <c r="AU693" s="1142"/>
      <c r="AV693" s="1049"/>
      <c r="AW693" s="1058">
        <f>AW681*0.8</f>
        <v>6.3440000000000003</v>
      </c>
      <c r="AX693" s="1086">
        <v>14</v>
      </c>
      <c r="AY693" s="1085">
        <v>15</v>
      </c>
      <c r="AZ693" s="1084">
        <v>0.44</v>
      </c>
      <c r="BA693" s="1736">
        <v>0.74</v>
      </c>
      <c r="BB693" s="1742">
        <f t="shared" si="305"/>
        <v>2.08</v>
      </c>
      <c r="BC693" s="1049"/>
      <c r="BD693" s="1142">
        <v>1.1599999999999999</v>
      </c>
      <c r="BE693" s="1049"/>
      <c r="BF693" s="1058">
        <f>BF681*0.8</f>
        <v>4.4560000000000004</v>
      </c>
      <c r="BG693" s="1086">
        <v>14</v>
      </c>
      <c r="BH693" s="1085">
        <v>15</v>
      </c>
      <c r="BI693" s="1874">
        <v>0.28000000000000003</v>
      </c>
      <c r="BJ693" s="1736"/>
      <c r="BK693" s="1049"/>
      <c r="BL693" s="1058">
        <f>BL681*0.8</f>
        <v>0</v>
      </c>
      <c r="BM693" s="1086">
        <v>14</v>
      </c>
      <c r="BN693" s="1085">
        <v>15</v>
      </c>
      <c r="BO693" s="1084"/>
      <c r="BP693" s="1084"/>
      <c r="BQ693" s="1049"/>
    </row>
    <row r="694" spans="1:69" ht="14.4">
      <c r="A694" s="1049"/>
      <c r="B694" s="1060"/>
      <c r="C694" s="1086">
        <v>15</v>
      </c>
      <c r="D694" s="1085">
        <v>16</v>
      </c>
      <c r="E694" s="1091">
        <v>0.44</v>
      </c>
      <c r="F694" s="1090">
        <v>1.08</v>
      </c>
      <c r="G694" s="1089">
        <f t="shared" si="295"/>
        <v>2.4545454545454546</v>
      </c>
      <c r="H694" s="1049"/>
      <c r="I694" s="1060"/>
      <c r="J694" s="1086">
        <v>15</v>
      </c>
      <c r="K694" s="1085">
        <v>16</v>
      </c>
      <c r="L694" s="1084">
        <v>1.581</v>
      </c>
      <c r="M694" s="1088">
        <v>6.05</v>
      </c>
      <c r="N694" s="1087">
        <f t="shared" si="296"/>
        <v>3.8266919671094244</v>
      </c>
      <c r="O694" s="1049"/>
      <c r="P694" s="1058" t="s">
        <v>1126</v>
      </c>
      <c r="Q694" s="1086">
        <v>15</v>
      </c>
      <c r="R694" s="1085">
        <v>16</v>
      </c>
      <c r="S694" s="1084">
        <v>3.7149999999999999</v>
      </c>
      <c r="T694" s="1054">
        <f t="shared" si="297"/>
        <v>3.9007499999999999</v>
      </c>
      <c r="U694" s="1064">
        <v>7.79</v>
      </c>
      <c r="V694" s="1052">
        <f t="shared" si="300"/>
        <v>1.9700000000000002</v>
      </c>
      <c r="W694" s="1049"/>
      <c r="X694" s="1051">
        <v>1.05</v>
      </c>
      <c r="Y694" s="1049"/>
      <c r="Z694" s="1050">
        <f t="shared" si="301"/>
        <v>25.967849999999999</v>
      </c>
      <c r="AA694" s="1058" t="s">
        <v>1126</v>
      </c>
      <c r="AB694" s="1086">
        <v>15</v>
      </c>
      <c r="AC694" s="1085">
        <v>16</v>
      </c>
      <c r="AD694" s="1084">
        <v>3.39</v>
      </c>
      <c r="AE694" s="1143">
        <f t="shared" si="298"/>
        <v>3.8984999999999999</v>
      </c>
      <c r="AF694" s="1142">
        <v>6.24</v>
      </c>
      <c r="AG694" s="1052">
        <f t="shared" si="302"/>
        <v>2.0699999999999998</v>
      </c>
      <c r="AH694" s="1049"/>
      <c r="AI694" s="1142">
        <v>1.1499999999999999</v>
      </c>
      <c r="AJ694" s="1049"/>
      <c r="AK694" s="1050">
        <f t="shared" si="303"/>
        <v>18.441600000000001</v>
      </c>
      <c r="AL694" s="1049"/>
      <c r="AM694" s="1058" t="s">
        <v>1126</v>
      </c>
      <c r="AN694" s="1086">
        <v>15</v>
      </c>
      <c r="AO694" s="1085">
        <v>16</v>
      </c>
      <c r="AP694" s="1084">
        <v>0.28999999999999998</v>
      </c>
      <c r="AQ694" s="1748">
        <f t="shared" si="299"/>
        <v>0</v>
      </c>
      <c r="AR694" s="1742">
        <v>0.59</v>
      </c>
      <c r="AS694" s="1052">
        <f t="shared" si="304"/>
        <v>0.92</v>
      </c>
      <c r="AT694" s="1049"/>
      <c r="AU694" s="1142"/>
      <c r="AV694" s="1049"/>
      <c r="AW694" s="1058" t="s">
        <v>1126</v>
      </c>
      <c r="AX694" s="1086">
        <v>15</v>
      </c>
      <c r="AY694" s="1085">
        <v>16</v>
      </c>
      <c r="AZ694" s="1084">
        <v>0.35</v>
      </c>
      <c r="BA694" s="1736">
        <v>0.6</v>
      </c>
      <c r="BB694" s="1742">
        <f t="shared" si="305"/>
        <v>2.0699999999999998</v>
      </c>
      <c r="BC694" s="1049"/>
      <c r="BD694" s="1142">
        <v>1.1499999999999999</v>
      </c>
      <c r="BE694" s="1049"/>
      <c r="BF694" s="1058" t="s">
        <v>1126</v>
      </c>
      <c r="BG694" s="1086">
        <v>15</v>
      </c>
      <c r="BH694" s="1085">
        <v>16</v>
      </c>
      <c r="BI694" s="1874">
        <v>0.41</v>
      </c>
      <c r="BJ694" s="1736"/>
      <c r="BK694" s="1049"/>
      <c r="BL694" s="1058" t="s">
        <v>1126</v>
      </c>
      <c r="BM694" s="1086">
        <v>15</v>
      </c>
      <c r="BN694" s="1085">
        <v>16</v>
      </c>
      <c r="BO694" s="1084"/>
      <c r="BP694" s="1084"/>
      <c r="BQ694" s="1049"/>
    </row>
    <row r="695" spans="1:69" ht="15" thickBot="1">
      <c r="A695" s="1049"/>
      <c r="B695" s="1060"/>
      <c r="C695" s="1077">
        <v>16</v>
      </c>
      <c r="D695" s="1076">
        <v>17</v>
      </c>
      <c r="E695" s="1083">
        <v>0.43</v>
      </c>
      <c r="F695" s="1082">
        <v>1.0900000000000001</v>
      </c>
      <c r="G695" s="1081">
        <f t="shared" si="295"/>
        <v>2.5348837209302326</v>
      </c>
      <c r="H695" s="1049"/>
      <c r="I695" s="1060"/>
      <c r="J695" s="1077">
        <v>16</v>
      </c>
      <c r="K695" s="1076">
        <v>17</v>
      </c>
      <c r="L695" s="1075">
        <v>1.627</v>
      </c>
      <c r="M695" s="1080">
        <v>6.41</v>
      </c>
      <c r="N695" s="1079">
        <f t="shared" si="296"/>
        <v>3.9397664413030116</v>
      </c>
      <c r="O695" s="1049"/>
      <c r="P695" s="1078">
        <f>P681*(X678-0.8)</f>
        <v>3.0262124999999944</v>
      </c>
      <c r="Q695" s="1077">
        <v>16</v>
      </c>
      <c r="R695" s="1076">
        <v>17</v>
      </c>
      <c r="S695" s="1075">
        <v>2.8450000000000002</v>
      </c>
      <c r="T695" s="1054">
        <f t="shared" si="297"/>
        <v>3.3855500000000003</v>
      </c>
      <c r="U695" s="1064">
        <v>6.37</v>
      </c>
      <c r="V695" s="1052">
        <f t="shared" si="300"/>
        <v>2.11</v>
      </c>
      <c r="W695" s="1049"/>
      <c r="X695" s="1074">
        <v>1.19</v>
      </c>
      <c r="Y695" s="1049"/>
      <c r="Z695" s="1050">
        <f t="shared" si="301"/>
        <v>15.846650000000002</v>
      </c>
      <c r="AA695" s="1078">
        <f>AA681*(AI678-0.8)</f>
        <v>25.262824999999989</v>
      </c>
      <c r="AB695" s="1077">
        <v>16</v>
      </c>
      <c r="AC695" s="1076">
        <v>17</v>
      </c>
      <c r="AD695" s="1075">
        <v>3.3</v>
      </c>
      <c r="AE695" s="1141">
        <f t="shared" si="298"/>
        <v>3.8939999999999997</v>
      </c>
      <c r="AF695" s="1140">
        <v>6.17</v>
      </c>
      <c r="AG695" s="1052">
        <f t="shared" si="302"/>
        <v>2.1</v>
      </c>
      <c r="AH695" s="1049"/>
      <c r="AI695" s="1140">
        <v>1.18</v>
      </c>
      <c r="AJ695" s="1049"/>
      <c r="AK695" s="1050">
        <f t="shared" si="303"/>
        <v>17.721</v>
      </c>
      <c r="AL695" s="1049"/>
      <c r="AM695" s="1078" t="e">
        <f>AM681*(AU678-0.8)</f>
        <v>#DIV/0!</v>
      </c>
      <c r="AN695" s="1077">
        <v>16</v>
      </c>
      <c r="AO695" s="1076">
        <v>17</v>
      </c>
      <c r="AP695" s="1075">
        <v>0.28999999999999998</v>
      </c>
      <c r="AQ695" s="1749">
        <f t="shared" si="299"/>
        <v>0</v>
      </c>
      <c r="AR695" s="1743">
        <v>0.65</v>
      </c>
      <c r="AS695" s="1052">
        <f t="shared" si="304"/>
        <v>0.92</v>
      </c>
      <c r="AT695" s="1049"/>
      <c r="AU695" s="1140"/>
      <c r="AV695" s="1049"/>
      <c r="AW695" s="1078">
        <f>AW681*(BD678-0.8)</f>
        <v>2.9687937499999992</v>
      </c>
      <c r="AX695" s="1077">
        <v>16</v>
      </c>
      <c r="AY695" s="1076">
        <v>17</v>
      </c>
      <c r="AZ695" s="1075">
        <v>0.27</v>
      </c>
      <c r="BA695" s="1738">
        <v>0.46</v>
      </c>
      <c r="BB695" s="1743">
        <f t="shared" si="305"/>
        <v>2.1</v>
      </c>
      <c r="BC695" s="1049"/>
      <c r="BD695" s="1140">
        <v>1.18</v>
      </c>
      <c r="BE695" s="1049"/>
      <c r="BF695" s="1078">
        <f>BF681*(BM678-0.8)</f>
        <v>-4.4560000000000004</v>
      </c>
      <c r="BG695" s="1077">
        <v>16</v>
      </c>
      <c r="BH695" s="1076">
        <v>17</v>
      </c>
      <c r="BI695" s="1874">
        <v>0.38</v>
      </c>
      <c r="BJ695" s="1738"/>
      <c r="BK695" s="1049"/>
      <c r="BL695" s="1078">
        <f>BL681*(BS678-0.8)</f>
        <v>0</v>
      </c>
      <c r="BM695" s="1077">
        <v>16</v>
      </c>
      <c r="BN695" s="1076">
        <v>17</v>
      </c>
      <c r="BO695" s="1075"/>
      <c r="BP695" s="1075"/>
      <c r="BQ695" s="1049"/>
    </row>
    <row r="696" spans="1:69" ht="14.4">
      <c r="A696" s="1049"/>
      <c r="B696" s="1060"/>
      <c r="C696" s="1068">
        <v>17</v>
      </c>
      <c r="D696" s="1067">
        <v>18</v>
      </c>
      <c r="E696" s="1073">
        <v>0.83</v>
      </c>
      <c r="F696" s="1072">
        <v>2.74</v>
      </c>
      <c r="G696" s="1071">
        <f t="shared" si="295"/>
        <v>3.3012048192771091</v>
      </c>
      <c r="H696" s="1049"/>
      <c r="I696" s="1060"/>
      <c r="J696" s="1068">
        <v>17</v>
      </c>
      <c r="K696" s="1067">
        <v>18</v>
      </c>
      <c r="L696" s="1066">
        <v>2.1179999999999999</v>
      </c>
      <c r="M696" s="1070">
        <v>9.99</v>
      </c>
      <c r="N696" s="1069">
        <f t="shared" si="296"/>
        <v>4.7167138810198308</v>
      </c>
      <c r="O696" s="1049"/>
      <c r="P696" s="1058"/>
      <c r="Q696" s="1068">
        <v>17</v>
      </c>
      <c r="R696" s="1067">
        <v>18</v>
      </c>
      <c r="S696" s="1066">
        <v>2.069</v>
      </c>
      <c r="T696" s="1054">
        <f t="shared" si="297"/>
        <v>2.6069399999999998</v>
      </c>
      <c r="U696" s="1064">
        <v>4.7699999999999996</v>
      </c>
      <c r="V696" s="1052">
        <f t="shared" si="300"/>
        <v>2.1800000000000002</v>
      </c>
      <c r="W696" s="1049"/>
      <c r="X696" s="1065">
        <v>1.26</v>
      </c>
      <c r="Y696" s="1049"/>
      <c r="Z696" s="1050">
        <f t="shared" si="301"/>
        <v>8.2139299999999995</v>
      </c>
      <c r="AA696" s="1058"/>
      <c r="AB696" s="1068">
        <v>17</v>
      </c>
      <c r="AC696" s="1067">
        <v>18</v>
      </c>
      <c r="AD696" s="1066">
        <v>3.45</v>
      </c>
      <c r="AE696" s="1139">
        <f t="shared" si="298"/>
        <v>4.1055000000000001</v>
      </c>
      <c r="AF696" s="1138">
        <v>9.19</v>
      </c>
      <c r="AG696" s="1052">
        <f t="shared" si="302"/>
        <v>2.11</v>
      </c>
      <c r="AH696" s="1049"/>
      <c r="AI696" s="1138">
        <v>1.19</v>
      </c>
      <c r="AJ696" s="1049"/>
      <c r="AK696" s="1050">
        <f t="shared" si="303"/>
        <v>28.945499999999996</v>
      </c>
      <c r="AL696" s="1049"/>
      <c r="AM696" s="1058"/>
      <c r="AN696" s="1068">
        <v>17</v>
      </c>
      <c r="AO696" s="1067">
        <v>18</v>
      </c>
      <c r="AP696" s="1066">
        <v>1.28</v>
      </c>
      <c r="AQ696" s="1750">
        <f t="shared" si="299"/>
        <v>0</v>
      </c>
      <c r="AR696" s="1744">
        <v>4.1100000000000003</v>
      </c>
      <c r="AS696" s="1052">
        <f t="shared" si="304"/>
        <v>0.92</v>
      </c>
      <c r="AT696" s="1049"/>
      <c r="AU696" s="1138"/>
      <c r="AV696" s="1049"/>
      <c r="AW696" s="1058"/>
      <c r="AX696" s="1068">
        <v>17</v>
      </c>
      <c r="AY696" s="1067">
        <v>18</v>
      </c>
      <c r="AZ696" s="1066">
        <v>0.68</v>
      </c>
      <c r="BA696" s="1740">
        <v>1.78</v>
      </c>
      <c r="BB696" s="1744">
        <f t="shared" si="305"/>
        <v>2.11</v>
      </c>
      <c r="BC696" s="1049"/>
      <c r="BD696" s="1138">
        <v>1.19</v>
      </c>
      <c r="BE696" s="1049"/>
      <c r="BF696" s="1058"/>
      <c r="BG696" s="1068">
        <v>17</v>
      </c>
      <c r="BH696" s="1067">
        <v>18</v>
      </c>
      <c r="BI696" s="1874">
        <v>0.36</v>
      </c>
      <c r="BJ696" s="1740"/>
      <c r="BK696" s="1049"/>
      <c r="BL696" s="1058"/>
      <c r="BM696" s="1068">
        <v>17</v>
      </c>
      <c r="BN696" s="1067">
        <v>18</v>
      </c>
      <c r="BO696" s="1066"/>
      <c r="BP696" s="1066"/>
      <c r="BQ696" s="1049"/>
    </row>
    <row r="697" spans="1:69" ht="14.4">
      <c r="A697" s="1049"/>
      <c r="B697" s="1060"/>
      <c r="C697" s="1057">
        <v>18</v>
      </c>
      <c r="D697" s="1056">
        <v>19</v>
      </c>
      <c r="E697" s="1063">
        <v>1.65</v>
      </c>
      <c r="F697" s="1062">
        <v>5.53</v>
      </c>
      <c r="G697" s="1061">
        <f t="shared" si="295"/>
        <v>3.351515151515152</v>
      </c>
      <c r="H697" s="1049"/>
      <c r="I697" s="1060"/>
      <c r="J697" s="1057">
        <v>18</v>
      </c>
      <c r="K697" s="1056">
        <v>19</v>
      </c>
      <c r="L697" s="1055">
        <v>1.4419999999999999</v>
      </c>
      <c r="M697" s="1059">
        <v>6.68</v>
      </c>
      <c r="N697" s="1052">
        <f t="shared" si="296"/>
        <v>4.6324549237170594</v>
      </c>
      <c r="O697" s="1049"/>
      <c r="P697" s="1058"/>
      <c r="Q697" s="1057">
        <v>18</v>
      </c>
      <c r="R697" s="1056">
        <v>19</v>
      </c>
      <c r="S697" s="1055">
        <v>0.622</v>
      </c>
      <c r="T697" s="1054">
        <f t="shared" si="297"/>
        <v>0.77749999999999997</v>
      </c>
      <c r="U697" s="1064">
        <v>1.42</v>
      </c>
      <c r="V697" s="1052">
        <f t="shared" si="300"/>
        <v>2.17</v>
      </c>
      <c r="W697" s="1049"/>
      <c r="X697" s="1051">
        <v>1.25</v>
      </c>
      <c r="Y697" s="1049"/>
      <c r="Z697" s="1050">
        <f t="shared" si="301"/>
        <v>0.38563999999999993</v>
      </c>
      <c r="AA697" s="1058"/>
      <c r="AB697" s="1057">
        <v>18</v>
      </c>
      <c r="AC697" s="1056">
        <v>19</v>
      </c>
      <c r="AD697" s="1055">
        <v>2.61</v>
      </c>
      <c r="AE697" s="1137">
        <f t="shared" si="298"/>
        <v>3.0797999999999996</v>
      </c>
      <c r="AF697" s="1136">
        <v>6.91</v>
      </c>
      <c r="AG697" s="1052">
        <f t="shared" si="302"/>
        <v>2.1</v>
      </c>
      <c r="AH697" s="1049"/>
      <c r="AI697" s="1136">
        <v>1.18</v>
      </c>
      <c r="AJ697" s="1049"/>
      <c r="AK697" s="1050">
        <f t="shared" si="303"/>
        <v>15.947100000000001</v>
      </c>
      <c r="AL697" s="1049"/>
      <c r="AM697" s="1058"/>
      <c r="AN697" s="1057">
        <v>18</v>
      </c>
      <c r="AO697" s="1056">
        <v>19</v>
      </c>
      <c r="AP697" s="1055">
        <v>0.84</v>
      </c>
      <c r="AQ697" s="1745">
        <f t="shared" si="299"/>
        <v>0</v>
      </c>
      <c r="AR697" s="1737">
        <v>2.86</v>
      </c>
      <c r="AS697" s="1052">
        <f t="shared" si="304"/>
        <v>0.92</v>
      </c>
      <c r="AT697" s="1049"/>
      <c r="AU697" s="1136"/>
      <c r="AV697" s="1049"/>
      <c r="AW697" s="1058"/>
      <c r="AX697" s="1057">
        <v>18</v>
      </c>
      <c r="AY697" s="1056">
        <v>19</v>
      </c>
      <c r="AZ697" s="1055">
        <v>0.35</v>
      </c>
      <c r="BA697" s="1736">
        <v>1.01</v>
      </c>
      <c r="BB697" s="1737">
        <f t="shared" si="305"/>
        <v>2.1</v>
      </c>
      <c r="BC697" s="1049"/>
      <c r="BD697" s="1136">
        <v>1.18</v>
      </c>
      <c r="BE697" s="1049"/>
      <c r="BF697" s="1058"/>
      <c r="BG697" s="1057">
        <v>18</v>
      </c>
      <c r="BH697" s="1056">
        <v>19</v>
      </c>
      <c r="BI697" s="1874">
        <v>0.28000000000000003</v>
      </c>
      <c r="BJ697" s="1736"/>
      <c r="BK697" s="1049"/>
      <c r="BL697" s="1058"/>
      <c r="BM697" s="1057">
        <v>18</v>
      </c>
      <c r="BN697" s="1056">
        <v>19</v>
      </c>
      <c r="BO697" s="1055"/>
      <c r="BP697" s="1055"/>
      <c r="BQ697" s="1049"/>
    </row>
    <row r="698" spans="1:69" ht="14.4">
      <c r="A698" s="1049"/>
      <c r="B698" s="1060"/>
      <c r="C698" s="1057">
        <v>19</v>
      </c>
      <c r="D698" s="1056">
        <v>20</v>
      </c>
      <c r="E698" s="1063">
        <v>1.31</v>
      </c>
      <c r="F698" s="1062">
        <v>4.3499999999999996</v>
      </c>
      <c r="G698" s="1061">
        <f t="shared" si="295"/>
        <v>3.3206106870229002</v>
      </c>
      <c r="H698" s="1049"/>
      <c r="I698" s="1060"/>
      <c r="J698" s="1057">
        <v>19</v>
      </c>
      <c r="K698" s="1056">
        <v>20</v>
      </c>
      <c r="L698" s="1055">
        <v>1.3819999999999999</v>
      </c>
      <c r="M698" s="1059">
        <v>6.13</v>
      </c>
      <c r="N698" s="1052">
        <f t="shared" si="296"/>
        <v>4.4356005788712016</v>
      </c>
      <c r="O698" s="1049"/>
      <c r="P698" s="1058"/>
      <c r="Q698" s="1057">
        <v>19</v>
      </c>
      <c r="R698" s="1056">
        <v>20</v>
      </c>
      <c r="S698" s="1055">
        <v>1.542</v>
      </c>
      <c r="T698" s="1054">
        <f t="shared" si="297"/>
        <v>1.57284</v>
      </c>
      <c r="U698" s="1064">
        <v>3.18</v>
      </c>
      <c r="V698" s="1052">
        <f t="shared" si="300"/>
        <v>1.94</v>
      </c>
      <c r="W698" s="1049"/>
      <c r="X698" s="1051">
        <v>1.02</v>
      </c>
      <c r="Y698" s="1049"/>
      <c r="Z698" s="1050">
        <f t="shared" si="301"/>
        <v>3.6699600000000001</v>
      </c>
      <c r="AA698" s="1058"/>
      <c r="AB698" s="1057">
        <v>19</v>
      </c>
      <c r="AC698" s="1056">
        <v>20</v>
      </c>
      <c r="AD698" s="1055">
        <v>3.04</v>
      </c>
      <c r="AE698" s="1137">
        <f t="shared" si="298"/>
        <v>3.5568</v>
      </c>
      <c r="AF698" s="1136">
        <v>8.02</v>
      </c>
      <c r="AG698" s="1052">
        <f t="shared" si="302"/>
        <v>2.09</v>
      </c>
      <c r="AH698" s="1049"/>
      <c r="AI698" s="1136">
        <v>1.17</v>
      </c>
      <c r="AJ698" s="1049"/>
      <c r="AK698" s="1050">
        <f t="shared" si="303"/>
        <v>21.948799999999999</v>
      </c>
      <c r="AL698" s="1049"/>
      <c r="AM698" s="1058"/>
      <c r="AN698" s="1057">
        <v>19</v>
      </c>
      <c r="AO698" s="1056">
        <v>20</v>
      </c>
      <c r="AP698" s="1055">
        <v>0.35</v>
      </c>
      <c r="AQ698" s="1745">
        <f t="shared" si="299"/>
        <v>0</v>
      </c>
      <c r="AR698" s="1737">
        <v>1.19</v>
      </c>
      <c r="AS698" s="1052">
        <f t="shared" si="304"/>
        <v>0.92</v>
      </c>
      <c r="AT698" s="1049"/>
      <c r="AU698" s="1136"/>
      <c r="AV698" s="1049"/>
      <c r="AW698" s="1058"/>
      <c r="AX698" s="1057">
        <v>19</v>
      </c>
      <c r="AY698" s="1056">
        <v>20</v>
      </c>
      <c r="AZ698" s="1055">
        <v>0.31</v>
      </c>
      <c r="BA698" s="1736">
        <v>0.96</v>
      </c>
      <c r="BB698" s="1737">
        <f t="shared" si="305"/>
        <v>2.09</v>
      </c>
      <c r="BC698" s="1049"/>
      <c r="BD698" s="1136">
        <v>1.17</v>
      </c>
      <c r="BE698" s="1049"/>
      <c r="BF698" s="1058"/>
      <c r="BG698" s="1057">
        <v>19</v>
      </c>
      <c r="BH698" s="1056">
        <v>20</v>
      </c>
      <c r="BI698" s="1874">
        <v>0.39</v>
      </c>
      <c r="BJ698" s="1736"/>
      <c r="BK698" s="1049"/>
      <c r="BL698" s="1058"/>
      <c r="BM698" s="1057">
        <v>19</v>
      </c>
      <c r="BN698" s="1056">
        <v>20</v>
      </c>
      <c r="BO698" s="1055"/>
      <c r="BP698" s="1055"/>
      <c r="BQ698" s="1049"/>
    </row>
    <row r="699" spans="1:69" ht="14.4">
      <c r="A699" s="1049"/>
      <c r="B699" s="1060"/>
      <c r="C699" s="1057">
        <v>20</v>
      </c>
      <c r="D699" s="1056">
        <v>21</v>
      </c>
      <c r="E699" s="1063">
        <v>1.31</v>
      </c>
      <c r="F699" s="1062">
        <v>3.38</v>
      </c>
      <c r="G699" s="1061">
        <f t="shared" si="295"/>
        <v>2.5801526717557248</v>
      </c>
      <c r="H699" s="1049"/>
      <c r="I699" s="1060"/>
      <c r="J699" s="1057">
        <v>20</v>
      </c>
      <c r="K699" s="1056">
        <v>21</v>
      </c>
      <c r="L699" s="1055">
        <v>1.4330000000000001</v>
      </c>
      <c r="M699" s="1059">
        <v>5.07</v>
      </c>
      <c r="N699" s="1052">
        <f t="shared" si="296"/>
        <v>3.5380321004884858</v>
      </c>
      <c r="O699" s="1049"/>
      <c r="P699" s="1058"/>
      <c r="Q699" s="1057">
        <v>20</v>
      </c>
      <c r="R699" s="1056">
        <v>21</v>
      </c>
      <c r="S699" s="1055">
        <v>1.5109999999999999</v>
      </c>
      <c r="T699" s="1054">
        <f t="shared" si="297"/>
        <v>1.3447899999999999</v>
      </c>
      <c r="U699" s="1064">
        <v>2.92</v>
      </c>
      <c r="V699" s="1052">
        <f t="shared" si="300"/>
        <v>1.81</v>
      </c>
      <c r="W699" s="1049"/>
      <c r="X699" s="1051">
        <v>0.89</v>
      </c>
      <c r="Y699" s="1049"/>
      <c r="Z699" s="1050">
        <f t="shared" si="301"/>
        <v>3.2033200000000002</v>
      </c>
      <c r="AA699" s="1058"/>
      <c r="AB699" s="1057">
        <v>20</v>
      </c>
      <c r="AC699" s="1056">
        <v>21</v>
      </c>
      <c r="AD699" s="1055">
        <v>3.59</v>
      </c>
      <c r="AE699" s="1137">
        <f t="shared" si="298"/>
        <v>4.1284999999999998</v>
      </c>
      <c r="AF699" s="1136">
        <v>6.59</v>
      </c>
      <c r="AG699" s="1052">
        <f t="shared" si="302"/>
        <v>2.0699999999999998</v>
      </c>
      <c r="AH699" s="1049"/>
      <c r="AI699" s="1136">
        <v>1.1499999999999999</v>
      </c>
      <c r="AJ699" s="1049"/>
      <c r="AK699" s="1050">
        <f t="shared" si="303"/>
        <v>20.786099999999998</v>
      </c>
      <c r="AL699" s="1049"/>
      <c r="AM699" s="1058"/>
      <c r="AN699" s="1057">
        <v>20</v>
      </c>
      <c r="AO699" s="1056">
        <v>21</v>
      </c>
      <c r="AP699" s="1055">
        <v>0.39</v>
      </c>
      <c r="AQ699" s="1745">
        <f t="shared" si="299"/>
        <v>0</v>
      </c>
      <c r="AR699" s="1737">
        <v>0.96</v>
      </c>
      <c r="AS699" s="1052">
        <f t="shared" si="304"/>
        <v>0.92</v>
      </c>
      <c r="AT699" s="1049"/>
      <c r="AU699" s="1136"/>
      <c r="AV699" s="1049"/>
      <c r="AW699" s="1058"/>
      <c r="AX699" s="1057">
        <v>20</v>
      </c>
      <c r="AY699" s="1056">
        <v>21</v>
      </c>
      <c r="AZ699" s="1055">
        <v>0.4</v>
      </c>
      <c r="BA699" s="1736">
        <v>0.93</v>
      </c>
      <c r="BB699" s="1737">
        <f t="shared" si="305"/>
        <v>2.0699999999999998</v>
      </c>
      <c r="BC699" s="1049"/>
      <c r="BD699" s="1136">
        <v>1.1499999999999999</v>
      </c>
      <c r="BE699" s="1049"/>
      <c r="BF699" s="1058"/>
      <c r="BG699" s="1057">
        <v>20</v>
      </c>
      <c r="BH699" s="1056">
        <v>21</v>
      </c>
      <c r="BI699" s="1874">
        <v>0.27</v>
      </c>
      <c r="BJ699" s="1736"/>
      <c r="BK699" s="1049"/>
      <c r="BL699" s="1058"/>
      <c r="BM699" s="1057">
        <v>20</v>
      </c>
      <c r="BN699" s="1056">
        <v>21</v>
      </c>
      <c r="BO699" s="1055"/>
      <c r="BP699" s="1055"/>
      <c r="BQ699" s="1049"/>
    </row>
    <row r="700" spans="1:69" ht="14.4">
      <c r="A700" s="1049"/>
      <c r="B700" s="1060"/>
      <c r="C700" s="1057">
        <v>21</v>
      </c>
      <c r="D700" s="1056">
        <v>22</v>
      </c>
      <c r="E700" s="1063">
        <v>1</v>
      </c>
      <c r="F700" s="1062">
        <v>2.4700000000000002</v>
      </c>
      <c r="G700" s="1061">
        <f t="shared" si="295"/>
        <v>2.4700000000000002</v>
      </c>
      <c r="H700" s="1049"/>
      <c r="I700" s="1060"/>
      <c r="J700" s="1057">
        <v>21</v>
      </c>
      <c r="K700" s="1056">
        <v>22</v>
      </c>
      <c r="L700" s="1055">
        <v>1.8440000000000001</v>
      </c>
      <c r="M700" s="1059">
        <v>6.32</v>
      </c>
      <c r="N700" s="1052">
        <f t="shared" si="296"/>
        <v>3.4273318872017353</v>
      </c>
      <c r="O700" s="1049"/>
      <c r="P700" s="1058"/>
      <c r="Q700" s="1057">
        <v>21</v>
      </c>
      <c r="R700" s="1056">
        <v>22</v>
      </c>
      <c r="S700" s="1055">
        <v>1.3720000000000001</v>
      </c>
      <c r="T700" s="1054">
        <f t="shared" si="297"/>
        <v>1.05644</v>
      </c>
      <c r="U700" s="1064">
        <v>2.48</v>
      </c>
      <c r="V700" s="1052">
        <f t="shared" si="300"/>
        <v>1.69</v>
      </c>
      <c r="W700" s="1049"/>
      <c r="X700" s="1051">
        <v>0.77</v>
      </c>
      <c r="Y700" s="1049"/>
      <c r="Z700" s="1050">
        <f t="shared" si="301"/>
        <v>0</v>
      </c>
      <c r="AA700" s="1058"/>
      <c r="AB700" s="1057">
        <v>21</v>
      </c>
      <c r="AC700" s="1056">
        <v>22</v>
      </c>
      <c r="AD700" s="1055">
        <v>3.48</v>
      </c>
      <c r="AE700" s="1137">
        <f t="shared" si="298"/>
        <v>3.9323999999999995</v>
      </c>
      <c r="AF700" s="1136">
        <v>6.34</v>
      </c>
      <c r="AG700" s="1052">
        <f t="shared" si="302"/>
        <v>2.0499999999999998</v>
      </c>
      <c r="AH700" s="1049"/>
      <c r="AI700" s="1136">
        <v>1.1299999999999999</v>
      </c>
      <c r="AJ700" s="1049"/>
      <c r="AK700" s="1050">
        <f t="shared" si="303"/>
        <v>19.279199999999999</v>
      </c>
      <c r="AL700" s="1049"/>
      <c r="AM700" s="1058"/>
      <c r="AN700" s="1057">
        <v>21</v>
      </c>
      <c r="AO700" s="1056">
        <v>22</v>
      </c>
      <c r="AP700" s="1055">
        <v>0.2</v>
      </c>
      <c r="AQ700" s="1745">
        <f t="shared" si="299"/>
        <v>0</v>
      </c>
      <c r="AR700" s="1737">
        <v>0.46</v>
      </c>
      <c r="AS700" s="1052">
        <f t="shared" si="304"/>
        <v>0.92</v>
      </c>
      <c r="AT700" s="1049"/>
      <c r="AU700" s="1136"/>
      <c r="AV700" s="1049"/>
      <c r="AW700" s="1058"/>
      <c r="AX700" s="1057">
        <v>21</v>
      </c>
      <c r="AY700" s="1056">
        <v>22</v>
      </c>
      <c r="AZ700" s="1055">
        <v>0.25</v>
      </c>
      <c r="BA700" s="1736">
        <v>0.51</v>
      </c>
      <c r="BB700" s="1737">
        <f t="shared" si="305"/>
        <v>2.0499999999999998</v>
      </c>
      <c r="BC700" s="1049"/>
      <c r="BD700" s="1136">
        <v>1.1299999999999999</v>
      </c>
      <c r="BE700" s="1049"/>
      <c r="BF700" s="1058"/>
      <c r="BG700" s="1057">
        <v>21</v>
      </c>
      <c r="BH700" s="1056">
        <v>22</v>
      </c>
      <c r="BI700" s="1874">
        <v>0.37</v>
      </c>
      <c r="BJ700" s="1736"/>
      <c r="BK700" s="1049"/>
      <c r="BL700" s="1058"/>
      <c r="BM700" s="1057">
        <v>21</v>
      </c>
      <c r="BN700" s="1056">
        <v>22</v>
      </c>
      <c r="BO700" s="1055"/>
      <c r="BP700" s="1055"/>
      <c r="BQ700" s="1049"/>
    </row>
    <row r="701" spans="1:69" ht="14.4">
      <c r="A701" s="1049"/>
      <c r="B701" s="1060"/>
      <c r="C701" s="1057">
        <v>22</v>
      </c>
      <c r="D701" s="1056">
        <v>23</v>
      </c>
      <c r="E701" s="1063">
        <v>0.41</v>
      </c>
      <c r="F701" s="1062">
        <v>0.97</v>
      </c>
      <c r="G701" s="1061">
        <f t="shared" si="295"/>
        <v>2.3658536585365852</v>
      </c>
      <c r="H701" s="1049"/>
      <c r="I701" s="1060"/>
      <c r="J701" s="1057">
        <v>22</v>
      </c>
      <c r="K701" s="1056">
        <v>23</v>
      </c>
      <c r="L701" s="1055">
        <v>2.2370000000000001</v>
      </c>
      <c r="M701" s="1059">
        <v>7.41</v>
      </c>
      <c r="N701" s="1052">
        <f t="shared" si="296"/>
        <v>3.3124720607957086</v>
      </c>
      <c r="O701" s="1049"/>
      <c r="P701" s="1058"/>
      <c r="Q701" s="1057">
        <v>22</v>
      </c>
      <c r="R701" s="1056">
        <v>23</v>
      </c>
      <c r="S701" s="1055">
        <v>1.319</v>
      </c>
      <c r="T701" s="1054">
        <f t="shared" si="297"/>
        <v>0.69906999999999997</v>
      </c>
      <c r="U701" s="1064">
        <v>2.0699999999999998</v>
      </c>
      <c r="V701" s="1052">
        <f t="shared" si="300"/>
        <v>1.4500000000000002</v>
      </c>
      <c r="W701" s="1049"/>
      <c r="X701" s="1051">
        <v>0.53</v>
      </c>
      <c r="Y701" s="1049"/>
      <c r="Z701" s="1050">
        <f t="shared" si="301"/>
        <v>0</v>
      </c>
      <c r="AA701" s="1058"/>
      <c r="AB701" s="1057">
        <v>22</v>
      </c>
      <c r="AC701" s="1056">
        <v>23</v>
      </c>
      <c r="AD701" s="1055">
        <v>2.93</v>
      </c>
      <c r="AE701" s="1137">
        <f t="shared" si="298"/>
        <v>3.3108999999999997</v>
      </c>
      <c r="AF701" s="1136">
        <v>5.33</v>
      </c>
      <c r="AG701" s="1052">
        <f t="shared" si="302"/>
        <v>2.0499999999999998</v>
      </c>
      <c r="AH701" s="1049"/>
      <c r="AI701" s="1136">
        <v>1.1299999999999999</v>
      </c>
      <c r="AJ701" s="1049"/>
      <c r="AK701" s="1050">
        <f t="shared" si="303"/>
        <v>13.272900000000002</v>
      </c>
      <c r="AL701" s="1049"/>
      <c r="AM701" s="1058"/>
      <c r="AN701" s="1057">
        <v>22</v>
      </c>
      <c r="AO701" s="1056">
        <v>23</v>
      </c>
      <c r="AP701" s="1055">
        <v>7.0000000000000007E-2</v>
      </c>
      <c r="AQ701" s="1745">
        <f t="shared" si="299"/>
        <v>0</v>
      </c>
      <c r="AR701" s="1737">
        <v>0.16</v>
      </c>
      <c r="AS701" s="1052">
        <f t="shared" si="304"/>
        <v>0.92</v>
      </c>
      <c r="AT701" s="1049"/>
      <c r="AU701" s="1136"/>
      <c r="AV701" s="1049"/>
      <c r="AW701" s="1058"/>
      <c r="AX701" s="1057">
        <v>22</v>
      </c>
      <c r="AY701" s="1056">
        <v>23</v>
      </c>
      <c r="AZ701" s="1055">
        <v>0.17</v>
      </c>
      <c r="BA701" s="1736">
        <v>0.34</v>
      </c>
      <c r="BB701" s="1737">
        <f t="shared" si="305"/>
        <v>2.0499999999999998</v>
      </c>
      <c r="BC701" s="1049"/>
      <c r="BD701" s="1136">
        <v>1.1299999999999999</v>
      </c>
      <c r="BE701" s="1049"/>
      <c r="BF701" s="1058"/>
      <c r="BG701" s="1057">
        <v>22</v>
      </c>
      <c r="BH701" s="1056">
        <v>23</v>
      </c>
      <c r="BI701" s="1874">
        <v>0.17</v>
      </c>
      <c r="BJ701" s="1736"/>
      <c r="BK701" s="1049"/>
      <c r="BL701" s="1058"/>
      <c r="BM701" s="1057">
        <v>22</v>
      </c>
      <c r="BN701" s="1056">
        <v>23</v>
      </c>
      <c r="BO701" s="1055"/>
      <c r="BP701" s="1055"/>
      <c r="BQ701" s="1049"/>
    </row>
    <row r="702" spans="1:69" ht="14.4">
      <c r="A702" s="1049"/>
      <c r="B702" s="1060"/>
      <c r="C702" s="1057">
        <v>23</v>
      </c>
      <c r="D702" s="1056">
        <v>24</v>
      </c>
      <c r="E702" s="1063">
        <v>1.03</v>
      </c>
      <c r="F702" s="1062">
        <v>2.38</v>
      </c>
      <c r="G702" s="1061">
        <f t="shared" si="295"/>
        <v>2.3106796116504853</v>
      </c>
      <c r="H702" s="1049"/>
      <c r="I702" s="1060"/>
      <c r="J702" s="1057">
        <v>23</v>
      </c>
      <c r="K702" s="1056">
        <v>24</v>
      </c>
      <c r="L702" s="1055">
        <v>1.6950000000000001</v>
      </c>
      <c r="M702" s="1059">
        <v>5.46</v>
      </c>
      <c r="N702" s="1052">
        <f t="shared" si="296"/>
        <v>3.221238938053097</v>
      </c>
      <c r="O702" s="1049"/>
      <c r="P702" s="1058"/>
      <c r="Q702" s="1057">
        <v>23</v>
      </c>
      <c r="R702" s="1056">
        <v>24</v>
      </c>
      <c r="S702" s="1055">
        <v>1.41</v>
      </c>
      <c r="T702" s="1054">
        <f t="shared" si="297"/>
        <v>0.46529999999999999</v>
      </c>
      <c r="U702" s="1053">
        <v>1.93</v>
      </c>
      <c r="V702" s="1052">
        <f t="shared" si="300"/>
        <v>1.25</v>
      </c>
      <c r="W702" s="1049"/>
      <c r="X702" s="1051">
        <v>0.33</v>
      </c>
      <c r="Y702" s="1049"/>
      <c r="Z702" s="1050">
        <f t="shared" si="301"/>
        <v>0</v>
      </c>
      <c r="AA702" s="1058"/>
      <c r="AB702" s="1057">
        <v>23</v>
      </c>
      <c r="AC702" s="1056">
        <v>24</v>
      </c>
      <c r="AD702" s="1055">
        <v>2.91</v>
      </c>
      <c r="AE702" s="1137">
        <f t="shared" si="298"/>
        <v>3.2010000000000005</v>
      </c>
      <c r="AF702" s="1136">
        <v>5.21</v>
      </c>
      <c r="AG702" s="1052">
        <f t="shared" si="302"/>
        <v>2.02</v>
      </c>
      <c r="AH702" s="1049"/>
      <c r="AI702" s="1136">
        <v>1.1000000000000001</v>
      </c>
      <c r="AJ702" s="1049"/>
      <c r="AK702" s="1050">
        <f t="shared" si="303"/>
        <v>12.833100000000002</v>
      </c>
      <c r="AL702" s="1049"/>
      <c r="AM702" s="1058"/>
      <c r="AN702" s="1057">
        <v>23</v>
      </c>
      <c r="AO702" s="1056">
        <v>24</v>
      </c>
      <c r="AP702" s="1055">
        <v>0.14000000000000001</v>
      </c>
      <c r="AQ702" s="1745">
        <f t="shared" si="299"/>
        <v>0</v>
      </c>
      <c r="AR702" s="1737">
        <v>0.3</v>
      </c>
      <c r="AS702" s="1052">
        <f t="shared" si="304"/>
        <v>0.92</v>
      </c>
      <c r="AT702" s="1049"/>
      <c r="AU702" s="1136"/>
      <c r="AV702" s="1049"/>
      <c r="AW702" s="1058"/>
      <c r="AX702" s="1057">
        <v>23</v>
      </c>
      <c r="AY702" s="1056">
        <v>24</v>
      </c>
      <c r="AZ702" s="1055">
        <v>0.12</v>
      </c>
      <c r="BA702" s="1736">
        <v>0.22</v>
      </c>
      <c r="BB702" s="1737">
        <f t="shared" si="305"/>
        <v>2.02</v>
      </c>
      <c r="BC702" s="1049"/>
      <c r="BD702" s="1136">
        <v>1.1000000000000001</v>
      </c>
      <c r="BE702" s="1049"/>
      <c r="BF702" s="1058"/>
      <c r="BG702" s="1057">
        <v>23</v>
      </c>
      <c r="BH702" s="1056">
        <v>24</v>
      </c>
      <c r="BI702" s="1874">
        <v>0.06</v>
      </c>
      <c r="BJ702" s="1736"/>
      <c r="BK702" s="1049"/>
      <c r="BL702" s="1058"/>
      <c r="BM702" s="1057">
        <v>23</v>
      </c>
      <c r="BN702" s="1056">
        <v>24</v>
      </c>
      <c r="BO702" s="1055"/>
      <c r="BP702" s="1055"/>
      <c r="BQ702" s="1049"/>
    </row>
    <row r="703" spans="1:69" ht="14.4">
      <c r="A703" s="1036"/>
      <c r="B703" s="1044"/>
      <c r="C703" s="1135"/>
      <c r="D703" s="1135"/>
      <c r="E703" s="1134"/>
      <c r="F703" s="1133"/>
      <c r="G703" s="1132"/>
      <c r="H703" s="1044"/>
      <c r="I703" s="1044" t="s">
        <v>1137</v>
      </c>
      <c r="J703" s="1046"/>
      <c r="K703" s="1046"/>
      <c r="L703" s="1129">
        <f>AVERAGE(L704:L727)</f>
        <v>1.9302083333333335</v>
      </c>
      <c r="M703" s="1131">
        <f>AVERAGE(M704:M727)</f>
        <v>10.123749999999999</v>
      </c>
      <c r="N703" s="1039">
        <f>AVERAGE(N704:N727)</f>
        <v>5.1015638042552487</v>
      </c>
      <c r="O703" s="1044"/>
      <c r="P703" s="1130" t="s">
        <v>1136</v>
      </c>
      <c r="Q703" s="1046"/>
      <c r="R703" s="1046"/>
      <c r="S703" s="1129">
        <f>AVERAGE(S704:S727)</f>
        <v>2.1180833333333333</v>
      </c>
      <c r="T703" s="1128"/>
      <c r="U703" s="1040">
        <f>AVERAGE(U704:U727)</f>
        <v>2.8062499999999999</v>
      </c>
      <c r="V703" s="1039">
        <f>AVERAGE(V704:V727)</f>
        <v>1.1750000000000003</v>
      </c>
      <c r="W703" s="1036"/>
      <c r="X703" s="1038">
        <f>AVERAGE(X712:X727)</f>
        <v>0.32187500000000002</v>
      </c>
      <c r="Y703" s="1036"/>
      <c r="Z703" s="1127">
        <f>SUM(Z704:Z727)</f>
        <v>0</v>
      </c>
      <c r="AA703" s="1130"/>
      <c r="AB703" s="1046"/>
      <c r="AC703" s="1046"/>
      <c r="AD703" s="1129">
        <f>AVERAGE(AD704:AD727)</f>
        <v>2.4200000000000004</v>
      </c>
      <c r="AE703" s="1128"/>
      <c r="AF703" s="1040">
        <f>AVERAGE(AF704:AF727)</f>
        <v>4.3354166666666663</v>
      </c>
      <c r="AG703" s="1039">
        <f>AVERAGE(AG704:AG727)</f>
        <v>0.92000000000000048</v>
      </c>
      <c r="AH703" s="1036"/>
      <c r="AI703" s="1038" t="e">
        <f>AVERAGE(AI712:AI727)</f>
        <v>#DIV/0!</v>
      </c>
      <c r="AJ703" s="1036"/>
      <c r="AK703" s="1127">
        <f>SUM(AK704:AK727)</f>
        <v>0</v>
      </c>
      <c r="AL703" s="1036"/>
      <c r="AM703" s="1130"/>
      <c r="AN703" s="1046"/>
      <c r="AO703" s="1046"/>
      <c r="AP703" s="1129"/>
      <c r="AQ703" s="1734"/>
      <c r="AR703" s="1735"/>
      <c r="AS703" s="1039"/>
      <c r="AT703" s="1036"/>
      <c r="AU703" s="1038"/>
      <c r="AV703" s="1036"/>
      <c r="AW703" s="1130"/>
      <c r="AX703" s="1046"/>
      <c r="AY703" s="1046"/>
      <c r="AZ703" s="1129">
        <f>AVERAGE(AZ704:AZ727)</f>
        <v>0.25083333333333335</v>
      </c>
      <c r="BA703" s="1045">
        <f>AVERAGE(BA704:BA727)</f>
        <v>0.53791666666666671</v>
      </c>
      <c r="BB703" s="1039">
        <f>AVERAGE(BB704:BB727)</f>
        <v>0.92000000000000048</v>
      </c>
      <c r="BC703" s="1036"/>
      <c r="BD703" s="1038" t="e">
        <f>AVERAGE(BD712:BD727)</f>
        <v>#DIV/0!</v>
      </c>
      <c r="BE703" s="1036"/>
      <c r="BF703" s="1130"/>
      <c r="BG703" s="2756">
        <f>BF704</f>
        <v>45045</v>
      </c>
      <c r="BH703" s="2756"/>
      <c r="BI703" s="1897">
        <f>SUM(BI704:BI727)</f>
        <v>5.25</v>
      </c>
      <c r="BJ703" s="1898">
        <f>SUM(BJ704:BJ727)</f>
        <v>0</v>
      </c>
      <c r="BK703" s="1036"/>
      <c r="BL703" s="1130"/>
      <c r="BM703" s="1046"/>
      <c r="BN703" s="1046"/>
      <c r="BO703" s="1129" t="e">
        <f>AVERAGE(BO704:BO727)</f>
        <v>#DIV/0!</v>
      </c>
      <c r="BP703" s="1129" t="e">
        <f>AVERAGE(BP704:BP727)</f>
        <v>#DIV/0!</v>
      </c>
      <c r="BQ703" s="1036"/>
    </row>
    <row r="704" spans="1:69" ht="14.4">
      <c r="A704" s="1049"/>
      <c r="B704" s="1126">
        <v>44863</v>
      </c>
      <c r="C704" s="1057">
        <v>0</v>
      </c>
      <c r="D704" s="1056">
        <v>1</v>
      </c>
      <c r="E704" s="1063">
        <v>0.24</v>
      </c>
      <c r="F704" s="1062">
        <v>0.57999999999999996</v>
      </c>
      <c r="G704" s="1061">
        <f t="shared" ref="G704:G727" si="306">F704/E704</f>
        <v>2.4166666666666665</v>
      </c>
      <c r="H704" s="1049"/>
      <c r="I704" s="1126">
        <v>44894</v>
      </c>
      <c r="J704" s="1057">
        <v>0</v>
      </c>
      <c r="K704" s="1056">
        <v>1</v>
      </c>
      <c r="L704" s="1055">
        <v>1.1930000000000001</v>
      </c>
      <c r="M704" s="1059">
        <v>4.3099999999999996</v>
      </c>
      <c r="N704" s="1052">
        <f t="shared" ref="N704:N727" si="307">M704/L704</f>
        <v>3.6127409891031008</v>
      </c>
      <c r="O704" s="1049"/>
      <c r="P704" s="1125">
        <v>44924</v>
      </c>
      <c r="Q704" s="1057">
        <v>0</v>
      </c>
      <c r="R704" s="1056">
        <v>1</v>
      </c>
      <c r="S704" s="1055">
        <v>0.875</v>
      </c>
      <c r="T704" s="1054">
        <f t="shared" ref="T704:T727" si="308">S704*X704</f>
        <v>0.11375</v>
      </c>
      <c r="U704" s="1064">
        <v>1.03</v>
      </c>
      <c r="V704" s="1052">
        <f t="shared" ref="V704:V727" si="309">X704+0.92</f>
        <v>1.05</v>
      </c>
      <c r="W704" s="1049"/>
      <c r="X704" s="1051">
        <v>0.13</v>
      </c>
      <c r="Y704" s="1049"/>
      <c r="Z704" s="1050">
        <f>IF(X704&lt;0.8,0,S704*(X704-0.8))</f>
        <v>0</v>
      </c>
      <c r="AA704" s="1125">
        <v>44955</v>
      </c>
      <c r="AB704" s="1057">
        <v>0</v>
      </c>
      <c r="AC704" s="1056">
        <v>1</v>
      </c>
      <c r="AD704" s="1055">
        <v>1.96</v>
      </c>
      <c r="AE704" s="1137">
        <f t="shared" ref="AE704:AE727" si="310">AD704*AI704</f>
        <v>0</v>
      </c>
      <c r="AF704" s="1136">
        <v>3.56</v>
      </c>
      <c r="AG704" s="1052">
        <f t="shared" ref="AG704:AG727" si="311">AI704+0.92</f>
        <v>0.92</v>
      </c>
      <c r="AH704" s="1049"/>
      <c r="AI704" s="1136"/>
      <c r="AJ704" s="1049"/>
      <c r="AK704" s="1050">
        <f>IF(AI704&lt;0.8,0,AD704*(AI704-0.8))</f>
        <v>0</v>
      </c>
      <c r="AL704" s="1049"/>
      <c r="AM704" s="1125"/>
      <c r="AN704" s="1057"/>
      <c r="AO704" s="1056"/>
      <c r="AP704" s="1055"/>
      <c r="AQ704" s="1745"/>
      <c r="AR704" s="1737"/>
      <c r="AS704" s="1052"/>
      <c r="AT704" s="1049"/>
      <c r="AU704" s="1136"/>
      <c r="AV704" s="1049"/>
      <c r="AW704" s="1125">
        <v>45014</v>
      </c>
      <c r="AX704" s="1057">
        <v>0</v>
      </c>
      <c r="AY704" s="1056">
        <v>1</v>
      </c>
      <c r="AZ704" s="1055">
        <v>0.11</v>
      </c>
      <c r="BA704" s="1736">
        <v>0.19</v>
      </c>
      <c r="BB704" s="1737">
        <f t="shared" ref="BB704:BB727" si="312">BD704+0.92</f>
        <v>0.92</v>
      </c>
      <c r="BC704" s="1049"/>
      <c r="BD704" s="1136"/>
      <c r="BE704" s="1049"/>
      <c r="BF704" s="1125">
        <v>45045</v>
      </c>
      <c r="BG704" s="1057">
        <v>0</v>
      </c>
      <c r="BH704" s="1056">
        <v>1</v>
      </c>
      <c r="BI704" s="1874">
        <v>0.15</v>
      </c>
      <c r="BJ704" s="1736"/>
      <c r="BK704" s="1049"/>
      <c r="BL704" s="1125">
        <v>45045</v>
      </c>
      <c r="BM704" s="1057">
        <v>0</v>
      </c>
      <c r="BN704" s="1056">
        <v>1</v>
      </c>
      <c r="BO704" s="1055"/>
      <c r="BP704" s="1055"/>
      <c r="BQ704" s="1049"/>
    </row>
    <row r="705" spans="1:69" ht="14.4">
      <c r="A705" s="1049"/>
      <c r="B705" s="1124"/>
      <c r="C705" s="1057">
        <v>1</v>
      </c>
      <c r="D705" s="1056">
        <v>2</v>
      </c>
      <c r="E705" s="1063">
        <v>0.83</v>
      </c>
      <c r="F705" s="1062">
        <v>1.98</v>
      </c>
      <c r="G705" s="1061">
        <f t="shared" si="306"/>
        <v>2.3855421686746987</v>
      </c>
      <c r="H705" s="1049"/>
      <c r="I705" s="1124"/>
      <c r="J705" s="1057">
        <v>1</v>
      </c>
      <c r="K705" s="1056">
        <v>2</v>
      </c>
      <c r="L705" s="1055">
        <v>1.2509999999999999</v>
      </c>
      <c r="M705" s="1059">
        <v>4.46</v>
      </c>
      <c r="N705" s="1052">
        <f t="shared" si="307"/>
        <v>3.5651478816946445</v>
      </c>
      <c r="O705" s="1049"/>
      <c r="P705" s="1123"/>
      <c r="Q705" s="1057">
        <v>1</v>
      </c>
      <c r="R705" s="1056">
        <v>2</v>
      </c>
      <c r="S705" s="1055">
        <v>1.0820000000000001</v>
      </c>
      <c r="T705" s="1054">
        <f t="shared" si="308"/>
        <v>0.12984000000000001</v>
      </c>
      <c r="U705" s="1064">
        <v>1.26</v>
      </c>
      <c r="V705" s="1052">
        <f t="shared" si="309"/>
        <v>1.04</v>
      </c>
      <c r="W705" s="1049"/>
      <c r="X705" s="1051">
        <v>0.12</v>
      </c>
      <c r="Y705" s="1049"/>
      <c r="Z705" s="1050">
        <f t="shared" ref="Z705:Z727" si="313">IF(X705&lt;0.8,0,S705*(U705-0.8))</f>
        <v>0</v>
      </c>
      <c r="AA705" s="1123"/>
      <c r="AB705" s="1057">
        <v>1</v>
      </c>
      <c r="AC705" s="1056">
        <v>2</v>
      </c>
      <c r="AD705" s="1055">
        <v>1.88</v>
      </c>
      <c r="AE705" s="1137">
        <f t="shared" si="310"/>
        <v>0</v>
      </c>
      <c r="AF705" s="1136">
        <v>3.36</v>
      </c>
      <c r="AG705" s="1052">
        <f t="shared" si="311"/>
        <v>0.92</v>
      </c>
      <c r="AH705" s="1049"/>
      <c r="AI705" s="1136"/>
      <c r="AJ705" s="1049"/>
      <c r="AK705" s="1050">
        <f t="shared" ref="AK705:AK727" si="314">IF(AI705&lt;0.8,0,AD705*(AF705-0.8))</f>
        <v>0</v>
      </c>
      <c r="AL705" s="1049"/>
      <c r="AM705" s="1123"/>
      <c r="AN705" s="1057"/>
      <c r="AO705" s="1056"/>
      <c r="AP705" s="1055"/>
      <c r="AQ705" s="1745"/>
      <c r="AR705" s="1737"/>
      <c r="AS705" s="1052"/>
      <c r="AT705" s="1049"/>
      <c r="AU705" s="1136"/>
      <c r="AV705" s="1049"/>
      <c r="AW705" s="1123"/>
      <c r="AX705" s="1057">
        <v>1</v>
      </c>
      <c r="AY705" s="1056">
        <v>2</v>
      </c>
      <c r="AZ705" s="1055">
        <v>0.12</v>
      </c>
      <c r="BA705" s="1736">
        <v>0.2</v>
      </c>
      <c r="BB705" s="1737">
        <f t="shared" si="312"/>
        <v>0.92</v>
      </c>
      <c r="BC705" s="1049"/>
      <c r="BD705" s="1136"/>
      <c r="BE705" s="1049"/>
      <c r="BF705" s="1123"/>
      <c r="BG705" s="1057">
        <v>1</v>
      </c>
      <c r="BH705" s="1056">
        <v>2</v>
      </c>
      <c r="BI705" s="1874">
        <v>0.14000000000000001</v>
      </c>
      <c r="BJ705" s="1736"/>
      <c r="BK705" s="1049"/>
      <c r="BL705" s="1123"/>
      <c r="BM705" s="1057">
        <v>1</v>
      </c>
      <c r="BN705" s="1056">
        <v>2</v>
      </c>
      <c r="BO705" s="1055"/>
      <c r="BP705" s="1055"/>
      <c r="BQ705" s="1049"/>
    </row>
    <row r="706" spans="1:69" ht="14.4">
      <c r="A706" s="1049"/>
      <c r="B706" s="1122">
        <f>SUM(E704:E727)</f>
        <v>15.7</v>
      </c>
      <c r="C706" s="1057">
        <v>2</v>
      </c>
      <c r="D706" s="1056">
        <v>3</v>
      </c>
      <c r="E706" s="1063">
        <v>0.46</v>
      </c>
      <c r="F706" s="1062">
        <v>1.0900000000000001</v>
      </c>
      <c r="G706" s="1061">
        <f t="shared" si="306"/>
        <v>2.3695652173913042</v>
      </c>
      <c r="H706" s="1049"/>
      <c r="I706" s="1122">
        <f>SUM(L704:L727)</f>
        <v>46.325000000000003</v>
      </c>
      <c r="J706" s="1057">
        <v>2</v>
      </c>
      <c r="K706" s="1056">
        <v>3</v>
      </c>
      <c r="L706" s="1055">
        <v>1.5940000000000001</v>
      </c>
      <c r="M706" s="1059">
        <v>5.76</v>
      </c>
      <c r="N706" s="1052">
        <f t="shared" si="307"/>
        <v>3.6135508155583436</v>
      </c>
      <c r="O706" s="1049"/>
      <c r="P706" s="1121">
        <f>SUM(S704:S727)</f>
        <v>50.834000000000003</v>
      </c>
      <c r="Q706" s="1057">
        <v>2</v>
      </c>
      <c r="R706" s="1056">
        <v>3</v>
      </c>
      <c r="S706" s="1055">
        <v>0.52700000000000002</v>
      </c>
      <c r="T706" s="1054">
        <f t="shared" si="308"/>
        <v>6.3240000000000005E-2</v>
      </c>
      <c r="U706" s="1064">
        <v>0.61</v>
      </c>
      <c r="V706" s="1052">
        <f t="shared" si="309"/>
        <v>1.04</v>
      </c>
      <c r="W706" s="1049"/>
      <c r="X706" s="1051">
        <v>0.12</v>
      </c>
      <c r="Y706" s="1049"/>
      <c r="Z706" s="1050">
        <f t="shared" si="313"/>
        <v>0</v>
      </c>
      <c r="AA706" s="1121">
        <f>SUM(AD704:AD727)</f>
        <v>58.080000000000005</v>
      </c>
      <c r="AB706" s="1057">
        <v>2</v>
      </c>
      <c r="AC706" s="1056">
        <v>3</v>
      </c>
      <c r="AD706" s="1055">
        <v>2</v>
      </c>
      <c r="AE706" s="1137">
        <f t="shared" si="310"/>
        <v>0</v>
      </c>
      <c r="AF706" s="1136">
        <v>3.54</v>
      </c>
      <c r="AG706" s="1052">
        <f t="shared" si="311"/>
        <v>0.92</v>
      </c>
      <c r="AH706" s="1049"/>
      <c r="AI706" s="1136"/>
      <c r="AJ706" s="1049"/>
      <c r="AK706" s="1050">
        <f t="shared" si="314"/>
        <v>0</v>
      </c>
      <c r="AL706" s="1049"/>
      <c r="AM706" s="1121"/>
      <c r="AN706" s="1057"/>
      <c r="AO706" s="1056"/>
      <c r="AP706" s="1055"/>
      <c r="AQ706" s="1745"/>
      <c r="AR706" s="1737"/>
      <c r="AS706" s="1052"/>
      <c r="AT706" s="1049"/>
      <c r="AU706" s="1136"/>
      <c r="AV706" s="1049"/>
      <c r="AW706" s="1121">
        <f>SUM(AZ704:AZ727)</f>
        <v>6.0200000000000005</v>
      </c>
      <c r="AX706" s="1057">
        <v>2</v>
      </c>
      <c r="AY706" s="1056">
        <v>3</v>
      </c>
      <c r="AZ706" s="1055">
        <v>0.11</v>
      </c>
      <c r="BA706" s="1736">
        <v>0.19</v>
      </c>
      <c r="BB706" s="1737">
        <f t="shared" si="312"/>
        <v>0.92</v>
      </c>
      <c r="BC706" s="1049"/>
      <c r="BD706" s="1136"/>
      <c r="BE706" s="1049"/>
      <c r="BF706" s="1121">
        <f>SUM(BI704:BI727)</f>
        <v>5.25</v>
      </c>
      <c r="BG706" s="1057">
        <v>2</v>
      </c>
      <c r="BH706" s="1056">
        <v>3</v>
      </c>
      <c r="BI706" s="1874">
        <v>0.11</v>
      </c>
      <c r="BJ706" s="1736"/>
      <c r="BK706" s="1049"/>
      <c r="BL706" s="1121">
        <f>SUM(BO704:BO727)+SUM(BP704:BP727)</f>
        <v>0</v>
      </c>
      <c r="BM706" s="1057">
        <v>2</v>
      </c>
      <c r="BN706" s="1056">
        <v>3</v>
      </c>
      <c r="BO706" s="1055"/>
      <c r="BP706" s="1055"/>
      <c r="BQ706" s="1049"/>
    </row>
    <row r="707" spans="1:69" ht="14.4">
      <c r="A707" s="1049"/>
      <c r="B707" s="1120">
        <f>B706/24</f>
        <v>0.65416666666666667</v>
      </c>
      <c r="C707" s="1057">
        <v>3</v>
      </c>
      <c r="D707" s="1056">
        <v>4</v>
      </c>
      <c r="E707" s="1063">
        <v>0.71</v>
      </c>
      <c r="F707" s="1062">
        <v>1.67</v>
      </c>
      <c r="G707" s="1061">
        <f t="shared" si="306"/>
        <v>2.352112676056338</v>
      </c>
      <c r="H707" s="1049"/>
      <c r="I707" s="1120">
        <f>I706/24</f>
        <v>1.9302083333333335</v>
      </c>
      <c r="J707" s="1057">
        <v>3</v>
      </c>
      <c r="K707" s="1056">
        <v>4</v>
      </c>
      <c r="L707" s="1055">
        <v>1.54</v>
      </c>
      <c r="M707" s="1059">
        <v>5.56</v>
      </c>
      <c r="N707" s="1052">
        <f t="shared" si="307"/>
        <v>3.61038961038961</v>
      </c>
      <c r="O707" s="1049"/>
      <c r="P707" s="1120">
        <f>P706/24</f>
        <v>2.1180833333333333</v>
      </c>
      <c r="Q707" s="1057">
        <v>3</v>
      </c>
      <c r="R707" s="1056">
        <v>4</v>
      </c>
      <c r="S707" s="1055">
        <v>0.40899999999999997</v>
      </c>
      <c r="T707" s="1054">
        <f t="shared" si="308"/>
        <v>4.4989999999999995E-2</v>
      </c>
      <c r="U707" s="1064">
        <v>0.47</v>
      </c>
      <c r="V707" s="1052">
        <f t="shared" si="309"/>
        <v>1.03</v>
      </c>
      <c r="W707" s="1049"/>
      <c r="X707" s="1051">
        <v>0.11</v>
      </c>
      <c r="Y707" s="1049"/>
      <c r="Z707" s="1050">
        <f t="shared" si="313"/>
        <v>0</v>
      </c>
      <c r="AA707" s="1120">
        <f>AA706/24</f>
        <v>2.4200000000000004</v>
      </c>
      <c r="AB707" s="1057">
        <v>3</v>
      </c>
      <c r="AC707" s="1056">
        <v>4</v>
      </c>
      <c r="AD707" s="1055">
        <v>2.41</v>
      </c>
      <c r="AE707" s="1137">
        <f t="shared" si="310"/>
        <v>0</v>
      </c>
      <c r="AF707" s="1136">
        <v>4.25</v>
      </c>
      <c r="AG707" s="1052">
        <f t="shared" si="311"/>
        <v>0.92</v>
      </c>
      <c r="AH707" s="1049"/>
      <c r="AI707" s="1136"/>
      <c r="AJ707" s="1049"/>
      <c r="AK707" s="1050">
        <f t="shared" si="314"/>
        <v>0</v>
      </c>
      <c r="AL707" s="1049"/>
      <c r="AM707" s="1120"/>
      <c r="AN707" s="1057"/>
      <c r="AO707" s="1056"/>
      <c r="AP707" s="1055"/>
      <c r="AQ707" s="1745"/>
      <c r="AR707" s="1737"/>
      <c r="AS707" s="1052"/>
      <c r="AT707" s="1049"/>
      <c r="AU707" s="1136"/>
      <c r="AV707" s="1049"/>
      <c r="AW707" s="1120">
        <f>AW706/24</f>
        <v>0.25083333333333335</v>
      </c>
      <c r="AX707" s="1057">
        <v>3</v>
      </c>
      <c r="AY707" s="1056">
        <v>4</v>
      </c>
      <c r="AZ707" s="1055">
        <v>0.06</v>
      </c>
      <c r="BA707" s="1736">
        <v>0.1</v>
      </c>
      <c r="BB707" s="1737">
        <f t="shared" si="312"/>
        <v>0.92</v>
      </c>
      <c r="BC707" s="1049"/>
      <c r="BD707" s="1136"/>
      <c r="BE707" s="1049"/>
      <c r="BF707" s="1120">
        <f>BF706/24</f>
        <v>0.21875</v>
      </c>
      <c r="BG707" s="1057">
        <v>3</v>
      </c>
      <c r="BH707" s="1056">
        <v>4</v>
      </c>
      <c r="BI707" s="1874">
        <v>0.09</v>
      </c>
      <c r="BJ707" s="1736"/>
      <c r="BK707" s="1049"/>
      <c r="BL707" s="1120">
        <f>BL706/24</f>
        <v>0</v>
      </c>
      <c r="BM707" s="1057">
        <v>3</v>
      </c>
      <c r="BN707" s="1056">
        <v>4</v>
      </c>
      <c r="BO707" s="1055"/>
      <c r="BP707" s="1055"/>
      <c r="BQ707" s="1049"/>
    </row>
    <row r="708" spans="1:69" ht="14.4">
      <c r="A708" s="1049"/>
      <c r="B708" s="1119"/>
      <c r="C708" s="1057">
        <v>4</v>
      </c>
      <c r="D708" s="1056">
        <v>5</v>
      </c>
      <c r="E708" s="1063">
        <v>0.8</v>
      </c>
      <c r="F708" s="1062">
        <v>1.89</v>
      </c>
      <c r="G708" s="1061">
        <f t="shared" si="306"/>
        <v>2.3624999999999998</v>
      </c>
      <c r="H708" s="1049"/>
      <c r="I708" s="1119"/>
      <c r="J708" s="1057">
        <v>4</v>
      </c>
      <c r="K708" s="1056">
        <v>5</v>
      </c>
      <c r="L708" s="1055">
        <v>1.365</v>
      </c>
      <c r="M708" s="1059">
        <v>4.93</v>
      </c>
      <c r="N708" s="1052">
        <f t="shared" si="307"/>
        <v>3.6117216117216113</v>
      </c>
      <c r="O708" s="1049"/>
      <c r="P708" s="1118"/>
      <c r="Q708" s="1057">
        <v>4</v>
      </c>
      <c r="R708" s="1056">
        <v>5</v>
      </c>
      <c r="S708" s="1055">
        <v>1.002</v>
      </c>
      <c r="T708" s="1054">
        <f t="shared" si="308"/>
        <v>0.11022</v>
      </c>
      <c r="U708" s="1064">
        <v>1.1599999999999999</v>
      </c>
      <c r="V708" s="1052">
        <f t="shared" si="309"/>
        <v>1.03</v>
      </c>
      <c r="W708" s="1049"/>
      <c r="X708" s="1051">
        <v>0.11</v>
      </c>
      <c r="Y708" s="1049"/>
      <c r="Z708" s="1050">
        <f t="shared" si="313"/>
        <v>0</v>
      </c>
      <c r="AA708" s="1118"/>
      <c r="AB708" s="1057">
        <v>4</v>
      </c>
      <c r="AC708" s="1056">
        <v>5</v>
      </c>
      <c r="AD708" s="1055">
        <v>1.95</v>
      </c>
      <c r="AE708" s="1137">
        <f t="shared" si="310"/>
        <v>0</v>
      </c>
      <c r="AF708" s="1136">
        <v>3.44</v>
      </c>
      <c r="AG708" s="1052">
        <f t="shared" si="311"/>
        <v>0.92</v>
      </c>
      <c r="AH708" s="1049"/>
      <c r="AI708" s="1136"/>
      <c r="AJ708" s="1049"/>
      <c r="AK708" s="1050">
        <f t="shared" si="314"/>
        <v>0</v>
      </c>
      <c r="AL708" s="1049"/>
      <c r="AM708" s="1118"/>
      <c r="AN708" s="1057"/>
      <c r="AO708" s="1056"/>
      <c r="AP708" s="1055"/>
      <c r="AQ708" s="1745"/>
      <c r="AR708" s="1737"/>
      <c r="AS708" s="1052"/>
      <c r="AT708" s="1049"/>
      <c r="AU708" s="1136"/>
      <c r="AV708" s="1049"/>
      <c r="AW708" s="1118"/>
      <c r="AX708" s="1057">
        <v>4</v>
      </c>
      <c r="AY708" s="1056">
        <v>5</v>
      </c>
      <c r="AZ708" s="1055">
        <v>0.11</v>
      </c>
      <c r="BA708" s="1736">
        <v>0.19</v>
      </c>
      <c r="BB708" s="1737">
        <f t="shared" si="312"/>
        <v>0.92</v>
      </c>
      <c r="BC708" s="1049"/>
      <c r="BD708" s="1136"/>
      <c r="BE708" s="1049"/>
      <c r="BF708" s="1118"/>
      <c r="BG708" s="1057">
        <v>4</v>
      </c>
      <c r="BH708" s="1056">
        <v>5</v>
      </c>
      <c r="BI708" s="1874">
        <v>0.1</v>
      </c>
      <c r="BJ708" s="1736"/>
      <c r="BK708" s="1049"/>
      <c r="BL708" s="1118"/>
      <c r="BM708" s="1057">
        <v>4</v>
      </c>
      <c r="BN708" s="1056">
        <v>5</v>
      </c>
      <c r="BO708" s="1055"/>
      <c r="BP708" s="1055"/>
      <c r="BQ708" s="1049"/>
    </row>
    <row r="709" spans="1:69" ht="15" thickBot="1">
      <c r="A709" s="1049"/>
      <c r="B709" s="1058">
        <f>SUM(F704:F727)</f>
        <v>39.540000000000006</v>
      </c>
      <c r="C709" s="1111">
        <v>5</v>
      </c>
      <c r="D709" s="1110">
        <v>6</v>
      </c>
      <c r="E709" s="1117">
        <v>0.34</v>
      </c>
      <c r="F709" s="1116">
        <v>0.79</v>
      </c>
      <c r="G709" s="1115">
        <f t="shared" si="306"/>
        <v>2.3235294117647056</v>
      </c>
      <c r="H709" s="1049"/>
      <c r="I709" s="1058">
        <f>SUM(M704:M727)</f>
        <v>242.96999999999997</v>
      </c>
      <c r="J709" s="1111">
        <v>5</v>
      </c>
      <c r="K709" s="1110">
        <v>6</v>
      </c>
      <c r="L709" s="1109">
        <v>1.3129999999999999</v>
      </c>
      <c r="M709" s="1114">
        <v>4.8899999999999997</v>
      </c>
      <c r="N709" s="1113">
        <f t="shared" si="307"/>
        <v>3.7242955064737244</v>
      </c>
      <c r="O709" s="1049"/>
      <c r="P709" s="1112">
        <f>SUM(U704:U727)</f>
        <v>67.349999999999994</v>
      </c>
      <c r="Q709" s="1111">
        <v>5</v>
      </c>
      <c r="R709" s="1110">
        <v>6</v>
      </c>
      <c r="S709" s="1109">
        <v>1.9179999999999999</v>
      </c>
      <c r="T709" s="1054">
        <f t="shared" si="308"/>
        <v>0.23015999999999998</v>
      </c>
      <c r="U709" s="1064">
        <v>2.2400000000000002</v>
      </c>
      <c r="V709" s="1052">
        <f t="shared" si="309"/>
        <v>1.04</v>
      </c>
      <c r="W709" s="1049"/>
      <c r="X709" s="1074">
        <v>0.12</v>
      </c>
      <c r="Y709" s="1049"/>
      <c r="Z709" s="1050">
        <f t="shared" si="313"/>
        <v>0</v>
      </c>
      <c r="AA709" s="1112">
        <f>SUM(AF704:AF727)</f>
        <v>104.04999999999998</v>
      </c>
      <c r="AB709" s="1111">
        <v>5</v>
      </c>
      <c r="AC709" s="1110">
        <v>6</v>
      </c>
      <c r="AD709" s="1109">
        <v>2.0099999999999998</v>
      </c>
      <c r="AE709" s="1147">
        <f t="shared" si="310"/>
        <v>0</v>
      </c>
      <c r="AF709" s="1146">
        <v>3.55</v>
      </c>
      <c r="AG709" s="1052">
        <f t="shared" si="311"/>
        <v>0.92</v>
      </c>
      <c r="AH709" s="1049"/>
      <c r="AI709" s="1146"/>
      <c r="AJ709" s="1049"/>
      <c r="AK709" s="1050">
        <f t="shared" si="314"/>
        <v>0</v>
      </c>
      <c r="AL709" s="1049"/>
      <c r="AM709" s="1112"/>
      <c r="AN709" s="1111"/>
      <c r="AO709" s="1110"/>
      <c r="AP709" s="1109"/>
      <c r="AQ709" s="1746"/>
      <c r="AR709" s="1739"/>
      <c r="AS709" s="1052"/>
      <c r="AT709" s="1049"/>
      <c r="AU709" s="1146"/>
      <c r="AV709" s="1049"/>
      <c r="AW709" s="1112">
        <f>SUM(BA704:BA727)</f>
        <v>12.910000000000002</v>
      </c>
      <c r="AX709" s="1111">
        <v>5</v>
      </c>
      <c r="AY709" s="1110">
        <v>6</v>
      </c>
      <c r="AZ709" s="1109">
        <v>0.21</v>
      </c>
      <c r="BA709" s="1738">
        <v>0.37</v>
      </c>
      <c r="BB709" s="1739">
        <f t="shared" si="312"/>
        <v>0.92</v>
      </c>
      <c r="BC709" s="1049"/>
      <c r="BD709" s="1146"/>
      <c r="BE709" s="1049"/>
      <c r="BF709" s="1112">
        <f>SUM(BJ704:BJ727)</f>
        <v>0</v>
      </c>
      <c r="BG709" s="1111">
        <v>5</v>
      </c>
      <c r="BH709" s="1110">
        <v>6</v>
      </c>
      <c r="BI709" s="1874">
        <v>0.11</v>
      </c>
      <c r="BJ709" s="1738"/>
      <c r="BK709" s="1049"/>
      <c r="BL709" s="1112">
        <f>SUM(BP704:BP727)</f>
        <v>0</v>
      </c>
      <c r="BM709" s="1111">
        <v>5</v>
      </c>
      <c r="BN709" s="1110">
        <v>6</v>
      </c>
      <c r="BO709" s="1109"/>
      <c r="BP709" s="1109"/>
      <c r="BQ709" s="1049"/>
    </row>
    <row r="710" spans="1:69" ht="14.4">
      <c r="A710" s="1049"/>
      <c r="B710" s="1093">
        <f>B709/B706</f>
        <v>2.5184713375796184</v>
      </c>
      <c r="C710" s="1100">
        <v>6</v>
      </c>
      <c r="D710" s="1099">
        <v>7</v>
      </c>
      <c r="E710" s="1107">
        <v>0.97</v>
      </c>
      <c r="F710" s="1106">
        <v>2.29</v>
      </c>
      <c r="G710" s="1105">
        <f t="shared" si="306"/>
        <v>2.3608247422680413</v>
      </c>
      <c r="H710" s="1049"/>
      <c r="I710" s="1093">
        <f>I709/I706</f>
        <v>5.2449001618996212</v>
      </c>
      <c r="J710" s="1100">
        <v>6</v>
      </c>
      <c r="K710" s="1099">
        <v>7</v>
      </c>
      <c r="L710" s="1098">
        <v>1.782</v>
      </c>
      <c r="M710" s="1103">
        <v>7.26</v>
      </c>
      <c r="N710" s="1102">
        <f t="shared" si="307"/>
        <v>4.0740740740740735</v>
      </c>
      <c r="O710" s="1049"/>
      <c r="P710" s="1093">
        <f>IF(P709&gt;0,P709/P706,0)</f>
        <v>1.3249006570405633</v>
      </c>
      <c r="Q710" s="1100">
        <v>6</v>
      </c>
      <c r="R710" s="1099">
        <v>7</v>
      </c>
      <c r="S710" s="1098">
        <v>2.3540000000000001</v>
      </c>
      <c r="T710" s="1054">
        <f t="shared" si="308"/>
        <v>0.30602000000000001</v>
      </c>
      <c r="U710" s="1064">
        <v>2.77</v>
      </c>
      <c r="V710" s="1052">
        <f t="shared" si="309"/>
        <v>1.05</v>
      </c>
      <c r="W710" s="1049"/>
      <c r="X710" s="1108">
        <v>0.13</v>
      </c>
      <c r="Y710" s="1049"/>
      <c r="Z710" s="1050">
        <f t="shared" si="313"/>
        <v>0</v>
      </c>
      <c r="AA710" s="1093">
        <f>IF(AA709&gt;0,AA709/AA706,0)</f>
        <v>1.7914944903581262</v>
      </c>
      <c r="AB710" s="1100">
        <v>6</v>
      </c>
      <c r="AC710" s="1099">
        <v>7</v>
      </c>
      <c r="AD710" s="1098">
        <v>2.37</v>
      </c>
      <c r="AE710" s="1145">
        <f t="shared" si="310"/>
        <v>0</v>
      </c>
      <c r="AF710" s="1144">
        <v>4.17</v>
      </c>
      <c r="AG710" s="1052">
        <f t="shared" si="311"/>
        <v>0.92</v>
      </c>
      <c r="AH710" s="1049"/>
      <c r="AI710" s="1144"/>
      <c r="AJ710" s="1049"/>
      <c r="AK710" s="1050">
        <f t="shared" si="314"/>
        <v>0</v>
      </c>
      <c r="AL710" s="1049"/>
      <c r="AM710" s="1093"/>
      <c r="AN710" s="1100"/>
      <c r="AO710" s="1099"/>
      <c r="AP710" s="1098"/>
      <c r="AQ710" s="1747"/>
      <c r="AR710" s="1741"/>
      <c r="AS710" s="1052"/>
      <c r="AT710" s="1049"/>
      <c r="AU710" s="1144"/>
      <c r="AV710" s="1049"/>
      <c r="AW710" s="1093">
        <f>IF(AW709&gt;0,AW709/AW706,0)</f>
        <v>2.1445182724252492</v>
      </c>
      <c r="AX710" s="1100">
        <v>6</v>
      </c>
      <c r="AY710" s="1099">
        <v>7</v>
      </c>
      <c r="AZ710" s="1098">
        <v>0.26</v>
      </c>
      <c r="BA710" s="1740">
        <v>0.5</v>
      </c>
      <c r="BB710" s="1741">
        <f t="shared" si="312"/>
        <v>0.92</v>
      </c>
      <c r="BC710" s="1049"/>
      <c r="BD710" s="1144"/>
      <c r="BE710" s="1049"/>
      <c r="BF710" s="1093">
        <f>IF(BF709&gt;0,BF709/BF706,0)</f>
        <v>0</v>
      </c>
      <c r="BG710" s="1100">
        <v>6</v>
      </c>
      <c r="BH710" s="1099">
        <v>7</v>
      </c>
      <c r="BI710" s="1874">
        <v>0.13</v>
      </c>
      <c r="BJ710" s="1740"/>
      <c r="BK710" s="1049"/>
      <c r="BL710" s="1093">
        <f>IF(BL709&gt;0,BL709/BL706,0)</f>
        <v>0</v>
      </c>
      <c r="BM710" s="1100">
        <v>6</v>
      </c>
      <c r="BN710" s="1099">
        <v>7</v>
      </c>
      <c r="BO710" s="1098"/>
      <c r="BP710" s="1098"/>
      <c r="BQ710" s="1049"/>
    </row>
    <row r="711" spans="1:69" ht="14.4">
      <c r="A711" s="1049"/>
      <c r="B711" s="1104"/>
      <c r="C711" s="1100">
        <v>7</v>
      </c>
      <c r="D711" s="1099">
        <v>8</v>
      </c>
      <c r="E711" s="1107">
        <v>0.64</v>
      </c>
      <c r="F711" s="1106">
        <v>1.58</v>
      </c>
      <c r="G711" s="1105">
        <f t="shared" si="306"/>
        <v>2.46875</v>
      </c>
      <c r="H711" s="1049"/>
      <c r="I711" s="1104"/>
      <c r="J711" s="1100">
        <v>7</v>
      </c>
      <c r="K711" s="1099" t="s">
        <v>1135</v>
      </c>
      <c r="L711" s="1098">
        <v>2.4929999999999999</v>
      </c>
      <c r="M711" s="1103">
        <v>13.1</v>
      </c>
      <c r="N711" s="1102">
        <f t="shared" si="307"/>
        <v>5.2547131969514638</v>
      </c>
      <c r="O711" s="1049"/>
      <c r="P711" s="1101"/>
      <c r="Q711" s="1100">
        <v>7</v>
      </c>
      <c r="R711" s="1099">
        <v>8</v>
      </c>
      <c r="S711" s="1098">
        <v>2.274</v>
      </c>
      <c r="T711" s="1054">
        <f t="shared" si="308"/>
        <v>0.29561999999999999</v>
      </c>
      <c r="U711" s="1064">
        <v>2.68</v>
      </c>
      <c r="V711" s="1052">
        <f t="shared" si="309"/>
        <v>1.05</v>
      </c>
      <c r="W711" s="1049"/>
      <c r="X711" s="1065">
        <v>0.13</v>
      </c>
      <c r="Y711" s="1049"/>
      <c r="Z711" s="1050">
        <f t="shared" si="313"/>
        <v>0</v>
      </c>
      <c r="AA711" s="1101"/>
      <c r="AB711" s="1100">
        <v>7</v>
      </c>
      <c r="AC711" s="1099">
        <v>8</v>
      </c>
      <c r="AD711" s="1098">
        <v>2.59</v>
      </c>
      <c r="AE711" s="1145">
        <f t="shared" si="310"/>
        <v>0</v>
      </c>
      <c r="AF711" s="1144">
        <v>4.59</v>
      </c>
      <c r="AG711" s="1052">
        <f t="shared" si="311"/>
        <v>0.92</v>
      </c>
      <c r="AH711" s="1049"/>
      <c r="AI711" s="1144"/>
      <c r="AJ711" s="1049"/>
      <c r="AK711" s="1050">
        <f t="shared" si="314"/>
        <v>0</v>
      </c>
      <c r="AL711" s="1049"/>
      <c r="AM711" s="1101"/>
      <c r="AN711" s="1100"/>
      <c r="AO711" s="1099"/>
      <c r="AP711" s="1098"/>
      <c r="AQ711" s="1747"/>
      <c r="AR711" s="1741"/>
      <c r="AS711" s="1052"/>
      <c r="AT711" s="1049"/>
      <c r="AU711" s="1144"/>
      <c r="AV711" s="1049"/>
      <c r="AW711" s="1101"/>
      <c r="AX711" s="1100">
        <v>7</v>
      </c>
      <c r="AY711" s="1099">
        <v>8</v>
      </c>
      <c r="AZ711" s="1098">
        <v>0.53</v>
      </c>
      <c r="BA711" s="1736">
        <v>1.1499999999999999</v>
      </c>
      <c r="BB711" s="1741">
        <f t="shared" si="312"/>
        <v>0.92</v>
      </c>
      <c r="BC711" s="1049"/>
      <c r="BD711" s="1144"/>
      <c r="BE711" s="1049"/>
      <c r="BF711" s="1101"/>
      <c r="BG711" s="1100">
        <v>7</v>
      </c>
      <c r="BH711" s="1099">
        <v>8</v>
      </c>
      <c r="BI711" s="1874">
        <v>0.14000000000000001</v>
      </c>
      <c r="BJ711" s="1736"/>
      <c r="BK711" s="1049"/>
      <c r="BL711" s="1101"/>
      <c r="BM711" s="1100">
        <v>7</v>
      </c>
      <c r="BN711" s="1099">
        <v>8</v>
      </c>
      <c r="BO711" s="1098"/>
      <c r="BP711" s="1098"/>
      <c r="BQ711" s="1049"/>
    </row>
    <row r="712" spans="1:69" ht="14.4">
      <c r="A712" s="1049"/>
      <c r="B712" s="1097">
        <f>B709/24</f>
        <v>1.6475000000000002</v>
      </c>
      <c r="C712" s="1086">
        <v>8</v>
      </c>
      <c r="D712" s="1085">
        <v>9</v>
      </c>
      <c r="E712" s="1091">
        <v>0.66</v>
      </c>
      <c r="F712" s="1090">
        <v>1.72</v>
      </c>
      <c r="G712" s="1089">
        <f t="shared" si="306"/>
        <v>2.606060606060606</v>
      </c>
      <c r="H712" s="1049"/>
      <c r="I712" s="1097">
        <f>I709/24</f>
        <v>10.123749999999999</v>
      </c>
      <c r="J712" s="1086">
        <v>8</v>
      </c>
      <c r="K712" s="1085"/>
      <c r="L712" s="1084">
        <v>2.1030000000000002</v>
      </c>
      <c r="M712" s="1088">
        <v>12.16</v>
      </c>
      <c r="N712" s="1087">
        <f t="shared" si="307"/>
        <v>5.7822158820732286</v>
      </c>
      <c r="O712" s="1049"/>
      <c r="P712" s="1096">
        <f>P709/24</f>
        <v>2.8062499999999999</v>
      </c>
      <c r="Q712" s="1086">
        <v>8</v>
      </c>
      <c r="R712" s="2759" t="s">
        <v>1134</v>
      </c>
      <c r="S712" s="1084">
        <v>2.6320000000000001</v>
      </c>
      <c r="T712" s="1054">
        <f t="shared" si="308"/>
        <v>0.57904</v>
      </c>
      <c r="U712" s="1064">
        <v>3.32</v>
      </c>
      <c r="V712" s="1052">
        <f t="shared" si="309"/>
        <v>1.1400000000000001</v>
      </c>
      <c r="W712" s="1049"/>
      <c r="X712" s="1051">
        <v>0.22</v>
      </c>
      <c r="Y712" s="1049"/>
      <c r="Z712" s="1050">
        <f t="shared" si="313"/>
        <v>0</v>
      </c>
      <c r="AA712" s="1096">
        <f>AA709/24</f>
        <v>4.3354166666666663</v>
      </c>
      <c r="AB712" s="1086">
        <v>8</v>
      </c>
      <c r="AC712" s="1085">
        <v>9</v>
      </c>
      <c r="AD712" s="1084">
        <v>2.63</v>
      </c>
      <c r="AE712" s="1143">
        <f t="shared" si="310"/>
        <v>0</v>
      </c>
      <c r="AF712" s="1142">
        <v>4.67</v>
      </c>
      <c r="AG712" s="1052">
        <f t="shared" si="311"/>
        <v>0.92</v>
      </c>
      <c r="AH712" s="1049"/>
      <c r="AI712" s="1142"/>
      <c r="AJ712" s="1049"/>
      <c r="AK712" s="1050">
        <f t="shared" si="314"/>
        <v>0</v>
      </c>
      <c r="AL712" s="1049"/>
      <c r="AM712" s="1096"/>
      <c r="AN712" s="1086"/>
      <c r="AO712" s="1085"/>
      <c r="AP712" s="1084"/>
      <c r="AQ712" s="1748"/>
      <c r="AR712" s="1742"/>
      <c r="AS712" s="1052"/>
      <c r="AT712" s="1049"/>
      <c r="AU712" s="1142"/>
      <c r="AV712" s="1049"/>
      <c r="AW712" s="1096">
        <f>AW709/24</f>
        <v>0.53791666666666671</v>
      </c>
      <c r="AX712" s="1086">
        <v>8</v>
      </c>
      <c r="AY712" s="1085">
        <v>9</v>
      </c>
      <c r="AZ712" s="1084">
        <v>0.2</v>
      </c>
      <c r="BA712" s="1736">
        <v>0.45</v>
      </c>
      <c r="BB712" s="1742">
        <f t="shared" si="312"/>
        <v>0.92</v>
      </c>
      <c r="BC712" s="1049"/>
      <c r="BD712" s="1142"/>
      <c r="BE712" s="1049"/>
      <c r="BF712" s="1096">
        <f>BF709/24</f>
        <v>0</v>
      </c>
      <c r="BG712" s="1086">
        <v>8</v>
      </c>
      <c r="BH712" s="1085">
        <v>9</v>
      </c>
      <c r="BI712" s="1874">
        <v>0.15</v>
      </c>
      <c r="BJ712" s="1736"/>
      <c r="BK712" s="1049"/>
      <c r="BL712" s="1096">
        <f>BL709/24</f>
        <v>0</v>
      </c>
      <c r="BM712" s="1086">
        <v>8</v>
      </c>
      <c r="BN712" s="1085">
        <v>9</v>
      </c>
      <c r="BO712" s="1084"/>
      <c r="BP712" s="1084"/>
      <c r="BQ712" s="1049"/>
    </row>
    <row r="713" spans="1:69" ht="14.4">
      <c r="A713" s="1049"/>
      <c r="B713" s="1097"/>
      <c r="C713" s="1086">
        <v>9</v>
      </c>
      <c r="D713" s="1085">
        <v>10</v>
      </c>
      <c r="E713" s="1091">
        <v>1.08</v>
      </c>
      <c r="F713" s="1090">
        <v>2.77</v>
      </c>
      <c r="G713" s="1089">
        <f t="shared" si="306"/>
        <v>2.5648148148148149</v>
      </c>
      <c r="H713" s="1049"/>
      <c r="I713" s="1097"/>
      <c r="J713" s="1086">
        <v>9</v>
      </c>
      <c r="K713" s="1085"/>
      <c r="L713" s="1084">
        <v>2.3959999999999999</v>
      </c>
      <c r="M713" s="1088">
        <v>13.9</v>
      </c>
      <c r="N713" s="1087">
        <f t="shared" si="307"/>
        <v>5.8013355592654428</v>
      </c>
      <c r="O713" s="1049"/>
      <c r="P713" s="1096"/>
      <c r="Q713" s="1086">
        <v>9</v>
      </c>
      <c r="R713" s="2761"/>
      <c r="S713" s="1084">
        <v>2.2360000000000002</v>
      </c>
      <c r="T713" s="1054">
        <f t="shared" si="308"/>
        <v>0.42484000000000005</v>
      </c>
      <c r="U713" s="1064">
        <v>2.75</v>
      </c>
      <c r="V713" s="1052">
        <f t="shared" si="309"/>
        <v>1.1100000000000001</v>
      </c>
      <c r="W713" s="1049"/>
      <c r="X713" s="1051">
        <v>0.19</v>
      </c>
      <c r="Y713" s="1049"/>
      <c r="Z713" s="1050">
        <f t="shared" si="313"/>
        <v>0</v>
      </c>
      <c r="AA713" s="1096"/>
      <c r="AB713" s="1086">
        <v>9</v>
      </c>
      <c r="AC713" s="1085">
        <v>10</v>
      </c>
      <c r="AD713" s="1084">
        <v>3.21</v>
      </c>
      <c r="AE713" s="1143">
        <f t="shared" si="310"/>
        <v>0</v>
      </c>
      <c r="AF713" s="1142">
        <v>5.71</v>
      </c>
      <c r="AG713" s="1052">
        <f t="shared" si="311"/>
        <v>0.92</v>
      </c>
      <c r="AH713" s="1049"/>
      <c r="AI713" s="1142"/>
      <c r="AJ713" s="1049"/>
      <c r="AK713" s="1050">
        <f t="shared" si="314"/>
        <v>0</v>
      </c>
      <c r="AL713" s="1049"/>
      <c r="AM713" s="1096"/>
      <c r="AN713" s="1086"/>
      <c r="AO713" s="1085"/>
      <c r="AP713" s="1084"/>
      <c r="AQ713" s="1748"/>
      <c r="AR713" s="1742"/>
      <c r="AS713" s="1052"/>
      <c r="AT713" s="1049"/>
      <c r="AU713" s="1142"/>
      <c r="AV713" s="1049"/>
      <c r="AW713" s="1096"/>
      <c r="AX713" s="1086">
        <v>9</v>
      </c>
      <c r="AY713" s="1085">
        <v>10</v>
      </c>
      <c r="AZ713" s="1084">
        <v>0.27</v>
      </c>
      <c r="BA713" s="1736">
        <v>0.57999999999999996</v>
      </c>
      <c r="BB713" s="1742">
        <f t="shared" si="312"/>
        <v>0.92</v>
      </c>
      <c r="BC713" s="1049"/>
      <c r="BD713" s="1142"/>
      <c r="BE713" s="1049"/>
      <c r="BF713" s="1096"/>
      <c r="BG713" s="1086">
        <v>9</v>
      </c>
      <c r="BH713" s="1085">
        <v>10</v>
      </c>
      <c r="BI713" s="1874">
        <v>0.19</v>
      </c>
      <c r="BJ713" s="1736"/>
      <c r="BK713" s="1049"/>
      <c r="BL713" s="1096"/>
      <c r="BM713" s="1086">
        <v>9</v>
      </c>
      <c r="BN713" s="1085">
        <v>10</v>
      </c>
      <c r="BO713" s="1084"/>
      <c r="BP713" s="1084"/>
      <c r="BQ713" s="1049"/>
    </row>
    <row r="714" spans="1:69" ht="14.4">
      <c r="A714" s="1049"/>
      <c r="B714" s="1060"/>
      <c r="C714" s="1086">
        <v>10</v>
      </c>
      <c r="D714" s="1085">
        <v>11</v>
      </c>
      <c r="E714" s="1091">
        <v>0.43</v>
      </c>
      <c r="F714" s="1090">
        <v>1.04</v>
      </c>
      <c r="G714" s="1089">
        <f t="shared" si="306"/>
        <v>2.418604651162791</v>
      </c>
      <c r="H714" s="1049"/>
      <c r="I714" s="1060"/>
      <c r="J714" s="1086">
        <v>10</v>
      </c>
      <c r="K714" s="1085"/>
      <c r="L714" s="1084">
        <v>2.2970000000000002</v>
      </c>
      <c r="M714" s="1088">
        <v>13.34</v>
      </c>
      <c r="N714" s="1087">
        <f t="shared" si="307"/>
        <v>5.8075750979538521</v>
      </c>
      <c r="O714" s="1049"/>
      <c r="P714" s="1095">
        <f>SUM(Z704:Z727)</f>
        <v>0</v>
      </c>
      <c r="Q714" s="1086">
        <v>10</v>
      </c>
      <c r="R714" s="1085">
        <v>11</v>
      </c>
      <c r="S714" s="1084">
        <v>2.2549999999999999</v>
      </c>
      <c r="T714" s="1054">
        <f t="shared" si="308"/>
        <v>0.40589999999999998</v>
      </c>
      <c r="U714" s="1064">
        <v>2.76</v>
      </c>
      <c r="V714" s="1052">
        <f t="shared" si="309"/>
        <v>1.1000000000000001</v>
      </c>
      <c r="W714" s="1049"/>
      <c r="X714" s="1051">
        <v>0.18</v>
      </c>
      <c r="Y714" s="1049"/>
      <c r="Z714" s="1050">
        <f t="shared" si="313"/>
        <v>0</v>
      </c>
      <c r="AA714" s="1095">
        <f>SUM(AK704:AK727)</f>
        <v>0</v>
      </c>
      <c r="AB714" s="1086">
        <v>10</v>
      </c>
      <c r="AC714" s="1085">
        <v>11</v>
      </c>
      <c r="AD714" s="1084">
        <v>3.72</v>
      </c>
      <c r="AE714" s="1143">
        <f t="shared" si="310"/>
        <v>0</v>
      </c>
      <c r="AF714" s="1142">
        <v>6.5</v>
      </c>
      <c r="AG714" s="1052">
        <f t="shared" si="311"/>
        <v>0.92</v>
      </c>
      <c r="AH714" s="1049"/>
      <c r="AI714" s="1142"/>
      <c r="AJ714" s="1049"/>
      <c r="AK714" s="1050">
        <f t="shared" si="314"/>
        <v>0</v>
      </c>
      <c r="AL714" s="1049"/>
      <c r="AM714" s="1095"/>
      <c r="AN714" s="1086"/>
      <c r="AO714" s="1085"/>
      <c r="AP714" s="1084"/>
      <c r="AQ714" s="1748"/>
      <c r="AR714" s="1742"/>
      <c r="AS714" s="1052"/>
      <c r="AT714" s="1049"/>
      <c r="AU714" s="1142"/>
      <c r="AV714" s="1049"/>
      <c r="AW714" s="1095" t="e">
        <f>SUM(#REF!)</f>
        <v>#REF!</v>
      </c>
      <c r="AX714" s="1086">
        <v>10</v>
      </c>
      <c r="AY714" s="1085">
        <v>11</v>
      </c>
      <c r="AZ714" s="1084">
        <v>0.24</v>
      </c>
      <c r="BA714" s="1736">
        <v>0.49</v>
      </c>
      <c r="BB714" s="1742">
        <f t="shared" si="312"/>
        <v>0.92</v>
      </c>
      <c r="BC714" s="1049"/>
      <c r="BD714" s="1142"/>
      <c r="BE714" s="1049"/>
      <c r="BF714" s="1095" t="e">
        <f>SUM(#REF!)</f>
        <v>#REF!</v>
      </c>
      <c r="BG714" s="1086">
        <v>10</v>
      </c>
      <c r="BH714" s="1085">
        <v>11</v>
      </c>
      <c r="BI714" s="1874">
        <v>0.31</v>
      </c>
      <c r="BJ714" s="1736"/>
      <c r="BK714" s="1049"/>
      <c r="BL714" s="1095" t="e">
        <f>SUM(#REF!)</f>
        <v>#REF!</v>
      </c>
      <c r="BM714" s="1086">
        <v>10</v>
      </c>
      <c r="BN714" s="1085">
        <v>11</v>
      </c>
      <c r="BO714" s="1084"/>
      <c r="BP714" s="1084"/>
      <c r="BQ714" s="1049"/>
    </row>
    <row r="715" spans="1:69" ht="14.4">
      <c r="A715" s="1049"/>
      <c r="B715" s="1060"/>
      <c r="C715" s="1086">
        <v>11</v>
      </c>
      <c r="D715" s="1085">
        <v>12</v>
      </c>
      <c r="E715" s="1091">
        <v>1.35</v>
      </c>
      <c r="F715" s="1090">
        <v>3.18</v>
      </c>
      <c r="G715" s="1089">
        <f t="shared" si="306"/>
        <v>2.3555555555555556</v>
      </c>
      <c r="H715" s="1049"/>
      <c r="I715" s="1060"/>
      <c r="J715" s="1086">
        <v>11</v>
      </c>
      <c r="K715" s="1085">
        <v>12</v>
      </c>
      <c r="L715" s="1084">
        <v>1.4239999999999999</v>
      </c>
      <c r="M715" s="1088">
        <v>8.1300000000000008</v>
      </c>
      <c r="N715" s="1087">
        <f t="shared" si="307"/>
        <v>5.7092696629213489</v>
      </c>
      <c r="O715" s="1049"/>
      <c r="P715" s="1093">
        <f>IF(P714&gt;0,P714/P706,0)</f>
        <v>0</v>
      </c>
      <c r="Q715" s="1086">
        <v>11</v>
      </c>
      <c r="R715" s="1094" t="s">
        <v>1133</v>
      </c>
      <c r="S715" s="1084">
        <v>2.863</v>
      </c>
      <c r="T715" s="1054">
        <f t="shared" si="308"/>
        <v>0.48671000000000003</v>
      </c>
      <c r="U715" s="1064">
        <v>3.47</v>
      </c>
      <c r="V715" s="1052">
        <f t="shared" si="309"/>
        <v>1.0900000000000001</v>
      </c>
      <c r="W715" s="1049"/>
      <c r="X715" s="1051">
        <v>0.17</v>
      </c>
      <c r="Y715" s="1049"/>
      <c r="Z715" s="1050">
        <f t="shared" si="313"/>
        <v>0</v>
      </c>
      <c r="AA715" s="1093">
        <f>IF(AA714&gt;0,AA714/AA706,0)</f>
        <v>0</v>
      </c>
      <c r="AB715" s="1086">
        <v>11</v>
      </c>
      <c r="AC715" s="1085">
        <v>12</v>
      </c>
      <c r="AD715" s="1084">
        <v>2.99</v>
      </c>
      <c r="AE715" s="1143">
        <f t="shared" si="310"/>
        <v>0</v>
      </c>
      <c r="AF715" s="1142">
        <v>5.16</v>
      </c>
      <c r="AG715" s="1052">
        <f t="shared" si="311"/>
        <v>0.92</v>
      </c>
      <c r="AH715" s="1049"/>
      <c r="AI715" s="1142"/>
      <c r="AJ715" s="1049"/>
      <c r="AK715" s="1050">
        <f t="shared" si="314"/>
        <v>0</v>
      </c>
      <c r="AL715" s="1049"/>
      <c r="AM715" s="1093"/>
      <c r="AN715" s="1086"/>
      <c r="AO715" s="1085"/>
      <c r="AP715" s="1084"/>
      <c r="AQ715" s="1748"/>
      <c r="AR715" s="1742"/>
      <c r="AS715" s="1052"/>
      <c r="AT715" s="1049"/>
      <c r="AU715" s="1142"/>
      <c r="AV715" s="1049"/>
      <c r="AW715" s="1093" t="e">
        <f>IF(AW714&gt;0,AW714/AW706,0)</f>
        <v>#REF!</v>
      </c>
      <c r="AX715" s="1086">
        <v>11</v>
      </c>
      <c r="AY715" s="1085">
        <v>12</v>
      </c>
      <c r="AZ715" s="1084">
        <v>0.25</v>
      </c>
      <c r="BA715" s="1736">
        <v>0.48</v>
      </c>
      <c r="BB715" s="1742">
        <f t="shared" si="312"/>
        <v>0.92</v>
      </c>
      <c r="BC715" s="1049"/>
      <c r="BD715" s="1142"/>
      <c r="BE715" s="1049"/>
      <c r="BF715" s="1093" t="e">
        <f>IF(BF714&gt;0,BF714/BF706,0)</f>
        <v>#REF!</v>
      </c>
      <c r="BG715" s="1086">
        <v>11</v>
      </c>
      <c r="BH715" s="1085">
        <v>12</v>
      </c>
      <c r="BI715" s="1874">
        <v>0.3</v>
      </c>
      <c r="BJ715" s="1736"/>
      <c r="BK715" s="1049"/>
      <c r="BL715" s="1093" t="e">
        <f>IF(BL714&gt;0,BL714/BL706,0)</f>
        <v>#REF!</v>
      </c>
      <c r="BM715" s="1086">
        <v>11</v>
      </c>
      <c r="BN715" s="1085">
        <v>12</v>
      </c>
      <c r="BO715" s="1084"/>
      <c r="BP715" s="1084"/>
      <c r="BQ715" s="1049"/>
    </row>
    <row r="716" spans="1:69" ht="14.4">
      <c r="A716" s="1049"/>
      <c r="B716" s="1060"/>
      <c r="C716" s="1086">
        <v>12</v>
      </c>
      <c r="D716" s="1085">
        <v>13</v>
      </c>
      <c r="E716" s="1091">
        <v>1.47</v>
      </c>
      <c r="F716" s="1090">
        <v>3.44</v>
      </c>
      <c r="G716" s="1089">
        <f t="shared" si="306"/>
        <v>2.3401360544217686</v>
      </c>
      <c r="H716" s="1049"/>
      <c r="I716" s="1060"/>
      <c r="J716" s="1086">
        <v>12</v>
      </c>
      <c r="K716" s="1085" t="s">
        <v>1132</v>
      </c>
      <c r="L716" s="1084">
        <v>2.8969999999999998</v>
      </c>
      <c r="M716" s="1088">
        <v>16.07</v>
      </c>
      <c r="N716" s="1087">
        <f t="shared" si="307"/>
        <v>5.5471177079737668</v>
      </c>
      <c r="O716" s="1049"/>
      <c r="P716" s="1060"/>
      <c r="Q716" s="1086">
        <v>12</v>
      </c>
      <c r="R716" s="1085">
        <v>13</v>
      </c>
      <c r="S716" s="1084">
        <v>2.2109999999999999</v>
      </c>
      <c r="T716" s="1054">
        <f t="shared" si="308"/>
        <v>0.33164999999999994</v>
      </c>
      <c r="U716" s="1064">
        <v>2.64</v>
      </c>
      <c r="V716" s="1052">
        <f t="shared" si="309"/>
        <v>1.07</v>
      </c>
      <c r="W716" s="1049"/>
      <c r="X716" s="1051">
        <v>0.15</v>
      </c>
      <c r="Y716" s="1049"/>
      <c r="Z716" s="1050">
        <f t="shared" si="313"/>
        <v>0</v>
      </c>
      <c r="AA716" s="1060"/>
      <c r="AB716" s="1086">
        <v>12</v>
      </c>
      <c r="AC716" s="1085">
        <v>13</v>
      </c>
      <c r="AD716" s="1084">
        <v>2.62</v>
      </c>
      <c r="AE716" s="1143">
        <f t="shared" si="310"/>
        <v>0</v>
      </c>
      <c r="AF716" s="1142">
        <v>4.4800000000000004</v>
      </c>
      <c r="AG716" s="1052">
        <f t="shared" si="311"/>
        <v>0.92</v>
      </c>
      <c r="AH716" s="1049"/>
      <c r="AI716" s="1142"/>
      <c r="AJ716" s="1049"/>
      <c r="AK716" s="1050">
        <f t="shared" si="314"/>
        <v>0</v>
      </c>
      <c r="AL716" s="1049"/>
      <c r="AM716" s="1060"/>
      <c r="AN716" s="1086"/>
      <c r="AO716" s="1085"/>
      <c r="AP716" s="1084"/>
      <c r="AQ716" s="1748"/>
      <c r="AR716" s="1742"/>
      <c r="AS716" s="1052"/>
      <c r="AT716" s="1049"/>
      <c r="AU716" s="1142"/>
      <c r="AV716" s="1049"/>
      <c r="AW716" s="1060"/>
      <c r="AX716" s="1086">
        <v>12</v>
      </c>
      <c r="AY716" s="1085">
        <v>13</v>
      </c>
      <c r="AZ716" s="1084">
        <v>0.2</v>
      </c>
      <c r="BA716" s="1736">
        <v>0.37</v>
      </c>
      <c r="BB716" s="1742">
        <f t="shared" si="312"/>
        <v>0.92</v>
      </c>
      <c r="BC716" s="1049"/>
      <c r="BD716" s="1142"/>
      <c r="BE716" s="1049"/>
      <c r="BF716" s="1060"/>
      <c r="BG716" s="1086">
        <v>12</v>
      </c>
      <c r="BH716" s="1085">
        <v>13</v>
      </c>
      <c r="BI716" s="1874">
        <v>0.17</v>
      </c>
      <c r="BJ716" s="1736"/>
      <c r="BK716" s="1049"/>
      <c r="BL716" s="1060"/>
      <c r="BM716" s="1086">
        <v>12</v>
      </c>
      <c r="BN716" s="1085">
        <v>13</v>
      </c>
      <c r="BO716" s="1084"/>
      <c r="BP716" s="1084"/>
      <c r="BQ716" s="1049"/>
    </row>
    <row r="717" spans="1:69" ht="14.4">
      <c r="A717" s="1049"/>
      <c r="B717" s="1060"/>
      <c r="C717" s="1086">
        <v>13</v>
      </c>
      <c r="D717" s="1085">
        <v>14</v>
      </c>
      <c r="E717" s="1091">
        <v>1.4</v>
      </c>
      <c r="F717" s="1090">
        <v>3.23</v>
      </c>
      <c r="G717" s="1089">
        <f t="shared" si="306"/>
        <v>2.3071428571428574</v>
      </c>
      <c r="H717" s="1049"/>
      <c r="I717" s="1060"/>
      <c r="J717" s="1086">
        <v>13</v>
      </c>
      <c r="K717" s="1085"/>
      <c r="L717" s="1084">
        <v>2.02</v>
      </c>
      <c r="M717" s="1088">
        <v>11.32</v>
      </c>
      <c r="N717" s="1087">
        <f t="shared" si="307"/>
        <v>5.6039603960396036</v>
      </c>
      <c r="O717" s="1049"/>
      <c r="P717" s="1092" t="s">
        <v>1127</v>
      </c>
      <c r="Q717" s="1086">
        <v>13</v>
      </c>
      <c r="R717" s="1085">
        <v>14</v>
      </c>
      <c r="S717" s="1084">
        <v>3.11</v>
      </c>
      <c r="T717" s="1054">
        <f t="shared" si="308"/>
        <v>0.49759999999999999</v>
      </c>
      <c r="U717" s="1064">
        <v>3.76</v>
      </c>
      <c r="V717" s="1052">
        <f t="shared" si="309"/>
        <v>1.08</v>
      </c>
      <c r="W717" s="1049"/>
      <c r="X717" s="1051">
        <v>0.16</v>
      </c>
      <c r="Y717" s="1049"/>
      <c r="Z717" s="1050">
        <f t="shared" si="313"/>
        <v>0</v>
      </c>
      <c r="AA717" s="1092" t="s">
        <v>1127</v>
      </c>
      <c r="AB717" s="1086">
        <v>13</v>
      </c>
      <c r="AC717" s="1085">
        <v>14</v>
      </c>
      <c r="AD717" s="1084">
        <v>3.43</v>
      </c>
      <c r="AE717" s="1143">
        <f t="shared" si="310"/>
        <v>0</v>
      </c>
      <c r="AF717" s="1142">
        <v>5.83</v>
      </c>
      <c r="AG717" s="1052">
        <f t="shared" si="311"/>
        <v>0.92</v>
      </c>
      <c r="AH717" s="1049"/>
      <c r="AI717" s="1142"/>
      <c r="AJ717" s="1049"/>
      <c r="AK717" s="1050">
        <f t="shared" si="314"/>
        <v>0</v>
      </c>
      <c r="AL717" s="1049"/>
      <c r="AM717" s="1092"/>
      <c r="AN717" s="1086"/>
      <c r="AO717" s="1085"/>
      <c r="AP717" s="1084"/>
      <c r="AQ717" s="1748"/>
      <c r="AR717" s="1742"/>
      <c r="AS717" s="1052"/>
      <c r="AT717" s="1049"/>
      <c r="AU717" s="1142"/>
      <c r="AV717" s="1049"/>
      <c r="AW717" s="1092" t="s">
        <v>1127</v>
      </c>
      <c r="AX717" s="1086">
        <v>13</v>
      </c>
      <c r="AY717" s="1085">
        <v>14</v>
      </c>
      <c r="AZ717" s="1084">
        <v>0.22</v>
      </c>
      <c r="BA717" s="1736">
        <v>0.4</v>
      </c>
      <c r="BB717" s="1742">
        <f t="shared" si="312"/>
        <v>0.92</v>
      </c>
      <c r="BC717" s="1049"/>
      <c r="BD717" s="1142"/>
      <c r="BE717" s="1049"/>
      <c r="BF717" s="1092" t="s">
        <v>1127</v>
      </c>
      <c r="BG717" s="1086">
        <v>13</v>
      </c>
      <c r="BH717" s="1085">
        <v>14</v>
      </c>
      <c r="BI717" s="1874">
        <v>0.26</v>
      </c>
      <c r="BJ717" s="1736"/>
      <c r="BK717" s="1049"/>
      <c r="BL717" s="1092" t="s">
        <v>1127</v>
      </c>
      <c r="BM717" s="1086">
        <v>13</v>
      </c>
      <c r="BN717" s="1085">
        <v>14</v>
      </c>
      <c r="BO717" s="1084"/>
      <c r="BP717" s="1084"/>
      <c r="BQ717" s="1049"/>
    </row>
    <row r="718" spans="1:69" ht="14.4">
      <c r="A718" s="1049"/>
      <c r="B718" s="1060"/>
      <c r="C718" s="1086">
        <v>14</v>
      </c>
      <c r="D718" s="1085">
        <v>15</v>
      </c>
      <c r="E718" s="1091">
        <v>0.42</v>
      </c>
      <c r="F718" s="1090">
        <v>0.97</v>
      </c>
      <c r="G718" s="1089">
        <f t="shared" si="306"/>
        <v>2.3095238095238098</v>
      </c>
      <c r="H718" s="1049"/>
      <c r="I718" s="1060"/>
      <c r="J718" s="1086">
        <v>14</v>
      </c>
      <c r="K718" s="1085"/>
      <c r="L718" s="1084">
        <v>2.718</v>
      </c>
      <c r="M718" s="1088">
        <v>15.79</v>
      </c>
      <c r="N718" s="1087">
        <f t="shared" si="307"/>
        <v>5.8094186902133922</v>
      </c>
      <c r="O718" s="1049"/>
      <c r="P718" s="1058">
        <f>P706*0.8</f>
        <v>40.667200000000008</v>
      </c>
      <c r="Q718" s="1086">
        <v>14</v>
      </c>
      <c r="R718" s="1085">
        <v>15</v>
      </c>
      <c r="S718" s="1084">
        <v>3.17</v>
      </c>
      <c r="T718" s="1054">
        <f t="shared" si="308"/>
        <v>1.0144</v>
      </c>
      <c r="U718" s="1064">
        <v>4.32</v>
      </c>
      <c r="V718" s="1052">
        <f t="shared" si="309"/>
        <v>1.24</v>
      </c>
      <c r="W718" s="1049"/>
      <c r="X718" s="1051">
        <v>0.32</v>
      </c>
      <c r="Y718" s="1049"/>
      <c r="Z718" s="1050">
        <f t="shared" si="313"/>
        <v>0</v>
      </c>
      <c r="AA718" s="1058">
        <f>AA706*0.8</f>
        <v>46.464000000000006</v>
      </c>
      <c r="AB718" s="1086">
        <v>14</v>
      </c>
      <c r="AC718" s="1085">
        <v>15</v>
      </c>
      <c r="AD718" s="1084">
        <v>2.96</v>
      </c>
      <c r="AE718" s="1143">
        <f t="shared" si="310"/>
        <v>0</v>
      </c>
      <c r="AF718" s="1142">
        <v>5.0199999999999996</v>
      </c>
      <c r="AG718" s="1052">
        <f t="shared" si="311"/>
        <v>0.92</v>
      </c>
      <c r="AH718" s="1049"/>
      <c r="AI718" s="1142"/>
      <c r="AJ718" s="1049"/>
      <c r="AK718" s="1050">
        <f t="shared" si="314"/>
        <v>0</v>
      </c>
      <c r="AL718" s="1049"/>
      <c r="AM718" s="1058"/>
      <c r="AN718" s="1086"/>
      <c r="AO718" s="1085"/>
      <c r="AP718" s="1084"/>
      <c r="AQ718" s="1748"/>
      <c r="AR718" s="1742"/>
      <c r="AS718" s="1052"/>
      <c r="AT718" s="1049"/>
      <c r="AU718" s="1142"/>
      <c r="AV718" s="1049"/>
      <c r="AW718" s="1058">
        <f>AW706*0.8</f>
        <v>4.8160000000000007</v>
      </c>
      <c r="AX718" s="1086">
        <v>14</v>
      </c>
      <c r="AY718" s="1085">
        <v>15</v>
      </c>
      <c r="AZ718" s="1084">
        <v>0.32</v>
      </c>
      <c r="BA718" s="1736">
        <v>0.56999999999999995</v>
      </c>
      <c r="BB718" s="1742">
        <f t="shared" si="312"/>
        <v>0.92</v>
      </c>
      <c r="BC718" s="1049"/>
      <c r="BD718" s="1142"/>
      <c r="BE718" s="1049"/>
      <c r="BF718" s="1058">
        <f>BF706*0.8</f>
        <v>4.2</v>
      </c>
      <c r="BG718" s="1086">
        <v>14</v>
      </c>
      <c r="BH718" s="1085">
        <v>15</v>
      </c>
      <c r="BI718" s="1874">
        <v>0.27</v>
      </c>
      <c r="BJ718" s="1736"/>
      <c r="BK718" s="1049"/>
      <c r="BL718" s="1058">
        <f>BL706*0.8</f>
        <v>0</v>
      </c>
      <c r="BM718" s="1086">
        <v>14</v>
      </c>
      <c r="BN718" s="1085">
        <v>15</v>
      </c>
      <c r="BO718" s="1084"/>
      <c r="BP718" s="1084"/>
      <c r="BQ718" s="1049"/>
    </row>
    <row r="719" spans="1:69" ht="14.4">
      <c r="A719" s="1049"/>
      <c r="B719" s="1060"/>
      <c r="C719" s="1086">
        <v>15</v>
      </c>
      <c r="D719" s="1085">
        <v>16</v>
      </c>
      <c r="E719" s="1091">
        <v>0.33</v>
      </c>
      <c r="F719" s="1090">
        <v>0.8</v>
      </c>
      <c r="G719" s="1089">
        <f t="shared" si="306"/>
        <v>2.4242424242424243</v>
      </c>
      <c r="H719" s="1049"/>
      <c r="I719" s="1060"/>
      <c r="J719" s="1086">
        <v>15</v>
      </c>
      <c r="K719" s="1085"/>
      <c r="L719" s="1084">
        <v>2.4220000000000002</v>
      </c>
      <c r="M719" s="1088">
        <v>14.17</v>
      </c>
      <c r="N719" s="1087">
        <f t="shared" si="307"/>
        <v>5.8505367464905031</v>
      </c>
      <c r="O719" s="1049"/>
      <c r="P719" s="1058" t="s">
        <v>1126</v>
      </c>
      <c r="Q719" s="1086">
        <v>15</v>
      </c>
      <c r="R719" s="1085">
        <v>16</v>
      </c>
      <c r="S719" s="1084">
        <v>3.0470000000000002</v>
      </c>
      <c r="T719" s="1054">
        <f t="shared" si="308"/>
        <v>1.0969200000000001</v>
      </c>
      <c r="U719" s="1064">
        <v>4.28</v>
      </c>
      <c r="V719" s="1052">
        <f t="shared" si="309"/>
        <v>1.28</v>
      </c>
      <c r="W719" s="1049"/>
      <c r="X719" s="1051">
        <v>0.36</v>
      </c>
      <c r="Y719" s="1049"/>
      <c r="Z719" s="1050">
        <f t="shared" si="313"/>
        <v>0</v>
      </c>
      <c r="AA719" s="1058" t="s">
        <v>1126</v>
      </c>
      <c r="AB719" s="1086">
        <v>15</v>
      </c>
      <c r="AC719" s="1085">
        <v>16</v>
      </c>
      <c r="AD719" s="1084">
        <v>2.54</v>
      </c>
      <c r="AE719" s="1143">
        <f t="shared" si="310"/>
        <v>0</v>
      </c>
      <c r="AF719" s="1142">
        <v>4.3099999999999996</v>
      </c>
      <c r="AG719" s="1052">
        <f t="shared" si="311"/>
        <v>0.92</v>
      </c>
      <c r="AH719" s="1049"/>
      <c r="AI719" s="1142"/>
      <c r="AJ719" s="1049"/>
      <c r="AK719" s="1050">
        <f t="shared" si="314"/>
        <v>0</v>
      </c>
      <c r="AL719" s="1049"/>
      <c r="AM719" s="1058"/>
      <c r="AN719" s="1086"/>
      <c r="AO719" s="1085"/>
      <c r="AP719" s="1084"/>
      <c r="AQ719" s="1748"/>
      <c r="AR719" s="1742"/>
      <c r="AS719" s="1052"/>
      <c r="AT719" s="1049"/>
      <c r="AU719" s="1142"/>
      <c r="AV719" s="1049"/>
      <c r="AW719" s="1058" t="s">
        <v>1126</v>
      </c>
      <c r="AX719" s="1086">
        <v>15</v>
      </c>
      <c r="AY719" s="1085">
        <v>16</v>
      </c>
      <c r="AZ719" s="1084">
        <v>0.22</v>
      </c>
      <c r="BA719" s="1736">
        <v>0.4</v>
      </c>
      <c r="BB719" s="1742">
        <f t="shared" si="312"/>
        <v>0.92</v>
      </c>
      <c r="BC719" s="1049"/>
      <c r="BD719" s="1142"/>
      <c r="BE719" s="1049"/>
      <c r="BF719" s="1058" t="s">
        <v>1126</v>
      </c>
      <c r="BG719" s="1086">
        <v>15</v>
      </c>
      <c r="BH719" s="1085">
        <v>16</v>
      </c>
      <c r="BI719" s="1874">
        <v>0.27</v>
      </c>
      <c r="BJ719" s="1736"/>
      <c r="BK719" s="1049"/>
      <c r="BL719" s="1058" t="s">
        <v>1126</v>
      </c>
      <c r="BM719" s="1086">
        <v>15</v>
      </c>
      <c r="BN719" s="1085">
        <v>16</v>
      </c>
      <c r="BO719" s="1084"/>
      <c r="BP719" s="1084"/>
      <c r="BQ719" s="1049"/>
    </row>
    <row r="720" spans="1:69" ht="15" thickBot="1">
      <c r="A720" s="1049"/>
      <c r="B720" s="1060"/>
      <c r="C720" s="1077">
        <v>16</v>
      </c>
      <c r="D720" s="1076">
        <v>17</v>
      </c>
      <c r="E720" s="1083">
        <v>0.37</v>
      </c>
      <c r="F720" s="1082">
        <v>0.96</v>
      </c>
      <c r="G720" s="1081">
        <f t="shared" si="306"/>
        <v>2.5945945945945947</v>
      </c>
      <c r="H720" s="1049"/>
      <c r="I720" s="1060"/>
      <c r="J720" s="1077">
        <v>16</v>
      </c>
      <c r="K720" s="1076"/>
      <c r="L720" s="1075">
        <v>2.7589999999999999</v>
      </c>
      <c r="M720" s="1080">
        <v>16.38</v>
      </c>
      <c r="N720" s="1079">
        <f t="shared" si="307"/>
        <v>5.9369336716201522</v>
      </c>
      <c r="O720" s="1049"/>
      <c r="P720" s="1078">
        <f>P706*(X703-0.8)</f>
        <v>-24.305006250000002</v>
      </c>
      <c r="Q720" s="1077">
        <v>16</v>
      </c>
      <c r="R720" s="1076">
        <v>17</v>
      </c>
      <c r="S720" s="1075">
        <v>2.4460000000000002</v>
      </c>
      <c r="T720" s="1054">
        <f t="shared" si="308"/>
        <v>0.92948000000000008</v>
      </c>
      <c r="U720" s="1064">
        <v>3.5</v>
      </c>
      <c r="V720" s="1052">
        <f t="shared" si="309"/>
        <v>1.3</v>
      </c>
      <c r="W720" s="1049"/>
      <c r="X720" s="1074">
        <v>0.38</v>
      </c>
      <c r="Y720" s="1049"/>
      <c r="Z720" s="1050">
        <f t="shared" si="313"/>
        <v>0</v>
      </c>
      <c r="AA720" s="1078" t="e">
        <f>AA706*(AI703-0.8)</f>
        <v>#DIV/0!</v>
      </c>
      <c r="AB720" s="1077">
        <v>16</v>
      </c>
      <c r="AC720" s="1076">
        <v>17</v>
      </c>
      <c r="AD720" s="1075">
        <v>2.4300000000000002</v>
      </c>
      <c r="AE720" s="1141">
        <f t="shared" si="310"/>
        <v>0</v>
      </c>
      <c r="AF720" s="1140">
        <v>4.12</v>
      </c>
      <c r="AG720" s="1052">
        <f t="shared" si="311"/>
        <v>0.92</v>
      </c>
      <c r="AH720" s="1049"/>
      <c r="AI720" s="1140"/>
      <c r="AJ720" s="1049"/>
      <c r="AK720" s="1050">
        <f t="shared" si="314"/>
        <v>0</v>
      </c>
      <c r="AL720" s="1049"/>
      <c r="AM720" s="1078"/>
      <c r="AN720" s="1077"/>
      <c r="AO720" s="1076"/>
      <c r="AP720" s="1075"/>
      <c r="AQ720" s="1749"/>
      <c r="AR720" s="1743"/>
      <c r="AS720" s="1052"/>
      <c r="AT720" s="1049"/>
      <c r="AU720" s="1140"/>
      <c r="AV720" s="1049"/>
      <c r="AW720" s="1078" t="e">
        <f>AW706*(BD703-0.8)</f>
        <v>#DIV/0!</v>
      </c>
      <c r="AX720" s="1077">
        <v>16</v>
      </c>
      <c r="AY720" s="1076">
        <v>17</v>
      </c>
      <c r="AZ720" s="1075">
        <v>0.23</v>
      </c>
      <c r="BA720" s="1738">
        <v>0.42</v>
      </c>
      <c r="BB720" s="1743">
        <f t="shared" si="312"/>
        <v>0.92</v>
      </c>
      <c r="BC720" s="1049"/>
      <c r="BD720" s="1140"/>
      <c r="BE720" s="1049"/>
      <c r="BF720" s="1078">
        <f>BF706*(BM703-0.8)</f>
        <v>-4.2</v>
      </c>
      <c r="BG720" s="1077">
        <v>16</v>
      </c>
      <c r="BH720" s="1076">
        <v>17</v>
      </c>
      <c r="BI720" s="1874">
        <v>0.34</v>
      </c>
      <c r="BJ720" s="1738"/>
      <c r="BK720" s="1049"/>
      <c r="BL720" s="1078">
        <f>BL706*(BS703-0.8)</f>
        <v>0</v>
      </c>
      <c r="BM720" s="1077">
        <v>16</v>
      </c>
      <c r="BN720" s="1076">
        <v>17</v>
      </c>
      <c r="BO720" s="1075"/>
      <c r="BP720" s="1075"/>
      <c r="BQ720" s="1049"/>
    </row>
    <row r="721" spans="1:69" ht="14.4">
      <c r="A721" s="1049"/>
      <c r="B721" s="1060"/>
      <c r="C721" s="1068">
        <v>17</v>
      </c>
      <c r="D721" s="1067">
        <v>18</v>
      </c>
      <c r="E721" s="1073">
        <v>0.37</v>
      </c>
      <c r="F721" s="1072">
        <v>1.21</v>
      </c>
      <c r="G721" s="1071">
        <f t="shared" si="306"/>
        <v>3.2702702702702702</v>
      </c>
      <c r="H721" s="1049"/>
      <c r="I721" s="1060"/>
      <c r="J721" s="1068">
        <v>17</v>
      </c>
      <c r="K721" s="1067">
        <v>18</v>
      </c>
      <c r="L721" s="1066">
        <v>1.9339999999999999</v>
      </c>
      <c r="M721" s="1070">
        <v>13.64</v>
      </c>
      <c r="N721" s="1069">
        <f t="shared" si="307"/>
        <v>7.0527404343329891</v>
      </c>
      <c r="O721" s="1049"/>
      <c r="P721" s="1058"/>
      <c r="Q721" s="1068">
        <v>17</v>
      </c>
      <c r="R721" s="1067">
        <v>18</v>
      </c>
      <c r="S721" s="1066">
        <v>2.5859999999999999</v>
      </c>
      <c r="T721" s="1054">
        <f t="shared" si="308"/>
        <v>1.1637</v>
      </c>
      <c r="U721" s="1064">
        <v>3.87</v>
      </c>
      <c r="V721" s="1052">
        <f t="shared" si="309"/>
        <v>1.37</v>
      </c>
      <c r="W721" s="1049"/>
      <c r="X721" s="1065">
        <v>0.45</v>
      </c>
      <c r="Y721" s="1049"/>
      <c r="Z721" s="1050">
        <f t="shared" si="313"/>
        <v>0</v>
      </c>
      <c r="AA721" s="1058"/>
      <c r="AB721" s="1068">
        <v>17</v>
      </c>
      <c r="AC721" s="1067">
        <v>18</v>
      </c>
      <c r="AD721" s="1066">
        <v>1.89</v>
      </c>
      <c r="AE721" s="1139">
        <f t="shared" si="310"/>
        <v>0</v>
      </c>
      <c r="AF721" s="1138">
        <v>4.6900000000000004</v>
      </c>
      <c r="AG721" s="1052">
        <f t="shared" si="311"/>
        <v>0.92</v>
      </c>
      <c r="AH721" s="1049"/>
      <c r="AI721" s="1138"/>
      <c r="AJ721" s="1049"/>
      <c r="AK721" s="1050">
        <f t="shared" si="314"/>
        <v>0</v>
      </c>
      <c r="AL721" s="1049"/>
      <c r="AM721" s="1058"/>
      <c r="AN721" s="1068"/>
      <c r="AO721" s="1067"/>
      <c r="AP721" s="1066"/>
      <c r="AQ721" s="1750"/>
      <c r="AR721" s="1744"/>
      <c r="AS721" s="1052"/>
      <c r="AT721" s="1049"/>
      <c r="AU721" s="1138"/>
      <c r="AV721" s="1049"/>
      <c r="AW721" s="1058"/>
      <c r="AX721" s="1068">
        <v>17</v>
      </c>
      <c r="AY721" s="1067">
        <v>18</v>
      </c>
      <c r="AZ721" s="1066">
        <v>0.98</v>
      </c>
      <c r="BA721" s="1740">
        <v>2.74</v>
      </c>
      <c r="BB721" s="1744">
        <f t="shared" si="312"/>
        <v>0.92</v>
      </c>
      <c r="BC721" s="1049"/>
      <c r="BD721" s="1138"/>
      <c r="BE721" s="1049"/>
      <c r="BF721" s="1058"/>
      <c r="BG721" s="1068">
        <v>17</v>
      </c>
      <c r="BH721" s="1067">
        <v>18</v>
      </c>
      <c r="BI721" s="1874">
        <v>0.32</v>
      </c>
      <c r="BJ721" s="1740"/>
      <c r="BK721" s="1049"/>
      <c r="BL721" s="1058"/>
      <c r="BM721" s="1068">
        <v>17</v>
      </c>
      <c r="BN721" s="1067">
        <v>18</v>
      </c>
      <c r="BO721" s="1066"/>
      <c r="BP721" s="1066"/>
      <c r="BQ721" s="1049"/>
    </row>
    <row r="722" spans="1:69" ht="14.4">
      <c r="A722" s="1049"/>
      <c r="B722" s="1060"/>
      <c r="C722" s="1057">
        <v>18</v>
      </c>
      <c r="D722" s="1056">
        <v>19</v>
      </c>
      <c r="E722" s="1063">
        <v>0.83</v>
      </c>
      <c r="F722" s="1062">
        <v>2.85</v>
      </c>
      <c r="G722" s="1061">
        <f t="shared" si="306"/>
        <v>3.4337349397590362</v>
      </c>
      <c r="H722" s="1049"/>
      <c r="I722" s="1060"/>
      <c r="J722" s="1057">
        <v>18</v>
      </c>
      <c r="K722" s="1056">
        <v>19</v>
      </c>
      <c r="L722" s="1055">
        <v>1.524</v>
      </c>
      <c r="M722" s="1059">
        <v>10.54</v>
      </c>
      <c r="N722" s="1052">
        <f t="shared" si="307"/>
        <v>6.9160104986876636</v>
      </c>
      <c r="O722" s="1049"/>
      <c r="P722" s="1058"/>
      <c r="Q722" s="1057">
        <v>18</v>
      </c>
      <c r="R722" s="1056">
        <v>19</v>
      </c>
      <c r="S722" s="1055">
        <v>2.1869999999999998</v>
      </c>
      <c r="T722" s="1054">
        <f t="shared" si="308"/>
        <v>1.3340699999999999</v>
      </c>
      <c r="U722" s="1064">
        <v>3.62</v>
      </c>
      <c r="V722" s="1052">
        <f t="shared" si="309"/>
        <v>1.53</v>
      </c>
      <c r="W722" s="1049"/>
      <c r="X722" s="1051">
        <v>0.61</v>
      </c>
      <c r="Y722" s="1049"/>
      <c r="Z722" s="1050">
        <f t="shared" si="313"/>
        <v>0</v>
      </c>
      <c r="AA722" s="1058"/>
      <c r="AB722" s="1057">
        <v>18</v>
      </c>
      <c r="AC722" s="1056">
        <v>19</v>
      </c>
      <c r="AD722" s="1055">
        <v>1.86</v>
      </c>
      <c r="AE722" s="1137">
        <f t="shared" si="310"/>
        <v>0</v>
      </c>
      <c r="AF722" s="1136">
        <v>4.55</v>
      </c>
      <c r="AG722" s="1052">
        <f t="shared" si="311"/>
        <v>0.92</v>
      </c>
      <c r="AH722" s="1049"/>
      <c r="AI722" s="1136"/>
      <c r="AJ722" s="1049"/>
      <c r="AK722" s="1050">
        <f t="shared" si="314"/>
        <v>0</v>
      </c>
      <c r="AL722" s="1049"/>
      <c r="AM722" s="1058"/>
      <c r="AN722" s="1057"/>
      <c r="AO722" s="1056"/>
      <c r="AP722" s="1055"/>
      <c r="AQ722" s="1745"/>
      <c r="AR722" s="1737"/>
      <c r="AS722" s="1052"/>
      <c r="AT722" s="1049"/>
      <c r="AU722" s="1136"/>
      <c r="AV722" s="1049"/>
      <c r="AW722" s="1058"/>
      <c r="AX722" s="1057">
        <v>18</v>
      </c>
      <c r="AY722" s="1056">
        <v>19</v>
      </c>
      <c r="AZ722" s="1055">
        <v>0.22</v>
      </c>
      <c r="BA722" s="1736">
        <v>0.65</v>
      </c>
      <c r="BB722" s="1737">
        <f t="shared" si="312"/>
        <v>0.92</v>
      </c>
      <c r="BC722" s="1049"/>
      <c r="BD722" s="1136"/>
      <c r="BE722" s="1049"/>
      <c r="BF722" s="1058"/>
      <c r="BG722" s="1057">
        <v>18</v>
      </c>
      <c r="BH722" s="1056">
        <v>19</v>
      </c>
      <c r="BI722" s="1874">
        <v>0.25</v>
      </c>
      <c r="BJ722" s="1736"/>
      <c r="BK722" s="1049"/>
      <c r="BL722" s="1058"/>
      <c r="BM722" s="1057">
        <v>18</v>
      </c>
      <c r="BN722" s="1056">
        <v>19</v>
      </c>
      <c r="BO722" s="1055"/>
      <c r="BP722" s="1055"/>
      <c r="BQ722" s="1049"/>
    </row>
    <row r="723" spans="1:69" ht="14.4">
      <c r="A723" s="1049"/>
      <c r="B723" s="1060"/>
      <c r="C723" s="1057">
        <v>19</v>
      </c>
      <c r="D723" s="1056">
        <v>20</v>
      </c>
      <c r="E723" s="1063">
        <v>0.41</v>
      </c>
      <c r="F723" s="1062">
        <v>1.42</v>
      </c>
      <c r="G723" s="1061">
        <f t="shared" si="306"/>
        <v>3.4634146341463414</v>
      </c>
      <c r="H723" s="1049"/>
      <c r="I723" s="1060"/>
      <c r="J723" s="1057">
        <v>19</v>
      </c>
      <c r="K723" s="1056">
        <v>20</v>
      </c>
      <c r="L723" s="1055">
        <v>1.7949999999999999</v>
      </c>
      <c r="M723" s="1059">
        <v>12.03</v>
      </c>
      <c r="N723" s="1052">
        <f t="shared" si="307"/>
        <v>6.701949860724234</v>
      </c>
      <c r="O723" s="1049"/>
      <c r="P723" s="1058"/>
      <c r="Q723" s="1057">
        <v>19</v>
      </c>
      <c r="R723" s="1056">
        <v>20</v>
      </c>
      <c r="S723" s="1055">
        <v>2.1150000000000002</v>
      </c>
      <c r="T723" s="1054">
        <f t="shared" si="308"/>
        <v>1.2267000000000001</v>
      </c>
      <c r="U723" s="1064">
        <v>3.43</v>
      </c>
      <c r="V723" s="1052">
        <f t="shared" si="309"/>
        <v>1.5</v>
      </c>
      <c r="W723" s="1049"/>
      <c r="X723" s="1051">
        <v>0.57999999999999996</v>
      </c>
      <c r="Y723" s="1049"/>
      <c r="Z723" s="1050">
        <f t="shared" si="313"/>
        <v>0</v>
      </c>
      <c r="AA723" s="1058"/>
      <c r="AB723" s="1057">
        <v>19</v>
      </c>
      <c r="AC723" s="1056">
        <v>20</v>
      </c>
      <c r="AD723" s="1055">
        <v>2.13</v>
      </c>
      <c r="AE723" s="1137">
        <f t="shared" si="310"/>
        <v>0</v>
      </c>
      <c r="AF723" s="1136">
        <v>5.22</v>
      </c>
      <c r="AG723" s="1052">
        <f t="shared" si="311"/>
        <v>0.92</v>
      </c>
      <c r="AH723" s="1049"/>
      <c r="AI723" s="1136"/>
      <c r="AJ723" s="1049"/>
      <c r="AK723" s="1050">
        <f t="shared" si="314"/>
        <v>0</v>
      </c>
      <c r="AL723" s="1049"/>
      <c r="AM723" s="1058"/>
      <c r="AN723" s="1057"/>
      <c r="AO723" s="1056"/>
      <c r="AP723" s="1055"/>
      <c r="AQ723" s="1745"/>
      <c r="AR723" s="1737"/>
      <c r="AS723" s="1052"/>
      <c r="AT723" s="1049"/>
      <c r="AU723" s="1136"/>
      <c r="AV723" s="1049"/>
      <c r="AW723" s="1058"/>
      <c r="AX723" s="1057">
        <v>19</v>
      </c>
      <c r="AY723" s="1056">
        <v>20</v>
      </c>
      <c r="AZ723" s="1055">
        <v>0.25</v>
      </c>
      <c r="BA723" s="1736">
        <v>0.75</v>
      </c>
      <c r="BB723" s="1737">
        <f t="shared" si="312"/>
        <v>0.92</v>
      </c>
      <c r="BC723" s="1049"/>
      <c r="BD723" s="1136"/>
      <c r="BE723" s="1049"/>
      <c r="BF723" s="1058"/>
      <c r="BG723" s="1057">
        <v>19</v>
      </c>
      <c r="BH723" s="1056">
        <v>20</v>
      </c>
      <c r="BI723" s="1874">
        <v>0.45</v>
      </c>
      <c r="BJ723" s="1736"/>
      <c r="BK723" s="1049"/>
      <c r="BL723" s="1058"/>
      <c r="BM723" s="1057">
        <v>19</v>
      </c>
      <c r="BN723" s="1056">
        <v>20</v>
      </c>
      <c r="BO723" s="1055"/>
      <c r="BP723" s="1055"/>
      <c r="BQ723" s="1049"/>
    </row>
    <row r="724" spans="1:69" ht="14.4">
      <c r="A724" s="1049"/>
      <c r="B724" s="1060"/>
      <c r="C724" s="1057">
        <v>20</v>
      </c>
      <c r="D724" s="1056">
        <v>21</v>
      </c>
      <c r="E724" s="1063">
        <v>0.54</v>
      </c>
      <c r="F724" s="1062">
        <v>1.44</v>
      </c>
      <c r="G724" s="1061">
        <f t="shared" si="306"/>
        <v>2.6666666666666665</v>
      </c>
      <c r="H724" s="1049"/>
      <c r="I724" s="1060"/>
      <c r="J724" s="1057">
        <v>20</v>
      </c>
      <c r="K724" s="1056">
        <v>21</v>
      </c>
      <c r="L724" s="1055">
        <v>1.7230000000000001</v>
      </c>
      <c r="M724" s="1059">
        <v>9.27</v>
      </c>
      <c r="N724" s="1052">
        <f t="shared" si="307"/>
        <v>5.3801508995937315</v>
      </c>
      <c r="O724" s="1049"/>
      <c r="P724" s="1058"/>
      <c r="Q724" s="1057">
        <v>20</v>
      </c>
      <c r="R724" s="1056">
        <v>21</v>
      </c>
      <c r="S724" s="1055">
        <v>2.4660000000000002</v>
      </c>
      <c r="T724" s="1054">
        <f t="shared" si="308"/>
        <v>0.93708000000000014</v>
      </c>
      <c r="U724" s="1064">
        <v>3.51</v>
      </c>
      <c r="V724" s="1052">
        <f t="shared" si="309"/>
        <v>1.3</v>
      </c>
      <c r="W724" s="1049"/>
      <c r="X724" s="1051">
        <v>0.38</v>
      </c>
      <c r="Y724" s="1049"/>
      <c r="Z724" s="1050">
        <f t="shared" si="313"/>
        <v>0</v>
      </c>
      <c r="AA724" s="1058"/>
      <c r="AB724" s="1057">
        <v>20</v>
      </c>
      <c r="AC724" s="1056">
        <v>21</v>
      </c>
      <c r="AD724" s="1055">
        <v>2.2400000000000002</v>
      </c>
      <c r="AE724" s="1137">
        <f t="shared" si="310"/>
        <v>0</v>
      </c>
      <c r="AF724" s="1136">
        <v>3.74</v>
      </c>
      <c r="AG724" s="1052">
        <f t="shared" si="311"/>
        <v>0.92</v>
      </c>
      <c r="AH724" s="1049"/>
      <c r="AI724" s="1136"/>
      <c r="AJ724" s="1049"/>
      <c r="AK724" s="1050">
        <f t="shared" si="314"/>
        <v>0</v>
      </c>
      <c r="AL724" s="1049"/>
      <c r="AM724" s="1058"/>
      <c r="AN724" s="1057"/>
      <c r="AO724" s="1056"/>
      <c r="AP724" s="1055"/>
      <c r="AQ724" s="1745"/>
      <c r="AR724" s="1737"/>
      <c r="AS724" s="1052"/>
      <c r="AT724" s="1049"/>
      <c r="AU724" s="1136"/>
      <c r="AV724" s="1049"/>
      <c r="AW724" s="1058"/>
      <c r="AX724" s="1057">
        <v>20</v>
      </c>
      <c r="AY724" s="1056">
        <v>21</v>
      </c>
      <c r="AZ724" s="1055">
        <v>0.26</v>
      </c>
      <c r="BA724" s="1736">
        <v>0.53</v>
      </c>
      <c r="BB724" s="1737">
        <f t="shared" si="312"/>
        <v>0.92</v>
      </c>
      <c r="BC724" s="1049"/>
      <c r="BD724" s="1136"/>
      <c r="BE724" s="1049"/>
      <c r="BF724" s="1058"/>
      <c r="BG724" s="1057">
        <v>20</v>
      </c>
      <c r="BH724" s="1056">
        <v>21</v>
      </c>
      <c r="BI724" s="1874">
        <v>0.27</v>
      </c>
      <c r="BJ724" s="1736"/>
      <c r="BK724" s="1049"/>
      <c r="BL724" s="1058"/>
      <c r="BM724" s="1057">
        <v>20</v>
      </c>
      <c r="BN724" s="1056">
        <v>21</v>
      </c>
      <c r="BO724" s="1055"/>
      <c r="BP724" s="1055"/>
      <c r="BQ724" s="1049"/>
    </row>
    <row r="725" spans="1:69" ht="14.4">
      <c r="A725" s="1049"/>
      <c r="B725" s="1060"/>
      <c r="C725" s="1057">
        <v>21</v>
      </c>
      <c r="D725" s="1056">
        <v>22</v>
      </c>
      <c r="E725" s="1063">
        <v>0.43</v>
      </c>
      <c r="F725" s="1062">
        <v>1.0900000000000001</v>
      </c>
      <c r="G725" s="1061">
        <f t="shared" si="306"/>
        <v>2.5348837209302326</v>
      </c>
      <c r="H725" s="1049"/>
      <c r="I725" s="1060"/>
      <c r="J725" s="1057">
        <v>21</v>
      </c>
      <c r="K725" s="1056">
        <v>22</v>
      </c>
      <c r="L725" s="1055">
        <v>1.83</v>
      </c>
      <c r="M725" s="1059">
        <v>8.74</v>
      </c>
      <c r="N725" s="1052">
        <f t="shared" si="307"/>
        <v>4.775956284153005</v>
      </c>
      <c r="O725" s="1049"/>
      <c r="P725" s="1058"/>
      <c r="Q725" s="1057">
        <v>21</v>
      </c>
      <c r="R725" s="1056">
        <v>22</v>
      </c>
      <c r="S725" s="1055">
        <v>2.6080000000000001</v>
      </c>
      <c r="T725" s="1054">
        <f t="shared" si="308"/>
        <v>0.93888000000000005</v>
      </c>
      <c r="U725" s="1064">
        <v>3.67</v>
      </c>
      <c r="V725" s="1052">
        <f t="shared" si="309"/>
        <v>1.28</v>
      </c>
      <c r="W725" s="1049"/>
      <c r="X725" s="1051">
        <v>0.36</v>
      </c>
      <c r="Y725" s="1049"/>
      <c r="Z725" s="1050">
        <f t="shared" si="313"/>
        <v>0</v>
      </c>
      <c r="AA725" s="1058"/>
      <c r="AB725" s="1057">
        <v>21</v>
      </c>
      <c r="AC725" s="1056">
        <v>22</v>
      </c>
      <c r="AD725" s="1055">
        <v>2.17</v>
      </c>
      <c r="AE725" s="1137">
        <f t="shared" si="310"/>
        <v>0</v>
      </c>
      <c r="AF725" s="1136">
        <v>3.49</v>
      </c>
      <c r="AG725" s="1052">
        <f t="shared" si="311"/>
        <v>0.92</v>
      </c>
      <c r="AH725" s="1049"/>
      <c r="AI725" s="1136"/>
      <c r="AJ725" s="1049"/>
      <c r="AK725" s="1050">
        <f t="shared" si="314"/>
        <v>0</v>
      </c>
      <c r="AL725" s="1049"/>
      <c r="AM725" s="1058"/>
      <c r="AN725" s="1057"/>
      <c r="AO725" s="1056"/>
      <c r="AP725" s="1055"/>
      <c r="AQ725" s="1745"/>
      <c r="AR725" s="1737"/>
      <c r="AS725" s="1052"/>
      <c r="AT725" s="1049"/>
      <c r="AU725" s="1136"/>
      <c r="AV725" s="1049"/>
      <c r="AW725" s="1058"/>
      <c r="AX725" s="1057">
        <v>21</v>
      </c>
      <c r="AY725" s="1056">
        <v>22</v>
      </c>
      <c r="AZ725" s="1055">
        <v>0.24</v>
      </c>
      <c r="BA725" s="1736">
        <v>0.45</v>
      </c>
      <c r="BB725" s="1737">
        <f t="shared" si="312"/>
        <v>0.92</v>
      </c>
      <c r="BC725" s="1049"/>
      <c r="BD725" s="1136"/>
      <c r="BE725" s="1049"/>
      <c r="BF725" s="1058"/>
      <c r="BG725" s="1057">
        <v>21</v>
      </c>
      <c r="BH725" s="1056">
        <v>22</v>
      </c>
      <c r="BI725" s="1874">
        <v>0.28000000000000003</v>
      </c>
      <c r="BJ725" s="1736"/>
      <c r="BK725" s="1049"/>
      <c r="BL725" s="1058"/>
      <c r="BM725" s="1057">
        <v>21</v>
      </c>
      <c r="BN725" s="1056">
        <v>22</v>
      </c>
      <c r="BO725" s="1055"/>
      <c r="BP725" s="1055"/>
      <c r="BQ725" s="1049"/>
    </row>
    <row r="726" spans="1:69" ht="14.4">
      <c r="A726" s="1049"/>
      <c r="B726" s="1060"/>
      <c r="C726" s="1057">
        <v>22</v>
      </c>
      <c r="D726" s="1056">
        <v>23</v>
      </c>
      <c r="E726" s="1063">
        <v>0.39</v>
      </c>
      <c r="F726" s="1062">
        <v>0.99</v>
      </c>
      <c r="G726" s="1061">
        <f t="shared" si="306"/>
        <v>2.5384615384615383</v>
      </c>
      <c r="H726" s="1049"/>
      <c r="I726" s="1060"/>
      <c r="J726" s="1057">
        <v>22</v>
      </c>
      <c r="K726" s="1056">
        <v>23</v>
      </c>
      <c r="L726" s="1055">
        <v>2.206</v>
      </c>
      <c r="M726" s="1059">
        <v>9.77</v>
      </c>
      <c r="N726" s="1052">
        <f t="shared" si="307"/>
        <v>4.4288304623753403</v>
      </c>
      <c r="O726" s="1049"/>
      <c r="P726" s="1058"/>
      <c r="Q726" s="1057">
        <v>22</v>
      </c>
      <c r="R726" s="1056">
        <v>23</v>
      </c>
      <c r="S726" s="1055">
        <v>2.13</v>
      </c>
      <c r="T726" s="1054">
        <f t="shared" si="308"/>
        <v>0.80940000000000001</v>
      </c>
      <c r="U726" s="1064">
        <v>3.03</v>
      </c>
      <c r="V726" s="1052">
        <f t="shared" si="309"/>
        <v>1.3</v>
      </c>
      <c r="W726" s="1049"/>
      <c r="X726" s="1051">
        <v>0.38</v>
      </c>
      <c r="Y726" s="1049"/>
      <c r="Z726" s="1050">
        <f t="shared" si="313"/>
        <v>0</v>
      </c>
      <c r="AA726" s="1058"/>
      <c r="AB726" s="1057">
        <v>22</v>
      </c>
      <c r="AC726" s="1056">
        <v>23</v>
      </c>
      <c r="AD726" s="1055">
        <v>2.1</v>
      </c>
      <c r="AE726" s="1137">
        <f t="shared" si="310"/>
        <v>0</v>
      </c>
      <c r="AF726" s="1136">
        <v>3.28</v>
      </c>
      <c r="AG726" s="1052">
        <f t="shared" si="311"/>
        <v>0.92</v>
      </c>
      <c r="AH726" s="1049"/>
      <c r="AI726" s="1136"/>
      <c r="AJ726" s="1049"/>
      <c r="AK726" s="1050">
        <f t="shared" si="314"/>
        <v>0</v>
      </c>
      <c r="AL726" s="1049"/>
      <c r="AM726" s="1058"/>
      <c r="AN726" s="1057"/>
      <c r="AO726" s="1056"/>
      <c r="AP726" s="1055"/>
      <c r="AQ726" s="1745"/>
      <c r="AR726" s="1737"/>
      <c r="AS726" s="1052"/>
      <c r="AT726" s="1049"/>
      <c r="AU726" s="1136"/>
      <c r="AV726" s="1049"/>
      <c r="AW726" s="1058"/>
      <c r="AX726" s="1057">
        <v>22</v>
      </c>
      <c r="AY726" s="1056">
        <v>23</v>
      </c>
      <c r="AZ726" s="1055">
        <v>0.26</v>
      </c>
      <c r="BA726" s="1736">
        <v>0.48</v>
      </c>
      <c r="BB726" s="1737">
        <f t="shared" si="312"/>
        <v>0.92</v>
      </c>
      <c r="BC726" s="1049"/>
      <c r="BD726" s="1136"/>
      <c r="BE726" s="1049"/>
      <c r="BF726" s="1058"/>
      <c r="BG726" s="1057">
        <v>22</v>
      </c>
      <c r="BH726" s="1056">
        <v>23</v>
      </c>
      <c r="BI726" s="1874">
        <v>0.26</v>
      </c>
      <c r="BJ726" s="1736"/>
      <c r="BK726" s="1049"/>
      <c r="BL726" s="1058"/>
      <c r="BM726" s="1057">
        <v>22</v>
      </c>
      <c r="BN726" s="1056">
        <v>23</v>
      </c>
      <c r="BO726" s="1055"/>
      <c r="BP726" s="1055"/>
      <c r="BQ726" s="1049"/>
    </row>
    <row r="727" spans="1:69" ht="14.4">
      <c r="A727" s="1049"/>
      <c r="B727" s="1060"/>
      <c r="C727" s="1057">
        <v>23</v>
      </c>
      <c r="D727" s="1056">
        <v>24</v>
      </c>
      <c r="E727" s="1063">
        <v>0.23</v>
      </c>
      <c r="F727" s="1062">
        <v>0.56000000000000005</v>
      </c>
      <c r="G727" s="1061">
        <f t="shared" si="306"/>
        <v>2.4347826086956523</v>
      </c>
      <c r="H727" s="1049"/>
      <c r="I727" s="1060"/>
      <c r="J727" s="1057">
        <v>23</v>
      </c>
      <c r="K727" s="1056">
        <v>24</v>
      </c>
      <c r="L727" s="1055">
        <v>1.746</v>
      </c>
      <c r="M727" s="1059">
        <v>7.45</v>
      </c>
      <c r="N727" s="1052">
        <f t="shared" si="307"/>
        <v>4.2668957617411225</v>
      </c>
      <c r="O727" s="1049"/>
      <c r="P727" s="1058"/>
      <c r="Q727" s="1057">
        <v>23</v>
      </c>
      <c r="R727" s="1056">
        <v>24</v>
      </c>
      <c r="S727" s="1055">
        <v>2.331</v>
      </c>
      <c r="T727" s="1054">
        <f t="shared" si="308"/>
        <v>0.60606000000000004</v>
      </c>
      <c r="U727" s="1053">
        <v>3.2</v>
      </c>
      <c r="V727" s="1052">
        <f t="shared" si="309"/>
        <v>1.1800000000000002</v>
      </c>
      <c r="W727" s="1049"/>
      <c r="X727" s="1051">
        <v>0.26</v>
      </c>
      <c r="Y727" s="1049"/>
      <c r="Z727" s="1050">
        <f t="shared" si="313"/>
        <v>0</v>
      </c>
      <c r="AA727" s="1058"/>
      <c r="AB727" s="1057">
        <v>23</v>
      </c>
      <c r="AC727" s="1056">
        <v>24</v>
      </c>
      <c r="AD727" s="1055">
        <v>1.99</v>
      </c>
      <c r="AE727" s="1137">
        <f t="shared" si="310"/>
        <v>0</v>
      </c>
      <c r="AF727" s="1136">
        <v>2.82</v>
      </c>
      <c r="AG727" s="1052">
        <f t="shared" si="311"/>
        <v>0.92</v>
      </c>
      <c r="AH727" s="1049"/>
      <c r="AI727" s="1136"/>
      <c r="AJ727" s="1049"/>
      <c r="AK727" s="1050">
        <f t="shared" si="314"/>
        <v>0</v>
      </c>
      <c r="AL727" s="1049"/>
      <c r="AM727" s="1058"/>
      <c r="AN727" s="1057"/>
      <c r="AO727" s="1056"/>
      <c r="AP727" s="1055"/>
      <c r="AQ727" s="1745"/>
      <c r="AR727" s="1737"/>
      <c r="AS727" s="1052"/>
      <c r="AT727" s="1049"/>
      <c r="AU727" s="1136"/>
      <c r="AV727" s="1049"/>
      <c r="AW727" s="1058"/>
      <c r="AX727" s="1057">
        <v>23</v>
      </c>
      <c r="AY727" s="1056">
        <v>24</v>
      </c>
      <c r="AZ727" s="1055">
        <v>0.15</v>
      </c>
      <c r="BA727" s="1736">
        <v>0.26</v>
      </c>
      <c r="BB727" s="1737">
        <f t="shared" si="312"/>
        <v>0.92</v>
      </c>
      <c r="BC727" s="1049"/>
      <c r="BD727" s="1136"/>
      <c r="BE727" s="1049"/>
      <c r="BF727" s="1058"/>
      <c r="BG727" s="1057">
        <v>23</v>
      </c>
      <c r="BH727" s="1056">
        <v>24</v>
      </c>
      <c r="BI727" s="1874">
        <v>0.19</v>
      </c>
      <c r="BJ727" s="1736"/>
      <c r="BK727" s="1049"/>
      <c r="BL727" s="1058"/>
      <c r="BM727" s="1057">
        <v>23</v>
      </c>
      <c r="BN727" s="1056">
        <v>24</v>
      </c>
      <c r="BO727" s="1055"/>
      <c r="BP727" s="1055"/>
      <c r="BQ727" s="1049"/>
    </row>
    <row r="728" spans="1:69" ht="14.4">
      <c r="A728" s="1036"/>
      <c r="B728" s="1044"/>
      <c r="C728" s="1135"/>
      <c r="D728" s="1135"/>
      <c r="E728" s="1134"/>
      <c r="F728" s="1133"/>
      <c r="G728" s="1132"/>
      <c r="H728" s="1044"/>
      <c r="I728" s="1044" t="s">
        <v>1131</v>
      </c>
      <c r="J728" s="1046"/>
      <c r="K728" s="1046"/>
      <c r="L728" s="1129">
        <f>AVERAGE(L729:L752)</f>
        <v>1.7271249999999998</v>
      </c>
      <c r="M728" s="1131">
        <f>AVERAGE(M729:M752)</f>
        <v>9.4908333333333328</v>
      </c>
      <c r="N728" s="1039">
        <f>AVERAGE(N729:N752)</f>
        <v>5.4120261005423975</v>
      </c>
      <c r="O728" s="1044"/>
      <c r="P728" s="1130" t="s">
        <v>1130</v>
      </c>
      <c r="Q728" s="1046"/>
      <c r="R728" s="1046"/>
      <c r="S728" s="1129">
        <f>AVERAGE(S729:S752)</f>
        <v>2.8470833333333334</v>
      </c>
      <c r="T728" s="1128"/>
      <c r="U728" s="1040">
        <f>AVERAGE(U729:U752)</f>
        <v>3.7545833333333332</v>
      </c>
      <c r="V728" s="1039">
        <f>AVERAGE(V729:V752)</f>
        <v>2.2670833333333333</v>
      </c>
      <c r="W728" s="1036"/>
      <c r="X728" s="1038">
        <f>AVERAGE(X737:X752)</f>
        <v>1.9187500000000002</v>
      </c>
      <c r="Y728" s="1036"/>
      <c r="Z728" s="1127">
        <f>SUM(Z729:Z752)</f>
        <v>9.3300000000000018</v>
      </c>
      <c r="AA728" s="1130"/>
      <c r="AB728" s="1046"/>
      <c r="AC728" s="1046"/>
      <c r="AD728" s="1129">
        <f>AVERAGE(AD729:AD752)</f>
        <v>1.9612500000000004</v>
      </c>
      <c r="AE728" s="1128"/>
      <c r="AF728" s="1040">
        <f>AVERAGE(AF729:AF752)</f>
        <v>3.3041666666666658</v>
      </c>
      <c r="AG728" s="1039">
        <f>AVERAGE(AG729:AG752)</f>
        <v>0.92000000000000048</v>
      </c>
      <c r="AH728" s="1036"/>
      <c r="AI728" s="1038" t="e">
        <f>AVERAGE(AI737:AI752)</f>
        <v>#DIV/0!</v>
      </c>
      <c r="AJ728" s="1036"/>
      <c r="AK728" s="1127">
        <f>SUM(AK729:AK752)</f>
        <v>0</v>
      </c>
      <c r="AL728" s="1036"/>
      <c r="AM728" s="1130"/>
      <c r="AN728" s="1046"/>
      <c r="AO728" s="1046"/>
      <c r="AP728" s="1129"/>
      <c r="AQ728" s="1734"/>
      <c r="AR728" s="1735"/>
      <c r="AS728" s="1039"/>
      <c r="AT728" s="1036"/>
      <c r="AU728" s="1038"/>
      <c r="AV728" s="1036"/>
      <c r="AW728" s="1130"/>
      <c r="AX728" s="1046"/>
      <c r="AY728" s="1046"/>
      <c r="AZ728" s="1129">
        <f>AVERAGE(AZ729:AZ752)</f>
        <v>0.33166666666666672</v>
      </c>
      <c r="BA728" s="1045">
        <f>AVERAGE(BA729:BA752)</f>
        <v>0.58833333333333349</v>
      </c>
      <c r="BB728" s="1039">
        <f>AVERAGE(BB729:BB752)</f>
        <v>0.92000000000000048</v>
      </c>
      <c r="BC728" s="1036"/>
      <c r="BD728" s="1038" t="e">
        <f>AVERAGE(BD737:BD752)</f>
        <v>#DIV/0!</v>
      </c>
      <c r="BE728" s="1036"/>
      <c r="BF728" s="1130"/>
      <c r="BG728" s="2756">
        <f>BF729</f>
        <v>45046</v>
      </c>
      <c r="BH728" s="2756"/>
      <c r="BI728" s="1897">
        <f>SUM(BI729:BI752)</f>
        <v>4.9399999999999995</v>
      </c>
      <c r="BJ728" s="1898">
        <f>SUM(BJ729:BJ752)</f>
        <v>0</v>
      </c>
      <c r="BK728" s="1036"/>
      <c r="BL728" s="1130"/>
      <c r="BM728" s="1046"/>
      <c r="BN728" s="1046"/>
      <c r="BO728" s="1129" t="e">
        <f>AVERAGE(BO729:BO752)</f>
        <v>#DIV/0!</v>
      </c>
      <c r="BP728" s="1129" t="e">
        <f>AVERAGE(BP729:BP752)</f>
        <v>#DIV/0!</v>
      </c>
      <c r="BQ728" s="1036"/>
    </row>
    <row r="729" spans="1:69" ht="14.4">
      <c r="A729" s="1049"/>
      <c r="B729" s="1126">
        <v>44864</v>
      </c>
      <c r="C729" s="1057">
        <v>0</v>
      </c>
      <c r="D729" s="1056">
        <v>1</v>
      </c>
      <c r="E729" s="1063">
        <v>0.24</v>
      </c>
      <c r="F729" s="1062">
        <v>0.59</v>
      </c>
      <c r="G729" s="1061">
        <f t="shared" ref="G729:G752" si="315">F729/E729</f>
        <v>2.4583333333333335</v>
      </c>
      <c r="H729" s="1049"/>
      <c r="I729" s="1126">
        <v>44895</v>
      </c>
      <c r="J729" s="1057">
        <v>0</v>
      </c>
      <c r="K729" s="1056">
        <v>1</v>
      </c>
      <c r="L729" s="1055">
        <v>1.29</v>
      </c>
      <c r="M729" s="1059">
        <v>5.6</v>
      </c>
      <c r="N729" s="1052">
        <f t="shared" ref="N729:N752" si="316">M729/L729</f>
        <v>4.3410852713178292</v>
      </c>
      <c r="O729" s="1049"/>
      <c r="P729" s="1125">
        <v>44925</v>
      </c>
      <c r="Q729" s="1057">
        <v>0</v>
      </c>
      <c r="R729" s="1056">
        <v>1</v>
      </c>
      <c r="S729" s="1055">
        <v>2.68</v>
      </c>
      <c r="T729" s="1054">
        <f t="shared" ref="T729:T752" si="317">S729*X729</f>
        <v>0.64319999999999999</v>
      </c>
      <c r="U729" s="1064">
        <v>3.43</v>
      </c>
      <c r="V729" s="1052">
        <f t="shared" ref="V729:V752" si="318">X729+0.92</f>
        <v>1.1600000000000001</v>
      </c>
      <c r="W729" s="1049"/>
      <c r="X729" s="1051">
        <v>0.24</v>
      </c>
      <c r="Y729" s="1049"/>
      <c r="Z729" s="1050">
        <f>IF(X729&lt;0.8,0,S729*(X729-0.8))</f>
        <v>0</v>
      </c>
      <c r="AA729" s="1125">
        <v>44956</v>
      </c>
      <c r="AB729" s="1057">
        <v>0</v>
      </c>
      <c r="AC729" s="1056">
        <v>1</v>
      </c>
      <c r="AD729" s="1055">
        <v>1.52</v>
      </c>
      <c r="AE729" s="1137">
        <f t="shared" ref="AE729:AE752" si="319">AD729*AI729</f>
        <v>0</v>
      </c>
      <c r="AF729" s="1136">
        <v>1.89</v>
      </c>
      <c r="AG729" s="1052">
        <f t="shared" ref="AG729:AG752" si="320">AI729+0.92</f>
        <v>0.92</v>
      </c>
      <c r="AH729" s="1049"/>
      <c r="AI729" s="1136"/>
      <c r="AJ729" s="1049"/>
      <c r="AK729" s="1050">
        <f>IF(AI729&lt;0.8,0,AD729*(AI729-0.8))</f>
        <v>0</v>
      </c>
      <c r="AL729" s="1049"/>
      <c r="AM729" s="1125"/>
      <c r="AN729" s="1057"/>
      <c r="AO729" s="1056"/>
      <c r="AP729" s="1721"/>
      <c r="AQ729" s="1736"/>
      <c r="AR729" s="1751"/>
      <c r="AS729" s="1052"/>
      <c r="AT729" s="1049"/>
      <c r="AU729" s="1051"/>
      <c r="AV729" s="1049"/>
      <c r="AW729" s="1125">
        <v>45015</v>
      </c>
      <c r="AX729" s="1057">
        <v>0</v>
      </c>
      <c r="AY729" s="1056">
        <v>1</v>
      </c>
      <c r="AZ729" s="1055">
        <v>0.1</v>
      </c>
      <c r="BA729" s="1736">
        <v>0.17</v>
      </c>
      <c r="BB729" s="1737">
        <f t="shared" ref="BB729:BB752" si="321">BD729+0.92</f>
        <v>0.92</v>
      </c>
      <c r="BC729" s="1049"/>
      <c r="BD729" s="1051"/>
      <c r="BE729" s="1049"/>
      <c r="BF729" s="1125">
        <v>45046</v>
      </c>
      <c r="BG729" s="1057">
        <v>0</v>
      </c>
      <c r="BH729" s="1056">
        <v>1</v>
      </c>
      <c r="BI729" s="1874">
        <v>0.2</v>
      </c>
      <c r="BJ729" s="1736"/>
      <c r="BK729" s="1049"/>
      <c r="BL729" s="1125">
        <v>45046</v>
      </c>
      <c r="BM729" s="1057">
        <v>0</v>
      </c>
      <c r="BN729" s="1056">
        <v>1</v>
      </c>
      <c r="BO729" s="1055"/>
      <c r="BP729" s="1055"/>
      <c r="BQ729" s="1049"/>
    </row>
    <row r="730" spans="1:69" ht="14.4">
      <c r="A730" s="1049"/>
      <c r="B730" s="1124"/>
      <c r="C730" s="1057">
        <v>1</v>
      </c>
      <c r="D730" s="1056">
        <v>2</v>
      </c>
      <c r="E730" s="1063">
        <v>0.25</v>
      </c>
      <c r="F730" s="1062">
        <v>0.61</v>
      </c>
      <c r="G730" s="1061">
        <f t="shared" si="315"/>
        <v>2.44</v>
      </c>
      <c r="H730" s="1049"/>
      <c r="I730" s="1124"/>
      <c r="J730" s="1057">
        <v>1</v>
      </c>
      <c r="K730" s="1056">
        <v>2</v>
      </c>
      <c r="L730" s="1055">
        <v>1.2030000000000001</v>
      </c>
      <c r="M730" s="1059">
        <v>5.12</v>
      </c>
      <c r="N730" s="1052">
        <f t="shared" si="316"/>
        <v>4.2560266001662512</v>
      </c>
      <c r="O730" s="1049"/>
      <c r="P730" s="1123"/>
      <c r="Q730" s="1057">
        <v>1</v>
      </c>
      <c r="R730" s="1056">
        <v>2</v>
      </c>
      <c r="S730" s="1055">
        <v>2.2200000000000002</v>
      </c>
      <c r="T730" s="1054">
        <f t="shared" si="317"/>
        <v>0.39960000000000001</v>
      </c>
      <c r="U730" s="1064">
        <v>2.72</v>
      </c>
      <c r="V730" s="1052">
        <f t="shared" si="318"/>
        <v>1.1000000000000001</v>
      </c>
      <c r="W730" s="1049"/>
      <c r="X730" s="1051">
        <v>0.18</v>
      </c>
      <c r="Y730" s="1049"/>
      <c r="Z730" s="1050">
        <f t="shared" ref="Z730:Z752" si="322">IF(X730&lt;0.8,0,S730*(U730-0.8))</f>
        <v>0</v>
      </c>
      <c r="AA730" s="1123"/>
      <c r="AB730" s="1057">
        <v>1</v>
      </c>
      <c r="AC730" s="1056">
        <v>2</v>
      </c>
      <c r="AD730" s="1055">
        <v>1.1100000000000001</v>
      </c>
      <c r="AE730" s="1137">
        <f t="shared" si="319"/>
        <v>0</v>
      </c>
      <c r="AF730" s="1136">
        <v>0.97</v>
      </c>
      <c r="AG730" s="1052">
        <f t="shared" si="320"/>
        <v>0.92</v>
      </c>
      <c r="AH730" s="1049"/>
      <c r="AI730" s="1136"/>
      <c r="AJ730" s="1049"/>
      <c r="AK730" s="1050">
        <f t="shared" ref="AK730:AK752" si="323">IF(AI730&lt;0.8,0,AD730*(AF730-0.8))</f>
        <v>0</v>
      </c>
      <c r="AL730" s="1049"/>
      <c r="AM730" s="1123"/>
      <c r="AN730" s="1057"/>
      <c r="AO730" s="1056"/>
      <c r="AP730" s="1721"/>
      <c r="AQ730" s="1736"/>
      <c r="AR730" s="1751"/>
      <c r="AS730" s="1052"/>
      <c r="AT730" s="1049"/>
      <c r="AU730" s="1051"/>
      <c r="AV730" s="1049"/>
      <c r="AW730" s="1123"/>
      <c r="AX730" s="1057">
        <v>1</v>
      </c>
      <c r="AY730" s="1056">
        <v>2</v>
      </c>
      <c r="AZ730" s="1055">
        <v>0.13</v>
      </c>
      <c r="BA730" s="1736">
        <v>0.21</v>
      </c>
      <c r="BB730" s="1737">
        <f t="shared" si="321"/>
        <v>0.92</v>
      </c>
      <c r="BC730" s="1049"/>
      <c r="BD730" s="1051"/>
      <c r="BE730" s="1049"/>
      <c r="BF730" s="1123"/>
      <c r="BG730" s="1057">
        <v>1</v>
      </c>
      <c r="BH730" s="1056">
        <v>2</v>
      </c>
      <c r="BI730" s="1874">
        <v>0.15</v>
      </c>
      <c r="BJ730" s="1736"/>
      <c r="BK730" s="1049"/>
      <c r="BL730" s="1123"/>
      <c r="BM730" s="1057">
        <v>1</v>
      </c>
      <c r="BN730" s="1056">
        <v>2</v>
      </c>
      <c r="BO730" s="1055"/>
      <c r="BP730" s="1055"/>
      <c r="BQ730" s="1049"/>
    </row>
    <row r="731" spans="1:69" ht="14.4">
      <c r="A731" s="1049"/>
      <c r="B731" s="1122">
        <f>SUM(E729:E752)</f>
        <v>12.629999999999999</v>
      </c>
      <c r="C731" s="1057">
        <v>2</v>
      </c>
      <c r="D731" s="1056">
        <v>3</v>
      </c>
      <c r="E731" s="1063">
        <v>0.21</v>
      </c>
      <c r="F731" s="1062">
        <v>0.52</v>
      </c>
      <c r="G731" s="1061">
        <f t="shared" si="315"/>
        <v>2.4761904761904763</v>
      </c>
      <c r="H731" s="1049"/>
      <c r="I731" s="1122">
        <f>SUM(L729:L752)</f>
        <v>41.450999999999993</v>
      </c>
      <c r="J731" s="1057">
        <v>2</v>
      </c>
      <c r="K731" s="1056">
        <v>3</v>
      </c>
      <c r="L731" s="1055">
        <v>1.31</v>
      </c>
      <c r="M731" s="1059">
        <v>5.39</v>
      </c>
      <c r="N731" s="1052">
        <f t="shared" si="316"/>
        <v>4.114503816793893</v>
      </c>
      <c r="O731" s="1049"/>
      <c r="P731" s="1121">
        <f>SUM(S729:S752)</f>
        <v>68.33</v>
      </c>
      <c r="Q731" s="1057">
        <v>2</v>
      </c>
      <c r="R731" s="1056">
        <v>3</v>
      </c>
      <c r="S731" s="1055">
        <v>2.2200000000000002</v>
      </c>
      <c r="T731" s="1054">
        <f t="shared" si="317"/>
        <v>0.35520000000000002</v>
      </c>
      <c r="U731" s="1064">
        <v>2.68</v>
      </c>
      <c r="V731" s="1052">
        <f t="shared" si="318"/>
        <v>1.08</v>
      </c>
      <c r="W731" s="1049"/>
      <c r="X731" s="1051">
        <v>0.16</v>
      </c>
      <c r="Y731" s="1049"/>
      <c r="Z731" s="1050">
        <f t="shared" si="322"/>
        <v>0</v>
      </c>
      <c r="AA731" s="1121">
        <f>SUM(AD729:AD752)</f>
        <v>47.070000000000007</v>
      </c>
      <c r="AB731" s="1057">
        <v>2</v>
      </c>
      <c r="AC731" s="1056">
        <v>3</v>
      </c>
      <c r="AD731" s="1055">
        <v>1.08</v>
      </c>
      <c r="AE731" s="1137">
        <f t="shared" si="319"/>
        <v>0</v>
      </c>
      <c r="AF731" s="1136">
        <v>0.94</v>
      </c>
      <c r="AG731" s="1052">
        <f t="shared" si="320"/>
        <v>0.92</v>
      </c>
      <c r="AH731" s="1049"/>
      <c r="AI731" s="1136"/>
      <c r="AJ731" s="1049"/>
      <c r="AK731" s="1050">
        <f t="shared" si="323"/>
        <v>0</v>
      </c>
      <c r="AL731" s="1049"/>
      <c r="AM731" s="1121"/>
      <c r="AN731" s="1057"/>
      <c r="AO731" s="1056"/>
      <c r="AP731" s="1721"/>
      <c r="AQ731" s="1736"/>
      <c r="AR731" s="1751"/>
      <c r="AS731" s="1052"/>
      <c r="AT731" s="1049"/>
      <c r="AU731" s="1051"/>
      <c r="AV731" s="1049"/>
      <c r="AW731" s="1121">
        <f>SUM(AZ729:AZ752)</f>
        <v>7.9600000000000017</v>
      </c>
      <c r="AX731" s="1057">
        <v>2</v>
      </c>
      <c r="AY731" s="1056">
        <v>3</v>
      </c>
      <c r="AZ731" s="1055">
        <v>0.12</v>
      </c>
      <c r="BA731" s="1736">
        <v>0.19</v>
      </c>
      <c r="BB731" s="1737">
        <f t="shared" si="321"/>
        <v>0.92</v>
      </c>
      <c r="BC731" s="1049"/>
      <c r="BD731" s="1051"/>
      <c r="BE731" s="1049"/>
      <c r="BF731" s="1121">
        <f>SUM(BI729:BI752)</f>
        <v>4.9399999999999995</v>
      </c>
      <c r="BG731" s="1057">
        <v>2</v>
      </c>
      <c r="BH731" s="1056">
        <v>3</v>
      </c>
      <c r="BI731" s="1874">
        <v>0.1</v>
      </c>
      <c r="BJ731" s="1736"/>
      <c r="BK731" s="1049"/>
      <c r="BL731" s="1121">
        <f>SUM(BO729:BO752)+SUM(BP729:BP752)</f>
        <v>0</v>
      </c>
      <c r="BM731" s="1057">
        <v>2</v>
      </c>
      <c r="BN731" s="1056">
        <v>3</v>
      </c>
      <c r="BO731" s="1055"/>
      <c r="BP731" s="1055"/>
      <c r="BQ731" s="1049"/>
    </row>
    <row r="732" spans="1:69" ht="14.4">
      <c r="A732" s="1049"/>
      <c r="B732" s="1120">
        <f>B731/24</f>
        <v>0.52625</v>
      </c>
      <c r="C732" s="1057">
        <v>3</v>
      </c>
      <c r="D732" s="1056">
        <v>4</v>
      </c>
      <c r="E732" s="1063">
        <v>0.28000000000000003</v>
      </c>
      <c r="F732" s="1062">
        <v>1.53</v>
      </c>
      <c r="G732" s="1061">
        <f t="shared" si="315"/>
        <v>5.4642857142857135</v>
      </c>
      <c r="H732" s="1049"/>
      <c r="I732" s="1120">
        <f>I731/24</f>
        <v>1.7271249999999998</v>
      </c>
      <c r="J732" s="1057">
        <v>3</v>
      </c>
      <c r="K732" s="1056">
        <v>4</v>
      </c>
      <c r="L732" s="1055">
        <v>1.36</v>
      </c>
      <c r="M732" s="1059">
        <v>5.56</v>
      </c>
      <c r="N732" s="1052">
        <f t="shared" si="316"/>
        <v>4.0882352941176467</v>
      </c>
      <c r="O732" s="1049"/>
      <c r="P732" s="1120">
        <f>P731/24</f>
        <v>2.8470833333333334</v>
      </c>
      <c r="Q732" s="1057">
        <v>3</v>
      </c>
      <c r="R732" s="1056">
        <v>4</v>
      </c>
      <c r="S732" s="1055">
        <v>2.2599999999999998</v>
      </c>
      <c r="T732" s="1054">
        <f t="shared" si="317"/>
        <v>0.31640000000000001</v>
      </c>
      <c r="U732" s="1064">
        <v>2.67</v>
      </c>
      <c r="V732" s="1052">
        <f t="shared" si="318"/>
        <v>1.06</v>
      </c>
      <c r="W732" s="1049"/>
      <c r="X732" s="1051">
        <v>0.14000000000000001</v>
      </c>
      <c r="Y732" s="1049"/>
      <c r="Z732" s="1050">
        <f t="shared" si="322"/>
        <v>0</v>
      </c>
      <c r="AA732" s="1120">
        <f>AA731/24</f>
        <v>1.9612500000000004</v>
      </c>
      <c r="AB732" s="1057">
        <v>3</v>
      </c>
      <c r="AC732" s="1056">
        <v>4</v>
      </c>
      <c r="AD732" s="1055">
        <v>0.94</v>
      </c>
      <c r="AE732" s="1137">
        <f t="shared" si="319"/>
        <v>0</v>
      </c>
      <c r="AF732" s="1136">
        <v>0.79</v>
      </c>
      <c r="AG732" s="1052">
        <f t="shared" si="320"/>
        <v>0.92</v>
      </c>
      <c r="AH732" s="1049"/>
      <c r="AI732" s="1136"/>
      <c r="AJ732" s="1049"/>
      <c r="AK732" s="1050">
        <f t="shared" si="323"/>
        <v>0</v>
      </c>
      <c r="AL732" s="1049"/>
      <c r="AM732" s="1120"/>
      <c r="AN732" s="1057"/>
      <c r="AO732" s="1056"/>
      <c r="AP732" s="1721"/>
      <c r="AQ732" s="1736"/>
      <c r="AR732" s="1751"/>
      <c r="AS732" s="1052"/>
      <c r="AT732" s="1049"/>
      <c r="AU732" s="1051"/>
      <c r="AV732" s="1049"/>
      <c r="AW732" s="1120">
        <f>AW731/24</f>
        <v>0.33166666666666672</v>
      </c>
      <c r="AX732" s="1057">
        <v>3</v>
      </c>
      <c r="AY732" s="1056">
        <v>4</v>
      </c>
      <c r="AZ732" s="1055">
        <v>0.08</v>
      </c>
      <c r="BA732" s="1736">
        <v>0.12</v>
      </c>
      <c r="BB732" s="1737">
        <f t="shared" si="321"/>
        <v>0.92</v>
      </c>
      <c r="BC732" s="1049"/>
      <c r="BD732" s="1051"/>
      <c r="BE732" s="1049"/>
      <c r="BF732" s="1120">
        <f>BF731/24</f>
        <v>0.20583333333333331</v>
      </c>
      <c r="BG732" s="1057">
        <v>3</v>
      </c>
      <c r="BH732" s="1056">
        <v>4</v>
      </c>
      <c r="BI732" s="1874">
        <v>0.1</v>
      </c>
      <c r="BJ732" s="1736"/>
      <c r="BK732" s="1049"/>
      <c r="BL732" s="1120">
        <f>BL731/24</f>
        <v>0</v>
      </c>
      <c r="BM732" s="1057">
        <v>3</v>
      </c>
      <c r="BN732" s="1056">
        <v>4</v>
      </c>
      <c r="BO732" s="1055"/>
      <c r="BP732" s="1055"/>
      <c r="BQ732" s="1049"/>
    </row>
    <row r="733" spans="1:69" ht="14.4">
      <c r="A733" s="1049"/>
      <c r="B733" s="1119"/>
      <c r="C733" s="1057">
        <v>4</v>
      </c>
      <c r="D733" s="1056">
        <v>5</v>
      </c>
      <c r="E733" s="1063">
        <v>0.25</v>
      </c>
      <c r="F733" s="1062">
        <v>0.69</v>
      </c>
      <c r="G733" s="1061">
        <f t="shared" si="315"/>
        <v>2.76</v>
      </c>
      <c r="H733" s="1049"/>
      <c r="I733" s="1119"/>
      <c r="J733" s="1057">
        <v>4</v>
      </c>
      <c r="K733" s="1056">
        <v>5</v>
      </c>
      <c r="L733" s="1055">
        <v>1.6519999999999999</v>
      </c>
      <c r="M733" s="1059">
        <v>6.85</v>
      </c>
      <c r="N733" s="1052">
        <f t="shared" si="316"/>
        <v>4.1464891041162231</v>
      </c>
      <c r="O733" s="1049"/>
      <c r="P733" s="1118"/>
      <c r="Q733" s="1057">
        <v>4</v>
      </c>
      <c r="R733" s="1056">
        <v>5</v>
      </c>
      <c r="S733" s="1055">
        <v>2.38</v>
      </c>
      <c r="T733" s="1054">
        <f t="shared" si="317"/>
        <v>0.3332</v>
      </c>
      <c r="U733" s="1064">
        <v>2.81</v>
      </c>
      <c r="V733" s="1052">
        <f t="shared" si="318"/>
        <v>1.06</v>
      </c>
      <c r="W733" s="1049"/>
      <c r="X733" s="1051">
        <v>0.14000000000000001</v>
      </c>
      <c r="Y733" s="1049"/>
      <c r="Z733" s="1050">
        <f t="shared" si="322"/>
        <v>0</v>
      </c>
      <c r="AA733" s="1118"/>
      <c r="AB733" s="1057">
        <v>4</v>
      </c>
      <c r="AC733" s="1056">
        <v>5</v>
      </c>
      <c r="AD733" s="1055">
        <v>0.98</v>
      </c>
      <c r="AE733" s="1137">
        <f t="shared" si="319"/>
        <v>0</v>
      </c>
      <c r="AF733" s="1136">
        <v>0.89</v>
      </c>
      <c r="AG733" s="1052">
        <f t="shared" si="320"/>
        <v>0.92</v>
      </c>
      <c r="AH733" s="1049"/>
      <c r="AI733" s="1136"/>
      <c r="AJ733" s="1049"/>
      <c r="AK733" s="1050">
        <f t="shared" si="323"/>
        <v>0</v>
      </c>
      <c r="AL733" s="1049"/>
      <c r="AM733" s="1118"/>
      <c r="AN733" s="1057"/>
      <c r="AO733" s="1056"/>
      <c r="AP733" s="1721"/>
      <c r="AQ733" s="1736"/>
      <c r="AR733" s="1751"/>
      <c r="AS733" s="1052"/>
      <c r="AT733" s="1049"/>
      <c r="AU733" s="1051"/>
      <c r="AV733" s="1049"/>
      <c r="AW733" s="1118"/>
      <c r="AX733" s="1057">
        <v>4</v>
      </c>
      <c r="AY733" s="1056">
        <v>5</v>
      </c>
      <c r="AZ733" s="1055">
        <v>0.09</v>
      </c>
      <c r="BA733" s="1736">
        <v>0.14000000000000001</v>
      </c>
      <c r="BB733" s="1737">
        <f t="shared" si="321"/>
        <v>0.92</v>
      </c>
      <c r="BC733" s="1049"/>
      <c r="BD733" s="1051"/>
      <c r="BE733" s="1049"/>
      <c r="BF733" s="1118"/>
      <c r="BG733" s="1057">
        <v>4</v>
      </c>
      <c r="BH733" s="1056">
        <v>5</v>
      </c>
      <c r="BI733" s="1874">
        <v>0.1</v>
      </c>
      <c r="BJ733" s="1736"/>
      <c r="BK733" s="1049"/>
      <c r="BL733" s="1118"/>
      <c r="BM733" s="1057">
        <v>4</v>
      </c>
      <c r="BN733" s="1056">
        <v>5</v>
      </c>
      <c r="BO733" s="1055"/>
      <c r="BP733" s="1055"/>
      <c r="BQ733" s="1049"/>
    </row>
    <row r="734" spans="1:69" ht="15" thickBot="1">
      <c r="A734" s="1049"/>
      <c r="B734" s="1058">
        <f>SUM(F729:F752)</f>
        <v>35.690000000000005</v>
      </c>
      <c r="C734" s="1111">
        <v>5</v>
      </c>
      <c r="D734" s="1110">
        <v>6</v>
      </c>
      <c r="E734" s="1117">
        <v>0.31</v>
      </c>
      <c r="F734" s="1116">
        <v>0.61</v>
      </c>
      <c r="G734" s="1115">
        <f t="shared" si="315"/>
        <v>1.967741935483871</v>
      </c>
      <c r="H734" s="1049"/>
      <c r="I734" s="1058">
        <f>SUM(M729:M752)</f>
        <v>227.77999999999997</v>
      </c>
      <c r="J734" s="1111">
        <v>5</v>
      </c>
      <c r="K734" s="1110">
        <v>6</v>
      </c>
      <c r="L734" s="1109">
        <v>1.3009999999999999</v>
      </c>
      <c r="M734" s="1114">
        <v>5.67</v>
      </c>
      <c r="N734" s="1113">
        <f t="shared" si="316"/>
        <v>4.3581860107609529</v>
      </c>
      <c r="O734" s="1049"/>
      <c r="P734" s="1112">
        <f>SUM(U729:U752)</f>
        <v>90.11</v>
      </c>
      <c r="Q734" s="1111">
        <v>5</v>
      </c>
      <c r="R734" s="1110">
        <v>6</v>
      </c>
      <c r="S734" s="1109">
        <v>2.5299999999999998</v>
      </c>
      <c r="T734" s="1054">
        <f t="shared" si="317"/>
        <v>0.45539999999999997</v>
      </c>
      <c r="U734" s="1064">
        <v>3.09</v>
      </c>
      <c r="V734" s="1052">
        <f t="shared" si="318"/>
        <v>1.1000000000000001</v>
      </c>
      <c r="W734" s="1049"/>
      <c r="X734" s="1074">
        <v>0.18</v>
      </c>
      <c r="Y734" s="1049"/>
      <c r="Z734" s="1050">
        <f t="shared" si="322"/>
        <v>0</v>
      </c>
      <c r="AA734" s="1112">
        <f>SUM(AF729:AF752)</f>
        <v>79.299999999999983</v>
      </c>
      <c r="AB734" s="1111">
        <v>5</v>
      </c>
      <c r="AC734" s="1110">
        <v>6</v>
      </c>
      <c r="AD734" s="1109">
        <v>0.98</v>
      </c>
      <c r="AE734" s="1147">
        <f t="shared" si="319"/>
        <v>0</v>
      </c>
      <c r="AF734" s="1146">
        <v>1.1399999999999999</v>
      </c>
      <c r="AG734" s="1052">
        <f t="shared" si="320"/>
        <v>0.92</v>
      </c>
      <c r="AH734" s="1049"/>
      <c r="AI734" s="1146"/>
      <c r="AJ734" s="1049"/>
      <c r="AK734" s="1050">
        <f t="shared" si="323"/>
        <v>0</v>
      </c>
      <c r="AL734" s="1049"/>
      <c r="AM734" s="1112"/>
      <c r="AN734" s="1111"/>
      <c r="AO734" s="1110"/>
      <c r="AP734" s="1721"/>
      <c r="AQ734" s="1736"/>
      <c r="AR734" s="1751"/>
      <c r="AS734" s="1052"/>
      <c r="AT734" s="1049"/>
      <c r="AU734" s="1074"/>
      <c r="AV734" s="1049"/>
      <c r="AW734" s="1112">
        <f>SUM(BA729:BA752)</f>
        <v>14.120000000000003</v>
      </c>
      <c r="AX734" s="1111">
        <v>5</v>
      </c>
      <c r="AY734" s="1110">
        <v>6</v>
      </c>
      <c r="AZ734" s="1109">
        <v>0.12</v>
      </c>
      <c r="BA734" s="1738">
        <v>0.18</v>
      </c>
      <c r="BB734" s="1739">
        <f t="shared" si="321"/>
        <v>0.92</v>
      </c>
      <c r="BC734" s="1049"/>
      <c r="BD734" s="1074"/>
      <c r="BE734" s="1049"/>
      <c r="BF734" s="1112">
        <f>SUM(BJ729:BJ752)</f>
        <v>0</v>
      </c>
      <c r="BG734" s="1111">
        <v>5</v>
      </c>
      <c r="BH734" s="1110">
        <v>6</v>
      </c>
      <c r="BI734" s="1874">
        <v>0.1</v>
      </c>
      <c r="BJ734" s="1738"/>
      <c r="BK734" s="1049"/>
      <c r="BL734" s="1112">
        <f>SUM(BP729:BP752)</f>
        <v>0</v>
      </c>
      <c r="BM734" s="1111">
        <v>5</v>
      </c>
      <c r="BN734" s="1110">
        <v>6</v>
      </c>
      <c r="BO734" s="1109"/>
      <c r="BP734" s="1109"/>
      <c r="BQ734" s="1049"/>
    </row>
    <row r="735" spans="1:69" ht="14.4">
      <c r="A735" s="1049"/>
      <c r="B735" s="1093">
        <f>B734/B731</f>
        <v>2.8258115597783062</v>
      </c>
      <c r="C735" s="1100">
        <v>6</v>
      </c>
      <c r="D735" s="1099">
        <v>7</v>
      </c>
      <c r="E735" s="1107">
        <v>0.37</v>
      </c>
      <c r="F735" s="1106">
        <v>0.75</v>
      </c>
      <c r="G735" s="1105">
        <f t="shared" si="315"/>
        <v>2.0270270270270272</v>
      </c>
      <c r="H735" s="1049"/>
      <c r="I735" s="1093">
        <f>I734/I731</f>
        <v>5.4951629634990713</v>
      </c>
      <c r="J735" s="1100">
        <v>6</v>
      </c>
      <c r="K735" s="1099">
        <v>7</v>
      </c>
      <c r="L735" s="1098">
        <v>1.38</v>
      </c>
      <c r="M735" s="1103">
        <v>6.55</v>
      </c>
      <c r="N735" s="1102">
        <f t="shared" si="316"/>
        <v>4.7463768115942031</v>
      </c>
      <c r="O735" s="1049"/>
      <c r="P735" s="1093">
        <f>IF(P734&gt;0,P734/P731,0)</f>
        <v>1.3187472559637057</v>
      </c>
      <c r="Q735" s="1100">
        <v>6</v>
      </c>
      <c r="R735" s="1099">
        <v>7</v>
      </c>
      <c r="S735" s="1098">
        <v>2.4900000000000002</v>
      </c>
      <c r="T735" s="1054">
        <f t="shared" si="317"/>
        <v>0.5727000000000001</v>
      </c>
      <c r="U735" s="1064">
        <v>3.18</v>
      </c>
      <c r="V735" s="1052">
        <f t="shared" si="318"/>
        <v>1.1500000000000001</v>
      </c>
      <c r="W735" s="1049"/>
      <c r="X735" s="1108">
        <v>0.23</v>
      </c>
      <c r="Y735" s="1049"/>
      <c r="Z735" s="1050">
        <f t="shared" si="322"/>
        <v>0</v>
      </c>
      <c r="AA735" s="1093">
        <f>IF(AA734&gt;0,AA734/AA731,0)</f>
        <v>1.684724877841512</v>
      </c>
      <c r="AB735" s="1100">
        <v>6</v>
      </c>
      <c r="AC735" s="1099">
        <v>7</v>
      </c>
      <c r="AD735" s="1098">
        <v>1.42</v>
      </c>
      <c r="AE735" s="1145">
        <f t="shared" si="319"/>
        <v>0</v>
      </c>
      <c r="AF735" s="1144">
        <v>2.33</v>
      </c>
      <c r="AG735" s="1052">
        <f t="shared" si="320"/>
        <v>0.92</v>
      </c>
      <c r="AH735" s="1049"/>
      <c r="AI735" s="1144"/>
      <c r="AJ735" s="1049"/>
      <c r="AK735" s="1050">
        <f t="shared" si="323"/>
        <v>0</v>
      </c>
      <c r="AL735" s="1049"/>
      <c r="AM735" s="1093"/>
      <c r="AN735" s="1100"/>
      <c r="AO735" s="1099"/>
      <c r="AP735" s="1721"/>
      <c r="AQ735" s="1736"/>
      <c r="AR735" s="1751"/>
      <c r="AS735" s="1052"/>
      <c r="AT735" s="1049"/>
      <c r="AU735" s="1108"/>
      <c r="AV735" s="1049"/>
      <c r="AW735" s="1093">
        <f>IF(AW734&gt;0,AW734/AW731,0)</f>
        <v>1.7738693467336684</v>
      </c>
      <c r="AX735" s="1100">
        <v>6</v>
      </c>
      <c r="AY735" s="1099">
        <v>7</v>
      </c>
      <c r="AZ735" s="1098">
        <v>0.11</v>
      </c>
      <c r="BA735" s="1740">
        <v>0.18</v>
      </c>
      <c r="BB735" s="1741">
        <f t="shared" si="321"/>
        <v>0.92</v>
      </c>
      <c r="BC735" s="1049"/>
      <c r="BD735" s="1108"/>
      <c r="BE735" s="1049"/>
      <c r="BF735" s="1093">
        <f>IF(BF734&gt;0,BF734/BF731,0)</f>
        <v>0</v>
      </c>
      <c r="BG735" s="1100">
        <v>6</v>
      </c>
      <c r="BH735" s="1099">
        <v>7</v>
      </c>
      <c r="BI735" s="1874">
        <v>0.27</v>
      </c>
      <c r="BJ735" s="1740"/>
      <c r="BK735" s="1049"/>
      <c r="BL735" s="1093">
        <f>IF(BL734&gt;0,BL734/BL731,0)</f>
        <v>0</v>
      </c>
      <c r="BM735" s="1100">
        <v>6</v>
      </c>
      <c r="BN735" s="1099">
        <v>7</v>
      </c>
      <c r="BO735" s="1098"/>
      <c r="BP735" s="1098"/>
      <c r="BQ735" s="1049"/>
    </row>
    <row r="736" spans="1:69" ht="14.4">
      <c r="A736" s="1049"/>
      <c r="B736" s="1104"/>
      <c r="C736" s="1100">
        <v>7</v>
      </c>
      <c r="D736" s="1099">
        <v>8</v>
      </c>
      <c r="E736" s="1107">
        <v>0.4</v>
      </c>
      <c r="F736" s="1106">
        <v>0.93</v>
      </c>
      <c r="G736" s="1105">
        <f t="shared" si="315"/>
        <v>2.3250000000000002</v>
      </c>
      <c r="H736" s="1049"/>
      <c r="I736" s="1104"/>
      <c r="J736" s="1100">
        <v>7</v>
      </c>
      <c r="K736" s="1099">
        <v>8</v>
      </c>
      <c r="L736" s="1098">
        <v>1.3819999999999999</v>
      </c>
      <c r="M736" s="1103">
        <v>7.88</v>
      </c>
      <c r="N736" s="1102">
        <f t="shared" si="316"/>
        <v>5.7018813314037633</v>
      </c>
      <c r="O736" s="1049"/>
      <c r="P736" s="1101"/>
      <c r="Q736" s="1100">
        <v>7</v>
      </c>
      <c r="R736" s="1099">
        <v>8</v>
      </c>
      <c r="S736" s="1098">
        <v>2.59</v>
      </c>
      <c r="T736" s="1054">
        <f t="shared" si="317"/>
        <v>0.9323999999999999</v>
      </c>
      <c r="U736" s="1064">
        <v>3.63</v>
      </c>
      <c r="V736" s="1052">
        <f t="shared" si="318"/>
        <v>1.28</v>
      </c>
      <c r="W736" s="1049"/>
      <c r="X736" s="1065">
        <v>0.36</v>
      </c>
      <c r="Y736" s="1049"/>
      <c r="Z736" s="1050">
        <f t="shared" si="322"/>
        <v>0</v>
      </c>
      <c r="AA736" s="1101"/>
      <c r="AB736" s="1100">
        <v>7</v>
      </c>
      <c r="AC736" s="1099">
        <v>8</v>
      </c>
      <c r="AD736" s="1098">
        <v>2.2400000000000002</v>
      </c>
      <c r="AE736" s="1145">
        <f t="shared" si="319"/>
        <v>0</v>
      </c>
      <c r="AF736" s="1144">
        <v>3.78</v>
      </c>
      <c r="AG736" s="1052">
        <f t="shared" si="320"/>
        <v>0.92</v>
      </c>
      <c r="AH736" s="1049"/>
      <c r="AI736" s="1144"/>
      <c r="AJ736" s="1049"/>
      <c r="AK736" s="1050">
        <f t="shared" si="323"/>
        <v>0</v>
      </c>
      <c r="AL736" s="1049"/>
      <c r="AM736" s="1101"/>
      <c r="AN736" s="1100"/>
      <c r="AO736" s="1099"/>
      <c r="AP736" s="1721"/>
      <c r="AQ736" s="1736"/>
      <c r="AR736" s="1751"/>
      <c r="AS736" s="1052"/>
      <c r="AT736" s="1049"/>
      <c r="AU736" s="1065"/>
      <c r="AV736" s="1049"/>
      <c r="AW736" s="1101"/>
      <c r="AX736" s="1100">
        <v>7</v>
      </c>
      <c r="AY736" s="1099">
        <v>8</v>
      </c>
      <c r="AZ736" s="1098">
        <v>0.14000000000000001</v>
      </c>
      <c r="BA736" s="1736">
        <v>0.27</v>
      </c>
      <c r="BB736" s="1741">
        <f t="shared" si="321"/>
        <v>0.92</v>
      </c>
      <c r="BC736" s="1049"/>
      <c r="BD736" s="1065"/>
      <c r="BE736" s="1049"/>
      <c r="BF736" s="1101"/>
      <c r="BG736" s="1100">
        <v>7</v>
      </c>
      <c r="BH736" s="1099">
        <v>8</v>
      </c>
      <c r="BI736" s="1874">
        <v>0.18</v>
      </c>
      <c r="BJ736" s="1736"/>
      <c r="BK736" s="1049"/>
      <c r="BL736" s="1101"/>
      <c r="BM736" s="1100">
        <v>7</v>
      </c>
      <c r="BN736" s="1099">
        <v>8</v>
      </c>
      <c r="BO736" s="1098"/>
      <c r="BP736" s="1098"/>
      <c r="BQ736" s="1049"/>
    </row>
    <row r="737" spans="1:69" ht="14.4">
      <c r="A737" s="1049"/>
      <c r="B737" s="1097">
        <f>B734/24</f>
        <v>1.4870833333333335</v>
      </c>
      <c r="C737" s="1086">
        <v>8</v>
      </c>
      <c r="D737" s="1085">
        <v>9</v>
      </c>
      <c r="E737" s="1091">
        <v>0.34</v>
      </c>
      <c r="F737" s="1090">
        <v>1.03</v>
      </c>
      <c r="G737" s="1089">
        <f t="shared" si="315"/>
        <v>3.0294117647058822</v>
      </c>
      <c r="H737" s="1049"/>
      <c r="I737" s="1097">
        <f>I734/24</f>
        <v>9.4908333333333328</v>
      </c>
      <c r="J737" s="1086">
        <v>8</v>
      </c>
      <c r="K737" s="1085">
        <v>9</v>
      </c>
      <c r="L737" s="1084">
        <v>1.4810000000000001</v>
      </c>
      <c r="M737" s="1088">
        <v>9.0399999999999991</v>
      </c>
      <c r="N737" s="1087">
        <f t="shared" si="316"/>
        <v>6.1039837947332876</v>
      </c>
      <c r="O737" s="1049"/>
      <c r="P737" s="1096">
        <f>P734/24</f>
        <v>3.7545833333333332</v>
      </c>
      <c r="Q737" s="1086">
        <v>8</v>
      </c>
      <c r="R737" s="2759" t="s">
        <v>1129</v>
      </c>
      <c r="S737" s="1084">
        <v>3</v>
      </c>
      <c r="T737" s="1054">
        <f t="shared" si="317"/>
        <v>1.17</v>
      </c>
      <c r="U737" s="1064">
        <v>4.3</v>
      </c>
      <c r="V737" s="1052">
        <f t="shared" si="318"/>
        <v>1.31</v>
      </c>
      <c r="W737" s="1049"/>
      <c r="X737" s="1051">
        <v>0.39</v>
      </c>
      <c r="Y737" s="1049"/>
      <c r="Z737" s="1050">
        <f t="shared" si="322"/>
        <v>0</v>
      </c>
      <c r="AA737" s="1096">
        <f>AA734/24</f>
        <v>3.3041666666666658</v>
      </c>
      <c r="AB737" s="1086">
        <v>8</v>
      </c>
      <c r="AC737" s="1085">
        <v>9</v>
      </c>
      <c r="AD737" s="1084">
        <v>2.5</v>
      </c>
      <c r="AE737" s="1143">
        <f t="shared" si="319"/>
        <v>0</v>
      </c>
      <c r="AF737" s="1142">
        <v>4.3600000000000003</v>
      </c>
      <c r="AG737" s="1052">
        <f t="shared" si="320"/>
        <v>0.92</v>
      </c>
      <c r="AH737" s="1049"/>
      <c r="AI737" s="1142"/>
      <c r="AJ737" s="1049"/>
      <c r="AK737" s="1050">
        <f t="shared" si="323"/>
        <v>0</v>
      </c>
      <c r="AL737" s="1049"/>
      <c r="AM737" s="1096"/>
      <c r="AN737" s="1086"/>
      <c r="AO737" s="1085"/>
      <c r="AP737" s="1721"/>
      <c r="AQ737" s="1736"/>
      <c r="AR737" s="1751"/>
      <c r="AS737" s="1052"/>
      <c r="AT737" s="1049"/>
      <c r="AU737" s="1051"/>
      <c r="AV737" s="1049"/>
      <c r="AW737" s="1096">
        <f>AW734/24</f>
        <v>0.58833333333333349</v>
      </c>
      <c r="AX737" s="1086">
        <v>8</v>
      </c>
      <c r="AY737" s="1085">
        <v>9</v>
      </c>
      <c r="AZ737" s="1084">
        <v>0.15</v>
      </c>
      <c r="BA737" s="1736">
        <v>0.3</v>
      </c>
      <c r="BB737" s="1742">
        <f t="shared" si="321"/>
        <v>0.92</v>
      </c>
      <c r="BC737" s="1049"/>
      <c r="BD737" s="1051"/>
      <c r="BE737" s="1049"/>
      <c r="BF737" s="1096">
        <f>BF734/24</f>
        <v>0</v>
      </c>
      <c r="BG737" s="1086">
        <v>8</v>
      </c>
      <c r="BH737" s="1085">
        <v>9</v>
      </c>
      <c r="BI737" s="1874">
        <v>0.14000000000000001</v>
      </c>
      <c r="BJ737" s="1736"/>
      <c r="BK737" s="1049"/>
      <c r="BL737" s="1096">
        <f>BL734/24</f>
        <v>0</v>
      </c>
      <c r="BM737" s="1086">
        <v>8</v>
      </c>
      <c r="BN737" s="1085">
        <v>9</v>
      </c>
      <c r="BO737" s="1084"/>
      <c r="BP737" s="1084"/>
      <c r="BQ737" s="1049"/>
    </row>
    <row r="738" spans="1:69" ht="14.4">
      <c r="A738" s="1049"/>
      <c r="B738" s="1097"/>
      <c r="C738" s="1086">
        <v>9</v>
      </c>
      <c r="D738" s="1085">
        <v>10</v>
      </c>
      <c r="E738" s="1091">
        <v>0.37</v>
      </c>
      <c r="F738" s="1090">
        <v>0.89</v>
      </c>
      <c r="G738" s="1089">
        <f t="shared" si="315"/>
        <v>2.4054054054054053</v>
      </c>
      <c r="H738" s="1049"/>
      <c r="I738" s="1097"/>
      <c r="J738" s="1086">
        <v>9</v>
      </c>
      <c r="K738" s="1085" t="s">
        <v>144</v>
      </c>
      <c r="L738" s="1084">
        <v>1.4379999999999999</v>
      </c>
      <c r="M738" s="1088">
        <v>8.7899999999999991</v>
      </c>
      <c r="N738" s="1087">
        <f t="shared" si="316"/>
        <v>6.1126564673157162</v>
      </c>
      <c r="O738" s="1049"/>
      <c r="P738" s="1096"/>
      <c r="Q738" s="1086">
        <v>9</v>
      </c>
      <c r="R738" s="2761">
        <v>10</v>
      </c>
      <c r="S738" s="1084">
        <v>3.76</v>
      </c>
      <c r="T738" s="1054">
        <f t="shared" si="317"/>
        <v>1.504</v>
      </c>
      <c r="U738" s="1064">
        <v>5.44</v>
      </c>
      <c r="V738" s="1052">
        <f t="shared" si="318"/>
        <v>1.32</v>
      </c>
      <c r="W738" s="1049"/>
      <c r="X738" s="1051">
        <v>0.4</v>
      </c>
      <c r="Y738" s="1049"/>
      <c r="Z738" s="1050">
        <f t="shared" si="322"/>
        <v>0</v>
      </c>
      <c r="AA738" s="1096"/>
      <c r="AB738" s="1086">
        <v>9</v>
      </c>
      <c r="AC738" s="1085">
        <v>10</v>
      </c>
      <c r="AD738" s="1084">
        <v>1.53</v>
      </c>
      <c r="AE738" s="1143">
        <f t="shared" si="319"/>
        <v>0</v>
      </c>
      <c r="AF738" s="1142">
        <v>2.61</v>
      </c>
      <c r="AG738" s="1052">
        <f t="shared" si="320"/>
        <v>0.92</v>
      </c>
      <c r="AH738" s="1049"/>
      <c r="AI738" s="1142"/>
      <c r="AJ738" s="1049"/>
      <c r="AK738" s="1050">
        <f t="shared" si="323"/>
        <v>0</v>
      </c>
      <c r="AL738" s="1049"/>
      <c r="AM738" s="1096"/>
      <c r="AN738" s="1086"/>
      <c r="AO738" s="1085"/>
      <c r="AP738" s="1721"/>
      <c r="AQ738" s="1736"/>
      <c r="AR738" s="1751"/>
      <c r="AS738" s="1052"/>
      <c r="AT738" s="1049"/>
      <c r="AU738" s="1051"/>
      <c r="AV738" s="1049"/>
      <c r="AW738" s="1096"/>
      <c r="AX738" s="1086">
        <v>9</v>
      </c>
      <c r="AY738" s="1085">
        <v>10</v>
      </c>
      <c r="AZ738" s="1084">
        <v>0.74</v>
      </c>
      <c r="BA738" s="1736">
        <v>1.37</v>
      </c>
      <c r="BB738" s="1742">
        <f t="shared" si="321"/>
        <v>0.92</v>
      </c>
      <c r="BC738" s="1049"/>
      <c r="BD738" s="1051"/>
      <c r="BE738" s="1049"/>
      <c r="BF738" s="1096"/>
      <c r="BG738" s="1086">
        <v>9</v>
      </c>
      <c r="BH738" s="1085">
        <v>10</v>
      </c>
      <c r="BI738" s="1874">
        <v>0.16</v>
      </c>
      <c r="BJ738" s="1736"/>
      <c r="BK738" s="1049"/>
      <c r="BL738" s="1096"/>
      <c r="BM738" s="1086">
        <v>9</v>
      </c>
      <c r="BN738" s="1085">
        <v>10</v>
      </c>
      <c r="BO738" s="1084"/>
      <c r="BP738" s="1084"/>
      <c r="BQ738" s="1049"/>
    </row>
    <row r="739" spans="1:69" ht="14.4">
      <c r="A739" s="1049"/>
      <c r="B739" s="1060"/>
      <c r="C739" s="1086">
        <v>10</v>
      </c>
      <c r="D739" s="1085">
        <v>11</v>
      </c>
      <c r="E739" s="1091">
        <v>0.43</v>
      </c>
      <c r="F739" s="1090">
        <v>0.93</v>
      </c>
      <c r="G739" s="1089">
        <f t="shared" si="315"/>
        <v>2.1627906976744189</v>
      </c>
      <c r="H739" s="1049"/>
      <c r="I739" s="1060"/>
      <c r="J739" s="1086">
        <v>10</v>
      </c>
      <c r="K739" s="1085"/>
      <c r="L739" s="1084">
        <v>1.8540000000000001</v>
      </c>
      <c r="M739" s="1088">
        <v>11.26</v>
      </c>
      <c r="N739" s="1087">
        <f t="shared" si="316"/>
        <v>6.0733549083063645</v>
      </c>
      <c r="O739" s="1049"/>
      <c r="P739" s="1095">
        <f>SUM(Z729:Z752)</f>
        <v>9.3300000000000018</v>
      </c>
      <c r="Q739" s="1086">
        <v>10</v>
      </c>
      <c r="R739" s="1085">
        <v>11</v>
      </c>
      <c r="S739" s="1084">
        <v>3.35</v>
      </c>
      <c r="T739" s="1054">
        <f t="shared" si="317"/>
        <v>1.2395</v>
      </c>
      <c r="U739" s="1064">
        <v>4.75</v>
      </c>
      <c r="V739" s="1052">
        <f t="shared" si="318"/>
        <v>1.29</v>
      </c>
      <c r="W739" s="1049"/>
      <c r="X739" s="1051">
        <v>0.37</v>
      </c>
      <c r="Y739" s="1049"/>
      <c r="Z739" s="1050">
        <f t="shared" si="322"/>
        <v>0</v>
      </c>
      <c r="AA739" s="1095">
        <f>SUM(AK729:AK752)</f>
        <v>0</v>
      </c>
      <c r="AB739" s="1086">
        <v>10</v>
      </c>
      <c r="AC739" s="1085">
        <v>11</v>
      </c>
      <c r="AD739" s="1084">
        <v>1.89</v>
      </c>
      <c r="AE739" s="1143">
        <f t="shared" si="319"/>
        <v>0</v>
      </c>
      <c r="AF739" s="1142">
        <v>3.18</v>
      </c>
      <c r="AG739" s="1052">
        <f t="shared" si="320"/>
        <v>0.92</v>
      </c>
      <c r="AH739" s="1049"/>
      <c r="AI739" s="1142"/>
      <c r="AJ739" s="1049"/>
      <c r="AK739" s="1050">
        <f t="shared" si="323"/>
        <v>0</v>
      </c>
      <c r="AL739" s="1049"/>
      <c r="AM739" s="1095"/>
      <c r="AN739" s="1086"/>
      <c r="AO739" s="1085"/>
      <c r="AP739" s="1721"/>
      <c r="AQ739" s="1736"/>
      <c r="AR739" s="1751"/>
      <c r="AS739" s="1052"/>
      <c r="AT739" s="1049"/>
      <c r="AU739" s="1051"/>
      <c r="AV739" s="1049"/>
      <c r="AW739" s="1095" t="e">
        <f>SUM(#REF!)</f>
        <v>#REF!</v>
      </c>
      <c r="AX739" s="1086">
        <v>10</v>
      </c>
      <c r="AY739" s="1085">
        <v>11</v>
      </c>
      <c r="AZ739" s="1084">
        <v>1.21</v>
      </c>
      <c r="BA739" s="1736">
        <v>2.02</v>
      </c>
      <c r="BB739" s="1742">
        <f t="shared" si="321"/>
        <v>0.92</v>
      </c>
      <c r="BC739" s="1049"/>
      <c r="BD739" s="1051"/>
      <c r="BE739" s="1049"/>
      <c r="BF739" s="1095" t="e">
        <f>SUM(#REF!)</f>
        <v>#REF!</v>
      </c>
      <c r="BG739" s="1086">
        <v>10</v>
      </c>
      <c r="BH739" s="1085">
        <v>11</v>
      </c>
      <c r="BI739" s="1874">
        <v>0.28999999999999998</v>
      </c>
      <c r="BJ739" s="1736"/>
      <c r="BK739" s="1049"/>
      <c r="BL739" s="1095" t="e">
        <f>SUM(#REF!)</f>
        <v>#REF!</v>
      </c>
      <c r="BM739" s="1086">
        <v>10</v>
      </c>
      <c r="BN739" s="1085">
        <v>11</v>
      </c>
      <c r="BO739" s="1084"/>
      <c r="BP739" s="1084"/>
      <c r="BQ739" s="1049"/>
    </row>
    <row r="740" spans="1:69" ht="14.4">
      <c r="A740" s="1049"/>
      <c r="B740" s="1060"/>
      <c r="C740" s="1086">
        <v>11</v>
      </c>
      <c r="D740" s="1085">
        <v>12</v>
      </c>
      <c r="E740" s="1091">
        <v>0.43</v>
      </c>
      <c r="F740" s="1090">
        <v>1.06</v>
      </c>
      <c r="G740" s="1089">
        <f t="shared" si="315"/>
        <v>2.4651162790697678</v>
      </c>
      <c r="H740" s="1049"/>
      <c r="I740" s="1060"/>
      <c r="J740" s="1086">
        <v>11</v>
      </c>
      <c r="K740" s="1085"/>
      <c r="L740" s="1084">
        <v>2.4260000000000002</v>
      </c>
      <c r="M740" s="1088">
        <v>14.91</v>
      </c>
      <c r="N740" s="1087">
        <f t="shared" si="316"/>
        <v>6.1459192085737833</v>
      </c>
      <c r="O740" s="1049"/>
      <c r="P740" s="1093">
        <f>IF(P739&gt;0,P739/P731,0)</f>
        <v>0.13654324601200063</v>
      </c>
      <c r="Q740" s="1086">
        <v>11</v>
      </c>
      <c r="R740" s="1094">
        <v>12</v>
      </c>
      <c r="S740" s="1084">
        <v>3.41</v>
      </c>
      <c r="T740" s="1054">
        <f t="shared" si="317"/>
        <v>1.2276</v>
      </c>
      <c r="U740" s="1064">
        <v>4.8</v>
      </c>
      <c r="V740" s="1052">
        <f t="shared" si="318"/>
        <v>1.28</v>
      </c>
      <c r="W740" s="1049"/>
      <c r="X740" s="1051">
        <v>0.36</v>
      </c>
      <c r="Y740" s="1049"/>
      <c r="Z740" s="1050">
        <f t="shared" si="322"/>
        <v>0</v>
      </c>
      <c r="AA740" s="1093">
        <f>IF(AA739&gt;0,AA739/AA731,0)</f>
        <v>0</v>
      </c>
      <c r="AB740" s="1086">
        <v>11</v>
      </c>
      <c r="AC740" s="1085">
        <v>12</v>
      </c>
      <c r="AD740" s="1084">
        <v>2.5299999999999998</v>
      </c>
      <c r="AE740" s="1143">
        <f t="shared" si="319"/>
        <v>0</v>
      </c>
      <c r="AF740" s="1142">
        <v>4.16</v>
      </c>
      <c r="AG740" s="1052">
        <f t="shared" si="320"/>
        <v>0.92</v>
      </c>
      <c r="AH740" s="1049"/>
      <c r="AI740" s="1142"/>
      <c r="AJ740" s="1049"/>
      <c r="AK740" s="1050">
        <f t="shared" si="323"/>
        <v>0</v>
      </c>
      <c r="AL740" s="1049"/>
      <c r="AM740" s="1093"/>
      <c r="AN740" s="1086"/>
      <c r="AO740" s="1085"/>
      <c r="AP740" s="1721"/>
      <c r="AQ740" s="1736"/>
      <c r="AR740" s="1751"/>
      <c r="AS740" s="1052"/>
      <c r="AT740" s="1049"/>
      <c r="AU740" s="1051"/>
      <c r="AV740" s="1049"/>
      <c r="AW740" s="1093" t="e">
        <f>IF(AW739&gt;0,AW739/AW731,0)</f>
        <v>#REF!</v>
      </c>
      <c r="AX740" s="1086">
        <v>11</v>
      </c>
      <c r="AY740" s="1085">
        <v>12</v>
      </c>
      <c r="AZ740" s="1084">
        <v>0.21</v>
      </c>
      <c r="BA740" s="1736">
        <v>0.33</v>
      </c>
      <c r="BB740" s="1742">
        <f t="shared" si="321"/>
        <v>0.92</v>
      </c>
      <c r="BC740" s="1049"/>
      <c r="BD740" s="1051"/>
      <c r="BE740" s="1049"/>
      <c r="BF740" s="1093" t="e">
        <f>IF(BF739&gt;0,BF739/BF731,0)</f>
        <v>#REF!</v>
      </c>
      <c r="BG740" s="1086">
        <v>11</v>
      </c>
      <c r="BH740" s="1085">
        <v>12</v>
      </c>
      <c r="BI740" s="1874">
        <v>0.28000000000000003</v>
      </c>
      <c r="BJ740" s="1736"/>
      <c r="BK740" s="1049"/>
      <c r="BL740" s="1093" t="e">
        <f>IF(BL739&gt;0,BL739/BL731,0)</f>
        <v>#REF!</v>
      </c>
      <c r="BM740" s="1086">
        <v>11</v>
      </c>
      <c r="BN740" s="1085">
        <v>12</v>
      </c>
      <c r="BO740" s="1084"/>
      <c r="BP740" s="1084"/>
      <c r="BQ740" s="1049"/>
    </row>
    <row r="741" spans="1:69" ht="14.4">
      <c r="A741" s="1049"/>
      <c r="B741" s="1060"/>
      <c r="C741" s="1086">
        <v>12</v>
      </c>
      <c r="D741" s="1085">
        <v>13</v>
      </c>
      <c r="E741" s="1091">
        <v>0.37</v>
      </c>
      <c r="F741" s="1090">
        <v>1.06</v>
      </c>
      <c r="G741" s="1089">
        <f t="shared" si="315"/>
        <v>2.8648648648648649</v>
      </c>
      <c r="H741" s="1049"/>
      <c r="I741" s="1060"/>
      <c r="J741" s="1086">
        <v>12</v>
      </c>
      <c r="K741" s="1085" t="s">
        <v>144</v>
      </c>
      <c r="L741" s="1084">
        <v>2.64</v>
      </c>
      <c r="M741" s="1088">
        <v>15.43</v>
      </c>
      <c r="N741" s="1087">
        <f t="shared" si="316"/>
        <v>5.8446969696969697</v>
      </c>
      <c r="O741" s="1049"/>
      <c r="P741" s="1060"/>
      <c r="Q741" s="1086">
        <v>12</v>
      </c>
      <c r="R741" s="1085">
        <v>13</v>
      </c>
      <c r="S741" s="1084">
        <v>3.17</v>
      </c>
      <c r="T741" s="1054">
        <f t="shared" si="317"/>
        <v>0.95099999999999996</v>
      </c>
      <c r="U741" s="1064">
        <v>4.24</v>
      </c>
      <c r="V741" s="1052">
        <f t="shared" si="318"/>
        <v>1.22</v>
      </c>
      <c r="W741" s="1049"/>
      <c r="X741" s="1051">
        <v>0.3</v>
      </c>
      <c r="Y741" s="1049"/>
      <c r="Z741" s="1050">
        <f t="shared" si="322"/>
        <v>0</v>
      </c>
      <c r="AA741" s="1060"/>
      <c r="AB741" s="1086">
        <v>12</v>
      </c>
      <c r="AC741" s="1085">
        <v>13</v>
      </c>
      <c r="AD741" s="1084">
        <v>3.09</v>
      </c>
      <c r="AE741" s="1143">
        <f t="shared" si="319"/>
        <v>0</v>
      </c>
      <c r="AF741" s="1142">
        <v>4.9800000000000004</v>
      </c>
      <c r="AG741" s="1052">
        <f t="shared" si="320"/>
        <v>0.92</v>
      </c>
      <c r="AH741" s="1049"/>
      <c r="AI741" s="1142"/>
      <c r="AJ741" s="1049"/>
      <c r="AK741" s="1050">
        <f t="shared" si="323"/>
        <v>0</v>
      </c>
      <c r="AL741" s="1049"/>
      <c r="AM741" s="1060"/>
      <c r="AN741" s="1086"/>
      <c r="AO741" s="1085"/>
      <c r="AP741" s="1721"/>
      <c r="AQ741" s="1736"/>
      <c r="AR741" s="1751"/>
      <c r="AS741" s="1052"/>
      <c r="AT741" s="1049"/>
      <c r="AU741" s="1051"/>
      <c r="AV741" s="1049"/>
      <c r="AW741" s="1060"/>
      <c r="AX741" s="1086">
        <v>12</v>
      </c>
      <c r="AY741" s="1085">
        <v>13</v>
      </c>
      <c r="AZ741" s="1084">
        <v>0.33</v>
      </c>
      <c r="BA741" s="1736">
        <v>0.47</v>
      </c>
      <c r="BB741" s="1742">
        <f t="shared" si="321"/>
        <v>0.92</v>
      </c>
      <c r="BC741" s="1049"/>
      <c r="BD741" s="1051"/>
      <c r="BE741" s="1049"/>
      <c r="BF741" s="1060"/>
      <c r="BG741" s="1086">
        <v>12</v>
      </c>
      <c r="BH741" s="1085">
        <v>13</v>
      </c>
      <c r="BI741" s="1874">
        <v>0.32</v>
      </c>
      <c r="BJ741" s="1736"/>
      <c r="BK741" s="1049"/>
      <c r="BL741" s="1060"/>
      <c r="BM741" s="1086">
        <v>12</v>
      </c>
      <c r="BN741" s="1085">
        <v>13</v>
      </c>
      <c r="BO741" s="1084"/>
      <c r="BP741" s="1084"/>
      <c r="BQ741" s="1049"/>
    </row>
    <row r="742" spans="1:69" ht="14.4">
      <c r="A742" s="1049"/>
      <c r="B742" s="1060"/>
      <c r="C742" s="1086">
        <v>13</v>
      </c>
      <c r="D742" s="1085">
        <v>14</v>
      </c>
      <c r="E742" s="1091">
        <v>0.83</v>
      </c>
      <c r="F742" s="1090">
        <v>0.91</v>
      </c>
      <c r="G742" s="1089">
        <f t="shared" si="315"/>
        <v>1.0963855421686748</v>
      </c>
      <c r="H742" s="1049"/>
      <c r="I742" s="1060"/>
      <c r="J742" s="1086">
        <v>13</v>
      </c>
      <c r="K742" s="1085"/>
      <c r="L742" s="1084">
        <v>2.63</v>
      </c>
      <c r="M742" s="1088">
        <v>15.38</v>
      </c>
      <c r="N742" s="1087">
        <f t="shared" si="316"/>
        <v>5.8479087452471488</v>
      </c>
      <c r="O742" s="1049"/>
      <c r="P742" s="1092" t="s">
        <v>1127</v>
      </c>
      <c r="Q742" s="1086">
        <v>13</v>
      </c>
      <c r="R742" s="1085">
        <v>14</v>
      </c>
      <c r="S742" s="1084">
        <v>3.21</v>
      </c>
      <c r="T742" s="1054">
        <f t="shared" si="317"/>
        <v>1.0272000000000001</v>
      </c>
      <c r="U742" s="1064">
        <v>4.3600000000000003</v>
      </c>
      <c r="V742" s="1052">
        <f t="shared" si="318"/>
        <v>1.24</v>
      </c>
      <c r="W742" s="1049"/>
      <c r="X742" s="1051">
        <v>0.32</v>
      </c>
      <c r="Y742" s="1049"/>
      <c r="Z742" s="1050">
        <f t="shared" si="322"/>
        <v>0</v>
      </c>
      <c r="AA742" s="1092" t="s">
        <v>1127</v>
      </c>
      <c r="AB742" s="1086">
        <v>13</v>
      </c>
      <c r="AC742" s="1085">
        <v>14</v>
      </c>
      <c r="AD742" s="1084">
        <v>1.95</v>
      </c>
      <c r="AE742" s="1143">
        <f t="shared" si="319"/>
        <v>0</v>
      </c>
      <c r="AF742" s="1142">
        <v>3.11</v>
      </c>
      <c r="AG742" s="1052">
        <f t="shared" si="320"/>
        <v>0.92</v>
      </c>
      <c r="AH742" s="1049"/>
      <c r="AI742" s="1142"/>
      <c r="AJ742" s="1049"/>
      <c r="AK742" s="1050">
        <f t="shared" si="323"/>
        <v>0</v>
      </c>
      <c r="AL742" s="1049"/>
      <c r="AM742" s="1092"/>
      <c r="AN742" s="1086"/>
      <c r="AO742" s="1085"/>
      <c r="AP742" s="1721"/>
      <c r="AQ742" s="1736"/>
      <c r="AR742" s="1751"/>
      <c r="AS742" s="1052"/>
      <c r="AT742" s="1049"/>
      <c r="AU742" s="1051"/>
      <c r="AV742" s="1049"/>
      <c r="AW742" s="1092" t="s">
        <v>1127</v>
      </c>
      <c r="AX742" s="1086">
        <v>13</v>
      </c>
      <c r="AY742" s="1085">
        <v>14</v>
      </c>
      <c r="AZ742" s="1084">
        <v>0.14000000000000001</v>
      </c>
      <c r="BA742" s="1736">
        <v>0.15</v>
      </c>
      <c r="BB742" s="1742">
        <f t="shared" si="321"/>
        <v>0.92</v>
      </c>
      <c r="BC742" s="1049"/>
      <c r="BD742" s="1051"/>
      <c r="BE742" s="1049"/>
      <c r="BF742" s="1092" t="s">
        <v>1127</v>
      </c>
      <c r="BG742" s="1086">
        <v>13</v>
      </c>
      <c r="BH742" s="1085">
        <v>14</v>
      </c>
      <c r="BI742" s="1874">
        <v>0.17</v>
      </c>
      <c r="BJ742" s="1736"/>
      <c r="BK742" s="1049"/>
      <c r="BL742" s="1092" t="s">
        <v>1127</v>
      </c>
      <c r="BM742" s="1086">
        <v>13</v>
      </c>
      <c r="BN742" s="1085">
        <v>14</v>
      </c>
      <c r="BO742" s="1084"/>
      <c r="BP742" s="1084"/>
      <c r="BQ742" s="1049"/>
    </row>
    <row r="743" spans="1:69" ht="14.4">
      <c r="A743" s="1049"/>
      <c r="B743" s="1060"/>
      <c r="C743" s="1086">
        <v>14</v>
      </c>
      <c r="D743" s="1085">
        <v>15</v>
      </c>
      <c r="E743" s="1091">
        <v>1.7</v>
      </c>
      <c r="F743" s="1090">
        <v>2.0499999999999998</v>
      </c>
      <c r="G743" s="1089">
        <f t="shared" si="315"/>
        <v>1.2058823529411764</v>
      </c>
      <c r="H743" s="1049"/>
      <c r="I743" s="1060"/>
      <c r="J743" s="1086">
        <v>14</v>
      </c>
      <c r="K743" s="1085"/>
      <c r="L743" s="1084">
        <v>2.665</v>
      </c>
      <c r="M743" s="1088">
        <v>15.93</v>
      </c>
      <c r="N743" s="1087">
        <f t="shared" si="316"/>
        <v>5.9774859287054412</v>
      </c>
      <c r="O743" s="1049"/>
      <c r="P743" s="1058">
        <f>P731*0.8</f>
        <v>54.664000000000001</v>
      </c>
      <c r="Q743" s="1086">
        <v>14</v>
      </c>
      <c r="R743" s="1085">
        <v>15</v>
      </c>
      <c r="S743" s="1084">
        <v>3.33</v>
      </c>
      <c r="T743" s="1054">
        <f t="shared" si="317"/>
        <v>1.2321</v>
      </c>
      <c r="U743" s="1064">
        <v>4.71</v>
      </c>
      <c r="V743" s="1052">
        <f t="shared" si="318"/>
        <v>1.29</v>
      </c>
      <c r="W743" s="1049"/>
      <c r="X743" s="1051">
        <v>0.37</v>
      </c>
      <c r="Y743" s="1049"/>
      <c r="Z743" s="1050">
        <f t="shared" si="322"/>
        <v>0</v>
      </c>
      <c r="AA743" s="1058">
        <f>AA731*0.8</f>
        <v>37.656000000000006</v>
      </c>
      <c r="AB743" s="1086">
        <v>14</v>
      </c>
      <c r="AC743" s="1085">
        <v>15</v>
      </c>
      <c r="AD743" s="1084">
        <v>2.66</v>
      </c>
      <c r="AE743" s="1143">
        <f t="shared" si="319"/>
        <v>0</v>
      </c>
      <c r="AF743" s="1142">
        <v>4.3600000000000003</v>
      </c>
      <c r="AG743" s="1052">
        <f t="shared" si="320"/>
        <v>0.92</v>
      </c>
      <c r="AH743" s="1049"/>
      <c r="AI743" s="1142"/>
      <c r="AJ743" s="1049"/>
      <c r="AK743" s="1050">
        <f t="shared" si="323"/>
        <v>0</v>
      </c>
      <c r="AL743" s="1049"/>
      <c r="AM743" s="1058"/>
      <c r="AN743" s="1086"/>
      <c r="AO743" s="1085"/>
      <c r="AP743" s="1721"/>
      <c r="AQ743" s="1736"/>
      <c r="AR743" s="1751"/>
      <c r="AS743" s="1052"/>
      <c r="AT743" s="1049"/>
      <c r="AU743" s="1051"/>
      <c r="AV743" s="1049"/>
      <c r="AW743" s="1058">
        <f>AW731*0.8</f>
        <v>6.3680000000000021</v>
      </c>
      <c r="AX743" s="1086">
        <v>14</v>
      </c>
      <c r="AY743" s="1085">
        <v>15</v>
      </c>
      <c r="AZ743" s="1084">
        <v>0.36</v>
      </c>
      <c r="BA743" s="1736">
        <v>0.32</v>
      </c>
      <c r="BB743" s="1742">
        <f t="shared" si="321"/>
        <v>0.92</v>
      </c>
      <c r="BC743" s="1049"/>
      <c r="BD743" s="1051"/>
      <c r="BE743" s="1049"/>
      <c r="BF743" s="1058">
        <f>BF731*0.8</f>
        <v>3.952</v>
      </c>
      <c r="BG743" s="1086">
        <v>14</v>
      </c>
      <c r="BH743" s="1085">
        <v>15</v>
      </c>
      <c r="BI743" s="1874">
        <v>0.27</v>
      </c>
      <c r="BJ743" s="1736"/>
      <c r="BK743" s="1049"/>
      <c r="BL743" s="1058">
        <f>BL731*0.8</f>
        <v>0</v>
      </c>
      <c r="BM743" s="1086">
        <v>14</v>
      </c>
      <c r="BN743" s="1085">
        <v>15</v>
      </c>
      <c r="BO743" s="1084"/>
      <c r="BP743" s="1084"/>
      <c r="BQ743" s="1049"/>
    </row>
    <row r="744" spans="1:69" ht="14.4">
      <c r="A744" s="1049"/>
      <c r="B744" s="1060"/>
      <c r="C744" s="1086">
        <v>15</v>
      </c>
      <c r="D744" s="1085">
        <v>16</v>
      </c>
      <c r="E744" s="1091">
        <v>1.36</v>
      </c>
      <c r="F744" s="1090">
        <v>4.3600000000000003</v>
      </c>
      <c r="G744" s="1089">
        <f t="shared" si="315"/>
        <v>3.2058823529411766</v>
      </c>
      <c r="H744" s="1049"/>
      <c r="I744" s="1060"/>
      <c r="J744" s="1086">
        <v>15</v>
      </c>
      <c r="K744" s="1085">
        <v>16</v>
      </c>
      <c r="L744" s="1084">
        <v>1.825</v>
      </c>
      <c r="M744" s="1088">
        <v>10.81</v>
      </c>
      <c r="N744" s="1087">
        <f t="shared" si="316"/>
        <v>5.9232876712328775</v>
      </c>
      <c r="O744" s="1049"/>
      <c r="P744" s="1058" t="s">
        <v>1126</v>
      </c>
      <c r="Q744" s="1086">
        <v>15</v>
      </c>
      <c r="R744" s="1085">
        <v>16</v>
      </c>
      <c r="S744" s="1084">
        <v>2.04</v>
      </c>
      <c r="T744" s="1054">
        <f t="shared" si="317"/>
        <v>0.79560000000000008</v>
      </c>
      <c r="U744" s="1064">
        <v>2.93</v>
      </c>
      <c r="V744" s="1052">
        <f t="shared" si="318"/>
        <v>1.31</v>
      </c>
      <c r="W744" s="1049"/>
      <c r="X744" s="1051">
        <v>0.39</v>
      </c>
      <c r="Y744" s="1049"/>
      <c r="Z744" s="1050">
        <f t="shared" si="322"/>
        <v>0</v>
      </c>
      <c r="AA744" s="1058" t="s">
        <v>1126</v>
      </c>
      <c r="AB744" s="1086">
        <v>15</v>
      </c>
      <c r="AC744" s="1085">
        <v>16</v>
      </c>
      <c r="AD744" s="1084">
        <v>2.0499999999999998</v>
      </c>
      <c r="AE744" s="1143">
        <f t="shared" si="319"/>
        <v>0</v>
      </c>
      <c r="AF744" s="1142">
        <v>3.33</v>
      </c>
      <c r="AG744" s="1052">
        <f t="shared" si="320"/>
        <v>0.92</v>
      </c>
      <c r="AH744" s="1049"/>
      <c r="AI744" s="1142"/>
      <c r="AJ744" s="1049"/>
      <c r="AK744" s="1050">
        <f t="shared" si="323"/>
        <v>0</v>
      </c>
      <c r="AL744" s="1049"/>
      <c r="AM744" s="1058"/>
      <c r="AN744" s="1086"/>
      <c r="AO744" s="1085"/>
      <c r="AP744" s="1721"/>
      <c r="AQ744" s="1736"/>
      <c r="AR744" s="1751"/>
      <c r="AS744" s="1052"/>
      <c r="AT744" s="1049"/>
      <c r="AU744" s="1051"/>
      <c r="AV744" s="1049"/>
      <c r="AW744" s="1058" t="s">
        <v>1126</v>
      </c>
      <c r="AX744" s="1086">
        <v>15</v>
      </c>
      <c r="AY744" s="1085">
        <v>16</v>
      </c>
      <c r="AZ744" s="1084">
        <v>0.32</v>
      </c>
      <c r="BA744" s="1736">
        <v>0.28999999999999998</v>
      </c>
      <c r="BB744" s="1742">
        <f t="shared" si="321"/>
        <v>0.92</v>
      </c>
      <c r="BC744" s="1049"/>
      <c r="BD744" s="1051"/>
      <c r="BE744" s="1049"/>
      <c r="BF744" s="1058" t="s">
        <v>1126</v>
      </c>
      <c r="BG744" s="1086">
        <v>15</v>
      </c>
      <c r="BH744" s="1085">
        <v>16</v>
      </c>
      <c r="BI744" s="1874">
        <v>0.36</v>
      </c>
      <c r="BJ744" s="1736"/>
      <c r="BK744" s="1049"/>
      <c r="BL744" s="1058" t="s">
        <v>1126</v>
      </c>
      <c r="BM744" s="1086">
        <v>15</v>
      </c>
      <c r="BN744" s="1085">
        <v>16</v>
      </c>
      <c r="BO744" s="1084"/>
      <c r="BP744" s="1084"/>
      <c r="BQ744" s="1049"/>
    </row>
    <row r="745" spans="1:69" ht="15" thickBot="1">
      <c r="A745" s="1049"/>
      <c r="B745" s="1060"/>
      <c r="C745" s="1077">
        <v>16</v>
      </c>
      <c r="D745" s="1076">
        <v>17</v>
      </c>
      <c r="E745" s="1083">
        <v>1.35</v>
      </c>
      <c r="F745" s="1082">
        <v>3.67</v>
      </c>
      <c r="G745" s="1081">
        <f t="shared" si="315"/>
        <v>2.7185185185185183</v>
      </c>
      <c r="H745" s="1049"/>
      <c r="I745" s="1060"/>
      <c r="J745" s="1077">
        <v>16</v>
      </c>
      <c r="K745" s="1076">
        <v>17</v>
      </c>
      <c r="L745" s="1075">
        <v>1.4970000000000001</v>
      </c>
      <c r="M745" s="1080">
        <v>9.14</v>
      </c>
      <c r="N745" s="1079">
        <f t="shared" si="316"/>
        <v>6.1055444221776884</v>
      </c>
      <c r="O745" s="1049"/>
      <c r="P745" s="1078">
        <f>P731*(X728-0.8)</f>
        <v>76.444187500000012</v>
      </c>
      <c r="Q745" s="1077">
        <v>16</v>
      </c>
      <c r="R745" s="1076">
        <v>17</v>
      </c>
      <c r="S745" s="1075">
        <v>2.79</v>
      </c>
      <c r="T745" s="1054">
        <f t="shared" si="317"/>
        <v>0.92070000000000007</v>
      </c>
      <c r="U745" s="1064">
        <v>3.82</v>
      </c>
      <c r="V745" s="1052">
        <f t="shared" si="318"/>
        <v>1.25</v>
      </c>
      <c r="W745" s="1049"/>
      <c r="X745" s="1074">
        <v>0.33</v>
      </c>
      <c r="Y745" s="1049"/>
      <c r="Z745" s="1050">
        <f t="shared" si="322"/>
        <v>0</v>
      </c>
      <c r="AA745" s="1078" t="e">
        <f>AA731*(AI728-0.8)</f>
        <v>#DIV/0!</v>
      </c>
      <c r="AB745" s="1077">
        <v>16</v>
      </c>
      <c r="AC745" s="1076">
        <v>17</v>
      </c>
      <c r="AD745" s="1075">
        <v>2.68</v>
      </c>
      <c r="AE745" s="1141">
        <f t="shared" si="319"/>
        <v>0</v>
      </c>
      <c r="AF745" s="1140">
        <v>4.43</v>
      </c>
      <c r="AG745" s="1052">
        <f t="shared" si="320"/>
        <v>0.92</v>
      </c>
      <c r="AH745" s="1049"/>
      <c r="AI745" s="1140"/>
      <c r="AJ745" s="1049"/>
      <c r="AK745" s="1050">
        <f t="shared" si="323"/>
        <v>0</v>
      </c>
      <c r="AL745" s="1049"/>
      <c r="AM745" s="1078"/>
      <c r="AN745" s="1077"/>
      <c r="AO745" s="1076"/>
      <c r="AP745" s="1721"/>
      <c r="AQ745" s="1736"/>
      <c r="AR745" s="1751"/>
      <c r="AS745" s="1052"/>
      <c r="AT745" s="1049"/>
      <c r="AU745" s="1074"/>
      <c r="AV745" s="1049"/>
      <c r="AW745" s="1078" t="e">
        <f>AW731*(BD728-0.8)</f>
        <v>#DIV/0!</v>
      </c>
      <c r="AX745" s="1077">
        <v>16</v>
      </c>
      <c r="AY745" s="1076">
        <v>17</v>
      </c>
      <c r="AZ745" s="1075">
        <v>0.34</v>
      </c>
      <c r="BA745" s="1738">
        <v>0.41</v>
      </c>
      <c r="BB745" s="1743">
        <f t="shared" si="321"/>
        <v>0.92</v>
      </c>
      <c r="BC745" s="1049"/>
      <c r="BD745" s="1074"/>
      <c r="BE745" s="1049"/>
      <c r="BF745" s="1078">
        <f>BF731*(BM728-0.8)</f>
        <v>-3.952</v>
      </c>
      <c r="BG745" s="1077">
        <v>16</v>
      </c>
      <c r="BH745" s="1076">
        <v>17</v>
      </c>
      <c r="BI745" s="1874">
        <v>0.26</v>
      </c>
      <c r="BJ745" s="1738"/>
      <c r="BK745" s="1049"/>
      <c r="BL745" s="1078">
        <f>BL731*(BS728-0.8)</f>
        <v>0</v>
      </c>
      <c r="BM745" s="1077">
        <v>16</v>
      </c>
      <c r="BN745" s="1076">
        <v>17</v>
      </c>
      <c r="BO745" s="1075"/>
      <c r="BP745" s="1075"/>
      <c r="BQ745" s="1049"/>
    </row>
    <row r="746" spans="1:69" ht="14.4">
      <c r="A746" s="1049"/>
      <c r="B746" s="1060"/>
      <c r="C746" s="1068">
        <v>17</v>
      </c>
      <c r="D746" s="1067">
        <v>18</v>
      </c>
      <c r="E746" s="1073">
        <v>0.81</v>
      </c>
      <c r="F746" s="1072">
        <v>3.86</v>
      </c>
      <c r="G746" s="1071">
        <f t="shared" si="315"/>
        <v>4.7654320987654319</v>
      </c>
      <c r="H746" s="1049"/>
      <c r="I746" s="1060"/>
      <c r="J746" s="1068">
        <v>17</v>
      </c>
      <c r="K746" s="1067">
        <v>18</v>
      </c>
      <c r="L746" s="1066">
        <v>1.5609999999999999</v>
      </c>
      <c r="M746" s="1070">
        <v>11.04</v>
      </c>
      <c r="N746" s="1069">
        <f t="shared" si="316"/>
        <v>7.0723894939141569</v>
      </c>
      <c r="O746" s="1049"/>
      <c r="P746" s="1058"/>
      <c r="Q746" s="1068">
        <v>17</v>
      </c>
      <c r="R746" s="1067">
        <v>18</v>
      </c>
      <c r="S746" s="1066">
        <v>2.94</v>
      </c>
      <c r="T746" s="1054">
        <f t="shared" si="317"/>
        <v>1.2347999999999999</v>
      </c>
      <c r="U746" s="1064">
        <v>4.3</v>
      </c>
      <c r="V746" s="1052">
        <f t="shared" si="318"/>
        <v>1.34</v>
      </c>
      <c r="W746" s="1049"/>
      <c r="X746" s="1065">
        <v>0.42</v>
      </c>
      <c r="Y746" s="1049"/>
      <c r="Z746" s="1050">
        <f t="shared" si="322"/>
        <v>0</v>
      </c>
      <c r="AA746" s="1058"/>
      <c r="AB746" s="1068">
        <v>17</v>
      </c>
      <c r="AC746" s="1067">
        <v>18</v>
      </c>
      <c r="AD746" s="1066">
        <v>2.66</v>
      </c>
      <c r="AE746" s="1139">
        <f t="shared" si="319"/>
        <v>0</v>
      </c>
      <c r="AF746" s="1138">
        <v>6.59</v>
      </c>
      <c r="AG746" s="1052">
        <f t="shared" si="320"/>
        <v>0.92</v>
      </c>
      <c r="AH746" s="1049"/>
      <c r="AI746" s="1138"/>
      <c r="AJ746" s="1049"/>
      <c r="AK746" s="1050">
        <f t="shared" si="323"/>
        <v>0</v>
      </c>
      <c r="AL746" s="1049"/>
      <c r="AM746" s="1058"/>
      <c r="AN746" s="1068"/>
      <c r="AO746" s="1067"/>
      <c r="AP746" s="1721"/>
      <c r="AQ746" s="1736"/>
      <c r="AR746" s="1751"/>
      <c r="AS746" s="1052"/>
      <c r="AT746" s="1049"/>
      <c r="AU746" s="1065"/>
      <c r="AV746" s="1049"/>
      <c r="AW746" s="1058"/>
      <c r="AX746" s="1068">
        <v>17</v>
      </c>
      <c r="AY746" s="1067">
        <v>18</v>
      </c>
      <c r="AZ746" s="1066">
        <v>1.32</v>
      </c>
      <c r="BA746" s="1740">
        <v>3.01</v>
      </c>
      <c r="BB746" s="1744">
        <f t="shared" si="321"/>
        <v>0.92</v>
      </c>
      <c r="BC746" s="1049"/>
      <c r="BD746" s="1065"/>
      <c r="BE746" s="1049"/>
      <c r="BF746" s="1058"/>
      <c r="BG746" s="1068">
        <v>17</v>
      </c>
      <c r="BH746" s="1067">
        <v>18</v>
      </c>
      <c r="BI746" s="1874">
        <v>0.27</v>
      </c>
      <c r="BJ746" s="1740"/>
      <c r="BK746" s="1049"/>
      <c r="BL746" s="1058"/>
      <c r="BM746" s="1068">
        <v>17</v>
      </c>
      <c r="BN746" s="1067">
        <v>18</v>
      </c>
      <c r="BO746" s="1066"/>
      <c r="BP746" s="1066"/>
      <c r="BQ746" s="1049"/>
    </row>
    <row r="747" spans="1:69" ht="14.4">
      <c r="A747" s="1049"/>
      <c r="B747" s="1060"/>
      <c r="C747" s="1057">
        <v>18</v>
      </c>
      <c r="D747" s="1056">
        <v>19</v>
      </c>
      <c r="E747" s="1063">
        <v>0.45</v>
      </c>
      <c r="F747" s="1062">
        <v>2.92</v>
      </c>
      <c r="G747" s="1061">
        <f t="shared" si="315"/>
        <v>6.4888888888888889</v>
      </c>
      <c r="H747" s="1049"/>
      <c r="I747" s="1060"/>
      <c r="J747" s="1057">
        <v>18</v>
      </c>
      <c r="K747" s="1056">
        <v>19</v>
      </c>
      <c r="L747" s="1055">
        <v>1.7390000000000001</v>
      </c>
      <c r="M747" s="1059">
        <v>12.17</v>
      </c>
      <c r="N747" s="1052">
        <f t="shared" si="316"/>
        <v>6.9982748706152957</v>
      </c>
      <c r="O747" s="1049"/>
      <c r="P747" s="1058"/>
      <c r="Q747" s="1057">
        <v>18</v>
      </c>
      <c r="R747" s="1056">
        <v>19</v>
      </c>
      <c r="S747" s="1055">
        <v>3</v>
      </c>
      <c r="T747" s="1054">
        <f t="shared" si="317"/>
        <v>1.02</v>
      </c>
      <c r="U747" s="1064">
        <v>4.16</v>
      </c>
      <c r="V747" s="1052">
        <f t="shared" si="318"/>
        <v>1.26</v>
      </c>
      <c r="W747" s="1049"/>
      <c r="X747" s="1051">
        <v>0.34</v>
      </c>
      <c r="Y747" s="1049"/>
      <c r="Z747" s="1050">
        <f t="shared" si="322"/>
        <v>0</v>
      </c>
      <c r="AA747" s="1058"/>
      <c r="AB747" s="1057">
        <v>18</v>
      </c>
      <c r="AC747" s="1056">
        <v>19</v>
      </c>
      <c r="AD747" s="1055">
        <v>2.35</v>
      </c>
      <c r="AE747" s="1137">
        <f t="shared" si="319"/>
        <v>0</v>
      </c>
      <c r="AF747" s="1136">
        <v>5.76</v>
      </c>
      <c r="AG747" s="1052">
        <f t="shared" si="320"/>
        <v>0.92</v>
      </c>
      <c r="AH747" s="1049"/>
      <c r="AI747" s="1136"/>
      <c r="AJ747" s="1049"/>
      <c r="AK747" s="1050">
        <f t="shared" si="323"/>
        <v>0</v>
      </c>
      <c r="AL747" s="1049"/>
      <c r="AM747" s="1058"/>
      <c r="AN747" s="1057"/>
      <c r="AO747" s="1056"/>
      <c r="AP747" s="1721"/>
      <c r="AQ747" s="1736"/>
      <c r="AR747" s="1751"/>
      <c r="AS747" s="1052"/>
      <c r="AT747" s="1049"/>
      <c r="AU747" s="1051"/>
      <c r="AV747" s="1049"/>
      <c r="AW747" s="1058"/>
      <c r="AX747" s="1057">
        <v>18</v>
      </c>
      <c r="AY747" s="1056">
        <v>19</v>
      </c>
      <c r="AZ747" s="1055">
        <v>0.28999999999999998</v>
      </c>
      <c r="BA747" s="1736">
        <v>0.73</v>
      </c>
      <c r="BB747" s="1737">
        <f t="shared" si="321"/>
        <v>0.92</v>
      </c>
      <c r="BC747" s="1049"/>
      <c r="BD747" s="1051"/>
      <c r="BE747" s="1049"/>
      <c r="BF747" s="1058"/>
      <c r="BG747" s="1057">
        <v>18</v>
      </c>
      <c r="BH747" s="1056">
        <v>19</v>
      </c>
      <c r="BI747" s="1874">
        <v>0.25</v>
      </c>
      <c r="BJ747" s="1736"/>
      <c r="BK747" s="1049"/>
      <c r="BL747" s="1058"/>
      <c r="BM747" s="1057">
        <v>18</v>
      </c>
      <c r="BN747" s="1056">
        <v>19</v>
      </c>
      <c r="BO747" s="1055"/>
      <c r="BP747" s="1055"/>
      <c r="BQ747" s="1049"/>
    </row>
    <row r="748" spans="1:69" ht="14.4">
      <c r="A748" s="1049"/>
      <c r="B748" s="1060"/>
      <c r="C748" s="1057">
        <v>19</v>
      </c>
      <c r="D748" s="1056">
        <v>20</v>
      </c>
      <c r="E748" s="1063">
        <v>0.45</v>
      </c>
      <c r="F748" s="1062">
        <v>1.69</v>
      </c>
      <c r="G748" s="1061">
        <f t="shared" si="315"/>
        <v>3.7555555555555555</v>
      </c>
      <c r="H748" s="1049"/>
      <c r="I748" s="1060"/>
      <c r="J748" s="1057">
        <v>19</v>
      </c>
      <c r="K748" s="1056">
        <v>20</v>
      </c>
      <c r="L748" s="1055">
        <v>1.7150000000000001</v>
      </c>
      <c r="M748" s="1059">
        <v>11.52</v>
      </c>
      <c r="N748" s="1052">
        <f t="shared" si="316"/>
        <v>6.7172011661807574</v>
      </c>
      <c r="O748" s="1049"/>
      <c r="P748" s="1058"/>
      <c r="Q748" s="1057">
        <v>19</v>
      </c>
      <c r="R748" s="1056">
        <v>20</v>
      </c>
      <c r="S748" s="1055">
        <v>3</v>
      </c>
      <c r="T748" s="1054">
        <f t="shared" si="317"/>
        <v>78</v>
      </c>
      <c r="U748" s="1064">
        <v>3.91</v>
      </c>
      <c r="V748" s="1052">
        <f t="shared" si="318"/>
        <v>26.92</v>
      </c>
      <c r="W748" s="1049"/>
      <c r="X748" s="1051">
        <v>26</v>
      </c>
      <c r="Y748" s="1049"/>
      <c r="Z748" s="1050">
        <f t="shared" si="322"/>
        <v>9.3300000000000018</v>
      </c>
      <c r="AA748" s="1058"/>
      <c r="AB748" s="1057">
        <v>19</v>
      </c>
      <c r="AC748" s="1056">
        <v>20</v>
      </c>
      <c r="AD748" s="1055">
        <v>2.17</v>
      </c>
      <c r="AE748" s="1137">
        <f t="shared" si="319"/>
        <v>0</v>
      </c>
      <c r="AF748" s="1136">
        <v>5.33</v>
      </c>
      <c r="AG748" s="1052">
        <f t="shared" si="320"/>
        <v>0.92</v>
      </c>
      <c r="AH748" s="1049"/>
      <c r="AI748" s="1136"/>
      <c r="AJ748" s="1049"/>
      <c r="AK748" s="1050">
        <f t="shared" si="323"/>
        <v>0</v>
      </c>
      <c r="AL748" s="1049"/>
      <c r="AM748" s="1058"/>
      <c r="AN748" s="1057"/>
      <c r="AO748" s="1056"/>
      <c r="AP748" s="1721"/>
      <c r="AQ748" s="1736"/>
      <c r="AR748" s="1751"/>
      <c r="AS748" s="1052"/>
      <c r="AT748" s="1049"/>
      <c r="AU748" s="1051"/>
      <c r="AV748" s="1049"/>
      <c r="AW748" s="1058"/>
      <c r="AX748" s="1057">
        <v>19</v>
      </c>
      <c r="AY748" s="1056">
        <v>20</v>
      </c>
      <c r="AZ748" s="1055">
        <v>0.33</v>
      </c>
      <c r="BA748" s="1736">
        <v>0.9</v>
      </c>
      <c r="BB748" s="1737">
        <f t="shared" si="321"/>
        <v>0.92</v>
      </c>
      <c r="BC748" s="1049"/>
      <c r="BD748" s="1051"/>
      <c r="BE748" s="1049"/>
      <c r="BF748" s="1058"/>
      <c r="BG748" s="1057">
        <v>19</v>
      </c>
      <c r="BH748" s="1056">
        <v>20</v>
      </c>
      <c r="BI748" s="1874">
        <v>0.23</v>
      </c>
      <c r="BJ748" s="1736"/>
      <c r="BK748" s="1049"/>
      <c r="BL748" s="1058"/>
      <c r="BM748" s="1057">
        <v>19</v>
      </c>
      <c r="BN748" s="1056">
        <v>20</v>
      </c>
      <c r="BO748" s="1055"/>
      <c r="BP748" s="1055"/>
      <c r="BQ748" s="1049"/>
    </row>
    <row r="749" spans="1:69" ht="14.4">
      <c r="A749" s="1049"/>
      <c r="B749" s="1060"/>
      <c r="C749" s="1057">
        <v>20</v>
      </c>
      <c r="D749" s="1056">
        <v>21</v>
      </c>
      <c r="E749" s="1063">
        <v>0.53</v>
      </c>
      <c r="F749" s="1062">
        <v>1.65</v>
      </c>
      <c r="G749" s="1061">
        <f t="shared" si="315"/>
        <v>3.1132075471698109</v>
      </c>
      <c r="H749" s="1049"/>
      <c r="I749" s="1060"/>
      <c r="J749" s="1057">
        <v>20</v>
      </c>
      <c r="K749" s="1056">
        <v>21</v>
      </c>
      <c r="L749" s="1055">
        <v>1.494</v>
      </c>
      <c r="M749" s="1059">
        <v>8.23</v>
      </c>
      <c r="N749" s="1052">
        <f t="shared" si="316"/>
        <v>5.5087014725568944</v>
      </c>
      <c r="O749" s="1049"/>
      <c r="P749" s="1058"/>
      <c r="Q749" s="1057">
        <v>20</v>
      </c>
      <c r="R749" s="1056">
        <v>21</v>
      </c>
      <c r="S749" s="1055">
        <v>3.03</v>
      </c>
      <c r="T749" s="1054">
        <f t="shared" si="317"/>
        <v>0.48479999999999995</v>
      </c>
      <c r="U749" s="1064">
        <v>3.64</v>
      </c>
      <c r="V749" s="1052">
        <f t="shared" si="318"/>
        <v>1.08</v>
      </c>
      <c r="W749" s="1049"/>
      <c r="X749" s="1051">
        <v>0.16</v>
      </c>
      <c r="Y749" s="1049"/>
      <c r="Z749" s="1050">
        <f t="shared" si="322"/>
        <v>0</v>
      </c>
      <c r="AA749" s="1058"/>
      <c r="AB749" s="1057">
        <v>20</v>
      </c>
      <c r="AC749" s="1056">
        <v>21</v>
      </c>
      <c r="AD749" s="1055">
        <v>2.16</v>
      </c>
      <c r="AE749" s="1137">
        <f t="shared" si="319"/>
        <v>0</v>
      </c>
      <c r="AF749" s="1136">
        <v>3.57</v>
      </c>
      <c r="AG749" s="1052">
        <f t="shared" si="320"/>
        <v>0.92</v>
      </c>
      <c r="AH749" s="1049"/>
      <c r="AI749" s="1136"/>
      <c r="AJ749" s="1049"/>
      <c r="AK749" s="1050">
        <f t="shared" si="323"/>
        <v>0</v>
      </c>
      <c r="AL749" s="1049"/>
      <c r="AM749" s="1058"/>
      <c r="AN749" s="1057"/>
      <c r="AO749" s="1056"/>
      <c r="AP749" s="1721"/>
      <c r="AQ749" s="1736"/>
      <c r="AR749" s="1751"/>
      <c r="AS749" s="1052"/>
      <c r="AT749" s="1049"/>
      <c r="AU749" s="1051"/>
      <c r="AV749" s="1049"/>
      <c r="AW749" s="1058"/>
      <c r="AX749" s="1057">
        <v>20</v>
      </c>
      <c r="AY749" s="1056">
        <v>21</v>
      </c>
      <c r="AZ749" s="1055">
        <v>0.32</v>
      </c>
      <c r="BA749" s="1736">
        <v>0.61</v>
      </c>
      <c r="BB749" s="1737">
        <f t="shared" si="321"/>
        <v>0.92</v>
      </c>
      <c r="BC749" s="1049"/>
      <c r="BD749" s="1051"/>
      <c r="BE749" s="1049"/>
      <c r="BF749" s="1058"/>
      <c r="BG749" s="1057">
        <v>20</v>
      </c>
      <c r="BH749" s="1056">
        <v>21</v>
      </c>
      <c r="BI749" s="1874">
        <v>0.2</v>
      </c>
      <c r="BJ749" s="1736"/>
      <c r="BK749" s="1049"/>
      <c r="BL749" s="1058"/>
      <c r="BM749" s="1057">
        <v>20</v>
      </c>
      <c r="BN749" s="1056">
        <v>21</v>
      </c>
      <c r="BO749" s="1055"/>
      <c r="BP749" s="1055"/>
      <c r="BQ749" s="1049"/>
    </row>
    <row r="750" spans="1:69" ht="14.4">
      <c r="A750" s="1049"/>
      <c r="B750" s="1060"/>
      <c r="C750" s="1057">
        <v>21</v>
      </c>
      <c r="D750" s="1056">
        <v>22</v>
      </c>
      <c r="E750" s="1063">
        <v>0.35</v>
      </c>
      <c r="F750" s="1062">
        <v>1.53</v>
      </c>
      <c r="G750" s="1061">
        <f t="shared" si="315"/>
        <v>4.3714285714285719</v>
      </c>
      <c r="H750" s="1049"/>
      <c r="I750" s="1060"/>
      <c r="J750" s="1057">
        <v>21</v>
      </c>
      <c r="K750" s="1056">
        <v>22</v>
      </c>
      <c r="L750" s="1055">
        <v>1.623</v>
      </c>
      <c r="M750" s="1059">
        <v>7.89</v>
      </c>
      <c r="N750" s="1052">
        <f t="shared" si="316"/>
        <v>4.8613678373382623</v>
      </c>
      <c r="O750" s="1049"/>
      <c r="P750" s="1058"/>
      <c r="Q750" s="1057">
        <v>21</v>
      </c>
      <c r="R750" s="1056">
        <v>22</v>
      </c>
      <c r="S750" s="1055">
        <v>2.85</v>
      </c>
      <c r="T750" s="1054">
        <f t="shared" si="317"/>
        <v>0.39900000000000008</v>
      </c>
      <c r="U750" s="1064">
        <v>3.37</v>
      </c>
      <c r="V750" s="1052">
        <f t="shared" si="318"/>
        <v>1.06</v>
      </c>
      <c r="W750" s="1049"/>
      <c r="X750" s="1051">
        <v>0.14000000000000001</v>
      </c>
      <c r="Y750" s="1049"/>
      <c r="Z750" s="1050">
        <f t="shared" si="322"/>
        <v>0</v>
      </c>
      <c r="AA750" s="1058"/>
      <c r="AB750" s="1057">
        <v>21</v>
      </c>
      <c r="AC750" s="1056">
        <v>22</v>
      </c>
      <c r="AD750" s="1055">
        <v>2.5099999999999998</v>
      </c>
      <c r="AE750" s="1137">
        <f t="shared" si="319"/>
        <v>0</v>
      </c>
      <c r="AF750" s="1136">
        <v>4.09</v>
      </c>
      <c r="AG750" s="1052">
        <f t="shared" si="320"/>
        <v>0.92</v>
      </c>
      <c r="AH750" s="1049"/>
      <c r="AI750" s="1136"/>
      <c r="AJ750" s="1049"/>
      <c r="AK750" s="1050">
        <f t="shared" si="323"/>
        <v>0</v>
      </c>
      <c r="AL750" s="1049"/>
      <c r="AM750" s="1058"/>
      <c r="AN750" s="1057"/>
      <c r="AO750" s="1056"/>
      <c r="AP750" s="1721"/>
      <c r="AQ750" s="1736"/>
      <c r="AR750" s="1751"/>
      <c r="AS750" s="1052"/>
      <c r="AT750" s="1049"/>
      <c r="AU750" s="1051"/>
      <c r="AV750" s="1049"/>
      <c r="AW750" s="1058"/>
      <c r="AX750" s="1057">
        <v>21</v>
      </c>
      <c r="AY750" s="1056">
        <v>22</v>
      </c>
      <c r="AZ750" s="1055">
        <v>0.4</v>
      </c>
      <c r="BA750" s="1736">
        <v>0.71</v>
      </c>
      <c r="BB750" s="1737">
        <f t="shared" si="321"/>
        <v>0.92</v>
      </c>
      <c r="BC750" s="1049"/>
      <c r="BD750" s="1051"/>
      <c r="BE750" s="1049"/>
      <c r="BF750" s="1058"/>
      <c r="BG750" s="1057">
        <v>21</v>
      </c>
      <c r="BH750" s="1056">
        <v>22</v>
      </c>
      <c r="BI750" s="1874">
        <v>0.19</v>
      </c>
      <c r="BJ750" s="1736"/>
      <c r="BK750" s="1049"/>
      <c r="BL750" s="1058"/>
      <c r="BM750" s="1057">
        <v>21</v>
      </c>
      <c r="BN750" s="1056">
        <v>22</v>
      </c>
      <c r="BO750" s="1055"/>
      <c r="BP750" s="1055"/>
      <c r="BQ750" s="1049"/>
    </row>
    <row r="751" spans="1:69" ht="14.4">
      <c r="A751" s="1049"/>
      <c r="B751" s="1060"/>
      <c r="C751" s="1057">
        <v>22</v>
      </c>
      <c r="D751" s="1056">
        <v>23</v>
      </c>
      <c r="E751" s="1063">
        <v>0.31</v>
      </c>
      <c r="F751" s="1062">
        <v>1</v>
      </c>
      <c r="G751" s="1061">
        <f t="shared" si="315"/>
        <v>3.2258064516129035</v>
      </c>
      <c r="H751" s="1049"/>
      <c r="I751" s="1060"/>
      <c r="J751" s="1057">
        <v>22</v>
      </c>
      <c r="K751" s="1056">
        <v>23</v>
      </c>
      <c r="L751" s="1055">
        <v>1.9930000000000001</v>
      </c>
      <c r="M751" s="1059">
        <v>9.18</v>
      </c>
      <c r="N751" s="1052">
        <f t="shared" si="316"/>
        <v>4.6061214249874558</v>
      </c>
      <c r="O751" s="1049"/>
      <c r="P751" s="1058"/>
      <c r="Q751" s="1057">
        <v>22</v>
      </c>
      <c r="R751" s="1056">
        <v>23</v>
      </c>
      <c r="S751" s="1055">
        <v>3.34</v>
      </c>
      <c r="T751" s="1054">
        <f t="shared" si="317"/>
        <v>0.46760000000000002</v>
      </c>
      <c r="U751" s="1064">
        <v>3.94</v>
      </c>
      <c r="V751" s="1052">
        <f t="shared" si="318"/>
        <v>1.06</v>
      </c>
      <c r="W751" s="1049"/>
      <c r="X751" s="1051">
        <v>0.14000000000000001</v>
      </c>
      <c r="Y751" s="1049"/>
      <c r="Z751" s="1050">
        <f t="shared" si="322"/>
        <v>0</v>
      </c>
      <c r="AA751" s="1058"/>
      <c r="AB751" s="1057">
        <v>22</v>
      </c>
      <c r="AC751" s="1056">
        <v>23</v>
      </c>
      <c r="AD751" s="1055">
        <v>2.11</v>
      </c>
      <c r="AE751" s="1137">
        <f t="shared" si="319"/>
        <v>0</v>
      </c>
      <c r="AF751" s="1136">
        <v>3.46</v>
      </c>
      <c r="AG751" s="1052">
        <f t="shared" si="320"/>
        <v>0.92</v>
      </c>
      <c r="AH751" s="1049"/>
      <c r="AI751" s="1136"/>
      <c r="AJ751" s="1049"/>
      <c r="AK751" s="1050">
        <f t="shared" si="323"/>
        <v>0</v>
      </c>
      <c r="AL751" s="1049"/>
      <c r="AM751" s="1058"/>
      <c r="AN751" s="1057"/>
      <c r="AO751" s="1056"/>
      <c r="AP751" s="1721"/>
      <c r="AQ751" s="1736"/>
      <c r="AR751" s="1751"/>
      <c r="AS751" s="1052"/>
      <c r="AT751" s="1049"/>
      <c r="AU751" s="1051"/>
      <c r="AV751" s="1049"/>
      <c r="AW751" s="1058"/>
      <c r="AX751" s="1057">
        <v>22</v>
      </c>
      <c r="AY751" s="1056">
        <v>23</v>
      </c>
      <c r="AZ751" s="1055">
        <v>0.37</v>
      </c>
      <c r="BA751" s="1736">
        <v>0.64</v>
      </c>
      <c r="BB751" s="1737">
        <f t="shared" si="321"/>
        <v>0.92</v>
      </c>
      <c r="BC751" s="1049"/>
      <c r="BD751" s="1051"/>
      <c r="BE751" s="1049"/>
      <c r="BF751" s="1058"/>
      <c r="BG751" s="1057">
        <v>22</v>
      </c>
      <c r="BH751" s="1056">
        <v>23</v>
      </c>
      <c r="BI751" s="1874">
        <v>0.22</v>
      </c>
      <c r="BJ751" s="1736"/>
      <c r="BK751" s="1049"/>
      <c r="BL751" s="1058"/>
      <c r="BM751" s="1057">
        <v>22</v>
      </c>
      <c r="BN751" s="1056">
        <v>23</v>
      </c>
      <c r="BO751" s="1055"/>
      <c r="BP751" s="1055"/>
      <c r="BQ751" s="1049"/>
    </row>
    <row r="752" spans="1:69" ht="14.4">
      <c r="A752" s="1049"/>
      <c r="B752" s="1060"/>
      <c r="C752" s="1057">
        <v>23</v>
      </c>
      <c r="D752" s="1056">
        <v>24</v>
      </c>
      <c r="E752" s="1063">
        <v>0.24</v>
      </c>
      <c r="F752" s="1062">
        <v>0.85</v>
      </c>
      <c r="G752" s="1061">
        <f t="shared" si="315"/>
        <v>3.5416666666666665</v>
      </c>
      <c r="H752" s="1049"/>
      <c r="I752" s="1060"/>
      <c r="J752" s="1057">
        <v>23</v>
      </c>
      <c r="K752" s="1056">
        <v>24</v>
      </c>
      <c r="L752" s="1055">
        <v>1.992</v>
      </c>
      <c r="M752" s="1059">
        <v>8.44</v>
      </c>
      <c r="N752" s="1052">
        <f t="shared" si="316"/>
        <v>4.236947791164658</v>
      </c>
      <c r="O752" s="1049"/>
      <c r="P752" s="1058"/>
      <c r="Q752" s="1057">
        <v>23</v>
      </c>
      <c r="R752" s="1056">
        <v>24</v>
      </c>
      <c r="S752" s="1055">
        <v>2.74</v>
      </c>
      <c r="T752" s="1054">
        <f t="shared" si="317"/>
        <v>0.73980000000000012</v>
      </c>
      <c r="U752" s="1053">
        <v>3.23</v>
      </c>
      <c r="V752" s="1052">
        <f t="shared" si="318"/>
        <v>1.19</v>
      </c>
      <c r="W752" s="1049"/>
      <c r="X752" s="1051">
        <v>0.27</v>
      </c>
      <c r="Y752" s="1049"/>
      <c r="Z752" s="1050">
        <f t="shared" si="322"/>
        <v>0</v>
      </c>
      <c r="AA752" s="1058"/>
      <c r="AB752" s="1057">
        <v>23</v>
      </c>
      <c r="AC752" s="1056">
        <v>24</v>
      </c>
      <c r="AD752" s="1055">
        <v>1.96</v>
      </c>
      <c r="AE752" s="1137">
        <f t="shared" si="319"/>
        <v>0</v>
      </c>
      <c r="AF752" s="1136">
        <v>3.25</v>
      </c>
      <c r="AG752" s="1052">
        <f t="shared" si="320"/>
        <v>0.92</v>
      </c>
      <c r="AH752" s="1049"/>
      <c r="AI752" s="1136"/>
      <c r="AJ752" s="1049"/>
      <c r="AK752" s="1050">
        <f t="shared" si="323"/>
        <v>0</v>
      </c>
      <c r="AL752" s="1049"/>
      <c r="AM752" s="1058"/>
      <c r="AN752" s="1057"/>
      <c r="AO752" s="1056"/>
      <c r="AP752" s="1721"/>
      <c r="AQ752" s="1736"/>
      <c r="AR752" s="1751"/>
      <c r="AS752" s="1052"/>
      <c r="AT752" s="1049"/>
      <c r="AU752" s="1051"/>
      <c r="AV752" s="1049"/>
      <c r="AW752" s="1058"/>
      <c r="AX752" s="1057">
        <v>23</v>
      </c>
      <c r="AY752" s="1056">
        <v>24</v>
      </c>
      <c r="AZ752" s="1055">
        <v>0.24</v>
      </c>
      <c r="BA752" s="1736">
        <v>0.4</v>
      </c>
      <c r="BB752" s="1737">
        <f t="shared" si="321"/>
        <v>0.92</v>
      </c>
      <c r="BC752" s="1049"/>
      <c r="BD752" s="1051"/>
      <c r="BE752" s="1049"/>
      <c r="BF752" s="1058"/>
      <c r="BG752" s="1057">
        <v>23</v>
      </c>
      <c r="BH752" s="1056">
        <v>24</v>
      </c>
      <c r="BI752" s="1874">
        <v>0.13</v>
      </c>
      <c r="BJ752" s="1736"/>
      <c r="BK752" s="1049"/>
      <c r="BL752" s="1058"/>
      <c r="BM752" s="1057">
        <v>23</v>
      </c>
      <c r="BN752" s="1056">
        <v>24</v>
      </c>
      <c r="BO752" s="1055"/>
      <c r="BP752" s="1055"/>
      <c r="BQ752" s="1049"/>
    </row>
    <row r="753" spans="1:69" ht="14.4">
      <c r="A753" s="1036"/>
      <c r="B753" s="1044"/>
      <c r="C753" s="1135"/>
      <c r="D753" s="1135"/>
      <c r="E753" s="1134"/>
      <c r="F753" s="1133"/>
      <c r="G753" s="1132"/>
      <c r="H753" s="1044"/>
      <c r="I753" s="1044"/>
      <c r="J753" s="1046"/>
      <c r="K753" s="1046"/>
      <c r="L753" s="1129"/>
      <c r="M753" s="1131"/>
      <c r="N753" s="1039"/>
      <c r="O753" s="1044"/>
      <c r="P753" s="1130" t="s">
        <v>1128</v>
      </c>
      <c r="Q753" s="1046"/>
      <c r="R753" s="1046"/>
      <c r="S753" s="1129">
        <f>AVERAGE(S754:S777)</f>
        <v>2.4920833333333334</v>
      </c>
      <c r="T753" s="1128"/>
      <c r="U753" s="1040">
        <f>AVERAGE(U754:U777)</f>
        <v>3.4458333333333333</v>
      </c>
      <c r="V753" s="1039">
        <f>AVERAGE(V754:V777)</f>
        <v>1.2277500000000001</v>
      </c>
      <c r="W753" s="1036"/>
      <c r="X753" s="1038">
        <f>AVERAGE(X762:X777)</f>
        <v>0.39562499999999989</v>
      </c>
      <c r="Y753" s="1036"/>
      <c r="Z753" s="1127">
        <f>SUM(Z754:Z777)</f>
        <v>0</v>
      </c>
      <c r="AA753" s="1130"/>
      <c r="AB753" s="1046"/>
      <c r="AC753" s="1046"/>
      <c r="AD753" s="1129">
        <f>AVERAGE(AD754:AD777)</f>
        <v>2.3399999999999994</v>
      </c>
      <c r="AE753" s="1128"/>
      <c r="AF753" s="1040">
        <f>AVERAGE(AF754:AF777)</f>
        <v>4.2795833333333331</v>
      </c>
      <c r="AG753" s="1039">
        <f>AVERAGE(AG754:AG777)</f>
        <v>0.92000000000000048</v>
      </c>
      <c r="AH753" s="1036"/>
      <c r="AI753" s="1038" t="e">
        <f>AVERAGE(AI762:AI777)</f>
        <v>#DIV/0!</v>
      </c>
      <c r="AJ753" s="1036"/>
      <c r="AK753" s="1127">
        <f>SUM(AK754:AK777)</f>
        <v>0</v>
      </c>
      <c r="AL753" s="1036"/>
      <c r="AM753" s="1130"/>
      <c r="AN753" s="1046"/>
      <c r="AO753" s="1046"/>
      <c r="AP753" s="1129"/>
      <c r="AQ753" s="1734"/>
      <c r="AR753" s="1735"/>
      <c r="AS753" s="1039"/>
      <c r="AT753" s="1036"/>
      <c r="AU753" s="1038"/>
      <c r="AV753" s="1036"/>
      <c r="AW753" s="1130"/>
      <c r="AX753" s="1046"/>
      <c r="AY753" s="1046"/>
      <c r="AZ753" s="1129">
        <f>AVERAGE(AZ754:AZ777)</f>
        <v>0.30916666666666665</v>
      </c>
      <c r="BA753" s="1045">
        <f>AVERAGE(BA754:BA777)</f>
        <v>0.61583333333333334</v>
      </c>
      <c r="BB753" s="1039">
        <f>AVERAGE(BB754:BB777)</f>
        <v>0.92000000000000048</v>
      </c>
      <c r="BC753" s="1036"/>
      <c r="BD753" s="1038" t="e">
        <f>AVERAGE(BD762:BD777)</f>
        <v>#DIV/0!</v>
      </c>
      <c r="BE753" s="1036"/>
      <c r="BF753" s="1130"/>
      <c r="BG753" s="2756"/>
      <c r="BH753" s="2756"/>
      <c r="BI753" s="1897"/>
      <c r="BJ753" s="1898"/>
      <c r="BK753" s="1036"/>
      <c r="BL753" s="1130"/>
      <c r="BM753" s="1046"/>
      <c r="BN753" s="1046"/>
      <c r="BO753" s="1129" t="e">
        <f>AVERAGE(BO754:BO777)</f>
        <v>#DIV/0!</v>
      </c>
      <c r="BP753" s="1129" t="e">
        <f>AVERAGE(BP754:BP777)</f>
        <v>#DIV/0!</v>
      </c>
      <c r="BQ753" s="1036"/>
    </row>
    <row r="754" spans="1:69" ht="14.4">
      <c r="A754" s="1049"/>
      <c r="B754" s="1126">
        <v>44865</v>
      </c>
      <c r="C754" s="1057">
        <v>0</v>
      </c>
      <c r="D754" s="1056">
        <v>1</v>
      </c>
      <c r="E754" s="1063">
        <v>0.2</v>
      </c>
      <c r="F754" s="1062">
        <v>1.1599999999999999</v>
      </c>
      <c r="G754" s="1061">
        <f t="shared" ref="G754:G777" si="324">F754/E754</f>
        <v>5.7999999999999989</v>
      </c>
      <c r="H754" s="1049"/>
      <c r="I754" s="1126"/>
      <c r="J754" s="1057"/>
      <c r="K754" s="1056"/>
      <c r="L754" s="1055"/>
      <c r="M754" s="1059"/>
      <c r="N754" s="1052"/>
      <c r="O754" s="1049"/>
      <c r="P754" s="1125">
        <v>44926</v>
      </c>
      <c r="Q754" s="1057">
        <v>0</v>
      </c>
      <c r="R754" s="1056">
        <v>1</v>
      </c>
      <c r="S754" s="1055">
        <v>1.86</v>
      </c>
      <c r="T754" s="1054">
        <f t="shared" ref="T754:T777" si="325">S754*X754</f>
        <v>0.24552000000000002</v>
      </c>
      <c r="U754" s="1064">
        <v>2.19</v>
      </c>
      <c r="V754" s="1052">
        <f t="shared" ref="V754:V777" si="326">X754+0.92</f>
        <v>1.052</v>
      </c>
      <c r="W754" s="1049"/>
      <c r="X754" s="1051">
        <v>0.13200000000000001</v>
      </c>
      <c r="Y754" s="1049"/>
      <c r="Z754" s="1050">
        <f>IF(X754&lt;0.8,0,S754*(X754-0.8))</f>
        <v>0</v>
      </c>
      <c r="AA754" s="1125">
        <v>44957</v>
      </c>
      <c r="AB754" s="1057">
        <v>0</v>
      </c>
      <c r="AC754" s="1056">
        <v>1</v>
      </c>
      <c r="AD754" s="1721">
        <v>1.02</v>
      </c>
      <c r="AE754" s="1054">
        <f t="shared" ref="AE754:AE777" si="327">AD754*AI754</f>
        <v>0</v>
      </c>
      <c r="AF754" s="1721">
        <v>1.7</v>
      </c>
      <c r="AG754" s="1052">
        <f t="shared" ref="AG754:AG777" si="328">AI754+0.92</f>
        <v>0.92</v>
      </c>
      <c r="AH754" s="1049"/>
      <c r="AI754" s="1051"/>
      <c r="AJ754" s="1049"/>
      <c r="AK754" s="1050">
        <f>IF(AI754&lt;0.8,0,AD754*(AI754-0.8))</f>
        <v>0</v>
      </c>
      <c r="AL754" s="1049"/>
      <c r="AM754" s="1125"/>
      <c r="AN754" s="1057"/>
      <c r="AO754" s="1056"/>
      <c r="AP754" s="1721"/>
      <c r="AQ754" s="1736"/>
      <c r="AR754" s="1751"/>
      <c r="AS754" s="1052"/>
      <c r="AT754" s="1049"/>
      <c r="AU754" s="1051"/>
      <c r="AV754" s="1049"/>
      <c r="AW754" s="1125">
        <v>45016</v>
      </c>
      <c r="AX754" s="1057">
        <v>0</v>
      </c>
      <c r="AY754" s="1056">
        <v>1</v>
      </c>
      <c r="AZ754" s="1055">
        <v>0.18</v>
      </c>
      <c r="BA754" s="1736">
        <v>0.26</v>
      </c>
      <c r="BB754" s="1737">
        <f t="shared" ref="BB754:BB777" si="329">BD754+0.92</f>
        <v>0.92</v>
      </c>
      <c r="BC754" s="1049"/>
      <c r="BD754" s="1051"/>
      <c r="BE754" s="1049"/>
      <c r="BF754" s="1125">
        <v>45016</v>
      </c>
      <c r="BG754" s="1057">
        <v>0</v>
      </c>
      <c r="BH754" s="1056">
        <v>1</v>
      </c>
      <c r="BI754" s="1055"/>
      <c r="BJ754" s="1736"/>
      <c r="BK754" s="1049"/>
      <c r="BL754" s="1125">
        <v>45016</v>
      </c>
      <c r="BM754" s="1057">
        <v>0</v>
      </c>
      <c r="BN754" s="1056">
        <v>1</v>
      </c>
      <c r="BO754" s="1055"/>
      <c r="BP754" s="1055"/>
      <c r="BQ754" s="1049"/>
    </row>
    <row r="755" spans="1:69" ht="14.4">
      <c r="A755" s="1049"/>
      <c r="B755" s="1124"/>
      <c r="C755" s="1057">
        <v>1</v>
      </c>
      <c r="D755" s="1056">
        <v>2</v>
      </c>
      <c r="E755" s="1063">
        <v>0.22</v>
      </c>
      <c r="F755" s="1062">
        <v>0.59</v>
      </c>
      <c r="G755" s="1061">
        <f t="shared" si="324"/>
        <v>2.6818181818181817</v>
      </c>
      <c r="H755" s="1049"/>
      <c r="I755" s="1124"/>
      <c r="J755" s="1057"/>
      <c r="K755" s="1056"/>
      <c r="L755" s="1055"/>
      <c r="M755" s="1059"/>
      <c r="N755" s="1052"/>
      <c r="O755" s="1049"/>
      <c r="P755" s="1123"/>
      <c r="Q755" s="1057">
        <v>1</v>
      </c>
      <c r="R755" s="1056">
        <v>2</v>
      </c>
      <c r="S755" s="1055">
        <v>1.73</v>
      </c>
      <c r="T755" s="1054">
        <f t="shared" si="325"/>
        <v>0.22836000000000001</v>
      </c>
      <c r="U755" s="1064">
        <v>2.04</v>
      </c>
      <c r="V755" s="1052">
        <f t="shared" si="326"/>
        <v>1.052</v>
      </c>
      <c r="W755" s="1049"/>
      <c r="X755" s="1051">
        <v>0.13200000000000001</v>
      </c>
      <c r="Y755" s="1049"/>
      <c r="Z755" s="1050">
        <f t="shared" ref="Z755:Z777" si="330">IF(X755&lt;0.8,0,S755*(U755-0.8))</f>
        <v>0</v>
      </c>
      <c r="AA755" s="1123"/>
      <c r="AB755" s="1057">
        <v>1</v>
      </c>
      <c r="AC755" s="1056">
        <v>2</v>
      </c>
      <c r="AD755" s="1721">
        <v>0.93</v>
      </c>
      <c r="AE755" s="1054">
        <f t="shared" si="327"/>
        <v>0</v>
      </c>
      <c r="AF755" s="1721">
        <v>1.54</v>
      </c>
      <c r="AG755" s="1052">
        <f t="shared" si="328"/>
        <v>0.92</v>
      </c>
      <c r="AH755" s="1049"/>
      <c r="AI755" s="1051"/>
      <c r="AJ755" s="1049"/>
      <c r="AK755" s="1050">
        <f t="shared" ref="AK755:AK777" si="331">IF(AI755&lt;0.8,0,AD755*(AF755-0.8))</f>
        <v>0</v>
      </c>
      <c r="AL755" s="1049"/>
      <c r="AM755" s="1123"/>
      <c r="AN755" s="1057"/>
      <c r="AO755" s="1056"/>
      <c r="AP755" s="1721"/>
      <c r="AQ755" s="1736"/>
      <c r="AR755" s="1751"/>
      <c r="AS755" s="1052"/>
      <c r="AT755" s="1049"/>
      <c r="AU755" s="1051"/>
      <c r="AV755" s="1049"/>
      <c r="AW755" s="1123"/>
      <c r="AX755" s="1057">
        <v>1</v>
      </c>
      <c r="AY755" s="1056">
        <v>2</v>
      </c>
      <c r="AZ755" s="1055">
        <v>0.13</v>
      </c>
      <c r="BA755" s="1736">
        <v>0.19</v>
      </c>
      <c r="BB755" s="1737">
        <f t="shared" si="329"/>
        <v>0.92</v>
      </c>
      <c r="BC755" s="1049"/>
      <c r="BD755" s="1051"/>
      <c r="BE755" s="1049"/>
      <c r="BF755" s="1123"/>
      <c r="BG755" s="1057">
        <v>1</v>
      </c>
      <c r="BH755" s="1056">
        <v>2</v>
      </c>
      <c r="BI755" s="1055"/>
      <c r="BJ755" s="1736"/>
      <c r="BK755" s="1049"/>
      <c r="BL755" s="1123"/>
      <c r="BM755" s="1057">
        <v>1</v>
      </c>
      <c r="BN755" s="1056">
        <v>2</v>
      </c>
      <c r="BO755" s="1055"/>
      <c r="BP755" s="1055"/>
      <c r="BQ755" s="1049"/>
    </row>
    <row r="756" spans="1:69" ht="14.4">
      <c r="A756" s="1049"/>
      <c r="B756" s="1122">
        <f>SUM(E754:E777)</f>
        <v>13.690000000000005</v>
      </c>
      <c r="C756" s="1057">
        <v>2</v>
      </c>
      <c r="D756" s="1056">
        <v>3</v>
      </c>
      <c r="E756" s="1063">
        <v>0.21</v>
      </c>
      <c r="F756" s="1062">
        <v>0.55000000000000004</v>
      </c>
      <c r="G756" s="1061">
        <f t="shared" si="324"/>
        <v>2.6190476190476195</v>
      </c>
      <c r="H756" s="1049"/>
      <c r="I756" s="1122"/>
      <c r="J756" s="1057"/>
      <c r="K756" s="1056"/>
      <c r="L756" s="1055"/>
      <c r="M756" s="1059"/>
      <c r="N756" s="1052"/>
      <c r="O756" s="1049"/>
      <c r="P756" s="1121">
        <f>SUM(S754:S777)</f>
        <v>59.81</v>
      </c>
      <c r="Q756" s="1057">
        <v>2</v>
      </c>
      <c r="R756" s="1056">
        <v>3</v>
      </c>
      <c r="S756" s="1055">
        <v>1.75</v>
      </c>
      <c r="T756" s="1054">
        <f t="shared" si="325"/>
        <v>0.23100000000000001</v>
      </c>
      <c r="U756" s="1064">
        <v>2.06</v>
      </c>
      <c r="V756" s="1052">
        <f t="shared" si="326"/>
        <v>1.052</v>
      </c>
      <c r="W756" s="1049"/>
      <c r="X756" s="1051">
        <v>0.13200000000000001</v>
      </c>
      <c r="Y756" s="1049"/>
      <c r="Z756" s="1050">
        <f t="shared" si="330"/>
        <v>0</v>
      </c>
      <c r="AA756" s="1121">
        <f>SUM(AD754:AD777)</f>
        <v>56.159999999999982</v>
      </c>
      <c r="AB756" s="1057">
        <v>2</v>
      </c>
      <c r="AC756" s="1056">
        <v>3</v>
      </c>
      <c r="AD756" s="1721">
        <v>0.95</v>
      </c>
      <c r="AE756" s="1054">
        <f t="shared" si="327"/>
        <v>0</v>
      </c>
      <c r="AF756" s="1721">
        <v>1.6</v>
      </c>
      <c r="AG756" s="1052">
        <f t="shared" si="328"/>
        <v>0.92</v>
      </c>
      <c r="AH756" s="1049"/>
      <c r="AI756" s="1051"/>
      <c r="AJ756" s="1049"/>
      <c r="AK756" s="1050">
        <f t="shared" si="331"/>
        <v>0</v>
      </c>
      <c r="AL756" s="1049"/>
      <c r="AM756" s="1121"/>
      <c r="AN756" s="1057"/>
      <c r="AO756" s="1056"/>
      <c r="AP756" s="1721"/>
      <c r="AQ756" s="1736"/>
      <c r="AR756" s="1751"/>
      <c r="AS756" s="1052"/>
      <c r="AT756" s="1049"/>
      <c r="AU756" s="1051"/>
      <c r="AV756" s="1049"/>
      <c r="AW756" s="1121">
        <f>SUM(AZ754:AZ777)</f>
        <v>7.419999999999999</v>
      </c>
      <c r="AX756" s="1057">
        <v>2</v>
      </c>
      <c r="AY756" s="1056">
        <v>3</v>
      </c>
      <c r="AZ756" s="1055">
        <v>0.1</v>
      </c>
      <c r="BA756" s="1736">
        <v>0.14000000000000001</v>
      </c>
      <c r="BB756" s="1737">
        <f t="shared" si="329"/>
        <v>0.92</v>
      </c>
      <c r="BC756" s="1049"/>
      <c r="BD756" s="1051"/>
      <c r="BE756" s="1049"/>
      <c r="BF756" s="1121">
        <f>SUM(BI754:BI777)</f>
        <v>0</v>
      </c>
      <c r="BG756" s="1057">
        <v>2</v>
      </c>
      <c r="BH756" s="1056">
        <v>3</v>
      </c>
      <c r="BI756" s="1055"/>
      <c r="BJ756" s="1736"/>
      <c r="BK756" s="1049"/>
      <c r="BL756" s="1121">
        <f>SUM(BO754:BO777)+SUM(BP754:BP777)</f>
        <v>0</v>
      </c>
      <c r="BM756" s="1057">
        <v>2</v>
      </c>
      <c r="BN756" s="1056">
        <v>3</v>
      </c>
      <c r="BO756" s="1055"/>
      <c r="BP756" s="1055"/>
      <c r="BQ756" s="1049"/>
    </row>
    <row r="757" spans="1:69" ht="14.4">
      <c r="A757" s="1049"/>
      <c r="B757" s="1120">
        <f>B756/24</f>
        <v>0.5704166666666669</v>
      </c>
      <c r="C757" s="1057">
        <v>3</v>
      </c>
      <c r="D757" s="1056">
        <v>4</v>
      </c>
      <c r="E757" s="1063">
        <v>0.6</v>
      </c>
      <c r="F757" s="1062">
        <v>1.56</v>
      </c>
      <c r="G757" s="1061">
        <f t="shared" si="324"/>
        <v>2.6</v>
      </c>
      <c r="H757" s="1049"/>
      <c r="I757" s="1120"/>
      <c r="J757" s="1057"/>
      <c r="K757" s="1056"/>
      <c r="L757" s="1055"/>
      <c r="M757" s="1059"/>
      <c r="N757" s="1052"/>
      <c r="O757" s="1049"/>
      <c r="P757" s="1120">
        <f>P756/24</f>
        <v>2.4920833333333334</v>
      </c>
      <c r="Q757" s="1057">
        <v>3</v>
      </c>
      <c r="R757" s="1056">
        <v>4</v>
      </c>
      <c r="S757" s="1055">
        <v>1.79</v>
      </c>
      <c r="T757" s="1054">
        <f t="shared" si="325"/>
        <v>0.23628000000000002</v>
      </c>
      <c r="U757" s="1064">
        <v>2.1</v>
      </c>
      <c r="V757" s="1052">
        <f t="shared" si="326"/>
        <v>1.052</v>
      </c>
      <c r="W757" s="1049"/>
      <c r="X757" s="1051">
        <v>0.13200000000000001</v>
      </c>
      <c r="Y757" s="1049"/>
      <c r="Z757" s="1050">
        <f t="shared" si="330"/>
        <v>0</v>
      </c>
      <c r="AA757" s="1120">
        <f>AA756/24</f>
        <v>2.3399999999999994</v>
      </c>
      <c r="AB757" s="1057">
        <v>3</v>
      </c>
      <c r="AC757" s="1056">
        <v>4</v>
      </c>
      <c r="AD757" s="1721">
        <v>0.98</v>
      </c>
      <c r="AE757" s="1054">
        <f t="shared" si="327"/>
        <v>0</v>
      </c>
      <c r="AF757" s="1721">
        <v>1.66</v>
      </c>
      <c r="AG757" s="1052">
        <f t="shared" si="328"/>
        <v>0.92</v>
      </c>
      <c r="AH757" s="1049"/>
      <c r="AI757" s="1051"/>
      <c r="AJ757" s="1049"/>
      <c r="AK757" s="1050">
        <f t="shared" si="331"/>
        <v>0</v>
      </c>
      <c r="AL757" s="1049"/>
      <c r="AM757" s="1120"/>
      <c r="AN757" s="1057"/>
      <c r="AO757" s="1056"/>
      <c r="AP757" s="1721"/>
      <c r="AQ757" s="1736"/>
      <c r="AR757" s="1751"/>
      <c r="AS757" s="1052"/>
      <c r="AT757" s="1049"/>
      <c r="AU757" s="1051"/>
      <c r="AV757" s="1049"/>
      <c r="AW757" s="1120">
        <f>AW756/24</f>
        <v>0.30916666666666665</v>
      </c>
      <c r="AX757" s="1057">
        <v>3</v>
      </c>
      <c r="AY757" s="1056">
        <v>4</v>
      </c>
      <c r="AZ757" s="1055">
        <v>0.15</v>
      </c>
      <c r="BA757" s="1736">
        <v>0.19</v>
      </c>
      <c r="BB757" s="1737">
        <f t="shared" si="329"/>
        <v>0.92</v>
      </c>
      <c r="BC757" s="1049"/>
      <c r="BD757" s="1051"/>
      <c r="BE757" s="1049"/>
      <c r="BF757" s="1120">
        <f>BF756/24</f>
        <v>0</v>
      </c>
      <c r="BG757" s="1057">
        <v>3</v>
      </c>
      <c r="BH757" s="1056">
        <v>4</v>
      </c>
      <c r="BI757" s="1055"/>
      <c r="BJ757" s="1736"/>
      <c r="BK757" s="1049"/>
      <c r="BL757" s="1120">
        <f>BL756/24</f>
        <v>0</v>
      </c>
      <c r="BM757" s="1057">
        <v>3</v>
      </c>
      <c r="BN757" s="1056">
        <v>4</v>
      </c>
      <c r="BO757" s="1055"/>
      <c r="BP757" s="1055"/>
      <c r="BQ757" s="1049"/>
    </row>
    <row r="758" spans="1:69" ht="14.4">
      <c r="A758" s="1049"/>
      <c r="B758" s="1119"/>
      <c r="C758" s="1057">
        <v>4</v>
      </c>
      <c r="D758" s="1056">
        <v>5</v>
      </c>
      <c r="E758" s="1063">
        <v>0.59</v>
      </c>
      <c r="F758" s="1062">
        <v>1.55</v>
      </c>
      <c r="G758" s="1061">
        <f t="shared" si="324"/>
        <v>2.6271186440677967</v>
      </c>
      <c r="H758" s="1049"/>
      <c r="I758" s="1119"/>
      <c r="J758" s="1057"/>
      <c r="K758" s="1056"/>
      <c r="L758" s="1055"/>
      <c r="M758" s="1059"/>
      <c r="N758" s="1052"/>
      <c r="O758" s="1049"/>
      <c r="P758" s="1118"/>
      <c r="Q758" s="1057">
        <v>4</v>
      </c>
      <c r="R758" s="1056">
        <v>5</v>
      </c>
      <c r="S758" s="1055">
        <v>1.8</v>
      </c>
      <c r="T758" s="1054">
        <f t="shared" si="325"/>
        <v>0.23760000000000001</v>
      </c>
      <c r="U758" s="1064">
        <v>2.12</v>
      </c>
      <c r="V758" s="1052">
        <f t="shared" si="326"/>
        <v>1.052</v>
      </c>
      <c r="W758" s="1049"/>
      <c r="X758" s="1051">
        <v>0.13200000000000001</v>
      </c>
      <c r="Y758" s="1049"/>
      <c r="Z758" s="1050">
        <f t="shared" si="330"/>
        <v>0</v>
      </c>
      <c r="AA758" s="1118"/>
      <c r="AB758" s="1057">
        <v>4</v>
      </c>
      <c r="AC758" s="1056">
        <v>5</v>
      </c>
      <c r="AD758" s="1721">
        <v>0.96</v>
      </c>
      <c r="AE758" s="1054">
        <f t="shared" si="327"/>
        <v>0</v>
      </c>
      <c r="AF758" s="1721">
        <v>1.63</v>
      </c>
      <c r="AG758" s="1052">
        <f t="shared" si="328"/>
        <v>0.92</v>
      </c>
      <c r="AH758" s="1049"/>
      <c r="AI758" s="1051"/>
      <c r="AJ758" s="1049"/>
      <c r="AK758" s="1050">
        <f t="shared" si="331"/>
        <v>0</v>
      </c>
      <c r="AL758" s="1049"/>
      <c r="AM758" s="1118"/>
      <c r="AN758" s="1057"/>
      <c r="AO758" s="1056"/>
      <c r="AP758" s="1721"/>
      <c r="AQ758" s="1736"/>
      <c r="AR758" s="1751"/>
      <c r="AS758" s="1052"/>
      <c r="AT758" s="1049"/>
      <c r="AU758" s="1051"/>
      <c r="AV758" s="1049"/>
      <c r="AW758" s="1118"/>
      <c r="AX758" s="1057">
        <v>4</v>
      </c>
      <c r="AY758" s="1056">
        <v>5</v>
      </c>
      <c r="AZ758" s="1055">
        <v>0.09</v>
      </c>
      <c r="BA758" s="1736">
        <v>0.13</v>
      </c>
      <c r="BB758" s="1737">
        <f t="shared" si="329"/>
        <v>0.92</v>
      </c>
      <c r="BC758" s="1049"/>
      <c r="BD758" s="1051"/>
      <c r="BE758" s="1049"/>
      <c r="BF758" s="1118"/>
      <c r="BG758" s="1057">
        <v>4</v>
      </c>
      <c r="BH758" s="1056">
        <v>5</v>
      </c>
      <c r="BI758" s="1055"/>
      <c r="BJ758" s="1736"/>
      <c r="BK758" s="1049"/>
      <c r="BL758" s="1118"/>
      <c r="BM758" s="1057">
        <v>4</v>
      </c>
      <c r="BN758" s="1056">
        <v>5</v>
      </c>
      <c r="BO758" s="1055"/>
      <c r="BP758" s="1055"/>
      <c r="BQ758" s="1049"/>
    </row>
    <row r="759" spans="1:69" ht="15" thickBot="1">
      <c r="A759" s="1049"/>
      <c r="B759" s="1058">
        <f>SUM(F754:F777)</f>
        <v>41.67</v>
      </c>
      <c r="C759" s="1111">
        <v>5</v>
      </c>
      <c r="D759" s="1110">
        <v>6</v>
      </c>
      <c r="E759" s="1117">
        <v>0.44</v>
      </c>
      <c r="F759" s="1116">
        <v>1.17</v>
      </c>
      <c r="G759" s="1115">
        <f t="shared" si="324"/>
        <v>2.6590909090909087</v>
      </c>
      <c r="H759" s="1049"/>
      <c r="I759" s="1058"/>
      <c r="J759" s="1111"/>
      <c r="K759" s="1110"/>
      <c r="L759" s="1109"/>
      <c r="M759" s="1114"/>
      <c r="N759" s="1113"/>
      <c r="O759" s="1049"/>
      <c r="P759" s="1112">
        <f>SUM(U754:U777)</f>
        <v>82.7</v>
      </c>
      <c r="Q759" s="1111">
        <v>5</v>
      </c>
      <c r="R759" s="1110">
        <v>6</v>
      </c>
      <c r="S759" s="1109">
        <v>1.82</v>
      </c>
      <c r="T759" s="1054">
        <f t="shared" si="325"/>
        <v>0.24024000000000001</v>
      </c>
      <c r="U759" s="1064">
        <v>2.14</v>
      </c>
      <c r="V759" s="1052">
        <f t="shared" si="326"/>
        <v>1.052</v>
      </c>
      <c r="W759" s="1049"/>
      <c r="X759" s="1074">
        <v>0.13200000000000001</v>
      </c>
      <c r="Y759" s="1049"/>
      <c r="Z759" s="1050">
        <f t="shared" si="330"/>
        <v>0</v>
      </c>
      <c r="AA759" s="1112">
        <f>SUM(AF754:AF777)</f>
        <v>102.71</v>
      </c>
      <c r="AB759" s="1111">
        <v>5</v>
      </c>
      <c r="AC759" s="1110">
        <v>6</v>
      </c>
      <c r="AD759" s="1721">
        <v>1.72</v>
      </c>
      <c r="AE759" s="1054">
        <f t="shared" si="327"/>
        <v>0</v>
      </c>
      <c r="AF759" s="1721">
        <v>2.99</v>
      </c>
      <c r="AG759" s="1052">
        <f t="shared" si="328"/>
        <v>0.92</v>
      </c>
      <c r="AH759" s="1049"/>
      <c r="AI759" s="1074"/>
      <c r="AJ759" s="1049"/>
      <c r="AK759" s="1050">
        <f t="shared" si="331"/>
        <v>0</v>
      </c>
      <c r="AL759" s="1049"/>
      <c r="AM759" s="1112"/>
      <c r="AN759" s="1111"/>
      <c r="AO759" s="1110"/>
      <c r="AP759" s="1721"/>
      <c r="AQ759" s="1736"/>
      <c r="AR759" s="1751"/>
      <c r="AS759" s="1052"/>
      <c r="AT759" s="1049"/>
      <c r="AU759" s="1074"/>
      <c r="AV759" s="1049"/>
      <c r="AW759" s="1112">
        <f>SUM(BA754:BA777)</f>
        <v>14.780000000000001</v>
      </c>
      <c r="AX759" s="1111">
        <v>5</v>
      </c>
      <c r="AY759" s="1110">
        <v>6</v>
      </c>
      <c r="AZ759" s="1109">
        <v>7.0000000000000007E-2</v>
      </c>
      <c r="BA759" s="1738">
        <v>0.11</v>
      </c>
      <c r="BB759" s="1739">
        <f t="shared" si="329"/>
        <v>0.92</v>
      </c>
      <c r="BC759" s="1049"/>
      <c r="BD759" s="1074"/>
      <c r="BE759" s="1049"/>
      <c r="BF759" s="1112">
        <f>SUM(BJ754:BJ777)</f>
        <v>0</v>
      </c>
      <c r="BG759" s="1111">
        <v>5</v>
      </c>
      <c r="BH759" s="1110">
        <v>6</v>
      </c>
      <c r="BI759" s="1109"/>
      <c r="BJ759" s="1738"/>
      <c r="BK759" s="1049"/>
      <c r="BL759" s="1112">
        <f>SUM(BP754:BP777)</f>
        <v>0</v>
      </c>
      <c r="BM759" s="1111">
        <v>5</v>
      </c>
      <c r="BN759" s="1110">
        <v>6</v>
      </c>
      <c r="BO759" s="1109"/>
      <c r="BP759" s="1109"/>
      <c r="BQ759" s="1049"/>
    </row>
    <row r="760" spans="1:69" ht="14.4">
      <c r="A760" s="1049"/>
      <c r="B760" s="1093">
        <f>B759/B756</f>
        <v>3.0438276113951779</v>
      </c>
      <c r="C760" s="1100">
        <v>6</v>
      </c>
      <c r="D760" s="1099">
        <v>7</v>
      </c>
      <c r="E760" s="1107">
        <v>0.42</v>
      </c>
      <c r="F760" s="1106">
        <v>1.23</v>
      </c>
      <c r="G760" s="1105">
        <f t="shared" si="324"/>
        <v>2.9285714285714288</v>
      </c>
      <c r="H760" s="1049"/>
      <c r="I760" s="1093"/>
      <c r="J760" s="1100"/>
      <c r="K760" s="1099"/>
      <c r="L760" s="1098"/>
      <c r="M760" s="1103"/>
      <c r="N760" s="1102"/>
      <c r="O760" s="1049"/>
      <c r="P760" s="1093">
        <f>IF(P759&gt;0,P759/P756,0)</f>
        <v>1.3827119210834309</v>
      </c>
      <c r="Q760" s="1100">
        <v>6</v>
      </c>
      <c r="R760" s="1099">
        <v>7</v>
      </c>
      <c r="S760" s="1098">
        <v>1.84</v>
      </c>
      <c r="T760" s="1054">
        <f t="shared" si="325"/>
        <v>0.24288000000000001</v>
      </c>
      <c r="U760" s="1064">
        <v>2.17</v>
      </c>
      <c r="V760" s="1052">
        <f t="shared" si="326"/>
        <v>1.052</v>
      </c>
      <c r="W760" s="1049"/>
      <c r="X760" s="1108">
        <v>0.13200000000000001</v>
      </c>
      <c r="Y760" s="1049"/>
      <c r="Z760" s="1050">
        <f t="shared" si="330"/>
        <v>0</v>
      </c>
      <c r="AA760" s="1093">
        <f>IF(AA759&gt;0,AA759/AA756,0)</f>
        <v>1.8288817663817669</v>
      </c>
      <c r="AB760" s="1100">
        <v>6</v>
      </c>
      <c r="AC760" s="1099">
        <v>7</v>
      </c>
      <c r="AD760" s="1721">
        <v>1.56</v>
      </c>
      <c r="AE760" s="1054">
        <f t="shared" si="327"/>
        <v>0</v>
      </c>
      <c r="AF760" s="1721">
        <v>2.8</v>
      </c>
      <c r="AG760" s="1052">
        <f t="shared" si="328"/>
        <v>0.92</v>
      </c>
      <c r="AH760" s="1049"/>
      <c r="AI760" s="1108"/>
      <c r="AJ760" s="1049"/>
      <c r="AK760" s="1050">
        <f t="shared" si="331"/>
        <v>0</v>
      </c>
      <c r="AL760" s="1049"/>
      <c r="AM760" s="1093"/>
      <c r="AN760" s="1100"/>
      <c r="AO760" s="1099"/>
      <c r="AP760" s="1721"/>
      <c r="AQ760" s="1736"/>
      <c r="AR760" s="1751"/>
      <c r="AS760" s="1052"/>
      <c r="AT760" s="1049"/>
      <c r="AU760" s="1108"/>
      <c r="AV760" s="1049"/>
      <c r="AW760" s="1093">
        <f>IF(AW759&gt;0,AW759/AW756,0)</f>
        <v>1.9919137466307282</v>
      </c>
      <c r="AX760" s="1100">
        <v>6</v>
      </c>
      <c r="AY760" s="1099">
        <v>7</v>
      </c>
      <c r="AZ760" s="1098">
        <v>0.28000000000000003</v>
      </c>
      <c r="BA760" s="1740">
        <v>0.52</v>
      </c>
      <c r="BB760" s="1741">
        <f t="shared" si="329"/>
        <v>0.92</v>
      </c>
      <c r="BC760" s="1049"/>
      <c r="BD760" s="1108"/>
      <c r="BE760" s="1049"/>
      <c r="BF760" s="1093">
        <f>IF(BF759&gt;0,BF759/BF756,0)</f>
        <v>0</v>
      </c>
      <c r="BG760" s="1100">
        <v>6</v>
      </c>
      <c r="BH760" s="1099">
        <v>7</v>
      </c>
      <c r="BI760" s="1098"/>
      <c r="BJ760" s="1740"/>
      <c r="BK760" s="1049"/>
      <c r="BL760" s="1093">
        <f>IF(BL759&gt;0,BL759/BL756,0)</f>
        <v>0</v>
      </c>
      <c r="BM760" s="1100">
        <v>6</v>
      </c>
      <c r="BN760" s="1099">
        <v>7</v>
      </c>
      <c r="BO760" s="1098"/>
      <c r="BP760" s="1098"/>
      <c r="BQ760" s="1049"/>
    </row>
    <row r="761" spans="1:69" ht="14.4">
      <c r="A761" s="1049"/>
      <c r="B761" s="1104"/>
      <c r="C761" s="1100">
        <v>7</v>
      </c>
      <c r="D761" s="1099">
        <v>8</v>
      </c>
      <c r="E761" s="1107">
        <v>0.67</v>
      </c>
      <c r="F761" s="1106">
        <v>2.08</v>
      </c>
      <c r="G761" s="1105">
        <f t="shared" si="324"/>
        <v>3.1044776119402986</v>
      </c>
      <c r="H761" s="1049"/>
      <c r="I761" s="1104"/>
      <c r="J761" s="1100"/>
      <c r="K761" s="1099"/>
      <c r="L761" s="1098"/>
      <c r="M761" s="1103"/>
      <c r="N761" s="1102"/>
      <c r="O761" s="1049"/>
      <c r="P761" s="1101"/>
      <c r="Q761" s="1100">
        <v>7</v>
      </c>
      <c r="R761" s="1099">
        <v>8</v>
      </c>
      <c r="S761" s="1098">
        <v>2.13</v>
      </c>
      <c r="T761" s="1054">
        <f t="shared" si="325"/>
        <v>0.28116000000000002</v>
      </c>
      <c r="U761" s="1064">
        <v>2.5099999999999998</v>
      </c>
      <c r="V761" s="1052">
        <f t="shared" si="326"/>
        <v>1.052</v>
      </c>
      <c r="W761" s="1049"/>
      <c r="X761" s="1065">
        <v>0.13200000000000001</v>
      </c>
      <c r="Y761" s="1049"/>
      <c r="Z761" s="1050">
        <f t="shared" si="330"/>
        <v>0</v>
      </c>
      <c r="AA761" s="1101"/>
      <c r="AB761" s="1100">
        <v>7</v>
      </c>
      <c r="AC761" s="1099">
        <v>8</v>
      </c>
      <c r="AD761" s="1721">
        <v>2.08</v>
      </c>
      <c r="AE761" s="1054">
        <f t="shared" si="327"/>
        <v>0</v>
      </c>
      <c r="AF761" s="1721">
        <v>3.93</v>
      </c>
      <c r="AG761" s="1052">
        <f t="shared" si="328"/>
        <v>0.92</v>
      </c>
      <c r="AH761" s="1049"/>
      <c r="AI761" s="1065"/>
      <c r="AJ761" s="1049"/>
      <c r="AK761" s="1050">
        <f t="shared" si="331"/>
        <v>0</v>
      </c>
      <c r="AL761" s="1049"/>
      <c r="AM761" s="1101"/>
      <c r="AN761" s="1100"/>
      <c r="AO761" s="1099"/>
      <c r="AP761" s="1721"/>
      <c r="AQ761" s="1736"/>
      <c r="AR761" s="1751"/>
      <c r="AS761" s="1052"/>
      <c r="AT761" s="1049"/>
      <c r="AU761" s="1065"/>
      <c r="AV761" s="1049"/>
      <c r="AW761" s="1101"/>
      <c r="AX761" s="1100">
        <v>7</v>
      </c>
      <c r="AY761" s="1099">
        <v>8</v>
      </c>
      <c r="AZ761" s="1098">
        <v>0.28000000000000003</v>
      </c>
      <c r="BA761" s="1736">
        <v>0.56999999999999995</v>
      </c>
      <c r="BB761" s="1741">
        <f t="shared" si="329"/>
        <v>0.92</v>
      </c>
      <c r="BC761" s="1049"/>
      <c r="BD761" s="1065"/>
      <c r="BE761" s="1049"/>
      <c r="BF761" s="1101"/>
      <c r="BG761" s="1100">
        <v>7</v>
      </c>
      <c r="BH761" s="1099">
        <v>8</v>
      </c>
      <c r="BI761" s="1098"/>
      <c r="BJ761" s="1736"/>
      <c r="BK761" s="1049"/>
      <c r="BL761" s="1101"/>
      <c r="BM761" s="1100">
        <v>7</v>
      </c>
      <c r="BN761" s="1099">
        <v>8</v>
      </c>
      <c r="BO761" s="1098"/>
      <c r="BP761" s="1098"/>
      <c r="BQ761" s="1049"/>
    </row>
    <row r="762" spans="1:69" ht="14.4">
      <c r="A762" s="1049"/>
      <c r="B762" s="1097">
        <f>B759/24</f>
        <v>1.7362500000000001</v>
      </c>
      <c r="C762" s="1086">
        <v>8</v>
      </c>
      <c r="D762" s="1085">
        <v>9</v>
      </c>
      <c r="E762" s="1091">
        <v>1.25</v>
      </c>
      <c r="F762" s="1090">
        <v>3.88</v>
      </c>
      <c r="G762" s="1089">
        <f t="shared" si="324"/>
        <v>3.1040000000000001</v>
      </c>
      <c r="H762" s="1049"/>
      <c r="I762" s="1097"/>
      <c r="J762" s="1086"/>
      <c r="K762" s="1085"/>
      <c r="L762" s="1084"/>
      <c r="M762" s="1088"/>
      <c r="N762" s="1087"/>
      <c r="O762" s="1049"/>
      <c r="P762" s="1096">
        <f>P759/24</f>
        <v>3.4458333333333333</v>
      </c>
      <c r="Q762" s="1086">
        <v>8</v>
      </c>
      <c r="R762" s="2759">
        <v>9</v>
      </c>
      <c r="S762" s="1084">
        <v>2.6</v>
      </c>
      <c r="T762" s="1054">
        <f t="shared" si="325"/>
        <v>0.36400000000000005</v>
      </c>
      <c r="U762" s="1064">
        <v>3.07</v>
      </c>
      <c r="V762" s="1052">
        <f t="shared" si="326"/>
        <v>1.06</v>
      </c>
      <c r="W762" s="1049"/>
      <c r="X762" s="1051">
        <v>0.14000000000000001</v>
      </c>
      <c r="Y762" s="1049"/>
      <c r="Z762" s="1050">
        <f t="shared" si="330"/>
        <v>0</v>
      </c>
      <c r="AA762" s="1096">
        <f>AA759/24</f>
        <v>4.2795833333333331</v>
      </c>
      <c r="AB762" s="1086">
        <v>8</v>
      </c>
      <c r="AC762" s="1085">
        <v>9</v>
      </c>
      <c r="AD762" s="1721">
        <v>2.4</v>
      </c>
      <c r="AE762" s="1054">
        <f t="shared" si="327"/>
        <v>0</v>
      </c>
      <c r="AF762" s="1721">
        <v>4.53</v>
      </c>
      <c r="AG762" s="1052">
        <f t="shared" si="328"/>
        <v>0.92</v>
      </c>
      <c r="AH762" s="1049"/>
      <c r="AI762" s="1051"/>
      <c r="AJ762" s="1049"/>
      <c r="AK762" s="1050">
        <f t="shared" si="331"/>
        <v>0</v>
      </c>
      <c r="AL762" s="1049"/>
      <c r="AM762" s="1096"/>
      <c r="AN762" s="1086"/>
      <c r="AO762" s="1085"/>
      <c r="AP762" s="1721"/>
      <c r="AQ762" s="1736"/>
      <c r="AR762" s="1751"/>
      <c r="AS762" s="1052"/>
      <c r="AT762" s="1049"/>
      <c r="AU762" s="1051"/>
      <c r="AV762" s="1049"/>
      <c r="AW762" s="1096">
        <f>AW759/24</f>
        <v>0.61583333333333334</v>
      </c>
      <c r="AX762" s="1086">
        <v>8</v>
      </c>
      <c r="AY762" s="1085">
        <v>9</v>
      </c>
      <c r="AZ762" s="1084">
        <v>0.35</v>
      </c>
      <c r="BA762" s="1736">
        <v>0.74</v>
      </c>
      <c r="BB762" s="1742">
        <f t="shared" si="329"/>
        <v>0.92</v>
      </c>
      <c r="BC762" s="1049"/>
      <c r="BD762" s="1051"/>
      <c r="BE762" s="1049"/>
      <c r="BF762" s="1096">
        <f>BF759/24</f>
        <v>0</v>
      </c>
      <c r="BG762" s="1086">
        <v>8</v>
      </c>
      <c r="BH762" s="1085">
        <v>9</v>
      </c>
      <c r="BI762" s="1084"/>
      <c r="BJ762" s="1736"/>
      <c r="BK762" s="1049"/>
      <c r="BL762" s="1096">
        <f>BL759/24</f>
        <v>0</v>
      </c>
      <c r="BM762" s="1086">
        <v>8</v>
      </c>
      <c r="BN762" s="1085">
        <v>9</v>
      </c>
      <c r="BO762" s="1084"/>
      <c r="BP762" s="1084"/>
      <c r="BQ762" s="1049"/>
    </row>
    <row r="763" spans="1:69" ht="14.4">
      <c r="A763" s="1049"/>
      <c r="B763" s="1097"/>
      <c r="C763" s="1086">
        <v>9</v>
      </c>
      <c r="D763" s="1085">
        <v>10</v>
      </c>
      <c r="E763" s="1091">
        <v>1.36</v>
      </c>
      <c r="F763" s="1090">
        <v>4.04</v>
      </c>
      <c r="G763" s="1089">
        <f t="shared" si="324"/>
        <v>2.9705882352941173</v>
      </c>
      <c r="H763" s="1049"/>
      <c r="I763" s="1097"/>
      <c r="J763" s="1086"/>
      <c r="K763" s="1085"/>
      <c r="L763" s="1084"/>
      <c r="M763" s="1088"/>
      <c r="N763" s="1087"/>
      <c r="O763" s="1049"/>
      <c r="P763" s="1096"/>
      <c r="Q763" s="1086">
        <v>9</v>
      </c>
      <c r="R763" s="2761">
        <v>10</v>
      </c>
      <c r="S763" s="1084">
        <v>2.17</v>
      </c>
      <c r="T763" s="1054">
        <f t="shared" si="325"/>
        <v>0.32549999999999996</v>
      </c>
      <c r="U763" s="1064">
        <v>2.59</v>
      </c>
      <c r="V763" s="1052">
        <f t="shared" si="326"/>
        <v>1.07</v>
      </c>
      <c r="W763" s="1049"/>
      <c r="X763" s="1051">
        <v>0.15</v>
      </c>
      <c r="Y763" s="1049"/>
      <c r="Z763" s="1050">
        <f t="shared" si="330"/>
        <v>0</v>
      </c>
      <c r="AA763" s="1096"/>
      <c r="AB763" s="1086">
        <v>9</v>
      </c>
      <c r="AC763" s="1085">
        <v>10</v>
      </c>
      <c r="AD763" s="1721">
        <v>2.4700000000000002</v>
      </c>
      <c r="AE763" s="1054">
        <f t="shared" si="327"/>
        <v>0</v>
      </c>
      <c r="AF763" s="1721">
        <v>4.6100000000000003</v>
      </c>
      <c r="AG763" s="1052">
        <f t="shared" si="328"/>
        <v>0.92</v>
      </c>
      <c r="AH763" s="1049"/>
      <c r="AI763" s="1051"/>
      <c r="AJ763" s="1049"/>
      <c r="AK763" s="1050">
        <f t="shared" si="331"/>
        <v>0</v>
      </c>
      <c r="AL763" s="1049"/>
      <c r="AM763" s="1096"/>
      <c r="AN763" s="1086"/>
      <c r="AO763" s="1085"/>
      <c r="AP763" s="1721"/>
      <c r="AQ763" s="1736"/>
      <c r="AR763" s="1751"/>
      <c r="AS763" s="1052"/>
      <c r="AT763" s="1049"/>
      <c r="AU763" s="1051"/>
      <c r="AV763" s="1049"/>
      <c r="AW763" s="1096"/>
      <c r="AX763" s="1086">
        <v>9</v>
      </c>
      <c r="AY763" s="1085">
        <v>10</v>
      </c>
      <c r="AZ763" s="1084">
        <v>0.21</v>
      </c>
      <c r="BA763" s="1736">
        <v>0.43</v>
      </c>
      <c r="BB763" s="1742">
        <f t="shared" si="329"/>
        <v>0.92</v>
      </c>
      <c r="BC763" s="1049"/>
      <c r="BD763" s="1051"/>
      <c r="BE763" s="1049"/>
      <c r="BF763" s="1096"/>
      <c r="BG763" s="1086">
        <v>9</v>
      </c>
      <c r="BH763" s="1085">
        <v>10</v>
      </c>
      <c r="BI763" s="1084"/>
      <c r="BJ763" s="1736"/>
      <c r="BK763" s="1049"/>
      <c r="BL763" s="1096"/>
      <c r="BM763" s="1086">
        <v>9</v>
      </c>
      <c r="BN763" s="1085">
        <v>10</v>
      </c>
      <c r="BO763" s="1084"/>
      <c r="BP763" s="1084"/>
      <c r="BQ763" s="1049"/>
    </row>
    <row r="764" spans="1:69" ht="14.4">
      <c r="A764" s="1049"/>
      <c r="B764" s="1060"/>
      <c r="C764" s="1086">
        <v>10</v>
      </c>
      <c r="D764" s="1085">
        <v>11</v>
      </c>
      <c r="E764" s="1091">
        <v>1.34</v>
      </c>
      <c r="F764" s="1090">
        <v>3.85</v>
      </c>
      <c r="G764" s="1089">
        <f t="shared" si="324"/>
        <v>2.8731343283582089</v>
      </c>
      <c r="H764" s="1049"/>
      <c r="I764" s="1060"/>
      <c r="J764" s="1086"/>
      <c r="K764" s="1085"/>
      <c r="L764" s="1084"/>
      <c r="M764" s="1088"/>
      <c r="N764" s="1087"/>
      <c r="O764" s="1049"/>
      <c r="P764" s="1095">
        <f>SUM(Z754:Z777)</f>
        <v>0</v>
      </c>
      <c r="Q764" s="1086">
        <v>10</v>
      </c>
      <c r="R764" s="1085">
        <v>11</v>
      </c>
      <c r="S764" s="1084">
        <v>2.11</v>
      </c>
      <c r="T764" s="1054">
        <f t="shared" si="325"/>
        <v>0.2954</v>
      </c>
      <c r="U764" s="1064">
        <v>2.5</v>
      </c>
      <c r="V764" s="1052">
        <f t="shared" si="326"/>
        <v>1.06</v>
      </c>
      <c r="W764" s="1049"/>
      <c r="X764" s="1051">
        <v>0.14000000000000001</v>
      </c>
      <c r="Y764" s="1049"/>
      <c r="Z764" s="1050">
        <f t="shared" si="330"/>
        <v>0</v>
      </c>
      <c r="AA764" s="1095">
        <f>SUM(AK754:AK777)</f>
        <v>0</v>
      </c>
      <c r="AB764" s="1086">
        <v>10</v>
      </c>
      <c r="AC764" s="1085">
        <v>11</v>
      </c>
      <c r="AD764" s="1721">
        <v>2.39</v>
      </c>
      <c r="AE764" s="1054">
        <f t="shared" si="327"/>
        <v>0</v>
      </c>
      <c r="AF764" s="1721">
        <v>4.38</v>
      </c>
      <c r="AG764" s="1052">
        <f t="shared" si="328"/>
        <v>0.92</v>
      </c>
      <c r="AH764" s="1049"/>
      <c r="AI764" s="1051"/>
      <c r="AJ764" s="1049"/>
      <c r="AK764" s="1050">
        <f t="shared" si="331"/>
        <v>0</v>
      </c>
      <c r="AL764" s="1049"/>
      <c r="AM764" s="1095"/>
      <c r="AN764" s="1086"/>
      <c r="AO764" s="1085"/>
      <c r="AP764" s="1721"/>
      <c r="AQ764" s="1736"/>
      <c r="AR764" s="1751"/>
      <c r="AS764" s="1052"/>
      <c r="AT764" s="1049"/>
      <c r="AU764" s="1051"/>
      <c r="AV764" s="1049"/>
      <c r="AW764" s="1095" t="e">
        <f>SUM(#REF!)</f>
        <v>#REF!</v>
      </c>
      <c r="AX764" s="1086">
        <v>10</v>
      </c>
      <c r="AY764" s="1085">
        <v>11</v>
      </c>
      <c r="AZ764" s="1084">
        <v>0.3</v>
      </c>
      <c r="BA764" s="1736">
        <v>0.59</v>
      </c>
      <c r="BB764" s="1742">
        <f t="shared" si="329"/>
        <v>0.92</v>
      </c>
      <c r="BC764" s="1049"/>
      <c r="BD764" s="1051"/>
      <c r="BE764" s="1049"/>
      <c r="BF764" s="1095" t="e">
        <f>SUM(#REF!)</f>
        <v>#REF!</v>
      </c>
      <c r="BG764" s="1086">
        <v>10</v>
      </c>
      <c r="BH764" s="1085">
        <v>11</v>
      </c>
      <c r="BI764" s="1084"/>
      <c r="BJ764" s="1736"/>
      <c r="BK764" s="1049"/>
      <c r="BL764" s="1095" t="e">
        <f>SUM(#REF!)</f>
        <v>#REF!</v>
      </c>
      <c r="BM764" s="1086">
        <v>10</v>
      </c>
      <c r="BN764" s="1085">
        <v>11</v>
      </c>
      <c r="BO764" s="1084"/>
      <c r="BP764" s="1084"/>
      <c r="BQ764" s="1049"/>
    </row>
    <row r="765" spans="1:69" ht="14.4">
      <c r="A765" s="1049"/>
      <c r="B765" s="1060"/>
      <c r="C765" s="1086">
        <v>11</v>
      </c>
      <c r="D765" s="1085">
        <v>12</v>
      </c>
      <c r="E765" s="1091">
        <v>0.77</v>
      </c>
      <c r="F765" s="1090">
        <v>2.2200000000000002</v>
      </c>
      <c r="G765" s="1089">
        <f t="shared" si="324"/>
        <v>2.8831168831168834</v>
      </c>
      <c r="H765" s="1049"/>
      <c r="I765" s="1060"/>
      <c r="J765" s="1086"/>
      <c r="K765" s="1085"/>
      <c r="L765" s="1084"/>
      <c r="M765" s="1088"/>
      <c r="N765" s="1087"/>
      <c r="O765" s="1049"/>
      <c r="P765" s="1093">
        <f>IF(P764&gt;0,P764/P756,0)</f>
        <v>0</v>
      </c>
      <c r="Q765" s="1086">
        <v>11</v>
      </c>
      <c r="R765" s="1094">
        <v>12</v>
      </c>
      <c r="S765" s="1084">
        <v>2.12</v>
      </c>
      <c r="T765" s="1054">
        <f t="shared" si="325"/>
        <v>0.42400000000000004</v>
      </c>
      <c r="U765" s="1064">
        <v>2.63</v>
      </c>
      <c r="V765" s="1052">
        <f t="shared" si="326"/>
        <v>1.1200000000000001</v>
      </c>
      <c r="W765" s="1049"/>
      <c r="X765" s="1051">
        <v>0.2</v>
      </c>
      <c r="Y765" s="1049"/>
      <c r="Z765" s="1050">
        <f t="shared" si="330"/>
        <v>0</v>
      </c>
      <c r="AA765" s="1093">
        <f>IF(AA764&gt;0,AA764/AA756,0)</f>
        <v>0</v>
      </c>
      <c r="AB765" s="1086">
        <v>11</v>
      </c>
      <c r="AC765" s="1085">
        <v>12</v>
      </c>
      <c r="AD765" s="1721">
        <v>2.98</v>
      </c>
      <c r="AE765" s="1054">
        <f t="shared" si="327"/>
        <v>0</v>
      </c>
      <c r="AF765" s="1721">
        <v>5.26</v>
      </c>
      <c r="AG765" s="1052">
        <f t="shared" si="328"/>
        <v>0.92</v>
      </c>
      <c r="AH765" s="1049"/>
      <c r="AI765" s="1051"/>
      <c r="AJ765" s="1049"/>
      <c r="AK765" s="1050">
        <f t="shared" si="331"/>
        <v>0</v>
      </c>
      <c r="AL765" s="1049"/>
      <c r="AM765" s="1093"/>
      <c r="AN765" s="1086"/>
      <c r="AO765" s="1085"/>
      <c r="AP765" s="1721"/>
      <c r="AQ765" s="1736"/>
      <c r="AR765" s="1751"/>
      <c r="AS765" s="1052"/>
      <c r="AT765" s="1049"/>
      <c r="AU765" s="1051"/>
      <c r="AV765" s="1049"/>
      <c r="AW765" s="1093" t="e">
        <f>IF(AW764&gt;0,AW764/AW756,0)</f>
        <v>#REF!</v>
      </c>
      <c r="AX765" s="1086">
        <v>11</v>
      </c>
      <c r="AY765" s="1085">
        <v>12</v>
      </c>
      <c r="AZ765" s="1084">
        <v>0.38</v>
      </c>
      <c r="BA765" s="1736">
        <v>0.74</v>
      </c>
      <c r="BB765" s="1742">
        <f t="shared" si="329"/>
        <v>0.92</v>
      </c>
      <c r="BC765" s="1049"/>
      <c r="BD765" s="1051"/>
      <c r="BE765" s="1049"/>
      <c r="BF765" s="1093" t="e">
        <f>IF(BF764&gt;0,BF764/BF756,0)</f>
        <v>#REF!</v>
      </c>
      <c r="BG765" s="1086">
        <v>11</v>
      </c>
      <c r="BH765" s="1085">
        <v>12</v>
      </c>
      <c r="BI765" s="1084"/>
      <c r="BJ765" s="1736"/>
      <c r="BK765" s="1049"/>
      <c r="BL765" s="1093" t="e">
        <f>IF(BL764&gt;0,BL764/BL756,0)</f>
        <v>#REF!</v>
      </c>
      <c r="BM765" s="1086">
        <v>11</v>
      </c>
      <c r="BN765" s="1085">
        <v>12</v>
      </c>
      <c r="BO765" s="1084"/>
      <c r="BP765" s="1084"/>
      <c r="BQ765" s="1049"/>
    </row>
    <row r="766" spans="1:69" ht="14.4">
      <c r="A766" s="1049"/>
      <c r="B766" s="1060"/>
      <c r="C766" s="1086">
        <v>12</v>
      </c>
      <c r="D766" s="1085">
        <v>13</v>
      </c>
      <c r="E766" s="1091">
        <v>0.28000000000000003</v>
      </c>
      <c r="F766" s="1090">
        <v>0.8</v>
      </c>
      <c r="G766" s="1089">
        <f t="shared" si="324"/>
        <v>2.8571428571428572</v>
      </c>
      <c r="H766" s="1049"/>
      <c r="I766" s="1060"/>
      <c r="J766" s="1086"/>
      <c r="K766" s="1085"/>
      <c r="L766" s="1084"/>
      <c r="M766" s="1088"/>
      <c r="N766" s="1087"/>
      <c r="O766" s="1049"/>
      <c r="P766" s="1060"/>
      <c r="Q766" s="1086">
        <v>12</v>
      </c>
      <c r="R766" s="1085">
        <v>13</v>
      </c>
      <c r="S766" s="1084">
        <v>2.48</v>
      </c>
      <c r="T766" s="1054">
        <f t="shared" si="325"/>
        <v>0.57040000000000002</v>
      </c>
      <c r="U766" s="1064">
        <v>3.15</v>
      </c>
      <c r="V766" s="1052">
        <f t="shared" si="326"/>
        <v>1.1500000000000001</v>
      </c>
      <c r="W766" s="1049"/>
      <c r="X766" s="1051">
        <v>0.23</v>
      </c>
      <c r="Y766" s="1049"/>
      <c r="Z766" s="1050">
        <f t="shared" si="330"/>
        <v>0</v>
      </c>
      <c r="AA766" s="1060"/>
      <c r="AB766" s="1086">
        <v>12</v>
      </c>
      <c r="AC766" s="1085">
        <v>13</v>
      </c>
      <c r="AD766" s="1721">
        <v>3.4</v>
      </c>
      <c r="AE766" s="1054">
        <f t="shared" si="327"/>
        <v>0</v>
      </c>
      <c r="AF766" s="1721">
        <v>5.89</v>
      </c>
      <c r="AG766" s="1052">
        <f t="shared" si="328"/>
        <v>0.92</v>
      </c>
      <c r="AH766" s="1049"/>
      <c r="AI766" s="1051"/>
      <c r="AJ766" s="1049"/>
      <c r="AK766" s="1050">
        <f t="shared" si="331"/>
        <v>0</v>
      </c>
      <c r="AL766" s="1049"/>
      <c r="AM766" s="1060"/>
      <c r="AN766" s="1086"/>
      <c r="AO766" s="1085"/>
      <c r="AP766" s="1721"/>
      <c r="AQ766" s="1736"/>
      <c r="AR766" s="1751"/>
      <c r="AS766" s="1052"/>
      <c r="AT766" s="1049"/>
      <c r="AU766" s="1051"/>
      <c r="AV766" s="1049"/>
      <c r="AW766" s="1060"/>
      <c r="AX766" s="1086">
        <v>12</v>
      </c>
      <c r="AY766" s="1085">
        <v>13</v>
      </c>
      <c r="AZ766" s="1084">
        <v>0.27</v>
      </c>
      <c r="BA766" s="1736">
        <v>0.48</v>
      </c>
      <c r="BB766" s="1742">
        <f t="shared" si="329"/>
        <v>0.92</v>
      </c>
      <c r="BC766" s="1049"/>
      <c r="BD766" s="1051"/>
      <c r="BE766" s="1049"/>
      <c r="BF766" s="1060"/>
      <c r="BG766" s="1086">
        <v>12</v>
      </c>
      <c r="BH766" s="1085">
        <v>13</v>
      </c>
      <c r="BI766" s="1084"/>
      <c r="BJ766" s="1736"/>
      <c r="BK766" s="1049"/>
      <c r="BL766" s="1060"/>
      <c r="BM766" s="1086">
        <v>12</v>
      </c>
      <c r="BN766" s="1085">
        <v>13</v>
      </c>
      <c r="BO766" s="1084"/>
      <c r="BP766" s="1084"/>
      <c r="BQ766" s="1049"/>
    </row>
    <row r="767" spans="1:69" ht="14.4">
      <c r="A767" s="1049"/>
      <c r="B767" s="1060"/>
      <c r="C767" s="1086">
        <v>13</v>
      </c>
      <c r="D767" s="1085">
        <v>14</v>
      </c>
      <c r="E767" s="1091">
        <v>0.46</v>
      </c>
      <c r="F767" s="1090">
        <v>1.34</v>
      </c>
      <c r="G767" s="1089">
        <f t="shared" si="324"/>
        <v>2.9130434782608696</v>
      </c>
      <c r="H767" s="1049"/>
      <c r="I767" s="1060"/>
      <c r="J767" s="1086"/>
      <c r="K767" s="1085"/>
      <c r="L767" s="1084"/>
      <c r="M767" s="1088"/>
      <c r="N767" s="1087"/>
      <c r="O767" s="1049"/>
      <c r="P767" s="1092" t="s">
        <v>1127</v>
      </c>
      <c r="Q767" s="1086">
        <v>13</v>
      </c>
      <c r="R767" s="1085">
        <v>14</v>
      </c>
      <c r="S767" s="1084">
        <v>3.27</v>
      </c>
      <c r="T767" s="1054">
        <f t="shared" si="325"/>
        <v>0.75209999999999999</v>
      </c>
      <c r="U767" s="1064">
        <v>4.17</v>
      </c>
      <c r="V767" s="1052">
        <f t="shared" si="326"/>
        <v>1.1500000000000001</v>
      </c>
      <c r="W767" s="1049"/>
      <c r="X767" s="1051">
        <v>0.23</v>
      </c>
      <c r="Y767" s="1049"/>
      <c r="Z767" s="1050">
        <f t="shared" si="330"/>
        <v>0</v>
      </c>
      <c r="AA767" s="1092" t="s">
        <v>1127</v>
      </c>
      <c r="AB767" s="1086">
        <v>13</v>
      </c>
      <c r="AC767" s="1085">
        <v>14</v>
      </c>
      <c r="AD767" s="1721">
        <v>3.09</v>
      </c>
      <c r="AE767" s="1054">
        <f t="shared" si="327"/>
        <v>0</v>
      </c>
      <c r="AF767" s="1721">
        <v>5.32</v>
      </c>
      <c r="AG767" s="1052">
        <f t="shared" si="328"/>
        <v>0.92</v>
      </c>
      <c r="AH767" s="1049"/>
      <c r="AI767" s="1051"/>
      <c r="AJ767" s="1049"/>
      <c r="AK767" s="1050">
        <f t="shared" si="331"/>
        <v>0</v>
      </c>
      <c r="AL767" s="1049"/>
      <c r="AM767" s="1092"/>
      <c r="AN767" s="1086"/>
      <c r="AO767" s="1085"/>
      <c r="AP767" s="1721"/>
      <c r="AQ767" s="1736"/>
      <c r="AR767" s="1751"/>
      <c r="AS767" s="1052"/>
      <c r="AT767" s="1049"/>
      <c r="AU767" s="1051"/>
      <c r="AV767" s="1049"/>
      <c r="AW767" s="1092" t="s">
        <v>1127</v>
      </c>
      <c r="AX767" s="1086">
        <v>13</v>
      </c>
      <c r="AY767" s="1085">
        <v>14</v>
      </c>
      <c r="AZ767" s="1084">
        <v>0.3</v>
      </c>
      <c r="BA767" s="1736">
        <v>0.52</v>
      </c>
      <c r="BB767" s="1742">
        <f t="shared" si="329"/>
        <v>0.92</v>
      </c>
      <c r="BC767" s="1049"/>
      <c r="BD767" s="1051"/>
      <c r="BE767" s="1049"/>
      <c r="BF767" s="1092" t="s">
        <v>1127</v>
      </c>
      <c r="BG767" s="1086">
        <v>13</v>
      </c>
      <c r="BH767" s="1085">
        <v>14</v>
      </c>
      <c r="BI767" s="1084"/>
      <c r="BJ767" s="1736"/>
      <c r="BK767" s="1049"/>
      <c r="BL767" s="1092" t="s">
        <v>1127</v>
      </c>
      <c r="BM767" s="1086">
        <v>13</v>
      </c>
      <c r="BN767" s="1085">
        <v>14</v>
      </c>
      <c r="BO767" s="1084"/>
      <c r="BP767" s="1084"/>
      <c r="BQ767" s="1049"/>
    </row>
    <row r="768" spans="1:69" ht="14.4">
      <c r="A768" s="1049"/>
      <c r="B768" s="1060"/>
      <c r="C768" s="1086">
        <v>14</v>
      </c>
      <c r="D768" s="1085">
        <v>15</v>
      </c>
      <c r="E768" s="1091">
        <v>0.46</v>
      </c>
      <c r="F768" s="1090">
        <v>1.37</v>
      </c>
      <c r="G768" s="1089">
        <f t="shared" si="324"/>
        <v>2.9782608695652173</v>
      </c>
      <c r="H768" s="1049"/>
      <c r="I768" s="1060"/>
      <c r="J768" s="1086"/>
      <c r="K768" s="1085"/>
      <c r="L768" s="1084"/>
      <c r="M768" s="1088"/>
      <c r="N768" s="1087"/>
      <c r="O768" s="1049"/>
      <c r="P768" s="1058">
        <f>P756*0.8</f>
        <v>47.848000000000006</v>
      </c>
      <c r="Q768" s="1086">
        <v>14</v>
      </c>
      <c r="R768" s="1085">
        <v>15</v>
      </c>
      <c r="S768" s="1084">
        <v>3.41</v>
      </c>
      <c r="T768" s="1054">
        <f t="shared" si="325"/>
        <v>0.9889</v>
      </c>
      <c r="U768" s="1064">
        <v>4.54</v>
      </c>
      <c r="V768" s="1052">
        <f t="shared" si="326"/>
        <v>1.21</v>
      </c>
      <c r="W768" s="1049"/>
      <c r="X768" s="1051">
        <v>0.28999999999999998</v>
      </c>
      <c r="Y768" s="1049"/>
      <c r="Z768" s="1050">
        <f t="shared" si="330"/>
        <v>0</v>
      </c>
      <c r="AA768" s="1058">
        <f>AA756*0.8</f>
        <v>44.92799999999999</v>
      </c>
      <c r="AB768" s="1086">
        <v>14</v>
      </c>
      <c r="AC768" s="1085">
        <v>15</v>
      </c>
      <c r="AD768" s="1721">
        <v>2.84</v>
      </c>
      <c r="AE768" s="1054">
        <f t="shared" si="327"/>
        <v>0</v>
      </c>
      <c r="AF768" s="1721">
        <v>4.8</v>
      </c>
      <c r="AG768" s="1052">
        <f t="shared" si="328"/>
        <v>0.92</v>
      </c>
      <c r="AH768" s="1049"/>
      <c r="AI768" s="1051"/>
      <c r="AJ768" s="1049"/>
      <c r="AK768" s="1050">
        <f t="shared" si="331"/>
        <v>0</v>
      </c>
      <c r="AL768" s="1049"/>
      <c r="AM768" s="1058"/>
      <c r="AN768" s="1086"/>
      <c r="AO768" s="1085"/>
      <c r="AP768" s="1721"/>
      <c r="AQ768" s="1736"/>
      <c r="AR768" s="1751"/>
      <c r="AS768" s="1052"/>
      <c r="AT768" s="1049"/>
      <c r="AU768" s="1051"/>
      <c r="AV768" s="1049"/>
      <c r="AW768" s="1058">
        <f>AW756*0.8</f>
        <v>5.9359999999999999</v>
      </c>
      <c r="AX768" s="1086">
        <v>14</v>
      </c>
      <c r="AY768" s="1085">
        <v>15</v>
      </c>
      <c r="AZ768" s="1084">
        <v>0.11</v>
      </c>
      <c r="BA768" s="1736">
        <v>0.19</v>
      </c>
      <c r="BB768" s="1742">
        <f t="shared" si="329"/>
        <v>0.92</v>
      </c>
      <c r="BC768" s="1049"/>
      <c r="BD768" s="1051"/>
      <c r="BE768" s="1049"/>
      <c r="BF768" s="1058">
        <f>BF756*0.8</f>
        <v>0</v>
      </c>
      <c r="BG768" s="1086">
        <v>14</v>
      </c>
      <c r="BH768" s="1085">
        <v>15</v>
      </c>
      <c r="BI768" s="1084"/>
      <c r="BJ768" s="1736"/>
      <c r="BK768" s="1049"/>
      <c r="BL768" s="1058">
        <f>BL756*0.8</f>
        <v>0</v>
      </c>
      <c r="BM768" s="1086">
        <v>14</v>
      </c>
      <c r="BN768" s="1085">
        <v>15</v>
      </c>
      <c r="BO768" s="1084"/>
      <c r="BP768" s="1084"/>
      <c r="BQ768" s="1049"/>
    </row>
    <row r="769" spans="1:69" ht="14.4">
      <c r="A769" s="1049"/>
      <c r="B769" s="1060"/>
      <c r="C769" s="1086">
        <v>15</v>
      </c>
      <c r="D769" s="1085">
        <v>16</v>
      </c>
      <c r="E769" s="1091">
        <v>0.4</v>
      </c>
      <c r="F769" s="1090">
        <v>1.25</v>
      </c>
      <c r="G769" s="1089">
        <f t="shared" si="324"/>
        <v>3.125</v>
      </c>
      <c r="H769" s="1049"/>
      <c r="I769" s="1060"/>
      <c r="J769" s="1086"/>
      <c r="K769" s="1085"/>
      <c r="L769" s="1084"/>
      <c r="M769" s="1088"/>
      <c r="N769" s="1087"/>
      <c r="O769" s="1049"/>
      <c r="P769" s="1058" t="s">
        <v>1126</v>
      </c>
      <c r="Q769" s="1086">
        <v>15</v>
      </c>
      <c r="R769" s="1085">
        <v>16</v>
      </c>
      <c r="S769" s="1084">
        <v>3.72</v>
      </c>
      <c r="T769" s="1054">
        <f t="shared" si="325"/>
        <v>2.8272000000000004</v>
      </c>
      <c r="U769" s="1064">
        <v>6.7</v>
      </c>
      <c r="V769" s="1052">
        <f t="shared" si="326"/>
        <v>1.6800000000000002</v>
      </c>
      <c r="W769" s="1049"/>
      <c r="X769" s="1051">
        <v>0.76</v>
      </c>
      <c r="Y769" s="1049"/>
      <c r="Z769" s="1050">
        <f t="shared" si="330"/>
        <v>0</v>
      </c>
      <c r="AA769" s="1058" t="s">
        <v>1126</v>
      </c>
      <c r="AB769" s="1086">
        <v>15</v>
      </c>
      <c r="AC769" s="1085">
        <v>16</v>
      </c>
      <c r="AD769" s="1721">
        <v>3</v>
      </c>
      <c r="AE769" s="1054">
        <f t="shared" si="327"/>
        <v>0</v>
      </c>
      <c r="AF769" s="1721">
        <v>5.0599999999999996</v>
      </c>
      <c r="AG769" s="1052">
        <f t="shared" si="328"/>
        <v>0.92</v>
      </c>
      <c r="AH769" s="1049"/>
      <c r="AI769" s="1051"/>
      <c r="AJ769" s="1049"/>
      <c r="AK769" s="1050">
        <f t="shared" si="331"/>
        <v>0</v>
      </c>
      <c r="AL769" s="1049"/>
      <c r="AM769" s="1058"/>
      <c r="AN769" s="1086"/>
      <c r="AO769" s="1085"/>
      <c r="AP769" s="1721"/>
      <c r="AQ769" s="1736"/>
      <c r="AR769" s="1751"/>
      <c r="AS769" s="1052"/>
      <c r="AT769" s="1049"/>
      <c r="AU769" s="1051"/>
      <c r="AV769" s="1049"/>
      <c r="AW769" s="1058" t="s">
        <v>1126</v>
      </c>
      <c r="AX769" s="1086">
        <v>15</v>
      </c>
      <c r="AY769" s="1085">
        <v>16</v>
      </c>
      <c r="AZ769" s="1084">
        <v>0.24</v>
      </c>
      <c r="BA769" s="1736">
        <v>0.41</v>
      </c>
      <c r="BB769" s="1742">
        <f t="shared" si="329"/>
        <v>0.92</v>
      </c>
      <c r="BC769" s="1049"/>
      <c r="BD769" s="1051"/>
      <c r="BE769" s="1049"/>
      <c r="BF769" s="1058" t="s">
        <v>1126</v>
      </c>
      <c r="BG769" s="1086">
        <v>15</v>
      </c>
      <c r="BH769" s="1085">
        <v>16</v>
      </c>
      <c r="BI769" s="1084"/>
      <c r="BJ769" s="1736"/>
      <c r="BK769" s="1049"/>
      <c r="BL769" s="1058" t="s">
        <v>1126</v>
      </c>
      <c r="BM769" s="1086">
        <v>15</v>
      </c>
      <c r="BN769" s="1085">
        <v>16</v>
      </c>
      <c r="BO769" s="1084"/>
      <c r="BP769" s="1084"/>
      <c r="BQ769" s="1049"/>
    </row>
    <row r="770" spans="1:69" ht="15" thickBot="1">
      <c r="A770" s="1049"/>
      <c r="B770" s="1060"/>
      <c r="C770" s="1077">
        <v>16</v>
      </c>
      <c r="D770" s="1076">
        <v>17</v>
      </c>
      <c r="E770" s="1083">
        <v>0.39</v>
      </c>
      <c r="F770" s="1082">
        <v>1.25</v>
      </c>
      <c r="G770" s="1081">
        <f t="shared" si="324"/>
        <v>3.2051282051282048</v>
      </c>
      <c r="H770" s="1049"/>
      <c r="I770" s="1060"/>
      <c r="J770" s="1077"/>
      <c r="K770" s="1076"/>
      <c r="L770" s="1075"/>
      <c r="M770" s="1080"/>
      <c r="N770" s="1079"/>
      <c r="O770" s="1049"/>
      <c r="P770" s="1078">
        <f>P756*(X753-0.8)</f>
        <v>-24.185668750000008</v>
      </c>
      <c r="Q770" s="1077">
        <v>16</v>
      </c>
      <c r="R770" s="1076">
        <v>17</v>
      </c>
      <c r="S770" s="1075">
        <v>3.06</v>
      </c>
      <c r="T770" s="1054">
        <f t="shared" si="325"/>
        <v>1.8359999999999999</v>
      </c>
      <c r="U770" s="1064">
        <v>5.0199999999999996</v>
      </c>
      <c r="V770" s="1052">
        <f t="shared" si="326"/>
        <v>1.52</v>
      </c>
      <c r="W770" s="1049"/>
      <c r="X770" s="1074">
        <v>0.6</v>
      </c>
      <c r="Y770" s="1049"/>
      <c r="Z770" s="1050">
        <f t="shared" si="330"/>
        <v>0</v>
      </c>
      <c r="AA770" s="1078" t="e">
        <f>AA756*(AI753-0.8)</f>
        <v>#DIV/0!</v>
      </c>
      <c r="AB770" s="1077">
        <v>16</v>
      </c>
      <c r="AC770" s="1076">
        <v>17</v>
      </c>
      <c r="AD770" s="1721">
        <v>2.4700000000000002</v>
      </c>
      <c r="AE770" s="1054">
        <f t="shared" si="327"/>
        <v>0</v>
      </c>
      <c r="AF770" s="1721">
        <v>4.1900000000000004</v>
      </c>
      <c r="AG770" s="1052">
        <f t="shared" si="328"/>
        <v>0.92</v>
      </c>
      <c r="AH770" s="1049"/>
      <c r="AI770" s="1074"/>
      <c r="AJ770" s="1049"/>
      <c r="AK770" s="1050">
        <f t="shared" si="331"/>
        <v>0</v>
      </c>
      <c r="AL770" s="1049"/>
      <c r="AM770" s="1078"/>
      <c r="AN770" s="1077"/>
      <c r="AO770" s="1076"/>
      <c r="AP770" s="1721"/>
      <c r="AQ770" s="1736"/>
      <c r="AR770" s="1751"/>
      <c r="AS770" s="1052"/>
      <c r="AT770" s="1049"/>
      <c r="AU770" s="1074"/>
      <c r="AV770" s="1049"/>
      <c r="AW770" s="1078" t="e">
        <f>AW756*(BD753-0.8)</f>
        <v>#DIV/0!</v>
      </c>
      <c r="AX770" s="1077">
        <v>16</v>
      </c>
      <c r="AY770" s="1076">
        <v>17</v>
      </c>
      <c r="AZ770" s="1075">
        <v>1.17</v>
      </c>
      <c r="BA770" s="1738">
        <v>2.0699999999999998</v>
      </c>
      <c r="BB770" s="1743">
        <f t="shared" si="329"/>
        <v>0.92</v>
      </c>
      <c r="BC770" s="1049"/>
      <c r="BD770" s="1074"/>
      <c r="BE770" s="1049"/>
      <c r="BF770" s="1078">
        <f>BF756*(BM753-0.8)</f>
        <v>0</v>
      </c>
      <c r="BG770" s="1077">
        <v>16</v>
      </c>
      <c r="BH770" s="1076">
        <v>17</v>
      </c>
      <c r="BI770" s="1075"/>
      <c r="BJ770" s="1738"/>
      <c r="BK770" s="1049"/>
      <c r="BL770" s="1078">
        <f>BL756*(BS753-0.8)</f>
        <v>0</v>
      </c>
      <c r="BM770" s="1077">
        <v>16</v>
      </c>
      <c r="BN770" s="1076">
        <v>17</v>
      </c>
      <c r="BO770" s="1075"/>
      <c r="BP770" s="1075"/>
      <c r="BQ770" s="1049"/>
    </row>
    <row r="771" spans="1:69" ht="14.4">
      <c r="A771" s="1049"/>
      <c r="B771" s="1060"/>
      <c r="C771" s="1068">
        <v>17</v>
      </c>
      <c r="D771" s="1067">
        <v>18</v>
      </c>
      <c r="E771" s="1073">
        <v>0.63</v>
      </c>
      <c r="F771" s="1072">
        <v>2.52</v>
      </c>
      <c r="G771" s="1071">
        <f t="shared" si="324"/>
        <v>4</v>
      </c>
      <c r="H771" s="1049"/>
      <c r="I771" s="1060"/>
      <c r="J771" s="1068"/>
      <c r="K771" s="1067"/>
      <c r="L771" s="1066"/>
      <c r="M771" s="1070"/>
      <c r="N771" s="1069"/>
      <c r="O771" s="1049"/>
      <c r="P771" s="1058"/>
      <c r="Q771" s="1068">
        <v>17</v>
      </c>
      <c r="R771" s="1067">
        <v>18</v>
      </c>
      <c r="S771" s="1066">
        <v>2.78</v>
      </c>
      <c r="T771" s="1054">
        <f t="shared" si="325"/>
        <v>2.1128</v>
      </c>
      <c r="U771" s="1064">
        <v>5.01</v>
      </c>
      <c r="V771" s="1052">
        <f t="shared" si="326"/>
        <v>1.6800000000000002</v>
      </c>
      <c r="W771" s="1049"/>
      <c r="X771" s="1065">
        <v>0.76</v>
      </c>
      <c r="Y771" s="1049"/>
      <c r="Z771" s="1050">
        <f t="shared" si="330"/>
        <v>0</v>
      </c>
      <c r="AA771" s="1058"/>
      <c r="AB771" s="1068">
        <v>17</v>
      </c>
      <c r="AC771" s="1067">
        <v>18</v>
      </c>
      <c r="AD771" s="1721">
        <v>2.54</v>
      </c>
      <c r="AE771" s="1054">
        <f t="shared" si="327"/>
        <v>0</v>
      </c>
      <c r="AF771" s="1721">
        <v>6.43</v>
      </c>
      <c r="AG771" s="1052">
        <f t="shared" si="328"/>
        <v>0.92</v>
      </c>
      <c r="AH771" s="1049"/>
      <c r="AI771" s="1065"/>
      <c r="AJ771" s="1049"/>
      <c r="AK771" s="1050">
        <f t="shared" si="331"/>
        <v>0</v>
      </c>
      <c r="AL771" s="1049"/>
      <c r="AM771" s="1058"/>
      <c r="AN771" s="1068"/>
      <c r="AO771" s="1067"/>
      <c r="AP771" s="1721"/>
      <c r="AQ771" s="1736"/>
      <c r="AR771" s="1751"/>
      <c r="AS771" s="1052"/>
      <c r="AT771" s="1049"/>
      <c r="AU771" s="1065"/>
      <c r="AV771" s="1049"/>
      <c r="AW771" s="1058"/>
      <c r="AX771" s="1068">
        <v>17</v>
      </c>
      <c r="AY771" s="1067">
        <v>18</v>
      </c>
      <c r="AZ771" s="1066">
        <v>1.27</v>
      </c>
      <c r="BA771" s="1740">
        <v>3.26</v>
      </c>
      <c r="BB771" s="1744">
        <f t="shared" si="329"/>
        <v>0.92</v>
      </c>
      <c r="BC771" s="1049"/>
      <c r="BD771" s="1065"/>
      <c r="BE771" s="1049"/>
      <c r="BF771" s="1058"/>
      <c r="BG771" s="1068">
        <v>17</v>
      </c>
      <c r="BH771" s="1067">
        <v>18</v>
      </c>
      <c r="BI771" s="1066"/>
      <c r="BJ771" s="1740"/>
      <c r="BK771" s="1049"/>
      <c r="BL771" s="1058"/>
      <c r="BM771" s="1068">
        <v>17</v>
      </c>
      <c r="BN771" s="1067">
        <v>18</v>
      </c>
      <c r="BO771" s="1066"/>
      <c r="BP771" s="1066"/>
      <c r="BQ771" s="1049"/>
    </row>
    <row r="772" spans="1:69" ht="14.4">
      <c r="A772" s="1049"/>
      <c r="B772" s="1060"/>
      <c r="C772" s="1057">
        <v>18</v>
      </c>
      <c r="D772" s="1056">
        <v>19</v>
      </c>
      <c r="E772" s="1063">
        <v>0.48</v>
      </c>
      <c r="F772" s="1062">
        <v>1.86</v>
      </c>
      <c r="G772" s="1061">
        <f t="shared" si="324"/>
        <v>3.8750000000000004</v>
      </c>
      <c r="H772" s="1049"/>
      <c r="I772" s="1060"/>
      <c r="J772" s="1057"/>
      <c r="K772" s="1056"/>
      <c r="L772" s="1055"/>
      <c r="M772" s="1059"/>
      <c r="N772" s="1052"/>
      <c r="O772" s="1049"/>
      <c r="P772" s="1058"/>
      <c r="Q772" s="1057">
        <v>18</v>
      </c>
      <c r="R772" s="1056">
        <v>19</v>
      </c>
      <c r="S772" s="1055">
        <v>2.87</v>
      </c>
      <c r="T772" s="1054">
        <f t="shared" si="325"/>
        <v>2.2099000000000002</v>
      </c>
      <c r="U772" s="1064">
        <v>5.19</v>
      </c>
      <c r="V772" s="1052">
        <f t="shared" si="326"/>
        <v>1.69</v>
      </c>
      <c r="W772" s="1049"/>
      <c r="X772" s="1051">
        <v>0.77</v>
      </c>
      <c r="Y772" s="1049"/>
      <c r="Z772" s="1050">
        <f t="shared" si="330"/>
        <v>0</v>
      </c>
      <c r="AA772" s="1058"/>
      <c r="AB772" s="1057">
        <v>18</v>
      </c>
      <c r="AC772" s="1056">
        <v>19</v>
      </c>
      <c r="AD772" s="1721">
        <v>2.62</v>
      </c>
      <c r="AE772" s="1054">
        <f t="shared" si="327"/>
        <v>0</v>
      </c>
      <c r="AF772" s="1721">
        <v>6.62</v>
      </c>
      <c r="AG772" s="1052">
        <f t="shared" si="328"/>
        <v>0.92</v>
      </c>
      <c r="AH772" s="1049"/>
      <c r="AI772" s="1051"/>
      <c r="AJ772" s="1049"/>
      <c r="AK772" s="1050">
        <f t="shared" si="331"/>
        <v>0</v>
      </c>
      <c r="AL772" s="1049"/>
      <c r="AM772" s="1058"/>
      <c r="AN772" s="1057"/>
      <c r="AO772" s="1056"/>
      <c r="AP772" s="1721"/>
      <c r="AQ772" s="1736"/>
      <c r="AR772" s="1751"/>
      <c r="AS772" s="1052"/>
      <c r="AT772" s="1049"/>
      <c r="AU772" s="1051"/>
      <c r="AV772" s="1049"/>
      <c r="AW772" s="1058"/>
      <c r="AX772" s="1057">
        <v>18</v>
      </c>
      <c r="AY772" s="1056">
        <v>19</v>
      </c>
      <c r="AZ772" s="1055">
        <v>0.37</v>
      </c>
      <c r="BA772" s="1736">
        <v>0.97</v>
      </c>
      <c r="BB772" s="1737">
        <f t="shared" si="329"/>
        <v>0.92</v>
      </c>
      <c r="BC772" s="1049"/>
      <c r="BD772" s="1051"/>
      <c r="BE772" s="1049"/>
      <c r="BF772" s="1058"/>
      <c r="BG772" s="1057">
        <v>18</v>
      </c>
      <c r="BH772" s="1056">
        <v>19</v>
      </c>
      <c r="BI772" s="1055"/>
      <c r="BJ772" s="1736"/>
      <c r="BK772" s="1049"/>
      <c r="BL772" s="1058"/>
      <c r="BM772" s="1057">
        <v>18</v>
      </c>
      <c r="BN772" s="1056">
        <v>19</v>
      </c>
      <c r="BO772" s="1055"/>
      <c r="BP772" s="1055"/>
      <c r="BQ772" s="1049"/>
    </row>
    <row r="773" spans="1:69" ht="14.4">
      <c r="A773" s="1049"/>
      <c r="B773" s="1060"/>
      <c r="C773" s="1057">
        <v>19</v>
      </c>
      <c r="D773" s="1056">
        <v>20</v>
      </c>
      <c r="E773" s="1063">
        <v>0.46</v>
      </c>
      <c r="F773" s="1062">
        <v>1.7</v>
      </c>
      <c r="G773" s="1061">
        <f t="shared" si="324"/>
        <v>3.695652173913043</v>
      </c>
      <c r="H773" s="1049"/>
      <c r="I773" s="1060"/>
      <c r="J773" s="1057"/>
      <c r="K773" s="1056"/>
      <c r="L773" s="1055"/>
      <c r="M773" s="1059"/>
      <c r="N773" s="1052"/>
      <c r="O773" s="1049"/>
      <c r="P773" s="1058"/>
      <c r="Q773" s="1057">
        <v>19</v>
      </c>
      <c r="R773" s="1056">
        <v>20</v>
      </c>
      <c r="S773" s="1055">
        <v>2.9</v>
      </c>
      <c r="T773" s="1054">
        <f t="shared" si="325"/>
        <v>2.2039999999999997</v>
      </c>
      <c r="U773" s="1064">
        <v>5.22</v>
      </c>
      <c r="V773" s="1052">
        <f t="shared" si="326"/>
        <v>1.6800000000000002</v>
      </c>
      <c r="W773" s="1049"/>
      <c r="X773" s="1051">
        <v>0.76</v>
      </c>
      <c r="Y773" s="1049"/>
      <c r="Z773" s="1050">
        <f t="shared" si="330"/>
        <v>0</v>
      </c>
      <c r="AA773" s="1058"/>
      <c r="AB773" s="1057">
        <v>19</v>
      </c>
      <c r="AC773" s="1056">
        <v>20</v>
      </c>
      <c r="AD773" s="1721">
        <v>3.04</v>
      </c>
      <c r="AE773" s="1054">
        <f t="shared" si="327"/>
        <v>0</v>
      </c>
      <c r="AF773" s="1721">
        <v>7.57</v>
      </c>
      <c r="AG773" s="1052">
        <f t="shared" si="328"/>
        <v>0.92</v>
      </c>
      <c r="AH773" s="1049"/>
      <c r="AI773" s="1051"/>
      <c r="AJ773" s="1049"/>
      <c r="AK773" s="1050">
        <f t="shared" si="331"/>
        <v>0</v>
      </c>
      <c r="AL773" s="1049"/>
      <c r="AM773" s="1058"/>
      <c r="AN773" s="1057"/>
      <c r="AO773" s="1056"/>
      <c r="AP773" s="1721"/>
      <c r="AQ773" s="1736"/>
      <c r="AR773" s="1751"/>
      <c r="AS773" s="1052"/>
      <c r="AT773" s="1049"/>
      <c r="AU773" s="1051"/>
      <c r="AV773" s="1049"/>
      <c r="AW773" s="1058"/>
      <c r="AX773" s="1057">
        <v>19</v>
      </c>
      <c r="AY773" s="1056">
        <v>20</v>
      </c>
      <c r="AZ773" s="1055">
        <v>0.3</v>
      </c>
      <c r="BA773" s="1736">
        <v>0.79</v>
      </c>
      <c r="BB773" s="1737">
        <f t="shared" si="329"/>
        <v>0.92</v>
      </c>
      <c r="BC773" s="1049"/>
      <c r="BD773" s="1051"/>
      <c r="BE773" s="1049"/>
      <c r="BF773" s="1058"/>
      <c r="BG773" s="1057">
        <v>19</v>
      </c>
      <c r="BH773" s="1056">
        <v>20</v>
      </c>
      <c r="BI773" s="1055"/>
      <c r="BJ773" s="1736"/>
      <c r="BK773" s="1049"/>
      <c r="BL773" s="1058"/>
      <c r="BM773" s="1057">
        <v>19</v>
      </c>
      <c r="BN773" s="1056">
        <v>20</v>
      </c>
      <c r="BO773" s="1055"/>
      <c r="BP773" s="1055"/>
      <c r="BQ773" s="1049"/>
    </row>
    <row r="774" spans="1:69" ht="14.4">
      <c r="A774" s="1049"/>
      <c r="B774" s="1060"/>
      <c r="C774" s="1057">
        <v>20</v>
      </c>
      <c r="D774" s="1056">
        <v>21</v>
      </c>
      <c r="E774" s="1063">
        <v>0.61</v>
      </c>
      <c r="F774" s="1062">
        <v>1.76</v>
      </c>
      <c r="G774" s="1061">
        <f t="shared" si="324"/>
        <v>2.8852459016393444</v>
      </c>
      <c r="H774" s="1049"/>
      <c r="I774" s="1060"/>
      <c r="J774" s="1057"/>
      <c r="K774" s="1056"/>
      <c r="L774" s="1055"/>
      <c r="M774" s="1059"/>
      <c r="N774" s="1052"/>
      <c r="O774" s="1049"/>
      <c r="P774" s="1058"/>
      <c r="Q774" s="1057">
        <v>20</v>
      </c>
      <c r="R774" s="1056">
        <v>21</v>
      </c>
      <c r="S774" s="1055">
        <v>3.03</v>
      </c>
      <c r="T774" s="1054">
        <f t="shared" si="325"/>
        <v>1.5452999999999999</v>
      </c>
      <c r="U774" s="1064">
        <v>4.71</v>
      </c>
      <c r="V774" s="1052">
        <f t="shared" si="326"/>
        <v>1.4300000000000002</v>
      </c>
      <c r="W774" s="1049"/>
      <c r="X774" s="1051">
        <v>0.51</v>
      </c>
      <c r="Y774" s="1049"/>
      <c r="Z774" s="1050">
        <f t="shared" si="330"/>
        <v>0</v>
      </c>
      <c r="AA774" s="1058"/>
      <c r="AB774" s="1057">
        <v>20</v>
      </c>
      <c r="AC774" s="1056">
        <v>21</v>
      </c>
      <c r="AD774" s="1721">
        <v>3.17</v>
      </c>
      <c r="AE774" s="1054">
        <f t="shared" si="327"/>
        <v>0</v>
      </c>
      <c r="AF774" s="1721">
        <v>5.25</v>
      </c>
      <c r="AG774" s="1052">
        <f t="shared" si="328"/>
        <v>0.92</v>
      </c>
      <c r="AH774" s="1049"/>
      <c r="AI774" s="1051"/>
      <c r="AJ774" s="1049"/>
      <c r="AK774" s="1050">
        <f t="shared" si="331"/>
        <v>0</v>
      </c>
      <c r="AL774" s="1049"/>
      <c r="AM774" s="1058"/>
      <c r="AN774" s="1057"/>
      <c r="AO774" s="1056"/>
      <c r="AP774" s="1721"/>
      <c r="AQ774" s="1736"/>
      <c r="AR774" s="1751"/>
      <c r="AS774" s="1052"/>
      <c r="AT774" s="1049"/>
      <c r="AU774" s="1051"/>
      <c r="AV774" s="1049"/>
      <c r="AW774" s="1058"/>
      <c r="AX774" s="1057">
        <v>20</v>
      </c>
      <c r="AY774" s="1056">
        <v>21</v>
      </c>
      <c r="AZ774" s="1055">
        <v>0.34</v>
      </c>
      <c r="BA774" s="1736">
        <v>0.6</v>
      </c>
      <c r="BB774" s="1737">
        <f t="shared" si="329"/>
        <v>0.92</v>
      </c>
      <c r="BC774" s="1049"/>
      <c r="BD774" s="1051"/>
      <c r="BE774" s="1049"/>
      <c r="BF774" s="1058"/>
      <c r="BG774" s="1057">
        <v>20</v>
      </c>
      <c r="BH774" s="1056">
        <v>21</v>
      </c>
      <c r="BI774" s="1055"/>
      <c r="BJ774" s="1736"/>
      <c r="BK774" s="1049"/>
      <c r="BL774" s="1058"/>
      <c r="BM774" s="1057">
        <v>20</v>
      </c>
      <c r="BN774" s="1056">
        <v>21</v>
      </c>
      <c r="BO774" s="1055"/>
      <c r="BP774" s="1055"/>
      <c r="BQ774" s="1049"/>
    </row>
    <row r="775" spans="1:69" ht="14.4">
      <c r="A775" s="1049"/>
      <c r="B775" s="1060"/>
      <c r="C775" s="1057">
        <v>21</v>
      </c>
      <c r="D775" s="1056">
        <v>22</v>
      </c>
      <c r="E775" s="1063">
        <v>0.89</v>
      </c>
      <c r="F775" s="1062">
        <v>2.5099999999999998</v>
      </c>
      <c r="G775" s="1061">
        <f t="shared" si="324"/>
        <v>2.8202247191011232</v>
      </c>
      <c r="H775" s="1049"/>
      <c r="I775" s="1060"/>
      <c r="J775" s="1057"/>
      <c r="K775" s="1056"/>
      <c r="L775" s="1055"/>
      <c r="M775" s="1059"/>
      <c r="N775" s="1052"/>
      <c r="O775" s="1049"/>
      <c r="P775" s="1058"/>
      <c r="Q775" s="1057">
        <v>21</v>
      </c>
      <c r="R775" s="1056">
        <v>22</v>
      </c>
      <c r="S775" s="1055">
        <v>2.89</v>
      </c>
      <c r="T775" s="1054">
        <f t="shared" si="325"/>
        <v>0.7803000000000001</v>
      </c>
      <c r="U775" s="1064">
        <v>3.79</v>
      </c>
      <c r="V775" s="1052">
        <f t="shared" si="326"/>
        <v>1.19</v>
      </c>
      <c r="W775" s="1049"/>
      <c r="X775" s="1051">
        <v>0.27</v>
      </c>
      <c r="Y775" s="1049"/>
      <c r="Z775" s="1050">
        <f t="shared" si="330"/>
        <v>0</v>
      </c>
      <c r="AA775" s="1058"/>
      <c r="AB775" s="1057">
        <v>21</v>
      </c>
      <c r="AC775" s="1056">
        <v>22</v>
      </c>
      <c r="AD775" s="1721">
        <v>3.59</v>
      </c>
      <c r="AE775" s="1054">
        <f t="shared" si="327"/>
        <v>0</v>
      </c>
      <c r="AF775" s="1721">
        <v>5.75</v>
      </c>
      <c r="AG775" s="1052">
        <f t="shared" si="328"/>
        <v>0.92</v>
      </c>
      <c r="AH775" s="1049"/>
      <c r="AI775" s="1051"/>
      <c r="AJ775" s="1049"/>
      <c r="AK775" s="1050">
        <f t="shared" si="331"/>
        <v>0</v>
      </c>
      <c r="AL775" s="1049"/>
      <c r="AM775" s="1058"/>
      <c r="AN775" s="1057"/>
      <c r="AO775" s="1056"/>
      <c r="AP775" s="1721"/>
      <c r="AQ775" s="1736"/>
      <c r="AR775" s="1751"/>
      <c r="AS775" s="1052"/>
      <c r="AT775" s="1049"/>
      <c r="AU775" s="1051"/>
      <c r="AV775" s="1049"/>
      <c r="AW775" s="1058"/>
      <c r="AX775" s="1057">
        <v>21</v>
      </c>
      <c r="AY775" s="1056">
        <v>22</v>
      </c>
      <c r="AZ775" s="1055">
        <v>0.22</v>
      </c>
      <c r="BA775" s="1736">
        <v>0.38</v>
      </c>
      <c r="BB775" s="1737">
        <f t="shared" si="329"/>
        <v>0.92</v>
      </c>
      <c r="BC775" s="1049"/>
      <c r="BD775" s="1051"/>
      <c r="BE775" s="1049"/>
      <c r="BF775" s="1058"/>
      <c r="BG775" s="1057">
        <v>21</v>
      </c>
      <c r="BH775" s="1056">
        <v>22</v>
      </c>
      <c r="BI775" s="1055"/>
      <c r="BJ775" s="1736"/>
      <c r="BK775" s="1049"/>
      <c r="BL775" s="1058"/>
      <c r="BM775" s="1057">
        <v>21</v>
      </c>
      <c r="BN775" s="1056">
        <v>22</v>
      </c>
      <c r="BO775" s="1055"/>
      <c r="BP775" s="1055"/>
      <c r="BQ775" s="1049"/>
    </row>
    <row r="776" spans="1:69" ht="14.4">
      <c r="A776" s="1049"/>
      <c r="B776" s="1060"/>
      <c r="C776" s="1057">
        <v>22</v>
      </c>
      <c r="D776" s="1056">
        <v>23</v>
      </c>
      <c r="E776" s="1063">
        <v>0.32</v>
      </c>
      <c r="F776" s="1062">
        <v>0.85</v>
      </c>
      <c r="G776" s="1061">
        <f t="shared" si="324"/>
        <v>2.65625</v>
      </c>
      <c r="H776" s="1049"/>
      <c r="I776" s="1060"/>
      <c r="J776" s="1057"/>
      <c r="K776" s="1056"/>
      <c r="L776" s="1055"/>
      <c r="M776" s="1059"/>
      <c r="N776" s="1052"/>
      <c r="O776" s="1049"/>
      <c r="P776" s="1058"/>
      <c r="Q776" s="1057">
        <v>22</v>
      </c>
      <c r="R776" s="1056">
        <v>23</v>
      </c>
      <c r="S776" s="1055">
        <v>2.87</v>
      </c>
      <c r="T776" s="1054">
        <f t="shared" si="325"/>
        <v>0.63140000000000007</v>
      </c>
      <c r="U776" s="1064">
        <v>3.64</v>
      </c>
      <c r="V776" s="1052">
        <f t="shared" si="326"/>
        <v>1.1400000000000001</v>
      </c>
      <c r="W776" s="1049"/>
      <c r="X776" s="1051">
        <v>0.22</v>
      </c>
      <c r="Y776" s="1049"/>
      <c r="Z776" s="1050">
        <f t="shared" si="330"/>
        <v>0</v>
      </c>
      <c r="AA776" s="1058"/>
      <c r="AB776" s="1057">
        <v>22</v>
      </c>
      <c r="AC776" s="1056">
        <v>23</v>
      </c>
      <c r="AD776" s="1721">
        <v>2.98</v>
      </c>
      <c r="AE776" s="1054">
        <f t="shared" si="327"/>
        <v>0</v>
      </c>
      <c r="AF776" s="1721">
        <v>4.83</v>
      </c>
      <c r="AG776" s="1052">
        <f t="shared" si="328"/>
        <v>0.92</v>
      </c>
      <c r="AH776" s="1049"/>
      <c r="AI776" s="1051"/>
      <c r="AJ776" s="1049"/>
      <c r="AK776" s="1050">
        <f t="shared" si="331"/>
        <v>0</v>
      </c>
      <c r="AL776" s="1049"/>
      <c r="AM776" s="1058"/>
      <c r="AN776" s="1057"/>
      <c r="AO776" s="1056"/>
      <c r="AP776" s="1721"/>
      <c r="AQ776" s="1736"/>
      <c r="AR776" s="1751"/>
      <c r="AS776" s="1052"/>
      <c r="AT776" s="1049"/>
      <c r="AU776" s="1051"/>
      <c r="AV776" s="1049"/>
      <c r="AW776" s="1058"/>
      <c r="AX776" s="1057">
        <v>22</v>
      </c>
      <c r="AY776" s="1056">
        <v>23</v>
      </c>
      <c r="AZ776" s="1055">
        <v>0.2</v>
      </c>
      <c r="BA776" s="1736">
        <v>0.33</v>
      </c>
      <c r="BB776" s="1737">
        <f t="shared" si="329"/>
        <v>0.92</v>
      </c>
      <c r="BC776" s="1049"/>
      <c r="BD776" s="1051"/>
      <c r="BE776" s="1049"/>
      <c r="BF776" s="1058"/>
      <c r="BG776" s="1057">
        <v>22</v>
      </c>
      <c r="BH776" s="1056">
        <v>23</v>
      </c>
      <c r="BI776" s="1055"/>
      <c r="BJ776" s="1736"/>
      <c r="BK776" s="1049"/>
      <c r="BL776" s="1058"/>
      <c r="BM776" s="1057">
        <v>22</v>
      </c>
      <c r="BN776" s="1056">
        <v>23</v>
      </c>
      <c r="BO776" s="1055"/>
      <c r="BP776" s="1055"/>
      <c r="BQ776" s="1049"/>
    </row>
    <row r="777" spans="1:69" ht="14.4">
      <c r="A777" s="1049"/>
      <c r="B777" s="1060"/>
      <c r="C777" s="1057">
        <v>23</v>
      </c>
      <c r="D777" s="1056">
        <v>24</v>
      </c>
      <c r="E777" s="1063">
        <v>0.24</v>
      </c>
      <c r="F777" s="1062">
        <v>0.57999999999999996</v>
      </c>
      <c r="G777" s="1061">
        <f t="shared" si="324"/>
        <v>2.4166666666666665</v>
      </c>
      <c r="H777" s="1049"/>
      <c r="I777" s="1060"/>
      <c r="J777" s="1057"/>
      <c r="K777" s="1056"/>
      <c r="L777" s="1055"/>
      <c r="M777" s="1059"/>
      <c r="N777" s="1052"/>
      <c r="O777" s="1049"/>
      <c r="P777" s="1058"/>
      <c r="Q777" s="1057">
        <v>23</v>
      </c>
      <c r="R777" s="1056">
        <v>24</v>
      </c>
      <c r="S777" s="1055">
        <v>2.81</v>
      </c>
      <c r="T777" s="1054">
        <f t="shared" si="325"/>
        <v>0.84299999999999997</v>
      </c>
      <c r="U777" s="1053">
        <v>3.44</v>
      </c>
      <c r="V777" s="1052">
        <f t="shared" si="326"/>
        <v>1.22</v>
      </c>
      <c r="W777" s="1049"/>
      <c r="X777" s="1051">
        <v>0.3</v>
      </c>
      <c r="Y777" s="1049"/>
      <c r="Z777" s="1050">
        <f t="shared" si="330"/>
        <v>0</v>
      </c>
      <c r="AA777" s="1058"/>
      <c r="AB777" s="1057">
        <v>23</v>
      </c>
      <c r="AC777" s="1056">
        <v>24</v>
      </c>
      <c r="AD777" s="1721">
        <v>2.98</v>
      </c>
      <c r="AE777" s="1054">
        <f t="shared" si="327"/>
        <v>0</v>
      </c>
      <c r="AF777" s="1721">
        <v>4.37</v>
      </c>
      <c r="AG777" s="1052">
        <f t="shared" si="328"/>
        <v>0.92</v>
      </c>
      <c r="AH777" s="1049"/>
      <c r="AI777" s="1051"/>
      <c r="AJ777" s="1049"/>
      <c r="AK777" s="1050">
        <f t="shared" si="331"/>
        <v>0</v>
      </c>
      <c r="AL777" s="1049"/>
      <c r="AM777" s="1058"/>
      <c r="AN777" s="1057"/>
      <c r="AO777" s="1056"/>
      <c r="AP777" s="1721"/>
      <c r="AQ777" s="1736"/>
      <c r="AR777" s="1751"/>
      <c r="AS777" s="1052"/>
      <c r="AT777" s="1049"/>
      <c r="AU777" s="1051"/>
      <c r="AV777" s="1049"/>
      <c r="AW777" s="1058"/>
      <c r="AX777" s="1057">
        <v>23</v>
      </c>
      <c r="AY777" s="1056">
        <v>24</v>
      </c>
      <c r="AZ777" s="1055">
        <v>0.11</v>
      </c>
      <c r="BA777" s="1736">
        <v>0.17</v>
      </c>
      <c r="BB777" s="1737">
        <f t="shared" si="329"/>
        <v>0.92</v>
      </c>
      <c r="BC777" s="1049"/>
      <c r="BD777" s="1051"/>
      <c r="BE777" s="1049"/>
      <c r="BF777" s="1058"/>
      <c r="BG777" s="1057">
        <v>23</v>
      </c>
      <c r="BH777" s="1056">
        <v>24</v>
      </c>
      <c r="BI777" s="1055"/>
      <c r="BJ777" s="1736"/>
      <c r="BK777" s="1049"/>
      <c r="BL777" s="1058"/>
      <c r="BM777" s="1057">
        <v>23</v>
      </c>
      <c r="BN777" s="1056">
        <v>24</v>
      </c>
      <c r="BO777" s="1055"/>
      <c r="BP777" s="1055"/>
      <c r="BQ777" s="1049"/>
    </row>
    <row r="778" spans="1:69">
      <c r="A778" s="1036"/>
      <c r="B778" s="1044"/>
      <c r="C778" s="1043"/>
      <c r="D778" s="1043"/>
      <c r="E778" s="1042"/>
      <c r="F778" s="1048"/>
      <c r="G778" s="1047"/>
      <c r="H778" s="1036"/>
      <c r="I778" s="1044"/>
      <c r="J778" s="1046"/>
      <c r="K778" s="1046"/>
      <c r="L778" s="1042"/>
      <c r="M778" s="1045"/>
      <c r="N778" s="1039"/>
      <c r="O778" s="1036"/>
      <c r="P778" s="1044"/>
      <c r="Q778" s="1043"/>
      <c r="R778" s="1043"/>
      <c r="S778" s="1042"/>
      <c r="T778" s="1041"/>
      <c r="U778" s="1040"/>
      <c r="V778" s="1039"/>
      <c r="W778" s="1036"/>
      <c r="X778" s="1038"/>
      <c r="Y778" s="1036"/>
      <c r="Z778" s="1037"/>
      <c r="AA778" s="1044"/>
      <c r="AB778" s="1043"/>
      <c r="AC778" s="1043"/>
      <c r="AD778" s="1042"/>
      <c r="AE778" s="1041"/>
      <c r="AF778" s="1040"/>
      <c r="AG778" s="1039"/>
      <c r="AH778" s="1036"/>
      <c r="AI778" s="1038"/>
      <c r="AJ778" s="1036"/>
      <c r="AK778" s="1037"/>
      <c r="AL778" s="1036"/>
      <c r="AM778" s="1044"/>
      <c r="AN778" s="1043"/>
      <c r="AO778" s="1043"/>
      <c r="AP778" s="1042"/>
      <c r="AQ778" s="1730"/>
      <c r="AR778" s="1735"/>
      <c r="AS778" s="1039"/>
      <c r="AT778" s="1036"/>
      <c r="AU778" s="1038"/>
      <c r="AV778" s="1036"/>
      <c r="AW778" s="1044"/>
      <c r="AX778" s="1043"/>
      <c r="AY778" s="1043"/>
      <c r="AZ778" s="1042"/>
      <c r="BA778" s="1045"/>
      <c r="BB778" s="1039"/>
      <c r="BC778" s="1036"/>
      <c r="BD778" s="1038"/>
      <c r="BE778" s="1036"/>
      <c r="BF778" s="1044"/>
      <c r="BG778" s="1043"/>
      <c r="BH778" s="1043"/>
      <c r="BI778" s="1042"/>
      <c r="BJ778" s="1045"/>
      <c r="BK778" s="1036"/>
      <c r="BL778" s="1044"/>
      <c r="BM778" s="1043"/>
      <c r="BN778" s="1043"/>
      <c r="BO778" s="1042"/>
      <c r="BP778" s="1045"/>
      <c r="BQ778" s="1036"/>
    </row>
    <row r="779" spans="1:69">
      <c r="A779" s="1017"/>
      <c r="H779" s="1017"/>
      <c r="I779" s="1017"/>
      <c r="L779" s="1035"/>
      <c r="M779" s="1019"/>
      <c r="N779" s="1032"/>
      <c r="O779" s="1017"/>
      <c r="P779" s="1017"/>
      <c r="Q779" s="1027"/>
      <c r="R779" s="1027"/>
      <c r="S779" s="1035"/>
      <c r="T779" s="1034"/>
      <c r="U779" s="1033"/>
      <c r="V779" s="1032"/>
      <c r="W779" s="1017"/>
      <c r="Y779" s="1017"/>
      <c r="AA779" s="1130"/>
      <c r="AB779" s="1046"/>
      <c r="AC779" s="1046"/>
      <c r="AD779" s="1129">
        <f>AVERAGE(AD780:AD803)</f>
        <v>1.8062500000000001</v>
      </c>
      <c r="AE779" s="1128"/>
      <c r="AF779" s="1040">
        <f>AVERAGE(AF780:AF803)</f>
        <v>3.1583333333333332</v>
      </c>
      <c r="AG779" s="1039">
        <f>AVERAGE(AG780:AG803)</f>
        <v>0.92000000000000048</v>
      </c>
      <c r="AH779" s="1036"/>
      <c r="AI779" s="1038" t="e">
        <f>AVERAGE(AI788:AI803)</f>
        <v>#DIV/0!</v>
      </c>
      <c r="AJ779" s="1036"/>
      <c r="AK779" s="1127">
        <f>SUM(AK780:AK803)</f>
        <v>0</v>
      </c>
      <c r="AL779" s="1017"/>
      <c r="AM779" s="1017"/>
      <c r="AN779" s="1027"/>
      <c r="AO779" s="1027"/>
      <c r="AP779" s="1035"/>
      <c r="AR779" s="1753"/>
      <c r="AS779" s="1032"/>
      <c r="AT779" s="1017"/>
      <c r="AV779" s="1017"/>
      <c r="AW779" s="1017"/>
      <c r="AX779" s="1027"/>
      <c r="AY779" s="1027"/>
      <c r="AZ779" s="1035"/>
      <c r="BA779" s="1755"/>
      <c r="BB779" s="1032"/>
      <c r="BC779" s="1017"/>
      <c r="BE779" s="1017"/>
      <c r="BF779" s="1017"/>
      <c r="BG779" s="1027"/>
      <c r="BH779" s="1027"/>
      <c r="BI779" s="1875"/>
      <c r="BJ779" s="1755"/>
      <c r="BK779" s="1017"/>
      <c r="BL779" s="1017"/>
      <c r="BM779" s="1027"/>
      <c r="BN779" s="1027"/>
      <c r="BO779" s="1035"/>
      <c r="BP779" s="1755"/>
      <c r="BQ779" s="1017"/>
    </row>
    <row r="780" spans="1:69" ht="14.4">
      <c r="A780" s="1017"/>
      <c r="H780" s="1017"/>
      <c r="I780" s="1017"/>
      <c r="L780" s="1035"/>
      <c r="M780" s="1019"/>
      <c r="N780" s="1032"/>
      <c r="O780" s="1017"/>
      <c r="P780" s="1017"/>
      <c r="Q780" s="1027"/>
      <c r="R780" s="1027"/>
      <c r="S780" s="1035"/>
      <c r="T780" s="1034"/>
      <c r="U780" s="1033"/>
      <c r="V780" s="1032"/>
      <c r="W780" s="1017"/>
      <c r="Y780" s="1017"/>
      <c r="AA780" s="1125">
        <v>44958</v>
      </c>
      <c r="AB780" s="1057">
        <v>0</v>
      </c>
      <c r="AC780" s="1056">
        <v>1</v>
      </c>
      <c r="AD780" s="1721">
        <v>1.95</v>
      </c>
      <c r="AE780" s="1054">
        <f t="shared" ref="AE780:AE803" si="332">AD780*AI780</f>
        <v>0</v>
      </c>
      <c r="AF780" s="1721">
        <v>3.06</v>
      </c>
      <c r="AG780" s="1052">
        <f t="shared" ref="AG780:AG803" si="333">AI780+0.92</f>
        <v>0.92</v>
      </c>
      <c r="AH780" s="1049"/>
      <c r="AI780" s="1051"/>
      <c r="AJ780" s="1049"/>
      <c r="AK780" s="1050">
        <f>IF(AI780&lt;0.8,0,AD780*(AI780-0.8))</f>
        <v>0</v>
      </c>
      <c r="AL780" s="1017"/>
      <c r="AM780" s="1017"/>
      <c r="AN780" s="1027"/>
      <c r="AO780" s="1027"/>
      <c r="AP780" s="1035"/>
      <c r="AR780" s="1753"/>
      <c r="AS780" s="1032"/>
      <c r="AT780" s="1017"/>
      <c r="AV780" s="1017"/>
      <c r="AW780" s="1017"/>
      <c r="AX780" s="1027"/>
      <c r="AY780" s="1027"/>
      <c r="AZ780" s="1035"/>
      <c r="BA780" s="1755"/>
      <c r="BB780" s="1032"/>
      <c r="BC780" s="1017"/>
      <c r="BE780" s="1017"/>
      <c r="BF780" s="1017"/>
      <c r="BG780" s="1027"/>
      <c r="BH780" s="1027"/>
      <c r="BI780" s="1875"/>
      <c r="BJ780" s="1755"/>
      <c r="BK780" s="1017"/>
      <c r="BL780" s="1017"/>
      <c r="BM780" s="1027"/>
      <c r="BN780" s="1027"/>
      <c r="BO780" s="1035"/>
      <c r="BP780" s="1755"/>
      <c r="BQ780" s="1017"/>
    </row>
    <row r="781" spans="1:69" ht="14.4">
      <c r="A781" s="1017"/>
      <c r="H781" s="1017"/>
      <c r="I781" s="1017"/>
      <c r="L781" s="1035"/>
      <c r="M781" s="1019"/>
      <c r="N781" s="1032"/>
      <c r="O781" s="1017"/>
      <c r="P781" s="1017"/>
      <c r="Q781" s="1027"/>
      <c r="R781" s="1027"/>
      <c r="S781" s="1035"/>
      <c r="T781" s="1034"/>
      <c r="U781" s="1033"/>
      <c r="V781" s="1032"/>
      <c r="W781" s="1017"/>
      <c r="Y781" s="1017"/>
      <c r="AA781" s="1123"/>
      <c r="AB781" s="1057">
        <v>1</v>
      </c>
      <c r="AC781" s="1056">
        <v>2</v>
      </c>
      <c r="AD781" s="1721">
        <v>1.87</v>
      </c>
      <c r="AE781" s="1054">
        <f t="shared" si="332"/>
        <v>0</v>
      </c>
      <c r="AF781" s="1721">
        <v>2.71</v>
      </c>
      <c r="AG781" s="1052">
        <f t="shared" si="333"/>
        <v>0.92</v>
      </c>
      <c r="AH781" s="1049"/>
      <c r="AI781" s="1051"/>
      <c r="AJ781" s="1049"/>
      <c r="AK781" s="1050">
        <f t="shared" ref="AK781:AK803" si="334">IF(AI781&lt;0.8,0,AD781*(AF781-0.8))</f>
        <v>0</v>
      </c>
      <c r="AL781" s="1017"/>
      <c r="AM781" s="1017"/>
      <c r="AN781" s="1027"/>
      <c r="AO781" s="1027"/>
      <c r="AP781" s="1035"/>
      <c r="AR781" s="1753"/>
      <c r="AS781" s="1032"/>
      <c r="AT781" s="1017"/>
      <c r="AV781" s="1017"/>
      <c r="AW781" s="1017"/>
      <c r="AX781" s="1027"/>
      <c r="AY781" s="1027"/>
      <c r="AZ781" s="1035"/>
      <c r="BA781" s="1755"/>
      <c r="BB781" s="1032"/>
      <c r="BC781" s="1017"/>
      <c r="BE781" s="1017"/>
      <c r="BF781" s="1017"/>
      <c r="BG781" s="1027"/>
      <c r="BH781" s="1027"/>
      <c r="BI781" s="1875"/>
      <c r="BJ781" s="1755"/>
      <c r="BK781" s="1017"/>
      <c r="BL781" s="1017"/>
      <c r="BM781" s="1027"/>
      <c r="BN781" s="1027"/>
      <c r="BO781" s="1035"/>
      <c r="BP781" s="1755"/>
      <c r="BQ781" s="1017"/>
    </row>
    <row r="782" spans="1:69" ht="14.4">
      <c r="A782" s="1017"/>
      <c r="H782" s="1017"/>
      <c r="I782" s="1017"/>
      <c r="L782" s="1035"/>
      <c r="M782" s="1019"/>
      <c r="N782" s="1032"/>
      <c r="O782" s="1017"/>
      <c r="P782" s="1017"/>
      <c r="Q782" s="1027"/>
      <c r="R782" s="1027"/>
      <c r="S782" s="1035"/>
      <c r="T782" s="1034"/>
      <c r="U782" s="1033"/>
      <c r="V782" s="1032"/>
      <c r="W782" s="1017"/>
      <c r="Y782" s="1017"/>
      <c r="AA782" s="1121">
        <f>SUM(AD780:AD803)</f>
        <v>43.35</v>
      </c>
      <c r="AB782" s="1057">
        <v>2</v>
      </c>
      <c r="AC782" s="1056">
        <v>3</v>
      </c>
      <c r="AD782" s="1721">
        <v>1.87</v>
      </c>
      <c r="AE782" s="1054">
        <f t="shared" si="332"/>
        <v>0</v>
      </c>
      <c r="AF782" s="1721">
        <v>2.68</v>
      </c>
      <c r="AG782" s="1052">
        <f t="shared" si="333"/>
        <v>0.92</v>
      </c>
      <c r="AH782" s="1049"/>
      <c r="AI782" s="1051"/>
      <c r="AJ782" s="1049"/>
      <c r="AK782" s="1050">
        <f t="shared" si="334"/>
        <v>0</v>
      </c>
      <c r="AL782" s="1017"/>
      <c r="AM782" s="1017"/>
      <c r="AN782" s="1027"/>
      <c r="AO782" s="1027"/>
      <c r="AP782" s="1035"/>
      <c r="AR782" s="1753"/>
      <c r="AS782" s="1032"/>
      <c r="AT782" s="1017"/>
      <c r="AV782" s="1017"/>
      <c r="AW782" s="1017"/>
      <c r="AX782" s="1027"/>
      <c r="AY782" s="1027"/>
      <c r="AZ782" s="1035"/>
      <c r="BA782" s="1755"/>
      <c r="BB782" s="1032"/>
      <c r="BC782" s="1017"/>
      <c r="BE782" s="1017"/>
      <c r="BF782" s="1017"/>
      <c r="BG782" s="1027"/>
      <c r="BH782" s="1027"/>
      <c r="BI782" s="1875"/>
      <c r="BJ782" s="1755"/>
      <c r="BK782" s="1017"/>
      <c r="BL782" s="1017"/>
      <c r="BM782" s="1027"/>
      <c r="BN782" s="1027"/>
      <c r="BO782" s="1035"/>
      <c r="BP782" s="1755"/>
      <c r="BQ782" s="1017"/>
    </row>
    <row r="783" spans="1:69" ht="14.4">
      <c r="A783" s="1017"/>
      <c r="H783" s="1017"/>
      <c r="I783" s="1017"/>
      <c r="L783" s="1035"/>
      <c r="M783" s="1019"/>
      <c r="N783" s="1032"/>
      <c r="O783" s="1017"/>
      <c r="P783" s="1017"/>
      <c r="Q783" s="1027"/>
      <c r="R783" s="1027"/>
      <c r="S783" s="1035"/>
      <c r="T783" s="1034"/>
      <c r="U783" s="1033"/>
      <c r="V783" s="1032"/>
      <c r="W783" s="1017"/>
      <c r="Y783" s="1017"/>
      <c r="AA783" s="1120">
        <f>AA782/24</f>
        <v>1.8062500000000001</v>
      </c>
      <c r="AB783" s="1057">
        <v>3</v>
      </c>
      <c r="AC783" s="1056">
        <v>4</v>
      </c>
      <c r="AD783" s="1721">
        <v>1.87</v>
      </c>
      <c r="AE783" s="1054">
        <f t="shared" si="332"/>
        <v>0</v>
      </c>
      <c r="AF783" s="1721">
        <v>2.7</v>
      </c>
      <c r="AG783" s="1052">
        <f t="shared" si="333"/>
        <v>0.92</v>
      </c>
      <c r="AH783" s="1049"/>
      <c r="AI783" s="1051"/>
      <c r="AJ783" s="1049"/>
      <c r="AK783" s="1050">
        <f t="shared" si="334"/>
        <v>0</v>
      </c>
      <c r="AL783" s="1017"/>
      <c r="AM783" s="1017"/>
      <c r="AN783" s="1027"/>
      <c r="AO783" s="1027"/>
      <c r="AP783" s="1035"/>
      <c r="AR783" s="1753"/>
      <c r="AS783" s="1032"/>
      <c r="AT783" s="1017"/>
      <c r="AV783" s="1017"/>
      <c r="AW783" s="1017"/>
      <c r="AX783" s="1027"/>
      <c r="AY783" s="1027"/>
      <c r="AZ783" s="1035"/>
      <c r="BA783" s="1755"/>
      <c r="BB783" s="1032"/>
      <c r="BC783" s="1017"/>
      <c r="BE783" s="1017"/>
      <c r="BF783" s="1017"/>
      <c r="BG783" s="1027"/>
      <c r="BH783" s="1027"/>
      <c r="BI783" s="1875"/>
      <c r="BJ783" s="1755"/>
      <c r="BK783" s="1017"/>
      <c r="BL783" s="1017"/>
      <c r="BM783" s="1027"/>
      <c r="BN783" s="1027"/>
      <c r="BO783" s="1035"/>
      <c r="BP783" s="1755"/>
      <c r="BQ783" s="1017"/>
    </row>
    <row r="784" spans="1:69" ht="14.4">
      <c r="A784" s="1017"/>
      <c r="H784" s="1017"/>
      <c r="I784" s="1017"/>
      <c r="L784" s="1035"/>
      <c r="M784" s="1019"/>
      <c r="N784" s="1032"/>
      <c r="O784" s="1017"/>
      <c r="P784" s="1017"/>
      <c r="Q784" s="1027"/>
      <c r="R784" s="1027"/>
      <c r="S784" s="1035"/>
      <c r="T784" s="1034"/>
      <c r="U784" s="1033"/>
      <c r="V784" s="1032"/>
      <c r="W784" s="1017"/>
      <c r="Y784" s="1017"/>
      <c r="AA784" s="1118"/>
      <c r="AB784" s="1057">
        <v>4</v>
      </c>
      <c r="AC784" s="1056">
        <v>5</v>
      </c>
      <c r="AD784" s="1721">
        <v>1.92</v>
      </c>
      <c r="AE784" s="1054">
        <f t="shared" si="332"/>
        <v>0</v>
      </c>
      <c r="AF784" s="1721">
        <v>2.6</v>
      </c>
      <c r="AG784" s="1052">
        <f t="shared" si="333"/>
        <v>0.92</v>
      </c>
      <c r="AH784" s="1049"/>
      <c r="AI784" s="1051"/>
      <c r="AJ784" s="1049"/>
      <c r="AK784" s="1050">
        <f t="shared" si="334"/>
        <v>0</v>
      </c>
      <c r="AL784" s="1017"/>
      <c r="AM784" s="1017"/>
      <c r="AN784" s="1027"/>
      <c r="AO784" s="1027"/>
      <c r="AP784" s="1035"/>
      <c r="AR784" s="1753"/>
      <c r="AS784" s="1032"/>
      <c r="AT784" s="1017"/>
      <c r="AV784" s="1017"/>
      <c r="AW784" s="1017"/>
      <c r="AX784" s="1027"/>
      <c r="AY784" s="1027"/>
      <c r="AZ784" s="1035"/>
      <c r="BA784" s="1755"/>
      <c r="BB784" s="1032"/>
      <c r="BC784" s="1017"/>
      <c r="BE784" s="1017"/>
      <c r="BF784" s="1017"/>
      <c r="BG784" s="1027"/>
      <c r="BH784" s="1027"/>
      <c r="BI784" s="1875"/>
      <c r="BJ784" s="1755"/>
      <c r="BK784" s="1017"/>
      <c r="BL784" s="1017"/>
      <c r="BM784" s="1027"/>
      <c r="BN784" s="1027"/>
      <c r="BO784" s="1035"/>
      <c r="BP784" s="1755"/>
      <c r="BQ784" s="1017"/>
    </row>
    <row r="785" spans="1:69" ht="15" thickBot="1">
      <c r="A785" s="1017"/>
      <c r="H785" s="1017"/>
      <c r="I785" s="1017"/>
      <c r="L785" s="1035"/>
      <c r="M785" s="1019"/>
      <c r="N785" s="1032"/>
      <c r="O785" s="1017"/>
      <c r="P785" s="1017"/>
      <c r="Q785" s="1027"/>
      <c r="R785" s="1027"/>
      <c r="S785" s="1035"/>
      <c r="T785" s="1034"/>
      <c r="U785" s="1033"/>
      <c r="V785" s="1032"/>
      <c r="W785" s="1017"/>
      <c r="Y785" s="1017"/>
      <c r="AA785" s="1112">
        <f>SUM(AF780:AF803)</f>
        <v>75.8</v>
      </c>
      <c r="AB785" s="1111">
        <v>5</v>
      </c>
      <c r="AC785" s="1110">
        <v>6</v>
      </c>
      <c r="AD785" s="1721">
        <v>2.48</v>
      </c>
      <c r="AE785" s="1054">
        <f t="shared" si="332"/>
        <v>0</v>
      </c>
      <c r="AF785" s="1721">
        <v>3.77</v>
      </c>
      <c r="AG785" s="1052">
        <f t="shared" si="333"/>
        <v>0.92</v>
      </c>
      <c r="AH785" s="1049"/>
      <c r="AI785" s="1074"/>
      <c r="AJ785" s="1049"/>
      <c r="AK785" s="1050">
        <f t="shared" si="334"/>
        <v>0</v>
      </c>
      <c r="AL785" s="1017"/>
      <c r="AM785" s="1017"/>
      <c r="AN785" s="1027"/>
      <c r="AO785" s="1027"/>
      <c r="AP785" s="1035"/>
      <c r="AR785" s="1753"/>
      <c r="AS785" s="1032"/>
      <c r="AT785" s="1017"/>
      <c r="AV785" s="1017"/>
      <c r="AW785" s="1017"/>
      <c r="AX785" s="1027"/>
      <c r="AY785" s="1027"/>
      <c r="AZ785" s="1035"/>
      <c r="BA785" s="1755"/>
      <c r="BB785" s="1032"/>
      <c r="BC785" s="1017"/>
      <c r="BE785" s="1017"/>
      <c r="BF785" s="1017"/>
      <c r="BG785" s="1027"/>
      <c r="BH785" s="1027"/>
      <c r="BI785" s="1875"/>
      <c r="BJ785" s="1755"/>
      <c r="BK785" s="1017"/>
      <c r="BL785" s="1017"/>
      <c r="BM785" s="1027"/>
      <c r="BN785" s="1027"/>
      <c r="BO785" s="1035"/>
      <c r="BP785" s="1755"/>
      <c r="BQ785" s="1017"/>
    </row>
    <row r="786" spans="1:69" ht="14.4">
      <c r="A786" s="1017"/>
      <c r="H786" s="1017"/>
      <c r="I786" s="1017"/>
      <c r="L786" s="1035"/>
      <c r="M786" s="1019"/>
      <c r="N786" s="1032"/>
      <c r="O786" s="1017"/>
      <c r="P786" s="1017"/>
      <c r="Q786" s="1027"/>
      <c r="R786" s="1027"/>
      <c r="S786" s="1035"/>
      <c r="T786" s="1034"/>
      <c r="U786" s="1033"/>
      <c r="V786" s="1032"/>
      <c r="W786" s="1017"/>
      <c r="Y786" s="1017"/>
      <c r="AA786" s="1093">
        <f>IF(AA785&gt;0,AA785/AA782,0)</f>
        <v>1.7485582468281429</v>
      </c>
      <c r="AB786" s="1100">
        <v>6</v>
      </c>
      <c r="AC786" s="1099">
        <v>7</v>
      </c>
      <c r="AD786" s="1721">
        <v>2.34</v>
      </c>
      <c r="AE786" s="1054">
        <f t="shared" si="332"/>
        <v>0</v>
      </c>
      <c r="AF786" s="1721">
        <v>4.0199999999999996</v>
      </c>
      <c r="AG786" s="1052">
        <f t="shared" si="333"/>
        <v>0.92</v>
      </c>
      <c r="AH786" s="1049"/>
      <c r="AI786" s="1108"/>
      <c r="AJ786" s="1049"/>
      <c r="AK786" s="1050">
        <f t="shared" si="334"/>
        <v>0</v>
      </c>
      <c r="AL786" s="1017"/>
      <c r="AM786" s="1017"/>
      <c r="AN786" s="1027"/>
      <c r="AO786" s="1027"/>
      <c r="AP786" s="1035"/>
      <c r="AR786" s="1753"/>
      <c r="AS786" s="1032"/>
      <c r="AT786" s="1017"/>
      <c r="AV786" s="1017"/>
      <c r="AW786" s="1017"/>
      <c r="AX786" s="1027"/>
      <c r="AY786" s="1027"/>
      <c r="AZ786" s="1035"/>
      <c r="BA786" s="1755"/>
      <c r="BB786" s="1032"/>
      <c r="BC786" s="1017"/>
      <c r="BE786" s="1017"/>
      <c r="BF786" s="1017"/>
      <c r="BG786" s="1027"/>
      <c r="BH786" s="1027"/>
      <c r="BI786" s="1875"/>
      <c r="BJ786" s="1755"/>
      <c r="BK786" s="1017"/>
      <c r="BL786" s="1017"/>
      <c r="BM786" s="1027"/>
      <c r="BN786" s="1027"/>
      <c r="BO786" s="1035"/>
      <c r="BP786" s="1755"/>
      <c r="BQ786" s="1017"/>
    </row>
    <row r="787" spans="1:69" ht="14.4">
      <c r="A787" s="1017"/>
      <c r="H787" s="1017"/>
      <c r="I787" s="1017"/>
      <c r="L787" s="1035"/>
      <c r="M787" s="1019"/>
      <c r="N787" s="1032"/>
      <c r="O787" s="1017"/>
      <c r="P787" s="1017"/>
      <c r="Q787" s="1027"/>
      <c r="R787" s="1027"/>
      <c r="S787" s="1035"/>
      <c r="T787" s="1034"/>
      <c r="U787" s="1033"/>
      <c r="V787" s="1032"/>
      <c r="W787" s="1017"/>
      <c r="Y787" s="1017"/>
      <c r="AA787" s="1101"/>
      <c r="AB787" s="1100">
        <v>7</v>
      </c>
      <c r="AC787" s="1099">
        <v>8</v>
      </c>
      <c r="AD787" s="1721">
        <v>2.4900000000000002</v>
      </c>
      <c r="AE787" s="1054">
        <f t="shared" si="332"/>
        <v>0</v>
      </c>
      <c r="AF787" s="1721">
        <v>4.59</v>
      </c>
      <c r="AG787" s="1052">
        <f t="shared" si="333"/>
        <v>0.92</v>
      </c>
      <c r="AH787" s="1049"/>
      <c r="AI787" s="1065"/>
      <c r="AJ787" s="1049"/>
      <c r="AK787" s="1050">
        <f t="shared" si="334"/>
        <v>0</v>
      </c>
      <c r="AL787" s="1017"/>
      <c r="AM787" s="1017"/>
      <c r="AN787" s="1027"/>
      <c r="AO787" s="1027"/>
      <c r="AP787" s="1035"/>
      <c r="AR787" s="1753"/>
      <c r="AS787" s="1032"/>
      <c r="AT787" s="1017"/>
      <c r="AV787" s="1017"/>
      <c r="AW787" s="1017"/>
      <c r="AX787" s="1027"/>
      <c r="AY787" s="1027"/>
      <c r="AZ787" s="1035"/>
      <c r="BA787" s="1755"/>
      <c r="BB787" s="1032"/>
      <c r="BC787" s="1017"/>
      <c r="BE787" s="1017"/>
      <c r="BF787" s="1017"/>
      <c r="BG787" s="1027"/>
      <c r="BH787" s="1027"/>
      <c r="BI787" s="1875"/>
      <c r="BJ787" s="1755"/>
      <c r="BK787" s="1017"/>
      <c r="BL787" s="1017"/>
      <c r="BM787" s="1027"/>
      <c r="BN787" s="1027"/>
      <c r="BO787" s="1035"/>
      <c r="BP787" s="1755"/>
      <c r="BQ787" s="1017"/>
    </row>
    <row r="788" spans="1:69" ht="14.4">
      <c r="A788" s="1017"/>
      <c r="H788" s="1017"/>
      <c r="I788" s="1017"/>
      <c r="L788" s="1035"/>
      <c r="M788" s="1019"/>
      <c r="N788" s="1032"/>
      <c r="O788" s="1017"/>
      <c r="P788" s="1017"/>
      <c r="Q788" s="1027"/>
      <c r="R788" s="1027"/>
      <c r="S788" s="1035"/>
      <c r="T788" s="1034"/>
      <c r="U788" s="1033"/>
      <c r="V788" s="1032"/>
      <c r="W788" s="1017"/>
      <c r="Y788" s="1017"/>
      <c r="AA788" s="1096">
        <f>AA785/24</f>
        <v>3.1583333333333332</v>
      </c>
      <c r="AB788" s="1086">
        <v>8</v>
      </c>
      <c r="AC788" s="1085">
        <v>9</v>
      </c>
      <c r="AD788" s="1721">
        <v>2.37</v>
      </c>
      <c r="AE788" s="1054">
        <f t="shared" si="332"/>
        <v>0</v>
      </c>
      <c r="AF788" s="1721">
        <v>4.53</v>
      </c>
      <c r="AG788" s="1052">
        <f t="shared" si="333"/>
        <v>0.92</v>
      </c>
      <c r="AH788" s="1049"/>
      <c r="AI788" s="1051"/>
      <c r="AJ788" s="1049"/>
      <c r="AK788" s="1050">
        <f t="shared" si="334"/>
        <v>0</v>
      </c>
      <c r="AL788" s="1017"/>
      <c r="AM788" s="1017"/>
      <c r="AN788" s="1027"/>
      <c r="AO788" s="1027"/>
      <c r="AP788" s="1035"/>
      <c r="AR788" s="1753"/>
      <c r="AS788" s="1032"/>
      <c r="AT788" s="1017"/>
      <c r="AV788" s="1017"/>
      <c r="AW788" s="1017"/>
      <c r="AX788" s="1027"/>
      <c r="AY788" s="1027"/>
      <c r="AZ788" s="1035"/>
      <c r="BA788" s="1755"/>
      <c r="BB788" s="1032"/>
      <c r="BC788" s="1017"/>
      <c r="BE788" s="1017"/>
      <c r="BF788" s="1017"/>
      <c r="BG788" s="1027"/>
      <c r="BH788" s="1027"/>
      <c r="BI788" s="1875"/>
      <c r="BJ788" s="1755"/>
      <c r="BK788" s="1017"/>
      <c r="BL788" s="1017"/>
      <c r="BM788" s="1027"/>
      <c r="BN788" s="1027"/>
      <c r="BO788" s="1035"/>
      <c r="BP788" s="1755"/>
      <c r="BQ788" s="1017"/>
    </row>
    <row r="789" spans="1:69" ht="14.4">
      <c r="A789" s="1017"/>
      <c r="H789" s="1017"/>
      <c r="I789" s="1017"/>
      <c r="L789" s="1035"/>
      <c r="M789" s="1019"/>
      <c r="N789" s="1032"/>
      <c r="O789" s="1017"/>
      <c r="P789" s="1017"/>
      <c r="Q789" s="1027"/>
      <c r="R789" s="1027"/>
      <c r="S789" s="1035"/>
      <c r="T789" s="1034"/>
      <c r="U789" s="1033"/>
      <c r="V789" s="1032"/>
      <c r="W789" s="1017"/>
      <c r="Y789" s="1017"/>
      <c r="AA789" s="1096"/>
      <c r="AB789" s="1086">
        <v>9</v>
      </c>
      <c r="AC789" s="1085">
        <v>10</v>
      </c>
      <c r="AD789" s="1721">
        <v>2.4300000000000002</v>
      </c>
      <c r="AE789" s="1054">
        <f t="shared" si="332"/>
        <v>0</v>
      </c>
      <c r="AF789" s="1721">
        <v>4.5</v>
      </c>
      <c r="AG789" s="1052">
        <f t="shared" si="333"/>
        <v>0.92</v>
      </c>
      <c r="AH789" s="1049"/>
      <c r="AI789" s="1051"/>
      <c r="AJ789" s="1049"/>
      <c r="AK789" s="1050">
        <f t="shared" si="334"/>
        <v>0</v>
      </c>
      <c r="AL789" s="1017"/>
      <c r="AM789" s="1017"/>
      <c r="AN789" s="1027"/>
      <c r="AO789" s="1027"/>
      <c r="AP789" s="1035"/>
      <c r="AR789" s="1753"/>
      <c r="AS789" s="1032"/>
      <c r="AT789" s="1017"/>
      <c r="AV789" s="1017"/>
      <c r="AW789" s="1017"/>
      <c r="AX789" s="1027"/>
      <c r="AY789" s="1027"/>
      <c r="AZ789" s="1035"/>
      <c r="BA789" s="1755"/>
      <c r="BB789" s="1032"/>
      <c r="BC789" s="1017"/>
      <c r="BE789" s="1017"/>
      <c r="BF789" s="1017"/>
      <c r="BG789" s="1027"/>
      <c r="BH789" s="1027"/>
      <c r="BI789" s="1875"/>
      <c r="BJ789" s="1755"/>
      <c r="BK789" s="1017"/>
      <c r="BL789" s="1017"/>
      <c r="BM789" s="1027"/>
      <c r="BN789" s="1027"/>
      <c r="BO789" s="1035"/>
      <c r="BP789" s="1755"/>
      <c r="BQ789" s="1017"/>
    </row>
    <row r="790" spans="1:69" ht="14.4">
      <c r="A790" s="1017"/>
      <c r="H790" s="1017"/>
      <c r="I790" s="1017"/>
      <c r="L790" s="1035"/>
      <c r="M790" s="1019"/>
      <c r="N790" s="1032"/>
      <c r="O790" s="1017"/>
      <c r="P790" s="1017"/>
      <c r="Q790" s="1027"/>
      <c r="R790" s="1027"/>
      <c r="S790" s="1035"/>
      <c r="T790" s="1034"/>
      <c r="U790" s="1033"/>
      <c r="V790" s="1032"/>
      <c r="W790" s="1017"/>
      <c r="Y790" s="1017"/>
      <c r="AA790" s="1095">
        <f>SUM(AK780:AK803)</f>
        <v>0</v>
      </c>
      <c r="AB790" s="1086">
        <v>10</v>
      </c>
      <c r="AC790" s="1085">
        <v>11</v>
      </c>
      <c r="AD790" s="1721">
        <v>1.93</v>
      </c>
      <c r="AE790" s="1054">
        <f t="shared" si="332"/>
        <v>0</v>
      </c>
      <c r="AF790" s="1721">
        <v>3.46</v>
      </c>
      <c r="AG790" s="1052">
        <f t="shared" si="333"/>
        <v>0.92</v>
      </c>
      <c r="AH790" s="1049"/>
      <c r="AI790" s="1051"/>
      <c r="AJ790" s="1049"/>
      <c r="AK790" s="1050">
        <f t="shared" si="334"/>
        <v>0</v>
      </c>
      <c r="AL790" s="1017"/>
      <c r="AM790" s="1017"/>
      <c r="AN790" s="1027"/>
      <c r="AO790" s="1027"/>
      <c r="AP790" s="1035"/>
      <c r="AR790" s="1753"/>
      <c r="AS790" s="1032"/>
      <c r="AT790" s="1017"/>
      <c r="AV790" s="1017"/>
      <c r="AW790" s="1017"/>
      <c r="AX790" s="1027"/>
      <c r="AY790" s="1027"/>
      <c r="AZ790" s="1035"/>
      <c r="BA790" s="1755"/>
      <c r="BB790" s="1032"/>
      <c r="BC790" s="1017"/>
      <c r="BE790" s="1017"/>
      <c r="BF790" s="1017"/>
      <c r="BG790" s="1027"/>
      <c r="BH790" s="1027"/>
      <c r="BI790" s="1875"/>
      <c r="BJ790" s="1755"/>
      <c r="BK790" s="1017"/>
      <c r="BL790" s="1017"/>
      <c r="BM790" s="1027"/>
      <c r="BN790" s="1027"/>
      <c r="BO790" s="1035"/>
      <c r="BP790" s="1755"/>
      <c r="BQ790" s="1017"/>
    </row>
    <row r="791" spans="1:69" ht="14.4">
      <c r="A791" s="1017"/>
      <c r="H791" s="1017"/>
      <c r="I791" s="1017"/>
      <c r="L791" s="1035"/>
      <c r="M791" s="1019"/>
      <c r="N791" s="1032"/>
      <c r="O791" s="1017"/>
      <c r="P791" s="1017"/>
      <c r="Q791" s="1027"/>
      <c r="R791" s="1027"/>
      <c r="S791" s="1035"/>
      <c r="T791" s="1034"/>
      <c r="U791" s="1033"/>
      <c r="V791" s="1032"/>
      <c r="W791" s="1017"/>
      <c r="Y791" s="1017"/>
      <c r="AA791" s="1093">
        <f>IF(AA790&gt;0,AA790/AA782,0)</f>
        <v>0</v>
      </c>
      <c r="AB791" s="1086">
        <v>11</v>
      </c>
      <c r="AC791" s="1085">
        <v>12</v>
      </c>
      <c r="AD791" s="1721">
        <v>1.42</v>
      </c>
      <c r="AE791" s="1054">
        <f t="shared" si="332"/>
        <v>0</v>
      </c>
      <c r="AF791" s="1721">
        <v>2.5099999999999998</v>
      </c>
      <c r="AG791" s="1052">
        <f t="shared" si="333"/>
        <v>0.92</v>
      </c>
      <c r="AH791" s="1049"/>
      <c r="AI791" s="1051"/>
      <c r="AJ791" s="1049"/>
      <c r="AK791" s="1050">
        <f t="shared" si="334"/>
        <v>0</v>
      </c>
      <c r="AL791" s="1017"/>
      <c r="AM791" s="1017"/>
      <c r="AN791" s="1027"/>
      <c r="AO791" s="1027"/>
      <c r="AP791" s="1035"/>
      <c r="AR791" s="1753"/>
      <c r="AS791" s="1032"/>
      <c r="AT791" s="1017"/>
      <c r="AV791" s="1017"/>
      <c r="AW791" s="1017"/>
      <c r="AX791" s="1027"/>
      <c r="AY791" s="1027"/>
      <c r="AZ791" s="1035"/>
      <c r="BA791" s="1755"/>
      <c r="BB791" s="1032"/>
      <c r="BC791" s="1017"/>
      <c r="BE791" s="1017"/>
      <c r="BF791" s="1017"/>
      <c r="BG791" s="1027"/>
      <c r="BH791" s="1027"/>
      <c r="BI791" s="1875"/>
      <c r="BJ791" s="1755"/>
      <c r="BK791" s="1017"/>
      <c r="BL791" s="1017"/>
      <c r="BM791" s="1027"/>
      <c r="BN791" s="1027"/>
      <c r="BO791" s="1035"/>
      <c r="BP791" s="1755"/>
      <c r="BQ791" s="1017"/>
    </row>
    <row r="792" spans="1:69" ht="14.4">
      <c r="A792" s="1017"/>
      <c r="H792" s="1017"/>
      <c r="I792" s="1017"/>
      <c r="L792" s="1035"/>
      <c r="M792" s="1019"/>
      <c r="N792" s="1032"/>
      <c r="O792" s="1017"/>
      <c r="P792" s="1017"/>
      <c r="Q792" s="1027"/>
      <c r="R792" s="1027"/>
      <c r="S792" s="1035"/>
      <c r="T792" s="1034"/>
      <c r="U792" s="1033"/>
      <c r="V792" s="1032"/>
      <c r="W792" s="1017"/>
      <c r="Y792" s="1017"/>
      <c r="AA792" s="1060"/>
      <c r="AB792" s="1086">
        <v>12</v>
      </c>
      <c r="AC792" s="1085">
        <v>13</v>
      </c>
      <c r="AD792" s="1721">
        <v>2.02</v>
      </c>
      <c r="AE792" s="1054">
        <f t="shared" si="332"/>
        <v>0</v>
      </c>
      <c r="AF792" s="1721">
        <v>3.53</v>
      </c>
      <c r="AG792" s="1052">
        <f t="shared" si="333"/>
        <v>0.92</v>
      </c>
      <c r="AH792" s="1049"/>
      <c r="AI792" s="1051"/>
      <c r="AJ792" s="1049"/>
      <c r="AK792" s="1050">
        <f t="shared" si="334"/>
        <v>0</v>
      </c>
      <c r="AL792" s="1017"/>
      <c r="AM792" s="1017"/>
      <c r="AN792" s="1027"/>
      <c r="AO792" s="1027"/>
      <c r="AP792" s="1035"/>
      <c r="AR792" s="1753"/>
      <c r="AS792" s="1032"/>
      <c r="AT792" s="1017"/>
      <c r="AV792" s="1017"/>
      <c r="AW792" s="1017"/>
      <c r="AX792" s="1027"/>
      <c r="AY792" s="1027"/>
      <c r="AZ792" s="1035"/>
      <c r="BA792" s="1755"/>
      <c r="BB792" s="1032"/>
      <c r="BC792" s="1017"/>
      <c r="BE792" s="1017"/>
      <c r="BF792" s="1017"/>
      <c r="BG792" s="1027"/>
      <c r="BH792" s="1027"/>
      <c r="BI792" s="1875"/>
      <c r="BJ792" s="1755"/>
      <c r="BK792" s="1017"/>
      <c r="BL792" s="1017"/>
      <c r="BM792" s="1027"/>
      <c r="BN792" s="1027"/>
      <c r="BO792" s="1035"/>
      <c r="BP792" s="1755"/>
      <c r="BQ792" s="1017"/>
    </row>
    <row r="793" spans="1:69" ht="14.4">
      <c r="A793" s="1017"/>
      <c r="H793" s="1017"/>
      <c r="I793" s="1017"/>
      <c r="L793" s="1035"/>
      <c r="M793" s="1019"/>
      <c r="N793" s="1032"/>
      <c r="O793" s="1017"/>
      <c r="P793" s="1017"/>
      <c r="Q793" s="1027"/>
      <c r="R793" s="1027"/>
      <c r="S793" s="1035"/>
      <c r="T793" s="1034"/>
      <c r="U793" s="1033"/>
      <c r="V793" s="1032"/>
      <c r="W793" s="1017"/>
      <c r="Y793" s="1017"/>
      <c r="AA793" s="1092" t="s">
        <v>1127</v>
      </c>
      <c r="AB793" s="1086">
        <v>13</v>
      </c>
      <c r="AC793" s="1085">
        <v>14</v>
      </c>
      <c r="AD793" s="1721">
        <v>1.32</v>
      </c>
      <c r="AE793" s="1054">
        <f t="shared" si="332"/>
        <v>0</v>
      </c>
      <c r="AF793" s="1721">
        <v>2.29</v>
      </c>
      <c r="AG793" s="1052">
        <f t="shared" si="333"/>
        <v>0.92</v>
      </c>
      <c r="AH793" s="1049"/>
      <c r="AI793" s="1051"/>
      <c r="AJ793" s="1049"/>
      <c r="AK793" s="1050">
        <f t="shared" si="334"/>
        <v>0</v>
      </c>
      <c r="AL793" s="1017"/>
      <c r="AM793" s="1017"/>
      <c r="AN793" s="1027"/>
      <c r="AO793" s="1027"/>
      <c r="AP793" s="1035"/>
      <c r="AR793" s="1753"/>
      <c r="AS793" s="1032"/>
      <c r="AT793" s="1017"/>
      <c r="AV793" s="1017"/>
      <c r="AW793" s="1017"/>
      <c r="AX793" s="1027"/>
      <c r="AY793" s="1027"/>
      <c r="AZ793" s="1035"/>
      <c r="BA793" s="1755"/>
      <c r="BB793" s="1032"/>
      <c r="BC793" s="1017"/>
      <c r="BE793" s="1017"/>
      <c r="BF793" s="1017"/>
      <c r="BG793" s="1027"/>
      <c r="BH793" s="1027"/>
      <c r="BI793" s="1875"/>
      <c r="BJ793" s="1755"/>
      <c r="BK793" s="1017"/>
      <c r="BL793" s="1017"/>
      <c r="BM793" s="1027"/>
      <c r="BN793" s="1027"/>
      <c r="BO793" s="1035"/>
      <c r="BP793" s="1755"/>
      <c r="BQ793" s="1017"/>
    </row>
    <row r="794" spans="1:69" ht="14.4">
      <c r="A794" s="1017"/>
      <c r="H794" s="1017"/>
      <c r="I794" s="1017"/>
      <c r="L794" s="1035"/>
      <c r="M794" s="1019"/>
      <c r="N794" s="1032"/>
      <c r="O794" s="1017"/>
      <c r="P794" s="1017"/>
      <c r="Q794" s="1027"/>
      <c r="R794" s="1027"/>
      <c r="S794" s="1035"/>
      <c r="T794" s="1034"/>
      <c r="U794" s="1033"/>
      <c r="V794" s="1032"/>
      <c r="W794" s="1017"/>
      <c r="Y794" s="1017"/>
      <c r="AA794" s="1058">
        <f>AA782*0.8</f>
        <v>34.68</v>
      </c>
      <c r="AB794" s="1086">
        <v>14</v>
      </c>
      <c r="AC794" s="1085">
        <v>15</v>
      </c>
      <c r="AD794" s="1721">
        <v>1.93</v>
      </c>
      <c r="AE794" s="1054">
        <f t="shared" si="332"/>
        <v>0</v>
      </c>
      <c r="AF794" s="1721">
        <v>3.32</v>
      </c>
      <c r="AG794" s="1052">
        <f t="shared" si="333"/>
        <v>0.92</v>
      </c>
      <c r="AH794" s="1049"/>
      <c r="AI794" s="1051"/>
      <c r="AJ794" s="1049"/>
      <c r="AK794" s="1050">
        <f t="shared" si="334"/>
        <v>0</v>
      </c>
      <c r="AL794" s="1017"/>
      <c r="AM794" s="1017"/>
      <c r="AN794" s="1027"/>
      <c r="AO794" s="1027"/>
      <c r="AP794" s="1035"/>
      <c r="AR794" s="1753"/>
      <c r="AS794" s="1032"/>
      <c r="AT794" s="1017"/>
      <c r="AV794" s="1017"/>
      <c r="AW794" s="1017"/>
      <c r="AX794" s="1027"/>
      <c r="AY794" s="1027"/>
      <c r="AZ794" s="1035"/>
      <c r="BA794" s="1755"/>
      <c r="BB794" s="1032"/>
      <c r="BC794" s="1017"/>
      <c r="BE794" s="1017"/>
      <c r="BF794" s="1017"/>
      <c r="BG794" s="1027"/>
      <c r="BH794" s="1027"/>
      <c r="BI794" s="1875"/>
      <c r="BJ794" s="1755"/>
      <c r="BK794" s="1017"/>
      <c r="BL794" s="1017"/>
      <c r="BM794" s="1027"/>
      <c r="BN794" s="1027"/>
      <c r="BO794" s="1035"/>
      <c r="BP794" s="1755"/>
      <c r="BQ794" s="1017"/>
    </row>
    <row r="795" spans="1:69" ht="14.4">
      <c r="A795" s="1017"/>
      <c r="H795" s="1017"/>
      <c r="I795" s="1017"/>
      <c r="L795" s="1035"/>
      <c r="M795" s="1019"/>
      <c r="N795" s="1032"/>
      <c r="O795" s="1017"/>
      <c r="P795" s="1017"/>
      <c r="Q795" s="1027"/>
      <c r="R795" s="1027"/>
      <c r="S795" s="1035"/>
      <c r="T795" s="1034"/>
      <c r="U795" s="1033"/>
      <c r="V795" s="1032"/>
      <c r="W795" s="1017"/>
      <c r="Y795" s="1017"/>
      <c r="AA795" s="1058" t="s">
        <v>1126</v>
      </c>
      <c r="AB795" s="1086">
        <v>15</v>
      </c>
      <c r="AC795" s="1085">
        <v>16</v>
      </c>
      <c r="AD795" s="1721">
        <v>1.42</v>
      </c>
      <c r="AE795" s="1054">
        <f t="shared" si="332"/>
        <v>0</v>
      </c>
      <c r="AF795" s="1721">
        <v>2.4700000000000002</v>
      </c>
      <c r="AG795" s="1052">
        <f t="shared" si="333"/>
        <v>0.92</v>
      </c>
      <c r="AH795" s="1049"/>
      <c r="AI795" s="1051"/>
      <c r="AJ795" s="1049"/>
      <c r="AK795" s="1050">
        <f t="shared" si="334"/>
        <v>0</v>
      </c>
      <c r="AL795" s="1017"/>
      <c r="AM795" s="1017"/>
      <c r="AN795" s="1027"/>
      <c r="AO795" s="1027"/>
      <c r="AP795" s="1035"/>
      <c r="AR795" s="1753"/>
      <c r="AS795" s="1032"/>
      <c r="AT795" s="1017"/>
      <c r="AV795" s="1017"/>
      <c r="AW795" s="1017"/>
      <c r="AX795" s="1027"/>
      <c r="AY795" s="1027"/>
      <c r="AZ795" s="1035"/>
      <c r="BA795" s="1755"/>
      <c r="BB795" s="1032"/>
      <c r="BC795" s="1017"/>
      <c r="BE795" s="1017"/>
      <c r="BF795" s="1017"/>
      <c r="BG795" s="1027"/>
      <c r="BH795" s="1027"/>
      <c r="BI795" s="1875"/>
      <c r="BJ795" s="1755"/>
      <c r="BK795" s="1017"/>
      <c r="BL795" s="1017"/>
      <c r="BM795" s="1027"/>
      <c r="BN795" s="1027"/>
      <c r="BO795" s="1035"/>
      <c r="BP795" s="1755"/>
      <c r="BQ795" s="1017"/>
    </row>
    <row r="796" spans="1:69" ht="15" thickBot="1">
      <c r="A796" s="1017"/>
      <c r="H796" s="1017"/>
      <c r="I796" s="1017"/>
      <c r="L796" s="1035"/>
      <c r="M796" s="1019"/>
      <c r="N796" s="1032"/>
      <c r="O796" s="1017"/>
      <c r="P796" s="1017"/>
      <c r="Q796" s="1027"/>
      <c r="R796" s="1027"/>
      <c r="S796" s="1035"/>
      <c r="T796" s="1034"/>
      <c r="U796" s="1033"/>
      <c r="V796" s="1032"/>
      <c r="W796" s="1017"/>
      <c r="Y796" s="1017"/>
      <c r="AA796" s="1078" t="e">
        <f>AA782*(AI779-0.8)</f>
        <v>#DIV/0!</v>
      </c>
      <c r="AB796" s="1077">
        <v>16</v>
      </c>
      <c r="AC796" s="1076">
        <v>17</v>
      </c>
      <c r="AD796" s="1721">
        <v>2.25</v>
      </c>
      <c r="AE796" s="1054">
        <f t="shared" si="332"/>
        <v>0</v>
      </c>
      <c r="AF796" s="1721">
        <v>3.99</v>
      </c>
      <c r="AG796" s="1052">
        <f t="shared" si="333"/>
        <v>0.92</v>
      </c>
      <c r="AH796" s="1049"/>
      <c r="AI796" s="1074"/>
      <c r="AJ796" s="1049"/>
      <c r="AK796" s="1050">
        <f t="shared" si="334"/>
        <v>0</v>
      </c>
      <c r="AL796" s="1017"/>
      <c r="AM796" s="1017"/>
      <c r="AN796" s="1027"/>
      <c r="AO796" s="1027"/>
      <c r="AP796" s="1035"/>
      <c r="AR796" s="1753"/>
      <c r="AS796" s="1032"/>
      <c r="AT796" s="1017"/>
      <c r="AV796" s="1017"/>
      <c r="AW796" s="1017"/>
      <c r="AX796" s="1027"/>
      <c r="AY796" s="1027"/>
      <c r="AZ796" s="1035"/>
      <c r="BA796" s="1755"/>
      <c r="BB796" s="1032"/>
      <c r="BC796" s="1017"/>
      <c r="BE796" s="1017"/>
      <c r="BF796" s="1017"/>
      <c r="BG796" s="1027"/>
      <c r="BH796" s="1027"/>
      <c r="BI796" s="1875"/>
      <c r="BJ796" s="1755"/>
      <c r="BK796" s="1017"/>
      <c r="BL796" s="1017"/>
      <c r="BM796" s="1027"/>
      <c r="BN796" s="1027"/>
      <c r="BO796" s="1035"/>
      <c r="BP796" s="1755"/>
      <c r="BQ796" s="1017"/>
    </row>
    <row r="797" spans="1:69" ht="14.4">
      <c r="A797" s="1017"/>
      <c r="H797" s="1017"/>
      <c r="I797" s="1017"/>
      <c r="L797" s="1035"/>
      <c r="M797" s="1019"/>
      <c r="N797" s="1032"/>
      <c r="O797" s="1017"/>
      <c r="P797" s="1017"/>
      <c r="Q797" s="1027"/>
      <c r="R797" s="1027"/>
      <c r="S797" s="1035"/>
      <c r="T797" s="1034"/>
      <c r="U797" s="1033"/>
      <c r="V797" s="1032"/>
      <c r="W797" s="1017"/>
      <c r="Y797" s="1017"/>
      <c r="AA797" s="1058"/>
      <c r="AB797" s="1068">
        <v>17</v>
      </c>
      <c r="AC797" s="1067">
        <v>18</v>
      </c>
      <c r="AD797" s="1721">
        <v>1</v>
      </c>
      <c r="AE797" s="1054">
        <f t="shared" si="332"/>
        <v>0</v>
      </c>
      <c r="AF797" s="1721">
        <v>2.63</v>
      </c>
      <c r="AG797" s="1052">
        <f t="shared" si="333"/>
        <v>0.92</v>
      </c>
      <c r="AH797" s="1049"/>
      <c r="AI797" s="1065"/>
      <c r="AJ797" s="1049"/>
      <c r="AK797" s="1050">
        <f t="shared" si="334"/>
        <v>0</v>
      </c>
      <c r="AL797" s="1017"/>
      <c r="AM797" s="1017"/>
      <c r="AN797" s="1027"/>
      <c r="AO797" s="1027"/>
      <c r="AP797" s="1035"/>
      <c r="AR797" s="1753"/>
      <c r="AS797" s="1032"/>
      <c r="AT797" s="1017"/>
      <c r="AV797" s="1017"/>
      <c r="AW797" s="1017"/>
      <c r="AX797" s="1027"/>
      <c r="AY797" s="1027"/>
      <c r="AZ797" s="1035"/>
      <c r="BA797" s="1755"/>
      <c r="BB797" s="1032"/>
      <c r="BC797" s="1017"/>
      <c r="BE797" s="1017"/>
      <c r="BF797" s="1017"/>
      <c r="BG797" s="1027"/>
      <c r="BH797" s="1027"/>
      <c r="BI797" s="1875"/>
      <c r="BJ797" s="1755"/>
      <c r="BK797" s="1017"/>
      <c r="BL797" s="1017"/>
      <c r="BM797" s="1027"/>
      <c r="BN797" s="1027"/>
      <c r="BO797" s="1035"/>
      <c r="BP797" s="1755"/>
      <c r="BQ797" s="1017"/>
    </row>
    <row r="798" spans="1:69" ht="14.4">
      <c r="A798" s="1017"/>
      <c r="H798" s="1017"/>
      <c r="I798" s="1017"/>
      <c r="L798" s="1035"/>
      <c r="M798" s="1019"/>
      <c r="N798" s="1032"/>
      <c r="O798" s="1017"/>
      <c r="P798" s="1017"/>
      <c r="Q798" s="1027"/>
      <c r="R798" s="1027"/>
      <c r="S798" s="1035"/>
      <c r="T798" s="1034"/>
      <c r="U798" s="1033"/>
      <c r="V798" s="1032"/>
      <c r="W798" s="1017"/>
      <c r="Y798" s="1017"/>
      <c r="AA798" s="1058"/>
      <c r="AB798" s="1057">
        <v>18</v>
      </c>
      <c r="AC798" s="1056">
        <v>19</v>
      </c>
      <c r="AD798" s="1721">
        <v>1.31</v>
      </c>
      <c r="AE798" s="1054">
        <f t="shared" si="332"/>
        <v>0</v>
      </c>
      <c r="AF798" s="1721">
        <v>3.43</v>
      </c>
      <c r="AG798" s="1052">
        <f t="shared" si="333"/>
        <v>0.92</v>
      </c>
      <c r="AH798" s="1049"/>
      <c r="AI798" s="1051"/>
      <c r="AJ798" s="1049"/>
      <c r="AK798" s="1050">
        <f t="shared" si="334"/>
        <v>0</v>
      </c>
      <c r="AL798" s="1017"/>
      <c r="AM798" s="1017"/>
      <c r="AN798" s="1027"/>
      <c r="AO798" s="1027"/>
      <c r="AP798" s="1035"/>
      <c r="AR798" s="1753"/>
      <c r="AS798" s="1032"/>
      <c r="AT798" s="1017"/>
      <c r="AV798" s="1017"/>
      <c r="AW798" s="1017"/>
      <c r="AX798" s="1027"/>
      <c r="AY798" s="1027"/>
      <c r="AZ798" s="1035"/>
      <c r="BA798" s="1755"/>
      <c r="BB798" s="1032"/>
      <c r="BC798" s="1017"/>
      <c r="BE798" s="1017"/>
      <c r="BF798" s="1017"/>
      <c r="BG798" s="1027"/>
      <c r="BH798" s="1027"/>
      <c r="BI798" s="1875"/>
      <c r="BJ798" s="1755"/>
      <c r="BK798" s="1017"/>
      <c r="BL798" s="1017"/>
      <c r="BM798" s="1027"/>
      <c r="BN798" s="1027"/>
      <c r="BO798" s="1035"/>
      <c r="BP798" s="1755"/>
      <c r="BQ798" s="1017"/>
    </row>
    <row r="799" spans="1:69" ht="14.4">
      <c r="A799" s="1017"/>
      <c r="H799" s="1017"/>
      <c r="I799" s="1017"/>
      <c r="L799" s="1035"/>
      <c r="M799" s="1019"/>
      <c r="N799" s="1032"/>
      <c r="O799" s="1017"/>
      <c r="P799" s="1017"/>
      <c r="Q799" s="1027"/>
      <c r="R799" s="1027"/>
      <c r="S799" s="1035"/>
      <c r="T799" s="1034"/>
      <c r="U799" s="1033"/>
      <c r="V799" s="1032"/>
      <c r="W799" s="1017"/>
      <c r="Y799" s="1017"/>
      <c r="AA799" s="1058"/>
      <c r="AB799" s="1057">
        <v>19</v>
      </c>
      <c r="AC799" s="1056">
        <v>20</v>
      </c>
      <c r="AD799" s="1721">
        <v>1.3</v>
      </c>
      <c r="AE799" s="1054">
        <f t="shared" si="332"/>
        <v>0</v>
      </c>
      <c r="AF799" s="1721">
        <v>3.3</v>
      </c>
      <c r="AG799" s="1052">
        <f t="shared" si="333"/>
        <v>0.92</v>
      </c>
      <c r="AH799" s="1049"/>
      <c r="AI799" s="1051"/>
      <c r="AJ799" s="1049"/>
      <c r="AK799" s="1050">
        <f t="shared" si="334"/>
        <v>0</v>
      </c>
      <c r="AL799" s="1017"/>
      <c r="AM799" s="1017"/>
      <c r="AN799" s="1027"/>
      <c r="AO799" s="1027"/>
      <c r="AP799" s="1035"/>
      <c r="AR799" s="1753"/>
      <c r="AS799" s="1032"/>
      <c r="AT799" s="1017"/>
      <c r="AV799" s="1017"/>
      <c r="AW799" s="1017"/>
      <c r="AX799" s="1027"/>
      <c r="AY799" s="1027"/>
      <c r="AZ799" s="1035"/>
      <c r="BA799" s="1755"/>
      <c r="BB799" s="1032"/>
      <c r="BC799" s="1017"/>
      <c r="BE799" s="1017"/>
      <c r="BF799" s="1017"/>
      <c r="BG799" s="1027"/>
      <c r="BH799" s="1027"/>
      <c r="BI799" s="1875"/>
      <c r="BJ799" s="1755"/>
      <c r="BK799" s="1017"/>
      <c r="BL799" s="1017"/>
      <c r="BM799" s="1027"/>
      <c r="BN799" s="1027"/>
      <c r="BO799" s="1035"/>
      <c r="BP799" s="1755"/>
      <c r="BQ799" s="1017"/>
    </row>
    <row r="800" spans="1:69" ht="14.4">
      <c r="A800" s="1017"/>
      <c r="H800" s="1017"/>
      <c r="I800" s="1017"/>
      <c r="L800" s="1035"/>
      <c r="M800" s="1019"/>
      <c r="N800" s="1032"/>
      <c r="O800" s="1017"/>
      <c r="P800" s="1017"/>
      <c r="Q800" s="1027"/>
      <c r="R800" s="1027"/>
      <c r="S800" s="1035"/>
      <c r="T800" s="1034"/>
      <c r="U800" s="1033"/>
      <c r="V800" s="1032"/>
      <c r="W800" s="1017"/>
      <c r="Y800" s="1017"/>
      <c r="AA800" s="1058"/>
      <c r="AB800" s="1057">
        <v>20</v>
      </c>
      <c r="AC800" s="1056">
        <v>21</v>
      </c>
      <c r="AD800" s="1721">
        <v>1.49</v>
      </c>
      <c r="AE800" s="1054">
        <f t="shared" si="332"/>
        <v>0</v>
      </c>
      <c r="AF800" s="1721">
        <v>2.58</v>
      </c>
      <c r="AG800" s="1052">
        <f t="shared" si="333"/>
        <v>0.92</v>
      </c>
      <c r="AH800" s="1049"/>
      <c r="AI800" s="1051"/>
      <c r="AJ800" s="1049"/>
      <c r="AK800" s="1050">
        <f t="shared" si="334"/>
        <v>0</v>
      </c>
      <c r="AL800" s="1017"/>
      <c r="AM800" s="1017"/>
      <c r="AN800" s="1027"/>
      <c r="AO800" s="1027"/>
      <c r="AP800" s="1035"/>
      <c r="AR800" s="1753"/>
      <c r="AS800" s="1032"/>
      <c r="AT800" s="1017"/>
      <c r="AV800" s="1017"/>
      <c r="AW800" s="1017"/>
      <c r="AX800" s="1027"/>
      <c r="AY800" s="1027"/>
      <c r="AZ800" s="1035"/>
      <c r="BA800" s="1755"/>
      <c r="BB800" s="1032"/>
      <c r="BC800" s="1017"/>
      <c r="BE800" s="1017"/>
      <c r="BF800" s="1017"/>
      <c r="BG800" s="1027"/>
      <c r="BH800" s="1027"/>
      <c r="BI800" s="1875"/>
      <c r="BJ800" s="1755"/>
      <c r="BK800" s="1017"/>
      <c r="BL800" s="1017"/>
      <c r="BM800" s="1027"/>
      <c r="BN800" s="1027"/>
      <c r="BO800" s="1035"/>
      <c r="BP800" s="1755"/>
      <c r="BQ800" s="1017"/>
    </row>
    <row r="801" spans="1:69" ht="14.4">
      <c r="A801" s="1017"/>
      <c r="H801" s="1017"/>
      <c r="I801" s="1017"/>
      <c r="L801" s="1035"/>
      <c r="M801" s="1019"/>
      <c r="N801" s="1032"/>
      <c r="O801" s="1017"/>
      <c r="P801" s="1017"/>
      <c r="Q801" s="1027"/>
      <c r="R801" s="1027"/>
      <c r="S801" s="1035"/>
      <c r="T801" s="1034"/>
      <c r="U801" s="1033"/>
      <c r="V801" s="1032"/>
      <c r="W801" s="1017"/>
      <c r="Y801" s="1017"/>
      <c r="AA801" s="1058"/>
      <c r="AB801" s="1057">
        <v>21</v>
      </c>
      <c r="AC801" s="1056">
        <v>22</v>
      </c>
      <c r="AD801" s="1721">
        <v>1.46</v>
      </c>
      <c r="AE801" s="1054">
        <f t="shared" si="332"/>
        <v>0</v>
      </c>
      <c r="AF801" s="1721">
        <v>2.4900000000000002</v>
      </c>
      <c r="AG801" s="1052">
        <f t="shared" si="333"/>
        <v>0.92</v>
      </c>
      <c r="AH801" s="1049"/>
      <c r="AI801" s="1051"/>
      <c r="AJ801" s="1049"/>
      <c r="AK801" s="1050">
        <f t="shared" si="334"/>
        <v>0</v>
      </c>
      <c r="AL801" s="1017"/>
      <c r="AM801" s="1017"/>
      <c r="AN801" s="1027"/>
      <c r="AO801" s="1027"/>
      <c r="AP801" s="1035"/>
      <c r="AR801" s="1753"/>
      <c r="AS801" s="1032"/>
      <c r="AT801" s="1017"/>
      <c r="AV801" s="1017"/>
      <c r="AW801" s="1017"/>
      <c r="AX801" s="1027"/>
      <c r="AY801" s="1027"/>
      <c r="AZ801" s="1035"/>
      <c r="BA801" s="1755"/>
      <c r="BB801" s="1032"/>
      <c r="BC801" s="1017"/>
      <c r="BE801" s="1017"/>
      <c r="BF801" s="1017"/>
      <c r="BG801" s="1027"/>
      <c r="BH801" s="1027"/>
      <c r="BI801" s="1875"/>
      <c r="BJ801" s="1755"/>
      <c r="BK801" s="1017"/>
      <c r="BL801" s="1017"/>
      <c r="BM801" s="1027"/>
      <c r="BN801" s="1027"/>
      <c r="BO801" s="1035"/>
      <c r="BP801" s="1755"/>
      <c r="BQ801" s="1017"/>
    </row>
    <row r="802" spans="1:69" ht="14.4">
      <c r="A802" s="1017"/>
      <c r="H802" s="1017"/>
      <c r="I802" s="1017"/>
      <c r="L802" s="1035"/>
      <c r="M802" s="1019"/>
      <c r="N802" s="1032"/>
      <c r="O802" s="1017"/>
      <c r="P802" s="1017"/>
      <c r="Q802" s="1027"/>
      <c r="R802" s="1027"/>
      <c r="S802" s="1035"/>
      <c r="T802" s="1034"/>
      <c r="U802" s="1033"/>
      <c r="V802" s="1032"/>
      <c r="W802" s="1017"/>
      <c r="Y802" s="1017"/>
      <c r="AA802" s="1058"/>
      <c r="AB802" s="1057">
        <v>22</v>
      </c>
      <c r="AC802" s="1056">
        <v>23</v>
      </c>
      <c r="AD802" s="1721">
        <v>1.46</v>
      </c>
      <c r="AE802" s="1054">
        <f t="shared" si="332"/>
        <v>0</v>
      </c>
      <c r="AF802" s="1721">
        <v>2.38</v>
      </c>
      <c r="AG802" s="1052">
        <f t="shared" si="333"/>
        <v>0.92</v>
      </c>
      <c r="AH802" s="1049"/>
      <c r="AI802" s="1051"/>
      <c r="AJ802" s="1049"/>
      <c r="AK802" s="1050">
        <f t="shared" si="334"/>
        <v>0</v>
      </c>
      <c r="AL802" s="1017"/>
      <c r="AM802" s="1017"/>
      <c r="AN802" s="1027"/>
      <c r="AO802" s="1027"/>
      <c r="AP802" s="1035"/>
      <c r="AR802" s="1753"/>
      <c r="AS802" s="1032"/>
      <c r="AT802" s="1017"/>
      <c r="AV802" s="1017"/>
      <c r="AW802" s="1017"/>
      <c r="AX802" s="1027"/>
      <c r="AY802" s="1027"/>
      <c r="AZ802" s="1035"/>
      <c r="BA802" s="1755"/>
      <c r="BB802" s="1032"/>
      <c r="BC802" s="1017"/>
      <c r="BE802" s="1017"/>
      <c r="BF802" s="1017"/>
      <c r="BG802" s="1027"/>
      <c r="BH802" s="1027"/>
      <c r="BI802" s="1875"/>
      <c r="BJ802" s="1755"/>
      <c r="BK802" s="1017"/>
      <c r="BL802" s="1017"/>
      <c r="BM802" s="1027"/>
      <c r="BN802" s="1027"/>
      <c r="BO802" s="1035"/>
      <c r="BP802" s="1755"/>
      <c r="BQ802" s="1017"/>
    </row>
    <row r="803" spans="1:69" ht="14.4">
      <c r="A803" s="1017"/>
      <c r="H803" s="1017"/>
      <c r="I803" s="1017"/>
      <c r="L803" s="1035"/>
      <c r="M803" s="1019"/>
      <c r="N803" s="1032"/>
      <c r="O803" s="1017"/>
      <c r="P803" s="1017"/>
      <c r="Q803" s="1027"/>
      <c r="R803" s="1027"/>
      <c r="S803" s="1035"/>
      <c r="T803" s="1034"/>
      <c r="U803" s="1033"/>
      <c r="V803" s="1032"/>
      <c r="W803" s="1017"/>
      <c r="Y803" s="1017"/>
      <c r="AA803" s="1058"/>
      <c r="AB803" s="1057">
        <v>23</v>
      </c>
      <c r="AC803" s="1056">
        <v>24</v>
      </c>
      <c r="AD803" s="1721">
        <v>1.45</v>
      </c>
      <c r="AE803" s="1054">
        <f t="shared" si="332"/>
        <v>0</v>
      </c>
      <c r="AF803" s="1721">
        <v>2.2599999999999998</v>
      </c>
      <c r="AG803" s="1052">
        <f t="shared" si="333"/>
        <v>0.92</v>
      </c>
      <c r="AH803" s="1049"/>
      <c r="AI803" s="1051"/>
      <c r="AJ803" s="1049"/>
      <c r="AK803" s="1050">
        <f t="shared" si="334"/>
        <v>0</v>
      </c>
      <c r="AL803" s="1017"/>
      <c r="AM803" s="1017"/>
      <c r="AN803" s="1027"/>
      <c r="AO803" s="1027"/>
      <c r="AP803" s="1035"/>
      <c r="AR803" s="1753"/>
      <c r="AS803" s="1032"/>
      <c r="AT803" s="1017"/>
      <c r="AV803" s="1017"/>
      <c r="AW803" s="1017"/>
      <c r="AX803" s="1027"/>
      <c r="AY803" s="1027"/>
      <c r="AZ803" s="1035"/>
      <c r="BA803" s="1755"/>
      <c r="BB803" s="1032"/>
      <c r="BC803" s="1017"/>
      <c r="BE803" s="1017"/>
      <c r="BF803" s="1017"/>
      <c r="BG803" s="1027"/>
      <c r="BH803" s="1027"/>
      <c r="BI803" s="1875"/>
      <c r="BJ803" s="1755"/>
      <c r="BK803" s="1017"/>
      <c r="BL803" s="1017"/>
      <c r="BM803" s="1027"/>
      <c r="BN803" s="1027"/>
      <c r="BO803" s="1035"/>
      <c r="BP803" s="1755"/>
      <c r="BQ803" s="1017"/>
    </row>
    <row r="804" spans="1:69">
      <c r="A804" s="1017"/>
      <c r="H804" s="1017"/>
      <c r="I804" s="1017"/>
      <c r="L804" s="1035"/>
      <c r="M804" s="1019"/>
      <c r="N804" s="1032"/>
      <c r="O804" s="1017"/>
      <c r="P804" s="1017"/>
      <c r="Q804" s="1027"/>
      <c r="R804" s="1027"/>
      <c r="S804" s="1035"/>
      <c r="T804" s="1034"/>
      <c r="U804" s="1033"/>
      <c r="V804" s="1032"/>
      <c r="W804" s="1017"/>
      <c r="Y804" s="1017"/>
      <c r="AA804" s="1044"/>
      <c r="AB804" s="1043"/>
      <c r="AC804" s="1043"/>
      <c r="AD804" s="1042"/>
      <c r="AE804" s="1041"/>
      <c r="AF804" s="1040"/>
      <c r="AG804" s="1039"/>
      <c r="AH804" s="1036"/>
      <c r="AI804" s="1038"/>
      <c r="AJ804" s="1036"/>
      <c r="AK804" s="1037"/>
      <c r="AL804" s="1017"/>
      <c r="AM804" s="1017"/>
      <c r="AN804" s="1027"/>
      <c r="AO804" s="1027"/>
      <c r="AP804" s="1035"/>
      <c r="AR804" s="1753"/>
      <c r="AS804" s="1032"/>
      <c r="AT804" s="1017"/>
      <c r="AV804" s="1017"/>
      <c r="AW804" s="1017"/>
      <c r="AX804" s="1027"/>
      <c r="AY804" s="1027"/>
      <c r="AZ804" s="1035"/>
      <c r="BA804" s="1755"/>
      <c r="BB804" s="1032"/>
      <c r="BC804" s="1017"/>
      <c r="BE804" s="1017"/>
      <c r="BF804" s="1017"/>
      <c r="BG804" s="1027"/>
      <c r="BH804" s="1027"/>
      <c r="BI804" s="1875"/>
      <c r="BJ804" s="1755"/>
      <c r="BK804" s="1017"/>
      <c r="BL804" s="1017"/>
      <c r="BM804" s="1027"/>
      <c r="BN804" s="1027"/>
      <c r="BO804" s="1035"/>
      <c r="BP804" s="1755"/>
      <c r="BQ804" s="1017"/>
    </row>
    <row r="805" spans="1:69">
      <c r="A805" s="1017"/>
      <c r="H805" s="1017"/>
      <c r="I805" s="1017"/>
      <c r="L805" s="1035"/>
      <c r="M805" s="1019"/>
      <c r="N805" s="1032"/>
      <c r="O805" s="1017"/>
      <c r="P805" s="1017"/>
      <c r="Q805" s="1027"/>
      <c r="R805" s="1027"/>
      <c r="S805" s="1035"/>
      <c r="T805" s="1034"/>
      <c r="U805" s="1033"/>
      <c r="V805" s="1032"/>
      <c r="W805" s="1017"/>
      <c r="Y805" s="1017"/>
      <c r="AA805" s="1130"/>
      <c r="AB805" s="1046"/>
      <c r="AC805" s="1046"/>
      <c r="AD805" s="1129">
        <f>AVERAGE(AD806:AD829)</f>
        <v>0.90208333333333346</v>
      </c>
      <c r="AE805" s="1128"/>
      <c r="AF805" s="1040">
        <f>AVERAGE(AF806:AF829)</f>
        <v>2.0570833333333338</v>
      </c>
      <c r="AG805" s="1039">
        <f>AVERAGE(AG806:AG829)</f>
        <v>0.92000000000000048</v>
      </c>
      <c r="AH805" s="1036"/>
      <c r="AI805" s="1038" t="e">
        <f>AVERAGE(AI814:AI829)</f>
        <v>#DIV/0!</v>
      </c>
      <c r="AJ805" s="1036"/>
      <c r="AK805" s="1127">
        <f>SUM(AK806:AK829)</f>
        <v>0</v>
      </c>
      <c r="AL805" s="1017"/>
      <c r="AM805" s="1017"/>
      <c r="AN805" s="1027"/>
      <c r="AO805" s="1027"/>
      <c r="AP805" s="1035"/>
      <c r="AR805" s="1753"/>
      <c r="AS805" s="1032"/>
      <c r="AT805" s="1017"/>
      <c r="AV805" s="1017"/>
      <c r="AW805" s="1017"/>
      <c r="AX805" s="1027"/>
      <c r="AY805" s="1027"/>
      <c r="AZ805" s="1035"/>
      <c r="BA805" s="1755"/>
      <c r="BB805" s="1032"/>
      <c r="BC805" s="1017"/>
      <c r="BE805" s="1017"/>
      <c r="BF805" s="1017"/>
      <c r="BG805" s="1027"/>
      <c r="BH805" s="1027"/>
      <c r="BI805" s="1875"/>
      <c r="BJ805" s="1755"/>
      <c r="BK805" s="1017"/>
      <c r="BL805" s="1017"/>
      <c r="BM805" s="1027"/>
      <c r="BN805" s="1027"/>
      <c r="BO805" s="1035"/>
      <c r="BP805" s="1755"/>
      <c r="BQ805" s="1017"/>
    </row>
    <row r="806" spans="1:69" ht="14.4">
      <c r="A806" s="1017"/>
      <c r="H806" s="1017"/>
      <c r="I806" s="1017"/>
      <c r="L806" s="1035"/>
      <c r="M806" s="1019"/>
      <c r="N806" s="1032"/>
      <c r="O806" s="1017"/>
      <c r="P806" s="1017"/>
      <c r="Q806" s="1027"/>
      <c r="R806" s="1027"/>
      <c r="S806" s="1035"/>
      <c r="T806" s="1034"/>
      <c r="U806" s="1033"/>
      <c r="V806" s="1032"/>
      <c r="W806" s="1017"/>
      <c r="Y806" s="1017"/>
      <c r="AA806" s="1125">
        <v>44959</v>
      </c>
      <c r="AB806" s="1057">
        <v>0</v>
      </c>
      <c r="AC806" s="1056">
        <v>1</v>
      </c>
      <c r="AD806" s="1721">
        <v>0.86</v>
      </c>
      <c r="AE806" s="1054">
        <f t="shared" ref="AE806:AE829" si="335">AD806*AI806</f>
        <v>0</v>
      </c>
      <c r="AF806" s="1721">
        <v>1.3</v>
      </c>
      <c r="AG806" s="1052">
        <f t="shared" ref="AG806:AG829" si="336">AI806+0.92</f>
        <v>0.92</v>
      </c>
      <c r="AH806" s="1049"/>
      <c r="AI806" s="1051"/>
      <c r="AJ806" s="1049"/>
      <c r="AK806" s="1050">
        <f>IF(AI806&lt;0.8,0,AD806*(AI806-0.8))</f>
        <v>0</v>
      </c>
      <c r="AL806" s="1017"/>
      <c r="AM806" s="1017"/>
      <c r="AN806" s="1027"/>
      <c r="AO806" s="1027"/>
      <c r="AP806" s="1035"/>
      <c r="AR806" s="1753"/>
      <c r="AS806" s="1032"/>
      <c r="AT806" s="1017"/>
      <c r="AV806" s="1017"/>
      <c r="AW806" s="1017"/>
      <c r="AX806" s="1027"/>
      <c r="AY806" s="1027"/>
      <c r="AZ806" s="1035"/>
      <c r="BA806" s="1755"/>
      <c r="BB806" s="1032"/>
      <c r="BC806" s="1017"/>
      <c r="BE806" s="1017"/>
      <c r="BF806" s="1017"/>
      <c r="BG806" s="1027"/>
      <c r="BH806" s="1027"/>
      <c r="BI806" s="1875"/>
      <c r="BJ806" s="1755"/>
      <c r="BK806" s="1017"/>
      <c r="BL806" s="1017"/>
      <c r="BM806" s="1027"/>
      <c r="BN806" s="1027"/>
      <c r="BO806" s="1035"/>
      <c r="BP806" s="1755"/>
      <c r="BQ806" s="1017"/>
    </row>
    <row r="807" spans="1:69" ht="14.4">
      <c r="A807" s="1017"/>
      <c r="H807" s="1017"/>
      <c r="I807" s="1017"/>
      <c r="L807" s="1035"/>
      <c r="M807" s="1019"/>
      <c r="N807" s="1032"/>
      <c r="O807" s="1017"/>
      <c r="P807" s="1017"/>
      <c r="Q807" s="1027"/>
      <c r="R807" s="1027"/>
      <c r="S807" s="1035"/>
      <c r="T807" s="1034"/>
      <c r="U807" s="1033"/>
      <c r="V807" s="1032"/>
      <c r="W807" s="1017"/>
      <c r="Y807" s="1017"/>
      <c r="AA807" s="1123"/>
      <c r="AB807" s="1057">
        <v>1</v>
      </c>
      <c r="AC807" s="1056">
        <v>2</v>
      </c>
      <c r="AD807" s="1721">
        <v>0.42</v>
      </c>
      <c r="AE807" s="1054">
        <f t="shared" si="335"/>
        <v>0</v>
      </c>
      <c r="AF807" s="1721">
        <v>0.6</v>
      </c>
      <c r="AG807" s="1052">
        <f t="shared" si="336"/>
        <v>0.92</v>
      </c>
      <c r="AH807" s="1049"/>
      <c r="AI807" s="1051"/>
      <c r="AJ807" s="1049"/>
      <c r="AK807" s="1050">
        <f t="shared" ref="AK807:AK829" si="337">IF(AI807&lt;0.8,0,AD807*(AF807-0.8))</f>
        <v>0</v>
      </c>
      <c r="AL807" s="1017"/>
      <c r="AM807" s="1017"/>
      <c r="AN807" s="1027"/>
      <c r="AO807" s="1027"/>
      <c r="AP807" s="1035"/>
      <c r="AR807" s="1753"/>
      <c r="AS807" s="1032"/>
      <c r="AT807" s="1017"/>
      <c r="AV807" s="1017"/>
      <c r="AW807" s="1017"/>
      <c r="AX807" s="1027"/>
      <c r="AY807" s="1027"/>
      <c r="AZ807" s="1035"/>
      <c r="BA807" s="1755"/>
      <c r="BB807" s="1032"/>
      <c r="BC807" s="1017"/>
      <c r="BE807" s="1017"/>
      <c r="BF807" s="1017"/>
      <c r="BG807" s="1027"/>
      <c r="BH807" s="1027"/>
      <c r="BI807" s="1875"/>
      <c r="BJ807" s="1755"/>
      <c r="BK807" s="1017"/>
      <c r="BL807" s="1017"/>
      <c r="BM807" s="1027"/>
      <c r="BN807" s="1027"/>
      <c r="BO807" s="1035"/>
      <c r="BP807" s="1755"/>
      <c r="BQ807" s="1017"/>
    </row>
    <row r="808" spans="1:69" ht="14.4">
      <c r="A808" s="1017"/>
      <c r="H808" s="1017"/>
      <c r="I808" s="1017"/>
      <c r="L808" s="1035"/>
      <c r="M808" s="1019"/>
      <c r="N808" s="1032"/>
      <c r="O808" s="1017"/>
      <c r="P808" s="1017"/>
      <c r="Q808" s="1027"/>
      <c r="R808" s="1027"/>
      <c r="S808" s="1035"/>
      <c r="T808" s="1034"/>
      <c r="U808" s="1033"/>
      <c r="V808" s="1032"/>
      <c r="W808" s="1017"/>
      <c r="Y808" s="1017"/>
      <c r="AA808" s="1121">
        <f>SUM(AD806:AD829)</f>
        <v>21.650000000000002</v>
      </c>
      <c r="AB808" s="1057">
        <v>2</v>
      </c>
      <c r="AC808" s="1056">
        <v>3</v>
      </c>
      <c r="AD808" s="1721">
        <v>0.43</v>
      </c>
      <c r="AE808" s="1054">
        <f t="shared" si="335"/>
        <v>0</v>
      </c>
      <c r="AF808" s="1721">
        <v>0.64</v>
      </c>
      <c r="AG808" s="1052">
        <f t="shared" si="336"/>
        <v>0.92</v>
      </c>
      <c r="AH808" s="1049"/>
      <c r="AI808" s="1051"/>
      <c r="AJ808" s="1049"/>
      <c r="AK808" s="1050">
        <f t="shared" si="337"/>
        <v>0</v>
      </c>
      <c r="AL808" s="1017"/>
      <c r="AM808" s="1017"/>
      <c r="AN808" s="1027"/>
      <c r="AO808" s="1027"/>
      <c r="AP808" s="1035"/>
      <c r="AR808" s="1753"/>
      <c r="AS808" s="1032"/>
      <c r="AT808" s="1017"/>
      <c r="AV808" s="1017"/>
      <c r="AW808" s="1017"/>
      <c r="AX808" s="1027"/>
      <c r="AY808" s="1027"/>
      <c r="AZ808" s="1035"/>
      <c r="BA808" s="1755"/>
      <c r="BB808" s="1032"/>
      <c r="BC808" s="1017"/>
      <c r="BE808" s="1017"/>
      <c r="BF808" s="1017"/>
      <c r="BG808" s="1027"/>
      <c r="BH808" s="1027"/>
      <c r="BI808" s="1875"/>
      <c r="BJ808" s="1755"/>
      <c r="BK808" s="1017"/>
      <c r="BL808" s="1017"/>
      <c r="BM808" s="1027"/>
      <c r="BN808" s="1027"/>
      <c r="BO808" s="1035"/>
      <c r="BP808" s="1755"/>
      <c r="BQ808" s="1017"/>
    </row>
    <row r="809" spans="1:69" ht="14.4">
      <c r="A809" s="1017"/>
      <c r="H809" s="1017"/>
      <c r="I809" s="1017"/>
      <c r="L809" s="1035"/>
      <c r="M809" s="1019"/>
      <c r="N809" s="1032"/>
      <c r="O809" s="1017"/>
      <c r="P809" s="1017"/>
      <c r="Q809" s="1027"/>
      <c r="R809" s="1027"/>
      <c r="S809" s="1035"/>
      <c r="T809" s="1034"/>
      <c r="U809" s="1033"/>
      <c r="V809" s="1032"/>
      <c r="W809" s="1017"/>
      <c r="Y809" s="1017"/>
      <c r="AA809" s="1120">
        <f>AA808/24</f>
        <v>0.90208333333333346</v>
      </c>
      <c r="AB809" s="1057">
        <v>3</v>
      </c>
      <c r="AC809" s="1056">
        <v>4</v>
      </c>
      <c r="AD809" s="1721">
        <v>0.38</v>
      </c>
      <c r="AE809" s="1054">
        <f t="shared" si="335"/>
        <v>0</v>
      </c>
      <c r="AF809" s="1721">
        <v>0.59</v>
      </c>
      <c r="AG809" s="1052">
        <f t="shared" si="336"/>
        <v>0.92</v>
      </c>
      <c r="AH809" s="1049"/>
      <c r="AI809" s="1051"/>
      <c r="AJ809" s="1049"/>
      <c r="AK809" s="1050">
        <f t="shared" si="337"/>
        <v>0</v>
      </c>
      <c r="AL809" s="1017"/>
      <c r="AM809" s="1017"/>
      <c r="AN809" s="1027"/>
      <c r="AO809" s="1027"/>
      <c r="AP809" s="1035"/>
      <c r="AR809" s="1753"/>
      <c r="AS809" s="1032"/>
      <c r="AT809" s="1017"/>
      <c r="AV809" s="1017"/>
      <c r="AW809" s="1017"/>
      <c r="AX809" s="1027"/>
      <c r="AY809" s="1027"/>
      <c r="AZ809" s="1035"/>
      <c r="BA809" s="1755"/>
      <c r="BB809" s="1032"/>
      <c r="BC809" s="1017"/>
      <c r="BE809" s="1017"/>
      <c r="BF809" s="1017"/>
      <c r="BG809" s="1027"/>
      <c r="BH809" s="1027"/>
      <c r="BI809" s="1875"/>
      <c r="BJ809" s="1755"/>
      <c r="BK809" s="1017"/>
      <c r="BL809" s="1017"/>
      <c r="BM809" s="1027"/>
      <c r="BN809" s="1027"/>
      <c r="BO809" s="1035"/>
      <c r="BP809" s="1755"/>
      <c r="BQ809" s="1017"/>
    </row>
    <row r="810" spans="1:69" ht="14.4">
      <c r="A810" s="1017"/>
      <c r="H810" s="1017"/>
      <c r="I810" s="1017"/>
      <c r="L810" s="1035"/>
      <c r="M810" s="1019"/>
      <c r="N810" s="1032"/>
      <c r="O810" s="1017"/>
      <c r="P810" s="1017"/>
      <c r="Q810" s="1027"/>
      <c r="R810" s="1027"/>
      <c r="S810" s="1035"/>
      <c r="T810" s="1034"/>
      <c r="U810" s="1033"/>
      <c r="V810" s="1032"/>
      <c r="W810" s="1017"/>
      <c r="Y810" s="1017"/>
      <c r="AA810" s="1118"/>
      <c r="AB810" s="1057">
        <v>4</v>
      </c>
      <c r="AC810" s="1056">
        <v>5</v>
      </c>
      <c r="AD810" s="1721">
        <v>0.43</v>
      </c>
      <c r="AE810" s="1054">
        <f t="shared" si="335"/>
        <v>0</v>
      </c>
      <c r="AF810" s="1721">
        <v>0.71</v>
      </c>
      <c r="AG810" s="1052">
        <f t="shared" si="336"/>
        <v>0.92</v>
      </c>
      <c r="AH810" s="1049"/>
      <c r="AI810" s="1051"/>
      <c r="AJ810" s="1049"/>
      <c r="AK810" s="1050">
        <f t="shared" si="337"/>
        <v>0</v>
      </c>
      <c r="AL810" s="1017"/>
      <c r="AM810" s="1017"/>
      <c r="AN810" s="1027"/>
      <c r="AO810" s="1027"/>
      <c r="AP810" s="1035"/>
      <c r="AR810" s="1753"/>
      <c r="AS810" s="1032"/>
      <c r="AT810" s="1017"/>
      <c r="AV810" s="1017"/>
      <c r="AW810" s="1017"/>
      <c r="AX810" s="1027"/>
      <c r="AY810" s="1027"/>
      <c r="AZ810" s="1035"/>
      <c r="BA810" s="1755"/>
      <c r="BB810" s="1032"/>
      <c r="BC810" s="1017"/>
      <c r="BE810" s="1017"/>
      <c r="BF810" s="1017"/>
      <c r="BG810" s="1027"/>
      <c r="BH810" s="1027"/>
      <c r="BI810" s="1875"/>
      <c r="BJ810" s="1755"/>
      <c r="BK810" s="1017"/>
      <c r="BL810" s="1017"/>
      <c r="BM810" s="1027"/>
      <c r="BN810" s="1027"/>
      <c r="BO810" s="1035"/>
      <c r="BP810" s="1755"/>
      <c r="BQ810" s="1017"/>
    </row>
    <row r="811" spans="1:69" ht="15" thickBot="1">
      <c r="A811" s="1017"/>
      <c r="H811" s="1017"/>
      <c r="I811" s="1017"/>
      <c r="L811" s="1035"/>
      <c r="M811" s="1019"/>
      <c r="N811" s="1032"/>
      <c r="O811" s="1017"/>
      <c r="P811" s="1017"/>
      <c r="Q811" s="1027"/>
      <c r="R811" s="1027"/>
      <c r="S811" s="1035"/>
      <c r="T811" s="1034"/>
      <c r="U811" s="1033"/>
      <c r="V811" s="1032"/>
      <c r="W811" s="1017"/>
      <c r="Y811" s="1017"/>
      <c r="AA811" s="1112">
        <f>SUM(AF806:AF829)</f>
        <v>49.370000000000012</v>
      </c>
      <c r="AB811" s="1111">
        <v>5</v>
      </c>
      <c r="AC811" s="1110">
        <v>6</v>
      </c>
      <c r="AD811" s="1721">
        <v>0.42</v>
      </c>
      <c r="AE811" s="1054">
        <f t="shared" si="335"/>
        <v>0</v>
      </c>
      <c r="AF811" s="1721">
        <v>0.71</v>
      </c>
      <c r="AG811" s="1052">
        <f t="shared" si="336"/>
        <v>0.92</v>
      </c>
      <c r="AH811" s="1049"/>
      <c r="AI811" s="1074"/>
      <c r="AJ811" s="1049"/>
      <c r="AK811" s="1050">
        <f t="shared" si="337"/>
        <v>0</v>
      </c>
      <c r="AL811" s="1017"/>
      <c r="AM811" s="1017"/>
      <c r="AN811" s="1027"/>
      <c r="AO811" s="1027"/>
      <c r="AP811" s="1035"/>
      <c r="AR811" s="1753"/>
      <c r="AS811" s="1032"/>
      <c r="AT811" s="1017"/>
      <c r="AV811" s="1017"/>
      <c r="AW811" s="1017"/>
      <c r="AX811" s="1027"/>
      <c r="AY811" s="1027"/>
      <c r="AZ811" s="1035"/>
      <c r="BA811" s="1755"/>
      <c r="BB811" s="1032"/>
      <c r="BC811" s="1017"/>
      <c r="BE811" s="1017"/>
      <c r="BF811" s="1017"/>
      <c r="BG811" s="1027"/>
      <c r="BH811" s="1027"/>
      <c r="BI811" s="1875"/>
      <c r="BJ811" s="1755"/>
      <c r="BK811" s="1017"/>
      <c r="BL811" s="1017"/>
      <c r="BM811" s="1027"/>
      <c r="BN811" s="1027"/>
      <c r="BO811" s="1035"/>
      <c r="BP811" s="1755"/>
      <c r="BQ811" s="1017"/>
    </row>
    <row r="812" spans="1:69" ht="14.4">
      <c r="A812" s="1017"/>
      <c r="H812" s="1017"/>
      <c r="I812" s="1017"/>
      <c r="L812" s="1035"/>
      <c r="M812" s="1019"/>
      <c r="N812" s="1032"/>
      <c r="O812" s="1017"/>
      <c r="P812" s="1017"/>
      <c r="Q812" s="1027"/>
      <c r="R812" s="1027"/>
      <c r="S812" s="1035"/>
      <c r="T812" s="1034"/>
      <c r="U812" s="1033"/>
      <c r="V812" s="1032"/>
      <c r="W812" s="1017"/>
      <c r="Y812" s="1017"/>
      <c r="AA812" s="1093">
        <f>IF(AA811&gt;0,AA811/AA808,0)</f>
        <v>2.2803695150115475</v>
      </c>
      <c r="AB812" s="1100">
        <v>6</v>
      </c>
      <c r="AC812" s="1099">
        <v>7</v>
      </c>
      <c r="AD812" s="1721">
        <v>0.73</v>
      </c>
      <c r="AE812" s="1054">
        <f t="shared" si="335"/>
        <v>0</v>
      </c>
      <c r="AF812" s="1721">
        <v>1.39</v>
      </c>
      <c r="AG812" s="1052">
        <f t="shared" si="336"/>
        <v>0.92</v>
      </c>
      <c r="AH812" s="1049"/>
      <c r="AI812" s="1108"/>
      <c r="AJ812" s="1049"/>
      <c r="AK812" s="1050">
        <f t="shared" si="337"/>
        <v>0</v>
      </c>
      <c r="AL812" s="1017"/>
      <c r="AM812" s="1017"/>
      <c r="AN812" s="1027"/>
      <c r="AO812" s="1027"/>
      <c r="AP812" s="1035"/>
      <c r="AR812" s="1753"/>
      <c r="AS812" s="1032"/>
      <c r="AT812" s="1017"/>
      <c r="AV812" s="1017"/>
      <c r="AW812" s="1017"/>
      <c r="AX812" s="1027"/>
      <c r="AY812" s="1027"/>
      <c r="AZ812" s="1035"/>
      <c r="BA812" s="1755"/>
      <c r="BB812" s="1032"/>
      <c r="BC812" s="1017"/>
      <c r="BE812" s="1017"/>
      <c r="BF812" s="1017"/>
      <c r="BG812" s="1027"/>
      <c r="BH812" s="1027"/>
      <c r="BI812" s="1875"/>
      <c r="BJ812" s="1755"/>
      <c r="BK812" s="1017"/>
      <c r="BL812" s="1017"/>
      <c r="BM812" s="1027"/>
      <c r="BN812" s="1027"/>
      <c r="BO812" s="1035"/>
      <c r="BP812" s="1755"/>
      <c r="BQ812" s="1017"/>
    </row>
    <row r="813" spans="1:69" ht="14.4">
      <c r="A813" s="1017"/>
      <c r="H813" s="1017"/>
      <c r="I813" s="1017"/>
      <c r="L813" s="1035"/>
      <c r="M813" s="1019"/>
      <c r="N813" s="1032"/>
      <c r="O813" s="1017"/>
      <c r="P813" s="1017"/>
      <c r="Q813" s="1027"/>
      <c r="R813" s="1027"/>
      <c r="S813" s="1035"/>
      <c r="T813" s="1034"/>
      <c r="U813" s="1033"/>
      <c r="V813" s="1032"/>
      <c r="W813" s="1017"/>
      <c r="Y813" s="1017"/>
      <c r="AA813" s="1101"/>
      <c r="AB813" s="1100">
        <v>7</v>
      </c>
      <c r="AC813" s="1099">
        <v>8</v>
      </c>
      <c r="AD813" s="1721">
        <v>0.84</v>
      </c>
      <c r="AE813" s="1054">
        <f t="shared" si="335"/>
        <v>0</v>
      </c>
      <c r="AF813" s="1721">
        <v>1.78</v>
      </c>
      <c r="AG813" s="1052">
        <f t="shared" si="336"/>
        <v>0.92</v>
      </c>
      <c r="AH813" s="1049"/>
      <c r="AI813" s="1065"/>
      <c r="AJ813" s="1049"/>
      <c r="AK813" s="1050">
        <f t="shared" si="337"/>
        <v>0</v>
      </c>
      <c r="AL813" s="1017"/>
      <c r="AM813" s="1017"/>
      <c r="AN813" s="1027"/>
      <c r="AO813" s="1027"/>
      <c r="AP813" s="1035"/>
      <c r="AR813" s="1753"/>
      <c r="AS813" s="1032"/>
      <c r="AT813" s="1017"/>
      <c r="AV813" s="1017"/>
      <c r="AW813" s="1017"/>
      <c r="AX813" s="1027"/>
      <c r="AY813" s="1027"/>
      <c r="AZ813" s="1035"/>
      <c r="BA813" s="1755"/>
      <c r="BB813" s="1032"/>
      <c r="BC813" s="1017"/>
      <c r="BE813" s="1017"/>
      <c r="BF813" s="1017"/>
      <c r="BG813" s="1027"/>
      <c r="BH813" s="1027"/>
      <c r="BI813" s="1875"/>
      <c r="BJ813" s="1755"/>
      <c r="BK813" s="1017"/>
      <c r="BL813" s="1017"/>
      <c r="BM813" s="1027"/>
      <c r="BN813" s="1027"/>
      <c r="BO813" s="1035"/>
      <c r="BP813" s="1755"/>
      <c r="BQ813" s="1017"/>
    </row>
    <row r="814" spans="1:69" ht="14.4">
      <c r="A814" s="1017"/>
      <c r="H814" s="1017"/>
      <c r="I814" s="1017"/>
      <c r="L814" s="1035"/>
      <c r="M814" s="1019"/>
      <c r="N814" s="1032"/>
      <c r="O814" s="1017"/>
      <c r="P814" s="1017"/>
      <c r="Q814" s="1027"/>
      <c r="R814" s="1027"/>
      <c r="S814" s="1035"/>
      <c r="T814" s="1034"/>
      <c r="U814" s="1033"/>
      <c r="V814" s="1032"/>
      <c r="W814" s="1017"/>
      <c r="Y814" s="1017"/>
      <c r="AA814" s="1096">
        <f>AA811/24</f>
        <v>2.0570833333333338</v>
      </c>
      <c r="AB814" s="1086">
        <v>8</v>
      </c>
      <c r="AC814" s="1085">
        <v>9</v>
      </c>
      <c r="AD814" s="1721">
        <v>1.32</v>
      </c>
      <c r="AE814" s="1054">
        <f t="shared" si="335"/>
        <v>0</v>
      </c>
      <c r="AF814" s="1721">
        <v>3.18</v>
      </c>
      <c r="AG814" s="1052">
        <f t="shared" si="336"/>
        <v>0.92</v>
      </c>
      <c r="AH814" s="1049"/>
      <c r="AI814" s="1051"/>
      <c r="AJ814" s="1049"/>
      <c r="AK814" s="1050">
        <f t="shared" si="337"/>
        <v>0</v>
      </c>
      <c r="AL814" s="1017"/>
      <c r="AM814" s="1017"/>
      <c r="AN814" s="1027"/>
      <c r="AO814" s="1027"/>
      <c r="AP814" s="1035"/>
      <c r="AR814" s="1753"/>
      <c r="AS814" s="1032"/>
      <c r="AT814" s="1017"/>
      <c r="AV814" s="1017"/>
      <c r="AW814" s="1017"/>
      <c r="AX814" s="1027"/>
      <c r="AY814" s="1027"/>
      <c r="AZ814" s="1035"/>
      <c r="BA814" s="1755"/>
      <c r="BB814" s="1032"/>
      <c r="BC814" s="1017"/>
      <c r="BE814" s="1017"/>
      <c r="BF814" s="1017"/>
      <c r="BG814" s="1027"/>
      <c r="BH814" s="1027"/>
      <c r="BI814" s="1875"/>
      <c r="BJ814" s="1755"/>
      <c r="BK814" s="1017"/>
      <c r="BL814" s="1017"/>
      <c r="BM814" s="1027"/>
      <c r="BN814" s="1027"/>
      <c r="BO814" s="1035"/>
      <c r="BP814" s="1755"/>
      <c r="BQ814" s="1017"/>
    </row>
    <row r="815" spans="1:69" ht="14.4">
      <c r="A815" s="1017"/>
      <c r="H815" s="1017"/>
      <c r="I815" s="1017"/>
      <c r="L815" s="1035"/>
      <c r="M815" s="1019"/>
      <c r="N815" s="1032"/>
      <c r="O815" s="1017"/>
      <c r="P815" s="1017"/>
      <c r="Q815" s="1027"/>
      <c r="R815" s="1027"/>
      <c r="S815" s="1035"/>
      <c r="T815" s="1034"/>
      <c r="U815" s="1033"/>
      <c r="V815" s="1032"/>
      <c r="W815" s="1017"/>
      <c r="Y815" s="1017"/>
      <c r="AA815" s="1096"/>
      <c r="AB815" s="1086">
        <v>9</v>
      </c>
      <c r="AC815" s="1085">
        <v>10</v>
      </c>
      <c r="AD815" s="1721">
        <v>0.8</v>
      </c>
      <c r="AE815" s="1054">
        <f t="shared" si="335"/>
        <v>0</v>
      </c>
      <c r="AF815" s="1721">
        <v>1.99</v>
      </c>
      <c r="AG815" s="1052">
        <f t="shared" si="336"/>
        <v>0.92</v>
      </c>
      <c r="AH815" s="1049"/>
      <c r="AI815" s="1051"/>
      <c r="AJ815" s="1049"/>
      <c r="AK815" s="1050">
        <f t="shared" si="337"/>
        <v>0</v>
      </c>
      <c r="AL815" s="1017"/>
      <c r="AM815" s="1017"/>
      <c r="AN815" s="1027"/>
      <c r="AO815" s="1027"/>
      <c r="AP815" s="1035"/>
      <c r="AR815" s="1753"/>
      <c r="AS815" s="1032"/>
      <c r="AT815" s="1017"/>
      <c r="AV815" s="1017"/>
      <c r="AW815" s="1017"/>
      <c r="AX815" s="1027"/>
      <c r="AY815" s="1027"/>
      <c r="AZ815" s="1035"/>
      <c r="BA815" s="1755"/>
      <c r="BB815" s="1032"/>
      <c r="BC815" s="1017"/>
      <c r="BE815" s="1017"/>
      <c r="BF815" s="1017"/>
      <c r="BG815" s="1027"/>
      <c r="BH815" s="1027"/>
      <c r="BI815" s="1875"/>
      <c r="BJ815" s="1755"/>
      <c r="BK815" s="1017"/>
      <c r="BL815" s="1017"/>
      <c r="BM815" s="1027"/>
      <c r="BN815" s="1027"/>
      <c r="BO815" s="1035"/>
      <c r="BP815" s="1755"/>
      <c r="BQ815" s="1017"/>
    </row>
    <row r="816" spans="1:69" ht="14.4">
      <c r="A816" s="1017"/>
      <c r="H816" s="1017"/>
      <c r="I816" s="1017"/>
      <c r="L816" s="1035"/>
      <c r="M816" s="1019"/>
      <c r="N816" s="1032"/>
      <c r="O816" s="1017"/>
      <c r="P816" s="1017"/>
      <c r="Q816" s="1027"/>
      <c r="R816" s="1027"/>
      <c r="S816" s="1035"/>
      <c r="T816" s="1034"/>
      <c r="U816" s="1033"/>
      <c r="V816" s="1032"/>
      <c r="W816" s="1017"/>
      <c r="Y816" s="1017"/>
      <c r="AA816" s="1095">
        <f>SUM(AK806:AK829)</f>
        <v>0</v>
      </c>
      <c r="AB816" s="1086">
        <v>10</v>
      </c>
      <c r="AC816" s="1085">
        <v>11</v>
      </c>
      <c r="AD816" s="1721">
        <v>0.86</v>
      </c>
      <c r="AE816" s="1054">
        <f t="shared" si="335"/>
        <v>0</v>
      </c>
      <c r="AF816" s="1721">
        <v>2.06</v>
      </c>
      <c r="AG816" s="1052">
        <f t="shared" si="336"/>
        <v>0.92</v>
      </c>
      <c r="AH816" s="1049"/>
      <c r="AI816" s="1051"/>
      <c r="AJ816" s="1049"/>
      <c r="AK816" s="1050">
        <f t="shared" si="337"/>
        <v>0</v>
      </c>
      <c r="AL816" s="1017"/>
      <c r="AM816" s="1017"/>
      <c r="AN816" s="1027"/>
      <c r="AO816" s="1027"/>
      <c r="AP816" s="1035"/>
      <c r="AR816" s="1753"/>
      <c r="AS816" s="1032"/>
      <c r="AT816" s="1017"/>
      <c r="AV816" s="1017"/>
      <c r="AW816" s="1017"/>
      <c r="AX816" s="1027"/>
      <c r="AY816" s="1027"/>
      <c r="AZ816" s="1035"/>
      <c r="BA816" s="1755"/>
      <c r="BB816" s="1032"/>
      <c r="BC816" s="1017"/>
      <c r="BE816" s="1017"/>
      <c r="BF816" s="1017"/>
      <c r="BG816" s="1027"/>
      <c r="BH816" s="1027"/>
      <c r="BI816" s="1875"/>
      <c r="BJ816" s="1755"/>
      <c r="BK816" s="1017"/>
      <c r="BL816" s="1017"/>
      <c r="BM816" s="1027"/>
      <c r="BN816" s="1027"/>
      <c r="BO816" s="1035"/>
      <c r="BP816" s="1755"/>
      <c r="BQ816" s="1017"/>
    </row>
    <row r="817" spans="1:69" ht="14.4">
      <c r="A817" s="1017"/>
      <c r="H817" s="1017"/>
      <c r="I817" s="1017"/>
      <c r="L817" s="1035"/>
      <c r="M817" s="1019"/>
      <c r="N817" s="1032"/>
      <c r="O817" s="1017"/>
      <c r="P817" s="1017"/>
      <c r="Q817" s="1027"/>
      <c r="R817" s="1027"/>
      <c r="S817" s="1035"/>
      <c r="T817" s="1034"/>
      <c r="U817" s="1033"/>
      <c r="V817" s="1032"/>
      <c r="W817" s="1017"/>
      <c r="Y817" s="1017"/>
      <c r="AA817" s="1093">
        <f>IF(AA816&gt;0,AA816/AA808,0)</f>
        <v>0</v>
      </c>
      <c r="AB817" s="1086">
        <v>11</v>
      </c>
      <c r="AC817" s="1085">
        <v>12</v>
      </c>
      <c r="AD817" s="1721">
        <v>0.82</v>
      </c>
      <c r="AE817" s="1054">
        <f t="shared" si="335"/>
        <v>0</v>
      </c>
      <c r="AF817" s="1721">
        <v>1.94</v>
      </c>
      <c r="AG817" s="1052">
        <f t="shared" si="336"/>
        <v>0.92</v>
      </c>
      <c r="AH817" s="1049"/>
      <c r="AI817" s="1051"/>
      <c r="AJ817" s="1049"/>
      <c r="AK817" s="1050">
        <f t="shared" si="337"/>
        <v>0</v>
      </c>
      <c r="AL817" s="1017"/>
      <c r="AM817" s="1017"/>
      <c r="AN817" s="1027"/>
      <c r="AO817" s="1027"/>
      <c r="AP817" s="1035"/>
      <c r="AR817" s="1753"/>
      <c r="AS817" s="1032"/>
      <c r="AT817" s="1017"/>
      <c r="AV817" s="1017"/>
      <c r="AW817" s="1017"/>
      <c r="AX817" s="1027"/>
      <c r="AY817" s="1027"/>
      <c r="AZ817" s="1035"/>
      <c r="BA817" s="1755"/>
      <c r="BB817" s="1032"/>
      <c r="BC817" s="1017"/>
      <c r="BE817" s="1017"/>
      <c r="BF817" s="1017"/>
      <c r="BG817" s="1027"/>
      <c r="BH817" s="1027"/>
      <c r="BI817" s="1875"/>
      <c r="BJ817" s="1755"/>
      <c r="BK817" s="1017"/>
      <c r="BL817" s="1017"/>
      <c r="BM817" s="1027"/>
      <c r="BN817" s="1027"/>
      <c r="BO817" s="1035"/>
      <c r="BP817" s="1755"/>
      <c r="BQ817" s="1017"/>
    </row>
    <row r="818" spans="1:69" ht="14.4">
      <c r="A818" s="1017"/>
      <c r="H818" s="1017"/>
      <c r="I818" s="1017"/>
      <c r="L818" s="1035"/>
      <c r="M818" s="1019"/>
      <c r="N818" s="1032"/>
      <c r="O818" s="1017"/>
      <c r="P818" s="1017"/>
      <c r="Q818" s="1027"/>
      <c r="R818" s="1027"/>
      <c r="S818" s="1035"/>
      <c r="T818" s="1034"/>
      <c r="U818" s="1033"/>
      <c r="V818" s="1032"/>
      <c r="W818" s="1017"/>
      <c r="Y818" s="1017"/>
      <c r="AA818" s="1060"/>
      <c r="AB818" s="1086">
        <v>12</v>
      </c>
      <c r="AC818" s="1085">
        <v>13</v>
      </c>
      <c r="AD818" s="1721">
        <v>0.87</v>
      </c>
      <c r="AE818" s="1054">
        <f t="shared" si="335"/>
        <v>0</v>
      </c>
      <c r="AF818" s="1721">
        <v>1.98</v>
      </c>
      <c r="AG818" s="1052">
        <f t="shared" si="336"/>
        <v>0.92</v>
      </c>
      <c r="AH818" s="1049"/>
      <c r="AI818" s="1051"/>
      <c r="AJ818" s="1049"/>
      <c r="AK818" s="1050">
        <f t="shared" si="337"/>
        <v>0</v>
      </c>
      <c r="AL818" s="1017"/>
      <c r="AM818" s="1017"/>
      <c r="AN818" s="1027"/>
      <c r="AO818" s="1027"/>
      <c r="AP818" s="1035"/>
      <c r="AR818" s="1753"/>
      <c r="AS818" s="1032"/>
      <c r="AT818" s="1017"/>
      <c r="AV818" s="1017"/>
      <c r="AW818" s="1017"/>
      <c r="AX818" s="1027"/>
      <c r="AY818" s="1027"/>
      <c r="AZ818" s="1035"/>
      <c r="BA818" s="1755"/>
      <c r="BB818" s="1032"/>
      <c r="BC818" s="1017"/>
      <c r="BE818" s="1017"/>
      <c r="BF818" s="1017"/>
      <c r="BG818" s="1027"/>
      <c r="BH818" s="1027"/>
      <c r="BI818" s="1875"/>
      <c r="BJ818" s="1755"/>
      <c r="BK818" s="1017"/>
      <c r="BL818" s="1017"/>
      <c r="BM818" s="1027"/>
      <c r="BN818" s="1027"/>
      <c r="BO818" s="1035"/>
      <c r="BP818" s="1755"/>
      <c r="BQ818" s="1017"/>
    </row>
    <row r="819" spans="1:69" ht="14.4">
      <c r="A819" s="1017"/>
      <c r="H819" s="1017"/>
      <c r="I819" s="1017"/>
      <c r="L819" s="1035"/>
      <c r="M819" s="1019"/>
      <c r="N819" s="1032"/>
      <c r="O819" s="1017"/>
      <c r="P819" s="1017"/>
      <c r="Q819" s="1027"/>
      <c r="R819" s="1027"/>
      <c r="S819" s="1035"/>
      <c r="T819" s="1034"/>
      <c r="U819" s="1033"/>
      <c r="V819" s="1032"/>
      <c r="W819" s="1017"/>
      <c r="Y819" s="1017"/>
      <c r="AA819" s="1092" t="s">
        <v>1127</v>
      </c>
      <c r="AB819" s="1086">
        <v>13</v>
      </c>
      <c r="AC819" s="1085">
        <v>14</v>
      </c>
      <c r="AD819" s="1721">
        <v>0.81</v>
      </c>
      <c r="AE819" s="1054">
        <f t="shared" si="335"/>
        <v>0</v>
      </c>
      <c r="AF819" s="1721">
        <v>1.81</v>
      </c>
      <c r="AG819" s="1052">
        <f t="shared" si="336"/>
        <v>0.92</v>
      </c>
      <c r="AH819" s="1049"/>
      <c r="AI819" s="1051"/>
      <c r="AJ819" s="1049"/>
      <c r="AK819" s="1050">
        <f t="shared" si="337"/>
        <v>0</v>
      </c>
      <c r="AL819" s="1017"/>
      <c r="AM819" s="1017"/>
      <c r="AN819" s="1027"/>
      <c r="AO819" s="1027"/>
      <c r="AP819" s="1035"/>
      <c r="AR819" s="1753"/>
      <c r="AS819" s="1032"/>
      <c r="AT819" s="1017"/>
      <c r="AV819" s="1017"/>
      <c r="AW819" s="1017"/>
      <c r="AX819" s="1027"/>
      <c r="AY819" s="1027"/>
      <c r="AZ819" s="1035"/>
      <c r="BA819" s="1755"/>
      <c r="BB819" s="1032"/>
      <c r="BC819" s="1017"/>
      <c r="BE819" s="1017"/>
      <c r="BF819" s="1017"/>
      <c r="BG819" s="1027"/>
      <c r="BH819" s="1027"/>
      <c r="BI819" s="1875"/>
      <c r="BJ819" s="1755"/>
      <c r="BK819" s="1017"/>
      <c r="BL819" s="1017"/>
      <c r="BM819" s="1027"/>
      <c r="BN819" s="1027"/>
      <c r="BO819" s="1035"/>
      <c r="BP819" s="1755"/>
      <c r="BQ819" s="1017"/>
    </row>
    <row r="820" spans="1:69" ht="14.4">
      <c r="A820" s="1017"/>
      <c r="H820" s="1017"/>
      <c r="I820" s="1017"/>
      <c r="L820" s="1035"/>
      <c r="M820" s="1019"/>
      <c r="N820" s="1032"/>
      <c r="O820" s="1017"/>
      <c r="P820" s="1017"/>
      <c r="Q820" s="1027"/>
      <c r="R820" s="1027"/>
      <c r="S820" s="1035"/>
      <c r="T820" s="1034"/>
      <c r="U820" s="1033"/>
      <c r="V820" s="1032"/>
      <c r="W820" s="1017"/>
      <c r="Y820" s="1017"/>
      <c r="AA820" s="1058">
        <f>AA808*0.8</f>
        <v>17.320000000000004</v>
      </c>
      <c r="AB820" s="1086">
        <v>14</v>
      </c>
      <c r="AC820" s="1085">
        <v>15</v>
      </c>
      <c r="AD820" s="1721">
        <v>0.8</v>
      </c>
      <c r="AE820" s="1054">
        <f t="shared" si="335"/>
        <v>0</v>
      </c>
      <c r="AF820" s="1721">
        <v>1.87</v>
      </c>
      <c r="AG820" s="1052">
        <f t="shared" si="336"/>
        <v>0.92</v>
      </c>
      <c r="AH820" s="1049"/>
      <c r="AI820" s="1051"/>
      <c r="AJ820" s="1049"/>
      <c r="AK820" s="1050">
        <f t="shared" si="337"/>
        <v>0</v>
      </c>
      <c r="AL820" s="1017"/>
      <c r="AM820" s="1017"/>
      <c r="AN820" s="1027"/>
      <c r="AO820" s="1027"/>
      <c r="AP820" s="1035"/>
      <c r="AR820" s="1753"/>
      <c r="AS820" s="1032"/>
      <c r="AT820" s="1017"/>
      <c r="AV820" s="1017"/>
      <c r="AW820" s="1017"/>
      <c r="AX820" s="1027"/>
      <c r="AY820" s="1027"/>
      <c r="AZ820" s="1035"/>
      <c r="BA820" s="1755"/>
      <c r="BB820" s="1032"/>
      <c r="BC820" s="1017"/>
      <c r="BE820" s="1017"/>
      <c r="BF820" s="1017"/>
      <c r="BG820" s="1027"/>
      <c r="BH820" s="1027"/>
      <c r="BI820" s="1875"/>
      <c r="BJ820" s="1755"/>
      <c r="BK820" s="1017"/>
      <c r="BL820" s="1017"/>
      <c r="BM820" s="1027"/>
      <c r="BN820" s="1027"/>
      <c r="BO820" s="1035"/>
      <c r="BP820" s="1755"/>
      <c r="BQ820" s="1017"/>
    </row>
    <row r="821" spans="1:69" ht="14.4">
      <c r="A821" s="1017"/>
      <c r="H821" s="1017"/>
      <c r="I821" s="1017"/>
      <c r="L821" s="1035"/>
      <c r="M821" s="1019"/>
      <c r="N821" s="1032"/>
      <c r="O821" s="1017"/>
      <c r="P821" s="1017"/>
      <c r="Q821" s="1027"/>
      <c r="R821" s="1027"/>
      <c r="S821" s="1035"/>
      <c r="T821" s="1034"/>
      <c r="U821" s="1033"/>
      <c r="V821" s="1032"/>
      <c r="W821" s="1017"/>
      <c r="Y821" s="1017"/>
      <c r="AA821" s="1058" t="s">
        <v>1126</v>
      </c>
      <c r="AB821" s="1086">
        <v>15</v>
      </c>
      <c r="AC821" s="1085">
        <v>16</v>
      </c>
      <c r="AD821" s="1721">
        <v>0.87</v>
      </c>
      <c r="AE821" s="1054">
        <f t="shared" si="335"/>
        <v>0</v>
      </c>
      <c r="AF821" s="1721">
        <v>2.0299999999999998</v>
      </c>
      <c r="AG821" s="1052">
        <f t="shared" si="336"/>
        <v>0.92</v>
      </c>
      <c r="AH821" s="1049"/>
      <c r="AI821" s="1051"/>
      <c r="AJ821" s="1049"/>
      <c r="AK821" s="1050">
        <f t="shared" si="337"/>
        <v>0</v>
      </c>
      <c r="AL821" s="1017"/>
      <c r="AM821" s="1017"/>
      <c r="AN821" s="1027"/>
      <c r="AO821" s="1027"/>
      <c r="AP821" s="1035"/>
      <c r="AR821" s="1753"/>
      <c r="AS821" s="1032"/>
      <c r="AT821" s="1017"/>
      <c r="AV821" s="1017"/>
      <c r="AW821" s="1017"/>
      <c r="AX821" s="1027"/>
      <c r="AY821" s="1027"/>
      <c r="AZ821" s="1035"/>
      <c r="BA821" s="1755"/>
      <c r="BB821" s="1032"/>
      <c r="BC821" s="1017"/>
      <c r="BE821" s="1017"/>
      <c r="BF821" s="1017"/>
      <c r="BG821" s="1027"/>
      <c r="BH821" s="1027"/>
      <c r="BI821" s="1875"/>
      <c r="BJ821" s="1755"/>
      <c r="BK821" s="1017"/>
      <c r="BL821" s="1017"/>
      <c r="BM821" s="1027"/>
      <c r="BN821" s="1027"/>
      <c r="BO821" s="1035"/>
      <c r="BP821" s="1755"/>
      <c r="BQ821" s="1017"/>
    </row>
    <row r="822" spans="1:69" ht="15" thickBot="1">
      <c r="A822" s="1017"/>
      <c r="H822" s="1017"/>
      <c r="I822" s="1017"/>
      <c r="L822" s="1035"/>
      <c r="M822" s="1019"/>
      <c r="N822" s="1032"/>
      <c r="O822" s="1017"/>
      <c r="P822" s="1017"/>
      <c r="Q822" s="1027"/>
      <c r="R822" s="1027"/>
      <c r="S822" s="1035"/>
      <c r="T822" s="1034"/>
      <c r="U822" s="1033"/>
      <c r="V822" s="1032"/>
      <c r="W822" s="1017"/>
      <c r="Y822" s="1017"/>
      <c r="AA822" s="1078" t="e">
        <f>AA808*(AI805-0.8)</f>
        <v>#DIV/0!</v>
      </c>
      <c r="AB822" s="1077">
        <v>16</v>
      </c>
      <c r="AC822" s="1076">
        <v>17</v>
      </c>
      <c r="AD822" s="1721">
        <v>0.82</v>
      </c>
      <c r="AE822" s="1054">
        <f t="shared" si="335"/>
        <v>0</v>
      </c>
      <c r="AF822" s="1721">
        <v>1.96</v>
      </c>
      <c r="AG822" s="1052">
        <f t="shared" si="336"/>
        <v>0.92</v>
      </c>
      <c r="AH822" s="1049"/>
      <c r="AI822" s="1074"/>
      <c r="AJ822" s="1049"/>
      <c r="AK822" s="1050">
        <f t="shared" si="337"/>
        <v>0</v>
      </c>
      <c r="AL822" s="1017"/>
      <c r="AM822" s="1017"/>
      <c r="AN822" s="1027"/>
      <c r="AO822" s="1027"/>
      <c r="AP822" s="1035"/>
      <c r="AR822" s="1753"/>
      <c r="AS822" s="1032"/>
      <c r="AT822" s="1017"/>
      <c r="AV822" s="1017"/>
      <c r="AW822" s="1017"/>
      <c r="AX822" s="1027"/>
      <c r="AY822" s="1027"/>
      <c r="AZ822" s="1035"/>
      <c r="BA822" s="1755"/>
      <c r="BB822" s="1032"/>
      <c r="BC822" s="1017"/>
      <c r="BE822" s="1017"/>
      <c r="BF822" s="1017"/>
      <c r="BG822" s="1027"/>
      <c r="BH822" s="1027"/>
      <c r="BI822" s="1875"/>
      <c r="BJ822" s="1755"/>
      <c r="BK822" s="1017"/>
      <c r="BL822" s="1017"/>
      <c r="BM822" s="1027"/>
      <c r="BN822" s="1027"/>
      <c r="BO822" s="1035"/>
      <c r="BP822" s="1755"/>
      <c r="BQ822" s="1017"/>
    </row>
    <row r="823" spans="1:69" ht="14.4">
      <c r="A823" s="1017"/>
      <c r="H823" s="1017"/>
      <c r="I823" s="1017"/>
      <c r="L823" s="1035"/>
      <c r="M823" s="1019"/>
      <c r="N823" s="1032"/>
      <c r="O823" s="1017"/>
      <c r="P823" s="1017"/>
      <c r="Q823" s="1027"/>
      <c r="R823" s="1027"/>
      <c r="S823" s="1035"/>
      <c r="T823" s="1034"/>
      <c r="U823" s="1033"/>
      <c r="V823" s="1032"/>
      <c r="W823" s="1017"/>
      <c r="Y823" s="1017"/>
      <c r="AA823" s="1058"/>
      <c r="AB823" s="1068">
        <v>17</v>
      </c>
      <c r="AC823" s="1067">
        <v>18</v>
      </c>
      <c r="AD823" s="1721">
        <v>0.81</v>
      </c>
      <c r="AE823" s="1054">
        <f t="shared" si="335"/>
        <v>0</v>
      </c>
      <c r="AF823" s="1721">
        <v>2.62</v>
      </c>
      <c r="AG823" s="1052">
        <f t="shared" si="336"/>
        <v>0.92</v>
      </c>
      <c r="AH823" s="1049"/>
      <c r="AI823" s="1065"/>
      <c r="AJ823" s="1049"/>
      <c r="AK823" s="1050">
        <f t="shared" si="337"/>
        <v>0</v>
      </c>
      <c r="AL823" s="1017"/>
      <c r="AM823" s="1017"/>
      <c r="AN823" s="1027"/>
      <c r="AO823" s="1027"/>
      <c r="AP823" s="1035"/>
      <c r="AR823" s="1753"/>
      <c r="AS823" s="1032"/>
      <c r="AT823" s="1017"/>
      <c r="AV823" s="1017"/>
      <c r="AW823" s="1017"/>
      <c r="AX823" s="1027"/>
      <c r="AY823" s="1027"/>
      <c r="AZ823" s="1035"/>
      <c r="BA823" s="1755"/>
      <c r="BB823" s="1032"/>
      <c r="BC823" s="1017"/>
      <c r="BE823" s="1017"/>
      <c r="BF823" s="1017"/>
      <c r="BG823" s="1027"/>
      <c r="BH823" s="1027"/>
      <c r="BI823" s="1875"/>
      <c r="BJ823" s="1755"/>
      <c r="BK823" s="1017"/>
      <c r="BL823" s="1017"/>
      <c r="BM823" s="1027"/>
      <c r="BN823" s="1027"/>
      <c r="BO823" s="1035"/>
      <c r="BP823" s="1755"/>
      <c r="BQ823" s="1017"/>
    </row>
    <row r="824" spans="1:69" ht="14.4">
      <c r="A824" s="1017"/>
      <c r="H824" s="1017"/>
      <c r="I824" s="1017"/>
      <c r="L824" s="1035"/>
      <c r="M824" s="1019"/>
      <c r="N824" s="1032"/>
      <c r="O824" s="1017"/>
      <c r="P824" s="1017"/>
      <c r="Q824" s="1027"/>
      <c r="R824" s="1027"/>
      <c r="S824" s="1035"/>
      <c r="T824" s="1034"/>
      <c r="U824" s="1033"/>
      <c r="V824" s="1032"/>
      <c r="W824" s="1017"/>
      <c r="Y824" s="1017"/>
      <c r="AA824" s="1058"/>
      <c r="AB824" s="1057">
        <v>18</v>
      </c>
      <c r="AC824" s="1056">
        <v>19</v>
      </c>
      <c r="AD824" s="1721">
        <v>1.33</v>
      </c>
      <c r="AE824" s="1054">
        <f t="shared" si="335"/>
        <v>0</v>
      </c>
      <c r="AF824" s="1721">
        <v>4.38</v>
      </c>
      <c r="AG824" s="1052">
        <f t="shared" si="336"/>
        <v>0.92</v>
      </c>
      <c r="AH824" s="1049"/>
      <c r="AI824" s="1051"/>
      <c r="AJ824" s="1049"/>
      <c r="AK824" s="1050">
        <f t="shared" si="337"/>
        <v>0</v>
      </c>
      <c r="AL824" s="1017"/>
      <c r="AM824" s="1017"/>
      <c r="AN824" s="1027"/>
      <c r="AO824" s="1027"/>
      <c r="AP824" s="1035"/>
      <c r="AR824" s="1753"/>
      <c r="AS824" s="1032"/>
      <c r="AT824" s="1017"/>
      <c r="AV824" s="1017"/>
      <c r="AW824" s="1017"/>
      <c r="AX824" s="1027"/>
      <c r="AY824" s="1027"/>
      <c r="AZ824" s="1035"/>
      <c r="BA824" s="1755"/>
      <c r="BB824" s="1032"/>
      <c r="BC824" s="1017"/>
      <c r="BE824" s="1017"/>
      <c r="BF824" s="1017"/>
      <c r="BG824" s="1027"/>
      <c r="BH824" s="1027"/>
      <c r="BI824" s="1875"/>
      <c r="BJ824" s="1755"/>
      <c r="BK824" s="1017"/>
      <c r="BL824" s="1017"/>
      <c r="BM824" s="1027"/>
      <c r="BN824" s="1027"/>
      <c r="BO824" s="1035"/>
      <c r="BP824" s="1755"/>
      <c r="BQ824" s="1017"/>
    </row>
    <row r="825" spans="1:69" ht="14.4">
      <c r="A825" s="1017"/>
      <c r="H825" s="1017"/>
      <c r="I825" s="1017"/>
      <c r="L825" s="1035"/>
      <c r="M825" s="1019"/>
      <c r="N825" s="1032"/>
      <c r="O825" s="1017"/>
      <c r="P825" s="1017"/>
      <c r="Q825" s="1027"/>
      <c r="R825" s="1027"/>
      <c r="S825" s="1035"/>
      <c r="T825" s="1034"/>
      <c r="U825" s="1033"/>
      <c r="V825" s="1032"/>
      <c r="W825" s="1017"/>
      <c r="Y825" s="1017"/>
      <c r="AA825" s="1058"/>
      <c r="AB825" s="1057">
        <v>19</v>
      </c>
      <c r="AC825" s="1056">
        <v>20</v>
      </c>
      <c r="AD825" s="1721">
        <v>1.32</v>
      </c>
      <c r="AE825" s="1054">
        <f t="shared" si="335"/>
        <v>0</v>
      </c>
      <c r="AF825" s="1721">
        <v>4.24</v>
      </c>
      <c r="AG825" s="1052">
        <f t="shared" si="336"/>
        <v>0.92</v>
      </c>
      <c r="AH825" s="1049"/>
      <c r="AI825" s="1051"/>
      <c r="AJ825" s="1049"/>
      <c r="AK825" s="1050">
        <f t="shared" si="337"/>
        <v>0</v>
      </c>
      <c r="AL825" s="1017"/>
      <c r="AM825" s="1017"/>
      <c r="AN825" s="1027"/>
      <c r="AO825" s="1027"/>
      <c r="AP825" s="1035"/>
      <c r="AR825" s="1753"/>
      <c r="AS825" s="1032"/>
      <c r="AT825" s="1017"/>
      <c r="AV825" s="1017"/>
      <c r="AW825" s="1017"/>
      <c r="AX825" s="1027"/>
      <c r="AY825" s="1027"/>
      <c r="AZ825" s="1035"/>
      <c r="BA825" s="1755"/>
      <c r="BB825" s="1032"/>
      <c r="BC825" s="1017"/>
      <c r="BE825" s="1017"/>
      <c r="BF825" s="1017"/>
      <c r="BG825" s="1027"/>
      <c r="BH825" s="1027"/>
      <c r="BI825" s="1875"/>
      <c r="BJ825" s="1755"/>
      <c r="BK825" s="1017"/>
      <c r="BL825" s="1017"/>
      <c r="BM825" s="1027"/>
      <c r="BN825" s="1027"/>
      <c r="BO825" s="1035"/>
      <c r="BP825" s="1755"/>
      <c r="BQ825" s="1017"/>
    </row>
    <row r="826" spans="1:69" ht="14.4">
      <c r="A826" s="1017"/>
      <c r="H826" s="1017"/>
      <c r="I826" s="1017"/>
      <c r="L826" s="1035"/>
      <c r="M826" s="1019"/>
      <c r="N826" s="1032"/>
      <c r="O826" s="1017"/>
      <c r="P826" s="1017"/>
      <c r="Q826" s="1027"/>
      <c r="R826" s="1027"/>
      <c r="S826" s="1035"/>
      <c r="T826" s="1034"/>
      <c r="U826" s="1033"/>
      <c r="V826" s="1032"/>
      <c r="W826" s="1017"/>
      <c r="Y826" s="1017"/>
      <c r="AA826" s="1058"/>
      <c r="AB826" s="1057">
        <v>20</v>
      </c>
      <c r="AC826" s="1056">
        <v>21</v>
      </c>
      <c r="AD826" s="1721">
        <v>1.41</v>
      </c>
      <c r="AE826" s="1054">
        <f t="shared" si="335"/>
        <v>0</v>
      </c>
      <c r="AF826" s="1721">
        <v>3.02</v>
      </c>
      <c r="AG826" s="1052">
        <f t="shared" si="336"/>
        <v>0.92</v>
      </c>
      <c r="AH826" s="1049"/>
      <c r="AI826" s="1051"/>
      <c r="AJ826" s="1049"/>
      <c r="AK826" s="1050">
        <f t="shared" si="337"/>
        <v>0</v>
      </c>
      <c r="AL826" s="1017"/>
      <c r="AM826" s="1017"/>
      <c r="AN826" s="1027"/>
      <c r="AO826" s="1027"/>
      <c r="AP826" s="1035"/>
      <c r="AR826" s="1753"/>
      <c r="AS826" s="1032"/>
      <c r="AT826" s="1017"/>
      <c r="AV826" s="1017"/>
      <c r="AW826" s="1017"/>
      <c r="AX826" s="1027"/>
      <c r="AY826" s="1027"/>
      <c r="AZ826" s="1035"/>
      <c r="BA826" s="1755"/>
      <c r="BB826" s="1032"/>
      <c r="BC826" s="1017"/>
      <c r="BE826" s="1017"/>
      <c r="BF826" s="1017"/>
      <c r="BG826" s="1027"/>
      <c r="BH826" s="1027"/>
      <c r="BI826" s="1875"/>
      <c r="BJ826" s="1755"/>
      <c r="BK826" s="1017"/>
      <c r="BL826" s="1017"/>
      <c r="BM826" s="1027"/>
      <c r="BN826" s="1027"/>
      <c r="BO826" s="1035"/>
      <c r="BP826" s="1755"/>
      <c r="BQ826" s="1017"/>
    </row>
    <row r="827" spans="1:69" ht="14.4">
      <c r="A827" s="1017"/>
      <c r="H827" s="1017"/>
      <c r="I827" s="1017"/>
      <c r="L827" s="1035"/>
      <c r="M827" s="1019"/>
      <c r="N827" s="1032"/>
      <c r="O827" s="1017"/>
      <c r="P827" s="1017"/>
      <c r="Q827" s="1027"/>
      <c r="R827" s="1027"/>
      <c r="S827" s="1035"/>
      <c r="T827" s="1034"/>
      <c r="U827" s="1033"/>
      <c r="V827" s="1032"/>
      <c r="W827" s="1017"/>
      <c r="Y827" s="1017"/>
      <c r="AA827" s="1058"/>
      <c r="AB827" s="1057">
        <v>21</v>
      </c>
      <c r="AC827" s="1056">
        <v>22</v>
      </c>
      <c r="AD827" s="1721">
        <v>1.41</v>
      </c>
      <c r="AE827" s="1054">
        <f t="shared" si="335"/>
        <v>0</v>
      </c>
      <c r="AF827" s="1721">
        <v>3.05</v>
      </c>
      <c r="AG827" s="1052">
        <f t="shared" si="336"/>
        <v>0.92</v>
      </c>
      <c r="AH827" s="1049"/>
      <c r="AI827" s="1051"/>
      <c r="AJ827" s="1049"/>
      <c r="AK827" s="1050">
        <f t="shared" si="337"/>
        <v>0</v>
      </c>
      <c r="AL827" s="1017"/>
      <c r="AM827" s="1017"/>
      <c r="AN827" s="1027"/>
      <c r="AO827" s="1027"/>
      <c r="AP827" s="1035"/>
      <c r="AR827" s="1753"/>
      <c r="AS827" s="1032"/>
      <c r="AT827" s="1017"/>
      <c r="AV827" s="1017"/>
      <c r="AW827" s="1017"/>
      <c r="AX827" s="1027"/>
      <c r="AY827" s="1027"/>
      <c r="AZ827" s="1035"/>
      <c r="BA827" s="1755"/>
      <c r="BB827" s="1032"/>
      <c r="BC827" s="1017"/>
      <c r="BE827" s="1017"/>
      <c r="BF827" s="1017"/>
      <c r="BG827" s="1027"/>
      <c r="BH827" s="1027"/>
      <c r="BI827" s="1875"/>
      <c r="BJ827" s="1755"/>
      <c r="BK827" s="1017"/>
      <c r="BL827" s="1017"/>
      <c r="BM827" s="1027"/>
      <c r="BN827" s="1027"/>
      <c r="BO827" s="1035"/>
      <c r="BP827" s="1755"/>
      <c r="BQ827" s="1017"/>
    </row>
    <row r="828" spans="1:69" ht="14.4">
      <c r="A828" s="1017"/>
      <c r="H828" s="1017"/>
      <c r="I828" s="1017"/>
      <c r="L828" s="1035"/>
      <c r="M828" s="1019"/>
      <c r="N828" s="1032"/>
      <c r="O828" s="1017"/>
      <c r="P828" s="1017"/>
      <c r="Q828" s="1027"/>
      <c r="R828" s="1027"/>
      <c r="S828" s="1035"/>
      <c r="T828" s="1034"/>
      <c r="U828" s="1033"/>
      <c r="V828" s="1032"/>
      <c r="W828" s="1017"/>
      <c r="Y828" s="1017"/>
      <c r="AA828" s="1058"/>
      <c r="AB828" s="1057">
        <v>22</v>
      </c>
      <c r="AC828" s="1056">
        <v>23</v>
      </c>
      <c r="AD828" s="1721">
        <v>1.45</v>
      </c>
      <c r="AE828" s="1054">
        <f t="shared" si="335"/>
        <v>0</v>
      </c>
      <c r="AF828" s="1721">
        <v>2.95</v>
      </c>
      <c r="AG828" s="1052">
        <f t="shared" si="336"/>
        <v>0.92</v>
      </c>
      <c r="AH828" s="1049"/>
      <c r="AI828" s="1051"/>
      <c r="AJ828" s="1049"/>
      <c r="AK828" s="1050">
        <f t="shared" si="337"/>
        <v>0</v>
      </c>
      <c r="AL828" s="1017"/>
      <c r="AM828" s="1017"/>
      <c r="AN828" s="1027"/>
      <c r="AO828" s="1027"/>
      <c r="AP828" s="1035"/>
      <c r="AR828" s="1753"/>
      <c r="AS828" s="1032"/>
      <c r="AT828" s="1017"/>
      <c r="AV828" s="1017"/>
      <c r="AW828" s="1017"/>
      <c r="AX828" s="1027"/>
      <c r="AY828" s="1027"/>
      <c r="AZ828" s="1035"/>
      <c r="BA828" s="1755"/>
      <c r="BB828" s="1032"/>
      <c r="BC828" s="1017"/>
      <c r="BE828" s="1017"/>
      <c r="BF828" s="1017"/>
      <c r="BG828" s="1027"/>
      <c r="BH828" s="1027"/>
      <c r="BI828" s="1875"/>
      <c r="BJ828" s="1755"/>
      <c r="BK828" s="1017"/>
      <c r="BL828" s="1017"/>
      <c r="BM828" s="1027"/>
      <c r="BN828" s="1027"/>
      <c r="BO828" s="1035"/>
      <c r="BP828" s="1755"/>
      <c r="BQ828" s="1017"/>
    </row>
    <row r="829" spans="1:69" ht="14.4">
      <c r="A829" s="1017"/>
      <c r="H829" s="1017"/>
      <c r="I829" s="1017"/>
      <c r="L829" s="1035"/>
      <c r="M829" s="1019"/>
      <c r="N829" s="1032"/>
      <c r="O829" s="1017"/>
      <c r="P829" s="1017"/>
      <c r="Q829" s="1027"/>
      <c r="R829" s="1027"/>
      <c r="S829" s="1035"/>
      <c r="T829" s="1034"/>
      <c r="U829" s="1033"/>
      <c r="V829" s="1032"/>
      <c r="W829" s="1017"/>
      <c r="Y829" s="1017"/>
      <c r="AA829" s="1058"/>
      <c r="AB829" s="1057">
        <v>23</v>
      </c>
      <c r="AC829" s="1056">
        <v>24</v>
      </c>
      <c r="AD829" s="1721">
        <v>1.44</v>
      </c>
      <c r="AE829" s="1054">
        <f t="shared" si="335"/>
        <v>0</v>
      </c>
      <c r="AF829" s="1721">
        <v>2.57</v>
      </c>
      <c r="AG829" s="1052">
        <f t="shared" si="336"/>
        <v>0.92</v>
      </c>
      <c r="AH829" s="1049"/>
      <c r="AI829" s="1051"/>
      <c r="AJ829" s="1049"/>
      <c r="AK829" s="1050">
        <f t="shared" si="337"/>
        <v>0</v>
      </c>
      <c r="AL829" s="1017"/>
      <c r="AM829" s="1017"/>
      <c r="AN829" s="1027"/>
      <c r="AO829" s="1027"/>
      <c r="AP829" s="1035"/>
      <c r="AR829" s="1753"/>
      <c r="AS829" s="1032"/>
      <c r="AT829" s="1017"/>
      <c r="AV829" s="1017"/>
      <c r="AW829" s="1017"/>
      <c r="AX829" s="1027"/>
      <c r="AY829" s="1027"/>
      <c r="AZ829" s="1035"/>
      <c r="BA829" s="1755"/>
      <c r="BB829" s="1032"/>
      <c r="BC829" s="1017"/>
      <c r="BE829" s="1017"/>
      <c r="BF829" s="1017"/>
      <c r="BG829" s="1027"/>
      <c r="BH829" s="1027"/>
      <c r="BI829" s="1875"/>
      <c r="BJ829" s="1755"/>
      <c r="BK829" s="1017"/>
      <c r="BL829" s="1017"/>
      <c r="BM829" s="1027"/>
      <c r="BN829" s="1027"/>
      <c r="BO829" s="1035"/>
      <c r="BP829" s="1755"/>
      <c r="BQ829" s="1017"/>
    </row>
    <row r="830" spans="1:69">
      <c r="A830" s="1017"/>
      <c r="H830" s="1017"/>
      <c r="I830" s="1017"/>
      <c r="L830" s="1035"/>
      <c r="M830" s="1019"/>
      <c r="N830" s="1032"/>
      <c r="O830" s="1017"/>
      <c r="P830" s="1017"/>
      <c r="Q830" s="1027"/>
      <c r="R830" s="1027"/>
      <c r="S830" s="1035"/>
      <c r="T830" s="1034"/>
      <c r="U830" s="1033"/>
      <c r="V830" s="1032"/>
      <c r="W830" s="1017"/>
      <c r="Y830" s="1017"/>
      <c r="AA830" s="1044"/>
      <c r="AB830" s="1043"/>
      <c r="AC830" s="1043"/>
      <c r="AD830" s="1042"/>
      <c r="AE830" s="1041"/>
      <c r="AF830" s="1040"/>
      <c r="AG830" s="1039"/>
      <c r="AH830" s="1036"/>
      <c r="AI830" s="1038"/>
      <c r="AJ830" s="1036"/>
      <c r="AK830" s="1037"/>
      <c r="AL830" s="1017"/>
      <c r="AM830" s="1017"/>
      <c r="AN830" s="1027"/>
      <c r="AO830" s="1027"/>
      <c r="AP830" s="1035"/>
      <c r="AR830" s="1753"/>
      <c r="AS830" s="1032"/>
      <c r="AT830" s="1017"/>
      <c r="AV830" s="1017"/>
      <c r="AW830" s="1017"/>
      <c r="AX830" s="1027"/>
      <c r="AY830" s="1027"/>
      <c r="AZ830" s="1035"/>
      <c r="BA830" s="1755"/>
      <c r="BB830" s="1032"/>
      <c r="BC830" s="1017"/>
      <c r="BE830" s="1017"/>
      <c r="BF830" s="1017"/>
      <c r="BG830" s="1027"/>
      <c r="BH830" s="1027"/>
      <c r="BI830" s="1875"/>
      <c r="BJ830" s="1755"/>
      <c r="BK830" s="1017"/>
      <c r="BL830" s="1017"/>
      <c r="BM830" s="1027"/>
      <c r="BN830" s="1027"/>
      <c r="BO830" s="1035"/>
      <c r="BP830" s="1755"/>
      <c r="BQ830" s="1017"/>
    </row>
    <row r="831" spans="1:69">
      <c r="A831" s="1017"/>
      <c r="H831" s="1017"/>
      <c r="I831" s="1017"/>
      <c r="L831" s="1035"/>
      <c r="M831" s="1019"/>
      <c r="N831" s="1032"/>
      <c r="O831" s="1017"/>
      <c r="P831" s="1017"/>
      <c r="Q831" s="1027"/>
      <c r="R831" s="1027"/>
      <c r="S831" s="1035"/>
      <c r="T831" s="1034"/>
      <c r="U831" s="1033"/>
      <c r="V831" s="1032"/>
      <c r="W831" s="1017"/>
      <c r="Y831" s="1017"/>
      <c r="AA831" s="1130"/>
      <c r="AB831" s="1046"/>
      <c r="AC831" s="1046"/>
      <c r="AD831" s="1129" t="e">
        <f>AVERAGE(AD832:AD855)</f>
        <v>#DIV/0!</v>
      </c>
      <c r="AE831" s="1128"/>
      <c r="AF831" s="1040" t="e">
        <f>AVERAGE(AF832:AF855)</f>
        <v>#DIV/0!</v>
      </c>
      <c r="AG831" s="1039">
        <f>AVERAGE(AG832:AG855)</f>
        <v>0.92000000000000048</v>
      </c>
      <c r="AH831" s="1036"/>
      <c r="AI831" s="1038" t="e">
        <f>AVERAGE(AI840:AI855)</f>
        <v>#DIV/0!</v>
      </c>
      <c r="AJ831" s="1036"/>
      <c r="AK831" s="1127">
        <f>SUM(AK832:AK855)</f>
        <v>0</v>
      </c>
      <c r="AL831" s="1017"/>
      <c r="AM831" s="1017"/>
      <c r="AN831" s="1027"/>
      <c r="AO831" s="1027"/>
      <c r="AP831" s="1035"/>
      <c r="AR831" s="1753"/>
      <c r="AS831" s="1032"/>
      <c r="AT831" s="1017"/>
      <c r="AV831" s="1017"/>
      <c r="AW831" s="1017"/>
      <c r="AX831" s="1027"/>
      <c r="AY831" s="1027"/>
      <c r="AZ831" s="1035"/>
      <c r="BA831" s="1755"/>
      <c r="BB831" s="1032"/>
      <c r="BC831" s="1017"/>
      <c r="BE831" s="1017"/>
      <c r="BF831" s="1017"/>
      <c r="BG831" s="1027"/>
      <c r="BH831" s="1027"/>
      <c r="BI831" s="1875"/>
      <c r="BJ831" s="1755"/>
      <c r="BK831" s="1017"/>
      <c r="BL831" s="1017"/>
      <c r="BM831" s="1027"/>
      <c r="BN831" s="1027"/>
      <c r="BO831" s="1035"/>
      <c r="BP831" s="1755"/>
      <c r="BQ831" s="1017"/>
    </row>
    <row r="832" spans="1:69" ht="14.4">
      <c r="A832" s="1017"/>
      <c r="H832" s="1017"/>
      <c r="I832" s="1017"/>
      <c r="L832" s="1035"/>
      <c r="M832" s="1019"/>
      <c r="N832" s="1032"/>
      <c r="O832" s="1017"/>
      <c r="P832" s="1017"/>
      <c r="Q832" s="1027"/>
      <c r="R832" s="1027"/>
      <c r="S832" s="1035"/>
      <c r="T832" s="1034"/>
      <c r="U832" s="1033"/>
      <c r="V832" s="1032"/>
      <c r="W832" s="1017"/>
      <c r="Y832" s="1017"/>
      <c r="AA832" s="1125">
        <v>44960</v>
      </c>
      <c r="AB832" s="1057">
        <v>0</v>
      </c>
      <c r="AC832" s="1056">
        <v>1</v>
      </c>
      <c r="AD832" s="1721"/>
      <c r="AE832" s="1054">
        <f t="shared" ref="AE832:AE855" si="338">AD832*AI832</f>
        <v>0</v>
      </c>
      <c r="AF832" s="1721"/>
      <c r="AG832" s="1052">
        <f t="shared" ref="AG832:AG855" si="339">AI832+0.92</f>
        <v>0.92</v>
      </c>
      <c r="AH832" s="1049"/>
      <c r="AI832" s="1051"/>
      <c r="AJ832" s="1049"/>
      <c r="AK832" s="1050">
        <f>IF(AI832&lt;0.8,0,AD832*(AI832-0.8))</f>
        <v>0</v>
      </c>
      <c r="AL832" s="1017"/>
      <c r="AM832" s="1017"/>
      <c r="AN832" s="1027"/>
      <c r="AO832" s="1027"/>
      <c r="AP832" s="1035"/>
      <c r="AR832" s="1753"/>
      <c r="AS832" s="1032"/>
      <c r="AT832" s="1017"/>
      <c r="AV832" s="1017"/>
      <c r="AW832" s="1017"/>
      <c r="AX832" s="1027"/>
      <c r="AY832" s="1027"/>
      <c r="AZ832" s="1035"/>
      <c r="BA832" s="1755"/>
      <c r="BB832" s="1032"/>
      <c r="BC832" s="1017"/>
      <c r="BE832" s="1017"/>
      <c r="BF832" s="1017"/>
      <c r="BG832" s="1027"/>
      <c r="BH832" s="1027"/>
      <c r="BI832" s="1875"/>
      <c r="BJ832" s="1755"/>
      <c r="BK832" s="1017"/>
      <c r="BL832" s="1017"/>
      <c r="BM832" s="1027"/>
      <c r="BN832" s="1027"/>
      <c r="BO832" s="1035"/>
      <c r="BP832" s="1755"/>
      <c r="BQ832" s="1017"/>
    </row>
    <row r="833" spans="1:69" ht="14.4">
      <c r="A833" s="1017"/>
      <c r="H833" s="1017"/>
      <c r="I833" s="1017"/>
      <c r="L833" s="1035"/>
      <c r="M833" s="1019"/>
      <c r="N833" s="1032"/>
      <c r="O833" s="1017"/>
      <c r="P833" s="1017"/>
      <c r="Q833" s="1027"/>
      <c r="R833" s="1027"/>
      <c r="S833" s="1035"/>
      <c r="T833" s="1034"/>
      <c r="U833" s="1033"/>
      <c r="V833" s="1032"/>
      <c r="W833" s="1017"/>
      <c r="Y833" s="1017"/>
      <c r="AA833" s="1123"/>
      <c r="AB833" s="1057">
        <v>1</v>
      </c>
      <c r="AC833" s="1056">
        <v>2</v>
      </c>
      <c r="AD833" s="1721"/>
      <c r="AE833" s="1054">
        <f t="shared" si="338"/>
        <v>0</v>
      </c>
      <c r="AF833" s="1721"/>
      <c r="AG833" s="1052">
        <f t="shared" si="339"/>
        <v>0.92</v>
      </c>
      <c r="AH833" s="1049"/>
      <c r="AI833" s="1051"/>
      <c r="AJ833" s="1049"/>
      <c r="AK833" s="1050">
        <f t="shared" ref="AK833:AK855" si="340">IF(AI833&lt;0.8,0,AD833*(AF833-0.8))</f>
        <v>0</v>
      </c>
      <c r="AL833" s="1017"/>
      <c r="AM833" s="1017"/>
      <c r="AN833" s="1027"/>
      <c r="AO833" s="1027"/>
      <c r="AP833" s="1035"/>
      <c r="AR833" s="1753"/>
      <c r="AS833" s="1032"/>
      <c r="AT833" s="1017"/>
      <c r="AV833" s="1017"/>
      <c r="AW833" s="1017"/>
      <c r="AX833" s="1027"/>
      <c r="AY833" s="1027"/>
      <c r="AZ833" s="1035"/>
      <c r="BA833" s="1755"/>
      <c r="BB833" s="1032"/>
      <c r="BC833" s="1017"/>
      <c r="BE833" s="1017"/>
      <c r="BF833" s="1017"/>
      <c r="BG833" s="1027"/>
      <c r="BH833" s="1027"/>
      <c r="BI833" s="1875"/>
      <c r="BJ833" s="1755"/>
      <c r="BK833" s="1017"/>
      <c r="BL833" s="1017"/>
      <c r="BM833" s="1027"/>
      <c r="BN833" s="1027"/>
      <c r="BO833" s="1035"/>
      <c r="BP833" s="1755"/>
      <c r="BQ833" s="1017"/>
    </row>
    <row r="834" spans="1:69" ht="14.4">
      <c r="A834" s="1017"/>
      <c r="H834" s="1017"/>
      <c r="I834" s="1017"/>
      <c r="L834" s="1035"/>
      <c r="M834" s="1019"/>
      <c r="N834" s="1032"/>
      <c r="O834" s="1017"/>
      <c r="P834" s="1017"/>
      <c r="Q834" s="1027"/>
      <c r="R834" s="1027"/>
      <c r="S834" s="1035"/>
      <c r="T834" s="1034"/>
      <c r="U834" s="1033"/>
      <c r="V834" s="1032"/>
      <c r="W834" s="1017"/>
      <c r="Y834" s="1017"/>
      <c r="AA834" s="1121">
        <f>SUM(AD832:AD855)</f>
        <v>0</v>
      </c>
      <c r="AB834" s="1057">
        <v>2</v>
      </c>
      <c r="AC834" s="1056">
        <v>3</v>
      </c>
      <c r="AD834" s="1721"/>
      <c r="AE834" s="1054">
        <f t="shared" si="338"/>
        <v>0</v>
      </c>
      <c r="AF834" s="1721"/>
      <c r="AG834" s="1052">
        <f t="shared" si="339"/>
        <v>0.92</v>
      </c>
      <c r="AH834" s="1049"/>
      <c r="AI834" s="1051"/>
      <c r="AJ834" s="1049"/>
      <c r="AK834" s="1050">
        <f t="shared" si="340"/>
        <v>0</v>
      </c>
      <c r="AL834" s="1017"/>
      <c r="AM834" s="1017"/>
      <c r="AN834" s="1027"/>
      <c r="AO834" s="1027"/>
      <c r="AP834" s="1035"/>
      <c r="AR834" s="1753"/>
      <c r="AS834" s="1032"/>
      <c r="AT834" s="1017"/>
      <c r="AV834" s="1017"/>
      <c r="AW834" s="1017"/>
      <c r="AX834" s="1027"/>
      <c r="AY834" s="1027"/>
      <c r="AZ834" s="1035"/>
      <c r="BA834" s="1755"/>
      <c r="BB834" s="1032"/>
      <c r="BC834" s="1017"/>
      <c r="BE834" s="1017"/>
      <c r="BF834" s="1017"/>
      <c r="BG834" s="1027"/>
      <c r="BH834" s="1027"/>
      <c r="BI834" s="1875"/>
      <c r="BJ834" s="1755"/>
      <c r="BK834" s="1017"/>
      <c r="BL834" s="1017"/>
      <c r="BM834" s="1027"/>
      <c r="BN834" s="1027"/>
      <c r="BO834" s="1035"/>
      <c r="BP834" s="1755"/>
      <c r="BQ834" s="1017"/>
    </row>
    <row r="835" spans="1:69" ht="14.4">
      <c r="A835" s="1017"/>
      <c r="H835" s="1017"/>
      <c r="I835" s="1017"/>
      <c r="L835" s="1035"/>
      <c r="M835" s="1019"/>
      <c r="N835" s="1032"/>
      <c r="O835" s="1017"/>
      <c r="P835" s="1017"/>
      <c r="Q835" s="1027"/>
      <c r="R835" s="1027"/>
      <c r="S835" s="1035"/>
      <c r="T835" s="1034"/>
      <c r="U835" s="1033"/>
      <c r="V835" s="1032"/>
      <c r="W835" s="1017"/>
      <c r="Y835" s="1017"/>
      <c r="AA835" s="1120">
        <f>AA834/24</f>
        <v>0</v>
      </c>
      <c r="AB835" s="1057">
        <v>3</v>
      </c>
      <c r="AC835" s="1056">
        <v>4</v>
      </c>
      <c r="AD835" s="1721"/>
      <c r="AE835" s="1054">
        <f t="shared" si="338"/>
        <v>0</v>
      </c>
      <c r="AF835" s="1721"/>
      <c r="AG835" s="1052">
        <f t="shared" si="339"/>
        <v>0.92</v>
      </c>
      <c r="AH835" s="1049"/>
      <c r="AI835" s="1051"/>
      <c r="AJ835" s="1049"/>
      <c r="AK835" s="1050">
        <f t="shared" si="340"/>
        <v>0</v>
      </c>
      <c r="AL835" s="1017"/>
      <c r="AM835" s="1017"/>
      <c r="AN835" s="1027"/>
      <c r="AO835" s="1027"/>
      <c r="AP835" s="1035"/>
      <c r="AR835" s="1753"/>
      <c r="AS835" s="1032"/>
      <c r="AT835" s="1017"/>
      <c r="AV835" s="1017"/>
      <c r="AW835" s="1017"/>
      <c r="AX835" s="1027"/>
      <c r="AY835" s="1027"/>
      <c r="AZ835" s="1035"/>
      <c r="BA835" s="1755"/>
      <c r="BB835" s="1032"/>
      <c r="BC835" s="1017"/>
      <c r="BE835" s="1017"/>
      <c r="BF835" s="1017"/>
      <c r="BG835" s="1027"/>
      <c r="BH835" s="1027"/>
      <c r="BI835" s="1875"/>
      <c r="BJ835" s="1755"/>
      <c r="BK835" s="1017"/>
      <c r="BL835" s="1017"/>
      <c r="BM835" s="1027"/>
      <c r="BN835" s="1027"/>
      <c r="BO835" s="1035"/>
      <c r="BP835" s="1755"/>
      <c r="BQ835" s="1017"/>
    </row>
    <row r="836" spans="1:69" ht="14.4">
      <c r="A836" s="1017"/>
      <c r="H836" s="1017"/>
      <c r="I836" s="1017"/>
      <c r="L836" s="1035"/>
      <c r="M836" s="1019"/>
      <c r="N836" s="1032"/>
      <c r="O836" s="1017"/>
      <c r="P836" s="1017"/>
      <c r="Q836" s="1027"/>
      <c r="R836" s="1027"/>
      <c r="S836" s="1035"/>
      <c r="T836" s="1034"/>
      <c r="U836" s="1033"/>
      <c r="V836" s="1032"/>
      <c r="W836" s="1017"/>
      <c r="Y836" s="1017"/>
      <c r="AA836" s="1118"/>
      <c r="AB836" s="1057">
        <v>4</v>
      </c>
      <c r="AC836" s="1056">
        <v>5</v>
      </c>
      <c r="AD836" s="1721"/>
      <c r="AE836" s="1054">
        <f t="shared" si="338"/>
        <v>0</v>
      </c>
      <c r="AF836" s="1721"/>
      <c r="AG836" s="1052">
        <f t="shared" si="339"/>
        <v>0.92</v>
      </c>
      <c r="AH836" s="1049"/>
      <c r="AI836" s="1051"/>
      <c r="AJ836" s="1049"/>
      <c r="AK836" s="1050">
        <f t="shared" si="340"/>
        <v>0</v>
      </c>
      <c r="AL836" s="1017"/>
      <c r="AM836" s="1017"/>
      <c r="AN836" s="1027"/>
      <c r="AO836" s="1027"/>
      <c r="AP836" s="1035"/>
      <c r="AR836" s="1753"/>
      <c r="AS836" s="1032"/>
      <c r="AT836" s="1017"/>
      <c r="AV836" s="1017"/>
      <c r="AW836" s="1017"/>
      <c r="AX836" s="1027"/>
      <c r="AY836" s="1027"/>
      <c r="AZ836" s="1035"/>
      <c r="BA836" s="1755"/>
      <c r="BB836" s="1032"/>
      <c r="BC836" s="1017"/>
      <c r="BE836" s="1017"/>
      <c r="BF836" s="1017"/>
      <c r="BG836" s="1027"/>
      <c r="BH836" s="1027"/>
      <c r="BI836" s="1875"/>
      <c r="BJ836" s="1755"/>
      <c r="BK836" s="1017"/>
      <c r="BL836" s="1017"/>
      <c r="BM836" s="1027"/>
      <c r="BN836" s="1027"/>
      <c r="BO836" s="1035"/>
      <c r="BP836" s="1755"/>
      <c r="BQ836" s="1017"/>
    </row>
    <row r="837" spans="1:69" ht="15" thickBot="1">
      <c r="A837" s="1017"/>
      <c r="H837" s="1017"/>
      <c r="I837" s="1017"/>
      <c r="L837" s="1035"/>
      <c r="M837" s="1019"/>
      <c r="N837" s="1032"/>
      <c r="O837" s="1017"/>
      <c r="P837" s="1017"/>
      <c r="Q837" s="1027"/>
      <c r="R837" s="1027"/>
      <c r="S837" s="1035"/>
      <c r="T837" s="1034"/>
      <c r="U837" s="1033"/>
      <c r="V837" s="1032"/>
      <c r="W837" s="1017"/>
      <c r="Y837" s="1017"/>
      <c r="AA837" s="1112">
        <f>SUM(AF832:AF855)</f>
        <v>0</v>
      </c>
      <c r="AB837" s="1111">
        <v>5</v>
      </c>
      <c r="AC837" s="1110">
        <v>6</v>
      </c>
      <c r="AD837" s="1721"/>
      <c r="AE837" s="1054">
        <f t="shared" si="338"/>
        <v>0</v>
      </c>
      <c r="AF837" s="1721"/>
      <c r="AG837" s="1052">
        <f t="shared" si="339"/>
        <v>0.92</v>
      </c>
      <c r="AH837" s="1049"/>
      <c r="AI837" s="1074"/>
      <c r="AJ837" s="1049"/>
      <c r="AK837" s="1050">
        <f t="shared" si="340"/>
        <v>0</v>
      </c>
      <c r="AL837" s="1017"/>
      <c r="AM837" s="1017"/>
      <c r="AN837" s="1027"/>
      <c r="AO837" s="1027"/>
      <c r="AP837" s="1035"/>
      <c r="AR837" s="1753"/>
      <c r="AS837" s="1032"/>
      <c r="AT837" s="1017"/>
      <c r="AV837" s="1017"/>
      <c r="AW837" s="1017"/>
      <c r="AX837" s="1027"/>
      <c r="AY837" s="1027"/>
      <c r="AZ837" s="1035"/>
      <c r="BA837" s="1755"/>
      <c r="BB837" s="1032"/>
      <c r="BC837" s="1017"/>
      <c r="BE837" s="1017"/>
      <c r="BF837" s="1017"/>
      <c r="BG837" s="1027"/>
      <c r="BH837" s="1027"/>
      <c r="BI837" s="1875"/>
      <c r="BJ837" s="1755"/>
      <c r="BK837" s="1017"/>
      <c r="BL837" s="1017"/>
      <c r="BM837" s="1027"/>
      <c r="BN837" s="1027"/>
      <c r="BO837" s="1035"/>
      <c r="BP837" s="1755"/>
      <c r="BQ837" s="1017"/>
    </row>
    <row r="838" spans="1:69" ht="14.4">
      <c r="A838" s="1017"/>
      <c r="H838" s="1017"/>
      <c r="I838" s="1017"/>
      <c r="L838" s="1035"/>
      <c r="M838" s="1019"/>
      <c r="N838" s="1032"/>
      <c r="O838" s="1017"/>
      <c r="P838" s="1017"/>
      <c r="Q838" s="1027"/>
      <c r="R838" s="1027"/>
      <c r="S838" s="1035"/>
      <c r="T838" s="1034"/>
      <c r="U838" s="1033"/>
      <c r="V838" s="1032"/>
      <c r="W838" s="1017"/>
      <c r="Y838" s="1017"/>
      <c r="AA838" s="1093">
        <f>IF(AA837&gt;0,AA837/AA834,0)</f>
        <v>0</v>
      </c>
      <c r="AB838" s="1100">
        <v>6</v>
      </c>
      <c r="AC838" s="1099">
        <v>7</v>
      </c>
      <c r="AD838" s="1721"/>
      <c r="AE838" s="1054">
        <f t="shared" si="338"/>
        <v>0</v>
      </c>
      <c r="AF838" s="1721"/>
      <c r="AG838" s="1052">
        <f t="shared" si="339"/>
        <v>0.92</v>
      </c>
      <c r="AH838" s="1049"/>
      <c r="AI838" s="1108"/>
      <c r="AJ838" s="1049"/>
      <c r="AK838" s="1050">
        <f t="shared" si="340"/>
        <v>0</v>
      </c>
      <c r="AL838" s="1017"/>
      <c r="AM838" s="1017"/>
      <c r="AN838" s="1027"/>
      <c r="AO838" s="1027"/>
      <c r="AP838" s="1035"/>
      <c r="AR838" s="1753"/>
      <c r="AS838" s="1032"/>
      <c r="AT838" s="1017"/>
      <c r="AV838" s="1017"/>
      <c r="AW838" s="1017"/>
      <c r="AX838" s="1027"/>
      <c r="AY838" s="1027"/>
      <c r="AZ838" s="1035"/>
      <c r="BA838" s="1755"/>
      <c r="BB838" s="1032"/>
      <c r="BC838" s="1017"/>
      <c r="BE838" s="1017"/>
      <c r="BF838" s="1017"/>
      <c r="BG838" s="1027"/>
      <c r="BH838" s="1027"/>
      <c r="BI838" s="1875"/>
      <c r="BJ838" s="1755"/>
      <c r="BK838" s="1017"/>
      <c r="BL838" s="1017"/>
      <c r="BM838" s="1027"/>
      <c r="BN838" s="1027"/>
      <c r="BO838" s="1035"/>
      <c r="BP838" s="1755"/>
      <c r="BQ838" s="1017"/>
    </row>
    <row r="839" spans="1:69" ht="14.4">
      <c r="A839" s="1017"/>
      <c r="H839" s="1017"/>
      <c r="I839" s="1017"/>
      <c r="L839" s="1035"/>
      <c r="M839" s="1019"/>
      <c r="N839" s="1032"/>
      <c r="O839" s="1017"/>
      <c r="P839" s="1017"/>
      <c r="Q839" s="1027"/>
      <c r="R839" s="1027"/>
      <c r="S839" s="1035"/>
      <c r="T839" s="1034"/>
      <c r="U839" s="1033"/>
      <c r="V839" s="1032"/>
      <c r="W839" s="1017"/>
      <c r="Y839" s="1017"/>
      <c r="AA839" s="1101"/>
      <c r="AB839" s="1100">
        <v>7</v>
      </c>
      <c r="AC839" s="1099">
        <v>8</v>
      </c>
      <c r="AD839" s="1721"/>
      <c r="AE839" s="1054">
        <f t="shared" si="338"/>
        <v>0</v>
      </c>
      <c r="AF839" s="1721"/>
      <c r="AG839" s="1052">
        <f t="shared" si="339"/>
        <v>0.92</v>
      </c>
      <c r="AH839" s="1049"/>
      <c r="AI839" s="1065"/>
      <c r="AJ839" s="1049"/>
      <c r="AK839" s="1050">
        <f t="shared" si="340"/>
        <v>0</v>
      </c>
      <c r="AL839" s="1017"/>
      <c r="AM839" s="1017"/>
      <c r="AN839" s="1027"/>
      <c r="AO839" s="1027"/>
      <c r="AP839" s="1035"/>
      <c r="AR839" s="1753"/>
      <c r="AS839" s="1032"/>
      <c r="AT839" s="1017"/>
      <c r="AV839" s="1017"/>
      <c r="AW839" s="1017"/>
      <c r="AX839" s="1027"/>
      <c r="AY839" s="1027"/>
      <c r="AZ839" s="1035"/>
      <c r="BA839" s="1755"/>
      <c r="BB839" s="1032"/>
      <c r="BC839" s="1017"/>
      <c r="BE839" s="1017"/>
      <c r="BF839" s="1017"/>
      <c r="BG839" s="1027"/>
      <c r="BH839" s="1027"/>
      <c r="BI839" s="1875"/>
      <c r="BJ839" s="1755"/>
      <c r="BK839" s="1017"/>
      <c r="BL839" s="1017"/>
      <c r="BM839" s="1027"/>
      <c r="BN839" s="1027"/>
      <c r="BO839" s="1035"/>
      <c r="BP839" s="1755"/>
      <c r="BQ839" s="1017"/>
    </row>
    <row r="840" spans="1:69" ht="14.4">
      <c r="A840" s="1017"/>
      <c r="H840" s="1017"/>
      <c r="I840" s="1017"/>
      <c r="L840" s="1035"/>
      <c r="M840" s="1019"/>
      <c r="N840" s="1032"/>
      <c r="O840" s="1017"/>
      <c r="P840" s="1017"/>
      <c r="Q840" s="1027"/>
      <c r="R840" s="1027"/>
      <c r="S840" s="1035"/>
      <c r="T840" s="1034"/>
      <c r="U840" s="1033"/>
      <c r="V840" s="1032"/>
      <c r="W840" s="1017"/>
      <c r="Y840" s="1017"/>
      <c r="AA840" s="1096">
        <f>AA837/24</f>
        <v>0</v>
      </c>
      <c r="AB840" s="1086">
        <v>8</v>
      </c>
      <c r="AC840" s="1085">
        <v>9</v>
      </c>
      <c r="AD840" s="1721"/>
      <c r="AE840" s="1054">
        <f t="shared" si="338"/>
        <v>0</v>
      </c>
      <c r="AF840" s="1721"/>
      <c r="AG840" s="1052">
        <f t="shared" si="339"/>
        <v>0.92</v>
      </c>
      <c r="AH840" s="1049"/>
      <c r="AI840" s="1051"/>
      <c r="AJ840" s="1049"/>
      <c r="AK840" s="1050">
        <f t="shared" si="340"/>
        <v>0</v>
      </c>
      <c r="AL840" s="1017"/>
      <c r="AM840" s="1017"/>
      <c r="AN840" s="1027"/>
      <c r="AO840" s="1027"/>
      <c r="AP840" s="1035"/>
      <c r="AR840" s="1753"/>
      <c r="AS840" s="1032"/>
      <c r="AT840" s="1017"/>
      <c r="AV840" s="1017"/>
      <c r="AW840" s="1017"/>
      <c r="AX840" s="1027"/>
      <c r="AY840" s="1027"/>
      <c r="AZ840" s="1035"/>
      <c r="BA840" s="1755"/>
      <c r="BB840" s="1032"/>
      <c r="BC840" s="1017"/>
      <c r="BE840" s="1017"/>
      <c r="BF840" s="1017"/>
      <c r="BG840" s="1027"/>
      <c r="BH840" s="1027"/>
      <c r="BI840" s="1875"/>
      <c r="BJ840" s="1755"/>
      <c r="BK840" s="1017"/>
      <c r="BL840" s="1017"/>
      <c r="BM840" s="1027"/>
      <c r="BN840" s="1027"/>
      <c r="BO840" s="1035"/>
      <c r="BP840" s="1755"/>
      <c r="BQ840" s="1017"/>
    </row>
    <row r="841" spans="1:69" ht="14.4">
      <c r="A841" s="1017"/>
      <c r="H841" s="1017"/>
      <c r="I841" s="1017"/>
      <c r="L841" s="1035"/>
      <c r="M841" s="1019"/>
      <c r="N841" s="1032"/>
      <c r="O841" s="1017"/>
      <c r="P841" s="1017"/>
      <c r="Q841" s="1027"/>
      <c r="R841" s="1027"/>
      <c r="S841" s="1035"/>
      <c r="T841" s="1034"/>
      <c r="U841" s="1033"/>
      <c r="V841" s="1032"/>
      <c r="W841" s="1017"/>
      <c r="Y841" s="1017"/>
      <c r="AA841" s="1096"/>
      <c r="AB841" s="1086">
        <v>9</v>
      </c>
      <c r="AC841" s="1085">
        <v>10</v>
      </c>
      <c r="AD841" s="1721"/>
      <c r="AE841" s="1054">
        <f t="shared" si="338"/>
        <v>0</v>
      </c>
      <c r="AF841" s="1721"/>
      <c r="AG841" s="1052">
        <f t="shared" si="339"/>
        <v>0.92</v>
      </c>
      <c r="AH841" s="1049"/>
      <c r="AI841" s="1051"/>
      <c r="AJ841" s="1049"/>
      <c r="AK841" s="1050">
        <f t="shared" si="340"/>
        <v>0</v>
      </c>
      <c r="AL841" s="1017"/>
      <c r="AM841" s="1017"/>
      <c r="AN841" s="1027"/>
      <c r="AO841" s="1027"/>
      <c r="AP841" s="1035"/>
      <c r="AR841" s="1753"/>
      <c r="AS841" s="1032"/>
      <c r="AT841" s="1017"/>
      <c r="AV841" s="1017"/>
      <c r="AW841" s="1017"/>
      <c r="AX841" s="1027"/>
      <c r="AY841" s="1027"/>
      <c r="AZ841" s="1035"/>
      <c r="BA841" s="1755"/>
      <c r="BB841" s="1032"/>
      <c r="BC841" s="1017"/>
      <c r="BE841" s="1017"/>
      <c r="BF841" s="1017"/>
      <c r="BG841" s="1027"/>
      <c r="BH841" s="1027"/>
      <c r="BI841" s="1875"/>
      <c r="BJ841" s="1755"/>
      <c r="BK841" s="1017"/>
      <c r="BL841" s="1017"/>
      <c r="BM841" s="1027"/>
      <c r="BN841" s="1027"/>
      <c r="BO841" s="1035"/>
      <c r="BP841" s="1755"/>
      <c r="BQ841" s="1017"/>
    </row>
    <row r="842" spans="1:69" ht="14.4">
      <c r="A842" s="1017"/>
      <c r="H842" s="1017"/>
      <c r="I842" s="1017"/>
      <c r="L842" s="1035"/>
      <c r="M842" s="1019"/>
      <c r="N842" s="1032"/>
      <c r="O842" s="1017"/>
      <c r="P842" s="1017"/>
      <c r="Q842" s="1027"/>
      <c r="R842" s="1027"/>
      <c r="S842" s="1035"/>
      <c r="T842" s="1034"/>
      <c r="U842" s="1033"/>
      <c r="V842" s="1032"/>
      <c r="W842" s="1017"/>
      <c r="Y842" s="1017"/>
      <c r="AA842" s="1095">
        <f>SUM(AK832:AK855)</f>
        <v>0</v>
      </c>
      <c r="AB842" s="1086">
        <v>10</v>
      </c>
      <c r="AC842" s="1085">
        <v>11</v>
      </c>
      <c r="AD842" s="1721"/>
      <c r="AE842" s="1054">
        <f t="shared" si="338"/>
        <v>0</v>
      </c>
      <c r="AF842" s="1721"/>
      <c r="AG842" s="1052">
        <f t="shared" si="339"/>
        <v>0.92</v>
      </c>
      <c r="AH842" s="1049"/>
      <c r="AI842" s="1051"/>
      <c r="AJ842" s="1049"/>
      <c r="AK842" s="1050">
        <f t="shared" si="340"/>
        <v>0</v>
      </c>
      <c r="AL842" s="1017"/>
      <c r="AM842" s="1017"/>
      <c r="AN842" s="1027"/>
      <c r="AO842" s="1027"/>
      <c r="AP842" s="1035"/>
      <c r="AR842" s="1753"/>
      <c r="AS842" s="1032"/>
      <c r="AT842" s="1017"/>
      <c r="AV842" s="1017"/>
      <c r="AW842" s="1017"/>
      <c r="AX842" s="1027"/>
      <c r="AY842" s="1027"/>
      <c r="AZ842" s="1035"/>
      <c r="BA842" s="1755"/>
      <c r="BB842" s="1032"/>
      <c r="BC842" s="1017"/>
      <c r="BE842" s="1017"/>
      <c r="BF842" s="1017"/>
      <c r="BG842" s="1027"/>
      <c r="BH842" s="1027"/>
      <c r="BI842" s="1875"/>
      <c r="BJ842" s="1755"/>
      <c r="BK842" s="1017"/>
      <c r="BL842" s="1017"/>
      <c r="BM842" s="1027"/>
      <c r="BN842" s="1027"/>
      <c r="BO842" s="1035"/>
      <c r="BP842" s="1755"/>
      <c r="BQ842" s="1017"/>
    </row>
    <row r="843" spans="1:69" ht="14.4">
      <c r="A843" s="1017"/>
      <c r="H843" s="1017"/>
      <c r="I843" s="1017"/>
      <c r="L843" s="1035"/>
      <c r="M843" s="1019"/>
      <c r="N843" s="1032"/>
      <c r="O843" s="1017"/>
      <c r="P843" s="1017"/>
      <c r="Q843" s="1027"/>
      <c r="R843" s="1027"/>
      <c r="S843" s="1035"/>
      <c r="T843" s="1034"/>
      <c r="U843" s="1033"/>
      <c r="V843" s="1032"/>
      <c r="W843" s="1017"/>
      <c r="Y843" s="1017"/>
      <c r="AA843" s="1093">
        <f>IF(AA842&gt;0,AA842/AA834,0)</f>
        <v>0</v>
      </c>
      <c r="AB843" s="1086">
        <v>11</v>
      </c>
      <c r="AC843" s="1085">
        <v>12</v>
      </c>
      <c r="AD843" s="1721"/>
      <c r="AE843" s="1054">
        <f t="shared" si="338"/>
        <v>0</v>
      </c>
      <c r="AF843" s="1721"/>
      <c r="AG843" s="1052">
        <f t="shared" si="339"/>
        <v>0.92</v>
      </c>
      <c r="AH843" s="1049"/>
      <c r="AI843" s="1051"/>
      <c r="AJ843" s="1049"/>
      <c r="AK843" s="1050">
        <f t="shared" si="340"/>
        <v>0</v>
      </c>
      <c r="AL843" s="1017"/>
      <c r="AM843" s="1017"/>
      <c r="AN843" s="1027"/>
      <c r="AO843" s="1027"/>
      <c r="AP843" s="1035"/>
      <c r="AR843" s="1753"/>
      <c r="AS843" s="1032"/>
      <c r="AT843" s="1017"/>
      <c r="AV843" s="1017"/>
      <c r="AW843" s="1017"/>
      <c r="AX843" s="1027"/>
      <c r="AY843" s="1027"/>
      <c r="AZ843" s="1035"/>
      <c r="BA843" s="1755"/>
      <c r="BB843" s="1032"/>
      <c r="BC843" s="1017"/>
      <c r="BE843" s="1017"/>
      <c r="BF843" s="1017"/>
      <c r="BG843" s="1027"/>
      <c r="BH843" s="1027"/>
      <c r="BI843" s="1875"/>
      <c r="BJ843" s="1755"/>
      <c r="BK843" s="1017"/>
      <c r="BL843" s="1017"/>
      <c r="BM843" s="1027"/>
      <c r="BN843" s="1027"/>
      <c r="BO843" s="1035"/>
      <c r="BP843" s="1755"/>
      <c r="BQ843" s="1017"/>
    </row>
    <row r="844" spans="1:69" ht="14.4">
      <c r="A844" s="1017"/>
      <c r="H844" s="1017"/>
      <c r="I844" s="1017"/>
      <c r="L844" s="1035"/>
      <c r="M844" s="1019"/>
      <c r="N844" s="1032"/>
      <c r="O844" s="1017"/>
      <c r="P844" s="1017"/>
      <c r="Q844" s="1027"/>
      <c r="R844" s="1027"/>
      <c r="S844" s="1035"/>
      <c r="T844" s="1034"/>
      <c r="U844" s="1033"/>
      <c r="V844" s="1032"/>
      <c r="W844" s="1017"/>
      <c r="Y844" s="1017"/>
      <c r="AA844" s="1060"/>
      <c r="AB844" s="1086">
        <v>12</v>
      </c>
      <c r="AC844" s="1085">
        <v>13</v>
      </c>
      <c r="AD844" s="1721"/>
      <c r="AE844" s="1054">
        <f t="shared" si="338"/>
        <v>0</v>
      </c>
      <c r="AF844" s="1721"/>
      <c r="AG844" s="1052">
        <f t="shared" si="339"/>
        <v>0.92</v>
      </c>
      <c r="AH844" s="1049"/>
      <c r="AI844" s="1051"/>
      <c r="AJ844" s="1049"/>
      <c r="AK844" s="1050">
        <f t="shared" si="340"/>
        <v>0</v>
      </c>
      <c r="AL844" s="1017"/>
      <c r="AM844" s="1017"/>
      <c r="AN844" s="1027"/>
      <c r="AO844" s="1027"/>
      <c r="AP844" s="1035"/>
      <c r="AR844" s="1753"/>
      <c r="AS844" s="1032"/>
      <c r="AT844" s="1017"/>
      <c r="AV844" s="1017"/>
      <c r="AW844" s="1017"/>
      <c r="AX844" s="1027"/>
      <c r="AY844" s="1027"/>
      <c r="AZ844" s="1035"/>
      <c r="BA844" s="1755"/>
      <c r="BB844" s="1032"/>
      <c r="BC844" s="1017"/>
      <c r="BE844" s="1017"/>
      <c r="BF844" s="1017"/>
      <c r="BG844" s="1027"/>
      <c r="BH844" s="1027"/>
      <c r="BI844" s="1875"/>
      <c r="BJ844" s="1755"/>
      <c r="BK844" s="1017"/>
      <c r="BL844" s="1017"/>
      <c r="BM844" s="1027"/>
      <c r="BN844" s="1027"/>
      <c r="BO844" s="1035"/>
      <c r="BP844" s="1755"/>
      <c r="BQ844" s="1017"/>
    </row>
    <row r="845" spans="1:69" ht="14.4">
      <c r="A845" s="1017"/>
      <c r="H845" s="1017"/>
      <c r="I845" s="1017"/>
      <c r="L845" s="1035"/>
      <c r="M845" s="1019"/>
      <c r="N845" s="1032"/>
      <c r="O845" s="1017"/>
      <c r="P845" s="1017"/>
      <c r="Q845" s="1027"/>
      <c r="R845" s="1027"/>
      <c r="S845" s="1035"/>
      <c r="T845" s="1034"/>
      <c r="U845" s="1033"/>
      <c r="V845" s="1032"/>
      <c r="W845" s="1017"/>
      <c r="Y845" s="1017"/>
      <c r="AA845" s="1092" t="s">
        <v>1127</v>
      </c>
      <c r="AB845" s="1086">
        <v>13</v>
      </c>
      <c r="AC845" s="1085">
        <v>14</v>
      </c>
      <c r="AD845" s="1721"/>
      <c r="AE845" s="1054">
        <f t="shared" si="338"/>
        <v>0</v>
      </c>
      <c r="AF845" s="1721"/>
      <c r="AG845" s="1052">
        <f t="shared" si="339"/>
        <v>0.92</v>
      </c>
      <c r="AH845" s="1049"/>
      <c r="AI845" s="1051"/>
      <c r="AJ845" s="1049"/>
      <c r="AK845" s="1050">
        <f t="shared" si="340"/>
        <v>0</v>
      </c>
      <c r="AL845" s="1017"/>
      <c r="AM845" s="1017"/>
      <c r="AN845" s="1027"/>
      <c r="AO845" s="1027"/>
      <c r="AP845" s="1035"/>
      <c r="AR845" s="1753"/>
      <c r="AS845" s="1032"/>
      <c r="AT845" s="1017"/>
      <c r="AV845" s="1017"/>
      <c r="AW845" s="1017"/>
      <c r="AX845" s="1027"/>
      <c r="AY845" s="1027"/>
      <c r="AZ845" s="1035"/>
      <c r="BA845" s="1755"/>
      <c r="BB845" s="1032"/>
      <c r="BC845" s="1017"/>
      <c r="BE845" s="1017"/>
      <c r="BF845" s="1017"/>
      <c r="BG845" s="1027"/>
      <c r="BH845" s="1027"/>
      <c r="BI845" s="1875"/>
      <c r="BJ845" s="1755"/>
      <c r="BK845" s="1017"/>
      <c r="BL845" s="1017"/>
      <c r="BM845" s="1027"/>
      <c r="BN845" s="1027"/>
      <c r="BO845" s="1035"/>
      <c r="BP845" s="1755"/>
      <c r="BQ845" s="1017"/>
    </row>
    <row r="846" spans="1:69" ht="14.4">
      <c r="A846" s="1017"/>
      <c r="H846" s="1017"/>
      <c r="I846" s="1017"/>
      <c r="L846" s="1035"/>
      <c r="M846" s="1019"/>
      <c r="N846" s="1032"/>
      <c r="O846" s="1017"/>
      <c r="P846" s="1017"/>
      <c r="Q846" s="1027"/>
      <c r="R846" s="1027"/>
      <c r="S846" s="1035"/>
      <c r="T846" s="1034"/>
      <c r="U846" s="1033"/>
      <c r="V846" s="1032"/>
      <c r="W846" s="1017"/>
      <c r="Y846" s="1017"/>
      <c r="AA846" s="1058">
        <f>AA834*0.8</f>
        <v>0</v>
      </c>
      <c r="AB846" s="1086">
        <v>14</v>
      </c>
      <c r="AC846" s="1085">
        <v>15</v>
      </c>
      <c r="AD846" s="1721"/>
      <c r="AE846" s="1054">
        <f t="shared" si="338"/>
        <v>0</v>
      </c>
      <c r="AF846" s="1721"/>
      <c r="AG846" s="1052">
        <f t="shared" si="339"/>
        <v>0.92</v>
      </c>
      <c r="AH846" s="1049"/>
      <c r="AI846" s="1051"/>
      <c r="AJ846" s="1049"/>
      <c r="AK846" s="1050">
        <f t="shared" si="340"/>
        <v>0</v>
      </c>
      <c r="AL846" s="1017"/>
      <c r="AM846" s="1017"/>
      <c r="AN846" s="1027"/>
      <c r="AO846" s="1027"/>
      <c r="AP846" s="1035"/>
      <c r="AR846" s="1753"/>
      <c r="AS846" s="1032"/>
      <c r="AT846" s="1017"/>
      <c r="AV846" s="1017"/>
      <c r="AW846" s="1017"/>
      <c r="AX846" s="1027"/>
      <c r="AY846" s="1027"/>
      <c r="AZ846" s="1035"/>
      <c r="BA846" s="1755"/>
      <c r="BB846" s="1032"/>
      <c r="BC846" s="1017"/>
      <c r="BE846" s="1017"/>
      <c r="BF846" s="1017"/>
      <c r="BG846" s="1027"/>
      <c r="BH846" s="1027"/>
      <c r="BI846" s="1875"/>
      <c r="BJ846" s="1755"/>
      <c r="BK846" s="1017"/>
      <c r="BL846" s="1017"/>
      <c r="BM846" s="1027"/>
      <c r="BN846" s="1027"/>
      <c r="BO846" s="1035"/>
      <c r="BP846" s="1755"/>
      <c r="BQ846" s="1017"/>
    </row>
    <row r="847" spans="1:69" ht="14.4">
      <c r="A847" s="1017"/>
      <c r="H847" s="1017"/>
      <c r="I847" s="1017"/>
      <c r="L847" s="1035"/>
      <c r="M847" s="1019"/>
      <c r="N847" s="1032"/>
      <c r="O847" s="1017"/>
      <c r="P847" s="1017"/>
      <c r="Q847" s="1027"/>
      <c r="R847" s="1027"/>
      <c r="S847" s="1035"/>
      <c r="T847" s="1034"/>
      <c r="U847" s="1033"/>
      <c r="V847" s="1032"/>
      <c r="W847" s="1017"/>
      <c r="Y847" s="1017"/>
      <c r="AA847" s="1058" t="s">
        <v>1126</v>
      </c>
      <c r="AB847" s="1086">
        <v>15</v>
      </c>
      <c r="AC847" s="1085">
        <v>16</v>
      </c>
      <c r="AD847" s="1721"/>
      <c r="AE847" s="1054">
        <f t="shared" si="338"/>
        <v>0</v>
      </c>
      <c r="AF847" s="1721"/>
      <c r="AG847" s="1052">
        <f t="shared" si="339"/>
        <v>0.92</v>
      </c>
      <c r="AH847" s="1049"/>
      <c r="AI847" s="1051"/>
      <c r="AJ847" s="1049"/>
      <c r="AK847" s="1050">
        <f t="shared" si="340"/>
        <v>0</v>
      </c>
      <c r="AL847" s="1017"/>
      <c r="AM847" s="1017"/>
      <c r="AN847" s="1027"/>
      <c r="AO847" s="1027"/>
      <c r="AP847" s="1035"/>
      <c r="AR847" s="1753"/>
      <c r="AS847" s="1032"/>
      <c r="AT847" s="1017"/>
      <c r="AV847" s="1017"/>
      <c r="AW847" s="1017"/>
      <c r="AX847" s="1027"/>
      <c r="AY847" s="1027"/>
      <c r="AZ847" s="1035"/>
      <c r="BA847" s="1755"/>
      <c r="BB847" s="1032"/>
      <c r="BC847" s="1017"/>
      <c r="BE847" s="1017"/>
      <c r="BF847" s="1017"/>
      <c r="BG847" s="1027"/>
      <c r="BH847" s="1027"/>
      <c r="BI847" s="1875"/>
      <c r="BJ847" s="1755"/>
      <c r="BK847" s="1017"/>
      <c r="BL847" s="1017"/>
      <c r="BM847" s="1027"/>
      <c r="BN847" s="1027"/>
      <c r="BO847" s="1035"/>
      <c r="BP847" s="1755"/>
      <c r="BQ847" s="1017"/>
    </row>
    <row r="848" spans="1:69" ht="15" thickBot="1">
      <c r="A848" s="1017"/>
      <c r="H848" s="1017"/>
      <c r="I848" s="1017"/>
      <c r="L848" s="1035"/>
      <c r="M848" s="1019"/>
      <c r="N848" s="1032"/>
      <c r="O848" s="1017"/>
      <c r="P848" s="1017"/>
      <c r="Q848" s="1027"/>
      <c r="R848" s="1027"/>
      <c r="S848" s="1035"/>
      <c r="T848" s="1034"/>
      <c r="U848" s="1033"/>
      <c r="V848" s="1032"/>
      <c r="W848" s="1017"/>
      <c r="Y848" s="1017"/>
      <c r="AA848" s="1078" t="e">
        <f>AA834*(AI831-0.8)</f>
        <v>#DIV/0!</v>
      </c>
      <c r="AB848" s="1077">
        <v>16</v>
      </c>
      <c r="AC848" s="1076">
        <v>17</v>
      </c>
      <c r="AD848" s="1721"/>
      <c r="AE848" s="1054">
        <f t="shared" si="338"/>
        <v>0</v>
      </c>
      <c r="AF848" s="1721"/>
      <c r="AG848" s="1052">
        <f t="shared" si="339"/>
        <v>0.92</v>
      </c>
      <c r="AH848" s="1049"/>
      <c r="AI848" s="1074"/>
      <c r="AJ848" s="1049"/>
      <c r="AK848" s="1050">
        <f t="shared" si="340"/>
        <v>0</v>
      </c>
      <c r="AL848" s="1017"/>
      <c r="AM848" s="1017"/>
      <c r="AN848" s="1027"/>
      <c r="AO848" s="1027"/>
      <c r="AP848" s="1035"/>
      <c r="AR848" s="1753"/>
      <c r="AS848" s="1032"/>
      <c r="AT848" s="1017"/>
      <c r="AV848" s="1017"/>
      <c r="AW848" s="1017"/>
      <c r="AX848" s="1027"/>
      <c r="AY848" s="1027"/>
      <c r="AZ848" s="1035"/>
      <c r="BA848" s="1755"/>
      <c r="BB848" s="1032"/>
      <c r="BC848" s="1017"/>
      <c r="BE848" s="1017"/>
      <c r="BF848" s="1017"/>
      <c r="BG848" s="1027"/>
      <c r="BH848" s="1027"/>
      <c r="BI848" s="1875"/>
      <c r="BJ848" s="1755"/>
      <c r="BK848" s="1017"/>
      <c r="BL848" s="1017"/>
      <c r="BM848" s="1027"/>
      <c r="BN848" s="1027"/>
      <c r="BO848" s="1035"/>
      <c r="BP848" s="1755"/>
      <c r="BQ848" s="1017"/>
    </row>
    <row r="849" spans="1:69" ht="14.4">
      <c r="A849" s="1017"/>
      <c r="H849" s="1017"/>
      <c r="I849" s="1017"/>
      <c r="L849" s="1035"/>
      <c r="M849" s="1019"/>
      <c r="N849" s="1032"/>
      <c r="O849" s="1017"/>
      <c r="P849" s="1017"/>
      <c r="Q849" s="1027"/>
      <c r="R849" s="1027"/>
      <c r="S849" s="1035"/>
      <c r="T849" s="1034"/>
      <c r="U849" s="1033"/>
      <c r="V849" s="1032"/>
      <c r="W849" s="1017"/>
      <c r="Y849" s="1017"/>
      <c r="AA849" s="1058"/>
      <c r="AB849" s="1068">
        <v>17</v>
      </c>
      <c r="AC849" s="1067">
        <v>18</v>
      </c>
      <c r="AD849" s="1721"/>
      <c r="AE849" s="1054">
        <f t="shared" si="338"/>
        <v>0</v>
      </c>
      <c r="AF849" s="1721"/>
      <c r="AG849" s="1052">
        <f t="shared" si="339"/>
        <v>0.92</v>
      </c>
      <c r="AH849" s="1049"/>
      <c r="AI849" s="1065"/>
      <c r="AJ849" s="1049"/>
      <c r="AK849" s="1050">
        <f t="shared" si="340"/>
        <v>0</v>
      </c>
      <c r="AL849" s="1017"/>
      <c r="AM849" s="1017"/>
      <c r="AN849" s="1027"/>
      <c r="AO849" s="1027"/>
      <c r="AP849" s="1035"/>
      <c r="AR849" s="1753"/>
      <c r="AS849" s="1032"/>
      <c r="AT849" s="1017"/>
      <c r="AV849" s="1017"/>
      <c r="AW849" s="1017"/>
      <c r="AX849" s="1027"/>
      <c r="AY849" s="1027"/>
      <c r="AZ849" s="1035"/>
      <c r="BA849" s="1755"/>
      <c r="BB849" s="1032"/>
      <c r="BC849" s="1017"/>
      <c r="BE849" s="1017"/>
      <c r="BF849" s="1017"/>
      <c r="BG849" s="1027"/>
      <c r="BH849" s="1027"/>
      <c r="BI849" s="1875"/>
      <c r="BJ849" s="1755"/>
      <c r="BK849" s="1017"/>
      <c r="BL849" s="1017"/>
      <c r="BM849" s="1027"/>
      <c r="BN849" s="1027"/>
      <c r="BO849" s="1035"/>
      <c r="BP849" s="1755"/>
      <c r="BQ849" s="1017"/>
    </row>
    <row r="850" spans="1:69" ht="14.4">
      <c r="A850" s="1017"/>
      <c r="H850" s="1017"/>
      <c r="I850" s="1017"/>
      <c r="L850" s="1035"/>
      <c r="M850" s="1019"/>
      <c r="N850" s="1032"/>
      <c r="O850" s="1017"/>
      <c r="P850" s="1017"/>
      <c r="Q850" s="1027"/>
      <c r="R850" s="1027"/>
      <c r="S850" s="1035"/>
      <c r="T850" s="1034"/>
      <c r="U850" s="1033"/>
      <c r="V850" s="1032"/>
      <c r="W850" s="1017"/>
      <c r="Y850" s="1017"/>
      <c r="AA850" s="1058"/>
      <c r="AB850" s="1057">
        <v>18</v>
      </c>
      <c r="AC850" s="1056">
        <v>19</v>
      </c>
      <c r="AD850" s="1721"/>
      <c r="AE850" s="1054">
        <f t="shared" si="338"/>
        <v>0</v>
      </c>
      <c r="AF850" s="1721"/>
      <c r="AG850" s="1052">
        <f t="shared" si="339"/>
        <v>0.92</v>
      </c>
      <c r="AH850" s="1049"/>
      <c r="AI850" s="1051"/>
      <c r="AJ850" s="1049"/>
      <c r="AK850" s="1050">
        <f t="shared" si="340"/>
        <v>0</v>
      </c>
      <c r="AL850" s="1017"/>
      <c r="AM850" s="1017"/>
      <c r="AN850" s="1027"/>
      <c r="AO850" s="1027"/>
      <c r="AP850" s="1035"/>
      <c r="AR850" s="1753"/>
      <c r="AS850" s="1032"/>
      <c r="AT850" s="1017"/>
      <c r="AV850" s="1017"/>
      <c r="AW850" s="1017"/>
      <c r="AX850" s="1027"/>
      <c r="AY850" s="1027"/>
      <c r="AZ850" s="1035"/>
      <c r="BA850" s="1755"/>
      <c r="BB850" s="1032"/>
      <c r="BC850" s="1017"/>
      <c r="BE850" s="1017"/>
      <c r="BF850" s="1017"/>
      <c r="BG850" s="1027"/>
      <c r="BH850" s="1027"/>
      <c r="BI850" s="1875"/>
      <c r="BJ850" s="1755"/>
      <c r="BK850" s="1017"/>
      <c r="BL850" s="1017"/>
      <c r="BM850" s="1027"/>
      <c r="BN850" s="1027"/>
      <c r="BO850" s="1035"/>
      <c r="BP850" s="1755"/>
      <c r="BQ850" s="1017"/>
    </row>
    <row r="851" spans="1:69" ht="14.4">
      <c r="A851" s="1017"/>
      <c r="H851" s="1017"/>
      <c r="I851" s="1017"/>
      <c r="L851" s="1035"/>
      <c r="M851" s="1019"/>
      <c r="N851" s="1032"/>
      <c r="O851" s="1017"/>
      <c r="P851" s="1017"/>
      <c r="Q851" s="1027"/>
      <c r="R851" s="1027"/>
      <c r="S851" s="1035"/>
      <c r="T851" s="1034"/>
      <c r="U851" s="1033"/>
      <c r="V851" s="1032"/>
      <c r="W851" s="1017"/>
      <c r="Y851" s="1017"/>
      <c r="AA851" s="1058"/>
      <c r="AB851" s="1057">
        <v>19</v>
      </c>
      <c r="AC851" s="1056">
        <v>20</v>
      </c>
      <c r="AD851" s="1721"/>
      <c r="AE851" s="1054">
        <f t="shared" si="338"/>
        <v>0</v>
      </c>
      <c r="AF851" s="1721"/>
      <c r="AG851" s="1052">
        <f t="shared" si="339"/>
        <v>0.92</v>
      </c>
      <c r="AH851" s="1049"/>
      <c r="AI851" s="1051"/>
      <c r="AJ851" s="1049"/>
      <c r="AK851" s="1050">
        <f t="shared" si="340"/>
        <v>0</v>
      </c>
      <c r="AL851" s="1017"/>
      <c r="AM851" s="1017"/>
      <c r="AN851" s="1027"/>
      <c r="AO851" s="1027"/>
      <c r="AP851" s="1035"/>
      <c r="AR851" s="1753"/>
      <c r="AS851" s="1032"/>
      <c r="AT851" s="1017"/>
      <c r="AV851" s="1017"/>
      <c r="AW851" s="1017"/>
      <c r="AX851" s="1027"/>
      <c r="AY851" s="1027"/>
      <c r="AZ851" s="1035"/>
      <c r="BA851" s="1755"/>
      <c r="BB851" s="1032"/>
      <c r="BC851" s="1017"/>
      <c r="BE851" s="1017"/>
      <c r="BF851" s="1017"/>
      <c r="BG851" s="1027"/>
      <c r="BH851" s="1027"/>
      <c r="BI851" s="1875"/>
      <c r="BJ851" s="1755"/>
      <c r="BK851" s="1017"/>
      <c r="BL851" s="1017"/>
      <c r="BM851" s="1027"/>
      <c r="BN851" s="1027"/>
      <c r="BO851" s="1035"/>
      <c r="BP851" s="1755"/>
      <c r="BQ851" s="1017"/>
    </row>
    <row r="852" spans="1:69" ht="14.4">
      <c r="A852" s="1017"/>
      <c r="H852" s="1017"/>
      <c r="I852" s="1017"/>
      <c r="L852" s="1035"/>
      <c r="M852" s="1019"/>
      <c r="N852" s="1032"/>
      <c r="O852" s="1017"/>
      <c r="P852" s="1017"/>
      <c r="Q852" s="1027"/>
      <c r="R852" s="1027"/>
      <c r="S852" s="1035"/>
      <c r="T852" s="1034"/>
      <c r="U852" s="1033"/>
      <c r="V852" s="1032"/>
      <c r="W852" s="1017"/>
      <c r="Y852" s="1017"/>
      <c r="AA852" s="1058"/>
      <c r="AB852" s="1057">
        <v>20</v>
      </c>
      <c r="AC852" s="1056">
        <v>21</v>
      </c>
      <c r="AD852" s="1721"/>
      <c r="AE852" s="1054">
        <f t="shared" si="338"/>
        <v>0</v>
      </c>
      <c r="AF852" s="1721"/>
      <c r="AG852" s="1052">
        <f t="shared" si="339"/>
        <v>0.92</v>
      </c>
      <c r="AH852" s="1049"/>
      <c r="AI852" s="1051"/>
      <c r="AJ852" s="1049"/>
      <c r="AK852" s="1050">
        <f t="shared" si="340"/>
        <v>0</v>
      </c>
      <c r="AL852" s="1017"/>
      <c r="AM852" s="1017"/>
      <c r="AN852" s="1027"/>
      <c r="AO852" s="1027"/>
      <c r="AP852" s="1035"/>
      <c r="AR852" s="1753"/>
      <c r="AS852" s="1032"/>
      <c r="AT852" s="1017"/>
      <c r="AV852" s="1017"/>
      <c r="AW852" s="1017"/>
      <c r="AX852" s="1027"/>
      <c r="AY852" s="1027"/>
      <c r="AZ852" s="1035"/>
      <c r="BA852" s="1755"/>
      <c r="BB852" s="1032"/>
      <c r="BC852" s="1017"/>
      <c r="BE852" s="1017"/>
      <c r="BF852" s="1017"/>
      <c r="BG852" s="1027"/>
      <c r="BH852" s="1027"/>
      <c r="BI852" s="1875"/>
      <c r="BJ852" s="1755"/>
      <c r="BK852" s="1017"/>
      <c r="BL852" s="1017"/>
      <c r="BM852" s="1027"/>
      <c r="BN852" s="1027"/>
      <c r="BO852" s="1035"/>
      <c r="BP852" s="1755"/>
      <c r="BQ852" s="1017"/>
    </row>
    <row r="853" spans="1:69" ht="14.4">
      <c r="A853" s="1017"/>
      <c r="H853" s="1017"/>
      <c r="I853" s="1017"/>
      <c r="L853" s="1035"/>
      <c r="M853" s="1019"/>
      <c r="N853" s="1032"/>
      <c r="O853" s="1017"/>
      <c r="P853" s="1017"/>
      <c r="Q853" s="1027"/>
      <c r="R853" s="1027"/>
      <c r="S853" s="1035"/>
      <c r="T853" s="1034"/>
      <c r="U853" s="1033"/>
      <c r="V853" s="1032"/>
      <c r="W853" s="1017"/>
      <c r="Y853" s="1017"/>
      <c r="AA853" s="1058"/>
      <c r="AB853" s="1057">
        <v>21</v>
      </c>
      <c r="AC853" s="1056">
        <v>22</v>
      </c>
      <c r="AD853" s="1721"/>
      <c r="AE853" s="1054">
        <f t="shared" si="338"/>
        <v>0</v>
      </c>
      <c r="AF853" s="1721"/>
      <c r="AG853" s="1052">
        <f t="shared" si="339"/>
        <v>0.92</v>
      </c>
      <c r="AH853" s="1049"/>
      <c r="AI853" s="1051"/>
      <c r="AJ853" s="1049"/>
      <c r="AK853" s="1050">
        <f t="shared" si="340"/>
        <v>0</v>
      </c>
      <c r="AL853" s="1017"/>
      <c r="AM853" s="1017"/>
      <c r="AN853" s="1027"/>
      <c r="AO853" s="1027"/>
      <c r="AP853" s="1035"/>
      <c r="AR853" s="1753"/>
      <c r="AS853" s="1032"/>
      <c r="AT853" s="1017"/>
      <c r="AV853" s="1017"/>
      <c r="AW853" s="1017"/>
      <c r="AX853" s="1027"/>
      <c r="AY853" s="1027"/>
      <c r="AZ853" s="1035"/>
      <c r="BA853" s="1755"/>
      <c r="BB853" s="1032"/>
      <c r="BC853" s="1017"/>
      <c r="BE853" s="1017"/>
      <c r="BF853" s="1017"/>
      <c r="BG853" s="1027"/>
      <c r="BH853" s="1027"/>
      <c r="BI853" s="1875"/>
      <c r="BJ853" s="1755"/>
      <c r="BK853" s="1017"/>
      <c r="BL853" s="1017"/>
      <c r="BM853" s="1027"/>
      <c r="BN853" s="1027"/>
      <c r="BO853" s="1035"/>
      <c r="BP853" s="1755"/>
      <c r="BQ853" s="1017"/>
    </row>
    <row r="854" spans="1:69" ht="14.4">
      <c r="A854" s="1017"/>
      <c r="H854" s="1017"/>
      <c r="I854" s="1017"/>
      <c r="L854" s="1035"/>
      <c r="M854" s="1019"/>
      <c r="N854" s="1032"/>
      <c r="O854" s="1017"/>
      <c r="P854" s="1017"/>
      <c r="Q854" s="1027"/>
      <c r="R854" s="1027"/>
      <c r="S854" s="1035"/>
      <c r="T854" s="1034"/>
      <c r="U854" s="1033"/>
      <c r="V854" s="1032"/>
      <c r="W854" s="1017"/>
      <c r="Y854" s="1017"/>
      <c r="AA854" s="1058"/>
      <c r="AB854" s="1057">
        <v>22</v>
      </c>
      <c r="AC854" s="1056">
        <v>23</v>
      </c>
      <c r="AD854" s="1721"/>
      <c r="AE854" s="1054">
        <f t="shared" si="338"/>
        <v>0</v>
      </c>
      <c r="AF854" s="1721"/>
      <c r="AG854" s="1052">
        <f t="shared" si="339"/>
        <v>0.92</v>
      </c>
      <c r="AH854" s="1049"/>
      <c r="AI854" s="1051"/>
      <c r="AJ854" s="1049"/>
      <c r="AK854" s="1050">
        <f t="shared" si="340"/>
        <v>0</v>
      </c>
      <c r="AL854" s="1017"/>
      <c r="AM854" s="1017"/>
      <c r="AN854" s="1027"/>
      <c r="AO854" s="1027"/>
      <c r="AP854" s="1035"/>
      <c r="AR854" s="1753"/>
      <c r="AS854" s="1032"/>
      <c r="AT854" s="1017"/>
      <c r="AV854" s="1017"/>
      <c r="AW854" s="1017"/>
      <c r="AX854" s="1027"/>
      <c r="AY854" s="1027"/>
      <c r="AZ854" s="1035"/>
      <c r="BA854" s="1755"/>
      <c r="BB854" s="1032"/>
      <c r="BC854" s="1017"/>
      <c r="BE854" s="1017"/>
      <c r="BF854" s="1017"/>
      <c r="BG854" s="1027"/>
      <c r="BH854" s="1027"/>
      <c r="BI854" s="1875"/>
      <c r="BJ854" s="1755"/>
      <c r="BK854" s="1017"/>
      <c r="BL854" s="1017"/>
      <c r="BM854" s="1027"/>
      <c r="BN854" s="1027"/>
      <c r="BO854" s="1035"/>
      <c r="BP854" s="1755"/>
      <c r="BQ854" s="1017"/>
    </row>
    <row r="855" spans="1:69" ht="14.4">
      <c r="A855" s="1017"/>
      <c r="H855" s="1017"/>
      <c r="I855" s="1017"/>
      <c r="L855" s="1035"/>
      <c r="M855" s="1019"/>
      <c r="N855" s="1032"/>
      <c r="O855" s="1017"/>
      <c r="P855" s="1017"/>
      <c r="Q855" s="1027"/>
      <c r="R855" s="1027"/>
      <c r="S855" s="1035"/>
      <c r="T855" s="1034"/>
      <c r="U855" s="1033"/>
      <c r="V855" s="1032"/>
      <c r="W855" s="1017"/>
      <c r="Y855" s="1017"/>
      <c r="AA855" s="1058"/>
      <c r="AB855" s="1057">
        <v>23</v>
      </c>
      <c r="AC855" s="1056">
        <v>24</v>
      </c>
      <c r="AD855" s="1721"/>
      <c r="AE855" s="1054">
        <f t="shared" si="338"/>
        <v>0</v>
      </c>
      <c r="AF855" s="1721"/>
      <c r="AG855" s="1052">
        <f t="shared" si="339"/>
        <v>0.92</v>
      </c>
      <c r="AH855" s="1049"/>
      <c r="AI855" s="1051"/>
      <c r="AJ855" s="1049"/>
      <c r="AK855" s="1050">
        <f t="shared" si="340"/>
        <v>0</v>
      </c>
      <c r="AL855" s="1017"/>
      <c r="AM855" s="1017"/>
      <c r="AN855" s="1027"/>
      <c r="AO855" s="1027"/>
      <c r="AP855" s="1035"/>
      <c r="AR855" s="1753"/>
      <c r="AS855" s="1032"/>
      <c r="AT855" s="1017"/>
      <c r="AV855" s="1017"/>
      <c r="AW855" s="1017"/>
      <c r="AX855" s="1027"/>
      <c r="AY855" s="1027"/>
      <c r="AZ855" s="1035"/>
      <c r="BA855" s="1755"/>
      <c r="BB855" s="1032"/>
      <c r="BC855" s="1017"/>
      <c r="BE855" s="1017"/>
      <c r="BF855" s="1017"/>
      <c r="BG855" s="1027"/>
      <c r="BH855" s="1027"/>
      <c r="BI855" s="1875"/>
      <c r="BJ855" s="1755"/>
      <c r="BK855" s="1017"/>
      <c r="BL855" s="1017"/>
      <c r="BM855" s="1027"/>
      <c r="BN855" s="1027"/>
      <c r="BO855" s="1035"/>
      <c r="BP855" s="1755"/>
      <c r="BQ855" s="1017"/>
    </row>
    <row r="856" spans="1:69">
      <c r="A856" s="1017"/>
      <c r="H856" s="1017"/>
      <c r="I856" s="1017"/>
      <c r="L856" s="1035"/>
      <c r="M856" s="1019"/>
      <c r="N856" s="1032"/>
      <c r="O856" s="1017"/>
      <c r="P856" s="1017"/>
      <c r="Q856" s="1027"/>
      <c r="R856" s="1027"/>
      <c r="S856" s="1035"/>
      <c r="T856" s="1034"/>
      <c r="U856" s="1033"/>
      <c r="V856" s="1032"/>
      <c r="W856" s="1017"/>
      <c r="Y856" s="1017"/>
      <c r="AA856" s="1044"/>
      <c r="AB856" s="1043"/>
      <c r="AC856" s="1043"/>
      <c r="AD856" s="1042"/>
      <c r="AE856" s="1041"/>
      <c r="AF856" s="1040"/>
      <c r="AG856" s="1039"/>
      <c r="AH856" s="1036"/>
      <c r="AI856" s="1038"/>
      <c r="AJ856" s="1036"/>
      <c r="AK856" s="1037"/>
      <c r="AL856" s="1017"/>
      <c r="AM856" s="1017"/>
      <c r="AN856" s="1027"/>
      <c r="AO856" s="1027"/>
      <c r="AP856" s="1035"/>
      <c r="AR856" s="1753"/>
      <c r="AS856" s="1032"/>
      <c r="AT856" s="1017"/>
      <c r="AV856" s="1017"/>
      <c r="AW856" s="1017"/>
      <c r="AX856" s="1027"/>
      <c r="AY856" s="1027"/>
      <c r="AZ856" s="1035"/>
      <c r="BA856" s="1755"/>
      <c r="BB856" s="1032"/>
      <c r="BC856" s="1017"/>
      <c r="BE856" s="1017"/>
      <c r="BF856" s="1017"/>
      <c r="BG856" s="1027"/>
      <c r="BH856" s="1027"/>
      <c r="BI856" s="1875"/>
      <c r="BJ856" s="1755"/>
      <c r="BK856" s="1017"/>
      <c r="BL856" s="1017"/>
      <c r="BM856" s="1027"/>
      <c r="BN856" s="1027"/>
      <c r="BO856" s="1035"/>
      <c r="BP856" s="1755"/>
      <c r="BQ856" s="1017"/>
    </row>
    <row r="857" spans="1:69">
      <c r="A857" s="1017"/>
      <c r="H857" s="1017"/>
      <c r="I857" s="1017"/>
      <c r="L857" s="1035"/>
      <c r="M857" s="1019"/>
      <c r="N857" s="1032"/>
      <c r="O857" s="1017"/>
      <c r="P857" s="1017"/>
      <c r="Q857" s="1027"/>
      <c r="R857" s="1027"/>
      <c r="S857" s="1035"/>
      <c r="T857" s="1034"/>
      <c r="U857" s="1033"/>
      <c r="V857" s="1032"/>
      <c r="W857" s="1017"/>
      <c r="Y857" s="1017"/>
      <c r="AA857" s="1017"/>
      <c r="AB857" s="1027"/>
      <c r="AC857" s="1027"/>
      <c r="AD857" s="1035"/>
      <c r="AE857" s="1034"/>
      <c r="AF857" s="1033"/>
      <c r="AG857" s="1032"/>
      <c r="AH857" s="1017"/>
      <c r="AJ857" s="1017"/>
      <c r="AL857" s="1017"/>
      <c r="AM857" s="1017"/>
      <c r="AN857" s="1027"/>
      <c r="AO857" s="1027"/>
      <c r="AP857" s="1035"/>
      <c r="AR857" s="1753"/>
      <c r="AS857" s="1032"/>
      <c r="AT857" s="1017"/>
      <c r="AV857" s="1017"/>
      <c r="AW857" s="1017"/>
      <c r="AX857" s="1027"/>
      <c r="AY857" s="1027"/>
      <c r="AZ857" s="1035"/>
      <c r="BA857" s="1755"/>
      <c r="BB857" s="1032"/>
      <c r="BC857" s="1017"/>
      <c r="BE857" s="1017"/>
      <c r="BF857" s="1017"/>
      <c r="BG857" s="1027"/>
      <c r="BH857" s="1027"/>
      <c r="BI857" s="1875"/>
      <c r="BJ857" s="1755"/>
      <c r="BK857" s="1017"/>
      <c r="BL857" s="1017"/>
      <c r="BM857" s="1027"/>
      <c r="BN857" s="1027"/>
      <c r="BO857" s="1035"/>
      <c r="BP857" s="1755"/>
      <c r="BQ857" s="1017"/>
    </row>
    <row r="858" spans="1:69">
      <c r="A858" s="1017"/>
      <c r="H858" s="1017"/>
      <c r="I858" s="1017"/>
      <c r="L858" s="1035"/>
      <c r="M858" s="1019"/>
      <c r="N858" s="1032"/>
      <c r="O858" s="1017"/>
      <c r="P858" s="1017"/>
      <c r="Q858" s="1027"/>
      <c r="R858" s="1027"/>
      <c r="S858" s="1035"/>
      <c r="T858" s="1034"/>
      <c r="U858" s="1033"/>
      <c r="V858" s="1032"/>
      <c r="W858" s="1017"/>
      <c r="Y858" s="1017"/>
      <c r="AA858" s="1017"/>
      <c r="AB858" s="1027"/>
      <c r="AC858" s="1027"/>
      <c r="AD858" s="1035"/>
      <c r="AE858" s="1034"/>
      <c r="AF858" s="1033"/>
      <c r="AG858" s="1032"/>
      <c r="AH858" s="1017"/>
      <c r="AJ858" s="1017"/>
      <c r="AL858" s="1017"/>
      <c r="AM858" s="1017"/>
      <c r="AN858" s="1027"/>
      <c r="AO858" s="1027"/>
      <c r="AP858" s="1035"/>
      <c r="AR858" s="1753"/>
      <c r="AS858" s="1032"/>
      <c r="AT858" s="1017"/>
      <c r="AV858" s="1017"/>
      <c r="AW858" s="1017"/>
      <c r="AX858" s="1027"/>
      <c r="AY858" s="1027"/>
      <c r="AZ858" s="1035"/>
      <c r="BA858" s="1755"/>
      <c r="BB858" s="1032"/>
      <c r="BC858" s="1017"/>
      <c r="BE858" s="1017"/>
      <c r="BF858" s="1017"/>
      <c r="BG858" s="1027"/>
      <c r="BH858" s="1027"/>
      <c r="BI858" s="1875"/>
      <c r="BJ858" s="1755"/>
      <c r="BK858" s="1017"/>
      <c r="BL858" s="1017"/>
      <c r="BM858" s="1027"/>
      <c r="BN858" s="1027"/>
      <c r="BO858" s="1035"/>
      <c r="BP858" s="1755"/>
      <c r="BQ858" s="1017"/>
    </row>
    <row r="859" spans="1:69">
      <c r="A859" s="1017"/>
      <c r="H859" s="1017"/>
      <c r="I859" s="1017"/>
      <c r="L859" s="1035"/>
      <c r="M859" s="1019"/>
      <c r="N859" s="1032"/>
      <c r="O859" s="1017"/>
      <c r="P859" s="1017"/>
      <c r="Q859" s="1027"/>
      <c r="R859" s="1027"/>
      <c r="S859" s="1035"/>
      <c r="T859" s="1034"/>
      <c r="U859" s="1033"/>
      <c r="V859" s="1032"/>
      <c r="W859" s="1017"/>
      <c r="Y859" s="1017"/>
      <c r="AA859" s="1017"/>
      <c r="AB859" s="1027"/>
      <c r="AC859" s="1027"/>
      <c r="AD859" s="1035"/>
      <c r="AE859" s="1034"/>
      <c r="AF859" s="1033"/>
      <c r="AG859" s="1032"/>
      <c r="AH859" s="1017"/>
      <c r="AJ859" s="1017"/>
      <c r="AL859" s="1017"/>
      <c r="AM859" s="1017"/>
      <c r="AN859" s="1027"/>
      <c r="AO859" s="1027"/>
      <c r="AP859" s="1035"/>
      <c r="AR859" s="1753"/>
      <c r="AS859" s="1032"/>
      <c r="AT859" s="1017"/>
      <c r="AV859" s="1017"/>
      <c r="AW859" s="1017"/>
      <c r="AX859" s="1027"/>
      <c r="AY859" s="1027"/>
      <c r="AZ859" s="1035"/>
      <c r="BA859" s="1755"/>
      <c r="BB859" s="1032"/>
      <c r="BC859" s="1017"/>
      <c r="BE859" s="1017"/>
      <c r="BF859" s="1017"/>
      <c r="BG859" s="1027"/>
      <c r="BH859" s="1027"/>
      <c r="BI859" s="1875"/>
      <c r="BJ859" s="1755"/>
      <c r="BK859" s="1017"/>
      <c r="BL859" s="1017"/>
      <c r="BM859" s="1027"/>
      <c r="BN859" s="1027"/>
      <c r="BO859" s="1035"/>
      <c r="BP859" s="1755"/>
      <c r="BQ859" s="1017"/>
    </row>
    <row r="860" spans="1:69">
      <c r="A860" s="1017"/>
      <c r="H860" s="1017"/>
      <c r="I860" s="1017"/>
      <c r="L860" s="1035"/>
      <c r="M860" s="1019"/>
      <c r="N860" s="1032"/>
      <c r="O860" s="1017"/>
      <c r="P860" s="1017"/>
      <c r="Q860" s="1027"/>
      <c r="R860" s="1027"/>
      <c r="S860" s="1035"/>
      <c r="T860" s="1034"/>
      <c r="U860" s="1033"/>
      <c r="V860" s="1032"/>
      <c r="W860" s="1017"/>
      <c r="Y860" s="1017"/>
      <c r="AA860" s="1017"/>
      <c r="AB860" s="1027"/>
      <c r="AC860" s="1027"/>
      <c r="AD860" s="1035"/>
      <c r="AE860" s="1034"/>
      <c r="AF860" s="1033"/>
      <c r="AG860" s="1032"/>
      <c r="AH860" s="1017"/>
      <c r="AJ860" s="1017"/>
      <c r="AL860" s="1017"/>
      <c r="AM860" s="1017"/>
      <c r="AN860" s="1027"/>
      <c r="AO860" s="1027"/>
      <c r="AP860" s="1035"/>
      <c r="AR860" s="1753"/>
      <c r="AS860" s="1032"/>
      <c r="AT860" s="1017"/>
      <c r="AV860" s="1017"/>
      <c r="AW860" s="1017"/>
      <c r="AX860" s="1027"/>
      <c r="AY860" s="1027"/>
      <c r="AZ860" s="1035"/>
      <c r="BA860" s="1755"/>
      <c r="BB860" s="1032"/>
      <c r="BC860" s="1017"/>
      <c r="BE860" s="1017"/>
      <c r="BF860" s="1017"/>
      <c r="BG860" s="1027"/>
      <c r="BH860" s="1027"/>
      <c r="BI860" s="1875"/>
      <c r="BJ860" s="1755"/>
      <c r="BK860" s="1017"/>
      <c r="BL860" s="1017"/>
      <c r="BM860" s="1027"/>
      <c r="BN860" s="1027"/>
      <c r="BO860" s="1035"/>
      <c r="BP860" s="1755"/>
      <c r="BQ860" s="1017"/>
    </row>
    <row r="861" spans="1:69">
      <c r="A861" s="1017"/>
      <c r="H861" s="1017"/>
      <c r="I861" s="1017"/>
      <c r="L861" s="1035"/>
      <c r="M861" s="1019"/>
      <c r="N861" s="1032"/>
      <c r="O861" s="1017"/>
      <c r="P861" s="1017"/>
      <c r="Q861" s="1027"/>
      <c r="R861" s="1027"/>
      <c r="S861" s="1035"/>
      <c r="T861" s="1034"/>
      <c r="U861" s="1033"/>
      <c r="V861" s="1032"/>
      <c r="W861" s="1017"/>
      <c r="Y861" s="1017"/>
      <c r="AA861" s="1017"/>
      <c r="AB861" s="1027"/>
      <c r="AC861" s="1027"/>
      <c r="AD861" s="1035"/>
      <c r="AE861" s="1034"/>
      <c r="AF861" s="1033"/>
      <c r="AG861" s="1032"/>
      <c r="AH861" s="1017"/>
      <c r="AJ861" s="1017"/>
      <c r="AL861" s="1017"/>
      <c r="AM861" s="1017"/>
      <c r="AN861" s="1027"/>
      <c r="AO861" s="1027"/>
      <c r="AP861" s="1035"/>
      <c r="AR861" s="1753"/>
      <c r="AS861" s="1032"/>
      <c r="AT861" s="1017"/>
      <c r="AV861" s="1017"/>
      <c r="AW861" s="1017"/>
      <c r="AX861" s="1027"/>
      <c r="AY861" s="1027"/>
      <c r="AZ861" s="1035"/>
      <c r="BA861" s="1755"/>
      <c r="BB861" s="1032"/>
      <c r="BC861" s="1017"/>
      <c r="BE861" s="1017"/>
      <c r="BF861" s="1017"/>
      <c r="BG861" s="1027"/>
      <c r="BH861" s="1027"/>
      <c r="BI861" s="1875"/>
      <c r="BJ861" s="1755"/>
      <c r="BK861" s="1017"/>
      <c r="BL861" s="1017"/>
      <c r="BM861" s="1027"/>
      <c r="BN861" s="1027"/>
      <c r="BO861" s="1035"/>
      <c r="BP861" s="1755"/>
      <c r="BQ861" s="1017"/>
    </row>
    <row r="862" spans="1:69">
      <c r="A862" s="1017"/>
      <c r="H862" s="1017"/>
      <c r="I862" s="1017"/>
      <c r="L862" s="1035"/>
      <c r="M862" s="1019"/>
      <c r="N862" s="1032"/>
      <c r="O862" s="1017"/>
      <c r="P862" s="1017"/>
      <c r="Q862" s="1027"/>
      <c r="R862" s="1027"/>
      <c r="S862" s="1035"/>
      <c r="T862" s="1034"/>
      <c r="U862" s="1033"/>
      <c r="V862" s="1032"/>
      <c r="W862" s="1017"/>
      <c r="Y862" s="1017"/>
      <c r="AA862" s="1017"/>
      <c r="AB862" s="1027"/>
      <c r="AC862" s="1027"/>
      <c r="AD862" s="1035"/>
      <c r="AE862" s="1034"/>
      <c r="AF862" s="1033"/>
      <c r="AG862" s="1032"/>
      <c r="AH862" s="1017"/>
      <c r="AJ862" s="1017"/>
      <c r="AL862" s="1017"/>
      <c r="AM862" s="1017"/>
      <c r="AN862" s="1027"/>
      <c r="AO862" s="1027"/>
      <c r="AP862" s="1035"/>
      <c r="AR862" s="1753"/>
      <c r="AS862" s="1032"/>
      <c r="AT862" s="1017"/>
      <c r="AV862" s="1017"/>
      <c r="AW862" s="1017"/>
      <c r="AX862" s="1027"/>
      <c r="AY862" s="1027"/>
      <c r="AZ862" s="1035"/>
      <c r="BA862" s="1755"/>
      <c r="BB862" s="1032"/>
      <c r="BC862" s="1017"/>
      <c r="BE862" s="1017"/>
      <c r="BF862" s="1017"/>
      <c r="BG862" s="1027"/>
      <c r="BH862" s="1027"/>
      <c r="BI862" s="1875"/>
      <c r="BJ862" s="1755"/>
      <c r="BK862" s="1017"/>
      <c r="BL862" s="1017"/>
      <c r="BM862" s="1027"/>
      <c r="BN862" s="1027"/>
      <c r="BO862" s="1035"/>
      <c r="BP862" s="1755"/>
      <c r="BQ862" s="1017"/>
    </row>
    <row r="863" spans="1:69">
      <c r="A863" s="1017"/>
      <c r="H863" s="1017"/>
      <c r="I863" s="1017"/>
      <c r="L863" s="1035"/>
      <c r="M863" s="1019"/>
      <c r="N863" s="1032"/>
      <c r="O863" s="1017"/>
      <c r="P863" s="1017"/>
      <c r="Q863" s="1027"/>
      <c r="R863" s="1027"/>
      <c r="S863" s="1035"/>
      <c r="T863" s="1034"/>
      <c r="U863" s="1033"/>
      <c r="V863" s="1032"/>
      <c r="W863" s="1017"/>
      <c r="Y863" s="1017"/>
      <c r="AA863" s="1017"/>
      <c r="AB863" s="1027"/>
      <c r="AC863" s="1027"/>
      <c r="AD863" s="1035"/>
      <c r="AE863" s="1034"/>
      <c r="AF863" s="1033"/>
      <c r="AG863" s="1032"/>
      <c r="AH863" s="1017"/>
      <c r="AJ863" s="1017"/>
      <c r="AL863" s="1017"/>
      <c r="AM863" s="1017"/>
      <c r="AN863" s="1027"/>
      <c r="AO863" s="1027"/>
      <c r="AP863" s="1035"/>
      <c r="AR863" s="1753"/>
      <c r="AS863" s="1032"/>
      <c r="AT863" s="1017"/>
      <c r="AV863" s="1017"/>
      <c r="AW863" s="1017"/>
      <c r="AX863" s="1027"/>
      <c r="AY863" s="1027"/>
      <c r="AZ863" s="1035"/>
      <c r="BA863" s="1755"/>
      <c r="BB863" s="1032"/>
      <c r="BC863" s="1017"/>
      <c r="BE863" s="1017"/>
      <c r="BF863" s="1017"/>
      <c r="BG863" s="1027"/>
      <c r="BH863" s="1027"/>
      <c r="BI863" s="1875"/>
      <c r="BJ863" s="1755"/>
      <c r="BK863" s="1017"/>
      <c r="BL863" s="1017"/>
      <c r="BM863" s="1027"/>
      <c r="BN863" s="1027"/>
      <c r="BO863" s="1035"/>
      <c r="BP863" s="1755"/>
      <c r="BQ863" s="1017"/>
    </row>
    <row r="864" spans="1:69">
      <c r="A864" s="1017"/>
      <c r="H864" s="1017"/>
      <c r="I864" s="1017"/>
      <c r="L864" s="1035"/>
      <c r="M864" s="1019"/>
      <c r="N864" s="1032"/>
      <c r="O864" s="1017"/>
      <c r="P864" s="1017"/>
      <c r="Q864" s="1027"/>
      <c r="R864" s="1027"/>
      <c r="S864" s="1035"/>
      <c r="T864" s="1034"/>
      <c r="U864" s="1033"/>
      <c r="V864" s="1032"/>
      <c r="W864" s="1017"/>
      <c r="Y864" s="1017"/>
      <c r="AA864" s="1017"/>
      <c r="AB864" s="1027"/>
      <c r="AC864" s="1027"/>
      <c r="AD864" s="1035"/>
      <c r="AE864" s="1034"/>
      <c r="AF864" s="1033"/>
      <c r="AG864" s="1032"/>
      <c r="AH864" s="1017"/>
      <c r="AJ864" s="1017"/>
      <c r="AL864" s="1017"/>
      <c r="AM864" s="1017"/>
      <c r="AN864" s="1027"/>
      <c r="AO864" s="1027"/>
      <c r="AP864" s="1035"/>
      <c r="AR864" s="1753"/>
      <c r="AS864" s="1032"/>
      <c r="AT864" s="1017"/>
      <c r="AV864" s="1017"/>
      <c r="AW864" s="1017"/>
      <c r="AX864" s="1027"/>
      <c r="AY864" s="1027"/>
      <c r="AZ864" s="1035"/>
      <c r="BA864" s="1755"/>
      <c r="BB864" s="1032"/>
      <c r="BC864" s="1017"/>
      <c r="BE864" s="1017"/>
      <c r="BF864" s="1017"/>
      <c r="BG864" s="1027"/>
      <c r="BH864" s="1027"/>
      <c r="BI864" s="1875"/>
      <c r="BJ864" s="1755"/>
      <c r="BK864" s="1017"/>
      <c r="BL864" s="1017"/>
      <c r="BM864" s="1027"/>
      <c r="BN864" s="1027"/>
      <c r="BO864" s="1035"/>
      <c r="BP864" s="1755"/>
      <c r="BQ864" s="1017"/>
    </row>
    <row r="865" spans="1:69">
      <c r="A865" s="1017"/>
      <c r="H865" s="1017"/>
      <c r="I865" s="1017"/>
      <c r="L865" s="1035"/>
      <c r="M865" s="1019"/>
      <c r="N865" s="1032"/>
      <c r="O865" s="1017"/>
      <c r="P865" s="1017"/>
      <c r="Q865" s="1027"/>
      <c r="R865" s="1027"/>
      <c r="S865" s="1035"/>
      <c r="T865" s="1034"/>
      <c r="U865" s="1033"/>
      <c r="V865" s="1032"/>
      <c r="W865" s="1017"/>
      <c r="Y865" s="1017"/>
      <c r="AA865" s="1017"/>
      <c r="AB865" s="1027"/>
      <c r="AC865" s="1027"/>
      <c r="AD865" s="1035"/>
      <c r="AE865" s="1034"/>
      <c r="AF865" s="1033"/>
      <c r="AG865" s="1032"/>
      <c r="AH865" s="1017"/>
      <c r="AJ865" s="1017"/>
      <c r="AL865" s="1017"/>
      <c r="AM865" s="1017"/>
      <c r="AN865" s="1027"/>
      <c r="AO865" s="1027"/>
      <c r="AP865" s="1035"/>
      <c r="AR865" s="1753"/>
      <c r="AS865" s="1032"/>
      <c r="AT865" s="1017"/>
      <c r="AV865" s="1017"/>
      <c r="AW865" s="1017"/>
      <c r="AX865" s="1027"/>
      <c r="AY865" s="1027"/>
      <c r="AZ865" s="1035"/>
      <c r="BA865" s="1755"/>
      <c r="BB865" s="1032"/>
      <c r="BC865" s="1017"/>
      <c r="BE865" s="1017"/>
      <c r="BF865" s="1017"/>
      <c r="BG865" s="1027"/>
      <c r="BH865" s="1027"/>
      <c r="BI865" s="1875"/>
      <c r="BJ865" s="1755"/>
      <c r="BK865" s="1017"/>
      <c r="BL865" s="1017"/>
      <c r="BM865" s="1027"/>
      <c r="BN865" s="1027"/>
      <c r="BO865" s="1035"/>
      <c r="BP865" s="1755"/>
      <c r="BQ865" s="1017"/>
    </row>
    <row r="866" spans="1:69">
      <c r="A866" s="1017"/>
      <c r="H866" s="1017"/>
      <c r="I866" s="1017"/>
      <c r="L866" s="1035"/>
      <c r="M866" s="1019"/>
      <c r="N866" s="1032"/>
      <c r="O866" s="1017"/>
      <c r="P866" s="1017"/>
      <c r="Q866" s="1027"/>
      <c r="R866" s="1027"/>
      <c r="S866" s="1035"/>
      <c r="T866" s="1034"/>
      <c r="U866" s="1033"/>
      <c r="V866" s="1032"/>
      <c r="W866" s="1017"/>
      <c r="Y866" s="1017"/>
      <c r="AA866" s="1017"/>
      <c r="AB866" s="1027"/>
      <c r="AC866" s="1027"/>
      <c r="AD866" s="1035"/>
      <c r="AE866" s="1034"/>
      <c r="AF866" s="1033"/>
      <c r="AG866" s="1032"/>
      <c r="AH866" s="1017"/>
      <c r="AJ866" s="1017"/>
      <c r="AL866" s="1017"/>
      <c r="AM866" s="1017"/>
      <c r="AN866" s="1027"/>
      <c r="AO866" s="1027"/>
      <c r="AP866" s="1035"/>
      <c r="AR866" s="1753"/>
      <c r="AS866" s="1032"/>
      <c r="AT866" s="1017"/>
      <c r="AV866" s="1017"/>
      <c r="AW866" s="1017"/>
      <c r="AX866" s="1027"/>
      <c r="AY866" s="1027"/>
      <c r="AZ866" s="1035"/>
      <c r="BA866" s="1755"/>
      <c r="BB866" s="1032"/>
      <c r="BC866" s="1017"/>
      <c r="BE866" s="1017"/>
      <c r="BF866" s="1017"/>
      <c r="BG866" s="1027"/>
      <c r="BH866" s="1027"/>
      <c r="BI866" s="1875"/>
      <c r="BJ866" s="1755"/>
      <c r="BK866" s="1017"/>
      <c r="BL866" s="1017"/>
      <c r="BM866" s="1027"/>
      <c r="BN866" s="1027"/>
      <c r="BO866" s="1035"/>
      <c r="BP866" s="1755"/>
      <c r="BQ866" s="1017"/>
    </row>
    <row r="867" spans="1:69">
      <c r="A867" s="1017"/>
      <c r="H867" s="1017"/>
      <c r="I867" s="1017"/>
      <c r="L867" s="1035"/>
      <c r="M867" s="1019"/>
      <c r="N867" s="1032"/>
      <c r="O867" s="1017"/>
      <c r="P867" s="1017"/>
      <c r="Q867" s="1027"/>
      <c r="R867" s="1027"/>
      <c r="S867" s="1035"/>
      <c r="T867" s="1034"/>
      <c r="U867" s="1033"/>
      <c r="V867" s="1032"/>
      <c r="W867" s="1017"/>
      <c r="Y867" s="1017"/>
      <c r="AA867" s="1017"/>
      <c r="AB867" s="1027"/>
      <c r="AC867" s="1027"/>
      <c r="AD867" s="1035"/>
      <c r="AE867" s="1034"/>
      <c r="AF867" s="1033"/>
      <c r="AG867" s="1032"/>
      <c r="AH867" s="1017"/>
      <c r="AJ867" s="1017"/>
      <c r="AL867" s="1017"/>
      <c r="AM867" s="1017"/>
      <c r="AN867" s="1027"/>
      <c r="AO867" s="1027"/>
      <c r="AP867" s="1035"/>
      <c r="AR867" s="1753"/>
      <c r="AS867" s="1032"/>
      <c r="AT867" s="1017"/>
      <c r="AV867" s="1017"/>
      <c r="AW867" s="1017"/>
      <c r="AX867" s="1027"/>
      <c r="AY867" s="1027"/>
      <c r="AZ867" s="1035"/>
      <c r="BA867" s="1755"/>
      <c r="BB867" s="1032"/>
      <c r="BC867" s="1017"/>
      <c r="BE867" s="1017"/>
      <c r="BF867" s="1017"/>
      <c r="BG867" s="1027"/>
      <c r="BH867" s="1027"/>
      <c r="BI867" s="1875"/>
      <c r="BJ867" s="1755"/>
      <c r="BK867" s="1017"/>
      <c r="BL867" s="1017"/>
      <c r="BM867" s="1027"/>
      <c r="BN867" s="1027"/>
      <c r="BO867" s="1035"/>
      <c r="BP867" s="1755"/>
      <c r="BQ867" s="1017"/>
    </row>
    <row r="868" spans="1:69">
      <c r="A868" s="1017"/>
      <c r="H868" s="1017"/>
      <c r="I868" s="1017"/>
      <c r="L868" s="1035"/>
      <c r="M868" s="1019"/>
      <c r="N868" s="1032"/>
      <c r="O868" s="1017"/>
      <c r="P868" s="1017"/>
      <c r="Q868" s="1027"/>
      <c r="R868" s="1027"/>
      <c r="S868" s="1035"/>
      <c r="T868" s="1034"/>
      <c r="U868" s="1033"/>
      <c r="V868" s="1032"/>
      <c r="W868" s="1017"/>
      <c r="Y868" s="1017"/>
      <c r="AA868" s="1017"/>
      <c r="AB868" s="1027"/>
      <c r="AC868" s="1027"/>
      <c r="AD868" s="1035"/>
      <c r="AE868" s="1034"/>
      <c r="AF868" s="1033"/>
      <c r="AG868" s="1032"/>
      <c r="AH868" s="1017"/>
      <c r="AJ868" s="1017"/>
      <c r="AL868" s="1017"/>
      <c r="AM868" s="1017"/>
      <c r="AN868" s="1027"/>
      <c r="AO868" s="1027"/>
      <c r="AP868" s="1035"/>
      <c r="AR868" s="1753"/>
      <c r="AS868" s="1032"/>
      <c r="AT868" s="1017"/>
      <c r="AV868" s="1017"/>
      <c r="AW868" s="1017"/>
      <c r="AX868" s="1027"/>
      <c r="AY868" s="1027"/>
      <c r="AZ868" s="1035"/>
      <c r="BA868" s="1755"/>
      <c r="BB868" s="1032"/>
      <c r="BC868" s="1017"/>
      <c r="BE868" s="1017"/>
      <c r="BF868" s="1017"/>
      <c r="BG868" s="1027"/>
      <c r="BH868" s="1027"/>
      <c r="BI868" s="1875"/>
      <c r="BJ868" s="1755"/>
      <c r="BK868" s="1017"/>
      <c r="BL868" s="1017"/>
      <c r="BM868" s="1027"/>
      <c r="BN868" s="1027"/>
      <c r="BO868" s="1035"/>
      <c r="BP868" s="1755"/>
      <c r="BQ868" s="1017"/>
    </row>
    <row r="869" spans="1:69">
      <c r="A869" s="1017"/>
      <c r="H869" s="1017"/>
      <c r="I869" s="1017"/>
      <c r="L869" s="1035"/>
      <c r="M869" s="1019"/>
      <c r="N869" s="1032"/>
      <c r="O869" s="1017"/>
      <c r="P869" s="1017"/>
      <c r="Q869" s="1027"/>
      <c r="R869" s="1027"/>
      <c r="S869" s="1035"/>
      <c r="T869" s="1034"/>
      <c r="U869" s="1033"/>
      <c r="V869" s="1032"/>
      <c r="W869" s="1017"/>
      <c r="Y869" s="1017"/>
      <c r="AA869" s="1017"/>
      <c r="AB869" s="1027"/>
      <c r="AC869" s="1027"/>
      <c r="AD869" s="1035"/>
      <c r="AE869" s="1034"/>
      <c r="AF869" s="1033"/>
      <c r="AG869" s="1032"/>
      <c r="AH869" s="1017"/>
      <c r="AJ869" s="1017"/>
      <c r="AL869" s="1017"/>
      <c r="AM869" s="1017"/>
      <c r="AN869" s="1027"/>
      <c r="AO869" s="1027"/>
      <c r="AP869" s="1035"/>
      <c r="AR869" s="1753"/>
      <c r="AS869" s="1032"/>
      <c r="AT869" s="1017"/>
      <c r="AV869" s="1017"/>
      <c r="AW869" s="1017"/>
      <c r="AX869" s="1027"/>
      <c r="AY869" s="1027"/>
      <c r="AZ869" s="1035"/>
      <c r="BA869" s="1755"/>
      <c r="BB869" s="1032"/>
      <c r="BC869" s="1017"/>
      <c r="BE869" s="1017"/>
      <c r="BF869" s="1017"/>
      <c r="BG869" s="1027"/>
      <c r="BH869" s="1027"/>
      <c r="BI869" s="1875"/>
      <c r="BJ869" s="1755"/>
      <c r="BK869" s="1017"/>
      <c r="BL869" s="1017"/>
      <c r="BM869" s="1027"/>
      <c r="BN869" s="1027"/>
      <c r="BO869" s="1035"/>
      <c r="BP869" s="1755"/>
      <c r="BQ869" s="1017"/>
    </row>
    <row r="870" spans="1:69">
      <c r="A870" s="1017"/>
      <c r="H870" s="1017"/>
      <c r="I870" s="1017"/>
      <c r="L870" s="1035"/>
      <c r="M870" s="1019"/>
      <c r="N870" s="1032"/>
      <c r="O870" s="1017"/>
      <c r="P870" s="1017"/>
      <c r="Q870" s="1027"/>
      <c r="R870" s="1027"/>
      <c r="S870" s="1035"/>
      <c r="T870" s="1034"/>
      <c r="U870" s="1033"/>
      <c r="V870" s="1032"/>
      <c r="W870" s="1017"/>
      <c r="Y870" s="1017"/>
      <c r="AA870" s="1017"/>
      <c r="AB870" s="1027"/>
      <c r="AC870" s="1027"/>
      <c r="AD870" s="1035"/>
      <c r="AE870" s="1034"/>
      <c r="AF870" s="1033"/>
      <c r="AG870" s="1032"/>
      <c r="AH870" s="1017"/>
      <c r="AJ870" s="1017"/>
      <c r="AL870" s="1017"/>
      <c r="AM870" s="1017"/>
      <c r="AN870" s="1027"/>
      <c r="AO870" s="1027"/>
      <c r="AP870" s="1035"/>
      <c r="AR870" s="1753"/>
      <c r="AS870" s="1032"/>
      <c r="AT870" s="1017"/>
      <c r="AV870" s="1017"/>
      <c r="AW870" s="1017"/>
      <c r="AX870" s="1027"/>
      <c r="AY870" s="1027"/>
      <c r="AZ870" s="1035"/>
      <c r="BA870" s="1755"/>
      <c r="BB870" s="1032"/>
      <c r="BC870" s="1017"/>
      <c r="BE870" s="1017"/>
      <c r="BF870" s="1017"/>
      <c r="BG870" s="1027"/>
      <c r="BH870" s="1027"/>
      <c r="BI870" s="1875"/>
      <c r="BJ870" s="1755"/>
      <c r="BK870" s="1017"/>
      <c r="BL870" s="1017"/>
      <c r="BM870" s="1027"/>
      <c r="BN870" s="1027"/>
      <c r="BO870" s="1035"/>
      <c r="BP870" s="1755"/>
      <c r="BQ870" s="1017"/>
    </row>
    <row r="871" spans="1:69">
      <c r="A871" s="1017"/>
      <c r="H871" s="1017"/>
      <c r="I871" s="1017"/>
      <c r="L871" s="1035"/>
      <c r="M871" s="1019"/>
      <c r="N871" s="1032"/>
      <c r="O871" s="1017"/>
      <c r="P871" s="1017"/>
      <c r="Q871" s="1027"/>
      <c r="R871" s="1027"/>
      <c r="S871" s="1035"/>
      <c r="T871" s="1034"/>
      <c r="U871" s="1033"/>
      <c r="V871" s="1032"/>
      <c r="W871" s="1017"/>
      <c r="Y871" s="1017"/>
      <c r="AA871" s="1017"/>
      <c r="AB871" s="1027"/>
      <c r="AC871" s="1027"/>
      <c r="AD871" s="1035"/>
      <c r="AE871" s="1034"/>
      <c r="AF871" s="1033"/>
      <c r="AG871" s="1032"/>
      <c r="AH871" s="1017"/>
      <c r="AJ871" s="1017"/>
      <c r="AL871" s="1017"/>
      <c r="AM871" s="1017"/>
      <c r="AN871" s="1027"/>
      <c r="AO871" s="1027"/>
      <c r="AP871" s="1035"/>
      <c r="AR871" s="1753"/>
      <c r="AS871" s="1032"/>
      <c r="AT871" s="1017"/>
      <c r="AV871" s="1017"/>
      <c r="AW871" s="1017"/>
      <c r="AX871" s="1027"/>
      <c r="AY871" s="1027"/>
      <c r="AZ871" s="1035"/>
      <c r="BA871" s="1755"/>
      <c r="BB871" s="1032"/>
      <c r="BC871" s="1017"/>
      <c r="BE871" s="1017"/>
      <c r="BF871" s="1017"/>
      <c r="BG871" s="1027"/>
      <c r="BH871" s="1027"/>
      <c r="BI871" s="1875"/>
      <c r="BJ871" s="1755"/>
      <c r="BK871" s="1017"/>
      <c r="BL871" s="1017"/>
      <c r="BM871" s="1027"/>
      <c r="BN871" s="1027"/>
      <c r="BO871" s="1035"/>
      <c r="BP871" s="1755"/>
      <c r="BQ871" s="1017"/>
    </row>
    <row r="872" spans="1:69">
      <c r="A872" s="1017"/>
      <c r="H872" s="1017"/>
      <c r="I872" s="1017"/>
      <c r="L872" s="1035"/>
      <c r="M872" s="1019"/>
      <c r="N872" s="1032"/>
      <c r="O872" s="1017"/>
      <c r="P872" s="1017"/>
      <c r="Q872" s="1027"/>
      <c r="R872" s="1027"/>
      <c r="S872" s="1035"/>
      <c r="T872" s="1034"/>
      <c r="U872" s="1033"/>
      <c r="V872" s="1032"/>
      <c r="W872" s="1017"/>
      <c r="Y872" s="1017"/>
      <c r="AA872" s="1017"/>
      <c r="AB872" s="1027"/>
      <c r="AC872" s="1027"/>
      <c r="AD872" s="1035"/>
      <c r="AE872" s="1034"/>
      <c r="AF872" s="1033"/>
      <c r="AG872" s="1032"/>
      <c r="AH872" s="1017"/>
      <c r="AJ872" s="1017"/>
      <c r="AL872" s="1017"/>
      <c r="AM872" s="1017"/>
      <c r="AN872" s="1027"/>
      <c r="AO872" s="1027"/>
      <c r="AP872" s="1035"/>
      <c r="AR872" s="1753"/>
      <c r="AS872" s="1032"/>
      <c r="AT872" s="1017"/>
      <c r="AV872" s="1017"/>
      <c r="AW872" s="1017"/>
      <c r="AX872" s="1027"/>
      <c r="AY872" s="1027"/>
      <c r="AZ872" s="1035"/>
      <c r="BA872" s="1755"/>
      <c r="BB872" s="1032"/>
      <c r="BC872" s="1017"/>
      <c r="BE872" s="1017"/>
      <c r="BF872" s="1017"/>
      <c r="BG872" s="1027"/>
      <c r="BH872" s="1027"/>
      <c r="BI872" s="1875"/>
      <c r="BJ872" s="1755"/>
      <c r="BK872" s="1017"/>
      <c r="BL872" s="1017"/>
      <c r="BM872" s="1027"/>
      <c r="BN872" s="1027"/>
      <c r="BO872" s="1035"/>
      <c r="BP872" s="1755"/>
      <c r="BQ872" s="1017"/>
    </row>
    <row r="873" spans="1:69">
      <c r="A873" s="1017"/>
      <c r="H873" s="1017"/>
      <c r="I873" s="1017"/>
      <c r="L873" s="1035"/>
      <c r="M873" s="1019"/>
      <c r="N873" s="1032"/>
      <c r="O873" s="1017"/>
      <c r="P873" s="1017"/>
      <c r="Q873" s="1027"/>
      <c r="R873" s="1027"/>
      <c r="S873" s="1035"/>
      <c r="T873" s="1034"/>
      <c r="U873" s="1033"/>
      <c r="V873" s="1032"/>
      <c r="W873" s="1017"/>
      <c r="Y873" s="1017"/>
      <c r="AA873" s="1017"/>
      <c r="AB873" s="1027"/>
      <c r="AC873" s="1027"/>
      <c r="AD873" s="1035"/>
      <c r="AE873" s="1034"/>
      <c r="AF873" s="1033"/>
      <c r="AG873" s="1032"/>
      <c r="AH873" s="1017"/>
      <c r="AJ873" s="1017"/>
      <c r="AL873" s="1017"/>
      <c r="AM873" s="1017"/>
      <c r="AN873" s="1027"/>
      <c r="AO873" s="1027"/>
      <c r="AP873" s="1035"/>
      <c r="AR873" s="1753"/>
      <c r="AS873" s="1032"/>
      <c r="AT873" s="1017"/>
      <c r="AV873" s="1017"/>
      <c r="AW873" s="1017"/>
      <c r="AX873" s="1027"/>
      <c r="AY873" s="1027"/>
      <c r="AZ873" s="1035"/>
      <c r="BA873" s="1755"/>
      <c r="BB873" s="1032"/>
      <c r="BC873" s="1017"/>
      <c r="BE873" s="1017"/>
      <c r="BF873" s="1017"/>
      <c r="BG873" s="1027"/>
      <c r="BH873" s="1027"/>
      <c r="BI873" s="1875"/>
      <c r="BJ873" s="1755"/>
      <c r="BK873" s="1017"/>
      <c r="BL873" s="1017"/>
      <c r="BM873" s="1027"/>
      <c r="BN873" s="1027"/>
      <c r="BO873" s="1035"/>
      <c r="BP873" s="1755"/>
      <c r="BQ873" s="1017"/>
    </row>
    <row r="874" spans="1:69">
      <c r="A874" s="1017"/>
      <c r="H874" s="1017"/>
      <c r="I874" s="1017"/>
      <c r="L874" s="1035"/>
      <c r="M874" s="1019"/>
      <c r="N874" s="1032"/>
      <c r="O874" s="1017"/>
      <c r="P874" s="1017"/>
      <c r="Q874" s="1027"/>
      <c r="R874" s="1027"/>
      <c r="S874" s="1035"/>
      <c r="T874" s="1034"/>
      <c r="U874" s="1033"/>
      <c r="V874" s="1032"/>
      <c r="W874" s="1017"/>
      <c r="Y874" s="1017"/>
      <c r="AA874" s="1017"/>
      <c r="AB874" s="1027"/>
      <c r="AC874" s="1027"/>
      <c r="AD874" s="1035"/>
      <c r="AE874" s="1034"/>
      <c r="AF874" s="1033"/>
      <c r="AG874" s="1032"/>
      <c r="AH874" s="1017"/>
      <c r="AJ874" s="1017"/>
      <c r="AL874" s="1017"/>
      <c r="AM874" s="1017"/>
      <c r="AN874" s="1027"/>
      <c r="AO874" s="1027"/>
      <c r="AP874" s="1035"/>
      <c r="AR874" s="1753"/>
      <c r="AS874" s="1032"/>
      <c r="AT874" s="1017"/>
      <c r="AV874" s="1017"/>
      <c r="AW874" s="1017"/>
      <c r="AX874" s="1027"/>
      <c r="AY874" s="1027"/>
      <c r="AZ874" s="1035"/>
      <c r="BA874" s="1755"/>
      <c r="BB874" s="1032"/>
      <c r="BC874" s="1017"/>
      <c r="BE874" s="1017"/>
      <c r="BF874" s="1017"/>
      <c r="BG874" s="1027"/>
      <c r="BH874" s="1027"/>
      <c r="BI874" s="1875"/>
      <c r="BJ874" s="1755"/>
      <c r="BK874" s="1017"/>
      <c r="BL874" s="1017"/>
      <c r="BM874" s="1027"/>
      <c r="BN874" s="1027"/>
      <c r="BO874" s="1035"/>
      <c r="BP874" s="1755"/>
      <c r="BQ874" s="1017"/>
    </row>
    <row r="875" spans="1:69">
      <c r="A875" s="1017"/>
      <c r="H875" s="1017"/>
      <c r="I875" s="1017"/>
      <c r="L875" s="1035"/>
      <c r="M875" s="1019"/>
      <c r="N875" s="1032"/>
      <c r="O875" s="1017"/>
      <c r="P875" s="1017"/>
      <c r="Q875" s="1027"/>
      <c r="R875" s="1027"/>
      <c r="S875" s="1035"/>
      <c r="T875" s="1034"/>
      <c r="U875" s="1033"/>
      <c r="V875" s="1032"/>
      <c r="W875" s="1017"/>
      <c r="Y875" s="1017"/>
      <c r="AA875" s="1017"/>
      <c r="AB875" s="1027"/>
      <c r="AC875" s="1027"/>
      <c r="AD875" s="1035"/>
      <c r="AE875" s="1034"/>
      <c r="AF875" s="1033"/>
      <c r="AG875" s="1032"/>
      <c r="AH875" s="1017"/>
      <c r="AJ875" s="1017"/>
      <c r="AL875" s="1017"/>
      <c r="AM875" s="1017"/>
      <c r="AN875" s="1027"/>
      <c r="AO875" s="1027"/>
      <c r="AP875" s="1035"/>
      <c r="AR875" s="1753"/>
      <c r="AS875" s="1032"/>
      <c r="AT875" s="1017"/>
      <c r="AV875" s="1017"/>
      <c r="AW875" s="1017"/>
      <c r="AX875" s="1027"/>
      <c r="AY875" s="1027"/>
      <c r="AZ875" s="1035"/>
      <c r="BA875" s="1755"/>
      <c r="BB875" s="1032"/>
      <c r="BC875" s="1017"/>
      <c r="BE875" s="1017"/>
      <c r="BF875" s="1017"/>
      <c r="BG875" s="1027"/>
      <c r="BH875" s="1027"/>
      <c r="BI875" s="1875"/>
      <c r="BJ875" s="1755"/>
      <c r="BK875" s="1017"/>
      <c r="BL875" s="1017"/>
      <c r="BM875" s="1027"/>
      <c r="BN875" s="1027"/>
      <c r="BO875" s="1035"/>
      <c r="BP875" s="1755"/>
      <c r="BQ875" s="1017"/>
    </row>
    <row r="876" spans="1:69">
      <c r="A876" s="1017"/>
      <c r="H876" s="1017"/>
      <c r="I876" s="1017"/>
      <c r="L876" s="1035"/>
      <c r="M876" s="1019"/>
      <c r="N876" s="1032"/>
      <c r="O876" s="1017"/>
      <c r="P876" s="1017"/>
      <c r="Q876" s="1027"/>
      <c r="R876" s="1027"/>
      <c r="S876" s="1035"/>
      <c r="T876" s="1034"/>
      <c r="U876" s="1033"/>
      <c r="V876" s="1032"/>
      <c r="W876" s="1017"/>
      <c r="Y876" s="1017"/>
      <c r="AA876" s="1017"/>
      <c r="AB876" s="1027"/>
      <c r="AC876" s="1027"/>
      <c r="AD876" s="1035"/>
      <c r="AE876" s="1034"/>
      <c r="AF876" s="1033"/>
      <c r="AG876" s="1032"/>
      <c r="AH876" s="1017"/>
      <c r="AJ876" s="1017"/>
      <c r="AL876" s="1017"/>
      <c r="AM876" s="1017"/>
      <c r="AN876" s="1027"/>
      <c r="AO876" s="1027"/>
      <c r="AP876" s="1035"/>
      <c r="AR876" s="1753"/>
      <c r="AS876" s="1032"/>
      <c r="AT876" s="1017"/>
      <c r="AV876" s="1017"/>
      <c r="AW876" s="1017"/>
      <c r="AX876" s="1027"/>
      <c r="AY876" s="1027"/>
      <c r="AZ876" s="1035"/>
      <c r="BA876" s="1755"/>
      <c r="BB876" s="1032"/>
      <c r="BC876" s="1017"/>
      <c r="BE876" s="1017"/>
      <c r="BF876" s="1017"/>
      <c r="BG876" s="1027"/>
      <c r="BH876" s="1027"/>
      <c r="BI876" s="1875"/>
      <c r="BJ876" s="1755"/>
      <c r="BK876" s="1017"/>
      <c r="BL876" s="1017"/>
      <c r="BM876" s="1027"/>
      <c r="BN876" s="1027"/>
      <c r="BO876" s="1035"/>
      <c r="BP876" s="1755"/>
      <c r="BQ876" s="1017"/>
    </row>
    <row r="877" spans="1:69">
      <c r="A877" s="1017"/>
      <c r="H877" s="1017"/>
      <c r="I877" s="1017"/>
      <c r="L877" s="1035"/>
      <c r="M877" s="1019"/>
      <c r="N877" s="1032"/>
      <c r="O877" s="1017"/>
      <c r="P877" s="1017"/>
      <c r="Q877" s="1027"/>
      <c r="R877" s="1027"/>
      <c r="S877" s="1035"/>
      <c r="T877" s="1034"/>
      <c r="U877" s="1033"/>
      <c r="V877" s="1032"/>
      <c r="W877" s="1017"/>
      <c r="Y877" s="1017"/>
      <c r="AA877" s="1017"/>
      <c r="AB877" s="1027"/>
      <c r="AC877" s="1027"/>
      <c r="AD877" s="1035"/>
      <c r="AE877" s="1034"/>
      <c r="AF877" s="1033"/>
      <c r="AG877" s="1032"/>
      <c r="AH877" s="1017"/>
      <c r="AJ877" s="1017"/>
      <c r="AL877" s="1017"/>
      <c r="AM877" s="1017"/>
      <c r="AN877" s="1027"/>
      <c r="AO877" s="1027"/>
      <c r="AP877" s="1035"/>
      <c r="AR877" s="1753"/>
      <c r="AS877" s="1032"/>
      <c r="AT877" s="1017"/>
      <c r="AV877" s="1017"/>
      <c r="AW877" s="1017"/>
      <c r="AX877" s="1027"/>
      <c r="AY877" s="1027"/>
      <c r="AZ877" s="1035"/>
      <c r="BA877" s="1755"/>
      <c r="BB877" s="1032"/>
      <c r="BC877" s="1017"/>
      <c r="BE877" s="1017"/>
      <c r="BF877" s="1017"/>
      <c r="BG877" s="1027"/>
      <c r="BH877" s="1027"/>
      <c r="BI877" s="1875"/>
      <c r="BJ877" s="1755"/>
      <c r="BK877" s="1017"/>
      <c r="BL877" s="1017"/>
      <c r="BM877" s="1027"/>
      <c r="BN877" s="1027"/>
      <c r="BO877" s="1035"/>
      <c r="BP877" s="1755"/>
      <c r="BQ877" s="1017"/>
    </row>
  </sheetData>
  <mergeCells count="42">
    <mergeCell ref="BM2:BN2"/>
    <mergeCell ref="BG2:BH2"/>
    <mergeCell ref="AX2:AY2"/>
    <mergeCell ref="AN2:AO2"/>
    <mergeCell ref="R762:R763"/>
    <mergeCell ref="AB2:AC2"/>
    <mergeCell ref="BG3:BH3"/>
    <mergeCell ref="BG28:BH28"/>
    <mergeCell ref="BG53:BH53"/>
    <mergeCell ref="BG78:BH78"/>
    <mergeCell ref="BG103:BH103"/>
    <mergeCell ref="BG128:BH128"/>
    <mergeCell ref="BG153:BH153"/>
    <mergeCell ref="BG178:BH178"/>
    <mergeCell ref="BG203:BH203"/>
    <mergeCell ref="BG228:BH228"/>
    <mergeCell ref="J2:K2"/>
    <mergeCell ref="Q2:R2"/>
    <mergeCell ref="R389:R391"/>
    <mergeCell ref="R712:R713"/>
    <mergeCell ref="R737:R738"/>
    <mergeCell ref="BG253:BH253"/>
    <mergeCell ref="BG278:BH278"/>
    <mergeCell ref="BG303:BH303"/>
    <mergeCell ref="BG328:BH328"/>
    <mergeCell ref="BG353:BH353"/>
    <mergeCell ref="BG378:BH378"/>
    <mergeCell ref="BG403:BH403"/>
    <mergeCell ref="BG428:BH428"/>
    <mergeCell ref="BG453:BH453"/>
    <mergeCell ref="BG478:BH478"/>
    <mergeCell ref="BG503:BH503"/>
    <mergeCell ref="BG528:BH528"/>
    <mergeCell ref="BG553:BH553"/>
    <mergeCell ref="BG578:BH578"/>
    <mergeCell ref="BG603:BH603"/>
    <mergeCell ref="BG753:BH753"/>
    <mergeCell ref="BG628:BH628"/>
    <mergeCell ref="BG653:BH653"/>
    <mergeCell ref="BG678:BH678"/>
    <mergeCell ref="BG703:BH703"/>
    <mergeCell ref="BG728:BH728"/>
  </mergeCells>
  <conditionalFormatting sqref="X404:X427 Z404:Z427">
    <cfRule type="colorScale" priority="171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404:V427">
    <cfRule type="colorScale" priority="17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404:T427">
    <cfRule type="colorScale" priority="17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404:N427">
    <cfRule type="colorScale" priority="171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404:L427">
    <cfRule type="colorScale" priority="171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404:G427">
    <cfRule type="colorScale" priority="17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404:E427">
    <cfRule type="colorScale" priority="171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429:X452 Z429:Z452">
    <cfRule type="colorScale" priority="171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429:V452">
    <cfRule type="colorScale" priority="171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429:T452">
    <cfRule type="colorScale" priority="171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429:N452">
    <cfRule type="colorScale" priority="170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429:L452">
    <cfRule type="colorScale" priority="170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429:G452">
    <cfRule type="colorScale" priority="170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429:E452">
    <cfRule type="colorScale" priority="170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379:X402 Z379:Z402">
    <cfRule type="colorScale" priority="170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379:V402">
    <cfRule type="colorScale" priority="17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379:T402">
    <cfRule type="colorScale" priority="170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379:N402">
    <cfRule type="colorScale" priority="17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379:L402">
    <cfRule type="colorScale" priority="170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379:G402">
    <cfRule type="colorScale" priority="17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379:E402">
    <cfRule type="colorScale" priority="169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354:X377 Z354:Z377">
    <cfRule type="colorScale" priority="16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354:V377">
    <cfRule type="colorScale" priority="169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354:T377">
    <cfRule type="colorScale" priority="169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354:N377">
    <cfRule type="colorScale" priority="169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354:L377">
    <cfRule type="colorScale" priority="169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354:G377">
    <cfRule type="colorScale" priority="169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354:E377">
    <cfRule type="colorScale" priority="169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329:X352 Z329:Z352">
    <cfRule type="colorScale" priority="169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329:V352">
    <cfRule type="colorScale" priority="169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329:T352">
    <cfRule type="colorScale" priority="168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329:N352">
    <cfRule type="colorScale" priority="168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329:L352">
    <cfRule type="colorScale" priority="168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329:G352">
    <cfRule type="colorScale" priority="16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329:E352">
    <cfRule type="colorScale" priority="168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304:X327 Z304:Z327">
    <cfRule type="colorScale" priority="16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304:V327">
    <cfRule type="colorScale" priority="16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304:T327">
    <cfRule type="colorScale" priority="168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304:N327">
    <cfRule type="colorScale" priority="168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304:L327">
    <cfRule type="colorScale" priority="168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304:G327">
    <cfRule type="colorScale" priority="16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304:E327">
    <cfRule type="colorScale" priority="167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279:X302 Z279:Z302">
    <cfRule type="colorScale" priority="16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279:V302">
    <cfRule type="colorScale" priority="167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279:T302">
    <cfRule type="colorScale" priority="167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279:N302">
    <cfRule type="colorScale" priority="167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279:L302">
    <cfRule type="colorScale" priority="167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279:G302">
    <cfRule type="colorScale" priority="167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279:E302">
    <cfRule type="colorScale" priority="167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254:X277 Z254:Z277">
    <cfRule type="colorScale" priority="16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254:V277">
    <cfRule type="colorScale" priority="16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254:T277">
    <cfRule type="colorScale" priority="166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254:N277">
    <cfRule type="colorScale" priority="166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254:L277">
    <cfRule type="colorScale" priority="166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254:G277">
    <cfRule type="colorScale" priority="166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254:E277">
    <cfRule type="colorScale" priority="166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229:X252 Z229:Z252">
    <cfRule type="colorScale" priority="166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229:V252">
    <cfRule type="colorScale" priority="166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229:T252">
    <cfRule type="colorScale" priority="166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229:N252">
    <cfRule type="colorScale" priority="166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229:L252">
    <cfRule type="colorScale" priority="165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229:G252">
    <cfRule type="colorScale" priority="165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229:E252">
    <cfRule type="colorScale" priority="165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204:X227 Z204:Z227">
    <cfRule type="colorScale" priority="165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204:V227">
    <cfRule type="colorScale" priority="165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204:T227">
    <cfRule type="colorScale" priority="165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204:N227">
    <cfRule type="colorScale" priority="165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204:L227">
    <cfRule type="colorScale" priority="165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204:G227">
    <cfRule type="colorScale" priority="165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204:E227">
    <cfRule type="colorScale" priority="165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179:X202 Z179:Z202">
    <cfRule type="colorScale" priority="16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179:V202">
    <cfRule type="colorScale" priority="164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179:T202">
    <cfRule type="colorScale" priority="164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179:N202">
    <cfRule type="colorScale" priority="164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179:L202">
    <cfRule type="colorScale" priority="164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179:G202">
    <cfRule type="colorScale" priority="164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179:E202">
    <cfRule type="colorScale" priority="164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154:X177 Z154:Z177">
    <cfRule type="colorScale" priority="164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154:V177">
    <cfRule type="colorScale" priority="164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154:T177">
    <cfRule type="colorScale" priority="164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154:N177">
    <cfRule type="colorScale" priority="163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154:L177">
    <cfRule type="colorScale" priority="163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154:G177">
    <cfRule type="colorScale" priority="163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154:E177">
    <cfRule type="colorScale" priority="163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129:X152 Z129:Z152">
    <cfRule type="colorScale" priority="163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129:V152">
    <cfRule type="colorScale" priority="163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129:T152">
    <cfRule type="colorScale" priority="163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129:N152">
    <cfRule type="colorScale" priority="163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129:L152">
    <cfRule type="colorScale" priority="163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129:G152">
    <cfRule type="colorScale" priority="163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129:E152">
    <cfRule type="colorScale" priority="162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104:X127 Z104:Z127">
    <cfRule type="colorScale" priority="162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104:V127">
    <cfRule type="colorScale" priority="162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104:T127">
    <cfRule type="colorScale" priority="162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104:N127">
    <cfRule type="colorScale" priority="162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104:L127">
    <cfRule type="colorScale" priority="162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104:G127">
    <cfRule type="colorScale" priority="162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104:E127">
    <cfRule type="colorScale" priority="162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79:X102 Z79:Z102">
    <cfRule type="colorScale" priority="16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79:V102">
    <cfRule type="colorScale" priority="162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79:T102">
    <cfRule type="colorScale" priority="161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79:N102">
    <cfRule type="colorScale" priority="16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79:L102">
    <cfRule type="colorScale" priority="16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79:G102">
    <cfRule type="colorScale" priority="161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79:E102">
    <cfRule type="colorScale" priority="161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54:X77 Z54:Z77">
    <cfRule type="colorScale" priority="16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54:V77">
    <cfRule type="colorScale" priority="161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54:T77">
    <cfRule type="colorScale" priority="161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54:N77">
    <cfRule type="colorScale" priority="161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54:L77">
    <cfRule type="colorScale" priority="161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54:G77">
    <cfRule type="colorScale" priority="160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54:E77">
    <cfRule type="colorScale" priority="160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29:X52 Z29:Z52">
    <cfRule type="colorScale" priority="160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29:V52">
    <cfRule type="colorScale" priority="160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29:T52">
    <cfRule type="colorScale" priority="160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29:N52">
    <cfRule type="colorScale" priority="16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29:L52">
    <cfRule type="colorScale" priority="160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29:G52">
    <cfRule type="colorScale" priority="16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29:E52">
    <cfRule type="colorScale" priority="160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4:X27 Z4:Z27">
    <cfRule type="colorScale" priority="16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4:V27">
    <cfRule type="colorScale" priority="15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4:T27">
    <cfRule type="colorScale" priority="159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M4:N27">
    <cfRule type="colorScale" priority="159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4:L27">
    <cfRule type="colorScale" priority="159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4:G27">
    <cfRule type="colorScale" priority="159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4:E27">
    <cfRule type="colorScale" priority="159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454:X477 Z454:Z477">
    <cfRule type="colorScale" priority="159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454:V477">
    <cfRule type="colorScale" priority="159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454:N477">
    <cfRule type="colorScale" priority="159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454:L477">
    <cfRule type="colorScale" priority="159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454:G477">
    <cfRule type="colorScale" priority="158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454:E477">
    <cfRule type="colorScale" priority="158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479:X502 Z479:Z502">
    <cfRule type="colorScale" priority="158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479:V502">
    <cfRule type="colorScale" priority="15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479:N502">
    <cfRule type="colorScale" priority="158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479:L502">
    <cfRule type="colorScale" priority="158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479:G502">
    <cfRule type="colorScale" priority="15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479:E502">
    <cfRule type="colorScale" priority="158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454:T477">
    <cfRule type="colorScale" priority="158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479:T502">
    <cfRule type="colorScale" priority="158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479:Z502">
    <cfRule type="colorScale" priority="15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454:Z477">
    <cfRule type="colorScale" priority="157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429:Z452">
    <cfRule type="colorScale" priority="15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404:Z427">
    <cfRule type="colorScale" priority="157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379:Z402">
    <cfRule type="colorScale" priority="157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354:Z377">
    <cfRule type="colorScale" priority="157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329:Z352">
    <cfRule type="colorScale" priority="157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304:Z327">
    <cfRule type="colorScale" priority="157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279:Z302">
    <cfRule type="colorScale" priority="157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254:Z277">
    <cfRule type="colorScale" priority="15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229:Z252">
    <cfRule type="colorScale" priority="15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204:Z227">
    <cfRule type="colorScale" priority="156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179:Z202">
    <cfRule type="colorScale" priority="156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154:Z177">
    <cfRule type="colorScale" priority="156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129:Z152">
    <cfRule type="colorScale" priority="156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104:Z127">
    <cfRule type="colorScale" priority="156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79:Z102">
    <cfRule type="colorScale" priority="156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54:Z77">
    <cfRule type="colorScale" priority="156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29:Z52">
    <cfRule type="colorScale" priority="156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Z4:Z27">
    <cfRule type="colorScale" priority="156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479:V502">
    <cfRule type="colorScale" priority="155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454:V477">
    <cfRule type="colorScale" priority="155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429:V452">
    <cfRule type="colorScale" priority="155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404:V427">
    <cfRule type="colorScale" priority="155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379:V402">
    <cfRule type="colorScale" priority="155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354:V377">
    <cfRule type="colorScale" priority="155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329:V352">
    <cfRule type="colorScale" priority="155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304:V327">
    <cfRule type="colorScale" priority="155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279:V302">
    <cfRule type="colorScale" priority="155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254:V277">
    <cfRule type="colorScale" priority="155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229:V252">
    <cfRule type="colorScale" priority="15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204:V227">
    <cfRule type="colorScale" priority="154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179:V202">
    <cfRule type="colorScale" priority="154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154:V177">
    <cfRule type="colorScale" priority="154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129:V152">
    <cfRule type="colorScale" priority="154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104:V127">
    <cfRule type="colorScale" priority="154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79:V102">
    <cfRule type="colorScale" priority="154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54:V77">
    <cfRule type="colorScale" priority="154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29:V52">
    <cfRule type="colorScale" priority="154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4:V27">
    <cfRule type="colorScale" priority="154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479:T502">
    <cfRule type="colorScale" priority="153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479:T502">
    <cfRule type="colorScale" priority="153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454:T477">
    <cfRule type="colorScale" priority="153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454:T477">
    <cfRule type="colorScale" priority="153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429:T452">
    <cfRule type="colorScale" priority="153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429:T452">
    <cfRule type="colorScale" priority="153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404:T427">
    <cfRule type="colorScale" priority="153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404:T427">
    <cfRule type="colorScale" priority="153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379:T402">
    <cfRule type="colorScale" priority="153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379:T402">
    <cfRule type="colorScale" priority="153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354:T377">
    <cfRule type="colorScale" priority="152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354:T377">
    <cfRule type="colorScale" priority="152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329:T352">
    <cfRule type="colorScale" priority="152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329:T352">
    <cfRule type="colorScale" priority="152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304:T327">
    <cfRule type="colorScale" priority="152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304:T327">
    <cfRule type="colorScale" priority="152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279:T302">
    <cfRule type="colorScale" priority="152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279:T302">
    <cfRule type="colorScale" priority="15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254:T277">
    <cfRule type="colorScale" priority="152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254:T277">
    <cfRule type="colorScale" priority="152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229:T252">
    <cfRule type="colorScale" priority="151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229:T252">
    <cfRule type="colorScale" priority="15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204:T227">
    <cfRule type="colorScale" priority="15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204:T227">
    <cfRule type="colorScale" priority="151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179:T202">
    <cfRule type="colorScale" priority="151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179:T202">
    <cfRule type="colorScale" priority="15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154:T177">
    <cfRule type="colorScale" priority="151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154:T177">
    <cfRule type="colorScale" priority="151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129:T152">
    <cfRule type="colorScale" priority="151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129:T152">
    <cfRule type="colorScale" priority="151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104:T127">
    <cfRule type="colorScale" priority="150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104:T127">
    <cfRule type="colorScale" priority="150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79:T102">
    <cfRule type="colorScale" priority="150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79:T102">
    <cfRule type="colorScale" priority="150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54:T77">
    <cfRule type="colorScale" priority="150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54:T77">
    <cfRule type="colorScale" priority="15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29:T52">
    <cfRule type="colorScale" priority="150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29:T52">
    <cfRule type="colorScale" priority="15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4:T27">
    <cfRule type="colorScale" priority="150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4:T27">
    <cfRule type="colorScale" priority="15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504:X527 Z504:Z527">
    <cfRule type="colorScale" priority="14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504:V527">
    <cfRule type="colorScale" priority="14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504:N527">
    <cfRule type="colorScale" priority="149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504:L527">
    <cfRule type="colorScale" priority="149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504:G527">
    <cfRule type="colorScale" priority="149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504:E527">
    <cfRule type="colorScale" priority="149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504:T527">
    <cfRule type="colorScale" priority="149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504:Z527">
    <cfRule type="colorScale" priority="149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504:V527">
    <cfRule type="colorScale" priority="149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504:T527">
    <cfRule type="colorScale" priority="149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504:T527">
    <cfRule type="colorScale" priority="148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529:X552 Z529:Z552">
    <cfRule type="colorScale" priority="148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529:V552">
    <cfRule type="colorScale" priority="148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529:N552">
    <cfRule type="colorScale" priority="14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529:L552">
    <cfRule type="colorScale" priority="148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529:G552">
    <cfRule type="colorScale" priority="14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529:E552">
    <cfRule type="colorScale" priority="148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529:T552">
    <cfRule type="colorScale" priority="148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529:Z552">
    <cfRule type="colorScale" priority="148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529:V552">
    <cfRule type="colorScale" priority="148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529:T552">
    <cfRule type="colorScale" priority="147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529:T552">
    <cfRule type="colorScale" priority="147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554:X577 Z554:Z577">
    <cfRule type="colorScale" priority="14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554:V577">
    <cfRule type="colorScale" priority="147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554:N577">
    <cfRule type="colorScale" priority="147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554:L577">
    <cfRule type="colorScale" priority="147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554:G577">
    <cfRule type="colorScale" priority="147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554:E577">
    <cfRule type="colorScale" priority="147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554:T577">
    <cfRule type="colorScale" priority="147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554:Z577">
    <cfRule type="colorScale" priority="14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554:V577">
    <cfRule type="colorScale" priority="14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554:T577">
    <cfRule type="colorScale" priority="146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554:T577">
    <cfRule type="colorScale" priority="146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579:X602 Z579:Z602">
    <cfRule type="colorScale" priority="146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579:V602">
    <cfRule type="colorScale" priority="146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579:N602">
    <cfRule type="colorScale" priority="146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579:L602">
    <cfRule type="colorScale" priority="146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579:G602">
    <cfRule type="colorScale" priority="146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579:E602">
    <cfRule type="colorScale" priority="146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579:T602">
    <cfRule type="colorScale" priority="146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579:Z602">
    <cfRule type="colorScale" priority="145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579:V602">
    <cfRule type="colorScale" priority="145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579:T602">
    <cfRule type="colorScale" priority="145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579:T602">
    <cfRule type="colorScale" priority="145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604:X627 Z604:Z627">
    <cfRule type="colorScale" priority="145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604:V627">
    <cfRule type="colorScale" priority="145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604:N627">
    <cfRule type="colorScale" priority="145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604:L627">
    <cfRule type="colorScale" priority="145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604:G627">
    <cfRule type="colorScale" priority="145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604:E627">
    <cfRule type="colorScale" priority="145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604:T627">
    <cfRule type="colorScale" priority="144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604:Z627">
    <cfRule type="colorScale" priority="144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604:V627">
    <cfRule type="colorScale" priority="144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604:T627">
    <cfRule type="colorScale" priority="144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604:T627">
    <cfRule type="colorScale" priority="144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629:X652 Z629:Z652">
    <cfRule type="colorScale" priority="144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629:V652">
    <cfRule type="colorScale" priority="144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629:N652">
    <cfRule type="colorScale" priority="144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629:L652">
    <cfRule type="colorScale" priority="144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629:G652">
    <cfRule type="colorScale" priority="144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629:E652">
    <cfRule type="colorScale" priority="143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629:T652">
    <cfRule type="colorScale" priority="143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629:Z652">
    <cfRule type="colorScale" priority="143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629:V652">
    <cfRule type="colorScale" priority="143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629:T652">
    <cfRule type="colorScale" priority="143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629:T652">
    <cfRule type="colorScale" priority="143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654:X677 Z654:Z677">
    <cfRule type="colorScale" priority="143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654:V677">
    <cfRule type="colorScale" priority="143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654:N677">
    <cfRule type="colorScale" priority="143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654:L677">
    <cfRule type="colorScale" priority="143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654:G677">
    <cfRule type="colorScale" priority="142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654:E677">
    <cfRule type="colorScale" priority="142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654:T677">
    <cfRule type="colorScale" priority="142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654:Z677">
    <cfRule type="colorScale" priority="142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654:V677">
    <cfRule type="colorScale" priority="142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654:T677">
    <cfRule type="colorScale" priority="142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654:T677">
    <cfRule type="colorScale" priority="142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X679:X702 Z679:Z702">
    <cfRule type="colorScale" priority="14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679:V702">
    <cfRule type="colorScale" priority="14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679:N702">
    <cfRule type="colorScale" priority="142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679:L702">
    <cfRule type="colorScale" priority="141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679:G702">
    <cfRule type="colorScale" priority="14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679:E702">
    <cfRule type="colorScale" priority="14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S679:T702">
    <cfRule type="colorScale" priority="141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679:Z702">
    <cfRule type="colorScale" priority="141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679:V702">
    <cfRule type="colorScale" priority="14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679:T702">
    <cfRule type="colorScale" priority="141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679:T702">
    <cfRule type="colorScale" priority="141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T704:T727">
    <cfRule type="colorScale" priority="141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704:X727 Z704:Z727">
    <cfRule type="colorScale" priority="141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704:V727">
    <cfRule type="colorScale" priority="140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704:N727">
    <cfRule type="colorScale" priority="140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704:L727">
    <cfRule type="colorScale" priority="140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704:G727">
    <cfRule type="colorScale" priority="140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704:E727">
    <cfRule type="colorScale" priority="140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704:Z727">
    <cfRule type="colorScale" priority="14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704:V727">
    <cfRule type="colorScale" priority="140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704:S727">
    <cfRule type="colorScale" priority="140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729:T752">
    <cfRule type="colorScale" priority="140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729:X752 Z729:Z752">
    <cfRule type="colorScale" priority="14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729:V752">
    <cfRule type="colorScale" priority="13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729:N752">
    <cfRule type="colorScale" priority="13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729:L752">
    <cfRule type="colorScale" priority="139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729:G752">
    <cfRule type="colorScale" priority="139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729:E752">
    <cfRule type="colorScale" priority="139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729:Z752">
    <cfRule type="colorScale" priority="139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729:V752">
    <cfRule type="colorScale" priority="139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729:S752">
    <cfRule type="colorScale" priority="139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T754:T777">
    <cfRule type="colorScale" priority="139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X754:X777 Z754:Z777">
    <cfRule type="colorScale" priority="139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U754:V777">
    <cfRule type="colorScale" priority="138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M754:N777">
    <cfRule type="colorScale" priority="138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L754:L777">
    <cfRule type="colorScale" priority="138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F754:G777">
    <cfRule type="colorScale" priority="13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E754:E777">
    <cfRule type="colorScale" priority="138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Z754:Z777">
    <cfRule type="colorScale" priority="13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V754:V777">
    <cfRule type="colorScale" priority="13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S754:S777">
    <cfRule type="colorScale" priority="138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4:AD27">
    <cfRule type="colorScale" priority="138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4:AI27 AK4:AK27">
    <cfRule type="colorScale" priority="138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4:AG27">
    <cfRule type="colorScale" priority="13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4:AE27">
    <cfRule type="colorScale" priority="137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K4:AK27">
    <cfRule type="colorScale" priority="13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G4:AG27">
    <cfRule type="colorScale" priority="137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E4:AE27">
    <cfRule type="colorScale" priority="137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E4:AE27">
    <cfRule type="colorScale" priority="137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29:AD52">
    <cfRule type="colorScale" priority="137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F29:AG52">
    <cfRule type="colorScale" priority="137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29:AE52">
    <cfRule type="colorScale" priority="137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G29:AG52">
    <cfRule type="colorScale" priority="13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E29:AE52">
    <cfRule type="colorScale" priority="136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E29:AE52">
    <cfRule type="colorScale" priority="136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54:AD77">
    <cfRule type="colorScale" priority="136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79:AD102">
    <cfRule type="colorScale" priority="136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F54:AF77">
    <cfRule type="colorScale" priority="136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G54:AG77">
    <cfRule type="colorScale" priority="136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E54:AE77">
    <cfRule type="colorScale" priority="136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E54:AE77">
    <cfRule type="colorScale" priority="136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79:AF102">
    <cfRule type="colorScale" priority="136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29:AI52">
    <cfRule type="colorScale" priority="136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54:AI77">
    <cfRule type="colorScale" priority="135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79:AI102">
    <cfRule type="colorScale" priority="135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104:AI127">
    <cfRule type="colorScale" priority="135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129:AI152">
    <cfRule type="colorScale" priority="135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154:AI177">
    <cfRule type="colorScale" priority="135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179:AI202">
    <cfRule type="colorScale" priority="135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104:AF127">
    <cfRule type="colorScale" priority="135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129:AF152">
    <cfRule type="colorScale" priority="135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154:AF177">
    <cfRule type="colorScale" priority="135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179:AF202">
    <cfRule type="colorScale" priority="135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204:AF227">
    <cfRule type="colorScale" priority="13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229:AF252">
    <cfRule type="colorScale" priority="134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229:AD252">
    <cfRule type="colorScale" priority="134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204:AD227">
    <cfRule type="colorScale" priority="134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179:AD202">
    <cfRule type="colorScale" priority="134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154:AD177">
    <cfRule type="colorScale" priority="134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129:AD152">
    <cfRule type="colorScale" priority="134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D104:AD127">
    <cfRule type="colorScale" priority="134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229:AI252">
    <cfRule type="colorScale" priority="134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204:AI227">
    <cfRule type="colorScale" priority="134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254:AI277">
    <cfRule type="colorScale" priority="133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I279:AI302">
    <cfRule type="colorScale" priority="133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254:AF277">
    <cfRule type="colorScale" priority="133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254:AD277">
    <cfRule type="colorScale" priority="133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F279:AF302">
    <cfRule type="colorScale" priority="133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279:AD302">
    <cfRule type="colorScale" priority="133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F304:AF327">
    <cfRule type="colorScale" priority="133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304:AD327">
    <cfRule type="colorScale" priority="133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304:AI327">
    <cfRule type="colorScale" priority="133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329:AF352">
    <cfRule type="colorScale" priority="133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329:AD352">
    <cfRule type="colorScale" priority="132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329:AI352">
    <cfRule type="colorScale" priority="132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354:AF377">
    <cfRule type="colorScale" priority="132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354:AD377">
    <cfRule type="colorScale" priority="132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354:AI377">
    <cfRule type="colorScale" priority="132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379:AF402">
    <cfRule type="colorScale" priority="132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379:AD402">
    <cfRule type="colorScale" priority="132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379:AI402">
    <cfRule type="colorScale" priority="13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404:AF427">
    <cfRule type="colorScale" priority="13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404:AD427">
    <cfRule type="colorScale" priority="132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404:AI427">
    <cfRule type="colorScale" priority="131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429:AF452">
    <cfRule type="colorScale" priority="13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429:AD452">
    <cfRule type="colorScale" priority="13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429:AI452">
    <cfRule type="colorScale" priority="131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454:AF477">
    <cfRule type="colorScale" priority="131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454:AD477">
    <cfRule type="colorScale" priority="131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454:AI477">
    <cfRule type="colorScale" priority="131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479:AF502">
    <cfRule type="colorScale" priority="130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479:AD502">
    <cfRule type="colorScale" priority="130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479:AI502">
    <cfRule type="colorScale" priority="130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504:AF527">
    <cfRule type="colorScale" priority="130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504:AD527">
    <cfRule type="colorScale" priority="130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504:AI527">
    <cfRule type="colorScale" priority="130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529:AF552">
    <cfRule type="colorScale" priority="129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529:AD552">
    <cfRule type="colorScale" priority="129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529:AI552">
    <cfRule type="colorScale" priority="129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554:AF577">
    <cfRule type="colorScale" priority="129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554:AD577">
    <cfRule type="colorScale" priority="129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554:AI577">
    <cfRule type="colorScale" priority="128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579:AF602">
    <cfRule type="colorScale" priority="128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579:AD602">
    <cfRule type="colorScale" priority="128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579:AI602">
    <cfRule type="colorScale" priority="12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604:AF627">
    <cfRule type="colorScale" priority="12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604:AD627">
    <cfRule type="colorScale" priority="127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604:AI627">
    <cfRule type="colorScale" priority="12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629:AF652">
    <cfRule type="colorScale" priority="127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629:AD652">
    <cfRule type="colorScale" priority="127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629:AI652">
    <cfRule type="colorScale" priority="127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654:AF677">
    <cfRule type="colorScale" priority="126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654:AD677">
    <cfRule type="colorScale" priority="126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654:AI677">
    <cfRule type="colorScale" priority="125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679:AF702">
    <cfRule type="colorScale" priority="12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679:AD702">
    <cfRule type="colorScale" priority="124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679:AI702">
    <cfRule type="colorScale" priority="124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704:AF727">
    <cfRule type="colorScale" priority="123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704:AD727">
    <cfRule type="colorScale" priority="123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704:AI727">
    <cfRule type="colorScale" priority="123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9:AP52">
    <cfRule type="colorScale" priority="12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29:AS52">
    <cfRule type="colorScale" priority="121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9:AQ52">
    <cfRule type="colorScale" priority="121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S29:AS52">
    <cfRule type="colorScale" priority="12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Q29:AQ52">
    <cfRule type="colorScale" priority="121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Q29:AQ52">
    <cfRule type="colorScale" priority="121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29:AU52">
    <cfRule type="colorScale" priority="12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79:AU102">
    <cfRule type="colorScale" priority="12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104:AU127">
    <cfRule type="colorScale" priority="120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129:AU152">
    <cfRule type="colorScale" priority="12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154:AU177">
    <cfRule type="colorScale" priority="11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179:AU202">
    <cfRule type="colorScale" priority="11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229:AR252">
    <cfRule type="colorScale" priority="119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29:AP252">
    <cfRule type="colorScale" priority="119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U229:AU252">
    <cfRule type="colorScale" priority="118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204:AU227">
    <cfRule type="colorScale" priority="11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254:AU277">
    <cfRule type="colorScale" priority="11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279:AU302">
    <cfRule type="colorScale" priority="118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279:AR302">
    <cfRule type="colorScale" priority="11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79:AP302">
    <cfRule type="colorScale" priority="117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304:AR327">
    <cfRule type="colorScale" priority="11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304:AP327">
    <cfRule type="colorScale" priority="117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U304:AU327">
    <cfRule type="colorScale" priority="117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329:AU352">
    <cfRule type="colorScale" priority="117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354:AU377">
    <cfRule type="colorScale" priority="11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379:AU402">
    <cfRule type="colorScale" priority="116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404:AU427">
    <cfRule type="colorScale" priority="116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429:AU452">
    <cfRule type="colorScale" priority="116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454:AU477">
    <cfRule type="colorScale" priority="115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479:AU502">
    <cfRule type="colorScale" priority="115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504:AU527">
    <cfRule type="colorScale" priority="114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529:AU552">
    <cfRule type="colorScale" priority="113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554:AU577">
    <cfRule type="colorScale" priority="113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579:AU602">
    <cfRule type="colorScale" priority="112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604:AU627">
    <cfRule type="colorScale" priority="11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629:AU652">
    <cfRule type="colorScale" priority="111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654:AU677">
    <cfRule type="colorScale" priority="110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679:AR702">
    <cfRule type="colorScale" priority="109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679:AP702">
    <cfRule type="colorScale" priority="109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U679:AU702">
    <cfRule type="colorScale" priority="109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704:AR727">
    <cfRule type="colorScale" priority="108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704:AP727">
    <cfRule type="colorScale" priority="108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U704:AU727">
    <cfRule type="colorScale" priority="10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F729:AF752">
    <cfRule type="colorScale" priority="10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D729:AD752">
    <cfRule type="colorScale" priority="106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I729:AI752">
    <cfRule type="colorScale" priority="106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54:AP77">
    <cfRule type="colorScale" priority="102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54:AR77">
    <cfRule type="colorScale" priority="102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S54:AS77">
    <cfRule type="colorScale" priority="102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Q54:AQ77">
    <cfRule type="colorScale" priority="102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Q54:AQ77">
    <cfRule type="colorScale" priority="10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54:AU77">
    <cfRule type="colorScale" priority="10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:AP27">
    <cfRule type="colorScale" priority="102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4:AS27">
    <cfRule type="colorScale" priority="10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:AQ27">
    <cfRule type="colorScale" priority="101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S4:AS27">
    <cfRule type="colorScale" priority="101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Q4:AQ27">
    <cfRule type="colorScale" priority="101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Q4:AQ27">
    <cfRule type="colorScale" priority="101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U4:AU27">
    <cfRule type="colorScale" priority="241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9:BD52">
    <cfRule type="colorScale" priority="10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9:BD102">
    <cfRule type="colorScale" priority="100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10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100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10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9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29:BD252">
    <cfRule type="colorScale" priority="9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98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54:BD277">
    <cfRule type="colorScale" priority="9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79:BD302">
    <cfRule type="colorScale" priority="9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304:BD327">
    <cfRule type="colorScale" priority="97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329:BD352">
    <cfRule type="colorScale" priority="97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354:BD377">
    <cfRule type="colorScale" priority="9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429:BD452">
    <cfRule type="colorScale" priority="96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454:BD477">
    <cfRule type="colorScale" priority="95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479:BD502">
    <cfRule type="colorScale" priority="95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04:BD527">
    <cfRule type="colorScale" priority="95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29:BD552">
    <cfRule type="colorScale" priority="9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54:BD577">
    <cfRule type="colorScale" priority="94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79:BD602">
    <cfRule type="colorScale" priority="94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604:BD627">
    <cfRule type="colorScale" priority="94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629:BD652">
    <cfRule type="colorScale" priority="93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654:BD677">
    <cfRule type="colorScale" priority="93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679:BD702">
    <cfRule type="colorScale" priority="93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04:BD727">
    <cfRule type="colorScale" priority="92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4:BD77">
    <cfRule type="colorScale" priority="9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4:BD27">
    <cfRule type="colorScale" priority="91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79:AP102">
    <cfRule type="colorScale" priority="91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79:AR102">
    <cfRule type="colorScale" priority="91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29:AR52">
    <cfRule type="colorScale" priority="91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104:AP127">
    <cfRule type="colorScale" priority="91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104:AR127">
    <cfRule type="colorScale" priority="91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129:AP152">
    <cfRule type="colorScale" priority="90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129:AR152">
    <cfRule type="colorScale" priority="90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154:AP177">
    <cfRule type="colorScale" priority="90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154:AR177">
    <cfRule type="colorScale" priority="90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179:AP202">
    <cfRule type="colorScale" priority="90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179:AR202">
    <cfRule type="colorScale" priority="90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04:AP227">
    <cfRule type="colorScale" priority="90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204:AR227">
    <cfRule type="colorScale" priority="90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R254:AR277">
    <cfRule type="colorScale" priority="90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254:AP277">
    <cfRule type="colorScale" priority="89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329:AR352">
    <cfRule type="colorScale" priority="8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329:AP352">
    <cfRule type="colorScale" priority="89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354:AR377">
    <cfRule type="colorScale" priority="89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354:AP377">
    <cfRule type="colorScale" priority="89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379:AR402">
    <cfRule type="colorScale" priority="89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379:AP402">
    <cfRule type="colorScale" priority="89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404:AR427">
    <cfRule type="colorScale" priority="89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04:AP427">
    <cfRule type="colorScale" priority="891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429:AR452">
    <cfRule type="colorScale" priority="89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29:AP452">
    <cfRule type="colorScale" priority="889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454:AR477">
    <cfRule type="colorScale" priority="88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54:AP477">
    <cfRule type="colorScale" priority="887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479:AR502">
    <cfRule type="colorScale" priority="8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479:AP502">
    <cfRule type="colorScale" priority="88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504:AR527">
    <cfRule type="colorScale" priority="88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504:AP527">
    <cfRule type="colorScale" priority="88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529:AR552">
    <cfRule type="colorScale" priority="8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529:AP552">
    <cfRule type="colorScale" priority="87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604:AR627">
    <cfRule type="colorScale" priority="87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604:AP627">
    <cfRule type="colorScale" priority="876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629:AR652">
    <cfRule type="colorScale" priority="87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629:AP652">
    <cfRule type="colorScale" priority="87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654:AR677">
    <cfRule type="colorScale" priority="87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654:AP677">
    <cfRule type="colorScale" priority="872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554:AR577">
    <cfRule type="colorScale" priority="87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554:AP577">
    <cfRule type="colorScale" priority="870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AR579:AR602">
    <cfRule type="colorScale" priority="8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P579:AP602">
    <cfRule type="colorScale" priority="868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BD4:BD27">
    <cfRule type="colorScale" priority="84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9:BD52">
    <cfRule type="colorScale" priority="84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9:BD52">
    <cfRule type="colorScale" priority="84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4:BD77">
    <cfRule type="colorScale" priority="84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4:BD77">
    <cfRule type="colorScale" priority="83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54:BD77">
    <cfRule type="colorScale" priority="83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9:BD102">
    <cfRule type="colorScale" priority="83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9:BD102">
    <cfRule type="colorScale" priority="83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9:BD102">
    <cfRule type="colorScale" priority="82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79:BD102">
    <cfRule type="colorScale" priority="82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82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82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81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81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04:BD127">
    <cfRule type="colorScale" priority="81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81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80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80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80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80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29:BD152">
    <cfRule type="colorScale" priority="79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9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54:BD177">
    <cfRule type="colorScale" priority="78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3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8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7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179:BD202">
    <cfRule type="colorScale" priority="772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7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70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9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6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5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64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BD204:BD227">
    <cfRule type="colorScale" priority="75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AZ4:AZ27">
    <cfRule type="colorScale" priority="63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4:BA27">
    <cfRule type="colorScale" priority="63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4:BB27">
    <cfRule type="colorScale" priority="6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A29:BA52">
    <cfRule type="colorScale" priority="6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54:AZ77">
    <cfRule type="colorScale" priority="62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54:BA77">
    <cfRule type="colorScale" priority="62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54:BB77">
    <cfRule type="colorScale" priority="62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79:AZ102">
    <cfRule type="colorScale" priority="62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79:BA102">
    <cfRule type="colorScale" priority="62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79:BB102">
    <cfRule type="colorScale" priority="62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104:AZ127">
    <cfRule type="colorScale" priority="61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104:BA127">
    <cfRule type="colorScale" priority="61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104:BB127">
    <cfRule type="colorScale" priority="61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129:AZ152">
    <cfRule type="colorScale" priority="6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129:BA152">
    <cfRule type="colorScale" priority="6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129:BB152">
    <cfRule type="colorScale" priority="61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154:AZ177">
    <cfRule type="colorScale" priority="61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154:BA177">
    <cfRule type="colorScale" priority="61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154:BB177">
    <cfRule type="colorScale" priority="61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179:AZ202">
    <cfRule type="colorScale" priority="61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179:BA202">
    <cfRule type="colorScale" priority="60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179:BB202">
    <cfRule type="colorScale" priority="60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204:AZ227">
    <cfRule type="colorScale" priority="60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204:BA227">
    <cfRule type="colorScale" priority="60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204:BB227">
    <cfRule type="colorScale" priority="60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229:AZ252">
    <cfRule type="colorScale" priority="60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229:BA252">
    <cfRule type="colorScale" priority="60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229:BB252">
    <cfRule type="colorScale" priority="60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254:AZ277">
    <cfRule type="colorScale" priority="60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254:BA277">
    <cfRule type="colorScale" priority="60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254:BB277">
    <cfRule type="colorScale" priority="59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279:AZ302">
    <cfRule type="colorScale" priority="59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279:BA302">
    <cfRule type="colorScale" priority="59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279:BB302">
    <cfRule type="colorScale" priority="59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304:AZ327">
    <cfRule type="colorScale" priority="59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304:BA327">
    <cfRule type="colorScale" priority="59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304:BB327">
    <cfRule type="colorScale" priority="59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329:AZ352">
    <cfRule type="colorScale" priority="59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329:BA352">
    <cfRule type="colorScale" priority="5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329:BB352">
    <cfRule type="colorScale" priority="59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354:AZ377">
    <cfRule type="colorScale" priority="58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354:BA377">
    <cfRule type="colorScale" priority="58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354:BB377">
    <cfRule type="colorScale" priority="58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379:AZ402">
    <cfRule type="colorScale" priority="58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379:BA402">
    <cfRule type="colorScale" priority="58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379:BB402">
    <cfRule type="colorScale" priority="58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404:AZ427">
    <cfRule type="colorScale" priority="58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404:BA427">
    <cfRule type="colorScale" priority="58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404:BB427">
    <cfRule type="colorScale" priority="58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429:AZ452">
    <cfRule type="colorScale" priority="58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429:BA452">
    <cfRule type="colorScale" priority="5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429:BB452">
    <cfRule type="colorScale" priority="57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454:AZ477">
    <cfRule type="colorScale" priority="57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454:BA477">
    <cfRule type="colorScale" priority="57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454:BB477">
    <cfRule type="colorScale" priority="57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479:AZ502">
    <cfRule type="colorScale" priority="57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479:BA502">
    <cfRule type="colorScale" priority="57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479:BB502">
    <cfRule type="colorScale" priority="57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504:AZ527">
    <cfRule type="colorScale" priority="57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504:BA527">
    <cfRule type="colorScale" priority="57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504:BB527">
    <cfRule type="colorScale" priority="56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529:AZ552">
    <cfRule type="colorScale" priority="56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529:BA552">
    <cfRule type="colorScale" priority="5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529:BB552">
    <cfRule type="colorScale" priority="56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554:AZ577">
    <cfRule type="colorScale" priority="56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554:BA577">
    <cfRule type="colorScale" priority="56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554:BB577">
    <cfRule type="colorScale" priority="5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579:AZ602">
    <cfRule type="colorScale" priority="56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579:BA602">
    <cfRule type="colorScale" priority="56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579:BB602">
    <cfRule type="colorScale" priority="56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604:AZ627">
    <cfRule type="colorScale" priority="55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604:BA627">
    <cfRule type="colorScale" priority="55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604:BB627">
    <cfRule type="colorScale" priority="55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629:AZ652">
    <cfRule type="colorScale" priority="55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629:BA652">
    <cfRule type="colorScale" priority="5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629:BB652">
    <cfRule type="colorScale" priority="55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654:AZ677">
    <cfRule type="colorScale" priority="55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654:BA677">
    <cfRule type="colorScale" priority="55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654:BB677">
    <cfRule type="colorScale" priority="55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679:AZ702">
    <cfRule type="colorScale" priority="55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679:BA702">
    <cfRule type="colorScale" priority="54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679:BB702">
    <cfRule type="colorScale" priority="54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704:AZ727">
    <cfRule type="colorScale" priority="54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704:BA727">
    <cfRule type="colorScale" priority="54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704:BB727">
    <cfRule type="colorScale" priority="54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729:AZ752">
    <cfRule type="colorScale" priority="54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729:BA752">
    <cfRule type="colorScale" priority="5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729:BB752">
    <cfRule type="colorScale" priority="54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754:AZ777">
    <cfRule type="colorScale" priority="54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A754:BA777">
    <cfRule type="colorScale" priority="54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754:BB777">
    <cfRule type="colorScale" priority="53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4:BI27">
    <cfRule type="colorScale" priority="53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I29:BI52">
    <cfRule type="colorScale" priority="53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9:BJ52">
    <cfRule type="colorScale" priority="53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54:BI77">
    <cfRule type="colorScale" priority="53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54:BJ77">
    <cfRule type="colorScale" priority="53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79:BI102">
    <cfRule type="colorScale" priority="53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79:BJ102">
    <cfRule type="colorScale" priority="53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104:BI127">
    <cfRule type="colorScale" priority="53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104:BJ127">
    <cfRule type="colorScale" priority="5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254:BI277">
    <cfRule type="colorScale" priority="51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54:BJ277">
    <cfRule type="colorScale" priority="51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279:BI302">
    <cfRule type="colorScale" priority="5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79:BJ302">
    <cfRule type="colorScale" priority="5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304:BI327">
    <cfRule type="colorScale" priority="51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304:BJ327">
    <cfRule type="colorScale" priority="51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329:BI352">
    <cfRule type="colorScale" priority="51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329:BJ352">
    <cfRule type="colorScale" priority="51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354:BI377">
    <cfRule type="colorScale" priority="51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354:BJ377">
    <cfRule type="colorScale" priority="50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379:BI402">
    <cfRule type="colorScale" priority="50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379:BJ402">
    <cfRule type="colorScale" priority="50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404:BI427">
    <cfRule type="colorScale" priority="50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404:BJ427">
    <cfRule type="colorScale" priority="50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429:BI452">
    <cfRule type="colorScale" priority="50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429:BJ452">
    <cfRule type="colorScale" priority="50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454:BI477">
    <cfRule type="colorScale" priority="50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454:BJ477">
    <cfRule type="colorScale" priority="50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479:BI502">
    <cfRule type="colorScale" priority="50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479:BJ502">
    <cfRule type="colorScale" priority="49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504:BI527">
    <cfRule type="colorScale" priority="49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504:BJ527">
    <cfRule type="colorScale" priority="49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529:BI552">
    <cfRule type="colorScale" priority="49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529:BJ552">
    <cfRule type="colorScale" priority="49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554:BI577">
    <cfRule type="colorScale" priority="49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554:BJ577">
    <cfRule type="colorScale" priority="49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579:BI602">
    <cfRule type="colorScale" priority="49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579:BJ602">
    <cfRule type="colorScale" priority="4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604:BI627">
    <cfRule type="colorScale" priority="49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604:BJ627">
    <cfRule type="colorScale" priority="48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629:BI652">
    <cfRule type="colorScale" priority="48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629:BJ652">
    <cfRule type="colorScale" priority="48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654:BI677">
    <cfRule type="colorScale" priority="48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654:BJ677">
    <cfRule type="colorScale" priority="48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679:BI702">
    <cfRule type="colorScale" priority="48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679:BJ702">
    <cfRule type="colorScale" priority="48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704:BI727">
    <cfRule type="colorScale" priority="48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704:BJ727">
    <cfRule type="colorScale" priority="48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729:BI752">
    <cfRule type="colorScale" priority="48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729:BJ752">
    <cfRule type="colorScale" priority="4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754:BI777">
    <cfRule type="colorScale" priority="47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754:BJ777">
    <cfRule type="colorScale" priority="47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29:BJ52">
    <cfRule type="colorScale" priority="47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29:BJ52">
    <cfRule type="colorScale" priority="47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6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6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79:BJ102">
    <cfRule type="colorScale" priority="4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79:BJ102">
    <cfRule type="colorScale" priority="46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79:BJ102">
    <cfRule type="colorScale" priority="4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79:BJ102">
    <cfRule type="colorScale" priority="45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104:BJ127">
    <cfRule type="colorScale" priority="4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104:BJ127">
    <cfRule type="colorScale" priority="45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104:BJ127">
    <cfRule type="colorScale" priority="45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104:BJ127">
    <cfRule type="colorScale" priority="44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104:BJ127">
    <cfRule type="colorScale" priority="44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B29:BB52">
    <cfRule type="colorScale" priority="43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AZ29:AZ52">
    <cfRule type="colorScale" priority="43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9:BJ52">
    <cfRule type="colorScale" priority="43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2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54:BJ77">
    <cfRule type="colorScale" priority="42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4:BJ27">
    <cfRule type="colorScale" priority="42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129:BI152">
    <cfRule type="colorScale" priority="42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129:BJ152">
    <cfRule type="colorScale" priority="41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154:BI177">
    <cfRule type="colorScale" priority="41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154:BJ177">
    <cfRule type="colorScale" priority="4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179:BI202">
    <cfRule type="colorScale" priority="41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179:BJ202">
    <cfRule type="colorScale" priority="41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204:BI227">
    <cfRule type="colorScale" priority="41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04:BJ227">
    <cfRule type="colorScale" priority="40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229:BI252">
    <cfRule type="colorScale" priority="40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29:BJ252">
    <cfRule type="colorScale" priority="40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254:BJ277">
    <cfRule type="colorScale" priority="39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329:BJ352">
    <cfRule type="colorScale" priority="39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J329:BJ352">
    <cfRule type="colorScale" priority="39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O27">
    <cfRule type="colorScale" priority="39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9:BO52">
    <cfRule type="colorScale" priority="39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9:BP52">
    <cfRule type="colorScale" priority="3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O77">
    <cfRule type="colorScale" priority="39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4:BP77">
    <cfRule type="colorScale" priority="38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O102">
    <cfRule type="colorScale" priority="38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9:BP102">
    <cfRule type="colorScale" priority="38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104:BO127">
    <cfRule type="colorScale" priority="38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04:BP127">
    <cfRule type="colorScale" priority="38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54:BO277">
    <cfRule type="colorScale" priority="38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54:BP277">
    <cfRule type="colorScale" priority="38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79:BO302">
    <cfRule type="colorScale" priority="38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79:BP302">
    <cfRule type="colorScale" priority="38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304:BO327">
    <cfRule type="colorScale" priority="38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04:BP327">
    <cfRule type="colorScale" priority="3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329:BO352">
    <cfRule type="colorScale" priority="37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29:BP352">
    <cfRule type="colorScale" priority="37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354:BO377">
    <cfRule type="colorScale" priority="37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54:BP377">
    <cfRule type="colorScale" priority="37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379:BO402">
    <cfRule type="colorScale" priority="37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79:BP402">
    <cfRule type="colorScale" priority="37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04:BO427">
    <cfRule type="colorScale" priority="37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04:BP427">
    <cfRule type="colorScale" priority="37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29:BO452">
    <cfRule type="colorScale" priority="37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29:BP452">
    <cfRule type="colorScale" priority="36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54:BO477">
    <cfRule type="colorScale" priority="36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54:BP477">
    <cfRule type="colorScale" priority="3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79:BO502">
    <cfRule type="colorScale" priority="36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79:BP502">
    <cfRule type="colorScale" priority="36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04:BO527">
    <cfRule type="colorScale" priority="36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04:BP527">
    <cfRule type="colorScale" priority="3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29:BO552">
    <cfRule type="colorScale" priority="36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29:BP552">
    <cfRule type="colorScale" priority="36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54:BO577">
    <cfRule type="colorScale" priority="36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54:BP577">
    <cfRule type="colorScale" priority="3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79:BO602">
    <cfRule type="colorScale" priority="35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79:BP602">
    <cfRule type="colorScale" priority="35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604:BO627">
    <cfRule type="colorScale" priority="35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04:BP627">
    <cfRule type="colorScale" priority="3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629:BO652">
    <cfRule type="colorScale" priority="35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29:BP652">
    <cfRule type="colorScale" priority="35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654:BO677">
    <cfRule type="colorScale" priority="35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54:BP677">
    <cfRule type="colorScale" priority="35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679:BO702">
    <cfRule type="colorScale" priority="35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79:BP702">
    <cfRule type="colorScale" priority="34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04:BO727">
    <cfRule type="colorScale" priority="34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04:BP727">
    <cfRule type="colorScale" priority="34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29:BO752">
    <cfRule type="colorScale" priority="34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29:BP752">
    <cfRule type="colorScale" priority="34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54:BO777">
    <cfRule type="colorScale" priority="34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54:BP777">
    <cfRule type="colorScale" priority="3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34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34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4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3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3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9:BP102">
    <cfRule type="colorScale" priority="33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9:BP102">
    <cfRule type="colorScale" priority="33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9:BP102">
    <cfRule type="colorScale" priority="33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9:BP102">
    <cfRule type="colorScale" priority="33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3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3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3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3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32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2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2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32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2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129:BO152">
    <cfRule type="colorScale" priority="32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29:BP152">
    <cfRule type="colorScale" priority="32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154:BO177">
    <cfRule type="colorScale" priority="32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54:BP177">
    <cfRule type="colorScale" priority="31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179:BO202">
    <cfRule type="colorScale" priority="31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79:BP202">
    <cfRule type="colorScale" priority="31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04:BO227">
    <cfRule type="colorScale" priority="3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04:BP227">
    <cfRule type="colorScale" priority="3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29:BO252">
    <cfRule type="colorScale" priority="31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29:BP252">
    <cfRule type="colorScale" priority="31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31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31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3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04:BP127">
    <cfRule type="colorScale" priority="30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29:BP152">
    <cfRule type="colorScale" priority="30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54:BP177">
    <cfRule type="colorScale" priority="30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79:BP202">
    <cfRule type="colorScale" priority="30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04:BP227">
    <cfRule type="colorScale" priority="30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129:BO152">
    <cfRule type="colorScale" priority="30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29:BP152">
    <cfRule type="colorScale" priority="30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30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30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30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29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29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29:BP152">
    <cfRule type="colorScale" priority="29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154:BO177">
    <cfRule type="colorScale" priority="29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54:BP177">
    <cfRule type="colorScale" priority="29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9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9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9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9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54:BP177">
    <cfRule type="colorScale" priority="28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179:BO202">
    <cfRule type="colorScale" priority="28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79:BP202">
    <cfRule type="colorScale" priority="28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179:BP202">
    <cfRule type="colorScale" priority="28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04:BO227">
    <cfRule type="colorScale" priority="28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04:BP227">
    <cfRule type="colorScale" priority="2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04:BP227">
    <cfRule type="colorScale" priority="27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29:BO252">
    <cfRule type="colorScale" priority="27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29:BP252">
    <cfRule type="colorScale" priority="27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7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6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6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6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29:BP252">
    <cfRule type="colorScale" priority="26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54:BO277">
    <cfRule type="colorScale" priority="26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54:BP277">
    <cfRule type="colorScale" priority="2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6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6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6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5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54:BP277">
    <cfRule type="colorScale" priority="25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79:BO302">
    <cfRule type="colorScale" priority="25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79:BP302">
    <cfRule type="colorScale" priority="2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5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5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5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5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5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79:BP302">
    <cfRule type="colorScale" priority="24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304:BO327">
    <cfRule type="colorScale" priority="24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04:BP327">
    <cfRule type="colorScale" priority="24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04:BP327">
    <cfRule type="colorScale" priority="24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329:BO352">
    <cfRule type="colorScale" priority="24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29:BP352">
    <cfRule type="colorScale" priority="23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29:BP352">
    <cfRule type="colorScale" priority="23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354:BO377">
    <cfRule type="colorScale" priority="23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54:BP377">
    <cfRule type="colorScale" priority="23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3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2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2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54:BP377">
    <cfRule type="colorScale" priority="22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379:BO402">
    <cfRule type="colorScale" priority="22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379:BP402">
    <cfRule type="colorScale" priority="22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2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2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2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1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1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379:BP402">
    <cfRule type="colorScale" priority="21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04:BO427">
    <cfRule type="colorScale" priority="2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04:BP427">
    <cfRule type="colorScale" priority="2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1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1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1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1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04:BP427">
    <cfRule type="colorScale" priority="20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29:BO452">
    <cfRule type="colorScale" priority="20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29:BP452">
    <cfRule type="colorScale" priority="20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29:BP452">
    <cfRule type="colorScale" priority="20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54:BO477">
    <cfRule type="colorScale" priority="20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54:BP477">
    <cfRule type="colorScale" priority="19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54:BP477">
    <cfRule type="colorScale" priority="19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79:BO502">
    <cfRule type="colorScale" priority="19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79:BP502">
    <cfRule type="colorScale" priority="1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9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8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8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8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8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79:BP502">
    <cfRule type="colorScale" priority="18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04:BO527">
    <cfRule type="colorScale" priority="18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04:BP527">
    <cfRule type="colorScale" priority="18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8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8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8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7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04:BP527">
    <cfRule type="colorScale" priority="17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29:BO552">
    <cfRule type="colorScale" priority="17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29:BP552">
    <cfRule type="colorScale" priority="17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7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7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7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7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7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29:BP552">
    <cfRule type="colorScale" priority="16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54:BO577">
    <cfRule type="colorScale" priority="16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54:BP577">
    <cfRule type="colorScale" priority="1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54:BP577">
    <cfRule type="colorScale" priority="16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79:BO602">
    <cfRule type="colorScale" priority="16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79:BP602">
    <cfRule type="colorScale" priority="1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79:BP602">
    <cfRule type="colorScale" priority="15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604:BO627">
    <cfRule type="colorScale" priority="15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04:BP627">
    <cfRule type="colorScale" priority="15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5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4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4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4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4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04:BP627">
    <cfRule type="colorScale" priority="14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629:BO652">
    <cfRule type="colorScale" priority="14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29:BP652">
    <cfRule type="colorScale" priority="1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4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4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4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3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3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29:BP652">
    <cfRule type="colorScale" priority="13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654:BO677">
    <cfRule type="colorScale" priority="13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54:BP677">
    <cfRule type="colorScale" priority="13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3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3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3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3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3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54:BP677">
    <cfRule type="colorScale" priority="12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679:BO702">
    <cfRule type="colorScale" priority="12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679:BP702">
    <cfRule type="colorScale" priority="1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679:BP702">
    <cfRule type="colorScale" priority="12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704:BO727">
    <cfRule type="colorScale" priority="12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04:BP727">
    <cfRule type="colorScale" priority="11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04:BP727">
    <cfRule type="colorScale" priority="11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729:BO752">
    <cfRule type="colorScale" priority="11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29:BP752">
    <cfRule type="colorScale" priority="11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0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0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0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0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29:BP752">
    <cfRule type="colorScale" priority="10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754:BO777">
    <cfRule type="colorScale" priority="10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754:BP777">
    <cfRule type="colorScale" priority="10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10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10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10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9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9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754:BP777">
    <cfRule type="colorScale" priority="9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04:BP127">
    <cfRule type="colorScale" priority="9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79:BP102">
    <cfRule type="colorScale" priority="9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9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9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9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9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9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79:BP102">
    <cfRule type="colorScale" priority="8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79:BP102">
    <cfRule type="colorScale" priority="8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4:BO77">
    <cfRule type="colorScale" priority="8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54:BP77">
    <cfRule type="colorScale" priority="8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8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8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8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54:BP77">
    <cfRule type="colorScale" priority="8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8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8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7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7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7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7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54:BP77">
    <cfRule type="colorScale" priority="7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54:BP77">
    <cfRule type="colorScale" priority="7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9:BO52">
    <cfRule type="colorScale" priority="7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9:BP52">
    <cfRule type="colorScale" priority="7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7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7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O52">
    <cfRule type="colorScale" priority="6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29:BP52">
    <cfRule type="colorScale" priority="6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6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29:BP52">
    <cfRule type="colorScale" priority="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29:BP52">
    <cfRule type="colorScale" priority="5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29:BP52">
    <cfRule type="colorScale" priority="5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:BO27">
    <cfRule type="colorScale" priority="5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:BP27">
    <cfRule type="colorScale" priority="4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O27">
    <cfRule type="colorScale" priority="4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:BP27">
    <cfRule type="colorScale" priority="4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4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O27">
    <cfRule type="colorScale" priority="3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4:BP27">
    <cfRule type="colorScale" priority="3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P4:BP27">
    <cfRule type="colorScale" priority="3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3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O4:BP27">
    <cfRule type="colorScale" priority="2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O4:BP27">
    <cfRule type="colorScale" priority="2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29:BP152">
    <cfRule type="colorScale" priority="2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P129:BP152">
    <cfRule type="colorScale" priority="2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I4:BI27">
    <cfRule type="colorScale" priority="2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BJ4:BJ27">
    <cfRule type="colorScale" priority="1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4:BJ27">
    <cfRule type="colorScale" priority="1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I29:BI52">
    <cfRule type="colorScale" priority="1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BJ29:BJ52">
    <cfRule type="colorScale" priority="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BI29:BI52">
    <cfRule type="colorScale" priority="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BJ29:BJ52">
    <cfRule type="colorScale" priority="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J29:BJ52">
    <cfRule type="colorScale" priority="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C358"/>
  <sheetViews>
    <sheetView workbookViewId="0">
      <pane ySplit="12" topLeftCell="A13" activePane="bottomLeft" state="frozen"/>
      <selection activeCell="F31" sqref="F31"/>
      <selection pane="bottomLeft" activeCell="F31" sqref="F31"/>
    </sheetView>
  </sheetViews>
  <sheetFormatPr defaultColWidth="9.109375" defaultRowHeight="13.5" customHeight="1"/>
  <cols>
    <col min="1" max="1" width="0.88671875" style="654" customWidth="1"/>
    <col min="2" max="2" width="13" style="653" customWidth="1"/>
    <col min="3" max="3" width="18.44140625" style="652" customWidth="1"/>
    <col min="4" max="4" width="13.6640625" style="651" customWidth="1"/>
    <col min="5" max="5" width="13.6640625" style="767" customWidth="1"/>
    <col min="6" max="6" width="13.6640625" style="766" customWidth="1"/>
    <col min="7" max="11" width="13.6640625" style="765" customWidth="1"/>
    <col min="12" max="12" width="13.6640625" style="651" customWidth="1"/>
    <col min="13" max="15" width="13.6640625" style="765" customWidth="1"/>
    <col min="16" max="54" width="9.109375" style="649"/>
    <col min="55" max="16384" width="9.109375" style="648"/>
  </cols>
  <sheetData>
    <row r="1" spans="1:55" ht="13.5" customHeight="1">
      <c r="B1" s="802" t="s">
        <v>550</v>
      </c>
      <c r="C1" s="801" t="s">
        <v>122</v>
      </c>
      <c r="D1" s="801" t="s">
        <v>121</v>
      </c>
      <c r="E1" s="801" t="s">
        <v>120</v>
      </c>
      <c r="F1" s="801" t="s">
        <v>119</v>
      </c>
      <c r="G1" s="801" t="s">
        <v>118</v>
      </c>
      <c r="H1" s="801" t="s">
        <v>44</v>
      </c>
      <c r="I1" s="801" t="s">
        <v>117</v>
      </c>
      <c r="J1" s="801" t="s">
        <v>116</v>
      </c>
      <c r="K1" s="801" t="s">
        <v>115</v>
      </c>
      <c r="L1" s="801" t="s">
        <v>114</v>
      </c>
      <c r="M1" s="801" t="s">
        <v>113</v>
      </c>
      <c r="N1" s="801" t="s">
        <v>112</v>
      </c>
      <c r="O1" s="801" t="s">
        <v>550</v>
      </c>
    </row>
    <row r="2" spans="1:55" ht="13.5" customHeight="1">
      <c r="B2" s="800" t="s">
        <v>815</v>
      </c>
      <c r="C2" s="798">
        <f>D13</f>
        <v>6529.4299999999994</v>
      </c>
      <c r="D2" s="799">
        <f>D52</f>
        <v>5036.8599999999997</v>
      </c>
      <c r="E2" s="798">
        <f>D92</f>
        <v>0</v>
      </c>
      <c r="F2" s="798">
        <f>D119</f>
        <v>0</v>
      </c>
      <c r="G2" s="798">
        <f>D145</f>
        <v>0</v>
      </c>
      <c r="H2" s="798">
        <f>D172</f>
        <v>0</v>
      </c>
      <c r="I2" s="798">
        <f>D194</f>
        <v>0</v>
      </c>
      <c r="J2" s="798">
        <f>D217</f>
        <v>0</v>
      </c>
      <c r="K2" s="798">
        <f>D242</f>
        <v>0</v>
      </c>
      <c r="L2" s="798">
        <f>D265</f>
        <v>0</v>
      </c>
      <c r="M2" s="798">
        <f>D290</f>
        <v>0</v>
      </c>
      <c r="N2" s="798">
        <f>D313</f>
        <v>0</v>
      </c>
      <c r="O2" s="798">
        <f t="shared" ref="O2:O11" si="0">SUM(C2:N2)</f>
        <v>11566.289999999999</v>
      </c>
    </row>
    <row r="3" spans="1:55" ht="13.5" customHeight="1">
      <c r="B3" s="800" t="s">
        <v>48</v>
      </c>
      <c r="C3" s="798">
        <f>E13</f>
        <v>2158.75</v>
      </c>
      <c r="D3" s="799">
        <f>E52</f>
        <v>557</v>
      </c>
      <c r="E3" s="798">
        <f>E92</f>
        <v>0</v>
      </c>
      <c r="F3" s="798">
        <f>E119</f>
        <v>0</v>
      </c>
      <c r="G3" s="798">
        <f>E145</f>
        <v>0</v>
      </c>
      <c r="H3" s="798">
        <f>E172</f>
        <v>0</v>
      </c>
      <c r="I3" s="798">
        <f>E194</f>
        <v>0</v>
      </c>
      <c r="J3" s="798">
        <f>E217</f>
        <v>0</v>
      </c>
      <c r="K3" s="798">
        <f>E242</f>
        <v>0</v>
      </c>
      <c r="L3" s="798">
        <f>E265</f>
        <v>0</v>
      </c>
      <c r="M3" s="798">
        <f>E290</f>
        <v>0</v>
      </c>
      <c r="N3" s="798">
        <f>E313</f>
        <v>0</v>
      </c>
      <c r="O3" s="798">
        <f t="shared" si="0"/>
        <v>2715.75</v>
      </c>
    </row>
    <row r="4" spans="1:55" ht="13.5" customHeight="1">
      <c r="B4" s="800" t="s">
        <v>282</v>
      </c>
      <c r="C4" s="798" t="e">
        <f>#REF!+$F13</f>
        <v>#REF!</v>
      </c>
      <c r="D4" s="799" t="e">
        <f>#REF!+$F52</f>
        <v>#REF!</v>
      </c>
      <c r="E4" s="798">
        <f>F92</f>
        <v>0</v>
      </c>
      <c r="F4" s="798">
        <f>F119</f>
        <v>0</v>
      </c>
      <c r="G4" s="798">
        <f>F145</f>
        <v>0</v>
      </c>
      <c r="H4" s="798">
        <f>F172</f>
        <v>0</v>
      </c>
      <c r="I4" s="798">
        <f>F194</f>
        <v>0</v>
      </c>
      <c r="J4" s="798">
        <f>F217</f>
        <v>0</v>
      </c>
      <c r="K4" s="798">
        <f>F242</f>
        <v>0</v>
      </c>
      <c r="L4" s="798">
        <f>F265</f>
        <v>0</v>
      </c>
      <c r="M4" s="798">
        <f>F290</f>
        <v>0</v>
      </c>
      <c r="N4" s="798">
        <f>F313</f>
        <v>0</v>
      </c>
      <c r="O4" s="798" t="e">
        <f t="shared" si="0"/>
        <v>#REF!</v>
      </c>
    </row>
    <row r="5" spans="1:55" ht="13.5" customHeight="1">
      <c r="B5" s="800" t="s">
        <v>280</v>
      </c>
      <c r="C5" s="798">
        <f>G13</f>
        <v>324</v>
      </c>
      <c r="D5" s="799">
        <f>G52</f>
        <v>1299</v>
      </c>
      <c r="E5" s="798">
        <f>G92</f>
        <v>0</v>
      </c>
      <c r="F5" s="798">
        <f>G119</f>
        <v>0</v>
      </c>
      <c r="G5" s="798">
        <f>G145</f>
        <v>0</v>
      </c>
      <c r="H5" s="798">
        <f>G172</f>
        <v>0</v>
      </c>
      <c r="I5" s="798">
        <f>G194</f>
        <v>0</v>
      </c>
      <c r="J5" s="798">
        <f>G217</f>
        <v>0</v>
      </c>
      <c r="K5" s="798">
        <f>G242</f>
        <v>0</v>
      </c>
      <c r="L5" s="798">
        <f>G265</f>
        <v>0</v>
      </c>
      <c r="M5" s="798">
        <f>G290</f>
        <v>0</v>
      </c>
      <c r="N5" s="798">
        <f>G313</f>
        <v>0</v>
      </c>
      <c r="O5" s="798">
        <f t="shared" si="0"/>
        <v>1623</v>
      </c>
    </row>
    <row r="6" spans="1:55" ht="13.5" customHeight="1">
      <c r="B6" s="800" t="s">
        <v>278</v>
      </c>
      <c r="C6" s="798">
        <f>H13</f>
        <v>465</v>
      </c>
      <c r="D6" s="799">
        <f>H52</f>
        <v>395</v>
      </c>
      <c r="E6" s="798">
        <f>H92</f>
        <v>0</v>
      </c>
      <c r="F6" s="798">
        <f>H119</f>
        <v>0</v>
      </c>
      <c r="G6" s="798">
        <f>H145</f>
        <v>0</v>
      </c>
      <c r="H6" s="798">
        <f>H172</f>
        <v>0</v>
      </c>
      <c r="I6" s="798">
        <f>H194</f>
        <v>0</v>
      </c>
      <c r="J6" s="798">
        <f>H217</f>
        <v>0</v>
      </c>
      <c r="K6" s="798">
        <f>H242</f>
        <v>0</v>
      </c>
      <c r="L6" s="798">
        <f>H265</f>
        <v>0</v>
      </c>
      <c r="M6" s="798">
        <f>H290</f>
        <v>0</v>
      </c>
      <c r="N6" s="798">
        <f>H313</f>
        <v>0</v>
      </c>
      <c r="O6" s="798">
        <f t="shared" si="0"/>
        <v>860</v>
      </c>
    </row>
    <row r="7" spans="1:55" ht="13.5" customHeight="1">
      <c r="B7" s="800" t="s">
        <v>552</v>
      </c>
      <c r="C7" s="798">
        <f>I13</f>
        <v>30</v>
      </c>
      <c r="D7" s="799">
        <f>I52</f>
        <v>60</v>
      </c>
      <c r="E7" s="798">
        <f>I92</f>
        <v>0</v>
      </c>
      <c r="F7" s="798">
        <f>I119</f>
        <v>0</v>
      </c>
      <c r="G7" s="798">
        <f>I145</f>
        <v>0</v>
      </c>
      <c r="H7" s="798">
        <f>I172</f>
        <v>0</v>
      </c>
      <c r="I7" s="798">
        <f>I194</f>
        <v>0</v>
      </c>
      <c r="J7" s="798">
        <f>I217</f>
        <v>0</v>
      </c>
      <c r="K7" s="798">
        <f>I242</f>
        <v>0</v>
      </c>
      <c r="L7" s="798">
        <f>I265</f>
        <v>0</v>
      </c>
      <c r="M7" s="798">
        <f>I290</f>
        <v>0</v>
      </c>
      <c r="N7" s="798">
        <f>I313</f>
        <v>0</v>
      </c>
      <c r="O7" s="798">
        <f t="shared" si="0"/>
        <v>90</v>
      </c>
    </row>
    <row r="8" spans="1:55" ht="13.5" customHeight="1">
      <c r="B8" s="800" t="s">
        <v>551</v>
      </c>
      <c r="C8" s="798">
        <f>J13</f>
        <v>90</v>
      </c>
      <c r="D8" s="799">
        <f>J52</f>
        <v>70</v>
      </c>
      <c r="E8" s="798">
        <f>J92</f>
        <v>0</v>
      </c>
      <c r="F8" s="798">
        <f>J119</f>
        <v>0</v>
      </c>
      <c r="G8" s="798">
        <f>J145</f>
        <v>0</v>
      </c>
      <c r="H8" s="798">
        <f>J172</f>
        <v>0</v>
      </c>
      <c r="I8" s="798">
        <f>J194</f>
        <v>0</v>
      </c>
      <c r="J8" s="798">
        <f>J217</f>
        <v>0</v>
      </c>
      <c r="K8" s="798">
        <f>J242</f>
        <v>0</v>
      </c>
      <c r="L8" s="798">
        <f>J265</f>
        <v>0</v>
      </c>
      <c r="M8" s="798">
        <f>J290</f>
        <v>0</v>
      </c>
      <c r="N8" s="798">
        <f>J313</f>
        <v>0</v>
      </c>
      <c r="O8" s="798">
        <f t="shared" si="0"/>
        <v>160</v>
      </c>
    </row>
    <row r="9" spans="1:55" ht="13.5" customHeight="1">
      <c r="B9" s="800" t="s">
        <v>58</v>
      </c>
      <c r="C9" s="798">
        <f>K13</f>
        <v>0</v>
      </c>
      <c r="D9" s="799">
        <f>K52</f>
        <v>0</v>
      </c>
      <c r="E9" s="798">
        <f>K92</f>
        <v>0</v>
      </c>
      <c r="F9" s="798">
        <f>K119</f>
        <v>0</v>
      </c>
      <c r="G9" s="798">
        <f>K145</f>
        <v>0</v>
      </c>
      <c r="H9" s="798">
        <f>K172</f>
        <v>0</v>
      </c>
      <c r="I9" s="798">
        <f>K194</f>
        <v>0</v>
      </c>
      <c r="J9" s="798">
        <f>K217</f>
        <v>0</v>
      </c>
      <c r="K9" s="798">
        <f>K242</f>
        <v>0</v>
      </c>
      <c r="L9" s="798">
        <f>K265</f>
        <v>0</v>
      </c>
      <c r="M9" s="798">
        <f>K290</f>
        <v>0</v>
      </c>
      <c r="N9" s="798">
        <f>K313</f>
        <v>0</v>
      </c>
      <c r="O9" s="798">
        <f t="shared" si="0"/>
        <v>0</v>
      </c>
    </row>
    <row r="10" spans="1:55" ht="13.5" customHeight="1">
      <c r="B10" s="800" t="s">
        <v>98</v>
      </c>
      <c r="C10" s="798">
        <f>L13</f>
        <v>0</v>
      </c>
      <c r="D10" s="799">
        <f>L52</f>
        <v>800</v>
      </c>
      <c r="E10" s="798">
        <f>L92</f>
        <v>0</v>
      </c>
      <c r="F10" s="798">
        <f>L120</f>
        <v>0</v>
      </c>
      <c r="G10" s="798">
        <f>L146</f>
        <v>0</v>
      </c>
      <c r="H10" s="798">
        <f>L173</f>
        <v>0</v>
      </c>
      <c r="I10" s="798">
        <f>L195</f>
        <v>0</v>
      </c>
      <c r="J10" s="798">
        <f>L218</f>
        <v>0</v>
      </c>
      <c r="K10" s="798">
        <f>L243</f>
        <v>0</v>
      </c>
      <c r="L10" s="798">
        <f>L266</f>
        <v>0</v>
      </c>
      <c r="M10" s="798">
        <f>L291</f>
        <v>0</v>
      </c>
      <c r="N10" s="798">
        <f>L314</f>
        <v>0</v>
      </c>
      <c r="O10" s="798">
        <f t="shared" si="0"/>
        <v>800</v>
      </c>
    </row>
    <row r="11" spans="1:55" ht="13.5" customHeight="1">
      <c r="B11" s="797" t="s">
        <v>561</v>
      </c>
      <c r="C11" s="795">
        <f>M13</f>
        <v>-137.94</v>
      </c>
      <c r="D11" s="796">
        <f>M52</f>
        <v>0</v>
      </c>
      <c r="E11" s="795">
        <f>M92</f>
        <v>0</v>
      </c>
      <c r="F11" s="795">
        <f>M119</f>
        <v>0</v>
      </c>
      <c r="G11" s="795">
        <f>M145</f>
        <v>0</v>
      </c>
      <c r="H11" s="795">
        <f>M172</f>
        <v>0</v>
      </c>
      <c r="I11" s="795">
        <f>M194</f>
        <v>0</v>
      </c>
      <c r="J11" s="795">
        <f>M217</f>
        <v>0</v>
      </c>
      <c r="K11" s="795">
        <f>M242</f>
        <v>0</v>
      </c>
      <c r="L11" s="795">
        <f>M265</f>
        <v>0</v>
      </c>
      <c r="M11" s="795">
        <f>M290</f>
        <v>0</v>
      </c>
      <c r="N11" s="795">
        <f>M313</f>
        <v>0</v>
      </c>
      <c r="O11" s="795">
        <f t="shared" si="0"/>
        <v>-137.94</v>
      </c>
    </row>
    <row r="12" spans="1:55" s="694" customFormat="1" ht="13.5" customHeight="1">
      <c r="A12" s="700"/>
      <c r="B12" s="788"/>
      <c r="C12" s="787"/>
      <c r="D12" s="786" t="s">
        <v>815</v>
      </c>
      <c r="E12" s="786" t="s">
        <v>48</v>
      </c>
      <c r="F12" s="786" t="s">
        <v>282</v>
      </c>
      <c r="G12" s="786" t="s">
        <v>280</v>
      </c>
      <c r="H12" s="786" t="s">
        <v>278</v>
      </c>
      <c r="I12" s="786" t="s">
        <v>552</v>
      </c>
      <c r="J12" s="786" t="s">
        <v>551</v>
      </c>
      <c r="K12" s="786" t="s">
        <v>58</v>
      </c>
      <c r="L12" s="786" t="s">
        <v>98</v>
      </c>
      <c r="M12" s="786" t="s">
        <v>561</v>
      </c>
      <c r="N12" s="786"/>
      <c r="O12" s="786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  <c r="AE12" s="695"/>
      <c r="AF12" s="695"/>
      <c r="AG12" s="695"/>
      <c r="AH12" s="695"/>
      <c r="AI12" s="695"/>
      <c r="AJ12" s="695"/>
      <c r="AK12" s="695"/>
      <c r="AL12" s="695"/>
      <c r="AM12" s="695"/>
      <c r="AN12" s="695"/>
      <c r="AO12" s="695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</row>
    <row r="13" spans="1:55" s="694" customFormat="1" ht="13.5" customHeight="1">
      <c r="A13" s="700"/>
      <c r="B13" s="788" t="s">
        <v>122</v>
      </c>
      <c r="C13" s="787" t="s">
        <v>37</v>
      </c>
      <c r="D13" s="786">
        <f t="shared" ref="D13:M13" si="1">SUM(D14:D51)</f>
        <v>6529.4299999999994</v>
      </c>
      <c r="E13" s="786">
        <f t="shared" si="1"/>
        <v>2158.75</v>
      </c>
      <c r="F13" s="786">
        <f t="shared" si="1"/>
        <v>148</v>
      </c>
      <c r="G13" s="786">
        <f t="shared" si="1"/>
        <v>324</v>
      </c>
      <c r="H13" s="786">
        <f t="shared" si="1"/>
        <v>465</v>
      </c>
      <c r="I13" s="786">
        <f t="shared" si="1"/>
        <v>30</v>
      </c>
      <c r="J13" s="786">
        <f t="shared" si="1"/>
        <v>90</v>
      </c>
      <c r="K13" s="786">
        <f t="shared" si="1"/>
        <v>0</v>
      </c>
      <c r="L13" s="786">
        <f t="shared" si="1"/>
        <v>0</v>
      </c>
      <c r="M13" s="786">
        <f t="shared" si="1"/>
        <v>-137.94</v>
      </c>
      <c r="N13" s="786"/>
      <c r="O13" s="786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  <c r="AE13" s="695"/>
      <c r="AF13" s="695"/>
      <c r="AG13" s="695"/>
      <c r="AH13" s="695"/>
      <c r="AI13" s="695"/>
      <c r="AJ13" s="695"/>
      <c r="AK13" s="695"/>
      <c r="AL13" s="695"/>
      <c r="AM13" s="695"/>
      <c r="AN13" s="695"/>
      <c r="AO13" s="695"/>
      <c r="AP13" s="695"/>
      <c r="AQ13" s="695"/>
      <c r="AR13" s="695"/>
      <c r="AS13" s="695"/>
      <c r="AT13" s="695"/>
      <c r="AU13" s="695"/>
      <c r="AV13" s="695"/>
      <c r="AW13" s="695"/>
      <c r="AX13" s="695"/>
      <c r="AY13" s="695"/>
      <c r="AZ13" s="695"/>
      <c r="BA13" s="695"/>
      <c r="BB13" s="695"/>
      <c r="BC13" s="695"/>
    </row>
    <row r="14" spans="1:55" ht="13.5" customHeight="1">
      <c r="A14" s="648"/>
      <c r="B14" s="791">
        <v>43462</v>
      </c>
      <c r="C14" s="790" t="s">
        <v>57</v>
      </c>
      <c r="D14" s="789">
        <v>700</v>
      </c>
      <c r="E14" s="789"/>
      <c r="F14" s="789"/>
      <c r="G14" s="789"/>
      <c r="H14" s="789"/>
      <c r="I14" s="789"/>
      <c r="J14" s="789"/>
      <c r="K14" s="789"/>
      <c r="L14" s="789"/>
      <c r="M14" s="789"/>
      <c r="N14" s="789"/>
      <c r="O14" s="789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  <c r="AH14" s="648"/>
      <c r="AI14" s="648"/>
      <c r="AJ14" s="648"/>
      <c r="AK14" s="648"/>
      <c r="AL14" s="648"/>
      <c r="AM14" s="648"/>
      <c r="AN14" s="648"/>
      <c r="AO14" s="648"/>
      <c r="AP14" s="648"/>
      <c r="AQ14" s="648"/>
      <c r="AR14" s="648"/>
      <c r="AS14" s="648"/>
      <c r="AT14" s="648"/>
      <c r="AU14" s="648"/>
      <c r="AV14" s="648"/>
      <c r="AW14" s="648"/>
      <c r="AX14" s="648"/>
      <c r="AY14" s="648"/>
      <c r="AZ14" s="648"/>
      <c r="BA14" s="648"/>
      <c r="BB14" s="648"/>
    </row>
    <row r="15" spans="1:55" ht="13.5" customHeight="1">
      <c r="A15" s="648"/>
      <c r="B15" s="791">
        <v>43462</v>
      </c>
      <c r="C15" s="790" t="s">
        <v>518</v>
      </c>
      <c r="D15" s="789"/>
      <c r="E15" s="789"/>
      <c r="F15" s="789"/>
      <c r="G15" s="789"/>
      <c r="H15" s="789">
        <v>190</v>
      </c>
      <c r="I15" s="789"/>
      <c r="J15" s="789"/>
      <c r="K15" s="789"/>
      <c r="L15" s="789"/>
      <c r="M15" s="789"/>
      <c r="N15" s="789"/>
      <c r="O15" s="789"/>
      <c r="P15" s="648"/>
      <c r="Q15" s="648"/>
      <c r="R15" s="648"/>
      <c r="S15" s="648"/>
      <c r="T15" s="648"/>
      <c r="U15" s="648"/>
      <c r="V15" s="648"/>
      <c r="W15" s="648"/>
      <c r="X15" s="648"/>
      <c r="Y15" s="648"/>
      <c r="Z15" s="648"/>
      <c r="AA15" s="648"/>
      <c r="AB15" s="648"/>
      <c r="AC15" s="648"/>
      <c r="AD15" s="648"/>
      <c r="AE15" s="648"/>
      <c r="AF15" s="648"/>
      <c r="AG15" s="648"/>
      <c r="AH15" s="648"/>
      <c r="AI15" s="648"/>
      <c r="AJ15" s="648"/>
      <c r="AK15" s="648"/>
      <c r="AL15" s="648"/>
      <c r="AM15" s="648"/>
      <c r="AN15" s="648"/>
      <c r="AO15" s="648"/>
      <c r="AP15" s="648"/>
      <c r="AQ15" s="648"/>
      <c r="AR15" s="648"/>
      <c r="AS15" s="648"/>
      <c r="AT15" s="648"/>
      <c r="AU15" s="648"/>
      <c r="AV15" s="648"/>
      <c r="AW15" s="648"/>
      <c r="AX15" s="648"/>
      <c r="AY15" s="648"/>
      <c r="AZ15" s="648"/>
      <c r="BA15" s="648"/>
      <c r="BB15" s="648"/>
    </row>
    <row r="16" spans="1:55" ht="13.5" customHeight="1">
      <c r="A16" s="648"/>
      <c r="B16" s="791">
        <v>43462</v>
      </c>
      <c r="C16" s="790" t="s">
        <v>48</v>
      </c>
      <c r="D16" s="789">
        <v>408.55</v>
      </c>
      <c r="E16" s="789">
        <f>D16</f>
        <v>408.55</v>
      </c>
      <c r="F16" s="789"/>
      <c r="G16" s="789"/>
      <c r="H16" s="789"/>
      <c r="I16" s="789"/>
      <c r="J16" s="789"/>
      <c r="K16" s="789"/>
      <c r="L16" s="789"/>
      <c r="M16" s="789"/>
      <c r="N16" s="789"/>
      <c r="O16" s="789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  <c r="AO16" s="648"/>
      <c r="AP16" s="648"/>
      <c r="AQ16" s="648"/>
      <c r="AR16" s="648"/>
      <c r="AS16" s="648"/>
      <c r="AT16" s="648"/>
      <c r="AU16" s="648"/>
      <c r="AV16" s="648"/>
      <c r="AW16" s="648"/>
      <c r="AX16" s="648"/>
      <c r="AY16" s="648"/>
      <c r="AZ16" s="648"/>
      <c r="BA16" s="648"/>
      <c r="BB16" s="648"/>
    </row>
    <row r="17" spans="1:54" ht="13.5" customHeight="1">
      <c r="A17" s="648"/>
      <c r="B17" s="791">
        <v>43462</v>
      </c>
      <c r="C17" s="790" t="s">
        <v>397</v>
      </c>
      <c r="D17" s="789">
        <v>239.4</v>
      </c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O17" s="789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  <c r="AO17" s="648"/>
      <c r="AP17" s="648"/>
      <c r="AQ17" s="648"/>
      <c r="AR17" s="648"/>
      <c r="AS17" s="648"/>
      <c r="AT17" s="648"/>
      <c r="AU17" s="648"/>
      <c r="AV17" s="648"/>
      <c r="AW17" s="648"/>
      <c r="AX17" s="648"/>
      <c r="AY17" s="648"/>
      <c r="AZ17" s="648"/>
      <c r="BA17" s="648"/>
      <c r="BB17" s="648"/>
    </row>
    <row r="18" spans="1:54" ht="13.5" customHeight="1">
      <c r="A18" s="648"/>
      <c r="B18" s="791">
        <v>43463</v>
      </c>
      <c r="C18" s="790" t="s">
        <v>444</v>
      </c>
      <c r="D18" s="789">
        <v>48</v>
      </c>
      <c r="E18" s="789">
        <f>D18</f>
        <v>48</v>
      </c>
      <c r="F18" s="789"/>
      <c r="G18" s="789"/>
      <c r="H18" s="789"/>
      <c r="I18" s="789"/>
      <c r="J18" s="789"/>
      <c r="K18" s="789"/>
      <c r="L18" s="789"/>
      <c r="M18" s="789"/>
      <c r="N18" s="789"/>
      <c r="O18" s="789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648"/>
      <c r="AP18" s="648"/>
      <c r="AQ18" s="648"/>
      <c r="AR18" s="648"/>
      <c r="AS18" s="648"/>
      <c r="AT18" s="648"/>
      <c r="AU18" s="648"/>
      <c r="AV18" s="648"/>
      <c r="AW18" s="648"/>
      <c r="AX18" s="648"/>
      <c r="AY18" s="648"/>
      <c r="AZ18" s="648"/>
      <c r="BA18" s="648"/>
      <c r="BB18" s="648"/>
    </row>
    <row r="19" spans="1:54" ht="13.5" customHeight="1">
      <c r="A19" s="648"/>
      <c r="B19" s="791">
        <v>43464</v>
      </c>
      <c r="C19" s="790" t="s">
        <v>548</v>
      </c>
      <c r="D19" s="789">
        <v>30</v>
      </c>
      <c r="E19" s="789"/>
      <c r="F19" s="789"/>
      <c r="G19" s="789"/>
      <c r="H19" s="789"/>
      <c r="I19" s="789"/>
      <c r="J19" s="789">
        <f>D19</f>
        <v>30</v>
      </c>
      <c r="K19" s="789"/>
      <c r="L19" s="789"/>
      <c r="M19" s="789"/>
      <c r="N19" s="789"/>
      <c r="O19" s="789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  <c r="AO19" s="648"/>
      <c r="AP19" s="648"/>
      <c r="AQ19" s="648"/>
      <c r="AR19" s="648"/>
      <c r="AS19" s="648"/>
      <c r="AT19" s="648"/>
      <c r="AU19" s="648"/>
      <c r="AV19" s="648"/>
      <c r="AW19" s="648"/>
      <c r="AX19" s="648"/>
      <c r="AY19" s="648"/>
      <c r="AZ19" s="648"/>
      <c r="BA19" s="648"/>
      <c r="BB19" s="648"/>
    </row>
    <row r="20" spans="1:54" ht="13.5" customHeight="1">
      <c r="A20" s="648"/>
      <c r="B20" s="791">
        <v>43466</v>
      </c>
      <c r="C20" s="790" t="s">
        <v>22</v>
      </c>
      <c r="D20" s="789">
        <v>89</v>
      </c>
      <c r="E20" s="789"/>
      <c r="F20" s="789"/>
      <c r="G20" s="789">
        <v>89</v>
      </c>
      <c r="H20" s="789"/>
      <c r="I20" s="789"/>
      <c r="J20" s="789"/>
      <c r="K20" s="789"/>
      <c r="L20" s="789"/>
      <c r="M20" s="789"/>
      <c r="N20" s="789"/>
      <c r="O20" s="789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  <c r="AO20" s="648"/>
      <c r="AP20" s="648"/>
      <c r="AQ20" s="648"/>
      <c r="AR20" s="648"/>
      <c r="AS20" s="648"/>
      <c r="AT20" s="648"/>
      <c r="AU20" s="648"/>
      <c r="AV20" s="648"/>
      <c r="AW20" s="648"/>
      <c r="AX20" s="648"/>
      <c r="AY20" s="648"/>
      <c r="AZ20" s="648"/>
      <c r="BA20" s="648"/>
      <c r="BB20" s="648"/>
    </row>
    <row r="21" spans="1:54" ht="13.5" customHeight="1">
      <c r="A21" s="648"/>
      <c r="B21" s="791">
        <v>43466</v>
      </c>
      <c r="C21" s="790" t="s">
        <v>230</v>
      </c>
      <c r="D21" s="789">
        <v>59</v>
      </c>
      <c r="E21" s="789"/>
      <c r="F21" s="789"/>
      <c r="G21" s="789">
        <v>59</v>
      </c>
      <c r="H21" s="789"/>
      <c r="I21" s="789"/>
      <c r="J21" s="789"/>
      <c r="K21" s="789"/>
      <c r="L21" s="789"/>
      <c r="M21" s="789"/>
      <c r="N21" s="789"/>
      <c r="O21" s="789"/>
      <c r="P21" s="648"/>
      <c r="Q21" s="648"/>
      <c r="R21" s="648"/>
      <c r="S21" s="648"/>
      <c r="T21" s="648"/>
      <c r="U21" s="648"/>
      <c r="V21" s="648"/>
      <c r="W21" s="648"/>
      <c r="X21" s="648"/>
      <c r="Y21" s="648"/>
      <c r="Z21" s="648"/>
      <c r="AA21" s="648"/>
      <c r="AB21" s="648"/>
      <c r="AC21" s="648"/>
      <c r="AD21" s="648"/>
      <c r="AE21" s="648"/>
      <c r="AF21" s="648"/>
      <c r="AG21" s="648"/>
      <c r="AH21" s="648"/>
      <c r="AI21" s="648"/>
      <c r="AJ21" s="648"/>
      <c r="AK21" s="648"/>
      <c r="AL21" s="648"/>
      <c r="AM21" s="648"/>
      <c r="AN21" s="648"/>
      <c r="AO21" s="648"/>
      <c r="AP21" s="648"/>
      <c r="AQ21" s="648"/>
      <c r="AR21" s="648"/>
      <c r="AS21" s="648"/>
      <c r="AT21" s="648"/>
      <c r="AU21" s="648"/>
      <c r="AV21" s="648"/>
      <c r="AW21" s="648"/>
      <c r="AX21" s="648"/>
      <c r="AY21" s="648"/>
      <c r="AZ21" s="648"/>
      <c r="BA21" s="648"/>
      <c r="BB21" s="648"/>
    </row>
    <row r="22" spans="1:54" ht="13.5" customHeight="1">
      <c r="A22" s="648"/>
      <c r="B22" s="791">
        <v>43467</v>
      </c>
      <c r="C22" s="790" t="s">
        <v>464</v>
      </c>
      <c r="D22" s="789">
        <v>129</v>
      </c>
      <c r="E22" s="789"/>
      <c r="F22" s="789">
        <v>129</v>
      </c>
      <c r="G22" s="789"/>
      <c r="H22" s="789"/>
      <c r="I22" s="789"/>
      <c r="J22" s="789"/>
      <c r="K22" s="789"/>
      <c r="L22" s="789"/>
      <c r="M22" s="789"/>
      <c r="N22" s="789"/>
      <c r="O22" s="789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  <c r="AC22" s="648"/>
      <c r="AD22" s="648"/>
      <c r="AE22" s="648"/>
      <c r="AF22" s="648"/>
      <c r="AG22" s="648"/>
      <c r="AH22" s="648"/>
      <c r="AI22" s="648"/>
      <c r="AJ22" s="648"/>
      <c r="AK22" s="648"/>
      <c r="AL22" s="648"/>
      <c r="AM22" s="648"/>
      <c r="AN22" s="648"/>
      <c r="AO22" s="648"/>
      <c r="AP22" s="648"/>
      <c r="AQ22" s="648"/>
      <c r="AR22" s="648"/>
      <c r="AS22" s="648"/>
      <c r="AT22" s="648"/>
      <c r="AU22" s="648"/>
      <c r="AV22" s="648"/>
      <c r="AW22" s="648"/>
      <c r="AX22" s="648"/>
      <c r="AY22" s="648"/>
      <c r="AZ22" s="648"/>
      <c r="BA22" s="648"/>
      <c r="BB22" s="648"/>
    </row>
    <row r="23" spans="1:54" ht="13.5" customHeight="1">
      <c r="A23" s="648"/>
      <c r="B23" s="791">
        <v>43467</v>
      </c>
      <c r="C23" s="790" t="s">
        <v>21</v>
      </c>
      <c r="D23" s="789">
        <v>176</v>
      </c>
      <c r="E23" s="789"/>
      <c r="F23" s="789"/>
      <c r="G23" s="789">
        <v>176</v>
      </c>
      <c r="H23" s="789"/>
      <c r="I23" s="789"/>
      <c r="J23" s="789"/>
      <c r="K23" s="789"/>
      <c r="L23" s="789"/>
      <c r="M23" s="789"/>
      <c r="N23" s="789"/>
      <c r="O23" s="789"/>
      <c r="P23" s="648"/>
      <c r="Q23" s="648"/>
      <c r="R23" s="648"/>
      <c r="S23" s="648"/>
      <c r="T23" s="648"/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  <c r="AF23" s="648"/>
      <c r="AG23" s="648"/>
      <c r="AH23" s="648"/>
      <c r="AI23" s="648"/>
      <c r="AJ23" s="648"/>
      <c r="AK23" s="648"/>
      <c r="AL23" s="648"/>
      <c r="AM23" s="648"/>
      <c r="AN23" s="648"/>
      <c r="AO23" s="648"/>
      <c r="AP23" s="648"/>
      <c r="AQ23" s="648"/>
      <c r="AR23" s="648"/>
      <c r="AS23" s="648"/>
      <c r="AT23" s="648"/>
      <c r="AU23" s="648"/>
      <c r="AV23" s="648"/>
      <c r="AW23" s="648"/>
      <c r="AX23" s="648"/>
      <c r="AY23" s="648"/>
      <c r="AZ23" s="648"/>
      <c r="BA23" s="648"/>
      <c r="BB23" s="648"/>
    </row>
    <row r="24" spans="1:54" ht="13.5" customHeight="1">
      <c r="A24" s="648"/>
      <c r="B24" s="791">
        <v>43467</v>
      </c>
      <c r="C24" s="790" t="s">
        <v>186</v>
      </c>
      <c r="D24" s="789"/>
      <c r="E24" s="789"/>
      <c r="F24" s="789"/>
      <c r="G24" s="789"/>
      <c r="H24" s="789">
        <v>200</v>
      </c>
      <c r="I24" s="789"/>
      <c r="J24" s="789"/>
      <c r="K24" s="789"/>
      <c r="L24" s="789"/>
      <c r="M24" s="789"/>
      <c r="N24" s="789"/>
      <c r="O24" s="789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  <c r="AC24" s="648"/>
      <c r="AD24" s="648"/>
      <c r="AE24" s="648"/>
      <c r="AF24" s="648"/>
      <c r="AG24" s="648"/>
      <c r="AH24" s="648"/>
      <c r="AI24" s="648"/>
      <c r="AJ24" s="648"/>
      <c r="AK24" s="648"/>
      <c r="AL24" s="648"/>
      <c r="AM24" s="648"/>
      <c r="AN24" s="648"/>
      <c r="AO24" s="648"/>
      <c r="AP24" s="648"/>
      <c r="AQ24" s="648"/>
      <c r="AR24" s="648"/>
      <c r="AS24" s="648"/>
      <c r="AT24" s="648"/>
      <c r="AU24" s="648"/>
      <c r="AV24" s="648"/>
      <c r="AW24" s="648"/>
      <c r="AX24" s="648"/>
      <c r="AY24" s="648"/>
      <c r="AZ24" s="648"/>
      <c r="BA24" s="648"/>
      <c r="BB24" s="648"/>
    </row>
    <row r="25" spans="1:54" ht="13.5" customHeight="1">
      <c r="A25" s="648"/>
      <c r="B25" s="791">
        <v>43467</v>
      </c>
      <c r="C25" s="790" t="s">
        <v>525</v>
      </c>
      <c r="D25" s="789">
        <v>129</v>
      </c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789"/>
      <c r="P25" s="648"/>
      <c r="Q25" s="648"/>
      <c r="R25" s="648"/>
      <c r="S25" s="648"/>
      <c r="T25" s="648"/>
      <c r="U25" s="648"/>
      <c r="V25" s="648"/>
      <c r="W25" s="648"/>
      <c r="X25" s="648"/>
      <c r="Y25" s="648"/>
      <c r="Z25" s="648"/>
      <c r="AA25" s="648"/>
      <c r="AB25" s="648"/>
      <c r="AC25" s="648"/>
      <c r="AD25" s="648"/>
      <c r="AE25" s="648"/>
      <c r="AF25" s="648"/>
      <c r="AG25" s="648"/>
      <c r="AH25" s="648"/>
      <c r="AI25" s="648"/>
      <c r="AJ25" s="648"/>
      <c r="AK25" s="648"/>
      <c r="AL25" s="648"/>
      <c r="AM25" s="648"/>
      <c r="AN25" s="648"/>
      <c r="AO25" s="648"/>
      <c r="AP25" s="648"/>
      <c r="AQ25" s="648"/>
      <c r="AR25" s="648"/>
      <c r="AS25" s="648"/>
      <c r="AT25" s="648"/>
      <c r="AU25" s="648"/>
      <c r="AV25" s="648"/>
      <c r="AW25" s="648"/>
      <c r="AX25" s="648"/>
      <c r="AY25" s="648"/>
      <c r="AZ25" s="648"/>
      <c r="BA25" s="648"/>
      <c r="BB25" s="648"/>
    </row>
    <row r="26" spans="1:54" ht="13.5" customHeight="1">
      <c r="A26" s="648"/>
      <c r="B26" s="791">
        <v>43468</v>
      </c>
      <c r="C26" s="790" t="s">
        <v>537</v>
      </c>
      <c r="D26" s="789">
        <v>-137.94</v>
      </c>
      <c r="E26" s="789"/>
      <c r="F26" s="789"/>
      <c r="G26" s="789"/>
      <c r="H26" s="789"/>
      <c r="I26" s="789"/>
      <c r="J26" s="789"/>
      <c r="K26" s="789"/>
      <c r="L26" s="789"/>
      <c r="M26" s="789">
        <v>-137.94</v>
      </c>
      <c r="N26" s="789"/>
      <c r="O26" s="789"/>
      <c r="P26" s="648"/>
      <c r="Q26" s="648"/>
      <c r="R26" s="648"/>
      <c r="S26" s="648"/>
      <c r="T26" s="648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</row>
    <row r="27" spans="1:54" ht="13.5" customHeight="1">
      <c r="A27" s="648"/>
      <c r="B27" s="791">
        <v>43468</v>
      </c>
      <c r="C27" s="790" t="s">
        <v>48</v>
      </c>
      <c r="D27" s="789">
        <v>279</v>
      </c>
      <c r="E27" s="789">
        <v>279</v>
      </c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648"/>
      <c r="Q27" s="648"/>
      <c r="R27" s="648"/>
      <c r="S27" s="648"/>
      <c r="T27" s="648"/>
      <c r="U27" s="648"/>
      <c r="V27" s="648"/>
      <c r="W27" s="648"/>
      <c r="X27" s="648"/>
      <c r="Y27" s="648"/>
      <c r="Z27" s="648"/>
      <c r="AA27" s="648"/>
      <c r="AB27" s="648"/>
      <c r="AC27" s="648"/>
      <c r="AD27" s="648"/>
      <c r="AE27" s="648"/>
      <c r="AF27" s="648"/>
      <c r="AG27" s="648"/>
      <c r="AH27" s="648"/>
      <c r="AI27" s="648"/>
      <c r="AJ27" s="648"/>
      <c r="AK27" s="648"/>
      <c r="AL27" s="648"/>
      <c r="AM27" s="648"/>
      <c r="AN27" s="648"/>
      <c r="AO27" s="648"/>
      <c r="AP27" s="648"/>
      <c r="AQ27" s="648"/>
      <c r="AR27" s="648"/>
      <c r="AS27" s="648"/>
      <c r="AT27" s="648"/>
      <c r="AU27" s="648"/>
      <c r="AV27" s="648"/>
      <c r="AW27" s="648"/>
      <c r="AX27" s="648"/>
      <c r="AY27" s="648"/>
      <c r="AZ27" s="648"/>
      <c r="BA27" s="648"/>
      <c r="BB27" s="648"/>
    </row>
    <row r="28" spans="1:54" ht="13.5" customHeight="1">
      <c r="A28" s="648"/>
      <c r="B28" s="791">
        <v>43470</v>
      </c>
      <c r="C28" s="790" t="s">
        <v>239</v>
      </c>
      <c r="D28" s="789">
        <v>75</v>
      </c>
      <c r="E28" s="789"/>
      <c r="F28" s="789"/>
      <c r="G28" s="789"/>
      <c r="H28" s="789">
        <v>75</v>
      </c>
      <c r="I28" s="789"/>
      <c r="J28" s="789"/>
      <c r="K28" s="789"/>
      <c r="L28" s="789"/>
      <c r="M28" s="789"/>
      <c r="N28" s="789"/>
      <c r="O28" s="789"/>
      <c r="P28" s="648"/>
      <c r="Q28" s="648"/>
      <c r="R28" s="648"/>
      <c r="S28" s="648"/>
      <c r="T28" s="648"/>
      <c r="U28" s="648"/>
      <c r="V28" s="648"/>
      <c r="W28" s="648"/>
      <c r="X28" s="648"/>
      <c r="Y28" s="648"/>
      <c r="Z28" s="648"/>
      <c r="AA28" s="648"/>
      <c r="AB28" s="648"/>
      <c r="AC28" s="648"/>
      <c r="AD28" s="648"/>
      <c r="AE28" s="648"/>
      <c r="AF28" s="648"/>
      <c r="AG28" s="648"/>
      <c r="AH28" s="648"/>
      <c r="AI28" s="648"/>
      <c r="AJ28" s="648"/>
      <c r="AK28" s="648"/>
      <c r="AL28" s="648"/>
      <c r="AM28" s="648"/>
      <c r="AN28" s="648"/>
      <c r="AO28" s="648"/>
      <c r="AP28" s="648"/>
      <c r="AQ28" s="648"/>
      <c r="AR28" s="648"/>
      <c r="AS28" s="648"/>
      <c r="AT28" s="648"/>
      <c r="AU28" s="648"/>
      <c r="AV28" s="648"/>
      <c r="AW28" s="648"/>
      <c r="AX28" s="648"/>
      <c r="AY28" s="648"/>
      <c r="AZ28" s="648"/>
      <c r="BA28" s="648"/>
      <c r="BB28" s="648"/>
    </row>
    <row r="29" spans="1:54" ht="13.5" customHeight="1">
      <c r="A29" s="648"/>
      <c r="B29" s="791">
        <v>43470</v>
      </c>
      <c r="C29" s="790" t="s">
        <v>546</v>
      </c>
      <c r="D29" s="789">
        <v>30</v>
      </c>
      <c r="E29" s="789"/>
      <c r="F29" s="789"/>
      <c r="G29" s="789"/>
      <c r="H29" s="789"/>
      <c r="I29" s="789"/>
      <c r="J29" s="789">
        <f>D29</f>
        <v>30</v>
      </c>
      <c r="K29" s="789"/>
      <c r="L29" s="789"/>
      <c r="M29" s="789"/>
      <c r="N29" s="789"/>
      <c r="O29" s="789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  <c r="AA29" s="648"/>
      <c r="AB29" s="648"/>
      <c r="AC29" s="648"/>
      <c r="AD29" s="648"/>
      <c r="AE29" s="648"/>
      <c r="AF29" s="648"/>
      <c r="AG29" s="648"/>
      <c r="AH29" s="648"/>
      <c r="AI29" s="648"/>
      <c r="AJ29" s="648"/>
      <c r="AK29" s="648"/>
      <c r="AL29" s="648"/>
      <c r="AM29" s="648"/>
      <c r="AN29" s="648"/>
      <c r="AO29" s="648"/>
      <c r="AP29" s="648"/>
      <c r="AQ29" s="648"/>
      <c r="AR29" s="648"/>
      <c r="AS29" s="648"/>
      <c r="AT29" s="648"/>
      <c r="AU29" s="648"/>
      <c r="AV29" s="648"/>
      <c r="AW29" s="648"/>
      <c r="AX29" s="648"/>
      <c r="AY29" s="648"/>
      <c r="AZ29" s="648"/>
      <c r="BA29" s="648"/>
      <c r="BB29" s="648"/>
    </row>
    <row r="30" spans="1:54" ht="13.5" customHeight="1">
      <c r="A30" s="648"/>
      <c r="B30" s="791">
        <v>43470</v>
      </c>
      <c r="C30" s="790" t="s">
        <v>48</v>
      </c>
      <c r="D30" s="789">
        <v>1023.2</v>
      </c>
      <c r="E30" s="789">
        <v>1023.2</v>
      </c>
      <c r="F30" s="789"/>
      <c r="G30" s="789"/>
      <c r="H30" s="789"/>
      <c r="I30" s="789"/>
      <c r="J30" s="789"/>
      <c r="K30" s="789"/>
      <c r="L30" s="789"/>
      <c r="M30" s="789"/>
      <c r="N30" s="789"/>
      <c r="O30" s="789"/>
      <c r="P30" s="648"/>
      <c r="Q30" s="648"/>
      <c r="R30" s="648"/>
      <c r="S30" s="648"/>
      <c r="T30" s="648"/>
      <c r="U30" s="648"/>
      <c r="V30" s="648"/>
      <c r="W30" s="648"/>
      <c r="X30" s="648"/>
      <c r="Y30" s="648"/>
      <c r="Z30" s="648"/>
      <c r="AA30" s="648"/>
      <c r="AB30" s="648"/>
      <c r="AC30" s="648"/>
      <c r="AD30" s="648"/>
      <c r="AE30" s="648"/>
      <c r="AF30" s="648"/>
      <c r="AG30" s="648"/>
      <c r="AH30" s="648"/>
      <c r="AI30" s="648"/>
      <c r="AJ30" s="648"/>
      <c r="AK30" s="648"/>
      <c r="AL30" s="648"/>
      <c r="AM30" s="648"/>
      <c r="AN30" s="648"/>
      <c r="AO30" s="648"/>
      <c r="AP30" s="648"/>
      <c r="AQ30" s="648"/>
      <c r="AR30" s="648"/>
      <c r="AS30" s="648"/>
      <c r="AT30" s="648"/>
      <c r="AU30" s="648"/>
      <c r="AV30" s="648"/>
      <c r="AW30" s="648"/>
      <c r="AX30" s="648"/>
      <c r="AY30" s="648"/>
      <c r="AZ30" s="648"/>
      <c r="BA30" s="648"/>
      <c r="BB30" s="648"/>
    </row>
    <row r="31" spans="1:54" ht="13.5" customHeight="1">
      <c r="A31" s="648"/>
      <c r="B31" s="791">
        <v>43474</v>
      </c>
      <c r="C31" s="790" t="s">
        <v>37</v>
      </c>
      <c r="D31" s="789">
        <v>36.9</v>
      </c>
      <c r="E31" s="789"/>
      <c r="F31" s="789"/>
      <c r="G31" s="789"/>
      <c r="H31" s="789"/>
      <c r="I31" s="789"/>
      <c r="J31" s="789"/>
      <c r="K31" s="789"/>
      <c r="L31" s="789"/>
      <c r="M31" s="789"/>
      <c r="N31" s="789"/>
      <c r="O31" s="789"/>
      <c r="P31" s="648"/>
      <c r="Q31" s="648"/>
      <c r="R31" s="648"/>
      <c r="S31" s="648"/>
      <c r="T31" s="648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</row>
    <row r="32" spans="1:54" ht="13.5" customHeight="1">
      <c r="A32" s="648"/>
      <c r="B32" s="791">
        <v>43475</v>
      </c>
      <c r="C32" s="790" t="s">
        <v>544</v>
      </c>
      <c r="D32" s="789">
        <v>148</v>
      </c>
      <c r="E32" s="789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648"/>
      <c r="Q32" s="648"/>
      <c r="R32" s="648"/>
      <c r="S32" s="648"/>
      <c r="T32" s="648"/>
      <c r="U32" s="648"/>
      <c r="V32" s="648"/>
      <c r="W32" s="648"/>
      <c r="X32" s="648"/>
      <c r="Y32" s="648"/>
      <c r="Z32" s="648"/>
      <c r="AA32" s="648"/>
      <c r="AB32" s="648"/>
      <c r="AC32" s="648"/>
      <c r="AD32" s="648"/>
      <c r="AE32" s="648"/>
      <c r="AF32" s="648"/>
      <c r="AG32" s="648"/>
      <c r="AH32" s="648"/>
      <c r="AI32" s="648"/>
      <c r="AJ32" s="648"/>
      <c r="AK32" s="648"/>
      <c r="AL32" s="648"/>
      <c r="AM32" s="648"/>
      <c r="AN32" s="648"/>
      <c r="AO32" s="648"/>
      <c r="AP32" s="648"/>
      <c r="AQ32" s="648"/>
      <c r="AR32" s="648"/>
      <c r="AS32" s="648"/>
      <c r="AT32" s="648"/>
      <c r="AU32" s="648"/>
      <c r="AV32" s="648"/>
      <c r="AW32" s="648"/>
      <c r="AX32" s="648"/>
      <c r="AY32" s="648"/>
      <c r="AZ32" s="648"/>
      <c r="BA32" s="648"/>
      <c r="BB32" s="648"/>
    </row>
    <row r="33" spans="1:54" ht="13.5" customHeight="1">
      <c r="A33" s="648"/>
      <c r="B33" s="791">
        <v>43475</v>
      </c>
      <c r="C33" s="790" t="s">
        <v>543</v>
      </c>
      <c r="D33" s="789">
        <v>69</v>
      </c>
      <c r="E33" s="789"/>
      <c r="F33" s="789"/>
      <c r="G33" s="789"/>
      <c r="H33" s="789"/>
      <c r="I33" s="789"/>
      <c r="J33" s="789"/>
      <c r="K33" s="789"/>
      <c r="L33" s="789"/>
      <c r="M33" s="789"/>
      <c r="N33" s="789"/>
      <c r="O33" s="789"/>
      <c r="P33" s="648"/>
      <c r="Q33" s="648"/>
      <c r="R33" s="648"/>
      <c r="S33" s="648"/>
      <c r="T33" s="648"/>
      <c r="U33" s="648"/>
      <c r="V33" s="648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</row>
    <row r="34" spans="1:54" ht="13.5" customHeight="1">
      <c r="A34" s="648"/>
      <c r="B34" s="791">
        <v>43475</v>
      </c>
      <c r="C34" s="790" t="s">
        <v>542</v>
      </c>
      <c r="D34" s="789">
        <v>19</v>
      </c>
      <c r="E34" s="789"/>
      <c r="F34" s="789">
        <v>19</v>
      </c>
      <c r="G34" s="789"/>
      <c r="H34" s="789"/>
      <c r="I34" s="789"/>
      <c r="J34" s="789"/>
      <c r="K34" s="789"/>
      <c r="L34" s="789"/>
      <c r="M34" s="789"/>
      <c r="N34" s="789"/>
      <c r="O34" s="789"/>
      <c r="P34" s="648"/>
      <c r="Q34" s="648"/>
      <c r="R34" s="648"/>
      <c r="S34" s="648"/>
      <c r="T34" s="648"/>
      <c r="U34" s="648"/>
      <c r="V34" s="648"/>
      <c r="W34" s="648"/>
      <c r="X34" s="648"/>
      <c r="Y34" s="648"/>
      <c r="Z34" s="648"/>
      <c r="AA34" s="648"/>
      <c r="AB34" s="648"/>
      <c r="AC34" s="648"/>
      <c r="AD34" s="648"/>
      <c r="AE34" s="648"/>
      <c r="AF34" s="648"/>
      <c r="AG34" s="648"/>
      <c r="AH34" s="648"/>
      <c r="AI34" s="648"/>
      <c r="AJ34" s="648"/>
      <c r="AK34" s="648"/>
      <c r="AL34" s="648"/>
      <c r="AM34" s="648"/>
      <c r="AN34" s="648"/>
      <c r="AO34" s="648"/>
      <c r="AP34" s="648"/>
      <c r="AQ34" s="648"/>
      <c r="AR34" s="648"/>
      <c r="AS34" s="648"/>
      <c r="AT34" s="648"/>
      <c r="AU34" s="648"/>
      <c r="AV34" s="648"/>
      <c r="AW34" s="648"/>
      <c r="AX34" s="648"/>
      <c r="AY34" s="648"/>
      <c r="AZ34" s="648"/>
      <c r="BA34" s="648"/>
      <c r="BB34" s="648"/>
    </row>
    <row r="35" spans="1:54" ht="13.5" customHeight="1">
      <c r="A35" s="648"/>
      <c r="B35" s="791">
        <v>43475</v>
      </c>
      <c r="C35" s="790" t="s">
        <v>541</v>
      </c>
      <c r="D35" s="789">
        <v>29</v>
      </c>
      <c r="E35" s="789"/>
      <c r="F35" s="789"/>
      <c r="G35" s="789"/>
      <c r="H35" s="789"/>
      <c r="I35" s="789"/>
      <c r="J35" s="789"/>
      <c r="K35" s="789"/>
      <c r="L35" s="789"/>
      <c r="M35" s="789"/>
      <c r="N35" s="789"/>
      <c r="O35" s="789"/>
      <c r="P35" s="648"/>
      <c r="Q35" s="648"/>
      <c r="R35" s="648"/>
      <c r="S35" s="648"/>
      <c r="T35" s="648"/>
      <c r="U35" s="648"/>
      <c r="V35" s="648"/>
      <c r="W35" s="648"/>
      <c r="X35" s="648"/>
      <c r="Y35" s="648"/>
      <c r="Z35" s="648"/>
      <c r="AA35" s="648"/>
      <c r="AB35" s="648"/>
      <c r="AC35" s="648"/>
      <c r="AD35" s="648"/>
      <c r="AE35" s="648"/>
      <c r="AF35" s="648"/>
      <c r="AG35" s="648"/>
      <c r="AH35" s="648"/>
      <c r="AI35" s="648"/>
      <c r="AJ35" s="648"/>
      <c r="AK35" s="648"/>
      <c r="AL35" s="648"/>
      <c r="AM35" s="648"/>
      <c r="AN35" s="648"/>
      <c r="AO35" s="648"/>
      <c r="AP35" s="648"/>
      <c r="AQ35" s="648"/>
      <c r="AR35" s="648"/>
      <c r="AS35" s="648"/>
      <c r="AT35" s="648"/>
      <c r="AU35" s="648"/>
      <c r="AV35" s="648"/>
      <c r="AW35" s="648"/>
      <c r="AX35" s="648"/>
      <c r="AY35" s="648"/>
      <c r="AZ35" s="648"/>
      <c r="BA35" s="648"/>
      <c r="BB35" s="648"/>
    </row>
    <row r="36" spans="1:54" ht="13.5" customHeight="1">
      <c r="A36" s="648"/>
      <c r="B36" s="791">
        <v>43475</v>
      </c>
      <c r="C36" s="790" t="s">
        <v>540</v>
      </c>
      <c r="D36" s="789">
        <v>129</v>
      </c>
      <c r="E36" s="789"/>
      <c r="F36" s="789"/>
      <c r="G36" s="789"/>
      <c r="H36" s="789"/>
      <c r="I36" s="789"/>
      <c r="J36" s="789"/>
      <c r="K36" s="789"/>
      <c r="L36" s="789"/>
      <c r="M36" s="789"/>
      <c r="N36" s="789"/>
      <c r="O36" s="789"/>
      <c r="P36" s="648"/>
      <c r="Q36" s="648"/>
      <c r="R36" s="648"/>
      <c r="S36" s="648"/>
      <c r="T36" s="648"/>
      <c r="U36" s="648"/>
      <c r="V36" s="648"/>
      <c r="W36" s="648"/>
      <c r="X36" s="648"/>
      <c r="Y36" s="648"/>
      <c r="Z36" s="648"/>
      <c r="AA36" s="648"/>
      <c r="AB36" s="648"/>
      <c r="AC36" s="648"/>
      <c r="AD36" s="648"/>
      <c r="AE36" s="648"/>
      <c r="AF36" s="648"/>
      <c r="AG36" s="648"/>
      <c r="AH36" s="648"/>
      <c r="AI36" s="648"/>
      <c r="AJ36" s="648"/>
      <c r="AK36" s="648"/>
      <c r="AL36" s="648"/>
      <c r="AM36" s="648"/>
      <c r="AN36" s="648"/>
      <c r="AO36" s="648"/>
      <c r="AP36" s="648"/>
      <c r="AQ36" s="648"/>
      <c r="AR36" s="648"/>
      <c r="AS36" s="648"/>
      <c r="AT36" s="648"/>
      <c r="AU36" s="648"/>
      <c r="AV36" s="648"/>
      <c r="AW36" s="648"/>
      <c r="AX36" s="648"/>
      <c r="AY36" s="648"/>
      <c r="AZ36" s="648"/>
      <c r="BA36" s="648"/>
      <c r="BB36" s="648"/>
    </row>
    <row r="37" spans="1:54" ht="13.5" customHeight="1">
      <c r="A37" s="648"/>
      <c r="B37" s="791">
        <v>43476</v>
      </c>
      <c r="C37" s="790" t="s">
        <v>539</v>
      </c>
      <c r="D37" s="789">
        <v>29</v>
      </c>
      <c r="E37" s="789"/>
      <c r="F37" s="789"/>
      <c r="G37" s="789"/>
      <c r="H37" s="789"/>
      <c r="I37" s="789"/>
      <c r="J37" s="789"/>
      <c r="K37" s="789"/>
      <c r="L37" s="789"/>
      <c r="M37" s="789"/>
      <c r="N37" s="789"/>
      <c r="O37" s="789"/>
      <c r="P37" s="648"/>
      <c r="Q37" s="648"/>
      <c r="R37" s="648"/>
      <c r="S37" s="648"/>
      <c r="T37" s="648"/>
      <c r="U37" s="648"/>
      <c r="V37" s="648"/>
      <c r="W37" s="648"/>
      <c r="X37" s="648"/>
      <c r="Y37" s="648"/>
      <c r="Z37" s="648"/>
      <c r="AA37" s="648"/>
      <c r="AB37" s="648"/>
      <c r="AC37" s="648"/>
      <c r="AD37" s="648"/>
      <c r="AE37" s="648"/>
      <c r="AF37" s="648"/>
      <c r="AG37" s="648"/>
      <c r="AH37" s="648"/>
      <c r="AI37" s="648"/>
      <c r="AJ37" s="648"/>
      <c r="AK37" s="648"/>
      <c r="AL37" s="648"/>
      <c r="AM37" s="648"/>
      <c r="AN37" s="648"/>
      <c r="AO37" s="648"/>
      <c r="AP37" s="648"/>
      <c r="AQ37" s="648"/>
      <c r="AR37" s="648"/>
      <c r="AS37" s="648"/>
      <c r="AT37" s="648"/>
      <c r="AU37" s="648"/>
      <c r="AV37" s="648"/>
      <c r="AW37" s="648"/>
      <c r="AX37" s="648"/>
      <c r="AY37" s="648"/>
      <c r="AZ37" s="648"/>
      <c r="BA37" s="648"/>
      <c r="BB37" s="648"/>
    </row>
    <row r="38" spans="1:54" ht="13.5" customHeight="1">
      <c r="A38" s="648"/>
      <c r="B38" s="791">
        <v>43476</v>
      </c>
      <c r="C38" s="790" t="s">
        <v>167</v>
      </c>
      <c r="D38" s="789">
        <v>280</v>
      </c>
      <c r="E38" s="789"/>
      <c r="F38" s="789"/>
      <c r="G38" s="789"/>
      <c r="H38" s="789"/>
      <c r="I38" s="789"/>
      <c r="J38" s="789"/>
      <c r="K38" s="789"/>
      <c r="L38" s="789"/>
      <c r="M38" s="789"/>
      <c r="N38" s="789"/>
      <c r="O38" s="789"/>
      <c r="P38" s="648"/>
      <c r="Q38" s="648"/>
      <c r="R38" s="648"/>
      <c r="S38" s="648"/>
      <c r="T38" s="648"/>
      <c r="U38" s="648"/>
      <c r="V38" s="648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</row>
    <row r="39" spans="1:54" ht="13.5" customHeight="1">
      <c r="A39" s="648"/>
      <c r="B39" s="791">
        <v>43477</v>
      </c>
      <c r="C39" s="790" t="s">
        <v>474</v>
      </c>
      <c r="D39" s="789">
        <v>170</v>
      </c>
      <c r="E39" s="789"/>
      <c r="F39" s="789"/>
      <c r="G39" s="789"/>
      <c r="H39" s="789"/>
      <c r="I39" s="789"/>
      <c r="J39" s="789"/>
      <c r="K39" s="789"/>
      <c r="L39" s="789"/>
      <c r="M39" s="789"/>
      <c r="N39" s="789"/>
      <c r="O39" s="789"/>
      <c r="P39" s="648"/>
      <c r="Q39" s="648"/>
      <c r="R39" s="648"/>
      <c r="S39" s="648"/>
      <c r="T39" s="648"/>
      <c r="U39" s="648"/>
      <c r="V39" s="648"/>
      <c r="W39" s="648"/>
      <c r="X39" s="648"/>
      <c r="Y39" s="648"/>
      <c r="Z39" s="648"/>
      <c r="AA39" s="648"/>
      <c r="AB39" s="648"/>
      <c r="AC39" s="648"/>
      <c r="AD39" s="648"/>
      <c r="AE39" s="648"/>
      <c r="AF39" s="648"/>
      <c r="AG39" s="648"/>
      <c r="AH39" s="648"/>
      <c r="AI39" s="648"/>
      <c r="AJ39" s="648"/>
      <c r="AK39" s="648"/>
      <c r="AL39" s="648"/>
      <c r="AM39" s="648"/>
      <c r="AN39" s="648"/>
      <c r="AO39" s="648"/>
      <c r="AP39" s="648"/>
      <c r="AQ39" s="648"/>
      <c r="AR39" s="648"/>
      <c r="AS39" s="648"/>
      <c r="AT39" s="648"/>
      <c r="AU39" s="648"/>
      <c r="AV39" s="648"/>
      <c r="AW39" s="648"/>
      <c r="AX39" s="648"/>
      <c r="AY39" s="648"/>
      <c r="AZ39" s="648"/>
      <c r="BA39" s="648"/>
      <c r="BB39" s="648"/>
    </row>
    <row r="40" spans="1:54" ht="13.5" customHeight="1">
      <c r="A40" s="648"/>
      <c r="B40" s="791">
        <v>43479</v>
      </c>
      <c r="C40" s="790" t="s">
        <v>48</v>
      </c>
      <c r="D40" s="789">
        <v>200</v>
      </c>
      <c r="E40" s="789">
        <v>200</v>
      </c>
      <c r="F40" s="789"/>
      <c r="G40" s="789"/>
      <c r="H40" s="789"/>
      <c r="I40" s="789"/>
      <c r="J40" s="789"/>
      <c r="K40" s="789"/>
      <c r="L40" s="789"/>
      <c r="M40" s="789"/>
      <c r="N40" s="789"/>
      <c r="O40" s="789"/>
      <c r="P40" s="648"/>
      <c r="Q40" s="648"/>
      <c r="R40" s="648"/>
      <c r="S40" s="648"/>
      <c r="T40" s="648"/>
      <c r="U40" s="648"/>
      <c r="V40" s="648"/>
      <c r="W40" s="648"/>
      <c r="X40" s="648"/>
      <c r="Y40" s="648"/>
      <c r="Z40" s="648"/>
      <c r="AA40" s="648"/>
      <c r="AB40" s="648"/>
      <c r="AC40" s="648"/>
      <c r="AD40" s="648"/>
      <c r="AE40" s="648"/>
      <c r="AF40" s="648"/>
      <c r="AG40" s="648"/>
      <c r="AH40" s="648"/>
      <c r="AI40" s="648"/>
      <c r="AJ40" s="648"/>
      <c r="AK40" s="648"/>
      <c r="AL40" s="648"/>
      <c r="AM40" s="648"/>
      <c r="AN40" s="648"/>
      <c r="AO40" s="648"/>
      <c r="AP40" s="648"/>
      <c r="AQ40" s="648"/>
      <c r="AR40" s="648"/>
      <c r="AS40" s="648"/>
      <c r="AT40" s="648"/>
      <c r="AU40" s="648"/>
      <c r="AV40" s="648"/>
      <c r="AW40" s="648"/>
      <c r="AX40" s="648"/>
      <c r="AY40" s="648"/>
      <c r="AZ40" s="648"/>
      <c r="BA40" s="648"/>
      <c r="BB40" s="648"/>
    </row>
    <row r="41" spans="1:54" ht="13.5" customHeight="1">
      <c r="A41" s="648"/>
      <c r="B41" s="791">
        <v>43480</v>
      </c>
      <c r="C41" s="790" t="s">
        <v>535</v>
      </c>
      <c r="D41" s="789">
        <v>195.95</v>
      </c>
      <c r="E41" s="789"/>
      <c r="F41" s="789"/>
      <c r="G41" s="789"/>
      <c r="H41" s="789"/>
      <c r="I41" s="789"/>
      <c r="J41" s="789"/>
      <c r="K41" s="789"/>
      <c r="L41" s="789"/>
      <c r="M41" s="789"/>
      <c r="N41" s="789"/>
      <c r="O41" s="789"/>
      <c r="P41" s="648"/>
      <c r="Q41" s="648"/>
      <c r="R41" s="648"/>
      <c r="S41" s="648"/>
      <c r="T41" s="648"/>
      <c r="U41" s="648"/>
      <c r="V41" s="648"/>
      <c r="W41" s="648"/>
      <c r="X41" s="648"/>
      <c r="Y41" s="648"/>
      <c r="Z41" s="648"/>
      <c r="AA41" s="648"/>
      <c r="AB41" s="648"/>
      <c r="AC41" s="648"/>
      <c r="AD41" s="648"/>
      <c r="AE41" s="648"/>
      <c r="AF41" s="648"/>
      <c r="AG41" s="648"/>
      <c r="AH41" s="648"/>
      <c r="AI41" s="648"/>
      <c r="AJ41" s="648"/>
      <c r="AK41" s="648"/>
      <c r="AL41" s="648"/>
      <c r="AM41" s="648"/>
      <c r="AN41" s="648"/>
      <c r="AO41" s="648"/>
      <c r="AP41" s="648"/>
      <c r="AQ41" s="648"/>
      <c r="AR41" s="648"/>
      <c r="AS41" s="648"/>
      <c r="AT41" s="648"/>
      <c r="AU41" s="648"/>
      <c r="AV41" s="648"/>
      <c r="AW41" s="648"/>
      <c r="AX41" s="648"/>
      <c r="AY41" s="648"/>
      <c r="AZ41" s="648"/>
      <c r="BA41" s="648"/>
      <c r="BB41" s="648"/>
    </row>
    <row r="42" spans="1:54" ht="13.5" customHeight="1">
      <c r="A42" s="648"/>
      <c r="B42" s="791">
        <v>43481</v>
      </c>
      <c r="C42" s="790" t="s">
        <v>535</v>
      </c>
      <c r="D42" s="789">
        <v>308</v>
      </c>
      <c r="E42" s="789"/>
      <c r="F42" s="789"/>
      <c r="G42" s="789"/>
      <c r="H42" s="789"/>
      <c r="I42" s="789"/>
      <c r="J42" s="789"/>
      <c r="K42" s="789"/>
      <c r="L42" s="789"/>
      <c r="M42" s="789"/>
      <c r="N42" s="789"/>
      <c r="O42" s="789"/>
      <c r="P42" s="648"/>
      <c r="Q42" s="648"/>
      <c r="R42" s="648"/>
      <c r="S42" s="648"/>
      <c r="T42" s="648"/>
      <c r="U42" s="648"/>
      <c r="V42" s="648"/>
      <c r="W42" s="648"/>
      <c r="X42" s="648"/>
      <c r="Y42" s="648"/>
      <c r="Z42" s="648"/>
      <c r="AA42" s="648"/>
      <c r="AB42" s="648"/>
      <c r="AC42" s="648"/>
      <c r="AD42" s="648"/>
      <c r="AE42" s="648"/>
      <c r="AF42" s="648"/>
      <c r="AG42" s="648"/>
      <c r="AH42" s="648"/>
      <c r="AI42" s="648"/>
      <c r="AJ42" s="648"/>
      <c r="AK42" s="648"/>
      <c r="AL42" s="648"/>
      <c r="AM42" s="648"/>
      <c r="AN42" s="648"/>
      <c r="AO42" s="648"/>
      <c r="AP42" s="648"/>
      <c r="AQ42" s="648"/>
      <c r="AR42" s="648"/>
      <c r="AS42" s="648"/>
      <c r="AT42" s="648"/>
      <c r="AU42" s="648"/>
      <c r="AV42" s="648"/>
      <c r="AW42" s="648"/>
      <c r="AX42" s="648"/>
      <c r="AY42" s="648"/>
      <c r="AZ42" s="648"/>
      <c r="BA42" s="648"/>
      <c r="BB42" s="648"/>
    </row>
    <row r="43" spans="1:54" ht="13.5" customHeight="1">
      <c r="A43" s="648"/>
      <c r="B43" s="791">
        <v>43482</v>
      </c>
      <c r="C43" s="790" t="s">
        <v>536</v>
      </c>
      <c r="D43" s="789">
        <v>132.9</v>
      </c>
      <c r="E43" s="789"/>
      <c r="F43" s="789"/>
      <c r="G43" s="789"/>
      <c r="H43" s="789"/>
      <c r="I43" s="789"/>
      <c r="J43" s="789"/>
      <c r="K43" s="789"/>
      <c r="L43" s="789"/>
      <c r="M43" s="789"/>
      <c r="N43" s="789"/>
      <c r="O43" s="789"/>
      <c r="P43" s="648"/>
      <c r="Q43" s="648"/>
      <c r="R43" s="648"/>
      <c r="S43" s="648"/>
      <c r="T43" s="648"/>
      <c r="U43" s="648"/>
      <c r="V43" s="648"/>
      <c r="W43" s="648"/>
      <c r="X43" s="648"/>
      <c r="Y43" s="648"/>
      <c r="Z43" s="648"/>
      <c r="AA43" s="648"/>
      <c r="AB43" s="648"/>
      <c r="AC43" s="648"/>
      <c r="AD43" s="648"/>
      <c r="AE43" s="648"/>
      <c r="AF43" s="648"/>
      <c r="AG43" s="648"/>
      <c r="AH43" s="648"/>
      <c r="AI43" s="648"/>
      <c r="AJ43" s="648"/>
      <c r="AK43" s="648"/>
      <c r="AL43" s="648"/>
      <c r="AM43" s="648"/>
      <c r="AN43" s="648"/>
      <c r="AO43" s="648"/>
      <c r="AP43" s="648"/>
      <c r="AQ43" s="648"/>
      <c r="AR43" s="648"/>
      <c r="AS43" s="648"/>
      <c r="AT43" s="648"/>
      <c r="AU43" s="648"/>
      <c r="AV43" s="648"/>
      <c r="AW43" s="648"/>
      <c r="AX43" s="648"/>
      <c r="AY43" s="648"/>
      <c r="AZ43" s="648"/>
      <c r="BA43" s="648"/>
      <c r="BB43" s="648"/>
    </row>
    <row r="44" spans="1:54" ht="13.5" customHeight="1">
      <c r="A44" s="648"/>
      <c r="B44" s="791">
        <v>43486</v>
      </c>
      <c r="C44" s="790" t="s">
        <v>534</v>
      </c>
      <c r="D44" s="789">
        <v>30</v>
      </c>
      <c r="E44" s="789"/>
      <c r="F44" s="789"/>
      <c r="G44" s="789"/>
      <c r="H44" s="789"/>
      <c r="I44" s="789">
        <f>D44</f>
        <v>30</v>
      </c>
      <c r="J44" s="789"/>
      <c r="K44" s="789"/>
      <c r="L44" s="789"/>
      <c r="M44" s="789"/>
      <c r="N44" s="789"/>
      <c r="O44" s="789"/>
      <c r="P44" s="648"/>
      <c r="Q44" s="648"/>
      <c r="R44" s="648"/>
      <c r="S44" s="648"/>
      <c r="T44" s="648"/>
      <c r="U44" s="648"/>
      <c r="V44" s="648"/>
      <c r="W44" s="648"/>
      <c r="X44" s="648"/>
      <c r="Y44" s="648"/>
      <c r="Z44" s="648"/>
      <c r="AA44" s="648"/>
      <c r="AB44" s="648"/>
      <c r="AC44" s="648"/>
      <c r="AD44" s="648"/>
      <c r="AE44" s="648"/>
      <c r="AF44" s="648"/>
      <c r="AG44" s="648"/>
      <c r="AH44" s="648"/>
      <c r="AI44" s="648"/>
      <c r="AJ44" s="648"/>
      <c r="AK44" s="648"/>
      <c r="AL44" s="648"/>
      <c r="AM44" s="648"/>
      <c r="AN44" s="648"/>
      <c r="AO44" s="648"/>
      <c r="AP44" s="648"/>
      <c r="AQ44" s="648"/>
      <c r="AR44" s="648"/>
      <c r="AS44" s="648"/>
      <c r="AT44" s="648"/>
      <c r="AU44" s="648"/>
      <c r="AV44" s="648"/>
      <c r="AW44" s="648"/>
      <c r="AX44" s="648"/>
      <c r="AY44" s="648"/>
      <c r="AZ44" s="648"/>
      <c r="BA44" s="648"/>
      <c r="BB44" s="648"/>
    </row>
    <row r="45" spans="1:54" ht="13.5" customHeight="1">
      <c r="A45" s="648"/>
      <c r="B45" s="791">
        <v>43486</v>
      </c>
      <c r="C45" s="790" t="s">
        <v>533</v>
      </c>
      <c r="D45" s="789">
        <v>30</v>
      </c>
      <c r="E45" s="789"/>
      <c r="F45" s="789"/>
      <c r="G45" s="789"/>
      <c r="H45" s="789"/>
      <c r="I45" s="789"/>
      <c r="J45" s="789">
        <f>D45</f>
        <v>30</v>
      </c>
      <c r="K45" s="789"/>
      <c r="L45" s="789"/>
      <c r="M45" s="789"/>
      <c r="N45" s="789"/>
      <c r="O45" s="789"/>
      <c r="P45" s="648"/>
      <c r="Q45" s="648"/>
      <c r="R45" s="648"/>
      <c r="S45" s="648"/>
      <c r="T45" s="648"/>
      <c r="U45" s="648"/>
      <c r="V45" s="648"/>
      <c r="W45" s="648"/>
      <c r="X45" s="648"/>
      <c r="Y45" s="648"/>
      <c r="Z45" s="648"/>
      <c r="AA45" s="648"/>
      <c r="AB45" s="648"/>
      <c r="AC45" s="648"/>
      <c r="AD45" s="648"/>
      <c r="AE45" s="648"/>
      <c r="AF45" s="648"/>
      <c r="AG45" s="648"/>
      <c r="AH45" s="648"/>
      <c r="AI45" s="648"/>
      <c r="AJ45" s="648"/>
      <c r="AK45" s="648"/>
      <c r="AL45" s="648"/>
      <c r="AM45" s="648"/>
      <c r="AN45" s="648"/>
      <c r="AO45" s="648"/>
      <c r="AP45" s="648"/>
      <c r="AQ45" s="648"/>
      <c r="AR45" s="648"/>
      <c r="AS45" s="648"/>
      <c r="AT45" s="648"/>
      <c r="AU45" s="648"/>
      <c r="AV45" s="648"/>
      <c r="AW45" s="648"/>
      <c r="AX45" s="648"/>
      <c r="AY45" s="648"/>
      <c r="AZ45" s="648"/>
      <c r="BA45" s="648"/>
      <c r="BB45" s="648"/>
    </row>
    <row r="46" spans="1:54" ht="13.5" customHeight="1">
      <c r="A46" s="648"/>
      <c r="B46" s="791">
        <v>43486</v>
      </c>
      <c r="C46" s="790" t="s">
        <v>48</v>
      </c>
      <c r="D46" s="789">
        <v>200</v>
      </c>
      <c r="E46" s="789">
        <v>200</v>
      </c>
      <c r="F46" s="789"/>
      <c r="G46" s="789"/>
      <c r="H46" s="789"/>
      <c r="I46" s="789"/>
      <c r="J46" s="789"/>
      <c r="K46" s="789"/>
      <c r="L46" s="789"/>
      <c r="M46" s="789"/>
      <c r="N46" s="789"/>
      <c r="O46" s="789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</row>
    <row r="47" spans="1:54" ht="13.5" customHeight="1">
      <c r="A47" s="648"/>
      <c r="B47" s="791">
        <v>43490</v>
      </c>
      <c r="C47" s="790" t="s">
        <v>532</v>
      </c>
      <c r="D47" s="789">
        <v>119.9</v>
      </c>
      <c r="E47" s="789"/>
      <c r="F47" s="789"/>
      <c r="G47" s="789"/>
      <c r="H47" s="789"/>
      <c r="I47" s="789"/>
      <c r="J47" s="789"/>
      <c r="K47" s="789"/>
      <c r="L47" s="789"/>
      <c r="M47" s="789"/>
      <c r="N47" s="789"/>
      <c r="O47" s="789"/>
      <c r="P47" s="648"/>
      <c r="Q47" s="648"/>
      <c r="R47" s="648"/>
      <c r="S47" s="648"/>
      <c r="T47" s="648"/>
      <c r="U47" s="648"/>
      <c r="V47" s="648"/>
      <c r="W47" s="648"/>
      <c r="X47" s="648"/>
      <c r="Y47" s="648"/>
      <c r="Z47" s="648"/>
      <c r="AA47" s="648"/>
      <c r="AB47" s="648"/>
      <c r="AC47" s="648"/>
      <c r="AD47" s="648"/>
      <c r="AE47" s="648"/>
      <c r="AF47" s="648"/>
      <c r="AG47" s="648"/>
      <c r="AH47" s="648"/>
      <c r="AI47" s="648"/>
      <c r="AJ47" s="648"/>
      <c r="AK47" s="648"/>
      <c r="AL47" s="648"/>
      <c r="AM47" s="648"/>
      <c r="AN47" s="648"/>
      <c r="AO47" s="648"/>
      <c r="AP47" s="648"/>
      <c r="AQ47" s="648"/>
      <c r="AR47" s="648"/>
      <c r="AS47" s="648"/>
      <c r="AT47" s="648"/>
      <c r="AU47" s="648"/>
      <c r="AV47" s="648"/>
      <c r="AW47" s="648"/>
      <c r="AX47" s="648"/>
      <c r="AY47" s="648"/>
      <c r="AZ47" s="648"/>
      <c r="BA47" s="648"/>
      <c r="BB47" s="648"/>
    </row>
    <row r="48" spans="1:54" ht="13.5" customHeight="1">
      <c r="A48" s="648"/>
      <c r="B48" s="791">
        <v>43490</v>
      </c>
      <c r="C48" s="790" t="s">
        <v>531</v>
      </c>
      <c r="D48" s="789">
        <v>99</v>
      </c>
      <c r="E48" s="789"/>
      <c r="F48" s="789"/>
      <c r="G48" s="789"/>
      <c r="H48" s="789"/>
      <c r="I48" s="789"/>
      <c r="J48" s="789"/>
      <c r="K48" s="789"/>
      <c r="L48" s="789"/>
      <c r="M48" s="789"/>
      <c r="N48" s="789"/>
      <c r="O48" s="789"/>
      <c r="P48" s="648"/>
      <c r="Q48" s="648"/>
      <c r="R48" s="648"/>
      <c r="S48" s="648"/>
      <c r="T48" s="648"/>
      <c r="U48" s="648"/>
      <c r="V48" s="648"/>
      <c r="W48" s="648"/>
      <c r="X48" s="648"/>
      <c r="Y48" s="648"/>
      <c r="Z48" s="648"/>
      <c r="AA48" s="648"/>
      <c r="AB48" s="648"/>
      <c r="AC48" s="648"/>
      <c r="AD48" s="648"/>
      <c r="AE48" s="648"/>
      <c r="AF48" s="648"/>
      <c r="AG48" s="648"/>
      <c r="AH48" s="648"/>
      <c r="AI48" s="648"/>
      <c r="AJ48" s="648"/>
      <c r="AK48" s="648"/>
      <c r="AL48" s="648"/>
      <c r="AM48" s="648"/>
      <c r="AN48" s="648"/>
      <c r="AO48" s="648"/>
      <c r="AP48" s="648"/>
      <c r="AQ48" s="648"/>
      <c r="AR48" s="648"/>
      <c r="AS48" s="648"/>
      <c r="AT48" s="648"/>
      <c r="AU48" s="648"/>
      <c r="AV48" s="648"/>
      <c r="AW48" s="648"/>
      <c r="AX48" s="648"/>
      <c r="AY48" s="648"/>
      <c r="AZ48" s="648"/>
      <c r="BA48" s="648"/>
      <c r="BB48" s="648"/>
    </row>
    <row r="49" spans="1:55" ht="13.5" customHeight="1">
      <c r="A49" s="648"/>
      <c r="B49" s="791">
        <v>43493</v>
      </c>
      <c r="C49" s="790" t="s">
        <v>814</v>
      </c>
      <c r="D49" s="789">
        <v>50</v>
      </c>
      <c r="E49" s="789"/>
      <c r="F49" s="789"/>
      <c r="G49" s="789"/>
      <c r="H49" s="789"/>
      <c r="I49" s="789"/>
      <c r="J49" s="789"/>
      <c r="K49" s="789"/>
      <c r="L49" s="789"/>
      <c r="M49" s="789"/>
      <c r="N49" s="789"/>
      <c r="O49" s="789"/>
      <c r="P49" s="648"/>
      <c r="Q49" s="648"/>
      <c r="R49" s="648"/>
      <c r="S49" s="648"/>
      <c r="T49" s="648"/>
      <c r="U49" s="648"/>
      <c r="V49" s="648"/>
      <c r="W49" s="648"/>
      <c r="X49" s="648"/>
      <c r="Y49" s="648"/>
      <c r="Z49" s="648"/>
      <c r="AA49" s="648"/>
      <c r="AB49" s="648"/>
      <c r="AC49" s="648"/>
      <c r="AD49" s="648"/>
      <c r="AE49" s="648"/>
      <c r="AF49" s="648"/>
      <c r="AG49" s="648"/>
      <c r="AH49" s="648"/>
      <c r="AI49" s="648"/>
      <c r="AJ49" s="648"/>
      <c r="AK49" s="648"/>
      <c r="AL49" s="648"/>
      <c r="AM49" s="648"/>
      <c r="AN49" s="648"/>
      <c r="AO49" s="648"/>
      <c r="AP49" s="648"/>
      <c r="AQ49" s="648"/>
      <c r="AR49" s="648"/>
      <c r="AS49" s="648"/>
      <c r="AT49" s="648"/>
      <c r="AU49" s="648"/>
      <c r="AV49" s="648"/>
      <c r="AW49" s="648"/>
      <c r="AX49" s="648"/>
      <c r="AY49" s="648"/>
      <c r="AZ49" s="648"/>
      <c r="BA49" s="648"/>
      <c r="BB49" s="648"/>
    </row>
    <row r="50" spans="1:55" ht="13.5" customHeight="1">
      <c r="A50" s="648"/>
      <c r="B50" s="791">
        <v>43496</v>
      </c>
      <c r="C50" s="790" t="s">
        <v>529</v>
      </c>
      <c r="D50" s="789">
        <v>90</v>
      </c>
      <c r="E50" s="789"/>
      <c r="F50" s="789"/>
      <c r="G50" s="789"/>
      <c r="H50" s="789"/>
      <c r="I50" s="789"/>
      <c r="J50" s="789"/>
      <c r="K50" s="789"/>
      <c r="L50" s="789"/>
      <c r="M50" s="789"/>
      <c r="N50" s="789"/>
      <c r="O50" s="789"/>
      <c r="P50" s="648"/>
      <c r="Q50" s="648"/>
      <c r="R50" s="648"/>
      <c r="S50" s="648"/>
      <c r="T50" s="648"/>
      <c r="U50" s="648"/>
      <c r="V50" s="648"/>
      <c r="W50" s="648"/>
      <c r="X50" s="648"/>
      <c r="Y50" s="648"/>
      <c r="Z50" s="648"/>
      <c r="AA50" s="648"/>
      <c r="AB50" s="648"/>
      <c r="AC50" s="648"/>
      <c r="AD50" s="648"/>
      <c r="AE50" s="648"/>
      <c r="AF50" s="648"/>
      <c r="AG50" s="648"/>
      <c r="AH50" s="648"/>
      <c r="AI50" s="648"/>
      <c r="AJ50" s="648"/>
      <c r="AK50" s="648"/>
      <c r="AL50" s="648"/>
      <c r="AM50" s="648"/>
      <c r="AN50" s="648"/>
      <c r="AO50" s="648"/>
      <c r="AP50" s="648"/>
      <c r="AQ50" s="648"/>
      <c r="AR50" s="648"/>
      <c r="AS50" s="648"/>
      <c r="AT50" s="648"/>
      <c r="AU50" s="648"/>
      <c r="AV50" s="648"/>
      <c r="AW50" s="648"/>
      <c r="AX50" s="648"/>
      <c r="AY50" s="648"/>
      <c r="AZ50" s="648"/>
      <c r="BA50" s="648"/>
      <c r="BB50" s="648"/>
    </row>
    <row r="51" spans="1:55" ht="13.5" customHeight="1">
      <c r="A51" s="648"/>
      <c r="B51" s="791"/>
      <c r="C51" s="790" t="s">
        <v>428</v>
      </c>
      <c r="D51" s="789">
        <v>886.57</v>
      </c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648"/>
      <c r="Q51" s="648"/>
      <c r="R51" s="648"/>
      <c r="S51" s="648"/>
      <c r="T51" s="648"/>
      <c r="U51" s="648"/>
      <c r="V51" s="648"/>
      <c r="W51" s="648"/>
      <c r="X51" s="648"/>
      <c r="Y51" s="648"/>
      <c r="Z51" s="648"/>
      <c r="AA51" s="648"/>
      <c r="AB51" s="648"/>
      <c r="AC51" s="648"/>
      <c r="AD51" s="648"/>
      <c r="AE51" s="648"/>
      <c r="AF51" s="648"/>
      <c r="AG51" s="648"/>
      <c r="AH51" s="648"/>
      <c r="AI51" s="648"/>
      <c r="AJ51" s="648"/>
      <c r="AK51" s="648"/>
      <c r="AL51" s="648"/>
      <c r="AM51" s="648"/>
      <c r="AN51" s="648"/>
      <c r="AO51" s="648"/>
      <c r="AP51" s="648"/>
      <c r="AQ51" s="648"/>
      <c r="AR51" s="648"/>
      <c r="AS51" s="648"/>
      <c r="AT51" s="648"/>
      <c r="AU51" s="648"/>
      <c r="AV51" s="648"/>
      <c r="AW51" s="648"/>
      <c r="AX51" s="648"/>
      <c r="AY51" s="648"/>
      <c r="AZ51" s="648"/>
      <c r="BA51" s="648"/>
      <c r="BB51" s="648"/>
    </row>
    <row r="52" spans="1:55" s="694" customFormat="1" ht="13.5" customHeight="1">
      <c r="A52" s="700"/>
      <c r="B52" s="788" t="str">
        <f>D1</f>
        <v>februar</v>
      </c>
      <c r="C52" s="787" t="s">
        <v>37</v>
      </c>
      <c r="D52" s="786">
        <f t="shared" ref="D52:M52" si="2">SUM(D53:D88)</f>
        <v>5036.8599999999997</v>
      </c>
      <c r="E52" s="786">
        <f t="shared" si="2"/>
        <v>557</v>
      </c>
      <c r="F52" s="786">
        <f t="shared" si="2"/>
        <v>129</v>
      </c>
      <c r="G52" s="786">
        <f t="shared" si="2"/>
        <v>1299</v>
      </c>
      <c r="H52" s="786">
        <f t="shared" si="2"/>
        <v>395</v>
      </c>
      <c r="I52" s="786">
        <f t="shared" si="2"/>
        <v>60</v>
      </c>
      <c r="J52" s="786">
        <f t="shared" si="2"/>
        <v>70</v>
      </c>
      <c r="K52" s="786">
        <f t="shared" si="2"/>
        <v>0</v>
      </c>
      <c r="L52" s="786">
        <f t="shared" si="2"/>
        <v>800</v>
      </c>
      <c r="M52" s="786">
        <f t="shared" si="2"/>
        <v>0</v>
      </c>
      <c r="N52" s="786"/>
      <c r="O52" s="786"/>
      <c r="P52" s="695"/>
      <c r="Q52" s="695"/>
      <c r="R52" s="695"/>
      <c r="S52" s="695"/>
      <c r="T52" s="695"/>
      <c r="U52" s="695"/>
      <c r="V52" s="695"/>
      <c r="W52" s="695"/>
      <c r="X52" s="695"/>
      <c r="Y52" s="695"/>
      <c r="Z52" s="695"/>
      <c r="AA52" s="695"/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5"/>
      <c r="AO52" s="695"/>
      <c r="AP52" s="695"/>
      <c r="AQ52" s="695"/>
      <c r="AR52" s="695"/>
      <c r="AS52" s="695"/>
      <c r="AT52" s="695"/>
      <c r="AU52" s="695"/>
      <c r="AV52" s="695"/>
      <c r="AW52" s="695"/>
      <c r="AX52" s="695"/>
      <c r="AY52" s="695"/>
      <c r="AZ52" s="695"/>
      <c r="BA52" s="695"/>
      <c r="BB52" s="695"/>
      <c r="BC52" s="695"/>
    </row>
    <row r="53" spans="1:55" ht="13.5" customHeight="1">
      <c r="A53" s="648"/>
      <c r="B53" s="791">
        <v>43496</v>
      </c>
      <c r="C53" s="790" t="s">
        <v>48</v>
      </c>
      <c r="D53" s="789">
        <v>557</v>
      </c>
      <c r="E53" s="789">
        <f>D53</f>
        <v>557</v>
      </c>
      <c r="F53" s="789"/>
      <c r="G53" s="789"/>
      <c r="H53" s="789"/>
      <c r="I53" s="789"/>
      <c r="J53" s="789"/>
      <c r="K53" s="789"/>
      <c r="L53" s="789"/>
      <c r="M53" s="789"/>
      <c r="N53" s="789"/>
      <c r="O53" s="789"/>
      <c r="P53" s="648"/>
      <c r="Q53" s="648"/>
      <c r="R53" s="648"/>
      <c r="S53" s="648"/>
      <c r="T53" s="648"/>
      <c r="U53" s="648"/>
      <c r="V53" s="648"/>
      <c r="W53" s="648"/>
      <c r="X53" s="648"/>
      <c r="Y53" s="648"/>
      <c r="Z53" s="648"/>
      <c r="AA53" s="648"/>
      <c r="AB53" s="648"/>
      <c r="AC53" s="648"/>
      <c r="AD53" s="648"/>
      <c r="AE53" s="648"/>
      <c r="AF53" s="648"/>
      <c r="AG53" s="648"/>
      <c r="AH53" s="648"/>
      <c r="AI53" s="648"/>
      <c r="AJ53" s="648"/>
      <c r="AK53" s="648"/>
      <c r="AL53" s="648"/>
      <c r="AM53" s="648"/>
      <c r="AN53" s="648"/>
      <c r="AO53" s="648"/>
      <c r="AP53" s="648"/>
      <c r="AQ53" s="648"/>
      <c r="AR53" s="648"/>
      <c r="AS53" s="648"/>
      <c r="AT53" s="648"/>
      <c r="AU53" s="648"/>
      <c r="AV53" s="648"/>
      <c r="AW53" s="648"/>
      <c r="AX53" s="648"/>
      <c r="AY53" s="648"/>
      <c r="AZ53" s="648"/>
      <c r="BA53" s="648"/>
      <c r="BB53" s="648"/>
    </row>
    <row r="54" spans="1:55" ht="13.5" customHeight="1">
      <c r="A54" s="648"/>
      <c r="B54" s="791">
        <v>43496</v>
      </c>
      <c r="C54" s="790" t="s">
        <v>528</v>
      </c>
      <c r="D54" s="789">
        <v>98</v>
      </c>
      <c r="E54" s="789"/>
      <c r="F54" s="789"/>
      <c r="G54" s="789"/>
      <c r="H54" s="789"/>
      <c r="I54" s="789"/>
      <c r="J54" s="789"/>
      <c r="K54" s="789"/>
      <c r="L54" s="789"/>
      <c r="M54" s="789"/>
      <c r="N54" s="789"/>
      <c r="O54" s="789"/>
      <c r="P54" s="648"/>
      <c r="Q54" s="648"/>
      <c r="R54" s="648"/>
      <c r="S54" s="648"/>
      <c r="T54" s="64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  <c r="AO54" s="648"/>
      <c r="AP54" s="648"/>
      <c r="AQ54" s="648"/>
      <c r="AR54" s="648"/>
      <c r="AS54" s="648"/>
      <c r="AT54" s="648"/>
      <c r="AU54" s="648"/>
      <c r="AV54" s="648"/>
      <c r="AW54" s="648"/>
      <c r="AX54" s="648"/>
      <c r="AY54" s="648"/>
      <c r="AZ54" s="648"/>
      <c r="BA54" s="648"/>
      <c r="BB54" s="648"/>
    </row>
    <row r="55" spans="1:55" ht="13.5" customHeight="1">
      <c r="A55" s="648"/>
      <c r="B55" s="791">
        <v>43496</v>
      </c>
      <c r="C55" s="790" t="s">
        <v>527</v>
      </c>
      <c r="D55" s="789">
        <f>19.96+19.96+15.96*1.25</f>
        <v>59.870000000000005</v>
      </c>
      <c r="E55" s="789"/>
      <c r="F55" s="789"/>
      <c r="G55" s="789"/>
      <c r="H55" s="789"/>
      <c r="I55" s="789"/>
      <c r="J55" s="789"/>
      <c r="K55" s="789"/>
      <c r="L55" s="789"/>
      <c r="M55" s="789"/>
      <c r="N55" s="789"/>
      <c r="O55" s="789"/>
      <c r="P55" s="648"/>
      <c r="Q55" s="648"/>
      <c r="R55" s="648"/>
      <c r="S55" s="648"/>
      <c r="T55" s="648"/>
      <c r="U55" s="648"/>
      <c r="V55" s="648"/>
      <c r="W55" s="648"/>
      <c r="X55" s="648"/>
      <c r="Y55" s="648"/>
      <c r="Z55" s="648"/>
      <c r="AA55" s="648"/>
      <c r="AB55" s="648"/>
      <c r="AC55" s="648"/>
      <c r="AD55" s="648"/>
      <c r="AE55" s="648"/>
      <c r="AF55" s="648"/>
      <c r="AG55" s="648"/>
      <c r="AH55" s="648"/>
      <c r="AI55" s="648"/>
      <c r="AJ55" s="648"/>
      <c r="AK55" s="648"/>
      <c r="AL55" s="648"/>
      <c r="AM55" s="648"/>
      <c r="AN55" s="648"/>
      <c r="AO55" s="648"/>
      <c r="AP55" s="648"/>
      <c r="AQ55" s="648"/>
      <c r="AR55" s="648"/>
      <c r="AS55" s="648"/>
      <c r="AT55" s="648"/>
      <c r="AU55" s="648"/>
      <c r="AV55" s="648"/>
      <c r="AW55" s="648"/>
      <c r="AX55" s="648"/>
      <c r="AY55" s="648"/>
      <c r="AZ55" s="648"/>
      <c r="BA55" s="648"/>
      <c r="BB55" s="648"/>
    </row>
    <row r="56" spans="1:55" ht="13.5" customHeight="1">
      <c r="A56" s="648"/>
      <c r="B56" s="791">
        <v>43496</v>
      </c>
      <c r="C56" s="790" t="s">
        <v>526</v>
      </c>
      <c r="D56" s="789">
        <v>16.95</v>
      </c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789"/>
      <c r="P56" s="648"/>
      <c r="Q56" s="648"/>
      <c r="R56" s="648"/>
      <c r="S56" s="648"/>
      <c r="T56" s="64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  <c r="AO56" s="648"/>
      <c r="AP56" s="648"/>
      <c r="AQ56" s="648"/>
      <c r="AR56" s="648"/>
      <c r="AS56" s="648"/>
      <c r="AT56" s="648"/>
      <c r="AU56" s="648"/>
      <c r="AV56" s="648"/>
      <c r="AW56" s="648"/>
      <c r="AX56" s="648"/>
      <c r="AY56" s="648"/>
      <c r="AZ56" s="648"/>
      <c r="BA56" s="648"/>
      <c r="BB56" s="648"/>
    </row>
    <row r="57" spans="1:55" ht="13.5" customHeight="1">
      <c r="A57" s="648"/>
      <c r="B57" s="791">
        <v>43496</v>
      </c>
      <c r="C57" s="790" t="s">
        <v>525</v>
      </c>
      <c r="D57" s="789">
        <v>158</v>
      </c>
      <c r="E57" s="789"/>
      <c r="F57" s="789"/>
      <c r="G57" s="789"/>
      <c r="H57" s="789"/>
      <c r="I57" s="789"/>
      <c r="J57" s="789"/>
      <c r="K57" s="789"/>
      <c r="L57" s="789"/>
      <c r="M57" s="789"/>
      <c r="N57" s="789"/>
      <c r="O57" s="789"/>
      <c r="P57" s="648"/>
      <c r="Q57" s="648"/>
      <c r="R57" s="648"/>
      <c r="S57" s="648"/>
      <c r="T57" s="648"/>
      <c r="U57" s="648"/>
      <c r="V57" s="648"/>
      <c r="W57" s="648"/>
      <c r="X57" s="648"/>
      <c r="Y57" s="648"/>
      <c r="Z57" s="648"/>
      <c r="AA57" s="648"/>
      <c r="AB57" s="648"/>
      <c r="AC57" s="648"/>
      <c r="AD57" s="648"/>
      <c r="AE57" s="648"/>
      <c r="AF57" s="648"/>
      <c r="AG57" s="648"/>
      <c r="AH57" s="648"/>
      <c r="AI57" s="648"/>
      <c r="AJ57" s="648"/>
      <c r="AK57" s="648"/>
      <c r="AL57" s="648"/>
      <c r="AM57" s="648"/>
      <c r="AN57" s="648"/>
      <c r="AO57" s="648"/>
      <c r="AP57" s="648"/>
      <c r="AQ57" s="648"/>
      <c r="AR57" s="648"/>
      <c r="AS57" s="648"/>
      <c r="AT57" s="648"/>
      <c r="AU57" s="648"/>
      <c r="AV57" s="648"/>
      <c r="AW57" s="648"/>
      <c r="AX57" s="648"/>
      <c r="AY57" s="648"/>
      <c r="AZ57" s="648"/>
      <c r="BA57" s="648"/>
      <c r="BB57" s="648"/>
    </row>
    <row r="58" spans="1:55" ht="13.5" customHeight="1">
      <c r="A58" s="648"/>
      <c r="B58" s="791">
        <v>43496</v>
      </c>
      <c r="C58" s="790" t="s">
        <v>524</v>
      </c>
      <c r="D58" s="789">
        <v>20</v>
      </c>
      <c r="E58" s="789"/>
      <c r="F58" s="789"/>
      <c r="G58" s="789"/>
      <c r="H58" s="789"/>
      <c r="I58" s="789"/>
      <c r="J58" s="789"/>
      <c r="K58" s="789"/>
      <c r="L58" s="789"/>
      <c r="M58" s="789"/>
      <c r="N58" s="789"/>
      <c r="O58" s="789"/>
      <c r="P58" s="648"/>
      <c r="Q58" s="648"/>
      <c r="R58" s="648"/>
      <c r="S58" s="648"/>
      <c r="T58" s="648"/>
      <c r="U58" s="648"/>
      <c r="V58" s="648"/>
      <c r="W58" s="648"/>
      <c r="X58" s="648"/>
      <c r="Y58" s="648"/>
      <c r="Z58" s="648"/>
      <c r="AA58" s="648"/>
      <c r="AB58" s="648"/>
      <c r="AC58" s="648"/>
      <c r="AD58" s="648"/>
      <c r="AE58" s="648"/>
      <c r="AF58" s="648"/>
      <c r="AG58" s="648"/>
      <c r="AH58" s="648"/>
      <c r="AI58" s="648"/>
      <c r="AJ58" s="648"/>
      <c r="AK58" s="648"/>
      <c r="AL58" s="648"/>
      <c r="AM58" s="648"/>
      <c r="AN58" s="648"/>
      <c r="AO58" s="648"/>
      <c r="AP58" s="648"/>
      <c r="AQ58" s="648"/>
      <c r="AR58" s="648"/>
      <c r="AS58" s="648"/>
      <c r="AT58" s="648"/>
      <c r="AU58" s="648"/>
      <c r="AV58" s="648"/>
      <c r="AW58" s="648"/>
      <c r="AX58" s="648"/>
      <c r="AY58" s="648"/>
      <c r="AZ58" s="648"/>
      <c r="BA58" s="648"/>
      <c r="BB58" s="648"/>
    </row>
    <row r="59" spans="1:55" ht="13.5" customHeight="1">
      <c r="A59" s="648"/>
      <c r="B59" s="791">
        <v>43497</v>
      </c>
      <c r="C59" s="790" t="s">
        <v>464</v>
      </c>
      <c r="D59" s="789">
        <v>129</v>
      </c>
      <c r="E59" s="789"/>
      <c r="F59" s="789">
        <f>D59</f>
        <v>129</v>
      </c>
      <c r="G59" s="789"/>
      <c r="H59" s="789"/>
      <c r="I59" s="789"/>
      <c r="J59" s="789"/>
      <c r="K59" s="789"/>
      <c r="L59" s="789"/>
      <c r="M59" s="789"/>
      <c r="N59" s="789"/>
      <c r="O59" s="789"/>
      <c r="P59" s="648"/>
      <c r="Q59" s="648"/>
      <c r="R59" s="648"/>
      <c r="S59" s="648"/>
      <c r="T59" s="648"/>
      <c r="U59" s="648"/>
      <c r="V59" s="648"/>
      <c r="W59" s="648"/>
      <c r="X59" s="648"/>
      <c r="Y59" s="648"/>
      <c r="Z59" s="648"/>
      <c r="AA59" s="648"/>
      <c r="AB59" s="648"/>
      <c r="AC59" s="648"/>
      <c r="AD59" s="648"/>
      <c r="AE59" s="648"/>
      <c r="AF59" s="648"/>
      <c r="AG59" s="648"/>
      <c r="AH59" s="648"/>
      <c r="AI59" s="648"/>
      <c r="AJ59" s="648"/>
      <c r="AK59" s="648"/>
      <c r="AL59" s="648"/>
      <c r="AM59" s="648"/>
      <c r="AN59" s="648"/>
      <c r="AO59" s="648"/>
      <c r="AP59" s="648"/>
      <c r="AQ59" s="648"/>
      <c r="AR59" s="648"/>
      <c r="AS59" s="648"/>
      <c r="AT59" s="648"/>
      <c r="AU59" s="648"/>
      <c r="AV59" s="648"/>
      <c r="AW59" s="648"/>
      <c r="AX59" s="648"/>
      <c r="AY59" s="648"/>
      <c r="AZ59" s="648"/>
      <c r="BA59" s="648"/>
      <c r="BB59" s="648"/>
    </row>
    <row r="60" spans="1:55" ht="13.5" customHeight="1">
      <c r="A60" s="648"/>
      <c r="B60" s="791">
        <v>43497</v>
      </c>
      <c r="C60" s="790" t="s">
        <v>22</v>
      </c>
      <c r="D60" s="789">
        <v>89</v>
      </c>
      <c r="E60" s="789"/>
      <c r="F60" s="789"/>
      <c r="G60" s="789">
        <f>D60</f>
        <v>89</v>
      </c>
      <c r="H60" s="789"/>
      <c r="I60" s="789"/>
      <c r="J60" s="789"/>
      <c r="K60" s="789"/>
      <c r="L60" s="789"/>
      <c r="M60" s="789"/>
      <c r="N60" s="789"/>
      <c r="O60" s="789"/>
      <c r="P60" s="648"/>
      <c r="Q60" s="648"/>
      <c r="R60" s="648"/>
      <c r="S60" s="648"/>
      <c r="T60" s="648"/>
      <c r="U60" s="648"/>
      <c r="V60" s="648"/>
      <c r="W60" s="648"/>
      <c r="X60" s="648"/>
      <c r="Y60" s="648"/>
      <c r="Z60" s="648"/>
      <c r="AA60" s="648"/>
      <c r="AB60" s="648"/>
      <c r="AC60" s="648"/>
      <c r="AD60" s="648"/>
      <c r="AE60" s="648"/>
      <c r="AF60" s="648"/>
      <c r="AG60" s="648"/>
      <c r="AH60" s="648"/>
      <c r="AI60" s="648"/>
      <c r="AJ60" s="648"/>
      <c r="AK60" s="648"/>
      <c r="AL60" s="648"/>
      <c r="AM60" s="648"/>
      <c r="AN60" s="648"/>
      <c r="AO60" s="648"/>
      <c r="AP60" s="648"/>
      <c r="AQ60" s="648"/>
      <c r="AR60" s="648"/>
      <c r="AS60" s="648"/>
      <c r="AT60" s="648"/>
      <c r="AU60" s="648"/>
      <c r="AV60" s="648"/>
      <c r="AW60" s="648"/>
      <c r="AX60" s="648"/>
      <c r="AY60" s="648"/>
      <c r="AZ60" s="648"/>
      <c r="BA60" s="648"/>
      <c r="BB60" s="648"/>
    </row>
    <row r="61" spans="1:55" ht="13.5" customHeight="1">
      <c r="A61" s="648"/>
      <c r="B61" s="791">
        <v>43497</v>
      </c>
      <c r="C61" s="790" t="s">
        <v>164</v>
      </c>
      <c r="D61" s="789">
        <v>350</v>
      </c>
      <c r="E61" s="789"/>
      <c r="F61" s="789"/>
      <c r="G61" s="789"/>
      <c r="H61" s="789"/>
      <c r="I61" s="789"/>
      <c r="J61" s="789"/>
      <c r="K61" s="789"/>
      <c r="L61" s="789"/>
      <c r="M61" s="789"/>
      <c r="N61" s="789"/>
      <c r="O61" s="789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  <c r="AF61" s="648"/>
      <c r="AG61" s="648"/>
      <c r="AH61" s="648"/>
      <c r="AI61" s="648"/>
      <c r="AJ61" s="648"/>
      <c r="AK61" s="648"/>
      <c r="AL61" s="648"/>
      <c r="AM61" s="648"/>
      <c r="AN61" s="648"/>
      <c r="AO61" s="648"/>
      <c r="AP61" s="648"/>
      <c r="AQ61" s="648"/>
      <c r="AR61" s="648"/>
      <c r="AS61" s="648"/>
      <c r="AT61" s="648"/>
      <c r="AU61" s="648"/>
      <c r="AV61" s="648"/>
      <c r="AW61" s="648"/>
      <c r="AX61" s="648"/>
      <c r="AY61" s="648"/>
      <c r="AZ61" s="648"/>
      <c r="BA61" s="648"/>
      <c r="BB61" s="648"/>
    </row>
    <row r="62" spans="1:55" ht="13.5" customHeight="1">
      <c r="A62" s="648"/>
      <c r="B62" s="791">
        <v>43497</v>
      </c>
      <c r="C62" s="790" t="s">
        <v>520</v>
      </c>
      <c r="D62" s="789">
        <v>100</v>
      </c>
      <c r="E62" s="789"/>
      <c r="F62" s="789"/>
      <c r="G62" s="789"/>
      <c r="H62" s="789"/>
      <c r="I62" s="789"/>
      <c r="J62" s="789"/>
      <c r="K62" s="789"/>
      <c r="L62" s="789"/>
      <c r="M62" s="789"/>
      <c r="N62" s="789"/>
      <c r="O62" s="789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48"/>
      <c r="AQ62" s="648"/>
      <c r="AR62" s="648"/>
      <c r="AS62" s="648"/>
      <c r="AT62" s="648"/>
      <c r="AU62" s="648"/>
      <c r="AV62" s="648"/>
      <c r="AW62" s="648"/>
      <c r="AX62" s="648"/>
      <c r="AY62" s="648"/>
      <c r="AZ62" s="648"/>
      <c r="BA62" s="648"/>
      <c r="BB62" s="648"/>
    </row>
    <row r="63" spans="1:55" ht="13.5" customHeight="1">
      <c r="A63" s="648"/>
      <c r="B63" s="791">
        <v>43513</v>
      </c>
      <c r="C63" s="790" t="s">
        <v>254</v>
      </c>
      <c r="D63" s="789">
        <v>400</v>
      </c>
      <c r="E63" s="789"/>
      <c r="F63" s="789"/>
      <c r="G63" s="789"/>
      <c r="H63" s="789"/>
      <c r="I63" s="789"/>
      <c r="J63" s="789"/>
      <c r="K63" s="789"/>
      <c r="L63" s="789">
        <f>D63</f>
        <v>400</v>
      </c>
      <c r="M63" s="789"/>
      <c r="N63" s="789"/>
      <c r="O63" s="789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48"/>
      <c r="AQ63" s="648"/>
      <c r="AR63" s="648"/>
      <c r="AS63" s="648"/>
      <c r="AT63" s="648"/>
      <c r="AU63" s="648"/>
      <c r="AV63" s="648"/>
      <c r="AW63" s="648"/>
      <c r="AX63" s="648"/>
      <c r="AY63" s="648"/>
      <c r="AZ63" s="648"/>
      <c r="BA63" s="648"/>
      <c r="BB63" s="648"/>
    </row>
    <row r="64" spans="1:55" ht="13.5" customHeight="1">
      <c r="A64" s="648"/>
      <c r="B64" s="791">
        <v>43519</v>
      </c>
      <c r="C64" s="790" t="s">
        <v>57</v>
      </c>
      <c r="D64" s="789">
        <v>400</v>
      </c>
      <c r="E64" s="789"/>
      <c r="F64" s="789"/>
      <c r="G64" s="789"/>
      <c r="H64" s="789"/>
      <c r="I64" s="789"/>
      <c r="J64" s="789"/>
      <c r="K64" s="789"/>
      <c r="L64" s="789">
        <f>D64</f>
        <v>400</v>
      </c>
      <c r="M64" s="789"/>
      <c r="N64" s="789"/>
      <c r="O64" s="789"/>
      <c r="P64" s="648"/>
      <c r="Q64" s="648"/>
      <c r="R64" s="648"/>
      <c r="S64" s="648"/>
      <c r="T64" s="648"/>
      <c r="U64" s="648"/>
      <c r="V64" s="648"/>
      <c r="W64" s="648"/>
      <c r="X64" s="648"/>
      <c r="Y64" s="648"/>
      <c r="Z64" s="648"/>
      <c r="AA64" s="648"/>
      <c r="AB64" s="648"/>
      <c r="AC64" s="648"/>
      <c r="AD64" s="648"/>
      <c r="AE64" s="648"/>
      <c r="AF64" s="648"/>
      <c r="AG64" s="648"/>
      <c r="AH64" s="648"/>
      <c r="AI64" s="648"/>
      <c r="AJ64" s="648"/>
      <c r="AK64" s="648"/>
      <c r="AL64" s="648"/>
      <c r="AM64" s="648"/>
      <c r="AN64" s="648"/>
      <c r="AO64" s="648"/>
      <c r="AP64" s="648"/>
      <c r="AQ64" s="648"/>
      <c r="AR64" s="648"/>
      <c r="AS64" s="648"/>
      <c r="AT64" s="648"/>
      <c r="AU64" s="648"/>
      <c r="AV64" s="648"/>
      <c r="AW64" s="648"/>
      <c r="AX64" s="648"/>
      <c r="AY64" s="648"/>
      <c r="AZ64" s="648"/>
      <c r="BA64" s="648"/>
      <c r="BB64" s="648"/>
    </row>
    <row r="65" spans="1:54" ht="13.5" customHeight="1">
      <c r="A65" s="648"/>
      <c r="B65" s="791">
        <v>43497</v>
      </c>
      <c r="C65" s="790" t="s">
        <v>519</v>
      </c>
      <c r="D65" s="789">
        <v>99</v>
      </c>
      <c r="E65" s="789"/>
      <c r="F65" s="789"/>
      <c r="G65" s="789"/>
      <c r="H65" s="789"/>
      <c r="I65" s="789"/>
      <c r="J65" s="789"/>
      <c r="K65" s="789"/>
      <c r="L65" s="789"/>
      <c r="M65" s="789"/>
      <c r="N65" s="789"/>
      <c r="O65" s="789"/>
      <c r="P65" s="648"/>
      <c r="Q65" s="648"/>
      <c r="R65" s="648"/>
      <c r="S65" s="648"/>
      <c r="T65" s="648"/>
      <c r="U65" s="648"/>
      <c r="V65" s="648"/>
      <c r="W65" s="648"/>
      <c r="X65" s="648"/>
      <c r="Y65" s="648"/>
      <c r="Z65" s="648"/>
      <c r="AA65" s="648"/>
      <c r="AB65" s="648"/>
      <c r="AC65" s="648"/>
      <c r="AD65" s="648"/>
      <c r="AE65" s="648"/>
      <c r="AF65" s="648"/>
      <c r="AG65" s="648"/>
      <c r="AH65" s="648"/>
      <c r="AI65" s="648"/>
      <c r="AJ65" s="648"/>
      <c r="AK65" s="648"/>
      <c r="AL65" s="648"/>
      <c r="AM65" s="648"/>
      <c r="AN65" s="648"/>
      <c r="AO65" s="648"/>
      <c r="AP65" s="648"/>
      <c r="AQ65" s="648"/>
      <c r="AR65" s="648"/>
      <c r="AS65" s="648"/>
      <c r="AT65" s="648"/>
      <c r="AU65" s="648"/>
      <c r="AV65" s="648"/>
      <c r="AW65" s="648"/>
      <c r="AX65" s="648"/>
      <c r="AY65" s="648"/>
      <c r="AZ65" s="648"/>
      <c r="BA65" s="648"/>
      <c r="BB65" s="648"/>
    </row>
    <row r="66" spans="1:54" ht="13.5" customHeight="1">
      <c r="A66" s="648"/>
      <c r="B66" s="791">
        <v>43497</v>
      </c>
      <c r="C66" s="790" t="s">
        <v>280</v>
      </c>
      <c r="D66" s="789">
        <v>777</v>
      </c>
      <c r="E66" s="789"/>
      <c r="F66" s="789"/>
      <c r="G66" s="789">
        <f>D66</f>
        <v>777</v>
      </c>
      <c r="H66" s="789"/>
      <c r="I66" s="789"/>
      <c r="J66" s="789"/>
      <c r="K66" s="789"/>
      <c r="L66" s="789"/>
      <c r="M66" s="789"/>
      <c r="N66" s="789"/>
      <c r="O66" s="789"/>
      <c r="P66" s="648"/>
      <c r="Q66" s="648"/>
      <c r="R66" s="648"/>
      <c r="S66" s="648"/>
      <c r="T66" s="648"/>
      <c r="U66" s="648"/>
      <c r="V66" s="648"/>
      <c r="W66" s="648"/>
      <c r="X66" s="648"/>
      <c r="Y66" s="648"/>
      <c r="Z66" s="648"/>
      <c r="AA66" s="648"/>
      <c r="AB66" s="648"/>
      <c r="AC66" s="648"/>
      <c r="AD66" s="648"/>
      <c r="AE66" s="648"/>
      <c r="AF66" s="648"/>
      <c r="AG66" s="648"/>
      <c r="AH66" s="648"/>
      <c r="AI66" s="648"/>
      <c r="AJ66" s="648"/>
      <c r="AK66" s="648"/>
      <c r="AL66" s="648"/>
      <c r="AM66" s="648"/>
      <c r="AN66" s="648"/>
      <c r="AO66" s="648"/>
      <c r="AP66" s="648"/>
      <c r="AQ66" s="648"/>
      <c r="AR66" s="648"/>
      <c r="AS66" s="648"/>
      <c r="AT66" s="648"/>
      <c r="AU66" s="648"/>
      <c r="AV66" s="648"/>
      <c r="AW66" s="648"/>
      <c r="AX66" s="648"/>
      <c r="AY66" s="648"/>
      <c r="AZ66" s="648"/>
      <c r="BA66" s="648"/>
      <c r="BB66" s="648"/>
    </row>
    <row r="67" spans="1:54" ht="13.5" customHeight="1">
      <c r="A67" s="648"/>
      <c r="B67" s="791">
        <v>43497</v>
      </c>
      <c r="C67" s="790" t="s">
        <v>21</v>
      </c>
      <c r="D67" s="789">
        <v>176</v>
      </c>
      <c r="E67" s="789"/>
      <c r="F67" s="789"/>
      <c r="G67" s="789">
        <f>D67</f>
        <v>176</v>
      </c>
      <c r="H67" s="789"/>
      <c r="I67" s="789"/>
      <c r="J67" s="789"/>
      <c r="K67" s="789"/>
      <c r="L67" s="789"/>
      <c r="M67" s="789"/>
      <c r="N67" s="789"/>
      <c r="O67" s="789"/>
      <c r="P67" s="648"/>
      <c r="Q67" s="648"/>
      <c r="R67" s="648"/>
      <c r="S67" s="648"/>
      <c r="T67" s="648"/>
      <c r="U67" s="648"/>
      <c r="V67" s="648"/>
      <c r="W67" s="648"/>
      <c r="X67" s="648"/>
      <c r="Y67" s="648"/>
      <c r="Z67" s="648"/>
      <c r="AA67" s="648"/>
      <c r="AB67" s="648"/>
      <c r="AC67" s="648"/>
      <c r="AD67" s="648"/>
      <c r="AE67" s="648"/>
      <c r="AF67" s="648"/>
      <c r="AG67" s="648"/>
      <c r="AH67" s="648"/>
      <c r="AI67" s="648"/>
      <c r="AJ67" s="648"/>
      <c r="AK67" s="648"/>
      <c r="AL67" s="648"/>
      <c r="AM67" s="648"/>
      <c r="AN67" s="648"/>
      <c r="AO67" s="648"/>
      <c r="AP67" s="648"/>
      <c r="AQ67" s="648"/>
      <c r="AR67" s="648"/>
      <c r="AS67" s="648"/>
      <c r="AT67" s="648"/>
      <c r="AU67" s="648"/>
      <c r="AV67" s="648"/>
      <c r="AW67" s="648"/>
      <c r="AX67" s="648"/>
      <c r="AY67" s="648"/>
      <c r="AZ67" s="648"/>
      <c r="BA67" s="648"/>
      <c r="BB67" s="648"/>
    </row>
    <row r="68" spans="1:54" ht="13.5" customHeight="1">
      <c r="A68" s="648"/>
      <c r="B68" s="791">
        <v>43505</v>
      </c>
      <c r="C68" s="790" t="s">
        <v>474</v>
      </c>
      <c r="D68" s="789">
        <v>380</v>
      </c>
      <c r="E68" s="789"/>
      <c r="F68" s="789"/>
      <c r="G68" s="789"/>
      <c r="H68" s="789"/>
      <c r="I68" s="789"/>
      <c r="J68" s="789"/>
      <c r="K68" s="789"/>
      <c r="L68" s="789"/>
      <c r="M68" s="789"/>
      <c r="N68" s="789"/>
      <c r="O68" s="789"/>
      <c r="P68" s="648"/>
      <c r="Q68" s="648"/>
      <c r="R68" s="648"/>
      <c r="S68" s="648"/>
      <c r="T68" s="648"/>
      <c r="U68" s="648"/>
      <c r="V68" s="648"/>
      <c r="W68" s="648"/>
      <c r="X68" s="648"/>
      <c r="Y68" s="648"/>
      <c r="Z68" s="648"/>
      <c r="AA68" s="648"/>
      <c r="AB68" s="648"/>
      <c r="AC68" s="648"/>
      <c r="AD68" s="648"/>
      <c r="AE68" s="648"/>
      <c r="AF68" s="648"/>
      <c r="AG68" s="648"/>
      <c r="AH68" s="648"/>
      <c r="AI68" s="648"/>
      <c r="AJ68" s="648"/>
      <c r="AK68" s="648"/>
      <c r="AL68" s="648"/>
      <c r="AM68" s="648"/>
      <c r="AN68" s="648"/>
      <c r="AO68" s="648"/>
      <c r="AP68" s="648"/>
      <c r="AQ68" s="648"/>
      <c r="AR68" s="648"/>
      <c r="AS68" s="648"/>
      <c r="AT68" s="648"/>
      <c r="AU68" s="648"/>
      <c r="AV68" s="648"/>
      <c r="AW68" s="648"/>
      <c r="AX68" s="648"/>
      <c r="AY68" s="648"/>
      <c r="AZ68" s="648"/>
      <c r="BA68" s="648"/>
      <c r="BB68" s="648"/>
    </row>
    <row r="69" spans="1:54" ht="13.5" customHeight="1">
      <c r="A69" s="648"/>
      <c r="B69" s="791">
        <v>43499</v>
      </c>
      <c r="C69" s="790" t="s">
        <v>517</v>
      </c>
      <c r="D69" s="789">
        <v>30</v>
      </c>
      <c r="E69" s="789"/>
      <c r="F69" s="789"/>
      <c r="G69" s="789"/>
      <c r="H69" s="789"/>
      <c r="I69" s="789">
        <f>D69</f>
        <v>30</v>
      </c>
      <c r="J69" s="789"/>
      <c r="K69" s="789"/>
      <c r="L69" s="789"/>
      <c r="M69" s="789"/>
      <c r="N69" s="789"/>
      <c r="O69" s="789"/>
      <c r="P69" s="648"/>
      <c r="Q69" s="648"/>
      <c r="R69" s="648"/>
      <c r="S69" s="648"/>
      <c r="T69" s="648"/>
      <c r="U69" s="648"/>
      <c r="V69" s="648"/>
      <c r="W69" s="648"/>
      <c r="X69" s="648"/>
      <c r="Y69" s="648"/>
      <c r="Z69" s="648"/>
      <c r="AA69" s="648"/>
      <c r="AB69" s="648"/>
      <c r="AC69" s="648"/>
      <c r="AD69" s="648"/>
      <c r="AE69" s="648"/>
      <c r="AF69" s="648"/>
      <c r="AG69" s="648"/>
      <c r="AH69" s="648"/>
      <c r="AI69" s="648"/>
      <c r="AJ69" s="648"/>
      <c r="AK69" s="648"/>
      <c r="AL69" s="648"/>
      <c r="AM69" s="648"/>
      <c r="AN69" s="648"/>
      <c r="AO69" s="648"/>
      <c r="AP69" s="648"/>
      <c r="AQ69" s="648"/>
      <c r="AR69" s="648"/>
      <c r="AS69" s="648"/>
      <c r="AT69" s="648"/>
      <c r="AU69" s="648"/>
      <c r="AV69" s="648"/>
      <c r="AW69" s="648"/>
      <c r="AX69" s="648"/>
      <c r="AY69" s="648"/>
      <c r="AZ69" s="648"/>
      <c r="BA69" s="648"/>
      <c r="BB69" s="648"/>
    </row>
    <row r="70" spans="1:54" ht="13.5" customHeight="1">
      <c r="A70" s="648"/>
      <c r="B70" s="791">
        <v>43499</v>
      </c>
      <c r="C70" s="790" t="s">
        <v>516</v>
      </c>
      <c r="D70" s="789">
        <v>40</v>
      </c>
      <c r="E70" s="789"/>
      <c r="F70" s="789"/>
      <c r="G70" s="789"/>
      <c r="H70" s="789"/>
      <c r="I70" s="789"/>
      <c r="J70" s="789">
        <f>D70</f>
        <v>40</v>
      </c>
      <c r="K70" s="789"/>
      <c r="L70" s="789"/>
      <c r="M70" s="789"/>
      <c r="N70" s="789"/>
      <c r="O70" s="789"/>
      <c r="P70" s="648"/>
      <c r="Q70" s="648"/>
      <c r="R70" s="648"/>
      <c r="S70" s="648"/>
      <c r="T70" s="648"/>
      <c r="U70" s="648"/>
      <c r="V70" s="648"/>
      <c r="W70" s="648"/>
      <c r="X70" s="648"/>
      <c r="Y70" s="648"/>
      <c r="Z70" s="648"/>
      <c r="AA70" s="648"/>
      <c r="AB70" s="648"/>
      <c r="AC70" s="648"/>
      <c r="AD70" s="648"/>
      <c r="AE70" s="648"/>
      <c r="AF70" s="648"/>
      <c r="AG70" s="648"/>
      <c r="AH70" s="648"/>
      <c r="AI70" s="648"/>
      <c r="AJ70" s="648"/>
      <c r="AK70" s="648"/>
      <c r="AL70" s="648"/>
      <c r="AM70" s="648"/>
      <c r="AN70" s="648"/>
      <c r="AO70" s="648"/>
      <c r="AP70" s="648"/>
      <c r="AQ70" s="648"/>
      <c r="AR70" s="648"/>
      <c r="AS70" s="648"/>
      <c r="AT70" s="648"/>
      <c r="AU70" s="648"/>
      <c r="AV70" s="648"/>
      <c r="AW70" s="648"/>
      <c r="AX70" s="648"/>
      <c r="AY70" s="648"/>
      <c r="AZ70" s="648"/>
      <c r="BA70" s="648"/>
      <c r="BB70" s="648"/>
    </row>
    <row r="71" spans="1:54" ht="13.5" customHeight="1">
      <c r="A71" s="648"/>
      <c r="B71" s="791"/>
      <c r="C71" s="790" t="s">
        <v>186</v>
      </c>
      <c r="D71" s="789"/>
      <c r="E71" s="789"/>
      <c r="F71" s="789"/>
      <c r="G71" s="789"/>
      <c r="H71" s="789">
        <v>200</v>
      </c>
      <c r="I71" s="789"/>
      <c r="J71" s="789"/>
      <c r="K71" s="789"/>
      <c r="L71" s="789"/>
      <c r="M71" s="789"/>
      <c r="N71" s="789"/>
      <c r="O71" s="789"/>
      <c r="P71" s="648"/>
      <c r="Q71" s="648"/>
      <c r="R71" s="648"/>
      <c r="S71" s="648"/>
      <c r="T71" s="648"/>
      <c r="U71" s="648"/>
      <c r="V71" s="648"/>
      <c r="W71" s="648"/>
      <c r="X71" s="648"/>
      <c r="Y71" s="648"/>
      <c r="Z71" s="648"/>
      <c r="AA71" s="648"/>
      <c r="AB71" s="648"/>
      <c r="AC71" s="648"/>
      <c r="AD71" s="648"/>
      <c r="AE71" s="648"/>
      <c r="AF71" s="648"/>
      <c r="AG71" s="648"/>
      <c r="AH71" s="648"/>
      <c r="AI71" s="648"/>
      <c r="AJ71" s="648"/>
      <c r="AK71" s="648"/>
      <c r="AL71" s="648"/>
      <c r="AM71" s="648"/>
      <c r="AN71" s="648"/>
      <c r="AO71" s="648"/>
      <c r="AP71" s="648"/>
      <c r="AQ71" s="648"/>
      <c r="AR71" s="648"/>
      <c r="AS71" s="648"/>
      <c r="AT71" s="648"/>
      <c r="AU71" s="648"/>
      <c r="AV71" s="648"/>
      <c r="AW71" s="648"/>
      <c r="AX71" s="648"/>
      <c r="AY71" s="648"/>
      <c r="AZ71" s="648"/>
      <c r="BA71" s="648"/>
      <c r="BB71" s="648"/>
    </row>
    <row r="72" spans="1:54" ht="13.5" customHeight="1">
      <c r="A72" s="648"/>
      <c r="B72" s="791"/>
      <c r="C72" s="790" t="s">
        <v>518</v>
      </c>
      <c r="D72" s="789"/>
      <c r="E72" s="789"/>
      <c r="F72" s="789"/>
      <c r="G72" s="789"/>
      <c r="H72" s="789">
        <v>195</v>
      </c>
      <c r="I72" s="789"/>
      <c r="J72" s="789"/>
      <c r="K72" s="789"/>
      <c r="L72" s="789"/>
      <c r="M72" s="789"/>
      <c r="N72" s="789"/>
      <c r="O72" s="789"/>
      <c r="P72" s="648"/>
      <c r="Q72" s="648"/>
      <c r="R72" s="648"/>
      <c r="S72" s="648"/>
      <c r="T72" s="648"/>
      <c r="U72" s="648"/>
      <c r="V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8"/>
      <c r="AG72" s="648"/>
      <c r="AH72" s="648"/>
      <c r="AI72" s="648"/>
      <c r="AJ72" s="648"/>
      <c r="AK72" s="648"/>
      <c r="AL72" s="648"/>
      <c r="AM72" s="648"/>
      <c r="AN72" s="648"/>
      <c r="AO72" s="648"/>
      <c r="AP72" s="648"/>
      <c r="AQ72" s="648"/>
      <c r="AR72" s="648"/>
      <c r="AS72" s="648"/>
      <c r="AT72" s="648"/>
      <c r="AU72" s="648"/>
      <c r="AV72" s="648"/>
      <c r="AW72" s="648"/>
      <c r="AX72" s="648"/>
      <c r="AY72" s="648"/>
      <c r="AZ72" s="648"/>
      <c r="BA72" s="648"/>
      <c r="BB72" s="648"/>
    </row>
    <row r="73" spans="1:54" ht="13.5" customHeight="1">
      <c r="A73" s="648"/>
      <c r="B73" s="791">
        <v>43499</v>
      </c>
      <c r="C73" s="790" t="s">
        <v>515</v>
      </c>
      <c r="D73" s="789">
        <v>528.85</v>
      </c>
      <c r="E73" s="789"/>
      <c r="F73" s="789"/>
      <c r="G73" s="789"/>
      <c r="H73" s="789"/>
      <c r="I73" s="789"/>
      <c r="J73" s="789"/>
      <c r="K73" s="789"/>
      <c r="L73" s="789"/>
      <c r="M73" s="789"/>
      <c r="N73" s="789"/>
      <c r="O73" s="789"/>
      <c r="P73" s="648"/>
      <c r="Q73" s="648"/>
      <c r="R73" s="648"/>
      <c r="S73" s="648"/>
      <c r="T73" s="648"/>
      <c r="U73" s="648"/>
      <c r="V73" s="648"/>
      <c r="W73" s="648"/>
      <c r="X73" s="648"/>
      <c r="Y73" s="648"/>
      <c r="Z73" s="648"/>
      <c r="AA73" s="648"/>
      <c r="AB73" s="648"/>
      <c r="AC73" s="648"/>
      <c r="AD73" s="648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  <c r="AP73" s="648"/>
      <c r="AQ73" s="648"/>
      <c r="AR73" s="648"/>
      <c r="AS73" s="648"/>
      <c r="AT73" s="648"/>
      <c r="AU73" s="648"/>
      <c r="AV73" s="648"/>
      <c r="AW73" s="648"/>
      <c r="AX73" s="648"/>
      <c r="AY73" s="648"/>
      <c r="AZ73" s="648"/>
      <c r="BA73" s="648"/>
      <c r="BB73" s="648"/>
    </row>
    <row r="74" spans="1:54" ht="13.5" customHeight="1">
      <c r="A74" s="648"/>
      <c r="B74" s="791">
        <v>43497</v>
      </c>
      <c r="C74" s="790" t="s">
        <v>230</v>
      </c>
      <c r="D74" s="789">
        <v>59</v>
      </c>
      <c r="E74" s="789"/>
      <c r="F74" s="789"/>
      <c r="G74" s="789">
        <f>D74</f>
        <v>59</v>
      </c>
      <c r="H74" s="789"/>
      <c r="I74" s="789"/>
      <c r="J74" s="789"/>
      <c r="K74" s="789"/>
      <c r="L74" s="789"/>
      <c r="M74" s="789"/>
      <c r="N74" s="789"/>
      <c r="O74" s="789"/>
      <c r="P74" s="648"/>
      <c r="Q74" s="648"/>
      <c r="R74" s="648"/>
      <c r="S74" s="648"/>
      <c r="T74" s="648"/>
      <c r="U74" s="648"/>
      <c r="V74" s="648"/>
      <c r="W74" s="648"/>
      <c r="X74" s="648"/>
      <c r="Y74" s="648"/>
      <c r="Z74" s="648"/>
      <c r="AA74" s="648"/>
      <c r="AB74" s="648"/>
      <c r="AC74" s="648"/>
      <c r="AD74" s="648"/>
      <c r="AE74" s="648"/>
      <c r="AF74" s="648"/>
      <c r="AG74" s="648"/>
      <c r="AH74" s="648"/>
      <c r="AI74" s="648"/>
      <c r="AJ74" s="648"/>
      <c r="AK74" s="648"/>
      <c r="AL74" s="648"/>
      <c r="AM74" s="648"/>
      <c r="AN74" s="648"/>
      <c r="AO74" s="648"/>
      <c r="AP74" s="648"/>
      <c r="AQ74" s="648"/>
      <c r="AR74" s="648"/>
      <c r="AS74" s="648"/>
      <c r="AT74" s="648"/>
      <c r="AU74" s="648"/>
      <c r="AV74" s="648"/>
      <c r="AW74" s="648"/>
      <c r="AX74" s="648"/>
      <c r="AY74" s="648"/>
      <c r="AZ74" s="648"/>
      <c r="BA74" s="648"/>
      <c r="BB74" s="648"/>
    </row>
    <row r="75" spans="1:54" ht="13.5" customHeight="1">
      <c r="A75" s="648"/>
      <c r="B75" s="791">
        <v>43500</v>
      </c>
      <c r="C75" s="790" t="s">
        <v>464</v>
      </c>
      <c r="D75" s="789">
        <v>26.79</v>
      </c>
      <c r="E75" s="789"/>
      <c r="F75" s="789"/>
      <c r="G75" s="789"/>
      <c r="H75" s="789"/>
      <c r="I75" s="789"/>
      <c r="J75" s="789"/>
      <c r="K75" s="789"/>
      <c r="L75" s="789"/>
      <c r="M75" s="789"/>
      <c r="N75" s="789"/>
      <c r="O75" s="789"/>
      <c r="P75" s="648"/>
      <c r="Q75" s="648"/>
      <c r="R75" s="648"/>
      <c r="S75" s="648"/>
      <c r="T75" s="648"/>
      <c r="U75" s="648"/>
      <c r="V75" s="648"/>
      <c r="W75" s="648"/>
      <c r="X75" s="648"/>
      <c r="Y75" s="648"/>
      <c r="Z75" s="648"/>
      <c r="AA75" s="648"/>
      <c r="AB75" s="648"/>
      <c r="AC75" s="648"/>
      <c r="AD75" s="648"/>
      <c r="AE75" s="648"/>
      <c r="AF75" s="648"/>
      <c r="AG75" s="648"/>
      <c r="AH75" s="648"/>
      <c r="AI75" s="648"/>
      <c r="AJ75" s="648"/>
      <c r="AK75" s="648"/>
      <c r="AL75" s="648"/>
      <c r="AM75" s="648"/>
      <c r="AN75" s="648"/>
      <c r="AO75" s="648"/>
      <c r="AP75" s="648"/>
      <c r="AQ75" s="648"/>
      <c r="AR75" s="648"/>
      <c r="AS75" s="648"/>
      <c r="AT75" s="648"/>
      <c r="AU75" s="648"/>
      <c r="AV75" s="648"/>
      <c r="AW75" s="648"/>
      <c r="AX75" s="648"/>
      <c r="AY75" s="648"/>
      <c r="AZ75" s="648"/>
      <c r="BA75" s="648"/>
      <c r="BB75" s="648"/>
    </row>
    <row r="76" spans="1:54" ht="13.5" customHeight="1">
      <c r="A76" s="648"/>
      <c r="B76" s="791">
        <v>43501</v>
      </c>
      <c r="C76" s="790" t="s">
        <v>514</v>
      </c>
      <c r="D76" s="789">
        <v>99</v>
      </c>
      <c r="E76" s="789"/>
      <c r="F76" s="789"/>
      <c r="G76" s="789">
        <f>D76</f>
        <v>99</v>
      </c>
      <c r="H76" s="789"/>
      <c r="I76" s="789"/>
      <c r="J76" s="789"/>
      <c r="K76" s="789"/>
      <c r="L76" s="789"/>
      <c r="M76" s="789"/>
      <c r="N76" s="789"/>
      <c r="O76" s="789"/>
      <c r="P76" s="648"/>
      <c r="Q76" s="648"/>
      <c r="R76" s="648"/>
      <c r="S76" s="648"/>
      <c r="T76" s="648"/>
      <c r="U76" s="648"/>
      <c r="V76" s="648"/>
      <c r="W76" s="648"/>
      <c r="X76" s="648"/>
      <c r="Y76" s="648"/>
      <c r="Z76" s="648"/>
      <c r="AA76" s="648"/>
      <c r="AB76" s="648"/>
      <c r="AC76" s="648"/>
      <c r="AD76" s="648"/>
      <c r="AE76" s="648"/>
      <c r="AF76" s="648"/>
      <c r="AG76" s="648"/>
      <c r="AH76" s="648"/>
      <c r="AI76" s="648"/>
      <c r="AJ76" s="648"/>
      <c r="AK76" s="648"/>
      <c r="AL76" s="648"/>
      <c r="AM76" s="648"/>
      <c r="AN76" s="648"/>
      <c r="AO76" s="648"/>
      <c r="AP76" s="648"/>
      <c r="AQ76" s="648"/>
      <c r="AR76" s="648"/>
      <c r="AS76" s="648"/>
      <c r="AT76" s="648"/>
      <c r="AU76" s="648"/>
      <c r="AV76" s="648"/>
      <c r="AW76" s="648"/>
      <c r="AX76" s="648"/>
      <c r="AY76" s="648"/>
      <c r="AZ76" s="648"/>
      <c r="BA76" s="648"/>
      <c r="BB76" s="648"/>
    </row>
    <row r="77" spans="1:54" ht="13.5" customHeight="1">
      <c r="A77" s="648"/>
      <c r="B77" s="791">
        <v>43501</v>
      </c>
      <c r="C77" s="790" t="s">
        <v>513</v>
      </c>
      <c r="D77" s="789">
        <v>99</v>
      </c>
      <c r="E77" s="789"/>
      <c r="F77" s="789"/>
      <c r="G77" s="789">
        <f>D77</f>
        <v>99</v>
      </c>
      <c r="H77" s="789"/>
      <c r="I77" s="789"/>
      <c r="J77" s="789"/>
      <c r="K77" s="789"/>
      <c r="L77" s="789"/>
      <c r="M77" s="789"/>
      <c r="N77" s="789"/>
      <c r="O77" s="789"/>
      <c r="P77" s="648"/>
      <c r="Q77" s="648"/>
      <c r="R77" s="648"/>
      <c r="S77" s="648"/>
      <c r="T77" s="648"/>
      <c r="U77" s="648"/>
      <c r="V77" s="648"/>
      <c r="W77" s="648"/>
      <c r="X77" s="648"/>
      <c r="Y77" s="648"/>
      <c r="Z77" s="648"/>
      <c r="AA77" s="648"/>
      <c r="AB77" s="648"/>
      <c r="AC77" s="648"/>
      <c r="AD77" s="648"/>
      <c r="AE77" s="648"/>
      <c r="AF77" s="648"/>
      <c r="AG77" s="648"/>
      <c r="AH77" s="648"/>
      <c r="AI77" s="648"/>
      <c r="AJ77" s="648"/>
      <c r="AK77" s="648"/>
      <c r="AL77" s="648"/>
      <c r="AM77" s="648"/>
      <c r="AN77" s="648"/>
      <c r="AO77" s="648"/>
      <c r="AP77" s="648"/>
      <c r="AQ77" s="648"/>
      <c r="AR77" s="648"/>
      <c r="AS77" s="648"/>
      <c r="AT77" s="648"/>
      <c r="AU77" s="648"/>
      <c r="AV77" s="648"/>
      <c r="AW77" s="648"/>
      <c r="AX77" s="648"/>
      <c r="AY77" s="648"/>
      <c r="AZ77" s="648"/>
      <c r="BA77" s="648"/>
      <c r="BB77" s="648"/>
    </row>
    <row r="78" spans="1:54" ht="13.5" customHeight="1">
      <c r="A78" s="648"/>
      <c r="B78" s="791">
        <v>43505</v>
      </c>
      <c r="C78" s="790" t="s">
        <v>512</v>
      </c>
      <c r="D78" s="789">
        <v>30</v>
      </c>
      <c r="E78" s="789"/>
      <c r="F78" s="789"/>
      <c r="G78" s="789"/>
      <c r="H78" s="789"/>
      <c r="I78" s="789">
        <f>D78</f>
        <v>30</v>
      </c>
      <c r="J78" s="789"/>
      <c r="K78" s="789"/>
      <c r="L78" s="789"/>
      <c r="M78" s="789"/>
      <c r="N78" s="789"/>
      <c r="O78" s="789"/>
      <c r="P78" s="648"/>
      <c r="Q78" s="648"/>
      <c r="R78" s="648"/>
      <c r="S78" s="648"/>
      <c r="T78" s="648"/>
      <c r="U78" s="648"/>
      <c r="V78" s="648"/>
      <c r="W78" s="648"/>
      <c r="X78" s="648"/>
      <c r="Y78" s="648"/>
      <c r="Z78" s="648"/>
      <c r="AA78" s="648"/>
      <c r="AB78" s="648"/>
      <c r="AC78" s="648"/>
      <c r="AD78" s="648"/>
      <c r="AE78" s="648"/>
      <c r="AF78" s="648"/>
      <c r="AG78" s="648"/>
      <c r="AH78" s="648"/>
      <c r="AI78" s="648"/>
      <c r="AJ78" s="648"/>
      <c r="AK78" s="648"/>
      <c r="AL78" s="648"/>
      <c r="AM78" s="648"/>
      <c r="AN78" s="648"/>
      <c r="AO78" s="648"/>
      <c r="AP78" s="648"/>
      <c r="AQ78" s="648"/>
      <c r="AR78" s="648"/>
      <c r="AS78" s="648"/>
      <c r="AT78" s="648"/>
      <c r="AU78" s="648"/>
      <c r="AV78" s="648"/>
      <c r="AW78" s="648"/>
      <c r="AX78" s="648"/>
      <c r="AY78" s="648"/>
      <c r="AZ78" s="648"/>
      <c r="BA78" s="648"/>
      <c r="BB78" s="648"/>
    </row>
    <row r="79" spans="1:54" ht="13.5" customHeight="1">
      <c r="A79" s="648"/>
      <c r="B79" s="791">
        <v>43505</v>
      </c>
      <c r="C79" s="790" t="s">
        <v>511</v>
      </c>
      <c r="D79" s="789">
        <v>30</v>
      </c>
      <c r="E79" s="789"/>
      <c r="F79" s="789"/>
      <c r="G79" s="789"/>
      <c r="H79" s="789"/>
      <c r="I79" s="789"/>
      <c r="J79" s="789">
        <f>D79</f>
        <v>30</v>
      </c>
      <c r="K79" s="789"/>
      <c r="L79" s="789"/>
      <c r="M79" s="789"/>
      <c r="N79" s="789"/>
      <c r="O79" s="789"/>
      <c r="P79" s="648"/>
      <c r="Q79" s="648"/>
      <c r="R79" s="648"/>
      <c r="S79" s="648"/>
      <c r="T79" s="648"/>
      <c r="U79" s="648"/>
      <c r="V79" s="648"/>
      <c r="W79" s="648"/>
      <c r="X79" s="648"/>
      <c r="Y79" s="648"/>
      <c r="Z79" s="648"/>
      <c r="AA79" s="648"/>
      <c r="AB79" s="648"/>
      <c r="AC79" s="648"/>
      <c r="AD79" s="648"/>
      <c r="AE79" s="648"/>
      <c r="AF79" s="648"/>
      <c r="AG79" s="648"/>
      <c r="AH79" s="648"/>
      <c r="AI79" s="648"/>
      <c r="AJ79" s="648"/>
      <c r="AK79" s="648"/>
      <c r="AL79" s="648"/>
      <c r="AM79" s="648"/>
      <c r="AN79" s="648"/>
      <c r="AO79" s="648"/>
      <c r="AP79" s="648"/>
      <c r="AQ79" s="648"/>
      <c r="AR79" s="648"/>
      <c r="AS79" s="648"/>
      <c r="AT79" s="648"/>
      <c r="AU79" s="648"/>
      <c r="AV79" s="648"/>
      <c r="AW79" s="648"/>
      <c r="AX79" s="648"/>
      <c r="AY79" s="648"/>
      <c r="AZ79" s="648"/>
      <c r="BA79" s="648"/>
      <c r="BB79" s="648"/>
    </row>
    <row r="80" spans="1:54" ht="13.5" customHeight="1">
      <c r="A80" s="648"/>
      <c r="B80" s="791">
        <v>43510</v>
      </c>
      <c r="C80" s="790" t="s">
        <v>510</v>
      </c>
      <c r="D80" s="789">
        <v>140</v>
      </c>
      <c r="E80" s="789"/>
      <c r="F80" s="789"/>
      <c r="G80" s="789"/>
      <c r="H80" s="789"/>
      <c r="I80" s="789"/>
      <c r="J80" s="789"/>
      <c r="K80" s="789"/>
      <c r="L80" s="789"/>
      <c r="M80" s="789"/>
      <c r="N80" s="789"/>
      <c r="O80" s="789"/>
      <c r="P80" s="648"/>
      <c r="Q80" s="648"/>
      <c r="R80" s="648"/>
      <c r="S80" s="648"/>
      <c r="T80" s="648"/>
      <c r="U80" s="648"/>
      <c r="V80" s="648"/>
      <c r="W80" s="648"/>
      <c r="X80" s="648"/>
      <c r="Y80" s="648"/>
      <c r="Z80" s="648"/>
      <c r="AA80" s="648"/>
      <c r="AB80" s="648"/>
      <c r="AC80" s="648"/>
      <c r="AD80" s="648"/>
      <c r="AE80" s="648"/>
      <c r="AF80" s="648"/>
      <c r="AG80" s="648"/>
      <c r="AH80" s="648"/>
      <c r="AI80" s="648"/>
      <c r="AJ80" s="648"/>
      <c r="AK80" s="648"/>
      <c r="AL80" s="648"/>
      <c r="AM80" s="648"/>
      <c r="AN80" s="648"/>
      <c r="AO80" s="648"/>
      <c r="AP80" s="648"/>
      <c r="AQ80" s="648"/>
      <c r="AR80" s="648"/>
      <c r="AS80" s="648"/>
      <c r="AT80" s="648"/>
      <c r="AU80" s="648"/>
      <c r="AV80" s="648"/>
      <c r="AW80" s="648"/>
      <c r="AX80" s="648"/>
      <c r="AY80" s="648"/>
      <c r="AZ80" s="648"/>
      <c r="BA80" s="648"/>
      <c r="BB80" s="648"/>
    </row>
    <row r="81" spans="1:55" ht="13.5" customHeight="1">
      <c r="A81" s="648"/>
      <c r="B81" s="791"/>
      <c r="C81" s="790" t="s">
        <v>813</v>
      </c>
      <c r="D81" s="789">
        <v>0</v>
      </c>
      <c r="E81" s="789"/>
      <c r="F81" s="789"/>
      <c r="G81" s="789"/>
      <c r="H81" s="789"/>
      <c r="I81" s="789">
        <f>D81</f>
        <v>0</v>
      </c>
      <c r="J81" s="789"/>
      <c r="K81" s="789"/>
      <c r="L81" s="789"/>
      <c r="M81" s="789"/>
      <c r="N81" s="789"/>
      <c r="O81" s="789"/>
      <c r="P81" s="648"/>
      <c r="Q81" s="648"/>
      <c r="R81" s="648"/>
      <c r="S81" s="648"/>
      <c r="T81" s="648"/>
      <c r="U81" s="648"/>
      <c r="V81" s="648"/>
      <c r="W81" s="648"/>
      <c r="X81" s="648"/>
      <c r="Y81" s="648"/>
      <c r="Z81" s="648"/>
      <c r="AA81" s="648"/>
      <c r="AB81" s="648"/>
      <c r="AC81" s="648"/>
      <c r="AD81" s="648"/>
      <c r="AE81" s="648"/>
      <c r="AF81" s="648"/>
      <c r="AG81" s="648"/>
      <c r="AH81" s="648"/>
      <c r="AI81" s="648"/>
      <c r="AJ81" s="648"/>
      <c r="AK81" s="648"/>
      <c r="AL81" s="648"/>
      <c r="AM81" s="648"/>
      <c r="AN81" s="648"/>
      <c r="AO81" s="648"/>
      <c r="AP81" s="648"/>
      <c r="AQ81" s="648"/>
      <c r="AR81" s="648"/>
      <c r="AS81" s="648"/>
      <c r="AT81" s="648"/>
      <c r="AU81" s="648"/>
      <c r="AV81" s="648"/>
      <c r="AW81" s="648"/>
      <c r="AX81" s="648"/>
      <c r="AY81" s="648"/>
      <c r="AZ81" s="648"/>
      <c r="BA81" s="648"/>
      <c r="BB81" s="648"/>
    </row>
    <row r="82" spans="1:55" ht="13.5" customHeight="1">
      <c r="A82" s="648"/>
      <c r="B82" s="791"/>
      <c r="C82" s="790" t="s">
        <v>812</v>
      </c>
      <c r="D82" s="789">
        <v>0</v>
      </c>
      <c r="E82" s="789"/>
      <c r="F82" s="789"/>
      <c r="G82" s="789"/>
      <c r="H82" s="789"/>
      <c r="I82" s="789"/>
      <c r="J82" s="789">
        <f>D82</f>
        <v>0</v>
      </c>
      <c r="K82" s="789"/>
      <c r="L82" s="789"/>
      <c r="M82" s="789"/>
      <c r="N82" s="789"/>
      <c r="O82" s="789"/>
      <c r="P82" s="648"/>
      <c r="Q82" s="648"/>
      <c r="R82" s="648"/>
      <c r="S82" s="648"/>
      <c r="T82" s="648"/>
      <c r="U82" s="648"/>
      <c r="V82" s="648"/>
      <c r="W82" s="648"/>
      <c r="X82" s="648"/>
      <c r="Y82" s="648"/>
      <c r="Z82" s="648"/>
      <c r="AA82" s="648"/>
      <c r="AB82" s="648"/>
      <c r="AC82" s="648"/>
      <c r="AD82" s="648"/>
      <c r="AE82" s="648"/>
      <c r="AF82" s="648"/>
      <c r="AG82" s="648"/>
      <c r="AH82" s="648"/>
      <c r="AI82" s="648"/>
      <c r="AJ82" s="648"/>
      <c r="AK82" s="648"/>
      <c r="AL82" s="648"/>
      <c r="AM82" s="648"/>
      <c r="AN82" s="648"/>
      <c r="AO82" s="648"/>
      <c r="AP82" s="648"/>
      <c r="AQ82" s="648"/>
      <c r="AR82" s="648"/>
      <c r="AS82" s="648"/>
      <c r="AT82" s="648"/>
      <c r="AU82" s="648"/>
      <c r="AV82" s="648"/>
      <c r="AW82" s="648"/>
      <c r="AX82" s="648"/>
      <c r="AY82" s="648"/>
      <c r="AZ82" s="648"/>
      <c r="BA82" s="648"/>
      <c r="BB82" s="648"/>
    </row>
    <row r="83" spans="1:55" ht="13.5" customHeight="1">
      <c r="A83" s="648"/>
      <c r="B83" s="791">
        <v>43524</v>
      </c>
      <c r="C83" s="790" t="s">
        <v>428</v>
      </c>
      <c r="D83" s="789">
        <v>144.4</v>
      </c>
      <c r="E83" s="789"/>
      <c r="F83" s="789"/>
      <c r="G83" s="789"/>
      <c r="H83" s="789"/>
      <c r="I83" s="789"/>
      <c r="J83" s="789"/>
      <c r="K83" s="789"/>
      <c r="L83" s="789"/>
      <c r="M83" s="789"/>
      <c r="N83" s="789"/>
      <c r="O83" s="789"/>
      <c r="P83" s="648"/>
      <c r="Q83" s="648"/>
      <c r="R83" s="648"/>
      <c r="S83" s="648"/>
      <c r="T83" s="648"/>
      <c r="U83" s="648"/>
      <c r="V83" s="648"/>
      <c r="W83" s="648"/>
      <c r="X83" s="648"/>
      <c r="Y83" s="648"/>
      <c r="Z83" s="648"/>
      <c r="AA83" s="648"/>
      <c r="AB83" s="648"/>
      <c r="AC83" s="648"/>
      <c r="AD83" s="648"/>
      <c r="AE83" s="648"/>
      <c r="AF83" s="648"/>
      <c r="AG83" s="648"/>
      <c r="AH83" s="648"/>
      <c r="AI83" s="648"/>
      <c r="AJ83" s="648"/>
      <c r="AK83" s="648"/>
      <c r="AL83" s="648"/>
      <c r="AM83" s="648"/>
      <c r="AN83" s="648"/>
      <c r="AO83" s="648"/>
      <c r="AP83" s="648"/>
      <c r="AQ83" s="648"/>
      <c r="AR83" s="648"/>
      <c r="AS83" s="648"/>
      <c r="AT83" s="648"/>
      <c r="AU83" s="648"/>
      <c r="AV83" s="648"/>
      <c r="AW83" s="648"/>
      <c r="AX83" s="648"/>
      <c r="AY83" s="648"/>
      <c r="AZ83" s="648"/>
      <c r="BA83" s="648"/>
      <c r="BB83" s="648"/>
    </row>
    <row r="84" spans="1:55" ht="13.5" customHeight="1">
      <c r="A84" s="648"/>
      <c r="B84" s="791"/>
      <c r="C84" s="790"/>
      <c r="D84" s="789"/>
      <c r="E84" s="789"/>
      <c r="F84" s="789"/>
      <c r="G84" s="789"/>
      <c r="H84" s="789"/>
      <c r="I84" s="789"/>
      <c r="J84" s="789"/>
      <c r="K84" s="789"/>
      <c r="L84" s="789"/>
      <c r="M84" s="789"/>
      <c r="N84" s="789"/>
      <c r="O84" s="789"/>
      <c r="P84" s="648"/>
      <c r="Q84" s="648"/>
      <c r="R84" s="648"/>
      <c r="S84" s="648"/>
      <c r="T84" s="648"/>
      <c r="U84" s="648"/>
      <c r="V84" s="648"/>
      <c r="W84" s="648"/>
      <c r="X84" s="648"/>
      <c r="Y84" s="648"/>
      <c r="Z84" s="648"/>
      <c r="AA84" s="648"/>
      <c r="AB84" s="648"/>
      <c r="AC84" s="648"/>
      <c r="AD84" s="648"/>
      <c r="AE84" s="648"/>
      <c r="AF84" s="648"/>
      <c r="AG84" s="648"/>
      <c r="AH84" s="648"/>
      <c r="AI84" s="648"/>
      <c r="AJ84" s="648"/>
      <c r="AK84" s="648"/>
      <c r="AL84" s="648"/>
      <c r="AM84" s="648"/>
      <c r="AN84" s="648"/>
      <c r="AO84" s="648"/>
      <c r="AP84" s="648"/>
      <c r="AQ84" s="648"/>
      <c r="AR84" s="648"/>
      <c r="AS84" s="648"/>
      <c r="AT84" s="648"/>
      <c r="AU84" s="648"/>
      <c r="AV84" s="648"/>
      <c r="AW84" s="648"/>
      <c r="AX84" s="648"/>
      <c r="AY84" s="648"/>
      <c r="AZ84" s="648"/>
      <c r="BA84" s="648"/>
      <c r="BB84" s="648"/>
    </row>
    <row r="85" spans="1:55" ht="13.5" customHeight="1">
      <c r="A85" s="648"/>
      <c r="B85" s="791"/>
      <c r="C85" s="790"/>
      <c r="D85" s="789"/>
      <c r="E85" s="789"/>
      <c r="F85" s="789"/>
      <c r="G85" s="789"/>
      <c r="H85" s="789"/>
      <c r="I85" s="789"/>
      <c r="J85" s="789"/>
      <c r="K85" s="789"/>
      <c r="L85" s="789"/>
      <c r="M85" s="789"/>
      <c r="N85" s="789"/>
      <c r="O85" s="789"/>
      <c r="P85" s="648"/>
      <c r="Q85" s="648"/>
      <c r="R85" s="648"/>
      <c r="S85" s="648"/>
      <c r="T85" s="648"/>
      <c r="U85" s="648"/>
      <c r="V85" s="648"/>
      <c r="W85" s="648"/>
      <c r="X85" s="648"/>
      <c r="Y85" s="648"/>
      <c r="Z85" s="648"/>
      <c r="AA85" s="648"/>
      <c r="AB85" s="648"/>
      <c r="AC85" s="648"/>
      <c r="AD85" s="648"/>
      <c r="AE85" s="648"/>
      <c r="AF85" s="648"/>
      <c r="AG85" s="648"/>
      <c r="AH85" s="648"/>
      <c r="AI85" s="648"/>
      <c r="AJ85" s="648"/>
      <c r="AK85" s="648"/>
      <c r="AL85" s="648"/>
      <c r="AM85" s="648"/>
      <c r="AN85" s="648"/>
      <c r="AO85" s="648"/>
      <c r="AP85" s="648"/>
      <c r="AQ85" s="648"/>
      <c r="AR85" s="648"/>
      <c r="AS85" s="648"/>
      <c r="AT85" s="648"/>
      <c r="AU85" s="648"/>
      <c r="AV85" s="648"/>
      <c r="AW85" s="648"/>
      <c r="AX85" s="648"/>
      <c r="AY85" s="648"/>
      <c r="AZ85" s="648"/>
      <c r="BA85" s="648"/>
      <c r="BB85" s="648"/>
    </row>
    <row r="86" spans="1:55" ht="13.5" customHeight="1">
      <c r="A86" s="648"/>
      <c r="B86" s="791"/>
      <c r="C86" s="790"/>
      <c r="D86" s="789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89"/>
      <c r="P86" s="648"/>
      <c r="Q86" s="648"/>
      <c r="R86" s="648"/>
      <c r="S86" s="648"/>
      <c r="T86" s="648"/>
      <c r="U86" s="648"/>
      <c r="V86" s="648"/>
      <c r="W86" s="648"/>
      <c r="X86" s="648"/>
      <c r="Y86" s="648"/>
      <c r="Z86" s="648"/>
      <c r="AA86" s="648"/>
      <c r="AB86" s="648"/>
      <c r="AC86" s="648"/>
      <c r="AD86" s="648"/>
      <c r="AE86" s="648"/>
      <c r="AF86" s="648"/>
      <c r="AG86" s="648"/>
      <c r="AH86" s="648"/>
      <c r="AI86" s="648"/>
      <c r="AJ86" s="648"/>
      <c r="AK86" s="648"/>
      <c r="AL86" s="648"/>
      <c r="AM86" s="648"/>
      <c r="AN86" s="648"/>
      <c r="AO86" s="648"/>
      <c r="AP86" s="648"/>
      <c r="AQ86" s="648"/>
      <c r="AR86" s="648"/>
      <c r="AS86" s="648"/>
      <c r="AT86" s="648"/>
      <c r="AU86" s="648"/>
      <c r="AV86" s="648"/>
      <c r="AW86" s="648"/>
      <c r="AX86" s="648"/>
      <c r="AY86" s="648"/>
      <c r="AZ86" s="648"/>
      <c r="BA86" s="648"/>
      <c r="BB86" s="648"/>
    </row>
    <row r="87" spans="1:55" ht="13.5" customHeight="1">
      <c r="A87" s="648"/>
      <c r="B87" s="791"/>
      <c r="C87" s="790"/>
      <c r="D87" s="789"/>
      <c r="E87" s="789"/>
      <c r="F87" s="789"/>
      <c r="G87" s="789"/>
      <c r="H87" s="789"/>
      <c r="I87" s="789"/>
      <c r="J87" s="789"/>
      <c r="K87" s="789"/>
      <c r="L87" s="789"/>
      <c r="M87" s="789"/>
      <c r="N87" s="789"/>
      <c r="O87" s="789"/>
      <c r="P87" s="648"/>
      <c r="Q87" s="648"/>
      <c r="R87" s="648"/>
      <c r="S87" s="648"/>
      <c r="T87" s="648"/>
      <c r="U87" s="648"/>
      <c r="V87" s="648"/>
      <c r="W87" s="648"/>
      <c r="X87" s="648"/>
      <c r="Y87" s="648"/>
      <c r="Z87" s="648"/>
      <c r="AA87" s="648"/>
      <c r="AB87" s="648"/>
      <c r="AC87" s="648"/>
      <c r="AD87" s="648"/>
      <c r="AE87" s="648"/>
      <c r="AF87" s="648"/>
      <c r="AG87" s="648"/>
      <c r="AH87" s="648"/>
      <c r="AI87" s="648"/>
      <c r="AJ87" s="648"/>
      <c r="AK87" s="648"/>
      <c r="AL87" s="648"/>
      <c r="AM87" s="648"/>
      <c r="AN87" s="648"/>
      <c r="AO87" s="648"/>
      <c r="AP87" s="648"/>
      <c r="AQ87" s="648"/>
      <c r="AR87" s="648"/>
      <c r="AS87" s="648"/>
      <c r="AT87" s="648"/>
      <c r="AU87" s="648"/>
      <c r="AV87" s="648"/>
      <c r="AW87" s="648"/>
      <c r="AX87" s="648"/>
      <c r="AY87" s="648"/>
      <c r="AZ87" s="648"/>
      <c r="BA87" s="648"/>
      <c r="BB87" s="648"/>
    </row>
    <row r="88" spans="1:55" ht="13.5" customHeight="1">
      <c r="A88" s="648"/>
      <c r="B88" s="791"/>
      <c r="C88" s="790"/>
      <c r="D88" s="789"/>
      <c r="E88" s="789"/>
      <c r="F88" s="789"/>
      <c r="G88" s="789"/>
      <c r="H88" s="789"/>
      <c r="I88" s="789"/>
      <c r="J88" s="789"/>
      <c r="K88" s="789"/>
      <c r="L88" s="789"/>
      <c r="M88" s="789"/>
      <c r="N88" s="789"/>
      <c r="O88" s="789"/>
      <c r="P88" s="648"/>
      <c r="Q88" s="648"/>
      <c r="R88" s="648"/>
      <c r="S88" s="648"/>
      <c r="T88" s="648"/>
      <c r="U88" s="648"/>
      <c r="V88" s="648"/>
      <c r="W88" s="648"/>
      <c r="X88" s="648"/>
      <c r="Y88" s="648"/>
      <c r="Z88" s="648"/>
      <c r="AA88" s="648"/>
      <c r="AB88" s="648"/>
      <c r="AC88" s="648"/>
      <c r="AD88" s="648"/>
      <c r="AE88" s="648"/>
      <c r="AF88" s="648"/>
      <c r="AG88" s="648"/>
      <c r="AH88" s="648"/>
      <c r="AI88" s="648"/>
      <c r="AJ88" s="648"/>
      <c r="AK88" s="648"/>
      <c r="AL88" s="648"/>
      <c r="AM88" s="648"/>
      <c r="AN88" s="648"/>
      <c r="AO88" s="648"/>
      <c r="AP88" s="648"/>
      <c r="AQ88" s="648"/>
      <c r="AR88" s="648"/>
      <c r="AS88" s="648"/>
      <c r="AT88" s="648"/>
      <c r="AU88" s="648"/>
      <c r="AV88" s="648"/>
      <c r="AW88" s="648"/>
      <c r="AX88" s="648"/>
      <c r="AY88" s="648"/>
      <c r="AZ88" s="648"/>
      <c r="BA88" s="648"/>
      <c r="BB88" s="648"/>
    </row>
    <row r="89" spans="1:55" s="780" customFormat="1" ht="13.5" customHeight="1">
      <c r="A89" s="785"/>
      <c r="B89" s="784" t="str">
        <f>D1</f>
        <v>februar</v>
      </c>
      <c r="C89" s="783" t="s">
        <v>36</v>
      </c>
      <c r="D89" s="782">
        <f>SUM(D90:D91)</f>
        <v>60</v>
      </c>
      <c r="E89" s="782"/>
      <c r="F89" s="782"/>
      <c r="G89" s="782"/>
      <c r="H89" s="782"/>
      <c r="I89" s="782"/>
      <c r="J89" s="782"/>
      <c r="K89" s="782"/>
      <c r="L89" s="782"/>
      <c r="M89" s="782"/>
      <c r="N89" s="782"/>
      <c r="O89" s="782"/>
      <c r="P89" s="781"/>
      <c r="Q89" s="781"/>
      <c r="R89" s="781"/>
      <c r="S89" s="781"/>
      <c r="T89" s="781"/>
      <c r="U89" s="781"/>
      <c r="V89" s="781"/>
      <c r="W89" s="781"/>
      <c r="X89" s="781"/>
      <c r="Y89" s="781"/>
      <c r="Z89" s="781"/>
      <c r="AA89" s="781"/>
      <c r="AB89" s="781"/>
      <c r="AC89" s="781"/>
      <c r="AD89" s="781"/>
      <c r="AE89" s="781"/>
      <c r="AF89" s="781"/>
      <c r="AG89" s="781"/>
      <c r="AH89" s="781"/>
      <c r="AI89" s="781"/>
      <c r="AJ89" s="781"/>
      <c r="AK89" s="781"/>
      <c r="AL89" s="781"/>
      <c r="AM89" s="781"/>
      <c r="AN89" s="781"/>
      <c r="AO89" s="781"/>
      <c r="AP89" s="781"/>
      <c r="AQ89" s="781"/>
      <c r="AR89" s="781"/>
      <c r="AS89" s="781"/>
      <c r="AT89" s="781"/>
      <c r="AU89" s="781"/>
      <c r="AV89" s="781"/>
      <c r="AW89" s="781"/>
      <c r="AX89" s="781"/>
      <c r="AY89" s="781"/>
      <c r="AZ89" s="781"/>
      <c r="BA89" s="781"/>
      <c r="BB89" s="781"/>
    </row>
    <row r="90" spans="1:55" s="670" customFormat="1" ht="13.5" customHeight="1">
      <c r="A90" s="675"/>
      <c r="B90" s="779"/>
      <c r="C90" s="778" t="s">
        <v>509</v>
      </c>
      <c r="D90" s="777">
        <v>30</v>
      </c>
      <c r="E90" s="777"/>
      <c r="F90" s="777"/>
      <c r="G90" s="777"/>
      <c r="H90" s="777"/>
      <c r="I90" s="777">
        <f>D90</f>
        <v>30</v>
      </c>
      <c r="J90" s="777"/>
      <c r="K90" s="777"/>
      <c r="L90" s="777"/>
      <c r="M90" s="777"/>
      <c r="N90" s="777"/>
      <c r="O90" s="777"/>
      <c r="P90" s="663"/>
      <c r="Q90" s="663"/>
      <c r="R90" s="663"/>
      <c r="S90" s="663"/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3"/>
      <c r="AE90" s="663"/>
      <c r="AF90" s="663"/>
      <c r="AG90" s="663"/>
      <c r="AH90" s="663"/>
      <c r="AI90" s="663"/>
      <c r="AJ90" s="663"/>
      <c r="AK90" s="663"/>
      <c r="AL90" s="663"/>
      <c r="AM90" s="663"/>
      <c r="AN90" s="663"/>
      <c r="AO90" s="663"/>
      <c r="AP90" s="663"/>
      <c r="AQ90" s="663"/>
      <c r="AR90" s="663"/>
      <c r="AS90" s="663"/>
      <c r="AT90" s="663"/>
      <c r="AU90" s="663"/>
      <c r="AV90" s="663"/>
      <c r="AW90" s="663"/>
      <c r="AX90" s="663"/>
      <c r="AY90" s="663"/>
      <c r="AZ90" s="663"/>
      <c r="BA90" s="663"/>
      <c r="BB90" s="663"/>
    </row>
    <row r="91" spans="1:55" s="670" customFormat="1" ht="13.5" customHeight="1">
      <c r="A91" s="675"/>
      <c r="B91" s="779"/>
      <c r="C91" s="778" t="s">
        <v>508</v>
      </c>
      <c r="D91" s="777">
        <v>30</v>
      </c>
      <c r="E91" s="777"/>
      <c r="F91" s="777"/>
      <c r="G91" s="777"/>
      <c r="H91" s="777"/>
      <c r="I91" s="777"/>
      <c r="J91" s="777">
        <f>D91</f>
        <v>30</v>
      </c>
      <c r="K91" s="777"/>
      <c r="L91" s="777"/>
      <c r="M91" s="777"/>
      <c r="N91" s="777"/>
      <c r="O91" s="777"/>
      <c r="P91" s="663"/>
      <c r="Q91" s="663"/>
      <c r="R91" s="663"/>
      <c r="S91" s="663"/>
      <c r="T91" s="663"/>
      <c r="U91" s="663"/>
      <c r="V91" s="663"/>
      <c r="W91" s="663"/>
      <c r="X91" s="663"/>
      <c r="Y91" s="663"/>
      <c r="Z91" s="663"/>
      <c r="AA91" s="663"/>
      <c r="AB91" s="663"/>
      <c r="AC91" s="663"/>
      <c r="AD91" s="663"/>
      <c r="AE91" s="663"/>
      <c r="AF91" s="663"/>
      <c r="AG91" s="663"/>
      <c r="AH91" s="663"/>
      <c r="AI91" s="663"/>
      <c r="AJ91" s="663"/>
      <c r="AK91" s="663"/>
      <c r="AL91" s="663"/>
      <c r="AM91" s="663"/>
      <c r="AN91" s="663"/>
      <c r="AO91" s="663"/>
      <c r="AP91" s="663"/>
      <c r="AQ91" s="663"/>
      <c r="AR91" s="663"/>
      <c r="AS91" s="663"/>
      <c r="AT91" s="663"/>
      <c r="AU91" s="663"/>
      <c r="AV91" s="663"/>
      <c r="AW91" s="663"/>
      <c r="AX91" s="663"/>
      <c r="AY91" s="663"/>
      <c r="AZ91" s="663"/>
      <c r="BA91" s="663"/>
      <c r="BB91" s="663"/>
    </row>
    <row r="92" spans="1:55" s="694" customFormat="1" ht="13.5" customHeight="1">
      <c r="A92" s="700"/>
      <c r="B92" s="788" t="str">
        <f>E1</f>
        <v>marts</v>
      </c>
      <c r="C92" s="787" t="s">
        <v>37</v>
      </c>
      <c r="D92" s="786">
        <f t="shared" ref="D92:M92" si="3">SUM(D93:D95)</f>
        <v>0</v>
      </c>
      <c r="E92" s="786">
        <f t="shared" si="3"/>
        <v>0</v>
      </c>
      <c r="F92" s="786">
        <f t="shared" si="3"/>
        <v>0</v>
      </c>
      <c r="G92" s="786">
        <f t="shared" si="3"/>
        <v>0</v>
      </c>
      <c r="H92" s="786">
        <f t="shared" si="3"/>
        <v>0</v>
      </c>
      <c r="I92" s="786">
        <f t="shared" si="3"/>
        <v>0</v>
      </c>
      <c r="J92" s="786">
        <f t="shared" si="3"/>
        <v>0</v>
      </c>
      <c r="K92" s="786">
        <f t="shared" si="3"/>
        <v>0</v>
      </c>
      <c r="L92" s="786">
        <f t="shared" si="3"/>
        <v>0</v>
      </c>
      <c r="M92" s="786">
        <f t="shared" si="3"/>
        <v>0</v>
      </c>
      <c r="N92" s="786"/>
      <c r="O92" s="786"/>
      <c r="P92" s="695"/>
      <c r="Q92" s="695"/>
      <c r="R92" s="695"/>
      <c r="S92" s="695"/>
      <c r="T92" s="695"/>
      <c r="U92" s="695"/>
      <c r="V92" s="695"/>
      <c r="W92" s="695"/>
      <c r="X92" s="695"/>
      <c r="Y92" s="695"/>
      <c r="Z92" s="695"/>
      <c r="AA92" s="695"/>
      <c r="AB92" s="695"/>
      <c r="AC92" s="695"/>
      <c r="AD92" s="695"/>
      <c r="AE92" s="695"/>
      <c r="AF92" s="695"/>
      <c r="AG92" s="695"/>
      <c r="AH92" s="695"/>
      <c r="AI92" s="695"/>
      <c r="AJ92" s="695"/>
      <c r="AK92" s="695"/>
      <c r="AL92" s="695"/>
      <c r="AM92" s="695"/>
      <c r="AN92" s="695"/>
      <c r="AO92" s="695"/>
      <c r="AP92" s="695"/>
      <c r="AQ92" s="695"/>
      <c r="AR92" s="695"/>
      <c r="AS92" s="695"/>
      <c r="AT92" s="695"/>
      <c r="AU92" s="695"/>
      <c r="AV92" s="695"/>
      <c r="AW92" s="695"/>
      <c r="AX92" s="695"/>
      <c r="AY92" s="695"/>
      <c r="AZ92" s="695"/>
      <c r="BA92" s="695"/>
      <c r="BB92" s="695"/>
      <c r="BC92" s="695"/>
    </row>
    <row r="93" spans="1:55" ht="13.5" customHeight="1">
      <c r="A93" s="648"/>
      <c r="B93" s="791"/>
      <c r="C93" s="790"/>
      <c r="D93" s="789"/>
      <c r="E93" s="789"/>
      <c r="F93" s="789"/>
      <c r="G93" s="789"/>
      <c r="H93" s="789"/>
      <c r="I93" s="789"/>
      <c r="J93" s="789"/>
      <c r="K93" s="789"/>
      <c r="L93" s="789"/>
      <c r="M93" s="789"/>
      <c r="N93" s="789"/>
      <c r="O93" s="789"/>
      <c r="P93" s="648"/>
      <c r="Q93" s="648"/>
      <c r="R93" s="648"/>
      <c r="S93" s="648"/>
      <c r="T93" s="648"/>
      <c r="U93" s="648"/>
      <c r="V93" s="648"/>
      <c r="W93" s="648"/>
      <c r="X93" s="648"/>
      <c r="Y93" s="648"/>
      <c r="Z93" s="648"/>
      <c r="AA93" s="648"/>
      <c r="AB93" s="648"/>
      <c r="AC93" s="648"/>
      <c r="AD93" s="648"/>
      <c r="AE93" s="648"/>
      <c r="AF93" s="648"/>
      <c r="AG93" s="648"/>
      <c r="AH93" s="648"/>
      <c r="AI93" s="648"/>
      <c r="AJ93" s="648"/>
      <c r="AK93" s="648"/>
      <c r="AL93" s="648"/>
      <c r="AM93" s="648"/>
      <c r="AN93" s="648"/>
      <c r="AO93" s="648"/>
      <c r="AP93" s="648"/>
      <c r="AQ93" s="648"/>
      <c r="AR93" s="648"/>
      <c r="AS93" s="648"/>
      <c r="AT93" s="648"/>
      <c r="AU93" s="648"/>
      <c r="AV93" s="648"/>
      <c r="AW93" s="648"/>
      <c r="AX93" s="648"/>
      <c r="AY93" s="648"/>
      <c r="AZ93" s="648"/>
      <c r="BA93" s="648"/>
      <c r="BB93" s="648"/>
    </row>
    <row r="94" spans="1:55" ht="13.5" customHeight="1">
      <c r="A94" s="648"/>
      <c r="B94" s="791"/>
      <c r="C94" s="790"/>
      <c r="D94" s="789"/>
      <c r="E94" s="789"/>
      <c r="F94" s="789"/>
      <c r="G94" s="789"/>
      <c r="H94" s="789"/>
      <c r="I94" s="789"/>
      <c r="J94" s="789"/>
      <c r="K94" s="789"/>
      <c r="L94" s="789"/>
      <c r="M94" s="789"/>
      <c r="N94" s="789"/>
      <c r="O94" s="789"/>
      <c r="P94" s="648"/>
      <c r="Q94" s="648"/>
      <c r="R94" s="648"/>
      <c r="S94" s="648"/>
      <c r="T94" s="648"/>
      <c r="U94" s="648"/>
      <c r="V94" s="648"/>
      <c r="W94" s="648"/>
      <c r="X94" s="648"/>
      <c r="Y94" s="648"/>
      <c r="Z94" s="648"/>
      <c r="AA94" s="648"/>
      <c r="AB94" s="648"/>
      <c r="AC94" s="648"/>
      <c r="AD94" s="648"/>
      <c r="AE94" s="648"/>
      <c r="AF94" s="648"/>
      <c r="AG94" s="648"/>
      <c r="AH94" s="648"/>
      <c r="AI94" s="648"/>
      <c r="AJ94" s="648"/>
      <c r="AK94" s="648"/>
      <c r="AL94" s="648"/>
      <c r="AM94" s="648"/>
      <c r="AN94" s="648"/>
      <c r="AO94" s="648"/>
      <c r="AP94" s="648"/>
      <c r="AQ94" s="648"/>
      <c r="AR94" s="648"/>
      <c r="AS94" s="648"/>
      <c r="AT94" s="648"/>
      <c r="AU94" s="648"/>
      <c r="AV94" s="648"/>
      <c r="AW94" s="648"/>
      <c r="AX94" s="648"/>
      <c r="AY94" s="648"/>
      <c r="AZ94" s="648"/>
      <c r="BA94" s="648"/>
      <c r="BB94" s="648"/>
    </row>
    <row r="95" spans="1:55" ht="13.5" customHeight="1">
      <c r="A95" s="648"/>
      <c r="B95" s="791"/>
      <c r="C95" s="790"/>
      <c r="D95" s="789"/>
      <c r="E95" s="789"/>
      <c r="F95" s="789"/>
      <c r="G95" s="789"/>
      <c r="H95" s="789"/>
      <c r="I95" s="789"/>
      <c r="J95" s="789"/>
      <c r="K95" s="789"/>
      <c r="L95" s="789"/>
      <c r="M95" s="789"/>
      <c r="N95" s="789"/>
      <c r="O95" s="789"/>
      <c r="P95" s="648"/>
      <c r="Q95" s="648"/>
      <c r="R95" s="648"/>
      <c r="S95" s="648"/>
      <c r="T95" s="648"/>
      <c r="U95" s="648"/>
      <c r="V95" s="648"/>
      <c r="W95" s="648"/>
      <c r="X95" s="648"/>
      <c r="Y95" s="648"/>
      <c r="Z95" s="648"/>
      <c r="AA95" s="648"/>
      <c r="AB95" s="648"/>
      <c r="AC95" s="648"/>
      <c r="AD95" s="648"/>
      <c r="AE95" s="648"/>
      <c r="AF95" s="648"/>
      <c r="AG95" s="648"/>
      <c r="AH95" s="648"/>
      <c r="AI95" s="648"/>
      <c r="AJ95" s="648"/>
      <c r="AK95" s="648"/>
      <c r="AL95" s="648"/>
      <c r="AM95" s="648"/>
      <c r="AN95" s="648"/>
      <c r="AO95" s="648"/>
      <c r="AP95" s="648"/>
      <c r="AQ95" s="648"/>
      <c r="AR95" s="648"/>
      <c r="AS95" s="648"/>
      <c r="AT95" s="648"/>
      <c r="AU95" s="648"/>
      <c r="AV95" s="648"/>
      <c r="AW95" s="648"/>
      <c r="AX95" s="648"/>
      <c r="AY95" s="648"/>
      <c r="AZ95" s="648"/>
      <c r="BA95" s="648"/>
      <c r="BB95" s="648"/>
    </row>
    <row r="96" spans="1:55" s="780" customFormat="1" ht="13.5" customHeight="1">
      <c r="A96" s="785"/>
      <c r="B96" s="784" t="str">
        <f>E1</f>
        <v>marts</v>
      </c>
      <c r="C96" s="783" t="s">
        <v>36</v>
      </c>
      <c r="D96" s="782">
        <f>SUM(D97:D118)</f>
        <v>1573</v>
      </c>
      <c r="E96" s="782"/>
      <c r="F96" s="782"/>
      <c r="G96" s="782"/>
      <c r="H96" s="782"/>
      <c r="I96" s="782"/>
      <c r="J96" s="782"/>
      <c r="K96" s="782"/>
      <c r="L96" s="782"/>
      <c r="M96" s="782"/>
      <c r="N96" s="782"/>
      <c r="O96" s="782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781"/>
      <c r="AF96" s="781"/>
      <c r="AG96" s="781"/>
      <c r="AH96" s="781"/>
      <c r="AI96" s="781"/>
      <c r="AJ96" s="781"/>
      <c r="AK96" s="781"/>
      <c r="AL96" s="781"/>
      <c r="AM96" s="781"/>
      <c r="AN96" s="781"/>
      <c r="AO96" s="781"/>
      <c r="AP96" s="781"/>
      <c r="AQ96" s="781"/>
      <c r="AR96" s="781"/>
      <c r="AS96" s="781"/>
      <c r="AT96" s="781"/>
      <c r="AU96" s="781"/>
      <c r="AV96" s="781"/>
      <c r="AW96" s="781"/>
      <c r="AX96" s="781"/>
      <c r="AY96" s="781"/>
      <c r="AZ96" s="781"/>
      <c r="BA96" s="781"/>
      <c r="BB96" s="781"/>
    </row>
    <row r="97" spans="1:54" s="670" customFormat="1" ht="13.5" customHeight="1">
      <c r="A97" s="675"/>
      <c r="B97" s="779">
        <v>43525</v>
      </c>
      <c r="C97" s="778" t="s">
        <v>22</v>
      </c>
      <c r="D97" s="777">
        <v>89</v>
      </c>
      <c r="E97" s="777"/>
      <c r="F97" s="777"/>
      <c r="G97" s="777">
        <f>D97</f>
        <v>89</v>
      </c>
      <c r="H97" s="777"/>
      <c r="I97" s="777"/>
      <c r="J97" s="777"/>
      <c r="K97" s="777"/>
      <c r="L97" s="777"/>
      <c r="M97" s="777"/>
      <c r="N97" s="777"/>
      <c r="O97" s="777"/>
      <c r="P97" s="663"/>
      <c r="Q97" s="663"/>
      <c r="R97" s="663"/>
      <c r="S97" s="663"/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</row>
    <row r="98" spans="1:54" s="670" customFormat="1" ht="13.5" customHeight="1">
      <c r="A98" s="675"/>
      <c r="B98" s="779">
        <v>43525</v>
      </c>
      <c r="C98" s="778" t="s">
        <v>21</v>
      </c>
      <c r="D98" s="777">
        <v>176</v>
      </c>
      <c r="E98" s="777"/>
      <c r="F98" s="777"/>
      <c r="G98" s="777">
        <f>D98</f>
        <v>176</v>
      </c>
      <c r="H98" s="777"/>
      <c r="I98" s="777"/>
      <c r="J98" s="777"/>
      <c r="K98" s="777"/>
      <c r="L98" s="777"/>
      <c r="M98" s="777"/>
      <c r="N98" s="777"/>
      <c r="O98" s="777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663"/>
      <c r="BB98" s="663"/>
    </row>
    <row r="99" spans="1:54" s="670" customFormat="1" ht="13.5" customHeight="1">
      <c r="A99" s="675"/>
      <c r="B99" s="779">
        <v>43525</v>
      </c>
      <c r="C99" s="778" t="s">
        <v>230</v>
      </c>
      <c r="D99" s="777">
        <v>59</v>
      </c>
      <c r="E99" s="777"/>
      <c r="F99" s="777"/>
      <c r="G99" s="777">
        <f>D99</f>
        <v>59</v>
      </c>
      <c r="H99" s="777"/>
      <c r="I99" s="777"/>
      <c r="J99" s="777"/>
      <c r="K99" s="777"/>
      <c r="L99" s="777"/>
      <c r="M99" s="777"/>
      <c r="N99" s="777"/>
      <c r="O99" s="777"/>
      <c r="P99" s="663"/>
      <c r="Q99" s="663"/>
      <c r="R99" s="663"/>
      <c r="S99" s="663"/>
      <c r="T99" s="663"/>
      <c r="U99" s="663"/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663"/>
      <c r="AN99" s="663"/>
      <c r="AO99" s="663"/>
      <c r="AP99" s="663"/>
      <c r="AQ99" s="663"/>
      <c r="AR99" s="663"/>
      <c r="AS99" s="663"/>
      <c r="AT99" s="663"/>
      <c r="AU99" s="663"/>
      <c r="AV99" s="663"/>
      <c r="AW99" s="663"/>
      <c r="AX99" s="663"/>
      <c r="AY99" s="663"/>
      <c r="AZ99" s="663"/>
      <c r="BA99" s="663"/>
      <c r="BB99" s="663"/>
    </row>
    <row r="100" spans="1:54" s="670" customFormat="1" ht="13.5" customHeight="1">
      <c r="A100" s="675"/>
      <c r="B100" s="779">
        <v>43525</v>
      </c>
      <c r="C100" s="778" t="s">
        <v>464</v>
      </c>
      <c r="D100" s="777">
        <v>149</v>
      </c>
      <c r="E100" s="777"/>
      <c r="F100" s="777">
        <f>D100</f>
        <v>149</v>
      </c>
      <c r="G100" s="777"/>
      <c r="H100" s="777"/>
      <c r="I100" s="777"/>
      <c r="J100" s="777"/>
      <c r="K100" s="777"/>
      <c r="L100" s="777"/>
      <c r="M100" s="777"/>
      <c r="N100" s="777"/>
      <c r="O100" s="777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</row>
    <row r="101" spans="1:54" s="670" customFormat="1" ht="13.5" customHeight="1">
      <c r="A101" s="675"/>
      <c r="B101" s="779"/>
      <c r="C101" s="778" t="s">
        <v>397</v>
      </c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663"/>
      <c r="Q101" s="663"/>
      <c r="R101" s="663"/>
      <c r="S101" s="663"/>
      <c r="T101" s="663"/>
      <c r="U101" s="663"/>
      <c r="V101" s="663"/>
      <c r="W101" s="663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663"/>
      <c r="AN101" s="663"/>
      <c r="AO101" s="663"/>
      <c r="AP101" s="663"/>
      <c r="AQ101" s="663"/>
      <c r="AR101" s="663"/>
      <c r="AS101" s="663"/>
      <c r="AT101" s="663"/>
      <c r="AU101" s="663"/>
      <c r="AV101" s="663"/>
      <c r="AW101" s="663"/>
      <c r="AX101" s="663"/>
      <c r="AY101" s="663"/>
      <c r="AZ101" s="663"/>
      <c r="BA101" s="663"/>
      <c r="BB101" s="663"/>
    </row>
    <row r="102" spans="1:54" s="670" customFormat="1" ht="13.5" customHeight="1">
      <c r="A102" s="675"/>
      <c r="B102" s="779"/>
      <c r="C102" s="778" t="s">
        <v>506</v>
      </c>
      <c r="D102" s="777">
        <v>30</v>
      </c>
      <c r="E102" s="777"/>
      <c r="F102" s="777"/>
      <c r="G102" s="777"/>
      <c r="H102" s="777"/>
      <c r="I102" s="777">
        <f>D102</f>
        <v>30</v>
      </c>
      <c r="J102" s="777"/>
      <c r="K102" s="777"/>
      <c r="L102" s="777"/>
      <c r="M102" s="777"/>
      <c r="N102" s="777"/>
      <c r="O102" s="777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663"/>
      <c r="AN102" s="663"/>
      <c r="AO102" s="663"/>
      <c r="AP102" s="663"/>
      <c r="AQ102" s="663"/>
      <c r="AR102" s="663"/>
      <c r="AS102" s="663"/>
      <c r="AT102" s="663"/>
      <c r="AU102" s="663"/>
      <c r="AV102" s="663"/>
      <c r="AW102" s="663"/>
      <c r="AX102" s="663"/>
      <c r="AY102" s="663"/>
      <c r="AZ102" s="663"/>
      <c r="BA102" s="663"/>
      <c r="BB102" s="663"/>
    </row>
    <row r="103" spans="1:54" s="670" customFormat="1" ht="13.5" customHeight="1">
      <c r="A103" s="675"/>
      <c r="B103" s="779"/>
      <c r="C103" s="778" t="s">
        <v>505</v>
      </c>
      <c r="D103" s="777">
        <v>30</v>
      </c>
      <c r="E103" s="777"/>
      <c r="F103" s="777"/>
      <c r="G103" s="777"/>
      <c r="H103" s="777"/>
      <c r="I103" s="777"/>
      <c r="J103" s="777">
        <f>D103</f>
        <v>30</v>
      </c>
      <c r="K103" s="777"/>
      <c r="L103" s="777"/>
      <c r="M103" s="777"/>
      <c r="N103" s="777"/>
      <c r="O103" s="777"/>
      <c r="P103" s="663"/>
      <c r="Q103" s="663"/>
      <c r="R103" s="663"/>
      <c r="S103" s="663"/>
      <c r="T103" s="663"/>
      <c r="U103" s="663"/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663"/>
      <c r="AN103" s="663"/>
      <c r="AO103" s="663"/>
      <c r="AP103" s="663"/>
      <c r="AQ103" s="663"/>
      <c r="AR103" s="663"/>
      <c r="AS103" s="663"/>
      <c r="AT103" s="663"/>
      <c r="AU103" s="663"/>
      <c r="AV103" s="663"/>
      <c r="AW103" s="663"/>
      <c r="AX103" s="663"/>
      <c r="AY103" s="663"/>
      <c r="AZ103" s="663"/>
      <c r="BA103" s="663"/>
      <c r="BB103" s="663"/>
    </row>
    <row r="104" spans="1:54" s="670" customFormat="1" ht="13.5" customHeight="1">
      <c r="A104" s="675"/>
      <c r="B104" s="779"/>
      <c r="C104" s="778" t="s">
        <v>501</v>
      </c>
      <c r="D104" s="777">
        <v>30</v>
      </c>
      <c r="E104" s="777"/>
      <c r="F104" s="777"/>
      <c r="G104" s="777"/>
      <c r="H104" s="777"/>
      <c r="I104" s="777">
        <f>D104</f>
        <v>30</v>
      </c>
      <c r="J104" s="777"/>
      <c r="K104" s="777"/>
      <c r="L104" s="777"/>
      <c r="M104" s="777"/>
      <c r="N104" s="777"/>
      <c r="O104" s="777"/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63"/>
      <c r="AP104" s="663"/>
      <c r="AQ104" s="663"/>
      <c r="AR104" s="663"/>
      <c r="AS104" s="663"/>
      <c r="AT104" s="663"/>
      <c r="AU104" s="663"/>
      <c r="AV104" s="663"/>
      <c r="AW104" s="663"/>
      <c r="AX104" s="663"/>
      <c r="AY104" s="663"/>
      <c r="AZ104" s="663"/>
      <c r="BA104" s="663"/>
      <c r="BB104" s="663"/>
    </row>
    <row r="105" spans="1:54" s="670" customFormat="1" ht="13.5" customHeight="1">
      <c r="A105" s="675"/>
      <c r="B105" s="779"/>
      <c r="C105" s="778" t="s">
        <v>500</v>
      </c>
      <c r="D105" s="777">
        <v>30</v>
      </c>
      <c r="E105" s="777"/>
      <c r="F105" s="777"/>
      <c r="G105" s="777"/>
      <c r="H105" s="777"/>
      <c r="I105" s="777"/>
      <c r="J105" s="777">
        <f>D105</f>
        <v>30</v>
      </c>
      <c r="K105" s="777"/>
      <c r="L105" s="777"/>
      <c r="M105" s="777"/>
      <c r="N105" s="777"/>
      <c r="O105" s="777"/>
      <c r="P105" s="663"/>
      <c r="Q105" s="663"/>
      <c r="R105" s="663"/>
      <c r="S105" s="663"/>
      <c r="T105" s="663"/>
      <c r="U105" s="663"/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</row>
    <row r="106" spans="1:54" s="670" customFormat="1" ht="13.5" customHeight="1">
      <c r="A106" s="675"/>
      <c r="B106" s="779"/>
      <c r="C106" s="778" t="s">
        <v>811</v>
      </c>
      <c r="D106" s="777">
        <v>30</v>
      </c>
      <c r="E106" s="777"/>
      <c r="F106" s="777"/>
      <c r="G106" s="777"/>
      <c r="H106" s="777"/>
      <c r="I106" s="777">
        <f>D106</f>
        <v>30</v>
      </c>
      <c r="J106" s="777"/>
      <c r="K106" s="777"/>
      <c r="L106" s="777"/>
      <c r="M106" s="777"/>
      <c r="N106" s="777"/>
      <c r="O106" s="777"/>
      <c r="P106" s="663"/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663"/>
      <c r="AN106" s="663"/>
      <c r="AO106" s="663"/>
      <c r="AP106" s="663"/>
      <c r="AQ106" s="663"/>
      <c r="AR106" s="663"/>
      <c r="AS106" s="663"/>
      <c r="AT106" s="663"/>
      <c r="AU106" s="663"/>
      <c r="AV106" s="663"/>
      <c r="AW106" s="663"/>
      <c r="AX106" s="663"/>
      <c r="AY106" s="663"/>
      <c r="AZ106" s="663"/>
      <c r="BA106" s="663"/>
      <c r="BB106" s="663"/>
    </row>
    <row r="107" spans="1:54" s="670" customFormat="1" ht="13.5" customHeight="1">
      <c r="A107" s="675"/>
      <c r="B107" s="779"/>
      <c r="C107" s="778" t="s">
        <v>810</v>
      </c>
      <c r="D107" s="777">
        <v>30</v>
      </c>
      <c r="E107" s="777"/>
      <c r="F107" s="777"/>
      <c r="G107" s="777"/>
      <c r="H107" s="777"/>
      <c r="I107" s="777"/>
      <c r="J107" s="777">
        <f>D107</f>
        <v>30</v>
      </c>
      <c r="K107" s="777"/>
      <c r="L107" s="777"/>
      <c r="M107" s="777"/>
      <c r="N107" s="777"/>
      <c r="O107" s="777"/>
      <c r="P107" s="663"/>
      <c r="Q107" s="663"/>
      <c r="R107" s="663"/>
      <c r="S107" s="663"/>
      <c r="T107" s="663"/>
      <c r="U107" s="663"/>
      <c r="V107" s="663"/>
      <c r="W107" s="663"/>
      <c r="X107" s="66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663"/>
      <c r="AN107" s="663"/>
      <c r="AO107" s="663"/>
      <c r="AP107" s="663"/>
      <c r="AQ107" s="663"/>
      <c r="AR107" s="663"/>
      <c r="AS107" s="663"/>
      <c r="AT107" s="663"/>
      <c r="AU107" s="663"/>
      <c r="AV107" s="663"/>
      <c r="AW107" s="663"/>
      <c r="AX107" s="663"/>
      <c r="AY107" s="663"/>
      <c r="AZ107" s="663"/>
      <c r="BA107" s="663"/>
      <c r="BB107" s="663"/>
    </row>
    <row r="108" spans="1:54" s="670" customFormat="1" ht="13.5" customHeight="1">
      <c r="A108" s="675"/>
      <c r="B108" s="779"/>
      <c r="C108" s="778" t="s">
        <v>809</v>
      </c>
      <c r="D108" s="777">
        <v>30</v>
      </c>
      <c r="E108" s="777"/>
      <c r="F108" s="777"/>
      <c r="G108" s="777"/>
      <c r="H108" s="777"/>
      <c r="I108" s="777">
        <f>D108</f>
        <v>30</v>
      </c>
      <c r="J108" s="777"/>
      <c r="K108" s="777"/>
      <c r="L108" s="777"/>
      <c r="M108" s="777"/>
      <c r="N108" s="777"/>
      <c r="O108" s="777"/>
      <c r="P108" s="663"/>
      <c r="Q108" s="663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663"/>
      <c r="AN108" s="663"/>
      <c r="AO108" s="663"/>
      <c r="AP108" s="663"/>
      <c r="AQ108" s="663"/>
      <c r="AR108" s="663"/>
      <c r="AS108" s="663"/>
      <c r="AT108" s="663"/>
      <c r="AU108" s="663"/>
      <c r="AV108" s="663"/>
      <c r="AW108" s="663"/>
      <c r="AX108" s="663"/>
      <c r="AY108" s="663"/>
      <c r="AZ108" s="663"/>
      <c r="BA108" s="663"/>
      <c r="BB108" s="663"/>
    </row>
    <row r="109" spans="1:54" s="670" customFormat="1" ht="13.5" customHeight="1">
      <c r="A109" s="675"/>
      <c r="B109" s="779"/>
      <c r="C109" s="778" t="s">
        <v>808</v>
      </c>
      <c r="D109" s="777">
        <v>30</v>
      </c>
      <c r="E109" s="777"/>
      <c r="F109" s="777"/>
      <c r="G109" s="777"/>
      <c r="H109" s="777"/>
      <c r="I109" s="777"/>
      <c r="J109" s="777">
        <f>D109</f>
        <v>30</v>
      </c>
      <c r="K109" s="777"/>
      <c r="L109" s="777"/>
      <c r="M109" s="777"/>
      <c r="N109" s="777"/>
      <c r="O109" s="777"/>
      <c r="P109" s="663"/>
      <c r="Q109" s="663"/>
      <c r="R109" s="663"/>
      <c r="S109" s="663"/>
      <c r="T109" s="663"/>
      <c r="U109" s="663"/>
      <c r="V109" s="663"/>
      <c r="W109" s="663"/>
      <c r="X109" s="66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663"/>
      <c r="AN109" s="663"/>
      <c r="AO109" s="663"/>
      <c r="AP109" s="663"/>
      <c r="AQ109" s="663"/>
      <c r="AR109" s="663"/>
      <c r="AS109" s="663"/>
      <c r="AT109" s="663"/>
      <c r="AU109" s="663"/>
      <c r="AV109" s="663"/>
      <c r="AW109" s="663"/>
      <c r="AX109" s="663"/>
      <c r="AY109" s="663"/>
      <c r="AZ109" s="663"/>
      <c r="BA109" s="663"/>
      <c r="BB109" s="663"/>
    </row>
    <row r="110" spans="1:54" s="670" customFormat="1" ht="13.5" customHeight="1">
      <c r="A110" s="675"/>
      <c r="B110" s="779"/>
      <c r="C110" s="778" t="s">
        <v>807</v>
      </c>
      <c r="D110" s="777">
        <v>30</v>
      </c>
      <c r="E110" s="777"/>
      <c r="F110" s="777"/>
      <c r="G110" s="777"/>
      <c r="H110" s="777"/>
      <c r="I110" s="777">
        <f>D110</f>
        <v>30</v>
      </c>
      <c r="J110" s="777"/>
      <c r="K110" s="777"/>
      <c r="L110" s="777"/>
      <c r="M110" s="777"/>
      <c r="N110" s="777"/>
      <c r="O110" s="777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663"/>
      <c r="AN110" s="663"/>
      <c r="AO110" s="663"/>
      <c r="AP110" s="663"/>
      <c r="AQ110" s="663"/>
      <c r="AR110" s="663"/>
      <c r="AS110" s="663"/>
      <c r="AT110" s="663"/>
      <c r="AU110" s="663"/>
      <c r="AV110" s="663"/>
      <c r="AW110" s="663"/>
      <c r="AX110" s="663"/>
      <c r="AY110" s="663"/>
      <c r="AZ110" s="663"/>
      <c r="BA110" s="663"/>
      <c r="BB110" s="663"/>
    </row>
    <row r="111" spans="1:54" s="670" customFormat="1" ht="13.5" customHeight="1">
      <c r="A111" s="675"/>
      <c r="B111" s="779"/>
      <c r="C111" s="778" t="s">
        <v>806</v>
      </c>
      <c r="D111" s="777">
        <v>30</v>
      </c>
      <c r="E111" s="777"/>
      <c r="F111" s="777"/>
      <c r="G111" s="777"/>
      <c r="H111" s="777"/>
      <c r="I111" s="777"/>
      <c r="J111" s="777">
        <f>D111</f>
        <v>30</v>
      </c>
      <c r="K111" s="777"/>
      <c r="L111" s="777"/>
      <c r="M111" s="777"/>
      <c r="N111" s="777"/>
      <c r="O111" s="777"/>
      <c r="P111" s="663"/>
      <c r="Q111" s="663"/>
      <c r="R111" s="663"/>
      <c r="S111" s="663"/>
      <c r="T111" s="663"/>
      <c r="U111" s="663"/>
      <c r="V111" s="663"/>
      <c r="W111" s="663"/>
      <c r="X111" s="66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663"/>
      <c r="AN111" s="663"/>
      <c r="AO111" s="663"/>
      <c r="AP111" s="663"/>
      <c r="AQ111" s="663"/>
      <c r="AR111" s="663"/>
      <c r="AS111" s="663"/>
      <c r="AT111" s="663"/>
      <c r="AU111" s="663"/>
      <c r="AV111" s="663"/>
      <c r="AW111" s="663"/>
      <c r="AX111" s="663"/>
      <c r="AY111" s="663"/>
      <c r="AZ111" s="663"/>
      <c r="BA111" s="663"/>
      <c r="BB111" s="663"/>
    </row>
    <row r="112" spans="1:54" s="670" customFormat="1" ht="13.5" customHeight="1">
      <c r="A112" s="675"/>
      <c r="B112" s="779"/>
      <c r="C112" s="778" t="s">
        <v>186</v>
      </c>
      <c r="D112" s="777"/>
      <c r="E112" s="777"/>
      <c r="F112" s="777"/>
      <c r="G112" s="777"/>
      <c r="H112" s="777">
        <f>D112</f>
        <v>0</v>
      </c>
      <c r="I112" s="777"/>
      <c r="J112" s="777"/>
      <c r="K112" s="777"/>
      <c r="L112" s="777"/>
      <c r="M112" s="777"/>
      <c r="N112" s="777"/>
      <c r="O112" s="777"/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663"/>
      <c r="AN112" s="663"/>
      <c r="AO112" s="663"/>
      <c r="AP112" s="663"/>
      <c r="AQ112" s="663"/>
      <c r="AR112" s="663"/>
      <c r="AS112" s="663"/>
      <c r="AT112" s="663"/>
      <c r="AU112" s="663"/>
      <c r="AV112" s="663"/>
      <c r="AW112" s="663"/>
      <c r="AX112" s="663"/>
      <c r="AY112" s="663"/>
      <c r="AZ112" s="663"/>
      <c r="BA112" s="663"/>
      <c r="BB112" s="663"/>
    </row>
    <row r="113" spans="1:55" s="670" customFormat="1" ht="13.5" customHeight="1">
      <c r="A113" s="675"/>
      <c r="B113" s="779"/>
      <c r="C113" s="778" t="s">
        <v>518</v>
      </c>
      <c r="D113" s="777"/>
      <c r="E113" s="777"/>
      <c r="F113" s="777"/>
      <c r="G113" s="777"/>
      <c r="H113" s="777">
        <f>D113</f>
        <v>0</v>
      </c>
      <c r="I113" s="777"/>
      <c r="J113" s="777"/>
      <c r="K113" s="777"/>
      <c r="L113" s="777"/>
      <c r="M113" s="777"/>
      <c r="N113" s="777"/>
      <c r="O113" s="777"/>
      <c r="P113" s="663"/>
      <c r="Q113" s="663"/>
      <c r="R113" s="663"/>
      <c r="S113" s="663"/>
      <c r="T113" s="663"/>
      <c r="U113" s="663"/>
      <c r="V113" s="663"/>
      <c r="W113" s="663"/>
      <c r="X113" s="66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663"/>
      <c r="AN113" s="663"/>
      <c r="AO113" s="663"/>
      <c r="AP113" s="663"/>
      <c r="AQ113" s="663"/>
      <c r="AR113" s="663"/>
      <c r="AS113" s="663"/>
      <c r="AT113" s="663"/>
      <c r="AU113" s="663"/>
      <c r="AV113" s="663"/>
      <c r="AW113" s="663"/>
      <c r="AX113" s="663"/>
      <c r="AY113" s="663"/>
      <c r="AZ113" s="663"/>
      <c r="BA113" s="663"/>
      <c r="BB113" s="663"/>
    </row>
    <row r="114" spans="1:55" s="670" customFormat="1" ht="13.5" customHeight="1">
      <c r="A114" s="675"/>
      <c r="B114" s="779">
        <v>43542</v>
      </c>
      <c r="C114" s="778" t="s">
        <v>403</v>
      </c>
      <c r="D114" s="777">
        <v>400</v>
      </c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663"/>
      <c r="Q114" s="663"/>
      <c r="R114" s="663"/>
      <c r="S114" s="663"/>
      <c r="T114" s="663"/>
      <c r="U114" s="663"/>
      <c r="V114" s="663"/>
      <c r="W114" s="663"/>
      <c r="X114" s="66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663"/>
      <c r="AN114" s="663"/>
      <c r="AO114" s="663"/>
      <c r="AP114" s="663"/>
      <c r="AQ114" s="663"/>
      <c r="AR114" s="663"/>
      <c r="AS114" s="663"/>
      <c r="AT114" s="663"/>
      <c r="AU114" s="663"/>
      <c r="AV114" s="663"/>
      <c r="AW114" s="663"/>
      <c r="AX114" s="663"/>
      <c r="AY114" s="663"/>
      <c r="AZ114" s="663"/>
      <c r="BA114" s="663"/>
      <c r="BB114" s="663"/>
    </row>
    <row r="115" spans="1:55" s="670" customFormat="1" ht="13.5" customHeight="1">
      <c r="A115" s="675"/>
      <c r="B115" s="779">
        <v>43545</v>
      </c>
      <c r="C115" s="778" t="s">
        <v>805</v>
      </c>
      <c r="D115" s="777">
        <v>400</v>
      </c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663"/>
      <c r="Q115" s="663"/>
      <c r="R115" s="663"/>
      <c r="S115" s="663"/>
      <c r="T115" s="663"/>
      <c r="U115" s="663"/>
      <c r="V115" s="663"/>
      <c r="W115" s="663"/>
      <c r="X115" s="66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663"/>
      <c r="AN115" s="663"/>
      <c r="AO115" s="663"/>
      <c r="AP115" s="663"/>
      <c r="AQ115" s="663"/>
      <c r="AR115" s="663"/>
      <c r="AS115" s="663"/>
      <c r="AT115" s="663"/>
      <c r="AU115" s="663"/>
      <c r="AV115" s="663"/>
      <c r="AW115" s="663"/>
      <c r="AX115" s="663"/>
      <c r="AY115" s="663"/>
      <c r="AZ115" s="663"/>
      <c r="BA115" s="663"/>
      <c r="BB115" s="663"/>
    </row>
    <row r="116" spans="1:55" s="670" customFormat="1" ht="13.5" customHeight="1">
      <c r="A116" s="675"/>
      <c r="B116" s="779"/>
      <c r="C116" s="778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663"/>
      <c r="Q116" s="663"/>
      <c r="R116" s="663"/>
      <c r="S116" s="663"/>
      <c r="T116" s="663"/>
      <c r="U116" s="663"/>
      <c r="V116" s="663"/>
      <c r="W116" s="663"/>
      <c r="X116" s="66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663"/>
      <c r="AN116" s="663"/>
      <c r="AO116" s="663"/>
      <c r="AP116" s="663"/>
      <c r="AQ116" s="663"/>
      <c r="AR116" s="663"/>
      <c r="AS116" s="663"/>
      <c r="AT116" s="663"/>
      <c r="AU116" s="663"/>
      <c r="AV116" s="663"/>
      <c r="AW116" s="663"/>
      <c r="AX116" s="663"/>
      <c r="AY116" s="663"/>
      <c r="AZ116" s="663"/>
      <c r="BA116" s="663"/>
      <c r="BB116" s="663"/>
    </row>
    <row r="117" spans="1:55" s="670" customFormat="1" ht="13.5" customHeight="1">
      <c r="A117" s="675"/>
      <c r="B117" s="779"/>
      <c r="C117" s="778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663"/>
      <c r="Q117" s="663"/>
      <c r="R117" s="663"/>
      <c r="S117" s="663"/>
      <c r="T117" s="663"/>
      <c r="U117" s="663"/>
      <c r="V117" s="663"/>
      <c r="W117" s="663"/>
      <c r="X117" s="66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663"/>
      <c r="AN117" s="663"/>
      <c r="AO117" s="663"/>
      <c r="AP117" s="663"/>
      <c r="AQ117" s="663"/>
      <c r="AR117" s="663"/>
      <c r="AS117" s="663"/>
      <c r="AT117" s="663"/>
      <c r="AU117" s="663"/>
      <c r="AV117" s="663"/>
      <c r="AW117" s="663"/>
      <c r="AX117" s="663"/>
      <c r="AY117" s="663"/>
      <c r="AZ117" s="663"/>
      <c r="BA117" s="663"/>
      <c r="BB117" s="663"/>
    </row>
    <row r="118" spans="1:55" s="670" customFormat="1" ht="13.5" customHeight="1">
      <c r="A118" s="675"/>
      <c r="B118" s="779"/>
      <c r="C118" s="778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663"/>
      <c r="AN118" s="663"/>
      <c r="AO118" s="663"/>
      <c r="AP118" s="663"/>
      <c r="AQ118" s="663"/>
      <c r="AR118" s="663"/>
      <c r="AS118" s="663"/>
      <c r="AT118" s="663"/>
      <c r="AU118" s="663"/>
      <c r="AV118" s="663"/>
      <c r="AW118" s="663"/>
      <c r="AX118" s="663"/>
      <c r="AY118" s="663"/>
      <c r="AZ118" s="663"/>
      <c r="BA118" s="663"/>
      <c r="BB118" s="663"/>
    </row>
    <row r="119" spans="1:55" s="694" customFormat="1" ht="13.5" customHeight="1">
      <c r="A119" s="700"/>
      <c r="B119" s="788" t="str">
        <f>F1</f>
        <v>april</v>
      </c>
      <c r="C119" s="787" t="s">
        <v>37</v>
      </c>
      <c r="D119" s="786">
        <f t="shared" ref="D119:M119" si="4">SUM(D120:D122)</f>
        <v>0</v>
      </c>
      <c r="E119" s="786">
        <f t="shared" si="4"/>
        <v>0</v>
      </c>
      <c r="F119" s="786">
        <f t="shared" si="4"/>
        <v>0</v>
      </c>
      <c r="G119" s="786">
        <f t="shared" si="4"/>
        <v>0</v>
      </c>
      <c r="H119" s="786">
        <f t="shared" si="4"/>
        <v>0</v>
      </c>
      <c r="I119" s="786">
        <f t="shared" si="4"/>
        <v>0</v>
      </c>
      <c r="J119" s="786">
        <f t="shared" si="4"/>
        <v>0</v>
      </c>
      <c r="K119" s="786">
        <f t="shared" si="4"/>
        <v>0</v>
      </c>
      <c r="L119" s="786">
        <f t="shared" si="4"/>
        <v>0</v>
      </c>
      <c r="M119" s="786">
        <f t="shared" si="4"/>
        <v>0</v>
      </c>
      <c r="N119" s="786"/>
      <c r="O119" s="786"/>
      <c r="P119" s="695"/>
      <c r="Q119" s="695"/>
      <c r="R119" s="695"/>
      <c r="S119" s="695"/>
      <c r="T119" s="695"/>
      <c r="U119" s="695"/>
      <c r="V119" s="695"/>
      <c r="W119" s="695"/>
      <c r="X119" s="695"/>
      <c r="Y119" s="695"/>
      <c r="Z119" s="695"/>
      <c r="AA119" s="695"/>
      <c r="AB119" s="695"/>
      <c r="AC119" s="695"/>
      <c r="AD119" s="695"/>
      <c r="AE119" s="695"/>
      <c r="AF119" s="695"/>
      <c r="AG119" s="695"/>
      <c r="AH119" s="695"/>
      <c r="AI119" s="695"/>
      <c r="AJ119" s="695"/>
      <c r="AK119" s="695"/>
      <c r="AL119" s="695"/>
      <c r="AM119" s="695"/>
      <c r="AN119" s="695"/>
      <c r="AO119" s="695"/>
      <c r="AP119" s="695"/>
      <c r="AQ119" s="695"/>
      <c r="AR119" s="695"/>
      <c r="AS119" s="695"/>
      <c r="AT119" s="695"/>
      <c r="AU119" s="695"/>
      <c r="AV119" s="695"/>
      <c r="AW119" s="695"/>
      <c r="AX119" s="695"/>
      <c r="AY119" s="695"/>
      <c r="AZ119" s="695"/>
      <c r="BA119" s="695"/>
      <c r="BB119" s="695"/>
      <c r="BC119" s="695"/>
    </row>
    <row r="120" spans="1:55" ht="13.5" customHeight="1">
      <c r="A120" s="648"/>
      <c r="B120" s="791"/>
      <c r="C120" s="790"/>
      <c r="D120" s="789"/>
      <c r="E120" s="789"/>
      <c r="F120" s="789"/>
      <c r="G120" s="789"/>
      <c r="H120" s="789"/>
      <c r="I120" s="789"/>
      <c r="J120" s="789"/>
      <c r="K120" s="789"/>
      <c r="L120" s="789"/>
      <c r="M120" s="789"/>
      <c r="N120" s="789"/>
      <c r="O120" s="789"/>
      <c r="P120" s="648"/>
      <c r="Q120" s="648"/>
      <c r="R120" s="648"/>
      <c r="S120" s="648"/>
      <c r="T120" s="648"/>
      <c r="U120" s="648"/>
      <c r="V120" s="648"/>
      <c r="W120" s="648"/>
      <c r="X120" s="648"/>
      <c r="Y120" s="648"/>
      <c r="Z120" s="648"/>
      <c r="AA120" s="648"/>
      <c r="AB120" s="648"/>
      <c r="AC120" s="648"/>
      <c r="AD120" s="648"/>
      <c r="AE120" s="648"/>
      <c r="AF120" s="648"/>
      <c r="AG120" s="648"/>
      <c r="AH120" s="648"/>
      <c r="AI120" s="648"/>
      <c r="AJ120" s="648"/>
      <c r="AK120" s="648"/>
      <c r="AL120" s="648"/>
      <c r="AM120" s="648"/>
      <c r="AN120" s="648"/>
      <c r="AO120" s="648"/>
      <c r="AP120" s="648"/>
      <c r="AQ120" s="648"/>
      <c r="AR120" s="648"/>
      <c r="AS120" s="648"/>
      <c r="AT120" s="648"/>
      <c r="AU120" s="648"/>
      <c r="AV120" s="648"/>
      <c r="AW120" s="648"/>
      <c r="AX120" s="648"/>
      <c r="AY120" s="648"/>
      <c r="AZ120" s="648"/>
      <c r="BA120" s="648"/>
      <c r="BB120" s="648"/>
    </row>
    <row r="121" spans="1:55" ht="13.5" customHeight="1">
      <c r="A121" s="648"/>
      <c r="B121" s="791"/>
      <c r="C121" s="790"/>
      <c r="D121" s="789"/>
      <c r="E121" s="789"/>
      <c r="F121" s="789"/>
      <c r="G121" s="789"/>
      <c r="H121" s="789"/>
      <c r="I121" s="789"/>
      <c r="J121" s="789"/>
      <c r="K121" s="789"/>
      <c r="L121" s="789"/>
      <c r="M121" s="789"/>
      <c r="N121" s="789"/>
      <c r="O121" s="789"/>
      <c r="P121" s="648"/>
      <c r="Q121" s="648"/>
      <c r="R121" s="648"/>
      <c r="S121" s="648"/>
      <c r="T121" s="648"/>
      <c r="U121" s="648"/>
      <c r="V121" s="648"/>
      <c r="W121" s="648"/>
      <c r="X121" s="648"/>
      <c r="Y121" s="648"/>
      <c r="Z121" s="648"/>
      <c r="AA121" s="648"/>
      <c r="AB121" s="648"/>
      <c r="AC121" s="648"/>
      <c r="AD121" s="648"/>
      <c r="AE121" s="648"/>
      <c r="AF121" s="648"/>
      <c r="AG121" s="648"/>
      <c r="AH121" s="648"/>
      <c r="AI121" s="648"/>
      <c r="AJ121" s="648"/>
      <c r="AK121" s="648"/>
      <c r="AL121" s="648"/>
      <c r="AM121" s="648"/>
      <c r="AN121" s="648"/>
      <c r="AO121" s="648"/>
      <c r="AP121" s="648"/>
      <c r="AQ121" s="648"/>
      <c r="AR121" s="648"/>
      <c r="AS121" s="648"/>
      <c r="AT121" s="648"/>
      <c r="AU121" s="648"/>
      <c r="AV121" s="648"/>
      <c r="AW121" s="648"/>
      <c r="AX121" s="648"/>
      <c r="AY121" s="648"/>
      <c r="AZ121" s="648"/>
      <c r="BA121" s="648"/>
      <c r="BB121" s="648"/>
    </row>
    <row r="122" spans="1:55" ht="13.5" customHeight="1">
      <c r="A122" s="648"/>
      <c r="B122" s="791"/>
      <c r="C122" s="790"/>
      <c r="D122" s="789"/>
      <c r="E122" s="789"/>
      <c r="F122" s="789"/>
      <c r="G122" s="789"/>
      <c r="H122" s="789"/>
      <c r="I122" s="789"/>
      <c r="J122" s="789"/>
      <c r="K122" s="789"/>
      <c r="L122" s="789"/>
      <c r="M122" s="789"/>
      <c r="N122" s="789"/>
      <c r="O122" s="789"/>
      <c r="P122" s="648"/>
      <c r="Q122" s="648"/>
      <c r="R122" s="648"/>
      <c r="S122" s="648"/>
      <c r="T122" s="648"/>
      <c r="U122" s="648"/>
      <c r="V122" s="648"/>
      <c r="W122" s="648"/>
      <c r="X122" s="648"/>
      <c r="Y122" s="648"/>
      <c r="Z122" s="648"/>
      <c r="AA122" s="648"/>
      <c r="AB122" s="648"/>
      <c r="AC122" s="648"/>
      <c r="AD122" s="648"/>
      <c r="AE122" s="648"/>
      <c r="AF122" s="648"/>
      <c r="AG122" s="648"/>
      <c r="AH122" s="648"/>
      <c r="AI122" s="648"/>
      <c r="AJ122" s="648"/>
      <c r="AK122" s="648"/>
      <c r="AL122" s="648"/>
      <c r="AM122" s="648"/>
      <c r="AN122" s="648"/>
      <c r="AO122" s="648"/>
      <c r="AP122" s="648"/>
      <c r="AQ122" s="648"/>
      <c r="AR122" s="648"/>
      <c r="AS122" s="648"/>
      <c r="AT122" s="648"/>
      <c r="AU122" s="648"/>
      <c r="AV122" s="648"/>
      <c r="AW122" s="648"/>
      <c r="AX122" s="648"/>
      <c r="AY122" s="648"/>
      <c r="AZ122" s="648"/>
      <c r="BA122" s="648"/>
      <c r="BB122" s="648"/>
    </row>
    <row r="123" spans="1:55" s="780" customFormat="1" ht="13.5" customHeight="1">
      <c r="A123" s="785"/>
      <c r="B123" s="784" t="str">
        <f>F1</f>
        <v>april</v>
      </c>
      <c r="C123" s="783" t="s">
        <v>36</v>
      </c>
      <c r="D123" s="782">
        <f>SUM(D124:D144)</f>
        <v>1743</v>
      </c>
      <c r="E123" s="782"/>
      <c r="F123" s="782"/>
      <c r="G123" s="782"/>
      <c r="H123" s="782"/>
      <c r="I123" s="782"/>
      <c r="J123" s="782"/>
      <c r="K123" s="782"/>
      <c r="L123" s="782"/>
      <c r="M123" s="782"/>
      <c r="N123" s="782"/>
      <c r="O123" s="782"/>
      <c r="P123" s="781"/>
      <c r="Q123" s="781"/>
      <c r="R123" s="781"/>
      <c r="S123" s="781"/>
      <c r="T123" s="781"/>
      <c r="U123" s="781"/>
      <c r="V123" s="781"/>
      <c r="W123" s="781"/>
      <c r="X123" s="781"/>
      <c r="Y123" s="781"/>
      <c r="Z123" s="781"/>
      <c r="AA123" s="781"/>
      <c r="AB123" s="781"/>
      <c r="AC123" s="781"/>
      <c r="AD123" s="781"/>
      <c r="AE123" s="781"/>
      <c r="AF123" s="781"/>
      <c r="AG123" s="781"/>
      <c r="AH123" s="781"/>
      <c r="AI123" s="781"/>
      <c r="AJ123" s="781"/>
      <c r="AK123" s="781"/>
      <c r="AL123" s="781"/>
      <c r="AM123" s="781"/>
      <c r="AN123" s="781"/>
      <c r="AO123" s="781"/>
      <c r="AP123" s="781"/>
      <c r="AQ123" s="781"/>
      <c r="AR123" s="781"/>
      <c r="AS123" s="781"/>
      <c r="AT123" s="781"/>
      <c r="AU123" s="781"/>
      <c r="AV123" s="781"/>
      <c r="AW123" s="781"/>
      <c r="AX123" s="781"/>
      <c r="AY123" s="781"/>
      <c r="AZ123" s="781"/>
      <c r="BA123" s="781"/>
      <c r="BB123" s="781"/>
    </row>
    <row r="124" spans="1:55" s="670" customFormat="1" ht="13.5" customHeight="1">
      <c r="A124" s="675"/>
      <c r="B124" s="779"/>
      <c r="C124" s="778" t="s">
        <v>22</v>
      </c>
      <c r="D124" s="777">
        <v>89</v>
      </c>
      <c r="E124" s="777"/>
      <c r="F124" s="777"/>
      <c r="G124" s="777">
        <f>D124</f>
        <v>89</v>
      </c>
      <c r="H124" s="777"/>
      <c r="I124" s="777"/>
      <c r="J124" s="777"/>
      <c r="K124" s="777"/>
      <c r="L124" s="777"/>
      <c r="M124" s="777"/>
      <c r="N124" s="777"/>
      <c r="O124" s="777"/>
      <c r="P124" s="663"/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  <c r="AM124" s="663"/>
      <c r="AN124" s="663"/>
      <c r="AO124" s="663"/>
      <c r="AP124" s="663"/>
      <c r="AQ124" s="663"/>
      <c r="AR124" s="663"/>
      <c r="AS124" s="663"/>
      <c r="AT124" s="663"/>
      <c r="AU124" s="663"/>
      <c r="AV124" s="663"/>
      <c r="AW124" s="663"/>
      <c r="AX124" s="663"/>
      <c r="AY124" s="663"/>
      <c r="AZ124" s="663"/>
      <c r="BA124" s="663"/>
      <c r="BB124" s="663"/>
    </row>
    <row r="125" spans="1:55" s="670" customFormat="1" ht="13.5" customHeight="1">
      <c r="A125" s="675"/>
      <c r="B125" s="779"/>
      <c r="C125" s="778" t="s">
        <v>21</v>
      </c>
      <c r="D125" s="777">
        <v>176</v>
      </c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663"/>
      <c r="Q125" s="663"/>
      <c r="R125" s="663"/>
      <c r="S125" s="663"/>
      <c r="T125" s="663"/>
      <c r="U125" s="663"/>
      <c r="V125" s="663"/>
      <c r="W125" s="663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M125" s="663"/>
      <c r="AN125" s="663"/>
      <c r="AO125" s="663"/>
      <c r="AP125" s="663"/>
      <c r="AQ125" s="663"/>
      <c r="AR125" s="663"/>
      <c r="AS125" s="663"/>
      <c r="AT125" s="663"/>
      <c r="AU125" s="663"/>
      <c r="AV125" s="663"/>
      <c r="AW125" s="663"/>
      <c r="AX125" s="663"/>
      <c r="AY125" s="663"/>
      <c r="AZ125" s="663"/>
      <c r="BA125" s="663"/>
      <c r="BB125" s="663"/>
    </row>
    <row r="126" spans="1:55" s="670" customFormat="1" ht="13.5" customHeight="1">
      <c r="A126" s="675"/>
      <c r="B126" s="779"/>
      <c r="C126" s="778" t="s">
        <v>230</v>
      </c>
      <c r="D126" s="777">
        <v>59</v>
      </c>
      <c r="E126" s="777"/>
      <c r="F126" s="777"/>
      <c r="G126" s="777">
        <f>D126</f>
        <v>59</v>
      </c>
      <c r="H126" s="777"/>
      <c r="I126" s="777"/>
      <c r="J126" s="777"/>
      <c r="K126" s="777"/>
      <c r="L126" s="777"/>
      <c r="M126" s="777"/>
      <c r="N126" s="777"/>
      <c r="O126" s="777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663"/>
      <c r="AN126" s="663"/>
      <c r="AO126" s="663"/>
      <c r="AP126" s="663"/>
      <c r="AQ126" s="663"/>
      <c r="AR126" s="663"/>
      <c r="AS126" s="663"/>
      <c r="AT126" s="663"/>
      <c r="AU126" s="663"/>
      <c r="AV126" s="663"/>
      <c r="AW126" s="663"/>
      <c r="AX126" s="663"/>
      <c r="AY126" s="663"/>
      <c r="AZ126" s="663"/>
      <c r="BA126" s="663"/>
      <c r="BB126" s="663"/>
    </row>
    <row r="127" spans="1:55" s="670" customFormat="1" ht="13.5" customHeight="1">
      <c r="A127" s="675"/>
      <c r="B127" s="779"/>
      <c r="C127" s="778" t="s">
        <v>464</v>
      </c>
      <c r="D127" s="777">
        <v>129</v>
      </c>
      <c r="E127" s="777"/>
      <c r="F127" s="777">
        <f>D127</f>
        <v>129</v>
      </c>
      <c r="G127" s="777"/>
      <c r="H127" s="777"/>
      <c r="I127" s="777"/>
      <c r="J127" s="777"/>
      <c r="K127" s="777"/>
      <c r="L127" s="777"/>
      <c r="M127" s="777"/>
      <c r="N127" s="777"/>
      <c r="O127" s="777"/>
      <c r="P127" s="663"/>
      <c r="Q127" s="663"/>
      <c r="R127" s="663"/>
      <c r="S127" s="663"/>
      <c r="T127" s="663"/>
      <c r="U127" s="663"/>
      <c r="V127" s="663"/>
      <c r="W127" s="663"/>
      <c r="X127" s="663"/>
      <c r="Y127" s="663"/>
      <c r="Z127" s="663"/>
      <c r="AA127" s="663"/>
      <c r="AB127" s="663"/>
      <c r="AC127" s="663"/>
      <c r="AD127" s="663"/>
      <c r="AE127" s="663"/>
      <c r="AF127" s="663"/>
      <c r="AG127" s="663"/>
      <c r="AH127" s="663"/>
      <c r="AI127" s="663"/>
      <c r="AJ127" s="663"/>
      <c r="AK127" s="663"/>
      <c r="AL127" s="663"/>
      <c r="AM127" s="663"/>
      <c r="AN127" s="663"/>
      <c r="AO127" s="663"/>
      <c r="AP127" s="663"/>
      <c r="AQ127" s="663"/>
      <c r="AR127" s="663"/>
      <c r="AS127" s="663"/>
      <c r="AT127" s="663"/>
      <c r="AU127" s="663"/>
      <c r="AV127" s="663"/>
      <c r="AW127" s="663"/>
      <c r="AX127" s="663"/>
      <c r="AY127" s="663"/>
      <c r="AZ127" s="663"/>
      <c r="BA127" s="663"/>
      <c r="BB127" s="663"/>
    </row>
    <row r="128" spans="1:55" s="670" customFormat="1" ht="13.5" customHeight="1">
      <c r="A128" s="675"/>
      <c r="B128" s="779"/>
      <c r="C128" s="778" t="s">
        <v>397</v>
      </c>
      <c r="D128" s="777">
        <v>200</v>
      </c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/>
      <c r="AJ128" s="663"/>
      <c r="AK128" s="663"/>
      <c r="AL128" s="663"/>
      <c r="AM128" s="663"/>
      <c r="AN128" s="663"/>
      <c r="AO128" s="663"/>
      <c r="AP128" s="663"/>
      <c r="AQ128" s="663"/>
      <c r="AR128" s="663"/>
      <c r="AS128" s="663"/>
      <c r="AT128" s="663"/>
      <c r="AU128" s="663"/>
      <c r="AV128" s="663"/>
      <c r="AW128" s="663"/>
      <c r="AX128" s="663"/>
      <c r="AY128" s="663"/>
      <c r="AZ128" s="663"/>
      <c r="BA128" s="663"/>
      <c r="BB128" s="663"/>
    </row>
    <row r="129" spans="1:54" s="670" customFormat="1" ht="13.5" customHeight="1">
      <c r="A129" s="675"/>
      <c r="B129" s="779"/>
      <c r="C129" s="778" t="s">
        <v>804</v>
      </c>
      <c r="D129" s="777">
        <v>30</v>
      </c>
      <c r="E129" s="777"/>
      <c r="F129" s="777"/>
      <c r="G129" s="777"/>
      <c r="H129" s="777"/>
      <c r="I129" s="777">
        <f>D129</f>
        <v>30</v>
      </c>
      <c r="J129" s="777"/>
      <c r="K129" s="777"/>
      <c r="L129" s="777"/>
      <c r="M129" s="777"/>
      <c r="N129" s="777"/>
      <c r="O129" s="777"/>
      <c r="P129" s="663"/>
      <c r="Q129" s="663"/>
      <c r="R129" s="663"/>
      <c r="S129" s="663"/>
      <c r="T129" s="663"/>
      <c r="U129" s="663"/>
      <c r="V129" s="663"/>
      <c r="W129" s="663"/>
      <c r="X129" s="663"/>
      <c r="Y129" s="663"/>
      <c r="Z129" s="663"/>
      <c r="AA129" s="663"/>
      <c r="AB129" s="663"/>
      <c r="AC129" s="663"/>
      <c r="AD129" s="663"/>
      <c r="AE129" s="663"/>
      <c r="AF129" s="663"/>
      <c r="AG129" s="663"/>
      <c r="AH129" s="663"/>
      <c r="AI129" s="663"/>
      <c r="AJ129" s="663"/>
      <c r="AK129" s="663"/>
      <c r="AL129" s="663"/>
      <c r="AM129" s="663"/>
      <c r="AN129" s="663"/>
      <c r="AO129" s="663"/>
      <c r="AP129" s="663"/>
      <c r="AQ129" s="663"/>
      <c r="AR129" s="663"/>
      <c r="AS129" s="663"/>
      <c r="AT129" s="663"/>
      <c r="AU129" s="663"/>
      <c r="AV129" s="663"/>
      <c r="AW129" s="663"/>
      <c r="AX129" s="663"/>
      <c r="AY129" s="663"/>
      <c r="AZ129" s="663"/>
      <c r="BA129" s="663"/>
      <c r="BB129" s="663"/>
    </row>
    <row r="130" spans="1:54" s="670" customFormat="1" ht="13.5" customHeight="1">
      <c r="A130" s="675"/>
      <c r="B130" s="779"/>
      <c r="C130" s="778" t="s">
        <v>803</v>
      </c>
      <c r="D130" s="777">
        <v>30</v>
      </c>
      <c r="E130" s="777"/>
      <c r="F130" s="777"/>
      <c r="G130" s="777"/>
      <c r="H130" s="777"/>
      <c r="I130" s="777"/>
      <c r="J130" s="777">
        <f>D130</f>
        <v>30</v>
      </c>
      <c r="K130" s="777"/>
      <c r="L130" s="777"/>
      <c r="M130" s="777"/>
      <c r="N130" s="777"/>
      <c r="O130" s="777"/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63"/>
      <c r="AJ130" s="663"/>
      <c r="AK130" s="663"/>
      <c r="AL130" s="663"/>
      <c r="AM130" s="663"/>
      <c r="AN130" s="663"/>
      <c r="AO130" s="663"/>
      <c r="AP130" s="663"/>
      <c r="AQ130" s="663"/>
      <c r="AR130" s="663"/>
      <c r="AS130" s="663"/>
      <c r="AT130" s="663"/>
      <c r="AU130" s="663"/>
      <c r="AV130" s="663"/>
      <c r="AW130" s="663"/>
      <c r="AX130" s="663"/>
      <c r="AY130" s="663"/>
      <c r="AZ130" s="663"/>
      <c r="BA130" s="663"/>
      <c r="BB130" s="663"/>
    </row>
    <row r="131" spans="1:54" s="670" customFormat="1" ht="13.5" customHeight="1">
      <c r="A131" s="675"/>
      <c r="B131" s="779"/>
      <c r="C131" s="778" t="s">
        <v>802</v>
      </c>
      <c r="D131" s="777">
        <v>30</v>
      </c>
      <c r="E131" s="777"/>
      <c r="F131" s="777"/>
      <c r="G131" s="777"/>
      <c r="H131" s="777"/>
      <c r="I131" s="777">
        <f>D131</f>
        <v>30</v>
      </c>
      <c r="J131" s="777"/>
      <c r="K131" s="777"/>
      <c r="L131" s="777"/>
      <c r="M131" s="777"/>
      <c r="N131" s="777"/>
      <c r="O131" s="777"/>
      <c r="P131" s="663"/>
      <c r="Q131" s="663"/>
      <c r="R131" s="663"/>
      <c r="S131" s="663"/>
      <c r="T131" s="663"/>
      <c r="U131" s="663"/>
      <c r="V131" s="663"/>
      <c r="W131" s="663"/>
      <c r="X131" s="663"/>
      <c r="Y131" s="663"/>
      <c r="Z131" s="663"/>
      <c r="AA131" s="663"/>
      <c r="AB131" s="663"/>
      <c r="AC131" s="663"/>
      <c r="AD131" s="663"/>
      <c r="AE131" s="663"/>
      <c r="AF131" s="663"/>
      <c r="AG131" s="663"/>
      <c r="AH131" s="663"/>
      <c r="AI131" s="663"/>
      <c r="AJ131" s="663"/>
      <c r="AK131" s="663"/>
      <c r="AL131" s="663"/>
      <c r="AM131" s="663"/>
      <c r="AN131" s="663"/>
      <c r="AO131" s="663"/>
      <c r="AP131" s="663"/>
      <c r="AQ131" s="663"/>
      <c r="AR131" s="663"/>
      <c r="AS131" s="663"/>
      <c r="AT131" s="663"/>
      <c r="AU131" s="663"/>
      <c r="AV131" s="663"/>
      <c r="AW131" s="663"/>
      <c r="AX131" s="663"/>
      <c r="AY131" s="663"/>
      <c r="AZ131" s="663"/>
      <c r="BA131" s="663"/>
      <c r="BB131" s="663"/>
    </row>
    <row r="132" spans="1:54" s="670" customFormat="1" ht="13.5" customHeight="1">
      <c r="A132" s="675"/>
      <c r="B132" s="779"/>
      <c r="C132" s="778" t="s">
        <v>801</v>
      </c>
      <c r="D132" s="777">
        <v>30</v>
      </c>
      <c r="E132" s="777"/>
      <c r="F132" s="777"/>
      <c r="G132" s="777"/>
      <c r="H132" s="777"/>
      <c r="I132" s="777"/>
      <c r="J132" s="777">
        <f>D132</f>
        <v>30</v>
      </c>
      <c r="K132" s="777"/>
      <c r="L132" s="777"/>
      <c r="M132" s="777"/>
      <c r="N132" s="777"/>
      <c r="O132" s="777"/>
      <c r="P132" s="663"/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  <c r="AB132" s="663"/>
      <c r="AC132" s="663"/>
      <c r="AD132" s="663"/>
      <c r="AE132" s="663"/>
      <c r="AF132" s="663"/>
      <c r="AG132" s="663"/>
      <c r="AH132" s="663"/>
      <c r="AI132" s="663"/>
      <c r="AJ132" s="663"/>
      <c r="AK132" s="663"/>
      <c r="AL132" s="663"/>
      <c r="AM132" s="663"/>
      <c r="AN132" s="663"/>
      <c r="AO132" s="663"/>
      <c r="AP132" s="663"/>
      <c r="AQ132" s="663"/>
      <c r="AR132" s="663"/>
      <c r="AS132" s="663"/>
      <c r="AT132" s="663"/>
      <c r="AU132" s="663"/>
      <c r="AV132" s="663"/>
      <c r="AW132" s="663"/>
      <c r="AX132" s="663"/>
      <c r="AY132" s="663"/>
      <c r="AZ132" s="663"/>
      <c r="BA132" s="663"/>
      <c r="BB132" s="663"/>
    </row>
    <row r="133" spans="1:54" s="670" customFormat="1" ht="13.5" customHeight="1">
      <c r="A133" s="675"/>
      <c r="B133" s="779"/>
      <c r="C133" s="778" t="s">
        <v>800</v>
      </c>
      <c r="D133" s="777">
        <v>30</v>
      </c>
      <c r="E133" s="777"/>
      <c r="F133" s="777"/>
      <c r="G133" s="777"/>
      <c r="H133" s="777"/>
      <c r="I133" s="777">
        <f>D133</f>
        <v>30</v>
      </c>
      <c r="J133" s="777"/>
      <c r="K133" s="777"/>
      <c r="L133" s="777"/>
      <c r="M133" s="777"/>
      <c r="N133" s="777"/>
      <c r="O133" s="777"/>
      <c r="P133" s="663"/>
      <c r="Q133" s="663"/>
      <c r="R133" s="663"/>
      <c r="S133" s="663"/>
      <c r="T133" s="663"/>
      <c r="U133" s="663"/>
      <c r="V133" s="663"/>
      <c r="W133" s="663"/>
      <c r="X133" s="663"/>
      <c r="Y133" s="663"/>
      <c r="Z133" s="663"/>
      <c r="AA133" s="663"/>
      <c r="AB133" s="663"/>
      <c r="AC133" s="663"/>
      <c r="AD133" s="663"/>
      <c r="AE133" s="663"/>
      <c r="AF133" s="663"/>
      <c r="AG133" s="663"/>
      <c r="AH133" s="663"/>
      <c r="AI133" s="663"/>
      <c r="AJ133" s="663"/>
      <c r="AK133" s="663"/>
      <c r="AL133" s="663"/>
      <c r="AM133" s="663"/>
      <c r="AN133" s="663"/>
      <c r="AO133" s="663"/>
      <c r="AP133" s="663"/>
      <c r="AQ133" s="663"/>
      <c r="AR133" s="663"/>
      <c r="AS133" s="663"/>
      <c r="AT133" s="663"/>
      <c r="AU133" s="663"/>
      <c r="AV133" s="663"/>
      <c r="AW133" s="663"/>
      <c r="AX133" s="663"/>
      <c r="AY133" s="663"/>
      <c r="AZ133" s="663"/>
      <c r="BA133" s="663"/>
      <c r="BB133" s="663"/>
    </row>
    <row r="134" spans="1:54" s="670" customFormat="1" ht="13.5" customHeight="1">
      <c r="A134" s="675"/>
      <c r="B134" s="779"/>
      <c r="C134" s="778" t="s">
        <v>799</v>
      </c>
      <c r="D134" s="777">
        <v>30</v>
      </c>
      <c r="E134" s="777"/>
      <c r="F134" s="777"/>
      <c r="G134" s="777"/>
      <c r="H134" s="777"/>
      <c r="I134" s="777"/>
      <c r="J134" s="777">
        <f>D134</f>
        <v>30</v>
      </c>
      <c r="K134" s="777"/>
      <c r="L134" s="777"/>
      <c r="M134" s="777"/>
      <c r="N134" s="777"/>
      <c r="O134" s="777"/>
      <c r="P134" s="663"/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/>
      <c r="AN134" s="663"/>
      <c r="AO134" s="663"/>
      <c r="AP134" s="663"/>
      <c r="AQ134" s="663"/>
      <c r="AR134" s="663"/>
      <c r="AS134" s="663"/>
      <c r="AT134" s="663"/>
      <c r="AU134" s="663"/>
      <c r="AV134" s="663"/>
      <c r="AW134" s="663"/>
      <c r="AX134" s="663"/>
      <c r="AY134" s="663"/>
      <c r="AZ134" s="663"/>
      <c r="BA134" s="663"/>
      <c r="BB134" s="663"/>
    </row>
    <row r="135" spans="1:54" s="670" customFormat="1" ht="13.5" customHeight="1">
      <c r="A135" s="675"/>
      <c r="B135" s="779"/>
      <c r="C135" s="778" t="s">
        <v>798</v>
      </c>
      <c r="D135" s="777">
        <v>30</v>
      </c>
      <c r="E135" s="777"/>
      <c r="F135" s="777"/>
      <c r="G135" s="777"/>
      <c r="H135" s="777"/>
      <c r="I135" s="777">
        <f>D135</f>
        <v>30</v>
      </c>
      <c r="J135" s="777"/>
      <c r="K135" s="777"/>
      <c r="L135" s="777"/>
      <c r="M135" s="777"/>
      <c r="N135" s="777"/>
      <c r="O135" s="777"/>
      <c r="P135" s="663"/>
      <c r="Q135" s="663"/>
      <c r="R135" s="663"/>
      <c r="S135" s="663"/>
      <c r="T135" s="663"/>
      <c r="U135" s="663"/>
      <c r="V135" s="663"/>
      <c r="W135" s="663"/>
      <c r="X135" s="663"/>
      <c r="Y135" s="663"/>
      <c r="Z135" s="663"/>
      <c r="AA135" s="663"/>
      <c r="AB135" s="663"/>
      <c r="AC135" s="663"/>
      <c r="AD135" s="663"/>
      <c r="AE135" s="663"/>
      <c r="AF135" s="663"/>
      <c r="AG135" s="663"/>
      <c r="AH135" s="663"/>
      <c r="AI135" s="663"/>
      <c r="AJ135" s="663"/>
      <c r="AK135" s="663"/>
      <c r="AL135" s="663"/>
      <c r="AM135" s="663"/>
      <c r="AN135" s="663"/>
      <c r="AO135" s="663"/>
      <c r="AP135" s="663"/>
      <c r="AQ135" s="663"/>
      <c r="AR135" s="663"/>
      <c r="AS135" s="663"/>
      <c r="AT135" s="663"/>
      <c r="AU135" s="663"/>
      <c r="AV135" s="663"/>
      <c r="AW135" s="663"/>
      <c r="AX135" s="663"/>
      <c r="AY135" s="663"/>
      <c r="AZ135" s="663"/>
      <c r="BA135" s="663"/>
      <c r="BB135" s="663"/>
    </row>
    <row r="136" spans="1:54" s="670" customFormat="1" ht="13.5" customHeight="1">
      <c r="A136" s="675"/>
      <c r="B136" s="779"/>
      <c r="C136" s="778" t="s">
        <v>797</v>
      </c>
      <c r="D136" s="777">
        <v>30</v>
      </c>
      <c r="E136" s="777"/>
      <c r="F136" s="777"/>
      <c r="G136" s="777"/>
      <c r="H136" s="777"/>
      <c r="I136" s="777"/>
      <c r="J136" s="777">
        <f>D136</f>
        <v>30</v>
      </c>
      <c r="K136" s="777"/>
      <c r="L136" s="777"/>
      <c r="M136" s="777"/>
      <c r="N136" s="777"/>
      <c r="O136" s="777"/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/>
      <c r="AK136" s="663"/>
      <c r="AL136" s="663"/>
      <c r="AM136" s="663"/>
      <c r="AN136" s="663"/>
      <c r="AO136" s="663"/>
      <c r="AP136" s="663"/>
      <c r="AQ136" s="663"/>
      <c r="AR136" s="663"/>
      <c r="AS136" s="663"/>
      <c r="AT136" s="663"/>
      <c r="AU136" s="663"/>
      <c r="AV136" s="663"/>
      <c r="AW136" s="663"/>
      <c r="AX136" s="663"/>
      <c r="AY136" s="663"/>
      <c r="AZ136" s="663"/>
      <c r="BA136" s="663"/>
      <c r="BB136" s="663"/>
    </row>
    <row r="137" spans="1:54" s="670" customFormat="1" ht="13.5" customHeight="1">
      <c r="A137" s="675"/>
      <c r="B137" s="779"/>
      <c r="C137" s="778" t="s">
        <v>186</v>
      </c>
      <c r="D137" s="777"/>
      <c r="E137" s="777"/>
      <c r="F137" s="777"/>
      <c r="G137" s="777"/>
      <c r="H137" s="777">
        <f>D137</f>
        <v>0</v>
      </c>
      <c r="I137" s="777"/>
      <c r="J137" s="777"/>
      <c r="K137" s="777"/>
      <c r="L137" s="777"/>
      <c r="M137" s="777"/>
      <c r="N137" s="777"/>
      <c r="O137" s="777"/>
      <c r="P137" s="663"/>
      <c r="Q137" s="663"/>
      <c r="R137" s="663"/>
      <c r="S137" s="663"/>
      <c r="T137" s="663"/>
      <c r="U137" s="663"/>
      <c r="V137" s="663"/>
      <c r="W137" s="663"/>
      <c r="X137" s="663"/>
      <c r="Y137" s="663"/>
      <c r="Z137" s="663"/>
      <c r="AA137" s="663"/>
      <c r="AB137" s="663"/>
      <c r="AC137" s="663"/>
      <c r="AD137" s="663"/>
      <c r="AE137" s="663"/>
      <c r="AF137" s="663"/>
      <c r="AG137" s="663"/>
      <c r="AH137" s="663"/>
      <c r="AI137" s="663"/>
      <c r="AJ137" s="663"/>
      <c r="AK137" s="663"/>
      <c r="AL137" s="663"/>
      <c r="AM137" s="663"/>
      <c r="AN137" s="663"/>
      <c r="AO137" s="663"/>
      <c r="AP137" s="663"/>
      <c r="AQ137" s="663"/>
      <c r="AR137" s="663"/>
      <c r="AS137" s="663"/>
      <c r="AT137" s="663"/>
      <c r="AU137" s="663"/>
      <c r="AV137" s="663"/>
      <c r="AW137" s="663"/>
      <c r="AX137" s="663"/>
      <c r="AY137" s="663"/>
      <c r="AZ137" s="663"/>
      <c r="BA137" s="663"/>
      <c r="BB137" s="663"/>
    </row>
    <row r="138" spans="1:54" s="670" customFormat="1" ht="13.5" customHeight="1">
      <c r="A138" s="675"/>
      <c r="B138" s="779"/>
      <c r="C138" s="778" t="s">
        <v>518</v>
      </c>
      <c r="D138" s="777"/>
      <c r="E138" s="777"/>
      <c r="F138" s="777"/>
      <c r="G138" s="777"/>
      <c r="H138" s="777">
        <f>D138</f>
        <v>0</v>
      </c>
      <c r="I138" s="777"/>
      <c r="J138" s="777"/>
      <c r="K138" s="777"/>
      <c r="L138" s="777"/>
      <c r="M138" s="777"/>
      <c r="N138" s="777"/>
      <c r="O138" s="777"/>
      <c r="P138" s="663"/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/>
      <c r="AO138" s="663"/>
      <c r="AP138" s="663"/>
      <c r="AQ138" s="663"/>
      <c r="AR138" s="663"/>
      <c r="AS138" s="663"/>
      <c r="AT138" s="663"/>
      <c r="AU138" s="663"/>
      <c r="AV138" s="663"/>
      <c r="AW138" s="663"/>
      <c r="AX138" s="663"/>
      <c r="AY138" s="663"/>
      <c r="AZ138" s="663"/>
      <c r="BA138" s="663"/>
      <c r="BB138" s="663"/>
    </row>
    <row r="139" spans="1:54" s="670" customFormat="1" ht="13.5" customHeight="1">
      <c r="A139" s="675"/>
      <c r="B139" s="779"/>
      <c r="C139" s="778" t="s">
        <v>48</v>
      </c>
      <c r="D139" s="777">
        <v>600</v>
      </c>
      <c r="E139" s="777">
        <v>600</v>
      </c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663"/>
      <c r="Q139" s="663"/>
      <c r="R139" s="663"/>
      <c r="S139" s="663"/>
      <c r="T139" s="663"/>
      <c r="U139" s="663"/>
      <c r="V139" s="663"/>
      <c r="W139" s="663"/>
      <c r="X139" s="663"/>
      <c r="Y139" s="663"/>
      <c r="Z139" s="663"/>
      <c r="AA139" s="663"/>
      <c r="AB139" s="663"/>
      <c r="AC139" s="663"/>
      <c r="AD139" s="663"/>
      <c r="AE139" s="663"/>
      <c r="AF139" s="663"/>
      <c r="AG139" s="663"/>
      <c r="AH139" s="663"/>
      <c r="AI139" s="663"/>
      <c r="AJ139" s="663"/>
      <c r="AK139" s="663"/>
      <c r="AL139" s="663"/>
      <c r="AM139" s="663"/>
      <c r="AN139" s="663"/>
      <c r="AO139" s="663"/>
      <c r="AP139" s="663"/>
      <c r="AQ139" s="663"/>
      <c r="AR139" s="663"/>
      <c r="AS139" s="663"/>
      <c r="AT139" s="663"/>
      <c r="AU139" s="663"/>
      <c r="AV139" s="663"/>
      <c r="AW139" s="663"/>
      <c r="AX139" s="663"/>
      <c r="AY139" s="663"/>
      <c r="AZ139" s="663"/>
      <c r="BA139" s="663"/>
      <c r="BB139" s="663"/>
    </row>
    <row r="140" spans="1:54" s="670" customFormat="1" ht="13.5" customHeight="1">
      <c r="A140" s="675"/>
      <c r="B140" s="779">
        <v>43575</v>
      </c>
      <c r="C140" s="778" t="s">
        <v>495</v>
      </c>
      <c r="D140" s="777">
        <v>300</v>
      </c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663"/>
      <c r="Q140" s="663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/>
      <c r="AJ140" s="663"/>
      <c r="AK140" s="663"/>
      <c r="AL140" s="663"/>
      <c r="AM140" s="663"/>
      <c r="AN140" s="663"/>
      <c r="AO140" s="663"/>
      <c r="AP140" s="663"/>
      <c r="AQ140" s="663"/>
      <c r="AR140" s="663"/>
      <c r="AS140" s="663"/>
      <c r="AT140" s="663"/>
      <c r="AU140" s="663"/>
      <c r="AV140" s="663"/>
      <c r="AW140" s="663"/>
      <c r="AX140" s="663"/>
      <c r="AY140" s="663"/>
      <c r="AZ140" s="663"/>
      <c r="BA140" s="663"/>
      <c r="BB140" s="663"/>
    </row>
    <row r="141" spans="1:54" s="670" customFormat="1" ht="13.5" customHeight="1">
      <c r="A141" s="675"/>
      <c r="B141" s="779">
        <v>43557</v>
      </c>
      <c r="C141" s="778" t="s">
        <v>239</v>
      </c>
      <c r="D141" s="777">
        <v>-50</v>
      </c>
      <c r="E141" s="777"/>
      <c r="F141" s="777"/>
      <c r="G141" s="777"/>
      <c r="H141" s="777">
        <f>D141</f>
        <v>-50</v>
      </c>
      <c r="I141" s="777"/>
      <c r="J141" s="777"/>
      <c r="K141" s="777"/>
      <c r="L141" s="777"/>
      <c r="M141" s="777"/>
      <c r="N141" s="777"/>
      <c r="O141" s="777"/>
      <c r="P141" s="663"/>
      <c r="Q141" s="663"/>
      <c r="R141" s="663"/>
      <c r="S141" s="663"/>
      <c r="T141" s="663"/>
      <c r="U141" s="663"/>
      <c r="V141" s="663"/>
      <c r="W141" s="663"/>
      <c r="X141" s="663"/>
      <c r="Y141" s="663"/>
      <c r="Z141" s="663"/>
      <c r="AA141" s="663"/>
      <c r="AB141" s="663"/>
      <c r="AC141" s="663"/>
      <c r="AD141" s="663"/>
      <c r="AE141" s="663"/>
      <c r="AF141" s="663"/>
      <c r="AG141" s="663"/>
      <c r="AH141" s="663"/>
      <c r="AI141" s="663"/>
      <c r="AJ141" s="663"/>
      <c r="AK141" s="663"/>
      <c r="AL141" s="663"/>
      <c r="AM141" s="663"/>
      <c r="AN141" s="663"/>
      <c r="AO141" s="663"/>
      <c r="AP141" s="663"/>
      <c r="AQ141" s="663"/>
      <c r="AR141" s="663"/>
      <c r="AS141" s="663"/>
      <c r="AT141" s="663"/>
      <c r="AU141" s="663"/>
      <c r="AV141" s="663"/>
      <c r="AW141" s="663"/>
      <c r="AX141" s="663"/>
      <c r="AY141" s="663"/>
      <c r="AZ141" s="663"/>
      <c r="BA141" s="663"/>
      <c r="BB141" s="663"/>
    </row>
    <row r="142" spans="1:54" s="670" customFormat="1" ht="13.5" customHeight="1">
      <c r="A142" s="675"/>
      <c r="B142" s="779"/>
      <c r="C142" s="778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</row>
    <row r="143" spans="1:54" s="670" customFormat="1" ht="13.5" customHeight="1">
      <c r="A143" s="675"/>
      <c r="B143" s="779"/>
      <c r="C143" s="778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663"/>
      <c r="Q143" s="663"/>
      <c r="R143" s="663"/>
      <c r="S143" s="663"/>
      <c r="T143" s="663"/>
      <c r="U143" s="663"/>
      <c r="V143" s="663"/>
      <c r="W143" s="663"/>
      <c r="X143" s="663"/>
      <c r="Y143" s="663"/>
      <c r="Z143" s="663"/>
      <c r="AA143" s="663"/>
      <c r="AB143" s="663"/>
      <c r="AC143" s="663"/>
      <c r="AD143" s="663"/>
      <c r="AE143" s="663"/>
      <c r="AF143" s="663"/>
      <c r="AG143" s="663"/>
      <c r="AH143" s="663"/>
      <c r="AI143" s="663"/>
      <c r="AJ143" s="663"/>
      <c r="AK143" s="663"/>
      <c r="AL143" s="663"/>
      <c r="AM143" s="663"/>
      <c r="AN143" s="663"/>
      <c r="AO143" s="663"/>
      <c r="AP143" s="663"/>
      <c r="AQ143" s="663"/>
      <c r="AR143" s="663"/>
      <c r="AS143" s="663"/>
      <c r="AT143" s="663"/>
      <c r="AU143" s="663"/>
      <c r="AV143" s="663"/>
      <c r="AW143" s="663"/>
      <c r="AX143" s="663"/>
      <c r="AY143" s="663"/>
      <c r="AZ143" s="663"/>
      <c r="BA143" s="663"/>
      <c r="BB143" s="663"/>
    </row>
    <row r="144" spans="1:54" s="670" customFormat="1" ht="13.5" customHeight="1">
      <c r="A144" s="675"/>
      <c r="B144" s="779"/>
      <c r="C144" s="778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663"/>
      <c r="Q144" s="663"/>
      <c r="R144" s="663"/>
      <c r="S144" s="663"/>
      <c r="T144" s="663"/>
      <c r="U144" s="663"/>
      <c r="V144" s="663"/>
      <c r="W144" s="663"/>
      <c r="X144" s="663"/>
      <c r="Y144" s="663"/>
      <c r="Z144" s="663"/>
      <c r="AA144" s="663"/>
      <c r="AB144" s="663"/>
      <c r="AC144" s="663"/>
      <c r="AD144" s="663"/>
      <c r="AE144" s="663"/>
      <c r="AF144" s="663"/>
      <c r="AG144" s="663"/>
      <c r="AH144" s="663"/>
      <c r="AI144" s="663"/>
      <c r="AJ144" s="663"/>
      <c r="AK144" s="663"/>
      <c r="AL144" s="663"/>
      <c r="AM144" s="663"/>
      <c r="AN144" s="663"/>
      <c r="AO144" s="663"/>
      <c r="AP144" s="663"/>
      <c r="AQ144" s="663"/>
      <c r="AR144" s="663"/>
      <c r="AS144" s="663"/>
      <c r="AT144" s="663"/>
      <c r="AU144" s="663"/>
      <c r="AV144" s="663"/>
      <c r="AW144" s="663"/>
      <c r="AX144" s="663"/>
      <c r="AY144" s="663"/>
      <c r="AZ144" s="663"/>
      <c r="BA144" s="663"/>
      <c r="BB144" s="663"/>
    </row>
    <row r="145" spans="1:55" s="694" customFormat="1" ht="13.5" customHeight="1">
      <c r="A145" s="700"/>
      <c r="B145" s="788" t="str">
        <f>G1</f>
        <v>maj</v>
      </c>
      <c r="C145" s="787" t="s">
        <v>37</v>
      </c>
      <c r="D145" s="786">
        <f t="shared" ref="D145:M145" si="5">SUM(D146:D148)</f>
        <v>0</v>
      </c>
      <c r="E145" s="786">
        <f t="shared" si="5"/>
        <v>0</v>
      </c>
      <c r="F145" s="786">
        <f t="shared" si="5"/>
        <v>0</v>
      </c>
      <c r="G145" s="786">
        <f t="shared" si="5"/>
        <v>0</v>
      </c>
      <c r="H145" s="786">
        <f t="shared" si="5"/>
        <v>0</v>
      </c>
      <c r="I145" s="786">
        <f t="shared" si="5"/>
        <v>0</v>
      </c>
      <c r="J145" s="786">
        <f t="shared" si="5"/>
        <v>0</v>
      </c>
      <c r="K145" s="786">
        <f t="shared" si="5"/>
        <v>0</v>
      </c>
      <c r="L145" s="786">
        <f t="shared" si="5"/>
        <v>0</v>
      </c>
      <c r="M145" s="786">
        <f t="shared" si="5"/>
        <v>0</v>
      </c>
      <c r="N145" s="786"/>
      <c r="O145" s="786"/>
      <c r="P145" s="695"/>
      <c r="Q145" s="695"/>
      <c r="R145" s="695"/>
      <c r="S145" s="695"/>
      <c r="T145" s="695"/>
      <c r="U145" s="695"/>
      <c r="V145" s="695"/>
      <c r="W145" s="695"/>
      <c r="X145" s="695"/>
      <c r="Y145" s="695"/>
      <c r="Z145" s="695"/>
      <c r="AA145" s="695"/>
      <c r="AB145" s="695"/>
      <c r="AC145" s="695"/>
      <c r="AD145" s="695"/>
      <c r="AE145" s="695"/>
      <c r="AF145" s="695"/>
      <c r="AG145" s="695"/>
      <c r="AH145" s="695"/>
      <c r="AI145" s="695"/>
      <c r="AJ145" s="695"/>
      <c r="AK145" s="695"/>
      <c r="AL145" s="695"/>
      <c r="AM145" s="695"/>
      <c r="AN145" s="695"/>
      <c r="AO145" s="695"/>
      <c r="AP145" s="695"/>
      <c r="AQ145" s="695"/>
      <c r="AR145" s="695"/>
      <c r="AS145" s="695"/>
      <c r="AT145" s="695"/>
      <c r="AU145" s="695"/>
      <c r="AV145" s="695"/>
      <c r="AW145" s="695"/>
      <c r="AX145" s="695"/>
      <c r="AY145" s="695"/>
      <c r="AZ145" s="695"/>
      <c r="BA145" s="695"/>
      <c r="BB145" s="695"/>
      <c r="BC145" s="695"/>
    </row>
    <row r="146" spans="1:55" ht="13.5" customHeight="1">
      <c r="A146" s="648"/>
      <c r="B146" s="791"/>
      <c r="C146" s="790"/>
      <c r="D146" s="789"/>
      <c r="E146" s="789"/>
      <c r="F146" s="789"/>
      <c r="G146" s="789"/>
      <c r="H146" s="789"/>
      <c r="I146" s="789"/>
      <c r="J146" s="789"/>
      <c r="K146" s="789"/>
      <c r="L146" s="789"/>
      <c r="M146" s="789"/>
      <c r="N146" s="789"/>
      <c r="O146" s="789"/>
      <c r="P146" s="648"/>
      <c r="Q146" s="648"/>
      <c r="R146" s="648"/>
      <c r="S146" s="648"/>
      <c r="T146" s="648"/>
      <c r="U146" s="648"/>
      <c r="V146" s="648"/>
      <c r="W146" s="648"/>
      <c r="X146" s="648"/>
      <c r="Y146" s="648"/>
      <c r="Z146" s="648"/>
      <c r="AA146" s="648"/>
      <c r="AB146" s="648"/>
      <c r="AC146" s="648"/>
      <c r="AD146" s="648"/>
      <c r="AE146" s="648"/>
      <c r="AF146" s="648"/>
      <c r="AG146" s="648"/>
      <c r="AH146" s="648"/>
      <c r="AI146" s="648"/>
      <c r="AJ146" s="648"/>
      <c r="AK146" s="648"/>
      <c r="AL146" s="648"/>
      <c r="AM146" s="648"/>
      <c r="AN146" s="648"/>
      <c r="AO146" s="648"/>
      <c r="AP146" s="648"/>
      <c r="AQ146" s="648"/>
      <c r="AR146" s="648"/>
      <c r="AS146" s="648"/>
      <c r="AT146" s="648"/>
      <c r="AU146" s="648"/>
      <c r="AV146" s="648"/>
      <c r="AW146" s="648"/>
      <c r="AX146" s="648"/>
      <c r="AY146" s="648"/>
      <c r="AZ146" s="648"/>
      <c r="BA146" s="648"/>
      <c r="BB146" s="648"/>
    </row>
    <row r="147" spans="1:55" ht="13.5" customHeight="1">
      <c r="A147" s="648"/>
      <c r="B147" s="791"/>
      <c r="C147" s="790"/>
      <c r="D147" s="789"/>
      <c r="E147" s="789"/>
      <c r="F147" s="789"/>
      <c r="G147" s="789"/>
      <c r="H147" s="789"/>
      <c r="I147" s="789"/>
      <c r="J147" s="789"/>
      <c r="K147" s="789"/>
      <c r="L147" s="789"/>
      <c r="M147" s="789"/>
      <c r="N147" s="789"/>
      <c r="O147" s="789"/>
      <c r="P147" s="648"/>
      <c r="Q147" s="648"/>
      <c r="R147" s="648"/>
      <c r="S147" s="648"/>
      <c r="T147" s="648"/>
      <c r="U147" s="648"/>
      <c r="V147" s="648"/>
      <c r="W147" s="648"/>
      <c r="X147" s="648"/>
      <c r="Y147" s="648"/>
      <c r="Z147" s="648"/>
      <c r="AA147" s="648"/>
      <c r="AB147" s="648"/>
      <c r="AC147" s="648"/>
      <c r="AD147" s="648"/>
      <c r="AE147" s="648"/>
      <c r="AF147" s="648"/>
      <c r="AG147" s="648"/>
      <c r="AH147" s="648"/>
      <c r="AI147" s="648"/>
      <c r="AJ147" s="648"/>
      <c r="AK147" s="648"/>
      <c r="AL147" s="648"/>
      <c r="AM147" s="648"/>
      <c r="AN147" s="648"/>
      <c r="AO147" s="648"/>
      <c r="AP147" s="648"/>
      <c r="AQ147" s="648"/>
      <c r="AR147" s="648"/>
      <c r="AS147" s="648"/>
      <c r="AT147" s="648"/>
      <c r="AU147" s="648"/>
      <c r="AV147" s="648"/>
      <c r="AW147" s="648"/>
      <c r="AX147" s="648"/>
      <c r="AY147" s="648"/>
      <c r="AZ147" s="648"/>
      <c r="BA147" s="648"/>
      <c r="BB147" s="648"/>
    </row>
    <row r="148" spans="1:55" ht="13.5" customHeight="1">
      <c r="A148" s="648"/>
      <c r="B148" s="791"/>
      <c r="C148" s="790"/>
      <c r="D148" s="789"/>
      <c r="E148" s="789"/>
      <c r="F148" s="789"/>
      <c r="G148" s="789"/>
      <c r="H148" s="789"/>
      <c r="I148" s="789"/>
      <c r="J148" s="789"/>
      <c r="K148" s="789"/>
      <c r="L148" s="789"/>
      <c r="M148" s="789"/>
      <c r="N148" s="789"/>
      <c r="O148" s="789"/>
      <c r="P148" s="648"/>
      <c r="Q148" s="648"/>
      <c r="R148" s="648"/>
      <c r="S148" s="648"/>
      <c r="T148" s="648"/>
      <c r="U148" s="648"/>
      <c r="V148" s="648"/>
      <c r="W148" s="648"/>
      <c r="X148" s="648"/>
      <c r="Y148" s="648"/>
      <c r="Z148" s="648"/>
      <c r="AA148" s="648"/>
      <c r="AB148" s="648"/>
      <c r="AC148" s="648"/>
      <c r="AD148" s="648"/>
      <c r="AE148" s="648"/>
      <c r="AF148" s="648"/>
      <c r="AG148" s="648"/>
      <c r="AH148" s="648"/>
      <c r="AI148" s="648"/>
      <c r="AJ148" s="648"/>
      <c r="AK148" s="648"/>
      <c r="AL148" s="648"/>
      <c r="AM148" s="648"/>
      <c r="AN148" s="648"/>
      <c r="AO148" s="648"/>
      <c r="AP148" s="648"/>
      <c r="AQ148" s="648"/>
      <c r="AR148" s="648"/>
      <c r="AS148" s="648"/>
      <c r="AT148" s="648"/>
      <c r="AU148" s="648"/>
      <c r="AV148" s="648"/>
      <c r="AW148" s="648"/>
      <c r="AX148" s="648"/>
      <c r="AY148" s="648"/>
      <c r="AZ148" s="648"/>
      <c r="BA148" s="648"/>
      <c r="BB148" s="648"/>
    </row>
    <row r="149" spans="1:55" s="780" customFormat="1" ht="13.5" customHeight="1">
      <c r="A149" s="785"/>
      <c r="B149" s="784" t="str">
        <f>G1</f>
        <v>maj</v>
      </c>
      <c r="C149" s="783" t="s">
        <v>36</v>
      </c>
      <c r="D149" s="782">
        <f>SUM(D150:D171)</f>
        <v>2153</v>
      </c>
      <c r="E149" s="782"/>
      <c r="F149" s="782"/>
      <c r="G149" s="782"/>
      <c r="H149" s="782"/>
      <c r="I149" s="782"/>
      <c r="J149" s="782"/>
      <c r="K149" s="782"/>
      <c r="L149" s="782"/>
      <c r="M149" s="782"/>
      <c r="N149" s="782"/>
      <c r="O149" s="782"/>
      <c r="P149" s="781"/>
      <c r="Q149" s="781"/>
      <c r="R149" s="781"/>
      <c r="S149" s="781"/>
      <c r="T149" s="781"/>
      <c r="U149" s="781"/>
      <c r="V149" s="781"/>
      <c r="W149" s="781"/>
      <c r="X149" s="781"/>
      <c r="Y149" s="781"/>
      <c r="Z149" s="781"/>
      <c r="AA149" s="781"/>
      <c r="AB149" s="781"/>
      <c r="AC149" s="781"/>
      <c r="AD149" s="781"/>
      <c r="AE149" s="781"/>
      <c r="AF149" s="781"/>
      <c r="AG149" s="781"/>
      <c r="AH149" s="781"/>
      <c r="AI149" s="781"/>
      <c r="AJ149" s="781"/>
      <c r="AK149" s="781"/>
      <c r="AL149" s="781"/>
      <c r="AM149" s="781"/>
      <c r="AN149" s="781"/>
      <c r="AO149" s="781"/>
      <c r="AP149" s="781"/>
      <c r="AQ149" s="781"/>
      <c r="AR149" s="781"/>
      <c r="AS149" s="781"/>
      <c r="AT149" s="781"/>
      <c r="AU149" s="781"/>
      <c r="AV149" s="781"/>
      <c r="AW149" s="781"/>
      <c r="AX149" s="781"/>
      <c r="AY149" s="781"/>
      <c r="AZ149" s="781"/>
      <c r="BA149" s="781"/>
      <c r="BB149" s="781"/>
    </row>
    <row r="150" spans="1:55" s="670" customFormat="1" ht="13.5" customHeight="1">
      <c r="A150" s="675"/>
      <c r="B150" s="779"/>
      <c r="C150" s="778" t="s">
        <v>22</v>
      </c>
      <c r="D150" s="777">
        <v>89</v>
      </c>
      <c r="E150" s="777"/>
      <c r="F150" s="777"/>
      <c r="G150" s="777">
        <f>D150</f>
        <v>89</v>
      </c>
      <c r="H150" s="777"/>
      <c r="I150" s="777"/>
      <c r="J150" s="777"/>
      <c r="K150" s="777"/>
      <c r="L150" s="777"/>
      <c r="M150" s="777"/>
      <c r="N150" s="777"/>
      <c r="O150" s="777"/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/>
      <c r="AJ150" s="663"/>
      <c r="AK150" s="663"/>
      <c r="AL150" s="663"/>
      <c r="AM150" s="663"/>
      <c r="AN150" s="663"/>
      <c r="AO150" s="663"/>
      <c r="AP150" s="663"/>
      <c r="AQ150" s="663"/>
      <c r="AR150" s="663"/>
      <c r="AS150" s="663"/>
      <c r="AT150" s="663"/>
      <c r="AU150" s="663"/>
      <c r="AV150" s="663"/>
      <c r="AW150" s="663"/>
      <c r="AX150" s="663"/>
      <c r="AY150" s="663"/>
      <c r="AZ150" s="663"/>
      <c r="BA150" s="663"/>
      <c r="BB150" s="663"/>
    </row>
    <row r="151" spans="1:55" s="670" customFormat="1" ht="13.5" customHeight="1">
      <c r="A151" s="675"/>
      <c r="B151" s="779"/>
      <c r="C151" s="778" t="s">
        <v>21</v>
      </c>
      <c r="D151" s="777">
        <v>176</v>
      </c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/>
      <c r="AK151" s="663"/>
      <c r="AL151" s="663"/>
      <c r="AM151" s="663"/>
      <c r="AN151" s="663"/>
      <c r="AO151" s="663"/>
      <c r="AP151" s="663"/>
      <c r="AQ151" s="663"/>
      <c r="AR151" s="663"/>
      <c r="AS151" s="663"/>
      <c r="AT151" s="663"/>
      <c r="AU151" s="663"/>
      <c r="AV151" s="663"/>
      <c r="AW151" s="663"/>
      <c r="AX151" s="663"/>
      <c r="AY151" s="663"/>
      <c r="AZ151" s="663"/>
      <c r="BA151" s="663"/>
      <c r="BB151" s="663"/>
    </row>
    <row r="152" spans="1:55" s="670" customFormat="1" ht="13.5" customHeight="1">
      <c r="A152" s="675"/>
      <c r="B152" s="779"/>
      <c r="C152" s="778" t="s">
        <v>230</v>
      </c>
      <c r="D152" s="777">
        <v>59</v>
      </c>
      <c r="E152" s="777"/>
      <c r="F152" s="777"/>
      <c r="G152" s="777">
        <f>D152</f>
        <v>59</v>
      </c>
      <c r="H152" s="777"/>
      <c r="I152" s="777"/>
      <c r="J152" s="777"/>
      <c r="K152" s="777"/>
      <c r="L152" s="777"/>
      <c r="M152" s="777"/>
      <c r="N152" s="777"/>
      <c r="O152" s="777"/>
      <c r="P152" s="663"/>
      <c r="Q152" s="663"/>
      <c r="R152" s="663"/>
      <c r="S152" s="663"/>
      <c r="T152" s="663"/>
      <c r="U152" s="663"/>
      <c r="V152" s="663"/>
      <c r="W152" s="663"/>
      <c r="X152" s="663"/>
      <c r="Y152" s="663"/>
      <c r="Z152" s="663"/>
      <c r="AA152" s="663"/>
      <c r="AB152" s="663"/>
      <c r="AC152" s="663"/>
      <c r="AD152" s="663"/>
      <c r="AE152" s="663"/>
      <c r="AF152" s="663"/>
      <c r="AG152" s="663"/>
      <c r="AH152" s="663"/>
      <c r="AI152" s="663"/>
      <c r="AJ152" s="663"/>
      <c r="AK152" s="663"/>
      <c r="AL152" s="663"/>
      <c r="AM152" s="663"/>
      <c r="AN152" s="663"/>
      <c r="AO152" s="663"/>
      <c r="AP152" s="663"/>
      <c r="AQ152" s="663"/>
      <c r="AR152" s="663"/>
      <c r="AS152" s="663"/>
      <c r="AT152" s="663"/>
      <c r="AU152" s="663"/>
      <c r="AV152" s="663"/>
      <c r="AW152" s="663"/>
      <c r="AX152" s="663"/>
      <c r="AY152" s="663"/>
      <c r="AZ152" s="663"/>
      <c r="BA152" s="663"/>
      <c r="BB152" s="663"/>
    </row>
    <row r="153" spans="1:55" s="670" customFormat="1" ht="13.5" customHeight="1">
      <c r="A153" s="675"/>
      <c r="B153" s="779"/>
      <c r="C153" s="778" t="s">
        <v>464</v>
      </c>
      <c r="D153" s="777">
        <v>129</v>
      </c>
      <c r="E153" s="777"/>
      <c r="F153" s="777">
        <f>D153</f>
        <v>129</v>
      </c>
      <c r="G153" s="777"/>
      <c r="H153" s="777"/>
      <c r="I153" s="777"/>
      <c r="J153" s="777"/>
      <c r="K153" s="777"/>
      <c r="L153" s="777"/>
      <c r="M153" s="777"/>
      <c r="N153" s="777"/>
      <c r="O153" s="777"/>
      <c r="P153" s="663"/>
      <c r="Q153" s="663"/>
      <c r="R153" s="663"/>
      <c r="S153" s="663"/>
      <c r="T153" s="663"/>
      <c r="U153" s="663"/>
      <c r="V153" s="663"/>
      <c r="W153" s="663"/>
      <c r="X153" s="663"/>
      <c r="Y153" s="663"/>
      <c r="Z153" s="663"/>
      <c r="AA153" s="663"/>
      <c r="AB153" s="663"/>
      <c r="AC153" s="663"/>
      <c r="AD153" s="663"/>
      <c r="AE153" s="663"/>
      <c r="AF153" s="663"/>
      <c r="AG153" s="663"/>
      <c r="AH153" s="663"/>
      <c r="AI153" s="663"/>
      <c r="AJ153" s="663"/>
      <c r="AK153" s="663"/>
      <c r="AL153" s="663"/>
      <c r="AM153" s="663"/>
      <c r="AN153" s="663"/>
      <c r="AO153" s="663"/>
      <c r="AP153" s="663"/>
      <c r="AQ153" s="663"/>
      <c r="AR153" s="663"/>
      <c r="AS153" s="663"/>
      <c r="AT153" s="663"/>
      <c r="AU153" s="663"/>
      <c r="AV153" s="663"/>
      <c r="AW153" s="663"/>
      <c r="AX153" s="663"/>
      <c r="AY153" s="663"/>
      <c r="AZ153" s="663"/>
      <c r="BA153" s="663"/>
      <c r="BB153" s="663"/>
    </row>
    <row r="154" spans="1:55" s="670" customFormat="1" ht="13.5" customHeight="1">
      <c r="A154" s="675"/>
      <c r="B154" s="779"/>
      <c r="C154" s="778" t="s">
        <v>397</v>
      </c>
      <c r="D154" s="777">
        <v>200</v>
      </c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663"/>
      <c r="AA154" s="663"/>
      <c r="AB154" s="663"/>
      <c r="AC154" s="663"/>
      <c r="AD154" s="663"/>
      <c r="AE154" s="663"/>
      <c r="AF154" s="663"/>
      <c r="AG154" s="663"/>
      <c r="AH154" s="663"/>
      <c r="AI154" s="663"/>
      <c r="AJ154" s="663"/>
      <c r="AK154" s="663"/>
      <c r="AL154" s="663"/>
      <c r="AM154" s="663"/>
      <c r="AN154" s="663"/>
      <c r="AO154" s="663"/>
      <c r="AP154" s="663"/>
      <c r="AQ154" s="663"/>
      <c r="AR154" s="663"/>
      <c r="AS154" s="663"/>
      <c r="AT154" s="663"/>
      <c r="AU154" s="663"/>
      <c r="AV154" s="663"/>
      <c r="AW154" s="663"/>
      <c r="AX154" s="663"/>
      <c r="AY154" s="663"/>
      <c r="AZ154" s="663"/>
      <c r="BA154" s="663"/>
      <c r="BB154" s="663"/>
    </row>
    <row r="155" spans="1:55" s="670" customFormat="1" ht="13.5" customHeight="1">
      <c r="A155" s="675"/>
      <c r="B155" s="779"/>
      <c r="C155" s="778" t="s">
        <v>796</v>
      </c>
      <c r="D155" s="777">
        <v>30</v>
      </c>
      <c r="E155" s="777"/>
      <c r="F155" s="777"/>
      <c r="G155" s="777"/>
      <c r="H155" s="777"/>
      <c r="I155" s="777">
        <f>D155</f>
        <v>30</v>
      </c>
      <c r="J155" s="777"/>
      <c r="K155" s="777"/>
      <c r="L155" s="777"/>
      <c r="M155" s="777"/>
      <c r="N155" s="777"/>
      <c r="O155" s="777"/>
      <c r="P155" s="663"/>
      <c r="Q155" s="663"/>
      <c r="R155" s="663"/>
      <c r="S155" s="663"/>
      <c r="T155" s="663"/>
      <c r="U155" s="663"/>
      <c r="V155" s="663"/>
      <c r="W155" s="663"/>
      <c r="X155" s="663"/>
      <c r="Y155" s="663"/>
      <c r="Z155" s="663"/>
      <c r="AA155" s="663"/>
      <c r="AB155" s="663"/>
      <c r="AC155" s="663"/>
      <c r="AD155" s="663"/>
      <c r="AE155" s="663"/>
      <c r="AF155" s="663"/>
      <c r="AG155" s="663"/>
      <c r="AH155" s="663"/>
      <c r="AI155" s="663"/>
      <c r="AJ155" s="663"/>
      <c r="AK155" s="663"/>
      <c r="AL155" s="663"/>
      <c r="AM155" s="663"/>
      <c r="AN155" s="663"/>
      <c r="AO155" s="663"/>
      <c r="AP155" s="663"/>
      <c r="AQ155" s="663"/>
      <c r="AR155" s="663"/>
      <c r="AS155" s="663"/>
      <c r="AT155" s="663"/>
      <c r="AU155" s="663"/>
      <c r="AV155" s="663"/>
      <c r="AW155" s="663"/>
      <c r="AX155" s="663"/>
      <c r="AY155" s="663"/>
      <c r="AZ155" s="663"/>
      <c r="BA155" s="663"/>
      <c r="BB155" s="663"/>
    </row>
    <row r="156" spans="1:55" s="670" customFormat="1" ht="13.5" customHeight="1">
      <c r="A156" s="675"/>
      <c r="B156" s="779"/>
      <c r="C156" s="778" t="s">
        <v>795</v>
      </c>
      <c r="D156" s="777">
        <v>30</v>
      </c>
      <c r="E156" s="777"/>
      <c r="F156" s="777"/>
      <c r="G156" s="777"/>
      <c r="H156" s="777"/>
      <c r="I156" s="777"/>
      <c r="J156" s="777">
        <f>D156</f>
        <v>30</v>
      </c>
      <c r="K156" s="777"/>
      <c r="L156" s="777"/>
      <c r="M156" s="777"/>
      <c r="N156" s="777"/>
      <c r="O156" s="777"/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/>
      <c r="AN156" s="663"/>
      <c r="AO156" s="663"/>
      <c r="AP156" s="663"/>
      <c r="AQ156" s="663"/>
      <c r="AR156" s="663"/>
      <c r="AS156" s="663"/>
      <c r="AT156" s="663"/>
      <c r="AU156" s="663"/>
      <c r="AV156" s="663"/>
      <c r="AW156" s="663"/>
      <c r="AX156" s="663"/>
      <c r="AY156" s="663"/>
      <c r="AZ156" s="663"/>
      <c r="BA156" s="663"/>
      <c r="BB156" s="663"/>
    </row>
    <row r="157" spans="1:55" s="670" customFormat="1" ht="13.5" customHeight="1">
      <c r="A157" s="675"/>
      <c r="B157" s="779"/>
      <c r="C157" s="778" t="s">
        <v>794</v>
      </c>
      <c r="D157" s="777">
        <v>30</v>
      </c>
      <c r="E157" s="777"/>
      <c r="F157" s="777"/>
      <c r="G157" s="777"/>
      <c r="H157" s="777"/>
      <c r="I157" s="777">
        <f>D157</f>
        <v>30</v>
      </c>
      <c r="J157" s="777"/>
      <c r="K157" s="777"/>
      <c r="L157" s="777"/>
      <c r="M157" s="777"/>
      <c r="N157" s="777"/>
      <c r="O157" s="777"/>
      <c r="P157" s="663"/>
      <c r="Q157" s="663"/>
      <c r="R157" s="663"/>
      <c r="S157" s="663"/>
      <c r="T157" s="663"/>
      <c r="U157" s="663"/>
      <c r="V157" s="663"/>
      <c r="W157" s="663"/>
      <c r="X157" s="663"/>
      <c r="Y157" s="663"/>
      <c r="Z157" s="663"/>
      <c r="AA157" s="663"/>
      <c r="AB157" s="663"/>
      <c r="AC157" s="663"/>
      <c r="AD157" s="663"/>
      <c r="AE157" s="663"/>
      <c r="AF157" s="663"/>
      <c r="AG157" s="663"/>
      <c r="AH157" s="663"/>
      <c r="AI157" s="663"/>
      <c r="AJ157" s="663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</row>
    <row r="158" spans="1:55" s="670" customFormat="1" ht="13.5" customHeight="1">
      <c r="A158" s="675"/>
      <c r="B158" s="779"/>
      <c r="C158" s="778" t="s">
        <v>793</v>
      </c>
      <c r="D158" s="777">
        <v>30</v>
      </c>
      <c r="E158" s="777"/>
      <c r="F158" s="777"/>
      <c r="G158" s="777"/>
      <c r="H158" s="777"/>
      <c r="I158" s="777"/>
      <c r="J158" s="777">
        <f>D158</f>
        <v>30</v>
      </c>
      <c r="K158" s="777"/>
      <c r="L158" s="777"/>
      <c r="M158" s="777"/>
      <c r="N158" s="777"/>
      <c r="O158" s="777"/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/>
      <c r="AK158" s="663"/>
      <c r="AL158" s="663"/>
      <c r="AM158" s="663"/>
      <c r="AN158" s="663"/>
      <c r="AO158" s="663"/>
      <c r="AP158" s="663"/>
      <c r="AQ158" s="663"/>
      <c r="AR158" s="663"/>
      <c r="AS158" s="663"/>
      <c r="AT158" s="663"/>
      <c r="AU158" s="663"/>
      <c r="AV158" s="663"/>
      <c r="AW158" s="663"/>
      <c r="AX158" s="663"/>
      <c r="AY158" s="663"/>
      <c r="AZ158" s="663"/>
      <c r="BA158" s="663"/>
      <c r="BB158" s="663"/>
    </row>
    <row r="159" spans="1:55" s="670" customFormat="1" ht="13.5" customHeight="1">
      <c r="A159" s="675"/>
      <c r="B159" s="779"/>
      <c r="C159" s="778" t="s">
        <v>792</v>
      </c>
      <c r="D159" s="777">
        <v>30</v>
      </c>
      <c r="E159" s="777"/>
      <c r="F159" s="777"/>
      <c r="G159" s="777"/>
      <c r="H159" s="777"/>
      <c r="I159" s="777">
        <f>D159</f>
        <v>30</v>
      </c>
      <c r="J159" s="777"/>
      <c r="K159" s="777"/>
      <c r="L159" s="777"/>
      <c r="M159" s="777"/>
      <c r="N159" s="777"/>
      <c r="O159" s="777"/>
      <c r="P159" s="663"/>
      <c r="Q159" s="663"/>
      <c r="R159" s="663"/>
      <c r="S159" s="663"/>
      <c r="T159" s="663"/>
      <c r="U159" s="663"/>
      <c r="V159" s="663"/>
      <c r="W159" s="663"/>
      <c r="X159" s="663"/>
      <c r="Y159" s="663"/>
      <c r="Z159" s="663"/>
      <c r="AA159" s="663"/>
      <c r="AB159" s="663"/>
      <c r="AC159" s="663"/>
      <c r="AD159" s="663"/>
      <c r="AE159" s="663"/>
      <c r="AF159" s="663"/>
      <c r="AG159" s="663"/>
      <c r="AH159" s="663"/>
      <c r="AI159" s="663"/>
      <c r="AJ159" s="663"/>
      <c r="AK159" s="663"/>
      <c r="AL159" s="663"/>
      <c r="AM159" s="663"/>
      <c r="AN159" s="663"/>
      <c r="AO159" s="663"/>
      <c r="AP159" s="663"/>
      <c r="AQ159" s="663"/>
      <c r="AR159" s="663"/>
      <c r="AS159" s="663"/>
      <c r="AT159" s="663"/>
      <c r="AU159" s="663"/>
      <c r="AV159" s="663"/>
      <c r="AW159" s="663"/>
      <c r="AX159" s="663"/>
      <c r="AY159" s="663"/>
      <c r="AZ159" s="663"/>
      <c r="BA159" s="663"/>
      <c r="BB159" s="663"/>
    </row>
    <row r="160" spans="1:55" s="670" customFormat="1" ht="13.5" customHeight="1">
      <c r="A160" s="675"/>
      <c r="B160" s="779"/>
      <c r="C160" s="778" t="s">
        <v>791</v>
      </c>
      <c r="D160" s="777">
        <v>30</v>
      </c>
      <c r="E160" s="777"/>
      <c r="F160" s="777"/>
      <c r="G160" s="777"/>
      <c r="H160" s="777"/>
      <c r="I160" s="777"/>
      <c r="J160" s="777">
        <f>D160</f>
        <v>30</v>
      </c>
      <c r="K160" s="777"/>
      <c r="L160" s="777"/>
      <c r="M160" s="777"/>
      <c r="N160" s="777"/>
      <c r="O160" s="777"/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/>
      <c r="AK160" s="663"/>
      <c r="AL160" s="663"/>
      <c r="AM160" s="663"/>
      <c r="AN160" s="663"/>
      <c r="AO160" s="663"/>
      <c r="AP160" s="663"/>
      <c r="AQ160" s="663"/>
      <c r="AR160" s="663"/>
      <c r="AS160" s="663"/>
      <c r="AT160" s="663"/>
      <c r="AU160" s="663"/>
      <c r="AV160" s="663"/>
      <c r="AW160" s="663"/>
      <c r="AX160" s="663"/>
      <c r="AY160" s="663"/>
      <c r="AZ160" s="663"/>
      <c r="BA160" s="663"/>
      <c r="BB160" s="663"/>
    </row>
    <row r="161" spans="1:55" s="670" customFormat="1" ht="13.5" customHeight="1">
      <c r="A161" s="675"/>
      <c r="B161" s="779"/>
      <c r="C161" s="778" t="s">
        <v>790</v>
      </c>
      <c r="D161" s="777">
        <v>30</v>
      </c>
      <c r="E161" s="777"/>
      <c r="F161" s="777"/>
      <c r="G161" s="777"/>
      <c r="H161" s="777"/>
      <c r="I161" s="777">
        <f>D161</f>
        <v>30</v>
      </c>
      <c r="J161" s="777"/>
      <c r="K161" s="777"/>
      <c r="L161" s="777"/>
      <c r="M161" s="777"/>
      <c r="N161" s="777"/>
      <c r="O161" s="777"/>
      <c r="P161" s="663"/>
      <c r="Q161" s="663"/>
      <c r="R161" s="663"/>
      <c r="S161" s="663"/>
      <c r="T161" s="663"/>
      <c r="U161" s="663"/>
      <c r="V161" s="663"/>
      <c r="W161" s="663"/>
      <c r="X161" s="663"/>
      <c r="Y161" s="663"/>
      <c r="Z161" s="663"/>
      <c r="AA161" s="663"/>
      <c r="AB161" s="663"/>
      <c r="AC161" s="663"/>
      <c r="AD161" s="663"/>
      <c r="AE161" s="663"/>
      <c r="AF161" s="663"/>
      <c r="AG161" s="663"/>
      <c r="AH161" s="663"/>
      <c r="AI161" s="663"/>
      <c r="AJ161" s="663"/>
      <c r="AK161" s="663"/>
      <c r="AL161" s="663"/>
      <c r="AM161" s="663"/>
      <c r="AN161" s="663"/>
      <c r="AO161" s="663"/>
      <c r="AP161" s="663"/>
      <c r="AQ161" s="663"/>
      <c r="AR161" s="663"/>
      <c r="AS161" s="663"/>
      <c r="AT161" s="663"/>
      <c r="AU161" s="663"/>
      <c r="AV161" s="663"/>
      <c r="AW161" s="663"/>
      <c r="AX161" s="663"/>
      <c r="AY161" s="663"/>
      <c r="AZ161" s="663"/>
      <c r="BA161" s="663"/>
      <c r="BB161" s="663"/>
    </row>
    <row r="162" spans="1:55" s="670" customFormat="1" ht="13.5" customHeight="1">
      <c r="A162" s="675"/>
      <c r="B162" s="779"/>
      <c r="C162" s="778" t="s">
        <v>789</v>
      </c>
      <c r="D162" s="777">
        <v>30</v>
      </c>
      <c r="E162" s="777"/>
      <c r="F162" s="777"/>
      <c r="G162" s="777"/>
      <c r="H162" s="777"/>
      <c r="I162" s="777"/>
      <c r="J162" s="777">
        <f>D162</f>
        <v>30</v>
      </c>
      <c r="K162" s="777"/>
      <c r="L162" s="777"/>
      <c r="M162" s="777"/>
      <c r="N162" s="777"/>
      <c r="O162" s="777"/>
      <c r="P162" s="663"/>
      <c r="Q162" s="663"/>
      <c r="R162" s="663"/>
      <c r="S162" s="663"/>
      <c r="T162" s="663"/>
      <c r="U162" s="663"/>
      <c r="V162" s="663"/>
      <c r="W162" s="663"/>
      <c r="X162" s="663"/>
      <c r="Y162" s="663"/>
      <c r="Z162" s="663"/>
      <c r="AA162" s="663"/>
      <c r="AB162" s="663"/>
      <c r="AC162" s="663"/>
      <c r="AD162" s="663"/>
      <c r="AE162" s="663"/>
      <c r="AF162" s="663"/>
      <c r="AG162" s="663"/>
      <c r="AH162" s="663"/>
      <c r="AI162" s="663"/>
      <c r="AJ162" s="663"/>
      <c r="AK162" s="663"/>
      <c r="AL162" s="663"/>
      <c r="AM162" s="663"/>
      <c r="AN162" s="663"/>
      <c r="AO162" s="663"/>
      <c r="AP162" s="663"/>
      <c r="AQ162" s="663"/>
      <c r="AR162" s="663"/>
      <c r="AS162" s="663"/>
      <c r="AT162" s="663"/>
      <c r="AU162" s="663"/>
      <c r="AV162" s="663"/>
      <c r="AW162" s="663"/>
      <c r="AX162" s="663"/>
      <c r="AY162" s="663"/>
      <c r="AZ162" s="663"/>
      <c r="BA162" s="663"/>
      <c r="BB162" s="663"/>
    </row>
    <row r="163" spans="1:55" s="670" customFormat="1" ht="13.5" customHeight="1">
      <c r="A163" s="675"/>
      <c r="B163" s="779"/>
      <c r="C163" s="778" t="s">
        <v>788</v>
      </c>
      <c r="D163" s="777">
        <v>30</v>
      </c>
      <c r="E163" s="777"/>
      <c r="F163" s="777"/>
      <c r="G163" s="777"/>
      <c r="H163" s="777"/>
      <c r="I163" s="777">
        <f>D163</f>
        <v>30</v>
      </c>
      <c r="J163" s="777"/>
      <c r="K163" s="777"/>
      <c r="L163" s="777"/>
      <c r="M163" s="777"/>
      <c r="N163" s="777"/>
      <c r="O163" s="777"/>
      <c r="P163" s="663"/>
      <c r="Q163" s="663"/>
      <c r="R163" s="663"/>
      <c r="S163" s="663"/>
      <c r="T163" s="663"/>
      <c r="U163" s="663"/>
      <c r="V163" s="663"/>
      <c r="W163" s="663"/>
      <c r="X163" s="663"/>
      <c r="Y163" s="663"/>
      <c r="Z163" s="663"/>
      <c r="AA163" s="663"/>
      <c r="AB163" s="663"/>
      <c r="AC163" s="663"/>
      <c r="AD163" s="663"/>
      <c r="AE163" s="663"/>
      <c r="AF163" s="663"/>
      <c r="AG163" s="663"/>
      <c r="AH163" s="663"/>
      <c r="AI163" s="663"/>
      <c r="AJ163" s="663"/>
      <c r="AK163" s="663"/>
      <c r="AL163" s="663"/>
      <c r="AM163" s="663"/>
      <c r="AN163" s="663"/>
      <c r="AO163" s="663"/>
      <c r="AP163" s="663"/>
      <c r="AQ163" s="663"/>
      <c r="AR163" s="663"/>
      <c r="AS163" s="663"/>
      <c r="AT163" s="663"/>
      <c r="AU163" s="663"/>
      <c r="AV163" s="663"/>
      <c r="AW163" s="663"/>
      <c r="AX163" s="663"/>
      <c r="AY163" s="663"/>
      <c r="AZ163" s="663"/>
      <c r="BA163" s="663"/>
      <c r="BB163" s="663"/>
    </row>
    <row r="164" spans="1:55" s="670" customFormat="1" ht="13.5" customHeight="1">
      <c r="A164" s="675"/>
      <c r="B164" s="779"/>
      <c r="C164" s="778" t="s">
        <v>787</v>
      </c>
      <c r="D164" s="777">
        <v>30</v>
      </c>
      <c r="E164" s="777"/>
      <c r="F164" s="777"/>
      <c r="G164" s="777"/>
      <c r="H164" s="777"/>
      <c r="I164" s="777"/>
      <c r="J164" s="777">
        <f>D164</f>
        <v>30</v>
      </c>
      <c r="K164" s="777"/>
      <c r="L164" s="777"/>
      <c r="M164" s="777"/>
      <c r="N164" s="777"/>
      <c r="O164" s="777"/>
      <c r="P164" s="663"/>
      <c r="Q164" s="663"/>
      <c r="R164" s="663"/>
      <c r="S164" s="663"/>
      <c r="T164" s="663"/>
      <c r="U164" s="663"/>
      <c r="V164" s="663"/>
      <c r="W164" s="663"/>
      <c r="X164" s="663"/>
      <c r="Y164" s="663"/>
      <c r="Z164" s="663"/>
      <c r="AA164" s="663"/>
      <c r="AB164" s="663"/>
      <c r="AC164" s="663"/>
      <c r="AD164" s="663"/>
      <c r="AE164" s="663"/>
      <c r="AF164" s="663"/>
      <c r="AG164" s="663"/>
      <c r="AH164" s="663"/>
      <c r="AI164" s="663"/>
      <c r="AJ164" s="663"/>
      <c r="AK164" s="663"/>
      <c r="AL164" s="663"/>
      <c r="AM164" s="663"/>
      <c r="AN164" s="663"/>
      <c r="AO164" s="663"/>
      <c r="AP164" s="663"/>
      <c r="AQ164" s="663"/>
      <c r="AR164" s="663"/>
      <c r="AS164" s="663"/>
      <c r="AT164" s="663"/>
      <c r="AU164" s="663"/>
      <c r="AV164" s="663"/>
      <c r="AW164" s="663"/>
      <c r="AX164" s="663"/>
      <c r="AY164" s="663"/>
      <c r="AZ164" s="663"/>
      <c r="BA164" s="663"/>
      <c r="BB164" s="663"/>
    </row>
    <row r="165" spans="1:55" s="670" customFormat="1" ht="13.5" customHeight="1">
      <c r="A165" s="675"/>
      <c r="B165" s="779"/>
      <c r="C165" s="778" t="s">
        <v>186</v>
      </c>
      <c r="D165" s="777"/>
      <c r="E165" s="777"/>
      <c r="F165" s="777"/>
      <c r="G165" s="777"/>
      <c r="H165" s="777">
        <f>D165</f>
        <v>0</v>
      </c>
      <c r="I165" s="777"/>
      <c r="J165" s="777"/>
      <c r="K165" s="777"/>
      <c r="L165" s="777"/>
      <c r="M165" s="777"/>
      <c r="N165" s="777"/>
      <c r="O165" s="777"/>
      <c r="P165" s="663"/>
      <c r="Q165" s="663"/>
      <c r="R165" s="663"/>
      <c r="S165" s="663"/>
      <c r="T165" s="663"/>
      <c r="U165" s="663"/>
      <c r="V165" s="663"/>
      <c r="W165" s="663"/>
      <c r="X165" s="663"/>
      <c r="Y165" s="663"/>
      <c r="Z165" s="663"/>
      <c r="AA165" s="663"/>
      <c r="AB165" s="663"/>
      <c r="AC165" s="663"/>
      <c r="AD165" s="663"/>
      <c r="AE165" s="663"/>
      <c r="AF165" s="663"/>
      <c r="AG165" s="663"/>
      <c r="AH165" s="663"/>
      <c r="AI165" s="663"/>
      <c r="AJ165" s="663"/>
      <c r="AK165" s="663"/>
      <c r="AL165" s="663"/>
      <c r="AM165" s="663"/>
      <c r="AN165" s="663"/>
      <c r="AO165" s="663"/>
      <c r="AP165" s="663"/>
      <c r="AQ165" s="663"/>
      <c r="AR165" s="663"/>
      <c r="AS165" s="663"/>
      <c r="AT165" s="663"/>
      <c r="AU165" s="663"/>
      <c r="AV165" s="663"/>
      <c r="AW165" s="663"/>
      <c r="AX165" s="663"/>
      <c r="AY165" s="663"/>
      <c r="AZ165" s="663"/>
      <c r="BA165" s="663"/>
      <c r="BB165" s="663"/>
    </row>
    <row r="166" spans="1:55" s="670" customFormat="1" ht="13.5" customHeight="1">
      <c r="A166" s="675"/>
      <c r="B166" s="779"/>
      <c r="C166" s="778" t="s">
        <v>518</v>
      </c>
      <c r="D166" s="777"/>
      <c r="E166" s="777"/>
      <c r="F166" s="777"/>
      <c r="G166" s="777"/>
      <c r="H166" s="777">
        <f>D166</f>
        <v>0</v>
      </c>
      <c r="I166" s="777"/>
      <c r="J166" s="777"/>
      <c r="K166" s="777"/>
      <c r="L166" s="777"/>
      <c r="M166" s="777"/>
      <c r="N166" s="777"/>
      <c r="O166" s="777"/>
      <c r="P166" s="663"/>
      <c r="Q166" s="663"/>
      <c r="R166" s="663"/>
      <c r="S166" s="663"/>
      <c r="T166" s="663"/>
      <c r="U166" s="663"/>
      <c r="V166" s="663"/>
      <c r="W166" s="663"/>
      <c r="X166" s="663"/>
      <c r="Y166" s="663"/>
      <c r="Z166" s="663"/>
      <c r="AA166" s="663"/>
      <c r="AB166" s="663"/>
      <c r="AC166" s="663"/>
      <c r="AD166" s="663"/>
      <c r="AE166" s="663"/>
      <c r="AF166" s="663"/>
      <c r="AG166" s="663"/>
      <c r="AH166" s="663"/>
      <c r="AI166" s="663"/>
      <c r="AJ166" s="663"/>
      <c r="AK166" s="663"/>
      <c r="AL166" s="663"/>
      <c r="AM166" s="663"/>
      <c r="AN166" s="663"/>
      <c r="AO166" s="663"/>
      <c r="AP166" s="663"/>
      <c r="AQ166" s="663"/>
      <c r="AR166" s="663"/>
      <c r="AS166" s="663"/>
      <c r="AT166" s="663"/>
      <c r="AU166" s="663"/>
      <c r="AV166" s="663"/>
      <c r="AW166" s="663"/>
      <c r="AX166" s="663"/>
      <c r="AY166" s="663"/>
      <c r="AZ166" s="663"/>
      <c r="BA166" s="663"/>
      <c r="BB166" s="663"/>
    </row>
    <row r="167" spans="1:55" s="670" customFormat="1" ht="13.5" customHeight="1">
      <c r="A167" s="675"/>
      <c r="B167" s="779">
        <v>43589</v>
      </c>
      <c r="C167" s="778" t="s">
        <v>396</v>
      </c>
      <c r="D167" s="777">
        <v>400</v>
      </c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663"/>
      <c r="Q167" s="663"/>
      <c r="R167" s="663"/>
      <c r="S167" s="663"/>
      <c r="T167" s="663"/>
      <c r="U167" s="663"/>
      <c r="V167" s="663"/>
      <c r="W167" s="663"/>
      <c r="X167" s="663"/>
      <c r="Y167" s="663"/>
      <c r="Z167" s="663"/>
      <c r="AA167" s="663"/>
      <c r="AB167" s="663"/>
      <c r="AC167" s="663"/>
      <c r="AD167" s="663"/>
      <c r="AE167" s="663"/>
      <c r="AF167" s="663"/>
      <c r="AG167" s="663"/>
      <c r="AH167" s="663"/>
      <c r="AI167" s="663"/>
      <c r="AJ167" s="663"/>
      <c r="AK167" s="663"/>
      <c r="AL167" s="663"/>
      <c r="AM167" s="663"/>
      <c r="AN167" s="663"/>
      <c r="AO167" s="663"/>
      <c r="AP167" s="663"/>
      <c r="AQ167" s="663"/>
      <c r="AR167" s="663"/>
      <c r="AS167" s="663"/>
      <c r="AT167" s="663"/>
      <c r="AU167" s="663"/>
      <c r="AV167" s="663"/>
      <c r="AW167" s="663"/>
      <c r="AX167" s="663"/>
      <c r="AY167" s="663"/>
      <c r="AZ167" s="663"/>
      <c r="BA167" s="663"/>
      <c r="BB167" s="663"/>
    </row>
    <row r="168" spans="1:55" s="670" customFormat="1" ht="13.5" customHeight="1">
      <c r="A168" s="675"/>
      <c r="B168" s="779">
        <v>43598</v>
      </c>
      <c r="C168" s="778" t="s">
        <v>58</v>
      </c>
      <c r="D168" s="777">
        <v>400</v>
      </c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3"/>
      <c r="AB168" s="663"/>
      <c r="AC168" s="663"/>
      <c r="AD168" s="663"/>
      <c r="AE168" s="663"/>
      <c r="AF168" s="663"/>
      <c r="AG168" s="663"/>
      <c r="AH168" s="663"/>
      <c r="AI168" s="663"/>
      <c r="AJ168" s="663"/>
      <c r="AK168" s="663"/>
      <c r="AL168" s="663"/>
      <c r="AM168" s="663"/>
      <c r="AN168" s="663"/>
      <c r="AO168" s="663"/>
      <c r="AP168" s="663"/>
      <c r="AQ168" s="663"/>
      <c r="AR168" s="663"/>
      <c r="AS168" s="663"/>
      <c r="AT168" s="663"/>
      <c r="AU168" s="663"/>
      <c r="AV168" s="663"/>
      <c r="AW168" s="663"/>
      <c r="AX168" s="663"/>
      <c r="AY168" s="663"/>
      <c r="AZ168" s="663"/>
      <c r="BA168" s="663"/>
      <c r="BB168" s="663"/>
    </row>
    <row r="169" spans="1:55" s="670" customFormat="1" ht="13.5" customHeight="1">
      <c r="A169" s="675"/>
      <c r="B169" s="779">
        <v>43616</v>
      </c>
      <c r="C169" s="778" t="s">
        <v>786</v>
      </c>
      <c r="D169" s="777">
        <v>400</v>
      </c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663"/>
      <c r="Q169" s="663"/>
      <c r="R169" s="663"/>
      <c r="S169" s="663"/>
      <c r="T169" s="663"/>
      <c r="U169" s="663"/>
      <c r="V169" s="663"/>
      <c r="W169" s="663"/>
      <c r="X169" s="663"/>
      <c r="Y169" s="663"/>
      <c r="Z169" s="663"/>
      <c r="AA169" s="663"/>
      <c r="AB169" s="663"/>
      <c r="AC169" s="663"/>
      <c r="AD169" s="663"/>
      <c r="AE169" s="663"/>
      <c r="AF169" s="663"/>
      <c r="AG169" s="663"/>
      <c r="AH169" s="663"/>
      <c r="AI169" s="663"/>
      <c r="AJ169" s="663"/>
      <c r="AK169" s="663"/>
      <c r="AL169" s="663"/>
      <c r="AM169" s="663"/>
      <c r="AN169" s="663"/>
      <c r="AO169" s="663"/>
      <c r="AP169" s="663"/>
      <c r="AQ169" s="663"/>
      <c r="AR169" s="663"/>
      <c r="AS169" s="663"/>
      <c r="AT169" s="663"/>
      <c r="AU169" s="663"/>
      <c r="AV169" s="663"/>
      <c r="AW169" s="663"/>
      <c r="AX169" s="663"/>
      <c r="AY169" s="663"/>
      <c r="AZ169" s="663"/>
      <c r="BA169" s="663"/>
      <c r="BB169" s="663"/>
    </row>
    <row r="170" spans="1:55" s="670" customFormat="1" ht="13.5" customHeight="1">
      <c r="A170" s="675"/>
      <c r="B170" s="779"/>
      <c r="C170" s="778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3"/>
      <c r="AB170" s="663"/>
      <c r="AC170" s="663"/>
      <c r="AD170" s="663"/>
      <c r="AE170" s="663"/>
      <c r="AF170" s="663"/>
      <c r="AG170" s="663"/>
      <c r="AH170" s="663"/>
      <c r="AI170" s="663"/>
      <c r="AJ170" s="663"/>
      <c r="AK170" s="663"/>
      <c r="AL170" s="663"/>
      <c r="AM170" s="663"/>
      <c r="AN170" s="663"/>
      <c r="AO170" s="663"/>
      <c r="AP170" s="663"/>
      <c r="AQ170" s="663"/>
      <c r="AR170" s="663"/>
      <c r="AS170" s="663"/>
      <c r="AT170" s="663"/>
      <c r="AU170" s="663"/>
      <c r="AV170" s="663"/>
      <c r="AW170" s="663"/>
      <c r="AX170" s="663"/>
      <c r="AY170" s="663"/>
      <c r="AZ170" s="663"/>
      <c r="BA170" s="663"/>
      <c r="BB170" s="663"/>
    </row>
    <row r="171" spans="1:55" s="670" customFormat="1" ht="13.5" customHeight="1">
      <c r="A171" s="675"/>
      <c r="B171" s="779"/>
      <c r="C171" s="778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663"/>
      <c r="Q171" s="663"/>
      <c r="R171" s="663"/>
      <c r="S171" s="663"/>
      <c r="T171" s="663"/>
      <c r="U171" s="663"/>
      <c r="V171" s="663"/>
      <c r="W171" s="663"/>
      <c r="X171" s="663"/>
      <c r="Y171" s="663"/>
      <c r="Z171" s="663"/>
      <c r="AA171" s="663"/>
      <c r="AB171" s="663"/>
      <c r="AC171" s="663"/>
      <c r="AD171" s="663"/>
      <c r="AE171" s="663"/>
      <c r="AF171" s="663"/>
      <c r="AG171" s="663"/>
      <c r="AH171" s="663"/>
      <c r="AI171" s="663"/>
      <c r="AJ171" s="663"/>
      <c r="AK171" s="663"/>
      <c r="AL171" s="663"/>
      <c r="AM171" s="663"/>
      <c r="AN171" s="663"/>
      <c r="AO171" s="663"/>
      <c r="AP171" s="663"/>
      <c r="AQ171" s="663"/>
      <c r="AR171" s="663"/>
      <c r="AS171" s="663"/>
      <c r="AT171" s="663"/>
      <c r="AU171" s="663"/>
      <c r="AV171" s="663"/>
      <c r="AW171" s="663"/>
      <c r="AX171" s="663"/>
      <c r="AY171" s="663"/>
      <c r="AZ171" s="663"/>
      <c r="BA171" s="663"/>
      <c r="BB171" s="663"/>
    </row>
    <row r="172" spans="1:55" s="694" customFormat="1" ht="13.5" customHeight="1">
      <c r="A172" s="700"/>
      <c r="B172" s="788" t="str">
        <f>H1</f>
        <v>juni</v>
      </c>
      <c r="C172" s="787" t="s">
        <v>37</v>
      </c>
      <c r="D172" s="786">
        <f t="shared" ref="D172:M172" si="6">SUM(D173:D175)</f>
        <v>0</v>
      </c>
      <c r="E172" s="786">
        <f t="shared" si="6"/>
        <v>0</v>
      </c>
      <c r="F172" s="786">
        <f t="shared" si="6"/>
        <v>0</v>
      </c>
      <c r="G172" s="786">
        <f t="shared" si="6"/>
        <v>0</v>
      </c>
      <c r="H172" s="786">
        <f t="shared" si="6"/>
        <v>0</v>
      </c>
      <c r="I172" s="786">
        <f t="shared" si="6"/>
        <v>0</v>
      </c>
      <c r="J172" s="786">
        <f t="shared" si="6"/>
        <v>0</v>
      </c>
      <c r="K172" s="786">
        <f t="shared" si="6"/>
        <v>0</v>
      </c>
      <c r="L172" s="786">
        <f t="shared" si="6"/>
        <v>0</v>
      </c>
      <c r="M172" s="786">
        <f t="shared" si="6"/>
        <v>0</v>
      </c>
      <c r="N172" s="786"/>
      <c r="O172" s="786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  <c r="AA172" s="695"/>
      <c r="AB172" s="695"/>
      <c r="AC172" s="695"/>
      <c r="AD172" s="695"/>
      <c r="AE172" s="695"/>
      <c r="AF172" s="695"/>
      <c r="AG172" s="695"/>
      <c r="AH172" s="695"/>
      <c r="AI172" s="695"/>
      <c r="AJ172" s="695"/>
      <c r="AK172" s="695"/>
      <c r="AL172" s="695"/>
      <c r="AM172" s="695"/>
      <c r="AN172" s="695"/>
      <c r="AO172" s="695"/>
      <c r="AP172" s="695"/>
      <c r="AQ172" s="695"/>
      <c r="AR172" s="695"/>
      <c r="AS172" s="695"/>
      <c r="AT172" s="695"/>
      <c r="AU172" s="695"/>
      <c r="AV172" s="695"/>
      <c r="AW172" s="695"/>
      <c r="AX172" s="695"/>
      <c r="AY172" s="695"/>
      <c r="AZ172" s="695"/>
      <c r="BA172" s="695"/>
      <c r="BB172" s="695"/>
      <c r="BC172" s="695"/>
    </row>
    <row r="173" spans="1:55" ht="13.5" customHeight="1">
      <c r="A173" s="648"/>
      <c r="B173" s="791"/>
      <c r="C173" s="790"/>
      <c r="D173" s="789"/>
      <c r="E173" s="789"/>
      <c r="F173" s="789"/>
      <c r="G173" s="789"/>
      <c r="H173" s="789"/>
      <c r="I173" s="789"/>
      <c r="J173" s="789"/>
      <c r="K173" s="789"/>
      <c r="L173" s="789"/>
      <c r="M173" s="789"/>
      <c r="N173" s="789"/>
      <c r="O173" s="789"/>
      <c r="P173" s="648"/>
      <c r="Q173" s="648"/>
      <c r="R173" s="648"/>
      <c r="S173" s="648"/>
      <c r="T173" s="648"/>
      <c r="U173" s="648"/>
      <c r="V173" s="648"/>
      <c r="W173" s="648"/>
      <c r="X173" s="648"/>
      <c r="Y173" s="648"/>
      <c r="Z173" s="648"/>
      <c r="AA173" s="648"/>
      <c r="AB173" s="648"/>
      <c r="AC173" s="648"/>
      <c r="AD173" s="648"/>
      <c r="AE173" s="648"/>
      <c r="AF173" s="648"/>
      <c r="AG173" s="648"/>
      <c r="AH173" s="648"/>
      <c r="AI173" s="648"/>
      <c r="AJ173" s="648"/>
      <c r="AK173" s="648"/>
      <c r="AL173" s="648"/>
      <c r="AM173" s="648"/>
      <c r="AN173" s="648"/>
      <c r="AO173" s="648"/>
      <c r="AP173" s="648"/>
      <c r="AQ173" s="648"/>
      <c r="AR173" s="648"/>
      <c r="AS173" s="648"/>
      <c r="AT173" s="648"/>
      <c r="AU173" s="648"/>
      <c r="AV173" s="648"/>
      <c r="AW173" s="648"/>
      <c r="AX173" s="648"/>
      <c r="AY173" s="648"/>
      <c r="AZ173" s="648"/>
      <c r="BA173" s="648"/>
      <c r="BB173" s="648"/>
    </row>
    <row r="174" spans="1:55" ht="13.5" customHeight="1">
      <c r="A174" s="648"/>
      <c r="B174" s="791"/>
      <c r="C174" s="790"/>
      <c r="D174" s="789"/>
      <c r="E174" s="789"/>
      <c r="F174" s="789"/>
      <c r="G174" s="789"/>
      <c r="H174" s="789"/>
      <c r="I174" s="789"/>
      <c r="J174" s="789"/>
      <c r="K174" s="789"/>
      <c r="L174" s="789"/>
      <c r="M174" s="789"/>
      <c r="N174" s="789"/>
      <c r="O174" s="789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  <c r="AO174" s="648"/>
      <c r="AP174" s="648"/>
      <c r="AQ174" s="648"/>
      <c r="AR174" s="648"/>
      <c r="AS174" s="648"/>
      <c r="AT174" s="648"/>
      <c r="AU174" s="648"/>
      <c r="AV174" s="648"/>
      <c r="AW174" s="648"/>
      <c r="AX174" s="648"/>
      <c r="AY174" s="648"/>
      <c r="AZ174" s="648"/>
      <c r="BA174" s="648"/>
      <c r="BB174" s="648"/>
    </row>
    <row r="175" spans="1:55" s="694" customFormat="1" ht="13.5" customHeight="1">
      <c r="A175" s="700"/>
      <c r="B175" s="788"/>
      <c r="C175" s="787"/>
      <c r="D175" s="786"/>
      <c r="E175" s="786"/>
      <c r="F175" s="786"/>
      <c r="G175" s="786"/>
      <c r="H175" s="786"/>
      <c r="I175" s="786"/>
      <c r="J175" s="786"/>
      <c r="K175" s="786"/>
      <c r="L175" s="786"/>
      <c r="M175" s="786"/>
      <c r="N175" s="786"/>
      <c r="O175" s="786"/>
      <c r="P175" s="695"/>
      <c r="Q175" s="695"/>
      <c r="R175" s="695"/>
      <c r="S175" s="695"/>
      <c r="T175" s="695"/>
      <c r="U175" s="695"/>
      <c r="V175" s="695"/>
      <c r="W175" s="695"/>
      <c r="X175" s="695"/>
      <c r="Y175" s="695"/>
      <c r="Z175" s="695"/>
      <c r="AA175" s="695"/>
      <c r="AB175" s="695"/>
      <c r="AC175" s="695"/>
      <c r="AD175" s="695"/>
      <c r="AE175" s="695"/>
      <c r="AF175" s="695"/>
      <c r="AG175" s="695"/>
      <c r="AH175" s="695"/>
      <c r="AI175" s="695"/>
      <c r="AJ175" s="695"/>
      <c r="AK175" s="695"/>
      <c r="AL175" s="695"/>
      <c r="AM175" s="695"/>
      <c r="AN175" s="695"/>
      <c r="AO175" s="695"/>
      <c r="AP175" s="695"/>
      <c r="AQ175" s="695"/>
      <c r="AR175" s="695"/>
      <c r="AS175" s="695"/>
      <c r="AT175" s="695"/>
      <c r="AU175" s="695"/>
      <c r="AV175" s="695"/>
      <c r="AW175" s="695"/>
      <c r="AX175" s="695"/>
      <c r="AY175" s="695"/>
      <c r="AZ175" s="695"/>
      <c r="BA175" s="695"/>
      <c r="BB175" s="695"/>
      <c r="BC175" s="695"/>
    </row>
    <row r="176" spans="1:55" s="780" customFormat="1" ht="13.5" customHeight="1">
      <c r="A176" s="785"/>
      <c r="B176" s="784" t="str">
        <f>H1</f>
        <v>juni</v>
      </c>
      <c r="C176" s="783" t="s">
        <v>36</v>
      </c>
      <c r="D176" s="782">
        <f>SUM(D177:D193)</f>
        <v>893</v>
      </c>
      <c r="E176" s="782"/>
      <c r="F176" s="782"/>
      <c r="G176" s="782"/>
      <c r="H176" s="782"/>
      <c r="I176" s="782"/>
      <c r="J176" s="782"/>
      <c r="K176" s="782"/>
      <c r="L176" s="782"/>
      <c r="M176" s="782"/>
      <c r="N176" s="782"/>
      <c r="O176" s="782"/>
      <c r="P176" s="781"/>
      <c r="Q176" s="781"/>
      <c r="R176" s="781"/>
      <c r="S176" s="781"/>
      <c r="T176" s="781"/>
      <c r="U176" s="781"/>
      <c r="V176" s="781"/>
      <c r="W176" s="781"/>
      <c r="X176" s="781"/>
      <c r="Y176" s="781"/>
      <c r="Z176" s="781"/>
      <c r="AA176" s="781"/>
      <c r="AB176" s="781"/>
      <c r="AC176" s="781"/>
      <c r="AD176" s="781"/>
      <c r="AE176" s="781"/>
      <c r="AF176" s="781"/>
      <c r="AG176" s="781"/>
      <c r="AH176" s="781"/>
      <c r="AI176" s="781"/>
      <c r="AJ176" s="781"/>
      <c r="AK176" s="781"/>
      <c r="AL176" s="781"/>
      <c r="AM176" s="781"/>
      <c r="AN176" s="781"/>
      <c r="AO176" s="781"/>
      <c r="AP176" s="781"/>
      <c r="AQ176" s="781"/>
      <c r="AR176" s="781"/>
      <c r="AS176" s="781"/>
      <c r="AT176" s="781"/>
      <c r="AU176" s="781"/>
      <c r="AV176" s="781"/>
      <c r="AW176" s="781"/>
      <c r="AX176" s="781"/>
      <c r="AY176" s="781"/>
      <c r="AZ176" s="781"/>
      <c r="BA176" s="781"/>
      <c r="BB176" s="781"/>
    </row>
    <row r="177" spans="1:54" s="670" customFormat="1" ht="13.5" customHeight="1">
      <c r="A177" s="675"/>
      <c r="B177" s="779"/>
      <c r="C177" s="778" t="s">
        <v>22</v>
      </c>
      <c r="D177" s="777">
        <v>89</v>
      </c>
      <c r="E177" s="777"/>
      <c r="F177" s="777"/>
      <c r="G177" s="777">
        <f>D177</f>
        <v>89</v>
      </c>
      <c r="H177" s="777"/>
      <c r="I177" s="777"/>
      <c r="J177" s="777"/>
      <c r="K177" s="777"/>
      <c r="L177" s="777"/>
      <c r="M177" s="777"/>
      <c r="N177" s="777"/>
      <c r="O177" s="777"/>
      <c r="P177" s="663"/>
      <c r="Q177" s="663"/>
      <c r="R177" s="663"/>
      <c r="S177" s="663"/>
      <c r="T177" s="663"/>
      <c r="U177" s="663"/>
      <c r="V177" s="663"/>
      <c r="W177" s="663"/>
      <c r="X177" s="663"/>
      <c r="Y177" s="663"/>
      <c r="Z177" s="663"/>
      <c r="AA177" s="663"/>
      <c r="AB177" s="663"/>
      <c r="AC177" s="663"/>
      <c r="AD177" s="663"/>
      <c r="AE177" s="663"/>
      <c r="AF177" s="663"/>
      <c r="AG177" s="663"/>
      <c r="AH177" s="663"/>
      <c r="AI177" s="663"/>
      <c r="AJ177" s="663"/>
      <c r="AK177" s="663"/>
      <c r="AL177" s="663"/>
      <c r="AM177" s="663"/>
      <c r="AN177" s="663"/>
      <c r="AO177" s="663"/>
      <c r="AP177" s="663"/>
      <c r="AQ177" s="663"/>
      <c r="AR177" s="663"/>
      <c r="AS177" s="663"/>
      <c r="AT177" s="663"/>
      <c r="AU177" s="663"/>
      <c r="AV177" s="663"/>
      <c r="AW177" s="663"/>
      <c r="AX177" s="663"/>
      <c r="AY177" s="663"/>
      <c r="AZ177" s="663"/>
      <c r="BA177" s="663"/>
      <c r="BB177" s="663"/>
    </row>
    <row r="178" spans="1:54" s="670" customFormat="1" ht="13.5" customHeight="1">
      <c r="A178" s="675"/>
      <c r="B178" s="779"/>
      <c r="C178" s="778" t="s">
        <v>21</v>
      </c>
      <c r="D178" s="777">
        <v>176</v>
      </c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663"/>
      <c r="Q178" s="663"/>
      <c r="R178" s="663"/>
      <c r="S178" s="663"/>
      <c r="T178" s="663"/>
      <c r="U178" s="663"/>
      <c r="V178" s="663"/>
      <c r="W178" s="663"/>
      <c r="X178" s="663"/>
      <c r="Y178" s="663"/>
      <c r="Z178" s="663"/>
      <c r="AA178" s="663"/>
      <c r="AB178" s="663"/>
      <c r="AC178" s="663"/>
      <c r="AD178" s="663"/>
      <c r="AE178" s="663"/>
      <c r="AF178" s="663"/>
      <c r="AG178" s="663"/>
      <c r="AH178" s="663"/>
      <c r="AI178" s="663"/>
      <c r="AJ178" s="663"/>
      <c r="AK178" s="663"/>
      <c r="AL178" s="663"/>
      <c r="AM178" s="663"/>
      <c r="AN178" s="663"/>
      <c r="AO178" s="663"/>
      <c r="AP178" s="663"/>
      <c r="AQ178" s="663"/>
      <c r="AR178" s="663"/>
      <c r="AS178" s="663"/>
      <c r="AT178" s="663"/>
      <c r="AU178" s="663"/>
      <c r="AV178" s="663"/>
      <c r="AW178" s="663"/>
      <c r="AX178" s="663"/>
      <c r="AY178" s="663"/>
      <c r="AZ178" s="663"/>
      <c r="BA178" s="663"/>
      <c r="BB178" s="663"/>
    </row>
    <row r="179" spans="1:54" s="670" customFormat="1" ht="13.5" customHeight="1">
      <c r="A179" s="675"/>
      <c r="B179" s="779"/>
      <c r="C179" s="778" t="s">
        <v>230</v>
      </c>
      <c r="D179" s="777">
        <v>59</v>
      </c>
      <c r="E179" s="777"/>
      <c r="F179" s="777"/>
      <c r="G179" s="777">
        <f>D179</f>
        <v>59</v>
      </c>
      <c r="H179" s="777"/>
      <c r="I179" s="777"/>
      <c r="J179" s="777"/>
      <c r="K179" s="777"/>
      <c r="L179" s="777"/>
      <c r="M179" s="777"/>
      <c r="N179" s="777"/>
      <c r="O179" s="777"/>
      <c r="P179" s="663"/>
      <c r="Q179" s="663"/>
      <c r="R179" s="663"/>
      <c r="S179" s="663"/>
      <c r="T179" s="663"/>
      <c r="U179" s="663"/>
      <c r="V179" s="663"/>
      <c r="W179" s="663"/>
      <c r="X179" s="663"/>
      <c r="Y179" s="663"/>
      <c r="Z179" s="663"/>
      <c r="AA179" s="663"/>
      <c r="AB179" s="663"/>
      <c r="AC179" s="663"/>
      <c r="AD179" s="663"/>
      <c r="AE179" s="663"/>
      <c r="AF179" s="663"/>
      <c r="AG179" s="663"/>
      <c r="AH179" s="663"/>
      <c r="AI179" s="663"/>
      <c r="AJ179" s="663"/>
      <c r="AK179" s="663"/>
      <c r="AL179" s="663"/>
      <c r="AM179" s="663"/>
      <c r="AN179" s="663"/>
      <c r="AO179" s="663"/>
      <c r="AP179" s="663"/>
      <c r="AQ179" s="663"/>
      <c r="AR179" s="663"/>
      <c r="AS179" s="663"/>
      <c r="AT179" s="663"/>
      <c r="AU179" s="663"/>
      <c r="AV179" s="663"/>
      <c r="AW179" s="663"/>
      <c r="AX179" s="663"/>
      <c r="AY179" s="663"/>
      <c r="AZ179" s="663"/>
      <c r="BA179" s="663"/>
      <c r="BB179" s="663"/>
    </row>
    <row r="180" spans="1:54" s="670" customFormat="1" ht="13.5" customHeight="1">
      <c r="A180" s="675"/>
      <c r="B180" s="779"/>
      <c r="C180" s="778" t="s">
        <v>464</v>
      </c>
      <c r="D180" s="777">
        <v>129</v>
      </c>
      <c r="E180" s="777"/>
      <c r="F180" s="777">
        <f>D180</f>
        <v>129</v>
      </c>
      <c r="G180" s="777"/>
      <c r="H180" s="777"/>
      <c r="I180" s="777"/>
      <c r="J180" s="777"/>
      <c r="K180" s="777"/>
      <c r="L180" s="777"/>
      <c r="M180" s="777"/>
      <c r="N180" s="777"/>
      <c r="O180" s="777"/>
      <c r="P180" s="663"/>
      <c r="Q180" s="663"/>
      <c r="R180" s="663"/>
      <c r="S180" s="663"/>
      <c r="T180" s="663"/>
      <c r="U180" s="663"/>
      <c r="V180" s="663"/>
      <c r="W180" s="663"/>
      <c r="X180" s="663"/>
      <c r="Y180" s="663"/>
      <c r="Z180" s="663"/>
      <c r="AA180" s="663"/>
      <c r="AB180" s="663"/>
      <c r="AC180" s="663"/>
      <c r="AD180" s="663"/>
      <c r="AE180" s="663"/>
      <c r="AF180" s="663"/>
      <c r="AG180" s="663"/>
      <c r="AH180" s="663"/>
      <c r="AI180" s="663"/>
      <c r="AJ180" s="663"/>
      <c r="AK180" s="663"/>
      <c r="AL180" s="663"/>
      <c r="AM180" s="663"/>
      <c r="AN180" s="663"/>
      <c r="AO180" s="663"/>
      <c r="AP180" s="663"/>
      <c r="AQ180" s="663"/>
      <c r="AR180" s="663"/>
      <c r="AS180" s="663"/>
      <c r="AT180" s="663"/>
      <c r="AU180" s="663"/>
      <c r="AV180" s="663"/>
      <c r="AW180" s="663"/>
      <c r="AX180" s="663"/>
      <c r="AY180" s="663"/>
      <c r="AZ180" s="663"/>
      <c r="BA180" s="663"/>
      <c r="BB180" s="663"/>
    </row>
    <row r="181" spans="1:54" s="670" customFormat="1" ht="13.5" customHeight="1">
      <c r="A181" s="675"/>
      <c r="B181" s="779"/>
      <c r="C181" s="778" t="s">
        <v>397</v>
      </c>
      <c r="D181" s="777">
        <v>200</v>
      </c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663"/>
      <c r="Q181" s="663"/>
      <c r="R181" s="663"/>
      <c r="S181" s="663"/>
      <c r="T181" s="663"/>
      <c r="U181" s="663"/>
      <c r="V181" s="663"/>
      <c r="W181" s="663"/>
      <c r="X181" s="663"/>
      <c r="Y181" s="663"/>
      <c r="Z181" s="663"/>
      <c r="AA181" s="663"/>
      <c r="AB181" s="663"/>
      <c r="AC181" s="663"/>
      <c r="AD181" s="663"/>
      <c r="AE181" s="663"/>
      <c r="AF181" s="663"/>
      <c r="AG181" s="663"/>
      <c r="AH181" s="663"/>
      <c r="AI181" s="663"/>
      <c r="AJ181" s="663"/>
      <c r="AK181" s="663"/>
      <c r="AL181" s="663"/>
      <c r="AM181" s="663"/>
      <c r="AN181" s="663"/>
      <c r="AO181" s="663"/>
      <c r="AP181" s="663"/>
      <c r="AQ181" s="663"/>
      <c r="AR181" s="663"/>
      <c r="AS181" s="663"/>
      <c r="AT181" s="663"/>
      <c r="AU181" s="663"/>
      <c r="AV181" s="663"/>
      <c r="AW181" s="663"/>
      <c r="AX181" s="663"/>
      <c r="AY181" s="663"/>
      <c r="AZ181" s="663"/>
      <c r="BA181" s="663"/>
      <c r="BB181" s="663"/>
    </row>
    <row r="182" spans="1:54" s="670" customFormat="1" ht="13.5" customHeight="1">
      <c r="A182" s="675"/>
      <c r="B182" s="779"/>
      <c r="C182" s="778" t="s">
        <v>785</v>
      </c>
      <c r="D182" s="777">
        <v>30</v>
      </c>
      <c r="E182" s="777"/>
      <c r="F182" s="777"/>
      <c r="G182" s="777"/>
      <c r="H182" s="777"/>
      <c r="I182" s="777">
        <f>D182</f>
        <v>30</v>
      </c>
      <c r="J182" s="777"/>
      <c r="K182" s="777"/>
      <c r="L182" s="777"/>
      <c r="M182" s="777"/>
      <c r="N182" s="777"/>
      <c r="O182" s="777"/>
      <c r="P182" s="663"/>
      <c r="Q182" s="663"/>
      <c r="R182" s="663"/>
      <c r="S182" s="663"/>
      <c r="T182" s="663"/>
      <c r="U182" s="663"/>
      <c r="V182" s="663"/>
      <c r="W182" s="663"/>
      <c r="X182" s="663"/>
      <c r="Y182" s="663"/>
      <c r="Z182" s="663"/>
      <c r="AA182" s="663"/>
      <c r="AB182" s="663"/>
      <c r="AC182" s="663"/>
      <c r="AD182" s="663"/>
      <c r="AE182" s="663"/>
      <c r="AF182" s="663"/>
      <c r="AG182" s="663"/>
      <c r="AH182" s="663"/>
      <c r="AI182" s="663"/>
      <c r="AJ182" s="663"/>
      <c r="AK182" s="663"/>
      <c r="AL182" s="663"/>
      <c r="AM182" s="663"/>
      <c r="AN182" s="663"/>
      <c r="AO182" s="663"/>
      <c r="AP182" s="663"/>
      <c r="AQ182" s="663"/>
      <c r="AR182" s="663"/>
      <c r="AS182" s="663"/>
      <c r="AT182" s="663"/>
      <c r="AU182" s="663"/>
      <c r="AV182" s="663"/>
      <c r="AW182" s="663"/>
      <c r="AX182" s="663"/>
      <c r="AY182" s="663"/>
      <c r="AZ182" s="663"/>
      <c r="BA182" s="663"/>
      <c r="BB182" s="663"/>
    </row>
    <row r="183" spans="1:54" s="670" customFormat="1" ht="13.5" customHeight="1">
      <c r="A183" s="675"/>
      <c r="B183" s="779"/>
      <c r="C183" s="778" t="s">
        <v>784</v>
      </c>
      <c r="D183" s="777">
        <v>30</v>
      </c>
      <c r="E183" s="777"/>
      <c r="F183" s="777"/>
      <c r="G183" s="777"/>
      <c r="H183" s="777"/>
      <c r="I183" s="777"/>
      <c r="J183" s="777">
        <f>D183</f>
        <v>30</v>
      </c>
      <c r="K183" s="777"/>
      <c r="L183" s="777"/>
      <c r="M183" s="777"/>
      <c r="N183" s="777"/>
      <c r="O183" s="777"/>
      <c r="P183" s="663"/>
      <c r="Q183" s="663"/>
      <c r="R183" s="663"/>
      <c r="S183" s="663"/>
      <c r="T183" s="663"/>
      <c r="U183" s="663"/>
      <c r="V183" s="663"/>
      <c r="W183" s="663"/>
      <c r="X183" s="663"/>
      <c r="Y183" s="663"/>
      <c r="Z183" s="663"/>
      <c r="AA183" s="663"/>
      <c r="AB183" s="663"/>
      <c r="AC183" s="663"/>
      <c r="AD183" s="663"/>
      <c r="AE183" s="663"/>
      <c r="AF183" s="663"/>
      <c r="AG183" s="663"/>
      <c r="AH183" s="663"/>
      <c r="AI183" s="663"/>
      <c r="AJ183" s="663"/>
      <c r="AK183" s="663"/>
      <c r="AL183" s="663"/>
      <c r="AM183" s="663"/>
      <c r="AN183" s="663"/>
      <c r="AO183" s="663"/>
      <c r="AP183" s="663"/>
      <c r="AQ183" s="663"/>
      <c r="AR183" s="663"/>
      <c r="AS183" s="663"/>
      <c r="AT183" s="663"/>
      <c r="AU183" s="663"/>
      <c r="AV183" s="663"/>
      <c r="AW183" s="663"/>
      <c r="AX183" s="663"/>
      <c r="AY183" s="663"/>
      <c r="AZ183" s="663"/>
      <c r="BA183" s="663"/>
      <c r="BB183" s="663"/>
    </row>
    <row r="184" spans="1:54" s="670" customFormat="1" ht="13.5" customHeight="1">
      <c r="A184" s="675"/>
      <c r="B184" s="779"/>
      <c r="C184" s="778" t="s">
        <v>783</v>
      </c>
      <c r="D184" s="777">
        <v>30</v>
      </c>
      <c r="E184" s="777"/>
      <c r="F184" s="777"/>
      <c r="G184" s="777"/>
      <c r="H184" s="777"/>
      <c r="I184" s="777">
        <f>D184</f>
        <v>30</v>
      </c>
      <c r="J184" s="777"/>
      <c r="K184" s="777"/>
      <c r="L184" s="777"/>
      <c r="M184" s="777"/>
      <c r="N184" s="777"/>
      <c r="O184" s="777"/>
      <c r="P184" s="663"/>
      <c r="Q184" s="663"/>
      <c r="R184" s="663"/>
      <c r="S184" s="663"/>
      <c r="T184" s="663"/>
      <c r="U184" s="663"/>
      <c r="V184" s="663"/>
      <c r="W184" s="663"/>
      <c r="X184" s="663"/>
      <c r="Y184" s="663"/>
      <c r="Z184" s="663"/>
      <c r="AA184" s="663"/>
      <c r="AB184" s="663"/>
      <c r="AC184" s="663"/>
      <c r="AD184" s="663"/>
      <c r="AE184" s="663"/>
      <c r="AF184" s="663"/>
      <c r="AG184" s="663"/>
      <c r="AH184" s="663"/>
      <c r="AI184" s="663"/>
      <c r="AJ184" s="663"/>
      <c r="AK184" s="663"/>
      <c r="AL184" s="663"/>
      <c r="AM184" s="663"/>
      <c r="AN184" s="663"/>
      <c r="AO184" s="663"/>
      <c r="AP184" s="663"/>
      <c r="AQ184" s="663"/>
      <c r="AR184" s="663"/>
      <c r="AS184" s="663"/>
      <c r="AT184" s="663"/>
      <c r="AU184" s="663"/>
      <c r="AV184" s="663"/>
      <c r="AW184" s="663"/>
      <c r="AX184" s="663"/>
      <c r="AY184" s="663"/>
      <c r="AZ184" s="663"/>
      <c r="BA184" s="663"/>
      <c r="BB184" s="663"/>
    </row>
    <row r="185" spans="1:54" s="670" customFormat="1" ht="13.5" customHeight="1">
      <c r="A185" s="675"/>
      <c r="B185" s="779"/>
      <c r="C185" s="778" t="s">
        <v>782</v>
      </c>
      <c r="D185" s="777">
        <v>30</v>
      </c>
      <c r="E185" s="777"/>
      <c r="F185" s="777"/>
      <c r="G185" s="777"/>
      <c r="H185" s="777"/>
      <c r="I185" s="777"/>
      <c r="J185" s="777">
        <f>D185</f>
        <v>30</v>
      </c>
      <c r="K185" s="777"/>
      <c r="L185" s="777"/>
      <c r="M185" s="777"/>
      <c r="N185" s="777"/>
      <c r="O185" s="777"/>
      <c r="P185" s="663"/>
      <c r="Q185" s="663"/>
      <c r="R185" s="663"/>
      <c r="S185" s="663"/>
      <c r="T185" s="663"/>
      <c r="U185" s="663"/>
      <c r="V185" s="663"/>
      <c r="W185" s="663"/>
      <c r="X185" s="663"/>
      <c r="Y185" s="663"/>
      <c r="Z185" s="663"/>
      <c r="AA185" s="663"/>
      <c r="AB185" s="663"/>
      <c r="AC185" s="663"/>
      <c r="AD185" s="663"/>
      <c r="AE185" s="663"/>
      <c r="AF185" s="663"/>
      <c r="AG185" s="663"/>
      <c r="AH185" s="663"/>
      <c r="AI185" s="663"/>
      <c r="AJ185" s="663"/>
      <c r="AK185" s="663"/>
      <c r="AL185" s="663"/>
      <c r="AM185" s="663"/>
      <c r="AN185" s="663"/>
      <c r="AO185" s="663"/>
      <c r="AP185" s="663"/>
      <c r="AQ185" s="663"/>
      <c r="AR185" s="663"/>
      <c r="AS185" s="663"/>
      <c r="AT185" s="663"/>
      <c r="AU185" s="663"/>
      <c r="AV185" s="663"/>
      <c r="AW185" s="663"/>
      <c r="AX185" s="663"/>
      <c r="AY185" s="663"/>
      <c r="AZ185" s="663"/>
      <c r="BA185" s="663"/>
      <c r="BB185" s="663"/>
    </row>
    <row r="186" spans="1:54" s="670" customFormat="1" ht="13.5" customHeight="1">
      <c r="A186" s="675"/>
      <c r="B186" s="779"/>
      <c r="C186" s="778" t="s">
        <v>781</v>
      </c>
      <c r="D186" s="777">
        <v>30</v>
      </c>
      <c r="E186" s="777"/>
      <c r="F186" s="777"/>
      <c r="G186" s="777"/>
      <c r="H186" s="777"/>
      <c r="I186" s="777">
        <f>D186</f>
        <v>30</v>
      </c>
      <c r="J186" s="777"/>
      <c r="K186" s="777"/>
      <c r="L186" s="777"/>
      <c r="M186" s="777"/>
      <c r="N186" s="777"/>
      <c r="O186" s="777"/>
      <c r="P186" s="663"/>
      <c r="Q186" s="663"/>
      <c r="R186" s="663"/>
      <c r="S186" s="663"/>
      <c r="T186" s="663"/>
      <c r="U186" s="663"/>
      <c r="V186" s="663"/>
      <c r="W186" s="663"/>
      <c r="X186" s="663"/>
      <c r="Y186" s="663"/>
      <c r="Z186" s="663"/>
      <c r="AA186" s="663"/>
      <c r="AB186" s="663"/>
      <c r="AC186" s="663"/>
      <c r="AD186" s="663"/>
      <c r="AE186" s="663"/>
      <c r="AF186" s="663"/>
      <c r="AG186" s="663"/>
      <c r="AH186" s="663"/>
      <c r="AI186" s="663"/>
      <c r="AJ186" s="663"/>
      <c r="AK186" s="663"/>
      <c r="AL186" s="663"/>
      <c r="AM186" s="663"/>
      <c r="AN186" s="663"/>
      <c r="AO186" s="663"/>
      <c r="AP186" s="663"/>
      <c r="AQ186" s="663"/>
      <c r="AR186" s="663"/>
      <c r="AS186" s="663"/>
      <c r="AT186" s="663"/>
      <c r="AU186" s="663"/>
      <c r="AV186" s="663"/>
      <c r="AW186" s="663"/>
      <c r="AX186" s="663"/>
      <c r="AY186" s="663"/>
      <c r="AZ186" s="663"/>
      <c r="BA186" s="663"/>
      <c r="BB186" s="663"/>
    </row>
    <row r="187" spans="1:54" s="670" customFormat="1" ht="13.5" customHeight="1">
      <c r="A187" s="675"/>
      <c r="B187" s="779"/>
      <c r="C187" s="778" t="s">
        <v>780</v>
      </c>
      <c r="D187" s="777">
        <v>30</v>
      </c>
      <c r="E187" s="777"/>
      <c r="F187" s="777"/>
      <c r="G187" s="777"/>
      <c r="H187" s="777"/>
      <c r="I187" s="777"/>
      <c r="J187" s="777">
        <f>D187</f>
        <v>30</v>
      </c>
      <c r="K187" s="777"/>
      <c r="L187" s="777"/>
      <c r="M187" s="777"/>
      <c r="N187" s="777"/>
      <c r="O187" s="777"/>
      <c r="P187" s="663"/>
      <c r="Q187" s="663"/>
      <c r="R187" s="663"/>
      <c r="S187" s="663"/>
      <c r="T187" s="663"/>
      <c r="U187" s="663"/>
      <c r="V187" s="663"/>
      <c r="W187" s="663"/>
      <c r="X187" s="663"/>
      <c r="Y187" s="663"/>
      <c r="Z187" s="663"/>
      <c r="AA187" s="663"/>
      <c r="AB187" s="663"/>
      <c r="AC187" s="663"/>
      <c r="AD187" s="663"/>
      <c r="AE187" s="663"/>
      <c r="AF187" s="663"/>
      <c r="AG187" s="663"/>
      <c r="AH187" s="663"/>
      <c r="AI187" s="663"/>
      <c r="AJ187" s="663"/>
      <c r="AK187" s="663"/>
      <c r="AL187" s="663"/>
      <c r="AM187" s="663"/>
      <c r="AN187" s="663"/>
      <c r="AO187" s="663"/>
      <c r="AP187" s="663"/>
      <c r="AQ187" s="663"/>
      <c r="AR187" s="663"/>
      <c r="AS187" s="663"/>
      <c r="AT187" s="663"/>
      <c r="AU187" s="663"/>
      <c r="AV187" s="663"/>
      <c r="AW187" s="663"/>
      <c r="AX187" s="663"/>
      <c r="AY187" s="663"/>
      <c r="AZ187" s="663"/>
      <c r="BA187" s="663"/>
      <c r="BB187" s="663"/>
    </row>
    <row r="188" spans="1:54" s="670" customFormat="1" ht="13.5" customHeight="1">
      <c r="A188" s="675"/>
      <c r="B188" s="779"/>
      <c r="C188" s="778" t="s">
        <v>779</v>
      </c>
      <c r="D188" s="777">
        <v>30</v>
      </c>
      <c r="E188" s="777"/>
      <c r="F188" s="777"/>
      <c r="G188" s="777"/>
      <c r="H188" s="777"/>
      <c r="I188" s="777">
        <f>D188</f>
        <v>30</v>
      </c>
      <c r="J188" s="777"/>
      <c r="K188" s="777"/>
      <c r="L188" s="777"/>
      <c r="M188" s="777"/>
      <c r="N188" s="777"/>
      <c r="O188" s="777"/>
      <c r="P188" s="663"/>
      <c r="Q188" s="663"/>
      <c r="R188" s="663"/>
      <c r="S188" s="663"/>
      <c r="T188" s="663"/>
      <c r="U188" s="663"/>
      <c r="V188" s="663"/>
      <c r="W188" s="663"/>
      <c r="X188" s="663"/>
      <c r="Y188" s="663"/>
      <c r="Z188" s="663"/>
      <c r="AA188" s="663"/>
      <c r="AB188" s="663"/>
      <c r="AC188" s="663"/>
      <c r="AD188" s="663"/>
      <c r="AE188" s="663"/>
      <c r="AF188" s="663"/>
      <c r="AG188" s="663"/>
      <c r="AH188" s="663"/>
      <c r="AI188" s="663"/>
      <c r="AJ188" s="663"/>
      <c r="AK188" s="663"/>
      <c r="AL188" s="663"/>
      <c r="AM188" s="663"/>
      <c r="AN188" s="663"/>
      <c r="AO188" s="663"/>
      <c r="AP188" s="663"/>
      <c r="AQ188" s="663"/>
      <c r="AR188" s="663"/>
      <c r="AS188" s="663"/>
      <c r="AT188" s="663"/>
      <c r="AU188" s="663"/>
      <c r="AV188" s="663"/>
      <c r="AW188" s="663"/>
      <c r="AX188" s="663"/>
      <c r="AY188" s="663"/>
      <c r="AZ188" s="663"/>
      <c r="BA188" s="663"/>
      <c r="BB188" s="663"/>
    </row>
    <row r="189" spans="1:54" s="670" customFormat="1" ht="13.5" customHeight="1">
      <c r="A189" s="675"/>
      <c r="B189" s="779"/>
      <c r="C189" s="778" t="s">
        <v>778</v>
      </c>
      <c r="D189" s="777">
        <v>30</v>
      </c>
      <c r="E189" s="777"/>
      <c r="F189" s="777"/>
      <c r="G189" s="777"/>
      <c r="H189" s="777"/>
      <c r="I189" s="777"/>
      <c r="J189" s="777">
        <f>D189</f>
        <v>30</v>
      </c>
      <c r="K189" s="777"/>
      <c r="L189" s="777"/>
      <c r="M189" s="777"/>
      <c r="N189" s="777"/>
      <c r="O189" s="777"/>
      <c r="P189" s="663"/>
      <c r="Q189" s="663"/>
      <c r="R189" s="663"/>
      <c r="S189" s="663"/>
      <c r="T189" s="663"/>
      <c r="U189" s="663"/>
      <c r="V189" s="663"/>
      <c r="W189" s="663"/>
      <c r="X189" s="663"/>
      <c r="Y189" s="663"/>
      <c r="Z189" s="663"/>
      <c r="AA189" s="663"/>
      <c r="AB189" s="663"/>
      <c r="AC189" s="663"/>
      <c r="AD189" s="663"/>
      <c r="AE189" s="663"/>
      <c r="AF189" s="663"/>
      <c r="AG189" s="663"/>
      <c r="AH189" s="663"/>
      <c r="AI189" s="663"/>
      <c r="AJ189" s="663"/>
      <c r="AK189" s="663"/>
      <c r="AL189" s="663"/>
      <c r="AM189" s="663"/>
      <c r="AN189" s="663"/>
      <c r="AO189" s="663"/>
      <c r="AP189" s="663"/>
      <c r="AQ189" s="663"/>
      <c r="AR189" s="663"/>
      <c r="AS189" s="663"/>
      <c r="AT189" s="663"/>
      <c r="AU189" s="663"/>
      <c r="AV189" s="663"/>
      <c r="AW189" s="663"/>
      <c r="AX189" s="663"/>
      <c r="AY189" s="663"/>
      <c r="AZ189" s="663"/>
      <c r="BA189" s="663"/>
      <c r="BB189" s="663"/>
    </row>
    <row r="190" spans="1:54" s="670" customFormat="1" ht="13.5" customHeight="1">
      <c r="A190" s="675"/>
      <c r="B190" s="779"/>
      <c r="C190" s="778" t="s">
        <v>186</v>
      </c>
      <c r="D190" s="777"/>
      <c r="E190" s="777"/>
      <c r="F190" s="777"/>
      <c r="G190" s="777"/>
      <c r="H190" s="777">
        <f>D190</f>
        <v>0</v>
      </c>
      <c r="I190" s="777"/>
      <c r="J190" s="777"/>
      <c r="K190" s="777"/>
      <c r="L190" s="777"/>
      <c r="M190" s="777"/>
      <c r="N190" s="777"/>
      <c r="O190" s="777"/>
      <c r="P190" s="663"/>
      <c r="Q190" s="663"/>
      <c r="R190" s="663"/>
      <c r="S190" s="663"/>
      <c r="T190" s="663"/>
      <c r="U190" s="663"/>
      <c r="V190" s="663"/>
      <c r="W190" s="663"/>
      <c r="X190" s="663"/>
      <c r="Y190" s="663"/>
      <c r="Z190" s="663"/>
      <c r="AA190" s="663"/>
      <c r="AB190" s="663"/>
      <c r="AC190" s="663"/>
      <c r="AD190" s="663"/>
      <c r="AE190" s="663"/>
      <c r="AF190" s="663"/>
      <c r="AG190" s="663"/>
      <c r="AH190" s="663"/>
      <c r="AI190" s="663"/>
      <c r="AJ190" s="663"/>
      <c r="AK190" s="663"/>
      <c r="AL190" s="663"/>
      <c r="AM190" s="663"/>
      <c r="AN190" s="663"/>
      <c r="AO190" s="663"/>
      <c r="AP190" s="663"/>
      <c r="AQ190" s="663"/>
      <c r="AR190" s="663"/>
      <c r="AS190" s="663"/>
      <c r="AT190" s="663"/>
      <c r="AU190" s="663"/>
      <c r="AV190" s="663"/>
      <c r="AW190" s="663"/>
      <c r="AX190" s="663"/>
      <c r="AY190" s="663"/>
      <c r="AZ190" s="663"/>
      <c r="BA190" s="663"/>
      <c r="BB190" s="663"/>
    </row>
    <row r="191" spans="1:54" s="670" customFormat="1" ht="13.5" customHeight="1">
      <c r="A191" s="675"/>
      <c r="B191" s="779"/>
      <c r="C191" s="778" t="s">
        <v>518</v>
      </c>
      <c r="D191" s="777"/>
      <c r="E191" s="777"/>
      <c r="F191" s="777"/>
      <c r="G191" s="777"/>
      <c r="H191" s="777">
        <f>D191</f>
        <v>0</v>
      </c>
      <c r="I191" s="777"/>
      <c r="J191" s="777"/>
      <c r="K191" s="777"/>
      <c r="L191" s="777"/>
      <c r="M191" s="777"/>
      <c r="N191" s="777"/>
      <c r="O191" s="777"/>
      <c r="P191" s="663"/>
      <c r="Q191" s="663"/>
      <c r="R191" s="663"/>
      <c r="S191" s="663"/>
      <c r="T191" s="663"/>
      <c r="U191" s="663"/>
      <c r="V191" s="663"/>
      <c r="W191" s="663"/>
      <c r="X191" s="663"/>
      <c r="Y191" s="663"/>
      <c r="Z191" s="663"/>
      <c r="AA191" s="663"/>
      <c r="AB191" s="663"/>
      <c r="AC191" s="663"/>
      <c r="AD191" s="663"/>
      <c r="AE191" s="663"/>
      <c r="AF191" s="663"/>
      <c r="AG191" s="663"/>
      <c r="AH191" s="663"/>
      <c r="AI191" s="663"/>
      <c r="AJ191" s="663"/>
      <c r="AK191" s="663"/>
      <c r="AL191" s="663"/>
      <c r="AM191" s="663"/>
      <c r="AN191" s="663"/>
      <c r="AO191" s="663"/>
      <c r="AP191" s="663"/>
      <c r="AQ191" s="663"/>
      <c r="AR191" s="663"/>
      <c r="AS191" s="663"/>
      <c r="AT191" s="663"/>
      <c r="AU191" s="663"/>
      <c r="AV191" s="663"/>
      <c r="AW191" s="663"/>
      <c r="AX191" s="663"/>
      <c r="AY191" s="663"/>
      <c r="AZ191" s="663"/>
      <c r="BA191" s="663"/>
      <c r="BB191" s="663"/>
    </row>
    <row r="192" spans="1:54" s="670" customFormat="1" ht="13.5" customHeight="1">
      <c r="A192" s="675"/>
      <c r="B192" s="779"/>
      <c r="C192" s="778"/>
      <c r="D192" s="777"/>
      <c r="E192" s="777"/>
      <c r="F192" s="777"/>
      <c r="G192" s="777"/>
      <c r="H192" s="777"/>
      <c r="I192" s="777"/>
      <c r="J192" s="777"/>
      <c r="K192" s="777"/>
      <c r="L192" s="777"/>
      <c r="M192" s="777"/>
      <c r="N192" s="777"/>
      <c r="O192" s="777"/>
      <c r="P192" s="663"/>
      <c r="Q192" s="663"/>
      <c r="R192" s="663"/>
      <c r="S192" s="663"/>
      <c r="T192" s="663"/>
      <c r="U192" s="663"/>
      <c r="V192" s="663"/>
      <c r="W192" s="663"/>
      <c r="X192" s="663"/>
      <c r="Y192" s="663"/>
      <c r="Z192" s="663"/>
      <c r="AA192" s="663"/>
      <c r="AB192" s="663"/>
      <c r="AC192" s="663"/>
      <c r="AD192" s="663"/>
      <c r="AE192" s="663"/>
      <c r="AF192" s="663"/>
      <c r="AG192" s="663"/>
      <c r="AH192" s="663"/>
      <c r="AI192" s="663"/>
      <c r="AJ192" s="663"/>
      <c r="AK192" s="663"/>
      <c r="AL192" s="663"/>
      <c r="AM192" s="663"/>
      <c r="AN192" s="663"/>
      <c r="AO192" s="663"/>
      <c r="AP192" s="663"/>
      <c r="AQ192" s="663"/>
      <c r="AR192" s="663"/>
      <c r="AS192" s="663"/>
      <c r="AT192" s="663"/>
      <c r="AU192" s="663"/>
      <c r="AV192" s="663"/>
      <c r="AW192" s="663"/>
      <c r="AX192" s="663"/>
      <c r="AY192" s="663"/>
      <c r="AZ192" s="663"/>
      <c r="BA192" s="663"/>
      <c r="BB192" s="663"/>
    </row>
    <row r="193" spans="1:55" s="670" customFormat="1" ht="13.5" customHeight="1">
      <c r="A193" s="675"/>
      <c r="B193" s="779"/>
      <c r="C193" s="778"/>
      <c r="D193" s="777"/>
      <c r="E193" s="777"/>
      <c r="F193" s="777"/>
      <c r="G193" s="777"/>
      <c r="H193" s="777"/>
      <c r="I193" s="777"/>
      <c r="J193" s="777"/>
      <c r="K193" s="777"/>
      <c r="L193" s="777"/>
      <c r="M193" s="777"/>
      <c r="N193" s="777"/>
      <c r="O193" s="777"/>
      <c r="P193" s="663"/>
      <c r="Q193" s="663"/>
      <c r="R193" s="663"/>
      <c r="S193" s="663"/>
      <c r="T193" s="663"/>
      <c r="U193" s="663"/>
      <c r="V193" s="663"/>
      <c r="W193" s="663"/>
      <c r="X193" s="663"/>
      <c r="Y193" s="663"/>
      <c r="Z193" s="663"/>
      <c r="AA193" s="663"/>
      <c r="AB193" s="663"/>
      <c r="AC193" s="663"/>
      <c r="AD193" s="663"/>
      <c r="AE193" s="663"/>
      <c r="AF193" s="663"/>
      <c r="AG193" s="663"/>
      <c r="AH193" s="663"/>
      <c r="AI193" s="663"/>
      <c r="AJ193" s="663"/>
      <c r="AK193" s="663"/>
      <c r="AL193" s="663"/>
      <c r="AM193" s="663"/>
      <c r="AN193" s="663"/>
      <c r="AO193" s="663"/>
      <c r="AP193" s="663"/>
      <c r="AQ193" s="663"/>
      <c r="AR193" s="663"/>
      <c r="AS193" s="663"/>
      <c r="AT193" s="663"/>
      <c r="AU193" s="663"/>
      <c r="AV193" s="663"/>
      <c r="AW193" s="663"/>
      <c r="AX193" s="663"/>
      <c r="AY193" s="663"/>
      <c r="AZ193" s="663"/>
      <c r="BA193" s="663"/>
      <c r="BB193" s="663"/>
    </row>
    <row r="194" spans="1:55" s="694" customFormat="1" ht="13.5" customHeight="1">
      <c r="A194" s="700"/>
      <c r="B194" s="788" t="str">
        <f>I1</f>
        <v>juli</v>
      </c>
      <c r="C194" s="787" t="s">
        <v>37</v>
      </c>
      <c r="D194" s="786">
        <f t="shared" ref="D194:M194" si="7">SUM(D195:D197)</f>
        <v>0</v>
      </c>
      <c r="E194" s="786">
        <f t="shared" si="7"/>
        <v>0</v>
      </c>
      <c r="F194" s="786">
        <f t="shared" si="7"/>
        <v>0</v>
      </c>
      <c r="G194" s="786">
        <f t="shared" si="7"/>
        <v>0</v>
      </c>
      <c r="H194" s="786">
        <f t="shared" si="7"/>
        <v>0</v>
      </c>
      <c r="I194" s="786">
        <f t="shared" si="7"/>
        <v>0</v>
      </c>
      <c r="J194" s="786">
        <f t="shared" si="7"/>
        <v>0</v>
      </c>
      <c r="K194" s="786">
        <f t="shared" si="7"/>
        <v>0</v>
      </c>
      <c r="L194" s="786">
        <f t="shared" si="7"/>
        <v>0</v>
      </c>
      <c r="M194" s="786">
        <f t="shared" si="7"/>
        <v>0</v>
      </c>
      <c r="N194" s="786"/>
      <c r="O194" s="786"/>
      <c r="P194" s="695"/>
      <c r="Q194" s="695"/>
      <c r="R194" s="695"/>
      <c r="S194" s="695"/>
      <c r="T194" s="695"/>
      <c r="U194" s="695"/>
      <c r="V194" s="695"/>
      <c r="W194" s="695"/>
      <c r="X194" s="695"/>
      <c r="Y194" s="695"/>
      <c r="Z194" s="695"/>
      <c r="AA194" s="695"/>
      <c r="AB194" s="695"/>
      <c r="AC194" s="695"/>
      <c r="AD194" s="695"/>
      <c r="AE194" s="695"/>
      <c r="AF194" s="695"/>
      <c r="AG194" s="695"/>
      <c r="AH194" s="695"/>
      <c r="AI194" s="695"/>
      <c r="AJ194" s="695"/>
      <c r="AK194" s="695"/>
      <c r="AL194" s="695"/>
      <c r="AM194" s="695"/>
      <c r="AN194" s="695"/>
      <c r="AO194" s="695"/>
      <c r="AP194" s="695"/>
      <c r="AQ194" s="695"/>
      <c r="AR194" s="695"/>
      <c r="AS194" s="695"/>
      <c r="AT194" s="695"/>
      <c r="AU194" s="695"/>
      <c r="AV194" s="695"/>
      <c r="AW194" s="695"/>
      <c r="AX194" s="695"/>
      <c r="AY194" s="695"/>
      <c r="AZ194" s="695"/>
      <c r="BA194" s="695"/>
      <c r="BB194" s="695"/>
      <c r="BC194" s="695"/>
    </row>
    <row r="195" spans="1:55" ht="13.5" customHeight="1">
      <c r="A195" s="648"/>
      <c r="B195" s="791"/>
      <c r="C195" s="790"/>
      <c r="D195" s="789"/>
      <c r="E195" s="789"/>
      <c r="F195" s="789"/>
      <c r="G195" s="789"/>
      <c r="H195" s="789"/>
      <c r="I195" s="789"/>
      <c r="J195" s="789"/>
      <c r="K195" s="789"/>
      <c r="L195" s="789"/>
      <c r="M195" s="789"/>
      <c r="N195" s="789"/>
      <c r="O195" s="789"/>
      <c r="P195" s="648"/>
      <c r="Q195" s="648"/>
      <c r="R195" s="648"/>
      <c r="S195" s="648"/>
      <c r="T195" s="648"/>
      <c r="U195" s="648"/>
      <c r="V195" s="648"/>
      <c r="W195" s="648"/>
      <c r="X195" s="648"/>
      <c r="Y195" s="648"/>
      <c r="Z195" s="648"/>
      <c r="AA195" s="648"/>
      <c r="AB195" s="648"/>
      <c r="AC195" s="648"/>
      <c r="AD195" s="648"/>
      <c r="AE195" s="648"/>
      <c r="AF195" s="648"/>
      <c r="AG195" s="648"/>
      <c r="AH195" s="648"/>
      <c r="AI195" s="648"/>
      <c r="AJ195" s="648"/>
      <c r="AK195" s="648"/>
      <c r="AL195" s="648"/>
      <c r="AM195" s="648"/>
      <c r="AN195" s="648"/>
      <c r="AO195" s="648"/>
      <c r="AP195" s="648"/>
      <c r="AQ195" s="648"/>
      <c r="AR195" s="648"/>
      <c r="AS195" s="648"/>
      <c r="AT195" s="648"/>
      <c r="AU195" s="648"/>
      <c r="AV195" s="648"/>
      <c r="AW195" s="648"/>
      <c r="AX195" s="648"/>
      <c r="AY195" s="648"/>
      <c r="AZ195" s="648"/>
      <c r="BA195" s="648"/>
      <c r="BB195" s="648"/>
    </row>
    <row r="196" spans="1:55" ht="13.5" customHeight="1">
      <c r="A196" s="648"/>
      <c r="B196" s="791"/>
      <c r="C196" s="790"/>
      <c r="D196" s="789"/>
      <c r="E196" s="789"/>
      <c r="F196" s="789"/>
      <c r="G196" s="789"/>
      <c r="H196" s="789"/>
      <c r="I196" s="789"/>
      <c r="J196" s="789"/>
      <c r="K196" s="789"/>
      <c r="L196" s="789"/>
      <c r="M196" s="789"/>
      <c r="N196" s="789"/>
      <c r="O196" s="789"/>
      <c r="P196" s="648"/>
      <c r="Q196" s="648"/>
      <c r="R196" s="648"/>
      <c r="S196" s="648"/>
      <c r="T196" s="648"/>
      <c r="U196" s="648"/>
      <c r="V196" s="648"/>
      <c r="W196" s="648"/>
      <c r="X196" s="648"/>
      <c r="Y196" s="648"/>
      <c r="Z196" s="648"/>
      <c r="AA196" s="648"/>
      <c r="AB196" s="648"/>
      <c r="AC196" s="648"/>
      <c r="AD196" s="648"/>
      <c r="AE196" s="648"/>
      <c r="AF196" s="648"/>
      <c r="AG196" s="648"/>
      <c r="AH196" s="648"/>
      <c r="AI196" s="648"/>
      <c r="AJ196" s="648"/>
      <c r="AK196" s="648"/>
      <c r="AL196" s="648"/>
      <c r="AM196" s="648"/>
      <c r="AN196" s="648"/>
      <c r="AO196" s="648"/>
      <c r="AP196" s="648"/>
      <c r="AQ196" s="648"/>
      <c r="AR196" s="648"/>
      <c r="AS196" s="648"/>
      <c r="AT196" s="648"/>
      <c r="AU196" s="648"/>
      <c r="AV196" s="648"/>
      <c r="AW196" s="648"/>
      <c r="AX196" s="648"/>
      <c r="AY196" s="648"/>
      <c r="AZ196" s="648"/>
      <c r="BA196" s="648"/>
      <c r="BB196" s="648"/>
    </row>
    <row r="197" spans="1:55" s="694" customFormat="1" ht="13.5" customHeight="1">
      <c r="A197" s="700"/>
      <c r="B197" s="788"/>
      <c r="C197" s="787"/>
      <c r="D197" s="786"/>
      <c r="E197" s="786"/>
      <c r="F197" s="786"/>
      <c r="G197" s="786"/>
      <c r="H197" s="786"/>
      <c r="I197" s="786"/>
      <c r="J197" s="786"/>
      <c r="K197" s="786"/>
      <c r="L197" s="786"/>
      <c r="M197" s="786"/>
      <c r="N197" s="786"/>
      <c r="O197" s="786"/>
      <c r="P197" s="695"/>
      <c r="Q197" s="695"/>
      <c r="R197" s="695"/>
      <c r="S197" s="695"/>
      <c r="T197" s="695"/>
      <c r="U197" s="695"/>
      <c r="V197" s="695"/>
      <c r="W197" s="695"/>
      <c r="X197" s="695"/>
      <c r="Y197" s="695"/>
      <c r="Z197" s="695"/>
      <c r="AA197" s="695"/>
      <c r="AB197" s="695"/>
      <c r="AC197" s="695"/>
      <c r="AD197" s="695"/>
      <c r="AE197" s="695"/>
      <c r="AF197" s="695"/>
      <c r="AG197" s="695"/>
      <c r="AH197" s="695"/>
      <c r="AI197" s="695"/>
      <c r="AJ197" s="695"/>
      <c r="AK197" s="695"/>
      <c r="AL197" s="695"/>
      <c r="AM197" s="695"/>
      <c r="AN197" s="695"/>
      <c r="AO197" s="695"/>
      <c r="AP197" s="695"/>
      <c r="AQ197" s="695"/>
      <c r="AR197" s="695"/>
      <c r="AS197" s="695"/>
      <c r="AT197" s="695"/>
      <c r="AU197" s="695"/>
      <c r="AV197" s="695"/>
      <c r="AW197" s="695"/>
      <c r="AX197" s="695"/>
      <c r="AY197" s="695"/>
      <c r="AZ197" s="695"/>
      <c r="BA197" s="695"/>
      <c r="BB197" s="695"/>
      <c r="BC197" s="695"/>
    </row>
    <row r="198" spans="1:55" s="780" customFormat="1" ht="13.5" customHeight="1">
      <c r="A198" s="785"/>
      <c r="B198" s="784" t="str">
        <f>I1</f>
        <v>juli</v>
      </c>
      <c r="C198" s="783" t="s">
        <v>36</v>
      </c>
      <c r="D198" s="782">
        <f>SUM(D199:D216)</f>
        <v>1293</v>
      </c>
      <c r="E198" s="782"/>
      <c r="F198" s="782"/>
      <c r="G198" s="782"/>
      <c r="H198" s="782"/>
      <c r="I198" s="782"/>
      <c r="J198" s="782"/>
      <c r="K198" s="782"/>
      <c r="L198" s="782"/>
      <c r="M198" s="782"/>
      <c r="N198" s="782"/>
      <c r="O198" s="782"/>
      <c r="P198" s="781"/>
      <c r="Q198" s="781"/>
      <c r="R198" s="781"/>
      <c r="S198" s="781"/>
      <c r="T198" s="781"/>
      <c r="U198" s="781"/>
      <c r="V198" s="781"/>
      <c r="W198" s="781"/>
      <c r="X198" s="781"/>
      <c r="Y198" s="781"/>
      <c r="Z198" s="781"/>
      <c r="AA198" s="781"/>
      <c r="AB198" s="781"/>
      <c r="AC198" s="781"/>
      <c r="AD198" s="781"/>
      <c r="AE198" s="781"/>
      <c r="AF198" s="781"/>
      <c r="AG198" s="781"/>
      <c r="AH198" s="781"/>
      <c r="AI198" s="781"/>
      <c r="AJ198" s="781"/>
      <c r="AK198" s="781"/>
      <c r="AL198" s="781"/>
      <c r="AM198" s="781"/>
      <c r="AN198" s="781"/>
      <c r="AO198" s="781"/>
      <c r="AP198" s="781"/>
      <c r="AQ198" s="781"/>
      <c r="AR198" s="781"/>
      <c r="AS198" s="781"/>
      <c r="AT198" s="781"/>
      <c r="AU198" s="781"/>
      <c r="AV198" s="781"/>
      <c r="AW198" s="781"/>
      <c r="AX198" s="781"/>
      <c r="AY198" s="781"/>
      <c r="AZ198" s="781"/>
      <c r="BA198" s="781"/>
      <c r="BB198" s="781"/>
    </row>
    <row r="199" spans="1:55" s="670" customFormat="1" ht="13.5" customHeight="1">
      <c r="A199" s="675"/>
      <c r="B199" s="779"/>
      <c r="C199" s="778" t="s">
        <v>22</v>
      </c>
      <c r="D199" s="777">
        <v>89</v>
      </c>
      <c r="E199" s="777"/>
      <c r="F199" s="777"/>
      <c r="G199" s="777">
        <f>D199</f>
        <v>89</v>
      </c>
      <c r="H199" s="777"/>
      <c r="I199" s="777"/>
      <c r="J199" s="777"/>
      <c r="K199" s="777"/>
      <c r="L199" s="777"/>
      <c r="M199" s="777"/>
      <c r="N199" s="777"/>
      <c r="O199" s="777"/>
      <c r="P199" s="663"/>
      <c r="Q199" s="663"/>
      <c r="R199" s="663"/>
      <c r="S199" s="663"/>
      <c r="T199" s="663"/>
      <c r="U199" s="663"/>
      <c r="V199" s="663"/>
      <c r="W199" s="663"/>
      <c r="X199" s="663"/>
      <c r="Y199" s="663"/>
      <c r="Z199" s="663"/>
      <c r="AA199" s="663"/>
      <c r="AB199" s="663"/>
      <c r="AC199" s="663"/>
      <c r="AD199" s="663"/>
      <c r="AE199" s="663"/>
      <c r="AF199" s="663"/>
      <c r="AG199" s="663"/>
      <c r="AH199" s="663"/>
      <c r="AI199" s="663"/>
      <c r="AJ199" s="663"/>
      <c r="AK199" s="663"/>
      <c r="AL199" s="663"/>
      <c r="AM199" s="663"/>
      <c r="AN199" s="663"/>
      <c r="AO199" s="663"/>
      <c r="AP199" s="663"/>
      <c r="AQ199" s="663"/>
      <c r="AR199" s="663"/>
      <c r="AS199" s="663"/>
      <c r="AT199" s="663"/>
      <c r="AU199" s="663"/>
      <c r="AV199" s="663"/>
      <c r="AW199" s="663"/>
      <c r="AX199" s="663"/>
      <c r="AY199" s="663"/>
      <c r="AZ199" s="663"/>
      <c r="BA199" s="663"/>
      <c r="BB199" s="663"/>
    </row>
    <row r="200" spans="1:55" s="670" customFormat="1" ht="13.5" customHeight="1">
      <c r="A200" s="675"/>
      <c r="B200" s="779"/>
      <c r="C200" s="778" t="s">
        <v>21</v>
      </c>
      <c r="D200" s="777">
        <v>176</v>
      </c>
      <c r="E200" s="777"/>
      <c r="F200" s="777"/>
      <c r="G200" s="777"/>
      <c r="H200" s="777"/>
      <c r="I200" s="777"/>
      <c r="J200" s="777"/>
      <c r="K200" s="777"/>
      <c r="L200" s="777"/>
      <c r="M200" s="777"/>
      <c r="N200" s="777"/>
      <c r="O200" s="777"/>
      <c r="P200" s="663"/>
      <c r="Q200" s="663"/>
      <c r="R200" s="663"/>
      <c r="S200" s="663"/>
      <c r="T200" s="663"/>
      <c r="U200" s="663"/>
      <c r="V200" s="663"/>
      <c r="W200" s="663"/>
      <c r="X200" s="663"/>
      <c r="Y200" s="663"/>
      <c r="Z200" s="663"/>
      <c r="AA200" s="663"/>
      <c r="AB200" s="663"/>
      <c r="AC200" s="663"/>
      <c r="AD200" s="663"/>
      <c r="AE200" s="663"/>
      <c r="AF200" s="663"/>
      <c r="AG200" s="663"/>
      <c r="AH200" s="663"/>
      <c r="AI200" s="663"/>
      <c r="AJ200" s="663"/>
      <c r="AK200" s="663"/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/>
      <c r="AV200" s="663"/>
      <c r="AW200" s="663"/>
      <c r="AX200" s="663"/>
      <c r="AY200" s="663"/>
      <c r="AZ200" s="663"/>
      <c r="BA200" s="663"/>
      <c r="BB200" s="663"/>
    </row>
    <row r="201" spans="1:55" s="670" customFormat="1" ht="13.5" customHeight="1">
      <c r="A201" s="675"/>
      <c r="B201" s="779"/>
      <c r="C201" s="778" t="s">
        <v>230</v>
      </c>
      <c r="D201" s="777">
        <v>59</v>
      </c>
      <c r="E201" s="777"/>
      <c r="F201" s="777"/>
      <c r="G201" s="777">
        <f>D201</f>
        <v>59</v>
      </c>
      <c r="H201" s="777"/>
      <c r="I201" s="777"/>
      <c r="J201" s="777"/>
      <c r="K201" s="777"/>
      <c r="L201" s="777"/>
      <c r="M201" s="777"/>
      <c r="N201" s="777"/>
      <c r="O201" s="777"/>
      <c r="P201" s="663"/>
      <c r="Q201" s="663"/>
      <c r="R201" s="663"/>
      <c r="S201" s="663"/>
      <c r="T201" s="663"/>
      <c r="U201" s="663"/>
      <c r="V201" s="663"/>
      <c r="W201" s="663"/>
      <c r="X201" s="663"/>
      <c r="Y201" s="663"/>
      <c r="Z201" s="663"/>
      <c r="AA201" s="663"/>
      <c r="AB201" s="663"/>
      <c r="AC201" s="663"/>
      <c r="AD201" s="663"/>
      <c r="AE201" s="663"/>
      <c r="AF201" s="663"/>
      <c r="AG201" s="663"/>
      <c r="AH201" s="663"/>
      <c r="AI201" s="663"/>
      <c r="AJ201" s="663"/>
      <c r="AK201" s="663"/>
      <c r="AL201" s="663"/>
      <c r="AM201" s="663"/>
      <c r="AN201" s="663"/>
      <c r="AO201" s="663"/>
      <c r="AP201" s="663"/>
      <c r="AQ201" s="663"/>
      <c r="AR201" s="663"/>
      <c r="AS201" s="663"/>
      <c r="AT201" s="663"/>
      <c r="AU201" s="663"/>
      <c r="AV201" s="663"/>
      <c r="AW201" s="663"/>
      <c r="AX201" s="663"/>
      <c r="AY201" s="663"/>
      <c r="AZ201" s="663"/>
      <c r="BA201" s="663"/>
      <c r="BB201" s="663"/>
    </row>
    <row r="202" spans="1:55" s="670" customFormat="1" ht="13.5" customHeight="1">
      <c r="A202" s="675"/>
      <c r="B202" s="779"/>
      <c r="C202" s="778" t="s">
        <v>464</v>
      </c>
      <c r="D202" s="777">
        <v>129</v>
      </c>
      <c r="E202" s="777"/>
      <c r="F202" s="777">
        <f>D202</f>
        <v>129</v>
      </c>
      <c r="G202" s="777"/>
      <c r="H202" s="777"/>
      <c r="I202" s="777"/>
      <c r="J202" s="777"/>
      <c r="K202" s="777"/>
      <c r="L202" s="777"/>
      <c r="M202" s="777"/>
      <c r="N202" s="777"/>
      <c r="O202" s="777"/>
      <c r="P202" s="663"/>
      <c r="Q202" s="663"/>
      <c r="R202" s="663"/>
      <c r="S202" s="663"/>
      <c r="T202" s="663"/>
      <c r="U202" s="663"/>
      <c r="V202" s="663"/>
      <c r="W202" s="663"/>
      <c r="X202" s="663"/>
      <c r="Y202" s="663"/>
      <c r="Z202" s="663"/>
      <c r="AA202" s="663"/>
      <c r="AB202" s="663"/>
      <c r="AC202" s="663"/>
      <c r="AD202" s="663"/>
      <c r="AE202" s="663"/>
      <c r="AF202" s="663"/>
      <c r="AG202" s="663"/>
      <c r="AH202" s="663"/>
      <c r="AI202" s="663"/>
      <c r="AJ202" s="663"/>
      <c r="AK202" s="663"/>
      <c r="AL202" s="663"/>
      <c r="AM202" s="663"/>
      <c r="AN202" s="663"/>
      <c r="AO202" s="663"/>
      <c r="AP202" s="663"/>
      <c r="AQ202" s="663"/>
      <c r="AR202" s="663"/>
      <c r="AS202" s="663"/>
      <c r="AT202" s="663"/>
      <c r="AU202" s="663"/>
      <c r="AV202" s="663"/>
      <c r="AW202" s="663"/>
      <c r="AX202" s="663"/>
      <c r="AY202" s="663"/>
      <c r="AZ202" s="663"/>
      <c r="BA202" s="663"/>
      <c r="BB202" s="663"/>
    </row>
    <row r="203" spans="1:55" s="670" customFormat="1" ht="13.5" customHeight="1">
      <c r="A203" s="675"/>
      <c r="B203" s="779"/>
      <c r="C203" s="778" t="s">
        <v>397</v>
      </c>
      <c r="D203" s="777">
        <v>200</v>
      </c>
      <c r="E203" s="777"/>
      <c r="F203" s="777"/>
      <c r="G203" s="777"/>
      <c r="H203" s="777"/>
      <c r="I203" s="777"/>
      <c r="J203" s="777"/>
      <c r="K203" s="777"/>
      <c r="L203" s="777"/>
      <c r="M203" s="777"/>
      <c r="N203" s="777"/>
      <c r="O203" s="777"/>
      <c r="P203" s="663"/>
      <c r="Q203" s="663"/>
      <c r="R203" s="663"/>
      <c r="S203" s="663"/>
      <c r="T203" s="663"/>
      <c r="U203" s="663"/>
      <c r="V203" s="663"/>
      <c r="W203" s="663"/>
      <c r="X203" s="663"/>
      <c r="Y203" s="663"/>
      <c r="Z203" s="663"/>
      <c r="AA203" s="663"/>
      <c r="AB203" s="663"/>
      <c r="AC203" s="663"/>
      <c r="AD203" s="663"/>
      <c r="AE203" s="663"/>
      <c r="AF203" s="663"/>
      <c r="AG203" s="663"/>
      <c r="AH203" s="663"/>
      <c r="AI203" s="663"/>
      <c r="AJ203" s="663"/>
      <c r="AK203" s="663"/>
      <c r="AL203" s="663"/>
      <c r="AM203" s="663"/>
      <c r="AN203" s="663"/>
      <c r="AO203" s="663"/>
      <c r="AP203" s="663"/>
      <c r="AQ203" s="663"/>
      <c r="AR203" s="663"/>
      <c r="AS203" s="663"/>
      <c r="AT203" s="663"/>
      <c r="AU203" s="663"/>
      <c r="AV203" s="663"/>
      <c r="AW203" s="663"/>
      <c r="AX203" s="663"/>
      <c r="AY203" s="663"/>
      <c r="AZ203" s="663"/>
      <c r="BA203" s="663"/>
      <c r="BB203" s="663"/>
    </row>
    <row r="204" spans="1:55" s="670" customFormat="1" ht="13.5" customHeight="1">
      <c r="A204" s="675"/>
      <c r="B204" s="779"/>
      <c r="C204" s="778" t="s">
        <v>777</v>
      </c>
      <c r="D204" s="777">
        <v>30</v>
      </c>
      <c r="E204" s="777"/>
      <c r="F204" s="777"/>
      <c r="G204" s="777"/>
      <c r="H204" s="777"/>
      <c r="I204" s="777">
        <f>D204</f>
        <v>30</v>
      </c>
      <c r="J204" s="777"/>
      <c r="K204" s="777"/>
      <c r="L204" s="777"/>
      <c r="M204" s="777"/>
      <c r="N204" s="777"/>
      <c r="O204" s="777"/>
      <c r="P204" s="663"/>
      <c r="Q204" s="663"/>
      <c r="R204" s="663"/>
      <c r="S204" s="663"/>
      <c r="T204" s="663"/>
      <c r="U204" s="663"/>
      <c r="V204" s="663"/>
      <c r="W204" s="663"/>
      <c r="X204" s="663"/>
      <c r="Y204" s="663"/>
      <c r="Z204" s="663"/>
      <c r="AA204" s="663"/>
      <c r="AB204" s="663"/>
      <c r="AC204" s="663"/>
      <c r="AD204" s="663"/>
      <c r="AE204" s="663"/>
      <c r="AF204" s="663"/>
      <c r="AG204" s="663"/>
      <c r="AH204" s="663"/>
      <c r="AI204" s="663"/>
      <c r="AJ204" s="663"/>
      <c r="AK204" s="663"/>
      <c r="AL204" s="663"/>
      <c r="AM204" s="663"/>
      <c r="AN204" s="663"/>
      <c r="AO204" s="663"/>
      <c r="AP204" s="663"/>
      <c r="AQ204" s="663"/>
      <c r="AR204" s="663"/>
      <c r="AS204" s="663"/>
      <c r="AT204" s="663"/>
      <c r="AU204" s="663"/>
      <c r="AV204" s="663"/>
      <c r="AW204" s="663"/>
      <c r="AX204" s="663"/>
      <c r="AY204" s="663"/>
      <c r="AZ204" s="663"/>
      <c r="BA204" s="663"/>
      <c r="BB204" s="663"/>
    </row>
    <row r="205" spans="1:55" s="670" customFormat="1" ht="13.5" customHeight="1">
      <c r="A205" s="675"/>
      <c r="B205" s="779"/>
      <c r="C205" s="778" t="s">
        <v>776</v>
      </c>
      <c r="D205" s="777">
        <v>30</v>
      </c>
      <c r="E205" s="777"/>
      <c r="F205" s="777"/>
      <c r="G205" s="777"/>
      <c r="H205" s="777"/>
      <c r="I205" s="777"/>
      <c r="J205" s="777">
        <f>D205</f>
        <v>30</v>
      </c>
      <c r="K205" s="777"/>
      <c r="L205" s="777"/>
      <c r="M205" s="777"/>
      <c r="N205" s="777"/>
      <c r="O205" s="777"/>
      <c r="P205" s="663"/>
      <c r="Q205" s="663"/>
      <c r="R205" s="663"/>
      <c r="S205" s="663"/>
      <c r="T205" s="663"/>
      <c r="U205" s="663"/>
      <c r="V205" s="663"/>
      <c r="W205" s="663"/>
      <c r="X205" s="663"/>
      <c r="Y205" s="663"/>
      <c r="Z205" s="663"/>
      <c r="AA205" s="663"/>
      <c r="AB205" s="663"/>
      <c r="AC205" s="663"/>
      <c r="AD205" s="663"/>
      <c r="AE205" s="663"/>
      <c r="AF205" s="663"/>
      <c r="AG205" s="663"/>
      <c r="AH205" s="663"/>
      <c r="AI205" s="663"/>
      <c r="AJ205" s="663"/>
      <c r="AK205" s="663"/>
      <c r="AL205" s="663"/>
      <c r="AM205" s="663"/>
      <c r="AN205" s="663"/>
      <c r="AO205" s="663"/>
      <c r="AP205" s="663"/>
      <c r="AQ205" s="663"/>
      <c r="AR205" s="663"/>
      <c r="AS205" s="663"/>
      <c r="AT205" s="663"/>
      <c r="AU205" s="663"/>
      <c r="AV205" s="663"/>
      <c r="AW205" s="663"/>
      <c r="AX205" s="663"/>
      <c r="AY205" s="663"/>
      <c r="AZ205" s="663"/>
      <c r="BA205" s="663"/>
      <c r="BB205" s="663"/>
    </row>
    <row r="206" spans="1:55" s="670" customFormat="1" ht="13.5" customHeight="1">
      <c r="A206" s="675"/>
      <c r="B206" s="779"/>
      <c r="C206" s="778" t="s">
        <v>775</v>
      </c>
      <c r="D206" s="777">
        <v>30</v>
      </c>
      <c r="E206" s="777"/>
      <c r="F206" s="777"/>
      <c r="G206" s="777"/>
      <c r="H206" s="777"/>
      <c r="I206" s="777">
        <f>D206</f>
        <v>30</v>
      </c>
      <c r="J206" s="777"/>
      <c r="K206" s="777"/>
      <c r="L206" s="777"/>
      <c r="M206" s="777"/>
      <c r="N206" s="777"/>
      <c r="O206" s="777"/>
      <c r="P206" s="663"/>
      <c r="Q206" s="663"/>
      <c r="R206" s="663"/>
      <c r="S206" s="663"/>
      <c r="T206" s="663"/>
      <c r="U206" s="663"/>
      <c r="V206" s="663"/>
      <c r="W206" s="663"/>
      <c r="X206" s="663"/>
      <c r="Y206" s="663"/>
      <c r="Z206" s="663"/>
      <c r="AA206" s="663"/>
      <c r="AB206" s="663"/>
      <c r="AC206" s="663"/>
      <c r="AD206" s="663"/>
      <c r="AE206" s="663"/>
      <c r="AF206" s="663"/>
      <c r="AG206" s="663"/>
      <c r="AH206" s="663"/>
      <c r="AI206" s="663"/>
      <c r="AJ206" s="663"/>
      <c r="AK206" s="663"/>
      <c r="AL206" s="663"/>
      <c r="AM206" s="663"/>
      <c r="AN206" s="663"/>
      <c r="AO206" s="663"/>
      <c r="AP206" s="663"/>
      <c r="AQ206" s="663"/>
      <c r="AR206" s="663"/>
      <c r="AS206" s="663"/>
      <c r="AT206" s="663"/>
      <c r="AU206" s="663"/>
      <c r="AV206" s="663"/>
      <c r="AW206" s="663"/>
      <c r="AX206" s="663"/>
      <c r="AY206" s="663"/>
      <c r="AZ206" s="663"/>
      <c r="BA206" s="663"/>
      <c r="BB206" s="663"/>
    </row>
    <row r="207" spans="1:55" s="670" customFormat="1" ht="13.5" customHeight="1">
      <c r="A207" s="675"/>
      <c r="B207" s="779"/>
      <c r="C207" s="778" t="s">
        <v>774</v>
      </c>
      <c r="D207" s="777">
        <v>30</v>
      </c>
      <c r="E207" s="777"/>
      <c r="F207" s="777"/>
      <c r="G207" s="777"/>
      <c r="H207" s="777"/>
      <c r="I207" s="777"/>
      <c r="J207" s="777">
        <f>D207</f>
        <v>30</v>
      </c>
      <c r="K207" s="777"/>
      <c r="L207" s="777"/>
      <c r="M207" s="777"/>
      <c r="N207" s="777"/>
      <c r="O207" s="777"/>
      <c r="P207" s="663"/>
      <c r="Q207" s="663"/>
      <c r="R207" s="663"/>
      <c r="S207" s="663"/>
      <c r="T207" s="663"/>
      <c r="U207" s="663"/>
      <c r="V207" s="663"/>
      <c r="W207" s="663"/>
      <c r="X207" s="663"/>
      <c r="Y207" s="663"/>
      <c r="Z207" s="663"/>
      <c r="AA207" s="663"/>
      <c r="AB207" s="663"/>
      <c r="AC207" s="663"/>
      <c r="AD207" s="663"/>
      <c r="AE207" s="663"/>
      <c r="AF207" s="663"/>
      <c r="AG207" s="663"/>
      <c r="AH207" s="663"/>
      <c r="AI207" s="663"/>
      <c r="AJ207" s="663"/>
      <c r="AK207" s="663"/>
      <c r="AL207" s="663"/>
      <c r="AM207" s="663"/>
      <c r="AN207" s="663"/>
      <c r="AO207" s="663"/>
      <c r="AP207" s="663"/>
      <c r="AQ207" s="663"/>
      <c r="AR207" s="663"/>
      <c r="AS207" s="663"/>
      <c r="AT207" s="663"/>
      <c r="AU207" s="663"/>
      <c r="AV207" s="663"/>
      <c r="AW207" s="663"/>
      <c r="AX207" s="663"/>
      <c r="AY207" s="663"/>
      <c r="AZ207" s="663"/>
      <c r="BA207" s="663"/>
      <c r="BB207" s="663"/>
    </row>
    <row r="208" spans="1:55" s="670" customFormat="1" ht="13.5" customHeight="1">
      <c r="A208" s="675"/>
      <c r="B208" s="779"/>
      <c r="C208" s="778" t="s">
        <v>773</v>
      </c>
      <c r="D208" s="777">
        <v>30</v>
      </c>
      <c r="E208" s="777"/>
      <c r="F208" s="777"/>
      <c r="G208" s="777"/>
      <c r="H208" s="777"/>
      <c r="I208" s="777">
        <f>D208</f>
        <v>30</v>
      </c>
      <c r="J208" s="777"/>
      <c r="K208" s="777"/>
      <c r="L208" s="777"/>
      <c r="M208" s="777"/>
      <c r="N208" s="777"/>
      <c r="O208" s="777"/>
      <c r="P208" s="663"/>
      <c r="Q208" s="663"/>
      <c r="R208" s="663"/>
      <c r="S208" s="663"/>
      <c r="T208" s="663"/>
      <c r="U208" s="663"/>
      <c r="V208" s="663"/>
      <c r="W208" s="663"/>
      <c r="X208" s="663"/>
      <c r="Y208" s="663"/>
      <c r="Z208" s="663"/>
      <c r="AA208" s="663"/>
      <c r="AB208" s="663"/>
      <c r="AC208" s="663"/>
      <c r="AD208" s="663"/>
      <c r="AE208" s="663"/>
      <c r="AF208" s="663"/>
      <c r="AG208" s="663"/>
      <c r="AH208" s="663"/>
      <c r="AI208" s="663"/>
      <c r="AJ208" s="663"/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/>
      <c r="AV208" s="663"/>
      <c r="AW208" s="663"/>
      <c r="AX208" s="663"/>
      <c r="AY208" s="663"/>
      <c r="AZ208" s="663"/>
      <c r="BA208" s="663"/>
      <c r="BB208" s="663"/>
    </row>
    <row r="209" spans="1:55" s="670" customFormat="1" ht="13.5" customHeight="1">
      <c r="A209" s="675"/>
      <c r="B209" s="779"/>
      <c r="C209" s="778" t="s">
        <v>772</v>
      </c>
      <c r="D209" s="777">
        <v>30</v>
      </c>
      <c r="E209" s="777"/>
      <c r="F209" s="777"/>
      <c r="G209" s="777"/>
      <c r="H209" s="777"/>
      <c r="I209" s="777"/>
      <c r="J209" s="777">
        <f>D209</f>
        <v>30</v>
      </c>
      <c r="K209" s="777"/>
      <c r="L209" s="777"/>
      <c r="M209" s="777"/>
      <c r="N209" s="777"/>
      <c r="O209" s="777"/>
      <c r="P209" s="663"/>
      <c r="Q209" s="663"/>
      <c r="R209" s="663"/>
      <c r="S209" s="663"/>
      <c r="T209" s="663"/>
      <c r="U209" s="663"/>
      <c r="V209" s="663"/>
      <c r="W209" s="663"/>
      <c r="X209" s="663"/>
      <c r="Y209" s="663"/>
      <c r="Z209" s="663"/>
      <c r="AA209" s="663"/>
      <c r="AB209" s="663"/>
      <c r="AC209" s="663"/>
      <c r="AD209" s="663"/>
      <c r="AE209" s="663"/>
      <c r="AF209" s="663"/>
      <c r="AG209" s="663"/>
      <c r="AH209" s="663"/>
      <c r="AI209" s="663"/>
      <c r="AJ209" s="663"/>
      <c r="AK209" s="663"/>
      <c r="AL209" s="663"/>
      <c r="AM209" s="663"/>
      <c r="AN209" s="663"/>
      <c r="AO209" s="663"/>
      <c r="AP209" s="663"/>
      <c r="AQ209" s="663"/>
      <c r="AR209" s="663"/>
      <c r="AS209" s="663"/>
      <c r="AT209" s="663"/>
      <c r="AU209" s="663"/>
      <c r="AV209" s="663"/>
      <c r="AW209" s="663"/>
      <c r="AX209" s="663"/>
      <c r="AY209" s="663"/>
      <c r="AZ209" s="663"/>
      <c r="BA209" s="663"/>
      <c r="BB209" s="663"/>
    </row>
    <row r="210" spans="1:55" s="670" customFormat="1" ht="13.5" customHeight="1">
      <c r="A210" s="675"/>
      <c r="B210" s="779"/>
      <c r="C210" s="778" t="s">
        <v>771</v>
      </c>
      <c r="D210" s="777">
        <v>30</v>
      </c>
      <c r="E210" s="777"/>
      <c r="F210" s="777"/>
      <c r="G210" s="777"/>
      <c r="H210" s="777"/>
      <c r="I210" s="777">
        <f>D210</f>
        <v>30</v>
      </c>
      <c r="J210" s="777"/>
      <c r="K210" s="777"/>
      <c r="L210" s="777"/>
      <c r="M210" s="777"/>
      <c r="N210" s="777"/>
      <c r="O210" s="777"/>
      <c r="P210" s="663"/>
      <c r="Q210" s="663"/>
      <c r="R210" s="663"/>
      <c r="S210" s="663"/>
      <c r="T210" s="663"/>
      <c r="U210" s="663"/>
      <c r="V210" s="663"/>
      <c r="W210" s="663"/>
      <c r="X210" s="663"/>
      <c r="Y210" s="663"/>
      <c r="Z210" s="663"/>
      <c r="AA210" s="663"/>
      <c r="AB210" s="663"/>
      <c r="AC210" s="663"/>
      <c r="AD210" s="663"/>
      <c r="AE210" s="663"/>
      <c r="AF210" s="663"/>
      <c r="AG210" s="663"/>
      <c r="AH210" s="663"/>
      <c r="AI210" s="663"/>
      <c r="AJ210" s="663"/>
      <c r="AK210" s="663"/>
      <c r="AL210" s="663"/>
      <c r="AM210" s="663"/>
      <c r="AN210" s="663"/>
      <c r="AO210" s="663"/>
      <c r="AP210" s="663"/>
      <c r="AQ210" s="663"/>
      <c r="AR210" s="663"/>
      <c r="AS210" s="663"/>
      <c r="AT210" s="663"/>
      <c r="AU210" s="663"/>
      <c r="AV210" s="663"/>
      <c r="AW210" s="663"/>
      <c r="AX210" s="663"/>
      <c r="AY210" s="663"/>
      <c r="AZ210" s="663"/>
      <c r="BA210" s="663"/>
      <c r="BB210" s="663"/>
    </row>
    <row r="211" spans="1:55" s="670" customFormat="1" ht="13.5" customHeight="1">
      <c r="A211" s="675"/>
      <c r="B211" s="779"/>
      <c r="C211" s="778" t="s">
        <v>770</v>
      </c>
      <c r="D211" s="777">
        <v>30</v>
      </c>
      <c r="E211" s="777"/>
      <c r="F211" s="777"/>
      <c r="G211" s="777"/>
      <c r="H211" s="777"/>
      <c r="I211" s="777"/>
      <c r="J211" s="777">
        <f>D211</f>
        <v>30</v>
      </c>
      <c r="K211" s="777"/>
      <c r="L211" s="777"/>
      <c r="M211" s="777"/>
      <c r="N211" s="777"/>
      <c r="O211" s="777"/>
      <c r="P211" s="663"/>
      <c r="Q211" s="663"/>
      <c r="R211" s="663"/>
      <c r="S211" s="663"/>
      <c r="T211" s="663"/>
      <c r="U211" s="663"/>
      <c r="V211" s="663"/>
      <c r="W211" s="663"/>
      <c r="X211" s="663"/>
      <c r="Y211" s="663"/>
      <c r="Z211" s="663"/>
      <c r="AA211" s="663"/>
      <c r="AB211" s="663"/>
      <c r="AC211" s="663"/>
      <c r="AD211" s="663"/>
      <c r="AE211" s="663"/>
      <c r="AF211" s="663"/>
      <c r="AG211" s="663"/>
      <c r="AH211" s="663"/>
      <c r="AI211" s="663"/>
      <c r="AJ211" s="663"/>
      <c r="AK211" s="663"/>
      <c r="AL211" s="663"/>
      <c r="AM211" s="663"/>
      <c r="AN211" s="663"/>
      <c r="AO211" s="663"/>
      <c r="AP211" s="663"/>
      <c r="AQ211" s="663"/>
      <c r="AR211" s="663"/>
      <c r="AS211" s="663"/>
      <c r="AT211" s="663"/>
      <c r="AU211" s="663"/>
      <c r="AV211" s="663"/>
      <c r="AW211" s="663"/>
      <c r="AX211" s="663"/>
      <c r="AY211" s="663"/>
      <c r="AZ211" s="663"/>
      <c r="BA211" s="663"/>
      <c r="BB211" s="663"/>
    </row>
    <row r="212" spans="1:55" s="670" customFormat="1" ht="13.5" customHeight="1">
      <c r="A212" s="675"/>
      <c r="B212" s="779"/>
      <c r="C212" s="778" t="s">
        <v>186</v>
      </c>
      <c r="D212" s="777"/>
      <c r="E212" s="777"/>
      <c r="F212" s="777"/>
      <c r="G212" s="777"/>
      <c r="H212" s="777">
        <f>D212</f>
        <v>0</v>
      </c>
      <c r="I212" s="777"/>
      <c r="J212" s="777"/>
      <c r="K212" s="777"/>
      <c r="L212" s="777"/>
      <c r="M212" s="777"/>
      <c r="N212" s="777"/>
      <c r="O212" s="777"/>
      <c r="P212" s="663"/>
      <c r="Q212" s="663"/>
      <c r="R212" s="663"/>
      <c r="S212" s="663"/>
      <c r="T212" s="663"/>
      <c r="U212" s="663"/>
      <c r="V212" s="663"/>
      <c r="W212" s="663"/>
      <c r="X212" s="663"/>
      <c r="Y212" s="663"/>
      <c r="Z212" s="663"/>
      <c r="AA212" s="663"/>
      <c r="AB212" s="663"/>
      <c r="AC212" s="663"/>
      <c r="AD212" s="663"/>
      <c r="AE212" s="663"/>
      <c r="AF212" s="663"/>
      <c r="AG212" s="663"/>
      <c r="AH212" s="663"/>
      <c r="AI212" s="663"/>
      <c r="AJ212" s="663"/>
      <c r="AK212" s="663"/>
      <c r="AL212" s="663"/>
      <c r="AM212" s="663"/>
      <c r="AN212" s="663"/>
      <c r="AO212" s="663"/>
      <c r="AP212" s="663"/>
      <c r="AQ212" s="663"/>
      <c r="AR212" s="663"/>
      <c r="AS212" s="663"/>
      <c r="AT212" s="663"/>
      <c r="AU212" s="663"/>
      <c r="AV212" s="663"/>
      <c r="AW212" s="663"/>
      <c r="AX212" s="663"/>
      <c r="AY212" s="663"/>
      <c r="AZ212" s="663"/>
      <c r="BA212" s="663"/>
      <c r="BB212" s="663"/>
    </row>
    <row r="213" spans="1:55" s="670" customFormat="1" ht="13.5" customHeight="1">
      <c r="A213" s="675"/>
      <c r="B213" s="779"/>
      <c r="C213" s="778" t="s">
        <v>518</v>
      </c>
      <c r="D213" s="777"/>
      <c r="E213" s="777"/>
      <c r="F213" s="777"/>
      <c r="G213" s="777"/>
      <c r="H213" s="777">
        <f>D213</f>
        <v>0</v>
      </c>
      <c r="I213" s="777"/>
      <c r="J213" s="777"/>
      <c r="K213" s="777"/>
      <c r="L213" s="777"/>
      <c r="M213" s="777"/>
      <c r="N213" s="777"/>
      <c r="O213" s="777"/>
      <c r="P213" s="663"/>
      <c r="Q213" s="663"/>
      <c r="R213" s="663"/>
      <c r="S213" s="663"/>
      <c r="T213" s="663"/>
      <c r="U213" s="663"/>
      <c r="V213" s="663"/>
      <c r="W213" s="663"/>
      <c r="X213" s="663"/>
      <c r="Y213" s="663"/>
      <c r="Z213" s="663"/>
      <c r="AA213" s="663"/>
      <c r="AB213" s="663"/>
      <c r="AC213" s="663"/>
      <c r="AD213" s="663"/>
      <c r="AE213" s="663"/>
      <c r="AF213" s="663"/>
      <c r="AG213" s="663"/>
      <c r="AH213" s="663"/>
      <c r="AI213" s="663"/>
      <c r="AJ213" s="663"/>
      <c r="AK213" s="663"/>
      <c r="AL213" s="663"/>
      <c r="AM213" s="663"/>
      <c r="AN213" s="663"/>
      <c r="AO213" s="663"/>
      <c r="AP213" s="663"/>
      <c r="AQ213" s="663"/>
      <c r="AR213" s="663"/>
      <c r="AS213" s="663"/>
      <c r="AT213" s="663"/>
      <c r="AU213" s="663"/>
      <c r="AV213" s="663"/>
      <c r="AW213" s="663"/>
      <c r="AX213" s="663"/>
      <c r="AY213" s="663"/>
      <c r="AZ213" s="663"/>
      <c r="BA213" s="663"/>
      <c r="BB213" s="663"/>
    </row>
    <row r="214" spans="1:55" s="670" customFormat="1" ht="13.5" customHeight="1">
      <c r="A214" s="675"/>
      <c r="B214" s="779"/>
      <c r="C214" s="778" t="s">
        <v>378</v>
      </c>
      <c r="D214" s="777">
        <v>400</v>
      </c>
      <c r="E214" s="777"/>
      <c r="F214" s="777"/>
      <c r="G214" s="777"/>
      <c r="H214" s="777"/>
      <c r="I214" s="777"/>
      <c r="J214" s="777"/>
      <c r="K214" s="777"/>
      <c r="L214" s="777"/>
      <c r="M214" s="777"/>
      <c r="N214" s="777"/>
      <c r="O214" s="777"/>
      <c r="P214" s="663"/>
      <c r="Q214" s="663"/>
      <c r="R214" s="663"/>
      <c r="S214" s="663"/>
      <c r="T214" s="663"/>
      <c r="U214" s="663"/>
      <c r="V214" s="663"/>
      <c r="W214" s="663"/>
      <c r="X214" s="663"/>
      <c r="Y214" s="663"/>
      <c r="Z214" s="663"/>
      <c r="AA214" s="663"/>
      <c r="AB214" s="663"/>
      <c r="AC214" s="663"/>
      <c r="AD214" s="663"/>
      <c r="AE214" s="663"/>
      <c r="AF214" s="663"/>
      <c r="AG214" s="663"/>
      <c r="AH214" s="663"/>
      <c r="AI214" s="663"/>
      <c r="AJ214" s="663"/>
      <c r="AK214" s="663"/>
      <c r="AL214" s="663"/>
      <c r="AM214" s="663"/>
      <c r="AN214" s="663"/>
      <c r="AO214" s="663"/>
      <c r="AP214" s="663"/>
      <c r="AQ214" s="663"/>
      <c r="AR214" s="663"/>
      <c r="AS214" s="663"/>
      <c r="AT214" s="663"/>
      <c r="AU214" s="663"/>
      <c r="AV214" s="663"/>
      <c r="AW214" s="663"/>
      <c r="AX214" s="663"/>
      <c r="AY214" s="663"/>
      <c r="AZ214" s="663"/>
      <c r="BA214" s="663"/>
      <c r="BB214" s="663"/>
    </row>
    <row r="215" spans="1:55" s="670" customFormat="1" ht="13.5" customHeight="1">
      <c r="A215" s="675"/>
      <c r="B215" s="779"/>
      <c r="C215" s="778"/>
      <c r="D215" s="777"/>
      <c r="E215" s="777"/>
      <c r="F215" s="777"/>
      <c r="G215" s="777"/>
      <c r="H215" s="777"/>
      <c r="I215" s="777"/>
      <c r="J215" s="777"/>
      <c r="K215" s="777"/>
      <c r="L215" s="777"/>
      <c r="M215" s="777"/>
      <c r="N215" s="777"/>
      <c r="O215" s="777"/>
      <c r="P215" s="663"/>
      <c r="Q215" s="663"/>
      <c r="R215" s="663"/>
      <c r="S215" s="663"/>
      <c r="T215" s="663"/>
      <c r="U215" s="663"/>
      <c r="V215" s="663"/>
      <c r="W215" s="663"/>
      <c r="X215" s="663"/>
      <c r="Y215" s="663"/>
      <c r="Z215" s="663"/>
      <c r="AA215" s="663"/>
      <c r="AB215" s="663"/>
      <c r="AC215" s="663"/>
      <c r="AD215" s="663"/>
      <c r="AE215" s="663"/>
      <c r="AF215" s="663"/>
      <c r="AG215" s="663"/>
      <c r="AH215" s="663"/>
      <c r="AI215" s="663"/>
      <c r="AJ215" s="663"/>
      <c r="AK215" s="663"/>
      <c r="AL215" s="663"/>
      <c r="AM215" s="663"/>
      <c r="AN215" s="663"/>
      <c r="AO215" s="663"/>
      <c r="AP215" s="663"/>
      <c r="AQ215" s="663"/>
      <c r="AR215" s="663"/>
      <c r="AS215" s="663"/>
      <c r="AT215" s="663"/>
      <c r="AU215" s="663"/>
      <c r="AV215" s="663"/>
      <c r="AW215" s="663"/>
      <c r="AX215" s="663"/>
      <c r="AY215" s="663"/>
      <c r="AZ215" s="663"/>
      <c r="BA215" s="663"/>
      <c r="BB215" s="663"/>
    </row>
    <row r="216" spans="1:55" s="670" customFormat="1" ht="13.5" customHeight="1">
      <c r="A216" s="675"/>
      <c r="B216" s="779"/>
      <c r="C216" s="778"/>
      <c r="D216" s="777"/>
      <c r="E216" s="777"/>
      <c r="F216" s="777"/>
      <c r="G216" s="777"/>
      <c r="H216" s="777"/>
      <c r="I216" s="777"/>
      <c r="J216" s="777"/>
      <c r="K216" s="777"/>
      <c r="L216" s="777"/>
      <c r="M216" s="777"/>
      <c r="N216" s="777"/>
      <c r="O216" s="777"/>
      <c r="P216" s="663"/>
      <c r="Q216" s="663"/>
      <c r="R216" s="663"/>
      <c r="S216" s="663"/>
      <c r="T216" s="663"/>
      <c r="U216" s="663"/>
      <c r="V216" s="663"/>
      <c r="W216" s="663"/>
      <c r="X216" s="663"/>
      <c r="Y216" s="663"/>
      <c r="Z216" s="663"/>
      <c r="AA216" s="663"/>
      <c r="AB216" s="663"/>
      <c r="AC216" s="663"/>
      <c r="AD216" s="663"/>
      <c r="AE216" s="663"/>
      <c r="AF216" s="663"/>
      <c r="AG216" s="663"/>
      <c r="AH216" s="663"/>
      <c r="AI216" s="663"/>
      <c r="AJ216" s="663"/>
      <c r="AK216" s="663"/>
      <c r="AL216" s="663"/>
      <c r="AM216" s="663"/>
      <c r="AN216" s="663"/>
      <c r="AO216" s="663"/>
      <c r="AP216" s="663"/>
      <c r="AQ216" s="663"/>
      <c r="AR216" s="663"/>
      <c r="AS216" s="663"/>
      <c r="AT216" s="663"/>
      <c r="AU216" s="663"/>
      <c r="AV216" s="663"/>
      <c r="AW216" s="663"/>
      <c r="AX216" s="663"/>
      <c r="AY216" s="663"/>
      <c r="AZ216" s="663"/>
      <c r="BA216" s="663"/>
      <c r="BB216" s="663"/>
    </row>
    <row r="217" spans="1:55" s="694" customFormat="1" ht="13.5" customHeight="1">
      <c r="A217" s="700"/>
      <c r="B217" s="788" t="str">
        <f>J1</f>
        <v>august</v>
      </c>
      <c r="C217" s="787" t="s">
        <v>37</v>
      </c>
      <c r="D217" s="786">
        <f t="shared" ref="D217:M217" si="8">SUM(D218:D220)</f>
        <v>0</v>
      </c>
      <c r="E217" s="786">
        <f t="shared" si="8"/>
        <v>0</v>
      </c>
      <c r="F217" s="786">
        <f t="shared" si="8"/>
        <v>0</v>
      </c>
      <c r="G217" s="786">
        <f t="shared" si="8"/>
        <v>0</v>
      </c>
      <c r="H217" s="786">
        <f t="shared" si="8"/>
        <v>0</v>
      </c>
      <c r="I217" s="786">
        <f t="shared" si="8"/>
        <v>0</v>
      </c>
      <c r="J217" s="786">
        <f t="shared" si="8"/>
        <v>0</v>
      </c>
      <c r="K217" s="786">
        <f t="shared" si="8"/>
        <v>0</v>
      </c>
      <c r="L217" s="786">
        <f t="shared" si="8"/>
        <v>0</v>
      </c>
      <c r="M217" s="786">
        <f t="shared" si="8"/>
        <v>0</v>
      </c>
      <c r="N217" s="786"/>
      <c r="O217" s="786"/>
      <c r="P217" s="695"/>
      <c r="Q217" s="695"/>
      <c r="R217" s="695"/>
      <c r="S217" s="695"/>
      <c r="T217" s="695"/>
      <c r="U217" s="695"/>
      <c r="V217" s="695"/>
      <c r="W217" s="695"/>
      <c r="X217" s="695"/>
      <c r="Y217" s="695"/>
      <c r="Z217" s="695"/>
      <c r="AA217" s="695"/>
      <c r="AB217" s="695"/>
      <c r="AC217" s="695"/>
      <c r="AD217" s="695"/>
      <c r="AE217" s="695"/>
      <c r="AF217" s="695"/>
      <c r="AG217" s="695"/>
      <c r="AH217" s="695"/>
      <c r="AI217" s="695"/>
      <c r="AJ217" s="695"/>
      <c r="AK217" s="695"/>
      <c r="AL217" s="695"/>
      <c r="AM217" s="695"/>
      <c r="AN217" s="695"/>
      <c r="AO217" s="695"/>
      <c r="AP217" s="695"/>
      <c r="AQ217" s="695"/>
      <c r="AR217" s="695"/>
      <c r="AS217" s="695"/>
      <c r="AT217" s="695"/>
      <c r="AU217" s="695"/>
      <c r="AV217" s="695"/>
      <c r="AW217" s="695"/>
      <c r="AX217" s="695"/>
      <c r="AY217" s="695"/>
      <c r="AZ217" s="695"/>
      <c r="BA217" s="695"/>
      <c r="BB217" s="695"/>
      <c r="BC217" s="695"/>
    </row>
    <row r="218" spans="1:55" ht="13.5" customHeight="1">
      <c r="A218" s="648"/>
      <c r="B218" s="791"/>
      <c r="C218" s="790"/>
      <c r="D218" s="789"/>
      <c r="E218" s="789"/>
      <c r="F218" s="789"/>
      <c r="G218" s="789"/>
      <c r="H218" s="789"/>
      <c r="I218" s="789"/>
      <c r="J218" s="789"/>
      <c r="K218" s="789"/>
      <c r="L218" s="789"/>
      <c r="M218" s="789"/>
      <c r="N218" s="789"/>
      <c r="O218" s="789"/>
      <c r="P218" s="648"/>
      <c r="Q218" s="648"/>
      <c r="R218" s="648"/>
      <c r="S218" s="648"/>
      <c r="T218" s="648"/>
      <c r="U218" s="648"/>
      <c r="V218" s="648"/>
      <c r="W218" s="648"/>
      <c r="X218" s="648"/>
      <c r="Y218" s="648"/>
      <c r="Z218" s="648"/>
      <c r="AA218" s="648"/>
      <c r="AB218" s="648"/>
      <c r="AC218" s="648"/>
      <c r="AD218" s="648"/>
      <c r="AE218" s="648"/>
      <c r="AF218" s="648"/>
      <c r="AG218" s="648"/>
      <c r="AH218" s="648"/>
      <c r="AI218" s="648"/>
      <c r="AJ218" s="648"/>
      <c r="AK218" s="648"/>
      <c r="AL218" s="648"/>
      <c r="AM218" s="648"/>
      <c r="AN218" s="648"/>
      <c r="AO218" s="648"/>
      <c r="AP218" s="648"/>
      <c r="AQ218" s="648"/>
      <c r="AR218" s="648"/>
      <c r="AS218" s="648"/>
      <c r="AT218" s="648"/>
      <c r="AU218" s="648"/>
      <c r="AV218" s="648"/>
      <c r="AW218" s="648"/>
      <c r="AX218" s="648"/>
      <c r="AY218" s="648"/>
      <c r="AZ218" s="648"/>
      <c r="BA218" s="648"/>
      <c r="BB218" s="648"/>
    </row>
    <row r="219" spans="1:55" ht="13.5" customHeight="1">
      <c r="A219" s="648"/>
      <c r="B219" s="791"/>
      <c r="C219" s="790"/>
      <c r="D219" s="789"/>
      <c r="E219" s="789"/>
      <c r="F219" s="789"/>
      <c r="G219" s="789"/>
      <c r="H219" s="789"/>
      <c r="I219" s="789"/>
      <c r="J219" s="789"/>
      <c r="K219" s="789"/>
      <c r="L219" s="789"/>
      <c r="M219" s="789"/>
      <c r="N219" s="789"/>
      <c r="O219" s="789"/>
      <c r="P219" s="648"/>
      <c r="Q219" s="648"/>
      <c r="R219" s="648"/>
      <c r="S219" s="648"/>
      <c r="T219" s="648"/>
      <c r="U219" s="648"/>
      <c r="V219" s="648"/>
      <c r="W219" s="648"/>
      <c r="X219" s="648"/>
      <c r="Y219" s="648"/>
      <c r="Z219" s="648"/>
      <c r="AA219" s="648"/>
      <c r="AB219" s="648"/>
      <c r="AC219" s="648"/>
      <c r="AD219" s="648"/>
      <c r="AE219" s="648"/>
      <c r="AF219" s="648"/>
      <c r="AG219" s="648"/>
      <c r="AH219" s="648"/>
      <c r="AI219" s="648"/>
      <c r="AJ219" s="648"/>
      <c r="AK219" s="648"/>
      <c r="AL219" s="648"/>
      <c r="AM219" s="648"/>
      <c r="AN219" s="648"/>
      <c r="AO219" s="648"/>
      <c r="AP219" s="648"/>
      <c r="AQ219" s="648"/>
      <c r="AR219" s="648"/>
      <c r="AS219" s="648"/>
      <c r="AT219" s="648"/>
      <c r="AU219" s="648"/>
      <c r="AV219" s="648"/>
      <c r="AW219" s="648"/>
      <c r="AX219" s="648"/>
      <c r="AY219" s="648"/>
      <c r="AZ219" s="648"/>
      <c r="BA219" s="648"/>
      <c r="BB219" s="648"/>
    </row>
    <row r="220" spans="1:55" s="694" customFormat="1" ht="13.5" customHeight="1">
      <c r="A220" s="700"/>
      <c r="B220" s="788"/>
      <c r="C220" s="787"/>
      <c r="D220" s="786"/>
      <c r="E220" s="786"/>
      <c r="F220" s="786"/>
      <c r="G220" s="786"/>
      <c r="H220" s="786"/>
      <c r="I220" s="786"/>
      <c r="J220" s="786"/>
      <c r="K220" s="786"/>
      <c r="L220" s="786"/>
      <c r="M220" s="786"/>
      <c r="N220" s="786"/>
      <c r="O220" s="786"/>
      <c r="P220" s="695"/>
      <c r="Q220" s="695"/>
      <c r="R220" s="695"/>
      <c r="S220" s="695"/>
      <c r="T220" s="695"/>
      <c r="U220" s="695"/>
      <c r="V220" s="695"/>
      <c r="W220" s="695"/>
      <c r="X220" s="695"/>
      <c r="Y220" s="695"/>
      <c r="Z220" s="695"/>
      <c r="AA220" s="695"/>
      <c r="AB220" s="695"/>
      <c r="AC220" s="695"/>
      <c r="AD220" s="695"/>
      <c r="AE220" s="695"/>
      <c r="AF220" s="695"/>
      <c r="AG220" s="695"/>
      <c r="AH220" s="695"/>
      <c r="AI220" s="695"/>
      <c r="AJ220" s="695"/>
      <c r="AK220" s="695"/>
      <c r="AL220" s="695"/>
      <c r="AM220" s="695"/>
      <c r="AN220" s="695"/>
      <c r="AO220" s="695"/>
      <c r="AP220" s="695"/>
      <c r="AQ220" s="695"/>
      <c r="AR220" s="695"/>
      <c r="AS220" s="695"/>
      <c r="AT220" s="695"/>
      <c r="AU220" s="695"/>
      <c r="AV220" s="695"/>
      <c r="AW220" s="695"/>
      <c r="AX220" s="695"/>
      <c r="AY220" s="695"/>
      <c r="AZ220" s="695"/>
      <c r="BA220" s="695"/>
      <c r="BB220" s="695"/>
      <c r="BC220" s="695"/>
    </row>
    <row r="221" spans="1:55" s="780" customFormat="1" ht="13.5" customHeight="1">
      <c r="A221" s="785"/>
      <c r="B221" s="784" t="str">
        <f>J1</f>
        <v>august</v>
      </c>
      <c r="C221" s="783" t="s">
        <v>36</v>
      </c>
      <c r="D221" s="782">
        <f>SUM(D222:D241)</f>
        <v>1353</v>
      </c>
      <c r="E221" s="782"/>
      <c r="F221" s="782"/>
      <c r="G221" s="782"/>
      <c r="H221" s="782"/>
      <c r="I221" s="782"/>
      <c r="J221" s="782"/>
      <c r="K221" s="782"/>
      <c r="L221" s="782"/>
      <c r="M221" s="782"/>
      <c r="N221" s="782"/>
      <c r="O221" s="782"/>
      <c r="P221" s="781"/>
      <c r="Q221" s="781"/>
      <c r="R221" s="781"/>
      <c r="S221" s="781"/>
      <c r="T221" s="781"/>
      <c r="U221" s="781"/>
      <c r="V221" s="781"/>
      <c r="W221" s="781"/>
      <c r="X221" s="781"/>
      <c r="Y221" s="781"/>
      <c r="Z221" s="781"/>
      <c r="AA221" s="781"/>
      <c r="AB221" s="781"/>
      <c r="AC221" s="781"/>
      <c r="AD221" s="781"/>
      <c r="AE221" s="781"/>
      <c r="AF221" s="781"/>
      <c r="AG221" s="781"/>
      <c r="AH221" s="781"/>
      <c r="AI221" s="781"/>
      <c r="AJ221" s="781"/>
      <c r="AK221" s="781"/>
      <c r="AL221" s="781"/>
      <c r="AM221" s="781"/>
      <c r="AN221" s="781"/>
      <c r="AO221" s="781"/>
      <c r="AP221" s="781"/>
      <c r="AQ221" s="781"/>
      <c r="AR221" s="781"/>
      <c r="AS221" s="781"/>
      <c r="AT221" s="781"/>
      <c r="AU221" s="781"/>
      <c r="AV221" s="781"/>
      <c r="AW221" s="781"/>
      <c r="AX221" s="781"/>
      <c r="AY221" s="781"/>
      <c r="AZ221" s="781"/>
      <c r="BA221" s="781"/>
      <c r="BB221" s="781"/>
    </row>
    <row r="222" spans="1:55" s="670" customFormat="1" ht="13.5" customHeight="1">
      <c r="A222" s="675"/>
      <c r="B222" s="779"/>
      <c r="C222" s="778" t="s">
        <v>22</v>
      </c>
      <c r="D222" s="777">
        <v>89</v>
      </c>
      <c r="E222" s="777"/>
      <c r="F222" s="777"/>
      <c r="G222" s="777">
        <f>D222</f>
        <v>89</v>
      </c>
      <c r="H222" s="777"/>
      <c r="I222" s="777"/>
      <c r="J222" s="777"/>
      <c r="K222" s="777"/>
      <c r="L222" s="777"/>
      <c r="M222" s="777"/>
      <c r="N222" s="777"/>
      <c r="O222" s="777"/>
      <c r="P222" s="663"/>
      <c r="Q222" s="663"/>
      <c r="R222" s="663"/>
      <c r="S222" s="663"/>
      <c r="T222" s="663"/>
      <c r="U222" s="663"/>
      <c r="V222" s="663"/>
      <c r="W222" s="663"/>
      <c r="X222" s="663"/>
      <c r="Y222" s="663"/>
      <c r="Z222" s="663"/>
      <c r="AA222" s="663"/>
      <c r="AB222" s="663"/>
      <c r="AC222" s="663"/>
      <c r="AD222" s="663"/>
      <c r="AE222" s="663"/>
      <c r="AF222" s="663"/>
      <c r="AG222" s="663"/>
      <c r="AH222" s="663"/>
      <c r="AI222" s="663"/>
      <c r="AJ222" s="663"/>
      <c r="AK222" s="663"/>
      <c r="AL222" s="663"/>
      <c r="AM222" s="663"/>
      <c r="AN222" s="663"/>
      <c r="AO222" s="663"/>
      <c r="AP222" s="663"/>
      <c r="AQ222" s="663"/>
      <c r="AR222" s="663"/>
      <c r="AS222" s="663"/>
      <c r="AT222" s="663"/>
      <c r="AU222" s="663"/>
      <c r="AV222" s="663"/>
      <c r="AW222" s="663"/>
      <c r="AX222" s="663"/>
      <c r="AY222" s="663"/>
      <c r="AZ222" s="663"/>
      <c r="BA222" s="663"/>
      <c r="BB222" s="663"/>
    </row>
    <row r="223" spans="1:55" s="670" customFormat="1" ht="13.5" customHeight="1">
      <c r="A223" s="675"/>
      <c r="B223" s="779"/>
      <c r="C223" s="778" t="s">
        <v>21</v>
      </c>
      <c r="D223" s="777">
        <v>176</v>
      </c>
      <c r="E223" s="777"/>
      <c r="F223" s="777"/>
      <c r="G223" s="777"/>
      <c r="H223" s="777"/>
      <c r="I223" s="777"/>
      <c r="J223" s="777"/>
      <c r="K223" s="777"/>
      <c r="L223" s="777"/>
      <c r="M223" s="777"/>
      <c r="N223" s="777"/>
      <c r="O223" s="777"/>
      <c r="P223" s="663"/>
      <c r="Q223" s="663"/>
      <c r="R223" s="663"/>
      <c r="S223" s="663"/>
      <c r="T223" s="663"/>
      <c r="U223" s="663"/>
      <c r="V223" s="663"/>
      <c r="W223" s="663"/>
      <c r="X223" s="663"/>
      <c r="Y223" s="663"/>
      <c r="Z223" s="663"/>
      <c r="AA223" s="663"/>
      <c r="AB223" s="663"/>
      <c r="AC223" s="663"/>
      <c r="AD223" s="663"/>
      <c r="AE223" s="663"/>
      <c r="AF223" s="663"/>
      <c r="AG223" s="663"/>
      <c r="AH223" s="663"/>
      <c r="AI223" s="663"/>
      <c r="AJ223" s="663"/>
      <c r="AK223" s="663"/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663"/>
      <c r="AV223" s="663"/>
      <c r="AW223" s="663"/>
      <c r="AX223" s="663"/>
      <c r="AY223" s="663"/>
      <c r="AZ223" s="663"/>
      <c r="BA223" s="663"/>
      <c r="BB223" s="663"/>
    </row>
    <row r="224" spans="1:55" s="670" customFormat="1" ht="13.5" customHeight="1">
      <c r="A224" s="675"/>
      <c r="B224" s="779"/>
      <c r="C224" s="778" t="s">
        <v>230</v>
      </c>
      <c r="D224" s="777">
        <v>59</v>
      </c>
      <c r="E224" s="777"/>
      <c r="F224" s="777"/>
      <c r="G224" s="777">
        <f>D224</f>
        <v>59</v>
      </c>
      <c r="H224" s="777"/>
      <c r="I224" s="777"/>
      <c r="J224" s="777"/>
      <c r="K224" s="777"/>
      <c r="L224" s="777"/>
      <c r="M224" s="777"/>
      <c r="N224" s="777"/>
      <c r="O224" s="777"/>
      <c r="P224" s="663"/>
      <c r="Q224" s="663"/>
      <c r="R224" s="663"/>
      <c r="S224" s="663"/>
      <c r="T224" s="663"/>
      <c r="U224" s="663"/>
      <c r="V224" s="663"/>
      <c r="W224" s="663"/>
      <c r="X224" s="663"/>
      <c r="Y224" s="663"/>
      <c r="Z224" s="663"/>
      <c r="AA224" s="663"/>
      <c r="AB224" s="663"/>
      <c r="AC224" s="663"/>
      <c r="AD224" s="663"/>
      <c r="AE224" s="663"/>
      <c r="AF224" s="663"/>
      <c r="AG224" s="663"/>
      <c r="AH224" s="663"/>
      <c r="AI224" s="663"/>
      <c r="AJ224" s="663"/>
      <c r="AK224" s="663"/>
      <c r="AL224" s="663"/>
      <c r="AM224" s="663"/>
      <c r="AN224" s="663"/>
      <c r="AO224" s="663"/>
      <c r="AP224" s="663"/>
      <c r="AQ224" s="663"/>
      <c r="AR224" s="663"/>
      <c r="AS224" s="663"/>
      <c r="AT224" s="663"/>
      <c r="AU224" s="663"/>
      <c r="AV224" s="663"/>
      <c r="AW224" s="663"/>
      <c r="AX224" s="663"/>
      <c r="AY224" s="663"/>
      <c r="AZ224" s="663"/>
      <c r="BA224" s="663"/>
      <c r="BB224" s="663"/>
    </row>
    <row r="225" spans="1:54" s="670" customFormat="1" ht="13.5" customHeight="1">
      <c r="A225" s="675"/>
      <c r="B225" s="779"/>
      <c r="C225" s="778" t="s">
        <v>464</v>
      </c>
      <c r="D225" s="777">
        <v>129</v>
      </c>
      <c r="E225" s="777"/>
      <c r="F225" s="777">
        <f>D225</f>
        <v>129</v>
      </c>
      <c r="G225" s="777"/>
      <c r="H225" s="777"/>
      <c r="I225" s="777"/>
      <c r="J225" s="777"/>
      <c r="K225" s="777"/>
      <c r="L225" s="777"/>
      <c r="M225" s="777"/>
      <c r="N225" s="777"/>
      <c r="O225" s="777"/>
      <c r="P225" s="663"/>
      <c r="Q225" s="663"/>
      <c r="R225" s="663"/>
      <c r="S225" s="663"/>
      <c r="T225" s="663"/>
      <c r="U225" s="663"/>
      <c r="V225" s="663"/>
      <c r="W225" s="663"/>
      <c r="X225" s="663"/>
      <c r="Y225" s="663"/>
      <c r="Z225" s="663"/>
      <c r="AA225" s="663"/>
      <c r="AB225" s="663"/>
      <c r="AC225" s="663"/>
      <c r="AD225" s="663"/>
      <c r="AE225" s="663"/>
      <c r="AF225" s="663"/>
      <c r="AG225" s="663"/>
      <c r="AH225" s="663"/>
      <c r="AI225" s="663"/>
      <c r="AJ225" s="663"/>
      <c r="AK225" s="663"/>
      <c r="AL225" s="663"/>
      <c r="AM225" s="663"/>
      <c r="AN225" s="663"/>
      <c r="AO225" s="663"/>
      <c r="AP225" s="663"/>
      <c r="AQ225" s="663"/>
      <c r="AR225" s="663"/>
      <c r="AS225" s="663"/>
      <c r="AT225" s="663"/>
      <c r="AU225" s="663"/>
      <c r="AV225" s="663"/>
      <c r="AW225" s="663"/>
      <c r="AX225" s="663"/>
      <c r="AY225" s="663"/>
      <c r="AZ225" s="663"/>
      <c r="BA225" s="663"/>
      <c r="BB225" s="663"/>
    </row>
    <row r="226" spans="1:54" s="670" customFormat="1" ht="13.5" customHeight="1">
      <c r="A226" s="675"/>
      <c r="B226" s="779"/>
      <c r="C226" s="778" t="s">
        <v>397</v>
      </c>
      <c r="D226" s="777">
        <v>200</v>
      </c>
      <c r="E226" s="777"/>
      <c r="F226" s="777"/>
      <c r="G226" s="777"/>
      <c r="H226" s="777"/>
      <c r="I226" s="777"/>
      <c r="J226" s="777"/>
      <c r="K226" s="777"/>
      <c r="L226" s="777"/>
      <c r="M226" s="777"/>
      <c r="N226" s="777"/>
      <c r="O226" s="777"/>
      <c r="P226" s="663"/>
      <c r="Q226" s="663"/>
      <c r="R226" s="663"/>
      <c r="S226" s="663"/>
      <c r="T226" s="663"/>
      <c r="U226" s="663"/>
      <c r="V226" s="663"/>
      <c r="W226" s="663"/>
      <c r="X226" s="663"/>
      <c r="Y226" s="663"/>
      <c r="Z226" s="663"/>
      <c r="AA226" s="663"/>
      <c r="AB226" s="663"/>
      <c r="AC226" s="663"/>
      <c r="AD226" s="663"/>
      <c r="AE226" s="663"/>
      <c r="AF226" s="663"/>
      <c r="AG226" s="663"/>
      <c r="AH226" s="663"/>
      <c r="AI226" s="663"/>
      <c r="AJ226" s="663"/>
      <c r="AK226" s="663"/>
      <c r="AL226" s="663"/>
      <c r="AM226" s="663"/>
      <c r="AN226" s="663"/>
      <c r="AO226" s="663"/>
      <c r="AP226" s="663"/>
      <c r="AQ226" s="663"/>
      <c r="AR226" s="663"/>
      <c r="AS226" s="663"/>
      <c r="AT226" s="663"/>
      <c r="AU226" s="663"/>
      <c r="AV226" s="663"/>
      <c r="AW226" s="663"/>
      <c r="AX226" s="663"/>
      <c r="AY226" s="663"/>
      <c r="AZ226" s="663"/>
      <c r="BA226" s="663"/>
      <c r="BB226" s="663"/>
    </row>
    <row r="227" spans="1:54" s="670" customFormat="1" ht="13.5" customHeight="1">
      <c r="A227" s="675"/>
      <c r="B227" s="779"/>
      <c r="C227" s="778" t="s">
        <v>769</v>
      </c>
      <c r="D227" s="777">
        <v>30</v>
      </c>
      <c r="E227" s="777"/>
      <c r="F227" s="777"/>
      <c r="G227" s="777"/>
      <c r="H227" s="777"/>
      <c r="I227" s="777">
        <f>D227</f>
        <v>30</v>
      </c>
      <c r="J227" s="777"/>
      <c r="K227" s="777"/>
      <c r="L227" s="777"/>
      <c r="M227" s="777"/>
      <c r="N227" s="777"/>
      <c r="O227" s="777"/>
      <c r="P227" s="663"/>
      <c r="Q227" s="663"/>
      <c r="R227" s="663"/>
      <c r="S227" s="663"/>
      <c r="T227" s="663"/>
      <c r="U227" s="663"/>
      <c r="V227" s="663"/>
      <c r="W227" s="663"/>
      <c r="X227" s="663"/>
      <c r="Y227" s="663"/>
      <c r="Z227" s="663"/>
      <c r="AA227" s="663"/>
      <c r="AB227" s="663"/>
      <c r="AC227" s="663"/>
      <c r="AD227" s="663"/>
      <c r="AE227" s="663"/>
      <c r="AF227" s="663"/>
      <c r="AG227" s="663"/>
      <c r="AH227" s="663"/>
      <c r="AI227" s="663"/>
      <c r="AJ227" s="663"/>
      <c r="AK227" s="663"/>
      <c r="AL227" s="663"/>
      <c r="AM227" s="663"/>
      <c r="AN227" s="663"/>
      <c r="AO227" s="663"/>
      <c r="AP227" s="663"/>
      <c r="AQ227" s="663"/>
      <c r="AR227" s="663"/>
      <c r="AS227" s="663"/>
      <c r="AT227" s="663"/>
      <c r="AU227" s="663"/>
      <c r="AV227" s="663"/>
      <c r="AW227" s="663"/>
      <c r="AX227" s="663"/>
      <c r="AY227" s="663"/>
      <c r="AZ227" s="663"/>
      <c r="BA227" s="663"/>
      <c r="BB227" s="663"/>
    </row>
    <row r="228" spans="1:54" s="670" customFormat="1" ht="13.5" customHeight="1">
      <c r="A228" s="675"/>
      <c r="B228" s="779"/>
      <c r="C228" s="778" t="s">
        <v>768</v>
      </c>
      <c r="D228" s="777">
        <v>30</v>
      </c>
      <c r="E228" s="777"/>
      <c r="F228" s="777"/>
      <c r="G228" s="777"/>
      <c r="H228" s="777"/>
      <c r="I228" s="777"/>
      <c r="J228" s="777">
        <f>D228</f>
        <v>30</v>
      </c>
      <c r="K228" s="777"/>
      <c r="L228" s="777"/>
      <c r="M228" s="777"/>
      <c r="N228" s="777"/>
      <c r="O228" s="777"/>
      <c r="P228" s="663"/>
      <c r="Q228" s="663"/>
      <c r="R228" s="663"/>
      <c r="S228" s="663"/>
      <c r="T228" s="663"/>
      <c r="U228" s="663"/>
      <c r="V228" s="663"/>
      <c r="W228" s="663"/>
      <c r="X228" s="663"/>
      <c r="Y228" s="663"/>
      <c r="Z228" s="663"/>
      <c r="AA228" s="663"/>
      <c r="AB228" s="663"/>
      <c r="AC228" s="663"/>
      <c r="AD228" s="663"/>
      <c r="AE228" s="663"/>
      <c r="AF228" s="663"/>
      <c r="AG228" s="663"/>
      <c r="AH228" s="663"/>
      <c r="AI228" s="663"/>
      <c r="AJ228" s="663"/>
      <c r="AK228" s="663"/>
      <c r="AL228" s="663"/>
      <c r="AM228" s="663"/>
      <c r="AN228" s="663"/>
      <c r="AO228" s="663"/>
      <c r="AP228" s="663"/>
      <c r="AQ228" s="663"/>
      <c r="AR228" s="663"/>
      <c r="AS228" s="663"/>
      <c r="AT228" s="663"/>
      <c r="AU228" s="663"/>
      <c r="AV228" s="663"/>
      <c r="AW228" s="663"/>
      <c r="AX228" s="663"/>
      <c r="AY228" s="663"/>
      <c r="AZ228" s="663"/>
      <c r="BA228" s="663"/>
      <c r="BB228" s="663"/>
    </row>
    <row r="229" spans="1:54" s="670" customFormat="1" ht="13.5" customHeight="1">
      <c r="A229" s="675"/>
      <c r="B229" s="779"/>
      <c r="C229" s="778" t="s">
        <v>767</v>
      </c>
      <c r="D229" s="777">
        <v>30</v>
      </c>
      <c r="E229" s="777"/>
      <c r="F229" s="777"/>
      <c r="G229" s="777"/>
      <c r="H229" s="777"/>
      <c r="I229" s="777">
        <f>D229</f>
        <v>30</v>
      </c>
      <c r="J229" s="777"/>
      <c r="K229" s="777"/>
      <c r="L229" s="777"/>
      <c r="M229" s="777"/>
      <c r="N229" s="777"/>
      <c r="O229" s="777"/>
      <c r="P229" s="663"/>
      <c r="Q229" s="663"/>
      <c r="R229" s="663"/>
      <c r="S229" s="663"/>
      <c r="T229" s="663"/>
      <c r="U229" s="663"/>
      <c r="V229" s="663"/>
      <c r="W229" s="663"/>
      <c r="X229" s="663"/>
      <c r="Y229" s="663"/>
      <c r="Z229" s="663"/>
      <c r="AA229" s="663"/>
      <c r="AB229" s="663"/>
      <c r="AC229" s="663"/>
      <c r="AD229" s="663"/>
      <c r="AE229" s="663"/>
      <c r="AF229" s="663"/>
      <c r="AG229" s="663"/>
      <c r="AH229" s="663"/>
      <c r="AI229" s="663"/>
      <c r="AJ229" s="663"/>
      <c r="AK229" s="663"/>
      <c r="AL229" s="663"/>
      <c r="AM229" s="663"/>
      <c r="AN229" s="663"/>
      <c r="AO229" s="663"/>
      <c r="AP229" s="663"/>
      <c r="AQ229" s="663"/>
      <c r="AR229" s="663"/>
      <c r="AS229" s="663"/>
      <c r="AT229" s="663"/>
      <c r="AU229" s="663"/>
      <c r="AV229" s="663"/>
      <c r="AW229" s="663"/>
      <c r="AX229" s="663"/>
      <c r="AY229" s="663"/>
      <c r="AZ229" s="663"/>
      <c r="BA229" s="663"/>
      <c r="BB229" s="663"/>
    </row>
    <row r="230" spans="1:54" s="670" customFormat="1" ht="13.5" customHeight="1">
      <c r="A230" s="675"/>
      <c r="B230" s="779"/>
      <c r="C230" s="778" t="s">
        <v>766</v>
      </c>
      <c r="D230" s="777">
        <v>30</v>
      </c>
      <c r="E230" s="777"/>
      <c r="F230" s="777"/>
      <c r="G230" s="777"/>
      <c r="H230" s="777"/>
      <c r="I230" s="777"/>
      <c r="J230" s="777">
        <f>D230</f>
        <v>30</v>
      </c>
      <c r="K230" s="777"/>
      <c r="L230" s="777"/>
      <c r="M230" s="777"/>
      <c r="N230" s="777"/>
      <c r="O230" s="777"/>
      <c r="P230" s="663"/>
      <c r="Q230" s="663"/>
      <c r="R230" s="663"/>
      <c r="S230" s="663"/>
      <c r="T230" s="663"/>
      <c r="U230" s="663"/>
      <c r="V230" s="663"/>
      <c r="W230" s="663"/>
      <c r="X230" s="663"/>
      <c r="Y230" s="663"/>
      <c r="Z230" s="663"/>
      <c r="AA230" s="663"/>
      <c r="AB230" s="663"/>
      <c r="AC230" s="663"/>
      <c r="AD230" s="663"/>
      <c r="AE230" s="663"/>
      <c r="AF230" s="663"/>
      <c r="AG230" s="663"/>
      <c r="AH230" s="663"/>
      <c r="AI230" s="663"/>
      <c r="AJ230" s="663"/>
      <c r="AK230" s="663"/>
      <c r="AL230" s="663"/>
      <c r="AM230" s="663"/>
      <c r="AN230" s="663"/>
      <c r="AO230" s="663"/>
      <c r="AP230" s="663"/>
      <c r="AQ230" s="663"/>
      <c r="AR230" s="663"/>
      <c r="AS230" s="663"/>
      <c r="AT230" s="663"/>
      <c r="AU230" s="663"/>
      <c r="AV230" s="663"/>
      <c r="AW230" s="663"/>
      <c r="AX230" s="663"/>
      <c r="AY230" s="663"/>
      <c r="AZ230" s="663"/>
      <c r="BA230" s="663"/>
      <c r="BB230" s="663"/>
    </row>
    <row r="231" spans="1:54" s="670" customFormat="1" ht="13.5" customHeight="1">
      <c r="A231" s="675"/>
      <c r="B231" s="779"/>
      <c r="C231" s="778" t="s">
        <v>765</v>
      </c>
      <c r="D231" s="777">
        <v>30</v>
      </c>
      <c r="E231" s="777"/>
      <c r="F231" s="777"/>
      <c r="G231" s="777"/>
      <c r="H231" s="777"/>
      <c r="I231" s="777">
        <f>D231</f>
        <v>30</v>
      </c>
      <c r="J231" s="777"/>
      <c r="K231" s="777"/>
      <c r="L231" s="777"/>
      <c r="M231" s="777"/>
      <c r="N231" s="777"/>
      <c r="O231" s="777"/>
      <c r="P231" s="663"/>
      <c r="Q231" s="663"/>
      <c r="R231" s="663"/>
      <c r="S231" s="663"/>
      <c r="T231" s="663"/>
      <c r="U231" s="663"/>
      <c r="V231" s="663"/>
      <c r="W231" s="663"/>
      <c r="X231" s="663"/>
      <c r="Y231" s="663"/>
      <c r="Z231" s="663"/>
      <c r="AA231" s="663"/>
      <c r="AB231" s="663"/>
      <c r="AC231" s="663"/>
      <c r="AD231" s="663"/>
      <c r="AE231" s="663"/>
      <c r="AF231" s="663"/>
      <c r="AG231" s="663"/>
      <c r="AH231" s="663"/>
      <c r="AI231" s="663"/>
      <c r="AJ231" s="663"/>
      <c r="AK231" s="663"/>
      <c r="AL231" s="663"/>
      <c r="AM231" s="663"/>
      <c r="AN231" s="663"/>
      <c r="AO231" s="663"/>
      <c r="AP231" s="663"/>
      <c r="AQ231" s="663"/>
      <c r="AR231" s="663"/>
      <c r="AS231" s="663"/>
      <c r="AT231" s="663"/>
      <c r="AU231" s="663"/>
      <c r="AV231" s="663"/>
      <c r="AW231" s="663"/>
      <c r="AX231" s="663"/>
      <c r="AY231" s="663"/>
      <c r="AZ231" s="663"/>
      <c r="BA231" s="663"/>
      <c r="BB231" s="663"/>
    </row>
    <row r="232" spans="1:54" s="670" customFormat="1" ht="13.5" customHeight="1">
      <c r="A232" s="675"/>
      <c r="B232" s="779"/>
      <c r="C232" s="778" t="s">
        <v>764</v>
      </c>
      <c r="D232" s="777">
        <v>30</v>
      </c>
      <c r="E232" s="777"/>
      <c r="F232" s="777"/>
      <c r="G232" s="777"/>
      <c r="H232" s="777"/>
      <c r="I232" s="777"/>
      <c r="J232" s="777">
        <f>D232</f>
        <v>30</v>
      </c>
      <c r="K232" s="777"/>
      <c r="L232" s="777"/>
      <c r="M232" s="777"/>
      <c r="N232" s="777"/>
      <c r="O232" s="777"/>
      <c r="P232" s="663"/>
      <c r="Q232" s="663"/>
      <c r="R232" s="663"/>
      <c r="S232" s="663"/>
      <c r="T232" s="663"/>
      <c r="U232" s="663"/>
      <c r="V232" s="663"/>
      <c r="W232" s="663"/>
      <c r="X232" s="663"/>
      <c r="Y232" s="663"/>
      <c r="Z232" s="663"/>
      <c r="AA232" s="663"/>
      <c r="AB232" s="663"/>
      <c r="AC232" s="663"/>
      <c r="AD232" s="663"/>
      <c r="AE232" s="663"/>
      <c r="AF232" s="663"/>
      <c r="AG232" s="663"/>
      <c r="AH232" s="663"/>
      <c r="AI232" s="663"/>
      <c r="AJ232" s="663"/>
      <c r="AK232" s="663"/>
      <c r="AL232" s="663"/>
      <c r="AM232" s="663"/>
      <c r="AN232" s="663"/>
      <c r="AO232" s="663"/>
      <c r="AP232" s="663"/>
      <c r="AQ232" s="663"/>
      <c r="AR232" s="663"/>
      <c r="AS232" s="663"/>
      <c r="AT232" s="663"/>
      <c r="AU232" s="663"/>
      <c r="AV232" s="663"/>
      <c r="AW232" s="663"/>
      <c r="AX232" s="663"/>
      <c r="AY232" s="663"/>
      <c r="AZ232" s="663"/>
      <c r="BA232" s="663"/>
      <c r="BB232" s="663"/>
    </row>
    <row r="233" spans="1:54" s="670" customFormat="1" ht="13.5" customHeight="1">
      <c r="A233" s="675"/>
      <c r="B233" s="779"/>
      <c r="C233" s="778" t="s">
        <v>763</v>
      </c>
      <c r="D233" s="777">
        <v>30</v>
      </c>
      <c r="E233" s="777"/>
      <c r="F233" s="777"/>
      <c r="G233" s="777"/>
      <c r="H233" s="777"/>
      <c r="I233" s="777">
        <f>D233</f>
        <v>30</v>
      </c>
      <c r="J233" s="777"/>
      <c r="K233" s="777"/>
      <c r="L233" s="777"/>
      <c r="M233" s="777"/>
      <c r="N233" s="777"/>
      <c r="O233" s="777"/>
      <c r="P233" s="663"/>
      <c r="Q233" s="663"/>
      <c r="R233" s="663"/>
      <c r="S233" s="663"/>
      <c r="T233" s="663"/>
      <c r="U233" s="663"/>
      <c r="V233" s="663"/>
      <c r="W233" s="663"/>
      <c r="X233" s="663"/>
      <c r="Y233" s="663"/>
      <c r="Z233" s="663"/>
      <c r="AA233" s="663"/>
      <c r="AB233" s="663"/>
      <c r="AC233" s="663"/>
      <c r="AD233" s="663"/>
      <c r="AE233" s="663"/>
      <c r="AF233" s="663"/>
      <c r="AG233" s="663"/>
      <c r="AH233" s="663"/>
      <c r="AI233" s="663"/>
      <c r="AJ233" s="663"/>
      <c r="AK233" s="663"/>
      <c r="AL233" s="663"/>
      <c r="AM233" s="663"/>
      <c r="AN233" s="663"/>
      <c r="AO233" s="663"/>
      <c r="AP233" s="663"/>
      <c r="AQ233" s="663"/>
      <c r="AR233" s="663"/>
      <c r="AS233" s="663"/>
      <c r="AT233" s="663"/>
      <c r="AU233" s="663"/>
      <c r="AV233" s="663"/>
      <c r="AW233" s="663"/>
      <c r="AX233" s="663"/>
      <c r="AY233" s="663"/>
      <c r="AZ233" s="663"/>
      <c r="BA233" s="663"/>
      <c r="BB233" s="663"/>
    </row>
    <row r="234" spans="1:54" s="670" customFormat="1" ht="13.5" customHeight="1">
      <c r="A234" s="675"/>
      <c r="B234" s="779"/>
      <c r="C234" s="778" t="s">
        <v>762</v>
      </c>
      <c r="D234" s="777">
        <v>30</v>
      </c>
      <c r="E234" s="777"/>
      <c r="F234" s="777"/>
      <c r="G234" s="777"/>
      <c r="H234" s="777"/>
      <c r="I234" s="777"/>
      <c r="J234" s="777">
        <f>D234</f>
        <v>30</v>
      </c>
      <c r="K234" s="777"/>
      <c r="L234" s="777"/>
      <c r="M234" s="777"/>
      <c r="N234" s="777"/>
      <c r="O234" s="777"/>
      <c r="P234" s="663"/>
      <c r="Q234" s="663"/>
      <c r="R234" s="663"/>
      <c r="S234" s="663"/>
      <c r="T234" s="663"/>
      <c r="U234" s="663"/>
      <c r="V234" s="663"/>
      <c r="W234" s="663"/>
      <c r="X234" s="663"/>
      <c r="Y234" s="663"/>
      <c r="Z234" s="663"/>
      <c r="AA234" s="663"/>
      <c r="AB234" s="663"/>
      <c r="AC234" s="663"/>
      <c r="AD234" s="663"/>
      <c r="AE234" s="663"/>
      <c r="AF234" s="663"/>
      <c r="AG234" s="663"/>
      <c r="AH234" s="663"/>
      <c r="AI234" s="663"/>
      <c r="AJ234" s="663"/>
      <c r="AK234" s="663"/>
      <c r="AL234" s="663"/>
      <c r="AM234" s="663"/>
      <c r="AN234" s="663"/>
      <c r="AO234" s="663"/>
      <c r="AP234" s="663"/>
      <c r="AQ234" s="663"/>
      <c r="AR234" s="663"/>
      <c r="AS234" s="663"/>
      <c r="AT234" s="663"/>
      <c r="AU234" s="663"/>
      <c r="AV234" s="663"/>
      <c r="AW234" s="663"/>
      <c r="AX234" s="663"/>
      <c r="AY234" s="663"/>
      <c r="AZ234" s="663"/>
      <c r="BA234" s="663"/>
      <c r="BB234" s="663"/>
    </row>
    <row r="235" spans="1:54" s="670" customFormat="1" ht="13.5" customHeight="1">
      <c r="A235" s="675"/>
      <c r="B235" s="779"/>
      <c r="C235" s="778" t="s">
        <v>761</v>
      </c>
      <c r="D235" s="777">
        <v>30</v>
      </c>
      <c r="E235" s="777"/>
      <c r="F235" s="777"/>
      <c r="G235" s="777"/>
      <c r="H235" s="777"/>
      <c r="I235" s="777">
        <f>D235</f>
        <v>30</v>
      </c>
      <c r="J235" s="777"/>
      <c r="K235" s="777"/>
      <c r="L235" s="777"/>
      <c r="M235" s="777"/>
      <c r="N235" s="777"/>
      <c r="O235" s="777"/>
      <c r="P235" s="663"/>
      <c r="Q235" s="663"/>
      <c r="R235" s="663"/>
      <c r="S235" s="663"/>
      <c r="T235" s="663"/>
      <c r="U235" s="663"/>
      <c r="V235" s="663"/>
      <c r="W235" s="663"/>
      <c r="X235" s="663"/>
      <c r="Y235" s="663"/>
      <c r="Z235" s="663"/>
      <c r="AA235" s="663"/>
      <c r="AB235" s="663"/>
      <c r="AC235" s="663"/>
      <c r="AD235" s="663"/>
      <c r="AE235" s="663"/>
      <c r="AF235" s="663"/>
      <c r="AG235" s="663"/>
      <c r="AH235" s="663"/>
      <c r="AI235" s="663"/>
      <c r="AJ235" s="663"/>
      <c r="AK235" s="663"/>
      <c r="AL235" s="663"/>
      <c r="AM235" s="663"/>
      <c r="AN235" s="663"/>
      <c r="AO235" s="663"/>
      <c r="AP235" s="663"/>
      <c r="AQ235" s="663"/>
      <c r="AR235" s="663"/>
      <c r="AS235" s="663"/>
      <c r="AT235" s="663"/>
      <c r="AU235" s="663"/>
      <c r="AV235" s="663"/>
      <c r="AW235" s="663"/>
      <c r="AX235" s="663"/>
      <c r="AY235" s="663"/>
      <c r="AZ235" s="663"/>
      <c r="BA235" s="663"/>
      <c r="BB235" s="663"/>
    </row>
    <row r="236" spans="1:54" s="670" customFormat="1" ht="13.5" customHeight="1">
      <c r="A236" s="675"/>
      <c r="B236" s="779"/>
      <c r="C236" s="778" t="s">
        <v>760</v>
      </c>
      <c r="D236" s="777">
        <v>30</v>
      </c>
      <c r="E236" s="777"/>
      <c r="F236" s="777"/>
      <c r="G236" s="777"/>
      <c r="H236" s="777"/>
      <c r="I236" s="777"/>
      <c r="J236" s="777">
        <f>D236</f>
        <v>30</v>
      </c>
      <c r="K236" s="777"/>
      <c r="L236" s="777"/>
      <c r="M236" s="777"/>
      <c r="N236" s="777"/>
      <c r="O236" s="777"/>
      <c r="P236" s="663"/>
      <c r="Q236" s="663"/>
      <c r="R236" s="663"/>
      <c r="S236" s="663"/>
      <c r="T236" s="663"/>
      <c r="U236" s="663"/>
      <c r="V236" s="663"/>
      <c r="W236" s="663"/>
      <c r="X236" s="663"/>
      <c r="Y236" s="663"/>
      <c r="Z236" s="663"/>
      <c r="AA236" s="663"/>
      <c r="AB236" s="663"/>
      <c r="AC236" s="663"/>
      <c r="AD236" s="663"/>
      <c r="AE236" s="663"/>
      <c r="AF236" s="663"/>
      <c r="AG236" s="663"/>
      <c r="AH236" s="663"/>
      <c r="AI236" s="663"/>
      <c r="AJ236" s="663"/>
      <c r="AK236" s="663"/>
      <c r="AL236" s="663"/>
      <c r="AM236" s="663"/>
      <c r="AN236" s="663"/>
      <c r="AO236" s="663"/>
      <c r="AP236" s="663"/>
      <c r="AQ236" s="663"/>
      <c r="AR236" s="663"/>
      <c r="AS236" s="663"/>
      <c r="AT236" s="663"/>
      <c r="AU236" s="663"/>
      <c r="AV236" s="663"/>
      <c r="AW236" s="663"/>
      <c r="AX236" s="663"/>
      <c r="AY236" s="663"/>
      <c r="AZ236" s="663"/>
      <c r="BA236" s="663"/>
      <c r="BB236" s="663"/>
    </row>
    <row r="237" spans="1:54" s="670" customFormat="1" ht="13.5" customHeight="1">
      <c r="A237" s="675"/>
      <c r="B237" s="779"/>
      <c r="C237" s="778" t="s">
        <v>186</v>
      </c>
      <c r="D237" s="777"/>
      <c r="E237" s="777"/>
      <c r="F237" s="777"/>
      <c r="G237" s="777"/>
      <c r="H237" s="777">
        <f>D237</f>
        <v>0</v>
      </c>
      <c r="I237" s="777"/>
      <c r="J237" s="777"/>
      <c r="K237" s="777"/>
      <c r="L237" s="777"/>
      <c r="M237" s="777"/>
      <c r="N237" s="777"/>
      <c r="O237" s="777"/>
      <c r="P237" s="663"/>
      <c r="Q237" s="663"/>
      <c r="R237" s="663"/>
      <c r="S237" s="663"/>
      <c r="T237" s="663"/>
      <c r="U237" s="663"/>
      <c r="V237" s="663"/>
      <c r="W237" s="663"/>
      <c r="X237" s="663"/>
      <c r="Y237" s="663"/>
      <c r="Z237" s="663"/>
      <c r="AA237" s="663"/>
      <c r="AB237" s="663"/>
      <c r="AC237" s="663"/>
      <c r="AD237" s="663"/>
      <c r="AE237" s="663"/>
      <c r="AF237" s="663"/>
      <c r="AG237" s="663"/>
      <c r="AH237" s="663"/>
      <c r="AI237" s="663"/>
      <c r="AJ237" s="663"/>
      <c r="AK237" s="663"/>
      <c r="AL237" s="663"/>
      <c r="AM237" s="663"/>
      <c r="AN237" s="663"/>
      <c r="AO237" s="663"/>
      <c r="AP237" s="663"/>
      <c r="AQ237" s="663"/>
      <c r="AR237" s="663"/>
      <c r="AS237" s="663"/>
      <c r="AT237" s="663"/>
      <c r="AU237" s="663"/>
      <c r="AV237" s="663"/>
      <c r="AW237" s="663"/>
      <c r="AX237" s="663"/>
      <c r="AY237" s="663"/>
      <c r="AZ237" s="663"/>
      <c r="BA237" s="663"/>
      <c r="BB237" s="663"/>
    </row>
    <row r="238" spans="1:54" s="670" customFormat="1" ht="13.5" customHeight="1">
      <c r="A238" s="675"/>
      <c r="B238" s="779"/>
      <c r="C238" s="778" t="s">
        <v>518</v>
      </c>
      <c r="D238" s="777"/>
      <c r="E238" s="777"/>
      <c r="F238" s="777"/>
      <c r="G238" s="777"/>
      <c r="H238" s="777">
        <f>D238</f>
        <v>0</v>
      </c>
      <c r="I238" s="777"/>
      <c r="J238" s="777"/>
      <c r="K238" s="777"/>
      <c r="L238" s="777"/>
      <c r="M238" s="777"/>
      <c r="N238" s="777"/>
      <c r="O238" s="777"/>
      <c r="P238" s="663"/>
      <c r="Q238" s="663"/>
      <c r="R238" s="663"/>
      <c r="S238" s="663"/>
      <c r="T238" s="663"/>
      <c r="U238" s="663"/>
      <c r="V238" s="663"/>
      <c r="W238" s="663"/>
      <c r="X238" s="663"/>
      <c r="Y238" s="663"/>
      <c r="Z238" s="663"/>
      <c r="AA238" s="663"/>
      <c r="AB238" s="663"/>
      <c r="AC238" s="663"/>
      <c r="AD238" s="663"/>
      <c r="AE238" s="663"/>
      <c r="AF238" s="663"/>
      <c r="AG238" s="663"/>
      <c r="AH238" s="663"/>
      <c r="AI238" s="663"/>
      <c r="AJ238" s="663"/>
      <c r="AK238" s="663"/>
      <c r="AL238" s="663"/>
      <c r="AM238" s="663"/>
      <c r="AN238" s="663"/>
      <c r="AO238" s="663"/>
      <c r="AP238" s="663"/>
      <c r="AQ238" s="663"/>
      <c r="AR238" s="663"/>
      <c r="AS238" s="663"/>
      <c r="AT238" s="663"/>
      <c r="AU238" s="663"/>
      <c r="AV238" s="663"/>
      <c r="AW238" s="663"/>
      <c r="AX238" s="663"/>
      <c r="AY238" s="663"/>
      <c r="AZ238" s="663"/>
      <c r="BA238" s="663"/>
      <c r="BB238" s="663"/>
    </row>
    <row r="239" spans="1:54" s="670" customFormat="1" ht="13.5" customHeight="1">
      <c r="A239" s="675"/>
      <c r="B239" s="779"/>
      <c r="C239" s="778" t="s">
        <v>379</v>
      </c>
      <c r="D239" s="777">
        <v>400</v>
      </c>
      <c r="E239" s="777"/>
      <c r="F239" s="777"/>
      <c r="G239" s="777"/>
      <c r="H239" s="777"/>
      <c r="I239" s="777"/>
      <c r="J239" s="777"/>
      <c r="K239" s="777"/>
      <c r="L239" s="777"/>
      <c r="M239" s="777"/>
      <c r="N239" s="777"/>
      <c r="O239" s="777"/>
      <c r="P239" s="663"/>
      <c r="Q239" s="663"/>
      <c r="R239" s="663"/>
      <c r="S239" s="663"/>
      <c r="T239" s="663"/>
      <c r="U239" s="663"/>
      <c r="V239" s="663"/>
      <c r="W239" s="663"/>
      <c r="X239" s="663"/>
      <c r="Y239" s="663"/>
      <c r="Z239" s="663"/>
      <c r="AA239" s="663"/>
      <c r="AB239" s="663"/>
      <c r="AC239" s="663"/>
      <c r="AD239" s="663"/>
      <c r="AE239" s="663"/>
      <c r="AF239" s="663"/>
      <c r="AG239" s="663"/>
      <c r="AH239" s="663"/>
      <c r="AI239" s="663"/>
      <c r="AJ239" s="663"/>
      <c r="AK239" s="663"/>
      <c r="AL239" s="663"/>
      <c r="AM239" s="663"/>
      <c r="AN239" s="663"/>
      <c r="AO239" s="663"/>
      <c r="AP239" s="663"/>
      <c r="AQ239" s="663"/>
      <c r="AR239" s="663"/>
      <c r="AS239" s="663"/>
      <c r="AT239" s="663"/>
      <c r="AU239" s="663"/>
      <c r="AV239" s="663"/>
      <c r="AW239" s="663"/>
      <c r="AX239" s="663"/>
      <c r="AY239" s="663"/>
      <c r="AZ239" s="663"/>
      <c r="BA239" s="663"/>
      <c r="BB239" s="663"/>
    </row>
    <row r="240" spans="1:54" s="670" customFormat="1" ht="13.5" customHeight="1">
      <c r="A240" s="675"/>
      <c r="B240" s="779"/>
      <c r="C240" s="778"/>
      <c r="D240" s="777"/>
      <c r="E240" s="777"/>
      <c r="F240" s="777"/>
      <c r="G240" s="777"/>
      <c r="H240" s="777"/>
      <c r="I240" s="777"/>
      <c r="J240" s="777"/>
      <c r="K240" s="777"/>
      <c r="L240" s="777"/>
      <c r="M240" s="777"/>
      <c r="N240" s="777"/>
      <c r="O240" s="777"/>
      <c r="P240" s="663"/>
      <c r="Q240" s="663"/>
      <c r="R240" s="663"/>
      <c r="S240" s="663"/>
      <c r="T240" s="663"/>
      <c r="U240" s="663"/>
      <c r="V240" s="663"/>
      <c r="W240" s="663"/>
      <c r="X240" s="663"/>
      <c r="Y240" s="663"/>
      <c r="Z240" s="663"/>
      <c r="AA240" s="663"/>
      <c r="AB240" s="663"/>
      <c r="AC240" s="663"/>
      <c r="AD240" s="663"/>
      <c r="AE240" s="663"/>
      <c r="AF240" s="663"/>
      <c r="AG240" s="663"/>
      <c r="AH240" s="663"/>
      <c r="AI240" s="663"/>
      <c r="AJ240" s="663"/>
      <c r="AK240" s="663"/>
      <c r="AL240" s="663"/>
      <c r="AM240" s="663"/>
      <c r="AN240" s="663"/>
      <c r="AO240" s="663"/>
      <c r="AP240" s="663"/>
      <c r="AQ240" s="663"/>
      <c r="AR240" s="663"/>
      <c r="AS240" s="663"/>
      <c r="AT240" s="663"/>
      <c r="AU240" s="663"/>
      <c r="AV240" s="663"/>
      <c r="AW240" s="663"/>
      <c r="AX240" s="663"/>
      <c r="AY240" s="663"/>
      <c r="AZ240" s="663"/>
      <c r="BA240" s="663"/>
      <c r="BB240" s="663"/>
    </row>
    <row r="241" spans="1:55" s="670" customFormat="1" ht="13.5" customHeight="1">
      <c r="A241" s="675"/>
      <c r="B241" s="779"/>
      <c r="C241" s="778"/>
      <c r="D241" s="777"/>
      <c r="E241" s="777"/>
      <c r="F241" s="777"/>
      <c r="G241" s="777"/>
      <c r="H241" s="777"/>
      <c r="I241" s="777"/>
      <c r="J241" s="777"/>
      <c r="K241" s="777"/>
      <c r="L241" s="777"/>
      <c r="M241" s="777"/>
      <c r="N241" s="777"/>
      <c r="O241" s="777"/>
      <c r="P241" s="663"/>
      <c r="Q241" s="663"/>
      <c r="R241" s="663"/>
      <c r="S241" s="663"/>
      <c r="T241" s="663"/>
      <c r="U241" s="663"/>
      <c r="V241" s="663"/>
      <c r="W241" s="663"/>
      <c r="X241" s="663"/>
      <c r="Y241" s="663"/>
      <c r="Z241" s="663"/>
      <c r="AA241" s="663"/>
      <c r="AB241" s="663"/>
      <c r="AC241" s="663"/>
      <c r="AD241" s="663"/>
      <c r="AE241" s="663"/>
      <c r="AF241" s="663"/>
      <c r="AG241" s="663"/>
      <c r="AH241" s="663"/>
      <c r="AI241" s="663"/>
      <c r="AJ241" s="663"/>
      <c r="AK241" s="663"/>
      <c r="AL241" s="663"/>
      <c r="AM241" s="663"/>
      <c r="AN241" s="663"/>
      <c r="AO241" s="663"/>
      <c r="AP241" s="663"/>
      <c r="AQ241" s="663"/>
      <c r="AR241" s="663"/>
      <c r="AS241" s="663"/>
      <c r="AT241" s="663"/>
      <c r="AU241" s="663"/>
      <c r="AV241" s="663"/>
      <c r="AW241" s="663"/>
      <c r="AX241" s="663"/>
      <c r="AY241" s="663"/>
      <c r="AZ241" s="663"/>
      <c r="BA241" s="663"/>
      <c r="BB241" s="663"/>
    </row>
    <row r="242" spans="1:55" s="694" customFormat="1" ht="13.5" customHeight="1">
      <c r="A242" s="700"/>
      <c r="B242" s="788" t="str">
        <f>K1</f>
        <v>september</v>
      </c>
      <c r="C242" s="787" t="s">
        <v>37</v>
      </c>
      <c r="D242" s="786">
        <f t="shared" ref="D242:M242" si="9">SUM(D243:D245)</f>
        <v>0</v>
      </c>
      <c r="E242" s="786">
        <f t="shared" si="9"/>
        <v>0</v>
      </c>
      <c r="F242" s="786">
        <f t="shared" si="9"/>
        <v>0</v>
      </c>
      <c r="G242" s="786">
        <f t="shared" si="9"/>
        <v>0</v>
      </c>
      <c r="H242" s="786">
        <f t="shared" si="9"/>
        <v>0</v>
      </c>
      <c r="I242" s="786">
        <f t="shared" si="9"/>
        <v>0</v>
      </c>
      <c r="J242" s="786">
        <f t="shared" si="9"/>
        <v>0</v>
      </c>
      <c r="K242" s="786">
        <f t="shared" si="9"/>
        <v>0</v>
      </c>
      <c r="L242" s="786">
        <f t="shared" si="9"/>
        <v>0</v>
      </c>
      <c r="M242" s="786">
        <f t="shared" si="9"/>
        <v>0</v>
      </c>
      <c r="N242" s="786"/>
      <c r="O242" s="786"/>
      <c r="P242" s="695"/>
      <c r="Q242" s="695"/>
      <c r="R242" s="695"/>
      <c r="S242" s="695"/>
      <c r="T242" s="695"/>
      <c r="U242" s="695"/>
      <c r="V242" s="695"/>
      <c r="W242" s="695"/>
      <c r="X242" s="695"/>
      <c r="Y242" s="695"/>
      <c r="Z242" s="695"/>
      <c r="AA242" s="695"/>
      <c r="AB242" s="695"/>
      <c r="AC242" s="695"/>
      <c r="AD242" s="695"/>
      <c r="AE242" s="695"/>
      <c r="AF242" s="695"/>
      <c r="AG242" s="695"/>
      <c r="AH242" s="695"/>
      <c r="AI242" s="695"/>
      <c r="AJ242" s="695"/>
      <c r="AK242" s="695"/>
      <c r="AL242" s="695"/>
      <c r="AM242" s="695"/>
      <c r="AN242" s="695"/>
      <c r="AO242" s="695"/>
      <c r="AP242" s="695"/>
      <c r="AQ242" s="695"/>
      <c r="AR242" s="695"/>
      <c r="AS242" s="695"/>
      <c r="AT242" s="695"/>
      <c r="AU242" s="695"/>
      <c r="AV242" s="695"/>
      <c r="AW242" s="695"/>
      <c r="AX242" s="695"/>
      <c r="AY242" s="695"/>
      <c r="AZ242" s="695"/>
      <c r="BA242" s="695"/>
      <c r="BB242" s="695"/>
      <c r="BC242" s="695"/>
    </row>
    <row r="243" spans="1:55" ht="13.5" customHeight="1">
      <c r="A243" s="648"/>
      <c r="B243" s="791"/>
      <c r="C243" s="790"/>
      <c r="D243" s="789"/>
      <c r="E243" s="789"/>
      <c r="F243" s="789"/>
      <c r="G243" s="789"/>
      <c r="H243" s="789"/>
      <c r="I243" s="789"/>
      <c r="J243" s="789"/>
      <c r="K243" s="789"/>
      <c r="L243" s="789"/>
      <c r="M243" s="789"/>
      <c r="N243" s="789"/>
      <c r="O243" s="789"/>
      <c r="P243" s="648"/>
      <c r="Q243" s="648"/>
      <c r="R243" s="648"/>
      <c r="S243" s="648"/>
      <c r="T243" s="648"/>
      <c r="U243" s="648"/>
      <c r="V243" s="648"/>
      <c r="W243" s="648"/>
      <c r="X243" s="648"/>
      <c r="Y243" s="648"/>
      <c r="Z243" s="648"/>
      <c r="AA243" s="648"/>
      <c r="AB243" s="648"/>
      <c r="AC243" s="648"/>
      <c r="AD243" s="648"/>
      <c r="AE243" s="648"/>
      <c r="AF243" s="648"/>
      <c r="AG243" s="648"/>
      <c r="AH243" s="648"/>
      <c r="AI243" s="648"/>
      <c r="AJ243" s="648"/>
      <c r="AK243" s="648"/>
      <c r="AL243" s="648"/>
      <c r="AM243" s="648"/>
      <c r="AN243" s="648"/>
      <c r="AO243" s="648"/>
      <c r="AP243" s="648"/>
      <c r="AQ243" s="648"/>
      <c r="AR243" s="648"/>
      <c r="AS243" s="648"/>
      <c r="AT243" s="648"/>
      <c r="AU243" s="648"/>
      <c r="AV243" s="648"/>
      <c r="AW243" s="648"/>
      <c r="AX243" s="648"/>
      <c r="AY243" s="648"/>
      <c r="AZ243" s="648"/>
      <c r="BA243" s="648"/>
      <c r="BB243" s="648"/>
    </row>
    <row r="244" spans="1:55" ht="13.5" customHeight="1">
      <c r="A244" s="648"/>
      <c r="B244" s="791"/>
      <c r="C244" s="790"/>
      <c r="D244" s="789"/>
      <c r="E244" s="789"/>
      <c r="F244" s="789"/>
      <c r="G244" s="789"/>
      <c r="H244" s="789"/>
      <c r="I244" s="789"/>
      <c r="J244" s="789"/>
      <c r="K244" s="789"/>
      <c r="L244" s="789"/>
      <c r="M244" s="789"/>
      <c r="N244" s="789"/>
      <c r="O244" s="789"/>
      <c r="P244" s="648"/>
      <c r="Q244" s="648"/>
      <c r="R244" s="648"/>
      <c r="S244" s="648"/>
      <c r="T244" s="648"/>
      <c r="U244" s="648"/>
      <c r="V244" s="648"/>
      <c r="W244" s="648"/>
      <c r="X244" s="648"/>
      <c r="Y244" s="648"/>
      <c r="Z244" s="648"/>
      <c r="AA244" s="648"/>
      <c r="AB244" s="648"/>
      <c r="AC244" s="648"/>
      <c r="AD244" s="648"/>
      <c r="AE244" s="648"/>
      <c r="AF244" s="648"/>
      <c r="AG244" s="648"/>
      <c r="AH244" s="648"/>
      <c r="AI244" s="648"/>
      <c r="AJ244" s="648"/>
      <c r="AK244" s="648"/>
      <c r="AL244" s="648"/>
      <c r="AM244" s="648"/>
      <c r="AN244" s="648"/>
      <c r="AO244" s="648"/>
      <c r="AP244" s="648"/>
      <c r="AQ244" s="648"/>
      <c r="AR244" s="648"/>
      <c r="AS244" s="648"/>
      <c r="AT244" s="648"/>
      <c r="AU244" s="648"/>
      <c r="AV244" s="648"/>
      <c r="AW244" s="648"/>
      <c r="AX244" s="648"/>
      <c r="AY244" s="648"/>
      <c r="AZ244" s="648"/>
      <c r="BA244" s="648"/>
      <c r="BB244" s="648"/>
    </row>
    <row r="245" spans="1:55" s="694" customFormat="1" ht="13.5" customHeight="1">
      <c r="A245" s="700"/>
      <c r="B245" s="788"/>
      <c r="C245" s="787"/>
      <c r="D245" s="786"/>
      <c r="E245" s="786"/>
      <c r="F245" s="786"/>
      <c r="G245" s="786"/>
      <c r="H245" s="786"/>
      <c r="I245" s="786"/>
      <c r="J245" s="786"/>
      <c r="K245" s="786"/>
      <c r="L245" s="786"/>
      <c r="M245" s="786"/>
      <c r="N245" s="786"/>
      <c r="O245" s="786"/>
      <c r="P245" s="695"/>
      <c r="Q245" s="695"/>
      <c r="R245" s="695"/>
      <c r="S245" s="695"/>
      <c r="T245" s="695"/>
      <c r="U245" s="695"/>
      <c r="V245" s="695"/>
      <c r="W245" s="695"/>
      <c r="X245" s="695"/>
      <c r="Y245" s="695"/>
      <c r="Z245" s="695"/>
      <c r="AA245" s="695"/>
      <c r="AB245" s="695"/>
      <c r="AC245" s="695"/>
      <c r="AD245" s="695"/>
      <c r="AE245" s="695"/>
      <c r="AF245" s="695"/>
      <c r="AG245" s="695"/>
      <c r="AH245" s="695"/>
      <c r="AI245" s="695"/>
      <c r="AJ245" s="695"/>
      <c r="AK245" s="695"/>
      <c r="AL245" s="695"/>
      <c r="AM245" s="695"/>
      <c r="AN245" s="695"/>
      <c r="AO245" s="695"/>
      <c r="AP245" s="695"/>
      <c r="AQ245" s="695"/>
      <c r="AR245" s="695"/>
      <c r="AS245" s="695"/>
      <c r="AT245" s="695"/>
      <c r="AU245" s="695"/>
      <c r="AV245" s="695"/>
      <c r="AW245" s="695"/>
      <c r="AX245" s="695"/>
      <c r="AY245" s="695"/>
      <c r="AZ245" s="695"/>
      <c r="BA245" s="695"/>
      <c r="BB245" s="695"/>
      <c r="BC245" s="695"/>
    </row>
    <row r="246" spans="1:55" s="780" customFormat="1" ht="13.5" customHeight="1">
      <c r="A246" s="785"/>
      <c r="B246" s="784" t="str">
        <f>K1</f>
        <v>september</v>
      </c>
      <c r="C246" s="783" t="s">
        <v>36</v>
      </c>
      <c r="D246" s="782">
        <f>SUM(D247:D264)</f>
        <v>1293</v>
      </c>
      <c r="E246" s="782"/>
      <c r="F246" s="782"/>
      <c r="G246" s="782"/>
      <c r="H246" s="782"/>
      <c r="I246" s="782"/>
      <c r="J246" s="782"/>
      <c r="K246" s="782"/>
      <c r="L246" s="782"/>
      <c r="M246" s="782"/>
      <c r="N246" s="782"/>
      <c r="O246" s="782"/>
      <c r="P246" s="781"/>
      <c r="Q246" s="781"/>
      <c r="R246" s="781"/>
      <c r="S246" s="781"/>
      <c r="T246" s="781"/>
      <c r="U246" s="781"/>
      <c r="V246" s="781"/>
      <c r="W246" s="781"/>
      <c r="X246" s="781"/>
      <c r="Y246" s="781"/>
      <c r="Z246" s="781"/>
      <c r="AA246" s="781"/>
      <c r="AB246" s="781"/>
      <c r="AC246" s="781"/>
      <c r="AD246" s="781"/>
      <c r="AE246" s="781"/>
      <c r="AF246" s="781"/>
      <c r="AG246" s="781"/>
      <c r="AH246" s="781"/>
      <c r="AI246" s="781"/>
      <c r="AJ246" s="781"/>
      <c r="AK246" s="781"/>
      <c r="AL246" s="781"/>
      <c r="AM246" s="781"/>
      <c r="AN246" s="781"/>
      <c r="AO246" s="781"/>
      <c r="AP246" s="781"/>
      <c r="AQ246" s="781"/>
      <c r="AR246" s="781"/>
      <c r="AS246" s="781"/>
      <c r="AT246" s="781"/>
      <c r="AU246" s="781"/>
      <c r="AV246" s="781"/>
      <c r="AW246" s="781"/>
      <c r="AX246" s="781"/>
      <c r="AY246" s="781"/>
      <c r="AZ246" s="781"/>
      <c r="BA246" s="781"/>
      <c r="BB246" s="781"/>
    </row>
    <row r="247" spans="1:55" s="670" customFormat="1" ht="13.5" customHeight="1">
      <c r="A247" s="675"/>
      <c r="B247" s="779"/>
      <c r="C247" s="778" t="s">
        <v>22</v>
      </c>
      <c r="D247" s="777">
        <v>89</v>
      </c>
      <c r="E247" s="777"/>
      <c r="F247" s="777"/>
      <c r="G247" s="777">
        <f>D247</f>
        <v>89</v>
      </c>
      <c r="H247" s="777"/>
      <c r="I247" s="777"/>
      <c r="J247" s="777"/>
      <c r="K247" s="777"/>
      <c r="L247" s="777"/>
      <c r="M247" s="777"/>
      <c r="N247" s="777"/>
      <c r="O247" s="777"/>
      <c r="P247" s="663"/>
      <c r="Q247" s="663"/>
      <c r="R247" s="663"/>
      <c r="S247" s="663"/>
      <c r="T247" s="663"/>
      <c r="U247" s="663"/>
      <c r="V247" s="663"/>
      <c r="W247" s="663"/>
      <c r="X247" s="663"/>
      <c r="Y247" s="663"/>
      <c r="Z247" s="663"/>
      <c r="AA247" s="663"/>
      <c r="AB247" s="663"/>
      <c r="AC247" s="663"/>
      <c r="AD247" s="663"/>
      <c r="AE247" s="663"/>
      <c r="AF247" s="663"/>
      <c r="AG247" s="663"/>
      <c r="AH247" s="663"/>
      <c r="AI247" s="663"/>
      <c r="AJ247" s="663"/>
      <c r="AK247" s="663"/>
      <c r="AL247" s="663"/>
      <c r="AM247" s="663"/>
      <c r="AN247" s="663"/>
      <c r="AO247" s="663"/>
      <c r="AP247" s="663"/>
      <c r="AQ247" s="663"/>
      <c r="AR247" s="663"/>
      <c r="AS247" s="663"/>
      <c r="AT247" s="663"/>
      <c r="AU247" s="663"/>
      <c r="AV247" s="663"/>
      <c r="AW247" s="663"/>
      <c r="AX247" s="663"/>
      <c r="AY247" s="663"/>
      <c r="AZ247" s="663"/>
      <c r="BA247" s="663"/>
      <c r="BB247" s="663"/>
    </row>
    <row r="248" spans="1:55" s="670" customFormat="1" ht="13.5" customHeight="1">
      <c r="A248" s="675"/>
      <c r="B248" s="779"/>
      <c r="C248" s="778" t="s">
        <v>21</v>
      </c>
      <c r="D248" s="777">
        <v>176</v>
      </c>
      <c r="E248" s="777"/>
      <c r="F248" s="777"/>
      <c r="G248" s="777"/>
      <c r="H248" s="777"/>
      <c r="I248" s="777"/>
      <c r="J248" s="777"/>
      <c r="K248" s="777"/>
      <c r="L248" s="777"/>
      <c r="M248" s="777"/>
      <c r="N248" s="777"/>
      <c r="O248" s="777"/>
      <c r="P248" s="663"/>
      <c r="Q248" s="663"/>
      <c r="R248" s="663"/>
      <c r="S248" s="663"/>
      <c r="T248" s="663"/>
      <c r="U248" s="663"/>
      <c r="V248" s="663"/>
      <c r="W248" s="663"/>
      <c r="X248" s="663"/>
      <c r="Y248" s="663"/>
      <c r="Z248" s="663"/>
      <c r="AA248" s="663"/>
      <c r="AB248" s="663"/>
      <c r="AC248" s="663"/>
      <c r="AD248" s="663"/>
      <c r="AE248" s="663"/>
      <c r="AF248" s="663"/>
      <c r="AG248" s="663"/>
      <c r="AH248" s="663"/>
      <c r="AI248" s="663"/>
      <c r="AJ248" s="663"/>
      <c r="AK248" s="663"/>
      <c r="AL248" s="663"/>
      <c r="AM248" s="663"/>
      <c r="AN248" s="663"/>
      <c r="AO248" s="663"/>
      <c r="AP248" s="663"/>
      <c r="AQ248" s="663"/>
      <c r="AR248" s="663"/>
      <c r="AS248" s="663"/>
      <c r="AT248" s="663"/>
      <c r="AU248" s="663"/>
      <c r="AV248" s="663"/>
      <c r="AW248" s="663"/>
      <c r="AX248" s="663"/>
      <c r="AY248" s="663"/>
      <c r="AZ248" s="663"/>
      <c r="BA248" s="663"/>
      <c r="BB248" s="663"/>
    </row>
    <row r="249" spans="1:55" s="670" customFormat="1" ht="13.5" customHeight="1">
      <c r="A249" s="675"/>
      <c r="B249" s="779"/>
      <c r="C249" s="778" t="s">
        <v>230</v>
      </c>
      <c r="D249" s="777">
        <v>59</v>
      </c>
      <c r="E249" s="777"/>
      <c r="F249" s="777"/>
      <c r="G249" s="777">
        <f>D249</f>
        <v>59</v>
      </c>
      <c r="H249" s="777"/>
      <c r="I249" s="777"/>
      <c r="J249" s="777"/>
      <c r="K249" s="777"/>
      <c r="L249" s="777"/>
      <c r="M249" s="777"/>
      <c r="N249" s="777"/>
      <c r="O249" s="777"/>
      <c r="P249" s="663"/>
      <c r="Q249" s="663"/>
      <c r="R249" s="663"/>
      <c r="S249" s="663"/>
      <c r="T249" s="663"/>
      <c r="U249" s="663"/>
      <c r="V249" s="663"/>
      <c r="W249" s="663"/>
      <c r="X249" s="663"/>
      <c r="Y249" s="663"/>
      <c r="Z249" s="663"/>
      <c r="AA249" s="663"/>
      <c r="AB249" s="663"/>
      <c r="AC249" s="663"/>
      <c r="AD249" s="663"/>
      <c r="AE249" s="663"/>
      <c r="AF249" s="663"/>
      <c r="AG249" s="663"/>
      <c r="AH249" s="663"/>
      <c r="AI249" s="663"/>
      <c r="AJ249" s="663"/>
      <c r="AK249" s="663"/>
      <c r="AL249" s="663"/>
      <c r="AM249" s="663"/>
      <c r="AN249" s="663"/>
      <c r="AO249" s="663"/>
      <c r="AP249" s="663"/>
      <c r="AQ249" s="663"/>
      <c r="AR249" s="663"/>
      <c r="AS249" s="663"/>
      <c r="AT249" s="663"/>
      <c r="AU249" s="663"/>
      <c r="AV249" s="663"/>
      <c r="AW249" s="663"/>
      <c r="AX249" s="663"/>
      <c r="AY249" s="663"/>
      <c r="AZ249" s="663"/>
      <c r="BA249" s="663"/>
      <c r="BB249" s="663"/>
    </row>
    <row r="250" spans="1:55" s="670" customFormat="1" ht="13.5" customHeight="1">
      <c r="A250" s="675"/>
      <c r="B250" s="779"/>
      <c r="C250" s="778" t="s">
        <v>464</v>
      </c>
      <c r="D250" s="777">
        <v>129</v>
      </c>
      <c r="E250" s="777"/>
      <c r="F250" s="777">
        <f>D250</f>
        <v>129</v>
      </c>
      <c r="G250" s="777"/>
      <c r="H250" s="777"/>
      <c r="I250" s="777"/>
      <c r="J250" s="777"/>
      <c r="K250" s="777"/>
      <c r="L250" s="777"/>
      <c r="M250" s="777"/>
      <c r="N250" s="777"/>
      <c r="O250" s="777"/>
      <c r="P250" s="663"/>
      <c r="Q250" s="663"/>
      <c r="R250" s="663"/>
      <c r="S250" s="663"/>
      <c r="T250" s="663"/>
      <c r="U250" s="663"/>
      <c r="V250" s="663"/>
      <c r="W250" s="663"/>
      <c r="X250" s="663"/>
      <c r="Y250" s="663"/>
      <c r="Z250" s="663"/>
      <c r="AA250" s="663"/>
      <c r="AB250" s="663"/>
      <c r="AC250" s="663"/>
      <c r="AD250" s="663"/>
      <c r="AE250" s="663"/>
      <c r="AF250" s="663"/>
      <c r="AG250" s="663"/>
      <c r="AH250" s="663"/>
      <c r="AI250" s="663"/>
      <c r="AJ250" s="663"/>
      <c r="AK250" s="663"/>
      <c r="AL250" s="663"/>
      <c r="AM250" s="663"/>
      <c r="AN250" s="663"/>
      <c r="AO250" s="663"/>
      <c r="AP250" s="663"/>
      <c r="AQ250" s="663"/>
      <c r="AR250" s="663"/>
      <c r="AS250" s="663"/>
      <c r="AT250" s="663"/>
      <c r="AU250" s="663"/>
      <c r="AV250" s="663"/>
      <c r="AW250" s="663"/>
      <c r="AX250" s="663"/>
      <c r="AY250" s="663"/>
      <c r="AZ250" s="663"/>
      <c r="BA250" s="663"/>
      <c r="BB250" s="663"/>
    </row>
    <row r="251" spans="1:55" s="670" customFormat="1" ht="13.5" customHeight="1">
      <c r="A251" s="675"/>
      <c r="B251" s="779"/>
      <c r="C251" s="778" t="s">
        <v>397</v>
      </c>
      <c r="D251" s="777">
        <v>200</v>
      </c>
      <c r="E251" s="777"/>
      <c r="F251" s="777"/>
      <c r="G251" s="777"/>
      <c r="H251" s="777"/>
      <c r="I251" s="777"/>
      <c r="J251" s="777"/>
      <c r="K251" s="777"/>
      <c r="L251" s="777"/>
      <c r="M251" s="777"/>
      <c r="N251" s="777"/>
      <c r="O251" s="777"/>
      <c r="P251" s="663"/>
      <c r="Q251" s="663"/>
      <c r="R251" s="663"/>
      <c r="S251" s="663"/>
      <c r="T251" s="663"/>
      <c r="U251" s="663"/>
      <c r="V251" s="663"/>
      <c r="W251" s="663"/>
      <c r="X251" s="663"/>
      <c r="Y251" s="663"/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</row>
    <row r="252" spans="1:55" s="670" customFormat="1" ht="13.5" customHeight="1">
      <c r="A252" s="675"/>
      <c r="B252" s="779"/>
      <c r="C252" s="778" t="s">
        <v>759</v>
      </c>
      <c r="D252" s="777">
        <v>30</v>
      </c>
      <c r="E252" s="777"/>
      <c r="F252" s="777"/>
      <c r="G252" s="777"/>
      <c r="H252" s="777"/>
      <c r="I252" s="777">
        <f>D252</f>
        <v>30</v>
      </c>
      <c r="J252" s="777"/>
      <c r="K252" s="777"/>
      <c r="L252" s="777"/>
      <c r="M252" s="777"/>
      <c r="N252" s="777"/>
      <c r="O252" s="777"/>
      <c r="P252" s="663"/>
      <c r="Q252" s="663"/>
      <c r="R252" s="663"/>
      <c r="S252" s="663"/>
      <c r="T252" s="663"/>
      <c r="U252" s="663"/>
      <c r="V252" s="663"/>
      <c r="W252" s="663"/>
      <c r="X252" s="663"/>
      <c r="Y252" s="663"/>
      <c r="Z252" s="663"/>
      <c r="AA252" s="663"/>
      <c r="AB252" s="663"/>
      <c r="AC252" s="663"/>
      <c r="AD252" s="663"/>
      <c r="AE252" s="663"/>
      <c r="AF252" s="663"/>
      <c r="AG252" s="663"/>
      <c r="AH252" s="663"/>
      <c r="AI252" s="663"/>
      <c r="AJ252" s="663"/>
      <c r="AK252" s="663"/>
      <c r="AL252" s="663"/>
      <c r="AM252" s="663"/>
      <c r="AN252" s="663"/>
      <c r="AO252" s="663"/>
      <c r="AP252" s="663"/>
      <c r="AQ252" s="663"/>
      <c r="AR252" s="663"/>
      <c r="AS252" s="663"/>
      <c r="AT252" s="663"/>
      <c r="AU252" s="663"/>
      <c r="AV252" s="663"/>
      <c r="AW252" s="663"/>
      <c r="AX252" s="663"/>
      <c r="AY252" s="663"/>
      <c r="AZ252" s="663"/>
      <c r="BA252" s="663"/>
      <c r="BB252" s="663"/>
    </row>
    <row r="253" spans="1:55" s="670" customFormat="1" ht="13.5" customHeight="1">
      <c r="A253" s="675"/>
      <c r="B253" s="779"/>
      <c r="C253" s="778" t="s">
        <v>758</v>
      </c>
      <c r="D253" s="777">
        <v>30</v>
      </c>
      <c r="E253" s="777"/>
      <c r="F253" s="777"/>
      <c r="G253" s="777"/>
      <c r="H253" s="777"/>
      <c r="I253" s="777"/>
      <c r="J253" s="777">
        <f>D253</f>
        <v>30</v>
      </c>
      <c r="K253" s="777"/>
      <c r="L253" s="777"/>
      <c r="M253" s="777"/>
      <c r="N253" s="777"/>
      <c r="O253" s="777"/>
      <c r="P253" s="663"/>
      <c r="Q253" s="663"/>
      <c r="R253" s="663"/>
      <c r="S253" s="663"/>
      <c r="T253" s="663"/>
      <c r="U253" s="663"/>
      <c r="V253" s="663"/>
      <c r="W253" s="663"/>
      <c r="X253" s="663"/>
      <c r="Y253" s="663"/>
      <c r="Z253" s="663"/>
      <c r="AA253" s="663"/>
      <c r="AB253" s="663"/>
      <c r="AC253" s="663"/>
      <c r="AD253" s="663"/>
      <c r="AE253" s="663"/>
      <c r="AF253" s="663"/>
      <c r="AG253" s="663"/>
      <c r="AH253" s="663"/>
      <c r="AI253" s="663"/>
      <c r="AJ253" s="663"/>
      <c r="AK253" s="663"/>
      <c r="AL253" s="663"/>
      <c r="AM253" s="663"/>
      <c r="AN253" s="663"/>
      <c r="AO253" s="663"/>
      <c r="AP253" s="663"/>
      <c r="AQ253" s="663"/>
      <c r="AR253" s="663"/>
      <c r="AS253" s="663"/>
      <c r="AT253" s="663"/>
      <c r="AU253" s="663"/>
      <c r="AV253" s="663"/>
      <c r="AW253" s="663"/>
      <c r="AX253" s="663"/>
      <c r="AY253" s="663"/>
      <c r="AZ253" s="663"/>
      <c r="BA253" s="663"/>
      <c r="BB253" s="663"/>
    </row>
    <row r="254" spans="1:55" s="670" customFormat="1" ht="13.5" customHeight="1">
      <c r="A254" s="675"/>
      <c r="B254" s="779"/>
      <c r="C254" s="778" t="s">
        <v>757</v>
      </c>
      <c r="D254" s="777">
        <v>30</v>
      </c>
      <c r="E254" s="777"/>
      <c r="F254" s="777"/>
      <c r="G254" s="777"/>
      <c r="H254" s="777"/>
      <c r="I254" s="777">
        <f>D254</f>
        <v>30</v>
      </c>
      <c r="J254" s="777"/>
      <c r="K254" s="777"/>
      <c r="L254" s="777"/>
      <c r="M254" s="777"/>
      <c r="N254" s="777"/>
      <c r="O254" s="777"/>
      <c r="P254" s="663"/>
      <c r="Q254" s="663"/>
      <c r="R254" s="663"/>
      <c r="S254" s="663"/>
      <c r="T254" s="663"/>
      <c r="U254" s="663"/>
      <c r="V254" s="663"/>
      <c r="W254" s="663"/>
      <c r="X254" s="663"/>
      <c r="Y254" s="663"/>
      <c r="Z254" s="663"/>
      <c r="AA254" s="663"/>
      <c r="AB254" s="663"/>
      <c r="AC254" s="663"/>
      <c r="AD254" s="663"/>
      <c r="AE254" s="663"/>
      <c r="AF254" s="663"/>
      <c r="AG254" s="663"/>
      <c r="AH254" s="663"/>
      <c r="AI254" s="663"/>
      <c r="AJ254" s="663"/>
      <c r="AK254" s="663"/>
      <c r="AL254" s="663"/>
      <c r="AM254" s="663"/>
      <c r="AN254" s="663"/>
      <c r="AO254" s="663"/>
      <c r="AP254" s="663"/>
      <c r="AQ254" s="663"/>
      <c r="AR254" s="663"/>
      <c r="AS254" s="663"/>
      <c r="AT254" s="663"/>
      <c r="AU254" s="663"/>
      <c r="AV254" s="663"/>
      <c r="AW254" s="663"/>
      <c r="AX254" s="663"/>
      <c r="AY254" s="663"/>
      <c r="AZ254" s="663"/>
      <c r="BA254" s="663"/>
      <c r="BB254" s="663"/>
    </row>
    <row r="255" spans="1:55" s="670" customFormat="1" ht="13.5" customHeight="1">
      <c r="A255" s="675"/>
      <c r="B255" s="779"/>
      <c r="C255" s="778" t="s">
        <v>756</v>
      </c>
      <c r="D255" s="777">
        <v>30</v>
      </c>
      <c r="E255" s="777"/>
      <c r="F255" s="777"/>
      <c r="G255" s="777"/>
      <c r="H255" s="777"/>
      <c r="I255" s="777"/>
      <c r="J255" s="777">
        <f>D255</f>
        <v>30</v>
      </c>
      <c r="K255" s="777"/>
      <c r="L255" s="777"/>
      <c r="M255" s="777"/>
      <c r="N255" s="777"/>
      <c r="O255" s="777"/>
      <c r="P255" s="663"/>
      <c r="Q255" s="663"/>
      <c r="R255" s="663"/>
      <c r="S255" s="663"/>
      <c r="T255" s="663"/>
      <c r="U255" s="663"/>
      <c r="V255" s="663"/>
      <c r="W255" s="663"/>
      <c r="X255" s="663"/>
      <c r="Y255" s="663"/>
      <c r="Z255" s="663"/>
      <c r="AA255" s="663"/>
      <c r="AB255" s="663"/>
      <c r="AC255" s="663"/>
      <c r="AD255" s="663"/>
      <c r="AE255" s="663"/>
      <c r="AF255" s="663"/>
      <c r="AG255" s="663"/>
      <c r="AH255" s="663"/>
      <c r="AI255" s="663"/>
      <c r="AJ255" s="663"/>
      <c r="AK255" s="663"/>
      <c r="AL255" s="663"/>
      <c r="AM255" s="663"/>
      <c r="AN255" s="663"/>
      <c r="AO255" s="663"/>
      <c r="AP255" s="663"/>
      <c r="AQ255" s="663"/>
      <c r="AR255" s="663"/>
      <c r="AS255" s="663"/>
      <c r="AT255" s="663"/>
      <c r="AU255" s="663"/>
      <c r="AV255" s="663"/>
      <c r="AW255" s="663"/>
      <c r="AX255" s="663"/>
      <c r="AY255" s="663"/>
      <c r="AZ255" s="663"/>
      <c r="BA255" s="663"/>
      <c r="BB255" s="663"/>
    </row>
    <row r="256" spans="1:55" s="670" customFormat="1" ht="13.5" customHeight="1">
      <c r="A256" s="675"/>
      <c r="B256" s="779"/>
      <c r="C256" s="778" t="s">
        <v>755</v>
      </c>
      <c r="D256" s="777">
        <v>30</v>
      </c>
      <c r="E256" s="777"/>
      <c r="F256" s="777"/>
      <c r="G256" s="777"/>
      <c r="H256" s="777"/>
      <c r="I256" s="777">
        <f>D256</f>
        <v>30</v>
      </c>
      <c r="J256" s="777"/>
      <c r="K256" s="777"/>
      <c r="L256" s="777"/>
      <c r="M256" s="777"/>
      <c r="N256" s="777"/>
      <c r="O256" s="777"/>
      <c r="P256" s="663"/>
      <c r="Q256" s="663"/>
      <c r="R256" s="663"/>
      <c r="S256" s="663"/>
      <c r="T256" s="663"/>
      <c r="U256" s="663"/>
      <c r="V256" s="663"/>
      <c r="W256" s="663"/>
      <c r="X256" s="663"/>
      <c r="Y256" s="663"/>
      <c r="Z256" s="663"/>
      <c r="AA256" s="663"/>
      <c r="AB256" s="663"/>
      <c r="AC256" s="663"/>
      <c r="AD256" s="663"/>
      <c r="AE256" s="663"/>
      <c r="AF256" s="663"/>
      <c r="AG256" s="663"/>
      <c r="AH256" s="663"/>
      <c r="AI256" s="663"/>
      <c r="AJ256" s="663"/>
      <c r="AK256" s="663"/>
      <c r="AL256" s="663"/>
      <c r="AM256" s="663"/>
      <c r="AN256" s="663"/>
      <c r="AO256" s="663"/>
      <c r="AP256" s="663"/>
      <c r="AQ256" s="663"/>
      <c r="AR256" s="663"/>
      <c r="AS256" s="663"/>
      <c r="AT256" s="663"/>
      <c r="AU256" s="663"/>
      <c r="AV256" s="663"/>
      <c r="AW256" s="663"/>
      <c r="AX256" s="663"/>
      <c r="AY256" s="663"/>
      <c r="AZ256" s="663"/>
      <c r="BA256" s="663"/>
      <c r="BB256" s="663"/>
    </row>
    <row r="257" spans="1:55" s="670" customFormat="1" ht="13.5" customHeight="1">
      <c r="A257" s="675"/>
      <c r="B257" s="779"/>
      <c r="C257" s="778" t="s">
        <v>754</v>
      </c>
      <c r="D257" s="777">
        <v>30</v>
      </c>
      <c r="E257" s="777"/>
      <c r="F257" s="777"/>
      <c r="G257" s="777"/>
      <c r="H257" s="777"/>
      <c r="I257" s="777"/>
      <c r="J257" s="777">
        <f>D257</f>
        <v>30</v>
      </c>
      <c r="K257" s="777"/>
      <c r="L257" s="777"/>
      <c r="M257" s="777"/>
      <c r="N257" s="777"/>
      <c r="O257" s="777"/>
      <c r="P257" s="663"/>
      <c r="Q257" s="663"/>
      <c r="R257" s="663"/>
      <c r="S257" s="663"/>
      <c r="T257" s="663"/>
      <c r="U257" s="663"/>
      <c r="V257" s="663"/>
      <c r="W257" s="663"/>
      <c r="X257" s="663"/>
      <c r="Y257" s="663"/>
      <c r="Z257" s="663"/>
      <c r="AA257" s="663"/>
      <c r="AB257" s="663"/>
      <c r="AC257" s="663"/>
      <c r="AD257" s="663"/>
      <c r="AE257" s="663"/>
      <c r="AF257" s="663"/>
      <c r="AG257" s="663"/>
      <c r="AH257" s="663"/>
      <c r="AI257" s="663"/>
      <c r="AJ257" s="663"/>
      <c r="AK257" s="663"/>
      <c r="AL257" s="663"/>
      <c r="AM257" s="663"/>
      <c r="AN257" s="663"/>
      <c r="AO257" s="663"/>
      <c r="AP257" s="663"/>
      <c r="AQ257" s="663"/>
      <c r="AR257" s="663"/>
      <c r="AS257" s="663"/>
      <c r="AT257" s="663"/>
      <c r="AU257" s="663"/>
      <c r="AV257" s="663"/>
      <c r="AW257" s="663"/>
      <c r="AX257" s="663"/>
      <c r="AY257" s="663"/>
      <c r="AZ257" s="663"/>
      <c r="BA257" s="663"/>
      <c r="BB257" s="663"/>
    </row>
    <row r="258" spans="1:55" s="670" customFormat="1" ht="13.5" customHeight="1">
      <c r="A258" s="675"/>
      <c r="B258" s="779"/>
      <c r="C258" s="778" t="s">
        <v>753</v>
      </c>
      <c r="D258" s="777">
        <v>30</v>
      </c>
      <c r="E258" s="777"/>
      <c r="F258" s="777"/>
      <c r="G258" s="777"/>
      <c r="H258" s="777"/>
      <c r="I258" s="777">
        <f>D258</f>
        <v>30</v>
      </c>
      <c r="J258" s="777"/>
      <c r="K258" s="777"/>
      <c r="L258" s="777"/>
      <c r="M258" s="777"/>
      <c r="N258" s="777"/>
      <c r="O258" s="777"/>
      <c r="P258" s="663"/>
      <c r="Q258" s="663"/>
      <c r="R258" s="663"/>
      <c r="S258" s="663"/>
      <c r="T258" s="663"/>
      <c r="U258" s="663"/>
      <c r="V258" s="663"/>
      <c r="W258" s="663"/>
      <c r="X258" s="663"/>
      <c r="Y258" s="663"/>
      <c r="Z258" s="663"/>
      <c r="AA258" s="663"/>
      <c r="AB258" s="663"/>
      <c r="AC258" s="663"/>
      <c r="AD258" s="663"/>
      <c r="AE258" s="663"/>
      <c r="AF258" s="663"/>
      <c r="AG258" s="663"/>
      <c r="AH258" s="663"/>
      <c r="AI258" s="663"/>
      <c r="AJ258" s="663"/>
      <c r="AK258" s="663"/>
      <c r="AL258" s="663"/>
      <c r="AM258" s="663"/>
      <c r="AN258" s="663"/>
      <c r="AO258" s="663"/>
      <c r="AP258" s="663"/>
      <c r="AQ258" s="663"/>
      <c r="AR258" s="663"/>
      <c r="AS258" s="663"/>
      <c r="AT258" s="663"/>
      <c r="AU258" s="663"/>
      <c r="AV258" s="663"/>
      <c r="AW258" s="663"/>
      <c r="AX258" s="663"/>
      <c r="AY258" s="663"/>
      <c r="AZ258" s="663"/>
      <c r="BA258" s="663"/>
      <c r="BB258" s="663"/>
    </row>
    <row r="259" spans="1:55" s="670" customFormat="1" ht="13.5" customHeight="1">
      <c r="A259" s="675"/>
      <c r="B259" s="779"/>
      <c r="C259" s="778" t="s">
        <v>752</v>
      </c>
      <c r="D259" s="777">
        <v>30</v>
      </c>
      <c r="E259" s="777"/>
      <c r="F259" s="777"/>
      <c r="G259" s="777"/>
      <c r="H259" s="777"/>
      <c r="I259" s="777"/>
      <c r="J259" s="777">
        <f>D259</f>
        <v>30</v>
      </c>
      <c r="K259" s="777"/>
      <c r="L259" s="777"/>
      <c r="M259" s="777"/>
      <c r="N259" s="777"/>
      <c r="O259" s="777"/>
      <c r="P259" s="663"/>
      <c r="Q259" s="663"/>
      <c r="R259" s="663"/>
      <c r="S259" s="663"/>
      <c r="T259" s="663"/>
      <c r="U259" s="663"/>
      <c r="V259" s="663"/>
      <c r="W259" s="663"/>
      <c r="X259" s="663"/>
      <c r="Y259" s="663"/>
      <c r="Z259" s="663"/>
      <c r="AA259" s="663"/>
      <c r="AB259" s="663"/>
      <c r="AC259" s="663"/>
      <c r="AD259" s="663"/>
      <c r="AE259" s="663"/>
      <c r="AF259" s="663"/>
      <c r="AG259" s="663"/>
      <c r="AH259" s="663"/>
      <c r="AI259" s="663"/>
      <c r="AJ259" s="663"/>
      <c r="AK259" s="663"/>
      <c r="AL259" s="663"/>
      <c r="AM259" s="663"/>
      <c r="AN259" s="663"/>
      <c r="AO259" s="663"/>
      <c r="AP259" s="663"/>
      <c r="AQ259" s="663"/>
      <c r="AR259" s="663"/>
      <c r="AS259" s="663"/>
      <c r="AT259" s="663"/>
      <c r="AU259" s="663"/>
      <c r="AV259" s="663"/>
      <c r="AW259" s="663"/>
      <c r="AX259" s="663"/>
      <c r="AY259" s="663"/>
      <c r="AZ259" s="663"/>
      <c r="BA259" s="663"/>
      <c r="BB259" s="663"/>
    </row>
    <row r="260" spans="1:55" s="670" customFormat="1" ht="13.5" customHeight="1">
      <c r="A260" s="675"/>
      <c r="B260" s="779"/>
      <c r="C260" s="778" t="s">
        <v>186</v>
      </c>
      <c r="D260" s="777"/>
      <c r="E260" s="777"/>
      <c r="F260" s="777"/>
      <c r="G260" s="777"/>
      <c r="H260" s="777">
        <f>D260</f>
        <v>0</v>
      </c>
      <c r="I260" s="777"/>
      <c r="J260" s="777"/>
      <c r="K260" s="777"/>
      <c r="L260" s="777"/>
      <c r="M260" s="777"/>
      <c r="N260" s="777"/>
      <c r="O260" s="777"/>
      <c r="P260" s="663"/>
      <c r="Q260" s="663"/>
      <c r="R260" s="663"/>
      <c r="S260" s="663"/>
      <c r="T260" s="663"/>
      <c r="U260" s="663"/>
      <c r="V260" s="663"/>
      <c r="W260" s="663"/>
      <c r="X260" s="663"/>
      <c r="Y260" s="663"/>
      <c r="Z260" s="663"/>
      <c r="AA260" s="663"/>
      <c r="AB260" s="663"/>
      <c r="AC260" s="663"/>
      <c r="AD260" s="663"/>
      <c r="AE260" s="663"/>
      <c r="AF260" s="663"/>
      <c r="AG260" s="663"/>
      <c r="AH260" s="663"/>
      <c r="AI260" s="663"/>
      <c r="AJ260" s="663"/>
      <c r="AK260" s="663"/>
      <c r="AL260" s="663"/>
      <c r="AM260" s="663"/>
      <c r="AN260" s="663"/>
      <c r="AO260" s="663"/>
      <c r="AP260" s="663"/>
      <c r="AQ260" s="663"/>
      <c r="AR260" s="663"/>
      <c r="AS260" s="663"/>
      <c r="AT260" s="663"/>
      <c r="AU260" s="663"/>
      <c r="AV260" s="663"/>
      <c r="AW260" s="663"/>
      <c r="AX260" s="663"/>
      <c r="AY260" s="663"/>
      <c r="AZ260" s="663"/>
      <c r="BA260" s="663"/>
      <c r="BB260" s="663"/>
    </row>
    <row r="261" spans="1:55" s="670" customFormat="1" ht="13.5" customHeight="1">
      <c r="A261" s="675"/>
      <c r="B261" s="779"/>
      <c r="C261" s="778" t="s">
        <v>518</v>
      </c>
      <c r="D261" s="777"/>
      <c r="E261" s="777"/>
      <c r="F261" s="777"/>
      <c r="G261" s="777"/>
      <c r="H261" s="777">
        <f>D261</f>
        <v>0</v>
      </c>
      <c r="I261" s="777"/>
      <c r="J261" s="777"/>
      <c r="K261" s="777"/>
      <c r="L261" s="777"/>
      <c r="M261" s="777"/>
      <c r="N261" s="777"/>
      <c r="O261" s="777"/>
      <c r="P261" s="663"/>
      <c r="Q261" s="663"/>
      <c r="R261" s="663"/>
      <c r="S261" s="663"/>
      <c r="T261" s="663"/>
      <c r="U261" s="663"/>
      <c r="V261" s="663"/>
      <c r="W261" s="663"/>
      <c r="X261" s="663"/>
      <c r="Y261" s="663"/>
      <c r="Z261" s="663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3"/>
      <c r="AL261" s="663"/>
      <c r="AM261" s="663"/>
      <c r="AN261" s="663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</row>
    <row r="262" spans="1:55" s="670" customFormat="1" ht="13.5" customHeight="1">
      <c r="A262" s="675"/>
      <c r="B262" s="779"/>
      <c r="C262" s="778" t="s">
        <v>751</v>
      </c>
      <c r="D262" s="777">
        <v>400</v>
      </c>
      <c r="E262" s="777"/>
      <c r="F262" s="777"/>
      <c r="G262" s="777"/>
      <c r="H262" s="777"/>
      <c r="I262" s="777"/>
      <c r="J262" s="777"/>
      <c r="K262" s="777"/>
      <c r="L262" s="777"/>
      <c r="M262" s="777"/>
      <c r="N262" s="777"/>
      <c r="O262" s="777"/>
      <c r="P262" s="663"/>
      <c r="Q262" s="663"/>
      <c r="R262" s="663"/>
      <c r="S262" s="663"/>
      <c r="T262" s="663"/>
      <c r="U262" s="663"/>
      <c r="V262" s="663"/>
      <c r="W262" s="663"/>
      <c r="X262" s="663"/>
      <c r="Y262" s="663"/>
      <c r="Z262" s="663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3"/>
      <c r="AL262" s="663"/>
      <c r="AM262" s="663"/>
      <c r="AN262" s="663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</row>
    <row r="263" spans="1:55" s="670" customFormat="1" ht="13.5" customHeight="1">
      <c r="A263" s="675"/>
      <c r="B263" s="779"/>
      <c r="C263" s="778"/>
      <c r="D263" s="777"/>
      <c r="E263" s="777"/>
      <c r="F263" s="777"/>
      <c r="G263" s="777"/>
      <c r="H263" s="777"/>
      <c r="I263" s="777"/>
      <c r="J263" s="777"/>
      <c r="K263" s="777"/>
      <c r="L263" s="777"/>
      <c r="M263" s="777"/>
      <c r="N263" s="777"/>
      <c r="O263" s="777"/>
      <c r="P263" s="663"/>
      <c r="Q263" s="663"/>
      <c r="R263" s="663"/>
      <c r="S263" s="663"/>
      <c r="T263" s="663"/>
      <c r="U263" s="663"/>
      <c r="V263" s="663"/>
      <c r="W263" s="663"/>
      <c r="X263" s="663"/>
      <c r="Y263" s="663"/>
      <c r="Z263" s="663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3"/>
      <c r="AL263" s="663"/>
      <c r="AM263" s="663"/>
      <c r="AN263" s="663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</row>
    <row r="264" spans="1:55" s="670" customFormat="1" ht="13.5" customHeight="1">
      <c r="A264" s="675"/>
      <c r="B264" s="779"/>
      <c r="C264" s="778"/>
      <c r="D264" s="777"/>
      <c r="E264" s="777"/>
      <c r="F264" s="777"/>
      <c r="G264" s="777"/>
      <c r="H264" s="777"/>
      <c r="I264" s="777"/>
      <c r="J264" s="777"/>
      <c r="K264" s="777"/>
      <c r="L264" s="777"/>
      <c r="M264" s="777"/>
      <c r="N264" s="777"/>
      <c r="O264" s="777"/>
      <c r="P264" s="663"/>
      <c r="Q264" s="663"/>
      <c r="R264" s="663"/>
      <c r="S264" s="663"/>
      <c r="T264" s="663"/>
      <c r="U264" s="663"/>
      <c r="V264" s="663"/>
      <c r="W264" s="663"/>
      <c r="X264" s="663"/>
      <c r="Y264" s="663"/>
      <c r="Z264" s="663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3"/>
      <c r="AL264" s="663"/>
      <c r="AM264" s="663"/>
      <c r="AN264" s="663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</row>
    <row r="265" spans="1:55" s="694" customFormat="1" ht="13.5" customHeight="1">
      <c r="A265" s="700"/>
      <c r="B265" s="788" t="str">
        <f>L1</f>
        <v>oktober</v>
      </c>
      <c r="C265" s="787" t="s">
        <v>37</v>
      </c>
      <c r="D265" s="786">
        <f t="shared" ref="D265:M265" si="10">SUM(D266:D268)</f>
        <v>0</v>
      </c>
      <c r="E265" s="786">
        <f t="shared" si="10"/>
        <v>0</v>
      </c>
      <c r="F265" s="786">
        <f t="shared" si="10"/>
        <v>0</v>
      </c>
      <c r="G265" s="786">
        <f t="shared" si="10"/>
        <v>0</v>
      </c>
      <c r="H265" s="786">
        <f t="shared" si="10"/>
        <v>0</v>
      </c>
      <c r="I265" s="786">
        <f t="shared" si="10"/>
        <v>0</v>
      </c>
      <c r="J265" s="786">
        <f t="shared" si="10"/>
        <v>0</v>
      </c>
      <c r="K265" s="786">
        <f t="shared" si="10"/>
        <v>0</v>
      </c>
      <c r="L265" s="786">
        <f t="shared" si="10"/>
        <v>0</v>
      </c>
      <c r="M265" s="786">
        <f t="shared" si="10"/>
        <v>0</v>
      </c>
      <c r="N265" s="786"/>
      <c r="O265" s="786"/>
      <c r="P265" s="695"/>
      <c r="Q265" s="695"/>
      <c r="R265" s="695"/>
      <c r="S265" s="695"/>
      <c r="T265" s="695"/>
      <c r="U265" s="695"/>
      <c r="V265" s="695"/>
      <c r="W265" s="695"/>
      <c r="X265" s="695"/>
      <c r="Y265" s="695"/>
      <c r="Z265" s="695"/>
      <c r="AA265" s="695"/>
      <c r="AB265" s="695"/>
      <c r="AC265" s="695"/>
      <c r="AD265" s="695"/>
      <c r="AE265" s="695"/>
      <c r="AF265" s="695"/>
      <c r="AG265" s="695"/>
      <c r="AH265" s="695"/>
      <c r="AI265" s="695"/>
      <c r="AJ265" s="695"/>
      <c r="AK265" s="695"/>
      <c r="AL265" s="695"/>
      <c r="AM265" s="695"/>
      <c r="AN265" s="695"/>
      <c r="AO265" s="695"/>
      <c r="AP265" s="695"/>
      <c r="AQ265" s="695"/>
      <c r="AR265" s="695"/>
      <c r="AS265" s="695"/>
      <c r="AT265" s="695"/>
      <c r="AU265" s="695"/>
      <c r="AV265" s="695"/>
      <c r="AW265" s="695"/>
      <c r="AX265" s="695"/>
      <c r="AY265" s="695"/>
      <c r="AZ265" s="695"/>
      <c r="BA265" s="695"/>
      <c r="BB265" s="695"/>
      <c r="BC265" s="695"/>
    </row>
    <row r="266" spans="1:55" ht="13.5" customHeight="1">
      <c r="A266" s="648"/>
      <c r="B266" s="791"/>
      <c r="C266" s="790"/>
      <c r="D266" s="789"/>
      <c r="E266" s="789"/>
      <c r="F266" s="789"/>
      <c r="G266" s="789"/>
      <c r="H266" s="789"/>
      <c r="I266" s="789"/>
      <c r="J266" s="789"/>
      <c r="K266" s="789"/>
      <c r="L266" s="789"/>
      <c r="M266" s="789"/>
      <c r="N266" s="789"/>
      <c r="O266" s="789"/>
      <c r="P266" s="648"/>
      <c r="Q266" s="648"/>
      <c r="R266" s="648"/>
      <c r="S266" s="648"/>
      <c r="T266" s="648"/>
      <c r="U266" s="648"/>
      <c r="V266" s="648"/>
      <c r="W266" s="648"/>
      <c r="X266" s="648"/>
      <c r="Y266" s="648"/>
      <c r="Z266" s="648"/>
      <c r="AA266" s="648"/>
      <c r="AB266" s="648"/>
      <c r="AC266" s="648"/>
      <c r="AD266" s="648"/>
      <c r="AE266" s="648"/>
      <c r="AF266" s="648"/>
      <c r="AG266" s="648"/>
      <c r="AH266" s="648"/>
      <c r="AI266" s="648"/>
      <c r="AJ266" s="648"/>
      <c r="AK266" s="648"/>
      <c r="AL266" s="648"/>
      <c r="AM266" s="648"/>
      <c r="AN266" s="648"/>
      <c r="AO266" s="648"/>
      <c r="AP266" s="648"/>
      <c r="AQ266" s="648"/>
      <c r="AR266" s="648"/>
      <c r="AS266" s="648"/>
      <c r="AT266" s="648"/>
      <c r="AU266" s="648"/>
      <c r="AV266" s="648"/>
      <c r="AW266" s="648"/>
      <c r="AX266" s="648"/>
      <c r="AY266" s="648"/>
      <c r="AZ266" s="648"/>
      <c r="BA266" s="648"/>
      <c r="BB266" s="648"/>
    </row>
    <row r="267" spans="1:55" ht="13.5" customHeight="1">
      <c r="A267" s="648"/>
      <c r="B267" s="791"/>
      <c r="C267" s="790"/>
      <c r="D267" s="789"/>
      <c r="E267" s="789"/>
      <c r="F267" s="789"/>
      <c r="G267" s="789"/>
      <c r="H267" s="789"/>
      <c r="I267" s="789"/>
      <c r="J267" s="789"/>
      <c r="K267" s="789"/>
      <c r="L267" s="789"/>
      <c r="M267" s="789"/>
      <c r="N267" s="789"/>
      <c r="O267" s="789"/>
      <c r="P267" s="648"/>
      <c r="Q267" s="648"/>
      <c r="R267" s="648"/>
      <c r="S267" s="648"/>
      <c r="T267" s="648"/>
      <c r="U267" s="648"/>
      <c r="V267" s="648"/>
      <c r="W267" s="648"/>
      <c r="X267" s="648"/>
      <c r="Y267" s="648"/>
      <c r="Z267" s="648"/>
      <c r="AA267" s="648"/>
      <c r="AB267" s="648"/>
      <c r="AC267" s="648"/>
      <c r="AD267" s="648"/>
      <c r="AE267" s="648"/>
      <c r="AF267" s="648"/>
      <c r="AG267" s="648"/>
      <c r="AH267" s="648"/>
      <c r="AI267" s="648"/>
      <c r="AJ267" s="648"/>
      <c r="AK267" s="648"/>
      <c r="AL267" s="648"/>
      <c r="AM267" s="648"/>
      <c r="AN267" s="648"/>
      <c r="AO267" s="648"/>
      <c r="AP267" s="648"/>
      <c r="AQ267" s="648"/>
      <c r="AR267" s="648"/>
      <c r="AS267" s="648"/>
      <c r="AT267" s="648"/>
      <c r="AU267" s="648"/>
      <c r="AV267" s="648"/>
      <c r="AW267" s="648"/>
      <c r="AX267" s="648"/>
      <c r="AY267" s="648"/>
      <c r="AZ267" s="648"/>
      <c r="BA267" s="648"/>
      <c r="BB267" s="648"/>
    </row>
    <row r="268" spans="1:55" s="694" customFormat="1" ht="13.5" customHeight="1">
      <c r="A268" s="700"/>
      <c r="B268" s="788"/>
      <c r="C268" s="787"/>
      <c r="D268" s="786"/>
      <c r="E268" s="786"/>
      <c r="F268" s="786"/>
      <c r="G268" s="786"/>
      <c r="H268" s="786"/>
      <c r="I268" s="786"/>
      <c r="J268" s="786"/>
      <c r="K268" s="786"/>
      <c r="L268" s="786"/>
      <c r="M268" s="786"/>
      <c r="N268" s="786"/>
      <c r="O268" s="786"/>
      <c r="P268" s="695"/>
      <c r="Q268" s="695"/>
      <c r="R268" s="695"/>
      <c r="S268" s="695"/>
      <c r="T268" s="695"/>
      <c r="U268" s="695"/>
      <c r="V268" s="695"/>
      <c r="W268" s="695"/>
      <c r="X268" s="695"/>
      <c r="Y268" s="695"/>
      <c r="Z268" s="695"/>
      <c r="AA268" s="695"/>
      <c r="AB268" s="695"/>
      <c r="AC268" s="695"/>
      <c r="AD268" s="695"/>
      <c r="AE268" s="695"/>
      <c r="AF268" s="695"/>
      <c r="AG268" s="695"/>
      <c r="AH268" s="695"/>
      <c r="AI268" s="695"/>
      <c r="AJ268" s="695"/>
      <c r="AK268" s="695"/>
      <c r="AL268" s="695"/>
      <c r="AM268" s="695"/>
      <c r="AN268" s="695"/>
      <c r="AO268" s="695"/>
      <c r="AP268" s="695"/>
      <c r="AQ268" s="695"/>
      <c r="AR268" s="695"/>
      <c r="AS268" s="695"/>
      <c r="AT268" s="695"/>
      <c r="AU268" s="695"/>
      <c r="AV268" s="695"/>
      <c r="AW268" s="695"/>
      <c r="AX268" s="695"/>
      <c r="AY268" s="695"/>
      <c r="AZ268" s="695"/>
      <c r="BA268" s="695"/>
      <c r="BB268" s="695"/>
      <c r="BC268" s="695"/>
    </row>
    <row r="269" spans="1:55" s="780" customFormat="1" ht="13.5" customHeight="1">
      <c r="A269" s="785"/>
      <c r="B269" s="784" t="str">
        <f>L1</f>
        <v>oktober</v>
      </c>
      <c r="C269" s="783" t="s">
        <v>36</v>
      </c>
      <c r="D269" s="782">
        <f>SUM(D270:D289)</f>
        <v>1553</v>
      </c>
      <c r="E269" s="782"/>
      <c r="F269" s="782"/>
      <c r="G269" s="782"/>
      <c r="H269" s="782"/>
      <c r="I269" s="782"/>
      <c r="J269" s="782"/>
      <c r="K269" s="782"/>
      <c r="L269" s="782"/>
      <c r="M269" s="782"/>
      <c r="N269" s="782"/>
      <c r="O269" s="782"/>
      <c r="P269" s="781"/>
      <c r="Q269" s="781"/>
      <c r="R269" s="781"/>
      <c r="S269" s="781"/>
      <c r="T269" s="781"/>
      <c r="U269" s="781"/>
      <c r="V269" s="781"/>
      <c r="W269" s="781"/>
      <c r="X269" s="781"/>
      <c r="Y269" s="781"/>
      <c r="Z269" s="781"/>
      <c r="AA269" s="781"/>
      <c r="AB269" s="781"/>
      <c r="AC269" s="781"/>
      <c r="AD269" s="781"/>
      <c r="AE269" s="781"/>
      <c r="AF269" s="781"/>
      <c r="AG269" s="781"/>
      <c r="AH269" s="781"/>
      <c r="AI269" s="781"/>
      <c r="AJ269" s="781"/>
      <c r="AK269" s="781"/>
      <c r="AL269" s="781"/>
      <c r="AM269" s="781"/>
      <c r="AN269" s="781"/>
      <c r="AO269" s="781"/>
      <c r="AP269" s="781"/>
      <c r="AQ269" s="781"/>
      <c r="AR269" s="781"/>
      <c r="AS269" s="781"/>
      <c r="AT269" s="781"/>
      <c r="AU269" s="781"/>
      <c r="AV269" s="781"/>
      <c r="AW269" s="781"/>
      <c r="AX269" s="781"/>
      <c r="AY269" s="781"/>
      <c r="AZ269" s="781"/>
      <c r="BA269" s="781"/>
      <c r="BB269" s="781"/>
    </row>
    <row r="270" spans="1:55" s="670" customFormat="1" ht="13.5" customHeight="1">
      <c r="A270" s="675"/>
      <c r="B270" s="779"/>
      <c r="C270" s="778" t="s">
        <v>22</v>
      </c>
      <c r="D270" s="777">
        <v>89</v>
      </c>
      <c r="E270" s="777"/>
      <c r="F270" s="777"/>
      <c r="G270" s="777">
        <f>D270</f>
        <v>89</v>
      </c>
      <c r="H270" s="777"/>
      <c r="I270" s="777"/>
      <c r="J270" s="777"/>
      <c r="K270" s="777"/>
      <c r="L270" s="777"/>
      <c r="M270" s="777"/>
      <c r="N270" s="777"/>
      <c r="O270" s="777"/>
      <c r="P270" s="663"/>
      <c r="Q270" s="663"/>
      <c r="R270" s="663"/>
      <c r="S270" s="663"/>
      <c r="T270" s="663"/>
      <c r="U270" s="663"/>
      <c r="V270" s="663"/>
      <c r="W270" s="663"/>
      <c r="X270" s="663"/>
      <c r="Y270" s="663"/>
      <c r="Z270" s="663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3"/>
      <c r="AL270" s="663"/>
      <c r="AM270" s="663"/>
      <c r="AN270" s="663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</row>
    <row r="271" spans="1:55" s="670" customFormat="1" ht="13.5" customHeight="1">
      <c r="A271" s="675"/>
      <c r="B271" s="794"/>
      <c r="C271" s="793" t="s">
        <v>21</v>
      </c>
      <c r="D271" s="792">
        <v>176</v>
      </c>
      <c r="E271" s="792"/>
      <c r="F271" s="792"/>
      <c r="G271" s="792"/>
      <c r="H271" s="792"/>
      <c r="I271" s="792"/>
      <c r="J271" s="792"/>
      <c r="K271" s="792"/>
      <c r="L271" s="792"/>
      <c r="M271" s="792"/>
      <c r="N271" s="792"/>
      <c r="O271" s="792"/>
      <c r="P271" s="663"/>
      <c r="Q271" s="663"/>
      <c r="R271" s="663"/>
      <c r="S271" s="663"/>
      <c r="T271" s="663"/>
      <c r="U271" s="663"/>
      <c r="V271" s="663"/>
      <c r="W271" s="663"/>
      <c r="X271" s="663"/>
      <c r="Y271" s="663"/>
      <c r="Z271" s="663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3"/>
      <c r="AL271" s="663"/>
      <c r="AM271" s="663"/>
      <c r="AN271" s="663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</row>
    <row r="272" spans="1:55" s="670" customFormat="1" ht="13.5" customHeight="1">
      <c r="A272" s="675"/>
      <c r="B272" s="794"/>
      <c r="C272" s="793" t="s">
        <v>230</v>
      </c>
      <c r="D272" s="792">
        <v>59</v>
      </c>
      <c r="E272" s="792"/>
      <c r="F272" s="792"/>
      <c r="G272" s="792">
        <f>D272</f>
        <v>59</v>
      </c>
      <c r="H272" s="792"/>
      <c r="I272" s="792"/>
      <c r="J272" s="792"/>
      <c r="K272" s="792"/>
      <c r="L272" s="792"/>
      <c r="M272" s="792"/>
      <c r="N272" s="792"/>
      <c r="O272" s="792"/>
      <c r="P272" s="663"/>
      <c r="Q272" s="663"/>
      <c r="R272" s="663"/>
      <c r="S272" s="663"/>
      <c r="T272" s="663"/>
      <c r="U272" s="663"/>
      <c r="V272" s="663"/>
      <c r="W272" s="663"/>
      <c r="X272" s="663"/>
      <c r="Y272" s="663"/>
      <c r="Z272" s="663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3"/>
      <c r="AL272" s="663"/>
      <c r="AM272" s="663"/>
      <c r="AN272" s="663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</row>
    <row r="273" spans="1:54" s="670" customFormat="1" ht="13.5" customHeight="1">
      <c r="A273" s="675"/>
      <c r="B273" s="794"/>
      <c r="C273" s="793" t="s">
        <v>464</v>
      </c>
      <c r="D273" s="792">
        <v>129</v>
      </c>
      <c r="E273" s="792"/>
      <c r="F273" s="792">
        <f>D273</f>
        <v>129</v>
      </c>
      <c r="G273" s="792"/>
      <c r="H273" s="792"/>
      <c r="I273" s="792"/>
      <c r="J273" s="792"/>
      <c r="K273" s="792"/>
      <c r="L273" s="792"/>
      <c r="M273" s="792"/>
      <c r="N273" s="792"/>
      <c r="O273" s="792"/>
      <c r="P273" s="663"/>
      <c r="Q273" s="663"/>
      <c r="R273" s="663"/>
      <c r="S273" s="663"/>
      <c r="T273" s="663"/>
      <c r="U273" s="663"/>
      <c r="V273" s="663"/>
      <c r="W273" s="663"/>
      <c r="X273" s="663"/>
      <c r="Y273" s="663"/>
      <c r="Z273" s="663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3"/>
      <c r="AL273" s="663"/>
      <c r="AM273" s="663"/>
      <c r="AN273" s="663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</row>
    <row r="274" spans="1:54" s="670" customFormat="1" ht="13.5" customHeight="1">
      <c r="A274" s="675"/>
      <c r="B274" s="794"/>
      <c r="C274" s="793" t="s">
        <v>397</v>
      </c>
      <c r="D274" s="792">
        <v>200</v>
      </c>
      <c r="E274" s="792"/>
      <c r="F274" s="792"/>
      <c r="G274" s="792"/>
      <c r="H274" s="792"/>
      <c r="I274" s="792"/>
      <c r="J274" s="792"/>
      <c r="K274" s="792"/>
      <c r="L274" s="792"/>
      <c r="M274" s="792"/>
      <c r="N274" s="792"/>
      <c r="O274" s="792"/>
      <c r="P274" s="663"/>
      <c r="Q274" s="663"/>
      <c r="R274" s="663"/>
      <c r="S274" s="663"/>
      <c r="T274" s="663"/>
      <c r="U274" s="663"/>
      <c r="V274" s="663"/>
      <c r="W274" s="663"/>
      <c r="X274" s="663"/>
      <c r="Y274" s="663"/>
      <c r="Z274" s="663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3"/>
      <c r="AL274" s="663"/>
      <c r="AM274" s="663"/>
      <c r="AN274" s="663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</row>
    <row r="275" spans="1:54" s="670" customFormat="1" ht="13.5" customHeight="1">
      <c r="A275" s="675"/>
      <c r="B275" s="794"/>
      <c r="C275" s="793" t="s">
        <v>750</v>
      </c>
      <c r="D275" s="792">
        <v>30</v>
      </c>
      <c r="E275" s="792"/>
      <c r="F275" s="792"/>
      <c r="G275" s="792"/>
      <c r="H275" s="792"/>
      <c r="I275" s="792">
        <f>D275</f>
        <v>30</v>
      </c>
      <c r="J275" s="792"/>
      <c r="K275" s="792"/>
      <c r="L275" s="792"/>
      <c r="M275" s="792"/>
      <c r="N275" s="792"/>
      <c r="O275" s="792"/>
      <c r="P275" s="663"/>
      <c r="Q275" s="663"/>
      <c r="R275" s="663"/>
      <c r="S275" s="663"/>
      <c r="T275" s="663"/>
      <c r="U275" s="663"/>
      <c r="V275" s="663"/>
      <c r="W275" s="663"/>
      <c r="X275" s="663"/>
      <c r="Y275" s="663"/>
      <c r="Z275" s="663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3"/>
      <c r="AL275" s="663"/>
      <c r="AM275" s="663"/>
      <c r="AN275" s="663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</row>
    <row r="276" spans="1:54" s="670" customFormat="1" ht="13.5" customHeight="1">
      <c r="A276" s="675"/>
      <c r="B276" s="794"/>
      <c r="C276" s="793" t="s">
        <v>749</v>
      </c>
      <c r="D276" s="792">
        <v>30</v>
      </c>
      <c r="E276" s="792"/>
      <c r="F276" s="792"/>
      <c r="G276" s="792"/>
      <c r="H276" s="792"/>
      <c r="I276" s="792"/>
      <c r="J276" s="792">
        <f>D276</f>
        <v>30</v>
      </c>
      <c r="K276" s="792"/>
      <c r="L276" s="792"/>
      <c r="M276" s="792"/>
      <c r="N276" s="792"/>
      <c r="O276" s="792"/>
      <c r="P276" s="663"/>
      <c r="Q276" s="663"/>
      <c r="R276" s="663"/>
      <c r="S276" s="663"/>
      <c r="T276" s="663"/>
      <c r="U276" s="663"/>
      <c r="V276" s="663"/>
      <c r="W276" s="663"/>
      <c r="X276" s="663"/>
      <c r="Y276" s="663"/>
      <c r="Z276" s="663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3"/>
      <c r="AL276" s="663"/>
      <c r="AM276" s="663"/>
      <c r="AN276" s="663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</row>
    <row r="277" spans="1:54" s="670" customFormat="1" ht="13.5" customHeight="1">
      <c r="A277" s="675"/>
      <c r="B277" s="794"/>
      <c r="C277" s="793" t="s">
        <v>748</v>
      </c>
      <c r="D277" s="792">
        <v>30</v>
      </c>
      <c r="E277" s="792"/>
      <c r="F277" s="792"/>
      <c r="G277" s="792"/>
      <c r="H277" s="792"/>
      <c r="I277" s="792">
        <f>D277</f>
        <v>30</v>
      </c>
      <c r="J277" s="792"/>
      <c r="K277" s="792"/>
      <c r="L277" s="792"/>
      <c r="M277" s="792"/>
      <c r="N277" s="792"/>
      <c r="O277" s="792"/>
      <c r="P277" s="663"/>
      <c r="Q277" s="663"/>
      <c r="R277" s="663"/>
      <c r="S277" s="663"/>
      <c r="T277" s="663"/>
      <c r="U277" s="663"/>
      <c r="V277" s="663"/>
      <c r="W277" s="663"/>
      <c r="X277" s="663"/>
      <c r="Y277" s="663"/>
      <c r="Z277" s="663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3"/>
      <c r="AL277" s="663"/>
      <c r="AM277" s="663"/>
      <c r="AN277" s="663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</row>
    <row r="278" spans="1:54" s="670" customFormat="1" ht="13.5" customHeight="1">
      <c r="A278" s="675"/>
      <c r="B278" s="794"/>
      <c r="C278" s="793" t="s">
        <v>747</v>
      </c>
      <c r="D278" s="792">
        <v>30</v>
      </c>
      <c r="E278" s="792"/>
      <c r="F278" s="792"/>
      <c r="G278" s="792"/>
      <c r="H278" s="792"/>
      <c r="I278" s="792"/>
      <c r="J278" s="792">
        <f>D278</f>
        <v>30</v>
      </c>
      <c r="K278" s="792"/>
      <c r="L278" s="792"/>
      <c r="M278" s="792"/>
      <c r="N278" s="792"/>
      <c r="O278" s="792"/>
      <c r="P278" s="663"/>
      <c r="Q278" s="663"/>
      <c r="R278" s="663"/>
      <c r="S278" s="663"/>
      <c r="T278" s="663"/>
      <c r="U278" s="663"/>
      <c r="V278" s="663"/>
      <c r="W278" s="663"/>
      <c r="X278" s="663"/>
      <c r="Y278" s="663"/>
      <c r="Z278" s="663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3"/>
      <c r="AL278" s="663"/>
      <c r="AM278" s="663"/>
      <c r="AN278" s="663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</row>
    <row r="279" spans="1:54" s="670" customFormat="1" ht="13.5" customHeight="1">
      <c r="A279" s="675"/>
      <c r="B279" s="794"/>
      <c r="C279" s="793" t="s">
        <v>746</v>
      </c>
      <c r="D279" s="792">
        <v>30</v>
      </c>
      <c r="E279" s="792"/>
      <c r="F279" s="792"/>
      <c r="G279" s="792"/>
      <c r="H279" s="792"/>
      <c r="I279" s="792">
        <f>D279</f>
        <v>30</v>
      </c>
      <c r="J279" s="792"/>
      <c r="K279" s="792"/>
      <c r="L279" s="792"/>
      <c r="M279" s="792"/>
      <c r="N279" s="792"/>
      <c r="O279" s="792"/>
      <c r="P279" s="663"/>
      <c r="Q279" s="663"/>
      <c r="R279" s="663"/>
      <c r="S279" s="663"/>
      <c r="T279" s="663"/>
      <c r="U279" s="663"/>
      <c r="V279" s="663"/>
      <c r="W279" s="663"/>
      <c r="X279" s="663"/>
      <c r="Y279" s="663"/>
      <c r="Z279" s="663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3"/>
      <c r="AL279" s="663"/>
      <c r="AM279" s="663"/>
      <c r="AN279" s="663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</row>
    <row r="280" spans="1:54" s="670" customFormat="1" ht="13.5" customHeight="1">
      <c r="A280" s="675"/>
      <c r="B280" s="794"/>
      <c r="C280" s="793" t="s">
        <v>745</v>
      </c>
      <c r="D280" s="792">
        <v>30</v>
      </c>
      <c r="E280" s="792"/>
      <c r="F280" s="792"/>
      <c r="G280" s="792"/>
      <c r="H280" s="792"/>
      <c r="I280" s="792"/>
      <c r="J280" s="792">
        <f>D280</f>
        <v>30</v>
      </c>
      <c r="K280" s="792"/>
      <c r="L280" s="792"/>
      <c r="M280" s="792"/>
      <c r="N280" s="792"/>
      <c r="O280" s="792"/>
      <c r="P280" s="663"/>
      <c r="Q280" s="663"/>
      <c r="R280" s="663"/>
      <c r="S280" s="663"/>
      <c r="T280" s="663"/>
      <c r="U280" s="663"/>
      <c r="V280" s="663"/>
      <c r="W280" s="663"/>
      <c r="X280" s="663"/>
      <c r="Y280" s="663"/>
      <c r="Z280" s="663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3"/>
      <c r="AL280" s="663"/>
      <c r="AM280" s="663"/>
      <c r="AN280" s="663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</row>
    <row r="281" spans="1:54" s="670" customFormat="1" ht="13.5" customHeight="1">
      <c r="A281" s="675"/>
      <c r="B281" s="794"/>
      <c r="C281" s="793" t="s">
        <v>744</v>
      </c>
      <c r="D281" s="792">
        <v>30</v>
      </c>
      <c r="E281" s="792"/>
      <c r="F281" s="792"/>
      <c r="G281" s="792"/>
      <c r="H281" s="792"/>
      <c r="I281" s="792">
        <f>D281</f>
        <v>30</v>
      </c>
      <c r="J281" s="792"/>
      <c r="K281" s="792"/>
      <c r="L281" s="792"/>
      <c r="M281" s="792"/>
      <c r="N281" s="792"/>
      <c r="O281" s="792"/>
      <c r="P281" s="663"/>
      <c r="Q281" s="663"/>
      <c r="R281" s="663"/>
      <c r="S281" s="663"/>
      <c r="T281" s="663"/>
      <c r="U281" s="663"/>
      <c r="V281" s="663"/>
      <c r="W281" s="663"/>
      <c r="X281" s="663"/>
      <c r="Y281" s="663"/>
      <c r="Z281" s="663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3"/>
      <c r="AL281" s="663"/>
      <c r="AM281" s="663"/>
      <c r="AN281" s="663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</row>
    <row r="282" spans="1:54" s="670" customFormat="1" ht="13.5" customHeight="1">
      <c r="A282" s="675"/>
      <c r="B282" s="794"/>
      <c r="C282" s="793" t="s">
        <v>743</v>
      </c>
      <c r="D282" s="792">
        <v>30</v>
      </c>
      <c r="E282" s="792"/>
      <c r="F282" s="792"/>
      <c r="G282" s="792"/>
      <c r="H282" s="792"/>
      <c r="I282" s="792"/>
      <c r="J282" s="792">
        <f>D282</f>
        <v>30</v>
      </c>
      <c r="K282" s="792"/>
      <c r="L282" s="792"/>
      <c r="M282" s="792"/>
      <c r="N282" s="792"/>
      <c r="O282" s="792"/>
      <c r="P282" s="663"/>
      <c r="Q282" s="663"/>
      <c r="R282" s="663"/>
      <c r="S282" s="663"/>
      <c r="T282" s="663"/>
      <c r="U282" s="663"/>
      <c r="V282" s="663"/>
      <c r="W282" s="663"/>
      <c r="X282" s="663"/>
      <c r="Y282" s="663"/>
      <c r="Z282" s="663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3"/>
      <c r="AL282" s="663"/>
      <c r="AM282" s="663"/>
      <c r="AN282" s="663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</row>
    <row r="283" spans="1:54" s="670" customFormat="1" ht="13.5" customHeight="1">
      <c r="A283" s="675"/>
      <c r="B283" s="794"/>
      <c r="C283" s="793" t="s">
        <v>742</v>
      </c>
      <c r="D283" s="792">
        <v>30</v>
      </c>
      <c r="E283" s="792"/>
      <c r="F283" s="792"/>
      <c r="G283" s="792"/>
      <c r="H283" s="792"/>
      <c r="I283" s="792">
        <f>D283</f>
        <v>30</v>
      </c>
      <c r="J283" s="792"/>
      <c r="K283" s="792"/>
      <c r="L283" s="792"/>
      <c r="M283" s="792"/>
      <c r="N283" s="792"/>
      <c r="O283" s="792"/>
      <c r="P283" s="663"/>
      <c r="Q283" s="663"/>
      <c r="R283" s="663"/>
      <c r="S283" s="663"/>
      <c r="T283" s="663"/>
      <c r="U283" s="663"/>
      <c r="V283" s="663"/>
      <c r="W283" s="663"/>
      <c r="X283" s="663"/>
      <c r="Y283" s="663"/>
      <c r="Z283" s="663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3"/>
      <c r="AL283" s="663"/>
      <c r="AM283" s="663"/>
      <c r="AN283" s="663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</row>
    <row r="284" spans="1:54" s="670" customFormat="1" ht="13.5" customHeight="1">
      <c r="A284" s="675"/>
      <c r="B284" s="794"/>
      <c r="C284" s="793" t="s">
        <v>741</v>
      </c>
      <c r="D284" s="792">
        <v>30</v>
      </c>
      <c r="E284" s="792"/>
      <c r="F284" s="792"/>
      <c r="G284" s="792"/>
      <c r="H284" s="792"/>
      <c r="I284" s="792"/>
      <c r="J284" s="792">
        <f>D284</f>
        <v>30</v>
      </c>
      <c r="K284" s="792"/>
      <c r="L284" s="792"/>
      <c r="M284" s="792"/>
      <c r="N284" s="792"/>
      <c r="O284" s="792"/>
      <c r="P284" s="663"/>
      <c r="Q284" s="663"/>
      <c r="R284" s="663"/>
      <c r="S284" s="663"/>
      <c r="T284" s="663"/>
      <c r="U284" s="663"/>
      <c r="V284" s="663"/>
      <c r="W284" s="663"/>
      <c r="X284" s="663"/>
      <c r="Y284" s="663"/>
      <c r="Z284" s="663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3"/>
      <c r="AL284" s="663"/>
      <c r="AM284" s="663"/>
      <c r="AN284" s="663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</row>
    <row r="285" spans="1:54" s="670" customFormat="1" ht="13.5" customHeight="1">
      <c r="A285" s="675"/>
      <c r="B285" s="794"/>
      <c r="C285" s="793" t="s">
        <v>186</v>
      </c>
      <c r="D285" s="792"/>
      <c r="E285" s="792"/>
      <c r="F285" s="792"/>
      <c r="G285" s="792"/>
      <c r="H285" s="792">
        <f>D285</f>
        <v>0</v>
      </c>
      <c r="I285" s="792"/>
      <c r="J285" s="792"/>
      <c r="K285" s="792"/>
      <c r="L285" s="792"/>
      <c r="M285" s="792"/>
      <c r="N285" s="792"/>
      <c r="O285" s="792"/>
      <c r="P285" s="663"/>
      <c r="Q285" s="663"/>
      <c r="R285" s="663"/>
      <c r="S285" s="663"/>
      <c r="T285" s="663"/>
      <c r="U285" s="663"/>
      <c r="V285" s="663"/>
      <c r="W285" s="663"/>
      <c r="X285" s="663"/>
      <c r="Y285" s="663"/>
      <c r="Z285" s="663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3"/>
      <c r="AL285" s="663"/>
      <c r="AM285" s="663"/>
      <c r="AN285" s="663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</row>
    <row r="286" spans="1:54" s="670" customFormat="1" ht="13.5" customHeight="1">
      <c r="A286" s="675"/>
      <c r="B286" s="794"/>
      <c r="C286" s="793" t="s">
        <v>518</v>
      </c>
      <c r="D286" s="792"/>
      <c r="E286" s="792"/>
      <c r="F286" s="792"/>
      <c r="G286" s="792"/>
      <c r="H286" s="792">
        <f>D286</f>
        <v>0</v>
      </c>
      <c r="I286" s="792"/>
      <c r="J286" s="792"/>
      <c r="K286" s="792"/>
      <c r="L286" s="792"/>
      <c r="M286" s="792"/>
      <c r="N286" s="792"/>
      <c r="O286" s="792"/>
      <c r="P286" s="663"/>
      <c r="Q286" s="663"/>
      <c r="R286" s="663"/>
      <c r="S286" s="663"/>
      <c r="T286" s="663"/>
      <c r="U286" s="663"/>
      <c r="V286" s="663"/>
      <c r="W286" s="663"/>
      <c r="X286" s="663"/>
      <c r="Y286" s="663"/>
      <c r="Z286" s="663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3"/>
      <c r="AL286" s="663"/>
      <c r="AM286" s="663"/>
      <c r="AN286" s="663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</row>
    <row r="287" spans="1:54" s="670" customFormat="1" ht="13.5" customHeight="1">
      <c r="A287" s="675"/>
      <c r="B287" s="794"/>
      <c r="C287" s="793" t="s">
        <v>48</v>
      </c>
      <c r="D287" s="792">
        <v>600</v>
      </c>
      <c r="E287" s="792">
        <v>600</v>
      </c>
      <c r="F287" s="792"/>
      <c r="G287" s="792"/>
      <c r="H287" s="792"/>
      <c r="I287" s="792"/>
      <c r="J287" s="792"/>
      <c r="K287" s="792"/>
      <c r="L287" s="792"/>
      <c r="M287" s="792"/>
      <c r="N287" s="792"/>
      <c r="O287" s="792"/>
      <c r="P287" s="663"/>
      <c r="Q287" s="663"/>
      <c r="R287" s="663"/>
      <c r="S287" s="663"/>
      <c r="T287" s="663"/>
      <c r="U287" s="663"/>
      <c r="V287" s="663"/>
      <c r="W287" s="663"/>
      <c r="X287" s="663"/>
      <c r="Y287" s="663"/>
      <c r="Z287" s="663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3"/>
      <c r="AL287" s="663"/>
      <c r="AM287" s="663"/>
      <c r="AN287" s="663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</row>
    <row r="288" spans="1:54" s="670" customFormat="1" ht="13.5" customHeight="1">
      <c r="A288" s="675"/>
      <c r="B288" s="794"/>
      <c r="C288" s="793"/>
      <c r="D288" s="792"/>
      <c r="E288" s="792"/>
      <c r="F288" s="792"/>
      <c r="G288" s="792"/>
      <c r="H288" s="792"/>
      <c r="I288" s="792"/>
      <c r="J288" s="792"/>
      <c r="K288" s="792"/>
      <c r="L288" s="792"/>
      <c r="M288" s="792"/>
      <c r="N288" s="792"/>
      <c r="O288" s="792"/>
      <c r="P288" s="663"/>
      <c r="Q288" s="663"/>
      <c r="R288" s="663"/>
      <c r="S288" s="663"/>
      <c r="T288" s="663"/>
      <c r="U288" s="663"/>
      <c r="V288" s="663"/>
      <c r="W288" s="663"/>
      <c r="X288" s="663"/>
      <c r="Y288" s="663"/>
      <c r="Z288" s="663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3"/>
      <c r="AL288" s="663"/>
      <c r="AM288" s="663"/>
      <c r="AN288" s="663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</row>
    <row r="289" spans="1:55" s="670" customFormat="1" ht="13.5" customHeight="1">
      <c r="A289" s="675"/>
      <c r="B289" s="794"/>
      <c r="C289" s="793"/>
      <c r="D289" s="792"/>
      <c r="E289" s="792"/>
      <c r="F289" s="792"/>
      <c r="G289" s="792"/>
      <c r="H289" s="792"/>
      <c r="I289" s="792"/>
      <c r="J289" s="792"/>
      <c r="K289" s="792"/>
      <c r="L289" s="792"/>
      <c r="M289" s="792"/>
      <c r="N289" s="792"/>
      <c r="O289" s="792"/>
      <c r="P289" s="663"/>
      <c r="Q289" s="663"/>
      <c r="R289" s="663"/>
      <c r="S289" s="663"/>
      <c r="T289" s="663"/>
      <c r="U289" s="663"/>
      <c r="V289" s="663"/>
      <c r="W289" s="663"/>
      <c r="X289" s="663"/>
      <c r="Y289" s="663"/>
      <c r="Z289" s="663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3"/>
      <c r="AL289" s="663"/>
      <c r="AM289" s="663"/>
      <c r="AN289" s="663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</row>
    <row r="290" spans="1:55" s="694" customFormat="1" ht="13.5" customHeight="1">
      <c r="A290" s="700"/>
      <c r="B290" s="788" t="str">
        <f>M1</f>
        <v>november</v>
      </c>
      <c r="C290" s="787" t="s">
        <v>37</v>
      </c>
      <c r="D290" s="786">
        <f t="shared" ref="D290:M290" si="11">SUM(D291:D293)</f>
        <v>0</v>
      </c>
      <c r="E290" s="786">
        <f t="shared" si="11"/>
        <v>0</v>
      </c>
      <c r="F290" s="786">
        <f t="shared" si="11"/>
        <v>0</v>
      </c>
      <c r="G290" s="786">
        <f t="shared" si="11"/>
        <v>0</v>
      </c>
      <c r="H290" s="786">
        <f t="shared" si="11"/>
        <v>0</v>
      </c>
      <c r="I290" s="786">
        <f t="shared" si="11"/>
        <v>0</v>
      </c>
      <c r="J290" s="786">
        <f t="shared" si="11"/>
        <v>0</v>
      </c>
      <c r="K290" s="786">
        <f t="shared" si="11"/>
        <v>0</v>
      </c>
      <c r="L290" s="786">
        <f t="shared" si="11"/>
        <v>0</v>
      </c>
      <c r="M290" s="786">
        <f t="shared" si="11"/>
        <v>0</v>
      </c>
      <c r="N290" s="786"/>
      <c r="O290" s="786"/>
      <c r="P290" s="695"/>
      <c r="Q290" s="695"/>
      <c r="R290" s="695"/>
      <c r="S290" s="695"/>
      <c r="T290" s="695"/>
      <c r="U290" s="695"/>
      <c r="V290" s="695"/>
      <c r="W290" s="695"/>
      <c r="X290" s="695"/>
      <c r="Y290" s="695"/>
      <c r="Z290" s="695"/>
      <c r="AA290" s="695"/>
      <c r="AB290" s="695"/>
      <c r="AC290" s="695"/>
      <c r="AD290" s="695"/>
      <c r="AE290" s="695"/>
      <c r="AF290" s="695"/>
      <c r="AG290" s="695"/>
      <c r="AH290" s="695"/>
      <c r="AI290" s="695"/>
      <c r="AJ290" s="695"/>
      <c r="AK290" s="695"/>
      <c r="AL290" s="695"/>
      <c r="AM290" s="695"/>
      <c r="AN290" s="695"/>
      <c r="AO290" s="695"/>
      <c r="AP290" s="695"/>
      <c r="AQ290" s="695"/>
      <c r="AR290" s="695"/>
      <c r="AS290" s="695"/>
      <c r="AT290" s="695"/>
      <c r="AU290" s="695"/>
      <c r="AV290" s="695"/>
      <c r="AW290" s="695"/>
      <c r="AX290" s="695"/>
      <c r="AY290" s="695"/>
      <c r="AZ290" s="695"/>
      <c r="BA290" s="695"/>
      <c r="BB290" s="695"/>
      <c r="BC290" s="695"/>
    </row>
    <row r="291" spans="1:55" ht="13.5" customHeight="1">
      <c r="A291" s="648"/>
      <c r="B291" s="791"/>
      <c r="C291" s="790"/>
      <c r="D291" s="789"/>
      <c r="E291" s="789"/>
      <c r="F291" s="789"/>
      <c r="G291" s="789"/>
      <c r="H291" s="789"/>
      <c r="I291" s="789"/>
      <c r="J291" s="789"/>
      <c r="K291" s="789"/>
      <c r="L291" s="789"/>
      <c r="M291" s="789"/>
      <c r="N291" s="789"/>
      <c r="O291" s="789"/>
      <c r="P291" s="648"/>
      <c r="Q291" s="648"/>
      <c r="R291" s="648"/>
      <c r="S291" s="648"/>
      <c r="T291" s="648"/>
      <c r="U291" s="648"/>
      <c r="V291" s="648"/>
      <c r="W291" s="648"/>
      <c r="X291" s="648"/>
      <c r="Y291" s="648"/>
      <c r="Z291" s="648"/>
      <c r="AA291" s="648"/>
      <c r="AB291" s="648"/>
      <c r="AC291" s="648"/>
      <c r="AD291" s="648"/>
      <c r="AE291" s="648"/>
      <c r="AF291" s="648"/>
      <c r="AG291" s="648"/>
      <c r="AH291" s="648"/>
      <c r="AI291" s="648"/>
      <c r="AJ291" s="648"/>
      <c r="AK291" s="648"/>
      <c r="AL291" s="648"/>
      <c r="AM291" s="648"/>
      <c r="AN291" s="648"/>
      <c r="AO291" s="648"/>
      <c r="AP291" s="648"/>
      <c r="AQ291" s="648"/>
      <c r="AR291" s="648"/>
      <c r="AS291" s="648"/>
      <c r="AT291" s="648"/>
      <c r="AU291" s="648"/>
      <c r="AV291" s="648"/>
      <c r="AW291" s="648"/>
      <c r="AX291" s="648"/>
      <c r="AY291" s="648"/>
      <c r="AZ291" s="648"/>
      <c r="BA291" s="648"/>
      <c r="BB291" s="648"/>
    </row>
    <row r="292" spans="1:55" ht="13.5" customHeight="1">
      <c r="A292" s="648"/>
      <c r="B292" s="791"/>
      <c r="C292" s="790"/>
      <c r="D292" s="789"/>
      <c r="E292" s="789"/>
      <c r="F292" s="789"/>
      <c r="G292" s="789"/>
      <c r="H292" s="789"/>
      <c r="I292" s="789"/>
      <c r="J292" s="789"/>
      <c r="K292" s="789"/>
      <c r="L292" s="789"/>
      <c r="M292" s="789"/>
      <c r="N292" s="789"/>
      <c r="O292" s="789"/>
      <c r="P292" s="648"/>
      <c r="Q292" s="648"/>
      <c r="R292" s="648"/>
      <c r="S292" s="648"/>
      <c r="T292" s="648"/>
      <c r="U292" s="648"/>
      <c r="V292" s="648"/>
      <c r="W292" s="648"/>
      <c r="X292" s="648"/>
      <c r="Y292" s="648"/>
      <c r="Z292" s="648"/>
      <c r="AA292" s="648"/>
      <c r="AB292" s="648"/>
      <c r="AC292" s="648"/>
      <c r="AD292" s="648"/>
      <c r="AE292" s="648"/>
      <c r="AF292" s="648"/>
      <c r="AG292" s="648"/>
      <c r="AH292" s="648"/>
      <c r="AI292" s="648"/>
      <c r="AJ292" s="648"/>
      <c r="AK292" s="648"/>
      <c r="AL292" s="648"/>
      <c r="AM292" s="648"/>
      <c r="AN292" s="648"/>
      <c r="AO292" s="648"/>
      <c r="AP292" s="648"/>
      <c r="AQ292" s="648"/>
      <c r="AR292" s="648"/>
      <c r="AS292" s="648"/>
      <c r="AT292" s="648"/>
      <c r="AU292" s="648"/>
      <c r="AV292" s="648"/>
      <c r="AW292" s="648"/>
      <c r="AX292" s="648"/>
      <c r="AY292" s="648"/>
      <c r="AZ292" s="648"/>
      <c r="BA292" s="648"/>
      <c r="BB292" s="648"/>
    </row>
    <row r="293" spans="1:55" s="694" customFormat="1" ht="13.5" customHeight="1">
      <c r="A293" s="700"/>
      <c r="B293" s="788"/>
      <c r="C293" s="787"/>
      <c r="D293" s="786"/>
      <c r="E293" s="786"/>
      <c r="F293" s="786"/>
      <c r="G293" s="786"/>
      <c r="H293" s="786"/>
      <c r="I293" s="786"/>
      <c r="J293" s="786"/>
      <c r="K293" s="786"/>
      <c r="L293" s="786"/>
      <c r="M293" s="786"/>
      <c r="N293" s="786"/>
      <c r="O293" s="786"/>
      <c r="P293" s="695"/>
      <c r="Q293" s="695"/>
      <c r="R293" s="695"/>
      <c r="S293" s="695"/>
      <c r="T293" s="695"/>
      <c r="U293" s="695"/>
      <c r="V293" s="695"/>
      <c r="W293" s="695"/>
      <c r="X293" s="695"/>
      <c r="Y293" s="695"/>
      <c r="Z293" s="695"/>
      <c r="AA293" s="695"/>
      <c r="AB293" s="695"/>
      <c r="AC293" s="695"/>
      <c r="AD293" s="695"/>
      <c r="AE293" s="695"/>
      <c r="AF293" s="695"/>
      <c r="AG293" s="695"/>
      <c r="AH293" s="695"/>
      <c r="AI293" s="695"/>
      <c r="AJ293" s="695"/>
      <c r="AK293" s="695"/>
      <c r="AL293" s="695"/>
      <c r="AM293" s="695"/>
      <c r="AN293" s="695"/>
      <c r="AO293" s="695"/>
      <c r="AP293" s="695"/>
      <c r="AQ293" s="695"/>
      <c r="AR293" s="695"/>
      <c r="AS293" s="695"/>
      <c r="AT293" s="695"/>
      <c r="AU293" s="695"/>
      <c r="AV293" s="695"/>
      <c r="AW293" s="695"/>
      <c r="AX293" s="695"/>
      <c r="AY293" s="695"/>
      <c r="AZ293" s="695"/>
      <c r="BA293" s="695"/>
      <c r="BB293" s="695"/>
      <c r="BC293" s="695"/>
    </row>
    <row r="294" spans="1:55" s="780" customFormat="1" ht="13.5" customHeight="1">
      <c r="A294" s="785"/>
      <c r="B294" s="784" t="str">
        <f>M1</f>
        <v>november</v>
      </c>
      <c r="C294" s="783" t="s">
        <v>36</v>
      </c>
      <c r="D294" s="782">
        <f>SUM(D295:D312)</f>
        <v>1493</v>
      </c>
      <c r="E294" s="782"/>
      <c r="F294" s="782"/>
      <c r="G294" s="782"/>
      <c r="H294" s="782"/>
      <c r="I294" s="782"/>
      <c r="J294" s="782"/>
      <c r="K294" s="782"/>
      <c r="L294" s="782"/>
      <c r="M294" s="782"/>
      <c r="N294" s="782"/>
      <c r="O294" s="782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  <c r="AC294" s="781"/>
      <c r="AD294" s="781"/>
      <c r="AE294" s="781"/>
      <c r="AF294" s="781"/>
      <c r="AG294" s="781"/>
      <c r="AH294" s="781"/>
      <c r="AI294" s="781"/>
      <c r="AJ294" s="781"/>
      <c r="AK294" s="781"/>
      <c r="AL294" s="781"/>
      <c r="AM294" s="781"/>
      <c r="AN294" s="781"/>
      <c r="AO294" s="781"/>
      <c r="AP294" s="781"/>
      <c r="AQ294" s="781"/>
      <c r="AR294" s="781"/>
      <c r="AS294" s="781"/>
      <c r="AT294" s="781"/>
      <c r="AU294" s="781"/>
      <c r="AV294" s="781"/>
      <c r="AW294" s="781"/>
      <c r="AX294" s="781"/>
      <c r="AY294" s="781"/>
      <c r="AZ294" s="781"/>
      <c r="BA294" s="781"/>
      <c r="BB294" s="781"/>
    </row>
    <row r="295" spans="1:55" s="670" customFormat="1" ht="13.5" customHeight="1">
      <c r="A295" s="675"/>
      <c r="B295" s="779"/>
      <c r="C295" s="778" t="s">
        <v>22</v>
      </c>
      <c r="D295" s="777">
        <v>89</v>
      </c>
      <c r="E295" s="777"/>
      <c r="F295" s="777"/>
      <c r="G295" s="777">
        <f>D295</f>
        <v>89</v>
      </c>
      <c r="H295" s="777"/>
      <c r="I295" s="777"/>
      <c r="J295" s="777"/>
      <c r="K295" s="777"/>
      <c r="L295" s="777"/>
      <c r="M295" s="777"/>
      <c r="N295" s="777"/>
      <c r="O295" s="777"/>
      <c r="P295" s="663"/>
      <c r="Q295" s="663"/>
      <c r="R295" s="663"/>
      <c r="S295" s="663"/>
      <c r="T295" s="663"/>
      <c r="U295" s="663"/>
      <c r="V295" s="663"/>
      <c r="W295" s="663"/>
      <c r="X295" s="663"/>
      <c r="Y295" s="663"/>
      <c r="Z295" s="663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3"/>
      <c r="AL295" s="663"/>
      <c r="AM295" s="663"/>
      <c r="AN295" s="663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</row>
    <row r="296" spans="1:55" s="670" customFormat="1" ht="13.5" customHeight="1">
      <c r="A296" s="675"/>
      <c r="B296" s="779"/>
      <c r="C296" s="778" t="s">
        <v>21</v>
      </c>
      <c r="D296" s="777">
        <v>176</v>
      </c>
      <c r="E296" s="777"/>
      <c r="F296" s="777"/>
      <c r="G296" s="777"/>
      <c r="H296" s="777"/>
      <c r="I296" s="777"/>
      <c r="J296" s="777"/>
      <c r="K296" s="777"/>
      <c r="L296" s="777"/>
      <c r="M296" s="777"/>
      <c r="N296" s="777"/>
      <c r="O296" s="777"/>
      <c r="P296" s="663"/>
      <c r="Q296" s="663"/>
      <c r="R296" s="663"/>
      <c r="S296" s="663"/>
      <c r="T296" s="663"/>
      <c r="U296" s="663"/>
      <c r="V296" s="663"/>
      <c r="W296" s="663"/>
      <c r="X296" s="663"/>
      <c r="Y296" s="663"/>
      <c r="Z296" s="663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3"/>
      <c r="AL296" s="663"/>
      <c r="AM296" s="663"/>
      <c r="AN296" s="663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</row>
    <row r="297" spans="1:55" s="670" customFormat="1" ht="13.5" customHeight="1">
      <c r="A297" s="675"/>
      <c r="B297" s="779"/>
      <c r="C297" s="778" t="s">
        <v>230</v>
      </c>
      <c r="D297" s="777">
        <v>59</v>
      </c>
      <c r="E297" s="777"/>
      <c r="F297" s="777"/>
      <c r="G297" s="777">
        <f>D297</f>
        <v>59</v>
      </c>
      <c r="H297" s="777"/>
      <c r="I297" s="777"/>
      <c r="J297" s="777"/>
      <c r="K297" s="777"/>
      <c r="L297" s="777"/>
      <c r="M297" s="777"/>
      <c r="N297" s="777"/>
      <c r="O297" s="777"/>
      <c r="P297" s="663"/>
      <c r="Q297" s="663"/>
      <c r="R297" s="663"/>
      <c r="S297" s="663"/>
      <c r="T297" s="663"/>
      <c r="U297" s="663"/>
      <c r="V297" s="663"/>
      <c r="W297" s="663"/>
      <c r="X297" s="663"/>
      <c r="Y297" s="663"/>
      <c r="Z297" s="663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3"/>
      <c r="AL297" s="663"/>
      <c r="AM297" s="663"/>
      <c r="AN297" s="663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</row>
    <row r="298" spans="1:55" s="670" customFormat="1" ht="13.5" customHeight="1">
      <c r="A298" s="675"/>
      <c r="B298" s="779"/>
      <c r="C298" s="778" t="s">
        <v>464</v>
      </c>
      <c r="D298" s="777">
        <v>129</v>
      </c>
      <c r="E298" s="777"/>
      <c r="F298" s="777">
        <f>D298</f>
        <v>129</v>
      </c>
      <c r="G298" s="777"/>
      <c r="H298" s="777"/>
      <c r="I298" s="777"/>
      <c r="J298" s="777"/>
      <c r="K298" s="777"/>
      <c r="L298" s="777"/>
      <c r="M298" s="777"/>
      <c r="N298" s="777"/>
      <c r="O298" s="777"/>
      <c r="P298" s="663"/>
      <c r="Q298" s="663"/>
      <c r="R298" s="663"/>
      <c r="S298" s="663"/>
      <c r="T298" s="663"/>
      <c r="U298" s="663"/>
      <c r="V298" s="663"/>
      <c r="W298" s="663"/>
      <c r="X298" s="663"/>
      <c r="Y298" s="663"/>
      <c r="Z298" s="663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3"/>
      <c r="AL298" s="663"/>
      <c r="AM298" s="663"/>
      <c r="AN298" s="663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</row>
    <row r="299" spans="1:55" s="670" customFormat="1" ht="13.5" customHeight="1">
      <c r="A299" s="675"/>
      <c r="B299" s="779"/>
      <c r="C299" s="778" t="s">
        <v>397</v>
      </c>
      <c r="D299" s="777">
        <v>200</v>
      </c>
      <c r="E299" s="777"/>
      <c r="F299" s="777"/>
      <c r="G299" s="777"/>
      <c r="H299" s="777"/>
      <c r="I299" s="777"/>
      <c r="J299" s="777"/>
      <c r="K299" s="777"/>
      <c r="L299" s="777"/>
      <c r="M299" s="777"/>
      <c r="N299" s="777"/>
      <c r="O299" s="777"/>
      <c r="P299" s="663"/>
      <c r="Q299" s="663"/>
      <c r="R299" s="663"/>
      <c r="S299" s="663"/>
      <c r="T299" s="663"/>
      <c r="U299" s="663"/>
      <c r="V299" s="663"/>
      <c r="W299" s="663"/>
      <c r="X299" s="663"/>
      <c r="Y299" s="663"/>
      <c r="Z299" s="663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3"/>
      <c r="AL299" s="663"/>
      <c r="AM299" s="663"/>
      <c r="AN299" s="663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</row>
    <row r="300" spans="1:55" s="670" customFormat="1" ht="13.5" customHeight="1">
      <c r="A300" s="675"/>
      <c r="B300" s="779"/>
      <c r="C300" s="778" t="s">
        <v>740</v>
      </c>
      <c r="D300" s="777">
        <v>30</v>
      </c>
      <c r="E300" s="777"/>
      <c r="F300" s="777"/>
      <c r="G300" s="777"/>
      <c r="H300" s="777"/>
      <c r="I300" s="777">
        <f>D300</f>
        <v>30</v>
      </c>
      <c r="J300" s="777"/>
      <c r="K300" s="777"/>
      <c r="L300" s="777"/>
      <c r="M300" s="777"/>
      <c r="N300" s="777"/>
      <c r="O300" s="777"/>
      <c r="P300" s="663"/>
      <c r="Q300" s="663"/>
      <c r="R300" s="663"/>
      <c r="S300" s="663"/>
      <c r="T300" s="663"/>
      <c r="U300" s="663"/>
      <c r="V300" s="663"/>
      <c r="W300" s="663"/>
      <c r="X300" s="663"/>
      <c r="Y300" s="663"/>
      <c r="Z300" s="663"/>
      <c r="AA300" s="663"/>
      <c r="AB300" s="663"/>
      <c r="AC300" s="663"/>
      <c r="AD300" s="663"/>
      <c r="AE300" s="663"/>
      <c r="AF300" s="663"/>
      <c r="AG300" s="663"/>
      <c r="AH300" s="663"/>
      <c r="AI300" s="663"/>
      <c r="AJ300" s="663"/>
      <c r="AK300" s="663"/>
      <c r="AL300" s="663"/>
      <c r="AM300" s="663"/>
      <c r="AN300" s="663"/>
      <c r="AO300" s="663"/>
      <c r="AP300" s="663"/>
      <c r="AQ300" s="663"/>
      <c r="AR300" s="663"/>
      <c r="AS300" s="663"/>
      <c r="AT300" s="663"/>
      <c r="AU300" s="663"/>
      <c r="AV300" s="663"/>
      <c r="AW300" s="663"/>
      <c r="AX300" s="663"/>
      <c r="AY300" s="663"/>
      <c r="AZ300" s="663"/>
      <c r="BA300" s="663"/>
      <c r="BB300" s="663"/>
    </row>
    <row r="301" spans="1:55" s="670" customFormat="1" ht="13.5" customHeight="1">
      <c r="A301" s="675"/>
      <c r="B301" s="779"/>
      <c r="C301" s="778" t="s">
        <v>739</v>
      </c>
      <c r="D301" s="777">
        <v>30</v>
      </c>
      <c r="E301" s="777"/>
      <c r="F301" s="777"/>
      <c r="G301" s="777"/>
      <c r="H301" s="777"/>
      <c r="I301" s="777"/>
      <c r="J301" s="777">
        <f>D301</f>
        <v>30</v>
      </c>
      <c r="K301" s="777"/>
      <c r="L301" s="777"/>
      <c r="M301" s="777"/>
      <c r="N301" s="777"/>
      <c r="O301" s="777"/>
      <c r="P301" s="663"/>
      <c r="Q301" s="663"/>
      <c r="R301" s="663"/>
      <c r="S301" s="663"/>
      <c r="T301" s="663"/>
      <c r="U301" s="663"/>
      <c r="V301" s="663"/>
      <c r="W301" s="663"/>
      <c r="X301" s="663"/>
      <c r="Y301" s="663"/>
      <c r="Z301" s="663"/>
      <c r="AA301" s="663"/>
      <c r="AB301" s="663"/>
      <c r="AC301" s="663"/>
      <c r="AD301" s="663"/>
      <c r="AE301" s="663"/>
      <c r="AF301" s="663"/>
      <c r="AG301" s="663"/>
      <c r="AH301" s="663"/>
      <c r="AI301" s="663"/>
      <c r="AJ301" s="663"/>
      <c r="AK301" s="663"/>
      <c r="AL301" s="663"/>
      <c r="AM301" s="663"/>
      <c r="AN301" s="663"/>
      <c r="AO301" s="663"/>
      <c r="AP301" s="663"/>
      <c r="AQ301" s="663"/>
      <c r="AR301" s="663"/>
      <c r="AS301" s="663"/>
      <c r="AT301" s="663"/>
      <c r="AU301" s="663"/>
      <c r="AV301" s="663"/>
      <c r="AW301" s="663"/>
      <c r="AX301" s="663"/>
      <c r="AY301" s="663"/>
      <c r="AZ301" s="663"/>
      <c r="BA301" s="663"/>
      <c r="BB301" s="663"/>
    </row>
    <row r="302" spans="1:55" s="670" customFormat="1" ht="13.5" customHeight="1">
      <c r="A302" s="675"/>
      <c r="B302" s="779"/>
      <c r="C302" s="778" t="s">
        <v>738</v>
      </c>
      <c r="D302" s="777">
        <v>30</v>
      </c>
      <c r="E302" s="777"/>
      <c r="F302" s="777"/>
      <c r="G302" s="777"/>
      <c r="H302" s="777"/>
      <c r="I302" s="777">
        <f>D302</f>
        <v>30</v>
      </c>
      <c r="J302" s="777"/>
      <c r="K302" s="777"/>
      <c r="L302" s="777"/>
      <c r="M302" s="777"/>
      <c r="N302" s="777"/>
      <c r="O302" s="777"/>
      <c r="P302" s="663"/>
      <c r="Q302" s="663"/>
      <c r="R302" s="663"/>
      <c r="S302" s="663"/>
      <c r="T302" s="663"/>
      <c r="U302" s="663"/>
      <c r="V302" s="663"/>
      <c r="W302" s="663"/>
      <c r="X302" s="663"/>
      <c r="Y302" s="663"/>
      <c r="Z302" s="663"/>
      <c r="AA302" s="663"/>
      <c r="AB302" s="663"/>
      <c r="AC302" s="663"/>
      <c r="AD302" s="663"/>
      <c r="AE302" s="663"/>
      <c r="AF302" s="663"/>
      <c r="AG302" s="663"/>
      <c r="AH302" s="663"/>
      <c r="AI302" s="663"/>
      <c r="AJ302" s="663"/>
      <c r="AK302" s="663"/>
      <c r="AL302" s="663"/>
      <c r="AM302" s="663"/>
      <c r="AN302" s="663"/>
      <c r="AO302" s="663"/>
      <c r="AP302" s="663"/>
      <c r="AQ302" s="663"/>
      <c r="AR302" s="663"/>
      <c r="AS302" s="663"/>
      <c r="AT302" s="663"/>
      <c r="AU302" s="663"/>
      <c r="AV302" s="663"/>
      <c r="AW302" s="663"/>
      <c r="AX302" s="663"/>
      <c r="AY302" s="663"/>
      <c r="AZ302" s="663"/>
      <c r="BA302" s="663"/>
      <c r="BB302" s="663"/>
    </row>
    <row r="303" spans="1:55" s="670" customFormat="1" ht="13.5" customHeight="1">
      <c r="A303" s="675"/>
      <c r="B303" s="779"/>
      <c r="C303" s="778" t="s">
        <v>737</v>
      </c>
      <c r="D303" s="777">
        <v>30</v>
      </c>
      <c r="E303" s="777"/>
      <c r="F303" s="777"/>
      <c r="G303" s="777"/>
      <c r="H303" s="777"/>
      <c r="I303" s="777"/>
      <c r="J303" s="777">
        <f>D303</f>
        <v>30</v>
      </c>
      <c r="K303" s="777"/>
      <c r="L303" s="777"/>
      <c r="M303" s="777"/>
      <c r="N303" s="777"/>
      <c r="O303" s="777"/>
      <c r="P303" s="663"/>
      <c r="Q303" s="663"/>
      <c r="R303" s="663"/>
      <c r="S303" s="663"/>
      <c r="T303" s="663"/>
      <c r="U303" s="663"/>
      <c r="V303" s="663"/>
      <c r="W303" s="663"/>
      <c r="X303" s="663"/>
      <c r="Y303" s="663"/>
      <c r="Z303" s="663"/>
      <c r="AA303" s="663"/>
      <c r="AB303" s="663"/>
      <c r="AC303" s="663"/>
      <c r="AD303" s="663"/>
      <c r="AE303" s="663"/>
      <c r="AF303" s="663"/>
      <c r="AG303" s="663"/>
      <c r="AH303" s="663"/>
      <c r="AI303" s="663"/>
      <c r="AJ303" s="663"/>
      <c r="AK303" s="663"/>
      <c r="AL303" s="663"/>
      <c r="AM303" s="663"/>
      <c r="AN303" s="663"/>
      <c r="AO303" s="663"/>
      <c r="AP303" s="663"/>
      <c r="AQ303" s="663"/>
      <c r="AR303" s="663"/>
      <c r="AS303" s="663"/>
      <c r="AT303" s="663"/>
      <c r="AU303" s="663"/>
      <c r="AV303" s="663"/>
      <c r="AW303" s="663"/>
      <c r="AX303" s="663"/>
      <c r="AY303" s="663"/>
      <c r="AZ303" s="663"/>
      <c r="BA303" s="663"/>
      <c r="BB303" s="663"/>
    </row>
    <row r="304" spans="1:55" s="670" customFormat="1" ht="13.5" customHeight="1">
      <c r="A304" s="675"/>
      <c r="B304" s="779"/>
      <c r="C304" s="778" t="s">
        <v>736</v>
      </c>
      <c r="D304" s="777">
        <v>30</v>
      </c>
      <c r="E304" s="777"/>
      <c r="F304" s="777"/>
      <c r="G304" s="777"/>
      <c r="H304" s="777"/>
      <c r="I304" s="777">
        <f>D304</f>
        <v>30</v>
      </c>
      <c r="J304" s="777"/>
      <c r="K304" s="777"/>
      <c r="L304" s="777"/>
      <c r="M304" s="777"/>
      <c r="N304" s="777"/>
      <c r="O304" s="777"/>
      <c r="P304" s="663"/>
      <c r="Q304" s="663"/>
      <c r="R304" s="663"/>
      <c r="S304" s="663"/>
      <c r="T304" s="663"/>
      <c r="U304" s="663"/>
      <c r="V304" s="663"/>
      <c r="W304" s="663"/>
      <c r="X304" s="663"/>
      <c r="Y304" s="663"/>
      <c r="Z304" s="663"/>
      <c r="AA304" s="663"/>
      <c r="AB304" s="663"/>
      <c r="AC304" s="663"/>
      <c r="AD304" s="663"/>
      <c r="AE304" s="663"/>
      <c r="AF304" s="663"/>
      <c r="AG304" s="663"/>
      <c r="AH304" s="663"/>
      <c r="AI304" s="663"/>
      <c r="AJ304" s="663"/>
      <c r="AK304" s="663"/>
      <c r="AL304" s="663"/>
      <c r="AM304" s="663"/>
      <c r="AN304" s="663"/>
      <c r="AO304" s="663"/>
      <c r="AP304" s="663"/>
      <c r="AQ304" s="663"/>
      <c r="AR304" s="663"/>
      <c r="AS304" s="663"/>
      <c r="AT304" s="663"/>
      <c r="AU304" s="663"/>
      <c r="AV304" s="663"/>
      <c r="AW304" s="663"/>
      <c r="AX304" s="663"/>
      <c r="AY304" s="663"/>
      <c r="AZ304" s="663"/>
      <c r="BA304" s="663"/>
      <c r="BB304" s="663"/>
    </row>
    <row r="305" spans="1:55" s="670" customFormat="1" ht="13.5" customHeight="1">
      <c r="A305" s="675"/>
      <c r="B305" s="779"/>
      <c r="C305" s="778" t="s">
        <v>735</v>
      </c>
      <c r="D305" s="777">
        <v>30</v>
      </c>
      <c r="E305" s="777"/>
      <c r="F305" s="777"/>
      <c r="G305" s="777"/>
      <c r="H305" s="777"/>
      <c r="I305" s="777"/>
      <c r="J305" s="777">
        <f>D305</f>
        <v>30</v>
      </c>
      <c r="K305" s="777"/>
      <c r="L305" s="777"/>
      <c r="M305" s="777"/>
      <c r="N305" s="777"/>
      <c r="O305" s="777"/>
      <c r="P305" s="663"/>
      <c r="Q305" s="663"/>
      <c r="R305" s="663"/>
      <c r="S305" s="663"/>
      <c r="T305" s="663"/>
      <c r="U305" s="663"/>
      <c r="V305" s="663"/>
      <c r="W305" s="663"/>
      <c r="X305" s="663"/>
      <c r="Y305" s="663"/>
      <c r="Z305" s="663"/>
      <c r="AA305" s="663"/>
      <c r="AB305" s="663"/>
      <c r="AC305" s="663"/>
      <c r="AD305" s="663"/>
      <c r="AE305" s="663"/>
      <c r="AF305" s="663"/>
      <c r="AG305" s="663"/>
      <c r="AH305" s="663"/>
      <c r="AI305" s="663"/>
      <c r="AJ305" s="663"/>
      <c r="AK305" s="663"/>
      <c r="AL305" s="663"/>
      <c r="AM305" s="663"/>
      <c r="AN305" s="663"/>
      <c r="AO305" s="663"/>
      <c r="AP305" s="663"/>
      <c r="AQ305" s="663"/>
      <c r="AR305" s="663"/>
      <c r="AS305" s="663"/>
      <c r="AT305" s="663"/>
      <c r="AU305" s="663"/>
      <c r="AV305" s="663"/>
      <c r="AW305" s="663"/>
      <c r="AX305" s="663"/>
      <c r="AY305" s="663"/>
      <c r="AZ305" s="663"/>
      <c r="BA305" s="663"/>
      <c r="BB305" s="663"/>
    </row>
    <row r="306" spans="1:55" s="670" customFormat="1" ht="13.5" customHeight="1">
      <c r="A306" s="675"/>
      <c r="B306" s="779"/>
      <c r="C306" s="778" t="s">
        <v>734</v>
      </c>
      <c r="D306" s="777">
        <v>30</v>
      </c>
      <c r="E306" s="777"/>
      <c r="F306" s="777"/>
      <c r="G306" s="777"/>
      <c r="H306" s="777"/>
      <c r="I306" s="777">
        <f>D306</f>
        <v>30</v>
      </c>
      <c r="J306" s="777"/>
      <c r="K306" s="777"/>
      <c r="L306" s="777"/>
      <c r="M306" s="777"/>
      <c r="N306" s="777"/>
      <c r="O306" s="777"/>
      <c r="P306" s="663"/>
      <c r="Q306" s="663"/>
      <c r="R306" s="663"/>
      <c r="S306" s="663"/>
      <c r="T306" s="663"/>
      <c r="U306" s="663"/>
      <c r="V306" s="663"/>
      <c r="W306" s="663"/>
      <c r="X306" s="663"/>
      <c r="Y306" s="663"/>
      <c r="Z306" s="663"/>
      <c r="AA306" s="663"/>
      <c r="AB306" s="663"/>
      <c r="AC306" s="663"/>
      <c r="AD306" s="663"/>
      <c r="AE306" s="663"/>
      <c r="AF306" s="663"/>
      <c r="AG306" s="663"/>
      <c r="AH306" s="663"/>
      <c r="AI306" s="663"/>
      <c r="AJ306" s="663"/>
      <c r="AK306" s="663"/>
      <c r="AL306" s="663"/>
      <c r="AM306" s="663"/>
      <c r="AN306" s="663"/>
      <c r="AO306" s="663"/>
      <c r="AP306" s="663"/>
      <c r="AQ306" s="663"/>
      <c r="AR306" s="663"/>
      <c r="AS306" s="663"/>
      <c r="AT306" s="663"/>
      <c r="AU306" s="663"/>
      <c r="AV306" s="663"/>
      <c r="AW306" s="663"/>
      <c r="AX306" s="663"/>
      <c r="AY306" s="663"/>
      <c r="AZ306" s="663"/>
      <c r="BA306" s="663"/>
      <c r="BB306" s="663"/>
    </row>
    <row r="307" spans="1:55" s="670" customFormat="1" ht="13.5" customHeight="1">
      <c r="A307" s="675"/>
      <c r="B307" s="779"/>
      <c r="C307" s="778" t="s">
        <v>733</v>
      </c>
      <c r="D307" s="777">
        <v>30</v>
      </c>
      <c r="E307" s="777"/>
      <c r="F307" s="777"/>
      <c r="G307" s="777"/>
      <c r="H307" s="777"/>
      <c r="I307" s="777"/>
      <c r="J307" s="777">
        <f>D307</f>
        <v>30</v>
      </c>
      <c r="K307" s="777"/>
      <c r="L307" s="777"/>
      <c r="M307" s="777"/>
      <c r="N307" s="777"/>
      <c r="O307" s="777"/>
      <c r="P307" s="663"/>
      <c r="Q307" s="663"/>
      <c r="R307" s="663"/>
      <c r="S307" s="663"/>
      <c r="T307" s="663"/>
      <c r="U307" s="663"/>
      <c r="V307" s="663"/>
      <c r="W307" s="663"/>
      <c r="X307" s="663"/>
      <c r="Y307" s="663"/>
      <c r="Z307" s="663"/>
      <c r="AA307" s="663"/>
      <c r="AB307" s="663"/>
      <c r="AC307" s="663"/>
      <c r="AD307" s="663"/>
      <c r="AE307" s="663"/>
      <c r="AF307" s="663"/>
      <c r="AG307" s="663"/>
      <c r="AH307" s="663"/>
      <c r="AI307" s="663"/>
      <c r="AJ307" s="663"/>
      <c r="AK307" s="663"/>
      <c r="AL307" s="663"/>
      <c r="AM307" s="663"/>
      <c r="AN307" s="663"/>
      <c r="AO307" s="663"/>
      <c r="AP307" s="663"/>
      <c r="AQ307" s="663"/>
      <c r="AR307" s="663"/>
      <c r="AS307" s="663"/>
      <c r="AT307" s="663"/>
      <c r="AU307" s="663"/>
      <c r="AV307" s="663"/>
      <c r="AW307" s="663"/>
      <c r="AX307" s="663"/>
      <c r="AY307" s="663"/>
      <c r="AZ307" s="663"/>
      <c r="BA307" s="663"/>
      <c r="BB307" s="663"/>
    </row>
    <row r="308" spans="1:55" s="670" customFormat="1" ht="13.5" customHeight="1">
      <c r="A308" s="675"/>
      <c r="B308" s="779"/>
      <c r="C308" s="778" t="s">
        <v>186</v>
      </c>
      <c r="D308" s="777"/>
      <c r="E308" s="777"/>
      <c r="F308" s="777"/>
      <c r="G308" s="777"/>
      <c r="H308" s="777">
        <f>D308</f>
        <v>0</v>
      </c>
      <c r="I308" s="777"/>
      <c r="J308" s="777"/>
      <c r="K308" s="777"/>
      <c r="L308" s="777"/>
      <c r="M308" s="777"/>
      <c r="N308" s="777"/>
      <c r="O308" s="777"/>
      <c r="P308" s="663"/>
      <c r="Q308" s="663"/>
      <c r="R308" s="663"/>
      <c r="S308" s="663"/>
      <c r="T308" s="663"/>
      <c r="U308" s="663"/>
      <c r="V308" s="663"/>
      <c r="W308" s="663"/>
      <c r="X308" s="663"/>
      <c r="Y308" s="663"/>
      <c r="Z308" s="663"/>
      <c r="AA308" s="663"/>
      <c r="AB308" s="663"/>
      <c r="AC308" s="663"/>
      <c r="AD308" s="663"/>
      <c r="AE308" s="663"/>
      <c r="AF308" s="663"/>
      <c r="AG308" s="663"/>
      <c r="AH308" s="663"/>
      <c r="AI308" s="663"/>
      <c r="AJ308" s="663"/>
      <c r="AK308" s="663"/>
      <c r="AL308" s="663"/>
      <c r="AM308" s="663"/>
      <c r="AN308" s="663"/>
      <c r="AO308" s="663"/>
      <c r="AP308" s="663"/>
      <c r="AQ308" s="663"/>
      <c r="AR308" s="663"/>
      <c r="AS308" s="663"/>
      <c r="AT308" s="663"/>
      <c r="AU308" s="663"/>
      <c r="AV308" s="663"/>
      <c r="AW308" s="663"/>
      <c r="AX308" s="663"/>
      <c r="AY308" s="663"/>
      <c r="AZ308" s="663"/>
      <c r="BA308" s="663"/>
      <c r="BB308" s="663"/>
    </row>
    <row r="309" spans="1:55" s="670" customFormat="1" ht="13.5" customHeight="1">
      <c r="A309" s="675"/>
      <c r="B309" s="779"/>
      <c r="C309" s="778" t="s">
        <v>518</v>
      </c>
      <c r="D309" s="777"/>
      <c r="E309" s="777"/>
      <c r="F309" s="777"/>
      <c r="G309" s="777"/>
      <c r="H309" s="777">
        <f>D309</f>
        <v>0</v>
      </c>
      <c r="I309" s="777"/>
      <c r="J309" s="777"/>
      <c r="K309" s="777"/>
      <c r="L309" s="777"/>
      <c r="M309" s="777"/>
      <c r="N309" s="777"/>
      <c r="O309" s="777"/>
      <c r="P309" s="663"/>
      <c r="Q309" s="663"/>
      <c r="R309" s="663"/>
      <c r="S309" s="663"/>
      <c r="T309" s="663"/>
      <c r="U309" s="663"/>
      <c r="V309" s="663"/>
      <c r="W309" s="663"/>
      <c r="X309" s="663"/>
      <c r="Y309" s="663"/>
      <c r="Z309" s="663"/>
      <c r="AA309" s="663"/>
      <c r="AB309" s="663"/>
      <c r="AC309" s="663"/>
      <c r="AD309" s="663"/>
      <c r="AE309" s="663"/>
      <c r="AF309" s="663"/>
      <c r="AG309" s="663"/>
      <c r="AH309" s="663"/>
      <c r="AI309" s="663"/>
      <c r="AJ309" s="663"/>
      <c r="AK309" s="663"/>
      <c r="AL309" s="663"/>
      <c r="AM309" s="663"/>
      <c r="AN309" s="663"/>
      <c r="AO309" s="663"/>
      <c r="AP309" s="663"/>
      <c r="AQ309" s="663"/>
      <c r="AR309" s="663"/>
      <c r="AS309" s="663"/>
      <c r="AT309" s="663"/>
      <c r="AU309" s="663"/>
      <c r="AV309" s="663"/>
      <c r="AW309" s="663"/>
      <c r="AX309" s="663"/>
      <c r="AY309" s="663"/>
      <c r="AZ309" s="663"/>
      <c r="BA309" s="663"/>
      <c r="BB309" s="663"/>
    </row>
    <row r="310" spans="1:55" s="670" customFormat="1" ht="13.5" customHeight="1">
      <c r="A310" s="675"/>
      <c r="B310" s="779"/>
      <c r="C310" s="778" t="s">
        <v>48</v>
      </c>
      <c r="D310" s="777">
        <v>600</v>
      </c>
      <c r="E310" s="777">
        <v>600</v>
      </c>
      <c r="F310" s="777"/>
      <c r="G310" s="777"/>
      <c r="H310" s="777"/>
      <c r="I310" s="777"/>
      <c r="J310" s="777"/>
      <c r="K310" s="777"/>
      <c r="L310" s="777"/>
      <c r="M310" s="777"/>
      <c r="N310" s="777"/>
      <c r="O310" s="777"/>
      <c r="P310" s="663"/>
      <c r="Q310" s="663"/>
      <c r="R310" s="663"/>
      <c r="S310" s="663"/>
      <c r="T310" s="663"/>
      <c r="U310" s="663"/>
      <c r="V310" s="663"/>
      <c r="W310" s="663"/>
      <c r="X310" s="663"/>
      <c r="Y310" s="663"/>
      <c r="Z310" s="663"/>
      <c r="AA310" s="663"/>
      <c r="AB310" s="663"/>
      <c r="AC310" s="663"/>
      <c r="AD310" s="663"/>
      <c r="AE310" s="663"/>
      <c r="AF310" s="663"/>
      <c r="AG310" s="663"/>
      <c r="AH310" s="663"/>
      <c r="AI310" s="663"/>
      <c r="AJ310" s="663"/>
      <c r="AK310" s="663"/>
      <c r="AL310" s="663"/>
      <c r="AM310" s="663"/>
      <c r="AN310" s="663"/>
      <c r="AO310" s="663"/>
      <c r="AP310" s="663"/>
      <c r="AQ310" s="663"/>
      <c r="AR310" s="663"/>
      <c r="AS310" s="663"/>
      <c r="AT310" s="663"/>
      <c r="AU310" s="663"/>
      <c r="AV310" s="663"/>
      <c r="AW310" s="663"/>
      <c r="AX310" s="663"/>
      <c r="AY310" s="663"/>
      <c r="AZ310" s="663"/>
      <c r="BA310" s="663"/>
      <c r="BB310" s="663"/>
    </row>
    <row r="311" spans="1:55" s="670" customFormat="1" ht="13.5" customHeight="1">
      <c r="A311" s="675"/>
      <c r="B311" s="779"/>
      <c r="C311" s="778"/>
      <c r="D311" s="777"/>
      <c r="E311" s="777"/>
      <c r="F311" s="777"/>
      <c r="G311" s="777"/>
      <c r="H311" s="777"/>
      <c r="I311" s="777"/>
      <c r="J311" s="777"/>
      <c r="K311" s="777"/>
      <c r="L311" s="777"/>
      <c r="M311" s="777"/>
      <c r="N311" s="777"/>
      <c r="O311" s="777"/>
      <c r="P311" s="663"/>
      <c r="Q311" s="663"/>
      <c r="R311" s="663"/>
      <c r="S311" s="663"/>
      <c r="T311" s="663"/>
      <c r="U311" s="663"/>
      <c r="V311" s="663"/>
      <c r="W311" s="663"/>
      <c r="X311" s="663"/>
      <c r="Y311" s="663"/>
      <c r="Z311" s="663"/>
      <c r="AA311" s="663"/>
      <c r="AB311" s="663"/>
      <c r="AC311" s="663"/>
      <c r="AD311" s="663"/>
      <c r="AE311" s="663"/>
      <c r="AF311" s="663"/>
      <c r="AG311" s="663"/>
      <c r="AH311" s="663"/>
      <c r="AI311" s="663"/>
      <c r="AJ311" s="663"/>
      <c r="AK311" s="663"/>
      <c r="AL311" s="663"/>
      <c r="AM311" s="663"/>
      <c r="AN311" s="663"/>
      <c r="AO311" s="663"/>
      <c r="AP311" s="663"/>
      <c r="AQ311" s="663"/>
      <c r="AR311" s="663"/>
      <c r="AS311" s="663"/>
      <c r="AT311" s="663"/>
      <c r="AU311" s="663"/>
      <c r="AV311" s="663"/>
      <c r="AW311" s="663"/>
      <c r="AX311" s="663"/>
      <c r="AY311" s="663"/>
      <c r="AZ311" s="663"/>
      <c r="BA311" s="663"/>
      <c r="BB311" s="663"/>
    </row>
    <row r="312" spans="1:55" s="670" customFormat="1" ht="13.5" customHeight="1">
      <c r="A312" s="675"/>
      <c r="B312" s="779"/>
      <c r="C312" s="778"/>
      <c r="D312" s="777"/>
      <c r="E312" s="777"/>
      <c r="F312" s="777"/>
      <c r="G312" s="777"/>
      <c r="H312" s="777"/>
      <c r="I312" s="777"/>
      <c r="J312" s="777"/>
      <c r="K312" s="777"/>
      <c r="L312" s="777"/>
      <c r="M312" s="777"/>
      <c r="N312" s="777"/>
      <c r="O312" s="777"/>
      <c r="P312" s="663"/>
      <c r="Q312" s="663"/>
      <c r="R312" s="663"/>
      <c r="S312" s="663"/>
      <c r="T312" s="663"/>
      <c r="U312" s="663"/>
      <c r="V312" s="663"/>
      <c r="W312" s="663"/>
      <c r="X312" s="663"/>
      <c r="Y312" s="663"/>
      <c r="Z312" s="663"/>
      <c r="AA312" s="663"/>
      <c r="AB312" s="663"/>
      <c r="AC312" s="663"/>
      <c r="AD312" s="663"/>
      <c r="AE312" s="663"/>
      <c r="AF312" s="663"/>
      <c r="AG312" s="663"/>
      <c r="AH312" s="663"/>
      <c r="AI312" s="663"/>
      <c r="AJ312" s="663"/>
      <c r="AK312" s="663"/>
      <c r="AL312" s="663"/>
      <c r="AM312" s="663"/>
      <c r="AN312" s="663"/>
      <c r="AO312" s="663"/>
      <c r="AP312" s="663"/>
      <c r="AQ312" s="663"/>
      <c r="AR312" s="663"/>
      <c r="AS312" s="663"/>
      <c r="AT312" s="663"/>
      <c r="AU312" s="663"/>
      <c r="AV312" s="663"/>
      <c r="AW312" s="663"/>
      <c r="AX312" s="663"/>
      <c r="AY312" s="663"/>
      <c r="AZ312" s="663"/>
      <c r="BA312" s="663"/>
      <c r="BB312" s="663"/>
    </row>
    <row r="313" spans="1:55" s="694" customFormat="1" ht="13.5" customHeight="1">
      <c r="A313" s="700"/>
      <c r="B313" s="788" t="str">
        <f>N1</f>
        <v>december</v>
      </c>
      <c r="C313" s="787" t="s">
        <v>37</v>
      </c>
      <c r="D313" s="786">
        <f t="shared" ref="D313:M313" si="12">SUM(D314:D316)</f>
        <v>0</v>
      </c>
      <c r="E313" s="786">
        <f t="shared" si="12"/>
        <v>0</v>
      </c>
      <c r="F313" s="786">
        <f t="shared" si="12"/>
        <v>0</v>
      </c>
      <c r="G313" s="786">
        <f t="shared" si="12"/>
        <v>0</v>
      </c>
      <c r="H313" s="786">
        <f t="shared" si="12"/>
        <v>0</v>
      </c>
      <c r="I313" s="786">
        <f t="shared" si="12"/>
        <v>0</v>
      </c>
      <c r="J313" s="786">
        <f t="shared" si="12"/>
        <v>0</v>
      </c>
      <c r="K313" s="786">
        <f t="shared" si="12"/>
        <v>0</v>
      </c>
      <c r="L313" s="786">
        <f t="shared" si="12"/>
        <v>0</v>
      </c>
      <c r="M313" s="786">
        <f t="shared" si="12"/>
        <v>0</v>
      </c>
      <c r="N313" s="786"/>
      <c r="O313" s="786"/>
      <c r="P313" s="695"/>
      <c r="Q313" s="695"/>
      <c r="R313" s="695"/>
      <c r="S313" s="695"/>
      <c r="T313" s="695"/>
      <c r="U313" s="695"/>
      <c r="V313" s="695"/>
      <c r="W313" s="695"/>
      <c r="X313" s="695"/>
      <c r="Y313" s="695"/>
      <c r="Z313" s="695"/>
      <c r="AA313" s="695"/>
      <c r="AB313" s="695"/>
      <c r="AC313" s="695"/>
      <c r="AD313" s="695"/>
      <c r="AE313" s="695"/>
      <c r="AF313" s="695"/>
      <c r="AG313" s="695"/>
      <c r="AH313" s="695"/>
      <c r="AI313" s="695"/>
      <c r="AJ313" s="695"/>
      <c r="AK313" s="695"/>
      <c r="AL313" s="695"/>
      <c r="AM313" s="695"/>
      <c r="AN313" s="695"/>
      <c r="AO313" s="695"/>
      <c r="AP313" s="695"/>
      <c r="AQ313" s="695"/>
      <c r="AR313" s="695"/>
      <c r="AS313" s="695"/>
      <c r="AT313" s="695"/>
      <c r="AU313" s="695"/>
      <c r="AV313" s="695"/>
      <c r="AW313" s="695"/>
      <c r="AX313" s="695"/>
      <c r="AY313" s="695"/>
      <c r="AZ313" s="695"/>
      <c r="BA313" s="695"/>
      <c r="BB313" s="695"/>
      <c r="BC313" s="695"/>
    </row>
    <row r="314" spans="1:55" ht="13.5" customHeight="1">
      <c r="A314" s="648"/>
      <c r="B314" s="791"/>
      <c r="C314" s="790"/>
      <c r="D314" s="789"/>
      <c r="E314" s="789"/>
      <c r="F314" s="789"/>
      <c r="G314" s="789"/>
      <c r="H314" s="789"/>
      <c r="I314" s="789"/>
      <c r="J314" s="789"/>
      <c r="K314" s="789"/>
      <c r="L314" s="789"/>
      <c r="M314" s="789"/>
      <c r="N314" s="789"/>
      <c r="O314" s="789"/>
      <c r="P314" s="648"/>
      <c r="Q314" s="648"/>
      <c r="R314" s="648"/>
      <c r="S314" s="648"/>
      <c r="T314" s="648"/>
      <c r="U314" s="648"/>
      <c r="V314" s="648"/>
      <c r="W314" s="648"/>
      <c r="X314" s="648"/>
      <c r="Y314" s="648"/>
      <c r="Z314" s="648"/>
      <c r="AA314" s="648"/>
      <c r="AB314" s="648"/>
      <c r="AC314" s="648"/>
      <c r="AD314" s="648"/>
      <c r="AE314" s="648"/>
      <c r="AF314" s="648"/>
      <c r="AG314" s="648"/>
      <c r="AH314" s="648"/>
      <c r="AI314" s="648"/>
      <c r="AJ314" s="648"/>
      <c r="AK314" s="648"/>
      <c r="AL314" s="648"/>
      <c r="AM314" s="648"/>
      <c r="AN314" s="648"/>
      <c r="AO314" s="648"/>
      <c r="AP314" s="648"/>
      <c r="AQ314" s="648"/>
      <c r="AR314" s="648"/>
      <c r="AS314" s="648"/>
      <c r="AT314" s="648"/>
      <c r="AU314" s="648"/>
      <c r="AV314" s="648"/>
      <c r="AW314" s="648"/>
      <c r="AX314" s="648"/>
      <c r="AY314" s="648"/>
      <c r="AZ314" s="648"/>
      <c r="BA314" s="648"/>
      <c r="BB314" s="648"/>
    </row>
    <row r="315" spans="1:55" ht="13.5" customHeight="1">
      <c r="A315" s="648"/>
      <c r="B315" s="791"/>
      <c r="C315" s="790"/>
      <c r="D315" s="789"/>
      <c r="E315" s="789"/>
      <c r="F315" s="789"/>
      <c r="G315" s="789"/>
      <c r="H315" s="789"/>
      <c r="I315" s="789"/>
      <c r="J315" s="789"/>
      <c r="K315" s="789"/>
      <c r="L315" s="789"/>
      <c r="M315" s="789"/>
      <c r="N315" s="789"/>
      <c r="O315" s="789"/>
      <c r="P315" s="648"/>
      <c r="Q315" s="648"/>
      <c r="R315" s="648"/>
      <c r="S315" s="648"/>
      <c r="T315" s="648"/>
      <c r="U315" s="648"/>
      <c r="V315" s="648"/>
      <c r="W315" s="648"/>
      <c r="X315" s="648"/>
      <c r="Y315" s="648"/>
      <c r="Z315" s="648"/>
      <c r="AA315" s="648"/>
      <c r="AB315" s="648"/>
      <c r="AC315" s="648"/>
      <c r="AD315" s="648"/>
      <c r="AE315" s="648"/>
      <c r="AF315" s="648"/>
      <c r="AG315" s="648"/>
      <c r="AH315" s="648"/>
      <c r="AI315" s="648"/>
      <c r="AJ315" s="648"/>
      <c r="AK315" s="648"/>
      <c r="AL315" s="648"/>
      <c r="AM315" s="648"/>
      <c r="AN315" s="648"/>
      <c r="AO315" s="648"/>
      <c r="AP315" s="648"/>
      <c r="AQ315" s="648"/>
      <c r="AR315" s="648"/>
      <c r="AS315" s="648"/>
      <c r="AT315" s="648"/>
      <c r="AU315" s="648"/>
      <c r="AV315" s="648"/>
      <c r="AW315" s="648"/>
      <c r="AX315" s="648"/>
      <c r="AY315" s="648"/>
      <c r="AZ315" s="648"/>
      <c r="BA315" s="648"/>
      <c r="BB315" s="648"/>
    </row>
    <row r="316" spans="1:55" s="694" customFormat="1" ht="13.5" customHeight="1">
      <c r="A316" s="700"/>
      <c r="B316" s="788"/>
      <c r="C316" s="787"/>
      <c r="D316" s="786"/>
      <c r="E316" s="786"/>
      <c r="F316" s="786"/>
      <c r="G316" s="786"/>
      <c r="H316" s="786"/>
      <c r="I316" s="786"/>
      <c r="J316" s="786"/>
      <c r="K316" s="786"/>
      <c r="L316" s="786"/>
      <c r="M316" s="786"/>
      <c r="N316" s="786"/>
      <c r="O316" s="786"/>
      <c r="P316" s="695"/>
      <c r="Q316" s="695"/>
      <c r="R316" s="695"/>
      <c r="S316" s="695"/>
      <c r="T316" s="695"/>
      <c r="U316" s="695"/>
      <c r="V316" s="695"/>
      <c r="W316" s="695"/>
      <c r="X316" s="695"/>
      <c r="Y316" s="695"/>
      <c r="Z316" s="695"/>
      <c r="AA316" s="695"/>
      <c r="AB316" s="695"/>
      <c r="AC316" s="695"/>
      <c r="AD316" s="695"/>
      <c r="AE316" s="695"/>
      <c r="AF316" s="695"/>
      <c r="AG316" s="695"/>
      <c r="AH316" s="695"/>
      <c r="AI316" s="695"/>
      <c r="AJ316" s="695"/>
      <c r="AK316" s="695"/>
      <c r="AL316" s="695"/>
      <c r="AM316" s="695"/>
      <c r="AN316" s="695"/>
      <c r="AO316" s="695"/>
      <c r="AP316" s="695"/>
      <c r="AQ316" s="695"/>
      <c r="AR316" s="695"/>
      <c r="AS316" s="695"/>
      <c r="AT316" s="695"/>
      <c r="AU316" s="695"/>
      <c r="AV316" s="695"/>
      <c r="AW316" s="695"/>
      <c r="AX316" s="695"/>
      <c r="AY316" s="695"/>
      <c r="AZ316" s="695"/>
      <c r="BA316" s="695"/>
      <c r="BB316" s="695"/>
      <c r="BC316" s="695"/>
    </row>
    <row r="317" spans="1:55" s="780" customFormat="1" ht="13.5" customHeight="1">
      <c r="A317" s="785"/>
      <c r="B317" s="784" t="str">
        <f>N1</f>
        <v>december</v>
      </c>
      <c r="C317" s="783" t="s">
        <v>36</v>
      </c>
      <c r="D317" s="782">
        <f>SUM(D318:D350)</f>
        <v>7893</v>
      </c>
      <c r="E317" s="782"/>
      <c r="F317" s="782"/>
      <c r="G317" s="782"/>
      <c r="H317" s="782"/>
      <c r="I317" s="782"/>
      <c r="J317" s="782"/>
      <c r="K317" s="782"/>
      <c r="L317" s="782"/>
      <c r="M317" s="782"/>
      <c r="N317" s="782"/>
      <c r="O317" s="782"/>
      <c r="P317" s="781"/>
      <c r="Q317" s="781"/>
      <c r="R317" s="781"/>
      <c r="S317" s="781"/>
      <c r="T317" s="781"/>
      <c r="U317" s="781"/>
      <c r="V317" s="781"/>
      <c r="W317" s="781"/>
      <c r="X317" s="781"/>
      <c r="Y317" s="781"/>
      <c r="Z317" s="781"/>
      <c r="AA317" s="781"/>
      <c r="AB317" s="781"/>
      <c r="AC317" s="781"/>
      <c r="AD317" s="781"/>
      <c r="AE317" s="781"/>
      <c r="AF317" s="781"/>
      <c r="AG317" s="781"/>
      <c r="AH317" s="781"/>
      <c r="AI317" s="781"/>
      <c r="AJ317" s="781"/>
      <c r="AK317" s="781"/>
      <c r="AL317" s="781"/>
      <c r="AM317" s="781"/>
      <c r="AN317" s="781"/>
      <c r="AO317" s="781"/>
      <c r="AP317" s="781"/>
      <c r="AQ317" s="781"/>
      <c r="AR317" s="781"/>
      <c r="AS317" s="781"/>
      <c r="AT317" s="781"/>
      <c r="AU317" s="781"/>
      <c r="AV317" s="781"/>
      <c r="AW317" s="781"/>
      <c r="AX317" s="781"/>
      <c r="AY317" s="781"/>
      <c r="AZ317" s="781"/>
      <c r="BA317" s="781"/>
      <c r="BB317" s="781"/>
    </row>
    <row r="318" spans="1:55" s="670" customFormat="1" ht="13.5" customHeight="1">
      <c r="A318" s="675"/>
      <c r="B318" s="779"/>
      <c r="C318" s="778" t="s">
        <v>22</v>
      </c>
      <c r="D318" s="777">
        <v>89</v>
      </c>
      <c r="E318" s="777"/>
      <c r="F318" s="777"/>
      <c r="G318" s="777">
        <f>D318</f>
        <v>89</v>
      </c>
      <c r="H318" s="777"/>
      <c r="I318" s="777"/>
      <c r="J318" s="777"/>
      <c r="K318" s="777"/>
      <c r="L318" s="777"/>
      <c r="M318" s="777"/>
      <c r="N318" s="777"/>
      <c r="O318" s="777"/>
      <c r="P318" s="663"/>
      <c r="Q318" s="663"/>
      <c r="R318" s="663"/>
      <c r="S318" s="663"/>
      <c r="T318" s="663"/>
      <c r="U318" s="663"/>
      <c r="V318" s="663"/>
      <c r="W318" s="663"/>
      <c r="X318" s="663"/>
      <c r="Y318" s="663"/>
      <c r="Z318" s="663"/>
      <c r="AA318" s="663"/>
      <c r="AB318" s="663"/>
      <c r="AC318" s="663"/>
      <c r="AD318" s="663"/>
      <c r="AE318" s="663"/>
      <c r="AF318" s="663"/>
      <c r="AG318" s="663"/>
      <c r="AH318" s="663"/>
      <c r="AI318" s="663"/>
      <c r="AJ318" s="663"/>
      <c r="AK318" s="663"/>
      <c r="AL318" s="663"/>
      <c r="AM318" s="663"/>
      <c r="AN318" s="663"/>
      <c r="AO318" s="663"/>
      <c r="AP318" s="663"/>
      <c r="AQ318" s="663"/>
      <c r="AR318" s="663"/>
      <c r="AS318" s="663"/>
      <c r="AT318" s="663"/>
      <c r="AU318" s="663"/>
      <c r="AV318" s="663"/>
      <c r="AW318" s="663"/>
      <c r="AX318" s="663"/>
      <c r="AY318" s="663"/>
      <c r="AZ318" s="663"/>
      <c r="BA318" s="663"/>
      <c r="BB318" s="663"/>
    </row>
    <row r="319" spans="1:55" s="670" customFormat="1" ht="13.5" customHeight="1">
      <c r="A319" s="675"/>
      <c r="B319" s="779"/>
      <c r="C319" s="778" t="s">
        <v>21</v>
      </c>
      <c r="D319" s="777">
        <v>176</v>
      </c>
      <c r="E319" s="777"/>
      <c r="F319" s="777"/>
      <c r="G319" s="777"/>
      <c r="H319" s="777"/>
      <c r="I319" s="777"/>
      <c r="J319" s="777"/>
      <c r="K319" s="777"/>
      <c r="L319" s="777"/>
      <c r="M319" s="777"/>
      <c r="N319" s="777"/>
      <c r="O319" s="777"/>
      <c r="P319" s="663"/>
      <c r="Q319" s="663"/>
      <c r="R319" s="663"/>
      <c r="S319" s="663"/>
      <c r="T319" s="663"/>
      <c r="U319" s="663"/>
      <c r="V319" s="663"/>
      <c r="W319" s="663"/>
      <c r="X319" s="663"/>
      <c r="Y319" s="663"/>
      <c r="Z319" s="663"/>
      <c r="AA319" s="663"/>
      <c r="AB319" s="663"/>
      <c r="AC319" s="663"/>
      <c r="AD319" s="663"/>
      <c r="AE319" s="663"/>
      <c r="AF319" s="663"/>
      <c r="AG319" s="663"/>
      <c r="AH319" s="663"/>
      <c r="AI319" s="663"/>
      <c r="AJ319" s="663"/>
      <c r="AK319" s="663"/>
      <c r="AL319" s="663"/>
      <c r="AM319" s="663"/>
      <c r="AN319" s="663"/>
      <c r="AO319" s="663"/>
      <c r="AP319" s="663"/>
      <c r="AQ319" s="663"/>
      <c r="AR319" s="663"/>
      <c r="AS319" s="663"/>
      <c r="AT319" s="663"/>
      <c r="AU319" s="663"/>
      <c r="AV319" s="663"/>
      <c r="AW319" s="663"/>
      <c r="AX319" s="663"/>
      <c r="AY319" s="663"/>
      <c r="AZ319" s="663"/>
      <c r="BA319" s="663"/>
      <c r="BB319" s="663"/>
    </row>
    <row r="320" spans="1:55" s="670" customFormat="1" ht="13.5" customHeight="1">
      <c r="A320" s="675"/>
      <c r="B320" s="779"/>
      <c r="C320" s="778" t="s">
        <v>230</v>
      </c>
      <c r="D320" s="777">
        <v>59</v>
      </c>
      <c r="E320" s="777"/>
      <c r="F320" s="777"/>
      <c r="G320" s="777">
        <f>D320</f>
        <v>59</v>
      </c>
      <c r="H320" s="777"/>
      <c r="I320" s="777"/>
      <c r="J320" s="777"/>
      <c r="K320" s="777"/>
      <c r="L320" s="777"/>
      <c r="M320" s="777"/>
      <c r="N320" s="777"/>
      <c r="O320" s="777"/>
      <c r="P320" s="663"/>
      <c r="Q320" s="663"/>
      <c r="R320" s="663"/>
      <c r="S320" s="663"/>
      <c r="T320" s="663"/>
      <c r="U320" s="663"/>
      <c r="V320" s="663"/>
      <c r="W320" s="663"/>
      <c r="X320" s="663"/>
      <c r="Y320" s="663"/>
      <c r="Z320" s="663"/>
      <c r="AA320" s="663"/>
      <c r="AB320" s="663"/>
      <c r="AC320" s="663"/>
      <c r="AD320" s="663"/>
      <c r="AE320" s="663"/>
      <c r="AF320" s="663"/>
      <c r="AG320" s="663"/>
      <c r="AH320" s="663"/>
      <c r="AI320" s="663"/>
      <c r="AJ320" s="663"/>
      <c r="AK320" s="663"/>
      <c r="AL320" s="663"/>
      <c r="AM320" s="663"/>
      <c r="AN320" s="663"/>
      <c r="AO320" s="663"/>
      <c r="AP320" s="663"/>
      <c r="AQ320" s="663"/>
      <c r="AR320" s="663"/>
      <c r="AS320" s="663"/>
      <c r="AT320" s="663"/>
      <c r="AU320" s="663"/>
      <c r="AV320" s="663"/>
      <c r="AW320" s="663"/>
      <c r="AX320" s="663"/>
      <c r="AY320" s="663"/>
      <c r="AZ320" s="663"/>
      <c r="BA320" s="663"/>
      <c r="BB320" s="663"/>
    </row>
    <row r="321" spans="1:54" s="670" customFormat="1" ht="13.5" customHeight="1">
      <c r="A321" s="675"/>
      <c r="B321" s="779"/>
      <c r="C321" s="778" t="s">
        <v>464</v>
      </c>
      <c r="D321" s="777">
        <v>129</v>
      </c>
      <c r="E321" s="777"/>
      <c r="F321" s="777">
        <f>D321</f>
        <v>129</v>
      </c>
      <c r="G321" s="777"/>
      <c r="H321" s="777"/>
      <c r="I321" s="777"/>
      <c r="J321" s="777"/>
      <c r="K321" s="777"/>
      <c r="L321" s="777"/>
      <c r="M321" s="777"/>
      <c r="N321" s="777"/>
      <c r="O321" s="777"/>
      <c r="P321" s="663"/>
      <c r="Q321" s="663"/>
      <c r="R321" s="663"/>
      <c r="S321" s="663"/>
      <c r="T321" s="663"/>
      <c r="U321" s="663"/>
      <c r="V321" s="663"/>
      <c r="W321" s="663"/>
      <c r="X321" s="663"/>
      <c r="Y321" s="663"/>
      <c r="Z321" s="663"/>
      <c r="AA321" s="663"/>
      <c r="AB321" s="663"/>
      <c r="AC321" s="663"/>
      <c r="AD321" s="663"/>
      <c r="AE321" s="663"/>
      <c r="AF321" s="663"/>
      <c r="AG321" s="663"/>
      <c r="AH321" s="663"/>
      <c r="AI321" s="663"/>
      <c r="AJ321" s="663"/>
      <c r="AK321" s="663"/>
      <c r="AL321" s="663"/>
      <c r="AM321" s="663"/>
      <c r="AN321" s="663"/>
      <c r="AO321" s="663"/>
      <c r="AP321" s="663"/>
      <c r="AQ321" s="663"/>
      <c r="AR321" s="663"/>
      <c r="AS321" s="663"/>
      <c r="AT321" s="663"/>
      <c r="AU321" s="663"/>
      <c r="AV321" s="663"/>
      <c r="AW321" s="663"/>
      <c r="AX321" s="663"/>
      <c r="AY321" s="663"/>
      <c r="AZ321" s="663"/>
      <c r="BA321" s="663"/>
      <c r="BB321" s="663"/>
    </row>
    <row r="322" spans="1:54" s="670" customFormat="1" ht="13.5" customHeight="1">
      <c r="A322" s="675"/>
      <c r="B322" s="779"/>
      <c r="C322" s="778" t="s">
        <v>397</v>
      </c>
      <c r="D322" s="777">
        <v>200</v>
      </c>
      <c r="E322" s="777"/>
      <c r="F322" s="777"/>
      <c r="G322" s="777"/>
      <c r="H322" s="777"/>
      <c r="I322" s="777"/>
      <c r="J322" s="777"/>
      <c r="K322" s="777"/>
      <c r="L322" s="777"/>
      <c r="M322" s="777"/>
      <c r="N322" s="777"/>
      <c r="O322" s="777"/>
      <c r="P322" s="663"/>
      <c r="Q322" s="663"/>
      <c r="R322" s="663"/>
      <c r="S322" s="663"/>
      <c r="T322" s="663"/>
      <c r="U322" s="663"/>
      <c r="V322" s="663"/>
      <c r="W322" s="663"/>
      <c r="X322" s="663"/>
      <c r="Y322" s="663"/>
      <c r="Z322" s="663"/>
      <c r="AA322" s="663"/>
      <c r="AB322" s="663"/>
      <c r="AC322" s="663"/>
      <c r="AD322" s="663"/>
      <c r="AE322" s="663"/>
      <c r="AF322" s="663"/>
      <c r="AG322" s="663"/>
      <c r="AH322" s="663"/>
      <c r="AI322" s="663"/>
      <c r="AJ322" s="663"/>
      <c r="AK322" s="663"/>
      <c r="AL322" s="663"/>
      <c r="AM322" s="663"/>
      <c r="AN322" s="663"/>
      <c r="AO322" s="663"/>
      <c r="AP322" s="663"/>
      <c r="AQ322" s="663"/>
      <c r="AR322" s="663"/>
      <c r="AS322" s="663"/>
      <c r="AT322" s="663"/>
      <c r="AU322" s="663"/>
      <c r="AV322" s="663"/>
      <c r="AW322" s="663"/>
      <c r="AX322" s="663"/>
      <c r="AY322" s="663"/>
      <c r="AZ322" s="663"/>
      <c r="BA322" s="663"/>
      <c r="BB322" s="663"/>
    </row>
    <row r="323" spans="1:54" s="670" customFormat="1" ht="13.5" customHeight="1">
      <c r="A323" s="675"/>
      <c r="B323" s="779"/>
      <c r="C323" s="778" t="s">
        <v>738</v>
      </c>
      <c r="D323" s="777">
        <v>30</v>
      </c>
      <c r="E323" s="777"/>
      <c r="F323" s="777"/>
      <c r="G323" s="777"/>
      <c r="H323" s="777"/>
      <c r="I323" s="777">
        <f>D323</f>
        <v>30</v>
      </c>
      <c r="J323" s="777"/>
      <c r="K323" s="777"/>
      <c r="L323" s="777"/>
      <c r="M323" s="777"/>
      <c r="N323" s="777"/>
      <c r="O323" s="777"/>
      <c r="P323" s="663"/>
      <c r="Q323" s="663"/>
      <c r="R323" s="663"/>
      <c r="S323" s="663"/>
      <c r="T323" s="663"/>
      <c r="U323" s="663"/>
      <c r="V323" s="663"/>
      <c r="W323" s="663"/>
      <c r="X323" s="663"/>
      <c r="Y323" s="663"/>
      <c r="Z323" s="663"/>
      <c r="AA323" s="663"/>
      <c r="AB323" s="663"/>
      <c r="AC323" s="663"/>
      <c r="AD323" s="663"/>
      <c r="AE323" s="663"/>
      <c r="AF323" s="663"/>
      <c r="AG323" s="663"/>
      <c r="AH323" s="663"/>
      <c r="AI323" s="663"/>
      <c r="AJ323" s="663"/>
      <c r="AK323" s="663"/>
      <c r="AL323" s="663"/>
      <c r="AM323" s="663"/>
      <c r="AN323" s="663"/>
      <c r="AO323" s="663"/>
      <c r="AP323" s="663"/>
      <c r="AQ323" s="663"/>
      <c r="AR323" s="663"/>
      <c r="AS323" s="663"/>
      <c r="AT323" s="663"/>
      <c r="AU323" s="663"/>
      <c r="AV323" s="663"/>
      <c r="AW323" s="663"/>
      <c r="AX323" s="663"/>
      <c r="AY323" s="663"/>
      <c r="AZ323" s="663"/>
      <c r="BA323" s="663"/>
      <c r="BB323" s="663"/>
    </row>
    <row r="324" spans="1:54" s="670" customFormat="1" ht="13.5" customHeight="1">
      <c r="A324" s="675"/>
      <c r="B324" s="779"/>
      <c r="C324" s="778" t="s">
        <v>737</v>
      </c>
      <c r="D324" s="777">
        <v>30</v>
      </c>
      <c r="E324" s="777"/>
      <c r="F324" s="777"/>
      <c r="G324" s="777"/>
      <c r="H324" s="777"/>
      <c r="I324" s="777"/>
      <c r="J324" s="777">
        <f>D324</f>
        <v>30</v>
      </c>
      <c r="K324" s="777"/>
      <c r="L324" s="777"/>
      <c r="M324" s="777"/>
      <c r="N324" s="777"/>
      <c r="O324" s="777"/>
      <c r="P324" s="663"/>
      <c r="Q324" s="663"/>
      <c r="R324" s="663"/>
      <c r="S324" s="663"/>
      <c r="T324" s="663"/>
      <c r="U324" s="663"/>
      <c r="V324" s="663"/>
      <c r="W324" s="663"/>
      <c r="X324" s="663"/>
      <c r="Y324" s="663"/>
      <c r="Z324" s="663"/>
      <c r="AA324" s="663"/>
      <c r="AB324" s="663"/>
      <c r="AC324" s="663"/>
      <c r="AD324" s="663"/>
      <c r="AE324" s="663"/>
      <c r="AF324" s="663"/>
      <c r="AG324" s="663"/>
      <c r="AH324" s="663"/>
      <c r="AI324" s="663"/>
      <c r="AJ324" s="663"/>
      <c r="AK324" s="663"/>
      <c r="AL324" s="663"/>
      <c r="AM324" s="663"/>
      <c r="AN324" s="663"/>
      <c r="AO324" s="663"/>
      <c r="AP324" s="663"/>
      <c r="AQ324" s="663"/>
      <c r="AR324" s="663"/>
      <c r="AS324" s="663"/>
      <c r="AT324" s="663"/>
      <c r="AU324" s="663"/>
      <c r="AV324" s="663"/>
      <c r="AW324" s="663"/>
      <c r="AX324" s="663"/>
      <c r="AY324" s="663"/>
      <c r="AZ324" s="663"/>
      <c r="BA324" s="663"/>
      <c r="BB324" s="663"/>
    </row>
    <row r="325" spans="1:54" s="670" customFormat="1" ht="13.5" customHeight="1">
      <c r="A325" s="675"/>
      <c r="B325" s="779"/>
      <c r="C325" s="778" t="s">
        <v>736</v>
      </c>
      <c r="D325" s="777">
        <v>30</v>
      </c>
      <c r="E325" s="777"/>
      <c r="F325" s="777"/>
      <c r="G325" s="777"/>
      <c r="H325" s="777"/>
      <c r="I325" s="777">
        <f>D325</f>
        <v>30</v>
      </c>
      <c r="J325" s="777"/>
      <c r="K325" s="777"/>
      <c r="L325" s="777"/>
      <c r="M325" s="777"/>
      <c r="N325" s="777"/>
      <c r="O325" s="777"/>
      <c r="P325" s="663"/>
      <c r="Q325" s="663"/>
      <c r="R325" s="663"/>
      <c r="S325" s="663"/>
      <c r="T325" s="663"/>
      <c r="U325" s="663"/>
      <c r="V325" s="663"/>
      <c r="W325" s="663"/>
      <c r="X325" s="663"/>
      <c r="Y325" s="663"/>
      <c r="Z325" s="663"/>
      <c r="AA325" s="663"/>
      <c r="AB325" s="663"/>
      <c r="AC325" s="663"/>
      <c r="AD325" s="663"/>
      <c r="AE325" s="663"/>
      <c r="AF325" s="663"/>
      <c r="AG325" s="663"/>
      <c r="AH325" s="663"/>
      <c r="AI325" s="663"/>
      <c r="AJ325" s="663"/>
      <c r="AK325" s="663"/>
      <c r="AL325" s="663"/>
      <c r="AM325" s="663"/>
      <c r="AN325" s="663"/>
      <c r="AO325" s="663"/>
      <c r="AP325" s="663"/>
      <c r="AQ325" s="663"/>
      <c r="AR325" s="663"/>
      <c r="AS325" s="663"/>
      <c r="AT325" s="663"/>
      <c r="AU325" s="663"/>
      <c r="AV325" s="663"/>
      <c r="AW325" s="663"/>
      <c r="AX325" s="663"/>
      <c r="AY325" s="663"/>
      <c r="AZ325" s="663"/>
      <c r="BA325" s="663"/>
      <c r="BB325" s="663"/>
    </row>
    <row r="326" spans="1:54" s="670" customFormat="1" ht="13.5" customHeight="1">
      <c r="A326" s="675"/>
      <c r="B326" s="779"/>
      <c r="C326" s="778" t="s">
        <v>735</v>
      </c>
      <c r="D326" s="777">
        <v>30</v>
      </c>
      <c r="E326" s="777"/>
      <c r="F326" s="777"/>
      <c r="G326" s="777"/>
      <c r="H326" s="777"/>
      <c r="I326" s="777"/>
      <c r="J326" s="777">
        <f>D326</f>
        <v>30</v>
      </c>
      <c r="K326" s="777"/>
      <c r="L326" s="777"/>
      <c r="M326" s="777"/>
      <c r="N326" s="777"/>
      <c r="O326" s="777"/>
      <c r="P326" s="663"/>
      <c r="Q326" s="663"/>
      <c r="R326" s="663"/>
      <c r="S326" s="663"/>
      <c r="T326" s="663"/>
      <c r="U326" s="663"/>
      <c r="V326" s="663"/>
      <c r="W326" s="663"/>
      <c r="X326" s="663"/>
      <c r="Y326" s="663"/>
      <c r="Z326" s="663"/>
      <c r="AA326" s="663"/>
      <c r="AB326" s="663"/>
      <c r="AC326" s="663"/>
      <c r="AD326" s="663"/>
      <c r="AE326" s="663"/>
      <c r="AF326" s="663"/>
      <c r="AG326" s="663"/>
      <c r="AH326" s="663"/>
      <c r="AI326" s="663"/>
      <c r="AJ326" s="663"/>
      <c r="AK326" s="663"/>
      <c r="AL326" s="663"/>
      <c r="AM326" s="663"/>
      <c r="AN326" s="663"/>
      <c r="AO326" s="663"/>
      <c r="AP326" s="663"/>
      <c r="AQ326" s="663"/>
      <c r="AR326" s="663"/>
      <c r="AS326" s="663"/>
      <c r="AT326" s="663"/>
      <c r="AU326" s="663"/>
      <c r="AV326" s="663"/>
      <c r="AW326" s="663"/>
      <c r="AX326" s="663"/>
      <c r="AY326" s="663"/>
      <c r="AZ326" s="663"/>
      <c r="BA326" s="663"/>
      <c r="BB326" s="663"/>
    </row>
    <row r="327" spans="1:54" s="670" customFormat="1" ht="13.5" customHeight="1">
      <c r="A327" s="675"/>
      <c r="B327" s="779"/>
      <c r="C327" s="778" t="s">
        <v>734</v>
      </c>
      <c r="D327" s="777">
        <v>30</v>
      </c>
      <c r="E327" s="777"/>
      <c r="F327" s="777"/>
      <c r="G327" s="777"/>
      <c r="H327" s="777"/>
      <c r="I327" s="777">
        <f>D327</f>
        <v>30</v>
      </c>
      <c r="J327" s="777"/>
      <c r="K327" s="777"/>
      <c r="L327" s="777"/>
      <c r="M327" s="777"/>
      <c r="N327" s="777"/>
      <c r="O327" s="777"/>
      <c r="P327" s="663"/>
      <c r="Q327" s="663"/>
      <c r="R327" s="663"/>
      <c r="S327" s="663"/>
      <c r="T327" s="663"/>
      <c r="U327" s="663"/>
      <c r="V327" s="663"/>
      <c r="W327" s="663"/>
      <c r="X327" s="663"/>
      <c r="Y327" s="663"/>
      <c r="Z327" s="663"/>
      <c r="AA327" s="663"/>
      <c r="AB327" s="663"/>
      <c r="AC327" s="663"/>
      <c r="AD327" s="663"/>
      <c r="AE327" s="663"/>
      <c r="AF327" s="663"/>
      <c r="AG327" s="663"/>
      <c r="AH327" s="663"/>
      <c r="AI327" s="663"/>
      <c r="AJ327" s="663"/>
      <c r="AK327" s="663"/>
      <c r="AL327" s="663"/>
      <c r="AM327" s="663"/>
      <c r="AN327" s="663"/>
      <c r="AO327" s="663"/>
      <c r="AP327" s="663"/>
      <c r="AQ327" s="663"/>
      <c r="AR327" s="663"/>
      <c r="AS327" s="663"/>
      <c r="AT327" s="663"/>
      <c r="AU327" s="663"/>
      <c r="AV327" s="663"/>
      <c r="AW327" s="663"/>
      <c r="AX327" s="663"/>
      <c r="AY327" s="663"/>
      <c r="AZ327" s="663"/>
      <c r="BA327" s="663"/>
      <c r="BB327" s="663"/>
    </row>
    <row r="328" spans="1:54" s="670" customFormat="1" ht="13.5" customHeight="1">
      <c r="A328" s="675"/>
      <c r="B328" s="779"/>
      <c r="C328" s="778" t="s">
        <v>733</v>
      </c>
      <c r="D328" s="777">
        <v>30</v>
      </c>
      <c r="E328" s="777"/>
      <c r="F328" s="777"/>
      <c r="G328" s="777"/>
      <c r="H328" s="777"/>
      <c r="I328" s="777"/>
      <c r="J328" s="777">
        <f>D328</f>
        <v>30</v>
      </c>
      <c r="K328" s="777"/>
      <c r="L328" s="777"/>
      <c r="M328" s="777"/>
      <c r="N328" s="777"/>
      <c r="O328" s="777"/>
      <c r="P328" s="663"/>
      <c r="Q328" s="663"/>
      <c r="R328" s="663"/>
      <c r="S328" s="663"/>
      <c r="T328" s="663"/>
      <c r="U328" s="663"/>
      <c r="V328" s="663"/>
      <c r="W328" s="663"/>
      <c r="X328" s="663"/>
      <c r="Y328" s="663"/>
      <c r="Z328" s="663"/>
      <c r="AA328" s="663"/>
      <c r="AB328" s="663"/>
      <c r="AC328" s="663"/>
      <c r="AD328" s="663"/>
      <c r="AE328" s="663"/>
      <c r="AF328" s="663"/>
      <c r="AG328" s="663"/>
      <c r="AH328" s="663"/>
      <c r="AI328" s="663"/>
      <c r="AJ328" s="663"/>
      <c r="AK328" s="663"/>
      <c r="AL328" s="663"/>
      <c r="AM328" s="663"/>
      <c r="AN328" s="663"/>
      <c r="AO328" s="663"/>
      <c r="AP328" s="663"/>
      <c r="AQ328" s="663"/>
      <c r="AR328" s="663"/>
      <c r="AS328" s="663"/>
      <c r="AT328" s="663"/>
      <c r="AU328" s="663"/>
      <c r="AV328" s="663"/>
      <c r="AW328" s="663"/>
      <c r="AX328" s="663"/>
      <c r="AY328" s="663"/>
      <c r="AZ328" s="663"/>
      <c r="BA328" s="663"/>
      <c r="BB328" s="663"/>
    </row>
    <row r="329" spans="1:54" s="670" customFormat="1" ht="13.5" customHeight="1">
      <c r="A329" s="675"/>
      <c r="B329" s="779"/>
      <c r="C329" s="778" t="s">
        <v>732</v>
      </c>
      <c r="D329" s="777">
        <v>30</v>
      </c>
      <c r="E329" s="777"/>
      <c r="F329" s="777"/>
      <c r="G329" s="777"/>
      <c r="H329" s="777"/>
      <c r="I329" s="777">
        <f>D329</f>
        <v>30</v>
      </c>
      <c r="J329" s="777"/>
      <c r="K329" s="777"/>
      <c r="L329" s="777"/>
      <c r="M329" s="777"/>
      <c r="N329" s="777"/>
      <c r="O329" s="777"/>
      <c r="P329" s="663"/>
      <c r="Q329" s="663"/>
      <c r="R329" s="663"/>
      <c r="S329" s="663"/>
      <c r="T329" s="663"/>
      <c r="U329" s="663"/>
      <c r="V329" s="663"/>
      <c r="W329" s="663"/>
      <c r="X329" s="663"/>
      <c r="Y329" s="663"/>
      <c r="Z329" s="663"/>
      <c r="AA329" s="663"/>
      <c r="AB329" s="663"/>
      <c r="AC329" s="663"/>
      <c r="AD329" s="663"/>
      <c r="AE329" s="663"/>
      <c r="AF329" s="663"/>
      <c r="AG329" s="663"/>
      <c r="AH329" s="663"/>
      <c r="AI329" s="663"/>
      <c r="AJ329" s="663"/>
      <c r="AK329" s="663"/>
      <c r="AL329" s="663"/>
      <c r="AM329" s="663"/>
      <c r="AN329" s="663"/>
      <c r="AO329" s="663"/>
      <c r="AP329" s="663"/>
      <c r="AQ329" s="663"/>
      <c r="AR329" s="663"/>
      <c r="AS329" s="663"/>
      <c r="AT329" s="663"/>
      <c r="AU329" s="663"/>
      <c r="AV329" s="663"/>
      <c r="AW329" s="663"/>
      <c r="AX329" s="663"/>
      <c r="AY329" s="663"/>
      <c r="AZ329" s="663"/>
      <c r="BA329" s="663"/>
      <c r="BB329" s="663"/>
    </row>
    <row r="330" spans="1:54" s="670" customFormat="1" ht="13.5" customHeight="1">
      <c r="A330" s="675"/>
      <c r="B330" s="779"/>
      <c r="C330" s="778" t="s">
        <v>731</v>
      </c>
      <c r="D330" s="777">
        <v>30</v>
      </c>
      <c r="E330" s="777"/>
      <c r="F330" s="777"/>
      <c r="G330" s="777"/>
      <c r="H330" s="777"/>
      <c r="I330" s="777"/>
      <c r="J330" s="777">
        <f>D330</f>
        <v>30</v>
      </c>
      <c r="K330" s="777"/>
      <c r="L330" s="777"/>
      <c r="M330" s="777"/>
      <c r="N330" s="777"/>
      <c r="O330" s="777"/>
      <c r="P330" s="663"/>
      <c r="Q330" s="663"/>
      <c r="R330" s="663"/>
      <c r="S330" s="663"/>
      <c r="T330" s="663"/>
      <c r="U330" s="663"/>
      <c r="V330" s="663"/>
      <c r="W330" s="663"/>
      <c r="X330" s="663"/>
      <c r="Y330" s="663"/>
      <c r="Z330" s="663"/>
      <c r="AA330" s="663"/>
      <c r="AB330" s="663"/>
      <c r="AC330" s="663"/>
      <c r="AD330" s="663"/>
      <c r="AE330" s="663"/>
      <c r="AF330" s="663"/>
      <c r="AG330" s="663"/>
      <c r="AH330" s="663"/>
      <c r="AI330" s="663"/>
      <c r="AJ330" s="663"/>
      <c r="AK330" s="663"/>
      <c r="AL330" s="663"/>
      <c r="AM330" s="663"/>
      <c r="AN330" s="663"/>
      <c r="AO330" s="663"/>
      <c r="AP330" s="663"/>
      <c r="AQ330" s="663"/>
      <c r="AR330" s="663"/>
      <c r="AS330" s="663"/>
      <c r="AT330" s="663"/>
      <c r="AU330" s="663"/>
      <c r="AV330" s="663"/>
      <c r="AW330" s="663"/>
      <c r="AX330" s="663"/>
      <c r="AY330" s="663"/>
      <c r="AZ330" s="663"/>
      <c r="BA330" s="663"/>
      <c r="BB330" s="663"/>
    </row>
    <row r="331" spans="1:54" s="670" customFormat="1" ht="13.5" customHeight="1">
      <c r="A331" s="675"/>
      <c r="B331" s="779"/>
      <c r="C331" s="778" t="s">
        <v>186</v>
      </c>
      <c r="D331" s="777"/>
      <c r="E331" s="777"/>
      <c r="F331" s="777"/>
      <c r="G331" s="777"/>
      <c r="H331" s="777">
        <f>D331</f>
        <v>0</v>
      </c>
      <c r="I331" s="777"/>
      <c r="J331" s="777"/>
      <c r="K331" s="777"/>
      <c r="L331" s="777"/>
      <c r="M331" s="777"/>
      <c r="N331" s="777"/>
      <c r="O331" s="777"/>
      <c r="P331" s="663"/>
      <c r="Q331" s="663"/>
      <c r="R331" s="663"/>
      <c r="S331" s="663"/>
      <c r="T331" s="663"/>
      <c r="U331" s="663"/>
      <c r="V331" s="663"/>
      <c r="W331" s="663"/>
      <c r="X331" s="663"/>
      <c r="Y331" s="663"/>
      <c r="Z331" s="663"/>
      <c r="AA331" s="663"/>
      <c r="AB331" s="663"/>
      <c r="AC331" s="663"/>
      <c r="AD331" s="663"/>
      <c r="AE331" s="663"/>
      <c r="AF331" s="663"/>
      <c r="AG331" s="663"/>
      <c r="AH331" s="663"/>
      <c r="AI331" s="663"/>
      <c r="AJ331" s="663"/>
      <c r="AK331" s="663"/>
      <c r="AL331" s="663"/>
      <c r="AM331" s="663"/>
      <c r="AN331" s="663"/>
      <c r="AO331" s="663"/>
      <c r="AP331" s="663"/>
      <c r="AQ331" s="663"/>
      <c r="AR331" s="663"/>
      <c r="AS331" s="663"/>
      <c r="AT331" s="663"/>
      <c r="AU331" s="663"/>
      <c r="AV331" s="663"/>
      <c r="AW331" s="663"/>
      <c r="AX331" s="663"/>
      <c r="AY331" s="663"/>
      <c r="AZ331" s="663"/>
      <c r="BA331" s="663"/>
      <c r="BB331" s="663"/>
    </row>
    <row r="332" spans="1:54" s="670" customFormat="1" ht="13.5" customHeight="1">
      <c r="A332" s="675"/>
      <c r="B332" s="779"/>
      <c r="C332" s="778" t="s">
        <v>518</v>
      </c>
      <c r="D332" s="777"/>
      <c r="E332" s="777"/>
      <c r="F332" s="777"/>
      <c r="G332" s="777"/>
      <c r="H332" s="777">
        <f>D332</f>
        <v>0</v>
      </c>
      <c r="I332" s="777"/>
      <c r="J332" s="777"/>
      <c r="K332" s="777"/>
      <c r="L332" s="777"/>
      <c r="M332" s="777"/>
      <c r="N332" s="777"/>
      <c r="O332" s="777"/>
      <c r="P332" s="663"/>
      <c r="Q332" s="663"/>
      <c r="R332" s="663"/>
      <c r="S332" s="663"/>
      <c r="T332" s="663"/>
      <c r="U332" s="663"/>
      <c r="V332" s="663"/>
      <c r="W332" s="663"/>
      <c r="X332" s="663"/>
      <c r="Y332" s="663"/>
      <c r="Z332" s="663"/>
      <c r="AA332" s="663"/>
      <c r="AB332" s="663"/>
      <c r="AC332" s="663"/>
      <c r="AD332" s="663"/>
      <c r="AE332" s="663"/>
      <c r="AF332" s="663"/>
      <c r="AG332" s="663"/>
      <c r="AH332" s="663"/>
      <c r="AI332" s="663"/>
      <c r="AJ332" s="663"/>
      <c r="AK332" s="663"/>
      <c r="AL332" s="663"/>
      <c r="AM332" s="663"/>
      <c r="AN332" s="663"/>
      <c r="AO332" s="663"/>
      <c r="AP332" s="663"/>
      <c r="AQ332" s="663"/>
      <c r="AR332" s="663"/>
      <c r="AS332" s="663"/>
      <c r="AT332" s="663"/>
      <c r="AU332" s="663"/>
      <c r="AV332" s="663"/>
      <c r="AW332" s="663"/>
      <c r="AX332" s="663"/>
      <c r="AY332" s="663"/>
      <c r="AZ332" s="663"/>
      <c r="BA332" s="663"/>
      <c r="BB332" s="663"/>
    </row>
    <row r="333" spans="1:54" s="670" customFormat="1" ht="13.5" customHeight="1">
      <c r="A333" s="675"/>
      <c r="B333" s="779"/>
      <c r="C333" s="778" t="s">
        <v>10</v>
      </c>
      <c r="D333" s="777">
        <v>400</v>
      </c>
      <c r="E333" s="777"/>
      <c r="F333" s="777"/>
      <c r="G333" s="777"/>
      <c r="H333" s="777"/>
      <c r="I333" s="777"/>
      <c r="J333" s="777"/>
      <c r="K333" s="777"/>
      <c r="L333" s="777"/>
      <c r="M333" s="777"/>
      <c r="N333" s="777"/>
      <c r="O333" s="777"/>
      <c r="P333" s="663"/>
      <c r="Q333" s="663"/>
      <c r="R333" s="663"/>
      <c r="S333" s="663"/>
      <c r="T333" s="663"/>
      <c r="U333" s="663"/>
      <c r="V333" s="663"/>
      <c r="W333" s="663"/>
      <c r="X333" s="663"/>
      <c r="Y333" s="663"/>
      <c r="Z333" s="663"/>
      <c r="AA333" s="663"/>
      <c r="AB333" s="663"/>
      <c r="AC333" s="663"/>
      <c r="AD333" s="663"/>
      <c r="AE333" s="663"/>
      <c r="AF333" s="663"/>
      <c r="AG333" s="663"/>
      <c r="AH333" s="663"/>
      <c r="AI333" s="663"/>
      <c r="AJ333" s="663"/>
      <c r="AK333" s="663"/>
      <c r="AL333" s="663"/>
      <c r="AM333" s="663"/>
      <c r="AN333" s="663"/>
      <c r="AO333" s="663"/>
      <c r="AP333" s="663"/>
      <c r="AQ333" s="663"/>
      <c r="AR333" s="663"/>
      <c r="AS333" s="663"/>
      <c r="AT333" s="663"/>
      <c r="AU333" s="663"/>
      <c r="AV333" s="663"/>
      <c r="AW333" s="663"/>
      <c r="AX333" s="663"/>
      <c r="AY333" s="663"/>
      <c r="AZ333" s="663"/>
      <c r="BA333" s="663"/>
      <c r="BB333" s="663"/>
    </row>
    <row r="334" spans="1:54" s="670" customFormat="1" ht="13.5" customHeight="1">
      <c r="A334" s="675"/>
      <c r="B334" s="779"/>
      <c r="C334" s="778" t="s">
        <v>7</v>
      </c>
      <c r="D334" s="777">
        <v>400</v>
      </c>
      <c r="E334" s="777"/>
      <c r="F334" s="777"/>
      <c r="G334" s="777"/>
      <c r="H334" s="777"/>
      <c r="I334" s="777"/>
      <c r="J334" s="777"/>
      <c r="K334" s="777"/>
      <c r="L334" s="777"/>
      <c r="M334" s="777"/>
      <c r="N334" s="777"/>
      <c r="O334" s="777"/>
      <c r="P334" s="663"/>
      <c r="Q334" s="663"/>
      <c r="R334" s="663"/>
      <c r="S334" s="663"/>
      <c r="T334" s="663"/>
      <c r="U334" s="663"/>
      <c r="V334" s="663"/>
      <c r="W334" s="663"/>
      <c r="X334" s="663"/>
      <c r="Y334" s="663"/>
      <c r="Z334" s="663"/>
      <c r="AA334" s="663"/>
      <c r="AB334" s="663"/>
      <c r="AC334" s="663"/>
      <c r="AD334" s="663"/>
      <c r="AE334" s="663"/>
      <c r="AF334" s="663"/>
      <c r="AG334" s="663"/>
      <c r="AH334" s="663"/>
      <c r="AI334" s="663"/>
      <c r="AJ334" s="663"/>
      <c r="AK334" s="663"/>
      <c r="AL334" s="663"/>
      <c r="AM334" s="663"/>
      <c r="AN334" s="663"/>
      <c r="AO334" s="663"/>
      <c r="AP334" s="663"/>
      <c r="AQ334" s="663"/>
      <c r="AR334" s="663"/>
      <c r="AS334" s="663"/>
      <c r="AT334" s="663"/>
      <c r="AU334" s="663"/>
      <c r="AV334" s="663"/>
      <c r="AW334" s="663"/>
      <c r="AX334" s="663"/>
      <c r="AY334" s="663"/>
      <c r="AZ334" s="663"/>
      <c r="BA334" s="663"/>
      <c r="BB334" s="663"/>
    </row>
    <row r="335" spans="1:54" s="670" customFormat="1" ht="13.5" customHeight="1">
      <c r="A335" s="675"/>
      <c r="B335" s="779"/>
      <c r="C335" s="778" t="s">
        <v>9</v>
      </c>
      <c r="D335" s="777">
        <v>400</v>
      </c>
      <c r="E335" s="777"/>
      <c r="F335" s="777"/>
      <c r="G335" s="777"/>
      <c r="H335" s="777"/>
      <c r="I335" s="777"/>
      <c r="J335" s="777"/>
      <c r="K335" s="777"/>
      <c r="L335" s="777"/>
      <c r="M335" s="777"/>
      <c r="N335" s="777"/>
      <c r="O335" s="777"/>
      <c r="P335" s="663"/>
      <c r="Q335" s="663"/>
      <c r="R335" s="663"/>
      <c r="S335" s="663"/>
      <c r="T335" s="663"/>
      <c r="U335" s="663"/>
      <c r="V335" s="663"/>
      <c r="W335" s="663"/>
      <c r="X335" s="663"/>
      <c r="Y335" s="663"/>
      <c r="Z335" s="663"/>
      <c r="AA335" s="663"/>
      <c r="AB335" s="663"/>
      <c r="AC335" s="663"/>
      <c r="AD335" s="663"/>
      <c r="AE335" s="663"/>
      <c r="AF335" s="663"/>
      <c r="AG335" s="663"/>
      <c r="AH335" s="663"/>
      <c r="AI335" s="663"/>
      <c r="AJ335" s="663"/>
      <c r="AK335" s="663"/>
      <c r="AL335" s="663"/>
      <c r="AM335" s="663"/>
      <c r="AN335" s="663"/>
      <c r="AO335" s="663"/>
      <c r="AP335" s="663"/>
      <c r="AQ335" s="663"/>
      <c r="AR335" s="663"/>
      <c r="AS335" s="663"/>
      <c r="AT335" s="663"/>
      <c r="AU335" s="663"/>
      <c r="AV335" s="663"/>
      <c r="AW335" s="663"/>
      <c r="AX335" s="663"/>
      <c r="AY335" s="663"/>
      <c r="AZ335" s="663"/>
      <c r="BA335" s="663"/>
      <c r="BB335" s="663"/>
    </row>
    <row r="336" spans="1:54" s="670" customFormat="1" ht="13.5" customHeight="1">
      <c r="A336" s="675"/>
      <c r="B336" s="779"/>
      <c r="C336" s="778" t="s">
        <v>8</v>
      </c>
      <c r="D336" s="777">
        <v>400</v>
      </c>
      <c r="E336" s="777"/>
      <c r="F336" s="777"/>
      <c r="G336" s="777"/>
      <c r="H336" s="777"/>
      <c r="I336" s="777"/>
      <c r="J336" s="777"/>
      <c r="K336" s="777"/>
      <c r="L336" s="777"/>
      <c r="M336" s="777"/>
      <c r="N336" s="777"/>
      <c r="O336" s="777"/>
      <c r="P336" s="663"/>
      <c r="Q336" s="663"/>
      <c r="R336" s="663"/>
      <c r="S336" s="663"/>
      <c r="T336" s="663"/>
      <c r="U336" s="663"/>
      <c r="V336" s="663"/>
      <c r="W336" s="663"/>
      <c r="X336" s="663"/>
      <c r="Y336" s="663"/>
      <c r="Z336" s="663"/>
      <c r="AA336" s="663"/>
      <c r="AB336" s="663"/>
      <c r="AC336" s="663"/>
      <c r="AD336" s="663"/>
      <c r="AE336" s="663"/>
      <c r="AF336" s="663"/>
      <c r="AG336" s="663"/>
      <c r="AH336" s="663"/>
      <c r="AI336" s="663"/>
      <c r="AJ336" s="663"/>
      <c r="AK336" s="663"/>
      <c r="AL336" s="663"/>
      <c r="AM336" s="663"/>
      <c r="AN336" s="663"/>
      <c r="AO336" s="663"/>
      <c r="AP336" s="663"/>
      <c r="AQ336" s="663"/>
      <c r="AR336" s="663"/>
      <c r="AS336" s="663"/>
      <c r="AT336" s="663"/>
      <c r="AU336" s="663"/>
      <c r="AV336" s="663"/>
      <c r="AW336" s="663"/>
      <c r="AX336" s="663"/>
      <c r="AY336" s="663"/>
      <c r="AZ336" s="663"/>
      <c r="BA336" s="663"/>
      <c r="BB336" s="663"/>
    </row>
    <row r="337" spans="1:54" s="670" customFormat="1" ht="13.5" customHeight="1">
      <c r="A337" s="675"/>
      <c r="B337" s="779"/>
      <c r="C337" s="778" t="s">
        <v>12</v>
      </c>
      <c r="D337" s="777">
        <v>400</v>
      </c>
      <c r="E337" s="777"/>
      <c r="F337" s="777"/>
      <c r="G337" s="777"/>
      <c r="H337" s="777"/>
      <c r="I337" s="777"/>
      <c r="J337" s="777"/>
      <c r="K337" s="777"/>
      <c r="L337" s="777"/>
      <c r="M337" s="777"/>
      <c r="N337" s="777"/>
      <c r="O337" s="777"/>
      <c r="P337" s="663"/>
      <c r="Q337" s="663"/>
      <c r="R337" s="663"/>
      <c r="S337" s="663"/>
      <c r="T337" s="663"/>
      <c r="U337" s="663"/>
      <c r="V337" s="663"/>
      <c r="W337" s="663"/>
      <c r="X337" s="663"/>
      <c r="Y337" s="663"/>
      <c r="Z337" s="663"/>
      <c r="AA337" s="663"/>
      <c r="AB337" s="663"/>
      <c r="AC337" s="663"/>
      <c r="AD337" s="663"/>
      <c r="AE337" s="663"/>
      <c r="AF337" s="663"/>
      <c r="AG337" s="663"/>
      <c r="AH337" s="663"/>
      <c r="AI337" s="663"/>
      <c r="AJ337" s="663"/>
      <c r="AK337" s="663"/>
      <c r="AL337" s="663"/>
      <c r="AM337" s="663"/>
      <c r="AN337" s="663"/>
      <c r="AO337" s="663"/>
      <c r="AP337" s="663"/>
      <c r="AQ337" s="663"/>
      <c r="AR337" s="663"/>
      <c r="AS337" s="663"/>
      <c r="AT337" s="663"/>
      <c r="AU337" s="663"/>
      <c r="AV337" s="663"/>
      <c r="AW337" s="663"/>
      <c r="AX337" s="663"/>
      <c r="AY337" s="663"/>
      <c r="AZ337" s="663"/>
      <c r="BA337" s="663"/>
      <c r="BB337" s="663"/>
    </row>
    <row r="338" spans="1:54" s="670" customFormat="1" ht="13.5" customHeight="1">
      <c r="A338" s="675"/>
      <c r="B338" s="779"/>
      <c r="C338" s="778" t="s">
        <v>13</v>
      </c>
      <c r="D338" s="777">
        <v>400</v>
      </c>
      <c r="E338" s="777"/>
      <c r="F338" s="777"/>
      <c r="G338" s="777"/>
      <c r="H338" s="777"/>
      <c r="I338" s="777"/>
      <c r="J338" s="777"/>
      <c r="K338" s="777"/>
      <c r="L338" s="777"/>
      <c r="M338" s="777"/>
      <c r="N338" s="777"/>
      <c r="O338" s="777"/>
      <c r="P338" s="663"/>
      <c r="Q338" s="663"/>
      <c r="R338" s="663"/>
      <c r="S338" s="663"/>
      <c r="T338" s="663"/>
      <c r="U338" s="663"/>
      <c r="V338" s="663"/>
      <c r="W338" s="663"/>
      <c r="X338" s="663"/>
      <c r="Y338" s="663"/>
      <c r="Z338" s="663"/>
      <c r="AA338" s="663"/>
      <c r="AB338" s="663"/>
      <c r="AC338" s="663"/>
      <c r="AD338" s="663"/>
      <c r="AE338" s="663"/>
      <c r="AF338" s="663"/>
      <c r="AG338" s="663"/>
      <c r="AH338" s="663"/>
      <c r="AI338" s="663"/>
      <c r="AJ338" s="663"/>
      <c r="AK338" s="663"/>
      <c r="AL338" s="663"/>
      <c r="AM338" s="663"/>
      <c r="AN338" s="663"/>
      <c r="AO338" s="663"/>
      <c r="AP338" s="663"/>
      <c r="AQ338" s="663"/>
      <c r="AR338" s="663"/>
      <c r="AS338" s="663"/>
      <c r="AT338" s="663"/>
      <c r="AU338" s="663"/>
      <c r="AV338" s="663"/>
      <c r="AW338" s="663"/>
      <c r="AX338" s="663"/>
      <c r="AY338" s="663"/>
      <c r="AZ338" s="663"/>
      <c r="BA338" s="663"/>
      <c r="BB338" s="663"/>
    </row>
    <row r="339" spans="1:54" s="670" customFormat="1" ht="13.5" customHeight="1">
      <c r="A339" s="675"/>
      <c r="B339" s="779"/>
      <c r="C339" s="778" t="s">
        <v>7</v>
      </c>
      <c r="D339" s="777">
        <v>400</v>
      </c>
      <c r="E339" s="777"/>
      <c r="F339" s="777"/>
      <c r="G339" s="777"/>
      <c r="H339" s="777"/>
      <c r="I339" s="777"/>
      <c r="J339" s="777"/>
      <c r="K339" s="777"/>
      <c r="L339" s="777"/>
      <c r="M339" s="777"/>
      <c r="N339" s="777"/>
      <c r="O339" s="777"/>
      <c r="P339" s="663"/>
      <c r="Q339" s="663"/>
      <c r="R339" s="663"/>
      <c r="S339" s="663"/>
      <c r="T339" s="663"/>
      <c r="U339" s="663"/>
      <c r="V339" s="663"/>
      <c r="W339" s="663"/>
      <c r="X339" s="663"/>
      <c r="Y339" s="663"/>
      <c r="Z339" s="663"/>
      <c r="AA339" s="663"/>
      <c r="AB339" s="663"/>
      <c r="AC339" s="663"/>
      <c r="AD339" s="663"/>
      <c r="AE339" s="663"/>
      <c r="AF339" s="663"/>
      <c r="AG339" s="663"/>
      <c r="AH339" s="663"/>
      <c r="AI339" s="663"/>
      <c r="AJ339" s="663"/>
      <c r="AK339" s="663"/>
      <c r="AL339" s="663"/>
      <c r="AM339" s="663"/>
      <c r="AN339" s="663"/>
      <c r="AO339" s="663"/>
      <c r="AP339" s="663"/>
      <c r="AQ339" s="663"/>
      <c r="AR339" s="663"/>
      <c r="AS339" s="663"/>
      <c r="AT339" s="663"/>
      <c r="AU339" s="663"/>
      <c r="AV339" s="663"/>
      <c r="AW339" s="663"/>
      <c r="AX339" s="663"/>
      <c r="AY339" s="663"/>
      <c r="AZ339" s="663"/>
      <c r="BA339" s="663"/>
      <c r="BB339" s="663"/>
    </row>
    <row r="340" spans="1:54" s="670" customFormat="1" ht="13.5" customHeight="1">
      <c r="A340" s="675"/>
      <c r="B340" s="779"/>
      <c r="C340" s="778" t="s">
        <v>10</v>
      </c>
      <c r="D340" s="777">
        <v>400</v>
      </c>
      <c r="E340" s="777"/>
      <c r="F340" s="777"/>
      <c r="G340" s="777"/>
      <c r="H340" s="777"/>
      <c r="I340" s="777"/>
      <c r="J340" s="777"/>
      <c r="K340" s="777"/>
      <c r="L340" s="777"/>
      <c r="M340" s="777"/>
      <c r="N340" s="777"/>
      <c r="O340" s="777"/>
      <c r="P340" s="663"/>
      <c r="Q340" s="663"/>
      <c r="R340" s="663"/>
      <c r="S340" s="663"/>
      <c r="T340" s="663"/>
      <c r="U340" s="663"/>
      <c r="V340" s="663"/>
      <c r="W340" s="663"/>
      <c r="X340" s="663"/>
      <c r="Y340" s="663"/>
      <c r="Z340" s="663"/>
      <c r="AA340" s="663"/>
      <c r="AB340" s="663"/>
      <c r="AC340" s="663"/>
      <c r="AD340" s="663"/>
      <c r="AE340" s="663"/>
      <c r="AF340" s="663"/>
      <c r="AG340" s="663"/>
      <c r="AH340" s="663"/>
      <c r="AI340" s="663"/>
      <c r="AJ340" s="663"/>
      <c r="AK340" s="663"/>
      <c r="AL340" s="663"/>
      <c r="AM340" s="663"/>
      <c r="AN340" s="663"/>
      <c r="AO340" s="663"/>
      <c r="AP340" s="663"/>
      <c r="AQ340" s="663"/>
      <c r="AR340" s="663"/>
      <c r="AS340" s="663"/>
      <c r="AT340" s="663"/>
      <c r="AU340" s="663"/>
      <c r="AV340" s="663"/>
      <c r="AW340" s="663"/>
      <c r="AX340" s="663"/>
      <c r="AY340" s="663"/>
      <c r="AZ340" s="663"/>
      <c r="BA340" s="663"/>
      <c r="BB340" s="663"/>
    </row>
    <row r="341" spans="1:54" s="670" customFormat="1" ht="13.5" customHeight="1">
      <c r="A341" s="675"/>
      <c r="B341" s="779"/>
      <c r="C341" s="778" t="s">
        <v>11</v>
      </c>
      <c r="D341" s="777">
        <v>400</v>
      </c>
      <c r="E341" s="777"/>
      <c r="F341" s="777"/>
      <c r="G341" s="777"/>
      <c r="H341" s="777"/>
      <c r="I341" s="777"/>
      <c r="J341" s="777"/>
      <c r="K341" s="777"/>
      <c r="L341" s="777"/>
      <c r="M341" s="777"/>
      <c r="N341" s="777"/>
      <c r="O341" s="777"/>
      <c r="P341" s="663"/>
      <c r="Q341" s="663"/>
      <c r="R341" s="663"/>
      <c r="S341" s="663"/>
      <c r="T341" s="663"/>
      <c r="U341" s="663"/>
      <c r="V341" s="663"/>
      <c r="W341" s="663"/>
      <c r="X341" s="663"/>
      <c r="Y341" s="663"/>
      <c r="Z341" s="663"/>
      <c r="AA341" s="663"/>
      <c r="AB341" s="663"/>
      <c r="AC341" s="663"/>
      <c r="AD341" s="663"/>
      <c r="AE341" s="663"/>
      <c r="AF341" s="663"/>
      <c r="AG341" s="663"/>
      <c r="AH341" s="663"/>
      <c r="AI341" s="663"/>
      <c r="AJ341" s="663"/>
      <c r="AK341" s="663"/>
      <c r="AL341" s="663"/>
      <c r="AM341" s="663"/>
      <c r="AN341" s="663"/>
      <c r="AO341" s="663"/>
      <c r="AP341" s="663"/>
      <c r="AQ341" s="663"/>
      <c r="AR341" s="663"/>
      <c r="AS341" s="663"/>
      <c r="AT341" s="663"/>
      <c r="AU341" s="663"/>
      <c r="AV341" s="663"/>
      <c r="AW341" s="663"/>
      <c r="AX341" s="663"/>
      <c r="AY341" s="663"/>
      <c r="AZ341" s="663"/>
      <c r="BA341" s="663"/>
      <c r="BB341" s="663"/>
    </row>
    <row r="342" spans="1:54" s="670" customFormat="1" ht="13.5" customHeight="1">
      <c r="A342" s="675"/>
      <c r="B342" s="779"/>
      <c r="C342" s="778" t="s">
        <v>730</v>
      </c>
      <c r="D342" s="777">
        <v>400</v>
      </c>
      <c r="E342" s="777"/>
      <c r="F342" s="777"/>
      <c r="G342" s="777"/>
      <c r="H342" s="777"/>
      <c r="I342" s="777"/>
      <c r="J342" s="777"/>
      <c r="K342" s="777"/>
      <c r="L342" s="777"/>
      <c r="M342" s="777"/>
      <c r="N342" s="777"/>
      <c r="O342" s="777"/>
      <c r="P342" s="663"/>
      <c r="Q342" s="663"/>
      <c r="R342" s="663"/>
      <c r="S342" s="663"/>
      <c r="T342" s="663"/>
      <c r="U342" s="663"/>
      <c r="V342" s="663"/>
      <c r="W342" s="663"/>
      <c r="X342" s="663"/>
      <c r="Y342" s="663"/>
      <c r="Z342" s="663"/>
      <c r="AA342" s="663"/>
      <c r="AB342" s="663"/>
      <c r="AC342" s="663"/>
      <c r="AD342" s="663"/>
      <c r="AE342" s="663"/>
      <c r="AF342" s="663"/>
      <c r="AG342" s="663"/>
      <c r="AH342" s="663"/>
      <c r="AI342" s="663"/>
      <c r="AJ342" s="663"/>
      <c r="AK342" s="663"/>
      <c r="AL342" s="663"/>
      <c r="AM342" s="663"/>
      <c r="AN342" s="663"/>
      <c r="AO342" s="663"/>
      <c r="AP342" s="663"/>
      <c r="AQ342" s="663"/>
      <c r="AR342" s="663"/>
      <c r="AS342" s="663"/>
      <c r="AT342" s="663"/>
      <c r="AU342" s="663"/>
      <c r="AV342" s="663"/>
      <c r="AW342" s="663"/>
      <c r="AX342" s="663"/>
      <c r="AY342" s="663"/>
      <c r="AZ342" s="663"/>
      <c r="BA342" s="663"/>
      <c r="BB342" s="663"/>
    </row>
    <row r="343" spans="1:54" s="670" customFormat="1" ht="13.5" customHeight="1">
      <c r="A343" s="675"/>
      <c r="B343" s="779"/>
      <c r="C343" s="778" t="s">
        <v>729</v>
      </c>
      <c r="D343" s="777">
        <v>400</v>
      </c>
      <c r="E343" s="777"/>
      <c r="F343" s="777"/>
      <c r="G343" s="777"/>
      <c r="H343" s="777"/>
      <c r="I343" s="777"/>
      <c r="J343" s="777"/>
      <c r="K343" s="777"/>
      <c r="L343" s="777"/>
      <c r="M343" s="777"/>
      <c r="N343" s="777"/>
      <c r="O343" s="777"/>
      <c r="P343" s="663"/>
      <c r="Q343" s="663"/>
      <c r="R343" s="663"/>
      <c r="S343" s="663"/>
      <c r="T343" s="663"/>
      <c r="U343" s="663"/>
      <c r="V343" s="663"/>
      <c r="W343" s="663"/>
      <c r="X343" s="663"/>
      <c r="Y343" s="663"/>
      <c r="Z343" s="663"/>
      <c r="AA343" s="663"/>
      <c r="AB343" s="663"/>
      <c r="AC343" s="663"/>
      <c r="AD343" s="663"/>
      <c r="AE343" s="663"/>
      <c r="AF343" s="663"/>
      <c r="AG343" s="663"/>
      <c r="AH343" s="663"/>
      <c r="AI343" s="663"/>
      <c r="AJ343" s="663"/>
      <c r="AK343" s="663"/>
      <c r="AL343" s="663"/>
      <c r="AM343" s="663"/>
      <c r="AN343" s="663"/>
      <c r="AO343" s="663"/>
      <c r="AP343" s="663"/>
      <c r="AQ343" s="663"/>
      <c r="AR343" s="663"/>
      <c r="AS343" s="663"/>
      <c r="AT343" s="663"/>
      <c r="AU343" s="663"/>
      <c r="AV343" s="663"/>
      <c r="AW343" s="663"/>
      <c r="AX343" s="663"/>
      <c r="AY343" s="663"/>
      <c r="AZ343" s="663"/>
      <c r="BA343" s="663"/>
      <c r="BB343" s="663"/>
    </row>
    <row r="344" spans="1:54" s="670" customFormat="1" ht="13.5" customHeight="1">
      <c r="A344" s="675"/>
      <c r="B344" s="779"/>
      <c r="C344" s="778" t="s">
        <v>431</v>
      </c>
      <c r="D344" s="777">
        <v>400</v>
      </c>
      <c r="E344" s="777"/>
      <c r="F344" s="777"/>
      <c r="G344" s="777"/>
      <c r="H344" s="777"/>
      <c r="I344" s="777"/>
      <c r="J344" s="777"/>
      <c r="K344" s="777"/>
      <c r="L344" s="777"/>
      <c r="M344" s="777"/>
      <c r="N344" s="777"/>
      <c r="O344" s="777"/>
      <c r="P344" s="663"/>
      <c r="Q344" s="663"/>
      <c r="R344" s="663"/>
      <c r="S344" s="663"/>
      <c r="T344" s="663"/>
      <c r="U344" s="663"/>
      <c r="V344" s="663"/>
      <c r="W344" s="663"/>
      <c r="X344" s="663"/>
      <c r="Y344" s="663"/>
      <c r="Z344" s="663"/>
      <c r="AA344" s="663"/>
      <c r="AB344" s="663"/>
      <c r="AC344" s="663"/>
      <c r="AD344" s="663"/>
      <c r="AE344" s="663"/>
      <c r="AF344" s="663"/>
      <c r="AG344" s="663"/>
      <c r="AH344" s="663"/>
      <c r="AI344" s="663"/>
      <c r="AJ344" s="663"/>
      <c r="AK344" s="663"/>
      <c r="AL344" s="663"/>
      <c r="AM344" s="663"/>
      <c r="AN344" s="663"/>
      <c r="AO344" s="663"/>
      <c r="AP344" s="663"/>
      <c r="AQ344" s="663"/>
      <c r="AR344" s="663"/>
      <c r="AS344" s="663"/>
      <c r="AT344" s="663"/>
      <c r="AU344" s="663"/>
      <c r="AV344" s="663"/>
      <c r="AW344" s="663"/>
      <c r="AX344" s="663"/>
      <c r="AY344" s="663"/>
      <c r="AZ344" s="663"/>
      <c r="BA344" s="663"/>
      <c r="BB344" s="663"/>
    </row>
    <row r="345" spans="1:54" s="670" customFormat="1" ht="13.5" customHeight="1">
      <c r="A345" s="675"/>
      <c r="B345" s="779"/>
      <c r="C345" s="778" t="s">
        <v>728</v>
      </c>
      <c r="D345" s="777">
        <v>400</v>
      </c>
      <c r="E345" s="777"/>
      <c r="F345" s="777"/>
      <c r="G345" s="777"/>
      <c r="H345" s="777"/>
      <c r="I345" s="777"/>
      <c r="J345" s="777"/>
      <c r="K345" s="777"/>
      <c r="L345" s="777"/>
      <c r="M345" s="777"/>
      <c r="N345" s="777"/>
      <c r="O345" s="777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Q345" s="663"/>
      <c r="AR345" s="663"/>
      <c r="AS345" s="663"/>
      <c r="AT345" s="663"/>
      <c r="AU345" s="663"/>
      <c r="AV345" s="663"/>
      <c r="AW345" s="663"/>
      <c r="AX345" s="663"/>
      <c r="AY345" s="663"/>
      <c r="AZ345" s="663"/>
      <c r="BA345" s="663"/>
      <c r="BB345" s="663"/>
    </row>
    <row r="346" spans="1:54" s="670" customFormat="1" ht="13.5" customHeight="1">
      <c r="A346" s="675"/>
      <c r="B346" s="779"/>
      <c r="C346" s="778" t="s">
        <v>727</v>
      </c>
      <c r="D346" s="777">
        <v>400</v>
      </c>
      <c r="E346" s="777"/>
      <c r="F346" s="777"/>
      <c r="G346" s="777"/>
      <c r="H346" s="777"/>
      <c r="I346" s="777"/>
      <c r="J346" s="777"/>
      <c r="K346" s="777"/>
      <c r="L346" s="777"/>
      <c r="M346" s="777"/>
      <c r="N346" s="777"/>
      <c r="O346" s="777"/>
      <c r="P346" s="663"/>
      <c r="Q346" s="663"/>
      <c r="R346" s="663"/>
      <c r="S346" s="663"/>
      <c r="T346" s="663"/>
      <c r="U346" s="663"/>
      <c r="V346" s="663"/>
      <c r="W346" s="663"/>
      <c r="X346" s="663"/>
      <c r="Y346" s="663"/>
      <c r="Z346" s="663"/>
      <c r="AA346" s="663"/>
      <c r="AB346" s="663"/>
      <c r="AC346" s="663"/>
      <c r="AD346" s="663"/>
      <c r="AE346" s="663"/>
      <c r="AF346" s="663"/>
      <c r="AG346" s="663"/>
      <c r="AH346" s="663"/>
      <c r="AI346" s="663"/>
      <c r="AJ346" s="663"/>
      <c r="AK346" s="663"/>
      <c r="AL346" s="663"/>
      <c r="AM346" s="663"/>
      <c r="AN346" s="663"/>
      <c r="AO346" s="663"/>
      <c r="AP346" s="663"/>
      <c r="AQ346" s="663"/>
      <c r="AR346" s="663"/>
      <c r="AS346" s="663"/>
      <c r="AT346" s="663"/>
      <c r="AU346" s="663"/>
      <c r="AV346" s="663"/>
      <c r="AW346" s="663"/>
      <c r="AX346" s="663"/>
      <c r="AY346" s="663"/>
      <c r="AZ346" s="663"/>
      <c r="BA346" s="663"/>
      <c r="BB346" s="663"/>
    </row>
    <row r="347" spans="1:54" s="670" customFormat="1" ht="13.5" customHeight="1">
      <c r="A347" s="675"/>
      <c r="B347" s="779"/>
      <c r="C347" s="778" t="s">
        <v>726</v>
      </c>
      <c r="D347" s="777">
        <v>400</v>
      </c>
      <c r="E347" s="777"/>
      <c r="F347" s="777"/>
      <c r="G347" s="777"/>
      <c r="H347" s="777"/>
      <c r="I347" s="777"/>
      <c r="J347" s="777"/>
      <c r="K347" s="777"/>
      <c r="L347" s="777"/>
      <c r="M347" s="777"/>
      <c r="N347" s="777"/>
      <c r="O347" s="777"/>
      <c r="P347" s="663"/>
      <c r="Q347" s="663"/>
      <c r="R347" s="663"/>
      <c r="S347" s="663"/>
      <c r="T347" s="663"/>
      <c r="U347" s="663"/>
      <c r="V347" s="663"/>
      <c r="W347" s="663"/>
      <c r="X347" s="663"/>
      <c r="Y347" s="663"/>
      <c r="Z347" s="663"/>
      <c r="AA347" s="663"/>
      <c r="AB347" s="663"/>
      <c r="AC347" s="663"/>
      <c r="AD347" s="663"/>
      <c r="AE347" s="663"/>
      <c r="AF347" s="663"/>
      <c r="AG347" s="663"/>
      <c r="AH347" s="663"/>
      <c r="AI347" s="663"/>
      <c r="AJ347" s="663"/>
      <c r="AK347" s="663"/>
      <c r="AL347" s="663"/>
      <c r="AM347" s="663"/>
      <c r="AN347" s="663"/>
      <c r="AO347" s="663"/>
      <c r="AP347" s="663"/>
      <c r="AQ347" s="663"/>
      <c r="AR347" s="663"/>
      <c r="AS347" s="663"/>
      <c r="AT347" s="663"/>
      <c r="AU347" s="663"/>
      <c r="AV347" s="663"/>
      <c r="AW347" s="663"/>
      <c r="AX347" s="663"/>
      <c r="AY347" s="663"/>
      <c r="AZ347" s="663"/>
      <c r="BA347" s="663"/>
      <c r="BB347" s="663"/>
    </row>
    <row r="348" spans="1:54" s="670" customFormat="1" ht="13.5" customHeight="1">
      <c r="A348" s="675"/>
      <c r="B348" s="779"/>
      <c r="C348" s="778" t="s">
        <v>725</v>
      </c>
      <c r="D348" s="777">
        <v>400</v>
      </c>
      <c r="E348" s="777"/>
      <c r="F348" s="777"/>
      <c r="G348" s="777"/>
      <c r="H348" s="777"/>
      <c r="I348" s="777"/>
      <c r="J348" s="777"/>
      <c r="K348" s="777"/>
      <c r="L348" s="777"/>
      <c r="M348" s="777"/>
      <c r="N348" s="777"/>
      <c r="O348" s="777"/>
      <c r="P348" s="663"/>
      <c r="Q348" s="663"/>
      <c r="R348" s="663"/>
      <c r="S348" s="663"/>
      <c r="T348" s="663"/>
      <c r="U348" s="663"/>
      <c r="V348" s="663"/>
      <c r="W348" s="663"/>
      <c r="X348" s="663"/>
      <c r="Y348" s="663"/>
      <c r="Z348" s="663"/>
      <c r="AA348" s="663"/>
      <c r="AB348" s="663"/>
      <c r="AC348" s="663"/>
      <c r="AD348" s="663"/>
      <c r="AE348" s="663"/>
      <c r="AF348" s="663"/>
      <c r="AG348" s="663"/>
      <c r="AH348" s="663"/>
      <c r="AI348" s="663"/>
      <c r="AJ348" s="663"/>
      <c r="AK348" s="663"/>
      <c r="AL348" s="663"/>
      <c r="AM348" s="663"/>
      <c r="AN348" s="663"/>
      <c r="AO348" s="663"/>
      <c r="AP348" s="663"/>
      <c r="AQ348" s="663"/>
      <c r="AR348" s="663"/>
      <c r="AS348" s="663"/>
      <c r="AT348" s="663"/>
      <c r="AU348" s="663"/>
      <c r="AV348" s="663"/>
      <c r="AW348" s="663"/>
      <c r="AX348" s="663"/>
      <c r="AY348" s="663"/>
      <c r="AZ348" s="663"/>
      <c r="BA348" s="663"/>
      <c r="BB348" s="663"/>
    </row>
    <row r="349" spans="1:54" s="670" customFormat="1" ht="13.5" customHeight="1">
      <c r="A349" s="675"/>
      <c r="B349" s="779"/>
      <c r="C349" s="778" t="s">
        <v>48</v>
      </c>
      <c r="D349" s="777">
        <v>600</v>
      </c>
      <c r="E349" s="777">
        <v>600</v>
      </c>
      <c r="F349" s="777"/>
      <c r="G349" s="777"/>
      <c r="H349" s="777"/>
      <c r="I349" s="777"/>
      <c r="J349" s="777"/>
      <c r="K349" s="777"/>
      <c r="L349" s="777"/>
      <c r="M349" s="777"/>
      <c r="N349" s="777"/>
      <c r="O349" s="777"/>
      <c r="P349" s="663"/>
      <c r="Q349" s="663"/>
      <c r="R349" s="663"/>
      <c r="S349" s="663"/>
      <c r="T349" s="663"/>
      <c r="U349" s="663"/>
      <c r="V349" s="663"/>
      <c r="W349" s="663"/>
      <c r="X349" s="663"/>
      <c r="Y349" s="663"/>
      <c r="Z349" s="663"/>
      <c r="AA349" s="663"/>
      <c r="AB349" s="663"/>
      <c r="AC349" s="663"/>
      <c r="AD349" s="663"/>
      <c r="AE349" s="663"/>
      <c r="AF349" s="663"/>
      <c r="AG349" s="663"/>
      <c r="AH349" s="663"/>
      <c r="AI349" s="663"/>
      <c r="AJ349" s="663"/>
      <c r="AK349" s="663"/>
      <c r="AL349" s="663"/>
      <c r="AM349" s="663"/>
      <c r="AN349" s="663"/>
      <c r="AO349" s="663"/>
      <c r="AP349" s="663"/>
      <c r="AQ349" s="663"/>
      <c r="AR349" s="663"/>
      <c r="AS349" s="663"/>
      <c r="AT349" s="663"/>
      <c r="AU349" s="663"/>
      <c r="AV349" s="663"/>
      <c r="AW349" s="663"/>
      <c r="AX349" s="663"/>
      <c r="AY349" s="663"/>
      <c r="AZ349" s="663"/>
      <c r="BA349" s="663"/>
      <c r="BB349" s="663"/>
    </row>
    <row r="350" spans="1:54" s="670" customFormat="1" ht="13.5" customHeight="1">
      <c r="A350" s="675"/>
      <c r="B350" s="779"/>
      <c r="C350" s="778"/>
      <c r="D350" s="777"/>
      <c r="E350" s="777"/>
      <c r="F350" s="777"/>
      <c r="G350" s="777"/>
      <c r="H350" s="777"/>
      <c r="I350" s="777"/>
      <c r="J350" s="777"/>
      <c r="K350" s="777"/>
      <c r="L350" s="777"/>
      <c r="M350" s="777"/>
      <c r="N350" s="777"/>
      <c r="O350" s="777"/>
      <c r="P350" s="663"/>
      <c r="Q350" s="663"/>
      <c r="R350" s="663"/>
      <c r="S350" s="663"/>
      <c r="T350" s="663"/>
      <c r="U350" s="663"/>
      <c r="V350" s="663"/>
      <c r="W350" s="663"/>
      <c r="X350" s="663"/>
      <c r="Y350" s="663"/>
      <c r="Z350" s="663"/>
      <c r="AA350" s="663"/>
      <c r="AB350" s="663"/>
      <c r="AC350" s="663"/>
      <c r="AD350" s="663"/>
      <c r="AE350" s="663"/>
      <c r="AF350" s="663"/>
      <c r="AG350" s="663"/>
      <c r="AH350" s="663"/>
      <c r="AI350" s="663"/>
      <c r="AJ350" s="663"/>
      <c r="AK350" s="663"/>
      <c r="AL350" s="663"/>
      <c r="AM350" s="663"/>
      <c r="AN350" s="663"/>
      <c r="AO350" s="663"/>
      <c r="AP350" s="663"/>
      <c r="AQ350" s="663"/>
      <c r="AR350" s="663"/>
      <c r="AS350" s="663"/>
      <c r="AT350" s="663"/>
      <c r="AU350" s="663"/>
      <c r="AV350" s="663"/>
      <c r="AW350" s="663"/>
      <c r="AX350" s="663"/>
      <c r="AY350" s="663"/>
      <c r="AZ350" s="663"/>
      <c r="BA350" s="663"/>
      <c r="BB350" s="663"/>
    </row>
    <row r="351" spans="1:54" s="670" customFormat="1" ht="13.5" customHeight="1">
      <c r="A351" s="675"/>
      <c r="B351" s="779"/>
      <c r="C351" s="778"/>
      <c r="D351" s="777"/>
      <c r="E351" s="777"/>
      <c r="F351" s="777"/>
      <c r="G351" s="777"/>
      <c r="H351" s="777"/>
      <c r="I351" s="777"/>
      <c r="J351" s="777"/>
      <c r="K351" s="777"/>
      <c r="L351" s="777"/>
      <c r="M351" s="777"/>
      <c r="N351" s="777"/>
      <c r="O351" s="777"/>
      <c r="P351" s="663"/>
      <c r="Q351" s="663"/>
      <c r="R351" s="663"/>
      <c r="S351" s="663"/>
      <c r="T351" s="663"/>
      <c r="U351" s="663"/>
      <c r="V351" s="663"/>
      <c r="W351" s="663"/>
      <c r="X351" s="663"/>
      <c r="Y351" s="663"/>
      <c r="Z351" s="663"/>
      <c r="AA351" s="663"/>
      <c r="AB351" s="663"/>
      <c r="AC351" s="663"/>
      <c r="AD351" s="663"/>
      <c r="AE351" s="663"/>
      <c r="AF351" s="663"/>
      <c r="AG351" s="663"/>
      <c r="AH351" s="663"/>
      <c r="AI351" s="663"/>
      <c r="AJ351" s="663"/>
      <c r="AK351" s="663"/>
      <c r="AL351" s="663"/>
      <c r="AM351" s="663"/>
      <c r="AN351" s="663"/>
      <c r="AO351" s="663"/>
      <c r="AP351" s="663"/>
      <c r="AQ351" s="663"/>
      <c r="AR351" s="663"/>
      <c r="AS351" s="663"/>
      <c r="AT351" s="663"/>
      <c r="AU351" s="663"/>
      <c r="AV351" s="663"/>
      <c r="AW351" s="663"/>
      <c r="AX351" s="663"/>
      <c r="AY351" s="663"/>
      <c r="AZ351" s="663"/>
      <c r="BA351" s="663"/>
      <c r="BB351" s="663"/>
    </row>
    <row r="352" spans="1:54" s="670" customFormat="1" ht="13.5" customHeight="1">
      <c r="A352" s="675"/>
      <c r="B352" s="779"/>
      <c r="C352" s="778"/>
      <c r="D352" s="777"/>
      <c r="E352" s="777"/>
      <c r="F352" s="777"/>
      <c r="G352" s="777"/>
      <c r="H352" s="777"/>
      <c r="I352" s="777"/>
      <c r="J352" s="777"/>
      <c r="K352" s="777"/>
      <c r="L352" s="777"/>
      <c r="M352" s="777"/>
      <c r="N352" s="777"/>
      <c r="O352" s="777"/>
      <c r="P352" s="663"/>
      <c r="Q352" s="663"/>
      <c r="R352" s="663"/>
      <c r="S352" s="663"/>
      <c r="T352" s="663"/>
      <c r="U352" s="663"/>
      <c r="V352" s="663"/>
      <c r="W352" s="663"/>
      <c r="X352" s="663"/>
      <c r="Y352" s="663"/>
      <c r="Z352" s="663"/>
      <c r="AA352" s="663"/>
      <c r="AB352" s="663"/>
      <c r="AC352" s="663"/>
      <c r="AD352" s="663"/>
      <c r="AE352" s="663"/>
      <c r="AF352" s="663"/>
      <c r="AG352" s="663"/>
      <c r="AH352" s="663"/>
      <c r="AI352" s="663"/>
      <c r="AJ352" s="663"/>
      <c r="AK352" s="663"/>
      <c r="AL352" s="663"/>
      <c r="AM352" s="663"/>
      <c r="AN352" s="663"/>
      <c r="AO352" s="663"/>
      <c r="AP352" s="663"/>
      <c r="AQ352" s="663"/>
      <c r="AR352" s="663"/>
      <c r="AS352" s="663"/>
      <c r="AT352" s="663"/>
      <c r="AU352" s="663"/>
      <c r="AV352" s="663"/>
      <c r="AW352" s="663"/>
      <c r="AX352" s="663"/>
      <c r="AY352" s="663"/>
      <c r="AZ352" s="663"/>
      <c r="BA352" s="663"/>
      <c r="BB352" s="663"/>
    </row>
    <row r="353" spans="1:54" s="670" customFormat="1" ht="13.5" customHeight="1">
      <c r="A353" s="675"/>
      <c r="B353" s="776"/>
      <c r="C353" s="678"/>
      <c r="D353" s="677"/>
      <c r="E353" s="772"/>
      <c r="F353" s="771"/>
      <c r="G353" s="768"/>
      <c r="H353" s="770"/>
      <c r="I353" s="770"/>
      <c r="J353" s="770"/>
      <c r="K353" s="768"/>
      <c r="L353" s="769"/>
      <c r="M353" s="768"/>
      <c r="N353" s="768"/>
      <c r="O353" s="768"/>
      <c r="P353" s="663"/>
      <c r="Q353" s="663"/>
      <c r="R353" s="663"/>
      <c r="S353" s="663"/>
      <c r="T353" s="663"/>
      <c r="U353" s="663"/>
      <c r="V353" s="663"/>
      <c r="W353" s="663"/>
      <c r="X353" s="663"/>
      <c r="Y353" s="663"/>
      <c r="Z353" s="663"/>
      <c r="AA353" s="663"/>
      <c r="AB353" s="663"/>
      <c r="AC353" s="663"/>
      <c r="AD353" s="663"/>
      <c r="AE353" s="663"/>
      <c r="AF353" s="663"/>
      <c r="AG353" s="663"/>
      <c r="AH353" s="663"/>
      <c r="AI353" s="663"/>
      <c r="AJ353" s="663"/>
      <c r="AK353" s="663"/>
      <c r="AL353" s="663"/>
      <c r="AM353" s="663"/>
      <c r="AN353" s="663"/>
      <c r="AO353" s="663"/>
      <c r="AP353" s="663"/>
      <c r="AQ353" s="663"/>
      <c r="AR353" s="663"/>
      <c r="AS353" s="663"/>
      <c r="AT353" s="663"/>
      <c r="AU353" s="663"/>
      <c r="AV353" s="663"/>
      <c r="AW353" s="663"/>
      <c r="AX353" s="663"/>
      <c r="AY353" s="663"/>
      <c r="AZ353" s="663"/>
      <c r="BA353" s="663"/>
      <c r="BB353" s="663"/>
    </row>
    <row r="354" spans="1:54" s="670" customFormat="1" ht="13.5" customHeight="1">
      <c r="A354" s="675"/>
      <c r="B354" s="776"/>
      <c r="C354" s="678"/>
      <c r="D354" s="677"/>
      <c r="E354" s="772"/>
      <c r="F354" s="771"/>
      <c r="G354" s="768"/>
      <c r="H354" s="770"/>
      <c r="I354" s="770"/>
      <c r="J354" s="770"/>
      <c r="K354" s="768"/>
      <c r="L354" s="769"/>
      <c r="M354" s="768"/>
      <c r="N354" s="768"/>
      <c r="O354" s="768"/>
      <c r="P354" s="663"/>
      <c r="Q354" s="663"/>
      <c r="R354" s="663"/>
      <c r="S354" s="663"/>
      <c r="T354" s="663"/>
      <c r="U354" s="663"/>
      <c r="V354" s="663"/>
      <c r="W354" s="663"/>
      <c r="X354" s="663"/>
      <c r="Y354" s="663"/>
      <c r="Z354" s="663"/>
      <c r="AA354" s="663"/>
      <c r="AB354" s="663"/>
      <c r="AC354" s="663"/>
      <c r="AD354" s="663"/>
      <c r="AE354" s="663"/>
      <c r="AF354" s="663"/>
      <c r="AG354" s="663"/>
      <c r="AH354" s="663"/>
      <c r="AI354" s="663"/>
      <c r="AJ354" s="663"/>
      <c r="AK354" s="663"/>
      <c r="AL354" s="663"/>
      <c r="AM354" s="663"/>
      <c r="AN354" s="663"/>
      <c r="AO354" s="663"/>
      <c r="AP354" s="663"/>
      <c r="AQ354" s="663"/>
      <c r="AR354" s="663"/>
      <c r="AS354" s="663"/>
      <c r="AT354" s="663"/>
      <c r="AU354" s="663"/>
      <c r="AV354" s="663"/>
      <c r="AW354" s="663"/>
      <c r="AX354" s="663"/>
      <c r="AY354" s="663"/>
      <c r="AZ354" s="663"/>
      <c r="BA354" s="663"/>
      <c r="BB354" s="663"/>
    </row>
    <row r="355" spans="1:54" s="670" customFormat="1" ht="13.5" customHeight="1">
      <c r="A355" s="675"/>
      <c r="B355" s="776"/>
      <c r="C355" s="678"/>
      <c r="D355" s="677"/>
      <c r="E355" s="772"/>
      <c r="F355" s="771"/>
      <c r="G355" s="768"/>
      <c r="H355" s="770"/>
      <c r="I355" s="770"/>
      <c r="J355" s="770"/>
      <c r="K355" s="768"/>
      <c r="L355" s="769"/>
      <c r="M355" s="768"/>
      <c r="N355" s="768"/>
      <c r="O355" s="768"/>
      <c r="P355" s="663"/>
      <c r="Q355" s="663"/>
      <c r="R355" s="663"/>
      <c r="S355" s="663"/>
      <c r="T355" s="663"/>
      <c r="U355" s="663"/>
      <c r="V355" s="663"/>
      <c r="W355" s="663"/>
      <c r="X355" s="663"/>
      <c r="Y355" s="663"/>
      <c r="Z355" s="663"/>
      <c r="AA355" s="663"/>
      <c r="AB355" s="663"/>
      <c r="AC355" s="663"/>
      <c r="AD355" s="663"/>
      <c r="AE355" s="663"/>
      <c r="AF355" s="663"/>
      <c r="AG355" s="663"/>
      <c r="AH355" s="663"/>
      <c r="AI355" s="663"/>
      <c r="AJ355" s="663"/>
      <c r="AK355" s="663"/>
      <c r="AL355" s="663"/>
      <c r="AM355" s="663"/>
      <c r="AN355" s="663"/>
      <c r="AO355" s="663"/>
      <c r="AP355" s="663"/>
      <c r="AQ355" s="663"/>
      <c r="AR355" s="663"/>
      <c r="AS355" s="663"/>
      <c r="AT355" s="663"/>
      <c r="AU355" s="663"/>
      <c r="AV355" s="663"/>
      <c r="AW355" s="663"/>
      <c r="AX355" s="663"/>
      <c r="AY355" s="663"/>
      <c r="AZ355" s="663"/>
      <c r="BA355" s="663"/>
      <c r="BB355" s="663"/>
    </row>
    <row r="356" spans="1:54" s="670" customFormat="1" ht="13.5" customHeight="1">
      <c r="A356" s="675"/>
      <c r="B356" s="776"/>
      <c r="C356" s="678"/>
      <c r="D356" s="677"/>
      <c r="E356" s="772"/>
      <c r="F356" s="771"/>
      <c r="G356" s="768"/>
      <c r="H356" s="770"/>
      <c r="I356" s="770"/>
      <c r="J356" s="770"/>
      <c r="K356" s="768"/>
      <c r="L356" s="769"/>
      <c r="M356" s="768"/>
      <c r="N356" s="768"/>
      <c r="O356" s="768"/>
      <c r="P356" s="663"/>
      <c r="Q356" s="663"/>
      <c r="R356" s="663"/>
      <c r="S356" s="663"/>
      <c r="T356" s="663"/>
      <c r="U356" s="663"/>
      <c r="V356" s="663"/>
      <c r="W356" s="663"/>
      <c r="X356" s="663"/>
      <c r="Y356" s="663"/>
      <c r="Z356" s="663"/>
      <c r="AA356" s="663"/>
      <c r="AB356" s="663"/>
      <c r="AC356" s="663"/>
      <c r="AD356" s="663"/>
      <c r="AE356" s="663"/>
      <c r="AF356" s="663"/>
      <c r="AG356" s="663"/>
      <c r="AH356" s="663"/>
      <c r="AI356" s="663"/>
      <c r="AJ356" s="663"/>
      <c r="AK356" s="663"/>
      <c r="AL356" s="663"/>
      <c r="AM356" s="663"/>
      <c r="AN356" s="663"/>
      <c r="AO356" s="663"/>
      <c r="AP356" s="663"/>
      <c r="AQ356" s="663"/>
      <c r="AR356" s="663"/>
      <c r="AS356" s="663"/>
      <c r="AT356" s="663"/>
      <c r="AU356" s="663"/>
      <c r="AV356" s="663"/>
      <c r="AW356" s="663"/>
      <c r="AX356" s="663"/>
      <c r="AY356" s="663"/>
      <c r="AZ356" s="663"/>
      <c r="BA356" s="663"/>
      <c r="BB356" s="663"/>
    </row>
    <row r="357" spans="1:54" s="670" customFormat="1" ht="13.5" customHeight="1">
      <c r="A357" s="675"/>
      <c r="B357" s="776"/>
      <c r="C357" s="678"/>
      <c r="D357" s="677"/>
      <c r="E357" s="772"/>
      <c r="F357" s="771"/>
      <c r="G357" s="768"/>
      <c r="H357" s="770"/>
      <c r="I357" s="770"/>
      <c r="J357" s="770"/>
      <c r="K357" s="768"/>
      <c r="L357" s="769"/>
      <c r="M357" s="768"/>
      <c r="N357" s="768"/>
      <c r="O357" s="768"/>
      <c r="P357" s="663"/>
      <c r="Q357" s="663"/>
      <c r="R357" s="663"/>
      <c r="S357" s="663"/>
      <c r="T357" s="663"/>
      <c r="U357" s="663"/>
      <c r="V357" s="663"/>
      <c r="W357" s="663"/>
      <c r="X357" s="663"/>
      <c r="Y357" s="663"/>
      <c r="Z357" s="663"/>
      <c r="AA357" s="663"/>
      <c r="AB357" s="663"/>
      <c r="AC357" s="663"/>
      <c r="AD357" s="663"/>
      <c r="AE357" s="663"/>
      <c r="AF357" s="663"/>
      <c r="AG357" s="663"/>
      <c r="AH357" s="663"/>
      <c r="AI357" s="663"/>
      <c r="AJ357" s="663"/>
      <c r="AK357" s="663"/>
      <c r="AL357" s="663"/>
      <c r="AM357" s="663"/>
      <c r="AN357" s="663"/>
      <c r="AO357" s="663"/>
      <c r="AP357" s="663"/>
      <c r="AQ357" s="663"/>
      <c r="AR357" s="663"/>
      <c r="AS357" s="663"/>
      <c r="AT357" s="663"/>
      <c r="AU357" s="663"/>
      <c r="AV357" s="663"/>
      <c r="AW357" s="663"/>
      <c r="AX357" s="663"/>
      <c r="AY357" s="663"/>
      <c r="AZ357" s="663"/>
      <c r="BA357" s="663"/>
      <c r="BB357" s="663"/>
    </row>
    <row r="358" spans="1:54" s="670" customFormat="1" ht="13.5" customHeight="1">
      <c r="A358" s="675"/>
      <c r="B358" s="775"/>
      <c r="C358" s="774"/>
      <c r="D358" s="773"/>
      <c r="E358" s="772"/>
      <c r="F358" s="771"/>
      <c r="G358" s="768"/>
      <c r="H358" s="770"/>
      <c r="I358" s="770"/>
      <c r="J358" s="770"/>
      <c r="K358" s="768"/>
      <c r="L358" s="769"/>
      <c r="M358" s="768"/>
      <c r="N358" s="768"/>
      <c r="O358" s="768"/>
      <c r="P358" s="663"/>
      <c r="Q358" s="663"/>
      <c r="R358" s="663"/>
      <c r="S358" s="663"/>
      <c r="T358" s="663"/>
      <c r="U358" s="663"/>
      <c r="V358" s="663"/>
      <c r="W358" s="663"/>
      <c r="X358" s="663"/>
      <c r="Y358" s="663"/>
      <c r="Z358" s="663"/>
      <c r="AA358" s="663"/>
      <c r="AB358" s="663"/>
      <c r="AC358" s="663"/>
      <c r="AD358" s="663"/>
      <c r="AE358" s="663"/>
      <c r="AF358" s="663"/>
      <c r="AG358" s="663"/>
      <c r="AH358" s="663"/>
      <c r="AI358" s="663"/>
      <c r="AJ358" s="663"/>
      <c r="AK358" s="663"/>
      <c r="AL358" s="663"/>
      <c r="AM358" s="663"/>
      <c r="AN358" s="663"/>
      <c r="AO358" s="663"/>
      <c r="AP358" s="663"/>
      <c r="AQ358" s="663"/>
      <c r="AR358" s="663"/>
      <c r="AS358" s="663"/>
      <c r="AT358" s="663"/>
      <c r="AU358" s="663"/>
      <c r="AV358" s="663"/>
      <c r="AW358" s="663"/>
      <c r="AX358" s="663"/>
      <c r="AY358" s="663"/>
      <c r="AZ358" s="663"/>
      <c r="BA358" s="663"/>
      <c r="BB358" s="663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F507"/>
  <sheetViews>
    <sheetView workbookViewId="0">
      <pane ySplit="11" topLeftCell="A231" activePane="bottomLeft" state="frozen"/>
      <selection activeCell="F31" sqref="F31"/>
      <selection pane="bottomLeft" activeCell="F31" sqref="F31"/>
    </sheetView>
  </sheetViews>
  <sheetFormatPr defaultColWidth="9.109375" defaultRowHeight="13.5" customHeight="1"/>
  <cols>
    <col min="1" max="1" width="1.6640625" style="654" customWidth="1"/>
    <col min="2" max="2" width="13" style="653" customWidth="1"/>
    <col min="3" max="3" width="23" style="652" customWidth="1"/>
    <col min="4" max="4" width="12.6640625" style="651" customWidth="1"/>
    <col min="5" max="5" width="12.6640625" style="767" customWidth="1"/>
    <col min="6" max="6" width="12.6640625" style="766" customWidth="1"/>
    <col min="7" max="10" width="12.6640625" style="765" customWidth="1"/>
    <col min="11" max="11" width="12.6640625" style="803" customWidth="1"/>
    <col min="12" max="12" width="12.6640625" style="651" customWidth="1"/>
    <col min="13" max="13" width="12.6640625" style="650" customWidth="1"/>
    <col min="14" max="19" width="12.6640625" style="649" customWidth="1"/>
    <col min="20" max="57" width="9.109375" style="649"/>
    <col min="58" max="16384" width="9.109375" style="648"/>
  </cols>
  <sheetData>
    <row r="1" spans="1:58" ht="13.5" customHeight="1">
      <c r="A1" s="834"/>
      <c r="B1" s="802" t="s">
        <v>613</v>
      </c>
      <c r="C1" s="801"/>
      <c r="D1" s="801" t="s">
        <v>122</v>
      </c>
      <c r="E1" s="801" t="s">
        <v>121</v>
      </c>
      <c r="F1" s="801" t="s">
        <v>120</v>
      </c>
      <c r="G1" s="801" t="s">
        <v>119</v>
      </c>
      <c r="H1" s="801" t="s">
        <v>118</v>
      </c>
      <c r="I1" s="801" t="s">
        <v>44</v>
      </c>
      <c r="J1" s="801" t="str">
        <f>B237</f>
        <v>juli</v>
      </c>
      <c r="K1" s="801" t="s">
        <v>116</v>
      </c>
      <c r="L1" s="801" t="s">
        <v>115</v>
      </c>
      <c r="M1" s="801" t="s">
        <v>114</v>
      </c>
      <c r="N1" s="801" t="s">
        <v>113</v>
      </c>
      <c r="O1" s="801" t="s">
        <v>112</v>
      </c>
      <c r="P1" s="802" t="s">
        <v>613</v>
      </c>
      <c r="Q1" s="801"/>
      <c r="R1" s="801"/>
      <c r="S1" s="648"/>
      <c r="T1" s="801"/>
      <c r="U1" s="801"/>
      <c r="V1" s="801"/>
      <c r="BF1" s="649"/>
    </row>
    <row r="2" spans="1:58" ht="13.5" customHeight="1">
      <c r="A2" s="834"/>
      <c r="B2" s="833" t="s">
        <v>815</v>
      </c>
      <c r="C2" s="832"/>
      <c r="D2" s="831">
        <f>SUM(D12:D42)</f>
        <v>4851.87</v>
      </c>
      <c r="E2" s="831">
        <f>SUM(D45:D77)</f>
        <v>6752.92</v>
      </c>
      <c r="F2" s="831">
        <f>SUM(D79:D102)</f>
        <v>8667.61</v>
      </c>
      <c r="G2" s="831" t="e">
        <f>SUM(D104:D147)</f>
        <v>#REF!</v>
      </c>
      <c r="H2" s="831">
        <f>SUM(D149:D175)</f>
        <v>5867.7</v>
      </c>
      <c r="I2" s="831">
        <f>SUM(D176:D236)</f>
        <v>5849.7</v>
      </c>
      <c r="J2" s="831">
        <f>SUM(D237:D270)</f>
        <v>797.83999999999992</v>
      </c>
      <c r="K2" s="831">
        <f>SUM(D272:D324)</f>
        <v>2881.1399999999994</v>
      </c>
      <c r="L2" s="831">
        <f>SUM(D326:D353)</f>
        <v>2789.8599999999997</v>
      </c>
      <c r="M2" s="831">
        <f>SUM(D355:D376)</f>
        <v>1419</v>
      </c>
      <c r="N2" s="831">
        <f>SUM(D378:D412)</f>
        <v>7342.41</v>
      </c>
      <c r="O2" s="831">
        <f>SUM(D414:D442)</f>
        <v>5168.2800000000007</v>
      </c>
      <c r="P2" s="831">
        <f>SUM(O2)</f>
        <v>5168.2800000000007</v>
      </c>
      <c r="Q2" s="831"/>
      <c r="R2" s="831"/>
      <c r="S2" s="648"/>
      <c r="T2" s="830"/>
      <c r="U2" s="830"/>
      <c r="V2" s="830"/>
      <c r="BF2" s="649"/>
    </row>
    <row r="3" spans="1:58" ht="13.5" customHeight="1">
      <c r="B3" s="800" t="s">
        <v>48</v>
      </c>
      <c r="C3" s="798"/>
      <c r="D3" s="829">
        <f>E12</f>
        <v>1230</v>
      </c>
      <c r="E3" s="829">
        <f>E$44</f>
        <v>1508.9</v>
      </c>
      <c r="F3" s="829">
        <f>E$78</f>
        <v>1240</v>
      </c>
      <c r="G3" s="829">
        <f>$E$103</f>
        <v>500</v>
      </c>
      <c r="H3" s="829">
        <f>$E$148</f>
        <v>0</v>
      </c>
      <c r="I3" s="829">
        <f>$E$176</f>
        <v>0</v>
      </c>
      <c r="J3" s="829">
        <f>$E$237</f>
        <v>0</v>
      </c>
      <c r="K3" s="829">
        <f>$E$271</f>
        <v>0</v>
      </c>
      <c r="L3" s="829">
        <f>$E$325</f>
        <v>234</v>
      </c>
      <c r="M3" s="829">
        <f>$E$354</f>
        <v>0</v>
      </c>
      <c r="N3" s="829">
        <f>$E$377</f>
        <v>1977</v>
      </c>
      <c r="O3" s="829">
        <f>$E$413</f>
        <v>0</v>
      </c>
      <c r="P3" s="829">
        <f t="shared" ref="P3:P10" si="0">SUM(D3:O3)</f>
        <v>6689.9</v>
      </c>
      <c r="Q3" s="829"/>
      <c r="R3" s="829"/>
      <c r="BF3" s="649"/>
    </row>
    <row r="4" spans="1:58" ht="13.5" customHeight="1">
      <c r="B4" s="800" t="s">
        <v>282</v>
      </c>
      <c r="C4" s="798"/>
      <c r="D4" s="829">
        <f>F12</f>
        <v>602.37</v>
      </c>
      <c r="E4" s="829">
        <f>F$44</f>
        <v>1338.89</v>
      </c>
      <c r="F4" s="829">
        <f>F$78</f>
        <v>3914.42</v>
      </c>
      <c r="G4" s="829" t="e">
        <f>$F$103</f>
        <v>#REF!</v>
      </c>
      <c r="H4" s="829">
        <f>$F$148</f>
        <v>527.02</v>
      </c>
      <c r="I4" s="829">
        <f>$F$176</f>
        <v>687.64</v>
      </c>
      <c r="J4" s="829">
        <f>$F$237</f>
        <v>850.83</v>
      </c>
      <c r="K4" s="829">
        <f>$F$271</f>
        <v>733.45</v>
      </c>
      <c r="L4" s="829">
        <f>$F$325</f>
        <v>708.12</v>
      </c>
      <c r="M4" s="829">
        <f>F354</f>
        <v>912.75</v>
      </c>
      <c r="N4" s="829">
        <f>F377</f>
        <v>938.87</v>
      </c>
      <c r="O4" s="829">
        <f>F413</f>
        <v>1059.72</v>
      </c>
      <c r="P4" s="829" t="e">
        <f t="shared" si="0"/>
        <v>#REF!</v>
      </c>
      <c r="Q4" s="829"/>
      <c r="R4" s="829"/>
      <c r="BF4" s="649"/>
    </row>
    <row r="5" spans="1:58" ht="13.5" customHeight="1">
      <c r="B5" s="800" t="s">
        <v>280</v>
      </c>
      <c r="C5" s="798"/>
      <c r="D5" s="829">
        <f>G12</f>
        <v>323</v>
      </c>
      <c r="E5" s="829">
        <f>G$44</f>
        <v>331</v>
      </c>
      <c r="F5" s="829">
        <f>G$78</f>
        <v>334</v>
      </c>
      <c r="G5" s="829">
        <f>$G$103</f>
        <v>334</v>
      </c>
      <c r="H5" s="829">
        <f>$G$148</f>
        <v>327</v>
      </c>
      <c r="I5" s="829">
        <f>$G$176</f>
        <v>336</v>
      </c>
      <c r="J5" s="829">
        <f>$G$237</f>
        <v>333</v>
      </c>
      <c r="K5" s="829">
        <f>$G$271</f>
        <v>480</v>
      </c>
      <c r="L5" s="829">
        <f>$G$325</f>
        <v>525</v>
      </c>
      <c r="M5" s="829">
        <f>G354</f>
        <v>314</v>
      </c>
      <c r="N5" s="829">
        <f>G377</f>
        <v>334</v>
      </c>
      <c r="O5" s="829">
        <f>G413</f>
        <v>148</v>
      </c>
      <c r="P5" s="829">
        <f t="shared" si="0"/>
        <v>4119</v>
      </c>
      <c r="Q5" s="829"/>
      <c r="R5" s="829"/>
      <c r="BF5" s="649"/>
    </row>
    <row r="6" spans="1:58" ht="13.5" customHeight="1">
      <c r="B6" s="800" t="s">
        <v>278</v>
      </c>
      <c r="C6" s="798"/>
      <c r="D6" s="829">
        <f>H12</f>
        <v>116</v>
      </c>
      <c r="E6" s="829">
        <f>H$44</f>
        <v>-134</v>
      </c>
      <c r="F6" s="829">
        <f>H$78</f>
        <v>105</v>
      </c>
      <c r="G6" s="829">
        <f>$H$103</f>
        <v>298</v>
      </c>
      <c r="H6" s="829">
        <f>$H$148</f>
        <v>225</v>
      </c>
      <c r="I6" s="829">
        <f>$H$176</f>
        <v>873</v>
      </c>
      <c r="J6" s="829">
        <f>$H$237</f>
        <v>80</v>
      </c>
      <c r="K6" s="829">
        <f>$H$271</f>
        <v>495</v>
      </c>
      <c r="L6" s="829">
        <f>$H$325</f>
        <v>80</v>
      </c>
      <c r="M6" s="829">
        <f>H354</f>
        <v>-70</v>
      </c>
      <c r="N6" s="829">
        <f>H377</f>
        <v>250</v>
      </c>
      <c r="O6" s="829">
        <f>H413</f>
        <v>150</v>
      </c>
      <c r="P6" s="829">
        <f t="shared" si="0"/>
        <v>2468</v>
      </c>
      <c r="Q6" s="829"/>
      <c r="R6" s="829"/>
      <c r="BF6" s="649"/>
    </row>
    <row r="7" spans="1:58" ht="13.5" customHeight="1">
      <c r="B7" s="800" t="s">
        <v>552</v>
      </c>
      <c r="C7" s="798"/>
      <c r="D7" s="829">
        <f>I12</f>
        <v>0</v>
      </c>
      <c r="E7" s="829">
        <f>I$44</f>
        <v>210</v>
      </c>
      <c r="F7" s="829">
        <f>I$78</f>
        <v>150</v>
      </c>
      <c r="G7" s="829">
        <f>$I$103</f>
        <v>150</v>
      </c>
      <c r="H7" s="829">
        <f>$I$148</f>
        <v>120</v>
      </c>
      <c r="I7" s="829">
        <f>$I$176</f>
        <v>150</v>
      </c>
      <c r="J7" s="829">
        <f>$I$237</f>
        <v>130</v>
      </c>
      <c r="K7" s="829">
        <f>$I$271</f>
        <v>120</v>
      </c>
      <c r="L7" s="829">
        <f>$I$325</f>
        <v>150</v>
      </c>
      <c r="M7" s="829">
        <f>I354</f>
        <v>70</v>
      </c>
      <c r="N7" s="829">
        <f>I377</f>
        <v>-40</v>
      </c>
      <c r="O7" s="829">
        <f>I413</f>
        <v>-1210</v>
      </c>
      <c r="P7" s="829">
        <f t="shared" si="0"/>
        <v>0</v>
      </c>
      <c r="Q7" s="829"/>
      <c r="R7" s="829"/>
      <c r="BF7" s="649"/>
    </row>
    <row r="8" spans="1:58" ht="13.5" customHeight="1">
      <c r="B8" s="800" t="s">
        <v>58</v>
      </c>
      <c r="C8" s="798"/>
      <c r="D8" s="829">
        <f>J12</f>
        <v>1001.29</v>
      </c>
      <c r="E8" s="829">
        <f>J$44</f>
        <v>1003.05</v>
      </c>
      <c r="F8" s="829">
        <f>J$78</f>
        <v>1999.69</v>
      </c>
      <c r="G8" s="829">
        <f>$J$103</f>
        <v>-0.20000000000004547</v>
      </c>
      <c r="H8" s="829">
        <f>$J$148</f>
        <v>1800.53</v>
      </c>
      <c r="I8" s="829">
        <f>$J$176</f>
        <v>-1600.03</v>
      </c>
      <c r="J8" s="829">
        <f>$J$237</f>
        <v>1123.77</v>
      </c>
      <c r="K8" s="829">
        <f>$J$271</f>
        <v>-235.73000000000002</v>
      </c>
      <c r="L8" s="829">
        <f>$J$325</f>
        <v>3066.5</v>
      </c>
      <c r="M8" s="829">
        <f>J354</f>
        <v>1241.82</v>
      </c>
      <c r="N8" s="829">
        <f>J377</f>
        <v>1234.03</v>
      </c>
      <c r="O8" s="829">
        <f>J413</f>
        <v>2032.66</v>
      </c>
      <c r="P8" s="829">
        <f t="shared" si="0"/>
        <v>12667.380000000001</v>
      </c>
      <c r="Q8" s="829"/>
      <c r="R8" s="829"/>
      <c r="BF8" s="649"/>
    </row>
    <row r="9" spans="1:58" ht="13.5" customHeight="1">
      <c r="B9" s="800" t="s">
        <v>98</v>
      </c>
      <c r="C9" s="798"/>
      <c r="D9" s="829">
        <f>K12</f>
        <v>0</v>
      </c>
      <c r="E9" s="829">
        <f>K44</f>
        <v>950</v>
      </c>
      <c r="F9" s="829">
        <f>K78</f>
        <v>700</v>
      </c>
      <c r="G9" s="829">
        <f>K103</f>
        <v>0</v>
      </c>
      <c r="H9" s="829">
        <f>K148</f>
        <v>1249.25</v>
      </c>
      <c r="I9" s="829">
        <f>K176</f>
        <v>650</v>
      </c>
      <c r="J9" s="829">
        <f>K237</f>
        <v>185</v>
      </c>
      <c r="K9" s="829">
        <f>K271</f>
        <v>300</v>
      </c>
      <c r="L9" s="829">
        <f>K325</f>
        <v>0</v>
      </c>
      <c r="M9" s="829">
        <f>K354</f>
        <v>0</v>
      </c>
      <c r="N9" s="829">
        <f>K377</f>
        <v>328.95</v>
      </c>
      <c r="O9" s="829">
        <f>K413</f>
        <v>2103</v>
      </c>
      <c r="P9" s="829">
        <f t="shared" si="0"/>
        <v>6466.2</v>
      </c>
      <c r="Q9" s="829"/>
      <c r="R9" s="829"/>
      <c r="BF9" s="649"/>
    </row>
    <row r="10" spans="1:58" ht="13.5" customHeight="1">
      <c r="B10" s="797" t="s">
        <v>561</v>
      </c>
      <c r="C10" s="795"/>
      <c r="D10" s="829">
        <f>M12</f>
        <v>-450</v>
      </c>
      <c r="E10" s="829">
        <f>M44</f>
        <v>-500</v>
      </c>
      <c r="F10" s="829">
        <f>N$78</f>
        <v>0</v>
      </c>
      <c r="G10" s="829">
        <f>$M$103</f>
        <v>-500</v>
      </c>
      <c r="H10" s="829">
        <f>$M$148</f>
        <v>-400</v>
      </c>
      <c r="I10" s="829">
        <f>$M$176</f>
        <v>-100</v>
      </c>
      <c r="J10" s="829">
        <f>$M$237</f>
        <v>0</v>
      </c>
      <c r="K10" s="829">
        <f>$M$271</f>
        <v>-100</v>
      </c>
      <c r="L10" s="829">
        <f>$M$325</f>
        <v>0</v>
      </c>
      <c r="M10" s="829">
        <f>M354</f>
        <v>0</v>
      </c>
      <c r="N10" s="829">
        <f>M377</f>
        <v>0</v>
      </c>
      <c r="O10" s="829">
        <f>M413</f>
        <v>0</v>
      </c>
      <c r="P10" s="829">
        <f t="shared" si="0"/>
        <v>-2050</v>
      </c>
      <c r="Q10" s="829"/>
      <c r="R10" s="829"/>
      <c r="BF10" s="649"/>
    </row>
    <row r="11" spans="1:58" s="694" customFormat="1" ht="13.5" customHeight="1">
      <c r="A11" s="700"/>
      <c r="B11" s="828"/>
      <c r="C11" s="827"/>
      <c r="D11" s="826" t="s">
        <v>815</v>
      </c>
      <c r="E11" s="825" t="s">
        <v>48</v>
      </c>
      <c r="F11" s="824" t="s">
        <v>282</v>
      </c>
      <c r="G11" s="824" t="s">
        <v>280</v>
      </c>
      <c r="H11" s="824" t="s">
        <v>278</v>
      </c>
      <c r="I11" s="824" t="s">
        <v>552</v>
      </c>
      <c r="J11" s="824" t="s">
        <v>58</v>
      </c>
      <c r="K11" s="824" t="s">
        <v>98</v>
      </c>
      <c r="L11" s="824"/>
      <c r="M11" s="824" t="s">
        <v>561</v>
      </c>
      <c r="N11" s="824"/>
      <c r="O11" s="824"/>
      <c r="P11" s="824"/>
      <c r="Q11" s="824"/>
      <c r="R11" s="824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  <c r="AE11" s="695"/>
      <c r="AF11" s="695"/>
      <c r="AG11" s="695"/>
      <c r="AH11" s="695"/>
      <c r="AI11" s="695"/>
      <c r="AJ11" s="695"/>
      <c r="AK11" s="695"/>
      <c r="AL11" s="695"/>
      <c r="AM11" s="695"/>
      <c r="AN11" s="695"/>
      <c r="AO11" s="695"/>
      <c r="AP11" s="695"/>
      <c r="AQ11" s="695"/>
      <c r="AR11" s="695"/>
      <c r="AS11" s="695"/>
      <c r="AT11" s="695"/>
      <c r="AU11" s="695"/>
      <c r="AV11" s="695"/>
      <c r="AW11" s="695"/>
      <c r="AX11" s="695"/>
      <c r="AY11" s="695"/>
      <c r="AZ11" s="695"/>
      <c r="BA11" s="695"/>
      <c r="BB11" s="695"/>
      <c r="BC11" s="695"/>
      <c r="BD11" s="695"/>
      <c r="BE11" s="695"/>
      <c r="BF11" s="695"/>
    </row>
    <row r="12" spans="1:58" s="694" customFormat="1" ht="13.5" customHeight="1">
      <c r="A12" s="700"/>
      <c r="B12" s="788" t="s">
        <v>122</v>
      </c>
      <c r="C12" s="787" t="s">
        <v>37</v>
      </c>
      <c r="D12" s="786"/>
      <c r="E12" s="786">
        <f t="shared" ref="E12:M12" si="1">SUM(E13:E43)</f>
        <v>1230</v>
      </c>
      <c r="F12" s="786">
        <f t="shared" si="1"/>
        <v>602.37</v>
      </c>
      <c r="G12" s="786">
        <f t="shared" si="1"/>
        <v>323</v>
      </c>
      <c r="H12" s="786">
        <f t="shared" si="1"/>
        <v>116</v>
      </c>
      <c r="I12" s="786">
        <f t="shared" si="1"/>
        <v>0</v>
      </c>
      <c r="J12" s="786">
        <f t="shared" si="1"/>
        <v>1001.29</v>
      </c>
      <c r="K12" s="786">
        <f t="shared" si="1"/>
        <v>0</v>
      </c>
      <c r="L12" s="786">
        <f t="shared" si="1"/>
        <v>0</v>
      </c>
      <c r="M12" s="786">
        <f t="shared" si="1"/>
        <v>-450</v>
      </c>
      <c r="N12" s="786"/>
      <c r="O12" s="786"/>
      <c r="P12" s="786"/>
      <c r="Q12" s="786"/>
      <c r="R12" s="786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  <c r="AE12" s="695"/>
      <c r="AF12" s="695"/>
      <c r="AG12" s="695"/>
      <c r="AH12" s="695"/>
      <c r="AI12" s="695"/>
      <c r="AJ12" s="695"/>
      <c r="AK12" s="695"/>
      <c r="AL12" s="695"/>
      <c r="AM12" s="695"/>
      <c r="AN12" s="695"/>
      <c r="AO12" s="695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</row>
    <row r="13" spans="1:58" ht="13.5" customHeight="1">
      <c r="A13" s="648"/>
      <c r="B13" s="791">
        <v>43101</v>
      </c>
      <c r="C13" s="790" t="s">
        <v>230</v>
      </c>
      <c r="D13" s="789">
        <v>59</v>
      </c>
      <c r="E13" s="789"/>
      <c r="F13" s="789"/>
      <c r="G13" s="789">
        <f>D13</f>
        <v>59</v>
      </c>
      <c r="H13" s="789"/>
      <c r="I13" s="789"/>
      <c r="J13" s="789"/>
      <c r="K13" s="789"/>
      <c r="L13" s="789"/>
      <c r="M13" s="789"/>
      <c r="N13" s="648"/>
      <c r="O13" s="648"/>
      <c r="P13" s="648"/>
      <c r="Q13" s="648"/>
      <c r="R13" s="648"/>
      <c r="S13" s="648"/>
      <c r="T13" s="648"/>
      <c r="U13" s="648"/>
      <c r="V13" s="648"/>
      <c r="W13" s="648"/>
      <c r="X13" s="648"/>
      <c r="Y13" s="648"/>
      <c r="Z13" s="648"/>
      <c r="AA13" s="648"/>
      <c r="AB13" s="648"/>
      <c r="AC13" s="648"/>
      <c r="AD13" s="648"/>
      <c r="AE13" s="648"/>
      <c r="AF13" s="648"/>
      <c r="AG13" s="648"/>
      <c r="AH13" s="648"/>
      <c r="AI13" s="648"/>
      <c r="AJ13" s="648"/>
      <c r="AK13" s="648"/>
      <c r="AL13" s="648"/>
      <c r="AM13" s="648"/>
      <c r="AN13" s="648"/>
      <c r="AO13" s="648"/>
      <c r="AP13" s="648"/>
      <c r="AQ13" s="648"/>
      <c r="AR13" s="648"/>
      <c r="AS13" s="648"/>
      <c r="AT13" s="648"/>
      <c r="AU13" s="648"/>
      <c r="AV13" s="648"/>
      <c r="AW13" s="648"/>
      <c r="AX13" s="648"/>
      <c r="AY13" s="648"/>
      <c r="AZ13" s="648"/>
      <c r="BA13" s="648"/>
      <c r="BB13" s="648"/>
      <c r="BC13" s="648"/>
      <c r="BD13" s="648"/>
      <c r="BE13" s="648"/>
    </row>
    <row r="14" spans="1:58" ht="13.5" customHeight="1">
      <c r="A14" s="648"/>
      <c r="B14" s="823">
        <v>43131</v>
      </c>
      <c r="C14" s="822" t="s">
        <v>21</v>
      </c>
      <c r="D14" s="821">
        <v>175</v>
      </c>
      <c r="E14" s="821"/>
      <c r="F14" s="821"/>
      <c r="G14" s="821">
        <f>D14</f>
        <v>175</v>
      </c>
      <c r="H14" s="821"/>
      <c r="I14" s="821"/>
      <c r="J14" s="821"/>
      <c r="K14" s="821"/>
      <c r="L14" s="821"/>
      <c r="M14" s="821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  <c r="AB14" s="648"/>
      <c r="AC14" s="648"/>
      <c r="AD14" s="648"/>
      <c r="AE14" s="648"/>
      <c r="AF14" s="648"/>
      <c r="AG14" s="648"/>
      <c r="AH14" s="648"/>
      <c r="AI14" s="648"/>
      <c r="AJ14" s="648"/>
      <c r="AK14" s="648"/>
      <c r="AL14" s="648"/>
      <c r="AM14" s="648"/>
      <c r="AN14" s="648"/>
      <c r="AO14" s="648"/>
      <c r="AP14" s="648"/>
      <c r="AQ14" s="648"/>
      <c r="AR14" s="648"/>
      <c r="AS14" s="648"/>
      <c r="AT14" s="648"/>
      <c r="AU14" s="648"/>
      <c r="AV14" s="648"/>
      <c r="AW14" s="648"/>
      <c r="AX14" s="648"/>
      <c r="AY14" s="648"/>
      <c r="AZ14" s="648"/>
      <c r="BA14" s="648"/>
      <c r="BB14" s="648"/>
      <c r="BC14" s="648"/>
      <c r="BD14" s="648"/>
      <c r="BE14" s="648"/>
    </row>
    <row r="15" spans="1:58" ht="13.5" customHeight="1">
      <c r="A15" s="648"/>
      <c r="B15" s="823">
        <v>43131</v>
      </c>
      <c r="C15" s="822" t="s">
        <v>22</v>
      </c>
      <c r="D15" s="821">
        <v>80</v>
      </c>
      <c r="E15" s="821"/>
      <c r="F15" s="821"/>
      <c r="G15" s="821">
        <v>89</v>
      </c>
      <c r="H15" s="821"/>
      <c r="I15" s="821"/>
      <c r="J15" s="821"/>
      <c r="K15" s="821"/>
      <c r="L15" s="821"/>
      <c r="M15" s="821"/>
      <c r="N15" s="648"/>
      <c r="O15" s="648"/>
      <c r="P15" s="648"/>
      <c r="Q15" s="648"/>
      <c r="R15" s="648"/>
      <c r="S15" s="648"/>
      <c r="T15" s="648"/>
      <c r="U15" s="648"/>
      <c r="V15" s="648"/>
      <c r="W15" s="648"/>
      <c r="X15" s="648"/>
      <c r="Y15" s="648"/>
      <c r="Z15" s="648"/>
      <c r="AA15" s="648"/>
      <c r="AB15" s="648"/>
      <c r="AC15" s="648"/>
      <c r="AD15" s="648"/>
      <c r="AE15" s="648"/>
      <c r="AF15" s="648"/>
      <c r="AG15" s="648"/>
      <c r="AH15" s="648"/>
      <c r="AI15" s="648"/>
      <c r="AJ15" s="648"/>
      <c r="AK15" s="648"/>
      <c r="AL15" s="648"/>
      <c r="AM15" s="648"/>
      <c r="AN15" s="648"/>
      <c r="AO15" s="648"/>
      <c r="AP15" s="648"/>
      <c r="AQ15" s="648"/>
      <c r="AR15" s="648"/>
      <c r="AS15" s="648"/>
      <c r="AT15" s="648"/>
      <c r="AU15" s="648"/>
      <c r="AV15" s="648"/>
      <c r="AW15" s="648"/>
      <c r="AX15" s="648"/>
      <c r="AY15" s="648"/>
      <c r="AZ15" s="648"/>
      <c r="BA15" s="648"/>
      <c r="BB15" s="648"/>
      <c r="BC15" s="648"/>
      <c r="BD15" s="648"/>
      <c r="BE15" s="648"/>
    </row>
    <row r="16" spans="1:58" ht="13.5" customHeight="1">
      <c r="A16" s="648"/>
      <c r="B16" s="823">
        <v>42766</v>
      </c>
      <c r="C16" s="822" t="s">
        <v>48</v>
      </c>
      <c r="D16" s="821">
        <v>396</v>
      </c>
      <c r="E16" s="821">
        <v>396</v>
      </c>
      <c r="F16" s="821"/>
      <c r="G16" s="821"/>
      <c r="H16" s="821"/>
      <c r="I16" s="821"/>
      <c r="J16" s="821"/>
      <c r="K16" s="821"/>
      <c r="L16" s="821"/>
      <c r="M16" s="821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  <c r="AO16" s="648"/>
      <c r="AP16" s="648"/>
      <c r="AQ16" s="648"/>
      <c r="AR16" s="648"/>
      <c r="AS16" s="648"/>
      <c r="AT16" s="648"/>
      <c r="AU16" s="648"/>
      <c r="AV16" s="648"/>
      <c r="AW16" s="648"/>
      <c r="AX16" s="648"/>
      <c r="AY16" s="648"/>
      <c r="AZ16" s="648"/>
      <c r="BA16" s="648"/>
      <c r="BB16" s="648"/>
      <c r="BC16" s="648"/>
      <c r="BD16" s="648"/>
      <c r="BE16" s="648"/>
    </row>
    <row r="17" spans="1:57" ht="13.5" customHeight="1">
      <c r="A17" s="648"/>
      <c r="B17" s="823">
        <v>43101</v>
      </c>
      <c r="C17" s="822" t="s">
        <v>306</v>
      </c>
      <c r="D17" s="821">
        <f>'2018-'!$J27</f>
        <v>602.37</v>
      </c>
      <c r="E17" s="821"/>
      <c r="F17" s="821">
        <f>D17</f>
        <v>602.37</v>
      </c>
      <c r="G17" s="821"/>
      <c r="H17" s="821"/>
      <c r="I17" s="821"/>
      <c r="J17" s="821"/>
      <c r="K17" s="821"/>
      <c r="L17" s="821"/>
      <c r="M17" s="821"/>
      <c r="N17" s="648"/>
      <c r="O17" s="648"/>
      <c r="P17" s="648"/>
      <c r="Q17" s="648"/>
      <c r="R17" s="648"/>
      <c r="S17" s="648"/>
      <c r="T17" s="648"/>
      <c r="U17" s="648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  <c r="AO17" s="648"/>
      <c r="AP17" s="648"/>
      <c r="AQ17" s="648"/>
      <c r="AR17" s="648"/>
      <c r="AS17" s="648"/>
      <c r="AT17" s="648"/>
      <c r="AU17" s="648"/>
      <c r="AV17" s="648"/>
      <c r="AW17" s="648"/>
      <c r="AX17" s="648"/>
      <c r="AY17" s="648"/>
      <c r="AZ17" s="648"/>
      <c r="BA17" s="648"/>
      <c r="BB17" s="648"/>
      <c r="BC17" s="648"/>
      <c r="BD17" s="648"/>
      <c r="BE17" s="648"/>
    </row>
    <row r="18" spans="1:57" ht="13.5" customHeight="1">
      <c r="A18" s="648"/>
      <c r="B18" s="823">
        <v>43101</v>
      </c>
      <c r="C18" s="822" t="s">
        <v>595</v>
      </c>
      <c r="D18" s="821">
        <f>'2018-'!K27</f>
        <v>1001.29</v>
      </c>
      <c r="E18" s="821"/>
      <c r="F18" s="821"/>
      <c r="G18" s="821"/>
      <c r="H18" s="821"/>
      <c r="I18" s="821"/>
      <c r="J18" s="821">
        <f>D18</f>
        <v>1001.29</v>
      </c>
      <c r="K18" s="821"/>
      <c r="L18" s="821"/>
      <c r="M18" s="821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648"/>
      <c r="AP18" s="648"/>
      <c r="AQ18" s="648"/>
      <c r="AR18" s="648"/>
      <c r="AS18" s="648"/>
      <c r="AT18" s="648"/>
      <c r="AU18" s="648"/>
      <c r="AV18" s="648"/>
      <c r="AW18" s="648"/>
      <c r="AX18" s="648"/>
      <c r="AY18" s="648"/>
      <c r="AZ18" s="648"/>
      <c r="BA18" s="648"/>
      <c r="BB18" s="648"/>
      <c r="BC18" s="648"/>
      <c r="BD18" s="648"/>
      <c r="BE18" s="648"/>
    </row>
    <row r="19" spans="1:57" ht="13.5" customHeight="1">
      <c r="A19" s="648"/>
      <c r="B19" s="823">
        <v>43102</v>
      </c>
      <c r="C19" s="822" t="s">
        <v>966</v>
      </c>
      <c r="D19" s="821">
        <v>133.85</v>
      </c>
      <c r="E19" s="821"/>
      <c r="F19" s="821"/>
      <c r="G19" s="821"/>
      <c r="H19" s="821"/>
      <c r="I19" s="821"/>
      <c r="J19" s="821"/>
      <c r="K19" s="821"/>
      <c r="L19" s="821"/>
      <c r="M19" s="821"/>
      <c r="N19" s="648"/>
      <c r="O19" s="648"/>
      <c r="P19" s="648"/>
      <c r="Q19" s="648"/>
      <c r="R19" s="648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  <c r="AO19" s="648"/>
      <c r="AP19" s="648"/>
      <c r="AQ19" s="648"/>
      <c r="AR19" s="648"/>
      <c r="AS19" s="648"/>
      <c r="AT19" s="648"/>
      <c r="AU19" s="648"/>
      <c r="AV19" s="648"/>
      <c r="AW19" s="648"/>
      <c r="AX19" s="648"/>
      <c r="AY19" s="648"/>
      <c r="AZ19" s="648"/>
      <c r="BA19" s="648"/>
      <c r="BB19" s="648"/>
      <c r="BC19" s="648"/>
      <c r="BD19" s="648"/>
      <c r="BE19" s="648"/>
    </row>
    <row r="20" spans="1:57" ht="13.5" customHeight="1">
      <c r="A20" s="648"/>
      <c r="B20" s="823">
        <v>43102</v>
      </c>
      <c r="C20" s="822" t="s">
        <v>397</v>
      </c>
      <c r="D20" s="821">
        <v>279.3</v>
      </c>
      <c r="E20" s="821"/>
      <c r="F20" s="821"/>
      <c r="G20" s="821"/>
      <c r="H20" s="821"/>
      <c r="I20" s="821"/>
      <c r="J20" s="821"/>
      <c r="K20" s="821"/>
      <c r="L20" s="821"/>
      <c r="M20" s="821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  <c r="AO20" s="648"/>
      <c r="AP20" s="648"/>
      <c r="AQ20" s="648"/>
      <c r="AR20" s="648"/>
      <c r="AS20" s="648"/>
      <c r="AT20" s="648"/>
      <c r="AU20" s="648"/>
      <c r="AV20" s="648"/>
      <c r="AW20" s="648"/>
      <c r="AX20" s="648"/>
      <c r="AY20" s="648"/>
      <c r="AZ20" s="648"/>
      <c r="BA20" s="648"/>
      <c r="BB20" s="648"/>
      <c r="BC20" s="648"/>
      <c r="BD20" s="648"/>
      <c r="BE20" s="648"/>
    </row>
    <row r="21" spans="1:57" ht="13.5" customHeight="1">
      <c r="A21" s="648"/>
      <c r="B21" s="823">
        <v>43104</v>
      </c>
      <c r="C21" s="822" t="s">
        <v>186</v>
      </c>
      <c r="D21" s="821">
        <v>12</v>
      </c>
      <c r="E21" s="821"/>
      <c r="F21" s="821"/>
      <c r="G21" s="821"/>
      <c r="H21" s="821">
        <v>12</v>
      </c>
      <c r="I21" s="821"/>
      <c r="J21" s="821"/>
      <c r="K21" s="821"/>
      <c r="L21" s="821"/>
      <c r="M21" s="821"/>
      <c r="N21" s="648"/>
      <c r="O21" s="648"/>
      <c r="P21" s="648"/>
      <c r="Q21" s="648"/>
      <c r="R21" s="648"/>
      <c r="S21" s="648"/>
      <c r="T21" s="648"/>
      <c r="U21" s="648"/>
      <c r="V21" s="648"/>
      <c r="W21" s="648"/>
      <c r="X21" s="648"/>
      <c r="Y21" s="648"/>
      <c r="Z21" s="648"/>
      <c r="AA21" s="648"/>
      <c r="AB21" s="648"/>
      <c r="AC21" s="648"/>
      <c r="AD21" s="648"/>
      <c r="AE21" s="648"/>
      <c r="AF21" s="648"/>
      <c r="AG21" s="648"/>
      <c r="AH21" s="648"/>
      <c r="AI21" s="648"/>
      <c r="AJ21" s="648"/>
      <c r="AK21" s="648"/>
      <c r="AL21" s="648"/>
      <c r="AM21" s="648"/>
      <c r="AN21" s="648"/>
      <c r="AO21" s="648"/>
      <c r="AP21" s="648"/>
      <c r="AQ21" s="648"/>
      <c r="AR21" s="648"/>
      <c r="AS21" s="648"/>
      <c r="AT21" s="648"/>
      <c r="AU21" s="648"/>
      <c r="AV21" s="648"/>
      <c r="AW21" s="648"/>
      <c r="AX21" s="648"/>
      <c r="AY21" s="648"/>
      <c r="AZ21" s="648"/>
      <c r="BA21" s="648"/>
      <c r="BB21" s="648"/>
      <c r="BC21" s="648"/>
      <c r="BD21" s="648"/>
      <c r="BE21" s="648"/>
    </row>
    <row r="22" spans="1:57" ht="13.5" customHeight="1">
      <c r="A22" s="648"/>
      <c r="B22" s="823">
        <v>43104</v>
      </c>
      <c r="C22" s="822" t="s">
        <v>48</v>
      </c>
      <c r="D22" s="821">
        <v>200</v>
      </c>
      <c r="E22" s="821">
        <v>200</v>
      </c>
      <c r="F22" s="821"/>
      <c r="G22" s="821"/>
      <c r="H22" s="821"/>
      <c r="I22" s="821"/>
      <c r="J22" s="821"/>
      <c r="K22" s="821"/>
      <c r="L22" s="821"/>
      <c r="M22" s="821"/>
      <c r="N22" s="648"/>
      <c r="O22" s="648"/>
      <c r="P22" s="648"/>
      <c r="Q22" s="648"/>
      <c r="R22" s="648"/>
      <c r="S22" s="648"/>
      <c r="T22" s="648"/>
      <c r="U22" s="648"/>
      <c r="V22" s="648"/>
      <c r="W22" s="648"/>
      <c r="X22" s="648"/>
      <c r="Y22" s="648"/>
      <c r="Z22" s="648"/>
      <c r="AA22" s="648"/>
      <c r="AB22" s="648"/>
      <c r="AC22" s="648"/>
      <c r="AD22" s="648"/>
      <c r="AE22" s="648"/>
      <c r="AF22" s="648"/>
      <c r="AG22" s="648"/>
      <c r="AH22" s="648"/>
      <c r="AI22" s="648"/>
      <c r="AJ22" s="648"/>
      <c r="AK22" s="648"/>
      <c r="AL22" s="648"/>
      <c r="AM22" s="648"/>
      <c r="AN22" s="648"/>
      <c r="AO22" s="648"/>
      <c r="AP22" s="648"/>
      <c r="AQ22" s="648"/>
      <c r="AR22" s="648"/>
      <c r="AS22" s="648"/>
      <c r="AT22" s="648"/>
      <c r="AU22" s="648"/>
      <c r="AV22" s="648"/>
      <c r="AW22" s="648"/>
      <c r="AX22" s="648"/>
      <c r="AY22" s="648"/>
      <c r="AZ22" s="648"/>
      <c r="BA22" s="648"/>
      <c r="BB22" s="648"/>
      <c r="BC22" s="648"/>
      <c r="BD22" s="648"/>
      <c r="BE22" s="648"/>
    </row>
    <row r="23" spans="1:57" ht="13.5" customHeight="1">
      <c r="A23" s="648"/>
      <c r="B23" s="823">
        <v>43104</v>
      </c>
      <c r="C23" s="822" t="s">
        <v>965</v>
      </c>
      <c r="D23" s="821">
        <v>-300</v>
      </c>
      <c r="E23" s="821"/>
      <c r="F23" s="821"/>
      <c r="G23" s="821"/>
      <c r="H23" s="821"/>
      <c r="I23" s="821"/>
      <c r="J23" s="821"/>
      <c r="K23" s="821"/>
      <c r="L23" s="821"/>
      <c r="M23" s="821">
        <v>-300</v>
      </c>
      <c r="N23" s="648"/>
      <c r="O23" s="648"/>
      <c r="P23" s="648"/>
      <c r="Q23" s="648"/>
      <c r="R23" s="648"/>
      <c r="S23" s="648"/>
      <c r="T23" s="648"/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  <c r="AF23" s="648"/>
      <c r="AG23" s="648"/>
      <c r="AH23" s="648"/>
      <c r="AI23" s="648"/>
      <c r="AJ23" s="648"/>
      <c r="AK23" s="648"/>
      <c r="AL23" s="648"/>
      <c r="AM23" s="648"/>
      <c r="AN23" s="648"/>
      <c r="AO23" s="648"/>
      <c r="AP23" s="648"/>
      <c r="AQ23" s="648"/>
      <c r="AR23" s="648"/>
      <c r="AS23" s="648"/>
      <c r="AT23" s="648"/>
      <c r="AU23" s="648"/>
      <c r="AV23" s="648"/>
      <c r="AW23" s="648"/>
      <c r="AX23" s="648"/>
      <c r="AY23" s="648"/>
      <c r="AZ23" s="648"/>
      <c r="BA23" s="648"/>
      <c r="BB23" s="648"/>
      <c r="BC23" s="648"/>
      <c r="BD23" s="648"/>
      <c r="BE23" s="648"/>
    </row>
    <row r="24" spans="1:57" ht="13.5" customHeight="1">
      <c r="A24" s="648"/>
      <c r="B24" s="823">
        <v>43107</v>
      </c>
      <c r="C24" s="822" t="s">
        <v>959</v>
      </c>
      <c r="D24" s="821">
        <v>517.76</v>
      </c>
      <c r="E24" s="821"/>
      <c r="F24" s="821"/>
      <c r="G24" s="821"/>
      <c r="H24" s="821"/>
      <c r="I24" s="821"/>
      <c r="J24" s="821"/>
      <c r="K24" s="821"/>
      <c r="L24" s="821"/>
      <c r="M24" s="821"/>
      <c r="N24" s="648"/>
      <c r="O24" s="648"/>
      <c r="P24" s="648"/>
      <c r="Q24" s="648"/>
      <c r="R24" s="648"/>
      <c r="S24" s="648"/>
      <c r="T24" s="648"/>
      <c r="U24" s="648"/>
      <c r="V24" s="648"/>
      <c r="W24" s="648"/>
      <c r="X24" s="648"/>
      <c r="Y24" s="648"/>
      <c r="Z24" s="648"/>
      <c r="AA24" s="648"/>
      <c r="AB24" s="648"/>
      <c r="AC24" s="648"/>
      <c r="AD24" s="648"/>
      <c r="AE24" s="648"/>
      <c r="AF24" s="648"/>
      <c r="AG24" s="648"/>
      <c r="AH24" s="648"/>
      <c r="AI24" s="648"/>
      <c r="AJ24" s="648"/>
      <c r="AK24" s="648"/>
      <c r="AL24" s="648"/>
      <c r="AM24" s="648"/>
      <c r="AN24" s="648"/>
      <c r="AO24" s="648"/>
      <c r="AP24" s="648"/>
      <c r="AQ24" s="648"/>
      <c r="AR24" s="648"/>
      <c r="AS24" s="648"/>
      <c r="AT24" s="648"/>
      <c r="AU24" s="648"/>
      <c r="AV24" s="648"/>
      <c r="AW24" s="648"/>
      <c r="AX24" s="648"/>
      <c r="AY24" s="648"/>
      <c r="AZ24" s="648"/>
      <c r="BA24" s="648"/>
      <c r="BB24" s="648"/>
      <c r="BC24" s="648"/>
      <c r="BD24" s="648"/>
      <c r="BE24" s="648"/>
    </row>
    <row r="25" spans="1:57" ht="13.5" customHeight="1">
      <c r="A25" s="648"/>
      <c r="B25" s="823">
        <v>43109</v>
      </c>
      <c r="C25" s="822" t="s">
        <v>959</v>
      </c>
      <c r="D25" s="821">
        <v>226.85</v>
      </c>
      <c r="E25" s="821"/>
      <c r="F25" s="821"/>
      <c r="G25" s="821"/>
      <c r="H25" s="821"/>
      <c r="I25" s="821"/>
      <c r="J25" s="821"/>
      <c r="K25" s="821"/>
      <c r="L25" s="821"/>
      <c r="M25" s="821"/>
      <c r="N25" s="648"/>
      <c r="O25" s="648"/>
      <c r="P25" s="648"/>
      <c r="Q25" s="648"/>
      <c r="R25" s="648"/>
      <c r="S25" s="648"/>
      <c r="T25" s="648"/>
      <c r="U25" s="648"/>
      <c r="V25" s="648"/>
      <c r="W25" s="648"/>
      <c r="X25" s="648"/>
      <c r="Y25" s="648"/>
      <c r="Z25" s="648"/>
      <c r="AA25" s="648"/>
      <c r="AB25" s="648"/>
      <c r="AC25" s="648"/>
      <c r="AD25" s="648"/>
      <c r="AE25" s="648"/>
      <c r="AF25" s="648"/>
      <c r="AG25" s="648"/>
      <c r="AH25" s="648"/>
      <c r="AI25" s="648"/>
      <c r="AJ25" s="648"/>
      <c r="AK25" s="648"/>
      <c r="AL25" s="648"/>
      <c r="AM25" s="648"/>
      <c r="AN25" s="648"/>
      <c r="AO25" s="648"/>
      <c r="AP25" s="648"/>
      <c r="AQ25" s="648"/>
      <c r="AR25" s="648"/>
      <c r="AS25" s="648"/>
      <c r="AT25" s="648"/>
      <c r="AU25" s="648"/>
      <c r="AV25" s="648"/>
      <c r="AW25" s="648"/>
      <c r="AX25" s="648"/>
      <c r="AY25" s="648"/>
      <c r="AZ25" s="648"/>
      <c r="BA25" s="648"/>
      <c r="BB25" s="648"/>
      <c r="BC25" s="648"/>
      <c r="BD25" s="648"/>
      <c r="BE25" s="648"/>
    </row>
    <row r="26" spans="1:57" ht="13.5" customHeight="1">
      <c r="A26" s="648"/>
      <c r="B26" s="823">
        <v>43109</v>
      </c>
      <c r="C26" s="822" t="s">
        <v>838</v>
      </c>
      <c r="D26" s="821">
        <v>109</v>
      </c>
      <c r="E26" s="821"/>
      <c r="F26" s="821"/>
      <c r="G26" s="821"/>
      <c r="H26" s="821"/>
      <c r="I26" s="821"/>
      <c r="J26" s="821"/>
      <c r="K26" s="821"/>
      <c r="L26" s="821"/>
      <c r="M26" s="821"/>
      <c r="N26" s="648"/>
      <c r="O26" s="648"/>
      <c r="P26" s="648"/>
      <c r="Q26" s="648"/>
      <c r="R26" s="648"/>
      <c r="S26" s="648"/>
      <c r="T26" s="648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</row>
    <row r="27" spans="1:57" ht="13.5" customHeight="1">
      <c r="A27" s="648"/>
      <c r="B27" s="823">
        <v>43110</v>
      </c>
      <c r="C27" s="822" t="s">
        <v>964</v>
      </c>
      <c r="D27" s="821">
        <v>69.5</v>
      </c>
      <c r="E27" s="821"/>
      <c r="F27" s="821"/>
      <c r="G27" s="821"/>
      <c r="H27" s="821"/>
      <c r="I27" s="821"/>
      <c r="J27" s="821"/>
      <c r="K27" s="821"/>
      <c r="L27" s="821"/>
      <c r="M27" s="821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648"/>
      <c r="Y27" s="648"/>
      <c r="Z27" s="648"/>
      <c r="AA27" s="648"/>
      <c r="AB27" s="648"/>
      <c r="AC27" s="648"/>
      <c r="AD27" s="648"/>
      <c r="AE27" s="648"/>
      <c r="AF27" s="648"/>
      <c r="AG27" s="648"/>
      <c r="AH27" s="648"/>
      <c r="AI27" s="648"/>
      <c r="AJ27" s="648"/>
      <c r="AK27" s="648"/>
      <c r="AL27" s="648"/>
      <c r="AM27" s="648"/>
      <c r="AN27" s="648"/>
      <c r="AO27" s="648"/>
      <c r="AP27" s="648"/>
      <c r="AQ27" s="648"/>
      <c r="AR27" s="648"/>
      <c r="AS27" s="648"/>
      <c r="AT27" s="648"/>
      <c r="AU27" s="648"/>
      <c r="AV27" s="648"/>
      <c r="AW27" s="648"/>
      <c r="AX27" s="648"/>
      <c r="AY27" s="648"/>
      <c r="AZ27" s="648"/>
      <c r="BA27" s="648"/>
      <c r="BB27" s="648"/>
      <c r="BC27" s="648"/>
      <c r="BD27" s="648"/>
      <c r="BE27" s="648"/>
    </row>
    <row r="28" spans="1:57" ht="13.5" customHeight="1">
      <c r="A28" s="648"/>
      <c r="B28" s="823">
        <v>43110</v>
      </c>
      <c r="C28" s="822" t="s">
        <v>963</v>
      </c>
      <c r="D28" s="821">
        <v>99</v>
      </c>
      <c r="E28" s="821"/>
      <c r="F28" s="821"/>
      <c r="G28" s="821"/>
      <c r="H28" s="821"/>
      <c r="I28" s="821"/>
      <c r="J28" s="821"/>
      <c r="K28" s="821"/>
      <c r="L28" s="821"/>
      <c r="M28" s="821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648"/>
      <c r="Y28" s="648"/>
      <c r="Z28" s="648"/>
      <c r="AA28" s="648"/>
      <c r="AB28" s="648"/>
      <c r="AC28" s="648"/>
      <c r="AD28" s="648"/>
      <c r="AE28" s="648"/>
      <c r="AF28" s="648"/>
      <c r="AG28" s="648"/>
      <c r="AH28" s="648"/>
      <c r="AI28" s="648"/>
      <c r="AJ28" s="648"/>
      <c r="AK28" s="648"/>
      <c r="AL28" s="648"/>
      <c r="AM28" s="648"/>
      <c r="AN28" s="648"/>
      <c r="AO28" s="648"/>
      <c r="AP28" s="648"/>
      <c r="AQ28" s="648"/>
      <c r="AR28" s="648"/>
      <c r="AS28" s="648"/>
      <c r="AT28" s="648"/>
      <c r="AU28" s="648"/>
      <c r="AV28" s="648"/>
      <c r="AW28" s="648"/>
      <c r="AX28" s="648"/>
      <c r="AY28" s="648"/>
      <c r="AZ28" s="648"/>
      <c r="BA28" s="648"/>
      <c r="BB28" s="648"/>
      <c r="BC28" s="648"/>
      <c r="BD28" s="648"/>
      <c r="BE28" s="648"/>
    </row>
    <row r="29" spans="1:57" ht="13.5" customHeight="1">
      <c r="A29" s="648"/>
      <c r="B29" s="823">
        <v>43112</v>
      </c>
      <c r="C29" s="822" t="s">
        <v>186</v>
      </c>
      <c r="D29" s="821">
        <v>25</v>
      </c>
      <c r="E29" s="821"/>
      <c r="F29" s="821"/>
      <c r="G29" s="821"/>
      <c r="H29" s="821">
        <v>25</v>
      </c>
      <c r="I29" s="821"/>
      <c r="J29" s="821"/>
      <c r="K29" s="821"/>
      <c r="L29" s="821"/>
      <c r="M29" s="821"/>
      <c r="N29" s="648"/>
      <c r="O29" s="648"/>
      <c r="P29" s="648"/>
      <c r="Q29" s="648"/>
      <c r="R29" s="648"/>
      <c r="S29" s="648"/>
      <c r="T29" s="648"/>
      <c r="U29" s="648"/>
      <c r="V29" s="648"/>
      <c r="W29" s="648"/>
      <c r="X29" s="648"/>
      <c r="Y29" s="648"/>
      <c r="Z29" s="648"/>
      <c r="AA29" s="648"/>
      <c r="AB29" s="648"/>
      <c r="AC29" s="648"/>
      <c r="AD29" s="648"/>
      <c r="AE29" s="648"/>
      <c r="AF29" s="648"/>
      <c r="AG29" s="648"/>
      <c r="AH29" s="648"/>
      <c r="AI29" s="648"/>
      <c r="AJ29" s="648"/>
      <c r="AK29" s="648"/>
      <c r="AL29" s="648"/>
      <c r="AM29" s="648"/>
      <c r="AN29" s="648"/>
      <c r="AO29" s="648"/>
      <c r="AP29" s="648"/>
      <c r="AQ29" s="648"/>
      <c r="AR29" s="648"/>
      <c r="AS29" s="648"/>
      <c r="AT29" s="648"/>
      <c r="AU29" s="648"/>
      <c r="AV29" s="648"/>
      <c r="AW29" s="648"/>
      <c r="AX29" s="648"/>
      <c r="AY29" s="648"/>
      <c r="AZ29" s="648"/>
      <c r="BA29" s="648"/>
      <c r="BB29" s="648"/>
      <c r="BC29" s="648"/>
      <c r="BD29" s="648"/>
      <c r="BE29" s="648"/>
    </row>
    <row r="30" spans="1:57" ht="13.5" customHeight="1">
      <c r="B30" s="823">
        <v>43114</v>
      </c>
      <c r="C30" s="822" t="s">
        <v>48</v>
      </c>
      <c r="D30" s="821">
        <v>396</v>
      </c>
      <c r="E30" s="821">
        <v>396</v>
      </c>
      <c r="F30" s="821"/>
      <c r="G30" s="821"/>
      <c r="H30" s="821"/>
      <c r="I30" s="821"/>
      <c r="J30" s="821"/>
      <c r="K30" s="821"/>
      <c r="L30" s="821"/>
      <c r="M30" s="821"/>
    </row>
    <row r="31" spans="1:57" ht="13.5" customHeight="1">
      <c r="B31" s="823">
        <v>43115</v>
      </c>
      <c r="C31" s="822" t="s">
        <v>962</v>
      </c>
      <c r="D31" s="821">
        <v>79</v>
      </c>
      <c r="E31" s="821"/>
      <c r="F31" s="821"/>
      <c r="G31" s="821"/>
      <c r="H31" s="821"/>
      <c r="I31" s="821"/>
      <c r="J31" s="821"/>
      <c r="K31" s="821"/>
      <c r="L31" s="821"/>
      <c r="M31" s="821"/>
    </row>
    <row r="32" spans="1:57" ht="13.5" customHeight="1">
      <c r="B32" s="823">
        <v>43115</v>
      </c>
      <c r="C32" s="822" t="s">
        <v>961</v>
      </c>
      <c r="D32" s="821">
        <v>149</v>
      </c>
      <c r="E32" s="821"/>
      <c r="F32" s="821"/>
      <c r="G32" s="821"/>
      <c r="H32" s="821"/>
      <c r="I32" s="821"/>
      <c r="J32" s="821"/>
      <c r="K32" s="821"/>
      <c r="L32" s="821"/>
      <c r="M32" s="821"/>
    </row>
    <row r="33" spans="1:58" ht="13.5" customHeight="1">
      <c r="B33" s="823">
        <v>43116</v>
      </c>
      <c r="C33" s="822" t="s">
        <v>186</v>
      </c>
      <c r="D33" s="821">
        <v>25</v>
      </c>
      <c r="E33" s="821"/>
      <c r="F33" s="821"/>
      <c r="G33" s="821"/>
      <c r="H33" s="821">
        <v>25</v>
      </c>
      <c r="I33" s="821"/>
      <c r="J33" s="821"/>
      <c r="K33" s="821"/>
      <c r="L33" s="821"/>
      <c r="M33" s="821"/>
    </row>
    <row r="34" spans="1:58" ht="13.5" customHeight="1">
      <c r="B34" s="823">
        <v>43116</v>
      </c>
      <c r="C34" s="822" t="s">
        <v>48</v>
      </c>
      <c r="D34" s="821">
        <v>40</v>
      </c>
      <c r="E34" s="821">
        <v>40</v>
      </c>
      <c r="F34" s="821"/>
      <c r="G34" s="821"/>
      <c r="H34" s="821"/>
      <c r="I34" s="821"/>
      <c r="J34" s="821"/>
      <c r="K34" s="821"/>
      <c r="L34" s="821"/>
      <c r="M34" s="821"/>
    </row>
    <row r="35" spans="1:58" ht="13.5" customHeight="1">
      <c r="B35" s="823">
        <v>43117</v>
      </c>
      <c r="C35" s="822" t="s">
        <v>186</v>
      </c>
      <c r="D35" s="821">
        <v>12</v>
      </c>
      <c r="E35" s="821"/>
      <c r="F35" s="821"/>
      <c r="G35" s="821"/>
      <c r="H35" s="821">
        <v>12</v>
      </c>
      <c r="I35" s="821"/>
      <c r="J35" s="821"/>
      <c r="K35" s="821"/>
      <c r="L35" s="821"/>
      <c r="M35" s="821"/>
    </row>
    <row r="36" spans="1:58" ht="13.5" customHeight="1">
      <c r="B36" s="823">
        <v>43117</v>
      </c>
      <c r="C36" s="822" t="s">
        <v>37</v>
      </c>
      <c r="D36" s="821">
        <v>26</v>
      </c>
      <c r="E36" s="821"/>
      <c r="F36" s="821"/>
      <c r="G36" s="821"/>
      <c r="H36" s="821"/>
      <c r="I36" s="821"/>
      <c r="J36" s="821"/>
      <c r="K36" s="821"/>
      <c r="L36" s="821"/>
      <c r="M36" s="821"/>
    </row>
    <row r="37" spans="1:58" ht="13.5" customHeight="1">
      <c r="B37" s="823"/>
      <c r="C37" s="822" t="s">
        <v>216</v>
      </c>
      <c r="D37" s="821">
        <v>148.94999999999999</v>
      </c>
      <c r="E37" s="821"/>
      <c r="F37" s="821"/>
      <c r="G37" s="821"/>
      <c r="H37" s="821"/>
      <c r="I37" s="821"/>
      <c r="J37" s="821"/>
      <c r="K37" s="821"/>
      <c r="L37" s="821"/>
      <c r="M37" s="821"/>
    </row>
    <row r="38" spans="1:58" ht="13.5" customHeight="1">
      <c r="B38" s="823">
        <v>43123</v>
      </c>
      <c r="C38" s="822" t="s">
        <v>186</v>
      </c>
      <c r="D38" s="821">
        <v>37</v>
      </c>
      <c r="E38" s="821"/>
      <c r="F38" s="821"/>
      <c r="G38" s="821"/>
      <c r="H38" s="821">
        <v>37</v>
      </c>
      <c r="I38" s="821"/>
      <c r="J38" s="821"/>
      <c r="K38" s="821"/>
      <c r="L38" s="821"/>
      <c r="M38" s="821"/>
    </row>
    <row r="39" spans="1:58" ht="13.5" customHeight="1">
      <c r="B39" s="823">
        <v>43127</v>
      </c>
      <c r="C39" s="822" t="s">
        <v>186</v>
      </c>
      <c r="D39" s="821">
        <v>-50</v>
      </c>
      <c r="E39" s="821"/>
      <c r="F39" s="821"/>
      <c r="G39" s="821"/>
      <c r="H39" s="821">
        <v>-50</v>
      </c>
      <c r="I39" s="821"/>
      <c r="J39" s="821"/>
      <c r="K39" s="821"/>
      <c r="L39" s="821"/>
      <c r="M39" s="821"/>
    </row>
    <row r="40" spans="1:58" ht="13.5" customHeight="1">
      <c r="B40" s="823">
        <v>43128</v>
      </c>
      <c r="C40" s="822" t="s">
        <v>48</v>
      </c>
      <c r="D40" s="821">
        <v>198</v>
      </c>
      <c r="E40" s="821">
        <v>198</v>
      </c>
      <c r="F40" s="821"/>
      <c r="G40" s="821"/>
      <c r="H40" s="821"/>
      <c r="I40" s="821"/>
      <c r="J40" s="821"/>
      <c r="K40" s="821"/>
      <c r="L40" s="821"/>
      <c r="M40" s="821"/>
    </row>
    <row r="41" spans="1:58" ht="13.5" customHeight="1">
      <c r="B41" s="823">
        <v>43129</v>
      </c>
      <c r="C41" s="822" t="s">
        <v>186</v>
      </c>
      <c r="D41" s="821">
        <v>55</v>
      </c>
      <c r="E41" s="821"/>
      <c r="F41" s="821"/>
      <c r="G41" s="821"/>
      <c r="H41" s="821">
        <v>55</v>
      </c>
      <c r="I41" s="821"/>
      <c r="J41" s="821"/>
      <c r="K41" s="821"/>
      <c r="L41" s="821"/>
      <c r="M41" s="821"/>
    </row>
    <row r="42" spans="1:58" ht="13.5" customHeight="1">
      <c r="B42" s="823">
        <v>43130</v>
      </c>
      <c r="C42" s="822" t="s">
        <v>960</v>
      </c>
      <c r="D42" s="821">
        <v>50</v>
      </c>
      <c r="E42" s="821"/>
      <c r="F42" s="821"/>
      <c r="G42" s="821"/>
      <c r="H42" s="821"/>
      <c r="I42" s="821"/>
      <c r="J42" s="821"/>
      <c r="K42" s="821"/>
      <c r="L42" s="821"/>
      <c r="M42" s="821"/>
    </row>
    <row r="43" spans="1:58" ht="13.5" customHeight="1">
      <c r="B43" s="820">
        <v>43130</v>
      </c>
      <c r="C43" s="819" t="s">
        <v>188</v>
      </c>
      <c r="D43" s="818">
        <v>-150</v>
      </c>
      <c r="E43" s="818"/>
      <c r="F43" s="818"/>
      <c r="G43" s="818"/>
      <c r="H43" s="818"/>
      <c r="I43" s="818"/>
      <c r="J43" s="818"/>
      <c r="K43" s="818"/>
      <c r="L43" s="818"/>
      <c r="M43" s="818">
        <v>-150</v>
      </c>
    </row>
    <row r="44" spans="1:58" s="694" customFormat="1" ht="13.5" customHeight="1">
      <c r="A44" s="700"/>
      <c r="B44" s="788" t="s">
        <v>121</v>
      </c>
      <c r="C44" s="787" t="s">
        <v>37</v>
      </c>
      <c r="D44" s="786"/>
      <c r="E44" s="786">
        <f t="shared" ref="E44:K44" si="2">SUM(E45:E77)</f>
        <v>1508.9</v>
      </c>
      <c r="F44" s="786">
        <f t="shared" si="2"/>
        <v>1338.89</v>
      </c>
      <c r="G44" s="786">
        <f t="shared" si="2"/>
        <v>331</v>
      </c>
      <c r="H44" s="786">
        <f t="shared" si="2"/>
        <v>-134</v>
      </c>
      <c r="I44" s="786">
        <f t="shared" si="2"/>
        <v>210</v>
      </c>
      <c r="J44" s="786">
        <f t="shared" si="2"/>
        <v>1003.05</v>
      </c>
      <c r="K44" s="786">
        <f t="shared" si="2"/>
        <v>950</v>
      </c>
      <c r="L44" s="786"/>
      <c r="M44" s="786">
        <f>SUM(M45:M77)</f>
        <v>-500</v>
      </c>
      <c r="N44" s="786"/>
      <c r="O44" s="786"/>
      <c r="P44" s="786"/>
      <c r="Q44" s="786"/>
      <c r="R44" s="786"/>
      <c r="S44" s="695"/>
      <c r="T44" s="695"/>
      <c r="U44" s="695"/>
      <c r="V44" s="695"/>
      <c r="W44" s="695"/>
      <c r="X44" s="695"/>
      <c r="Y44" s="695"/>
      <c r="Z44" s="695"/>
      <c r="AA44" s="695"/>
      <c r="AB44" s="695"/>
      <c r="AC44" s="695"/>
      <c r="AD44" s="695"/>
      <c r="AE44" s="695"/>
      <c r="AF44" s="695"/>
      <c r="AG44" s="695"/>
      <c r="AH44" s="695"/>
      <c r="AI44" s="695"/>
      <c r="AJ44" s="695"/>
      <c r="AK44" s="695"/>
      <c r="AL44" s="695"/>
      <c r="AM44" s="695"/>
      <c r="AN44" s="695"/>
      <c r="AO44" s="695"/>
      <c r="AP44" s="695"/>
      <c r="AQ44" s="695"/>
      <c r="AR44" s="695"/>
      <c r="AS44" s="695"/>
      <c r="AT44" s="695"/>
      <c r="AU44" s="695"/>
      <c r="AV44" s="695"/>
      <c r="AW44" s="695"/>
      <c r="AX44" s="695"/>
      <c r="AY44" s="695"/>
      <c r="AZ44" s="695"/>
      <c r="BA44" s="695"/>
      <c r="BB44" s="695"/>
      <c r="BC44" s="695"/>
      <c r="BD44" s="695"/>
      <c r="BE44" s="695"/>
      <c r="BF44" s="695"/>
    </row>
    <row r="45" spans="1:58" ht="13.5" customHeight="1">
      <c r="B45" s="791">
        <v>43131</v>
      </c>
      <c r="C45" s="790" t="s">
        <v>21</v>
      </c>
      <c r="D45" s="789">
        <v>183</v>
      </c>
      <c r="E45" s="789"/>
      <c r="F45" s="789"/>
      <c r="G45" s="789">
        <f>D45</f>
        <v>183</v>
      </c>
      <c r="H45" s="789"/>
      <c r="I45" s="789"/>
      <c r="J45" s="789"/>
      <c r="K45" s="789"/>
      <c r="L45" s="789"/>
      <c r="M45" s="789"/>
    </row>
    <row r="46" spans="1:58" ht="13.5" customHeight="1">
      <c r="B46" s="791">
        <v>43131</v>
      </c>
      <c r="C46" s="790" t="s">
        <v>22</v>
      </c>
      <c r="D46" s="789">
        <v>86</v>
      </c>
      <c r="E46" s="789"/>
      <c r="F46" s="789"/>
      <c r="G46" s="789">
        <v>89</v>
      </c>
      <c r="H46" s="789"/>
      <c r="I46" s="789"/>
      <c r="J46" s="789"/>
      <c r="K46" s="789"/>
      <c r="L46" s="789"/>
      <c r="M46" s="789"/>
    </row>
    <row r="47" spans="1:58" ht="13.5" customHeight="1">
      <c r="B47" s="791">
        <v>43131</v>
      </c>
      <c r="C47" s="790" t="s">
        <v>959</v>
      </c>
      <c r="D47" s="789">
        <v>97.13</v>
      </c>
      <c r="E47" s="789"/>
      <c r="F47" s="789"/>
      <c r="G47" s="789"/>
      <c r="H47" s="789"/>
      <c r="I47" s="789"/>
      <c r="J47" s="789"/>
      <c r="K47" s="789"/>
      <c r="L47" s="789"/>
      <c r="M47" s="789"/>
    </row>
    <row r="48" spans="1:58" ht="13.5" customHeight="1">
      <c r="B48" s="791">
        <v>43131</v>
      </c>
      <c r="C48" s="790" t="s">
        <v>167</v>
      </c>
      <c r="D48" s="789">
        <v>800</v>
      </c>
      <c r="E48" s="789"/>
      <c r="F48" s="789"/>
      <c r="G48" s="789"/>
      <c r="H48" s="789"/>
      <c r="I48" s="789"/>
      <c r="J48" s="789"/>
      <c r="K48" s="789"/>
      <c r="L48" s="789"/>
      <c r="M48" s="789"/>
    </row>
    <row r="49" spans="2:13" s="648" customFormat="1" ht="13.5" customHeight="1">
      <c r="B49" s="791">
        <v>43131</v>
      </c>
      <c r="C49" s="790" t="s">
        <v>397</v>
      </c>
      <c r="D49" s="789">
        <v>329.1</v>
      </c>
      <c r="E49" s="789"/>
      <c r="F49" s="789"/>
      <c r="G49" s="789"/>
      <c r="H49" s="789"/>
      <c r="I49" s="789"/>
      <c r="J49" s="789"/>
      <c r="K49" s="789"/>
      <c r="L49" s="789"/>
      <c r="M49" s="789"/>
    </row>
    <row r="50" spans="2:13" s="648" customFormat="1" ht="13.5" customHeight="1">
      <c r="B50" s="791">
        <v>43131</v>
      </c>
      <c r="C50" s="790" t="s">
        <v>958</v>
      </c>
      <c r="D50" s="789">
        <v>69</v>
      </c>
      <c r="E50" s="789"/>
      <c r="F50" s="789"/>
      <c r="G50" s="789"/>
      <c r="H50" s="789"/>
      <c r="I50" s="789"/>
      <c r="J50" s="789"/>
      <c r="K50" s="789"/>
      <c r="L50" s="789"/>
      <c r="M50" s="789"/>
    </row>
    <row r="51" spans="2:13" s="648" customFormat="1" ht="13.5" customHeight="1">
      <c r="B51" s="791">
        <v>43131</v>
      </c>
      <c r="C51" s="790" t="s">
        <v>957</v>
      </c>
      <c r="D51" s="789">
        <v>90</v>
      </c>
      <c r="E51" s="789"/>
      <c r="F51" s="789"/>
      <c r="G51" s="789"/>
      <c r="H51" s="789"/>
      <c r="I51" s="789"/>
      <c r="J51" s="789"/>
      <c r="K51" s="789"/>
      <c r="L51" s="789"/>
      <c r="M51" s="789"/>
    </row>
    <row r="52" spans="2:13" s="648" customFormat="1" ht="13.5" customHeight="1">
      <c r="B52" s="791">
        <v>43132</v>
      </c>
      <c r="C52" s="790" t="s">
        <v>306</v>
      </c>
      <c r="D52" s="789">
        <f>'2018-'!$J47</f>
        <v>1060.69</v>
      </c>
      <c r="E52" s="789"/>
      <c r="F52" s="789">
        <f>D52</f>
        <v>1060.69</v>
      </c>
      <c r="G52" s="789"/>
      <c r="H52" s="789"/>
      <c r="I52" s="789"/>
      <c r="J52" s="789"/>
      <c r="K52" s="789"/>
      <c r="L52" s="789"/>
      <c r="M52" s="789"/>
    </row>
    <row r="53" spans="2:13" s="648" customFormat="1" ht="13.5" customHeight="1">
      <c r="B53" s="791">
        <v>43132</v>
      </c>
      <c r="C53" s="790" t="s">
        <v>595</v>
      </c>
      <c r="D53" s="789">
        <f>'2018-'!K47</f>
        <v>1003.05</v>
      </c>
      <c r="E53" s="789"/>
      <c r="F53" s="789"/>
      <c r="G53" s="789"/>
      <c r="H53" s="789"/>
      <c r="I53" s="789"/>
      <c r="J53" s="789">
        <f>D53</f>
        <v>1003.05</v>
      </c>
      <c r="K53" s="789"/>
      <c r="L53" s="789"/>
      <c r="M53" s="789"/>
    </row>
    <row r="54" spans="2:13" s="648" customFormat="1" ht="13.5" customHeight="1">
      <c r="B54" s="791">
        <v>43132</v>
      </c>
      <c r="C54" s="790" t="s">
        <v>230</v>
      </c>
      <c r="D54" s="789">
        <v>59</v>
      </c>
      <c r="E54" s="789"/>
      <c r="F54" s="789"/>
      <c r="G54" s="789">
        <v>59</v>
      </c>
      <c r="H54" s="789"/>
      <c r="I54" s="789"/>
      <c r="J54" s="789"/>
      <c r="K54" s="789"/>
      <c r="L54" s="789"/>
      <c r="M54" s="789"/>
    </row>
    <row r="55" spans="2:13" s="648" customFormat="1" ht="13.5" customHeight="1">
      <c r="B55" s="791">
        <v>43134</v>
      </c>
      <c r="C55" s="790" t="s">
        <v>487</v>
      </c>
      <c r="D55" s="789">
        <v>100</v>
      </c>
      <c r="E55" s="789"/>
      <c r="F55" s="789"/>
      <c r="G55" s="789"/>
      <c r="H55" s="789"/>
      <c r="I55" s="789"/>
      <c r="J55" s="789"/>
      <c r="K55" s="789"/>
      <c r="L55" s="789"/>
      <c r="M55" s="789"/>
    </row>
    <row r="56" spans="2:13" s="648" customFormat="1" ht="13.5" customHeight="1">
      <c r="B56" s="791">
        <v>43133</v>
      </c>
      <c r="C56" s="790" t="s">
        <v>956</v>
      </c>
      <c r="D56" s="789">
        <v>300</v>
      </c>
      <c r="E56" s="789"/>
      <c r="F56" s="789"/>
      <c r="G56" s="789"/>
      <c r="H56" s="789"/>
      <c r="I56" s="789"/>
      <c r="J56" s="789"/>
      <c r="K56" s="789">
        <v>300</v>
      </c>
      <c r="L56" s="789"/>
      <c r="M56" s="789"/>
    </row>
    <row r="57" spans="2:13" s="648" customFormat="1" ht="13.5" customHeight="1">
      <c r="B57" s="791">
        <v>43133</v>
      </c>
      <c r="C57" s="790" t="s">
        <v>823</v>
      </c>
      <c r="D57" s="789">
        <v>150</v>
      </c>
      <c r="E57" s="789"/>
      <c r="F57" s="789"/>
      <c r="G57" s="789"/>
      <c r="H57" s="789"/>
      <c r="I57" s="789">
        <v>150</v>
      </c>
      <c r="J57" s="789"/>
      <c r="K57" s="789"/>
      <c r="L57" s="789"/>
      <c r="M57" s="789"/>
    </row>
    <row r="58" spans="2:13" s="648" customFormat="1" ht="13.5" customHeight="1">
      <c r="B58" s="791">
        <v>43133</v>
      </c>
      <c r="C58" s="790" t="s">
        <v>955</v>
      </c>
      <c r="D58" s="789">
        <v>-252</v>
      </c>
      <c r="E58" s="789"/>
      <c r="F58" s="789"/>
      <c r="G58" s="789"/>
      <c r="H58" s="789"/>
      <c r="I58" s="789"/>
      <c r="J58" s="789"/>
      <c r="K58" s="789"/>
      <c r="L58" s="789"/>
      <c r="M58" s="789"/>
    </row>
    <row r="59" spans="2:13" s="648" customFormat="1" ht="13.5" customHeight="1">
      <c r="B59" s="791">
        <v>43134</v>
      </c>
      <c r="C59" s="790" t="s">
        <v>216</v>
      </c>
      <c r="D59" s="789">
        <v>236.65</v>
      </c>
      <c r="E59" s="789">
        <v>200</v>
      </c>
      <c r="F59" s="789"/>
      <c r="G59" s="789"/>
      <c r="H59" s="789"/>
      <c r="I59" s="789"/>
      <c r="J59" s="789"/>
      <c r="K59" s="789"/>
      <c r="L59" s="789"/>
      <c r="M59" s="789"/>
    </row>
    <row r="60" spans="2:13" s="648" customFormat="1" ht="13.5" customHeight="1">
      <c r="B60" s="791">
        <v>43135</v>
      </c>
      <c r="C60" s="790" t="s">
        <v>216</v>
      </c>
      <c r="D60" s="789">
        <v>259.85000000000002</v>
      </c>
      <c r="E60" s="789">
        <v>259.85000000000002</v>
      </c>
      <c r="F60" s="789"/>
      <c r="G60" s="789"/>
      <c r="H60" s="789"/>
      <c r="I60" s="789"/>
      <c r="J60" s="789"/>
      <c r="K60" s="789"/>
      <c r="L60" s="789"/>
      <c r="M60" s="789"/>
    </row>
    <row r="61" spans="2:13" s="648" customFormat="1" ht="13.5" customHeight="1">
      <c r="B61" s="791">
        <v>43135</v>
      </c>
      <c r="C61" s="790" t="s">
        <v>216</v>
      </c>
      <c r="D61" s="789">
        <v>219.95</v>
      </c>
      <c r="E61" s="789">
        <v>219.95</v>
      </c>
      <c r="F61" s="789"/>
      <c r="G61" s="789"/>
      <c r="H61" s="789"/>
      <c r="I61" s="789"/>
      <c r="J61" s="789"/>
      <c r="K61" s="789"/>
      <c r="L61" s="789"/>
      <c r="M61" s="789"/>
    </row>
    <row r="62" spans="2:13" s="648" customFormat="1" ht="13.5" customHeight="1">
      <c r="B62" s="791">
        <v>43135</v>
      </c>
      <c r="C62" s="790" t="s">
        <v>216</v>
      </c>
      <c r="D62" s="789">
        <v>200</v>
      </c>
      <c r="E62" s="789">
        <v>200</v>
      </c>
      <c r="F62" s="789"/>
      <c r="G62" s="789"/>
      <c r="H62" s="789"/>
      <c r="I62" s="789"/>
      <c r="J62" s="789"/>
      <c r="K62" s="789"/>
      <c r="L62" s="789"/>
      <c r="M62" s="789"/>
    </row>
    <row r="63" spans="2:13" s="648" customFormat="1" ht="13.5" customHeight="1">
      <c r="B63" s="791">
        <v>43136</v>
      </c>
      <c r="C63" s="790" t="s">
        <v>164</v>
      </c>
      <c r="D63" s="789">
        <v>350</v>
      </c>
      <c r="E63" s="789"/>
      <c r="F63" s="789"/>
      <c r="G63" s="789"/>
      <c r="H63" s="789"/>
      <c r="I63" s="789"/>
      <c r="J63" s="789"/>
      <c r="K63" s="789"/>
      <c r="L63" s="789"/>
      <c r="M63" s="789"/>
    </row>
    <row r="64" spans="2:13" s="648" customFormat="1" ht="13.5" customHeight="1">
      <c r="B64" s="791">
        <v>43136</v>
      </c>
      <c r="C64" s="790" t="s">
        <v>186</v>
      </c>
      <c r="D64" s="789">
        <v>55</v>
      </c>
      <c r="E64" s="789"/>
      <c r="F64" s="789"/>
      <c r="G64" s="789"/>
      <c r="H64" s="789">
        <v>55</v>
      </c>
      <c r="I64" s="789"/>
      <c r="J64" s="789"/>
      <c r="K64" s="789"/>
      <c r="L64" s="789"/>
      <c r="M64" s="789"/>
    </row>
    <row r="65" spans="1:58" ht="13.5" customHeight="1">
      <c r="B65" s="791">
        <v>43137</v>
      </c>
      <c r="C65" s="790" t="s">
        <v>186</v>
      </c>
      <c r="D65" s="789">
        <v>-57</v>
      </c>
      <c r="E65" s="789"/>
      <c r="F65" s="789"/>
      <c r="G65" s="789"/>
      <c r="H65" s="789">
        <v>-57</v>
      </c>
      <c r="I65" s="789"/>
      <c r="J65" s="789"/>
      <c r="K65" s="789"/>
      <c r="L65" s="789"/>
      <c r="M65" s="789"/>
    </row>
    <row r="66" spans="1:58" ht="13.5" customHeight="1">
      <c r="B66" s="791">
        <v>43138</v>
      </c>
      <c r="C66" s="790" t="s">
        <v>954</v>
      </c>
      <c r="D66" s="789">
        <v>-500</v>
      </c>
      <c r="E66" s="789"/>
      <c r="F66" s="789"/>
      <c r="G66" s="789"/>
      <c r="H66" s="789"/>
      <c r="I66" s="789"/>
      <c r="J66" s="789"/>
      <c r="K66" s="789"/>
      <c r="L66" s="789"/>
      <c r="M66" s="789">
        <v>-500</v>
      </c>
    </row>
    <row r="67" spans="1:58" ht="13.5" customHeight="1">
      <c r="B67" s="791">
        <v>43141</v>
      </c>
      <c r="C67" s="790" t="s">
        <v>823</v>
      </c>
      <c r="D67" s="789">
        <v>30</v>
      </c>
      <c r="E67" s="789"/>
      <c r="F67" s="789"/>
      <c r="G67" s="789"/>
      <c r="H67" s="789"/>
      <c r="I67" s="789">
        <v>30</v>
      </c>
      <c r="J67" s="789"/>
      <c r="K67" s="789"/>
      <c r="L67" s="789"/>
      <c r="M67" s="789"/>
    </row>
    <row r="68" spans="1:58" ht="13.5" customHeight="1">
      <c r="B68" s="791">
        <v>43143</v>
      </c>
      <c r="C68" s="790" t="s">
        <v>953</v>
      </c>
      <c r="D68" s="789">
        <v>300</v>
      </c>
      <c r="E68" s="789"/>
      <c r="F68" s="789"/>
      <c r="G68" s="789"/>
      <c r="H68" s="789"/>
      <c r="I68" s="789"/>
      <c r="J68" s="789"/>
      <c r="K68" s="789">
        <v>300</v>
      </c>
      <c r="L68" s="789"/>
      <c r="M68" s="789"/>
    </row>
    <row r="69" spans="1:58" ht="13.5" customHeight="1">
      <c r="B69" s="791">
        <v>43143</v>
      </c>
      <c r="C69" s="790" t="s">
        <v>211</v>
      </c>
      <c r="D69" s="789">
        <v>300</v>
      </c>
      <c r="E69" s="789"/>
      <c r="F69" s="789"/>
      <c r="G69" s="789"/>
      <c r="H69" s="789"/>
      <c r="I69" s="789"/>
      <c r="J69" s="789"/>
      <c r="K69" s="789"/>
      <c r="L69" s="789"/>
      <c r="M69" s="789"/>
    </row>
    <row r="70" spans="1:58" ht="13.5" customHeight="1">
      <c r="B70" s="791">
        <v>43146</v>
      </c>
      <c r="C70" s="790" t="s">
        <v>162</v>
      </c>
      <c r="D70" s="789">
        <v>120</v>
      </c>
      <c r="E70" s="789">
        <v>120</v>
      </c>
      <c r="F70" s="789"/>
      <c r="G70" s="789"/>
      <c r="H70" s="789"/>
      <c r="I70" s="789"/>
      <c r="J70" s="789"/>
      <c r="K70" s="789"/>
      <c r="L70" s="789"/>
      <c r="M70" s="789"/>
    </row>
    <row r="71" spans="1:58" ht="13.5" customHeight="1">
      <c r="B71" s="791">
        <v>43137</v>
      </c>
      <c r="C71" s="790" t="s">
        <v>162</v>
      </c>
      <c r="D71" s="789">
        <v>269.10000000000002</v>
      </c>
      <c r="E71" s="789">
        <v>269.10000000000002</v>
      </c>
      <c r="F71" s="789"/>
      <c r="G71" s="789"/>
      <c r="H71" s="789"/>
      <c r="I71" s="789"/>
      <c r="J71" s="789"/>
      <c r="K71" s="789"/>
      <c r="L71" s="789"/>
      <c r="M71" s="789"/>
    </row>
    <row r="72" spans="1:58" ht="13.5" customHeight="1">
      <c r="B72" s="791">
        <v>43147</v>
      </c>
      <c r="C72" s="790" t="s">
        <v>216</v>
      </c>
      <c r="D72" s="789">
        <v>263.89999999999998</v>
      </c>
      <c r="E72" s="789">
        <v>240</v>
      </c>
      <c r="F72" s="789"/>
      <c r="G72" s="789"/>
      <c r="H72" s="789"/>
      <c r="I72" s="789"/>
      <c r="J72" s="789"/>
      <c r="K72" s="789"/>
      <c r="L72" s="789"/>
      <c r="M72" s="789"/>
    </row>
    <row r="73" spans="1:58" ht="13.5" customHeight="1">
      <c r="B73" s="791">
        <v>43147</v>
      </c>
      <c r="C73" s="790" t="s">
        <v>952</v>
      </c>
      <c r="D73" s="789">
        <v>104.3</v>
      </c>
      <c r="E73" s="789"/>
      <c r="F73" s="789"/>
      <c r="G73" s="789"/>
      <c r="H73" s="789"/>
      <c r="I73" s="789"/>
      <c r="J73" s="789"/>
      <c r="K73" s="789"/>
      <c r="L73" s="789"/>
      <c r="M73" s="789"/>
    </row>
    <row r="74" spans="1:58" ht="13.5" customHeight="1">
      <c r="B74" s="791">
        <v>43149</v>
      </c>
      <c r="C74" s="790" t="s">
        <v>951</v>
      </c>
      <c r="D74" s="789">
        <v>30</v>
      </c>
      <c r="E74" s="789"/>
      <c r="F74" s="789"/>
      <c r="G74" s="789"/>
      <c r="H74" s="789"/>
      <c r="I74" s="789">
        <v>30</v>
      </c>
      <c r="J74" s="789"/>
      <c r="K74" s="789"/>
      <c r="L74" s="789"/>
      <c r="M74" s="789"/>
    </row>
    <row r="75" spans="1:58" ht="13.5" customHeight="1">
      <c r="B75" s="791">
        <v>43152</v>
      </c>
      <c r="C75" s="790" t="s">
        <v>950</v>
      </c>
      <c r="D75" s="789">
        <v>278.2</v>
      </c>
      <c r="E75" s="789"/>
      <c r="F75" s="789">
        <v>278.2</v>
      </c>
      <c r="G75" s="789"/>
      <c r="H75" s="789"/>
      <c r="I75" s="789"/>
      <c r="J75" s="789"/>
      <c r="K75" s="789"/>
      <c r="L75" s="789"/>
      <c r="M75" s="789"/>
    </row>
    <row r="76" spans="1:58" ht="13.5" customHeight="1">
      <c r="B76" s="791">
        <v>43154</v>
      </c>
      <c r="C76" s="790" t="s">
        <v>12</v>
      </c>
      <c r="D76" s="789">
        <v>350</v>
      </c>
      <c r="E76" s="789"/>
      <c r="F76" s="789"/>
      <c r="G76" s="789"/>
      <c r="H76" s="789"/>
      <c r="I76" s="789"/>
      <c r="J76" s="789"/>
      <c r="K76" s="789">
        <v>350</v>
      </c>
      <c r="L76" s="789"/>
      <c r="M76" s="789"/>
    </row>
    <row r="77" spans="1:58" ht="13.5" customHeight="1">
      <c r="B77" s="791">
        <v>43158</v>
      </c>
      <c r="C77" s="790" t="s">
        <v>186</v>
      </c>
      <c r="D77" s="789">
        <v>-132</v>
      </c>
      <c r="E77" s="789"/>
      <c r="F77" s="789"/>
      <c r="G77" s="789"/>
      <c r="H77" s="789">
        <v>-132</v>
      </c>
      <c r="I77" s="789"/>
      <c r="J77" s="789"/>
      <c r="K77" s="789"/>
      <c r="L77" s="789"/>
      <c r="M77" s="789"/>
    </row>
    <row r="78" spans="1:58" s="694" customFormat="1" ht="13.5" customHeight="1">
      <c r="A78" s="700"/>
      <c r="B78" s="788" t="s">
        <v>120</v>
      </c>
      <c r="C78" s="787" t="s">
        <v>37</v>
      </c>
      <c r="D78" s="786"/>
      <c r="E78" s="786">
        <f t="shared" ref="E78:K78" si="3">SUM(E79:E102)</f>
        <v>1240</v>
      </c>
      <c r="F78" s="786">
        <f t="shared" si="3"/>
        <v>3914.42</v>
      </c>
      <c r="G78" s="786">
        <f t="shared" si="3"/>
        <v>334</v>
      </c>
      <c r="H78" s="786">
        <f t="shared" si="3"/>
        <v>105</v>
      </c>
      <c r="I78" s="786">
        <f t="shared" si="3"/>
        <v>150</v>
      </c>
      <c r="J78" s="786">
        <f t="shared" si="3"/>
        <v>1999.69</v>
      </c>
      <c r="K78" s="786">
        <f t="shared" si="3"/>
        <v>700</v>
      </c>
      <c r="L78" s="786"/>
      <c r="M78" s="786">
        <f>SUM(M79:M102)</f>
        <v>0</v>
      </c>
      <c r="N78" s="786"/>
      <c r="O78" s="786"/>
      <c r="P78" s="786"/>
      <c r="Q78" s="786"/>
      <c r="R78" s="786"/>
      <c r="S78" s="695"/>
      <c r="T78" s="695"/>
      <c r="U78" s="695"/>
      <c r="V78" s="695"/>
      <c r="W78" s="695"/>
      <c r="X78" s="695"/>
      <c r="Y78" s="695"/>
      <c r="Z78" s="695"/>
      <c r="AA78" s="695"/>
      <c r="AB78" s="695"/>
      <c r="AC78" s="695"/>
      <c r="AD78" s="695"/>
      <c r="AE78" s="695"/>
      <c r="AF78" s="695"/>
      <c r="AG78" s="695"/>
      <c r="AH78" s="695"/>
      <c r="AI78" s="695"/>
      <c r="AJ78" s="695"/>
      <c r="AK78" s="695"/>
      <c r="AL78" s="695"/>
      <c r="AM78" s="695"/>
      <c r="AN78" s="695"/>
      <c r="AO78" s="695"/>
      <c r="AP78" s="695"/>
      <c r="AQ78" s="695"/>
      <c r="AR78" s="695"/>
      <c r="AS78" s="695"/>
      <c r="AT78" s="695"/>
      <c r="AU78" s="695"/>
      <c r="AV78" s="695"/>
      <c r="AW78" s="695"/>
      <c r="AX78" s="695"/>
      <c r="AY78" s="695"/>
      <c r="AZ78" s="695"/>
      <c r="BA78" s="695"/>
      <c r="BB78" s="695"/>
      <c r="BC78" s="695"/>
      <c r="BD78" s="695"/>
      <c r="BE78" s="695"/>
      <c r="BF78" s="695"/>
    </row>
    <row r="79" spans="1:58" ht="13.5" customHeight="1">
      <c r="B79" s="791">
        <v>43159</v>
      </c>
      <c r="C79" s="790" t="s">
        <v>614</v>
      </c>
      <c r="D79" s="789">
        <v>620</v>
      </c>
      <c r="E79" s="789">
        <f>D79</f>
        <v>620</v>
      </c>
      <c r="F79" s="789"/>
      <c r="G79" s="789"/>
      <c r="H79" s="789"/>
      <c r="I79" s="789"/>
      <c r="J79" s="789"/>
      <c r="K79" s="789"/>
      <c r="L79" s="789"/>
      <c r="M79" s="789"/>
    </row>
    <row r="80" spans="1:58" ht="13.5" customHeight="1">
      <c r="B80" s="791">
        <v>43160</v>
      </c>
      <c r="C80" s="790" t="s">
        <v>306</v>
      </c>
      <c r="D80" s="789">
        <f>'2018-'!$J69</f>
        <v>1035.42</v>
      </c>
      <c r="E80" s="789"/>
      <c r="F80" s="789">
        <f>D80</f>
        <v>1035.42</v>
      </c>
      <c r="G80" s="789"/>
      <c r="H80" s="789"/>
      <c r="I80" s="789"/>
      <c r="J80" s="789"/>
      <c r="K80" s="789"/>
      <c r="L80" s="789"/>
      <c r="M80" s="789"/>
    </row>
    <row r="81" spans="1:13" s="648" customFormat="1" ht="13.5" customHeight="1">
      <c r="A81" s="654"/>
      <c r="B81" s="791">
        <v>43160</v>
      </c>
      <c r="C81" s="790" t="s">
        <v>595</v>
      </c>
      <c r="D81" s="789">
        <f>'2018-'!K69</f>
        <v>1999.69</v>
      </c>
      <c r="E81" s="789"/>
      <c r="F81" s="789"/>
      <c r="G81" s="789"/>
      <c r="H81" s="789"/>
      <c r="I81" s="789"/>
      <c r="J81" s="789">
        <f>D81</f>
        <v>1999.69</v>
      </c>
      <c r="K81" s="789"/>
      <c r="L81" s="789"/>
      <c r="M81" s="789"/>
    </row>
    <row r="82" spans="1:13" s="648" customFormat="1" ht="13.5" customHeight="1">
      <c r="A82" s="654"/>
      <c r="B82" s="791">
        <v>43160</v>
      </c>
      <c r="C82" s="790" t="s">
        <v>22</v>
      </c>
      <c r="D82" s="789">
        <v>89</v>
      </c>
      <c r="E82" s="789"/>
      <c r="F82" s="789"/>
      <c r="G82" s="789">
        <f>D82</f>
        <v>89</v>
      </c>
      <c r="H82" s="789"/>
      <c r="I82" s="789"/>
      <c r="J82" s="789"/>
      <c r="K82" s="789"/>
      <c r="L82" s="789"/>
      <c r="M82" s="789"/>
    </row>
    <row r="83" spans="1:13" s="648" customFormat="1" ht="13.5" customHeight="1">
      <c r="A83" s="654"/>
      <c r="B83" s="791">
        <v>43160</v>
      </c>
      <c r="C83" s="790" t="s">
        <v>21</v>
      </c>
      <c r="D83" s="789">
        <v>186</v>
      </c>
      <c r="E83" s="789"/>
      <c r="F83" s="789"/>
      <c r="G83" s="789">
        <f>D83</f>
        <v>186</v>
      </c>
      <c r="H83" s="789"/>
      <c r="I83" s="789"/>
      <c r="J83" s="789"/>
      <c r="K83" s="789"/>
      <c r="L83" s="789"/>
      <c r="M83" s="789"/>
    </row>
    <row r="84" spans="1:13" s="648" customFormat="1" ht="13.5" customHeight="1">
      <c r="A84" s="654"/>
      <c r="B84" s="791">
        <v>43160</v>
      </c>
      <c r="C84" s="790" t="s">
        <v>230</v>
      </c>
      <c r="D84" s="789">
        <v>59</v>
      </c>
      <c r="E84" s="789"/>
      <c r="F84" s="789"/>
      <c r="G84" s="789">
        <f>D84</f>
        <v>59</v>
      </c>
      <c r="H84" s="789"/>
      <c r="I84" s="789"/>
      <c r="J84" s="789"/>
      <c r="K84" s="789"/>
      <c r="L84" s="789"/>
      <c r="M84" s="789"/>
    </row>
    <row r="85" spans="1:13" s="648" customFormat="1" ht="13.5" customHeight="1">
      <c r="A85" s="654"/>
      <c r="B85" s="791">
        <v>43165</v>
      </c>
      <c r="C85" s="790" t="s">
        <v>283</v>
      </c>
      <c r="D85" s="789">
        <v>2480</v>
      </c>
      <c r="E85" s="789"/>
      <c r="F85" s="789">
        <v>2480</v>
      </c>
      <c r="G85" s="789"/>
      <c r="H85" s="789"/>
      <c r="I85" s="789"/>
      <c r="J85" s="789"/>
      <c r="K85" s="789"/>
      <c r="L85" s="789"/>
      <c r="M85" s="789"/>
    </row>
    <row r="86" spans="1:13" s="648" customFormat="1" ht="13.5" customHeight="1">
      <c r="A86" s="654"/>
      <c r="B86" s="791">
        <v>43170</v>
      </c>
      <c r="C86" s="790" t="s">
        <v>949</v>
      </c>
      <c r="D86" s="789">
        <v>25</v>
      </c>
      <c r="E86" s="789"/>
      <c r="F86" s="789"/>
      <c r="G86" s="789"/>
      <c r="H86" s="789"/>
      <c r="I86" s="789"/>
      <c r="J86" s="789"/>
      <c r="K86" s="789"/>
      <c r="L86" s="789"/>
      <c r="M86" s="789"/>
    </row>
    <row r="87" spans="1:13" s="648" customFormat="1" ht="13.5" customHeight="1">
      <c r="A87" s="654"/>
      <c r="B87" s="791">
        <v>43173</v>
      </c>
      <c r="C87" s="790" t="s">
        <v>229</v>
      </c>
      <c r="D87" s="789">
        <v>199.5</v>
      </c>
      <c r="E87" s="789"/>
      <c r="F87" s="789"/>
      <c r="G87" s="789"/>
      <c r="H87" s="789"/>
      <c r="I87" s="789"/>
      <c r="J87" s="789"/>
      <c r="K87" s="789"/>
      <c r="L87" s="789"/>
      <c r="M87" s="789"/>
    </row>
    <row r="88" spans="1:13" s="648" customFormat="1" ht="13.5" customHeight="1">
      <c r="A88" s="654"/>
      <c r="B88" s="791">
        <v>43174</v>
      </c>
      <c r="C88" s="790" t="s">
        <v>821</v>
      </c>
      <c r="D88" s="789">
        <v>399</v>
      </c>
      <c r="E88" s="789"/>
      <c r="F88" s="789">
        <v>399</v>
      </c>
      <c r="G88" s="789"/>
      <c r="H88" s="789"/>
      <c r="I88" s="789"/>
      <c r="J88" s="789"/>
      <c r="K88" s="789"/>
      <c r="L88" s="789"/>
      <c r="M88" s="789"/>
    </row>
    <row r="89" spans="1:13" s="648" customFormat="1" ht="13.5" customHeight="1">
      <c r="A89" s="654"/>
      <c r="B89" s="791">
        <v>43174</v>
      </c>
      <c r="C89" s="790" t="s">
        <v>216</v>
      </c>
      <c r="D89" s="789">
        <v>320</v>
      </c>
      <c r="E89" s="789">
        <v>320</v>
      </c>
      <c r="F89" s="789"/>
      <c r="G89" s="789"/>
      <c r="H89" s="789"/>
      <c r="I89" s="789"/>
      <c r="J89" s="789"/>
      <c r="K89" s="789"/>
      <c r="L89" s="789"/>
      <c r="M89" s="789"/>
    </row>
    <row r="90" spans="1:13" s="648" customFormat="1" ht="13.5" customHeight="1">
      <c r="A90" s="654"/>
      <c r="B90" s="791">
        <v>43173</v>
      </c>
      <c r="C90" s="790" t="s">
        <v>162</v>
      </c>
      <c r="D90" s="789">
        <v>100</v>
      </c>
      <c r="E90" s="789">
        <v>100</v>
      </c>
      <c r="F90" s="789"/>
      <c r="G90" s="789"/>
      <c r="H90" s="789"/>
      <c r="I90" s="789"/>
      <c r="J90" s="789"/>
      <c r="K90" s="789"/>
      <c r="L90" s="789"/>
      <c r="M90" s="789"/>
    </row>
    <row r="91" spans="1:13" s="648" customFormat="1" ht="13.5" customHeight="1">
      <c r="A91" s="654"/>
      <c r="B91" s="791">
        <v>43173</v>
      </c>
      <c r="C91" s="790" t="s">
        <v>186</v>
      </c>
      <c r="D91" s="789">
        <v>25</v>
      </c>
      <c r="E91" s="789"/>
      <c r="F91" s="789"/>
      <c r="G91" s="789"/>
      <c r="H91" s="789">
        <v>25</v>
      </c>
      <c r="I91" s="789"/>
      <c r="J91" s="789"/>
      <c r="K91" s="789"/>
      <c r="L91" s="789"/>
      <c r="M91" s="789"/>
    </row>
    <row r="92" spans="1:13" s="648" customFormat="1" ht="13.5" customHeight="1">
      <c r="A92" s="654" t="s">
        <v>19</v>
      </c>
      <c r="B92" s="791">
        <v>43177</v>
      </c>
      <c r="C92" s="790" t="s">
        <v>13</v>
      </c>
      <c r="D92" s="789">
        <v>350</v>
      </c>
      <c r="E92" s="789"/>
      <c r="F92" s="789"/>
      <c r="G92" s="789"/>
      <c r="H92" s="789"/>
      <c r="I92" s="789"/>
      <c r="J92" s="789"/>
      <c r="K92" s="789">
        <v>350</v>
      </c>
      <c r="L92" s="789"/>
      <c r="M92" s="789"/>
    </row>
    <row r="93" spans="1:13" s="648" customFormat="1" ht="13.5" customHeight="1">
      <c r="A93" s="654"/>
      <c r="B93" s="791">
        <v>43180</v>
      </c>
      <c r="C93" s="790" t="s">
        <v>8</v>
      </c>
      <c r="D93" s="789">
        <v>350</v>
      </c>
      <c r="E93" s="789"/>
      <c r="F93" s="789"/>
      <c r="G93" s="789"/>
      <c r="H93" s="789"/>
      <c r="I93" s="789"/>
      <c r="J93" s="789"/>
      <c r="K93" s="789">
        <v>350</v>
      </c>
      <c r="L93" s="789"/>
      <c r="M93" s="789"/>
    </row>
    <row r="94" spans="1:13" s="648" customFormat="1" ht="13.5" customHeight="1">
      <c r="A94" s="654"/>
      <c r="B94" s="791">
        <v>43152</v>
      </c>
      <c r="C94" s="790" t="s">
        <v>948</v>
      </c>
      <c r="D94" s="789">
        <v>30</v>
      </c>
      <c r="E94" s="789"/>
      <c r="F94" s="789"/>
      <c r="G94" s="789"/>
      <c r="H94" s="789"/>
      <c r="I94" s="789">
        <f>D94</f>
        <v>30</v>
      </c>
      <c r="J94" s="789"/>
      <c r="K94" s="789"/>
      <c r="L94" s="789"/>
      <c r="M94" s="789"/>
    </row>
    <row r="95" spans="1:13" s="648" customFormat="1" ht="13.5" customHeight="1">
      <c r="A95" s="654"/>
      <c r="B95" s="791">
        <v>43159</v>
      </c>
      <c r="C95" s="790" t="s">
        <v>947</v>
      </c>
      <c r="D95" s="789">
        <v>30</v>
      </c>
      <c r="E95" s="789"/>
      <c r="F95" s="789"/>
      <c r="G95" s="789"/>
      <c r="H95" s="789"/>
      <c r="I95" s="789">
        <f>D95</f>
        <v>30</v>
      </c>
      <c r="J95" s="789"/>
      <c r="K95" s="789"/>
      <c r="L95" s="789"/>
      <c r="M95" s="789"/>
    </row>
    <row r="96" spans="1:13" s="648" customFormat="1" ht="13.5" customHeight="1">
      <c r="A96" s="654"/>
      <c r="B96" s="791">
        <v>43166</v>
      </c>
      <c r="C96" s="790" t="s">
        <v>946</v>
      </c>
      <c r="D96" s="789">
        <v>30</v>
      </c>
      <c r="E96" s="789"/>
      <c r="F96" s="789"/>
      <c r="G96" s="789"/>
      <c r="H96" s="789"/>
      <c r="I96" s="789">
        <f>D96</f>
        <v>30</v>
      </c>
      <c r="J96" s="789"/>
      <c r="K96" s="789"/>
      <c r="L96" s="789"/>
      <c r="M96" s="789"/>
    </row>
    <row r="97" spans="1:58" ht="13.5" customHeight="1">
      <c r="B97" s="791">
        <v>43173</v>
      </c>
      <c r="C97" s="790" t="s">
        <v>945</v>
      </c>
      <c r="D97" s="789">
        <v>30</v>
      </c>
      <c r="E97" s="789"/>
      <c r="F97" s="789"/>
      <c r="G97" s="789"/>
      <c r="H97" s="789"/>
      <c r="I97" s="789">
        <f>D97</f>
        <v>30</v>
      </c>
      <c r="J97" s="789"/>
      <c r="K97" s="789"/>
      <c r="L97" s="789"/>
      <c r="M97" s="789"/>
    </row>
    <row r="98" spans="1:58" ht="13.5" customHeight="1">
      <c r="B98" s="791">
        <v>43180</v>
      </c>
      <c r="C98" s="790" t="s">
        <v>186</v>
      </c>
      <c r="D98" s="789">
        <v>55</v>
      </c>
      <c r="E98" s="789"/>
      <c r="F98" s="789"/>
      <c r="G98" s="789"/>
      <c r="H98" s="789">
        <v>55</v>
      </c>
      <c r="I98" s="789"/>
      <c r="J98" s="789"/>
      <c r="K98" s="789"/>
      <c r="L98" s="789"/>
      <c r="M98" s="789"/>
    </row>
    <row r="99" spans="1:58" ht="13.5" customHeight="1">
      <c r="B99" s="791">
        <v>43181</v>
      </c>
      <c r="C99" s="790" t="s">
        <v>216</v>
      </c>
      <c r="D99" s="789">
        <v>200</v>
      </c>
      <c r="E99" s="789">
        <v>200</v>
      </c>
      <c r="F99" s="789"/>
      <c r="G99" s="789"/>
      <c r="H99" s="789"/>
      <c r="I99" s="789"/>
      <c r="J99" s="789"/>
      <c r="K99" s="789"/>
      <c r="L99" s="789"/>
      <c r="M99" s="789"/>
    </row>
    <row r="100" spans="1:58" ht="13.5" customHeight="1">
      <c r="B100" s="791">
        <v>43185</v>
      </c>
      <c r="C100" s="790" t="s">
        <v>186</v>
      </c>
      <c r="D100" s="789">
        <v>25</v>
      </c>
      <c r="E100" s="789"/>
      <c r="F100" s="789"/>
      <c r="G100" s="789"/>
      <c r="H100" s="789">
        <v>25</v>
      </c>
      <c r="I100" s="789"/>
      <c r="J100" s="789"/>
      <c r="K100" s="789"/>
      <c r="L100" s="789"/>
      <c r="M100" s="789"/>
    </row>
    <row r="101" spans="1:58" ht="13.5" customHeight="1">
      <c r="B101" s="791">
        <v>43165</v>
      </c>
      <c r="C101" s="790" t="s">
        <v>944</v>
      </c>
      <c r="D101" s="789">
        <v>30</v>
      </c>
      <c r="E101" s="789"/>
      <c r="F101" s="789"/>
      <c r="G101" s="789"/>
      <c r="H101" s="789"/>
      <c r="I101" s="789">
        <f>D101</f>
        <v>30</v>
      </c>
      <c r="J101" s="789"/>
      <c r="K101" s="789"/>
      <c r="L101" s="789"/>
      <c r="M101" s="789"/>
    </row>
    <row r="102" spans="1:58" ht="13.5" customHeight="1">
      <c r="B102" s="791"/>
      <c r="C102" s="790"/>
      <c r="D102" s="789"/>
      <c r="E102" s="789"/>
      <c r="F102" s="789"/>
      <c r="G102" s="789"/>
      <c r="H102" s="789"/>
      <c r="I102" s="789"/>
      <c r="J102" s="789"/>
      <c r="K102" s="789"/>
      <c r="L102" s="789"/>
      <c r="M102" s="789"/>
    </row>
    <row r="103" spans="1:58" s="694" customFormat="1" ht="13.5" customHeight="1">
      <c r="A103" s="700"/>
      <c r="B103" s="788" t="s">
        <v>119</v>
      </c>
      <c r="C103" s="787" t="s">
        <v>37</v>
      </c>
      <c r="D103" s="786"/>
      <c r="E103" s="786">
        <f t="shared" ref="E103:M103" si="4">SUM(E104:E147)</f>
        <v>500</v>
      </c>
      <c r="F103" s="786" t="e">
        <f t="shared" si="4"/>
        <v>#REF!</v>
      </c>
      <c r="G103" s="786">
        <f t="shared" si="4"/>
        <v>334</v>
      </c>
      <c r="H103" s="786">
        <f t="shared" si="4"/>
        <v>298</v>
      </c>
      <c r="I103" s="786">
        <f t="shared" si="4"/>
        <v>150</v>
      </c>
      <c r="J103" s="786">
        <f t="shared" si="4"/>
        <v>-0.20000000000004547</v>
      </c>
      <c r="K103" s="786">
        <f t="shared" si="4"/>
        <v>0</v>
      </c>
      <c r="L103" s="786">
        <f t="shared" si="4"/>
        <v>0</v>
      </c>
      <c r="M103" s="786">
        <f t="shared" si="4"/>
        <v>-500</v>
      </c>
      <c r="N103" s="786"/>
      <c r="O103" s="786"/>
      <c r="P103" s="786"/>
      <c r="Q103" s="786"/>
      <c r="R103" s="786"/>
      <c r="S103" s="695"/>
      <c r="T103" s="695"/>
      <c r="U103" s="695"/>
      <c r="V103" s="695"/>
      <c r="W103" s="695"/>
      <c r="X103" s="695"/>
      <c r="Y103" s="695"/>
      <c r="Z103" s="695"/>
      <c r="AA103" s="695"/>
      <c r="AB103" s="695"/>
      <c r="AC103" s="695"/>
      <c r="AD103" s="695"/>
      <c r="AE103" s="695"/>
      <c r="AF103" s="695"/>
      <c r="AG103" s="695"/>
      <c r="AH103" s="695"/>
      <c r="AI103" s="695"/>
      <c r="AJ103" s="695"/>
      <c r="AK103" s="695"/>
      <c r="AL103" s="695"/>
      <c r="AM103" s="695"/>
      <c r="AN103" s="695"/>
      <c r="AO103" s="695"/>
      <c r="AP103" s="695"/>
      <c r="AQ103" s="695"/>
      <c r="AR103" s="695"/>
      <c r="AS103" s="695"/>
      <c r="AT103" s="695"/>
      <c r="AU103" s="695"/>
      <c r="AV103" s="695"/>
      <c r="AW103" s="695"/>
      <c r="AX103" s="695"/>
      <c r="AY103" s="695"/>
      <c r="AZ103" s="695"/>
      <c r="BA103" s="695"/>
      <c r="BB103" s="695"/>
      <c r="BC103" s="695"/>
      <c r="BD103" s="695"/>
      <c r="BE103" s="695"/>
      <c r="BF103" s="695"/>
    </row>
    <row r="104" spans="1:58" ht="13.5" customHeight="1">
      <c r="B104" s="791">
        <v>43187</v>
      </c>
      <c r="C104" s="790" t="s">
        <v>943</v>
      </c>
      <c r="D104" s="789" t="e">
        <f>#REF!</f>
        <v>#REF!</v>
      </c>
      <c r="E104" s="789"/>
      <c r="F104" s="789" t="e">
        <f>D104</f>
        <v>#REF!</v>
      </c>
      <c r="G104" s="789"/>
      <c r="H104" s="789"/>
      <c r="I104" s="789"/>
      <c r="J104" s="789"/>
      <c r="K104" s="789"/>
      <c r="L104" s="789"/>
      <c r="M104" s="789"/>
    </row>
    <row r="105" spans="1:58" ht="13.5" customHeight="1">
      <c r="B105" s="791">
        <v>43187</v>
      </c>
      <c r="C105" s="790" t="s">
        <v>22</v>
      </c>
      <c r="D105" s="789">
        <v>89</v>
      </c>
      <c r="E105" s="789"/>
      <c r="F105" s="789"/>
      <c r="G105" s="789">
        <f>D105</f>
        <v>89</v>
      </c>
      <c r="H105" s="789"/>
      <c r="I105" s="789"/>
      <c r="J105" s="789"/>
      <c r="K105" s="789"/>
      <c r="L105" s="789"/>
      <c r="M105" s="789"/>
    </row>
    <row r="106" spans="1:58" ht="13.5" customHeight="1">
      <c r="B106" s="791">
        <v>43187</v>
      </c>
      <c r="C106" s="790" t="s">
        <v>21</v>
      </c>
      <c r="D106" s="789">
        <v>186</v>
      </c>
      <c r="E106" s="789"/>
      <c r="F106" s="789"/>
      <c r="G106" s="789">
        <f>D106</f>
        <v>186</v>
      </c>
      <c r="H106" s="789"/>
      <c r="I106" s="789"/>
      <c r="J106" s="789"/>
      <c r="K106" s="789"/>
      <c r="L106" s="789"/>
      <c r="M106" s="789"/>
    </row>
    <row r="107" spans="1:58" ht="13.5" customHeight="1">
      <c r="B107" s="791">
        <v>43187</v>
      </c>
      <c r="C107" s="790" t="s">
        <v>942</v>
      </c>
      <c r="D107" s="789">
        <v>149</v>
      </c>
      <c r="E107" s="789"/>
      <c r="F107" s="789"/>
      <c r="G107" s="789"/>
      <c r="H107" s="789"/>
      <c r="I107" s="789"/>
      <c r="J107" s="789"/>
      <c r="K107" s="789"/>
      <c r="L107" s="789"/>
      <c r="M107" s="789"/>
    </row>
    <row r="108" spans="1:58" ht="13.5" customHeight="1">
      <c r="B108" s="791">
        <v>43187</v>
      </c>
      <c r="C108" s="790" t="s">
        <v>941</v>
      </c>
      <c r="D108" s="789">
        <v>30</v>
      </c>
      <c r="E108" s="789"/>
      <c r="F108" s="789"/>
      <c r="G108" s="789"/>
      <c r="H108" s="789"/>
      <c r="I108" s="789">
        <f>D108</f>
        <v>30</v>
      </c>
      <c r="J108" s="789"/>
      <c r="K108" s="789"/>
      <c r="L108" s="789"/>
      <c r="M108" s="789"/>
    </row>
    <row r="109" spans="1:58" ht="13.5" customHeight="1">
      <c r="B109" s="791">
        <v>43187</v>
      </c>
      <c r="C109" s="790" t="s">
        <v>216</v>
      </c>
      <c r="D109" s="789">
        <v>300</v>
      </c>
      <c r="E109" s="789">
        <v>300</v>
      </c>
      <c r="F109" s="789"/>
      <c r="G109" s="789"/>
      <c r="H109" s="789"/>
      <c r="I109" s="789"/>
      <c r="J109" s="789"/>
      <c r="K109" s="789"/>
      <c r="L109" s="789"/>
      <c r="M109" s="789"/>
    </row>
    <row r="110" spans="1:58" ht="13.5" customHeight="1">
      <c r="B110" s="791">
        <v>43187</v>
      </c>
      <c r="C110" s="790" t="s">
        <v>940</v>
      </c>
      <c r="D110" s="789">
        <v>45</v>
      </c>
      <c r="E110" s="789"/>
      <c r="F110" s="789"/>
      <c r="G110" s="789"/>
      <c r="H110" s="789"/>
      <c r="I110" s="789"/>
      <c r="J110" s="789"/>
      <c r="K110" s="789"/>
      <c r="L110" s="789"/>
      <c r="M110" s="789"/>
    </row>
    <row r="111" spans="1:58" ht="13.5" customHeight="1">
      <c r="B111" s="791">
        <v>43190</v>
      </c>
      <c r="C111" s="790" t="s">
        <v>186</v>
      </c>
      <c r="D111" s="789">
        <v>25</v>
      </c>
      <c r="E111" s="789"/>
      <c r="F111" s="789"/>
      <c r="G111" s="789"/>
      <c r="H111" s="789">
        <v>25</v>
      </c>
      <c r="I111" s="789"/>
      <c r="J111" s="789"/>
      <c r="K111" s="789"/>
      <c r="L111" s="789"/>
      <c r="M111" s="789"/>
    </row>
    <row r="112" spans="1:58" ht="13.5" customHeight="1">
      <c r="B112" s="791">
        <v>43191</v>
      </c>
      <c r="C112" s="790" t="s">
        <v>306</v>
      </c>
      <c r="D112" s="789">
        <f>'2018-'!$J90</f>
        <v>720.65</v>
      </c>
      <c r="E112" s="789"/>
      <c r="F112" s="789">
        <f>D112</f>
        <v>720.65</v>
      </c>
      <c r="G112" s="789"/>
      <c r="H112" s="789"/>
      <c r="I112" s="789"/>
      <c r="J112" s="789"/>
      <c r="K112" s="789"/>
      <c r="L112" s="789"/>
      <c r="M112" s="789"/>
    </row>
    <row r="113" spans="2:13" s="648" customFormat="1" ht="13.5" customHeight="1">
      <c r="B113" s="791">
        <v>43191</v>
      </c>
      <c r="C113" s="790" t="s">
        <v>595</v>
      </c>
      <c r="D113" s="789">
        <f>'2018-'!K90</f>
        <v>1799.8</v>
      </c>
      <c r="E113" s="789"/>
      <c r="F113" s="789"/>
      <c r="G113" s="789"/>
      <c r="H113" s="789"/>
      <c r="I113" s="789"/>
      <c r="J113" s="789">
        <f>D113</f>
        <v>1799.8</v>
      </c>
      <c r="K113" s="789"/>
      <c r="L113" s="789"/>
      <c r="M113" s="789"/>
    </row>
    <row r="114" spans="2:13" s="648" customFormat="1" ht="13.5" customHeight="1">
      <c r="B114" s="791">
        <v>43191</v>
      </c>
      <c r="C114" s="790" t="s">
        <v>186</v>
      </c>
      <c r="D114" s="789">
        <v>25</v>
      </c>
      <c r="E114" s="789"/>
      <c r="F114" s="789"/>
      <c r="G114" s="789"/>
      <c r="H114" s="789">
        <v>25</v>
      </c>
      <c r="I114" s="789"/>
      <c r="J114" s="789"/>
      <c r="K114" s="789"/>
      <c r="L114" s="789"/>
      <c r="M114" s="789"/>
    </row>
    <row r="115" spans="2:13" s="648" customFormat="1" ht="13.5" customHeight="1">
      <c r="B115" s="791">
        <v>43191</v>
      </c>
      <c r="C115" s="790" t="s">
        <v>230</v>
      </c>
      <c r="D115" s="789">
        <v>59</v>
      </c>
      <c r="E115" s="789"/>
      <c r="F115" s="789"/>
      <c r="G115" s="789">
        <f>D115</f>
        <v>59</v>
      </c>
      <c r="H115" s="789"/>
      <c r="I115" s="789"/>
      <c r="J115" s="789"/>
      <c r="K115" s="789"/>
      <c r="L115" s="789"/>
      <c r="M115" s="789"/>
    </row>
    <row r="116" spans="2:13" s="648" customFormat="1" ht="13.5" customHeight="1">
      <c r="B116" s="791">
        <v>43193</v>
      </c>
      <c r="C116" s="790" t="s">
        <v>186</v>
      </c>
      <c r="D116" s="789">
        <v>180</v>
      </c>
      <c r="E116" s="789"/>
      <c r="F116" s="789"/>
      <c r="G116" s="789"/>
      <c r="H116" s="789">
        <v>180</v>
      </c>
      <c r="I116" s="789"/>
      <c r="J116" s="789"/>
      <c r="K116" s="789"/>
      <c r="L116" s="789"/>
      <c r="M116" s="789"/>
    </row>
    <row r="117" spans="2:13" s="648" customFormat="1" ht="13.5" customHeight="1">
      <c r="B117" s="791">
        <v>43194</v>
      </c>
      <c r="C117" s="790" t="s">
        <v>939</v>
      </c>
      <c r="D117" s="789">
        <v>20</v>
      </c>
      <c r="E117" s="789"/>
      <c r="F117" s="789">
        <v>20</v>
      </c>
      <c r="G117" s="789"/>
      <c r="H117" s="789"/>
      <c r="I117" s="789"/>
      <c r="J117" s="789"/>
      <c r="K117" s="789"/>
      <c r="L117" s="789"/>
      <c r="M117" s="789"/>
    </row>
    <row r="118" spans="2:13" s="648" customFormat="1" ht="13.5" customHeight="1">
      <c r="B118" s="791">
        <v>43194</v>
      </c>
      <c r="C118" s="790" t="s">
        <v>216</v>
      </c>
      <c r="D118" s="789">
        <v>200</v>
      </c>
      <c r="E118" s="789">
        <v>200</v>
      </c>
      <c r="F118" s="789"/>
      <c r="G118" s="789"/>
      <c r="H118" s="789"/>
      <c r="I118" s="789"/>
      <c r="J118" s="789"/>
      <c r="K118" s="789"/>
      <c r="L118" s="789"/>
      <c r="M118" s="789"/>
    </row>
    <row r="119" spans="2:13" s="648" customFormat="1" ht="13.5" customHeight="1">
      <c r="B119" s="791">
        <v>43194</v>
      </c>
      <c r="C119" s="790" t="s">
        <v>937</v>
      </c>
      <c r="D119" s="789">
        <v>59.5</v>
      </c>
      <c r="E119" s="789"/>
      <c r="F119" s="789"/>
      <c r="G119" s="789"/>
      <c r="H119" s="789"/>
      <c r="I119" s="789"/>
      <c r="J119" s="789"/>
      <c r="K119" s="789"/>
      <c r="L119" s="789"/>
      <c r="M119" s="789"/>
    </row>
    <row r="120" spans="2:13" s="648" customFormat="1" ht="13.5" customHeight="1">
      <c r="B120" s="791">
        <v>43194</v>
      </c>
      <c r="C120" s="790" t="s">
        <v>202</v>
      </c>
      <c r="D120" s="789">
        <v>179</v>
      </c>
      <c r="E120" s="789"/>
      <c r="F120" s="789"/>
      <c r="G120" s="789"/>
      <c r="H120" s="789"/>
      <c r="I120" s="789"/>
      <c r="J120" s="789"/>
      <c r="K120" s="789"/>
      <c r="L120" s="789"/>
      <c r="M120" s="789"/>
    </row>
    <row r="121" spans="2:13" s="648" customFormat="1" ht="13.5" customHeight="1">
      <c r="B121" s="791">
        <v>43194</v>
      </c>
      <c r="C121" s="790" t="s">
        <v>938</v>
      </c>
      <c r="D121" s="789">
        <v>30</v>
      </c>
      <c r="E121" s="789"/>
      <c r="F121" s="789"/>
      <c r="G121" s="789"/>
      <c r="H121" s="789"/>
      <c r="I121" s="789">
        <v>30</v>
      </c>
      <c r="J121" s="789"/>
      <c r="K121" s="789"/>
      <c r="L121" s="789"/>
      <c r="M121" s="789"/>
    </row>
    <row r="122" spans="2:13" s="648" customFormat="1" ht="13.5" customHeight="1">
      <c r="B122" s="791">
        <v>43195</v>
      </c>
      <c r="C122" s="790" t="s">
        <v>126</v>
      </c>
      <c r="D122" s="789">
        <v>38</v>
      </c>
      <c r="E122" s="789"/>
      <c r="F122" s="789"/>
      <c r="G122" s="789"/>
      <c r="H122" s="789">
        <v>38</v>
      </c>
      <c r="I122" s="789"/>
      <c r="J122" s="789"/>
      <c r="K122" s="789"/>
      <c r="L122" s="789"/>
      <c r="M122" s="789"/>
    </row>
    <row r="123" spans="2:13" s="648" customFormat="1" ht="13.5" customHeight="1">
      <c r="B123" s="791">
        <v>43196</v>
      </c>
      <c r="C123" s="790" t="s">
        <v>936</v>
      </c>
      <c r="D123" s="789">
        <v>99</v>
      </c>
      <c r="E123" s="789"/>
      <c r="F123" s="789"/>
      <c r="G123" s="789"/>
      <c r="H123" s="789"/>
      <c r="I123" s="789"/>
      <c r="J123" s="789"/>
      <c r="K123" s="789"/>
      <c r="L123" s="789"/>
      <c r="M123" s="789"/>
    </row>
    <row r="124" spans="2:13" s="648" customFormat="1" ht="13.5" customHeight="1">
      <c r="B124" s="791">
        <v>43197</v>
      </c>
      <c r="C124" s="790" t="s">
        <v>58</v>
      </c>
      <c r="D124" s="789">
        <v>-1800</v>
      </c>
      <c r="E124" s="789"/>
      <c r="F124" s="789"/>
      <c r="G124" s="789"/>
      <c r="H124" s="789"/>
      <c r="I124" s="789"/>
      <c r="J124" s="789">
        <v>-1800</v>
      </c>
      <c r="K124" s="789"/>
      <c r="L124" s="789"/>
      <c r="M124" s="789"/>
    </row>
    <row r="125" spans="2:13" s="648" customFormat="1" ht="13.5" customHeight="1">
      <c r="B125" s="791">
        <v>43199</v>
      </c>
      <c r="C125" s="790" t="s">
        <v>131</v>
      </c>
      <c r="D125" s="789">
        <v>50</v>
      </c>
      <c r="E125" s="789"/>
      <c r="F125" s="789"/>
      <c r="G125" s="789"/>
      <c r="H125" s="789"/>
      <c r="I125" s="789"/>
      <c r="J125" s="789"/>
      <c r="K125" s="789"/>
      <c r="L125" s="789"/>
      <c r="M125" s="789"/>
    </row>
    <row r="126" spans="2:13" s="648" customFormat="1" ht="13.5" customHeight="1">
      <c r="B126" s="791">
        <v>43197</v>
      </c>
      <c r="C126" s="790" t="s">
        <v>937</v>
      </c>
      <c r="D126" s="789">
        <v>258.10000000000002</v>
      </c>
      <c r="E126" s="789"/>
      <c r="F126" s="789"/>
      <c r="G126" s="789"/>
      <c r="H126" s="789"/>
      <c r="I126" s="789"/>
      <c r="J126" s="789"/>
      <c r="K126" s="789"/>
      <c r="L126" s="789"/>
      <c r="M126" s="789"/>
    </row>
    <row r="127" spans="2:13" s="648" customFormat="1" ht="13.5" customHeight="1">
      <c r="B127" s="791">
        <v>43200</v>
      </c>
      <c r="C127" s="790" t="s">
        <v>936</v>
      </c>
      <c r="D127" s="789">
        <v>99</v>
      </c>
      <c r="E127" s="789"/>
      <c r="F127" s="789"/>
      <c r="G127" s="789"/>
      <c r="H127" s="789"/>
      <c r="I127" s="789"/>
      <c r="J127" s="789"/>
      <c r="K127" s="789"/>
      <c r="L127" s="789"/>
      <c r="M127" s="789"/>
    </row>
    <row r="128" spans="2:13" s="648" customFormat="1" ht="13.5" customHeight="1">
      <c r="B128" s="791">
        <v>43200</v>
      </c>
      <c r="C128" s="790" t="s">
        <v>935</v>
      </c>
      <c r="D128" s="789">
        <v>29</v>
      </c>
      <c r="E128" s="789"/>
      <c r="F128" s="789"/>
      <c r="G128" s="789"/>
      <c r="H128" s="789"/>
      <c r="I128" s="789"/>
      <c r="J128" s="789"/>
      <c r="K128" s="789"/>
      <c r="L128" s="789"/>
      <c r="M128" s="789"/>
    </row>
    <row r="129" spans="2:13" s="648" customFormat="1" ht="13.5" customHeight="1">
      <c r="B129" s="791">
        <v>43201</v>
      </c>
      <c r="C129" s="790" t="s">
        <v>874</v>
      </c>
      <c r="D129" s="789">
        <v>115</v>
      </c>
      <c r="E129" s="789"/>
      <c r="F129" s="789"/>
      <c r="G129" s="789"/>
      <c r="H129" s="789"/>
      <c r="I129" s="789"/>
      <c r="J129" s="789"/>
      <c r="K129" s="789"/>
      <c r="L129" s="789"/>
      <c r="M129" s="789"/>
    </row>
    <row r="130" spans="2:13" s="648" customFormat="1" ht="13.5" customHeight="1">
      <c r="B130" s="791">
        <v>43201</v>
      </c>
      <c r="C130" s="790" t="s">
        <v>186</v>
      </c>
      <c r="D130" s="789">
        <v>30</v>
      </c>
      <c r="E130" s="789"/>
      <c r="F130" s="789"/>
      <c r="G130" s="789"/>
      <c r="H130" s="789">
        <v>30</v>
      </c>
      <c r="I130" s="789"/>
      <c r="J130" s="789"/>
      <c r="K130" s="789"/>
      <c r="L130" s="789"/>
      <c r="M130" s="789"/>
    </row>
    <row r="131" spans="2:13" s="648" customFormat="1" ht="13.5" customHeight="1">
      <c r="B131" s="791">
        <v>43202</v>
      </c>
      <c r="C131" s="790" t="s">
        <v>874</v>
      </c>
      <c r="D131" s="789">
        <v>39</v>
      </c>
      <c r="E131" s="789"/>
      <c r="F131" s="789"/>
      <c r="G131" s="789"/>
      <c r="H131" s="789"/>
      <c r="I131" s="789"/>
      <c r="J131" s="789"/>
      <c r="K131" s="789"/>
      <c r="L131" s="789"/>
      <c r="M131" s="789"/>
    </row>
    <row r="132" spans="2:13" s="648" customFormat="1" ht="13.5" customHeight="1">
      <c r="B132" s="791">
        <v>43202</v>
      </c>
      <c r="C132" s="790" t="s">
        <v>543</v>
      </c>
      <c r="D132" s="789">
        <v>60</v>
      </c>
      <c r="E132" s="789"/>
      <c r="F132" s="789"/>
      <c r="G132" s="789"/>
      <c r="H132" s="789"/>
      <c r="I132" s="789"/>
      <c r="J132" s="789"/>
      <c r="K132" s="789"/>
      <c r="L132" s="789"/>
      <c r="M132" s="789"/>
    </row>
    <row r="133" spans="2:13" s="648" customFormat="1" ht="13.5" customHeight="1">
      <c r="B133" s="791">
        <v>43202</v>
      </c>
      <c r="C133" s="790" t="s">
        <v>876</v>
      </c>
      <c r="D133" s="789">
        <v>50</v>
      </c>
      <c r="E133" s="789"/>
      <c r="F133" s="789"/>
      <c r="G133" s="789"/>
      <c r="H133" s="789"/>
      <c r="I133" s="789"/>
      <c r="J133" s="789"/>
      <c r="K133" s="789"/>
      <c r="L133" s="789"/>
      <c r="M133" s="789"/>
    </row>
    <row r="134" spans="2:13" s="648" customFormat="1" ht="13.5" customHeight="1">
      <c r="B134" s="791">
        <v>43204</v>
      </c>
      <c r="C134" s="790" t="s">
        <v>934</v>
      </c>
      <c r="D134" s="789">
        <v>200</v>
      </c>
      <c r="E134" s="789"/>
      <c r="F134" s="789"/>
      <c r="G134" s="789"/>
      <c r="H134" s="789"/>
      <c r="I134" s="789"/>
      <c r="J134" s="789"/>
      <c r="K134" s="789"/>
      <c r="L134" s="789"/>
      <c r="M134" s="789"/>
    </row>
    <row r="135" spans="2:13" s="648" customFormat="1" ht="13.5" customHeight="1">
      <c r="B135" s="791">
        <v>43204</v>
      </c>
      <c r="C135" s="790" t="s">
        <v>933</v>
      </c>
      <c r="D135" s="789">
        <v>30</v>
      </c>
      <c r="E135" s="789"/>
      <c r="F135" s="789"/>
      <c r="G135" s="789"/>
      <c r="H135" s="789"/>
      <c r="I135" s="789">
        <v>30</v>
      </c>
      <c r="J135" s="789"/>
      <c r="K135" s="789"/>
      <c r="L135" s="789"/>
      <c r="M135" s="789"/>
    </row>
    <row r="136" spans="2:13" s="648" customFormat="1" ht="13.5" customHeight="1">
      <c r="B136" s="791">
        <v>43204</v>
      </c>
      <c r="C136" s="790" t="s">
        <v>932</v>
      </c>
      <c r="D136" s="789">
        <v>279</v>
      </c>
      <c r="E136" s="789"/>
      <c r="F136" s="789"/>
      <c r="G136" s="789"/>
      <c r="H136" s="789"/>
      <c r="I136" s="789"/>
      <c r="J136" s="789"/>
      <c r="K136" s="789"/>
      <c r="L136" s="789"/>
      <c r="M136" s="789"/>
    </row>
    <row r="137" spans="2:13" s="648" customFormat="1" ht="13.5" customHeight="1">
      <c r="B137" s="791">
        <v>43206</v>
      </c>
      <c r="C137" s="790" t="s">
        <v>491</v>
      </c>
      <c r="D137" s="789">
        <v>400</v>
      </c>
      <c r="E137" s="789"/>
      <c r="F137" s="789"/>
      <c r="G137" s="789"/>
      <c r="H137" s="789"/>
      <c r="I137" s="789"/>
      <c r="J137" s="789"/>
      <c r="K137" s="789"/>
      <c r="L137" s="789"/>
      <c r="M137" s="789"/>
    </row>
    <row r="138" spans="2:13" s="648" customFormat="1" ht="13.5" customHeight="1">
      <c r="B138" s="791">
        <v>43208</v>
      </c>
      <c r="C138" s="790" t="s">
        <v>654</v>
      </c>
      <c r="D138" s="789">
        <v>150</v>
      </c>
      <c r="E138" s="789"/>
      <c r="F138" s="789"/>
      <c r="G138" s="789"/>
      <c r="H138" s="789"/>
      <c r="I138" s="789"/>
      <c r="J138" s="789"/>
      <c r="K138" s="789"/>
      <c r="L138" s="789"/>
      <c r="M138" s="789"/>
    </row>
    <row r="139" spans="2:13" s="648" customFormat="1" ht="13.5" customHeight="1">
      <c r="B139" s="791">
        <v>43208</v>
      </c>
      <c r="C139" s="790" t="s">
        <v>832</v>
      </c>
      <c r="D139" s="789">
        <v>70</v>
      </c>
      <c r="E139" s="789"/>
      <c r="F139" s="789"/>
      <c r="G139" s="789"/>
      <c r="H139" s="789"/>
      <c r="I139" s="789"/>
      <c r="J139" s="789"/>
      <c r="K139" s="789"/>
      <c r="L139" s="789"/>
      <c r="M139" s="789"/>
    </row>
    <row r="140" spans="2:13" s="648" customFormat="1" ht="13.5" customHeight="1">
      <c r="B140" s="791">
        <v>43208</v>
      </c>
      <c r="C140" s="790" t="s">
        <v>931</v>
      </c>
      <c r="D140" s="789">
        <v>30</v>
      </c>
      <c r="E140" s="789"/>
      <c r="F140" s="789"/>
      <c r="G140" s="789"/>
      <c r="H140" s="789"/>
      <c r="I140" s="789">
        <v>30</v>
      </c>
      <c r="J140" s="789"/>
      <c r="K140" s="789"/>
      <c r="L140" s="789"/>
      <c r="M140" s="789"/>
    </row>
    <row r="141" spans="2:13" s="648" customFormat="1" ht="13.5" customHeight="1">
      <c r="B141" s="791">
        <v>43210</v>
      </c>
      <c r="C141" s="790" t="s">
        <v>520</v>
      </c>
      <c r="D141" s="789">
        <v>100</v>
      </c>
      <c r="E141" s="789"/>
      <c r="F141" s="789"/>
      <c r="G141" s="789"/>
      <c r="H141" s="789"/>
      <c r="I141" s="789"/>
      <c r="J141" s="789"/>
      <c r="K141" s="789"/>
      <c r="L141" s="789"/>
      <c r="M141" s="789"/>
    </row>
    <row r="142" spans="2:13" s="648" customFormat="1" ht="13.5" customHeight="1">
      <c r="B142" s="791">
        <v>43211</v>
      </c>
      <c r="C142" s="790" t="s">
        <v>930</v>
      </c>
      <c r="D142" s="789">
        <v>400</v>
      </c>
      <c r="E142" s="789"/>
      <c r="F142" s="789"/>
      <c r="G142" s="789"/>
      <c r="H142" s="789"/>
      <c r="I142" s="789"/>
      <c r="J142" s="789"/>
      <c r="K142" s="789"/>
      <c r="L142" s="789"/>
      <c r="M142" s="789"/>
    </row>
    <row r="143" spans="2:13" s="648" customFormat="1" ht="13.5" customHeight="1">
      <c r="B143" s="791">
        <v>43215</v>
      </c>
      <c r="C143" s="790" t="s">
        <v>929</v>
      </c>
      <c r="D143" s="789">
        <v>30</v>
      </c>
      <c r="E143" s="789"/>
      <c r="F143" s="789"/>
      <c r="G143" s="789"/>
      <c r="H143" s="789"/>
      <c r="I143" s="789">
        <v>30</v>
      </c>
      <c r="J143" s="789"/>
      <c r="K143" s="789"/>
      <c r="L143" s="789"/>
      <c r="M143" s="789"/>
    </row>
    <row r="144" spans="2:13" s="648" customFormat="1" ht="13.5" customHeight="1">
      <c r="B144" s="791">
        <v>43216</v>
      </c>
      <c r="C144" s="790" t="s">
        <v>867</v>
      </c>
      <c r="D144" s="789">
        <v>-500</v>
      </c>
      <c r="E144" s="789"/>
      <c r="F144" s="789"/>
      <c r="G144" s="789"/>
      <c r="H144" s="789"/>
      <c r="I144" s="789"/>
      <c r="J144" s="789"/>
      <c r="K144" s="789"/>
      <c r="L144" s="789"/>
      <c r="M144" s="789">
        <v>-500</v>
      </c>
    </row>
    <row r="145" spans="1:58" ht="13.5" customHeight="1">
      <c r="B145" s="791">
        <v>43220</v>
      </c>
      <c r="C145" s="790" t="s">
        <v>235</v>
      </c>
      <c r="D145" s="789">
        <v>180</v>
      </c>
      <c r="E145" s="789"/>
      <c r="F145" s="789"/>
      <c r="G145" s="789"/>
      <c r="H145" s="789"/>
      <c r="I145" s="789"/>
      <c r="J145" s="789"/>
      <c r="K145" s="789"/>
      <c r="L145" s="789"/>
      <c r="M145" s="789"/>
    </row>
    <row r="146" spans="1:58" ht="13.5" customHeight="1">
      <c r="B146" s="791">
        <v>43220</v>
      </c>
      <c r="C146" s="790" t="s">
        <v>928</v>
      </c>
      <c r="D146" s="789">
        <v>100</v>
      </c>
      <c r="E146" s="789"/>
      <c r="F146" s="789"/>
      <c r="G146" s="789"/>
      <c r="H146" s="789"/>
      <c r="I146" s="789"/>
      <c r="J146" s="789"/>
      <c r="K146" s="789"/>
      <c r="L146" s="789"/>
      <c r="M146" s="789"/>
    </row>
    <row r="147" spans="1:58" ht="13.5" customHeight="1">
      <c r="B147" s="791">
        <v>43220</v>
      </c>
      <c r="C147" s="790" t="s">
        <v>487</v>
      </c>
      <c r="D147" s="789">
        <v>100</v>
      </c>
      <c r="E147" s="789"/>
      <c r="F147" s="789"/>
      <c r="G147" s="789"/>
      <c r="H147" s="789"/>
      <c r="I147" s="789"/>
      <c r="J147" s="789"/>
      <c r="K147" s="789"/>
      <c r="L147" s="789"/>
      <c r="M147" s="789"/>
    </row>
    <row r="148" spans="1:58" s="694" customFormat="1" ht="13.5" customHeight="1">
      <c r="A148" s="700"/>
      <c r="B148" s="788" t="s">
        <v>118</v>
      </c>
      <c r="C148" s="787" t="s">
        <v>37</v>
      </c>
      <c r="D148" s="786"/>
      <c r="E148" s="786">
        <f t="shared" ref="E148:K148" si="5">SUM(E149:E175)</f>
        <v>0</v>
      </c>
      <c r="F148" s="786">
        <f t="shared" si="5"/>
        <v>527.02</v>
      </c>
      <c r="G148" s="786">
        <f t="shared" si="5"/>
        <v>327</v>
      </c>
      <c r="H148" s="786">
        <f t="shared" si="5"/>
        <v>225</v>
      </c>
      <c r="I148" s="786">
        <f t="shared" si="5"/>
        <v>120</v>
      </c>
      <c r="J148" s="786">
        <f t="shared" si="5"/>
        <v>1800.53</v>
      </c>
      <c r="K148" s="786">
        <f t="shared" si="5"/>
        <v>1249.25</v>
      </c>
      <c r="L148" s="786">
        <f>SUM(L149:L192)</f>
        <v>0</v>
      </c>
      <c r="M148" s="786">
        <f>SUM(M149:M175)</f>
        <v>-400</v>
      </c>
      <c r="N148" s="786"/>
      <c r="O148" s="786"/>
      <c r="P148" s="786"/>
      <c r="Q148" s="786"/>
      <c r="R148" s="786"/>
      <c r="S148" s="695"/>
      <c r="T148" s="695"/>
      <c r="U148" s="695"/>
      <c r="V148" s="695"/>
      <c r="W148" s="695"/>
      <c r="X148" s="695"/>
      <c r="Y148" s="695"/>
      <c r="Z148" s="695"/>
      <c r="AA148" s="695"/>
      <c r="AB148" s="695"/>
      <c r="AC148" s="695"/>
      <c r="AD148" s="695"/>
      <c r="AE148" s="695"/>
      <c r="AF148" s="695"/>
      <c r="AG148" s="695"/>
      <c r="AH148" s="695"/>
      <c r="AI148" s="695"/>
      <c r="AJ148" s="695"/>
      <c r="AK148" s="695"/>
      <c r="AL148" s="695"/>
      <c r="AM148" s="695"/>
      <c r="AN148" s="695"/>
      <c r="AO148" s="695"/>
      <c r="AP148" s="695"/>
      <c r="AQ148" s="695"/>
      <c r="AR148" s="695"/>
      <c r="AS148" s="695"/>
      <c r="AT148" s="695"/>
      <c r="AU148" s="695"/>
      <c r="AV148" s="695"/>
      <c r="AW148" s="695"/>
      <c r="AX148" s="695"/>
      <c r="AY148" s="695"/>
      <c r="AZ148" s="695"/>
      <c r="BA148" s="695"/>
      <c r="BB148" s="695"/>
      <c r="BC148" s="695"/>
      <c r="BD148" s="695"/>
      <c r="BE148" s="695"/>
      <c r="BF148" s="695"/>
    </row>
    <row r="149" spans="1:58" ht="13.5" customHeight="1">
      <c r="B149" s="791">
        <v>43221</v>
      </c>
      <c r="C149" s="790" t="s">
        <v>22</v>
      </c>
      <c r="D149" s="789">
        <v>80</v>
      </c>
      <c r="E149" s="789"/>
      <c r="F149" s="789"/>
      <c r="G149" s="789">
        <f>D149</f>
        <v>80</v>
      </c>
      <c r="H149" s="789"/>
      <c r="I149" s="789"/>
      <c r="J149" s="789"/>
      <c r="K149" s="789"/>
      <c r="L149" s="789"/>
      <c r="M149" s="789"/>
    </row>
    <row r="150" spans="1:58" ht="13.5" customHeight="1">
      <c r="B150" s="791">
        <v>43221</v>
      </c>
      <c r="C150" s="790" t="s">
        <v>306</v>
      </c>
      <c r="D150" s="789">
        <f>'2018-'!$J111</f>
        <v>527.02</v>
      </c>
      <c r="E150" s="789"/>
      <c r="F150" s="789">
        <f>D150</f>
        <v>527.02</v>
      </c>
      <c r="G150" s="789"/>
      <c r="H150" s="789"/>
      <c r="I150" s="789"/>
      <c r="J150" s="789"/>
      <c r="K150" s="789"/>
      <c r="L150" s="789"/>
      <c r="M150" s="789"/>
    </row>
    <row r="151" spans="1:58" ht="13.5" customHeight="1">
      <c r="B151" s="791">
        <v>43221</v>
      </c>
      <c r="C151" s="790" t="s">
        <v>595</v>
      </c>
      <c r="D151" s="789">
        <f>'2018-'!K111</f>
        <v>1800.53</v>
      </c>
      <c r="E151" s="789"/>
      <c r="F151" s="789"/>
      <c r="G151" s="789"/>
      <c r="H151" s="789"/>
      <c r="I151" s="789"/>
      <c r="J151" s="789">
        <f>D151</f>
        <v>1800.53</v>
      </c>
      <c r="K151" s="789"/>
      <c r="L151" s="789"/>
      <c r="M151" s="789"/>
    </row>
    <row r="152" spans="1:58" ht="13.5" customHeight="1">
      <c r="B152" s="791">
        <v>43221</v>
      </c>
      <c r="C152" s="790" t="s">
        <v>21</v>
      </c>
      <c r="D152" s="789">
        <v>188</v>
      </c>
      <c r="E152" s="789"/>
      <c r="F152" s="789"/>
      <c r="G152" s="789">
        <f>D152</f>
        <v>188</v>
      </c>
      <c r="H152" s="789"/>
      <c r="I152" s="789"/>
      <c r="J152" s="789"/>
      <c r="K152" s="789"/>
      <c r="L152" s="789"/>
      <c r="M152" s="789"/>
    </row>
    <row r="153" spans="1:58" ht="13.5" customHeight="1">
      <c r="B153" s="791">
        <v>43221</v>
      </c>
      <c r="C153" s="790" t="s">
        <v>186</v>
      </c>
      <c r="D153" s="789">
        <v>225</v>
      </c>
      <c r="E153" s="789"/>
      <c r="F153" s="789"/>
      <c r="G153" s="789"/>
      <c r="H153" s="789">
        <f>D153</f>
        <v>225</v>
      </c>
      <c r="I153" s="789"/>
      <c r="J153" s="789"/>
      <c r="K153" s="789"/>
      <c r="L153" s="789"/>
      <c r="M153" s="789"/>
    </row>
    <row r="154" spans="1:58" ht="13.5" customHeight="1">
      <c r="B154" s="791">
        <v>43221</v>
      </c>
      <c r="C154" s="790" t="s">
        <v>167</v>
      </c>
      <c r="D154" s="789">
        <v>280</v>
      </c>
      <c r="E154" s="789"/>
      <c r="F154" s="789"/>
      <c r="G154" s="789"/>
      <c r="H154" s="789"/>
      <c r="I154" s="789"/>
      <c r="J154" s="789"/>
      <c r="K154" s="789"/>
      <c r="L154" s="789"/>
      <c r="M154" s="789"/>
    </row>
    <row r="155" spans="1:58" ht="13.5" customHeight="1">
      <c r="B155" s="791">
        <v>43221</v>
      </c>
      <c r="C155" s="790" t="s">
        <v>230</v>
      </c>
      <c r="D155" s="789">
        <v>59</v>
      </c>
      <c r="E155" s="789"/>
      <c r="F155" s="789"/>
      <c r="G155" s="789">
        <f>D155</f>
        <v>59</v>
      </c>
      <c r="H155" s="789"/>
      <c r="I155" s="789"/>
      <c r="J155" s="789"/>
      <c r="K155" s="789"/>
      <c r="L155" s="789"/>
      <c r="M155" s="789"/>
    </row>
    <row r="156" spans="1:58" ht="13.5" customHeight="1">
      <c r="B156" s="791">
        <v>43222</v>
      </c>
      <c r="C156" s="790" t="s">
        <v>391</v>
      </c>
      <c r="D156" s="789">
        <v>31</v>
      </c>
      <c r="E156" s="789"/>
      <c r="F156" s="789"/>
      <c r="G156" s="789"/>
      <c r="H156" s="789"/>
      <c r="I156" s="789"/>
      <c r="J156" s="789"/>
      <c r="K156" s="789"/>
      <c r="L156" s="789"/>
      <c r="M156" s="789"/>
    </row>
    <row r="157" spans="1:58" ht="13.5" customHeight="1">
      <c r="B157" s="791">
        <v>43222</v>
      </c>
      <c r="C157" s="790" t="s">
        <v>474</v>
      </c>
      <c r="D157" s="789">
        <v>50</v>
      </c>
      <c r="E157" s="789"/>
      <c r="F157" s="789"/>
      <c r="G157" s="789"/>
      <c r="H157" s="789"/>
      <c r="I157" s="789"/>
      <c r="J157" s="789"/>
      <c r="K157" s="789"/>
      <c r="L157" s="789"/>
      <c r="M157" s="789"/>
    </row>
    <row r="158" spans="1:58" ht="13.5" customHeight="1">
      <c r="B158" s="791">
        <v>43222</v>
      </c>
      <c r="C158" s="790" t="s">
        <v>927</v>
      </c>
      <c r="D158" s="789">
        <v>30</v>
      </c>
      <c r="E158" s="789"/>
      <c r="F158" s="789"/>
      <c r="G158" s="789"/>
      <c r="H158" s="789"/>
      <c r="I158" s="789">
        <v>30</v>
      </c>
      <c r="J158" s="789"/>
      <c r="K158" s="789"/>
      <c r="L158" s="789"/>
      <c r="M158" s="789"/>
    </row>
    <row r="159" spans="1:58" ht="13.5" customHeight="1">
      <c r="B159" s="791">
        <v>43223</v>
      </c>
      <c r="C159" s="790" t="s">
        <v>397</v>
      </c>
      <c r="D159" s="789">
        <v>222</v>
      </c>
      <c r="E159" s="789"/>
      <c r="F159" s="789"/>
      <c r="G159" s="789"/>
      <c r="H159" s="789"/>
      <c r="I159" s="789"/>
      <c r="J159" s="789"/>
      <c r="K159" s="789"/>
      <c r="L159" s="789"/>
      <c r="M159" s="789"/>
    </row>
    <row r="160" spans="1:58" ht="13.5" customHeight="1">
      <c r="B160" s="791">
        <v>43223</v>
      </c>
      <c r="C160" s="790" t="s">
        <v>11</v>
      </c>
      <c r="D160" s="789">
        <v>412.5</v>
      </c>
      <c r="E160" s="789"/>
      <c r="F160" s="789"/>
      <c r="G160" s="789"/>
      <c r="H160" s="789"/>
      <c r="I160" s="789"/>
      <c r="J160" s="789"/>
      <c r="K160" s="789">
        <v>412.5</v>
      </c>
      <c r="L160" s="789"/>
      <c r="M160" s="789"/>
    </row>
    <row r="161" spans="1:58" ht="13.5" customHeight="1">
      <c r="B161" s="791">
        <v>43225</v>
      </c>
      <c r="C161" s="790" t="s">
        <v>474</v>
      </c>
      <c r="D161" s="789">
        <v>200</v>
      </c>
      <c r="E161" s="789"/>
      <c r="F161" s="789"/>
      <c r="G161" s="789"/>
      <c r="H161" s="789"/>
      <c r="I161" s="789"/>
      <c r="J161" s="789"/>
      <c r="K161" s="789"/>
      <c r="L161" s="789"/>
      <c r="M161" s="789"/>
    </row>
    <row r="162" spans="1:58" ht="13.5" customHeight="1">
      <c r="B162" s="791">
        <v>43225</v>
      </c>
      <c r="C162" s="790" t="s">
        <v>333</v>
      </c>
      <c r="D162" s="789">
        <v>350</v>
      </c>
      <c r="E162" s="789"/>
      <c r="F162" s="789"/>
      <c r="G162" s="789"/>
      <c r="H162" s="789"/>
      <c r="I162" s="789"/>
      <c r="J162" s="789"/>
      <c r="K162" s="789"/>
      <c r="L162" s="789"/>
      <c r="M162" s="789"/>
    </row>
    <row r="163" spans="1:58" ht="13.5" customHeight="1">
      <c r="B163" s="791">
        <v>43225</v>
      </c>
      <c r="C163" s="790" t="s">
        <v>7</v>
      </c>
      <c r="D163" s="789">
        <v>336.75</v>
      </c>
      <c r="E163" s="789"/>
      <c r="F163" s="789"/>
      <c r="G163" s="789"/>
      <c r="H163" s="789"/>
      <c r="I163" s="789"/>
      <c r="J163" s="789"/>
      <c r="K163" s="789">
        <v>336.75</v>
      </c>
      <c r="L163" s="789"/>
      <c r="M163" s="789"/>
    </row>
    <row r="164" spans="1:58" ht="13.5" customHeight="1">
      <c r="B164" s="791">
        <v>43229</v>
      </c>
      <c r="C164" s="790" t="s">
        <v>216</v>
      </c>
      <c r="D164" s="789">
        <v>52.9</v>
      </c>
      <c r="E164" s="789"/>
      <c r="F164" s="789"/>
      <c r="G164" s="789"/>
      <c r="H164" s="789"/>
      <c r="I164" s="789"/>
      <c r="J164" s="789"/>
      <c r="K164" s="789"/>
      <c r="L164" s="789"/>
      <c r="M164" s="789"/>
    </row>
    <row r="165" spans="1:58" ht="13.5" customHeight="1">
      <c r="B165" s="791">
        <v>43229</v>
      </c>
      <c r="C165" s="790" t="s">
        <v>926</v>
      </c>
      <c r="D165" s="789">
        <v>130</v>
      </c>
      <c r="E165" s="789"/>
      <c r="F165" s="789"/>
      <c r="G165" s="789"/>
      <c r="H165" s="789"/>
      <c r="I165" s="789"/>
      <c r="J165" s="789"/>
      <c r="K165" s="789"/>
      <c r="L165" s="789"/>
      <c r="M165" s="789"/>
    </row>
    <row r="166" spans="1:58" ht="13.5" customHeight="1">
      <c r="B166" s="791">
        <v>43230</v>
      </c>
      <c r="C166" s="790" t="s">
        <v>925</v>
      </c>
      <c r="D166" s="789">
        <v>500</v>
      </c>
      <c r="E166" s="789"/>
      <c r="F166" s="789"/>
      <c r="G166" s="789"/>
      <c r="H166" s="789"/>
      <c r="I166" s="789"/>
      <c r="J166" s="789"/>
      <c r="K166" s="789">
        <v>500</v>
      </c>
      <c r="L166" s="789"/>
      <c r="M166" s="789"/>
    </row>
    <row r="167" spans="1:58" ht="13.5" customHeight="1">
      <c r="B167" s="791">
        <v>43232</v>
      </c>
      <c r="C167" s="790" t="s">
        <v>924</v>
      </c>
      <c r="D167" s="789">
        <v>30</v>
      </c>
      <c r="E167" s="789"/>
      <c r="F167" s="789"/>
      <c r="G167" s="789"/>
      <c r="H167" s="789"/>
      <c r="I167" s="789">
        <v>30</v>
      </c>
      <c r="J167" s="789"/>
      <c r="K167" s="789"/>
      <c r="L167" s="789"/>
      <c r="M167" s="789"/>
    </row>
    <row r="168" spans="1:58" ht="13.5" customHeight="1">
      <c r="B168" s="791">
        <v>43232</v>
      </c>
      <c r="C168" s="790" t="s">
        <v>474</v>
      </c>
      <c r="D168" s="789">
        <v>250</v>
      </c>
      <c r="E168" s="789"/>
      <c r="F168" s="789"/>
      <c r="G168" s="789"/>
      <c r="H168" s="789"/>
      <c r="I168" s="789"/>
      <c r="J168" s="789"/>
      <c r="K168" s="789"/>
      <c r="L168" s="789"/>
      <c r="M168" s="789"/>
    </row>
    <row r="169" spans="1:58" ht="13.5" customHeight="1">
      <c r="B169" s="791">
        <v>43232</v>
      </c>
      <c r="C169" s="790" t="s">
        <v>333</v>
      </c>
      <c r="D169" s="789">
        <v>101</v>
      </c>
      <c r="E169" s="789"/>
      <c r="F169" s="789"/>
      <c r="G169" s="789"/>
      <c r="H169" s="789"/>
      <c r="I169" s="789"/>
      <c r="J169" s="789"/>
      <c r="K169" s="789"/>
      <c r="L169" s="789"/>
      <c r="M169" s="789"/>
    </row>
    <row r="170" spans="1:58" ht="13.5" customHeight="1">
      <c r="B170" s="791">
        <v>43240</v>
      </c>
      <c r="C170" s="790" t="s">
        <v>923</v>
      </c>
      <c r="D170" s="789">
        <v>30</v>
      </c>
      <c r="E170" s="789"/>
      <c r="F170" s="789"/>
      <c r="G170" s="789"/>
      <c r="H170" s="789"/>
      <c r="I170" s="789">
        <v>30</v>
      </c>
      <c r="J170" s="789"/>
      <c r="K170" s="789"/>
      <c r="L170" s="789"/>
      <c r="M170" s="789"/>
    </row>
    <row r="171" spans="1:58" ht="13.5" customHeight="1">
      <c r="B171" s="791">
        <v>43240</v>
      </c>
      <c r="C171" s="790" t="s">
        <v>474</v>
      </c>
      <c r="D171" s="789">
        <v>240</v>
      </c>
      <c r="E171" s="789"/>
      <c r="F171" s="789"/>
      <c r="G171" s="789"/>
      <c r="H171" s="789"/>
      <c r="I171" s="789"/>
      <c r="J171" s="789"/>
      <c r="K171" s="789"/>
      <c r="L171" s="789"/>
      <c r="M171" s="789"/>
    </row>
    <row r="172" spans="1:58" ht="13.5" customHeight="1">
      <c r="B172" s="791">
        <v>43243</v>
      </c>
      <c r="C172" s="790" t="s">
        <v>922</v>
      </c>
      <c r="D172" s="789">
        <v>30</v>
      </c>
      <c r="E172" s="789"/>
      <c r="F172" s="789"/>
      <c r="G172" s="789"/>
      <c r="H172" s="789"/>
      <c r="I172" s="789"/>
      <c r="J172" s="789"/>
      <c r="K172" s="789"/>
      <c r="L172" s="789"/>
      <c r="M172" s="789"/>
    </row>
    <row r="173" spans="1:58" ht="13.5" customHeight="1">
      <c r="B173" s="791">
        <v>43243</v>
      </c>
      <c r="C173" s="790" t="s">
        <v>921</v>
      </c>
      <c r="D173" s="789">
        <v>82</v>
      </c>
      <c r="E173" s="789"/>
      <c r="F173" s="789"/>
      <c r="G173" s="789"/>
      <c r="H173" s="789"/>
      <c r="I173" s="789"/>
      <c r="J173" s="789"/>
      <c r="K173" s="789"/>
      <c r="L173" s="789"/>
      <c r="M173" s="789"/>
    </row>
    <row r="174" spans="1:58" ht="13.5" customHeight="1">
      <c r="B174" s="791">
        <v>43248</v>
      </c>
      <c r="C174" s="790" t="s">
        <v>920</v>
      </c>
      <c r="D174" s="789">
        <v>30</v>
      </c>
      <c r="E174" s="789"/>
      <c r="F174" s="789"/>
      <c r="G174" s="789"/>
      <c r="H174" s="789"/>
      <c r="I174" s="789">
        <v>30</v>
      </c>
      <c r="J174" s="789"/>
      <c r="K174" s="789"/>
      <c r="L174" s="789"/>
      <c r="M174" s="789"/>
    </row>
    <row r="175" spans="1:58" ht="13.5" customHeight="1">
      <c r="B175" s="791">
        <v>43250</v>
      </c>
      <c r="C175" s="790" t="s">
        <v>461</v>
      </c>
      <c r="D175" s="789">
        <v>-400</v>
      </c>
      <c r="E175" s="789"/>
      <c r="F175" s="789"/>
      <c r="G175" s="789"/>
      <c r="H175" s="789"/>
      <c r="I175" s="789"/>
      <c r="J175" s="789"/>
      <c r="K175" s="789"/>
      <c r="L175" s="789"/>
      <c r="M175" s="789">
        <v>-400</v>
      </c>
    </row>
    <row r="176" spans="1:58" s="694" customFormat="1" ht="13.5" customHeight="1">
      <c r="A176" s="700"/>
      <c r="B176" s="788" t="s">
        <v>44</v>
      </c>
      <c r="C176" s="787" t="s">
        <v>37</v>
      </c>
      <c r="D176" s="786"/>
      <c r="E176" s="786">
        <f t="shared" ref="E176:K176" si="6">SUM(E177:E236)</f>
        <v>0</v>
      </c>
      <c r="F176" s="786">
        <f t="shared" si="6"/>
        <v>687.64</v>
      </c>
      <c r="G176" s="786">
        <f t="shared" si="6"/>
        <v>336</v>
      </c>
      <c r="H176" s="786">
        <f t="shared" si="6"/>
        <v>873</v>
      </c>
      <c r="I176" s="786">
        <f t="shared" si="6"/>
        <v>150</v>
      </c>
      <c r="J176" s="786">
        <f t="shared" si="6"/>
        <v>-1600.03</v>
      </c>
      <c r="K176" s="786">
        <f t="shared" si="6"/>
        <v>650</v>
      </c>
      <c r="L176" s="786"/>
      <c r="M176" s="786">
        <f>SUM(M177:M236)</f>
        <v>-100</v>
      </c>
      <c r="N176" s="786"/>
      <c r="O176" s="786"/>
      <c r="P176" s="786"/>
      <c r="Q176" s="786"/>
      <c r="R176" s="786"/>
      <c r="S176" s="695"/>
      <c r="T176" s="695"/>
      <c r="U176" s="695"/>
      <c r="V176" s="695"/>
      <c r="W176" s="695"/>
      <c r="X176" s="695"/>
      <c r="Y176" s="695"/>
      <c r="Z176" s="695"/>
      <c r="AA176" s="695"/>
      <c r="AB176" s="695"/>
      <c r="AC176" s="695"/>
      <c r="AD176" s="695"/>
      <c r="AE176" s="695"/>
      <c r="AF176" s="695"/>
      <c r="AG176" s="695"/>
      <c r="AH176" s="695"/>
      <c r="AI176" s="695"/>
      <c r="AJ176" s="695"/>
      <c r="AK176" s="695"/>
      <c r="AL176" s="695"/>
      <c r="AM176" s="695"/>
      <c r="AN176" s="695"/>
      <c r="AO176" s="695"/>
      <c r="AP176" s="695"/>
      <c r="AQ176" s="695"/>
      <c r="AR176" s="695"/>
      <c r="AS176" s="695"/>
      <c r="AT176" s="695"/>
      <c r="AU176" s="695"/>
      <c r="AV176" s="695"/>
      <c r="AW176" s="695"/>
      <c r="AX176" s="695"/>
      <c r="AY176" s="695"/>
      <c r="AZ176" s="695"/>
      <c r="BA176" s="695"/>
      <c r="BB176" s="695"/>
      <c r="BC176" s="695"/>
      <c r="BD176" s="695"/>
      <c r="BE176" s="695"/>
      <c r="BF176" s="695"/>
    </row>
    <row r="177" spans="2:13" s="648" customFormat="1" ht="13.5" customHeight="1">
      <c r="B177" s="791">
        <v>43251</v>
      </c>
      <c r="C177" s="790" t="s">
        <v>22</v>
      </c>
      <c r="D177" s="789">
        <v>89</v>
      </c>
      <c r="E177" s="789"/>
      <c r="F177" s="789"/>
      <c r="G177" s="789">
        <f>D177</f>
        <v>89</v>
      </c>
      <c r="H177" s="789"/>
      <c r="I177" s="789"/>
      <c r="J177" s="789"/>
      <c r="K177" s="789"/>
      <c r="L177" s="789"/>
      <c r="M177" s="789"/>
    </row>
    <row r="178" spans="2:13" s="648" customFormat="1" ht="13.5" customHeight="1">
      <c r="B178" s="791">
        <v>43251</v>
      </c>
      <c r="C178" s="790" t="s">
        <v>21</v>
      </c>
      <c r="D178" s="789">
        <v>188</v>
      </c>
      <c r="E178" s="789"/>
      <c r="F178" s="789"/>
      <c r="G178" s="789">
        <f>D178</f>
        <v>188</v>
      </c>
      <c r="H178" s="789"/>
      <c r="I178" s="789"/>
      <c r="J178" s="789"/>
      <c r="K178" s="789"/>
      <c r="L178" s="789"/>
      <c r="M178" s="789"/>
    </row>
    <row r="179" spans="2:13" s="648" customFormat="1" ht="13.5" customHeight="1">
      <c r="B179" s="791">
        <v>43251</v>
      </c>
      <c r="C179" s="790" t="s">
        <v>126</v>
      </c>
      <c r="D179" s="789">
        <v>43</v>
      </c>
      <c r="E179" s="789"/>
      <c r="F179" s="789"/>
      <c r="G179" s="789"/>
      <c r="H179" s="789">
        <v>43</v>
      </c>
      <c r="I179" s="789"/>
      <c r="J179" s="789"/>
      <c r="K179" s="789"/>
      <c r="L179" s="789"/>
      <c r="M179" s="789"/>
    </row>
    <row r="180" spans="2:13" s="648" customFormat="1" ht="13.5" customHeight="1">
      <c r="B180" s="791">
        <v>43251</v>
      </c>
      <c r="C180" s="790" t="s">
        <v>186</v>
      </c>
      <c r="D180" s="789">
        <v>180</v>
      </c>
      <c r="E180" s="789"/>
      <c r="F180" s="789"/>
      <c r="G180" s="789"/>
      <c r="H180" s="789">
        <v>180</v>
      </c>
      <c r="I180" s="789"/>
      <c r="J180" s="789"/>
      <c r="K180" s="789"/>
      <c r="L180" s="789"/>
      <c r="M180" s="789"/>
    </row>
    <row r="181" spans="2:13" s="648" customFormat="1" ht="13.5" customHeight="1">
      <c r="B181" s="791">
        <v>43251</v>
      </c>
      <c r="C181" s="790" t="s">
        <v>919</v>
      </c>
      <c r="D181" s="789">
        <v>149</v>
      </c>
      <c r="E181" s="789"/>
      <c r="F181" s="789"/>
      <c r="G181" s="789"/>
      <c r="H181" s="789"/>
      <c r="I181" s="789"/>
      <c r="J181" s="789"/>
      <c r="K181" s="789"/>
      <c r="L181" s="789"/>
      <c r="M181" s="789"/>
    </row>
    <row r="182" spans="2:13" s="648" customFormat="1" ht="13.5" customHeight="1">
      <c r="B182" s="791">
        <v>43251</v>
      </c>
      <c r="C182" s="790" t="s">
        <v>918</v>
      </c>
      <c r="D182" s="789">
        <v>20</v>
      </c>
      <c r="E182" s="789"/>
      <c r="F182" s="789"/>
      <c r="G182" s="789"/>
      <c r="H182" s="789"/>
      <c r="I182" s="789"/>
      <c r="J182" s="789"/>
      <c r="K182" s="789"/>
      <c r="L182" s="789"/>
      <c r="M182" s="789"/>
    </row>
    <row r="183" spans="2:13" s="648" customFormat="1" ht="13.5" customHeight="1">
      <c r="B183" s="791">
        <v>43251</v>
      </c>
      <c r="C183" s="790" t="s">
        <v>917</v>
      </c>
      <c r="D183" s="789">
        <v>29</v>
      </c>
      <c r="E183" s="789"/>
      <c r="F183" s="789"/>
      <c r="G183" s="789"/>
      <c r="H183" s="789"/>
      <c r="I183" s="789"/>
      <c r="J183" s="789"/>
      <c r="K183" s="789"/>
      <c r="L183" s="789"/>
      <c r="M183" s="789"/>
    </row>
    <row r="184" spans="2:13" s="648" customFormat="1" ht="13.5" customHeight="1">
      <c r="B184" s="791">
        <v>43251</v>
      </c>
      <c r="C184" s="790" t="s">
        <v>474</v>
      </c>
      <c r="D184" s="789">
        <v>180</v>
      </c>
      <c r="E184" s="789"/>
      <c r="F184" s="789"/>
      <c r="G184" s="789"/>
      <c r="H184" s="789"/>
      <c r="I184" s="789"/>
      <c r="J184" s="789"/>
      <c r="K184" s="789"/>
      <c r="L184" s="789"/>
      <c r="M184" s="789"/>
    </row>
    <row r="185" spans="2:13" s="648" customFormat="1" ht="13.5" customHeight="1">
      <c r="B185" s="791">
        <v>43251</v>
      </c>
      <c r="C185" s="790" t="s">
        <v>431</v>
      </c>
      <c r="D185" s="789">
        <v>350</v>
      </c>
      <c r="E185" s="789"/>
      <c r="F185" s="789"/>
      <c r="G185" s="789"/>
      <c r="H185" s="789"/>
      <c r="I185" s="789"/>
      <c r="J185" s="789"/>
      <c r="K185" s="789">
        <v>350</v>
      </c>
      <c r="L185" s="789"/>
      <c r="M185" s="789"/>
    </row>
    <row r="186" spans="2:13" s="648" customFormat="1" ht="13.5" customHeight="1">
      <c r="B186" s="791">
        <v>43251</v>
      </c>
      <c r="C186" s="790" t="s">
        <v>916</v>
      </c>
      <c r="D186" s="789">
        <v>30</v>
      </c>
      <c r="E186" s="789"/>
      <c r="F186" s="789"/>
      <c r="G186" s="789"/>
      <c r="H186" s="789"/>
      <c r="I186" s="789">
        <v>30</v>
      </c>
      <c r="J186" s="789"/>
      <c r="K186" s="789"/>
      <c r="L186" s="789"/>
      <c r="M186" s="789"/>
    </row>
    <row r="187" spans="2:13" s="648" customFormat="1" ht="13.5" customHeight="1">
      <c r="B187" s="791">
        <v>43252</v>
      </c>
      <c r="C187" s="790" t="s">
        <v>306</v>
      </c>
      <c r="D187" s="789">
        <f>'2018-'!$J131</f>
        <v>762.33</v>
      </c>
      <c r="E187" s="789"/>
      <c r="F187" s="789">
        <f>D187</f>
        <v>762.33</v>
      </c>
      <c r="G187" s="789"/>
      <c r="H187" s="789"/>
      <c r="I187" s="789"/>
      <c r="J187" s="789"/>
      <c r="K187" s="789"/>
      <c r="L187" s="789"/>
      <c r="M187" s="789"/>
    </row>
    <row r="188" spans="2:13" s="648" customFormat="1" ht="13.5" customHeight="1">
      <c r="B188" s="791">
        <v>43252</v>
      </c>
      <c r="C188" s="790" t="s">
        <v>595</v>
      </c>
      <c r="D188" s="789">
        <f>'2018-'!K131</f>
        <v>199.97</v>
      </c>
      <c r="E188" s="789"/>
      <c r="F188" s="789"/>
      <c r="G188" s="789"/>
      <c r="H188" s="789"/>
      <c r="I188" s="789"/>
      <c r="J188" s="789">
        <f>D188</f>
        <v>199.97</v>
      </c>
      <c r="K188" s="789"/>
      <c r="L188" s="789"/>
      <c r="M188" s="789"/>
    </row>
    <row r="189" spans="2:13" s="648" customFormat="1" ht="13.5" customHeight="1">
      <c r="B189" s="791">
        <v>43252</v>
      </c>
      <c r="C189" s="790" t="s">
        <v>57</v>
      </c>
      <c r="D189" s="789">
        <v>130</v>
      </c>
      <c r="E189" s="789"/>
      <c r="F189" s="789"/>
      <c r="G189" s="789"/>
      <c r="H189" s="789"/>
      <c r="I189" s="789"/>
      <c r="J189" s="789"/>
      <c r="K189" s="789"/>
      <c r="L189" s="789"/>
      <c r="M189" s="789"/>
    </row>
    <row r="190" spans="2:13" s="648" customFormat="1" ht="13.5" customHeight="1">
      <c r="B190" s="791">
        <v>43252</v>
      </c>
      <c r="C190" s="790" t="s">
        <v>230</v>
      </c>
      <c r="D190" s="789">
        <v>59</v>
      </c>
      <c r="E190" s="789"/>
      <c r="F190" s="789"/>
      <c r="G190" s="789">
        <f>D190</f>
        <v>59</v>
      </c>
      <c r="H190" s="789"/>
      <c r="I190" s="789"/>
      <c r="J190" s="789"/>
      <c r="K190" s="789"/>
      <c r="L190" s="789"/>
      <c r="M190" s="789"/>
    </row>
    <row r="191" spans="2:13" s="648" customFormat="1" ht="13.5" customHeight="1">
      <c r="B191" s="791">
        <v>43252</v>
      </c>
      <c r="C191" s="790" t="s">
        <v>915</v>
      </c>
      <c r="D191" s="789">
        <v>229</v>
      </c>
      <c r="E191" s="789"/>
      <c r="F191" s="789"/>
      <c r="G191" s="789"/>
      <c r="H191" s="789"/>
      <c r="I191" s="789"/>
      <c r="J191" s="789"/>
      <c r="K191" s="789"/>
      <c r="L191" s="789"/>
      <c r="M191" s="789"/>
    </row>
    <row r="192" spans="2:13" s="648" customFormat="1" ht="13.5" customHeight="1">
      <c r="B192" s="791">
        <v>43252</v>
      </c>
      <c r="C192" s="790" t="s">
        <v>653</v>
      </c>
      <c r="D192" s="789">
        <v>50</v>
      </c>
      <c r="E192" s="789"/>
      <c r="F192" s="789"/>
      <c r="G192" s="789"/>
      <c r="H192" s="789"/>
      <c r="I192" s="789"/>
      <c r="J192" s="789"/>
      <c r="K192" s="789"/>
      <c r="L192" s="789"/>
      <c r="M192" s="789"/>
    </row>
    <row r="193" spans="1:13" s="648" customFormat="1" ht="13.5" customHeight="1">
      <c r="A193" s="654"/>
      <c r="B193" s="791">
        <v>43253</v>
      </c>
      <c r="C193" s="790" t="s">
        <v>186</v>
      </c>
      <c r="D193" s="789">
        <v>200</v>
      </c>
      <c r="E193" s="789"/>
      <c r="F193" s="789"/>
      <c r="G193" s="789"/>
      <c r="H193" s="789">
        <v>200</v>
      </c>
      <c r="I193" s="789"/>
      <c r="J193" s="789"/>
      <c r="K193" s="789"/>
      <c r="L193" s="789"/>
      <c r="M193" s="789"/>
    </row>
    <row r="194" spans="1:13" s="648" customFormat="1" ht="13.5" customHeight="1">
      <c r="A194" s="654"/>
      <c r="B194" s="791">
        <v>43254</v>
      </c>
      <c r="C194" s="790" t="s">
        <v>913</v>
      </c>
      <c r="D194" s="789">
        <v>199.5</v>
      </c>
      <c r="E194" s="789"/>
      <c r="F194" s="789"/>
      <c r="G194" s="789"/>
      <c r="H194" s="789"/>
      <c r="I194" s="789"/>
      <c r="J194" s="789"/>
      <c r="K194" s="789"/>
      <c r="L194" s="789"/>
      <c r="M194" s="789"/>
    </row>
    <row r="195" spans="1:13" s="648" customFormat="1" ht="13.5" customHeight="1">
      <c r="A195" s="654"/>
      <c r="B195" s="791">
        <v>43254</v>
      </c>
      <c r="C195" s="790" t="s">
        <v>914</v>
      </c>
      <c r="D195" s="789">
        <v>165.9</v>
      </c>
      <c r="E195" s="789"/>
      <c r="F195" s="789"/>
      <c r="G195" s="789"/>
      <c r="H195" s="789"/>
      <c r="I195" s="789"/>
      <c r="J195" s="789"/>
      <c r="K195" s="789"/>
      <c r="L195" s="789"/>
      <c r="M195" s="789"/>
    </row>
    <row r="196" spans="1:13" s="648" customFormat="1" ht="13.5" customHeight="1">
      <c r="A196" s="654"/>
      <c r="B196" s="791">
        <v>43257</v>
      </c>
      <c r="C196" s="790" t="s">
        <v>186</v>
      </c>
      <c r="D196" s="789">
        <v>155</v>
      </c>
      <c r="E196" s="789"/>
      <c r="F196" s="789"/>
      <c r="G196" s="789"/>
      <c r="H196" s="789">
        <v>155</v>
      </c>
      <c r="I196" s="789"/>
      <c r="J196" s="789"/>
      <c r="K196" s="789"/>
      <c r="L196" s="789"/>
      <c r="M196" s="789"/>
    </row>
    <row r="197" spans="1:13" s="648" customFormat="1" ht="13.5" customHeight="1">
      <c r="A197" s="654"/>
      <c r="B197" s="791">
        <v>43257</v>
      </c>
      <c r="C197" s="790" t="s">
        <v>913</v>
      </c>
      <c r="D197" s="789">
        <v>199.5</v>
      </c>
      <c r="E197" s="789"/>
      <c r="F197" s="789"/>
      <c r="G197" s="789"/>
      <c r="H197" s="789"/>
      <c r="I197" s="789"/>
      <c r="J197" s="789"/>
      <c r="K197" s="789"/>
      <c r="L197" s="789"/>
      <c r="M197" s="789"/>
    </row>
    <row r="198" spans="1:13" s="648" customFormat="1" ht="13.5" customHeight="1">
      <c r="A198" s="654"/>
      <c r="B198" s="791">
        <v>43257</v>
      </c>
      <c r="C198" s="790" t="s">
        <v>886</v>
      </c>
      <c r="D198" s="789">
        <v>178</v>
      </c>
      <c r="E198" s="789"/>
      <c r="F198" s="789"/>
      <c r="G198" s="789"/>
      <c r="H198" s="789"/>
      <c r="I198" s="789"/>
      <c r="J198" s="789"/>
      <c r="K198" s="789"/>
      <c r="L198" s="789"/>
      <c r="M198" s="789"/>
    </row>
    <row r="199" spans="1:13" s="648" customFormat="1" ht="13.5" customHeight="1">
      <c r="A199" s="654"/>
      <c r="B199" s="791">
        <v>43257</v>
      </c>
      <c r="C199" s="790" t="s">
        <v>216</v>
      </c>
      <c r="D199" s="789">
        <v>183.45</v>
      </c>
      <c r="E199" s="789"/>
      <c r="F199" s="789"/>
      <c r="G199" s="789"/>
      <c r="H199" s="789"/>
      <c r="I199" s="789"/>
      <c r="J199" s="789"/>
      <c r="K199" s="789"/>
      <c r="L199" s="789"/>
      <c r="M199" s="789"/>
    </row>
    <row r="200" spans="1:13" s="648" customFormat="1" ht="13.5" customHeight="1">
      <c r="A200" s="654"/>
      <c r="B200" s="791">
        <v>43259</v>
      </c>
      <c r="C200" s="790" t="s">
        <v>912</v>
      </c>
      <c r="D200" s="789">
        <v>30</v>
      </c>
      <c r="E200" s="789"/>
      <c r="F200" s="789"/>
      <c r="G200" s="789"/>
      <c r="H200" s="789"/>
      <c r="I200" s="789">
        <v>30</v>
      </c>
      <c r="J200" s="789"/>
      <c r="K200" s="789"/>
      <c r="L200" s="789"/>
      <c r="M200" s="789"/>
    </row>
    <row r="201" spans="1:13" s="648" customFormat="1" ht="13.5" customHeight="1">
      <c r="A201" s="654"/>
      <c r="B201" s="791">
        <v>43259</v>
      </c>
      <c r="C201" s="790" t="s">
        <v>911</v>
      </c>
      <c r="D201" s="789">
        <v>200</v>
      </c>
      <c r="E201" s="789"/>
      <c r="F201" s="789"/>
      <c r="G201" s="789"/>
      <c r="H201" s="789"/>
      <c r="I201" s="789"/>
      <c r="J201" s="789"/>
      <c r="K201" s="789"/>
      <c r="L201" s="789"/>
      <c r="M201" s="789"/>
    </row>
    <row r="202" spans="1:13" s="648" customFormat="1" ht="13.5" customHeight="1">
      <c r="A202" s="654"/>
      <c r="B202" s="791">
        <v>43259</v>
      </c>
      <c r="C202" s="790" t="s">
        <v>474</v>
      </c>
      <c r="D202" s="789">
        <v>200</v>
      </c>
      <c r="E202" s="789"/>
      <c r="F202" s="789"/>
      <c r="G202" s="789"/>
      <c r="H202" s="789"/>
      <c r="I202" s="789"/>
      <c r="J202" s="789"/>
      <c r="K202" s="789"/>
      <c r="L202" s="789"/>
      <c r="M202" s="789"/>
    </row>
    <row r="203" spans="1:13" s="648" customFormat="1" ht="13.5" customHeight="1">
      <c r="A203" s="654"/>
      <c r="B203" s="791">
        <v>43259</v>
      </c>
      <c r="C203" s="790" t="s">
        <v>333</v>
      </c>
      <c r="D203" s="789">
        <v>250</v>
      </c>
      <c r="E203" s="789"/>
      <c r="F203" s="789"/>
      <c r="G203" s="789"/>
      <c r="H203" s="789"/>
      <c r="I203" s="789"/>
      <c r="J203" s="789"/>
      <c r="K203" s="789"/>
      <c r="L203" s="789"/>
      <c r="M203" s="789"/>
    </row>
    <row r="204" spans="1:13" s="648" customFormat="1" ht="13.5" customHeight="1">
      <c r="A204" s="654"/>
      <c r="B204" s="791">
        <v>43260</v>
      </c>
      <c r="C204" s="790" t="s">
        <v>186</v>
      </c>
      <c r="D204" s="789">
        <v>-50</v>
      </c>
      <c r="E204" s="789"/>
      <c r="F204" s="789"/>
      <c r="G204" s="789"/>
      <c r="H204" s="789">
        <v>-50</v>
      </c>
      <c r="I204" s="789"/>
      <c r="J204" s="789"/>
      <c r="K204" s="789"/>
      <c r="L204" s="789"/>
      <c r="M204" s="789"/>
    </row>
    <row r="205" spans="1:13" s="648" customFormat="1" ht="13.5" customHeight="1">
      <c r="A205" s="654" t="s">
        <v>19</v>
      </c>
      <c r="B205" s="791">
        <v>43261</v>
      </c>
      <c r="C205" s="790" t="s">
        <v>487</v>
      </c>
      <c r="D205" s="789">
        <v>100</v>
      </c>
      <c r="E205" s="789"/>
      <c r="F205" s="789"/>
      <c r="G205" s="789"/>
      <c r="H205" s="789"/>
      <c r="I205" s="789"/>
      <c r="J205" s="789"/>
      <c r="K205" s="789"/>
      <c r="L205" s="789"/>
      <c r="M205" s="789"/>
    </row>
    <row r="206" spans="1:13" s="648" customFormat="1" ht="13.5" customHeight="1">
      <c r="A206" s="654"/>
      <c r="B206" s="791">
        <v>43261</v>
      </c>
      <c r="C206" s="790" t="s">
        <v>896</v>
      </c>
      <c r="D206" s="789">
        <v>30</v>
      </c>
      <c r="E206" s="789"/>
      <c r="F206" s="789"/>
      <c r="G206" s="789"/>
      <c r="H206" s="789"/>
      <c r="I206" s="789"/>
      <c r="J206" s="789"/>
      <c r="K206" s="789"/>
      <c r="L206" s="789"/>
      <c r="M206" s="789"/>
    </row>
    <row r="207" spans="1:13" s="648" customFormat="1" ht="13.5" customHeight="1">
      <c r="A207" s="654"/>
      <c r="B207" s="791">
        <v>43262</v>
      </c>
      <c r="C207" s="790" t="s">
        <v>461</v>
      </c>
      <c r="D207" s="789">
        <v>-100</v>
      </c>
      <c r="E207" s="789"/>
      <c r="F207" s="789"/>
      <c r="G207" s="789"/>
      <c r="H207" s="789"/>
      <c r="I207" s="789"/>
      <c r="J207" s="789"/>
      <c r="K207" s="789"/>
      <c r="L207" s="789"/>
      <c r="M207" s="789">
        <v>-100</v>
      </c>
    </row>
    <row r="208" spans="1:13" s="648" customFormat="1" ht="13.5" customHeight="1">
      <c r="A208" s="654"/>
      <c r="B208" s="791">
        <v>43264</v>
      </c>
      <c r="C208" s="790" t="s">
        <v>473</v>
      </c>
      <c r="D208" s="789">
        <v>57</v>
      </c>
      <c r="E208" s="789"/>
      <c r="F208" s="789"/>
      <c r="G208" s="789"/>
      <c r="H208" s="789"/>
      <c r="I208" s="789"/>
      <c r="J208" s="789"/>
      <c r="K208" s="789"/>
      <c r="L208" s="789"/>
      <c r="M208" s="789"/>
    </row>
    <row r="209" spans="2:13" s="648" customFormat="1" ht="13.5" customHeight="1">
      <c r="B209" s="791">
        <v>43264</v>
      </c>
      <c r="C209" s="790" t="s">
        <v>910</v>
      </c>
      <c r="D209" s="789">
        <v>99</v>
      </c>
      <c r="E209" s="789"/>
      <c r="F209" s="789"/>
      <c r="G209" s="789"/>
      <c r="H209" s="789"/>
      <c r="I209" s="789"/>
      <c r="J209" s="789"/>
      <c r="K209" s="789"/>
      <c r="L209" s="789"/>
      <c r="M209" s="789"/>
    </row>
    <row r="210" spans="2:13" s="648" customFormat="1" ht="13.5" customHeight="1">
      <c r="B210" s="791">
        <v>43265</v>
      </c>
      <c r="C210" s="790" t="s">
        <v>909</v>
      </c>
      <c r="D210" s="789">
        <v>25</v>
      </c>
      <c r="E210" s="789"/>
      <c r="F210" s="789"/>
      <c r="G210" s="789"/>
      <c r="H210" s="789"/>
      <c r="I210" s="789"/>
      <c r="J210" s="789"/>
      <c r="K210" s="789"/>
      <c r="L210" s="789"/>
      <c r="M210" s="789"/>
    </row>
    <row r="211" spans="2:13" s="648" customFormat="1" ht="13.5" customHeight="1">
      <c r="B211" s="791">
        <v>43265</v>
      </c>
      <c r="C211" s="790" t="s">
        <v>896</v>
      </c>
      <c r="D211" s="789">
        <v>29</v>
      </c>
      <c r="E211" s="789"/>
      <c r="F211" s="789"/>
      <c r="G211" s="789"/>
      <c r="H211" s="789"/>
      <c r="I211" s="789"/>
      <c r="J211" s="789"/>
      <c r="K211" s="789"/>
      <c r="L211" s="789"/>
      <c r="M211" s="789"/>
    </row>
    <row r="212" spans="2:13" s="648" customFormat="1" ht="13.5" customHeight="1">
      <c r="B212" s="791">
        <v>43265</v>
      </c>
      <c r="C212" s="790" t="s">
        <v>908</v>
      </c>
      <c r="D212" s="789">
        <v>30</v>
      </c>
      <c r="E212" s="789"/>
      <c r="F212" s="789"/>
      <c r="G212" s="789"/>
      <c r="H212" s="789"/>
      <c r="I212" s="789"/>
      <c r="J212" s="789"/>
      <c r="K212" s="789"/>
      <c r="L212" s="789"/>
      <c r="M212" s="789"/>
    </row>
    <row r="213" spans="2:13" s="648" customFormat="1" ht="13.5" customHeight="1">
      <c r="B213" s="791">
        <v>43267</v>
      </c>
      <c r="C213" s="790" t="s">
        <v>907</v>
      </c>
      <c r="D213" s="789">
        <v>30</v>
      </c>
      <c r="E213" s="789"/>
      <c r="F213" s="789"/>
      <c r="G213" s="789"/>
      <c r="H213" s="789"/>
      <c r="I213" s="789">
        <v>30</v>
      </c>
      <c r="J213" s="789"/>
      <c r="K213" s="789"/>
      <c r="L213" s="789"/>
      <c r="M213" s="789"/>
    </row>
    <row r="214" spans="2:13" s="648" customFormat="1" ht="13.5" customHeight="1">
      <c r="B214" s="791">
        <v>43267</v>
      </c>
      <c r="C214" s="790" t="s">
        <v>474</v>
      </c>
      <c r="D214" s="789">
        <v>200</v>
      </c>
      <c r="E214" s="789"/>
      <c r="F214" s="789"/>
      <c r="G214" s="789"/>
      <c r="H214" s="789"/>
      <c r="I214" s="789"/>
      <c r="J214" s="789"/>
      <c r="K214" s="789"/>
      <c r="L214" s="789"/>
      <c r="M214" s="789"/>
    </row>
    <row r="215" spans="2:13" s="648" customFormat="1" ht="13.5" customHeight="1">
      <c r="B215" s="791">
        <v>43267</v>
      </c>
      <c r="C215" s="790" t="s">
        <v>333</v>
      </c>
      <c r="D215" s="789">
        <v>100</v>
      </c>
      <c r="E215" s="789"/>
      <c r="F215" s="789"/>
      <c r="G215" s="789"/>
      <c r="H215" s="789"/>
      <c r="I215" s="789"/>
      <c r="J215" s="789"/>
      <c r="K215" s="789"/>
      <c r="L215" s="789"/>
      <c r="M215" s="789"/>
    </row>
    <row r="216" spans="2:13" s="648" customFormat="1" ht="13.5" customHeight="1">
      <c r="B216" s="791">
        <v>43268</v>
      </c>
      <c r="C216" s="790" t="s">
        <v>520</v>
      </c>
      <c r="D216" s="789">
        <v>100</v>
      </c>
      <c r="E216" s="789"/>
      <c r="F216" s="789"/>
      <c r="G216" s="789"/>
      <c r="H216" s="789"/>
      <c r="I216" s="789"/>
      <c r="J216" s="789"/>
      <c r="K216" s="789"/>
      <c r="L216" s="789"/>
      <c r="M216" s="789"/>
    </row>
    <row r="217" spans="2:13" s="648" customFormat="1" ht="13.5" customHeight="1">
      <c r="B217" s="791">
        <v>43268</v>
      </c>
      <c r="C217" s="790" t="s">
        <v>904</v>
      </c>
      <c r="D217" s="789">
        <v>20</v>
      </c>
      <c r="E217" s="789"/>
      <c r="F217" s="789"/>
      <c r="G217" s="789"/>
      <c r="H217" s="789"/>
      <c r="I217" s="789"/>
      <c r="J217" s="789"/>
      <c r="K217" s="789"/>
      <c r="L217" s="789"/>
      <c r="M217" s="789"/>
    </row>
    <row r="218" spans="2:13" s="648" customFormat="1" ht="13.5" customHeight="1">
      <c r="B218" s="791">
        <v>43269</v>
      </c>
      <c r="C218" s="790" t="s">
        <v>58</v>
      </c>
      <c r="D218" s="789">
        <v>-1800</v>
      </c>
      <c r="E218" s="789"/>
      <c r="F218" s="789"/>
      <c r="G218" s="789"/>
      <c r="H218" s="789"/>
      <c r="I218" s="789"/>
      <c r="J218" s="789">
        <v>-1800</v>
      </c>
      <c r="K218" s="789"/>
      <c r="L218" s="789"/>
      <c r="M218" s="789"/>
    </row>
    <row r="219" spans="2:13" s="648" customFormat="1" ht="13.5" customHeight="1">
      <c r="B219" s="791">
        <v>43269</v>
      </c>
      <c r="C219" s="790" t="s">
        <v>543</v>
      </c>
      <c r="D219" s="789">
        <v>30</v>
      </c>
      <c r="E219" s="789"/>
      <c r="F219" s="789"/>
      <c r="G219" s="789"/>
      <c r="H219" s="789"/>
      <c r="I219" s="789"/>
      <c r="J219" s="789"/>
      <c r="K219" s="789"/>
      <c r="L219" s="789"/>
      <c r="M219" s="789"/>
    </row>
    <row r="220" spans="2:13" s="648" customFormat="1" ht="13.5" customHeight="1">
      <c r="B220" s="791">
        <v>43269</v>
      </c>
      <c r="C220" s="790" t="s">
        <v>906</v>
      </c>
      <c r="D220" s="789">
        <v>69</v>
      </c>
      <c r="E220" s="789"/>
      <c r="F220" s="789"/>
      <c r="G220" s="789"/>
      <c r="H220" s="789"/>
      <c r="I220" s="789"/>
      <c r="J220" s="789"/>
      <c r="K220" s="789"/>
      <c r="L220" s="789"/>
      <c r="M220" s="789"/>
    </row>
    <row r="221" spans="2:13" s="648" customFormat="1" ht="13.5" customHeight="1">
      <c r="B221" s="791">
        <v>43270</v>
      </c>
      <c r="C221" s="790" t="s">
        <v>346</v>
      </c>
      <c r="D221" s="789">
        <v>75</v>
      </c>
      <c r="E221" s="789"/>
      <c r="F221" s="789"/>
      <c r="G221" s="789"/>
      <c r="H221" s="789"/>
      <c r="I221" s="789"/>
      <c r="J221" s="789"/>
      <c r="K221" s="789"/>
      <c r="L221" s="789"/>
      <c r="M221" s="789"/>
    </row>
    <row r="222" spans="2:13" s="648" customFormat="1" ht="13.5" customHeight="1">
      <c r="B222" s="791">
        <v>43270</v>
      </c>
      <c r="C222" s="790" t="s">
        <v>905</v>
      </c>
      <c r="D222" s="789">
        <v>300</v>
      </c>
      <c r="E222" s="789"/>
      <c r="F222" s="789"/>
      <c r="G222" s="789"/>
      <c r="H222" s="789"/>
      <c r="I222" s="789"/>
      <c r="J222" s="789"/>
      <c r="K222" s="789">
        <v>300</v>
      </c>
      <c r="L222" s="789"/>
      <c r="M222" s="789"/>
    </row>
    <row r="223" spans="2:13" s="648" customFormat="1" ht="13.5" customHeight="1">
      <c r="B223" s="791">
        <v>43271</v>
      </c>
      <c r="C223" s="790" t="s">
        <v>904</v>
      </c>
      <c r="D223" s="789">
        <v>60</v>
      </c>
      <c r="E223" s="789"/>
      <c r="F223" s="789"/>
      <c r="G223" s="789"/>
      <c r="H223" s="789"/>
      <c r="I223" s="789"/>
      <c r="J223" s="789"/>
      <c r="K223" s="789"/>
      <c r="L223" s="789"/>
      <c r="M223" s="789"/>
    </row>
    <row r="224" spans="2:13" s="648" customFormat="1" ht="13.5" customHeight="1">
      <c r="B224" s="791">
        <v>43271</v>
      </c>
      <c r="C224" s="790" t="s">
        <v>186</v>
      </c>
      <c r="D224" s="789">
        <v>30</v>
      </c>
      <c r="E224" s="789"/>
      <c r="F224" s="789"/>
      <c r="G224" s="789"/>
      <c r="H224" s="789">
        <v>30</v>
      </c>
      <c r="I224" s="789"/>
      <c r="J224" s="789"/>
      <c r="K224" s="789"/>
      <c r="L224" s="789"/>
      <c r="M224" s="789"/>
    </row>
    <row r="225" spans="1:58" ht="13.5" customHeight="1">
      <c r="B225" s="791">
        <v>43271</v>
      </c>
      <c r="C225" s="790" t="s">
        <v>126</v>
      </c>
      <c r="D225" s="789">
        <v>190</v>
      </c>
      <c r="E225" s="789"/>
      <c r="F225" s="789"/>
      <c r="G225" s="789"/>
      <c r="H225" s="789">
        <v>190</v>
      </c>
      <c r="I225" s="789"/>
      <c r="J225" s="789"/>
      <c r="K225" s="789"/>
      <c r="L225" s="789"/>
      <c r="M225" s="789"/>
    </row>
    <row r="226" spans="1:58" ht="13.5" customHeight="1">
      <c r="B226" s="791">
        <v>43272</v>
      </c>
      <c r="C226" s="790" t="s">
        <v>903</v>
      </c>
      <c r="D226" s="789">
        <v>129.04</v>
      </c>
      <c r="E226" s="789"/>
      <c r="F226" s="789"/>
      <c r="G226" s="789"/>
      <c r="H226" s="789"/>
      <c r="I226" s="789"/>
      <c r="J226" s="789"/>
      <c r="K226" s="789"/>
      <c r="L226" s="789"/>
      <c r="M226" s="789"/>
    </row>
    <row r="227" spans="1:58" ht="13.5" customHeight="1">
      <c r="B227" s="791">
        <v>43274</v>
      </c>
      <c r="C227" s="790" t="s">
        <v>902</v>
      </c>
      <c r="D227" s="789">
        <v>30</v>
      </c>
      <c r="E227" s="789"/>
      <c r="F227" s="789"/>
      <c r="G227" s="789"/>
      <c r="H227" s="789"/>
      <c r="I227" s="789">
        <v>30</v>
      </c>
      <c r="J227" s="789"/>
      <c r="K227" s="789"/>
      <c r="L227" s="789"/>
      <c r="M227" s="789"/>
    </row>
    <row r="228" spans="1:58" ht="13.5" customHeight="1">
      <c r="B228" s="791">
        <v>43275</v>
      </c>
      <c r="C228" s="790" t="s">
        <v>901</v>
      </c>
      <c r="D228" s="789">
        <v>298</v>
      </c>
      <c r="E228" s="789"/>
      <c r="F228" s="789"/>
      <c r="G228" s="789"/>
      <c r="H228" s="789"/>
      <c r="I228" s="789"/>
      <c r="J228" s="789"/>
      <c r="K228" s="789"/>
      <c r="L228" s="789"/>
      <c r="M228" s="789"/>
    </row>
    <row r="229" spans="1:58" ht="13.5" customHeight="1">
      <c r="B229" s="791">
        <v>43276</v>
      </c>
      <c r="C229" s="790" t="s">
        <v>157</v>
      </c>
      <c r="D229" s="789">
        <v>750</v>
      </c>
      <c r="E229" s="789"/>
      <c r="F229" s="789"/>
      <c r="G229" s="789"/>
      <c r="H229" s="789"/>
      <c r="I229" s="789"/>
      <c r="J229" s="789"/>
      <c r="K229" s="789"/>
      <c r="L229" s="789"/>
      <c r="M229" s="789"/>
    </row>
    <row r="230" spans="1:58" ht="13.5" customHeight="1">
      <c r="B230" s="791">
        <v>43276</v>
      </c>
      <c r="C230" s="790" t="s">
        <v>900</v>
      </c>
      <c r="D230" s="789">
        <v>-71.959999999999994</v>
      </c>
      <c r="E230" s="789"/>
      <c r="F230" s="789">
        <f>D230</f>
        <v>-71.959999999999994</v>
      </c>
      <c r="G230" s="789"/>
      <c r="H230" s="789"/>
      <c r="I230" s="789"/>
      <c r="J230" s="789"/>
      <c r="K230" s="789"/>
      <c r="L230" s="789"/>
      <c r="M230" s="789"/>
    </row>
    <row r="231" spans="1:58" ht="13.5" customHeight="1">
      <c r="B231" s="791">
        <v>43276</v>
      </c>
      <c r="C231" s="790" t="s">
        <v>900</v>
      </c>
      <c r="D231" s="789">
        <v>-2.73</v>
      </c>
      <c r="E231" s="789"/>
      <c r="F231" s="789">
        <f>D231</f>
        <v>-2.73</v>
      </c>
      <c r="G231" s="789"/>
      <c r="H231" s="789"/>
      <c r="I231" s="789"/>
      <c r="J231" s="789"/>
      <c r="K231" s="789"/>
      <c r="L231" s="789"/>
      <c r="M231" s="789"/>
    </row>
    <row r="232" spans="1:58" ht="13.5" customHeight="1">
      <c r="B232" s="791">
        <v>43277</v>
      </c>
      <c r="C232" s="790" t="s">
        <v>216</v>
      </c>
      <c r="D232" s="789">
        <v>108.7</v>
      </c>
      <c r="E232" s="789"/>
      <c r="F232" s="789"/>
      <c r="G232" s="789"/>
      <c r="H232" s="789"/>
      <c r="I232" s="789"/>
      <c r="J232" s="789"/>
      <c r="K232" s="789"/>
      <c r="L232" s="789"/>
      <c r="M232" s="789"/>
    </row>
    <row r="233" spans="1:58" ht="13.5" customHeight="1">
      <c r="B233" s="791">
        <v>43279</v>
      </c>
      <c r="C233" s="790" t="s">
        <v>186</v>
      </c>
      <c r="D233" s="789">
        <v>125</v>
      </c>
      <c r="E233" s="789"/>
      <c r="F233" s="789"/>
      <c r="G233" s="789"/>
      <c r="H233" s="789">
        <v>125</v>
      </c>
      <c r="I233" s="789"/>
      <c r="J233" s="789"/>
      <c r="K233" s="789"/>
      <c r="L233" s="789"/>
      <c r="M233" s="789"/>
    </row>
    <row r="234" spans="1:58" ht="13.5" customHeight="1">
      <c r="B234" s="791">
        <v>43279</v>
      </c>
      <c r="C234" s="790" t="s">
        <v>280</v>
      </c>
      <c r="D234" s="789">
        <v>100</v>
      </c>
      <c r="E234" s="789"/>
      <c r="F234" s="789"/>
      <c r="G234" s="789"/>
      <c r="H234" s="789"/>
      <c r="I234" s="789"/>
      <c r="J234" s="789"/>
      <c r="K234" s="789"/>
      <c r="L234" s="789"/>
      <c r="M234" s="789"/>
    </row>
    <row r="235" spans="1:58" ht="13.5" customHeight="1">
      <c r="B235" s="791">
        <v>43280</v>
      </c>
      <c r="C235" s="790" t="s">
        <v>899</v>
      </c>
      <c r="D235" s="789">
        <v>80</v>
      </c>
      <c r="E235" s="789"/>
      <c r="F235" s="789"/>
      <c r="G235" s="789"/>
      <c r="H235" s="789"/>
      <c r="I235" s="789"/>
      <c r="J235" s="789"/>
      <c r="K235" s="789"/>
      <c r="L235" s="789"/>
      <c r="M235" s="789"/>
    </row>
    <row r="236" spans="1:58" ht="13.5" customHeight="1">
      <c r="B236" s="791">
        <v>43281</v>
      </c>
      <c r="C236" s="790" t="s">
        <v>898</v>
      </c>
      <c r="D236" s="789">
        <v>30</v>
      </c>
      <c r="E236" s="789"/>
      <c r="F236" s="789"/>
      <c r="G236" s="789"/>
      <c r="H236" s="789"/>
      <c r="I236" s="789">
        <v>30</v>
      </c>
      <c r="J236" s="789"/>
      <c r="K236" s="789"/>
      <c r="L236" s="789"/>
      <c r="M236" s="789"/>
    </row>
    <row r="237" spans="1:58" s="694" customFormat="1" ht="13.5" customHeight="1">
      <c r="A237" s="700"/>
      <c r="B237" s="788" t="s">
        <v>117</v>
      </c>
      <c r="C237" s="787" t="s">
        <v>37</v>
      </c>
      <c r="D237" s="786"/>
      <c r="E237" s="786">
        <f t="shared" ref="E237:K237" si="7">SUM(E238:E270)</f>
        <v>0</v>
      </c>
      <c r="F237" s="786">
        <f t="shared" si="7"/>
        <v>850.83</v>
      </c>
      <c r="G237" s="786">
        <f t="shared" si="7"/>
        <v>333</v>
      </c>
      <c r="H237" s="786">
        <f t="shared" si="7"/>
        <v>80</v>
      </c>
      <c r="I237" s="786">
        <f t="shared" si="7"/>
        <v>130</v>
      </c>
      <c r="J237" s="786">
        <f t="shared" si="7"/>
        <v>1123.77</v>
      </c>
      <c r="K237" s="786">
        <f t="shared" si="7"/>
        <v>185</v>
      </c>
      <c r="L237" s="786"/>
      <c r="M237" s="786">
        <f>SUM(M238:M270)</f>
        <v>0</v>
      </c>
      <c r="N237" s="786"/>
      <c r="O237" s="786"/>
      <c r="P237" s="786"/>
      <c r="Q237" s="786"/>
      <c r="R237" s="786"/>
      <c r="S237" s="695"/>
      <c r="T237" s="695"/>
      <c r="U237" s="695"/>
      <c r="V237" s="695"/>
      <c r="W237" s="695"/>
      <c r="X237" s="695"/>
      <c r="Y237" s="695"/>
      <c r="Z237" s="695"/>
      <c r="AA237" s="695"/>
      <c r="AB237" s="695"/>
      <c r="AC237" s="695"/>
      <c r="AD237" s="695"/>
      <c r="AE237" s="695"/>
      <c r="AF237" s="695"/>
      <c r="AG237" s="695"/>
      <c r="AH237" s="695"/>
      <c r="AI237" s="695"/>
      <c r="AJ237" s="695"/>
      <c r="AK237" s="695"/>
      <c r="AL237" s="695"/>
      <c r="AM237" s="695"/>
      <c r="AN237" s="695"/>
      <c r="AO237" s="695"/>
      <c r="AP237" s="695"/>
      <c r="AQ237" s="695"/>
      <c r="AR237" s="695"/>
      <c r="AS237" s="695"/>
      <c r="AT237" s="695"/>
      <c r="AU237" s="695"/>
      <c r="AV237" s="695"/>
      <c r="AW237" s="695"/>
      <c r="AX237" s="695"/>
      <c r="AY237" s="695"/>
      <c r="AZ237" s="695"/>
      <c r="BA237" s="695"/>
      <c r="BB237" s="695"/>
      <c r="BC237" s="695"/>
      <c r="BD237" s="695"/>
      <c r="BE237" s="695"/>
      <c r="BF237" s="695"/>
    </row>
    <row r="238" spans="1:58" ht="13.5" customHeight="1">
      <c r="B238" s="791">
        <v>43282</v>
      </c>
      <c r="C238" s="790" t="s">
        <v>306</v>
      </c>
      <c r="D238" s="789"/>
      <c r="E238" s="789"/>
      <c r="F238" s="789">
        <f>'2018-'!$J$151</f>
        <v>692.83</v>
      </c>
      <c r="G238" s="789"/>
      <c r="H238" s="789"/>
      <c r="I238" s="789"/>
      <c r="J238" s="789"/>
      <c r="K238" s="789"/>
      <c r="L238" s="789"/>
      <c r="M238" s="789"/>
    </row>
    <row r="239" spans="1:58" ht="13.5" customHeight="1">
      <c r="B239" s="791">
        <v>43282</v>
      </c>
      <c r="C239" s="790" t="s">
        <v>595</v>
      </c>
      <c r="D239" s="789"/>
      <c r="E239" s="789"/>
      <c r="F239" s="789"/>
      <c r="G239" s="789"/>
      <c r="H239" s="789"/>
      <c r="I239" s="789"/>
      <c r="J239" s="789">
        <f>'2018-'!$K$151</f>
        <v>3123.77</v>
      </c>
      <c r="K239" s="789"/>
      <c r="L239" s="789"/>
      <c r="M239" s="789"/>
    </row>
    <row r="240" spans="1:58" ht="13.5" customHeight="1">
      <c r="B240" s="791">
        <v>43281</v>
      </c>
      <c r="C240" s="790" t="s">
        <v>22</v>
      </c>
      <c r="D240" s="789">
        <v>89</v>
      </c>
      <c r="E240" s="789"/>
      <c r="F240" s="789"/>
      <c r="G240" s="789">
        <f>D240</f>
        <v>89</v>
      </c>
      <c r="H240" s="789"/>
      <c r="I240" s="789"/>
      <c r="J240" s="789"/>
      <c r="K240" s="789"/>
      <c r="L240" s="789"/>
      <c r="M240" s="789"/>
    </row>
    <row r="241" spans="1:13" s="648" customFormat="1" ht="13.5" customHeight="1">
      <c r="A241" s="654"/>
      <c r="B241" s="791">
        <v>43281</v>
      </c>
      <c r="C241" s="790" t="s">
        <v>21</v>
      </c>
      <c r="D241" s="789">
        <v>185</v>
      </c>
      <c r="E241" s="789"/>
      <c r="F241" s="789"/>
      <c r="G241" s="789">
        <f>D241</f>
        <v>185</v>
      </c>
      <c r="H241" s="789"/>
      <c r="I241" s="789"/>
      <c r="J241" s="789"/>
      <c r="K241" s="789"/>
      <c r="L241" s="789"/>
      <c r="M241" s="789"/>
    </row>
    <row r="242" spans="1:13" s="648" customFormat="1" ht="13.5" customHeight="1">
      <c r="A242" s="654"/>
      <c r="B242" s="791">
        <v>43282</v>
      </c>
      <c r="C242" s="790" t="s">
        <v>230</v>
      </c>
      <c r="D242" s="789">
        <v>59</v>
      </c>
      <c r="E242" s="789"/>
      <c r="F242" s="789"/>
      <c r="G242" s="789">
        <f>D242</f>
        <v>59</v>
      </c>
      <c r="H242" s="789"/>
      <c r="I242" s="789"/>
      <c r="J242" s="789"/>
      <c r="K242" s="789"/>
      <c r="L242" s="789"/>
      <c r="M242" s="789"/>
    </row>
    <row r="243" spans="1:13" s="648" customFormat="1" ht="13.5" customHeight="1">
      <c r="A243" s="654"/>
      <c r="B243" s="791">
        <v>43285</v>
      </c>
      <c r="C243" s="790" t="s">
        <v>397</v>
      </c>
      <c r="D243" s="789">
        <v>239.4</v>
      </c>
      <c r="E243" s="789"/>
      <c r="F243" s="789"/>
      <c r="G243" s="789"/>
      <c r="H243" s="789"/>
      <c r="I243" s="789"/>
      <c r="J243" s="789"/>
      <c r="K243" s="789"/>
      <c r="L243" s="789"/>
      <c r="M243" s="789"/>
    </row>
    <row r="244" spans="1:13" s="648" customFormat="1" ht="13.5" customHeight="1">
      <c r="A244" s="654"/>
      <c r="B244" s="791">
        <v>43286</v>
      </c>
      <c r="C244" s="790" t="s">
        <v>653</v>
      </c>
      <c r="D244" s="789">
        <v>145</v>
      </c>
      <c r="E244" s="789"/>
      <c r="F244" s="789"/>
      <c r="G244" s="789"/>
      <c r="H244" s="789"/>
      <c r="I244" s="789"/>
      <c r="J244" s="789"/>
      <c r="K244" s="789"/>
      <c r="L244" s="789"/>
      <c r="M244" s="789"/>
    </row>
    <row r="245" spans="1:13" s="648" customFormat="1" ht="13.5" customHeight="1">
      <c r="A245" s="654"/>
      <c r="B245" s="791">
        <v>43286</v>
      </c>
      <c r="C245" s="790" t="s">
        <v>897</v>
      </c>
      <c r="D245" s="789">
        <v>69</v>
      </c>
      <c r="E245" s="789"/>
      <c r="F245" s="789">
        <v>69</v>
      </c>
      <c r="G245" s="789"/>
      <c r="H245" s="789"/>
      <c r="I245" s="789"/>
      <c r="J245" s="789"/>
      <c r="K245" s="789"/>
      <c r="L245" s="789"/>
      <c r="M245" s="789"/>
    </row>
    <row r="246" spans="1:13" s="648" customFormat="1" ht="13.5" customHeight="1">
      <c r="A246" s="654"/>
      <c r="B246" s="791">
        <v>43286</v>
      </c>
      <c r="C246" s="790" t="s">
        <v>896</v>
      </c>
      <c r="D246" s="789">
        <v>30</v>
      </c>
      <c r="E246" s="789"/>
      <c r="F246" s="789"/>
      <c r="G246" s="789"/>
      <c r="H246" s="789"/>
      <c r="I246" s="789"/>
      <c r="J246" s="789"/>
      <c r="K246" s="789"/>
      <c r="L246" s="789"/>
      <c r="M246" s="789"/>
    </row>
    <row r="247" spans="1:13" s="648" customFormat="1" ht="13.5" customHeight="1">
      <c r="A247" s="654"/>
      <c r="B247" s="791">
        <v>43286</v>
      </c>
      <c r="C247" s="790" t="s">
        <v>895</v>
      </c>
      <c r="D247" s="789">
        <v>19</v>
      </c>
      <c r="E247" s="789"/>
      <c r="F247" s="789"/>
      <c r="G247" s="789"/>
      <c r="H247" s="789"/>
      <c r="I247" s="789"/>
      <c r="J247" s="789"/>
      <c r="K247" s="789"/>
      <c r="L247" s="789"/>
      <c r="M247" s="789"/>
    </row>
    <row r="248" spans="1:13" s="648" customFormat="1" ht="13.5" customHeight="1">
      <c r="A248" s="654"/>
      <c r="B248" s="791">
        <v>43286</v>
      </c>
      <c r="C248" s="790" t="s">
        <v>894</v>
      </c>
      <c r="D248" s="789">
        <v>24</v>
      </c>
      <c r="E248" s="789"/>
      <c r="F248" s="789"/>
      <c r="G248" s="789"/>
      <c r="H248" s="789"/>
      <c r="I248" s="789"/>
      <c r="J248" s="789"/>
      <c r="K248" s="789"/>
      <c r="L248" s="789"/>
      <c r="M248" s="789"/>
    </row>
    <row r="249" spans="1:13" s="648" customFormat="1" ht="13.5" customHeight="1">
      <c r="A249" s="654"/>
      <c r="B249" s="791">
        <v>43287</v>
      </c>
      <c r="C249" s="790" t="s">
        <v>893</v>
      </c>
      <c r="D249" s="789">
        <v>30</v>
      </c>
      <c r="E249" s="789"/>
      <c r="F249" s="789"/>
      <c r="G249" s="789"/>
      <c r="H249" s="789"/>
      <c r="I249" s="789">
        <v>30</v>
      </c>
      <c r="J249" s="789"/>
      <c r="K249" s="789"/>
      <c r="L249" s="789"/>
      <c r="M249" s="789"/>
    </row>
    <row r="250" spans="1:13" s="648" customFormat="1" ht="13.5" customHeight="1">
      <c r="A250" s="654"/>
      <c r="B250" s="791">
        <v>43287</v>
      </c>
      <c r="C250" s="790" t="s">
        <v>825</v>
      </c>
      <c r="D250" s="789">
        <v>89</v>
      </c>
      <c r="E250" s="789"/>
      <c r="F250" s="789">
        <v>89</v>
      </c>
      <c r="G250" s="789"/>
      <c r="H250" s="789"/>
      <c r="I250" s="789"/>
      <c r="J250" s="789"/>
      <c r="K250" s="789"/>
      <c r="L250" s="789"/>
      <c r="M250" s="789"/>
    </row>
    <row r="251" spans="1:13" s="648" customFormat="1" ht="13.5" customHeight="1">
      <c r="A251" s="654"/>
      <c r="B251" s="791">
        <v>43287</v>
      </c>
      <c r="C251" s="790" t="s">
        <v>37</v>
      </c>
      <c r="D251" s="789">
        <v>27.95</v>
      </c>
      <c r="E251" s="789"/>
      <c r="F251" s="789"/>
      <c r="G251" s="789"/>
      <c r="H251" s="789"/>
      <c r="I251" s="789"/>
      <c r="J251" s="789"/>
      <c r="K251" s="789"/>
      <c r="L251" s="789"/>
      <c r="M251" s="789"/>
    </row>
    <row r="252" spans="1:13" s="648" customFormat="1" ht="13.5" customHeight="1">
      <c r="A252" s="654"/>
      <c r="B252" s="791">
        <v>43287</v>
      </c>
      <c r="C252" s="790" t="s">
        <v>892</v>
      </c>
      <c r="D252" s="789">
        <v>50</v>
      </c>
      <c r="E252" s="789"/>
      <c r="F252" s="789"/>
      <c r="G252" s="789"/>
      <c r="H252" s="789"/>
      <c r="I252" s="789"/>
      <c r="J252" s="789"/>
      <c r="K252" s="789"/>
      <c r="L252" s="789"/>
      <c r="M252" s="789"/>
    </row>
    <row r="253" spans="1:13" s="648" customFormat="1" ht="13.5" customHeight="1">
      <c r="A253" s="654"/>
      <c r="B253" s="791">
        <v>43287</v>
      </c>
      <c r="C253" s="790" t="s">
        <v>891</v>
      </c>
      <c r="D253" s="789">
        <v>185</v>
      </c>
      <c r="E253" s="789"/>
      <c r="F253" s="789"/>
      <c r="G253" s="789"/>
      <c r="H253" s="789"/>
      <c r="I253" s="789"/>
      <c r="J253" s="789"/>
      <c r="K253" s="789">
        <v>185</v>
      </c>
      <c r="L253" s="789"/>
      <c r="M253" s="789"/>
    </row>
    <row r="254" spans="1:13" s="648" customFormat="1" ht="13.5" customHeight="1">
      <c r="A254" s="654" t="s">
        <v>19</v>
      </c>
      <c r="B254" s="791">
        <v>43292</v>
      </c>
      <c r="C254" s="790" t="s">
        <v>216</v>
      </c>
      <c r="D254" s="789">
        <v>97.95</v>
      </c>
      <c r="E254" s="789"/>
      <c r="F254" s="789"/>
      <c r="G254" s="789"/>
      <c r="H254" s="789"/>
      <c r="I254" s="789"/>
      <c r="J254" s="789"/>
      <c r="K254" s="789"/>
      <c r="L254" s="789"/>
      <c r="M254" s="789"/>
    </row>
    <row r="255" spans="1:13" s="648" customFormat="1" ht="13.5" customHeight="1">
      <c r="A255" s="654"/>
      <c r="B255" s="791">
        <v>43292</v>
      </c>
      <c r="C255" s="790" t="s">
        <v>890</v>
      </c>
      <c r="D255" s="789">
        <v>161.54</v>
      </c>
      <c r="E255" s="789"/>
      <c r="F255" s="789"/>
      <c r="G255" s="789"/>
      <c r="H255" s="789"/>
      <c r="I255" s="789"/>
      <c r="J255" s="789"/>
      <c r="K255" s="789"/>
      <c r="L255" s="789"/>
      <c r="M255" s="789"/>
    </row>
    <row r="256" spans="1:13" s="648" customFormat="1" ht="13.5" customHeight="1">
      <c r="A256" s="654"/>
      <c r="B256" s="791">
        <v>43292</v>
      </c>
      <c r="C256" s="790" t="s">
        <v>889</v>
      </c>
      <c r="D256" s="789">
        <v>50</v>
      </c>
      <c r="E256" s="789"/>
      <c r="F256" s="789"/>
      <c r="G256" s="789"/>
      <c r="H256" s="789"/>
      <c r="I256" s="789"/>
      <c r="J256" s="789"/>
      <c r="K256" s="789"/>
      <c r="L256" s="789"/>
      <c r="M256" s="789"/>
    </row>
    <row r="257" spans="1:58" ht="13.5" customHeight="1">
      <c r="B257" s="791">
        <v>43294</v>
      </c>
      <c r="C257" s="790" t="s">
        <v>58</v>
      </c>
      <c r="D257" s="789">
        <v>-2000</v>
      </c>
      <c r="E257" s="789"/>
      <c r="F257" s="789"/>
      <c r="G257" s="789"/>
      <c r="H257" s="789"/>
      <c r="I257" s="789"/>
      <c r="J257" s="789">
        <f>D257</f>
        <v>-2000</v>
      </c>
      <c r="K257" s="789"/>
      <c r="L257" s="789"/>
      <c r="M257" s="789"/>
    </row>
    <row r="258" spans="1:58" ht="13.5" customHeight="1">
      <c r="B258" s="791">
        <v>43294</v>
      </c>
      <c r="C258" s="790" t="s">
        <v>888</v>
      </c>
      <c r="D258" s="789">
        <v>30</v>
      </c>
      <c r="E258" s="789"/>
      <c r="F258" s="789"/>
      <c r="G258" s="789"/>
      <c r="H258" s="789"/>
      <c r="I258" s="789">
        <v>30</v>
      </c>
      <c r="J258" s="789"/>
      <c r="K258" s="789"/>
      <c r="L258" s="789"/>
      <c r="M258" s="789"/>
    </row>
    <row r="259" spans="1:58" ht="13.5" customHeight="1">
      <c r="B259" s="791">
        <v>43295</v>
      </c>
      <c r="C259" s="790" t="s">
        <v>474</v>
      </c>
      <c r="D259" s="789">
        <v>300</v>
      </c>
      <c r="E259" s="789"/>
      <c r="F259" s="789"/>
      <c r="G259" s="789"/>
      <c r="H259" s="789"/>
      <c r="I259" s="789"/>
      <c r="J259" s="789"/>
      <c r="K259" s="789"/>
      <c r="L259" s="789"/>
      <c r="M259" s="789"/>
    </row>
    <row r="260" spans="1:58" ht="13.5" customHeight="1">
      <c r="B260" s="791">
        <v>43295</v>
      </c>
      <c r="C260" s="790" t="s">
        <v>211</v>
      </c>
      <c r="D260" s="789">
        <v>233</v>
      </c>
      <c r="E260" s="789"/>
      <c r="F260" s="789"/>
      <c r="G260" s="789"/>
      <c r="H260" s="789"/>
      <c r="I260" s="789"/>
      <c r="J260" s="789"/>
      <c r="K260" s="789"/>
      <c r="L260" s="789"/>
      <c r="M260" s="789"/>
    </row>
    <row r="261" spans="1:58" ht="13.5" customHeight="1">
      <c r="B261" s="791">
        <v>43299</v>
      </c>
      <c r="C261" s="790" t="s">
        <v>186</v>
      </c>
      <c r="D261" s="789">
        <v>30</v>
      </c>
      <c r="E261" s="789"/>
      <c r="F261" s="789"/>
      <c r="G261" s="789"/>
      <c r="H261" s="789">
        <v>30</v>
      </c>
      <c r="I261" s="789"/>
      <c r="J261" s="789"/>
      <c r="K261" s="789"/>
      <c r="L261" s="789"/>
      <c r="M261" s="789"/>
    </row>
    <row r="262" spans="1:58" ht="13.5" customHeight="1">
      <c r="B262" s="791">
        <v>43300</v>
      </c>
      <c r="C262" s="790" t="s">
        <v>879</v>
      </c>
      <c r="D262" s="789">
        <v>100</v>
      </c>
      <c r="E262" s="789"/>
      <c r="F262" s="789"/>
      <c r="G262" s="789"/>
      <c r="H262" s="789"/>
      <c r="I262" s="789"/>
      <c r="J262" s="789"/>
      <c r="K262" s="789"/>
      <c r="L262" s="789"/>
      <c r="M262" s="789"/>
    </row>
    <row r="263" spans="1:58" ht="13.5" customHeight="1">
      <c r="B263" s="791">
        <v>43300</v>
      </c>
      <c r="C263" s="790" t="s">
        <v>887</v>
      </c>
      <c r="D263" s="789">
        <v>30</v>
      </c>
      <c r="E263" s="789"/>
      <c r="F263" s="789"/>
      <c r="G263" s="789"/>
      <c r="H263" s="789"/>
      <c r="I263" s="789">
        <v>30</v>
      </c>
      <c r="J263" s="789"/>
      <c r="K263" s="789"/>
      <c r="L263" s="789"/>
      <c r="M263" s="789"/>
    </row>
    <row r="264" spans="1:58" ht="13.5" customHeight="1">
      <c r="B264" s="791">
        <v>43301</v>
      </c>
      <c r="C264" s="790" t="s">
        <v>886</v>
      </c>
      <c r="D264" s="789">
        <v>178</v>
      </c>
      <c r="E264" s="789"/>
      <c r="F264" s="789"/>
      <c r="G264" s="789"/>
      <c r="H264" s="789"/>
      <c r="I264" s="789"/>
      <c r="J264" s="789"/>
      <c r="K264" s="789"/>
      <c r="L264" s="789"/>
      <c r="M264" s="789"/>
    </row>
    <row r="265" spans="1:58" ht="13.5" customHeight="1">
      <c r="B265" s="791">
        <v>43301</v>
      </c>
      <c r="C265" s="790" t="s">
        <v>885</v>
      </c>
      <c r="D265" s="789">
        <v>18</v>
      </c>
      <c r="E265" s="789"/>
      <c r="F265" s="789"/>
      <c r="G265" s="789"/>
      <c r="H265" s="789"/>
      <c r="I265" s="789"/>
      <c r="J265" s="789"/>
      <c r="K265" s="789"/>
      <c r="L265" s="789"/>
      <c r="M265" s="789"/>
    </row>
    <row r="266" spans="1:58" ht="13.5" customHeight="1">
      <c r="B266" s="791">
        <v>43304</v>
      </c>
      <c r="C266" s="790" t="s">
        <v>677</v>
      </c>
      <c r="D266" s="789">
        <v>140</v>
      </c>
      <c r="E266" s="789"/>
      <c r="F266" s="789"/>
      <c r="G266" s="789"/>
      <c r="H266" s="789"/>
      <c r="I266" s="789"/>
      <c r="J266" s="789"/>
      <c r="K266" s="789"/>
      <c r="L266" s="789"/>
      <c r="M266" s="789"/>
    </row>
    <row r="267" spans="1:58" ht="13.5" customHeight="1">
      <c r="B267" s="791">
        <v>43306</v>
      </c>
      <c r="C267" s="790" t="s">
        <v>884</v>
      </c>
      <c r="D267" s="789">
        <v>40</v>
      </c>
      <c r="E267" s="789"/>
      <c r="F267" s="789"/>
      <c r="G267" s="789"/>
      <c r="H267" s="789"/>
      <c r="I267" s="789">
        <v>40</v>
      </c>
      <c r="J267" s="789"/>
      <c r="K267" s="789"/>
      <c r="L267" s="789"/>
      <c r="M267" s="789"/>
    </row>
    <row r="268" spans="1:58" ht="13.5" customHeight="1">
      <c r="B268" s="791">
        <v>43310</v>
      </c>
      <c r="C268" s="790" t="s">
        <v>186</v>
      </c>
      <c r="D268" s="789">
        <v>-50</v>
      </c>
      <c r="E268" s="789"/>
      <c r="F268" s="789"/>
      <c r="G268" s="789"/>
      <c r="H268" s="789">
        <v>-50</v>
      </c>
      <c r="I268" s="789"/>
      <c r="J268" s="789"/>
      <c r="K268" s="789"/>
      <c r="L268" s="789"/>
      <c r="M268" s="789"/>
    </row>
    <row r="269" spans="1:58" ht="13.5" customHeight="1">
      <c r="B269" s="791">
        <v>43310</v>
      </c>
      <c r="C269" s="790" t="s">
        <v>186</v>
      </c>
      <c r="D269" s="789">
        <v>100</v>
      </c>
      <c r="E269" s="789"/>
      <c r="F269" s="789"/>
      <c r="G269" s="789"/>
      <c r="H269" s="789">
        <v>100</v>
      </c>
      <c r="I269" s="789"/>
      <c r="J269" s="789"/>
      <c r="K269" s="789"/>
      <c r="L269" s="789"/>
      <c r="M269" s="789"/>
    </row>
    <row r="270" spans="1:58" ht="13.5" customHeight="1">
      <c r="B270" s="791">
        <v>43312</v>
      </c>
      <c r="C270" s="790" t="s">
        <v>492</v>
      </c>
      <c r="D270" s="789">
        <v>98</v>
      </c>
      <c r="E270" s="789"/>
      <c r="F270" s="789"/>
      <c r="G270" s="789"/>
      <c r="H270" s="789"/>
      <c r="I270" s="789"/>
      <c r="J270" s="789"/>
      <c r="K270" s="789"/>
      <c r="L270" s="789"/>
      <c r="M270" s="789"/>
    </row>
    <row r="271" spans="1:58" s="694" customFormat="1" ht="13.5" customHeight="1">
      <c r="A271" s="700"/>
      <c r="B271" s="788" t="s">
        <v>116</v>
      </c>
      <c r="C271" s="787" t="s">
        <v>37</v>
      </c>
      <c r="D271" s="786"/>
      <c r="E271" s="786">
        <f t="shared" ref="E271:K271" si="8">SUM(E272:E324)</f>
        <v>0</v>
      </c>
      <c r="F271" s="786">
        <f t="shared" si="8"/>
        <v>733.45</v>
      </c>
      <c r="G271" s="786">
        <f t="shared" si="8"/>
        <v>480</v>
      </c>
      <c r="H271" s="786">
        <f t="shared" si="8"/>
        <v>495</v>
      </c>
      <c r="I271" s="786">
        <f t="shared" si="8"/>
        <v>120</v>
      </c>
      <c r="J271" s="786">
        <f t="shared" si="8"/>
        <v>-235.73000000000002</v>
      </c>
      <c r="K271" s="786">
        <f t="shared" si="8"/>
        <v>300</v>
      </c>
      <c r="L271" s="786"/>
      <c r="M271" s="786">
        <f>SUM(M272:M324)</f>
        <v>-100</v>
      </c>
      <c r="N271" s="786"/>
      <c r="O271" s="786"/>
      <c r="P271" s="786"/>
      <c r="Q271" s="786"/>
      <c r="R271" s="786"/>
      <c r="S271" s="695"/>
      <c r="T271" s="695"/>
      <c r="U271" s="695"/>
      <c r="V271" s="695"/>
      <c r="W271" s="695"/>
      <c r="X271" s="695"/>
      <c r="Y271" s="695"/>
      <c r="Z271" s="695"/>
      <c r="AA271" s="695"/>
      <c r="AB271" s="695"/>
      <c r="AC271" s="695"/>
      <c r="AD271" s="695"/>
      <c r="AE271" s="695"/>
      <c r="AF271" s="695"/>
      <c r="AG271" s="695"/>
      <c r="AH271" s="695"/>
      <c r="AI271" s="695"/>
      <c r="AJ271" s="695"/>
      <c r="AK271" s="695"/>
      <c r="AL271" s="695"/>
      <c r="AM271" s="695"/>
      <c r="AN271" s="695"/>
      <c r="AO271" s="695"/>
      <c r="AP271" s="695"/>
      <c r="AQ271" s="695"/>
      <c r="AR271" s="695"/>
      <c r="AS271" s="695"/>
      <c r="AT271" s="695"/>
      <c r="AU271" s="695"/>
      <c r="AV271" s="695"/>
      <c r="AW271" s="695"/>
      <c r="AX271" s="695"/>
      <c r="AY271" s="695"/>
      <c r="AZ271" s="695"/>
      <c r="BA271" s="695"/>
      <c r="BB271" s="695"/>
      <c r="BC271" s="695"/>
      <c r="BD271" s="695"/>
      <c r="BE271" s="695"/>
      <c r="BF271" s="695"/>
    </row>
    <row r="272" spans="1:58" ht="13.5" customHeight="1">
      <c r="B272" s="791">
        <v>43313</v>
      </c>
      <c r="C272" s="790" t="s">
        <v>306</v>
      </c>
      <c r="D272" s="789"/>
      <c r="E272" s="789"/>
      <c r="F272" s="789">
        <f>'2018-'!$J$172</f>
        <v>733.45</v>
      </c>
      <c r="G272" s="789"/>
      <c r="H272" s="789"/>
      <c r="I272" s="789"/>
      <c r="J272" s="789"/>
      <c r="K272" s="789"/>
      <c r="L272" s="789"/>
      <c r="M272" s="789"/>
    </row>
    <row r="273" spans="2:13" s="648" customFormat="1" ht="13.5" customHeight="1">
      <c r="B273" s="791">
        <v>43313</v>
      </c>
      <c r="C273" s="790" t="s">
        <v>595</v>
      </c>
      <c r="D273" s="789"/>
      <c r="E273" s="789"/>
      <c r="F273" s="789"/>
      <c r="G273" s="789"/>
      <c r="H273" s="789"/>
      <c r="I273" s="789"/>
      <c r="J273" s="789">
        <f>'2018-'!$K$172</f>
        <v>1764.27</v>
      </c>
      <c r="K273" s="789"/>
      <c r="L273" s="789"/>
      <c r="M273" s="789"/>
    </row>
    <row r="274" spans="2:13" s="648" customFormat="1" ht="13.5" customHeight="1">
      <c r="B274" s="791">
        <v>43313</v>
      </c>
      <c r="C274" s="790" t="s">
        <v>126</v>
      </c>
      <c r="D274" s="789">
        <v>233</v>
      </c>
      <c r="E274" s="789"/>
      <c r="F274" s="789"/>
      <c r="G274" s="789"/>
      <c r="H274" s="789">
        <f>D274</f>
        <v>233</v>
      </c>
      <c r="I274" s="789"/>
      <c r="J274" s="789"/>
      <c r="K274" s="789"/>
      <c r="L274" s="789"/>
      <c r="M274" s="789"/>
    </row>
    <row r="275" spans="2:13" s="648" customFormat="1" ht="13.5" customHeight="1">
      <c r="B275" s="791">
        <v>43313</v>
      </c>
      <c r="C275" s="790" t="s">
        <v>196</v>
      </c>
      <c r="D275" s="789">
        <v>211</v>
      </c>
      <c r="E275" s="789"/>
      <c r="F275" s="789"/>
      <c r="G275" s="789"/>
      <c r="H275" s="789">
        <f>D275</f>
        <v>211</v>
      </c>
      <c r="I275" s="789"/>
      <c r="J275" s="789"/>
      <c r="K275" s="789"/>
      <c r="L275" s="789"/>
      <c r="M275" s="789"/>
    </row>
    <row r="276" spans="2:13" s="648" customFormat="1" ht="13.5" customHeight="1">
      <c r="B276" s="791">
        <v>43312</v>
      </c>
      <c r="C276" s="790" t="s">
        <v>249</v>
      </c>
      <c r="D276" s="789">
        <v>236</v>
      </c>
      <c r="E276" s="789"/>
      <c r="F276" s="789"/>
      <c r="G276" s="789"/>
      <c r="H276" s="789"/>
      <c r="I276" s="789"/>
      <c r="J276" s="789"/>
      <c r="K276" s="789"/>
      <c r="L276" s="789"/>
      <c r="M276" s="789"/>
    </row>
    <row r="277" spans="2:13" s="648" customFormat="1" ht="13.5" customHeight="1">
      <c r="B277" s="791">
        <v>43312</v>
      </c>
      <c r="C277" s="790" t="s">
        <v>22</v>
      </c>
      <c r="D277" s="789">
        <v>89</v>
      </c>
      <c r="E277" s="789"/>
      <c r="F277" s="789"/>
      <c r="G277" s="789">
        <f>D277</f>
        <v>89</v>
      </c>
      <c r="H277" s="789"/>
      <c r="I277" s="789"/>
      <c r="J277" s="789"/>
      <c r="K277" s="789"/>
      <c r="L277" s="789"/>
      <c r="M277" s="789"/>
    </row>
    <row r="278" spans="2:13" s="648" customFormat="1" ht="13.5" customHeight="1">
      <c r="B278" s="791">
        <v>43312</v>
      </c>
      <c r="C278" s="790" t="s">
        <v>21</v>
      </c>
      <c r="D278" s="789">
        <v>166</v>
      </c>
      <c r="E278" s="789"/>
      <c r="F278" s="789"/>
      <c r="G278" s="789">
        <f>D278</f>
        <v>166</v>
      </c>
      <c r="H278" s="789"/>
      <c r="I278" s="789"/>
      <c r="J278" s="789"/>
      <c r="K278" s="789"/>
      <c r="L278" s="789"/>
      <c r="M278" s="789"/>
    </row>
    <row r="279" spans="2:13" s="648" customFormat="1" ht="13.5" customHeight="1">
      <c r="B279" s="791">
        <v>43312</v>
      </c>
      <c r="C279" s="790" t="s">
        <v>883</v>
      </c>
      <c r="D279" s="789">
        <v>88</v>
      </c>
      <c r="E279" s="789"/>
      <c r="F279" s="789"/>
      <c r="G279" s="789"/>
      <c r="H279" s="789"/>
      <c r="I279" s="789"/>
      <c r="J279" s="789"/>
      <c r="K279" s="789"/>
      <c r="L279" s="789"/>
      <c r="M279" s="789"/>
    </row>
    <row r="280" spans="2:13" s="648" customFormat="1" ht="13.5" customHeight="1">
      <c r="B280" s="791">
        <v>43313</v>
      </c>
      <c r="C280" s="790" t="s">
        <v>230</v>
      </c>
      <c r="D280" s="789">
        <v>59</v>
      </c>
      <c r="E280" s="789"/>
      <c r="F280" s="789"/>
      <c r="G280" s="789">
        <f>D280</f>
        <v>59</v>
      </c>
      <c r="H280" s="789"/>
      <c r="I280" s="789"/>
      <c r="J280" s="789"/>
      <c r="K280" s="789"/>
      <c r="L280" s="789"/>
      <c r="M280" s="789"/>
    </row>
    <row r="281" spans="2:13" s="648" customFormat="1" ht="13.5" customHeight="1">
      <c r="B281" s="791">
        <v>43313</v>
      </c>
      <c r="C281" s="790" t="s">
        <v>882</v>
      </c>
      <c r="D281" s="789">
        <v>30</v>
      </c>
      <c r="E281" s="789"/>
      <c r="F281" s="789"/>
      <c r="G281" s="789"/>
      <c r="H281" s="789"/>
      <c r="I281" s="789">
        <v>30</v>
      </c>
      <c r="J281" s="789"/>
      <c r="K281" s="789"/>
      <c r="L281" s="789"/>
      <c r="M281" s="789"/>
    </row>
    <row r="282" spans="2:13" s="648" customFormat="1" ht="13.5" customHeight="1">
      <c r="B282" s="791">
        <v>43313</v>
      </c>
      <c r="C282" s="790" t="s">
        <v>881</v>
      </c>
      <c r="D282" s="789">
        <v>350</v>
      </c>
      <c r="E282" s="789"/>
      <c r="F282" s="789"/>
      <c r="G282" s="789"/>
      <c r="H282" s="789"/>
      <c r="I282" s="789"/>
      <c r="J282" s="789"/>
      <c r="K282" s="789"/>
      <c r="L282" s="789"/>
      <c r="M282" s="789"/>
    </row>
    <row r="283" spans="2:13" s="648" customFormat="1" ht="13.5" customHeight="1">
      <c r="B283" s="791">
        <v>43313</v>
      </c>
      <c r="C283" s="790" t="s">
        <v>880</v>
      </c>
      <c r="D283" s="789">
        <v>62</v>
      </c>
      <c r="E283" s="789"/>
      <c r="F283" s="789"/>
      <c r="G283" s="789"/>
      <c r="H283" s="789"/>
      <c r="I283" s="789"/>
      <c r="J283" s="789"/>
      <c r="K283" s="789"/>
      <c r="L283" s="789"/>
      <c r="M283" s="789"/>
    </row>
    <row r="284" spans="2:13" s="648" customFormat="1" ht="13.5" customHeight="1">
      <c r="B284" s="791">
        <v>43314</v>
      </c>
      <c r="C284" s="790" t="s">
        <v>879</v>
      </c>
      <c r="D284" s="789">
        <v>-100</v>
      </c>
      <c r="E284" s="789"/>
      <c r="F284" s="789"/>
      <c r="G284" s="789"/>
      <c r="H284" s="789"/>
      <c r="I284" s="789"/>
      <c r="J284" s="789"/>
      <c r="K284" s="789"/>
      <c r="L284" s="789"/>
      <c r="M284" s="789"/>
    </row>
    <row r="285" spans="2:13" s="648" customFormat="1" ht="13.5" customHeight="1">
      <c r="B285" s="791">
        <v>43315</v>
      </c>
      <c r="C285" s="790" t="s">
        <v>878</v>
      </c>
      <c r="D285" s="789">
        <v>69</v>
      </c>
      <c r="E285" s="789"/>
      <c r="F285" s="789"/>
      <c r="G285" s="789"/>
      <c r="H285" s="789"/>
      <c r="I285" s="789"/>
      <c r="J285" s="789"/>
      <c r="K285" s="789"/>
      <c r="L285" s="789"/>
      <c r="M285" s="789"/>
    </row>
    <row r="286" spans="2:13" s="648" customFormat="1" ht="13.5" customHeight="1">
      <c r="B286" s="791">
        <v>43315</v>
      </c>
      <c r="C286" s="790" t="s">
        <v>531</v>
      </c>
      <c r="D286" s="789">
        <v>59</v>
      </c>
      <c r="E286" s="789"/>
      <c r="F286" s="789"/>
      <c r="G286" s="789"/>
      <c r="H286" s="789"/>
      <c r="I286" s="789"/>
      <c r="J286" s="789"/>
      <c r="K286" s="789"/>
      <c r="L286" s="789"/>
      <c r="M286" s="789"/>
    </row>
    <row r="287" spans="2:13" s="648" customFormat="1" ht="13.5" customHeight="1">
      <c r="B287" s="791">
        <v>43315</v>
      </c>
      <c r="C287" s="790" t="s">
        <v>877</v>
      </c>
      <c r="D287" s="789">
        <v>7</v>
      </c>
      <c r="E287" s="789"/>
      <c r="F287" s="789"/>
      <c r="G287" s="789"/>
      <c r="H287" s="789"/>
      <c r="I287" s="789"/>
      <c r="J287" s="789"/>
      <c r="K287" s="789"/>
      <c r="L287" s="789"/>
      <c r="M287" s="789"/>
    </row>
    <row r="288" spans="2:13" s="648" customFormat="1" ht="13.5" customHeight="1">
      <c r="B288" s="791">
        <v>43315</v>
      </c>
      <c r="C288" s="790" t="s">
        <v>520</v>
      </c>
      <c r="D288" s="789">
        <v>100</v>
      </c>
      <c r="E288" s="789"/>
      <c r="F288" s="789"/>
      <c r="G288" s="789"/>
      <c r="H288" s="789"/>
      <c r="I288" s="789"/>
      <c r="J288" s="789"/>
      <c r="K288" s="789"/>
      <c r="L288" s="789"/>
      <c r="M288" s="789"/>
    </row>
    <row r="289" spans="2:13" s="648" customFormat="1" ht="13.5" customHeight="1">
      <c r="B289" s="791">
        <v>43316</v>
      </c>
      <c r="C289" s="790" t="s">
        <v>874</v>
      </c>
      <c r="D289" s="789">
        <v>105</v>
      </c>
      <c r="E289" s="789"/>
      <c r="F289" s="789"/>
      <c r="G289" s="789"/>
      <c r="H289" s="789"/>
      <c r="I289" s="789"/>
      <c r="J289" s="789"/>
      <c r="K289" s="789"/>
      <c r="L289" s="789"/>
      <c r="M289" s="789"/>
    </row>
    <row r="290" spans="2:13" s="648" customFormat="1" ht="13.5" customHeight="1">
      <c r="B290" s="791">
        <v>43316</v>
      </c>
      <c r="C290" s="790" t="s">
        <v>876</v>
      </c>
      <c r="D290" s="789">
        <v>50</v>
      </c>
      <c r="E290" s="789"/>
      <c r="F290" s="789"/>
      <c r="G290" s="789"/>
      <c r="H290" s="789"/>
      <c r="I290" s="789"/>
      <c r="J290" s="789"/>
      <c r="K290" s="789"/>
      <c r="L290" s="789"/>
      <c r="M290" s="789"/>
    </row>
    <row r="291" spans="2:13" s="648" customFormat="1" ht="13.5" customHeight="1">
      <c r="B291" s="791">
        <v>43317</v>
      </c>
      <c r="C291" s="790" t="s">
        <v>238</v>
      </c>
      <c r="D291" s="789">
        <v>112.35</v>
      </c>
      <c r="E291" s="789"/>
      <c r="F291" s="789"/>
      <c r="G291" s="789"/>
      <c r="H291" s="789"/>
      <c r="I291" s="789"/>
      <c r="J291" s="789"/>
      <c r="K291" s="789"/>
      <c r="L291" s="789"/>
      <c r="M291" s="789"/>
    </row>
    <row r="292" spans="2:13" s="648" customFormat="1" ht="13.5" customHeight="1">
      <c r="B292" s="791">
        <v>43317</v>
      </c>
      <c r="C292" s="790" t="s">
        <v>875</v>
      </c>
      <c r="D292" s="789">
        <v>40</v>
      </c>
      <c r="E292" s="789"/>
      <c r="F292" s="789"/>
      <c r="G292" s="789"/>
      <c r="H292" s="789"/>
      <c r="I292" s="789"/>
      <c r="J292" s="789"/>
      <c r="K292" s="789"/>
      <c r="L292" s="789"/>
      <c r="M292" s="789"/>
    </row>
    <row r="293" spans="2:13" s="648" customFormat="1" ht="13.5" customHeight="1">
      <c r="B293" s="791">
        <v>43319</v>
      </c>
      <c r="C293" s="790" t="s">
        <v>874</v>
      </c>
      <c r="D293" s="789">
        <v>87</v>
      </c>
      <c r="E293" s="789"/>
      <c r="F293" s="789"/>
      <c r="G293" s="789"/>
      <c r="H293" s="789"/>
      <c r="I293" s="789"/>
      <c r="J293" s="789"/>
      <c r="K293" s="789"/>
      <c r="L293" s="789"/>
      <c r="M293" s="789"/>
    </row>
    <row r="294" spans="2:13" s="648" customFormat="1" ht="13.5" customHeight="1">
      <c r="B294" s="791">
        <v>43319</v>
      </c>
      <c r="C294" s="790" t="s">
        <v>873</v>
      </c>
      <c r="D294" s="789">
        <v>20</v>
      </c>
      <c r="E294" s="789"/>
      <c r="F294" s="789"/>
      <c r="G294" s="789"/>
      <c r="H294" s="789"/>
      <c r="I294" s="789"/>
      <c r="J294" s="789"/>
      <c r="K294" s="789"/>
      <c r="L294" s="789"/>
      <c r="M294" s="789"/>
    </row>
    <row r="295" spans="2:13" s="648" customFormat="1" ht="13.5" customHeight="1">
      <c r="B295" s="791">
        <v>43320</v>
      </c>
      <c r="C295" s="790" t="s">
        <v>872</v>
      </c>
      <c r="D295" s="789">
        <v>30</v>
      </c>
      <c r="E295" s="789"/>
      <c r="F295" s="789"/>
      <c r="G295" s="789"/>
      <c r="H295" s="789"/>
      <c r="I295" s="789">
        <v>30</v>
      </c>
      <c r="J295" s="789"/>
      <c r="K295" s="789"/>
      <c r="L295" s="789"/>
      <c r="M295" s="789"/>
    </row>
    <row r="296" spans="2:13" s="648" customFormat="1" ht="13.5" customHeight="1">
      <c r="B296" s="791">
        <v>43323</v>
      </c>
      <c r="C296" s="790" t="s">
        <v>316</v>
      </c>
      <c r="D296" s="789">
        <v>101</v>
      </c>
      <c r="E296" s="789"/>
      <c r="F296" s="789"/>
      <c r="G296" s="789"/>
      <c r="H296" s="789"/>
      <c r="I296" s="789"/>
      <c r="J296" s="789"/>
      <c r="K296" s="789"/>
      <c r="L296" s="789"/>
      <c r="M296" s="789"/>
    </row>
    <row r="297" spans="2:13" s="648" customFormat="1" ht="13.5" customHeight="1">
      <c r="B297" s="791">
        <v>43328</v>
      </c>
      <c r="C297" s="790" t="s">
        <v>871</v>
      </c>
      <c r="D297" s="789">
        <v>220</v>
      </c>
      <c r="E297" s="789"/>
      <c r="F297" s="789"/>
      <c r="G297" s="789"/>
      <c r="H297" s="789"/>
      <c r="I297" s="789"/>
      <c r="J297" s="789"/>
      <c r="K297" s="789"/>
      <c r="L297" s="789"/>
      <c r="M297" s="789"/>
    </row>
    <row r="298" spans="2:13" s="648" customFormat="1" ht="13.5" customHeight="1">
      <c r="B298" s="791">
        <v>43327</v>
      </c>
      <c r="C298" s="790" t="s">
        <v>379</v>
      </c>
      <c r="D298" s="789">
        <v>368.85</v>
      </c>
      <c r="E298" s="789"/>
      <c r="F298" s="789"/>
      <c r="G298" s="789"/>
      <c r="H298" s="789"/>
      <c r="I298" s="789"/>
      <c r="J298" s="789"/>
      <c r="K298" s="789"/>
      <c r="L298" s="789"/>
      <c r="M298" s="789"/>
    </row>
    <row r="299" spans="2:13" s="648" customFormat="1" ht="13.5" customHeight="1">
      <c r="B299" s="791">
        <v>43328</v>
      </c>
      <c r="C299" s="790" t="s">
        <v>869</v>
      </c>
      <c r="D299" s="789">
        <v>69</v>
      </c>
      <c r="E299" s="789"/>
      <c r="F299" s="789"/>
      <c r="G299" s="789"/>
      <c r="H299" s="789"/>
      <c r="I299" s="789"/>
      <c r="J299" s="789"/>
      <c r="K299" s="789"/>
      <c r="L299" s="789"/>
      <c r="M299" s="789"/>
    </row>
    <row r="300" spans="2:13" s="648" customFormat="1" ht="13.5" customHeight="1">
      <c r="B300" s="791">
        <v>43329</v>
      </c>
      <c r="C300" s="790" t="s">
        <v>870</v>
      </c>
      <c r="D300" s="789">
        <v>350</v>
      </c>
      <c r="E300" s="789"/>
      <c r="F300" s="789"/>
      <c r="G300" s="789"/>
      <c r="H300" s="789"/>
      <c r="I300" s="789"/>
      <c r="J300" s="789"/>
      <c r="K300" s="789"/>
      <c r="L300" s="789"/>
      <c r="M300" s="789"/>
    </row>
    <row r="301" spans="2:13" s="648" customFormat="1" ht="13.5" customHeight="1">
      <c r="B301" s="791">
        <v>43329</v>
      </c>
      <c r="C301" s="790" t="s">
        <v>869</v>
      </c>
      <c r="D301" s="789">
        <v>69</v>
      </c>
      <c r="E301" s="789"/>
      <c r="F301" s="789"/>
      <c r="G301" s="789"/>
      <c r="H301" s="789"/>
      <c r="I301" s="789"/>
      <c r="J301" s="789"/>
      <c r="K301" s="789"/>
      <c r="L301" s="789"/>
      <c r="M301" s="789"/>
    </row>
    <row r="302" spans="2:13" s="648" customFormat="1" ht="13.5" customHeight="1">
      <c r="B302" s="791">
        <v>43329</v>
      </c>
      <c r="C302" s="790" t="s">
        <v>869</v>
      </c>
      <c r="D302" s="789">
        <v>149</v>
      </c>
      <c r="E302" s="789"/>
      <c r="F302" s="789"/>
      <c r="G302" s="789"/>
      <c r="H302" s="789"/>
      <c r="I302" s="789"/>
      <c r="J302" s="789"/>
      <c r="K302" s="789"/>
      <c r="L302" s="789"/>
      <c r="M302" s="789"/>
    </row>
    <row r="303" spans="2:13" s="648" customFormat="1" ht="13.5" customHeight="1">
      <c r="B303" s="791">
        <v>43329</v>
      </c>
      <c r="C303" s="790" t="s">
        <v>531</v>
      </c>
      <c r="D303" s="789">
        <v>30</v>
      </c>
      <c r="E303" s="789"/>
      <c r="F303" s="789"/>
      <c r="G303" s="789"/>
      <c r="H303" s="789"/>
      <c r="I303" s="789"/>
      <c r="J303" s="789"/>
      <c r="K303" s="789"/>
      <c r="L303" s="789"/>
      <c r="M303" s="789"/>
    </row>
    <row r="304" spans="2:13" s="648" customFormat="1" ht="13.5" customHeight="1">
      <c r="B304" s="791">
        <v>43330</v>
      </c>
      <c r="C304" s="790" t="s">
        <v>316</v>
      </c>
      <c r="D304" s="789">
        <v>141</v>
      </c>
      <c r="E304" s="789"/>
      <c r="F304" s="789"/>
      <c r="G304" s="789"/>
      <c r="H304" s="789"/>
      <c r="I304" s="789"/>
      <c r="J304" s="789"/>
      <c r="K304" s="789"/>
      <c r="L304" s="789"/>
      <c r="M304" s="789"/>
    </row>
    <row r="305" spans="2:13" s="648" customFormat="1" ht="13.5" customHeight="1">
      <c r="B305" s="791">
        <v>43331</v>
      </c>
      <c r="C305" s="790" t="s">
        <v>216</v>
      </c>
      <c r="D305" s="789">
        <v>91.9</v>
      </c>
      <c r="E305" s="789"/>
      <c r="F305" s="789"/>
      <c r="G305" s="789"/>
      <c r="H305" s="789"/>
      <c r="I305" s="789"/>
      <c r="J305" s="789"/>
      <c r="K305" s="789"/>
      <c r="L305" s="789"/>
      <c r="M305" s="789"/>
    </row>
    <row r="306" spans="2:13" s="648" customFormat="1" ht="13.5" customHeight="1">
      <c r="B306" s="791">
        <v>43330</v>
      </c>
      <c r="C306" s="790" t="s">
        <v>868</v>
      </c>
      <c r="D306" s="789">
        <v>30</v>
      </c>
      <c r="E306" s="789"/>
      <c r="F306" s="789"/>
      <c r="G306" s="789"/>
      <c r="H306" s="789"/>
      <c r="I306" s="789">
        <v>30</v>
      </c>
      <c r="J306" s="789"/>
      <c r="K306" s="789"/>
      <c r="L306" s="789"/>
      <c r="M306" s="789"/>
    </row>
    <row r="307" spans="2:13" s="648" customFormat="1" ht="13.5" customHeight="1">
      <c r="B307" s="791">
        <v>43332</v>
      </c>
      <c r="C307" s="790" t="s">
        <v>867</v>
      </c>
      <c r="D307" s="789">
        <v>-100</v>
      </c>
      <c r="E307" s="789"/>
      <c r="F307" s="789"/>
      <c r="G307" s="789"/>
      <c r="H307" s="789"/>
      <c r="I307" s="789"/>
      <c r="J307" s="789"/>
      <c r="K307" s="789"/>
      <c r="L307" s="789"/>
      <c r="M307" s="789">
        <v>-100</v>
      </c>
    </row>
    <row r="308" spans="2:13" s="648" customFormat="1" ht="13.5" customHeight="1">
      <c r="B308" s="791">
        <v>43333</v>
      </c>
      <c r="C308" s="790" t="s">
        <v>866</v>
      </c>
      <c r="D308" s="789">
        <v>20</v>
      </c>
      <c r="E308" s="789"/>
      <c r="F308" s="789"/>
      <c r="G308" s="789"/>
      <c r="H308" s="789"/>
      <c r="I308" s="789"/>
      <c r="J308" s="789"/>
      <c r="K308" s="789"/>
      <c r="L308" s="789"/>
      <c r="M308" s="789"/>
    </row>
    <row r="309" spans="2:13" s="648" customFormat="1" ht="13.5" customHeight="1">
      <c r="B309" s="791">
        <v>43334</v>
      </c>
      <c r="C309" s="790" t="s">
        <v>865</v>
      </c>
      <c r="D309" s="789">
        <v>15</v>
      </c>
      <c r="E309" s="789"/>
      <c r="F309" s="789"/>
      <c r="G309" s="789"/>
      <c r="H309" s="789"/>
      <c r="I309" s="789"/>
      <c r="J309" s="789"/>
      <c r="K309" s="789"/>
      <c r="L309" s="789"/>
      <c r="M309" s="789"/>
    </row>
    <row r="310" spans="2:13" s="648" customFormat="1" ht="13.5" customHeight="1">
      <c r="B310" s="791">
        <v>43334</v>
      </c>
      <c r="C310" s="790" t="s">
        <v>519</v>
      </c>
      <c r="D310" s="789">
        <v>59</v>
      </c>
      <c r="E310" s="789"/>
      <c r="F310" s="789"/>
      <c r="G310" s="789"/>
      <c r="H310" s="789"/>
      <c r="I310" s="789"/>
      <c r="J310" s="789"/>
      <c r="K310" s="789"/>
      <c r="L310" s="789"/>
      <c r="M310" s="789"/>
    </row>
    <row r="311" spans="2:13" s="648" customFormat="1" ht="13.5" customHeight="1">
      <c r="B311" s="791">
        <v>43335</v>
      </c>
      <c r="C311" s="790" t="s">
        <v>397</v>
      </c>
      <c r="D311" s="789">
        <v>159.6</v>
      </c>
      <c r="E311" s="789"/>
      <c r="F311" s="789"/>
      <c r="G311" s="789"/>
      <c r="H311" s="789"/>
      <c r="I311" s="789"/>
      <c r="J311" s="789"/>
      <c r="K311" s="789"/>
      <c r="L311" s="789"/>
      <c r="M311" s="789"/>
    </row>
    <row r="312" spans="2:13" s="648" customFormat="1" ht="13.5" customHeight="1">
      <c r="B312" s="791">
        <v>43337</v>
      </c>
      <c r="C312" s="790" t="s">
        <v>864</v>
      </c>
      <c r="D312" s="789">
        <v>30</v>
      </c>
      <c r="E312" s="789"/>
      <c r="F312" s="789"/>
      <c r="G312" s="789"/>
      <c r="H312" s="789"/>
      <c r="I312" s="789">
        <v>30</v>
      </c>
      <c r="J312" s="789"/>
      <c r="K312" s="789"/>
      <c r="L312" s="789"/>
      <c r="M312" s="789"/>
    </row>
    <row r="313" spans="2:13" s="648" customFormat="1" ht="13.5" customHeight="1">
      <c r="B313" s="791">
        <v>43337</v>
      </c>
      <c r="C313" s="790" t="s">
        <v>863</v>
      </c>
      <c r="D313" s="789">
        <v>28</v>
      </c>
      <c r="E313" s="789"/>
      <c r="F313" s="789"/>
      <c r="G313" s="789"/>
      <c r="H313" s="789"/>
      <c r="I313" s="789"/>
      <c r="J313" s="789"/>
      <c r="K313" s="789"/>
      <c r="L313" s="789"/>
      <c r="M313" s="789"/>
    </row>
    <row r="314" spans="2:13" s="648" customFormat="1" ht="13.5" customHeight="1">
      <c r="B314" s="791">
        <v>43338</v>
      </c>
      <c r="C314" s="790" t="s">
        <v>862</v>
      </c>
      <c r="D314" s="789">
        <v>300</v>
      </c>
      <c r="E314" s="789"/>
      <c r="F314" s="789"/>
      <c r="G314" s="789"/>
      <c r="H314" s="789"/>
      <c r="I314" s="789"/>
      <c r="J314" s="789"/>
      <c r="K314" s="789">
        <v>300</v>
      </c>
      <c r="L314" s="789"/>
      <c r="M314" s="789"/>
    </row>
    <row r="315" spans="2:13" s="648" customFormat="1" ht="13.5" customHeight="1">
      <c r="B315" s="791">
        <v>43340</v>
      </c>
      <c r="C315" s="790" t="s">
        <v>358</v>
      </c>
      <c r="D315" s="789">
        <v>97.44</v>
      </c>
      <c r="E315" s="789"/>
      <c r="F315" s="789"/>
      <c r="G315" s="789"/>
      <c r="H315" s="789"/>
      <c r="I315" s="789"/>
      <c r="J315" s="789"/>
      <c r="K315" s="789"/>
      <c r="L315" s="789"/>
      <c r="M315" s="789"/>
    </row>
    <row r="316" spans="2:13" s="648" customFormat="1" ht="13.5" customHeight="1">
      <c r="B316" s="791">
        <v>43340</v>
      </c>
      <c r="C316" s="790" t="s">
        <v>58</v>
      </c>
      <c r="D316" s="789">
        <v>-2000</v>
      </c>
      <c r="E316" s="789"/>
      <c r="F316" s="789"/>
      <c r="G316" s="789"/>
      <c r="H316" s="789"/>
      <c r="I316" s="789"/>
      <c r="J316" s="789">
        <v>-2000</v>
      </c>
      <c r="K316" s="789"/>
      <c r="L316" s="789"/>
      <c r="M316" s="789"/>
    </row>
    <row r="317" spans="2:13" s="648" customFormat="1" ht="13.5" customHeight="1">
      <c r="B317" s="791">
        <v>43341</v>
      </c>
      <c r="C317" s="790" t="s">
        <v>861</v>
      </c>
      <c r="D317" s="789">
        <v>100</v>
      </c>
      <c r="E317" s="789"/>
      <c r="F317" s="789"/>
      <c r="G317" s="789"/>
      <c r="H317" s="789"/>
      <c r="I317" s="789"/>
      <c r="J317" s="789"/>
      <c r="K317" s="789"/>
      <c r="L317" s="789"/>
      <c r="M317" s="789"/>
    </row>
    <row r="318" spans="2:13" s="648" customFormat="1" ht="13.5" customHeight="1">
      <c r="B318" s="791">
        <v>43341</v>
      </c>
      <c r="C318" s="790" t="s">
        <v>860</v>
      </c>
      <c r="D318" s="789">
        <v>100</v>
      </c>
      <c r="E318" s="789"/>
      <c r="F318" s="789"/>
      <c r="G318" s="789"/>
      <c r="H318" s="789"/>
      <c r="I318" s="789"/>
      <c r="J318" s="789"/>
      <c r="K318" s="789"/>
      <c r="L318" s="789"/>
      <c r="M318" s="789"/>
    </row>
    <row r="319" spans="2:13" s="648" customFormat="1" ht="13.5" customHeight="1">
      <c r="B319" s="791">
        <v>43342</v>
      </c>
      <c r="C319" s="790" t="s">
        <v>473</v>
      </c>
      <c r="D319" s="789">
        <v>38</v>
      </c>
      <c r="E319" s="789"/>
      <c r="F319" s="789"/>
      <c r="G319" s="789"/>
      <c r="H319" s="789"/>
      <c r="I319" s="789"/>
      <c r="J319" s="789"/>
      <c r="K319" s="789"/>
      <c r="L319" s="789"/>
      <c r="M319" s="789"/>
    </row>
    <row r="320" spans="2:13" s="648" customFormat="1" ht="13.5" customHeight="1">
      <c r="B320" s="791">
        <v>43343</v>
      </c>
      <c r="C320" s="790" t="s">
        <v>21</v>
      </c>
      <c r="D320" s="789">
        <v>166</v>
      </c>
      <c r="E320" s="789"/>
      <c r="F320" s="789"/>
      <c r="G320" s="789">
        <v>166</v>
      </c>
      <c r="H320" s="789"/>
      <c r="I320" s="789"/>
      <c r="J320" s="789"/>
      <c r="K320" s="789"/>
      <c r="L320" s="789"/>
      <c r="M320" s="789"/>
    </row>
    <row r="321" spans="1:58" ht="13.5" customHeight="1">
      <c r="B321" s="791">
        <v>43343</v>
      </c>
      <c r="C321" s="790" t="s">
        <v>859</v>
      </c>
      <c r="D321" s="789">
        <v>79</v>
      </c>
      <c r="E321" s="789"/>
      <c r="F321" s="789"/>
      <c r="G321" s="789"/>
      <c r="H321" s="789"/>
      <c r="I321" s="789"/>
      <c r="J321" s="789"/>
      <c r="K321" s="789"/>
      <c r="L321" s="789"/>
      <c r="M321" s="789"/>
    </row>
    <row r="322" spans="1:58" ht="13.5" customHeight="1">
      <c r="B322" s="791">
        <v>43343</v>
      </c>
      <c r="C322" s="790" t="s">
        <v>858</v>
      </c>
      <c r="D322" s="789">
        <v>15</v>
      </c>
      <c r="E322" s="789"/>
      <c r="F322" s="789"/>
      <c r="G322" s="789"/>
      <c r="H322" s="789"/>
      <c r="I322" s="789"/>
      <c r="J322" s="789"/>
      <c r="K322" s="789"/>
      <c r="L322" s="789"/>
      <c r="M322" s="789"/>
    </row>
    <row r="323" spans="1:58" ht="13.5" customHeight="1">
      <c r="B323" s="791">
        <v>43343</v>
      </c>
      <c r="C323" s="790" t="s">
        <v>186</v>
      </c>
      <c r="D323" s="789">
        <v>51</v>
      </c>
      <c r="E323" s="789"/>
      <c r="F323" s="789"/>
      <c r="G323" s="789"/>
      <c r="H323" s="789">
        <v>51</v>
      </c>
      <c r="I323" s="789"/>
      <c r="J323" s="789"/>
      <c r="K323" s="789"/>
      <c r="L323" s="789"/>
      <c r="M323" s="789"/>
    </row>
    <row r="324" spans="1:58" ht="13.5" customHeight="1">
      <c r="B324" s="791"/>
      <c r="C324" s="790"/>
      <c r="D324" s="789"/>
      <c r="E324" s="789"/>
      <c r="F324" s="789"/>
      <c r="G324" s="789"/>
      <c r="H324" s="789"/>
      <c r="I324" s="789"/>
      <c r="J324" s="789"/>
      <c r="K324" s="789"/>
      <c r="L324" s="789"/>
      <c r="M324" s="789"/>
    </row>
    <row r="325" spans="1:58" s="694" customFormat="1" ht="13.5" customHeight="1">
      <c r="A325" s="700"/>
      <c r="B325" s="788" t="s">
        <v>115</v>
      </c>
      <c r="C325" s="787" t="s">
        <v>37</v>
      </c>
      <c r="D325" s="786"/>
      <c r="E325" s="786">
        <f t="shared" ref="E325:K325" si="9">SUM(E326:E353)</f>
        <v>234</v>
      </c>
      <c r="F325" s="786">
        <f t="shared" si="9"/>
        <v>708.12</v>
      </c>
      <c r="G325" s="786">
        <f t="shared" si="9"/>
        <v>525</v>
      </c>
      <c r="H325" s="786">
        <f t="shared" si="9"/>
        <v>80</v>
      </c>
      <c r="I325" s="786">
        <f t="shared" si="9"/>
        <v>150</v>
      </c>
      <c r="J325" s="786">
        <f t="shared" si="9"/>
        <v>3066.5</v>
      </c>
      <c r="K325" s="786">
        <f t="shared" si="9"/>
        <v>0</v>
      </c>
      <c r="L325" s="786"/>
      <c r="M325" s="786">
        <f>SUM(M326:M353)</f>
        <v>0</v>
      </c>
      <c r="N325" s="786"/>
      <c r="O325" s="786"/>
      <c r="P325" s="786"/>
      <c r="Q325" s="786"/>
      <c r="R325" s="786"/>
      <c r="S325" s="695"/>
      <c r="T325" s="695"/>
      <c r="U325" s="695"/>
      <c r="V325" s="695"/>
      <c r="W325" s="695"/>
      <c r="X325" s="695"/>
      <c r="Y325" s="695"/>
      <c r="Z325" s="695"/>
      <c r="AA325" s="695"/>
      <c r="AB325" s="695"/>
      <c r="AC325" s="695"/>
      <c r="AD325" s="695"/>
      <c r="AE325" s="695"/>
      <c r="AF325" s="695"/>
      <c r="AG325" s="695"/>
      <c r="AH325" s="695"/>
      <c r="AI325" s="695"/>
      <c r="AJ325" s="695"/>
      <c r="AK325" s="695"/>
      <c r="AL325" s="695"/>
      <c r="AM325" s="695"/>
      <c r="AN325" s="695"/>
      <c r="AO325" s="695"/>
      <c r="AP325" s="695"/>
      <c r="AQ325" s="695"/>
      <c r="AR325" s="695"/>
      <c r="AS325" s="695"/>
      <c r="AT325" s="695"/>
      <c r="AU325" s="695"/>
      <c r="AV325" s="695"/>
      <c r="AW325" s="695"/>
      <c r="AX325" s="695"/>
      <c r="AY325" s="695"/>
      <c r="AZ325" s="695"/>
      <c r="BA325" s="695"/>
      <c r="BB325" s="695"/>
      <c r="BC325" s="695"/>
      <c r="BD325" s="695"/>
      <c r="BE325" s="695"/>
      <c r="BF325" s="695"/>
    </row>
    <row r="326" spans="1:58" ht="13.5" customHeight="1">
      <c r="B326" s="791">
        <v>43344</v>
      </c>
      <c r="C326" s="790" t="s">
        <v>306</v>
      </c>
      <c r="D326" s="789"/>
      <c r="E326" s="789"/>
      <c r="F326" s="789">
        <f>'2018-'!$J$195</f>
        <v>579.12</v>
      </c>
      <c r="G326" s="789"/>
      <c r="H326" s="789"/>
      <c r="I326" s="789"/>
      <c r="J326" s="789"/>
      <c r="K326" s="789"/>
      <c r="L326" s="789"/>
      <c r="M326" s="789"/>
    </row>
    <row r="327" spans="1:58" ht="13.5" customHeight="1">
      <c r="B327" s="791">
        <v>43344</v>
      </c>
      <c r="C327" s="790" t="s">
        <v>595</v>
      </c>
      <c r="D327" s="789"/>
      <c r="E327" s="789"/>
      <c r="F327" s="789"/>
      <c r="G327" s="789"/>
      <c r="H327" s="789"/>
      <c r="I327" s="789"/>
      <c r="J327" s="789">
        <f>'2018-'!$K$195</f>
        <v>3066.5</v>
      </c>
      <c r="K327" s="789"/>
      <c r="L327" s="789"/>
      <c r="M327" s="789"/>
    </row>
    <row r="328" spans="1:58" ht="13.5" customHeight="1">
      <c r="B328" s="791">
        <v>43344</v>
      </c>
      <c r="C328" s="790" t="s">
        <v>857</v>
      </c>
      <c r="D328" s="789">
        <v>59</v>
      </c>
      <c r="E328" s="789"/>
      <c r="F328" s="789"/>
      <c r="G328" s="789">
        <f>D328</f>
        <v>59</v>
      </c>
      <c r="H328" s="789"/>
      <c r="I328" s="789"/>
      <c r="J328" s="789"/>
      <c r="K328" s="789"/>
      <c r="L328" s="789"/>
      <c r="M328" s="789"/>
    </row>
    <row r="329" spans="1:58" ht="13.5" customHeight="1">
      <c r="B329" s="791">
        <v>43344</v>
      </c>
      <c r="C329" s="790" t="s">
        <v>316</v>
      </c>
      <c r="D329" s="789">
        <v>89</v>
      </c>
      <c r="E329" s="789"/>
      <c r="F329" s="789"/>
      <c r="G329" s="789"/>
      <c r="H329" s="789"/>
      <c r="I329" s="789"/>
      <c r="J329" s="789"/>
      <c r="K329" s="789"/>
      <c r="L329" s="789"/>
      <c r="M329" s="789"/>
    </row>
    <row r="330" spans="1:58" ht="13.5" customHeight="1">
      <c r="B330" s="791">
        <v>43344</v>
      </c>
      <c r="C330" s="790" t="s">
        <v>280</v>
      </c>
      <c r="D330" s="789">
        <v>339</v>
      </c>
      <c r="E330" s="789"/>
      <c r="F330" s="789"/>
      <c r="G330" s="789"/>
      <c r="H330" s="789"/>
      <c r="I330" s="789"/>
      <c r="J330" s="789"/>
      <c r="K330" s="789"/>
      <c r="L330" s="789"/>
      <c r="M330" s="789"/>
    </row>
    <row r="331" spans="1:58" ht="13.5" customHeight="1">
      <c r="B331" s="791">
        <v>43374</v>
      </c>
      <c r="C331" s="790" t="s">
        <v>464</v>
      </c>
      <c r="D331" s="789">
        <v>129</v>
      </c>
      <c r="E331" s="789"/>
      <c r="F331" s="789">
        <v>129</v>
      </c>
      <c r="G331" s="789"/>
      <c r="H331" s="789"/>
      <c r="I331" s="789"/>
      <c r="J331" s="789"/>
      <c r="K331" s="789"/>
      <c r="L331" s="789"/>
      <c r="M331" s="789"/>
    </row>
    <row r="332" spans="1:58" ht="13.5" customHeight="1">
      <c r="B332" s="791">
        <v>43344</v>
      </c>
      <c r="C332" s="790" t="s">
        <v>856</v>
      </c>
      <c r="D332" s="789">
        <v>30</v>
      </c>
      <c r="E332" s="789"/>
      <c r="F332" s="789"/>
      <c r="G332" s="789"/>
      <c r="H332" s="789"/>
      <c r="I332" s="789">
        <v>30</v>
      </c>
      <c r="J332" s="789"/>
      <c r="K332" s="789"/>
      <c r="L332" s="789"/>
      <c r="M332" s="789"/>
    </row>
    <row r="333" spans="1:58" ht="13.5" customHeight="1">
      <c r="B333" s="791">
        <v>43344</v>
      </c>
      <c r="C333" s="790" t="s">
        <v>855</v>
      </c>
      <c r="D333" s="789">
        <v>100</v>
      </c>
      <c r="E333" s="789"/>
      <c r="F333" s="789"/>
      <c r="G333" s="789"/>
      <c r="H333" s="789"/>
      <c r="I333" s="789">
        <v>30</v>
      </c>
      <c r="J333" s="789"/>
      <c r="K333" s="789"/>
      <c r="L333" s="789"/>
      <c r="M333" s="789"/>
    </row>
    <row r="334" spans="1:58" ht="13.5" customHeight="1">
      <c r="B334" s="791">
        <v>43344</v>
      </c>
      <c r="C334" s="790" t="s">
        <v>22</v>
      </c>
      <c r="D334" s="789">
        <v>89</v>
      </c>
      <c r="E334" s="789"/>
      <c r="F334" s="789"/>
      <c r="G334" s="789">
        <v>89</v>
      </c>
      <c r="H334" s="789"/>
      <c r="I334" s="789"/>
      <c r="J334" s="789"/>
      <c r="K334" s="789"/>
      <c r="L334" s="789"/>
      <c r="M334" s="789"/>
    </row>
    <row r="335" spans="1:58" ht="13.5" customHeight="1">
      <c r="B335" s="791">
        <v>43344</v>
      </c>
      <c r="C335" s="790" t="s">
        <v>21</v>
      </c>
      <c r="D335" s="789">
        <v>166</v>
      </c>
      <c r="E335" s="789"/>
      <c r="F335" s="789"/>
      <c r="G335" s="789">
        <v>166</v>
      </c>
      <c r="H335" s="789"/>
      <c r="I335" s="789"/>
      <c r="J335" s="789"/>
      <c r="K335" s="789"/>
      <c r="L335" s="789"/>
      <c r="M335" s="789"/>
    </row>
    <row r="336" spans="1:58" ht="13.5" customHeight="1">
      <c r="B336" s="791">
        <v>43344</v>
      </c>
      <c r="C336" s="790" t="s">
        <v>21</v>
      </c>
      <c r="D336" s="789">
        <v>186</v>
      </c>
      <c r="E336" s="789"/>
      <c r="F336" s="789"/>
      <c r="G336" s="789">
        <v>186</v>
      </c>
      <c r="H336" s="789"/>
      <c r="I336" s="789"/>
      <c r="J336" s="789"/>
      <c r="K336" s="789"/>
      <c r="L336" s="789"/>
      <c r="M336" s="789"/>
    </row>
    <row r="337" spans="1:13" s="648" customFormat="1" ht="13.5" customHeight="1">
      <c r="A337" s="654"/>
      <c r="B337" s="791">
        <v>43346</v>
      </c>
      <c r="C337" s="790" t="s">
        <v>21</v>
      </c>
      <c r="D337" s="789">
        <v>25</v>
      </c>
      <c r="E337" s="789"/>
      <c r="F337" s="789"/>
      <c r="G337" s="789">
        <v>25</v>
      </c>
      <c r="H337" s="789"/>
      <c r="I337" s="789"/>
      <c r="J337" s="789"/>
      <c r="K337" s="789"/>
      <c r="L337" s="789"/>
      <c r="M337" s="789"/>
    </row>
    <row r="338" spans="1:13" s="648" customFormat="1" ht="13.5" customHeight="1">
      <c r="A338" s="654"/>
      <c r="B338" s="791">
        <v>43347</v>
      </c>
      <c r="C338" s="790" t="s">
        <v>186</v>
      </c>
      <c r="D338" s="789">
        <v>50</v>
      </c>
      <c r="E338" s="789"/>
      <c r="F338" s="789"/>
      <c r="G338" s="789"/>
      <c r="H338" s="789">
        <v>50</v>
      </c>
      <c r="I338" s="789"/>
      <c r="J338" s="789"/>
      <c r="K338" s="789"/>
      <c r="L338" s="789"/>
      <c r="M338" s="789"/>
    </row>
    <row r="339" spans="1:13" s="648" customFormat="1" ht="13.5" customHeight="1">
      <c r="A339" s="654"/>
      <c r="B339" s="791">
        <v>43347</v>
      </c>
      <c r="C339" s="790" t="s">
        <v>854</v>
      </c>
      <c r="D339" s="789">
        <v>39</v>
      </c>
      <c r="E339" s="789"/>
      <c r="F339" s="789"/>
      <c r="G339" s="789"/>
      <c r="H339" s="789"/>
      <c r="I339" s="789"/>
      <c r="J339" s="789"/>
      <c r="K339" s="789"/>
      <c r="L339" s="789"/>
      <c r="M339" s="789"/>
    </row>
    <row r="340" spans="1:13" s="648" customFormat="1" ht="13.5" customHeight="1">
      <c r="A340" s="654"/>
      <c r="B340" s="791">
        <v>43349</v>
      </c>
      <c r="C340" s="790" t="s">
        <v>397</v>
      </c>
      <c r="D340" s="789">
        <v>59.85</v>
      </c>
      <c r="E340" s="789"/>
      <c r="F340" s="789"/>
      <c r="G340" s="789"/>
      <c r="H340" s="789"/>
      <c r="I340" s="789"/>
      <c r="J340" s="789"/>
      <c r="K340" s="789"/>
      <c r="L340" s="789"/>
      <c r="M340" s="789"/>
    </row>
    <row r="341" spans="1:13" s="648" customFormat="1" ht="13.5" customHeight="1">
      <c r="A341" s="654"/>
      <c r="B341" s="791">
        <v>43350</v>
      </c>
      <c r="C341" s="790" t="s">
        <v>853</v>
      </c>
      <c r="D341" s="789">
        <v>30</v>
      </c>
      <c r="E341" s="789"/>
      <c r="F341" s="789"/>
      <c r="G341" s="789"/>
      <c r="H341" s="789"/>
      <c r="I341" s="789">
        <v>30</v>
      </c>
      <c r="J341" s="789"/>
      <c r="K341" s="789"/>
      <c r="L341" s="789"/>
      <c r="M341" s="789"/>
    </row>
    <row r="342" spans="1:13" s="648" customFormat="1" ht="13.5" customHeight="1">
      <c r="A342" s="654" t="s">
        <v>19</v>
      </c>
      <c r="B342" s="791">
        <v>43351</v>
      </c>
      <c r="C342" s="790" t="s">
        <v>852</v>
      </c>
      <c r="D342" s="789">
        <v>100</v>
      </c>
      <c r="E342" s="789"/>
      <c r="F342" s="789"/>
      <c r="G342" s="789"/>
      <c r="H342" s="789"/>
      <c r="I342" s="789"/>
      <c r="J342" s="789"/>
      <c r="K342" s="789"/>
      <c r="L342" s="789"/>
      <c r="M342" s="789"/>
    </row>
    <row r="343" spans="1:13" s="648" customFormat="1" ht="13.5" customHeight="1">
      <c r="A343" s="654"/>
      <c r="B343" s="791">
        <v>43357</v>
      </c>
      <c r="C343" s="790" t="s">
        <v>851</v>
      </c>
      <c r="D343" s="789">
        <v>30</v>
      </c>
      <c r="E343" s="789"/>
      <c r="F343" s="789"/>
      <c r="G343" s="789"/>
      <c r="H343" s="789"/>
      <c r="I343" s="789">
        <v>30</v>
      </c>
      <c r="J343" s="789"/>
      <c r="K343" s="789"/>
      <c r="L343" s="789"/>
      <c r="M343" s="789"/>
    </row>
    <row r="344" spans="1:13" s="648" customFormat="1" ht="13.5" customHeight="1">
      <c r="A344" s="654"/>
      <c r="B344" s="791">
        <v>43363</v>
      </c>
      <c r="C344" s="790" t="s">
        <v>850</v>
      </c>
      <c r="D344" s="789">
        <v>40</v>
      </c>
      <c r="E344" s="789"/>
      <c r="F344" s="789"/>
      <c r="G344" s="789"/>
      <c r="H344" s="789"/>
      <c r="I344" s="789"/>
      <c r="J344" s="789"/>
      <c r="K344" s="789"/>
      <c r="L344" s="789"/>
      <c r="M344" s="789"/>
    </row>
    <row r="345" spans="1:13" s="648" customFormat="1" ht="13.5" customHeight="1">
      <c r="A345" s="654"/>
      <c r="B345" s="791">
        <v>43365</v>
      </c>
      <c r="C345" s="790" t="s">
        <v>849</v>
      </c>
      <c r="D345" s="789">
        <v>30</v>
      </c>
      <c r="E345" s="789"/>
      <c r="F345" s="789"/>
      <c r="G345" s="789"/>
      <c r="H345" s="789"/>
      <c r="I345" s="789">
        <v>30</v>
      </c>
      <c r="J345" s="789"/>
      <c r="K345" s="789"/>
      <c r="L345" s="789"/>
      <c r="M345" s="789"/>
    </row>
    <row r="346" spans="1:13" s="648" customFormat="1" ht="13.5" customHeight="1">
      <c r="A346" s="654"/>
      <c r="B346" s="791">
        <v>43371</v>
      </c>
      <c r="C346" s="790" t="s">
        <v>848</v>
      </c>
      <c r="D346" s="789">
        <v>166</v>
      </c>
      <c r="E346" s="789"/>
      <c r="F346" s="789"/>
      <c r="G346" s="789"/>
      <c r="H346" s="789"/>
      <c r="I346" s="789"/>
      <c r="J346" s="789"/>
      <c r="K346" s="789"/>
      <c r="L346" s="789"/>
      <c r="M346" s="789"/>
    </row>
    <row r="347" spans="1:13" s="648" customFormat="1" ht="13.5" customHeight="1">
      <c r="A347" s="654"/>
      <c r="B347" s="791">
        <v>43371</v>
      </c>
      <c r="C347" s="790" t="s">
        <v>48</v>
      </c>
      <c r="D347" s="789">
        <v>234</v>
      </c>
      <c r="E347" s="789">
        <v>234</v>
      </c>
      <c r="F347" s="789"/>
      <c r="G347" s="789"/>
      <c r="H347" s="789"/>
      <c r="I347" s="789"/>
      <c r="J347" s="789"/>
      <c r="K347" s="789"/>
      <c r="L347" s="789"/>
      <c r="M347" s="789"/>
    </row>
    <row r="348" spans="1:13" s="648" customFormat="1" ht="13.5" customHeight="1">
      <c r="A348" s="654"/>
      <c r="B348" s="791">
        <v>43371</v>
      </c>
      <c r="C348" s="790" t="s">
        <v>397</v>
      </c>
      <c r="D348" s="789">
        <v>419.16</v>
      </c>
      <c r="E348" s="789"/>
      <c r="F348" s="789"/>
      <c r="G348" s="789"/>
      <c r="H348" s="789"/>
      <c r="I348" s="789"/>
      <c r="J348" s="789"/>
      <c r="K348" s="789"/>
      <c r="L348" s="789"/>
      <c r="M348" s="789"/>
    </row>
    <row r="349" spans="1:13" s="648" customFormat="1" ht="13.5" customHeight="1">
      <c r="A349" s="654"/>
      <c r="B349" s="791">
        <v>43371</v>
      </c>
      <c r="C349" s="790" t="s">
        <v>463</v>
      </c>
      <c r="D349" s="789">
        <v>50</v>
      </c>
      <c r="E349" s="789"/>
      <c r="F349" s="789"/>
      <c r="G349" s="789"/>
      <c r="H349" s="789"/>
      <c r="I349" s="789"/>
      <c r="J349" s="789"/>
      <c r="K349" s="789"/>
      <c r="L349" s="789"/>
      <c r="M349" s="789"/>
    </row>
    <row r="350" spans="1:13" s="648" customFormat="1" ht="13.5" customHeight="1">
      <c r="A350" s="654"/>
      <c r="B350" s="791">
        <v>43371</v>
      </c>
      <c r="C350" s="790" t="s">
        <v>186</v>
      </c>
      <c r="D350" s="789">
        <v>100</v>
      </c>
      <c r="E350" s="789"/>
      <c r="F350" s="789"/>
      <c r="G350" s="789"/>
      <c r="H350" s="789">
        <v>30</v>
      </c>
      <c r="I350" s="789"/>
      <c r="J350" s="789"/>
      <c r="K350" s="789"/>
      <c r="L350" s="789"/>
      <c r="M350" s="789"/>
    </row>
    <row r="351" spans="1:13" s="648" customFormat="1" ht="13.5" customHeight="1">
      <c r="A351" s="654"/>
      <c r="B351" s="791">
        <v>43372</v>
      </c>
      <c r="C351" s="790" t="s">
        <v>543</v>
      </c>
      <c r="D351" s="789">
        <v>60</v>
      </c>
      <c r="E351" s="789"/>
      <c r="F351" s="789"/>
      <c r="G351" s="789"/>
      <c r="H351" s="789"/>
      <c r="I351" s="789"/>
      <c r="J351" s="789"/>
      <c r="K351" s="789"/>
      <c r="L351" s="789"/>
      <c r="M351" s="789"/>
    </row>
    <row r="352" spans="1:13" s="648" customFormat="1" ht="13.5" customHeight="1">
      <c r="A352" s="654"/>
      <c r="B352" s="791">
        <v>43372</v>
      </c>
      <c r="C352" s="790" t="s">
        <v>847</v>
      </c>
      <c r="D352" s="789">
        <v>69.849999999999994</v>
      </c>
      <c r="E352" s="789"/>
      <c r="F352" s="789"/>
      <c r="G352" s="789"/>
      <c r="H352" s="789"/>
      <c r="I352" s="789"/>
      <c r="J352" s="789"/>
      <c r="K352" s="789"/>
      <c r="L352" s="789"/>
      <c r="M352" s="789"/>
    </row>
    <row r="353" spans="1:58" ht="13.5" customHeight="1">
      <c r="B353" s="791">
        <v>43372</v>
      </c>
      <c r="C353" s="790" t="s">
        <v>143</v>
      </c>
      <c r="D353" s="789">
        <v>100</v>
      </c>
      <c r="E353" s="789"/>
      <c r="F353" s="789"/>
      <c r="G353" s="789"/>
      <c r="H353" s="789"/>
      <c r="I353" s="789"/>
      <c r="J353" s="789"/>
      <c r="K353" s="789"/>
      <c r="L353" s="789"/>
      <c r="M353" s="789"/>
    </row>
    <row r="354" spans="1:58" s="694" customFormat="1" ht="13.5" customHeight="1">
      <c r="A354" s="700"/>
      <c r="B354" s="788" t="s">
        <v>114</v>
      </c>
      <c r="C354" s="787" t="s">
        <v>37</v>
      </c>
      <c r="D354" s="786"/>
      <c r="E354" s="786">
        <f t="shared" ref="E354:K354" si="10">SUM(E355:E376)</f>
        <v>0</v>
      </c>
      <c r="F354" s="786">
        <f t="shared" si="10"/>
        <v>912.75</v>
      </c>
      <c r="G354" s="786">
        <f t="shared" si="10"/>
        <v>314</v>
      </c>
      <c r="H354" s="786">
        <f t="shared" si="10"/>
        <v>-70</v>
      </c>
      <c r="I354" s="786">
        <f t="shared" si="10"/>
        <v>70</v>
      </c>
      <c r="J354" s="786">
        <f t="shared" si="10"/>
        <v>1241.82</v>
      </c>
      <c r="K354" s="786">
        <f t="shared" si="10"/>
        <v>0</v>
      </c>
      <c r="L354" s="786"/>
      <c r="M354" s="786">
        <f>SUM(M355:M376)</f>
        <v>0</v>
      </c>
      <c r="N354" s="786"/>
      <c r="O354" s="786"/>
      <c r="P354" s="786"/>
      <c r="Q354" s="786"/>
      <c r="R354" s="786"/>
      <c r="S354" s="695"/>
      <c r="T354" s="695"/>
      <c r="U354" s="695"/>
      <c r="V354" s="695"/>
      <c r="W354" s="695"/>
      <c r="X354" s="695"/>
      <c r="Y354" s="695"/>
      <c r="Z354" s="695"/>
      <c r="AA354" s="695"/>
      <c r="AB354" s="695"/>
      <c r="AC354" s="695"/>
      <c r="AD354" s="695"/>
      <c r="AE354" s="695"/>
      <c r="AF354" s="695"/>
      <c r="AG354" s="695"/>
      <c r="AH354" s="695"/>
      <c r="AI354" s="695"/>
      <c r="AJ354" s="695"/>
      <c r="AK354" s="695"/>
      <c r="AL354" s="695"/>
      <c r="AM354" s="695"/>
      <c r="AN354" s="695"/>
      <c r="AO354" s="695"/>
      <c r="AP354" s="695"/>
      <c r="AQ354" s="695"/>
      <c r="AR354" s="695"/>
      <c r="AS354" s="695"/>
      <c r="AT354" s="695"/>
      <c r="AU354" s="695"/>
      <c r="AV354" s="695"/>
      <c r="AW354" s="695"/>
      <c r="AX354" s="695"/>
      <c r="AY354" s="695"/>
      <c r="AZ354" s="695"/>
      <c r="BA354" s="695"/>
      <c r="BB354" s="695"/>
      <c r="BC354" s="695"/>
      <c r="BD354" s="695"/>
      <c r="BE354" s="695"/>
      <c r="BF354" s="695"/>
    </row>
    <row r="355" spans="1:58" ht="13.5" customHeight="1">
      <c r="B355" s="791">
        <v>43374</v>
      </c>
      <c r="C355" s="790" t="s">
        <v>306</v>
      </c>
      <c r="D355" s="789"/>
      <c r="E355" s="789"/>
      <c r="F355" s="789">
        <f>'2018-'!$J$215</f>
        <v>783.75</v>
      </c>
      <c r="G355" s="789"/>
      <c r="H355" s="789"/>
      <c r="I355" s="789"/>
      <c r="J355" s="789"/>
      <c r="K355" s="789"/>
      <c r="L355" s="789"/>
      <c r="M355" s="789"/>
    </row>
    <row r="356" spans="1:58" ht="13.5" customHeight="1">
      <c r="B356" s="791">
        <v>43374</v>
      </c>
      <c r="C356" s="790" t="s">
        <v>595</v>
      </c>
      <c r="D356" s="789"/>
      <c r="E356" s="789"/>
      <c r="F356" s="789"/>
      <c r="G356" s="789"/>
      <c r="H356" s="789"/>
      <c r="I356" s="789"/>
      <c r="J356" s="789">
        <f>'2018-'!$K$215</f>
        <v>1241.82</v>
      </c>
      <c r="K356" s="789"/>
      <c r="L356" s="789"/>
      <c r="M356" s="789"/>
    </row>
    <row r="357" spans="1:58" ht="13.5" customHeight="1">
      <c r="B357" s="791">
        <v>43374</v>
      </c>
      <c r="C357" s="790" t="s">
        <v>22</v>
      </c>
      <c r="D357" s="789">
        <v>89</v>
      </c>
      <c r="E357" s="789"/>
      <c r="F357" s="789"/>
      <c r="G357" s="789">
        <v>89</v>
      </c>
      <c r="H357" s="789"/>
      <c r="I357" s="789"/>
      <c r="J357" s="789"/>
      <c r="K357" s="789"/>
      <c r="L357" s="789"/>
      <c r="M357" s="789"/>
    </row>
    <row r="358" spans="1:58" ht="13.5" customHeight="1">
      <c r="B358" s="791">
        <v>43374</v>
      </c>
      <c r="C358" s="790" t="s">
        <v>21</v>
      </c>
      <c r="D358" s="789">
        <v>0</v>
      </c>
      <c r="E358" s="789"/>
      <c r="F358" s="789"/>
      <c r="G358" s="789">
        <v>166</v>
      </c>
      <c r="H358" s="789"/>
      <c r="I358" s="789"/>
      <c r="J358" s="789"/>
      <c r="K358" s="789"/>
      <c r="L358" s="789"/>
      <c r="M358" s="789"/>
    </row>
    <row r="359" spans="1:58" ht="13.5" customHeight="1">
      <c r="B359" s="791">
        <v>43372</v>
      </c>
      <c r="C359" s="790" t="s">
        <v>846</v>
      </c>
      <c r="D359" s="789">
        <v>30</v>
      </c>
      <c r="E359" s="789"/>
      <c r="F359" s="789"/>
      <c r="G359" s="789"/>
      <c r="H359" s="789"/>
      <c r="I359" s="789">
        <v>30</v>
      </c>
      <c r="J359" s="789"/>
      <c r="K359" s="789"/>
      <c r="L359" s="789"/>
      <c r="M359" s="789"/>
    </row>
    <row r="360" spans="1:58" ht="13.5" customHeight="1">
      <c r="B360" s="791">
        <v>43374</v>
      </c>
      <c r="C360" s="790" t="s">
        <v>464</v>
      </c>
      <c r="D360" s="789">
        <v>129</v>
      </c>
      <c r="E360" s="789"/>
      <c r="F360" s="789">
        <v>129</v>
      </c>
      <c r="G360" s="789"/>
      <c r="H360" s="789"/>
      <c r="I360" s="789"/>
      <c r="J360" s="789"/>
      <c r="K360" s="789"/>
      <c r="L360" s="789"/>
      <c r="M360" s="789"/>
    </row>
    <row r="361" spans="1:58" ht="13.5" customHeight="1">
      <c r="B361" s="791">
        <v>43374</v>
      </c>
      <c r="C361" s="790" t="s">
        <v>230</v>
      </c>
      <c r="D361" s="789">
        <v>59</v>
      </c>
      <c r="E361" s="789"/>
      <c r="F361" s="789"/>
      <c r="G361" s="789">
        <f>D361</f>
        <v>59</v>
      </c>
      <c r="H361" s="789"/>
      <c r="I361" s="789"/>
      <c r="J361" s="789"/>
      <c r="K361" s="789"/>
      <c r="L361" s="789"/>
      <c r="M361" s="789"/>
    </row>
    <row r="362" spans="1:58" ht="13.5" customHeight="1">
      <c r="B362" s="791">
        <v>43375</v>
      </c>
      <c r="C362" s="790" t="s">
        <v>845</v>
      </c>
      <c r="D362" s="789">
        <v>67</v>
      </c>
      <c r="E362" s="789"/>
      <c r="F362" s="789"/>
      <c r="G362" s="789"/>
      <c r="H362" s="789"/>
      <c r="I362" s="789"/>
      <c r="J362" s="789"/>
      <c r="K362" s="789"/>
      <c r="L362" s="789"/>
      <c r="M362" s="789"/>
    </row>
    <row r="363" spans="1:58" ht="13.5" customHeight="1">
      <c r="B363" s="791">
        <v>43375</v>
      </c>
      <c r="C363" s="790" t="s">
        <v>844</v>
      </c>
      <c r="D363" s="789">
        <v>40</v>
      </c>
      <c r="E363" s="789"/>
      <c r="F363" s="789"/>
      <c r="G363" s="789"/>
      <c r="H363" s="789"/>
      <c r="I363" s="789"/>
      <c r="J363" s="789"/>
      <c r="K363" s="789"/>
      <c r="L363" s="789"/>
      <c r="M363" s="789"/>
    </row>
    <row r="364" spans="1:58" ht="13.5" customHeight="1">
      <c r="B364" s="791">
        <v>43376</v>
      </c>
      <c r="C364" s="790" t="s">
        <v>721</v>
      </c>
      <c r="D364" s="789">
        <v>58</v>
      </c>
      <c r="E364" s="789"/>
      <c r="F364" s="789"/>
      <c r="G364" s="789"/>
      <c r="H364" s="789"/>
      <c r="I364" s="789"/>
      <c r="J364" s="789"/>
      <c r="K364" s="789"/>
      <c r="L364" s="789"/>
      <c r="M364" s="789"/>
    </row>
    <row r="365" spans="1:58" ht="13.5" customHeight="1">
      <c r="B365" s="791">
        <v>43379</v>
      </c>
      <c r="C365" s="790" t="s">
        <v>57</v>
      </c>
      <c r="D365" s="789">
        <v>510</v>
      </c>
      <c r="E365" s="789"/>
      <c r="F365" s="789"/>
      <c r="G365" s="789"/>
      <c r="H365" s="789"/>
      <c r="I365" s="789"/>
      <c r="J365" s="789"/>
      <c r="K365" s="789"/>
      <c r="L365" s="789"/>
      <c r="M365" s="789"/>
    </row>
    <row r="366" spans="1:58" ht="13.5" customHeight="1">
      <c r="B366" s="791">
        <v>43379</v>
      </c>
      <c r="C366" s="790" t="s">
        <v>843</v>
      </c>
      <c r="D366" s="789">
        <v>30</v>
      </c>
      <c r="E366" s="789"/>
      <c r="F366" s="789"/>
      <c r="G366" s="789"/>
      <c r="H366" s="789"/>
      <c r="I366" s="789">
        <v>30</v>
      </c>
      <c r="J366" s="789"/>
      <c r="K366" s="789"/>
      <c r="L366" s="789"/>
      <c r="M366" s="789"/>
    </row>
    <row r="367" spans="1:58" ht="13.5" customHeight="1">
      <c r="B367" s="791">
        <v>43386</v>
      </c>
      <c r="C367" s="790" t="s">
        <v>842</v>
      </c>
      <c r="D367" s="789">
        <v>30</v>
      </c>
      <c r="E367" s="789"/>
      <c r="F367" s="789"/>
      <c r="G367" s="789"/>
      <c r="H367" s="789"/>
      <c r="I367" s="789">
        <v>30</v>
      </c>
      <c r="J367" s="789"/>
      <c r="K367" s="789"/>
      <c r="L367" s="789"/>
      <c r="M367" s="789"/>
    </row>
    <row r="368" spans="1:58" ht="13.5" customHeight="1">
      <c r="B368" s="791">
        <v>43389</v>
      </c>
      <c r="C368" s="790" t="s">
        <v>841</v>
      </c>
      <c r="D368" s="789">
        <v>30</v>
      </c>
      <c r="E368" s="789"/>
      <c r="F368" s="789"/>
      <c r="G368" s="789"/>
      <c r="H368" s="789"/>
      <c r="I368" s="789">
        <v>30</v>
      </c>
      <c r="J368" s="789"/>
      <c r="K368" s="789"/>
      <c r="L368" s="789"/>
      <c r="M368" s="789"/>
    </row>
    <row r="369" spans="1:58" ht="13.5" customHeight="1">
      <c r="B369" s="791">
        <v>43403</v>
      </c>
      <c r="C369" s="790" t="s">
        <v>840</v>
      </c>
      <c r="D369" s="789">
        <v>308</v>
      </c>
      <c r="E369" s="789"/>
      <c r="F369" s="789"/>
      <c r="G369" s="789"/>
      <c r="H369" s="789"/>
      <c r="I369" s="789"/>
      <c r="J369" s="789"/>
      <c r="K369" s="789"/>
      <c r="L369" s="789"/>
      <c r="M369" s="789"/>
    </row>
    <row r="370" spans="1:58" ht="13.5" customHeight="1">
      <c r="B370" s="791">
        <v>43400</v>
      </c>
      <c r="C370" s="790" t="s">
        <v>839</v>
      </c>
      <c r="D370" s="789"/>
      <c r="E370" s="789"/>
      <c r="F370" s="789"/>
      <c r="G370" s="789"/>
      <c r="H370" s="789"/>
      <c r="I370" s="789">
        <v>-50</v>
      </c>
      <c r="J370" s="789"/>
      <c r="K370" s="789"/>
      <c r="L370" s="789"/>
      <c r="M370" s="789"/>
    </row>
    <row r="371" spans="1:58" ht="13.5" customHeight="1">
      <c r="B371" s="791">
        <v>43403</v>
      </c>
      <c r="C371" s="790" t="s">
        <v>186</v>
      </c>
      <c r="D371" s="789">
        <v>-70</v>
      </c>
      <c r="E371" s="789"/>
      <c r="F371" s="789"/>
      <c r="G371" s="789"/>
      <c r="H371" s="789">
        <v>-70</v>
      </c>
      <c r="I371" s="789"/>
      <c r="J371" s="789"/>
      <c r="K371" s="789"/>
      <c r="L371" s="789"/>
      <c r="M371" s="789"/>
    </row>
    <row r="372" spans="1:58" ht="13.5" customHeight="1">
      <c r="B372" s="791">
        <v>43404</v>
      </c>
      <c r="C372" s="790" t="s">
        <v>838</v>
      </c>
      <c r="D372" s="789">
        <v>109</v>
      </c>
      <c r="E372" s="789"/>
      <c r="F372" s="789"/>
      <c r="G372" s="789"/>
      <c r="H372" s="789"/>
      <c r="I372" s="789"/>
      <c r="J372" s="789"/>
      <c r="K372" s="789"/>
      <c r="L372" s="789"/>
      <c r="M372" s="789"/>
    </row>
    <row r="373" spans="1:58" ht="13.5" customHeight="1">
      <c r="B373" s="791">
        <v>43404</v>
      </c>
      <c r="C373" s="790"/>
      <c r="D373" s="789"/>
      <c r="E373" s="789"/>
      <c r="F373" s="789"/>
      <c r="G373" s="789"/>
      <c r="H373" s="789"/>
      <c r="I373" s="789"/>
      <c r="J373" s="789"/>
      <c r="K373" s="789"/>
      <c r="L373" s="789"/>
      <c r="M373" s="789"/>
    </row>
    <row r="374" spans="1:58" ht="13.5" customHeight="1">
      <c r="B374" s="791">
        <v>43404</v>
      </c>
      <c r="C374" s="790"/>
      <c r="D374" s="789"/>
      <c r="E374" s="789"/>
      <c r="F374" s="789"/>
      <c r="G374" s="789"/>
      <c r="H374" s="789"/>
      <c r="I374" s="789"/>
      <c r="J374" s="789"/>
      <c r="K374" s="789"/>
      <c r="L374" s="789"/>
      <c r="M374" s="789"/>
    </row>
    <row r="375" spans="1:58" ht="13.5" customHeight="1">
      <c r="B375" s="791">
        <v>43404</v>
      </c>
      <c r="C375" s="790"/>
      <c r="D375" s="789"/>
      <c r="E375" s="789"/>
      <c r="F375" s="789"/>
      <c r="G375" s="789"/>
      <c r="H375" s="789"/>
      <c r="I375" s="789"/>
      <c r="J375" s="789"/>
      <c r="K375" s="789"/>
      <c r="L375" s="789"/>
      <c r="M375" s="789"/>
    </row>
    <row r="376" spans="1:58" ht="13.5" customHeight="1">
      <c r="B376" s="791"/>
      <c r="C376" s="790"/>
      <c r="D376" s="789"/>
      <c r="E376" s="789"/>
      <c r="F376" s="789"/>
      <c r="G376" s="789"/>
      <c r="H376" s="789"/>
      <c r="I376" s="789"/>
      <c r="J376" s="789"/>
      <c r="K376" s="789"/>
      <c r="L376" s="789"/>
      <c r="M376" s="789"/>
    </row>
    <row r="377" spans="1:58" s="694" customFormat="1" ht="13.5" customHeight="1">
      <c r="A377" s="700"/>
      <c r="B377" s="788" t="s">
        <v>113</v>
      </c>
      <c r="C377" s="787" t="s">
        <v>37</v>
      </c>
      <c r="D377" s="786"/>
      <c r="E377" s="786">
        <f t="shared" ref="E377:K377" si="11">SUM(E378:E412)</f>
        <v>1977</v>
      </c>
      <c r="F377" s="786">
        <f t="shared" si="11"/>
        <v>938.87</v>
      </c>
      <c r="G377" s="786">
        <f t="shared" si="11"/>
        <v>334</v>
      </c>
      <c r="H377" s="786">
        <f t="shared" si="11"/>
        <v>250</v>
      </c>
      <c r="I377" s="786">
        <f t="shared" si="11"/>
        <v>-40</v>
      </c>
      <c r="J377" s="786">
        <f t="shared" si="11"/>
        <v>1234.03</v>
      </c>
      <c r="K377" s="786">
        <f t="shared" si="11"/>
        <v>328.95</v>
      </c>
      <c r="L377" s="786"/>
      <c r="M377" s="786">
        <f>SUM(M378:M412)</f>
        <v>0</v>
      </c>
      <c r="N377" s="786"/>
      <c r="O377" s="786"/>
      <c r="P377" s="786"/>
      <c r="Q377" s="786"/>
      <c r="R377" s="786"/>
      <c r="S377" s="695"/>
      <c r="T377" s="695"/>
      <c r="U377" s="695"/>
      <c r="V377" s="695"/>
      <c r="W377" s="695"/>
      <c r="X377" s="695"/>
      <c r="Y377" s="695"/>
      <c r="Z377" s="695"/>
      <c r="AA377" s="695"/>
      <c r="AB377" s="695"/>
      <c r="AC377" s="695"/>
      <c r="AD377" s="695"/>
      <c r="AE377" s="695"/>
      <c r="AF377" s="695"/>
      <c r="AG377" s="695"/>
      <c r="AH377" s="695"/>
      <c r="AI377" s="695"/>
      <c r="AJ377" s="695"/>
      <c r="AK377" s="695"/>
      <c r="AL377" s="695"/>
      <c r="AM377" s="695"/>
      <c r="AN377" s="695"/>
      <c r="AO377" s="695"/>
      <c r="AP377" s="695"/>
      <c r="AQ377" s="695"/>
      <c r="AR377" s="695"/>
      <c r="AS377" s="695"/>
      <c r="AT377" s="695"/>
      <c r="AU377" s="695"/>
      <c r="AV377" s="695"/>
      <c r="AW377" s="695"/>
      <c r="AX377" s="695"/>
      <c r="AY377" s="695"/>
      <c r="AZ377" s="695"/>
      <c r="BA377" s="695"/>
      <c r="BB377" s="695"/>
      <c r="BC377" s="695"/>
      <c r="BD377" s="695"/>
      <c r="BE377" s="695"/>
      <c r="BF377" s="695"/>
    </row>
    <row r="378" spans="1:58" ht="13.5" customHeight="1">
      <c r="B378" s="791">
        <v>43405</v>
      </c>
      <c r="C378" s="790" t="s">
        <v>306</v>
      </c>
      <c r="D378" s="789"/>
      <c r="E378" s="789"/>
      <c r="F378" s="789">
        <f>'2018-'!$J$234</f>
        <v>809.87</v>
      </c>
      <c r="G378" s="789"/>
      <c r="H378" s="789"/>
      <c r="I378" s="789"/>
      <c r="J378" s="789"/>
      <c r="K378" s="789"/>
      <c r="L378" s="789"/>
      <c r="M378" s="789"/>
    </row>
    <row r="379" spans="1:58" ht="13.5" customHeight="1">
      <c r="B379" s="791">
        <v>43405</v>
      </c>
      <c r="C379" s="790" t="s">
        <v>595</v>
      </c>
      <c r="D379" s="789"/>
      <c r="E379" s="789"/>
      <c r="F379" s="789"/>
      <c r="G379" s="789"/>
      <c r="H379" s="789"/>
      <c r="I379" s="789"/>
      <c r="J379" s="789">
        <f>'2018-'!$K$234</f>
        <v>1234.03</v>
      </c>
      <c r="K379" s="789"/>
      <c r="L379" s="789"/>
      <c r="M379" s="789"/>
    </row>
    <row r="380" spans="1:58" ht="13.5" customHeight="1">
      <c r="B380" s="791">
        <v>43405</v>
      </c>
      <c r="C380" s="790" t="s">
        <v>22</v>
      </c>
      <c r="D380" s="789">
        <v>89</v>
      </c>
      <c r="E380" s="789"/>
      <c r="F380" s="789"/>
      <c r="G380" s="789">
        <v>89</v>
      </c>
      <c r="H380" s="789"/>
      <c r="I380" s="789"/>
      <c r="J380" s="789"/>
      <c r="K380" s="789"/>
      <c r="L380" s="789"/>
      <c r="M380" s="789"/>
    </row>
    <row r="381" spans="1:58" ht="13.5" customHeight="1">
      <c r="B381" s="791">
        <v>43405</v>
      </c>
      <c r="C381" s="790" t="s">
        <v>186</v>
      </c>
      <c r="D381" s="789">
        <v>250</v>
      </c>
      <c r="E381" s="789"/>
      <c r="F381" s="789"/>
      <c r="G381" s="789"/>
      <c r="H381" s="789">
        <v>250</v>
      </c>
      <c r="I381" s="789"/>
      <c r="J381" s="789"/>
      <c r="K381" s="789"/>
      <c r="L381" s="789"/>
      <c r="M381" s="789"/>
    </row>
    <row r="382" spans="1:58" ht="13.5" customHeight="1">
      <c r="B382" s="791">
        <v>43404</v>
      </c>
      <c r="C382" s="790" t="s">
        <v>48</v>
      </c>
      <c r="D382" s="789">
        <v>520</v>
      </c>
      <c r="E382" s="789">
        <v>520</v>
      </c>
      <c r="F382" s="789"/>
      <c r="G382" s="789"/>
      <c r="H382" s="789"/>
      <c r="I382" s="789"/>
      <c r="J382" s="789"/>
      <c r="K382" s="789"/>
      <c r="L382" s="789"/>
      <c r="M382" s="789"/>
    </row>
    <row r="383" spans="1:58" ht="13.5" customHeight="1">
      <c r="B383" s="791">
        <v>43404</v>
      </c>
      <c r="C383" s="790" t="s">
        <v>678</v>
      </c>
      <c r="D383" s="789">
        <v>169</v>
      </c>
      <c r="E383" s="789"/>
      <c r="F383" s="789"/>
      <c r="G383" s="789"/>
      <c r="H383" s="789"/>
      <c r="I383" s="789"/>
      <c r="J383" s="789"/>
      <c r="K383" s="789"/>
      <c r="L383" s="789"/>
      <c r="M383" s="789"/>
    </row>
    <row r="384" spans="1:58" ht="13.5" customHeight="1">
      <c r="B384" s="791">
        <v>43404</v>
      </c>
      <c r="C384" s="790" t="s">
        <v>837</v>
      </c>
      <c r="D384" s="789">
        <v>32.950000000000003</v>
      </c>
      <c r="E384" s="789"/>
      <c r="F384" s="789"/>
      <c r="G384" s="789"/>
      <c r="H384" s="789"/>
      <c r="I384" s="789"/>
      <c r="J384" s="789"/>
      <c r="K384" s="789"/>
      <c r="L384" s="789"/>
      <c r="M384" s="789"/>
    </row>
    <row r="385" spans="2:13" s="648" customFormat="1" ht="13.5" customHeight="1">
      <c r="B385" s="791">
        <v>43404</v>
      </c>
      <c r="C385" s="790" t="s">
        <v>836</v>
      </c>
      <c r="D385" s="789">
        <v>335</v>
      </c>
      <c r="E385" s="789"/>
      <c r="F385" s="789"/>
      <c r="G385" s="789"/>
      <c r="H385" s="789"/>
      <c r="I385" s="789"/>
      <c r="J385" s="789"/>
      <c r="K385" s="789"/>
      <c r="L385" s="789"/>
      <c r="M385" s="789"/>
    </row>
    <row r="386" spans="2:13" s="648" customFormat="1" ht="13.5" customHeight="1">
      <c r="B386" s="791">
        <v>43405</v>
      </c>
      <c r="C386" s="790" t="s">
        <v>835</v>
      </c>
      <c r="D386" s="789">
        <v>226.37</v>
      </c>
      <c r="E386" s="789"/>
      <c r="F386" s="789"/>
      <c r="G386" s="789"/>
      <c r="H386" s="789"/>
      <c r="I386" s="789"/>
      <c r="J386" s="789"/>
      <c r="K386" s="789"/>
      <c r="L386" s="789"/>
      <c r="M386" s="789"/>
    </row>
    <row r="387" spans="2:13" s="648" customFormat="1" ht="13.5" customHeight="1">
      <c r="B387" s="791">
        <v>43405</v>
      </c>
      <c r="C387" s="790" t="s">
        <v>48</v>
      </c>
      <c r="D387" s="789">
        <v>589</v>
      </c>
      <c r="E387" s="789">
        <v>589</v>
      </c>
      <c r="F387" s="789"/>
      <c r="G387" s="789"/>
      <c r="H387" s="789"/>
      <c r="I387" s="789"/>
      <c r="J387" s="789"/>
      <c r="K387" s="789"/>
      <c r="L387" s="789"/>
      <c r="M387" s="789"/>
    </row>
    <row r="388" spans="2:13" s="648" customFormat="1" ht="13.5" customHeight="1">
      <c r="B388" s="791">
        <v>43405</v>
      </c>
      <c r="C388" s="790" t="s">
        <v>48</v>
      </c>
      <c r="D388" s="789">
        <v>289</v>
      </c>
      <c r="E388" s="789">
        <v>289</v>
      </c>
      <c r="F388" s="789"/>
      <c r="G388" s="789"/>
      <c r="H388" s="789"/>
      <c r="I388" s="789"/>
      <c r="J388" s="789"/>
      <c r="K388" s="789"/>
      <c r="L388" s="789"/>
      <c r="M388" s="789"/>
    </row>
    <row r="389" spans="2:13" s="648" customFormat="1" ht="13.5" customHeight="1">
      <c r="B389" s="791">
        <v>43405</v>
      </c>
      <c r="C389" s="790" t="s">
        <v>230</v>
      </c>
      <c r="D389" s="789">
        <v>59</v>
      </c>
      <c r="E389" s="789"/>
      <c r="F389" s="789"/>
      <c r="G389" s="789">
        <f>D389</f>
        <v>59</v>
      </c>
      <c r="H389" s="789"/>
      <c r="I389" s="789"/>
      <c r="J389" s="789"/>
      <c r="K389" s="789"/>
      <c r="L389" s="789"/>
      <c r="M389" s="789"/>
    </row>
    <row r="390" spans="2:13" s="648" customFormat="1" ht="13.5" customHeight="1">
      <c r="B390" s="791">
        <v>43405</v>
      </c>
      <c r="C390" s="790" t="s">
        <v>464</v>
      </c>
      <c r="D390" s="789">
        <v>129</v>
      </c>
      <c r="E390" s="789"/>
      <c r="F390" s="789">
        <v>129</v>
      </c>
      <c r="G390" s="789"/>
      <c r="H390" s="789"/>
      <c r="I390" s="789"/>
      <c r="J390" s="789"/>
      <c r="K390" s="789"/>
      <c r="L390" s="789"/>
      <c r="M390" s="789"/>
    </row>
    <row r="391" spans="2:13" s="648" customFormat="1" ht="13.5" customHeight="1">
      <c r="B391" s="791">
        <v>43406</v>
      </c>
      <c r="C391" s="790" t="s">
        <v>139</v>
      </c>
      <c r="D391" s="789">
        <v>-269.41000000000003</v>
      </c>
      <c r="E391" s="789"/>
      <c r="F391" s="789"/>
      <c r="G391" s="789"/>
      <c r="H391" s="789"/>
      <c r="I391" s="789"/>
      <c r="J391" s="789"/>
      <c r="K391" s="789"/>
      <c r="L391" s="789"/>
      <c r="M391" s="789"/>
    </row>
    <row r="392" spans="2:13" s="648" customFormat="1" ht="13.5" customHeight="1">
      <c r="B392" s="791">
        <v>43406</v>
      </c>
      <c r="C392" s="790" t="s">
        <v>834</v>
      </c>
      <c r="D392" s="789">
        <v>299.25</v>
      </c>
      <c r="E392" s="789"/>
      <c r="F392" s="789"/>
      <c r="G392" s="789"/>
      <c r="H392" s="789"/>
      <c r="I392" s="789"/>
      <c r="J392" s="789"/>
      <c r="K392" s="789"/>
      <c r="L392" s="789"/>
      <c r="M392" s="789"/>
    </row>
    <row r="393" spans="2:13" s="648" customFormat="1" ht="13.5" customHeight="1">
      <c r="B393" s="791">
        <v>43405</v>
      </c>
      <c r="C393" s="790" t="s">
        <v>21</v>
      </c>
      <c r="D393" s="789">
        <v>186</v>
      </c>
      <c r="E393" s="789"/>
      <c r="F393" s="789"/>
      <c r="G393" s="789">
        <v>186</v>
      </c>
      <c r="H393" s="789"/>
      <c r="I393" s="789"/>
      <c r="J393" s="789"/>
      <c r="K393" s="789"/>
      <c r="L393" s="789"/>
      <c r="M393" s="789"/>
    </row>
    <row r="394" spans="2:13" s="648" customFormat="1" ht="13.5" customHeight="1">
      <c r="B394" s="791">
        <v>43406</v>
      </c>
      <c r="C394" s="790" t="s">
        <v>186</v>
      </c>
      <c r="D394" s="789">
        <v>75</v>
      </c>
      <c r="E394" s="789"/>
      <c r="F394" s="789"/>
      <c r="G394" s="789"/>
      <c r="H394" s="789"/>
      <c r="I394" s="789"/>
      <c r="J394" s="789"/>
      <c r="K394" s="789"/>
      <c r="L394" s="789"/>
      <c r="M394" s="789"/>
    </row>
    <row r="395" spans="2:13" s="648" customFormat="1" ht="13.5" customHeight="1">
      <c r="B395" s="791">
        <v>43407</v>
      </c>
      <c r="C395" s="790" t="s">
        <v>48</v>
      </c>
      <c r="D395" s="789">
        <v>579</v>
      </c>
      <c r="E395" s="789">
        <v>579</v>
      </c>
      <c r="F395" s="789"/>
      <c r="G395" s="789"/>
      <c r="H395" s="789"/>
      <c r="I395" s="789"/>
      <c r="J395" s="789"/>
      <c r="K395" s="789"/>
      <c r="L395" s="789"/>
      <c r="M395" s="789"/>
    </row>
    <row r="396" spans="2:13" s="648" customFormat="1" ht="13.5" customHeight="1">
      <c r="B396" s="791">
        <v>43409</v>
      </c>
      <c r="C396" s="790" t="s">
        <v>447</v>
      </c>
      <c r="D396" s="789">
        <v>400</v>
      </c>
      <c r="E396" s="789"/>
      <c r="F396" s="789"/>
      <c r="G396" s="789"/>
      <c r="H396" s="789"/>
      <c r="I396" s="789"/>
      <c r="J396" s="789"/>
      <c r="K396" s="789"/>
      <c r="L396" s="789"/>
      <c r="M396" s="789"/>
    </row>
    <row r="397" spans="2:13" s="648" customFormat="1" ht="13.5" customHeight="1">
      <c r="B397" s="791">
        <v>43409</v>
      </c>
      <c r="C397" s="790" t="s">
        <v>833</v>
      </c>
      <c r="D397" s="789">
        <v>-50</v>
      </c>
      <c r="E397" s="789"/>
      <c r="F397" s="789"/>
      <c r="G397" s="789"/>
      <c r="H397" s="789"/>
      <c r="I397" s="789">
        <v>-50</v>
      </c>
      <c r="J397" s="789"/>
      <c r="K397" s="789"/>
      <c r="L397" s="789"/>
      <c r="M397" s="789"/>
    </row>
    <row r="398" spans="2:13" s="648" customFormat="1" ht="13.5" customHeight="1">
      <c r="B398" s="791">
        <v>43409</v>
      </c>
      <c r="C398" s="790" t="s">
        <v>186</v>
      </c>
      <c r="D398" s="789">
        <v>-50</v>
      </c>
      <c r="E398" s="789"/>
      <c r="F398" s="789"/>
      <c r="G398" s="789"/>
      <c r="H398" s="789"/>
      <c r="I398" s="789"/>
      <c r="J398" s="789"/>
      <c r="K398" s="789"/>
      <c r="L398" s="789"/>
      <c r="M398" s="789"/>
    </row>
    <row r="399" spans="2:13" s="648" customFormat="1" ht="13.5" customHeight="1">
      <c r="B399" s="791">
        <v>43410</v>
      </c>
      <c r="C399" s="790" t="s">
        <v>832</v>
      </c>
      <c r="D399" s="789">
        <v>169</v>
      </c>
      <c r="E399" s="789"/>
      <c r="F399" s="789"/>
      <c r="G399" s="789"/>
      <c r="H399" s="789"/>
      <c r="I399" s="789"/>
      <c r="J399" s="789"/>
      <c r="K399" s="789"/>
      <c r="L399" s="789"/>
      <c r="M399" s="789"/>
    </row>
    <row r="400" spans="2:13" s="648" customFormat="1" ht="13.5" customHeight="1">
      <c r="B400" s="791">
        <v>43411</v>
      </c>
      <c r="C400" s="790" t="s">
        <v>831</v>
      </c>
      <c r="D400" s="789">
        <v>430</v>
      </c>
      <c r="E400" s="789"/>
      <c r="F400" s="789"/>
      <c r="G400" s="789"/>
      <c r="H400" s="789"/>
      <c r="I400" s="789"/>
      <c r="J400" s="789"/>
      <c r="K400" s="789"/>
      <c r="L400" s="789"/>
      <c r="M400" s="789"/>
    </row>
    <row r="401" spans="1:58" ht="13.5" customHeight="1">
      <c r="B401" s="791">
        <v>43413</v>
      </c>
      <c r="C401" s="790" t="s">
        <v>830</v>
      </c>
      <c r="D401" s="789">
        <v>30</v>
      </c>
      <c r="E401" s="789"/>
      <c r="F401" s="789"/>
      <c r="G401" s="789"/>
      <c r="H401" s="789"/>
      <c r="I401" s="789">
        <v>30</v>
      </c>
      <c r="J401" s="789"/>
      <c r="K401" s="789"/>
      <c r="L401" s="789"/>
      <c r="M401" s="789"/>
    </row>
    <row r="402" spans="1:58" ht="13.5" customHeight="1">
      <c r="B402" s="791">
        <v>43413</v>
      </c>
      <c r="C402" s="790" t="s">
        <v>829</v>
      </c>
      <c r="D402" s="789">
        <v>200</v>
      </c>
      <c r="E402" s="789"/>
      <c r="F402" s="789"/>
      <c r="G402" s="789"/>
      <c r="H402" s="789"/>
      <c r="I402" s="789"/>
      <c r="J402" s="789"/>
      <c r="K402" s="789"/>
      <c r="L402" s="789"/>
      <c r="M402" s="789"/>
    </row>
    <row r="403" spans="1:58" ht="13.5" customHeight="1">
      <c r="B403" s="791">
        <v>43416</v>
      </c>
      <c r="C403" s="790" t="s">
        <v>57</v>
      </c>
      <c r="D403" s="789">
        <v>1000</v>
      </c>
      <c r="E403" s="789"/>
      <c r="F403" s="789"/>
      <c r="G403" s="789"/>
      <c r="H403" s="789"/>
      <c r="I403" s="789"/>
      <c r="J403" s="789"/>
      <c r="K403" s="789"/>
      <c r="L403" s="789"/>
      <c r="M403" s="789"/>
    </row>
    <row r="404" spans="1:58" ht="13.5" customHeight="1">
      <c r="B404" s="791">
        <v>43417</v>
      </c>
      <c r="C404" s="790" t="s">
        <v>828</v>
      </c>
      <c r="D404" s="789">
        <v>108</v>
      </c>
      <c r="E404" s="789"/>
      <c r="F404" s="789"/>
      <c r="G404" s="789"/>
      <c r="H404" s="789"/>
      <c r="I404" s="789"/>
      <c r="J404" s="789"/>
      <c r="K404" s="789"/>
      <c r="L404" s="789"/>
      <c r="M404" s="789"/>
    </row>
    <row r="405" spans="1:58" ht="13.5" customHeight="1">
      <c r="B405" s="791">
        <v>43419</v>
      </c>
      <c r="C405" s="790" t="s">
        <v>157</v>
      </c>
      <c r="D405" s="789">
        <v>750</v>
      </c>
      <c r="E405" s="789"/>
      <c r="F405" s="789"/>
      <c r="G405" s="789"/>
      <c r="H405" s="789"/>
      <c r="I405" s="789"/>
      <c r="J405" s="789"/>
      <c r="K405" s="789"/>
      <c r="L405" s="789"/>
      <c r="M405" s="789"/>
    </row>
    <row r="406" spans="1:58" ht="13.5" customHeight="1">
      <c r="B406" s="791">
        <v>43420</v>
      </c>
      <c r="C406" s="790" t="s">
        <v>358</v>
      </c>
      <c r="D406" s="789">
        <v>100</v>
      </c>
      <c r="E406" s="789"/>
      <c r="F406" s="789"/>
      <c r="G406" s="789"/>
      <c r="H406" s="789"/>
      <c r="I406" s="789"/>
      <c r="J406" s="789"/>
      <c r="K406" s="789"/>
      <c r="L406" s="789"/>
      <c r="M406" s="789"/>
    </row>
    <row r="407" spans="1:58" ht="13.5" customHeight="1">
      <c r="B407" s="791">
        <v>43421</v>
      </c>
      <c r="C407" s="790" t="s">
        <v>827</v>
      </c>
      <c r="D407" s="789">
        <v>30</v>
      </c>
      <c r="E407" s="789"/>
      <c r="F407" s="789"/>
      <c r="G407" s="789"/>
      <c r="H407" s="789"/>
      <c r="I407" s="789">
        <v>30</v>
      </c>
      <c r="J407" s="789"/>
      <c r="K407" s="789"/>
      <c r="L407" s="789"/>
      <c r="M407" s="789"/>
    </row>
    <row r="408" spans="1:58" ht="13.5" customHeight="1">
      <c r="B408" s="791">
        <v>43412</v>
      </c>
      <c r="C408" s="790" t="s">
        <v>131</v>
      </c>
      <c r="D408" s="789">
        <v>50</v>
      </c>
      <c r="E408" s="789"/>
      <c r="F408" s="789"/>
      <c r="G408" s="789"/>
      <c r="H408" s="789"/>
      <c r="I408" s="789"/>
      <c r="J408" s="789"/>
      <c r="K408" s="789"/>
      <c r="L408" s="789"/>
      <c r="M408" s="789"/>
    </row>
    <row r="409" spans="1:58" ht="13.5" customHeight="1">
      <c r="B409" s="791">
        <v>43428</v>
      </c>
      <c r="C409" s="790" t="s">
        <v>826</v>
      </c>
      <c r="D409" s="789">
        <v>-50</v>
      </c>
      <c r="E409" s="789"/>
      <c r="F409" s="789"/>
      <c r="G409" s="789"/>
      <c r="H409" s="789"/>
      <c r="I409" s="789">
        <v>-50</v>
      </c>
      <c r="J409" s="789"/>
      <c r="K409" s="789"/>
      <c r="L409" s="789"/>
      <c r="M409" s="789"/>
    </row>
    <row r="410" spans="1:58" ht="13.5" customHeight="1">
      <c r="B410" s="791">
        <v>43434</v>
      </c>
      <c r="C410" s="790" t="s">
        <v>729</v>
      </c>
      <c r="D410" s="789">
        <v>328.95</v>
      </c>
      <c r="E410" s="789"/>
      <c r="F410" s="789"/>
      <c r="G410" s="789"/>
      <c r="H410" s="789"/>
      <c r="I410" s="789"/>
      <c r="J410" s="789"/>
      <c r="K410" s="789">
        <v>328.95</v>
      </c>
      <c r="L410" s="789"/>
      <c r="M410" s="789"/>
    </row>
    <row r="411" spans="1:58" ht="13.5" customHeight="1">
      <c r="B411" s="791">
        <v>43434</v>
      </c>
      <c r="C411" s="790" t="s">
        <v>48</v>
      </c>
      <c r="D411" s="789">
        <v>189.3</v>
      </c>
      <c r="E411" s="789"/>
      <c r="F411" s="789"/>
      <c r="G411" s="789"/>
      <c r="H411" s="789"/>
      <c r="I411" s="789"/>
      <c r="J411" s="789"/>
      <c r="K411" s="789"/>
      <c r="L411" s="789"/>
      <c r="M411" s="789"/>
    </row>
    <row r="412" spans="1:58" ht="13.5" customHeight="1">
      <c r="B412" s="791">
        <v>43434</v>
      </c>
      <c r="C412" s="790" t="s">
        <v>825</v>
      </c>
      <c r="D412" s="789">
        <v>149</v>
      </c>
      <c r="E412" s="789"/>
      <c r="F412" s="789"/>
      <c r="G412" s="789"/>
      <c r="H412" s="789"/>
      <c r="I412" s="789"/>
      <c r="J412" s="789"/>
      <c r="K412" s="789"/>
      <c r="L412" s="789"/>
      <c r="M412" s="789"/>
    </row>
    <row r="413" spans="1:58" s="694" customFormat="1" ht="13.5" customHeight="1">
      <c r="A413" s="700"/>
      <c r="B413" s="788" t="s">
        <v>112</v>
      </c>
      <c r="C413" s="787" t="s">
        <v>37</v>
      </c>
      <c r="D413" s="786">
        <f t="shared" ref="D413:K413" si="12">SUM(D414:D442)</f>
        <v>5168.2800000000007</v>
      </c>
      <c r="E413" s="786">
        <f t="shared" si="12"/>
        <v>0</v>
      </c>
      <c r="F413" s="786">
        <f t="shared" si="12"/>
        <v>1059.72</v>
      </c>
      <c r="G413" s="786">
        <f t="shared" si="12"/>
        <v>148</v>
      </c>
      <c r="H413" s="786">
        <f t="shared" si="12"/>
        <v>150</v>
      </c>
      <c r="I413" s="786">
        <f t="shared" si="12"/>
        <v>-1210</v>
      </c>
      <c r="J413" s="786">
        <f t="shared" si="12"/>
        <v>2032.66</v>
      </c>
      <c r="K413" s="786">
        <f t="shared" si="12"/>
        <v>2103</v>
      </c>
      <c r="L413" s="786"/>
      <c r="M413" s="786">
        <f>SUM(M414:M442)</f>
        <v>0</v>
      </c>
      <c r="N413" s="786"/>
      <c r="O413" s="786"/>
      <c r="P413" s="786"/>
      <c r="Q413" s="786"/>
      <c r="R413" s="786"/>
      <c r="S413" s="695"/>
      <c r="T413" s="695"/>
      <c r="U413" s="695"/>
      <c r="V413" s="695"/>
      <c r="W413" s="695"/>
      <c r="X413" s="695"/>
      <c r="Y413" s="695"/>
      <c r="Z413" s="695"/>
      <c r="AA413" s="695"/>
      <c r="AB413" s="695"/>
      <c r="AC413" s="695"/>
      <c r="AD413" s="695"/>
      <c r="AE413" s="695"/>
      <c r="AF413" s="695"/>
      <c r="AG413" s="695"/>
      <c r="AH413" s="695"/>
      <c r="AI413" s="695"/>
      <c r="AJ413" s="695"/>
      <c r="AK413" s="695"/>
      <c r="AL413" s="695"/>
      <c r="AM413" s="695"/>
      <c r="AN413" s="695"/>
      <c r="AO413" s="695"/>
      <c r="AP413" s="695"/>
      <c r="AQ413" s="695"/>
      <c r="AR413" s="695"/>
      <c r="AS413" s="695"/>
      <c r="AT413" s="695"/>
      <c r="AU413" s="695"/>
      <c r="AV413" s="695"/>
      <c r="AW413" s="695"/>
      <c r="AX413" s="695"/>
      <c r="AY413" s="695"/>
      <c r="AZ413" s="695"/>
      <c r="BA413" s="695"/>
      <c r="BB413" s="695"/>
      <c r="BC413" s="695"/>
      <c r="BD413" s="695"/>
      <c r="BE413" s="695"/>
      <c r="BF413" s="695"/>
    </row>
    <row r="414" spans="1:58" ht="13.5" customHeight="1">
      <c r="B414" s="791">
        <v>43437</v>
      </c>
      <c r="C414" s="790" t="s">
        <v>306</v>
      </c>
      <c r="D414" s="789">
        <f>'2018-'!$J$255</f>
        <v>601.72</v>
      </c>
      <c r="E414" s="789"/>
      <c r="F414" s="789">
        <f>'2018-'!$J$255</f>
        <v>601.72</v>
      </c>
      <c r="G414" s="789"/>
      <c r="H414" s="789"/>
      <c r="I414" s="789"/>
      <c r="J414" s="789"/>
      <c r="K414" s="789"/>
      <c r="L414" s="789"/>
      <c r="M414" s="789"/>
    </row>
    <row r="415" spans="1:58" ht="13.5" customHeight="1">
      <c r="B415" s="791">
        <v>43437</v>
      </c>
      <c r="C415" s="790" t="s">
        <v>595</v>
      </c>
      <c r="D415" s="789">
        <f>'2018-'!$K$255</f>
        <v>2032.66</v>
      </c>
      <c r="E415" s="789"/>
      <c r="F415" s="789"/>
      <c r="G415" s="789"/>
      <c r="H415" s="789"/>
      <c r="I415" s="789"/>
      <c r="J415" s="789">
        <f>'2018-'!$K$255</f>
        <v>2032.66</v>
      </c>
      <c r="K415" s="789"/>
      <c r="L415" s="789"/>
      <c r="M415" s="789"/>
    </row>
    <row r="416" spans="1:58" ht="13.5" customHeight="1">
      <c r="B416" s="791">
        <v>43435</v>
      </c>
      <c r="C416" s="790" t="s">
        <v>22</v>
      </c>
      <c r="D416" s="789">
        <v>89</v>
      </c>
      <c r="E416" s="789"/>
      <c r="F416" s="789"/>
      <c r="G416" s="789">
        <v>89</v>
      </c>
      <c r="H416" s="789"/>
      <c r="I416" s="789"/>
      <c r="J416" s="789"/>
      <c r="K416" s="789"/>
      <c r="L416" s="789"/>
      <c r="M416" s="789"/>
    </row>
    <row r="417" spans="2:13" s="648" customFormat="1" ht="13.5" customHeight="1">
      <c r="B417" s="791">
        <v>43435</v>
      </c>
      <c r="C417" s="790" t="s">
        <v>230</v>
      </c>
      <c r="D417" s="789">
        <v>59</v>
      </c>
      <c r="E417" s="789"/>
      <c r="F417" s="789"/>
      <c r="G417" s="789">
        <f>D417</f>
        <v>59</v>
      </c>
      <c r="H417" s="789"/>
      <c r="I417" s="789"/>
      <c r="J417" s="789"/>
      <c r="K417" s="789"/>
      <c r="L417" s="789"/>
      <c r="M417" s="789"/>
    </row>
    <row r="418" spans="2:13" s="648" customFormat="1" ht="13.5" customHeight="1">
      <c r="B418" s="791">
        <v>43435</v>
      </c>
      <c r="C418" s="790" t="s">
        <v>464</v>
      </c>
      <c r="D418" s="789">
        <v>129</v>
      </c>
      <c r="E418" s="789"/>
      <c r="F418" s="789">
        <v>129</v>
      </c>
      <c r="G418" s="789"/>
      <c r="H418" s="789"/>
      <c r="I418" s="789"/>
      <c r="J418" s="789"/>
      <c r="K418" s="789"/>
      <c r="L418" s="789"/>
      <c r="M418" s="789"/>
    </row>
    <row r="419" spans="2:13" s="648" customFormat="1" ht="13.5" customHeight="1">
      <c r="B419" s="791">
        <v>43435</v>
      </c>
      <c r="C419" s="790" t="s">
        <v>301</v>
      </c>
      <c r="D419" s="789">
        <v>58</v>
      </c>
      <c r="E419" s="789"/>
      <c r="F419" s="789"/>
      <c r="G419" s="789"/>
      <c r="H419" s="789"/>
      <c r="I419" s="789"/>
      <c r="J419" s="789"/>
      <c r="K419" s="789"/>
      <c r="L419" s="789"/>
      <c r="M419" s="789"/>
    </row>
    <row r="420" spans="2:13" s="648" customFormat="1" ht="13.5" customHeight="1">
      <c r="B420" s="791">
        <v>43435</v>
      </c>
      <c r="C420" s="790" t="s">
        <v>824</v>
      </c>
      <c r="D420" s="789">
        <v>100</v>
      </c>
      <c r="E420" s="789"/>
      <c r="F420" s="789"/>
      <c r="G420" s="789"/>
      <c r="H420" s="789"/>
      <c r="I420" s="789"/>
      <c r="J420" s="789"/>
      <c r="K420" s="789"/>
      <c r="L420" s="789"/>
      <c r="M420" s="789"/>
    </row>
    <row r="421" spans="2:13" s="648" customFormat="1" ht="13.5" customHeight="1">
      <c r="B421" s="791">
        <v>43435</v>
      </c>
      <c r="C421" s="790" t="s">
        <v>474</v>
      </c>
      <c r="D421" s="789">
        <v>170</v>
      </c>
      <c r="E421" s="789"/>
      <c r="F421" s="789"/>
      <c r="G421" s="789"/>
      <c r="H421" s="789"/>
      <c r="I421" s="789"/>
      <c r="J421" s="789"/>
      <c r="K421" s="789"/>
      <c r="L421" s="789"/>
      <c r="M421" s="789"/>
    </row>
    <row r="422" spans="2:13" s="648" customFormat="1" ht="13.5" customHeight="1">
      <c r="B422" s="791">
        <v>43435</v>
      </c>
      <c r="C422" s="790" t="s">
        <v>21</v>
      </c>
      <c r="D422" s="789">
        <v>186</v>
      </c>
      <c r="E422" s="789"/>
      <c r="F422" s="789"/>
      <c r="G422" s="789"/>
      <c r="H422" s="789"/>
      <c r="I422" s="789"/>
      <c r="J422" s="789"/>
      <c r="K422" s="789"/>
      <c r="L422" s="789"/>
      <c r="M422" s="789"/>
    </row>
    <row r="423" spans="2:13" s="648" customFormat="1" ht="13.5" customHeight="1">
      <c r="B423" s="791">
        <v>43435</v>
      </c>
      <c r="C423" s="790" t="s">
        <v>823</v>
      </c>
      <c r="D423" s="789">
        <v>-1110</v>
      </c>
      <c r="E423" s="789"/>
      <c r="F423" s="789"/>
      <c r="G423" s="789"/>
      <c r="H423" s="789"/>
      <c r="I423" s="789">
        <v>-1110</v>
      </c>
      <c r="J423" s="789"/>
      <c r="K423" s="789"/>
      <c r="L423" s="789"/>
      <c r="M423" s="789"/>
    </row>
    <row r="424" spans="2:13" s="648" customFormat="1" ht="13.5" customHeight="1">
      <c r="B424" s="791">
        <v>43435</v>
      </c>
      <c r="C424" s="790" t="s">
        <v>822</v>
      </c>
      <c r="D424" s="789">
        <v>-100</v>
      </c>
      <c r="E424" s="789"/>
      <c r="F424" s="789"/>
      <c r="G424" s="789"/>
      <c r="H424" s="789"/>
      <c r="I424" s="789">
        <v>-100</v>
      </c>
      <c r="J424" s="789"/>
      <c r="K424" s="789"/>
      <c r="L424" s="789"/>
      <c r="M424" s="789"/>
    </row>
    <row r="425" spans="2:13" s="648" customFormat="1" ht="13.5" customHeight="1">
      <c r="B425" s="791">
        <v>43437</v>
      </c>
      <c r="C425" s="790" t="s">
        <v>186</v>
      </c>
      <c r="D425" s="789">
        <v>200</v>
      </c>
      <c r="E425" s="789"/>
      <c r="F425" s="789"/>
      <c r="G425" s="789"/>
      <c r="H425" s="789">
        <v>200</v>
      </c>
      <c r="I425" s="789"/>
      <c r="J425" s="789"/>
      <c r="K425" s="789"/>
      <c r="L425" s="789"/>
      <c r="M425" s="789"/>
    </row>
    <row r="426" spans="2:13" s="648" customFormat="1" ht="13.5" customHeight="1">
      <c r="B426" s="791">
        <v>43438</v>
      </c>
      <c r="C426" s="790" t="s">
        <v>12</v>
      </c>
      <c r="D426" s="789">
        <v>375</v>
      </c>
      <c r="E426" s="789"/>
      <c r="F426" s="789"/>
      <c r="G426" s="789"/>
      <c r="H426" s="789"/>
      <c r="I426" s="789"/>
      <c r="J426" s="789"/>
      <c r="K426" s="789">
        <v>375</v>
      </c>
      <c r="L426" s="789"/>
      <c r="M426" s="789"/>
    </row>
    <row r="427" spans="2:13" s="648" customFormat="1" ht="13.5" customHeight="1">
      <c r="B427" s="791">
        <v>43438</v>
      </c>
      <c r="C427" s="790" t="s">
        <v>397</v>
      </c>
      <c r="D427" s="789">
        <v>59.85</v>
      </c>
      <c r="E427" s="789"/>
      <c r="F427" s="789"/>
      <c r="G427" s="789"/>
      <c r="H427" s="789"/>
      <c r="I427" s="789"/>
      <c r="J427" s="789"/>
      <c r="K427" s="789"/>
      <c r="L427" s="789"/>
      <c r="M427" s="789"/>
    </row>
    <row r="428" spans="2:13" s="648" customFormat="1" ht="13.5" customHeight="1">
      <c r="B428" s="791">
        <v>43444</v>
      </c>
      <c r="C428" s="790" t="s">
        <v>821</v>
      </c>
      <c r="D428" s="789">
        <v>329</v>
      </c>
      <c r="E428" s="789"/>
      <c r="F428" s="789">
        <v>329</v>
      </c>
      <c r="G428" s="789"/>
      <c r="H428" s="789"/>
      <c r="I428" s="789"/>
      <c r="J428" s="789"/>
      <c r="K428" s="789"/>
      <c r="L428" s="789"/>
      <c r="M428" s="789"/>
    </row>
    <row r="429" spans="2:13" s="648" customFormat="1" ht="13.5" customHeight="1">
      <c r="B429" s="791">
        <v>43444</v>
      </c>
      <c r="C429" s="790" t="s">
        <v>48</v>
      </c>
      <c r="D429" s="789">
        <v>83.7</v>
      </c>
      <c r="E429" s="789"/>
      <c r="F429" s="789"/>
      <c r="G429" s="789"/>
      <c r="H429" s="789"/>
      <c r="I429" s="789"/>
      <c r="J429" s="789"/>
      <c r="K429" s="789"/>
      <c r="L429" s="789"/>
      <c r="M429" s="789"/>
    </row>
    <row r="430" spans="2:13" s="648" customFormat="1" ht="13.5" customHeight="1">
      <c r="B430" s="791">
        <v>43447</v>
      </c>
      <c r="C430" s="790" t="s">
        <v>10</v>
      </c>
      <c r="D430" s="789">
        <v>329</v>
      </c>
      <c r="E430" s="789"/>
      <c r="F430" s="789"/>
      <c r="G430" s="789"/>
      <c r="H430" s="789"/>
      <c r="I430" s="789"/>
      <c r="J430" s="789"/>
      <c r="K430" s="789">
        <v>329</v>
      </c>
      <c r="L430" s="789"/>
      <c r="M430" s="789"/>
    </row>
    <row r="431" spans="2:13" s="648" customFormat="1" ht="13.5" customHeight="1">
      <c r="B431" s="791">
        <v>43447</v>
      </c>
      <c r="C431" s="790" t="s">
        <v>7</v>
      </c>
      <c r="D431" s="789">
        <v>349</v>
      </c>
      <c r="E431" s="789"/>
      <c r="F431" s="789"/>
      <c r="G431" s="789"/>
      <c r="H431" s="789"/>
      <c r="I431" s="789"/>
      <c r="J431" s="789"/>
      <c r="K431" s="789">
        <v>349</v>
      </c>
      <c r="L431" s="789"/>
      <c r="M431" s="789"/>
    </row>
    <row r="432" spans="2:13" s="648" customFormat="1" ht="13.5" customHeight="1">
      <c r="B432" s="791">
        <v>43452</v>
      </c>
      <c r="C432" s="790" t="s">
        <v>186</v>
      </c>
      <c r="D432" s="789">
        <v>-50</v>
      </c>
      <c r="E432" s="789"/>
      <c r="F432" s="789"/>
      <c r="G432" s="789"/>
      <c r="H432" s="789">
        <v>-50</v>
      </c>
      <c r="I432" s="789"/>
      <c r="J432" s="789"/>
      <c r="K432" s="789"/>
      <c r="L432" s="789"/>
      <c r="M432" s="789"/>
    </row>
    <row r="433" spans="1:57" ht="13.5" customHeight="1">
      <c r="B433" s="791">
        <v>43451</v>
      </c>
      <c r="C433" s="790" t="s">
        <v>9</v>
      </c>
      <c r="D433" s="789">
        <v>350</v>
      </c>
      <c r="E433" s="789"/>
      <c r="F433" s="789"/>
      <c r="G433" s="789"/>
      <c r="H433" s="789"/>
      <c r="I433" s="789"/>
      <c r="J433" s="789"/>
      <c r="K433" s="789">
        <v>350</v>
      </c>
      <c r="L433" s="789"/>
      <c r="M433" s="789"/>
    </row>
    <row r="434" spans="1:57" ht="13.5" customHeight="1">
      <c r="B434" s="791">
        <v>43451</v>
      </c>
      <c r="C434" s="790" t="s">
        <v>8</v>
      </c>
      <c r="D434" s="789">
        <v>350</v>
      </c>
      <c r="E434" s="789"/>
      <c r="F434" s="789"/>
      <c r="G434" s="789"/>
      <c r="H434" s="789"/>
      <c r="I434" s="789"/>
      <c r="J434" s="789"/>
      <c r="K434" s="789">
        <v>350</v>
      </c>
      <c r="L434" s="789"/>
      <c r="M434" s="789"/>
    </row>
    <row r="435" spans="1:57" ht="13.5" customHeight="1">
      <c r="B435" s="791">
        <v>43451</v>
      </c>
      <c r="C435" s="790" t="s">
        <v>13</v>
      </c>
      <c r="D435" s="789">
        <v>350</v>
      </c>
      <c r="E435" s="789"/>
      <c r="F435" s="789"/>
      <c r="G435" s="789"/>
      <c r="H435" s="789"/>
      <c r="I435" s="789"/>
      <c r="J435" s="789"/>
      <c r="K435" s="789">
        <v>350</v>
      </c>
      <c r="L435" s="789"/>
      <c r="M435" s="789"/>
    </row>
    <row r="436" spans="1:57" ht="13.5" customHeight="1">
      <c r="B436" s="791">
        <v>43454</v>
      </c>
      <c r="C436" s="790" t="s">
        <v>48</v>
      </c>
      <c r="D436" s="789">
        <v>187.35</v>
      </c>
      <c r="E436" s="789"/>
      <c r="F436" s="789"/>
      <c r="G436" s="789"/>
      <c r="H436" s="789"/>
      <c r="I436" s="789"/>
      <c r="J436" s="789"/>
      <c r="K436" s="789"/>
      <c r="L436" s="789"/>
      <c r="M436" s="789"/>
    </row>
    <row r="437" spans="1:57" ht="13.5" customHeight="1">
      <c r="B437" s="791">
        <v>43454</v>
      </c>
      <c r="C437" s="790" t="s">
        <v>821</v>
      </c>
      <c r="D437" s="789">
        <v>40</v>
      </c>
      <c r="E437" s="789"/>
      <c r="F437" s="789"/>
      <c r="G437" s="789"/>
      <c r="H437" s="789"/>
      <c r="I437" s="789"/>
      <c r="J437" s="789"/>
      <c r="K437" s="789"/>
      <c r="L437" s="789"/>
      <c r="M437" s="789"/>
    </row>
    <row r="438" spans="1:57" ht="13.5" customHeight="1">
      <c r="B438" s="791"/>
      <c r="C438" s="790"/>
      <c r="D438" s="789"/>
      <c r="E438" s="789"/>
      <c r="F438" s="789"/>
      <c r="G438" s="789"/>
      <c r="H438" s="789"/>
      <c r="I438" s="789"/>
      <c r="J438" s="789"/>
      <c r="K438" s="789"/>
      <c r="L438" s="789"/>
      <c r="M438" s="789"/>
    </row>
    <row r="439" spans="1:57" ht="13.5" customHeight="1">
      <c r="B439" s="791"/>
      <c r="C439" s="790"/>
      <c r="D439" s="789"/>
      <c r="E439" s="789"/>
      <c r="F439" s="789"/>
      <c r="G439" s="789"/>
      <c r="H439" s="789"/>
      <c r="I439" s="789"/>
      <c r="J439" s="789"/>
      <c r="K439" s="789"/>
      <c r="L439" s="789"/>
      <c r="M439" s="789"/>
    </row>
    <row r="440" spans="1:57" ht="13.5" customHeight="1">
      <c r="B440" s="791"/>
      <c r="C440" s="790"/>
      <c r="D440" s="789"/>
      <c r="E440" s="789"/>
      <c r="F440" s="789"/>
      <c r="G440" s="789"/>
      <c r="H440" s="789"/>
      <c r="I440" s="789"/>
      <c r="J440" s="789"/>
      <c r="K440" s="789"/>
      <c r="L440" s="789"/>
      <c r="M440" s="789"/>
    </row>
    <row r="441" spans="1:57" ht="13.5" customHeight="1">
      <c r="B441" s="791"/>
      <c r="C441" s="790"/>
      <c r="D441" s="789"/>
      <c r="E441" s="789"/>
      <c r="F441" s="789"/>
      <c r="G441" s="789"/>
      <c r="H441" s="789"/>
      <c r="I441" s="789"/>
      <c r="J441" s="789"/>
      <c r="K441" s="789"/>
      <c r="L441" s="789"/>
      <c r="M441" s="789"/>
    </row>
    <row r="442" spans="1:57" ht="13.5" customHeight="1">
      <c r="B442" s="791"/>
      <c r="C442" s="790"/>
      <c r="D442" s="789"/>
      <c r="E442" s="789"/>
      <c r="F442" s="789"/>
      <c r="G442" s="789"/>
      <c r="H442" s="789"/>
      <c r="I442" s="789"/>
      <c r="J442" s="789"/>
      <c r="K442" s="789"/>
      <c r="L442" s="789"/>
      <c r="M442" s="789"/>
    </row>
    <row r="443" spans="1:57" ht="13.5" customHeight="1">
      <c r="B443" s="817" t="str">
        <f>B413</f>
        <v>december</v>
      </c>
      <c r="C443" s="816" t="s">
        <v>36</v>
      </c>
      <c r="D443" s="815">
        <f>SUM(D444:D444)</f>
        <v>0</v>
      </c>
      <c r="E443" s="815"/>
      <c r="F443" s="815"/>
      <c r="G443" s="815"/>
      <c r="H443" s="815"/>
      <c r="I443" s="815"/>
      <c r="J443" s="815"/>
      <c r="K443" s="815"/>
      <c r="L443" s="815"/>
      <c r="M443" s="814"/>
    </row>
    <row r="444" spans="1:57" s="670" customFormat="1" ht="13.5" customHeight="1">
      <c r="A444" s="675"/>
      <c r="B444" s="776"/>
      <c r="C444" s="678"/>
      <c r="D444" s="677"/>
      <c r="E444" s="772"/>
      <c r="F444" s="771"/>
      <c r="G444" s="768"/>
      <c r="H444" s="770"/>
      <c r="I444" s="770"/>
      <c r="J444" s="768"/>
      <c r="K444" s="769"/>
      <c r="L444" s="769"/>
      <c r="M444" s="769"/>
      <c r="N444" s="663"/>
      <c r="O444" s="663"/>
      <c r="P444" s="663"/>
      <c r="Q444" s="663"/>
      <c r="R444" s="663"/>
      <c r="S444" s="663"/>
      <c r="T444" s="663"/>
      <c r="U444" s="663"/>
      <c r="V444" s="663"/>
      <c r="W444" s="663"/>
      <c r="X444" s="663"/>
      <c r="Y444" s="663"/>
      <c r="Z444" s="663"/>
      <c r="AA444" s="663"/>
      <c r="AB444" s="663"/>
      <c r="AC444" s="663"/>
      <c r="AD444" s="663"/>
      <c r="AE444" s="663"/>
      <c r="AF444" s="663"/>
      <c r="AG444" s="663"/>
      <c r="AH444" s="663"/>
      <c r="AI444" s="663"/>
      <c r="AJ444" s="663"/>
      <c r="AK444" s="663"/>
      <c r="AL444" s="663"/>
      <c r="AM444" s="663"/>
      <c r="AN444" s="663"/>
      <c r="AO444" s="663"/>
      <c r="AP444" s="663"/>
      <c r="AQ444" s="663"/>
      <c r="AR444" s="663"/>
      <c r="AS444" s="663"/>
      <c r="AT444" s="663"/>
      <c r="AU444" s="663"/>
      <c r="AV444" s="663"/>
      <c r="AW444" s="663"/>
      <c r="AX444" s="663"/>
      <c r="AY444" s="663"/>
      <c r="AZ444" s="663"/>
      <c r="BA444" s="663"/>
      <c r="BB444" s="663"/>
      <c r="BC444" s="663"/>
      <c r="BD444" s="663"/>
      <c r="BE444" s="663"/>
    </row>
    <row r="445" spans="1:57" s="662" customFormat="1" ht="13.5" customHeight="1">
      <c r="A445" s="668"/>
      <c r="B445" s="813" t="s">
        <v>820</v>
      </c>
      <c r="C445" s="812" t="s">
        <v>37</v>
      </c>
      <c r="D445" s="811">
        <f>SUM(D446:D452)</f>
        <v>0</v>
      </c>
      <c r="E445" s="810">
        <f t="shared" ref="E445:J445" si="13">SUM(E449:E483)</f>
        <v>0</v>
      </c>
      <c r="F445" s="810">
        <f t="shared" si="13"/>
        <v>0</v>
      </c>
      <c r="G445" s="809">
        <f t="shared" si="13"/>
        <v>0</v>
      </c>
      <c r="H445" s="809">
        <f t="shared" si="13"/>
        <v>0</v>
      </c>
      <c r="I445" s="809">
        <f t="shared" si="13"/>
        <v>1200</v>
      </c>
      <c r="J445" s="809">
        <f t="shared" si="13"/>
        <v>0</v>
      </c>
      <c r="K445" s="808"/>
      <c r="L445" s="808"/>
      <c r="M445" s="808">
        <f>SUM(M449:M483)</f>
        <v>0</v>
      </c>
      <c r="N445" s="663"/>
      <c r="O445" s="663"/>
      <c r="P445" s="663"/>
      <c r="Q445" s="663"/>
      <c r="R445" s="663"/>
      <c r="S445" s="663"/>
      <c r="T445" s="663"/>
      <c r="U445" s="663"/>
      <c r="V445" s="663"/>
      <c r="W445" s="663"/>
      <c r="X445" s="663"/>
      <c r="Y445" s="663"/>
      <c r="Z445" s="663"/>
      <c r="AA445" s="663"/>
      <c r="AB445" s="663"/>
      <c r="AC445" s="663"/>
      <c r="AD445" s="663"/>
      <c r="AE445" s="663"/>
      <c r="AF445" s="663"/>
      <c r="AG445" s="663"/>
      <c r="AH445" s="663"/>
      <c r="AI445" s="663"/>
      <c r="AJ445" s="663"/>
      <c r="AK445" s="663"/>
      <c r="AL445" s="663"/>
      <c r="AM445" s="663"/>
      <c r="AN445" s="663"/>
      <c r="AO445" s="663"/>
      <c r="AP445" s="663"/>
      <c r="AQ445" s="663"/>
      <c r="AR445" s="663"/>
      <c r="AS445" s="663"/>
      <c r="AT445" s="663"/>
      <c r="AU445" s="663"/>
      <c r="AV445" s="663"/>
      <c r="AW445" s="663"/>
      <c r="AX445" s="663"/>
      <c r="AY445" s="663"/>
      <c r="AZ445" s="663"/>
      <c r="BA445" s="663"/>
      <c r="BB445" s="663"/>
      <c r="BC445" s="663"/>
      <c r="BD445" s="663"/>
      <c r="BE445" s="663"/>
    </row>
    <row r="446" spans="1:57" s="670" customFormat="1" ht="13.5" customHeight="1">
      <c r="A446" s="675"/>
      <c r="B446" s="776"/>
      <c r="C446" s="678"/>
      <c r="D446" s="677"/>
      <c r="E446" s="772"/>
      <c r="F446" s="771"/>
      <c r="G446" s="768"/>
      <c r="H446" s="770"/>
      <c r="I446" s="770"/>
      <c r="J446" s="768"/>
      <c r="K446" s="769"/>
      <c r="L446" s="769"/>
      <c r="M446" s="769"/>
      <c r="N446" s="663"/>
      <c r="O446" s="663"/>
      <c r="P446" s="663"/>
      <c r="Q446" s="663"/>
      <c r="R446" s="663"/>
      <c r="S446" s="663"/>
      <c r="T446" s="663"/>
      <c r="U446" s="663"/>
      <c r="V446" s="663"/>
      <c r="W446" s="663"/>
      <c r="X446" s="663"/>
      <c r="Y446" s="663"/>
      <c r="Z446" s="663"/>
      <c r="AA446" s="663"/>
      <c r="AB446" s="663"/>
      <c r="AC446" s="663"/>
      <c r="AD446" s="663"/>
      <c r="AE446" s="663"/>
      <c r="AF446" s="663"/>
      <c r="AG446" s="663"/>
      <c r="AH446" s="663"/>
      <c r="AI446" s="663"/>
      <c r="AJ446" s="663"/>
      <c r="AK446" s="663"/>
      <c r="AL446" s="663"/>
      <c r="AM446" s="663"/>
      <c r="AN446" s="663"/>
      <c r="AO446" s="663"/>
      <c r="AP446" s="663"/>
      <c r="AQ446" s="663"/>
      <c r="AR446" s="663"/>
      <c r="AS446" s="663"/>
      <c r="AT446" s="663"/>
      <c r="AU446" s="663"/>
      <c r="AV446" s="663"/>
      <c r="AW446" s="663"/>
      <c r="AX446" s="663"/>
      <c r="AY446" s="663"/>
      <c r="AZ446" s="663"/>
      <c r="BA446" s="663"/>
      <c r="BB446" s="663"/>
      <c r="BC446" s="663"/>
      <c r="BD446" s="663"/>
      <c r="BE446" s="663"/>
    </row>
    <row r="447" spans="1:57" s="670" customFormat="1" ht="13.5" customHeight="1">
      <c r="A447" s="675"/>
      <c r="B447" s="776"/>
      <c r="C447" s="678"/>
      <c r="D447" s="677"/>
      <c r="E447" s="772"/>
      <c r="F447" s="771"/>
      <c r="G447" s="768"/>
      <c r="H447" s="770"/>
      <c r="I447" s="770"/>
      <c r="J447" s="768"/>
      <c r="K447" s="769"/>
      <c r="L447" s="769"/>
      <c r="M447" s="769"/>
      <c r="N447" s="663"/>
      <c r="O447" s="663"/>
      <c r="P447" s="663"/>
      <c r="Q447" s="663"/>
      <c r="R447" s="663"/>
      <c r="S447" s="663"/>
      <c r="T447" s="663"/>
      <c r="U447" s="663"/>
      <c r="V447" s="663"/>
      <c r="W447" s="663"/>
      <c r="X447" s="663"/>
      <c r="Y447" s="663"/>
      <c r="Z447" s="663"/>
      <c r="AA447" s="663"/>
      <c r="AB447" s="663"/>
      <c r="AC447" s="663"/>
      <c r="AD447" s="663"/>
      <c r="AE447" s="663"/>
      <c r="AF447" s="663"/>
      <c r="AG447" s="663"/>
      <c r="AH447" s="663"/>
      <c r="AI447" s="663"/>
      <c r="AJ447" s="663"/>
      <c r="AK447" s="663"/>
      <c r="AL447" s="663"/>
      <c r="AM447" s="663"/>
      <c r="AN447" s="663"/>
      <c r="AO447" s="663"/>
      <c r="AP447" s="663"/>
      <c r="AQ447" s="663"/>
      <c r="AR447" s="663"/>
      <c r="AS447" s="663"/>
      <c r="AT447" s="663"/>
      <c r="AU447" s="663"/>
      <c r="AV447" s="663"/>
      <c r="AW447" s="663"/>
      <c r="AX447" s="663"/>
      <c r="AY447" s="663"/>
      <c r="AZ447" s="663"/>
      <c r="BA447" s="663"/>
      <c r="BB447" s="663"/>
      <c r="BC447" s="663"/>
      <c r="BD447" s="663"/>
      <c r="BE447" s="663"/>
    </row>
    <row r="448" spans="1:57" s="670" customFormat="1" ht="13.5" customHeight="1">
      <c r="A448" s="675"/>
      <c r="B448" s="776"/>
      <c r="C448" s="678"/>
      <c r="D448" s="677"/>
      <c r="E448" s="772"/>
      <c r="F448" s="771"/>
      <c r="G448" s="768"/>
      <c r="H448" s="770"/>
      <c r="I448" s="770"/>
      <c r="J448" s="768"/>
      <c r="K448" s="769"/>
      <c r="L448" s="769"/>
      <c r="M448" s="769"/>
      <c r="N448" s="663"/>
      <c r="O448" s="663"/>
      <c r="P448" s="663"/>
      <c r="Q448" s="663"/>
      <c r="R448" s="663"/>
      <c r="S448" s="663"/>
      <c r="T448" s="663"/>
      <c r="U448" s="663"/>
      <c r="V448" s="663"/>
      <c r="W448" s="663"/>
      <c r="X448" s="663"/>
      <c r="Y448" s="663"/>
      <c r="Z448" s="663"/>
      <c r="AA448" s="663"/>
      <c r="AB448" s="663"/>
      <c r="AC448" s="663"/>
      <c r="AD448" s="663"/>
      <c r="AE448" s="663"/>
      <c r="AF448" s="663"/>
      <c r="AG448" s="663"/>
      <c r="AH448" s="663"/>
      <c r="AI448" s="663"/>
      <c r="AJ448" s="663"/>
      <c r="AK448" s="663"/>
      <c r="AL448" s="663"/>
      <c r="AM448" s="663"/>
      <c r="AN448" s="663"/>
      <c r="AO448" s="663"/>
      <c r="AP448" s="663"/>
      <c r="AQ448" s="663"/>
      <c r="AR448" s="663"/>
      <c r="AS448" s="663"/>
      <c r="AT448" s="663"/>
      <c r="AU448" s="663"/>
      <c r="AV448" s="663"/>
      <c r="AW448" s="663"/>
      <c r="AX448" s="663"/>
      <c r="AY448" s="663"/>
      <c r="AZ448" s="663"/>
      <c r="BA448" s="663"/>
      <c r="BB448" s="663"/>
      <c r="BC448" s="663"/>
      <c r="BD448" s="663"/>
      <c r="BE448" s="663"/>
    </row>
    <row r="449" spans="1:57" s="670" customFormat="1" ht="13.5" customHeight="1">
      <c r="A449" s="675"/>
      <c r="B449" s="776"/>
      <c r="C449" s="678"/>
      <c r="D449" s="677"/>
      <c r="E449" s="772"/>
      <c r="F449" s="771"/>
      <c r="G449" s="768"/>
      <c r="H449" s="770"/>
      <c r="I449" s="770"/>
      <c r="J449" s="768"/>
      <c r="K449" s="769"/>
      <c r="L449" s="769"/>
      <c r="M449" s="769"/>
      <c r="N449" s="663"/>
      <c r="O449" s="663"/>
      <c r="P449" s="663"/>
      <c r="Q449" s="663"/>
      <c r="R449" s="663"/>
      <c r="S449" s="663"/>
      <c r="T449" s="663"/>
      <c r="U449" s="663"/>
      <c r="V449" s="663"/>
      <c r="W449" s="663"/>
      <c r="X449" s="663"/>
      <c r="Y449" s="663"/>
      <c r="Z449" s="663"/>
      <c r="AA449" s="663"/>
      <c r="AB449" s="663"/>
      <c r="AC449" s="663"/>
      <c r="AD449" s="663"/>
      <c r="AE449" s="663"/>
      <c r="AF449" s="663"/>
      <c r="AG449" s="663"/>
      <c r="AH449" s="663"/>
      <c r="AI449" s="663"/>
      <c r="AJ449" s="663"/>
      <c r="AK449" s="663"/>
      <c r="AL449" s="663"/>
      <c r="AM449" s="663"/>
      <c r="AN449" s="663"/>
      <c r="AO449" s="663"/>
      <c r="AP449" s="663"/>
      <c r="AQ449" s="663"/>
      <c r="AR449" s="663"/>
      <c r="AS449" s="663"/>
      <c r="AT449" s="663"/>
      <c r="AU449" s="663"/>
      <c r="AV449" s="663"/>
      <c r="AW449" s="663"/>
      <c r="AX449" s="663"/>
      <c r="AY449" s="663"/>
      <c r="AZ449" s="663"/>
      <c r="BA449" s="663"/>
      <c r="BB449" s="663"/>
      <c r="BC449" s="663"/>
      <c r="BD449" s="663"/>
      <c r="BE449" s="663"/>
    </row>
    <row r="450" spans="1:57" s="670" customFormat="1" ht="13.5" customHeight="1">
      <c r="A450" s="675"/>
      <c r="B450" s="776"/>
      <c r="C450" s="678"/>
      <c r="D450" s="677"/>
      <c r="E450" s="772"/>
      <c r="F450" s="771"/>
      <c r="G450" s="768"/>
      <c r="H450" s="770"/>
      <c r="I450" s="770"/>
      <c r="J450" s="768"/>
      <c r="K450" s="769"/>
      <c r="L450" s="769"/>
      <c r="M450" s="769"/>
      <c r="N450" s="663"/>
      <c r="O450" s="663"/>
      <c r="P450" s="663"/>
      <c r="Q450" s="663"/>
      <c r="R450" s="663"/>
      <c r="S450" s="663"/>
      <c r="T450" s="663"/>
      <c r="U450" s="663"/>
      <c r="V450" s="663"/>
      <c r="W450" s="663"/>
      <c r="X450" s="663"/>
      <c r="Y450" s="663"/>
      <c r="Z450" s="663"/>
      <c r="AA450" s="663"/>
      <c r="AB450" s="663"/>
      <c r="AC450" s="663"/>
      <c r="AD450" s="663"/>
      <c r="AE450" s="663"/>
      <c r="AF450" s="663"/>
      <c r="AG450" s="663"/>
      <c r="AH450" s="663"/>
      <c r="AI450" s="663"/>
      <c r="AJ450" s="663"/>
      <c r="AK450" s="663"/>
      <c r="AL450" s="663"/>
      <c r="AM450" s="663"/>
      <c r="AN450" s="663"/>
      <c r="AO450" s="663"/>
      <c r="AP450" s="663"/>
      <c r="AQ450" s="663"/>
      <c r="AR450" s="663"/>
      <c r="AS450" s="663"/>
      <c r="AT450" s="663"/>
      <c r="AU450" s="663"/>
      <c r="AV450" s="663"/>
      <c r="AW450" s="663"/>
      <c r="AX450" s="663"/>
      <c r="AY450" s="663"/>
      <c r="AZ450" s="663"/>
      <c r="BA450" s="663"/>
      <c r="BB450" s="663"/>
      <c r="BC450" s="663"/>
      <c r="BD450" s="663"/>
      <c r="BE450" s="663"/>
    </row>
    <row r="451" spans="1:57" s="670" customFormat="1" ht="13.5" customHeight="1">
      <c r="A451" s="675"/>
      <c r="B451" s="776"/>
      <c r="C451" s="678"/>
      <c r="D451" s="677"/>
      <c r="E451" s="772"/>
      <c r="F451" s="771"/>
      <c r="G451" s="768"/>
      <c r="H451" s="770"/>
      <c r="I451" s="770"/>
      <c r="J451" s="768"/>
      <c r="K451" s="769"/>
      <c r="L451" s="769"/>
      <c r="M451" s="769"/>
      <c r="N451" s="663"/>
      <c r="O451" s="663"/>
      <c r="P451" s="663"/>
      <c r="Q451" s="663"/>
      <c r="R451" s="663"/>
      <c r="S451" s="663"/>
      <c r="T451" s="663"/>
      <c r="U451" s="663"/>
      <c r="V451" s="663"/>
      <c r="W451" s="663"/>
      <c r="X451" s="663"/>
      <c r="Y451" s="663"/>
      <c r="Z451" s="663"/>
      <c r="AA451" s="663"/>
      <c r="AB451" s="663"/>
      <c r="AC451" s="663"/>
      <c r="AD451" s="663"/>
      <c r="AE451" s="663"/>
      <c r="AF451" s="663"/>
      <c r="AG451" s="663"/>
      <c r="AH451" s="663"/>
      <c r="AI451" s="663"/>
      <c r="AJ451" s="663"/>
      <c r="AK451" s="663"/>
      <c r="AL451" s="663"/>
      <c r="AM451" s="663"/>
      <c r="AN451" s="663"/>
      <c r="AO451" s="663"/>
      <c r="AP451" s="663"/>
      <c r="AQ451" s="663"/>
      <c r="AR451" s="663"/>
      <c r="AS451" s="663"/>
      <c r="AT451" s="663"/>
      <c r="AU451" s="663"/>
      <c r="AV451" s="663"/>
      <c r="AW451" s="663"/>
      <c r="AX451" s="663"/>
      <c r="AY451" s="663"/>
      <c r="AZ451" s="663"/>
      <c r="BA451" s="663"/>
      <c r="BB451" s="663"/>
      <c r="BC451" s="663"/>
      <c r="BD451" s="663"/>
      <c r="BE451" s="663"/>
    </row>
    <row r="452" spans="1:57" s="670" customFormat="1" ht="13.5" customHeight="1">
      <c r="A452" s="675"/>
      <c r="B452" s="776"/>
      <c r="C452" s="678"/>
      <c r="D452" s="677"/>
      <c r="E452" s="772"/>
      <c r="F452" s="771"/>
      <c r="G452" s="768"/>
      <c r="H452" s="770"/>
      <c r="I452" s="770"/>
      <c r="J452" s="768"/>
      <c r="K452" s="769"/>
      <c r="L452" s="769"/>
      <c r="M452" s="769"/>
      <c r="N452" s="663"/>
      <c r="O452" s="663"/>
      <c r="P452" s="663"/>
      <c r="Q452" s="663"/>
      <c r="R452" s="663"/>
      <c r="S452" s="663"/>
      <c r="T452" s="663"/>
      <c r="U452" s="663"/>
      <c r="V452" s="663"/>
      <c r="W452" s="663"/>
      <c r="X452" s="663"/>
      <c r="Y452" s="663"/>
      <c r="Z452" s="663"/>
      <c r="AA452" s="663"/>
      <c r="AB452" s="663"/>
      <c r="AC452" s="663"/>
      <c r="AD452" s="663"/>
      <c r="AE452" s="663"/>
      <c r="AF452" s="663"/>
      <c r="AG452" s="663"/>
      <c r="AH452" s="663"/>
      <c r="AI452" s="663"/>
      <c r="AJ452" s="663"/>
      <c r="AK452" s="663"/>
      <c r="AL452" s="663"/>
      <c r="AM452" s="663"/>
      <c r="AN452" s="663"/>
      <c r="AO452" s="663"/>
      <c r="AP452" s="663"/>
      <c r="AQ452" s="663"/>
      <c r="AR452" s="663"/>
      <c r="AS452" s="663"/>
      <c r="AT452" s="663"/>
      <c r="AU452" s="663"/>
      <c r="AV452" s="663"/>
      <c r="AW452" s="663"/>
      <c r="AX452" s="663"/>
      <c r="AY452" s="663"/>
      <c r="AZ452" s="663"/>
      <c r="BA452" s="663"/>
      <c r="BB452" s="663"/>
      <c r="BC452" s="663"/>
      <c r="BD452" s="663"/>
      <c r="BE452" s="663"/>
    </row>
    <row r="453" spans="1:57" s="670" customFormat="1" ht="13.5" customHeight="1">
      <c r="A453" s="675"/>
      <c r="B453" s="807" t="s">
        <v>820</v>
      </c>
      <c r="C453" s="806" t="s">
        <v>36</v>
      </c>
      <c r="D453" s="805">
        <f>SUM(D454:D465)</f>
        <v>940</v>
      </c>
      <c r="E453" s="588"/>
      <c r="F453" s="804"/>
      <c r="G453" s="768"/>
      <c r="H453" s="768"/>
      <c r="I453" s="768"/>
      <c r="J453" s="768"/>
      <c r="K453" s="676"/>
      <c r="L453" s="676"/>
      <c r="M453" s="676"/>
      <c r="N453" s="663"/>
      <c r="O453" s="663"/>
      <c r="P453" s="663"/>
      <c r="Q453" s="663"/>
      <c r="R453" s="663"/>
      <c r="S453" s="663"/>
      <c r="T453" s="663"/>
      <c r="U453" s="663"/>
      <c r="V453" s="663"/>
      <c r="W453" s="663"/>
      <c r="X453" s="663"/>
      <c r="Y453" s="663"/>
      <c r="Z453" s="663"/>
      <c r="AA453" s="663"/>
      <c r="AB453" s="663"/>
      <c r="AC453" s="663"/>
      <c r="AD453" s="663"/>
      <c r="AE453" s="663"/>
      <c r="AF453" s="663"/>
      <c r="AG453" s="663"/>
      <c r="AH453" s="663"/>
      <c r="AI453" s="663"/>
      <c r="AJ453" s="663"/>
      <c r="AK453" s="663"/>
      <c r="AL453" s="663"/>
      <c r="AM453" s="663"/>
      <c r="AN453" s="663"/>
      <c r="AO453" s="663"/>
      <c r="AP453" s="663"/>
      <c r="AQ453" s="663"/>
      <c r="AR453" s="663"/>
      <c r="AS453" s="663"/>
      <c r="AT453" s="663"/>
      <c r="AU453" s="663"/>
      <c r="AV453" s="663"/>
      <c r="AW453" s="663"/>
      <c r="AX453" s="663"/>
      <c r="AY453" s="663"/>
      <c r="AZ453" s="663"/>
      <c r="BA453" s="663"/>
      <c r="BB453" s="663"/>
      <c r="BC453" s="663"/>
      <c r="BD453" s="663"/>
      <c r="BE453" s="663"/>
    </row>
    <row r="454" spans="1:57" s="670" customFormat="1" ht="13.5" customHeight="1">
      <c r="A454" s="675"/>
      <c r="B454" s="776"/>
      <c r="C454" s="678" t="s">
        <v>816</v>
      </c>
      <c r="D454" s="677">
        <v>60</v>
      </c>
      <c r="E454" s="772"/>
      <c r="F454" s="771"/>
      <c r="G454" s="768"/>
      <c r="H454" s="770"/>
      <c r="I454" s="770">
        <v>60</v>
      </c>
      <c r="J454" s="768"/>
      <c r="K454" s="769"/>
      <c r="L454" s="769"/>
      <c r="M454" s="769"/>
      <c r="N454" s="663"/>
      <c r="O454" s="663"/>
      <c r="P454" s="663"/>
      <c r="Q454" s="663"/>
      <c r="R454" s="663"/>
      <c r="S454" s="663"/>
      <c r="T454" s="663"/>
      <c r="U454" s="663"/>
      <c r="V454" s="663"/>
      <c r="W454" s="663"/>
      <c r="X454" s="663"/>
      <c r="Y454" s="663"/>
      <c r="Z454" s="663"/>
      <c r="AA454" s="663"/>
      <c r="AB454" s="663"/>
      <c r="AC454" s="663"/>
      <c r="AD454" s="663"/>
      <c r="AE454" s="663"/>
      <c r="AF454" s="663"/>
      <c r="AG454" s="663"/>
      <c r="AH454" s="663"/>
      <c r="AI454" s="663"/>
      <c r="AJ454" s="663"/>
      <c r="AK454" s="663"/>
      <c r="AL454" s="663"/>
      <c r="AM454" s="663"/>
      <c r="AN454" s="663"/>
      <c r="AO454" s="663"/>
      <c r="AP454" s="663"/>
      <c r="AQ454" s="663"/>
      <c r="AR454" s="663"/>
      <c r="AS454" s="663"/>
      <c r="AT454" s="663"/>
      <c r="AU454" s="663"/>
      <c r="AV454" s="663"/>
      <c r="AW454" s="663"/>
      <c r="AX454" s="663"/>
      <c r="AY454" s="663"/>
      <c r="AZ454" s="663"/>
      <c r="BA454" s="663"/>
      <c r="BB454" s="663"/>
      <c r="BC454" s="663"/>
      <c r="BD454" s="663"/>
      <c r="BE454" s="663"/>
    </row>
    <row r="455" spans="1:57" s="670" customFormat="1" ht="13.5" customHeight="1">
      <c r="A455" s="675"/>
      <c r="B455" s="776"/>
      <c r="C455" s="678" t="s">
        <v>816</v>
      </c>
      <c r="D455" s="677">
        <v>60</v>
      </c>
      <c r="E455" s="772"/>
      <c r="F455" s="771"/>
      <c r="G455" s="768"/>
      <c r="H455" s="770"/>
      <c r="I455" s="770">
        <v>60</v>
      </c>
      <c r="J455" s="768"/>
      <c r="K455" s="769"/>
      <c r="L455" s="769"/>
      <c r="M455" s="769"/>
      <c r="N455" s="663"/>
      <c r="O455" s="663"/>
      <c r="P455" s="663"/>
      <c r="Q455" s="663"/>
      <c r="R455" s="663"/>
      <c r="S455" s="663"/>
      <c r="T455" s="663"/>
      <c r="U455" s="663"/>
      <c r="V455" s="663"/>
      <c r="W455" s="663"/>
      <c r="X455" s="663"/>
      <c r="Y455" s="663"/>
      <c r="Z455" s="663"/>
      <c r="AA455" s="663"/>
      <c r="AB455" s="663"/>
      <c r="AC455" s="663"/>
      <c r="AD455" s="663"/>
      <c r="AE455" s="663"/>
      <c r="AF455" s="663"/>
      <c r="AG455" s="663"/>
      <c r="AH455" s="663"/>
      <c r="AI455" s="663"/>
      <c r="AJ455" s="663"/>
      <c r="AK455" s="663"/>
      <c r="AL455" s="663"/>
      <c r="AM455" s="663"/>
      <c r="AN455" s="663"/>
      <c r="AO455" s="663"/>
      <c r="AP455" s="663"/>
      <c r="AQ455" s="663"/>
      <c r="AR455" s="663"/>
      <c r="AS455" s="663"/>
      <c r="AT455" s="663"/>
      <c r="AU455" s="663"/>
      <c r="AV455" s="663"/>
      <c r="AW455" s="663"/>
      <c r="AX455" s="663"/>
      <c r="AY455" s="663"/>
      <c r="AZ455" s="663"/>
      <c r="BA455" s="663"/>
      <c r="BB455" s="663"/>
      <c r="BC455" s="663"/>
      <c r="BD455" s="663"/>
      <c r="BE455" s="663"/>
    </row>
    <row r="456" spans="1:57" s="670" customFormat="1" ht="13.5" customHeight="1">
      <c r="A456" s="675"/>
      <c r="B456" s="776"/>
      <c r="C456" s="678" t="s">
        <v>816</v>
      </c>
      <c r="D456" s="677">
        <v>60</v>
      </c>
      <c r="E456" s="772"/>
      <c r="F456" s="771"/>
      <c r="G456" s="768"/>
      <c r="H456" s="770"/>
      <c r="I456" s="770">
        <v>60</v>
      </c>
      <c r="J456" s="768"/>
      <c r="K456" s="769"/>
      <c r="L456" s="769"/>
      <c r="M456" s="769"/>
      <c r="N456" s="663"/>
      <c r="O456" s="663"/>
      <c r="P456" s="663"/>
      <c r="Q456" s="663"/>
      <c r="R456" s="663"/>
      <c r="S456" s="663"/>
      <c r="T456" s="663"/>
      <c r="U456" s="663"/>
      <c r="V456" s="663"/>
      <c r="W456" s="663"/>
      <c r="X456" s="663"/>
      <c r="Y456" s="663"/>
      <c r="Z456" s="663"/>
      <c r="AA456" s="663"/>
      <c r="AB456" s="663"/>
      <c r="AC456" s="663"/>
      <c r="AD456" s="663"/>
      <c r="AE456" s="663"/>
      <c r="AF456" s="663"/>
      <c r="AG456" s="663"/>
      <c r="AH456" s="663"/>
      <c r="AI456" s="663"/>
      <c r="AJ456" s="663"/>
      <c r="AK456" s="663"/>
      <c r="AL456" s="663"/>
      <c r="AM456" s="663"/>
      <c r="AN456" s="663"/>
      <c r="AO456" s="663"/>
      <c r="AP456" s="663"/>
      <c r="AQ456" s="663"/>
      <c r="AR456" s="663"/>
      <c r="AS456" s="663"/>
      <c r="AT456" s="663"/>
      <c r="AU456" s="663"/>
      <c r="AV456" s="663"/>
      <c r="AW456" s="663"/>
      <c r="AX456" s="663"/>
      <c r="AY456" s="663"/>
      <c r="AZ456" s="663"/>
      <c r="BA456" s="663"/>
      <c r="BB456" s="663"/>
      <c r="BC456" s="663"/>
      <c r="BD456" s="663"/>
      <c r="BE456" s="663"/>
    </row>
    <row r="457" spans="1:57" s="670" customFormat="1" ht="13.5" customHeight="1">
      <c r="A457" s="675"/>
      <c r="B457" s="776"/>
      <c r="C457" s="678" t="s">
        <v>816</v>
      </c>
      <c r="D457" s="677">
        <v>60</v>
      </c>
      <c r="E457" s="772"/>
      <c r="F457" s="771"/>
      <c r="G457" s="768"/>
      <c r="H457" s="770"/>
      <c r="I457" s="770">
        <v>60</v>
      </c>
      <c r="J457" s="768"/>
      <c r="K457" s="769"/>
      <c r="L457" s="769"/>
      <c r="M457" s="769"/>
      <c r="N457" s="663"/>
      <c r="O457" s="663"/>
      <c r="P457" s="663"/>
      <c r="Q457" s="663"/>
      <c r="R457" s="663"/>
      <c r="S457" s="663"/>
      <c r="T457" s="663"/>
      <c r="U457" s="663"/>
      <c r="V457" s="663"/>
      <c r="W457" s="663"/>
      <c r="X457" s="663"/>
      <c r="Y457" s="663"/>
      <c r="Z457" s="663"/>
      <c r="AA457" s="663"/>
      <c r="AB457" s="663"/>
      <c r="AC457" s="663"/>
      <c r="AD457" s="663"/>
      <c r="AE457" s="663"/>
      <c r="AF457" s="663"/>
      <c r="AG457" s="663"/>
      <c r="AH457" s="663"/>
      <c r="AI457" s="663"/>
      <c r="AJ457" s="663"/>
      <c r="AK457" s="663"/>
      <c r="AL457" s="663"/>
      <c r="AM457" s="663"/>
      <c r="AN457" s="663"/>
      <c r="AO457" s="663"/>
      <c r="AP457" s="663"/>
      <c r="AQ457" s="663"/>
      <c r="AR457" s="663"/>
      <c r="AS457" s="663"/>
      <c r="AT457" s="663"/>
      <c r="AU457" s="663"/>
      <c r="AV457" s="663"/>
      <c r="AW457" s="663"/>
      <c r="AX457" s="663"/>
      <c r="AY457" s="663"/>
      <c r="AZ457" s="663"/>
      <c r="BA457" s="663"/>
      <c r="BB457" s="663"/>
      <c r="BC457" s="663"/>
      <c r="BD457" s="663"/>
      <c r="BE457" s="663"/>
    </row>
    <row r="458" spans="1:57" s="670" customFormat="1" ht="13.5" customHeight="1">
      <c r="A458" s="675"/>
      <c r="B458" s="776"/>
      <c r="C458" s="678" t="s">
        <v>57</v>
      </c>
      <c r="D458" s="677">
        <v>700</v>
      </c>
      <c r="E458" s="772"/>
      <c r="F458" s="771"/>
      <c r="G458" s="768"/>
      <c r="H458" s="770"/>
      <c r="I458" s="770"/>
      <c r="J458" s="768"/>
      <c r="K458" s="769"/>
      <c r="L458" s="769"/>
      <c r="M458" s="769"/>
      <c r="N458" s="663"/>
      <c r="O458" s="663"/>
      <c r="P458" s="663"/>
      <c r="Q458" s="663"/>
      <c r="R458" s="663"/>
      <c r="S458" s="663"/>
      <c r="T458" s="663"/>
      <c r="U458" s="663"/>
      <c r="V458" s="663"/>
      <c r="W458" s="663"/>
      <c r="X458" s="663"/>
      <c r="Y458" s="663"/>
      <c r="Z458" s="663"/>
      <c r="AA458" s="663"/>
      <c r="AB458" s="663"/>
      <c r="AC458" s="663"/>
      <c r="AD458" s="663"/>
      <c r="AE458" s="663"/>
      <c r="AF458" s="663"/>
      <c r="AG458" s="663"/>
      <c r="AH458" s="663"/>
      <c r="AI458" s="663"/>
      <c r="AJ458" s="663"/>
      <c r="AK458" s="663"/>
      <c r="AL458" s="663"/>
      <c r="AM458" s="663"/>
      <c r="AN458" s="663"/>
      <c r="AO458" s="663"/>
      <c r="AP458" s="663"/>
      <c r="AQ458" s="663"/>
      <c r="AR458" s="663"/>
      <c r="AS458" s="663"/>
      <c r="AT458" s="663"/>
      <c r="AU458" s="663"/>
      <c r="AV458" s="663"/>
      <c r="AW458" s="663"/>
      <c r="AX458" s="663"/>
      <c r="AY458" s="663"/>
      <c r="AZ458" s="663"/>
      <c r="BA458" s="663"/>
      <c r="BB458" s="663"/>
      <c r="BC458" s="663"/>
      <c r="BD458" s="663"/>
      <c r="BE458" s="663"/>
    </row>
    <row r="459" spans="1:57" s="670" customFormat="1" ht="13.5" customHeight="1">
      <c r="A459" s="675"/>
      <c r="B459" s="776"/>
      <c r="C459" s="678"/>
      <c r="D459" s="677"/>
      <c r="E459" s="772"/>
      <c r="F459" s="771"/>
      <c r="G459" s="768"/>
      <c r="H459" s="770"/>
      <c r="I459" s="770"/>
      <c r="J459" s="768"/>
      <c r="K459" s="769"/>
      <c r="L459" s="769"/>
      <c r="M459" s="769"/>
      <c r="N459" s="663"/>
      <c r="O459" s="663"/>
      <c r="P459" s="663"/>
      <c r="Q459" s="663"/>
      <c r="R459" s="663"/>
      <c r="S459" s="663"/>
      <c r="T459" s="663"/>
      <c r="U459" s="663"/>
      <c r="V459" s="663"/>
      <c r="W459" s="663"/>
      <c r="X459" s="663"/>
      <c r="Y459" s="663"/>
      <c r="Z459" s="663"/>
      <c r="AA459" s="663"/>
      <c r="AB459" s="663"/>
      <c r="AC459" s="663"/>
      <c r="AD459" s="663"/>
      <c r="AE459" s="663"/>
      <c r="AF459" s="663"/>
      <c r="AG459" s="663"/>
      <c r="AH459" s="663"/>
      <c r="AI459" s="663"/>
      <c r="AJ459" s="663"/>
      <c r="AK459" s="663"/>
      <c r="AL459" s="663"/>
      <c r="AM459" s="663"/>
      <c r="AN459" s="663"/>
      <c r="AO459" s="663"/>
      <c r="AP459" s="663"/>
      <c r="AQ459" s="663"/>
      <c r="AR459" s="663"/>
      <c r="AS459" s="663"/>
      <c r="AT459" s="663"/>
      <c r="AU459" s="663"/>
      <c r="AV459" s="663"/>
      <c r="AW459" s="663"/>
      <c r="AX459" s="663"/>
      <c r="AY459" s="663"/>
      <c r="AZ459" s="663"/>
      <c r="BA459" s="663"/>
      <c r="BB459" s="663"/>
      <c r="BC459" s="663"/>
      <c r="BD459" s="663"/>
      <c r="BE459" s="663"/>
    </row>
    <row r="460" spans="1:57" s="670" customFormat="1" ht="13.5" customHeight="1">
      <c r="A460" s="675"/>
      <c r="B460" s="776"/>
      <c r="C460" s="678"/>
      <c r="D460" s="677"/>
      <c r="E460" s="772"/>
      <c r="F460" s="771"/>
      <c r="G460" s="768"/>
      <c r="H460" s="770"/>
      <c r="I460" s="770"/>
      <c r="J460" s="768"/>
      <c r="K460" s="769"/>
      <c r="L460" s="769"/>
      <c r="M460" s="769"/>
      <c r="N460" s="663"/>
      <c r="O460" s="663"/>
      <c r="P460" s="663"/>
      <c r="Q460" s="663"/>
      <c r="R460" s="663"/>
      <c r="S460" s="663"/>
      <c r="T460" s="663"/>
      <c r="U460" s="663"/>
      <c r="V460" s="663"/>
      <c r="W460" s="663"/>
      <c r="X460" s="663"/>
      <c r="Y460" s="663"/>
      <c r="Z460" s="663"/>
      <c r="AA460" s="663"/>
      <c r="AB460" s="663"/>
      <c r="AC460" s="663"/>
      <c r="AD460" s="663"/>
      <c r="AE460" s="663"/>
      <c r="AF460" s="663"/>
      <c r="AG460" s="663"/>
      <c r="AH460" s="663"/>
      <c r="AI460" s="663"/>
      <c r="AJ460" s="663"/>
      <c r="AK460" s="663"/>
      <c r="AL460" s="663"/>
      <c r="AM460" s="663"/>
      <c r="AN460" s="663"/>
      <c r="AO460" s="663"/>
      <c r="AP460" s="663"/>
      <c r="AQ460" s="663"/>
      <c r="AR460" s="663"/>
      <c r="AS460" s="663"/>
      <c r="AT460" s="663"/>
      <c r="AU460" s="663"/>
      <c r="AV460" s="663"/>
      <c r="AW460" s="663"/>
      <c r="AX460" s="663"/>
      <c r="AY460" s="663"/>
      <c r="AZ460" s="663"/>
      <c r="BA460" s="663"/>
      <c r="BB460" s="663"/>
      <c r="BC460" s="663"/>
      <c r="BD460" s="663"/>
      <c r="BE460" s="663"/>
    </row>
    <row r="461" spans="1:57" s="670" customFormat="1" ht="13.5" customHeight="1">
      <c r="A461" s="675"/>
      <c r="B461" s="776"/>
      <c r="C461" s="678"/>
      <c r="D461" s="677"/>
      <c r="E461" s="772"/>
      <c r="F461" s="771"/>
      <c r="G461" s="768"/>
      <c r="H461" s="770"/>
      <c r="I461" s="770"/>
      <c r="J461" s="768"/>
      <c r="K461" s="769"/>
      <c r="L461" s="769"/>
      <c r="M461" s="769"/>
      <c r="N461" s="663"/>
      <c r="O461" s="663"/>
      <c r="P461" s="663"/>
      <c r="Q461" s="663"/>
      <c r="R461" s="663"/>
      <c r="S461" s="663"/>
      <c r="T461" s="663"/>
      <c r="U461" s="663"/>
      <c r="V461" s="663"/>
      <c r="W461" s="663"/>
      <c r="X461" s="663"/>
      <c r="Y461" s="663"/>
      <c r="Z461" s="663"/>
      <c r="AA461" s="663"/>
      <c r="AB461" s="663"/>
      <c r="AC461" s="663"/>
      <c r="AD461" s="663"/>
      <c r="AE461" s="663"/>
      <c r="AF461" s="663"/>
      <c r="AG461" s="663"/>
      <c r="AH461" s="663"/>
      <c r="AI461" s="663"/>
      <c r="AJ461" s="663"/>
      <c r="AK461" s="663"/>
      <c r="AL461" s="663"/>
      <c r="AM461" s="663"/>
      <c r="AN461" s="663"/>
      <c r="AO461" s="663"/>
      <c r="AP461" s="663"/>
      <c r="AQ461" s="663"/>
      <c r="AR461" s="663"/>
      <c r="AS461" s="663"/>
      <c r="AT461" s="663"/>
      <c r="AU461" s="663"/>
      <c r="AV461" s="663"/>
      <c r="AW461" s="663"/>
      <c r="AX461" s="663"/>
      <c r="AY461" s="663"/>
      <c r="AZ461" s="663"/>
      <c r="BA461" s="663"/>
      <c r="BB461" s="663"/>
      <c r="BC461" s="663"/>
      <c r="BD461" s="663"/>
      <c r="BE461" s="663"/>
    </row>
    <row r="462" spans="1:57" s="670" customFormat="1" ht="13.5" customHeight="1">
      <c r="A462" s="675"/>
      <c r="B462" s="776"/>
      <c r="C462" s="678"/>
      <c r="D462" s="677"/>
      <c r="E462" s="772"/>
      <c r="F462" s="771"/>
      <c r="G462" s="768"/>
      <c r="H462" s="770"/>
      <c r="I462" s="770"/>
      <c r="J462" s="768"/>
      <c r="K462" s="769"/>
      <c r="L462" s="769"/>
      <c r="M462" s="769"/>
      <c r="N462" s="663"/>
      <c r="O462" s="663"/>
      <c r="P462" s="663"/>
      <c r="Q462" s="663"/>
      <c r="R462" s="663"/>
      <c r="S462" s="663"/>
      <c r="T462" s="663"/>
      <c r="U462" s="663"/>
      <c r="V462" s="663"/>
      <c r="W462" s="663"/>
      <c r="X462" s="663"/>
      <c r="Y462" s="663"/>
      <c r="Z462" s="663"/>
      <c r="AA462" s="663"/>
      <c r="AB462" s="663"/>
      <c r="AC462" s="663"/>
      <c r="AD462" s="663"/>
      <c r="AE462" s="663"/>
      <c r="AF462" s="663"/>
      <c r="AG462" s="663"/>
      <c r="AH462" s="663"/>
      <c r="AI462" s="663"/>
      <c r="AJ462" s="663"/>
      <c r="AK462" s="663"/>
      <c r="AL462" s="663"/>
      <c r="AM462" s="663"/>
      <c r="AN462" s="663"/>
      <c r="AO462" s="663"/>
      <c r="AP462" s="663"/>
      <c r="AQ462" s="663"/>
      <c r="AR462" s="663"/>
      <c r="AS462" s="663"/>
      <c r="AT462" s="663"/>
      <c r="AU462" s="663"/>
      <c r="AV462" s="663"/>
      <c r="AW462" s="663"/>
      <c r="AX462" s="663"/>
      <c r="AY462" s="663"/>
      <c r="AZ462" s="663"/>
      <c r="BA462" s="663"/>
      <c r="BB462" s="663"/>
      <c r="BC462" s="663"/>
      <c r="BD462" s="663"/>
      <c r="BE462" s="663"/>
    </row>
    <row r="463" spans="1:57" s="670" customFormat="1" ht="13.5" customHeight="1">
      <c r="A463" s="675"/>
      <c r="B463" s="776"/>
      <c r="C463" s="678"/>
      <c r="D463" s="677"/>
      <c r="E463" s="772"/>
      <c r="F463" s="771"/>
      <c r="G463" s="768"/>
      <c r="H463" s="770"/>
      <c r="I463" s="770"/>
      <c r="J463" s="768"/>
      <c r="K463" s="769"/>
      <c r="L463" s="769"/>
      <c r="M463" s="769"/>
      <c r="N463" s="663"/>
      <c r="O463" s="663"/>
      <c r="P463" s="663"/>
      <c r="Q463" s="663"/>
      <c r="R463" s="663"/>
      <c r="S463" s="663"/>
      <c r="T463" s="663"/>
      <c r="U463" s="663"/>
      <c r="V463" s="663"/>
      <c r="W463" s="663"/>
      <c r="X463" s="663"/>
      <c r="Y463" s="663"/>
      <c r="Z463" s="663"/>
      <c r="AA463" s="663"/>
      <c r="AB463" s="663"/>
      <c r="AC463" s="663"/>
      <c r="AD463" s="663"/>
      <c r="AE463" s="663"/>
      <c r="AF463" s="663"/>
      <c r="AG463" s="663"/>
      <c r="AH463" s="663"/>
      <c r="AI463" s="663"/>
      <c r="AJ463" s="663"/>
      <c r="AK463" s="663"/>
      <c r="AL463" s="663"/>
      <c r="AM463" s="663"/>
      <c r="AN463" s="663"/>
      <c r="AO463" s="663"/>
      <c r="AP463" s="663"/>
      <c r="AQ463" s="663"/>
      <c r="AR463" s="663"/>
      <c r="AS463" s="663"/>
      <c r="AT463" s="663"/>
      <c r="AU463" s="663"/>
      <c r="AV463" s="663"/>
      <c r="AW463" s="663"/>
      <c r="AX463" s="663"/>
      <c r="AY463" s="663"/>
      <c r="AZ463" s="663"/>
      <c r="BA463" s="663"/>
      <c r="BB463" s="663"/>
      <c r="BC463" s="663"/>
      <c r="BD463" s="663"/>
      <c r="BE463" s="663"/>
    </row>
    <row r="464" spans="1:57" s="670" customFormat="1" ht="13.5" customHeight="1">
      <c r="A464" s="675"/>
      <c r="B464" s="776"/>
      <c r="C464" s="678"/>
      <c r="D464" s="677"/>
      <c r="E464" s="772"/>
      <c r="F464" s="771"/>
      <c r="G464" s="768"/>
      <c r="H464" s="770"/>
      <c r="I464" s="770"/>
      <c r="J464" s="768"/>
      <c r="K464" s="769"/>
      <c r="L464" s="769"/>
      <c r="M464" s="769"/>
      <c r="N464" s="663"/>
      <c r="O464" s="663"/>
      <c r="P464" s="663"/>
      <c r="Q464" s="663"/>
      <c r="R464" s="663"/>
      <c r="S464" s="663"/>
      <c r="T464" s="663"/>
      <c r="U464" s="663"/>
      <c r="V464" s="663"/>
      <c r="W464" s="663"/>
      <c r="X464" s="663"/>
      <c r="Y464" s="663"/>
      <c r="Z464" s="663"/>
      <c r="AA464" s="663"/>
      <c r="AB464" s="663"/>
      <c r="AC464" s="663"/>
      <c r="AD464" s="663"/>
      <c r="AE464" s="663"/>
      <c r="AF464" s="663"/>
      <c r="AG464" s="663"/>
      <c r="AH464" s="663"/>
      <c r="AI464" s="663"/>
      <c r="AJ464" s="663"/>
      <c r="AK464" s="663"/>
      <c r="AL464" s="663"/>
      <c r="AM464" s="663"/>
      <c r="AN464" s="663"/>
      <c r="AO464" s="663"/>
      <c r="AP464" s="663"/>
      <c r="AQ464" s="663"/>
      <c r="AR464" s="663"/>
      <c r="AS464" s="663"/>
      <c r="AT464" s="663"/>
      <c r="AU464" s="663"/>
      <c r="AV464" s="663"/>
      <c r="AW464" s="663"/>
      <c r="AX464" s="663"/>
      <c r="AY464" s="663"/>
      <c r="AZ464" s="663"/>
      <c r="BA464" s="663"/>
      <c r="BB464" s="663"/>
      <c r="BC464" s="663"/>
      <c r="BD464" s="663"/>
      <c r="BE464" s="663"/>
    </row>
    <row r="465" spans="1:57" s="670" customFormat="1" ht="13.5" customHeight="1">
      <c r="A465" s="675"/>
      <c r="B465" s="775"/>
      <c r="C465" s="774"/>
      <c r="D465" s="773"/>
      <c r="E465" s="772"/>
      <c r="F465" s="771"/>
      <c r="G465" s="768"/>
      <c r="H465" s="770"/>
      <c r="I465" s="770"/>
      <c r="J465" s="768"/>
      <c r="K465" s="769"/>
      <c r="L465" s="769"/>
      <c r="M465" s="769"/>
      <c r="N465" s="663"/>
      <c r="O465" s="663"/>
      <c r="P465" s="663"/>
      <c r="Q465" s="663"/>
      <c r="R465" s="663"/>
      <c r="S465" s="663"/>
      <c r="T465" s="663"/>
      <c r="U465" s="663"/>
      <c r="V465" s="663"/>
      <c r="W465" s="663"/>
      <c r="X465" s="663"/>
      <c r="Y465" s="663"/>
      <c r="Z465" s="663"/>
      <c r="AA465" s="663"/>
      <c r="AB465" s="663"/>
      <c r="AC465" s="663"/>
      <c r="AD465" s="663"/>
      <c r="AE465" s="663"/>
      <c r="AF465" s="663"/>
      <c r="AG465" s="663"/>
      <c r="AH465" s="663"/>
      <c r="AI465" s="663"/>
      <c r="AJ465" s="663"/>
      <c r="AK465" s="663"/>
      <c r="AL465" s="663"/>
      <c r="AM465" s="663"/>
      <c r="AN465" s="663"/>
      <c r="AO465" s="663"/>
      <c r="AP465" s="663"/>
      <c r="AQ465" s="663"/>
      <c r="AR465" s="663"/>
      <c r="AS465" s="663"/>
      <c r="AT465" s="663"/>
      <c r="AU465" s="663"/>
      <c r="AV465" s="663"/>
      <c r="AW465" s="663"/>
      <c r="AX465" s="663"/>
      <c r="AY465" s="663"/>
      <c r="AZ465" s="663"/>
      <c r="BA465" s="663"/>
      <c r="BB465" s="663"/>
      <c r="BC465" s="663"/>
      <c r="BD465" s="663"/>
      <c r="BE465" s="663"/>
    </row>
    <row r="466" spans="1:57" s="662" customFormat="1" ht="13.5" customHeight="1">
      <c r="A466" s="668"/>
      <c r="B466" s="813" t="s">
        <v>819</v>
      </c>
      <c r="C466" s="812" t="s">
        <v>37</v>
      </c>
      <c r="D466" s="811">
        <f>SUM(D467:D473)</f>
        <v>0</v>
      </c>
      <c r="E466" s="810">
        <f t="shared" ref="E466:J466" si="14">SUM(E470:E504)</f>
        <v>0</v>
      </c>
      <c r="F466" s="810">
        <f t="shared" si="14"/>
        <v>0</v>
      </c>
      <c r="G466" s="809">
        <f t="shared" si="14"/>
        <v>0</v>
      </c>
      <c r="H466" s="809">
        <f t="shared" si="14"/>
        <v>0</v>
      </c>
      <c r="I466" s="809">
        <f t="shared" si="14"/>
        <v>720</v>
      </c>
      <c r="J466" s="809">
        <f t="shared" si="14"/>
        <v>0</v>
      </c>
      <c r="K466" s="808"/>
      <c r="L466" s="808"/>
      <c r="M466" s="808">
        <f>SUM(M470:M504)</f>
        <v>0</v>
      </c>
      <c r="N466" s="663"/>
      <c r="O466" s="663"/>
      <c r="P466" s="663"/>
      <c r="Q466" s="663"/>
      <c r="R466" s="663"/>
      <c r="S466" s="663"/>
      <c r="T466" s="663"/>
      <c r="U466" s="663"/>
      <c r="V466" s="663"/>
      <c r="W466" s="663"/>
      <c r="X466" s="663"/>
      <c r="Y466" s="663"/>
      <c r="Z466" s="663"/>
      <c r="AA466" s="663"/>
      <c r="AB466" s="663"/>
      <c r="AC466" s="663"/>
      <c r="AD466" s="663"/>
      <c r="AE466" s="663"/>
      <c r="AF466" s="663"/>
      <c r="AG466" s="663"/>
      <c r="AH466" s="663"/>
      <c r="AI466" s="663"/>
      <c r="AJ466" s="663"/>
      <c r="AK466" s="663"/>
      <c r="AL466" s="663"/>
      <c r="AM466" s="663"/>
      <c r="AN466" s="663"/>
      <c r="AO466" s="663"/>
      <c r="AP466" s="663"/>
      <c r="AQ466" s="663"/>
      <c r="AR466" s="663"/>
      <c r="AS466" s="663"/>
      <c r="AT466" s="663"/>
      <c r="AU466" s="663"/>
      <c r="AV466" s="663"/>
      <c r="AW466" s="663"/>
      <c r="AX466" s="663"/>
      <c r="AY466" s="663"/>
      <c r="AZ466" s="663"/>
      <c r="BA466" s="663"/>
      <c r="BB466" s="663"/>
      <c r="BC466" s="663"/>
      <c r="BD466" s="663"/>
      <c r="BE466" s="663"/>
    </row>
    <row r="467" spans="1:57" s="670" customFormat="1" ht="13.5" customHeight="1">
      <c r="A467" s="675"/>
      <c r="B467" s="776"/>
      <c r="C467" s="678"/>
      <c r="D467" s="677"/>
      <c r="E467" s="772"/>
      <c r="F467" s="771"/>
      <c r="G467" s="768"/>
      <c r="H467" s="770"/>
      <c r="I467" s="770"/>
      <c r="J467" s="768"/>
      <c r="K467" s="769"/>
      <c r="L467" s="769"/>
      <c r="M467" s="769"/>
      <c r="N467" s="663"/>
      <c r="O467" s="663"/>
      <c r="P467" s="663"/>
      <c r="Q467" s="663"/>
      <c r="R467" s="663"/>
      <c r="S467" s="663"/>
      <c r="T467" s="663"/>
      <c r="U467" s="663"/>
      <c r="V467" s="663"/>
      <c r="W467" s="663"/>
      <c r="X467" s="663"/>
      <c r="Y467" s="663"/>
      <c r="Z467" s="663"/>
      <c r="AA467" s="663"/>
      <c r="AB467" s="663"/>
      <c r="AC467" s="663"/>
      <c r="AD467" s="663"/>
      <c r="AE467" s="663"/>
      <c r="AF467" s="663"/>
      <c r="AG467" s="663"/>
      <c r="AH467" s="663"/>
      <c r="AI467" s="663"/>
      <c r="AJ467" s="663"/>
      <c r="AK467" s="663"/>
      <c r="AL467" s="663"/>
      <c r="AM467" s="663"/>
      <c r="AN467" s="663"/>
      <c r="AO467" s="663"/>
      <c r="AP467" s="663"/>
      <c r="AQ467" s="663"/>
      <c r="AR467" s="663"/>
      <c r="AS467" s="663"/>
      <c r="AT467" s="663"/>
      <c r="AU467" s="663"/>
      <c r="AV467" s="663"/>
      <c r="AW467" s="663"/>
      <c r="AX467" s="663"/>
      <c r="AY467" s="663"/>
      <c r="AZ467" s="663"/>
      <c r="BA467" s="663"/>
      <c r="BB467" s="663"/>
      <c r="BC467" s="663"/>
      <c r="BD467" s="663"/>
      <c r="BE467" s="663"/>
    </row>
    <row r="468" spans="1:57" s="670" customFormat="1" ht="13.5" customHeight="1">
      <c r="A468" s="675"/>
      <c r="B468" s="776"/>
      <c r="C468" s="678"/>
      <c r="D468" s="677"/>
      <c r="E468" s="772"/>
      <c r="F468" s="771"/>
      <c r="G468" s="768"/>
      <c r="H468" s="770"/>
      <c r="I468" s="770"/>
      <c r="J468" s="768"/>
      <c r="K468" s="769"/>
      <c r="L468" s="769"/>
      <c r="M468" s="769"/>
      <c r="N468" s="663"/>
      <c r="O468" s="663"/>
      <c r="P468" s="663"/>
      <c r="Q468" s="663"/>
      <c r="R468" s="663"/>
      <c r="S468" s="663"/>
      <c r="T468" s="663"/>
      <c r="U468" s="663"/>
      <c r="V468" s="663"/>
      <c r="W468" s="663"/>
      <c r="X468" s="663"/>
      <c r="Y468" s="663"/>
      <c r="Z468" s="663"/>
      <c r="AA468" s="663"/>
      <c r="AB468" s="663"/>
      <c r="AC468" s="663"/>
      <c r="AD468" s="663"/>
      <c r="AE468" s="663"/>
      <c r="AF468" s="663"/>
      <c r="AG468" s="663"/>
      <c r="AH468" s="663"/>
      <c r="AI468" s="663"/>
      <c r="AJ468" s="663"/>
      <c r="AK468" s="663"/>
      <c r="AL468" s="663"/>
      <c r="AM468" s="663"/>
      <c r="AN468" s="663"/>
      <c r="AO468" s="663"/>
      <c r="AP468" s="663"/>
      <c r="AQ468" s="663"/>
      <c r="AR468" s="663"/>
      <c r="AS468" s="663"/>
      <c r="AT468" s="663"/>
      <c r="AU468" s="663"/>
      <c r="AV468" s="663"/>
      <c r="AW468" s="663"/>
      <c r="AX468" s="663"/>
      <c r="AY468" s="663"/>
      <c r="AZ468" s="663"/>
      <c r="BA468" s="663"/>
      <c r="BB468" s="663"/>
      <c r="BC468" s="663"/>
      <c r="BD468" s="663"/>
      <c r="BE468" s="663"/>
    </row>
    <row r="469" spans="1:57" s="670" customFormat="1" ht="13.5" customHeight="1">
      <c r="A469" s="675"/>
      <c r="B469" s="776"/>
      <c r="C469" s="678"/>
      <c r="D469" s="677"/>
      <c r="E469" s="772"/>
      <c r="F469" s="771"/>
      <c r="G469" s="768"/>
      <c r="H469" s="770"/>
      <c r="I469" s="770"/>
      <c r="J469" s="768"/>
      <c r="K469" s="769"/>
      <c r="L469" s="769"/>
      <c r="M469" s="769"/>
      <c r="N469" s="663"/>
      <c r="O469" s="663"/>
      <c r="P469" s="663"/>
      <c r="Q469" s="663"/>
      <c r="R469" s="663"/>
      <c r="S469" s="663"/>
      <c r="T469" s="663"/>
      <c r="U469" s="663"/>
      <c r="V469" s="663"/>
      <c r="W469" s="663"/>
      <c r="X469" s="663"/>
      <c r="Y469" s="663"/>
      <c r="Z469" s="663"/>
      <c r="AA469" s="663"/>
      <c r="AB469" s="663"/>
      <c r="AC469" s="663"/>
      <c r="AD469" s="663"/>
      <c r="AE469" s="663"/>
      <c r="AF469" s="663"/>
      <c r="AG469" s="663"/>
      <c r="AH469" s="663"/>
      <c r="AI469" s="663"/>
      <c r="AJ469" s="663"/>
      <c r="AK469" s="663"/>
      <c r="AL469" s="663"/>
      <c r="AM469" s="663"/>
      <c r="AN469" s="663"/>
      <c r="AO469" s="663"/>
      <c r="AP469" s="663"/>
      <c r="AQ469" s="663"/>
      <c r="AR469" s="663"/>
      <c r="AS469" s="663"/>
      <c r="AT469" s="663"/>
      <c r="AU469" s="663"/>
      <c r="AV469" s="663"/>
      <c r="AW469" s="663"/>
      <c r="AX469" s="663"/>
      <c r="AY469" s="663"/>
      <c r="AZ469" s="663"/>
      <c r="BA469" s="663"/>
      <c r="BB469" s="663"/>
      <c r="BC469" s="663"/>
      <c r="BD469" s="663"/>
      <c r="BE469" s="663"/>
    </row>
    <row r="470" spans="1:57" s="670" customFormat="1" ht="13.5" customHeight="1">
      <c r="A470" s="675"/>
      <c r="B470" s="776"/>
      <c r="C470" s="678"/>
      <c r="D470" s="677"/>
      <c r="E470" s="772"/>
      <c r="F470" s="771"/>
      <c r="G470" s="768"/>
      <c r="H470" s="770"/>
      <c r="I470" s="770"/>
      <c r="J470" s="768"/>
      <c r="K470" s="769"/>
      <c r="L470" s="769"/>
      <c r="M470" s="769"/>
      <c r="N470" s="663"/>
      <c r="O470" s="663"/>
      <c r="P470" s="663"/>
      <c r="Q470" s="663"/>
      <c r="R470" s="663"/>
      <c r="S470" s="663"/>
      <c r="T470" s="663"/>
      <c r="U470" s="663"/>
      <c r="V470" s="663"/>
      <c r="W470" s="663"/>
      <c r="X470" s="663"/>
      <c r="Y470" s="663"/>
      <c r="Z470" s="663"/>
      <c r="AA470" s="663"/>
      <c r="AB470" s="663"/>
      <c r="AC470" s="663"/>
      <c r="AD470" s="663"/>
      <c r="AE470" s="663"/>
      <c r="AF470" s="663"/>
      <c r="AG470" s="663"/>
      <c r="AH470" s="663"/>
      <c r="AI470" s="663"/>
      <c r="AJ470" s="663"/>
      <c r="AK470" s="663"/>
      <c r="AL470" s="663"/>
      <c r="AM470" s="663"/>
      <c r="AN470" s="663"/>
      <c r="AO470" s="663"/>
      <c r="AP470" s="663"/>
      <c r="AQ470" s="663"/>
      <c r="AR470" s="663"/>
      <c r="AS470" s="663"/>
      <c r="AT470" s="663"/>
      <c r="AU470" s="663"/>
      <c r="AV470" s="663"/>
      <c r="AW470" s="663"/>
      <c r="AX470" s="663"/>
      <c r="AY470" s="663"/>
      <c r="AZ470" s="663"/>
      <c r="BA470" s="663"/>
      <c r="BB470" s="663"/>
      <c r="BC470" s="663"/>
      <c r="BD470" s="663"/>
      <c r="BE470" s="663"/>
    </row>
    <row r="471" spans="1:57" s="670" customFormat="1" ht="13.5" customHeight="1">
      <c r="A471" s="675"/>
      <c r="B471" s="776"/>
      <c r="C471" s="678"/>
      <c r="D471" s="677"/>
      <c r="E471" s="772"/>
      <c r="F471" s="771"/>
      <c r="G471" s="768"/>
      <c r="H471" s="770"/>
      <c r="I471" s="770"/>
      <c r="J471" s="768"/>
      <c r="K471" s="769"/>
      <c r="L471" s="769"/>
      <c r="M471" s="769"/>
      <c r="N471" s="663"/>
      <c r="O471" s="663"/>
      <c r="P471" s="663"/>
      <c r="Q471" s="663"/>
      <c r="R471" s="663"/>
      <c r="S471" s="663"/>
      <c r="T471" s="663"/>
      <c r="U471" s="663"/>
      <c r="V471" s="663"/>
      <c r="W471" s="663"/>
      <c r="X471" s="663"/>
      <c r="Y471" s="663"/>
      <c r="Z471" s="663"/>
      <c r="AA471" s="663"/>
      <c r="AB471" s="663"/>
      <c r="AC471" s="663"/>
      <c r="AD471" s="663"/>
      <c r="AE471" s="663"/>
      <c r="AF471" s="663"/>
      <c r="AG471" s="663"/>
      <c r="AH471" s="663"/>
      <c r="AI471" s="663"/>
      <c r="AJ471" s="663"/>
      <c r="AK471" s="663"/>
      <c r="AL471" s="663"/>
      <c r="AM471" s="663"/>
      <c r="AN471" s="663"/>
      <c r="AO471" s="663"/>
      <c r="AP471" s="663"/>
      <c r="AQ471" s="663"/>
      <c r="AR471" s="663"/>
      <c r="AS471" s="663"/>
      <c r="AT471" s="663"/>
      <c r="AU471" s="663"/>
      <c r="AV471" s="663"/>
      <c r="AW471" s="663"/>
      <c r="AX471" s="663"/>
      <c r="AY471" s="663"/>
      <c r="AZ471" s="663"/>
      <c r="BA471" s="663"/>
      <c r="BB471" s="663"/>
      <c r="BC471" s="663"/>
      <c r="BD471" s="663"/>
      <c r="BE471" s="663"/>
    </row>
    <row r="472" spans="1:57" s="670" customFormat="1" ht="13.5" customHeight="1">
      <c r="A472" s="675"/>
      <c r="B472" s="776"/>
      <c r="C472" s="678"/>
      <c r="D472" s="677"/>
      <c r="E472" s="772"/>
      <c r="F472" s="771"/>
      <c r="G472" s="768"/>
      <c r="H472" s="770"/>
      <c r="I472" s="770"/>
      <c r="J472" s="768"/>
      <c r="K472" s="769"/>
      <c r="L472" s="769"/>
      <c r="M472" s="769"/>
      <c r="N472" s="663"/>
      <c r="O472" s="663"/>
      <c r="P472" s="663"/>
      <c r="Q472" s="663"/>
      <c r="R472" s="663"/>
      <c r="S472" s="663"/>
      <c r="T472" s="663"/>
      <c r="U472" s="663"/>
      <c r="V472" s="663"/>
      <c r="W472" s="663"/>
      <c r="X472" s="663"/>
      <c r="Y472" s="663"/>
      <c r="Z472" s="663"/>
      <c r="AA472" s="663"/>
      <c r="AB472" s="663"/>
      <c r="AC472" s="663"/>
      <c r="AD472" s="663"/>
      <c r="AE472" s="663"/>
      <c r="AF472" s="663"/>
      <c r="AG472" s="663"/>
      <c r="AH472" s="663"/>
      <c r="AI472" s="663"/>
      <c r="AJ472" s="663"/>
      <c r="AK472" s="663"/>
      <c r="AL472" s="663"/>
      <c r="AM472" s="663"/>
      <c r="AN472" s="663"/>
      <c r="AO472" s="663"/>
      <c r="AP472" s="663"/>
      <c r="AQ472" s="663"/>
      <c r="AR472" s="663"/>
      <c r="AS472" s="663"/>
      <c r="AT472" s="663"/>
      <c r="AU472" s="663"/>
      <c r="AV472" s="663"/>
      <c r="AW472" s="663"/>
      <c r="AX472" s="663"/>
      <c r="AY472" s="663"/>
      <c r="AZ472" s="663"/>
      <c r="BA472" s="663"/>
      <c r="BB472" s="663"/>
      <c r="BC472" s="663"/>
      <c r="BD472" s="663"/>
      <c r="BE472" s="663"/>
    </row>
    <row r="473" spans="1:57" s="670" customFormat="1" ht="13.5" customHeight="1">
      <c r="A473" s="675"/>
      <c r="B473" s="776"/>
      <c r="C473" s="678"/>
      <c r="D473" s="677"/>
      <c r="E473" s="772"/>
      <c r="F473" s="771"/>
      <c r="G473" s="768"/>
      <c r="H473" s="770"/>
      <c r="I473" s="770"/>
      <c r="J473" s="768"/>
      <c r="K473" s="769"/>
      <c r="L473" s="769"/>
      <c r="M473" s="769"/>
      <c r="N473" s="663"/>
      <c r="O473" s="663"/>
      <c r="P473" s="663"/>
      <c r="Q473" s="663"/>
      <c r="R473" s="663"/>
      <c r="S473" s="663"/>
      <c r="T473" s="663"/>
      <c r="U473" s="663"/>
      <c r="V473" s="663"/>
      <c r="W473" s="663"/>
      <c r="X473" s="663"/>
      <c r="Y473" s="663"/>
      <c r="Z473" s="663"/>
      <c r="AA473" s="663"/>
      <c r="AB473" s="663"/>
      <c r="AC473" s="663"/>
      <c r="AD473" s="663"/>
      <c r="AE473" s="663"/>
      <c r="AF473" s="663"/>
      <c r="AG473" s="663"/>
      <c r="AH473" s="663"/>
      <c r="AI473" s="663"/>
      <c r="AJ473" s="663"/>
      <c r="AK473" s="663"/>
      <c r="AL473" s="663"/>
      <c r="AM473" s="663"/>
      <c r="AN473" s="663"/>
      <c r="AO473" s="663"/>
      <c r="AP473" s="663"/>
      <c r="AQ473" s="663"/>
      <c r="AR473" s="663"/>
      <c r="AS473" s="663"/>
      <c r="AT473" s="663"/>
      <c r="AU473" s="663"/>
      <c r="AV473" s="663"/>
      <c r="AW473" s="663"/>
      <c r="AX473" s="663"/>
      <c r="AY473" s="663"/>
      <c r="AZ473" s="663"/>
      <c r="BA473" s="663"/>
      <c r="BB473" s="663"/>
      <c r="BC473" s="663"/>
      <c r="BD473" s="663"/>
      <c r="BE473" s="663"/>
    </row>
    <row r="474" spans="1:57" s="670" customFormat="1" ht="13.5" customHeight="1">
      <c r="A474" s="675"/>
      <c r="B474" s="807" t="s">
        <v>818</v>
      </c>
      <c r="C474" s="806" t="s">
        <v>36</v>
      </c>
      <c r="D474" s="805">
        <f>SUM(D475:D486)</f>
        <v>240</v>
      </c>
      <c r="E474" s="588"/>
      <c r="F474" s="804"/>
      <c r="G474" s="768"/>
      <c r="H474" s="768"/>
      <c r="I474" s="768"/>
      <c r="J474" s="768"/>
      <c r="K474" s="676"/>
      <c r="L474" s="676"/>
      <c r="M474" s="676"/>
      <c r="N474" s="663"/>
      <c r="O474" s="663"/>
      <c r="P474" s="663"/>
      <c r="Q474" s="663"/>
      <c r="R474" s="663"/>
      <c r="S474" s="663"/>
      <c r="T474" s="663"/>
      <c r="U474" s="663"/>
      <c r="V474" s="663"/>
      <c r="W474" s="663"/>
      <c r="X474" s="663"/>
      <c r="Y474" s="663"/>
      <c r="Z474" s="663"/>
      <c r="AA474" s="663"/>
      <c r="AB474" s="663"/>
      <c r="AC474" s="663"/>
      <c r="AD474" s="663"/>
      <c r="AE474" s="663"/>
      <c r="AF474" s="663"/>
      <c r="AG474" s="663"/>
      <c r="AH474" s="663"/>
      <c r="AI474" s="663"/>
      <c r="AJ474" s="663"/>
      <c r="AK474" s="663"/>
      <c r="AL474" s="663"/>
      <c r="AM474" s="663"/>
      <c r="AN474" s="663"/>
      <c r="AO474" s="663"/>
      <c r="AP474" s="663"/>
      <c r="AQ474" s="663"/>
      <c r="AR474" s="663"/>
      <c r="AS474" s="663"/>
      <c r="AT474" s="663"/>
      <c r="AU474" s="663"/>
      <c r="AV474" s="663"/>
      <c r="AW474" s="663"/>
      <c r="AX474" s="663"/>
      <c r="AY474" s="663"/>
      <c r="AZ474" s="663"/>
      <c r="BA474" s="663"/>
      <c r="BB474" s="663"/>
      <c r="BC474" s="663"/>
      <c r="BD474" s="663"/>
      <c r="BE474" s="663"/>
    </row>
    <row r="475" spans="1:57" s="670" customFormat="1" ht="13.5" customHeight="1">
      <c r="A475" s="675"/>
      <c r="B475" s="776"/>
      <c r="C475" s="678" t="s">
        <v>816</v>
      </c>
      <c r="D475" s="677">
        <v>60</v>
      </c>
      <c r="E475" s="772"/>
      <c r="F475" s="771"/>
      <c r="G475" s="768"/>
      <c r="H475" s="770"/>
      <c r="I475" s="770">
        <v>60</v>
      </c>
      <c r="J475" s="768"/>
      <c r="K475" s="769"/>
      <c r="L475" s="769"/>
      <c r="M475" s="769"/>
      <c r="N475" s="663"/>
      <c r="O475" s="663"/>
      <c r="P475" s="663"/>
      <c r="Q475" s="663"/>
      <c r="R475" s="663"/>
      <c r="S475" s="663"/>
      <c r="T475" s="663"/>
      <c r="U475" s="663"/>
      <c r="V475" s="663"/>
      <c r="W475" s="663"/>
      <c r="X475" s="663"/>
      <c r="Y475" s="663"/>
      <c r="Z475" s="663"/>
      <c r="AA475" s="663"/>
      <c r="AB475" s="663"/>
      <c r="AC475" s="663"/>
      <c r="AD475" s="663"/>
      <c r="AE475" s="663"/>
      <c r="AF475" s="663"/>
      <c r="AG475" s="663"/>
      <c r="AH475" s="663"/>
      <c r="AI475" s="663"/>
      <c r="AJ475" s="663"/>
      <c r="AK475" s="663"/>
      <c r="AL475" s="663"/>
      <c r="AM475" s="663"/>
      <c r="AN475" s="663"/>
      <c r="AO475" s="663"/>
      <c r="AP475" s="663"/>
      <c r="AQ475" s="663"/>
      <c r="AR475" s="663"/>
      <c r="AS475" s="663"/>
      <c r="AT475" s="663"/>
      <c r="AU475" s="663"/>
      <c r="AV475" s="663"/>
      <c r="AW475" s="663"/>
      <c r="AX475" s="663"/>
      <c r="AY475" s="663"/>
      <c r="AZ475" s="663"/>
      <c r="BA475" s="663"/>
      <c r="BB475" s="663"/>
      <c r="BC475" s="663"/>
      <c r="BD475" s="663"/>
      <c r="BE475" s="663"/>
    </row>
    <row r="476" spans="1:57" s="670" customFormat="1" ht="13.5" customHeight="1">
      <c r="A476" s="675"/>
      <c r="B476" s="776"/>
      <c r="C476" s="678" t="s">
        <v>816</v>
      </c>
      <c r="D476" s="677">
        <v>60</v>
      </c>
      <c r="E476" s="772"/>
      <c r="F476" s="771"/>
      <c r="G476" s="768"/>
      <c r="H476" s="770"/>
      <c r="I476" s="770">
        <v>60</v>
      </c>
      <c r="J476" s="768"/>
      <c r="K476" s="769"/>
      <c r="L476" s="769"/>
      <c r="M476" s="769"/>
      <c r="N476" s="663"/>
      <c r="O476" s="663"/>
      <c r="P476" s="663"/>
      <c r="Q476" s="663"/>
      <c r="R476" s="663"/>
      <c r="S476" s="663"/>
      <c r="T476" s="663"/>
      <c r="U476" s="663"/>
      <c r="V476" s="663"/>
      <c r="W476" s="663"/>
      <c r="X476" s="663"/>
      <c r="Y476" s="663"/>
      <c r="Z476" s="663"/>
      <c r="AA476" s="663"/>
      <c r="AB476" s="663"/>
      <c r="AC476" s="663"/>
      <c r="AD476" s="663"/>
      <c r="AE476" s="663"/>
      <c r="AF476" s="663"/>
      <c r="AG476" s="663"/>
      <c r="AH476" s="663"/>
      <c r="AI476" s="663"/>
      <c r="AJ476" s="663"/>
      <c r="AK476" s="663"/>
      <c r="AL476" s="663"/>
      <c r="AM476" s="663"/>
      <c r="AN476" s="663"/>
      <c r="AO476" s="663"/>
      <c r="AP476" s="663"/>
      <c r="AQ476" s="663"/>
      <c r="AR476" s="663"/>
      <c r="AS476" s="663"/>
      <c r="AT476" s="663"/>
      <c r="AU476" s="663"/>
      <c r="AV476" s="663"/>
      <c r="AW476" s="663"/>
      <c r="AX476" s="663"/>
      <c r="AY476" s="663"/>
      <c r="AZ476" s="663"/>
      <c r="BA476" s="663"/>
      <c r="BB476" s="663"/>
      <c r="BC476" s="663"/>
      <c r="BD476" s="663"/>
      <c r="BE476" s="663"/>
    </row>
    <row r="477" spans="1:57" s="670" customFormat="1" ht="13.5" customHeight="1">
      <c r="A477" s="675"/>
      <c r="B477" s="776"/>
      <c r="C477" s="678" t="s">
        <v>816</v>
      </c>
      <c r="D477" s="677">
        <v>60</v>
      </c>
      <c r="E477" s="772"/>
      <c r="F477" s="771"/>
      <c r="G477" s="768"/>
      <c r="H477" s="770"/>
      <c r="I477" s="770">
        <v>60</v>
      </c>
      <c r="J477" s="768"/>
      <c r="K477" s="769"/>
      <c r="L477" s="769"/>
      <c r="M477" s="769"/>
      <c r="N477" s="663"/>
      <c r="O477" s="663"/>
      <c r="P477" s="663"/>
      <c r="Q477" s="663"/>
      <c r="R477" s="663"/>
      <c r="S477" s="663"/>
      <c r="T477" s="663"/>
      <c r="U477" s="663"/>
      <c r="V477" s="663"/>
      <c r="W477" s="663"/>
      <c r="X477" s="663"/>
      <c r="Y477" s="663"/>
      <c r="Z477" s="663"/>
      <c r="AA477" s="663"/>
      <c r="AB477" s="663"/>
      <c r="AC477" s="663"/>
      <c r="AD477" s="663"/>
      <c r="AE477" s="663"/>
      <c r="AF477" s="663"/>
      <c r="AG477" s="663"/>
      <c r="AH477" s="663"/>
      <c r="AI477" s="663"/>
      <c r="AJ477" s="663"/>
      <c r="AK477" s="663"/>
      <c r="AL477" s="663"/>
      <c r="AM477" s="663"/>
      <c r="AN477" s="663"/>
      <c r="AO477" s="663"/>
      <c r="AP477" s="663"/>
      <c r="AQ477" s="663"/>
      <c r="AR477" s="663"/>
      <c r="AS477" s="663"/>
      <c r="AT477" s="663"/>
      <c r="AU477" s="663"/>
      <c r="AV477" s="663"/>
      <c r="AW477" s="663"/>
      <c r="AX477" s="663"/>
      <c r="AY477" s="663"/>
      <c r="AZ477" s="663"/>
      <c r="BA477" s="663"/>
      <c r="BB477" s="663"/>
      <c r="BC477" s="663"/>
      <c r="BD477" s="663"/>
      <c r="BE477" s="663"/>
    </row>
    <row r="478" spans="1:57" s="670" customFormat="1" ht="13.5" customHeight="1">
      <c r="A478" s="675"/>
      <c r="B478" s="776"/>
      <c r="C478" s="678" t="s">
        <v>816</v>
      </c>
      <c r="D478" s="677">
        <v>60</v>
      </c>
      <c r="E478" s="772"/>
      <c r="F478" s="771"/>
      <c r="G478" s="768"/>
      <c r="H478" s="770"/>
      <c r="I478" s="770">
        <v>60</v>
      </c>
      <c r="J478" s="768"/>
      <c r="K478" s="769"/>
      <c r="L478" s="769"/>
      <c r="M478" s="769"/>
      <c r="N478" s="663"/>
      <c r="O478" s="663"/>
      <c r="P478" s="663"/>
      <c r="Q478" s="663"/>
      <c r="R478" s="663"/>
      <c r="S478" s="663"/>
      <c r="T478" s="663"/>
      <c r="U478" s="663"/>
      <c r="V478" s="663"/>
      <c r="W478" s="663"/>
      <c r="X478" s="663"/>
      <c r="Y478" s="663"/>
      <c r="Z478" s="663"/>
      <c r="AA478" s="663"/>
      <c r="AB478" s="663"/>
      <c r="AC478" s="663"/>
      <c r="AD478" s="663"/>
      <c r="AE478" s="663"/>
      <c r="AF478" s="663"/>
      <c r="AG478" s="663"/>
      <c r="AH478" s="663"/>
      <c r="AI478" s="663"/>
      <c r="AJ478" s="663"/>
      <c r="AK478" s="663"/>
      <c r="AL478" s="663"/>
      <c r="AM478" s="663"/>
      <c r="AN478" s="663"/>
      <c r="AO478" s="663"/>
      <c r="AP478" s="663"/>
      <c r="AQ478" s="663"/>
      <c r="AR478" s="663"/>
      <c r="AS478" s="663"/>
      <c r="AT478" s="663"/>
      <c r="AU478" s="663"/>
      <c r="AV478" s="663"/>
      <c r="AW478" s="663"/>
      <c r="AX478" s="663"/>
      <c r="AY478" s="663"/>
      <c r="AZ478" s="663"/>
      <c r="BA478" s="663"/>
      <c r="BB478" s="663"/>
      <c r="BC478" s="663"/>
      <c r="BD478" s="663"/>
      <c r="BE478" s="663"/>
    </row>
    <row r="479" spans="1:57" s="670" customFormat="1" ht="13.5" customHeight="1">
      <c r="A479" s="675"/>
      <c r="B479" s="776"/>
      <c r="C479" s="678"/>
      <c r="D479" s="677"/>
      <c r="E479" s="772"/>
      <c r="F479" s="771"/>
      <c r="G479" s="768"/>
      <c r="H479" s="770"/>
      <c r="I479" s="770"/>
      <c r="J479" s="768"/>
      <c r="K479" s="769"/>
      <c r="L479" s="769"/>
      <c r="M479" s="769"/>
      <c r="N479" s="663"/>
      <c r="O479" s="663"/>
      <c r="P479" s="663"/>
      <c r="Q479" s="663"/>
      <c r="R479" s="663"/>
      <c r="S479" s="663"/>
      <c r="T479" s="663"/>
      <c r="U479" s="663"/>
      <c r="V479" s="663"/>
      <c r="W479" s="663"/>
      <c r="X479" s="663"/>
      <c r="Y479" s="663"/>
      <c r="Z479" s="663"/>
      <c r="AA479" s="663"/>
      <c r="AB479" s="663"/>
      <c r="AC479" s="663"/>
      <c r="AD479" s="663"/>
      <c r="AE479" s="663"/>
      <c r="AF479" s="663"/>
      <c r="AG479" s="663"/>
      <c r="AH479" s="663"/>
      <c r="AI479" s="663"/>
      <c r="AJ479" s="663"/>
      <c r="AK479" s="663"/>
      <c r="AL479" s="663"/>
      <c r="AM479" s="663"/>
      <c r="AN479" s="663"/>
      <c r="AO479" s="663"/>
      <c r="AP479" s="663"/>
      <c r="AQ479" s="663"/>
      <c r="AR479" s="663"/>
      <c r="AS479" s="663"/>
      <c r="AT479" s="663"/>
      <c r="AU479" s="663"/>
      <c r="AV479" s="663"/>
      <c r="AW479" s="663"/>
      <c r="AX479" s="663"/>
      <c r="AY479" s="663"/>
      <c r="AZ479" s="663"/>
      <c r="BA479" s="663"/>
      <c r="BB479" s="663"/>
      <c r="BC479" s="663"/>
      <c r="BD479" s="663"/>
      <c r="BE479" s="663"/>
    </row>
    <row r="480" spans="1:57" s="670" customFormat="1" ht="13.5" customHeight="1">
      <c r="A480" s="675"/>
      <c r="B480" s="776"/>
      <c r="C480" s="678"/>
      <c r="D480" s="677"/>
      <c r="E480" s="772"/>
      <c r="F480" s="771"/>
      <c r="G480" s="768"/>
      <c r="H480" s="770"/>
      <c r="I480" s="770"/>
      <c r="J480" s="768"/>
      <c r="K480" s="769"/>
      <c r="L480" s="769"/>
      <c r="M480" s="769"/>
      <c r="N480" s="663"/>
      <c r="O480" s="663"/>
      <c r="P480" s="663"/>
      <c r="Q480" s="663"/>
      <c r="R480" s="663"/>
      <c r="S480" s="663"/>
      <c r="T480" s="663"/>
      <c r="U480" s="663"/>
      <c r="V480" s="663"/>
      <c r="W480" s="663"/>
      <c r="X480" s="663"/>
      <c r="Y480" s="663"/>
      <c r="Z480" s="663"/>
      <c r="AA480" s="663"/>
      <c r="AB480" s="663"/>
      <c r="AC480" s="663"/>
      <c r="AD480" s="663"/>
      <c r="AE480" s="663"/>
      <c r="AF480" s="663"/>
      <c r="AG480" s="663"/>
      <c r="AH480" s="663"/>
      <c r="AI480" s="663"/>
      <c r="AJ480" s="663"/>
      <c r="AK480" s="663"/>
      <c r="AL480" s="663"/>
      <c r="AM480" s="663"/>
      <c r="AN480" s="663"/>
      <c r="AO480" s="663"/>
      <c r="AP480" s="663"/>
      <c r="AQ480" s="663"/>
      <c r="AR480" s="663"/>
      <c r="AS480" s="663"/>
      <c r="AT480" s="663"/>
      <c r="AU480" s="663"/>
      <c r="AV480" s="663"/>
      <c r="AW480" s="663"/>
      <c r="AX480" s="663"/>
      <c r="AY480" s="663"/>
      <c r="AZ480" s="663"/>
      <c r="BA480" s="663"/>
      <c r="BB480" s="663"/>
      <c r="BC480" s="663"/>
      <c r="BD480" s="663"/>
      <c r="BE480" s="663"/>
    </row>
    <row r="481" spans="1:57" s="670" customFormat="1" ht="13.5" customHeight="1">
      <c r="A481" s="675"/>
      <c r="B481" s="776"/>
      <c r="C481" s="678"/>
      <c r="D481" s="677"/>
      <c r="E481" s="772"/>
      <c r="F481" s="771"/>
      <c r="G481" s="768"/>
      <c r="H481" s="770"/>
      <c r="I481" s="770"/>
      <c r="J481" s="768"/>
      <c r="K481" s="769"/>
      <c r="L481" s="769"/>
      <c r="M481" s="769"/>
      <c r="N481" s="663"/>
      <c r="O481" s="663"/>
      <c r="P481" s="663"/>
      <c r="Q481" s="663"/>
      <c r="R481" s="663"/>
      <c r="S481" s="663"/>
      <c r="T481" s="663"/>
      <c r="U481" s="663"/>
      <c r="V481" s="663"/>
      <c r="W481" s="663"/>
      <c r="X481" s="663"/>
      <c r="Y481" s="663"/>
      <c r="Z481" s="663"/>
      <c r="AA481" s="663"/>
      <c r="AB481" s="663"/>
      <c r="AC481" s="663"/>
      <c r="AD481" s="663"/>
      <c r="AE481" s="663"/>
      <c r="AF481" s="663"/>
      <c r="AG481" s="663"/>
      <c r="AH481" s="663"/>
      <c r="AI481" s="663"/>
      <c r="AJ481" s="663"/>
      <c r="AK481" s="663"/>
      <c r="AL481" s="663"/>
      <c r="AM481" s="663"/>
      <c r="AN481" s="663"/>
      <c r="AO481" s="663"/>
      <c r="AP481" s="663"/>
      <c r="AQ481" s="663"/>
      <c r="AR481" s="663"/>
      <c r="AS481" s="663"/>
      <c r="AT481" s="663"/>
      <c r="AU481" s="663"/>
      <c r="AV481" s="663"/>
      <c r="AW481" s="663"/>
      <c r="AX481" s="663"/>
      <c r="AY481" s="663"/>
      <c r="AZ481" s="663"/>
      <c r="BA481" s="663"/>
      <c r="BB481" s="663"/>
      <c r="BC481" s="663"/>
      <c r="BD481" s="663"/>
      <c r="BE481" s="663"/>
    </row>
    <row r="482" spans="1:57" s="670" customFormat="1" ht="13.5" customHeight="1">
      <c r="A482" s="675"/>
      <c r="B482" s="776"/>
      <c r="C482" s="678"/>
      <c r="D482" s="677"/>
      <c r="E482" s="772"/>
      <c r="F482" s="771"/>
      <c r="G482" s="768"/>
      <c r="H482" s="770"/>
      <c r="I482" s="770"/>
      <c r="J482" s="768"/>
      <c r="K482" s="769"/>
      <c r="L482" s="769"/>
      <c r="M482" s="769"/>
      <c r="N482" s="663"/>
      <c r="O482" s="663"/>
      <c r="P482" s="663"/>
      <c r="Q482" s="663"/>
      <c r="R482" s="663"/>
      <c r="S482" s="663"/>
      <c r="T482" s="663"/>
      <c r="U482" s="663"/>
      <c r="V482" s="663"/>
      <c r="W482" s="663"/>
      <c r="X482" s="663"/>
      <c r="Y482" s="663"/>
      <c r="Z482" s="663"/>
      <c r="AA482" s="663"/>
      <c r="AB482" s="663"/>
      <c r="AC482" s="663"/>
      <c r="AD482" s="663"/>
      <c r="AE482" s="663"/>
      <c r="AF482" s="663"/>
      <c r="AG482" s="663"/>
      <c r="AH482" s="663"/>
      <c r="AI482" s="663"/>
      <c r="AJ482" s="663"/>
      <c r="AK482" s="663"/>
      <c r="AL482" s="663"/>
      <c r="AM482" s="663"/>
      <c r="AN482" s="663"/>
      <c r="AO482" s="663"/>
      <c r="AP482" s="663"/>
      <c r="AQ482" s="663"/>
      <c r="AR482" s="663"/>
      <c r="AS482" s="663"/>
      <c r="AT482" s="663"/>
      <c r="AU482" s="663"/>
      <c r="AV482" s="663"/>
      <c r="AW482" s="663"/>
      <c r="AX482" s="663"/>
      <c r="AY482" s="663"/>
      <c r="AZ482" s="663"/>
      <c r="BA482" s="663"/>
      <c r="BB482" s="663"/>
      <c r="BC482" s="663"/>
      <c r="BD482" s="663"/>
      <c r="BE482" s="663"/>
    </row>
    <row r="483" spans="1:57" s="670" customFormat="1" ht="13.5" customHeight="1">
      <c r="A483" s="675"/>
      <c r="B483" s="776"/>
      <c r="C483" s="678"/>
      <c r="D483" s="677"/>
      <c r="E483" s="772"/>
      <c r="F483" s="771"/>
      <c r="G483" s="768"/>
      <c r="H483" s="770"/>
      <c r="I483" s="770"/>
      <c r="J483" s="768"/>
      <c r="K483" s="769"/>
      <c r="L483" s="769"/>
      <c r="M483" s="769"/>
      <c r="N483" s="663"/>
      <c r="O483" s="663"/>
      <c r="P483" s="663"/>
      <c r="Q483" s="663"/>
      <c r="R483" s="663"/>
      <c r="S483" s="663"/>
      <c r="T483" s="663"/>
      <c r="U483" s="663"/>
      <c r="V483" s="663"/>
      <c r="W483" s="663"/>
      <c r="X483" s="663"/>
      <c r="Y483" s="663"/>
      <c r="Z483" s="663"/>
      <c r="AA483" s="663"/>
      <c r="AB483" s="663"/>
      <c r="AC483" s="663"/>
      <c r="AD483" s="663"/>
      <c r="AE483" s="663"/>
      <c r="AF483" s="663"/>
      <c r="AG483" s="663"/>
      <c r="AH483" s="663"/>
      <c r="AI483" s="663"/>
      <c r="AJ483" s="663"/>
      <c r="AK483" s="663"/>
      <c r="AL483" s="663"/>
      <c r="AM483" s="663"/>
      <c r="AN483" s="663"/>
      <c r="AO483" s="663"/>
      <c r="AP483" s="663"/>
      <c r="AQ483" s="663"/>
      <c r="AR483" s="663"/>
      <c r="AS483" s="663"/>
      <c r="AT483" s="663"/>
      <c r="AU483" s="663"/>
      <c r="AV483" s="663"/>
      <c r="AW483" s="663"/>
      <c r="AX483" s="663"/>
      <c r="AY483" s="663"/>
      <c r="AZ483" s="663"/>
      <c r="BA483" s="663"/>
      <c r="BB483" s="663"/>
      <c r="BC483" s="663"/>
      <c r="BD483" s="663"/>
      <c r="BE483" s="663"/>
    </row>
    <row r="484" spans="1:57" s="670" customFormat="1" ht="13.5" customHeight="1">
      <c r="A484" s="675"/>
      <c r="B484" s="776"/>
      <c r="C484" s="678"/>
      <c r="D484" s="677"/>
      <c r="E484" s="772"/>
      <c r="F484" s="771"/>
      <c r="G484" s="768"/>
      <c r="H484" s="770"/>
      <c r="I484" s="770"/>
      <c r="J484" s="768"/>
      <c r="K484" s="769"/>
      <c r="L484" s="769"/>
      <c r="M484" s="769"/>
      <c r="N484" s="663"/>
      <c r="O484" s="663"/>
      <c r="P484" s="663"/>
      <c r="Q484" s="663"/>
      <c r="R484" s="663"/>
      <c r="S484" s="663"/>
      <c r="T484" s="663"/>
      <c r="U484" s="663"/>
      <c r="V484" s="663"/>
      <c r="W484" s="663"/>
      <c r="X484" s="663"/>
      <c r="Y484" s="663"/>
      <c r="Z484" s="663"/>
      <c r="AA484" s="663"/>
      <c r="AB484" s="663"/>
      <c r="AC484" s="663"/>
      <c r="AD484" s="663"/>
      <c r="AE484" s="663"/>
      <c r="AF484" s="663"/>
      <c r="AG484" s="663"/>
      <c r="AH484" s="663"/>
      <c r="AI484" s="663"/>
      <c r="AJ484" s="663"/>
      <c r="AK484" s="663"/>
      <c r="AL484" s="663"/>
      <c r="AM484" s="663"/>
      <c r="AN484" s="663"/>
      <c r="AO484" s="663"/>
      <c r="AP484" s="663"/>
      <c r="AQ484" s="663"/>
      <c r="AR484" s="663"/>
      <c r="AS484" s="663"/>
      <c r="AT484" s="663"/>
      <c r="AU484" s="663"/>
      <c r="AV484" s="663"/>
      <c r="AW484" s="663"/>
      <c r="AX484" s="663"/>
      <c r="AY484" s="663"/>
      <c r="AZ484" s="663"/>
      <c r="BA484" s="663"/>
      <c r="BB484" s="663"/>
      <c r="BC484" s="663"/>
      <c r="BD484" s="663"/>
      <c r="BE484" s="663"/>
    </row>
    <row r="485" spans="1:57" s="670" customFormat="1" ht="13.5" customHeight="1">
      <c r="A485" s="675"/>
      <c r="B485" s="776"/>
      <c r="C485" s="678"/>
      <c r="D485" s="677"/>
      <c r="E485" s="772"/>
      <c r="F485" s="771"/>
      <c r="G485" s="768"/>
      <c r="H485" s="770"/>
      <c r="I485" s="770"/>
      <c r="J485" s="768"/>
      <c r="K485" s="769"/>
      <c r="L485" s="769"/>
      <c r="M485" s="769"/>
      <c r="N485" s="663"/>
      <c r="O485" s="663"/>
      <c r="P485" s="663"/>
      <c r="Q485" s="663"/>
      <c r="R485" s="663"/>
      <c r="S485" s="663"/>
      <c r="T485" s="663"/>
      <c r="U485" s="663"/>
      <c r="V485" s="663"/>
      <c r="W485" s="663"/>
      <c r="X485" s="663"/>
      <c r="Y485" s="663"/>
      <c r="Z485" s="663"/>
      <c r="AA485" s="663"/>
      <c r="AB485" s="663"/>
      <c r="AC485" s="663"/>
      <c r="AD485" s="663"/>
      <c r="AE485" s="663"/>
      <c r="AF485" s="663"/>
      <c r="AG485" s="663"/>
      <c r="AH485" s="663"/>
      <c r="AI485" s="663"/>
      <c r="AJ485" s="663"/>
      <c r="AK485" s="663"/>
      <c r="AL485" s="663"/>
      <c r="AM485" s="663"/>
      <c r="AN485" s="663"/>
      <c r="AO485" s="663"/>
      <c r="AP485" s="663"/>
      <c r="AQ485" s="663"/>
      <c r="AR485" s="663"/>
      <c r="AS485" s="663"/>
      <c r="AT485" s="663"/>
      <c r="AU485" s="663"/>
      <c r="AV485" s="663"/>
      <c r="AW485" s="663"/>
      <c r="AX485" s="663"/>
      <c r="AY485" s="663"/>
      <c r="AZ485" s="663"/>
      <c r="BA485" s="663"/>
      <c r="BB485" s="663"/>
      <c r="BC485" s="663"/>
      <c r="BD485" s="663"/>
      <c r="BE485" s="663"/>
    </row>
    <row r="486" spans="1:57" s="670" customFormat="1" ht="13.5" customHeight="1">
      <c r="A486" s="675"/>
      <c r="B486" s="775"/>
      <c r="C486" s="774"/>
      <c r="D486" s="773"/>
      <c r="E486" s="772"/>
      <c r="F486" s="771"/>
      <c r="G486" s="768"/>
      <c r="H486" s="770"/>
      <c r="I486" s="770"/>
      <c r="J486" s="768"/>
      <c r="K486" s="769"/>
      <c r="L486" s="769"/>
      <c r="M486" s="769"/>
      <c r="N486" s="663"/>
      <c r="O486" s="663"/>
      <c r="P486" s="663"/>
      <c r="Q486" s="663"/>
      <c r="R486" s="663"/>
      <c r="S486" s="663"/>
      <c r="T486" s="663"/>
      <c r="U486" s="663"/>
      <c r="V486" s="663"/>
      <c r="W486" s="663"/>
      <c r="X486" s="663"/>
      <c r="Y486" s="663"/>
      <c r="Z486" s="663"/>
      <c r="AA486" s="663"/>
      <c r="AB486" s="663"/>
      <c r="AC486" s="663"/>
      <c r="AD486" s="663"/>
      <c r="AE486" s="663"/>
      <c r="AF486" s="663"/>
      <c r="AG486" s="663"/>
      <c r="AH486" s="663"/>
      <c r="AI486" s="663"/>
      <c r="AJ486" s="663"/>
      <c r="AK486" s="663"/>
      <c r="AL486" s="663"/>
      <c r="AM486" s="663"/>
      <c r="AN486" s="663"/>
      <c r="AO486" s="663"/>
      <c r="AP486" s="663"/>
      <c r="AQ486" s="663"/>
      <c r="AR486" s="663"/>
      <c r="AS486" s="663"/>
      <c r="AT486" s="663"/>
      <c r="AU486" s="663"/>
      <c r="AV486" s="663"/>
      <c r="AW486" s="663"/>
      <c r="AX486" s="663"/>
      <c r="AY486" s="663"/>
      <c r="AZ486" s="663"/>
      <c r="BA486" s="663"/>
      <c r="BB486" s="663"/>
      <c r="BC486" s="663"/>
      <c r="BD486" s="663"/>
      <c r="BE486" s="663"/>
    </row>
    <row r="487" spans="1:57" s="662" customFormat="1" ht="13.5" customHeight="1">
      <c r="A487" s="668"/>
      <c r="B487" s="813" t="s">
        <v>817</v>
      </c>
      <c r="C487" s="812" t="s">
        <v>37</v>
      </c>
      <c r="D487" s="811">
        <f>SUM(D488:D494)</f>
        <v>0</v>
      </c>
      <c r="E487" s="810">
        <f t="shared" ref="E487:J487" si="15">SUM(E491:E525)</f>
        <v>0</v>
      </c>
      <c r="F487" s="810">
        <f t="shared" si="15"/>
        <v>0</v>
      </c>
      <c r="G487" s="809">
        <f t="shared" si="15"/>
        <v>0</v>
      </c>
      <c r="H487" s="809">
        <f t="shared" si="15"/>
        <v>0</v>
      </c>
      <c r="I487" s="809">
        <f t="shared" si="15"/>
        <v>240</v>
      </c>
      <c r="J487" s="809">
        <f t="shared" si="15"/>
        <v>0</v>
      </c>
      <c r="K487" s="808"/>
      <c r="L487" s="808"/>
      <c r="M487" s="808">
        <f>SUM(M491:M525)</f>
        <v>0</v>
      </c>
      <c r="N487" s="663"/>
      <c r="O487" s="663"/>
      <c r="P487" s="663"/>
      <c r="Q487" s="663"/>
      <c r="R487" s="663"/>
      <c r="S487" s="663"/>
      <c r="T487" s="663"/>
      <c r="U487" s="663"/>
      <c r="V487" s="663"/>
      <c r="W487" s="663"/>
      <c r="X487" s="663"/>
      <c r="Y487" s="663"/>
      <c r="Z487" s="663"/>
      <c r="AA487" s="663"/>
      <c r="AB487" s="663"/>
      <c r="AC487" s="663"/>
      <c r="AD487" s="663"/>
      <c r="AE487" s="663"/>
      <c r="AF487" s="663"/>
      <c r="AG487" s="663"/>
      <c r="AH487" s="663"/>
      <c r="AI487" s="663"/>
      <c r="AJ487" s="663"/>
      <c r="AK487" s="663"/>
      <c r="AL487" s="663"/>
      <c r="AM487" s="663"/>
      <c r="AN487" s="663"/>
      <c r="AO487" s="663"/>
      <c r="AP487" s="663"/>
      <c r="AQ487" s="663"/>
      <c r="AR487" s="663"/>
      <c r="AS487" s="663"/>
      <c r="AT487" s="663"/>
      <c r="AU487" s="663"/>
      <c r="AV487" s="663"/>
      <c r="AW487" s="663"/>
      <c r="AX487" s="663"/>
      <c r="AY487" s="663"/>
      <c r="AZ487" s="663"/>
      <c r="BA487" s="663"/>
      <c r="BB487" s="663"/>
      <c r="BC487" s="663"/>
      <c r="BD487" s="663"/>
      <c r="BE487" s="663"/>
    </row>
    <row r="488" spans="1:57" s="670" customFormat="1" ht="13.5" customHeight="1">
      <c r="A488" s="675"/>
      <c r="B488" s="776"/>
      <c r="C488" s="678"/>
      <c r="D488" s="677"/>
      <c r="E488" s="772"/>
      <c r="F488" s="771"/>
      <c r="G488" s="768"/>
      <c r="H488" s="770"/>
      <c r="I488" s="770"/>
      <c r="J488" s="768"/>
      <c r="K488" s="769"/>
      <c r="L488" s="769"/>
      <c r="M488" s="769"/>
      <c r="N488" s="663"/>
      <c r="O488" s="663"/>
      <c r="P488" s="663"/>
      <c r="Q488" s="663"/>
      <c r="R488" s="663"/>
      <c r="S488" s="663"/>
      <c r="T488" s="663"/>
      <c r="U488" s="663"/>
      <c r="V488" s="663"/>
      <c r="W488" s="663"/>
      <c r="X488" s="663"/>
      <c r="Y488" s="663"/>
      <c r="Z488" s="663"/>
      <c r="AA488" s="663"/>
      <c r="AB488" s="663"/>
      <c r="AC488" s="663"/>
      <c r="AD488" s="663"/>
      <c r="AE488" s="663"/>
      <c r="AF488" s="663"/>
      <c r="AG488" s="663"/>
      <c r="AH488" s="663"/>
      <c r="AI488" s="663"/>
      <c r="AJ488" s="663"/>
      <c r="AK488" s="663"/>
      <c r="AL488" s="663"/>
      <c r="AM488" s="663"/>
      <c r="AN488" s="663"/>
      <c r="AO488" s="663"/>
      <c r="AP488" s="663"/>
      <c r="AQ488" s="663"/>
      <c r="AR488" s="663"/>
      <c r="AS488" s="663"/>
      <c r="AT488" s="663"/>
      <c r="AU488" s="663"/>
      <c r="AV488" s="663"/>
      <c r="AW488" s="663"/>
      <c r="AX488" s="663"/>
      <c r="AY488" s="663"/>
      <c r="AZ488" s="663"/>
      <c r="BA488" s="663"/>
      <c r="BB488" s="663"/>
      <c r="BC488" s="663"/>
      <c r="BD488" s="663"/>
      <c r="BE488" s="663"/>
    </row>
    <row r="489" spans="1:57" s="670" customFormat="1" ht="13.5" customHeight="1">
      <c r="A489" s="675"/>
      <c r="B489" s="776"/>
      <c r="C489" s="678"/>
      <c r="D489" s="677"/>
      <c r="E489" s="772"/>
      <c r="F489" s="771"/>
      <c r="G489" s="768"/>
      <c r="H489" s="770"/>
      <c r="I489" s="770"/>
      <c r="J489" s="768"/>
      <c r="K489" s="769"/>
      <c r="L489" s="769"/>
      <c r="M489" s="769"/>
      <c r="N489" s="663"/>
      <c r="O489" s="663"/>
      <c r="P489" s="663"/>
      <c r="Q489" s="663"/>
      <c r="R489" s="663"/>
      <c r="S489" s="663"/>
      <c r="T489" s="663"/>
      <c r="U489" s="663"/>
      <c r="V489" s="663"/>
      <c r="W489" s="663"/>
      <c r="X489" s="663"/>
      <c r="Y489" s="663"/>
      <c r="Z489" s="663"/>
      <c r="AA489" s="663"/>
      <c r="AB489" s="663"/>
      <c r="AC489" s="663"/>
      <c r="AD489" s="663"/>
      <c r="AE489" s="663"/>
      <c r="AF489" s="663"/>
      <c r="AG489" s="663"/>
      <c r="AH489" s="663"/>
      <c r="AI489" s="663"/>
      <c r="AJ489" s="663"/>
      <c r="AK489" s="663"/>
      <c r="AL489" s="663"/>
      <c r="AM489" s="663"/>
      <c r="AN489" s="663"/>
      <c r="AO489" s="663"/>
      <c r="AP489" s="663"/>
      <c r="AQ489" s="663"/>
      <c r="AR489" s="663"/>
      <c r="AS489" s="663"/>
      <c r="AT489" s="663"/>
      <c r="AU489" s="663"/>
      <c r="AV489" s="663"/>
      <c r="AW489" s="663"/>
      <c r="AX489" s="663"/>
      <c r="AY489" s="663"/>
      <c r="AZ489" s="663"/>
      <c r="BA489" s="663"/>
      <c r="BB489" s="663"/>
      <c r="BC489" s="663"/>
      <c r="BD489" s="663"/>
      <c r="BE489" s="663"/>
    </row>
    <row r="490" spans="1:57" s="670" customFormat="1" ht="13.5" customHeight="1">
      <c r="A490" s="675"/>
      <c r="B490" s="776"/>
      <c r="C490" s="678"/>
      <c r="D490" s="677"/>
      <c r="E490" s="772"/>
      <c r="F490" s="771"/>
      <c r="G490" s="768"/>
      <c r="H490" s="770"/>
      <c r="I490" s="770"/>
      <c r="J490" s="768"/>
      <c r="K490" s="769"/>
      <c r="L490" s="769"/>
      <c r="M490" s="769"/>
      <c r="N490" s="663"/>
      <c r="O490" s="663"/>
      <c r="P490" s="663"/>
      <c r="Q490" s="663"/>
      <c r="R490" s="663"/>
      <c r="S490" s="663"/>
      <c r="T490" s="663"/>
      <c r="U490" s="663"/>
      <c r="V490" s="663"/>
      <c r="W490" s="663"/>
      <c r="X490" s="663"/>
      <c r="Y490" s="663"/>
      <c r="Z490" s="663"/>
      <c r="AA490" s="663"/>
      <c r="AB490" s="663"/>
      <c r="AC490" s="663"/>
      <c r="AD490" s="663"/>
      <c r="AE490" s="663"/>
      <c r="AF490" s="663"/>
      <c r="AG490" s="663"/>
      <c r="AH490" s="663"/>
      <c r="AI490" s="663"/>
      <c r="AJ490" s="663"/>
      <c r="AK490" s="663"/>
      <c r="AL490" s="663"/>
      <c r="AM490" s="663"/>
      <c r="AN490" s="663"/>
      <c r="AO490" s="663"/>
      <c r="AP490" s="663"/>
      <c r="AQ490" s="663"/>
      <c r="AR490" s="663"/>
      <c r="AS490" s="663"/>
      <c r="AT490" s="663"/>
      <c r="AU490" s="663"/>
      <c r="AV490" s="663"/>
      <c r="AW490" s="663"/>
      <c r="AX490" s="663"/>
      <c r="AY490" s="663"/>
      <c r="AZ490" s="663"/>
      <c r="BA490" s="663"/>
      <c r="BB490" s="663"/>
      <c r="BC490" s="663"/>
      <c r="BD490" s="663"/>
      <c r="BE490" s="663"/>
    </row>
    <row r="491" spans="1:57" s="670" customFormat="1" ht="13.5" customHeight="1">
      <c r="A491" s="675"/>
      <c r="B491" s="776"/>
      <c r="C491" s="678"/>
      <c r="D491" s="677"/>
      <c r="E491" s="772"/>
      <c r="F491" s="771"/>
      <c r="G491" s="768"/>
      <c r="H491" s="770"/>
      <c r="I491" s="770"/>
      <c r="J491" s="768"/>
      <c r="K491" s="769"/>
      <c r="L491" s="769"/>
      <c r="M491" s="769"/>
      <c r="N491" s="663"/>
      <c r="O491" s="663"/>
      <c r="P491" s="663"/>
      <c r="Q491" s="663"/>
      <c r="R491" s="663"/>
      <c r="S491" s="663"/>
      <c r="T491" s="663"/>
      <c r="U491" s="663"/>
      <c r="V491" s="663"/>
      <c r="W491" s="663"/>
      <c r="X491" s="663"/>
      <c r="Y491" s="663"/>
      <c r="Z491" s="663"/>
      <c r="AA491" s="663"/>
      <c r="AB491" s="663"/>
      <c r="AC491" s="663"/>
      <c r="AD491" s="663"/>
      <c r="AE491" s="663"/>
      <c r="AF491" s="663"/>
      <c r="AG491" s="663"/>
      <c r="AH491" s="663"/>
      <c r="AI491" s="663"/>
      <c r="AJ491" s="663"/>
      <c r="AK491" s="663"/>
      <c r="AL491" s="663"/>
      <c r="AM491" s="663"/>
      <c r="AN491" s="663"/>
      <c r="AO491" s="663"/>
      <c r="AP491" s="663"/>
      <c r="AQ491" s="663"/>
      <c r="AR491" s="663"/>
      <c r="AS491" s="663"/>
      <c r="AT491" s="663"/>
      <c r="AU491" s="663"/>
      <c r="AV491" s="663"/>
      <c r="AW491" s="663"/>
      <c r="AX491" s="663"/>
      <c r="AY491" s="663"/>
      <c r="AZ491" s="663"/>
      <c r="BA491" s="663"/>
      <c r="BB491" s="663"/>
      <c r="BC491" s="663"/>
      <c r="BD491" s="663"/>
      <c r="BE491" s="663"/>
    </row>
    <row r="492" spans="1:57" s="670" customFormat="1" ht="13.5" customHeight="1">
      <c r="A492" s="675"/>
      <c r="B492" s="776"/>
      <c r="C492" s="678"/>
      <c r="D492" s="677"/>
      <c r="E492" s="772"/>
      <c r="F492" s="771"/>
      <c r="G492" s="768"/>
      <c r="H492" s="770"/>
      <c r="I492" s="770"/>
      <c r="J492" s="768"/>
      <c r="K492" s="769"/>
      <c r="L492" s="769"/>
      <c r="M492" s="769"/>
      <c r="N492" s="663"/>
      <c r="O492" s="663"/>
      <c r="P492" s="663"/>
      <c r="Q492" s="663"/>
      <c r="R492" s="663"/>
      <c r="S492" s="663"/>
      <c r="T492" s="663"/>
      <c r="U492" s="663"/>
      <c r="V492" s="663"/>
      <c r="W492" s="663"/>
      <c r="X492" s="663"/>
      <c r="Y492" s="663"/>
      <c r="Z492" s="663"/>
      <c r="AA492" s="663"/>
      <c r="AB492" s="663"/>
      <c r="AC492" s="663"/>
      <c r="AD492" s="663"/>
      <c r="AE492" s="663"/>
      <c r="AF492" s="663"/>
      <c r="AG492" s="663"/>
      <c r="AH492" s="663"/>
      <c r="AI492" s="663"/>
      <c r="AJ492" s="663"/>
      <c r="AK492" s="663"/>
      <c r="AL492" s="663"/>
      <c r="AM492" s="663"/>
      <c r="AN492" s="663"/>
      <c r="AO492" s="663"/>
      <c r="AP492" s="663"/>
      <c r="AQ492" s="663"/>
      <c r="AR492" s="663"/>
      <c r="AS492" s="663"/>
      <c r="AT492" s="663"/>
      <c r="AU492" s="663"/>
      <c r="AV492" s="663"/>
      <c r="AW492" s="663"/>
      <c r="AX492" s="663"/>
      <c r="AY492" s="663"/>
      <c r="AZ492" s="663"/>
      <c r="BA492" s="663"/>
      <c r="BB492" s="663"/>
      <c r="BC492" s="663"/>
      <c r="BD492" s="663"/>
      <c r="BE492" s="663"/>
    </row>
    <row r="493" spans="1:57" s="670" customFormat="1" ht="13.5" customHeight="1">
      <c r="A493" s="675"/>
      <c r="B493" s="776"/>
      <c r="C493" s="678"/>
      <c r="D493" s="677"/>
      <c r="E493" s="772"/>
      <c r="F493" s="771"/>
      <c r="G493" s="768"/>
      <c r="H493" s="770"/>
      <c r="I493" s="770"/>
      <c r="J493" s="768"/>
      <c r="K493" s="769"/>
      <c r="L493" s="769"/>
      <c r="M493" s="769"/>
      <c r="N493" s="663"/>
      <c r="O493" s="663"/>
      <c r="P493" s="663"/>
      <c r="Q493" s="663"/>
      <c r="R493" s="663"/>
      <c r="S493" s="663"/>
      <c r="T493" s="663"/>
      <c r="U493" s="663"/>
      <c r="V493" s="663"/>
      <c r="W493" s="663"/>
      <c r="X493" s="663"/>
      <c r="Y493" s="663"/>
      <c r="Z493" s="663"/>
      <c r="AA493" s="663"/>
      <c r="AB493" s="663"/>
      <c r="AC493" s="663"/>
      <c r="AD493" s="663"/>
      <c r="AE493" s="663"/>
      <c r="AF493" s="663"/>
      <c r="AG493" s="663"/>
      <c r="AH493" s="663"/>
      <c r="AI493" s="663"/>
      <c r="AJ493" s="663"/>
      <c r="AK493" s="663"/>
      <c r="AL493" s="663"/>
      <c r="AM493" s="663"/>
      <c r="AN493" s="663"/>
      <c r="AO493" s="663"/>
      <c r="AP493" s="663"/>
      <c r="AQ493" s="663"/>
      <c r="AR493" s="663"/>
      <c r="AS493" s="663"/>
      <c r="AT493" s="663"/>
      <c r="AU493" s="663"/>
      <c r="AV493" s="663"/>
      <c r="AW493" s="663"/>
      <c r="AX493" s="663"/>
      <c r="AY493" s="663"/>
      <c r="AZ493" s="663"/>
      <c r="BA493" s="663"/>
      <c r="BB493" s="663"/>
      <c r="BC493" s="663"/>
      <c r="BD493" s="663"/>
      <c r="BE493" s="663"/>
    </row>
    <row r="494" spans="1:57" s="670" customFormat="1" ht="13.5" customHeight="1">
      <c r="A494" s="675"/>
      <c r="B494" s="776"/>
      <c r="C494" s="678"/>
      <c r="D494" s="677"/>
      <c r="E494" s="772"/>
      <c r="F494" s="771"/>
      <c r="G494" s="768"/>
      <c r="H494" s="770"/>
      <c r="I494" s="770"/>
      <c r="J494" s="768"/>
      <c r="K494" s="769"/>
      <c r="L494" s="769"/>
      <c r="M494" s="769"/>
      <c r="N494" s="663"/>
      <c r="O494" s="663"/>
      <c r="P494" s="663"/>
      <c r="Q494" s="663"/>
      <c r="R494" s="663"/>
      <c r="S494" s="663"/>
      <c r="T494" s="663"/>
      <c r="U494" s="663"/>
      <c r="V494" s="663"/>
      <c r="W494" s="663"/>
      <c r="X494" s="663"/>
      <c r="Y494" s="663"/>
      <c r="Z494" s="663"/>
      <c r="AA494" s="663"/>
      <c r="AB494" s="663"/>
      <c r="AC494" s="663"/>
      <c r="AD494" s="663"/>
      <c r="AE494" s="663"/>
      <c r="AF494" s="663"/>
      <c r="AG494" s="663"/>
      <c r="AH494" s="663"/>
      <c r="AI494" s="663"/>
      <c r="AJ494" s="663"/>
      <c r="AK494" s="663"/>
      <c r="AL494" s="663"/>
      <c r="AM494" s="663"/>
      <c r="AN494" s="663"/>
      <c r="AO494" s="663"/>
      <c r="AP494" s="663"/>
      <c r="AQ494" s="663"/>
      <c r="AR494" s="663"/>
      <c r="AS494" s="663"/>
      <c r="AT494" s="663"/>
      <c r="AU494" s="663"/>
      <c r="AV494" s="663"/>
      <c r="AW494" s="663"/>
      <c r="AX494" s="663"/>
      <c r="AY494" s="663"/>
      <c r="AZ494" s="663"/>
      <c r="BA494" s="663"/>
      <c r="BB494" s="663"/>
      <c r="BC494" s="663"/>
      <c r="BD494" s="663"/>
      <c r="BE494" s="663"/>
    </row>
    <row r="495" spans="1:57" s="670" customFormat="1" ht="13.5" customHeight="1">
      <c r="A495" s="675"/>
      <c r="B495" s="807" t="s">
        <v>817</v>
      </c>
      <c r="C495" s="806" t="s">
        <v>36</v>
      </c>
      <c r="D495" s="805">
        <f>SUM(D496:D507)</f>
        <v>240</v>
      </c>
      <c r="E495" s="588"/>
      <c r="F495" s="804"/>
      <c r="G495" s="768"/>
      <c r="H495" s="768"/>
      <c r="I495" s="768"/>
      <c r="J495" s="768"/>
      <c r="K495" s="676"/>
      <c r="L495" s="676"/>
      <c r="M495" s="676"/>
      <c r="N495" s="663"/>
      <c r="O495" s="663"/>
      <c r="P495" s="663"/>
      <c r="Q495" s="663"/>
      <c r="R495" s="663"/>
      <c r="S495" s="663"/>
      <c r="T495" s="663"/>
      <c r="U495" s="663"/>
      <c r="V495" s="663"/>
      <c r="W495" s="663"/>
      <c r="X495" s="663"/>
      <c r="Y495" s="663"/>
      <c r="Z495" s="663"/>
      <c r="AA495" s="663"/>
      <c r="AB495" s="663"/>
      <c r="AC495" s="663"/>
      <c r="AD495" s="663"/>
      <c r="AE495" s="663"/>
      <c r="AF495" s="663"/>
      <c r="AG495" s="663"/>
      <c r="AH495" s="663"/>
      <c r="AI495" s="663"/>
      <c r="AJ495" s="663"/>
      <c r="AK495" s="663"/>
      <c r="AL495" s="663"/>
      <c r="AM495" s="663"/>
      <c r="AN495" s="663"/>
      <c r="AO495" s="663"/>
      <c r="AP495" s="663"/>
      <c r="AQ495" s="663"/>
      <c r="AR495" s="663"/>
      <c r="AS495" s="663"/>
      <c r="AT495" s="663"/>
      <c r="AU495" s="663"/>
      <c r="AV495" s="663"/>
      <c r="AW495" s="663"/>
      <c r="AX495" s="663"/>
      <c r="AY495" s="663"/>
      <c r="AZ495" s="663"/>
      <c r="BA495" s="663"/>
      <c r="BB495" s="663"/>
      <c r="BC495" s="663"/>
      <c r="BD495" s="663"/>
      <c r="BE495" s="663"/>
    </row>
    <row r="496" spans="1:57" s="670" customFormat="1" ht="13.5" customHeight="1">
      <c r="A496" s="675"/>
      <c r="B496" s="776"/>
      <c r="C496" s="678" t="s">
        <v>816</v>
      </c>
      <c r="D496" s="677">
        <v>60</v>
      </c>
      <c r="E496" s="772"/>
      <c r="F496" s="771"/>
      <c r="G496" s="768"/>
      <c r="H496" s="770"/>
      <c r="I496" s="770">
        <v>60</v>
      </c>
      <c r="J496" s="768"/>
      <c r="K496" s="769"/>
      <c r="L496" s="769"/>
      <c r="M496" s="769"/>
      <c r="N496" s="663"/>
      <c r="O496" s="663"/>
      <c r="P496" s="663"/>
      <c r="Q496" s="663"/>
      <c r="R496" s="663"/>
      <c r="S496" s="663"/>
      <c r="T496" s="663"/>
      <c r="U496" s="663"/>
      <c r="V496" s="663"/>
      <c r="W496" s="663"/>
      <c r="X496" s="663"/>
      <c r="Y496" s="663"/>
      <c r="Z496" s="663"/>
      <c r="AA496" s="663"/>
      <c r="AB496" s="663"/>
      <c r="AC496" s="663"/>
      <c r="AD496" s="663"/>
      <c r="AE496" s="663"/>
      <c r="AF496" s="663"/>
      <c r="AG496" s="663"/>
      <c r="AH496" s="663"/>
      <c r="AI496" s="663"/>
      <c r="AJ496" s="663"/>
      <c r="AK496" s="663"/>
      <c r="AL496" s="663"/>
      <c r="AM496" s="663"/>
      <c r="AN496" s="663"/>
      <c r="AO496" s="663"/>
      <c r="AP496" s="663"/>
      <c r="AQ496" s="663"/>
      <c r="AR496" s="663"/>
      <c r="AS496" s="663"/>
      <c r="AT496" s="663"/>
      <c r="AU496" s="663"/>
      <c r="AV496" s="663"/>
      <c r="AW496" s="663"/>
      <c r="AX496" s="663"/>
      <c r="AY496" s="663"/>
      <c r="AZ496" s="663"/>
      <c r="BA496" s="663"/>
      <c r="BB496" s="663"/>
      <c r="BC496" s="663"/>
      <c r="BD496" s="663"/>
      <c r="BE496" s="663"/>
    </row>
    <row r="497" spans="1:57" s="670" customFormat="1" ht="13.5" customHeight="1">
      <c r="A497" s="675"/>
      <c r="B497" s="776"/>
      <c r="C497" s="678" t="s">
        <v>816</v>
      </c>
      <c r="D497" s="677">
        <v>60</v>
      </c>
      <c r="E497" s="772"/>
      <c r="F497" s="771"/>
      <c r="G497" s="768"/>
      <c r="H497" s="770"/>
      <c r="I497" s="770">
        <v>60</v>
      </c>
      <c r="J497" s="768"/>
      <c r="K497" s="769"/>
      <c r="L497" s="769"/>
      <c r="M497" s="769"/>
      <c r="N497" s="663"/>
      <c r="O497" s="663"/>
      <c r="P497" s="663"/>
      <c r="Q497" s="663"/>
      <c r="R497" s="663"/>
      <c r="S497" s="663"/>
      <c r="T497" s="663"/>
      <c r="U497" s="663"/>
      <c r="V497" s="663"/>
      <c r="W497" s="663"/>
      <c r="X497" s="663"/>
      <c r="Y497" s="663"/>
      <c r="Z497" s="663"/>
      <c r="AA497" s="663"/>
      <c r="AB497" s="663"/>
      <c r="AC497" s="663"/>
      <c r="AD497" s="663"/>
      <c r="AE497" s="663"/>
      <c r="AF497" s="663"/>
      <c r="AG497" s="663"/>
      <c r="AH497" s="663"/>
      <c r="AI497" s="663"/>
      <c r="AJ497" s="663"/>
      <c r="AK497" s="663"/>
      <c r="AL497" s="663"/>
      <c r="AM497" s="663"/>
      <c r="AN497" s="663"/>
      <c r="AO497" s="663"/>
      <c r="AP497" s="663"/>
      <c r="AQ497" s="663"/>
      <c r="AR497" s="663"/>
      <c r="AS497" s="663"/>
      <c r="AT497" s="663"/>
      <c r="AU497" s="663"/>
      <c r="AV497" s="663"/>
      <c r="AW497" s="663"/>
      <c r="AX497" s="663"/>
      <c r="AY497" s="663"/>
      <c r="AZ497" s="663"/>
      <c r="BA497" s="663"/>
      <c r="BB497" s="663"/>
      <c r="BC497" s="663"/>
      <c r="BD497" s="663"/>
      <c r="BE497" s="663"/>
    </row>
    <row r="498" spans="1:57" s="670" customFormat="1" ht="13.5" customHeight="1">
      <c r="A498" s="675"/>
      <c r="B498" s="776"/>
      <c r="C498" s="678" t="s">
        <v>816</v>
      </c>
      <c r="D498" s="677">
        <v>60</v>
      </c>
      <c r="E498" s="772"/>
      <c r="F498" s="771"/>
      <c r="G498" s="768"/>
      <c r="H498" s="770"/>
      <c r="I498" s="770">
        <v>60</v>
      </c>
      <c r="J498" s="768"/>
      <c r="K498" s="769"/>
      <c r="L498" s="769"/>
      <c r="M498" s="769"/>
      <c r="N498" s="663"/>
      <c r="O498" s="663"/>
      <c r="P498" s="663"/>
      <c r="Q498" s="663"/>
      <c r="R498" s="663"/>
      <c r="S498" s="663"/>
      <c r="T498" s="663"/>
      <c r="U498" s="663"/>
      <c r="V498" s="663"/>
      <c r="W498" s="663"/>
      <c r="X498" s="663"/>
      <c r="Y498" s="663"/>
      <c r="Z498" s="663"/>
      <c r="AA498" s="663"/>
      <c r="AB498" s="663"/>
      <c r="AC498" s="663"/>
      <c r="AD498" s="663"/>
      <c r="AE498" s="663"/>
      <c r="AF498" s="663"/>
      <c r="AG498" s="663"/>
      <c r="AH498" s="663"/>
      <c r="AI498" s="663"/>
      <c r="AJ498" s="663"/>
      <c r="AK498" s="663"/>
      <c r="AL498" s="663"/>
      <c r="AM498" s="663"/>
      <c r="AN498" s="663"/>
      <c r="AO498" s="663"/>
      <c r="AP498" s="663"/>
      <c r="AQ498" s="663"/>
      <c r="AR498" s="663"/>
      <c r="AS498" s="663"/>
      <c r="AT498" s="663"/>
      <c r="AU498" s="663"/>
      <c r="AV498" s="663"/>
      <c r="AW498" s="663"/>
      <c r="AX498" s="663"/>
      <c r="AY498" s="663"/>
      <c r="AZ498" s="663"/>
      <c r="BA498" s="663"/>
      <c r="BB498" s="663"/>
      <c r="BC498" s="663"/>
      <c r="BD498" s="663"/>
      <c r="BE498" s="663"/>
    </row>
    <row r="499" spans="1:57" s="670" customFormat="1" ht="13.5" customHeight="1">
      <c r="A499" s="675"/>
      <c r="B499" s="776"/>
      <c r="C499" s="678" t="s">
        <v>816</v>
      </c>
      <c r="D499" s="677">
        <v>60</v>
      </c>
      <c r="E499" s="772"/>
      <c r="F499" s="771"/>
      <c r="G499" s="768"/>
      <c r="H499" s="770"/>
      <c r="I499" s="770">
        <v>60</v>
      </c>
      <c r="J499" s="768"/>
      <c r="K499" s="769"/>
      <c r="L499" s="769"/>
      <c r="M499" s="769"/>
      <c r="N499" s="663"/>
      <c r="O499" s="663"/>
      <c r="P499" s="663"/>
      <c r="Q499" s="663"/>
      <c r="R499" s="663"/>
      <c r="S499" s="663"/>
      <c r="T499" s="663"/>
      <c r="U499" s="663"/>
      <c r="V499" s="663"/>
      <c r="W499" s="663"/>
      <c r="X499" s="663"/>
      <c r="Y499" s="663"/>
      <c r="Z499" s="663"/>
      <c r="AA499" s="663"/>
      <c r="AB499" s="663"/>
      <c r="AC499" s="663"/>
      <c r="AD499" s="663"/>
      <c r="AE499" s="663"/>
      <c r="AF499" s="663"/>
      <c r="AG499" s="663"/>
      <c r="AH499" s="663"/>
      <c r="AI499" s="663"/>
      <c r="AJ499" s="663"/>
      <c r="AK499" s="663"/>
      <c r="AL499" s="663"/>
      <c r="AM499" s="663"/>
      <c r="AN499" s="663"/>
      <c r="AO499" s="663"/>
      <c r="AP499" s="663"/>
      <c r="AQ499" s="663"/>
      <c r="AR499" s="663"/>
      <c r="AS499" s="663"/>
      <c r="AT499" s="663"/>
      <c r="AU499" s="663"/>
      <c r="AV499" s="663"/>
      <c r="AW499" s="663"/>
      <c r="AX499" s="663"/>
      <c r="AY499" s="663"/>
      <c r="AZ499" s="663"/>
      <c r="BA499" s="663"/>
      <c r="BB499" s="663"/>
      <c r="BC499" s="663"/>
      <c r="BD499" s="663"/>
      <c r="BE499" s="663"/>
    </row>
    <row r="500" spans="1:57" s="670" customFormat="1" ht="13.5" customHeight="1">
      <c r="A500" s="675"/>
      <c r="B500" s="776"/>
      <c r="C500" s="678"/>
      <c r="D500" s="677"/>
      <c r="E500" s="772"/>
      <c r="F500" s="771"/>
      <c r="G500" s="768"/>
      <c r="H500" s="770"/>
      <c r="I500" s="770"/>
      <c r="J500" s="768"/>
      <c r="K500" s="769"/>
      <c r="L500" s="769"/>
      <c r="M500" s="769"/>
      <c r="N500" s="663"/>
      <c r="O500" s="663"/>
      <c r="P500" s="663"/>
      <c r="Q500" s="663"/>
      <c r="R500" s="663"/>
      <c r="S500" s="663"/>
      <c r="T500" s="663"/>
      <c r="U500" s="663"/>
      <c r="V500" s="663"/>
      <c r="W500" s="663"/>
      <c r="X500" s="663"/>
      <c r="Y500" s="663"/>
      <c r="Z500" s="663"/>
      <c r="AA500" s="663"/>
      <c r="AB500" s="663"/>
      <c r="AC500" s="663"/>
      <c r="AD500" s="663"/>
      <c r="AE500" s="663"/>
      <c r="AF500" s="663"/>
      <c r="AG500" s="663"/>
      <c r="AH500" s="663"/>
      <c r="AI500" s="663"/>
      <c r="AJ500" s="663"/>
      <c r="AK500" s="663"/>
      <c r="AL500" s="663"/>
      <c r="AM500" s="663"/>
      <c r="AN500" s="663"/>
      <c r="AO500" s="663"/>
      <c r="AP500" s="663"/>
      <c r="AQ500" s="663"/>
      <c r="AR500" s="663"/>
      <c r="AS500" s="663"/>
      <c r="AT500" s="663"/>
      <c r="AU500" s="663"/>
      <c r="AV500" s="663"/>
      <c r="AW500" s="663"/>
      <c r="AX500" s="663"/>
      <c r="AY500" s="663"/>
      <c r="AZ500" s="663"/>
      <c r="BA500" s="663"/>
      <c r="BB500" s="663"/>
      <c r="BC500" s="663"/>
      <c r="BD500" s="663"/>
      <c r="BE500" s="663"/>
    </row>
    <row r="501" spans="1:57" s="670" customFormat="1" ht="13.5" customHeight="1">
      <c r="A501" s="675"/>
      <c r="B501" s="776"/>
      <c r="C501" s="678"/>
      <c r="D501" s="677"/>
      <c r="E501" s="772"/>
      <c r="F501" s="771"/>
      <c r="G501" s="768"/>
      <c r="H501" s="770"/>
      <c r="I501" s="770"/>
      <c r="J501" s="768"/>
      <c r="K501" s="769"/>
      <c r="L501" s="769"/>
      <c r="M501" s="769"/>
      <c r="N501" s="663"/>
      <c r="O501" s="663"/>
      <c r="P501" s="663"/>
      <c r="Q501" s="663"/>
      <c r="R501" s="663"/>
      <c r="S501" s="663"/>
      <c r="T501" s="663"/>
      <c r="U501" s="663"/>
      <c r="V501" s="663"/>
      <c r="W501" s="663"/>
      <c r="X501" s="663"/>
      <c r="Y501" s="663"/>
      <c r="Z501" s="663"/>
      <c r="AA501" s="663"/>
      <c r="AB501" s="663"/>
      <c r="AC501" s="663"/>
      <c r="AD501" s="663"/>
      <c r="AE501" s="663"/>
      <c r="AF501" s="663"/>
      <c r="AG501" s="663"/>
      <c r="AH501" s="663"/>
      <c r="AI501" s="663"/>
      <c r="AJ501" s="663"/>
      <c r="AK501" s="663"/>
      <c r="AL501" s="663"/>
      <c r="AM501" s="663"/>
      <c r="AN501" s="663"/>
      <c r="AO501" s="663"/>
      <c r="AP501" s="663"/>
      <c r="AQ501" s="663"/>
      <c r="AR501" s="663"/>
      <c r="AS501" s="663"/>
      <c r="AT501" s="663"/>
      <c r="AU501" s="663"/>
      <c r="AV501" s="663"/>
      <c r="AW501" s="663"/>
      <c r="AX501" s="663"/>
      <c r="AY501" s="663"/>
      <c r="AZ501" s="663"/>
      <c r="BA501" s="663"/>
      <c r="BB501" s="663"/>
      <c r="BC501" s="663"/>
      <c r="BD501" s="663"/>
      <c r="BE501" s="663"/>
    </row>
    <row r="502" spans="1:57" s="670" customFormat="1" ht="13.5" customHeight="1">
      <c r="A502" s="675"/>
      <c r="B502" s="776"/>
      <c r="C502" s="678"/>
      <c r="D502" s="677"/>
      <c r="E502" s="772"/>
      <c r="F502" s="771"/>
      <c r="G502" s="768"/>
      <c r="H502" s="770"/>
      <c r="I502" s="770"/>
      <c r="J502" s="768"/>
      <c r="K502" s="769"/>
      <c r="L502" s="769"/>
      <c r="M502" s="769"/>
      <c r="N502" s="663"/>
      <c r="O502" s="663"/>
      <c r="P502" s="663"/>
      <c r="Q502" s="663"/>
      <c r="R502" s="663"/>
      <c r="S502" s="663"/>
      <c r="T502" s="663"/>
      <c r="U502" s="663"/>
      <c r="V502" s="663"/>
      <c r="W502" s="663"/>
      <c r="X502" s="663"/>
      <c r="Y502" s="663"/>
      <c r="Z502" s="663"/>
      <c r="AA502" s="663"/>
      <c r="AB502" s="663"/>
      <c r="AC502" s="663"/>
      <c r="AD502" s="663"/>
      <c r="AE502" s="663"/>
      <c r="AF502" s="663"/>
      <c r="AG502" s="663"/>
      <c r="AH502" s="663"/>
      <c r="AI502" s="663"/>
      <c r="AJ502" s="663"/>
      <c r="AK502" s="663"/>
      <c r="AL502" s="663"/>
      <c r="AM502" s="663"/>
      <c r="AN502" s="663"/>
      <c r="AO502" s="663"/>
      <c r="AP502" s="663"/>
      <c r="AQ502" s="663"/>
      <c r="AR502" s="663"/>
      <c r="AS502" s="663"/>
      <c r="AT502" s="663"/>
      <c r="AU502" s="663"/>
      <c r="AV502" s="663"/>
      <c r="AW502" s="663"/>
      <c r="AX502" s="663"/>
      <c r="AY502" s="663"/>
      <c r="AZ502" s="663"/>
      <c r="BA502" s="663"/>
      <c r="BB502" s="663"/>
      <c r="BC502" s="663"/>
      <c r="BD502" s="663"/>
      <c r="BE502" s="663"/>
    </row>
    <row r="503" spans="1:57" s="670" customFormat="1" ht="13.5" customHeight="1">
      <c r="A503" s="675"/>
      <c r="B503" s="776"/>
      <c r="C503" s="678"/>
      <c r="D503" s="677"/>
      <c r="E503" s="772"/>
      <c r="F503" s="771"/>
      <c r="G503" s="768"/>
      <c r="H503" s="770"/>
      <c r="I503" s="770"/>
      <c r="J503" s="768"/>
      <c r="K503" s="769"/>
      <c r="L503" s="769"/>
      <c r="M503" s="769"/>
      <c r="N503" s="663"/>
      <c r="O503" s="663"/>
      <c r="P503" s="663"/>
      <c r="Q503" s="663"/>
      <c r="R503" s="663"/>
      <c r="S503" s="663"/>
      <c r="T503" s="663"/>
      <c r="U503" s="663"/>
      <c r="V503" s="663"/>
      <c r="W503" s="663"/>
      <c r="X503" s="663"/>
      <c r="Y503" s="663"/>
      <c r="Z503" s="663"/>
      <c r="AA503" s="663"/>
      <c r="AB503" s="663"/>
      <c r="AC503" s="663"/>
      <c r="AD503" s="663"/>
      <c r="AE503" s="663"/>
      <c r="AF503" s="663"/>
      <c r="AG503" s="663"/>
      <c r="AH503" s="663"/>
      <c r="AI503" s="663"/>
      <c r="AJ503" s="663"/>
      <c r="AK503" s="663"/>
      <c r="AL503" s="663"/>
      <c r="AM503" s="663"/>
      <c r="AN503" s="663"/>
      <c r="AO503" s="663"/>
      <c r="AP503" s="663"/>
      <c r="AQ503" s="663"/>
      <c r="AR503" s="663"/>
      <c r="AS503" s="663"/>
      <c r="AT503" s="663"/>
      <c r="AU503" s="663"/>
      <c r="AV503" s="663"/>
      <c r="AW503" s="663"/>
      <c r="AX503" s="663"/>
      <c r="AY503" s="663"/>
      <c r="AZ503" s="663"/>
      <c r="BA503" s="663"/>
      <c r="BB503" s="663"/>
      <c r="BC503" s="663"/>
      <c r="BD503" s="663"/>
      <c r="BE503" s="663"/>
    </row>
    <row r="504" spans="1:57" s="670" customFormat="1" ht="13.5" customHeight="1">
      <c r="A504" s="675"/>
      <c r="B504" s="776"/>
      <c r="C504" s="678"/>
      <c r="D504" s="677"/>
      <c r="E504" s="772"/>
      <c r="F504" s="771"/>
      <c r="G504" s="768"/>
      <c r="H504" s="770"/>
      <c r="I504" s="770"/>
      <c r="J504" s="768"/>
      <c r="K504" s="769"/>
      <c r="L504" s="769"/>
      <c r="M504" s="769"/>
      <c r="N504" s="663"/>
      <c r="O504" s="663"/>
      <c r="P504" s="663"/>
      <c r="Q504" s="663"/>
      <c r="R504" s="663"/>
      <c r="S504" s="663"/>
      <c r="T504" s="663"/>
      <c r="U504" s="663"/>
      <c r="V504" s="663"/>
      <c r="W504" s="663"/>
      <c r="X504" s="663"/>
      <c r="Y504" s="663"/>
      <c r="Z504" s="663"/>
      <c r="AA504" s="663"/>
      <c r="AB504" s="663"/>
      <c r="AC504" s="663"/>
      <c r="AD504" s="663"/>
      <c r="AE504" s="663"/>
      <c r="AF504" s="663"/>
      <c r="AG504" s="663"/>
      <c r="AH504" s="663"/>
      <c r="AI504" s="663"/>
      <c r="AJ504" s="663"/>
      <c r="AK504" s="663"/>
      <c r="AL504" s="663"/>
      <c r="AM504" s="663"/>
      <c r="AN504" s="663"/>
      <c r="AO504" s="663"/>
      <c r="AP504" s="663"/>
      <c r="AQ504" s="663"/>
      <c r="AR504" s="663"/>
      <c r="AS504" s="663"/>
      <c r="AT504" s="663"/>
      <c r="AU504" s="663"/>
      <c r="AV504" s="663"/>
      <c r="AW504" s="663"/>
      <c r="AX504" s="663"/>
      <c r="AY504" s="663"/>
      <c r="AZ504" s="663"/>
      <c r="BA504" s="663"/>
      <c r="BB504" s="663"/>
      <c r="BC504" s="663"/>
      <c r="BD504" s="663"/>
      <c r="BE504" s="663"/>
    </row>
    <row r="505" spans="1:57" s="670" customFormat="1" ht="13.5" customHeight="1">
      <c r="A505" s="675"/>
      <c r="B505" s="776"/>
      <c r="C505" s="678"/>
      <c r="D505" s="677"/>
      <c r="E505" s="772"/>
      <c r="F505" s="771"/>
      <c r="G505" s="768"/>
      <c r="H505" s="770"/>
      <c r="I505" s="770"/>
      <c r="J505" s="768"/>
      <c r="K505" s="769"/>
      <c r="L505" s="769"/>
      <c r="M505" s="769"/>
      <c r="N505" s="663"/>
      <c r="O505" s="663"/>
      <c r="P505" s="663"/>
      <c r="Q505" s="663"/>
      <c r="R505" s="663"/>
      <c r="S505" s="663"/>
      <c r="T505" s="663"/>
      <c r="U505" s="663"/>
      <c r="V505" s="663"/>
      <c r="W505" s="663"/>
      <c r="X505" s="663"/>
      <c r="Y505" s="663"/>
      <c r="Z505" s="663"/>
      <c r="AA505" s="663"/>
      <c r="AB505" s="663"/>
      <c r="AC505" s="663"/>
      <c r="AD505" s="663"/>
      <c r="AE505" s="663"/>
      <c r="AF505" s="663"/>
      <c r="AG505" s="663"/>
      <c r="AH505" s="663"/>
      <c r="AI505" s="663"/>
      <c r="AJ505" s="663"/>
      <c r="AK505" s="663"/>
      <c r="AL505" s="663"/>
      <c r="AM505" s="663"/>
      <c r="AN505" s="663"/>
      <c r="AO505" s="663"/>
      <c r="AP505" s="663"/>
      <c r="AQ505" s="663"/>
      <c r="AR505" s="663"/>
      <c r="AS505" s="663"/>
      <c r="AT505" s="663"/>
      <c r="AU505" s="663"/>
      <c r="AV505" s="663"/>
      <c r="AW505" s="663"/>
      <c r="AX505" s="663"/>
      <c r="AY505" s="663"/>
      <c r="AZ505" s="663"/>
      <c r="BA505" s="663"/>
      <c r="BB505" s="663"/>
      <c r="BC505" s="663"/>
      <c r="BD505" s="663"/>
      <c r="BE505" s="663"/>
    </row>
    <row r="506" spans="1:57" s="670" customFormat="1" ht="13.5" customHeight="1">
      <c r="A506" s="675"/>
      <c r="B506" s="776"/>
      <c r="C506" s="678"/>
      <c r="D506" s="677"/>
      <c r="E506" s="772"/>
      <c r="F506" s="771"/>
      <c r="G506" s="768"/>
      <c r="H506" s="770"/>
      <c r="I506" s="770"/>
      <c r="J506" s="768"/>
      <c r="K506" s="769"/>
      <c r="L506" s="769"/>
      <c r="M506" s="769"/>
      <c r="N506" s="663"/>
      <c r="O506" s="663"/>
      <c r="P506" s="663"/>
      <c r="Q506" s="663"/>
      <c r="R506" s="663"/>
      <c r="S506" s="663"/>
      <c r="T506" s="663"/>
      <c r="U506" s="663"/>
      <c r="V506" s="663"/>
      <c r="W506" s="663"/>
      <c r="X506" s="663"/>
      <c r="Y506" s="663"/>
      <c r="Z506" s="663"/>
      <c r="AA506" s="663"/>
      <c r="AB506" s="663"/>
      <c r="AC506" s="663"/>
      <c r="AD506" s="663"/>
      <c r="AE506" s="663"/>
      <c r="AF506" s="663"/>
      <c r="AG506" s="663"/>
      <c r="AH506" s="663"/>
      <c r="AI506" s="663"/>
      <c r="AJ506" s="663"/>
      <c r="AK506" s="663"/>
      <c r="AL506" s="663"/>
      <c r="AM506" s="663"/>
      <c r="AN506" s="663"/>
      <c r="AO506" s="663"/>
      <c r="AP506" s="663"/>
      <c r="AQ506" s="663"/>
      <c r="AR506" s="663"/>
      <c r="AS506" s="663"/>
      <c r="AT506" s="663"/>
      <c r="AU506" s="663"/>
      <c r="AV506" s="663"/>
      <c r="AW506" s="663"/>
      <c r="AX506" s="663"/>
      <c r="AY506" s="663"/>
      <c r="AZ506" s="663"/>
      <c r="BA506" s="663"/>
      <c r="BB506" s="663"/>
      <c r="BC506" s="663"/>
      <c r="BD506" s="663"/>
      <c r="BE506" s="663"/>
    </row>
    <row r="507" spans="1:57" s="670" customFormat="1" ht="13.5" customHeight="1">
      <c r="A507" s="675"/>
      <c r="B507" s="775"/>
      <c r="C507" s="774"/>
      <c r="D507" s="773"/>
      <c r="E507" s="772"/>
      <c r="F507" s="771"/>
      <c r="G507" s="768"/>
      <c r="H507" s="770"/>
      <c r="I507" s="770"/>
      <c r="J507" s="768"/>
      <c r="K507" s="769"/>
      <c r="L507" s="769"/>
      <c r="M507" s="769"/>
      <c r="N507" s="663"/>
      <c r="O507" s="663"/>
      <c r="P507" s="663"/>
      <c r="Q507" s="663"/>
      <c r="R507" s="663"/>
      <c r="S507" s="663"/>
      <c r="T507" s="663"/>
      <c r="U507" s="663"/>
      <c r="V507" s="663"/>
      <c r="W507" s="663"/>
      <c r="X507" s="663"/>
      <c r="Y507" s="663"/>
      <c r="Z507" s="663"/>
      <c r="AA507" s="663"/>
      <c r="AB507" s="663"/>
      <c r="AC507" s="663"/>
      <c r="AD507" s="663"/>
      <c r="AE507" s="663"/>
      <c r="AF507" s="663"/>
      <c r="AG507" s="663"/>
      <c r="AH507" s="663"/>
      <c r="AI507" s="663"/>
      <c r="AJ507" s="663"/>
      <c r="AK507" s="663"/>
      <c r="AL507" s="663"/>
      <c r="AM507" s="663"/>
      <c r="AN507" s="663"/>
      <c r="AO507" s="663"/>
      <c r="AP507" s="663"/>
      <c r="AQ507" s="663"/>
      <c r="AR507" s="663"/>
      <c r="AS507" s="663"/>
      <c r="AT507" s="663"/>
      <c r="AU507" s="663"/>
      <c r="AV507" s="663"/>
      <c r="AW507" s="663"/>
      <c r="AX507" s="663"/>
      <c r="AY507" s="663"/>
      <c r="AZ507" s="663"/>
      <c r="BA507" s="663"/>
      <c r="BB507" s="663"/>
      <c r="BC507" s="663"/>
      <c r="BD507" s="663"/>
      <c r="BE507" s="663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607"/>
  <sheetViews>
    <sheetView workbookViewId="0">
      <pane ySplit="15" topLeftCell="A16" activePane="bottomLeft" state="frozen"/>
      <selection activeCell="F31" sqref="F31"/>
      <selection pane="bottomLeft" activeCell="F31" sqref="F31"/>
    </sheetView>
  </sheetViews>
  <sheetFormatPr defaultColWidth="9.109375" defaultRowHeight="12" customHeight="1"/>
  <cols>
    <col min="1" max="1" width="2.33203125" style="648" customWidth="1"/>
    <col min="2" max="2" width="12.88671875" style="652" customWidth="1"/>
    <col min="3" max="3" width="11.88671875" style="837" customWidth="1"/>
    <col min="4" max="4" width="11.6640625" style="650" customWidth="1"/>
    <col min="5" max="5" width="11.6640625" style="836" customWidth="1"/>
    <col min="6" max="8" width="11.6640625" style="650" customWidth="1"/>
    <col min="9" max="9" width="11.6640625" style="803" customWidth="1"/>
    <col min="10" max="15" width="11.6640625" style="650" customWidth="1"/>
    <col min="16" max="16" width="12.109375" style="835" bestFit="1" customWidth="1"/>
    <col min="17" max="16384" width="9.109375" style="835"/>
  </cols>
  <sheetData>
    <row r="1" spans="1:15" s="744" customFormat="1" ht="12" customHeight="1">
      <c r="A1" s="700"/>
      <c r="B1" s="948" t="s">
        <v>978</v>
      </c>
      <c r="C1" s="947" t="s">
        <v>977</v>
      </c>
      <c r="D1" s="945" t="s">
        <v>976</v>
      </c>
      <c r="E1" s="946" t="s">
        <v>14</v>
      </c>
      <c r="F1" s="945" t="s">
        <v>384</v>
      </c>
      <c r="G1" s="945" t="s">
        <v>284</v>
      </c>
      <c r="H1" s="945" t="s">
        <v>286</v>
      </c>
      <c r="I1" s="945" t="s">
        <v>15</v>
      </c>
      <c r="J1" s="945" t="s">
        <v>35</v>
      </c>
      <c r="K1" s="3051" t="s">
        <v>34</v>
      </c>
      <c r="L1" s="3051" t="s">
        <v>33</v>
      </c>
      <c r="M1" s="944" t="s">
        <v>31</v>
      </c>
      <c r="N1" s="944" t="s">
        <v>30</v>
      </c>
      <c r="O1" s="944"/>
    </row>
    <row r="2" spans="1:15" s="744" customFormat="1" ht="12" customHeight="1">
      <c r="A2" s="695"/>
      <c r="B2" s="942" t="s">
        <v>567</v>
      </c>
      <c r="C2" s="941"/>
      <c r="D2" s="938">
        <f t="shared" ref="D2:N2" si="0">SUM(D4:D15)</f>
        <v>41265.419999999991</v>
      </c>
      <c r="E2" s="943">
        <f t="shared" si="0"/>
        <v>3246.5</v>
      </c>
      <c r="F2" s="938">
        <f t="shared" si="0"/>
        <v>3456.4400000000005</v>
      </c>
      <c r="G2" s="938">
        <f t="shared" si="0"/>
        <v>3942.0999999999985</v>
      </c>
      <c r="H2" s="938">
        <f t="shared" si="0"/>
        <v>433.35</v>
      </c>
      <c r="I2" s="938">
        <f t="shared" si="0"/>
        <v>30620.38</v>
      </c>
      <c r="J2" s="938">
        <f t="shared" si="0"/>
        <v>126601</v>
      </c>
      <c r="K2" s="938">
        <f t="shared" si="0"/>
        <v>95674</v>
      </c>
      <c r="L2" s="938">
        <f t="shared" si="0"/>
        <v>2244</v>
      </c>
      <c r="M2" s="938">
        <f t="shared" si="0"/>
        <v>12682</v>
      </c>
      <c r="N2" s="938">
        <f t="shared" si="0"/>
        <v>74740</v>
      </c>
      <c r="O2" s="938"/>
    </row>
    <row r="3" spans="1:15" s="744" customFormat="1" ht="12" customHeight="1">
      <c r="A3" s="695"/>
      <c r="B3" s="942" t="s">
        <v>418</v>
      </c>
      <c r="C3" s="941"/>
      <c r="D3" s="938"/>
      <c r="E3" s="940">
        <f t="shared" ref="E3:N3" si="1">AVERAGE(E4:E11)</f>
        <v>226.1875</v>
      </c>
      <c r="F3" s="939">
        <f t="shared" si="1"/>
        <v>208.38000000000002</v>
      </c>
      <c r="G3" s="939">
        <f t="shared" si="1"/>
        <v>304.36874999999992</v>
      </c>
      <c r="H3" s="939">
        <f t="shared" si="1"/>
        <v>0</v>
      </c>
      <c r="I3" s="939">
        <f t="shared" si="1"/>
        <v>2451.2062500000006</v>
      </c>
      <c r="J3" s="939">
        <f t="shared" si="1"/>
        <v>11502.5</v>
      </c>
      <c r="K3" s="939">
        <f t="shared" si="1"/>
        <v>9046.25</v>
      </c>
      <c r="L3" s="939">
        <f t="shared" si="1"/>
        <v>204</v>
      </c>
      <c r="M3" s="939">
        <f t="shared" si="1"/>
        <v>1131</v>
      </c>
      <c r="N3" s="939">
        <f t="shared" si="1"/>
        <v>6539.75</v>
      </c>
      <c r="O3" s="938"/>
    </row>
    <row r="4" spans="1:15" s="928" customFormat="1" ht="12" customHeight="1">
      <c r="A4" s="933"/>
      <c r="B4" s="937" t="s">
        <v>122</v>
      </c>
      <c r="C4" s="936"/>
      <c r="D4" s="934">
        <f t="shared" ref="D4:I4" si="2">SUM(D16:D65)</f>
        <v>4674.2199999999993</v>
      </c>
      <c r="E4" s="935">
        <f t="shared" si="2"/>
        <v>308</v>
      </c>
      <c r="F4" s="934">
        <f t="shared" si="2"/>
        <v>441.29</v>
      </c>
      <c r="G4" s="934">
        <f t="shared" si="2"/>
        <v>615.25</v>
      </c>
      <c r="H4" s="934">
        <f t="shared" si="2"/>
        <v>0</v>
      </c>
      <c r="I4" s="934">
        <f t="shared" si="2"/>
        <v>3309.68</v>
      </c>
      <c r="J4" s="934">
        <v>11298</v>
      </c>
      <c r="K4" s="934">
        <v>7530</v>
      </c>
      <c r="L4" s="934">
        <v>204</v>
      </c>
      <c r="M4" s="934">
        <v>1131</v>
      </c>
      <c r="N4" s="934">
        <v>7474</v>
      </c>
      <c r="O4" s="934"/>
    </row>
    <row r="5" spans="1:15" s="928" customFormat="1" ht="12" customHeight="1">
      <c r="A5" s="933"/>
      <c r="B5" s="932" t="s">
        <v>121</v>
      </c>
      <c r="C5" s="931"/>
      <c r="D5" s="929">
        <f t="shared" ref="D5:I5" si="3">SUM(D66:D96)</f>
        <v>2105.25</v>
      </c>
      <c r="E5" s="930">
        <f t="shared" si="3"/>
        <v>154</v>
      </c>
      <c r="F5" s="929">
        <f t="shared" si="3"/>
        <v>171.60000000000002</v>
      </c>
      <c r="G5" s="929">
        <f t="shared" si="3"/>
        <v>241.85</v>
      </c>
      <c r="H5" s="929">
        <f t="shared" si="3"/>
        <v>0</v>
      </c>
      <c r="I5" s="929">
        <f t="shared" si="3"/>
        <v>1537.8000000000002</v>
      </c>
      <c r="J5" s="929">
        <v>11560</v>
      </c>
      <c r="K5" s="929">
        <v>18232</v>
      </c>
      <c r="L5" s="929">
        <v>204</v>
      </c>
      <c r="M5" s="929">
        <v>1131</v>
      </c>
      <c r="N5" s="934">
        <v>7474</v>
      </c>
      <c r="O5" s="934"/>
    </row>
    <row r="6" spans="1:15" s="928" customFormat="1" ht="12" customHeight="1">
      <c r="A6" s="933"/>
      <c r="B6" s="932" t="s">
        <v>120</v>
      </c>
      <c r="C6" s="931"/>
      <c r="D6" s="929">
        <f t="shared" ref="D6:I6" si="4">SUM(D97:D126)</f>
        <v>2984.5400000000004</v>
      </c>
      <c r="E6" s="930">
        <f t="shared" si="4"/>
        <v>154</v>
      </c>
      <c r="F6" s="929">
        <f t="shared" si="4"/>
        <v>212.7</v>
      </c>
      <c r="G6" s="929">
        <f t="shared" si="4"/>
        <v>288.75</v>
      </c>
      <c r="H6" s="929">
        <f t="shared" si="4"/>
        <v>0</v>
      </c>
      <c r="I6" s="929">
        <f t="shared" si="4"/>
        <v>2329.0900000000006</v>
      </c>
      <c r="J6" s="929">
        <v>11527</v>
      </c>
      <c r="K6" s="929">
        <v>7768</v>
      </c>
      <c r="L6" s="929">
        <v>204</v>
      </c>
      <c r="M6" s="929">
        <v>1131</v>
      </c>
      <c r="N6" s="934">
        <v>7474</v>
      </c>
      <c r="O6" s="934"/>
    </row>
    <row r="7" spans="1:15" s="928" customFormat="1" ht="12" customHeight="1">
      <c r="A7" s="933"/>
      <c r="B7" s="932" t="s">
        <v>119</v>
      </c>
      <c r="C7" s="931"/>
      <c r="D7" s="929">
        <f t="shared" ref="D7:I7" si="5">SUM(D127:D170)</f>
        <v>4043.3999999999983</v>
      </c>
      <c r="E7" s="930">
        <f t="shared" si="5"/>
        <v>231</v>
      </c>
      <c r="F7" s="929">
        <f t="shared" si="5"/>
        <v>130.6</v>
      </c>
      <c r="G7" s="929">
        <f t="shared" si="5"/>
        <v>426.29999999999995</v>
      </c>
      <c r="H7" s="929">
        <f t="shared" si="5"/>
        <v>0</v>
      </c>
      <c r="I7" s="929">
        <f t="shared" si="5"/>
        <v>3255.4999999999991</v>
      </c>
      <c r="J7" s="929">
        <v>11527</v>
      </c>
      <c r="K7" s="929">
        <v>7768</v>
      </c>
      <c r="L7" s="929">
        <v>204</v>
      </c>
      <c r="M7" s="929">
        <v>1131</v>
      </c>
      <c r="N7" s="934">
        <v>7474</v>
      </c>
      <c r="O7" s="934"/>
    </row>
    <row r="8" spans="1:15" s="928" customFormat="1" ht="12" customHeight="1">
      <c r="A8" s="933"/>
      <c r="B8" s="932" t="s">
        <v>118</v>
      </c>
      <c r="C8" s="931"/>
      <c r="D8" s="929">
        <f t="shared" ref="D8:I8" si="6">SUM(D171:D201)</f>
        <v>3354.25</v>
      </c>
      <c r="E8" s="930">
        <f t="shared" si="6"/>
        <v>115.5</v>
      </c>
      <c r="F8" s="929">
        <f t="shared" si="6"/>
        <v>113.15</v>
      </c>
      <c r="G8" s="929">
        <f t="shared" si="6"/>
        <v>299.89999999999998</v>
      </c>
      <c r="H8" s="929">
        <f t="shared" si="6"/>
        <v>0</v>
      </c>
      <c r="I8" s="929">
        <f t="shared" si="6"/>
        <v>2825.7</v>
      </c>
      <c r="J8" s="929">
        <v>11527</v>
      </c>
      <c r="K8" s="929">
        <v>7768</v>
      </c>
      <c r="L8" s="929">
        <v>204</v>
      </c>
      <c r="M8" s="929">
        <v>1131</v>
      </c>
      <c r="N8" s="934">
        <v>7474</v>
      </c>
      <c r="O8" s="934"/>
    </row>
    <row r="9" spans="1:15" s="928" customFormat="1" ht="12" customHeight="1">
      <c r="A9" s="933"/>
      <c r="B9" s="932" t="s">
        <v>44</v>
      </c>
      <c r="C9" s="931"/>
      <c r="D9" s="929">
        <f t="shared" ref="D9:I9" si="7">SUM(D202:D257)</f>
        <v>3288.7699999999995</v>
      </c>
      <c r="E9" s="930">
        <f t="shared" si="7"/>
        <v>231</v>
      </c>
      <c r="F9" s="929">
        <f t="shared" si="7"/>
        <v>333.2</v>
      </c>
      <c r="G9" s="929">
        <f t="shared" si="7"/>
        <v>269.45</v>
      </c>
      <c r="H9" s="929">
        <f t="shared" si="7"/>
        <v>0</v>
      </c>
      <c r="I9" s="929">
        <f t="shared" si="7"/>
        <v>2455.1200000000003</v>
      </c>
      <c r="J9" s="929">
        <v>11527</v>
      </c>
      <c r="K9" s="929">
        <v>7768</v>
      </c>
      <c r="L9" s="929">
        <v>204</v>
      </c>
      <c r="M9" s="929">
        <v>1131</v>
      </c>
      <c r="N9" s="929">
        <v>7474</v>
      </c>
      <c r="O9" s="934"/>
    </row>
    <row r="10" spans="1:15" s="928" customFormat="1" ht="12" customHeight="1">
      <c r="A10" s="933"/>
      <c r="B10" s="932" t="s">
        <v>117</v>
      </c>
      <c r="C10" s="931"/>
      <c r="D10" s="929">
        <f t="shared" ref="D10:I10" si="8">SUM(D258:D296)</f>
        <v>2402.7000000000003</v>
      </c>
      <c r="E10" s="930">
        <f t="shared" si="8"/>
        <v>308</v>
      </c>
      <c r="F10" s="929">
        <f t="shared" si="8"/>
        <v>78.95</v>
      </c>
      <c r="G10" s="929">
        <f t="shared" si="8"/>
        <v>62.5</v>
      </c>
      <c r="H10" s="929">
        <f t="shared" si="8"/>
        <v>0</v>
      </c>
      <c r="I10" s="929">
        <f t="shared" si="8"/>
        <v>1953.2500000000002</v>
      </c>
      <c r="J10" s="929">
        <v>11527</v>
      </c>
      <c r="K10" s="929">
        <v>7768</v>
      </c>
      <c r="L10" s="929">
        <v>204</v>
      </c>
      <c r="M10" s="929">
        <v>1131</v>
      </c>
      <c r="N10" s="929">
        <v>0</v>
      </c>
      <c r="O10" s="929"/>
    </row>
    <row r="11" spans="1:15" s="928" customFormat="1" ht="12" customHeight="1">
      <c r="A11" s="933"/>
      <c r="B11" s="932" t="s">
        <v>116</v>
      </c>
      <c r="C11" s="931"/>
      <c r="D11" s="929">
        <f t="shared" ref="D11:I11" si="9">SUM(D297:D337)</f>
        <v>2668.0099999999998</v>
      </c>
      <c r="E11" s="930">
        <f t="shared" si="9"/>
        <v>308</v>
      </c>
      <c r="F11" s="929">
        <f t="shared" si="9"/>
        <v>185.55</v>
      </c>
      <c r="G11" s="929">
        <f t="shared" si="9"/>
        <v>230.95</v>
      </c>
      <c r="H11" s="929">
        <f t="shared" si="9"/>
        <v>0</v>
      </c>
      <c r="I11" s="929">
        <f t="shared" si="9"/>
        <v>1943.5100000000007</v>
      </c>
      <c r="J11" s="929">
        <v>11527</v>
      </c>
      <c r="K11" s="929">
        <v>7768</v>
      </c>
      <c r="L11" s="929">
        <v>204</v>
      </c>
      <c r="M11" s="929">
        <v>1131</v>
      </c>
      <c r="N11" s="929">
        <v>7474</v>
      </c>
      <c r="O11" s="929"/>
    </row>
    <row r="12" spans="1:15" s="928" customFormat="1" ht="12" customHeight="1">
      <c r="A12" s="933"/>
      <c r="B12" s="932" t="s">
        <v>115</v>
      </c>
      <c r="C12" s="931"/>
      <c r="D12" s="929">
        <f t="shared" ref="D12:I12" si="10">SUM(D338:D373)</f>
        <v>3245.599999999999</v>
      </c>
      <c r="E12" s="930">
        <f t="shared" si="10"/>
        <v>308</v>
      </c>
      <c r="F12" s="929">
        <f t="shared" si="10"/>
        <v>519.29999999999995</v>
      </c>
      <c r="G12" s="929">
        <f t="shared" si="10"/>
        <v>189.35000000000002</v>
      </c>
      <c r="H12" s="929">
        <f t="shared" si="10"/>
        <v>332.25</v>
      </c>
      <c r="I12" s="929">
        <f t="shared" si="10"/>
        <v>2228.9500000000003</v>
      </c>
      <c r="J12" s="929">
        <v>11527</v>
      </c>
      <c r="K12" s="929">
        <v>7768</v>
      </c>
      <c r="L12" s="929">
        <v>204</v>
      </c>
      <c r="M12" s="929">
        <v>1350</v>
      </c>
      <c r="N12" s="929">
        <v>3737</v>
      </c>
      <c r="O12" s="929"/>
    </row>
    <row r="13" spans="1:15" s="928" customFormat="1" ht="12" customHeight="1">
      <c r="A13" s="933"/>
      <c r="B13" s="932" t="s">
        <v>114</v>
      </c>
      <c r="C13" s="931"/>
      <c r="D13" s="929">
        <f t="shared" ref="D13:I13" si="11">SUM(D374:D412)</f>
        <v>3219.2999999999993</v>
      </c>
      <c r="E13" s="930">
        <f t="shared" si="11"/>
        <v>310</v>
      </c>
      <c r="F13" s="929">
        <f t="shared" si="11"/>
        <v>563.29999999999995</v>
      </c>
      <c r="G13" s="929">
        <f t="shared" si="11"/>
        <v>109.7</v>
      </c>
      <c r="H13" s="929">
        <f t="shared" si="11"/>
        <v>62.849999999999994</v>
      </c>
      <c r="I13" s="929">
        <f t="shared" si="11"/>
        <v>2236.3000000000002</v>
      </c>
      <c r="J13" s="929">
        <v>11527</v>
      </c>
      <c r="K13" s="929">
        <v>7768</v>
      </c>
      <c r="L13" s="929">
        <v>204</v>
      </c>
      <c r="M13" s="929">
        <v>1142</v>
      </c>
      <c r="N13" s="929">
        <v>11211</v>
      </c>
      <c r="O13" s="929"/>
    </row>
    <row r="14" spans="1:15" s="922" customFormat="1" ht="12" customHeight="1">
      <c r="A14" s="927"/>
      <c r="B14" s="926" t="s">
        <v>113</v>
      </c>
      <c r="C14" s="925"/>
      <c r="D14" s="923">
        <f t="shared" ref="D14:I14" si="12">SUM(D413:D452)</f>
        <v>3884.35</v>
      </c>
      <c r="E14" s="924">
        <f t="shared" si="12"/>
        <v>429</v>
      </c>
      <c r="F14" s="923">
        <f t="shared" si="12"/>
        <v>335.05</v>
      </c>
      <c r="G14" s="923">
        <f t="shared" si="12"/>
        <v>645.70000000000005</v>
      </c>
      <c r="H14" s="923">
        <f t="shared" si="12"/>
        <v>0</v>
      </c>
      <c r="I14" s="923">
        <f t="shared" si="12"/>
        <v>2474.5999999999995</v>
      </c>
      <c r="J14" s="923">
        <v>11527</v>
      </c>
      <c r="K14" s="923">
        <v>7768</v>
      </c>
      <c r="L14" s="923">
        <v>204</v>
      </c>
      <c r="M14" s="923">
        <v>1142</v>
      </c>
      <c r="N14" s="923">
        <v>7474</v>
      </c>
      <c r="O14" s="923"/>
    </row>
    <row r="15" spans="1:15" s="922" customFormat="1" ht="12" customHeight="1">
      <c r="A15" s="927"/>
      <c r="B15" s="926" t="s">
        <v>112</v>
      </c>
      <c r="C15" s="925"/>
      <c r="D15" s="923">
        <f t="shared" ref="D15:I15" si="13">SUM(D453:D493)</f>
        <v>5395.03</v>
      </c>
      <c r="E15" s="924">
        <f t="shared" si="13"/>
        <v>390</v>
      </c>
      <c r="F15" s="923">
        <f t="shared" si="13"/>
        <v>371.75</v>
      </c>
      <c r="G15" s="923">
        <f t="shared" si="13"/>
        <v>562.39999999999986</v>
      </c>
      <c r="H15" s="923">
        <f t="shared" si="13"/>
        <v>38.25</v>
      </c>
      <c r="I15" s="923">
        <f t="shared" si="13"/>
        <v>4070.8799999999987</v>
      </c>
      <c r="J15" s="923"/>
      <c r="K15" s="923"/>
      <c r="L15" s="923"/>
      <c r="M15" s="923"/>
      <c r="N15" s="923"/>
      <c r="O15" s="923"/>
    </row>
    <row r="16" spans="1:15" ht="12" customHeight="1">
      <c r="A16" s="921"/>
      <c r="B16" s="920">
        <v>42734</v>
      </c>
      <c r="C16" s="919" t="s">
        <v>967</v>
      </c>
      <c r="D16" s="917">
        <v>231.45</v>
      </c>
      <c r="E16" s="918"/>
      <c r="F16" s="917"/>
      <c r="G16" s="917"/>
      <c r="H16" s="917"/>
      <c r="I16" s="917">
        <f t="shared" ref="I16:I79" si="14">D16-E16-F16-G16</f>
        <v>231.45</v>
      </c>
      <c r="J16" s="917"/>
      <c r="K16" s="917"/>
      <c r="L16" s="917"/>
      <c r="M16" s="917"/>
      <c r="N16" s="917"/>
      <c r="O16" s="917"/>
    </row>
    <row r="17" spans="2:15" s="835" customFormat="1" ht="12" customHeight="1">
      <c r="B17" s="916">
        <v>42734</v>
      </c>
      <c r="C17" s="914" t="s">
        <v>967</v>
      </c>
      <c r="D17" s="912">
        <v>170.7</v>
      </c>
      <c r="E17" s="913">
        <v>77</v>
      </c>
      <c r="F17" s="912"/>
      <c r="G17" s="912">
        <v>45</v>
      </c>
      <c r="H17" s="912"/>
      <c r="I17" s="912">
        <f t="shared" si="14"/>
        <v>48.699999999999989</v>
      </c>
      <c r="J17" s="912"/>
      <c r="K17" s="912"/>
      <c r="L17" s="912"/>
      <c r="M17" s="912"/>
      <c r="N17" s="912"/>
      <c r="O17" s="912"/>
    </row>
    <row r="18" spans="2:15" s="835" customFormat="1" ht="12" customHeight="1">
      <c r="B18" s="916">
        <v>42734</v>
      </c>
      <c r="C18" s="914" t="s">
        <v>469</v>
      </c>
      <c r="D18" s="912">
        <v>15</v>
      </c>
      <c r="E18" s="913"/>
      <c r="F18" s="912"/>
      <c r="G18" s="912"/>
      <c r="H18" s="912"/>
      <c r="I18" s="912">
        <f t="shared" si="14"/>
        <v>15</v>
      </c>
      <c r="J18" s="912"/>
      <c r="K18" s="912"/>
      <c r="L18" s="912"/>
      <c r="M18" s="912"/>
      <c r="N18" s="912"/>
      <c r="O18" s="912"/>
    </row>
    <row r="19" spans="2:15" s="835" customFormat="1" ht="12" customHeight="1">
      <c r="B19" s="915">
        <v>42734</v>
      </c>
      <c r="C19" s="914" t="s">
        <v>967</v>
      </c>
      <c r="D19" s="912">
        <v>222.25</v>
      </c>
      <c r="E19" s="913"/>
      <c r="F19" s="912"/>
      <c r="G19" s="912">
        <v>29.9</v>
      </c>
      <c r="H19" s="912"/>
      <c r="I19" s="912">
        <f t="shared" si="14"/>
        <v>192.35</v>
      </c>
      <c r="J19" s="912"/>
      <c r="K19" s="912"/>
      <c r="L19" s="912"/>
      <c r="M19" s="912"/>
      <c r="N19" s="912"/>
      <c r="O19" s="912"/>
    </row>
    <row r="20" spans="2:15" s="835" customFormat="1" ht="12" customHeight="1">
      <c r="B20" s="915">
        <v>42734</v>
      </c>
      <c r="C20" s="914" t="s">
        <v>975</v>
      </c>
      <c r="D20" s="912">
        <v>24.25</v>
      </c>
      <c r="E20" s="913"/>
      <c r="F20" s="912">
        <v>24.25</v>
      </c>
      <c r="G20" s="912"/>
      <c r="H20" s="912"/>
      <c r="I20" s="912">
        <f t="shared" si="14"/>
        <v>0</v>
      </c>
      <c r="J20" s="912"/>
      <c r="K20" s="912"/>
      <c r="L20" s="912"/>
      <c r="M20" s="912"/>
      <c r="N20" s="912"/>
      <c r="O20" s="912"/>
    </row>
    <row r="21" spans="2:15" s="835" customFormat="1" ht="12" customHeight="1">
      <c r="B21" s="915">
        <v>42734</v>
      </c>
      <c r="C21" s="914" t="s">
        <v>974</v>
      </c>
      <c r="D21" s="912">
        <v>48.4</v>
      </c>
      <c r="E21" s="913"/>
      <c r="F21" s="912">
        <v>48.4</v>
      </c>
      <c r="G21" s="912"/>
      <c r="H21" s="912"/>
      <c r="I21" s="912">
        <f t="shared" si="14"/>
        <v>0</v>
      </c>
      <c r="J21" s="912"/>
      <c r="K21" s="912"/>
      <c r="L21" s="912"/>
      <c r="M21" s="912"/>
      <c r="N21" s="912"/>
      <c r="O21" s="912"/>
    </row>
    <row r="22" spans="2:15" s="835" customFormat="1" ht="12" customHeight="1">
      <c r="B22" s="915">
        <v>42735</v>
      </c>
      <c r="C22" s="914" t="s">
        <v>967</v>
      </c>
      <c r="D22" s="912">
        <v>240.7</v>
      </c>
      <c r="E22" s="913"/>
      <c r="F22" s="912"/>
      <c r="G22" s="912">
        <v>70</v>
      </c>
      <c r="H22" s="912"/>
      <c r="I22" s="912">
        <f t="shared" si="14"/>
        <v>170.7</v>
      </c>
      <c r="J22" s="912"/>
      <c r="K22" s="912"/>
      <c r="L22" s="912"/>
      <c r="M22" s="912"/>
      <c r="N22" s="912"/>
      <c r="O22" s="912"/>
    </row>
    <row r="23" spans="2:15" s="835" customFormat="1" ht="12" customHeight="1">
      <c r="B23" s="915">
        <v>42735</v>
      </c>
      <c r="C23" s="914" t="s">
        <v>968</v>
      </c>
      <c r="D23" s="912">
        <v>54.85</v>
      </c>
      <c r="E23" s="913"/>
      <c r="F23" s="912"/>
      <c r="G23" s="912"/>
      <c r="H23" s="912"/>
      <c r="I23" s="912">
        <f t="shared" si="14"/>
        <v>54.85</v>
      </c>
      <c r="J23" s="912"/>
      <c r="K23" s="912"/>
      <c r="L23" s="912"/>
      <c r="M23" s="912"/>
      <c r="N23" s="912"/>
      <c r="O23" s="912"/>
    </row>
    <row r="24" spans="2:15" s="835" customFormat="1" ht="12" customHeight="1">
      <c r="B24" s="915">
        <v>42735</v>
      </c>
      <c r="C24" s="914" t="s">
        <v>722</v>
      </c>
      <c r="D24" s="912">
        <v>210.4</v>
      </c>
      <c r="E24" s="913"/>
      <c r="F24" s="912"/>
      <c r="G24" s="912">
        <v>30</v>
      </c>
      <c r="H24" s="912"/>
      <c r="I24" s="912">
        <f t="shared" si="14"/>
        <v>180.4</v>
      </c>
      <c r="J24" s="912"/>
      <c r="K24" s="912"/>
      <c r="L24" s="912"/>
      <c r="M24" s="912"/>
      <c r="N24" s="912"/>
      <c r="O24" s="912"/>
    </row>
    <row r="25" spans="2:15" s="835" customFormat="1" ht="12" customHeight="1">
      <c r="B25" s="915">
        <v>42735</v>
      </c>
      <c r="C25" s="914" t="s">
        <v>722</v>
      </c>
      <c r="D25" s="912">
        <v>137</v>
      </c>
      <c r="E25" s="913">
        <v>77</v>
      </c>
      <c r="F25" s="912"/>
      <c r="G25" s="912">
        <v>60</v>
      </c>
      <c r="H25" s="912"/>
      <c r="I25" s="912">
        <f t="shared" si="14"/>
        <v>0</v>
      </c>
      <c r="J25" s="912"/>
      <c r="K25" s="912"/>
      <c r="L25" s="912"/>
      <c r="M25" s="912"/>
      <c r="N25" s="912"/>
      <c r="O25" s="912"/>
    </row>
    <row r="26" spans="2:15" s="835" customFormat="1" ht="12" customHeight="1">
      <c r="B26" s="915">
        <v>42737</v>
      </c>
      <c r="C26" s="914" t="s">
        <v>968</v>
      </c>
      <c r="D26" s="912">
        <v>165.59</v>
      </c>
      <c r="E26" s="913"/>
      <c r="F26" s="912">
        <v>165.59</v>
      </c>
      <c r="G26" s="912"/>
      <c r="H26" s="912"/>
      <c r="I26" s="912">
        <f t="shared" si="14"/>
        <v>0</v>
      </c>
      <c r="J26" s="912"/>
      <c r="K26" s="912"/>
      <c r="L26" s="912"/>
      <c r="M26" s="912"/>
      <c r="N26" s="912"/>
      <c r="O26" s="912"/>
    </row>
    <row r="27" spans="2:15" s="835" customFormat="1" ht="12" customHeight="1">
      <c r="B27" s="915">
        <v>42737</v>
      </c>
      <c r="C27" s="914" t="s">
        <v>967</v>
      </c>
      <c r="D27" s="912">
        <v>34</v>
      </c>
      <c r="E27" s="913"/>
      <c r="F27" s="912"/>
      <c r="G27" s="912"/>
      <c r="H27" s="912"/>
      <c r="I27" s="912">
        <f t="shared" si="14"/>
        <v>34</v>
      </c>
      <c r="J27" s="912"/>
      <c r="K27" s="912"/>
      <c r="L27" s="912"/>
      <c r="M27" s="912"/>
      <c r="N27" s="912"/>
      <c r="O27" s="912"/>
    </row>
    <row r="28" spans="2:15" s="835" customFormat="1" ht="12" customHeight="1">
      <c r="B28" s="915">
        <v>42737</v>
      </c>
      <c r="C28" s="914" t="s">
        <v>722</v>
      </c>
      <c r="D28" s="912">
        <v>45</v>
      </c>
      <c r="E28" s="913"/>
      <c r="F28" s="912"/>
      <c r="G28" s="912">
        <v>45</v>
      </c>
      <c r="H28" s="912"/>
      <c r="I28" s="912">
        <f t="shared" si="14"/>
        <v>0</v>
      </c>
      <c r="J28" s="912"/>
      <c r="K28" s="912"/>
      <c r="L28" s="912"/>
      <c r="M28" s="912"/>
      <c r="N28" s="912"/>
      <c r="O28" s="912"/>
    </row>
    <row r="29" spans="2:15" s="835" customFormat="1" ht="12" customHeight="1">
      <c r="B29" s="915">
        <v>42738</v>
      </c>
      <c r="C29" s="914" t="s">
        <v>969</v>
      </c>
      <c r="D29" s="912">
        <v>99.33</v>
      </c>
      <c r="E29" s="913"/>
      <c r="F29" s="912"/>
      <c r="G29" s="912"/>
      <c r="H29" s="912"/>
      <c r="I29" s="912">
        <f t="shared" si="14"/>
        <v>99.33</v>
      </c>
      <c r="J29" s="912"/>
      <c r="K29" s="912"/>
      <c r="L29" s="912"/>
      <c r="M29" s="912"/>
      <c r="N29" s="912"/>
      <c r="O29" s="912"/>
    </row>
    <row r="30" spans="2:15" s="835" customFormat="1" ht="12" customHeight="1">
      <c r="B30" s="915">
        <v>42738</v>
      </c>
      <c r="C30" s="914" t="s">
        <v>974</v>
      </c>
      <c r="D30" s="912">
        <v>40.700000000000003</v>
      </c>
      <c r="E30" s="913"/>
      <c r="F30" s="912">
        <v>40.700000000000003</v>
      </c>
      <c r="G30" s="912"/>
      <c r="H30" s="912"/>
      <c r="I30" s="912">
        <f t="shared" si="14"/>
        <v>0</v>
      </c>
      <c r="J30" s="912"/>
      <c r="K30" s="912"/>
      <c r="L30" s="912"/>
      <c r="M30" s="912"/>
      <c r="N30" s="912"/>
      <c r="O30" s="912"/>
    </row>
    <row r="31" spans="2:15" s="835" customFormat="1" ht="12" customHeight="1">
      <c r="B31" s="915">
        <v>42738</v>
      </c>
      <c r="C31" s="914" t="s">
        <v>968</v>
      </c>
      <c r="D31" s="912">
        <v>222.85</v>
      </c>
      <c r="E31" s="913"/>
      <c r="F31" s="912"/>
      <c r="G31" s="912"/>
      <c r="H31" s="912"/>
      <c r="I31" s="912">
        <f t="shared" si="14"/>
        <v>222.85</v>
      </c>
      <c r="J31" s="912"/>
      <c r="K31" s="912"/>
      <c r="L31" s="912"/>
      <c r="M31" s="912"/>
      <c r="N31" s="912"/>
      <c r="O31" s="912"/>
    </row>
    <row r="32" spans="2:15" s="835" customFormat="1" ht="12" customHeight="1">
      <c r="B32" s="915">
        <v>42740</v>
      </c>
      <c r="C32" s="914" t="s">
        <v>968</v>
      </c>
      <c r="D32" s="912">
        <v>226.95</v>
      </c>
      <c r="E32" s="913"/>
      <c r="F32" s="912"/>
      <c r="G32" s="912"/>
      <c r="H32" s="912"/>
      <c r="I32" s="912">
        <f t="shared" si="14"/>
        <v>226.95</v>
      </c>
      <c r="J32" s="912"/>
      <c r="K32" s="912"/>
      <c r="L32" s="912"/>
      <c r="M32" s="912"/>
      <c r="N32" s="912"/>
      <c r="O32" s="912"/>
    </row>
    <row r="33" spans="2:15" s="835" customFormat="1" ht="12" customHeight="1">
      <c r="B33" s="915">
        <v>42740</v>
      </c>
      <c r="C33" s="914" t="s">
        <v>722</v>
      </c>
      <c r="D33" s="912">
        <v>23.45</v>
      </c>
      <c r="E33" s="913"/>
      <c r="F33" s="912"/>
      <c r="G33" s="912"/>
      <c r="H33" s="912"/>
      <c r="I33" s="912">
        <f t="shared" si="14"/>
        <v>23.45</v>
      </c>
      <c r="J33" s="912"/>
      <c r="K33" s="912"/>
      <c r="L33" s="912"/>
      <c r="M33" s="912"/>
      <c r="N33" s="912"/>
      <c r="O33" s="912"/>
    </row>
    <row r="34" spans="2:15" s="835" customFormat="1" ht="12" customHeight="1">
      <c r="B34" s="915">
        <v>42740</v>
      </c>
      <c r="C34" s="914" t="s">
        <v>319</v>
      </c>
      <c r="D34" s="912">
        <v>86</v>
      </c>
      <c r="E34" s="913"/>
      <c r="F34" s="912"/>
      <c r="G34" s="912"/>
      <c r="H34" s="912"/>
      <c r="I34" s="912">
        <f t="shared" si="14"/>
        <v>86</v>
      </c>
      <c r="J34" s="912"/>
      <c r="K34" s="912"/>
      <c r="L34" s="912"/>
      <c r="M34" s="912"/>
      <c r="N34" s="912"/>
      <c r="O34" s="912"/>
    </row>
    <row r="35" spans="2:15" s="835" customFormat="1" ht="12" customHeight="1">
      <c r="B35" s="915">
        <v>42741</v>
      </c>
      <c r="C35" s="914" t="s">
        <v>469</v>
      </c>
      <c r="D35" s="912">
        <v>27.9</v>
      </c>
      <c r="E35" s="913"/>
      <c r="F35" s="912"/>
      <c r="G35" s="912"/>
      <c r="H35" s="912"/>
      <c r="I35" s="912">
        <f t="shared" si="14"/>
        <v>27.9</v>
      </c>
      <c r="J35" s="912"/>
      <c r="K35" s="912"/>
      <c r="L35" s="912"/>
      <c r="M35" s="912"/>
      <c r="N35" s="912"/>
      <c r="O35" s="912"/>
    </row>
    <row r="36" spans="2:15" s="835" customFormat="1" ht="12" customHeight="1">
      <c r="B36" s="911">
        <v>42744</v>
      </c>
      <c r="C36" s="910" t="s">
        <v>469</v>
      </c>
      <c r="D36" s="908">
        <v>44.8</v>
      </c>
      <c r="E36" s="909"/>
      <c r="F36" s="908"/>
      <c r="G36" s="908"/>
      <c r="H36" s="908"/>
      <c r="I36" s="908">
        <f t="shared" si="14"/>
        <v>44.8</v>
      </c>
      <c r="J36" s="908"/>
      <c r="K36" s="908"/>
      <c r="L36" s="908"/>
      <c r="M36" s="908"/>
      <c r="N36" s="908"/>
      <c r="O36" s="908"/>
    </row>
    <row r="37" spans="2:15" s="835" customFormat="1" ht="12" customHeight="1">
      <c r="B37" s="911">
        <v>42744</v>
      </c>
      <c r="C37" s="910" t="s">
        <v>968</v>
      </c>
      <c r="D37" s="908">
        <v>82.95</v>
      </c>
      <c r="E37" s="909"/>
      <c r="F37" s="908"/>
      <c r="G37" s="908"/>
      <c r="H37" s="908"/>
      <c r="I37" s="908">
        <f t="shared" si="14"/>
        <v>82.95</v>
      </c>
      <c r="J37" s="908"/>
      <c r="K37" s="908"/>
      <c r="L37" s="908"/>
      <c r="M37" s="908"/>
      <c r="N37" s="908"/>
      <c r="O37" s="908"/>
    </row>
    <row r="38" spans="2:15" s="835" customFormat="1" ht="12" customHeight="1">
      <c r="B38" s="911">
        <v>42745</v>
      </c>
      <c r="C38" s="910" t="s">
        <v>722</v>
      </c>
      <c r="D38" s="908">
        <v>198.95</v>
      </c>
      <c r="E38" s="909"/>
      <c r="F38" s="908"/>
      <c r="G38" s="908">
        <v>30</v>
      </c>
      <c r="H38" s="908"/>
      <c r="I38" s="908">
        <f t="shared" si="14"/>
        <v>168.95</v>
      </c>
      <c r="J38" s="908"/>
      <c r="K38" s="908"/>
      <c r="L38" s="908"/>
      <c r="M38" s="908"/>
      <c r="N38" s="908"/>
      <c r="O38" s="908"/>
    </row>
    <row r="39" spans="2:15" s="835" customFormat="1" ht="12" customHeight="1">
      <c r="B39" s="911">
        <v>42746</v>
      </c>
      <c r="C39" s="910" t="s">
        <v>469</v>
      </c>
      <c r="D39" s="908">
        <v>44.75</v>
      </c>
      <c r="E39" s="909"/>
      <c r="F39" s="908"/>
      <c r="G39" s="908">
        <v>24.75</v>
      </c>
      <c r="H39" s="908"/>
      <c r="I39" s="908">
        <f t="shared" si="14"/>
        <v>20</v>
      </c>
      <c r="J39" s="908"/>
      <c r="K39" s="908"/>
      <c r="L39" s="908"/>
      <c r="M39" s="908"/>
      <c r="N39" s="908"/>
      <c r="O39" s="908"/>
    </row>
    <row r="40" spans="2:15" s="835" customFormat="1" ht="12" customHeight="1">
      <c r="B40" s="911">
        <v>42746</v>
      </c>
      <c r="C40" s="910" t="s">
        <v>722</v>
      </c>
      <c r="D40" s="908">
        <v>75.95</v>
      </c>
      <c r="E40" s="909"/>
      <c r="F40" s="908">
        <v>69</v>
      </c>
      <c r="G40" s="908"/>
      <c r="H40" s="908"/>
      <c r="I40" s="908">
        <f t="shared" si="14"/>
        <v>6.9500000000000028</v>
      </c>
      <c r="J40" s="908"/>
      <c r="K40" s="908"/>
      <c r="L40" s="908"/>
      <c r="M40" s="908"/>
      <c r="N40" s="908"/>
      <c r="O40" s="908"/>
    </row>
    <row r="41" spans="2:15" s="835" customFormat="1" ht="12" customHeight="1">
      <c r="B41" s="911">
        <v>42747</v>
      </c>
      <c r="C41" s="910" t="s">
        <v>968</v>
      </c>
      <c r="D41" s="908">
        <v>58</v>
      </c>
      <c r="E41" s="909"/>
      <c r="F41" s="908"/>
      <c r="G41" s="908"/>
      <c r="H41" s="908"/>
      <c r="I41" s="908">
        <f t="shared" si="14"/>
        <v>58</v>
      </c>
      <c r="J41" s="908"/>
      <c r="K41" s="908"/>
      <c r="L41" s="908"/>
      <c r="M41" s="908"/>
      <c r="N41" s="908"/>
      <c r="O41" s="908"/>
    </row>
    <row r="42" spans="2:15" s="835" customFormat="1" ht="12" customHeight="1">
      <c r="B42" s="911">
        <v>42748</v>
      </c>
      <c r="C42" s="910" t="s">
        <v>490</v>
      </c>
      <c r="D42" s="908">
        <v>37</v>
      </c>
      <c r="E42" s="909"/>
      <c r="F42" s="908"/>
      <c r="G42" s="908"/>
      <c r="H42" s="908"/>
      <c r="I42" s="908">
        <f t="shared" si="14"/>
        <v>37</v>
      </c>
      <c r="J42" s="908"/>
      <c r="K42" s="908"/>
      <c r="L42" s="908"/>
      <c r="M42" s="908"/>
      <c r="N42" s="908"/>
      <c r="O42" s="908"/>
    </row>
    <row r="43" spans="2:15" s="835" customFormat="1" ht="12" customHeight="1">
      <c r="B43" s="911">
        <v>42748</v>
      </c>
      <c r="C43" s="910" t="s">
        <v>722</v>
      </c>
      <c r="D43" s="908">
        <v>23.5</v>
      </c>
      <c r="E43" s="909"/>
      <c r="F43" s="908"/>
      <c r="G43" s="908"/>
      <c r="H43" s="908"/>
      <c r="I43" s="908">
        <f t="shared" si="14"/>
        <v>23.5</v>
      </c>
      <c r="J43" s="908"/>
      <c r="K43" s="908"/>
      <c r="L43" s="908"/>
      <c r="M43" s="908"/>
      <c r="N43" s="908"/>
      <c r="O43" s="908"/>
    </row>
    <row r="44" spans="2:15" s="835" customFormat="1" ht="12" customHeight="1">
      <c r="B44" s="911">
        <v>42748</v>
      </c>
      <c r="C44" s="910" t="s">
        <v>967</v>
      </c>
      <c r="D44" s="908">
        <v>43.9</v>
      </c>
      <c r="E44" s="909"/>
      <c r="F44" s="908"/>
      <c r="G44" s="908"/>
      <c r="H44" s="908"/>
      <c r="I44" s="908">
        <f t="shared" si="14"/>
        <v>43.9</v>
      </c>
      <c r="J44" s="908"/>
      <c r="K44" s="908"/>
      <c r="L44" s="908"/>
      <c r="M44" s="908"/>
      <c r="N44" s="908"/>
      <c r="O44" s="908"/>
    </row>
    <row r="45" spans="2:15" s="835" customFormat="1" ht="12" customHeight="1">
      <c r="B45" s="911">
        <v>42752</v>
      </c>
      <c r="C45" s="910" t="s">
        <v>967</v>
      </c>
      <c r="D45" s="908">
        <v>22.45</v>
      </c>
      <c r="E45" s="909"/>
      <c r="F45" s="908"/>
      <c r="G45" s="908"/>
      <c r="H45" s="908"/>
      <c r="I45" s="908">
        <f t="shared" si="14"/>
        <v>22.45</v>
      </c>
      <c r="J45" s="908"/>
      <c r="K45" s="908"/>
      <c r="L45" s="908"/>
      <c r="M45" s="908"/>
      <c r="N45" s="908"/>
      <c r="O45" s="908"/>
    </row>
    <row r="46" spans="2:15" s="835" customFormat="1" ht="12" customHeight="1">
      <c r="B46" s="911">
        <v>42753</v>
      </c>
      <c r="C46" s="910" t="s">
        <v>967</v>
      </c>
      <c r="D46" s="908">
        <v>86</v>
      </c>
      <c r="E46" s="909"/>
      <c r="F46" s="908"/>
      <c r="G46" s="908">
        <v>40</v>
      </c>
      <c r="H46" s="908"/>
      <c r="I46" s="908">
        <f t="shared" si="14"/>
        <v>46</v>
      </c>
      <c r="J46" s="908"/>
      <c r="K46" s="908"/>
      <c r="L46" s="908"/>
      <c r="M46" s="908"/>
      <c r="N46" s="908"/>
      <c r="O46" s="908"/>
    </row>
    <row r="47" spans="2:15" s="835" customFormat="1" ht="12" customHeight="1">
      <c r="B47" s="911">
        <v>42753</v>
      </c>
      <c r="C47" s="910" t="s">
        <v>469</v>
      </c>
      <c r="D47" s="908">
        <v>14.85</v>
      </c>
      <c r="E47" s="909"/>
      <c r="F47" s="908"/>
      <c r="G47" s="908">
        <v>14.85</v>
      </c>
      <c r="H47" s="908"/>
      <c r="I47" s="908">
        <f t="shared" si="14"/>
        <v>0</v>
      </c>
      <c r="J47" s="908"/>
      <c r="K47" s="908"/>
      <c r="L47" s="908"/>
      <c r="M47" s="908"/>
      <c r="N47" s="908"/>
      <c r="O47" s="908"/>
    </row>
    <row r="48" spans="2:15" s="835" customFormat="1" ht="12" customHeight="1">
      <c r="B48" s="911">
        <v>42754</v>
      </c>
      <c r="C48" s="910" t="s">
        <v>722</v>
      </c>
      <c r="D48" s="908">
        <v>110</v>
      </c>
      <c r="E48" s="909">
        <v>77</v>
      </c>
      <c r="F48" s="908"/>
      <c r="G48" s="908">
        <v>15</v>
      </c>
      <c r="H48" s="908"/>
      <c r="I48" s="908">
        <f t="shared" si="14"/>
        <v>18</v>
      </c>
      <c r="J48" s="908"/>
      <c r="K48" s="908"/>
      <c r="L48" s="908"/>
      <c r="M48" s="908"/>
      <c r="N48" s="908"/>
      <c r="O48" s="908"/>
    </row>
    <row r="49" spans="2:15" s="835" customFormat="1" ht="12" customHeight="1">
      <c r="B49" s="911">
        <v>42754</v>
      </c>
      <c r="C49" s="910" t="s">
        <v>967</v>
      </c>
      <c r="D49" s="908">
        <v>130.80000000000001</v>
      </c>
      <c r="E49" s="909"/>
      <c r="F49" s="908"/>
      <c r="G49" s="908"/>
      <c r="H49" s="908"/>
      <c r="I49" s="908">
        <f t="shared" si="14"/>
        <v>130.80000000000001</v>
      </c>
      <c r="J49" s="908"/>
      <c r="K49" s="908"/>
      <c r="L49" s="908"/>
      <c r="M49" s="908"/>
      <c r="N49" s="908"/>
      <c r="O49" s="908"/>
    </row>
    <row r="50" spans="2:15" s="835" customFormat="1" ht="12" customHeight="1">
      <c r="B50" s="911">
        <v>42758</v>
      </c>
      <c r="C50" s="910" t="s">
        <v>967</v>
      </c>
      <c r="D50" s="908">
        <v>151.9</v>
      </c>
      <c r="E50" s="909"/>
      <c r="F50" s="908"/>
      <c r="G50" s="908"/>
      <c r="H50" s="908"/>
      <c r="I50" s="908">
        <f t="shared" si="14"/>
        <v>151.9</v>
      </c>
      <c r="J50" s="908"/>
      <c r="K50" s="908"/>
      <c r="L50" s="908"/>
      <c r="M50" s="908"/>
      <c r="N50" s="908"/>
      <c r="O50" s="908"/>
    </row>
    <row r="51" spans="2:15" s="835" customFormat="1" ht="12" customHeight="1">
      <c r="B51" s="911">
        <v>42758</v>
      </c>
      <c r="C51" s="910" t="s">
        <v>148</v>
      </c>
      <c r="D51" s="908">
        <v>34.5</v>
      </c>
      <c r="E51" s="909"/>
      <c r="F51" s="908">
        <v>34.5</v>
      </c>
      <c r="G51" s="908"/>
      <c r="H51" s="908"/>
      <c r="I51" s="908">
        <f t="shared" si="14"/>
        <v>0</v>
      </c>
      <c r="J51" s="908"/>
      <c r="K51" s="908"/>
      <c r="L51" s="908"/>
      <c r="M51" s="908"/>
      <c r="N51" s="908"/>
      <c r="O51" s="908"/>
    </row>
    <row r="52" spans="2:15" s="835" customFormat="1" ht="12" customHeight="1">
      <c r="B52" s="911">
        <v>42759</v>
      </c>
      <c r="C52" s="910" t="s">
        <v>968</v>
      </c>
      <c r="D52" s="908">
        <v>54.85</v>
      </c>
      <c r="E52" s="909"/>
      <c r="F52" s="908">
        <v>54.85</v>
      </c>
      <c r="G52" s="908"/>
      <c r="H52" s="908"/>
      <c r="I52" s="908">
        <f t="shared" si="14"/>
        <v>0</v>
      </c>
      <c r="J52" s="908"/>
      <c r="K52" s="908"/>
      <c r="L52" s="908"/>
      <c r="M52" s="908"/>
      <c r="N52" s="908"/>
      <c r="O52" s="908"/>
    </row>
    <row r="53" spans="2:15" s="835" customFormat="1" ht="12" customHeight="1">
      <c r="B53" s="911">
        <v>42760</v>
      </c>
      <c r="C53" s="910" t="s">
        <v>722</v>
      </c>
      <c r="D53" s="908">
        <v>68.95</v>
      </c>
      <c r="E53" s="909"/>
      <c r="F53" s="908"/>
      <c r="G53" s="908">
        <v>15</v>
      </c>
      <c r="H53" s="908"/>
      <c r="I53" s="908">
        <f t="shared" si="14"/>
        <v>53.95</v>
      </c>
      <c r="J53" s="908"/>
      <c r="K53" s="908"/>
      <c r="L53" s="908"/>
      <c r="M53" s="908"/>
      <c r="N53" s="908"/>
      <c r="O53" s="908"/>
    </row>
    <row r="54" spans="2:15" s="835" customFormat="1" ht="12" customHeight="1">
      <c r="B54" s="911">
        <v>42760</v>
      </c>
      <c r="C54" s="910" t="s">
        <v>968</v>
      </c>
      <c r="D54" s="908">
        <v>68.900000000000006</v>
      </c>
      <c r="E54" s="909"/>
      <c r="F54" s="908"/>
      <c r="G54" s="908">
        <v>8.9499999999999993</v>
      </c>
      <c r="H54" s="908"/>
      <c r="I54" s="908">
        <f t="shared" si="14"/>
        <v>59.95</v>
      </c>
      <c r="J54" s="908"/>
      <c r="K54" s="908"/>
      <c r="L54" s="908"/>
      <c r="M54" s="908"/>
      <c r="N54" s="908"/>
      <c r="O54" s="908"/>
    </row>
    <row r="55" spans="2:15" s="835" customFormat="1" ht="12" customHeight="1">
      <c r="B55" s="911">
        <v>42760</v>
      </c>
      <c r="C55" s="910" t="s">
        <v>469</v>
      </c>
      <c r="D55" s="908">
        <v>59.95</v>
      </c>
      <c r="E55" s="909"/>
      <c r="F55" s="908"/>
      <c r="G55" s="908">
        <v>45</v>
      </c>
      <c r="H55" s="908"/>
      <c r="I55" s="908">
        <f t="shared" si="14"/>
        <v>14.950000000000003</v>
      </c>
      <c r="J55" s="908"/>
      <c r="K55" s="908"/>
      <c r="L55" s="908"/>
      <c r="M55" s="908"/>
      <c r="N55" s="908"/>
      <c r="O55" s="908"/>
    </row>
    <row r="56" spans="2:15" s="835" customFormat="1" ht="12" customHeight="1">
      <c r="B56" s="911">
        <v>42760</v>
      </c>
      <c r="C56" s="910" t="s">
        <v>490</v>
      </c>
      <c r="D56" s="908">
        <v>92.8</v>
      </c>
      <c r="E56" s="909"/>
      <c r="F56" s="908"/>
      <c r="G56" s="908"/>
      <c r="H56" s="908"/>
      <c r="I56" s="908">
        <f t="shared" si="14"/>
        <v>92.8</v>
      </c>
      <c r="J56" s="908"/>
      <c r="K56" s="908"/>
      <c r="L56" s="908"/>
      <c r="M56" s="908"/>
      <c r="N56" s="908"/>
      <c r="O56" s="908"/>
    </row>
    <row r="57" spans="2:15" s="835" customFormat="1" ht="12" customHeight="1">
      <c r="B57" s="911">
        <v>42761</v>
      </c>
      <c r="C57" s="910" t="s">
        <v>967</v>
      </c>
      <c r="D57" s="908">
        <v>107.9</v>
      </c>
      <c r="E57" s="909"/>
      <c r="F57" s="908"/>
      <c r="G57" s="908"/>
      <c r="H57" s="908"/>
      <c r="I57" s="908">
        <f t="shared" si="14"/>
        <v>107.9</v>
      </c>
      <c r="J57" s="908"/>
      <c r="K57" s="908"/>
      <c r="L57" s="908"/>
      <c r="M57" s="908"/>
      <c r="N57" s="908"/>
      <c r="O57" s="908"/>
    </row>
    <row r="58" spans="2:15" s="835" customFormat="1" ht="12" customHeight="1">
      <c r="B58" s="911">
        <v>42762</v>
      </c>
      <c r="C58" s="910" t="s">
        <v>967</v>
      </c>
      <c r="D58" s="908">
        <v>196</v>
      </c>
      <c r="E58" s="909"/>
      <c r="F58" s="908"/>
      <c r="G58" s="908">
        <v>14.95</v>
      </c>
      <c r="H58" s="908"/>
      <c r="I58" s="908">
        <f t="shared" si="14"/>
        <v>181.05</v>
      </c>
      <c r="J58" s="908"/>
      <c r="K58" s="908"/>
      <c r="L58" s="908"/>
      <c r="M58" s="908"/>
      <c r="N58" s="908"/>
      <c r="O58" s="908"/>
    </row>
    <row r="59" spans="2:15" s="835" customFormat="1" ht="12" customHeight="1">
      <c r="B59" s="911">
        <v>42762</v>
      </c>
      <c r="C59" s="910" t="s">
        <v>968</v>
      </c>
      <c r="D59" s="908">
        <v>26.85</v>
      </c>
      <c r="E59" s="909"/>
      <c r="F59" s="908"/>
      <c r="G59" s="908">
        <v>26.85</v>
      </c>
      <c r="H59" s="908"/>
      <c r="I59" s="908">
        <f t="shared" si="14"/>
        <v>0</v>
      </c>
      <c r="J59" s="908"/>
      <c r="K59" s="908"/>
      <c r="L59" s="908"/>
      <c r="M59" s="908"/>
      <c r="N59" s="908"/>
      <c r="O59" s="908"/>
    </row>
    <row r="60" spans="2:15" s="835" customFormat="1" ht="12" customHeight="1">
      <c r="B60" s="911">
        <v>42762</v>
      </c>
      <c r="C60" s="910" t="s">
        <v>722</v>
      </c>
      <c r="D60" s="908">
        <v>186.95</v>
      </c>
      <c r="E60" s="909">
        <v>77</v>
      </c>
      <c r="F60" s="908"/>
      <c r="G60" s="908">
        <v>100</v>
      </c>
      <c r="H60" s="908"/>
      <c r="I60" s="908">
        <f t="shared" si="14"/>
        <v>9.9499999999999886</v>
      </c>
      <c r="J60" s="908"/>
      <c r="K60" s="908"/>
      <c r="L60" s="908"/>
      <c r="M60" s="908"/>
      <c r="N60" s="908"/>
      <c r="O60" s="908"/>
    </row>
    <row r="61" spans="2:15" s="835" customFormat="1" ht="12" customHeight="1">
      <c r="B61" s="911">
        <v>42763</v>
      </c>
      <c r="C61" s="910" t="s">
        <v>297</v>
      </c>
      <c r="D61" s="908">
        <v>4</v>
      </c>
      <c r="E61" s="909"/>
      <c r="F61" s="908">
        <v>4</v>
      </c>
      <c r="G61" s="908"/>
      <c r="H61" s="908"/>
      <c r="I61" s="908">
        <f t="shared" si="14"/>
        <v>0</v>
      </c>
      <c r="J61" s="908"/>
      <c r="K61" s="908"/>
      <c r="L61" s="908"/>
      <c r="M61" s="908"/>
      <c r="N61" s="908"/>
      <c r="O61" s="908"/>
    </row>
    <row r="62" spans="2:15" s="835" customFormat="1" ht="12" customHeight="1">
      <c r="B62" s="911">
        <v>42763</v>
      </c>
      <c r="C62" s="910" t="s">
        <v>967</v>
      </c>
      <c r="D62" s="908">
        <v>40</v>
      </c>
      <c r="E62" s="909"/>
      <c r="F62" s="908"/>
      <c r="G62" s="908"/>
      <c r="H62" s="908"/>
      <c r="I62" s="908">
        <f t="shared" si="14"/>
        <v>40</v>
      </c>
      <c r="J62" s="908"/>
      <c r="K62" s="908"/>
      <c r="L62" s="908"/>
      <c r="M62" s="908"/>
      <c r="N62" s="908"/>
      <c r="O62" s="908"/>
    </row>
    <row r="63" spans="2:15" s="835" customFormat="1" ht="12" customHeight="1">
      <c r="B63" s="911">
        <v>42763</v>
      </c>
      <c r="C63" s="910" t="s">
        <v>968</v>
      </c>
      <c r="D63" s="908">
        <v>104</v>
      </c>
      <c r="E63" s="909"/>
      <c r="F63" s="908"/>
      <c r="G63" s="908"/>
      <c r="H63" s="908"/>
      <c r="I63" s="908">
        <f t="shared" si="14"/>
        <v>104</v>
      </c>
      <c r="J63" s="908"/>
      <c r="K63" s="908"/>
      <c r="L63" s="908"/>
      <c r="M63" s="908"/>
      <c r="N63" s="908"/>
      <c r="O63" s="908"/>
    </row>
    <row r="64" spans="2:15" s="835" customFormat="1" ht="12" customHeight="1">
      <c r="B64" s="911">
        <v>42763</v>
      </c>
      <c r="C64" s="910" t="s">
        <v>429</v>
      </c>
      <c r="D64" s="908">
        <v>22</v>
      </c>
      <c r="E64" s="909"/>
      <c r="F64" s="908"/>
      <c r="G64" s="908"/>
      <c r="H64" s="908"/>
      <c r="I64" s="908">
        <f t="shared" si="14"/>
        <v>22</v>
      </c>
      <c r="J64" s="908"/>
      <c r="K64" s="908"/>
      <c r="L64" s="908"/>
      <c r="M64" s="908"/>
      <c r="N64" s="908"/>
      <c r="O64" s="908"/>
    </row>
    <row r="65" spans="2:15" s="835" customFormat="1" ht="12" customHeight="1">
      <c r="B65" s="907">
        <v>42765</v>
      </c>
      <c r="C65" s="906" t="s">
        <v>968</v>
      </c>
      <c r="D65" s="904">
        <v>154</v>
      </c>
      <c r="E65" s="905"/>
      <c r="F65" s="904"/>
      <c r="G65" s="904"/>
      <c r="H65" s="904"/>
      <c r="I65" s="904">
        <f t="shared" si="14"/>
        <v>154</v>
      </c>
      <c r="J65" s="904"/>
      <c r="K65" s="904"/>
      <c r="L65" s="904"/>
      <c r="M65" s="904"/>
      <c r="N65" s="904"/>
      <c r="O65" s="904"/>
    </row>
    <row r="66" spans="2:15" s="835" customFormat="1" ht="12" customHeight="1">
      <c r="B66" s="894">
        <v>42766</v>
      </c>
      <c r="C66" s="893" t="s">
        <v>469</v>
      </c>
      <c r="D66" s="891">
        <v>106.8</v>
      </c>
      <c r="E66" s="892"/>
      <c r="F66" s="891"/>
      <c r="G66" s="891"/>
      <c r="H66" s="891"/>
      <c r="I66" s="891">
        <f t="shared" si="14"/>
        <v>106.8</v>
      </c>
      <c r="J66" s="891"/>
      <c r="K66" s="891"/>
      <c r="L66" s="891"/>
      <c r="M66" s="891"/>
      <c r="N66" s="891"/>
      <c r="O66" s="891"/>
    </row>
    <row r="67" spans="2:15" s="835" customFormat="1" ht="12" customHeight="1">
      <c r="B67" s="869">
        <v>42766</v>
      </c>
      <c r="C67" s="868" t="s">
        <v>967</v>
      </c>
      <c r="D67" s="866">
        <v>140.4</v>
      </c>
      <c r="E67" s="867"/>
      <c r="F67" s="866"/>
      <c r="G67" s="866"/>
      <c r="H67" s="866"/>
      <c r="I67" s="866">
        <f t="shared" si="14"/>
        <v>140.4</v>
      </c>
      <c r="J67" s="866"/>
      <c r="K67" s="866"/>
      <c r="L67" s="866"/>
      <c r="M67" s="866"/>
      <c r="N67" s="866"/>
      <c r="O67" s="866"/>
    </row>
    <row r="68" spans="2:15" s="835" customFormat="1" ht="12" customHeight="1">
      <c r="B68" s="869">
        <v>42766</v>
      </c>
      <c r="C68" s="868" t="s">
        <v>722</v>
      </c>
      <c r="D68" s="866">
        <v>49.95</v>
      </c>
      <c r="E68" s="867"/>
      <c r="F68" s="866"/>
      <c r="G68" s="866"/>
      <c r="H68" s="866"/>
      <c r="I68" s="866">
        <f t="shared" si="14"/>
        <v>49.95</v>
      </c>
      <c r="J68" s="866"/>
      <c r="K68" s="866"/>
      <c r="L68" s="866"/>
      <c r="M68" s="866"/>
      <c r="N68" s="866"/>
      <c r="O68" s="866"/>
    </row>
    <row r="69" spans="2:15" s="835" customFormat="1" ht="12" customHeight="1">
      <c r="B69" s="873">
        <v>42767</v>
      </c>
      <c r="C69" s="868" t="s">
        <v>968</v>
      </c>
      <c r="D69" s="866">
        <v>34</v>
      </c>
      <c r="E69" s="867"/>
      <c r="F69" s="866"/>
      <c r="G69" s="866"/>
      <c r="H69" s="866"/>
      <c r="I69" s="866">
        <f t="shared" si="14"/>
        <v>34</v>
      </c>
      <c r="J69" s="866"/>
      <c r="K69" s="866"/>
      <c r="L69" s="866"/>
      <c r="M69" s="866"/>
      <c r="N69" s="866"/>
      <c r="O69" s="866"/>
    </row>
    <row r="70" spans="2:15" s="835" customFormat="1" ht="12" customHeight="1">
      <c r="B70" s="869">
        <v>42767</v>
      </c>
      <c r="C70" s="868" t="s">
        <v>469</v>
      </c>
      <c r="D70" s="866">
        <v>39.799999999999997</v>
      </c>
      <c r="E70" s="867"/>
      <c r="F70" s="866"/>
      <c r="G70" s="866"/>
      <c r="H70" s="866"/>
      <c r="I70" s="866">
        <f t="shared" si="14"/>
        <v>39.799999999999997</v>
      </c>
      <c r="J70" s="866"/>
      <c r="K70" s="866"/>
      <c r="L70" s="866"/>
      <c r="M70" s="866"/>
      <c r="N70" s="866"/>
      <c r="O70" s="866"/>
    </row>
    <row r="71" spans="2:15" s="835" customFormat="1" ht="12" customHeight="1">
      <c r="B71" s="869">
        <v>42768</v>
      </c>
      <c r="C71" s="868" t="s">
        <v>722</v>
      </c>
      <c r="D71" s="866">
        <v>143.4</v>
      </c>
      <c r="E71" s="867"/>
      <c r="F71" s="866"/>
      <c r="G71" s="866">
        <v>9.9499999999999993</v>
      </c>
      <c r="H71" s="866"/>
      <c r="I71" s="866">
        <f t="shared" si="14"/>
        <v>133.45000000000002</v>
      </c>
      <c r="J71" s="866"/>
      <c r="K71" s="866"/>
      <c r="L71" s="866"/>
      <c r="M71" s="866"/>
      <c r="N71" s="866"/>
      <c r="O71" s="866"/>
    </row>
    <row r="72" spans="2:15" s="835" customFormat="1" ht="12" customHeight="1">
      <c r="B72" s="869">
        <v>42768</v>
      </c>
      <c r="C72" s="868" t="s">
        <v>967</v>
      </c>
      <c r="D72" s="866">
        <v>50</v>
      </c>
      <c r="E72" s="867"/>
      <c r="F72" s="866"/>
      <c r="G72" s="866">
        <v>50</v>
      </c>
      <c r="H72" s="866"/>
      <c r="I72" s="866">
        <f t="shared" si="14"/>
        <v>0</v>
      </c>
      <c r="J72" s="866"/>
      <c r="K72" s="866"/>
      <c r="L72" s="866"/>
      <c r="M72" s="866"/>
      <c r="N72" s="866"/>
      <c r="O72" s="866"/>
    </row>
    <row r="73" spans="2:15" s="835" customFormat="1" ht="12" customHeight="1">
      <c r="B73" s="869">
        <v>42768</v>
      </c>
      <c r="C73" s="868" t="s">
        <v>969</v>
      </c>
      <c r="D73" s="866">
        <v>9</v>
      </c>
      <c r="E73" s="867"/>
      <c r="F73" s="866"/>
      <c r="G73" s="866"/>
      <c r="H73" s="866"/>
      <c r="I73" s="866">
        <f t="shared" si="14"/>
        <v>9</v>
      </c>
      <c r="J73" s="866"/>
      <c r="K73" s="866"/>
      <c r="L73" s="866"/>
      <c r="M73" s="866"/>
      <c r="N73" s="866"/>
      <c r="O73" s="866"/>
    </row>
    <row r="74" spans="2:15" s="835" customFormat="1" ht="12" customHeight="1">
      <c r="B74" s="869">
        <v>42768</v>
      </c>
      <c r="C74" s="868" t="s">
        <v>722</v>
      </c>
      <c r="D74" s="866">
        <v>104.5</v>
      </c>
      <c r="E74" s="867"/>
      <c r="F74" s="866"/>
      <c r="G74" s="866"/>
      <c r="H74" s="866"/>
      <c r="I74" s="866">
        <f t="shared" si="14"/>
        <v>104.5</v>
      </c>
      <c r="J74" s="866"/>
      <c r="K74" s="866"/>
      <c r="L74" s="866"/>
      <c r="M74" s="866"/>
      <c r="N74" s="866"/>
      <c r="O74" s="866"/>
    </row>
    <row r="75" spans="2:15" s="835" customFormat="1" ht="12" customHeight="1">
      <c r="B75" s="869">
        <v>42768</v>
      </c>
      <c r="C75" s="868" t="s">
        <v>968</v>
      </c>
      <c r="D75" s="866">
        <v>33.9</v>
      </c>
      <c r="E75" s="867"/>
      <c r="F75" s="866"/>
      <c r="G75" s="866"/>
      <c r="H75" s="866"/>
      <c r="I75" s="866">
        <f t="shared" si="14"/>
        <v>33.9</v>
      </c>
      <c r="J75" s="866"/>
      <c r="K75" s="866"/>
      <c r="L75" s="866"/>
      <c r="M75" s="866"/>
      <c r="N75" s="866"/>
      <c r="O75" s="866"/>
    </row>
    <row r="76" spans="2:15" s="835" customFormat="1" ht="12" customHeight="1">
      <c r="B76" s="869">
        <v>42769</v>
      </c>
      <c r="C76" s="868" t="s">
        <v>967</v>
      </c>
      <c r="D76" s="866">
        <v>50</v>
      </c>
      <c r="E76" s="867"/>
      <c r="F76" s="866"/>
      <c r="G76" s="866">
        <v>50</v>
      </c>
      <c r="H76" s="866"/>
      <c r="I76" s="866">
        <f t="shared" si="14"/>
        <v>0</v>
      </c>
      <c r="J76" s="866"/>
      <c r="K76" s="866"/>
      <c r="L76" s="866"/>
      <c r="M76" s="866"/>
      <c r="N76" s="866"/>
      <c r="O76" s="866"/>
    </row>
    <row r="77" spans="2:15" s="835" customFormat="1" ht="12" customHeight="1">
      <c r="B77" s="869">
        <v>42769</v>
      </c>
      <c r="C77" s="868" t="s">
        <v>967</v>
      </c>
      <c r="D77" s="866">
        <v>10</v>
      </c>
      <c r="E77" s="867"/>
      <c r="F77" s="866"/>
      <c r="G77" s="866"/>
      <c r="H77" s="866"/>
      <c r="I77" s="866">
        <f t="shared" si="14"/>
        <v>10</v>
      </c>
      <c r="J77" s="866"/>
      <c r="K77" s="866"/>
      <c r="L77" s="866"/>
      <c r="M77" s="866"/>
      <c r="N77" s="866"/>
      <c r="O77" s="866"/>
    </row>
    <row r="78" spans="2:15" s="835" customFormat="1" ht="12" customHeight="1">
      <c r="B78" s="869">
        <v>42953</v>
      </c>
      <c r="C78" s="868" t="s">
        <v>469</v>
      </c>
      <c r="D78" s="866">
        <v>27.9</v>
      </c>
      <c r="E78" s="867"/>
      <c r="F78" s="866"/>
      <c r="G78" s="866">
        <v>8.9499999999999993</v>
      </c>
      <c r="H78" s="866"/>
      <c r="I78" s="866">
        <f t="shared" si="14"/>
        <v>18.95</v>
      </c>
      <c r="J78" s="866"/>
      <c r="K78" s="866"/>
      <c r="L78" s="866"/>
      <c r="M78" s="866"/>
      <c r="N78" s="866"/>
      <c r="O78" s="866"/>
    </row>
    <row r="79" spans="2:15" s="835" customFormat="1" ht="12" customHeight="1">
      <c r="B79" s="869">
        <v>42774</v>
      </c>
      <c r="C79" s="868" t="s">
        <v>722</v>
      </c>
      <c r="D79" s="866">
        <v>172.15</v>
      </c>
      <c r="E79" s="867">
        <v>77</v>
      </c>
      <c r="F79" s="866"/>
      <c r="G79" s="866">
        <v>15</v>
      </c>
      <c r="H79" s="866"/>
      <c r="I79" s="866">
        <f t="shared" si="14"/>
        <v>80.150000000000006</v>
      </c>
      <c r="J79" s="866"/>
      <c r="K79" s="866"/>
      <c r="L79" s="866"/>
      <c r="M79" s="866"/>
      <c r="N79" s="866"/>
      <c r="O79" s="866"/>
    </row>
    <row r="80" spans="2:15" s="835" customFormat="1" ht="12" customHeight="1">
      <c r="B80" s="869">
        <v>42775</v>
      </c>
      <c r="C80" s="868" t="s">
        <v>967</v>
      </c>
      <c r="D80" s="866">
        <v>139.15</v>
      </c>
      <c r="E80" s="867"/>
      <c r="F80" s="866"/>
      <c r="G80" s="866">
        <v>25</v>
      </c>
      <c r="H80" s="866"/>
      <c r="I80" s="866">
        <f t="shared" ref="I80:I143" si="15">D80-E80-F80-G80</f>
        <v>114.15</v>
      </c>
      <c r="J80" s="866"/>
      <c r="K80" s="866"/>
      <c r="L80" s="866"/>
      <c r="M80" s="866"/>
      <c r="N80" s="866"/>
      <c r="O80" s="866"/>
    </row>
    <row r="81" spans="2:15" s="835" customFormat="1" ht="12" customHeight="1">
      <c r="B81" s="869">
        <v>42775</v>
      </c>
      <c r="C81" s="868" t="s">
        <v>631</v>
      </c>
      <c r="D81" s="866">
        <v>24</v>
      </c>
      <c r="E81" s="867"/>
      <c r="F81" s="866"/>
      <c r="G81" s="866"/>
      <c r="H81" s="866"/>
      <c r="I81" s="866">
        <f t="shared" si="15"/>
        <v>24</v>
      </c>
      <c r="J81" s="866"/>
      <c r="K81" s="866"/>
      <c r="L81" s="866"/>
      <c r="M81" s="866"/>
      <c r="N81" s="866"/>
      <c r="O81" s="866"/>
    </row>
    <row r="82" spans="2:15" s="835" customFormat="1" ht="12" customHeight="1">
      <c r="B82" s="869">
        <v>42775</v>
      </c>
      <c r="C82" s="868" t="s">
        <v>722</v>
      </c>
      <c r="D82" s="866">
        <v>19</v>
      </c>
      <c r="E82" s="867"/>
      <c r="F82" s="866"/>
      <c r="G82" s="866"/>
      <c r="H82" s="866"/>
      <c r="I82" s="866">
        <f t="shared" si="15"/>
        <v>19</v>
      </c>
      <c r="J82" s="866"/>
      <c r="K82" s="866"/>
      <c r="L82" s="866"/>
      <c r="M82" s="866"/>
      <c r="N82" s="866"/>
      <c r="O82" s="866"/>
    </row>
    <row r="83" spans="2:15" s="835" customFormat="1" ht="12" customHeight="1">
      <c r="B83" s="869">
        <v>42776</v>
      </c>
      <c r="C83" s="868" t="s">
        <v>722</v>
      </c>
      <c r="D83" s="866">
        <v>145.69999999999999</v>
      </c>
      <c r="E83" s="867"/>
      <c r="F83" s="866"/>
      <c r="G83" s="866">
        <v>15</v>
      </c>
      <c r="H83" s="866"/>
      <c r="I83" s="866">
        <f t="shared" si="15"/>
        <v>130.69999999999999</v>
      </c>
      <c r="J83" s="866"/>
      <c r="K83" s="866"/>
      <c r="L83" s="866"/>
      <c r="M83" s="866"/>
      <c r="N83" s="866"/>
      <c r="O83" s="866"/>
    </row>
    <row r="84" spans="2:15" s="835" customFormat="1" ht="12" customHeight="1">
      <c r="B84" s="869">
        <v>42779</v>
      </c>
      <c r="C84" s="868" t="s">
        <v>469</v>
      </c>
      <c r="D84" s="866">
        <v>93.95</v>
      </c>
      <c r="E84" s="867"/>
      <c r="F84" s="866"/>
      <c r="G84" s="866"/>
      <c r="H84" s="866"/>
      <c r="I84" s="866">
        <f t="shared" si="15"/>
        <v>93.95</v>
      </c>
      <c r="J84" s="866"/>
      <c r="K84" s="866"/>
      <c r="L84" s="866"/>
      <c r="M84" s="866"/>
      <c r="N84" s="866"/>
      <c r="O84" s="866"/>
    </row>
    <row r="85" spans="2:15" s="835" customFormat="1" ht="12" customHeight="1">
      <c r="B85" s="869">
        <v>42779</v>
      </c>
      <c r="C85" s="868" t="s">
        <v>967</v>
      </c>
      <c r="D85" s="866">
        <v>85</v>
      </c>
      <c r="E85" s="867"/>
      <c r="F85" s="866"/>
      <c r="G85" s="866">
        <v>20</v>
      </c>
      <c r="H85" s="866"/>
      <c r="I85" s="866">
        <f t="shared" si="15"/>
        <v>65</v>
      </c>
      <c r="J85" s="866"/>
      <c r="K85" s="866"/>
      <c r="L85" s="866"/>
      <c r="M85" s="866"/>
      <c r="N85" s="866"/>
      <c r="O85" s="866"/>
    </row>
    <row r="86" spans="2:15" s="835" customFormat="1" ht="12" customHeight="1">
      <c r="B86" s="869">
        <v>42780</v>
      </c>
      <c r="C86" s="868" t="s">
        <v>297</v>
      </c>
      <c r="D86" s="866">
        <v>142.30000000000001</v>
      </c>
      <c r="E86" s="867"/>
      <c r="F86" s="866">
        <v>142.30000000000001</v>
      </c>
      <c r="G86" s="866"/>
      <c r="H86" s="866"/>
      <c r="I86" s="866">
        <f t="shared" si="15"/>
        <v>0</v>
      </c>
      <c r="J86" s="866"/>
      <c r="K86" s="866"/>
      <c r="L86" s="866"/>
      <c r="M86" s="866"/>
      <c r="N86" s="866"/>
      <c r="O86" s="866"/>
    </row>
    <row r="87" spans="2:15" s="835" customFormat="1" ht="12" customHeight="1">
      <c r="B87" s="869">
        <v>42780</v>
      </c>
      <c r="C87" s="868" t="s">
        <v>968</v>
      </c>
      <c r="D87" s="866">
        <v>29.3</v>
      </c>
      <c r="E87" s="867"/>
      <c r="F87" s="866">
        <v>29.3</v>
      </c>
      <c r="G87" s="866"/>
      <c r="H87" s="866"/>
      <c r="I87" s="866">
        <f t="shared" si="15"/>
        <v>0</v>
      </c>
      <c r="J87" s="866"/>
      <c r="K87" s="866"/>
      <c r="L87" s="866"/>
      <c r="M87" s="866"/>
      <c r="N87" s="866"/>
      <c r="O87" s="866"/>
    </row>
    <row r="88" spans="2:15" s="835" customFormat="1" ht="12" customHeight="1">
      <c r="B88" s="869">
        <v>42781</v>
      </c>
      <c r="C88" s="868" t="s">
        <v>968</v>
      </c>
      <c r="D88" s="866">
        <v>58</v>
      </c>
      <c r="E88" s="867"/>
      <c r="F88" s="866"/>
      <c r="G88" s="866"/>
      <c r="H88" s="866"/>
      <c r="I88" s="866">
        <f t="shared" si="15"/>
        <v>58</v>
      </c>
      <c r="J88" s="866"/>
      <c r="K88" s="866"/>
      <c r="L88" s="866"/>
      <c r="M88" s="866"/>
      <c r="N88" s="866"/>
      <c r="O88" s="866"/>
    </row>
    <row r="89" spans="2:15" s="835" customFormat="1" ht="12" customHeight="1">
      <c r="B89" s="869">
        <v>42785</v>
      </c>
      <c r="C89" s="868" t="s">
        <v>968</v>
      </c>
      <c r="D89" s="866">
        <v>28</v>
      </c>
      <c r="E89" s="867"/>
      <c r="F89" s="866"/>
      <c r="G89" s="866"/>
      <c r="H89" s="866"/>
      <c r="I89" s="866">
        <f t="shared" si="15"/>
        <v>28</v>
      </c>
      <c r="J89" s="866"/>
      <c r="K89" s="866"/>
      <c r="L89" s="866"/>
      <c r="M89" s="866"/>
      <c r="N89" s="866"/>
      <c r="O89" s="866"/>
    </row>
    <row r="90" spans="2:15" s="835" customFormat="1" ht="12" customHeight="1">
      <c r="B90" s="869">
        <v>42785</v>
      </c>
      <c r="C90" s="868" t="s">
        <v>722</v>
      </c>
      <c r="D90" s="866">
        <v>16</v>
      </c>
      <c r="E90" s="867"/>
      <c r="F90" s="866"/>
      <c r="G90" s="866"/>
      <c r="H90" s="866"/>
      <c r="I90" s="866">
        <f t="shared" si="15"/>
        <v>16</v>
      </c>
      <c r="J90" s="866"/>
      <c r="K90" s="866"/>
      <c r="L90" s="866"/>
      <c r="M90" s="866"/>
      <c r="N90" s="866"/>
      <c r="O90" s="866"/>
    </row>
    <row r="91" spans="2:15" s="835" customFormat="1" ht="12" customHeight="1">
      <c r="B91" s="869">
        <v>42787</v>
      </c>
      <c r="C91" s="868" t="s">
        <v>722</v>
      </c>
      <c r="D91" s="866">
        <v>78.95</v>
      </c>
      <c r="E91" s="867">
        <v>38.5</v>
      </c>
      <c r="F91" s="866"/>
      <c r="G91" s="866"/>
      <c r="H91" s="866"/>
      <c r="I91" s="866">
        <f t="shared" si="15"/>
        <v>40.450000000000003</v>
      </c>
      <c r="J91" s="866"/>
      <c r="K91" s="866"/>
      <c r="L91" s="866"/>
      <c r="M91" s="866"/>
      <c r="N91" s="866"/>
      <c r="O91" s="866"/>
    </row>
    <row r="92" spans="2:15" s="835" customFormat="1" ht="12" customHeight="1">
      <c r="B92" s="869">
        <v>42788</v>
      </c>
      <c r="C92" s="868" t="s">
        <v>722</v>
      </c>
      <c r="D92" s="866">
        <v>19</v>
      </c>
      <c r="E92" s="867"/>
      <c r="F92" s="866"/>
      <c r="G92" s="866"/>
      <c r="H92" s="866"/>
      <c r="I92" s="866">
        <f t="shared" si="15"/>
        <v>19</v>
      </c>
      <c r="J92" s="866"/>
      <c r="K92" s="866"/>
      <c r="L92" s="866"/>
      <c r="M92" s="866"/>
      <c r="N92" s="866"/>
      <c r="O92" s="866"/>
    </row>
    <row r="93" spans="2:15" s="835" customFormat="1" ht="12" customHeight="1">
      <c r="B93" s="869">
        <v>42788</v>
      </c>
      <c r="C93" s="868" t="s">
        <v>722</v>
      </c>
      <c r="D93" s="866">
        <v>49.95</v>
      </c>
      <c r="E93" s="867"/>
      <c r="F93" s="866"/>
      <c r="G93" s="866">
        <v>30</v>
      </c>
      <c r="H93" s="866"/>
      <c r="I93" s="866">
        <f t="shared" si="15"/>
        <v>19.950000000000003</v>
      </c>
      <c r="J93" s="866"/>
      <c r="K93" s="866"/>
      <c r="L93" s="866"/>
      <c r="M93" s="866"/>
      <c r="N93" s="866"/>
      <c r="O93" s="866"/>
    </row>
    <row r="94" spans="2:15" s="835" customFormat="1" ht="12" customHeight="1">
      <c r="B94" s="869">
        <v>42789</v>
      </c>
      <c r="C94" s="868" t="s">
        <v>722</v>
      </c>
      <c r="D94" s="866">
        <v>96.45</v>
      </c>
      <c r="E94" s="867">
        <v>38.5</v>
      </c>
      <c r="F94" s="866"/>
      <c r="G94" s="866">
        <v>17.95</v>
      </c>
      <c r="H94" s="866"/>
      <c r="I94" s="866">
        <f t="shared" si="15"/>
        <v>40</v>
      </c>
      <c r="J94" s="866"/>
      <c r="K94" s="866"/>
      <c r="L94" s="866"/>
      <c r="M94" s="866"/>
      <c r="N94" s="866"/>
      <c r="O94" s="866"/>
    </row>
    <row r="95" spans="2:15" s="835" customFormat="1" ht="12" customHeight="1">
      <c r="B95" s="869">
        <v>42790</v>
      </c>
      <c r="C95" s="868" t="s">
        <v>469</v>
      </c>
      <c r="D95" s="866">
        <v>68.7</v>
      </c>
      <c r="E95" s="867"/>
      <c r="F95" s="866"/>
      <c r="G95" s="866"/>
      <c r="H95" s="866"/>
      <c r="I95" s="866">
        <f t="shared" si="15"/>
        <v>68.7</v>
      </c>
      <c r="J95" s="866"/>
      <c r="K95" s="866"/>
      <c r="L95" s="866"/>
      <c r="M95" s="866"/>
      <c r="N95" s="866"/>
      <c r="O95" s="866"/>
    </row>
    <row r="96" spans="2:15" s="835" customFormat="1" ht="12" customHeight="1">
      <c r="B96" s="903">
        <v>42790</v>
      </c>
      <c r="C96" s="902" t="s">
        <v>722</v>
      </c>
      <c r="D96" s="890">
        <v>40</v>
      </c>
      <c r="E96" s="901"/>
      <c r="F96" s="890"/>
      <c r="G96" s="890"/>
      <c r="H96" s="890"/>
      <c r="I96" s="890">
        <f t="shared" si="15"/>
        <v>40</v>
      </c>
      <c r="J96" s="890"/>
      <c r="K96" s="890"/>
      <c r="L96" s="890"/>
      <c r="M96" s="890"/>
      <c r="N96" s="890"/>
      <c r="O96" s="890"/>
    </row>
    <row r="97" spans="2:15" s="835" customFormat="1" ht="12" customHeight="1">
      <c r="B97" s="881">
        <v>42794</v>
      </c>
      <c r="C97" s="880" t="s">
        <v>469</v>
      </c>
      <c r="D97" s="878">
        <f>584.4-99-144.65</f>
        <v>340.75</v>
      </c>
      <c r="E97" s="879">
        <v>154</v>
      </c>
      <c r="F97" s="878"/>
      <c r="G97" s="878">
        <v>14.85</v>
      </c>
      <c r="H97" s="878"/>
      <c r="I97" s="878">
        <f t="shared" si="15"/>
        <v>171.9</v>
      </c>
      <c r="J97" s="878"/>
      <c r="K97" s="878"/>
      <c r="L97" s="878"/>
      <c r="M97" s="878"/>
      <c r="N97" s="878"/>
      <c r="O97" s="878"/>
    </row>
    <row r="98" spans="2:15" s="835" customFormat="1" ht="12" customHeight="1">
      <c r="B98" s="881">
        <v>42794</v>
      </c>
      <c r="C98" s="880" t="s">
        <v>967</v>
      </c>
      <c r="D98" s="878">
        <v>364.05</v>
      </c>
      <c r="E98" s="879"/>
      <c r="F98" s="878"/>
      <c r="G98" s="878"/>
      <c r="H98" s="878"/>
      <c r="I98" s="878">
        <f t="shared" si="15"/>
        <v>364.05</v>
      </c>
      <c r="J98" s="878"/>
      <c r="K98" s="878"/>
      <c r="L98" s="878"/>
      <c r="M98" s="878"/>
      <c r="N98" s="878"/>
      <c r="O98" s="878"/>
    </row>
    <row r="99" spans="2:15" s="835" customFormat="1" ht="12" customHeight="1">
      <c r="B99" s="881">
        <v>42794</v>
      </c>
      <c r="C99" s="880" t="s">
        <v>967</v>
      </c>
      <c r="D99" s="878">
        <v>192.8</v>
      </c>
      <c r="E99" s="879"/>
      <c r="F99" s="878"/>
      <c r="G99" s="878"/>
      <c r="H99" s="878"/>
      <c r="I99" s="878">
        <f t="shared" si="15"/>
        <v>192.8</v>
      </c>
      <c r="J99" s="878"/>
      <c r="K99" s="878"/>
      <c r="L99" s="878"/>
      <c r="M99" s="878"/>
      <c r="N99" s="878"/>
      <c r="O99" s="878"/>
    </row>
    <row r="100" spans="2:15" s="835" customFormat="1" ht="12" customHeight="1">
      <c r="B100" s="881">
        <v>42794</v>
      </c>
      <c r="C100" s="880" t="s">
        <v>722</v>
      </c>
      <c r="D100" s="878">
        <v>155.9</v>
      </c>
      <c r="E100" s="879"/>
      <c r="F100" s="878"/>
      <c r="G100" s="878">
        <v>115.9</v>
      </c>
      <c r="H100" s="878"/>
      <c r="I100" s="878">
        <f t="shared" si="15"/>
        <v>40</v>
      </c>
      <c r="J100" s="878"/>
      <c r="K100" s="878"/>
      <c r="L100" s="878"/>
      <c r="M100" s="878"/>
      <c r="N100" s="878"/>
      <c r="O100" s="878"/>
    </row>
    <row r="101" spans="2:15" s="835" customFormat="1" ht="12" customHeight="1">
      <c r="B101" s="881">
        <v>42795</v>
      </c>
      <c r="C101" s="880" t="s">
        <v>469</v>
      </c>
      <c r="D101" s="878">
        <v>11.95</v>
      </c>
      <c r="E101" s="879"/>
      <c r="F101" s="878"/>
      <c r="G101" s="878"/>
      <c r="H101" s="878"/>
      <c r="I101" s="878">
        <f t="shared" si="15"/>
        <v>11.95</v>
      </c>
      <c r="J101" s="878"/>
      <c r="K101" s="878"/>
      <c r="L101" s="878"/>
      <c r="M101" s="878"/>
      <c r="N101" s="878"/>
      <c r="O101" s="878"/>
    </row>
    <row r="102" spans="2:15" s="835" customFormat="1" ht="12" customHeight="1">
      <c r="B102" s="881">
        <v>42795</v>
      </c>
      <c r="C102" s="880" t="s">
        <v>967</v>
      </c>
      <c r="D102" s="878">
        <v>85.79</v>
      </c>
      <c r="E102" s="879"/>
      <c r="F102" s="878"/>
      <c r="G102" s="878"/>
      <c r="H102" s="878"/>
      <c r="I102" s="878">
        <f t="shared" si="15"/>
        <v>85.79</v>
      </c>
      <c r="J102" s="878"/>
      <c r="K102" s="878"/>
      <c r="L102" s="878"/>
      <c r="M102" s="878"/>
      <c r="N102" s="878"/>
      <c r="O102" s="878"/>
    </row>
    <row r="103" spans="2:15" s="835" customFormat="1" ht="12" customHeight="1">
      <c r="B103" s="881">
        <v>42795</v>
      </c>
      <c r="C103" s="880" t="s">
        <v>967</v>
      </c>
      <c r="D103" s="878">
        <v>150.55000000000001</v>
      </c>
      <c r="E103" s="879"/>
      <c r="F103" s="878"/>
      <c r="G103" s="878"/>
      <c r="H103" s="878"/>
      <c r="I103" s="878">
        <f t="shared" si="15"/>
        <v>150.55000000000001</v>
      </c>
      <c r="J103" s="878"/>
      <c r="K103" s="878"/>
      <c r="L103" s="878"/>
      <c r="M103" s="878"/>
      <c r="N103" s="878"/>
      <c r="O103" s="878"/>
    </row>
    <row r="104" spans="2:15" s="835" customFormat="1" ht="12" customHeight="1">
      <c r="B104" s="881">
        <v>42795</v>
      </c>
      <c r="C104" s="880" t="s">
        <v>967</v>
      </c>
      <c r="D104" s="878">
        <v>32</v>
      </c>
      <c r="E104" s="879"/>
      <c r="F104" s="878"/>
      <c r="G104" s="878"/>
      <c r="H104" s="878"/>
      <c r="I104" s="878">
        <f t="shared" si="15"/>
        <v>32</v>
      </c>
      <c r="J104" s="878"/>
      <c r="K104" s="878"/>
      <c r="L104" s="878"/>
      <c r="M104" s="878"/>
      <c r="N104" s="878"/>
      <c r="O104" s="878"/>
    </row>
    <row r="105" spans="2:15" s="835" customFormat="1" ht="12" customHeight="1">
      <c r="B105" s="881">
        <v>42796</v>
      </c>
      <c r="C105" s="880" t="s">
        <v>967</v>
      </c>
      <c r="D105" s="878">
        <v>153.4</v>
      </c>
      <c r="E105" s="879"/>
      <c r="F105" s="878"/>
      <c r="G105" s="878"/>
      <c r="H105" s="878"/>
      <c r="I105" s="878">
        <f t="shared" si="15"/>
        <v>153.4</v>
      </c>
      <c r="J105" s="878"/>
      <c r="K105" s="878"/>
      <c r="L105" s="878"/>
      <c r="M105" s="878"/>
      <c r="N105" s="878"/>
      <c r="O105" s="878"/>
    </row>
    <row r="106" spans="2:15" s="835" customFormat="1" ht="12" customHeight="1">
      <c r="B106" s="881">
        <v>42796</v>
      </c>
      <c r="C106" s="880" t="s">
        <v>967</v>
      </c>
      <c r="D106" s="878">
        <v>50</v>
      </c>
      <c r="E106" s="879"/>
      <c r="F106" s="878"/>
      <c r="G106" s="878"/>
      <c r="H106" s="878"/>
      <c r="I106" s="878">
        <f t="shared" si="15"/>
        <v>50</v>
      </c>
      <c r="J106" s="878"/>
      <c r="K106" s="878"/>
      <c r="L106" s="878"/>
      <c r="M106" s="878"/>
      <c r="N106" s="878"/>
      <c r="O106" s="878"/>
    </row>
    <row r="107" spans="2:15" s="835" customFormat="1" ht="12" customHeight="1">
      <c r="B107" s="881">
        <v>42796</v>
      </c>
      <c r="C107" s="880" t="s">
        <v>722</v>
      </c>
      <c r="D107" s="878">
        <v>77.900000000000006</v>
      </c>
      <c r="E107" s="879"/>
      <c r="F107" s="878"/>
      <c r="G107" s="878"/>
      <c r="H107" s="878"/>
      <c r="I107" s="878">
        <f t="shared" si="15"/>
        <v>77.900000000000006</v>
      </c>
      <c r="J107" s="878"/>
      <c r="K107" s="878"/>
      <c r="L107" s="878"/>
      <c r="M107" s="878"/>
      <c r="N107" s="878"/>
      <c r="O107" s="878"/>
    </row>
    <row r="108" spans="2:15" s="835" customFormat="1" ht="12" customHeight="1">
      <c r="B108" s="881">
        <v>42796</v>
      </c>
      <c r="C108" s="880" t="s">
        <v>969</v>
      </c>
      <c r="D108" s="878">
        <v>94</v>
      </c>
      <c r="E108" s="879"/>
      <c r="F108" s="878"/>
      <c r="G108" s="878"/>
      <c r="H108" s="878"/>
      <c r="I108" s="878">
        <f t="shared" si="15"/>
        <v>94</v>
      </c>
      <c r="J108" s="878"/>
      <c r="K108" s="878"/>
      <c r="L108" s="878"/>
      <c r="M108" s="878"/>
      <c r="N108" s="878"/>
      <c r="O108" s="878"/>
    </row>
    <row r="109" spans="2:15" s="835" customFormat="1" ht="12" customHeight="1">
      <c r="B109" s="881">
        <v>42796</v>
      </c>
      <c r="C109" s="880" t="s">
        <v>469</v>
      </c>
      <c r="D109" s="878">
        <v>53.5</v>
      </c>
      <c r="E109" s="879"/>
      <c r="F109" s="878"/>
      <c r="G109" s="878">
        <v>25</v>
      </c>
      <c r="H109" s="878"/>
      <c r="I109" s="878">
        <f t="shared" si="15"/>
        <v>28.5</v>
      </c>
      <c r="J109" s="878"/>
      <c r="K109" s="878"/>
      <c r="L109" s="878"/>
      <c r="M109" s="878"/>
      <c r="N109" s="878"/>
      <c r="O109" s="878"/>
    </row>
    <row r="110" spans="2:15" s="835" customFormat="1" ht="12" customHeight="1">
      <c r="B110" s="881">
        <v>42797</v>
      </c>
      <c r="C110" s="880" t="s">
        <v>967</v>
      </c>
      <c r="D110" s="878">
        <v>199.3</v>
      </c>
      <c r="E110" s="879"/>
      <c r="F110" s="878"/>
      <c r="G110" s="878"/>
      <c r="H110" s="878"/>
      <c r="I110" s="878">
        <f t="shared" si="15"/>
        <v>199.3</v>
      </c>
      <c r="J110" s="878"/>
      <c r="K110" s="878"/>
      <c r="L110" s="878"/>
      <c r="M110" s="878"/>
      <c r="N110" s="878"/>
      <c r="O110" s="878"/>
    </row>
    <row r="111" spans="2:15" s="835" customFormat="1" ht="12" customHeight="1">
      <c r="B111" s="881">
        <v>42797</v>
      </c>
      <c r="C111" s="880" t="s">
        <v>968</v>
      </c>
      <c r="D111" s="878">
        <v>25</v>
      </c>
      <c r="E111" s="879"/>
      <c r="F111" s="878"/>
      <c r="G111" s="878"/>
      <c r="H111" s="878"/>
      <c r="I111" s="878">
        <f t="shared" si="15"/>
        <v>25</v>
      </c>
      <c r="J111" s="878"/>
      <c r="K111" s="878"/>
      <c r="L111" s="878"/>
      <c r="M111" s="878"/>
      <c r="N111" s="878"/>
      <c r="O111" s="878"/>
    </row>
    <row r="112" spans="2:15" s="835" customFormat="1" ht="12" customHeight="1">
      <c r="B112" s="881">
        <v>42797</v>
      </c>
      <c r="C112" s="880" t="s">
        <v>722</v>
      </c>
      <c r="D112" s="878">
        <v>180</v>
      </c>
      <c r="E112" s="879"/>
      <c r="F112" s="878"/>
      <c r="G112" s="878"/>
      <c r="H112" s="878"/>
      <c r="I112" s="878">
        <f t="shared" si="15"/>
        <v>180</v>
      </c>
      <c r="J112" s="878"/>
      <c r="K112" s="878"/>
      <c r="L112" s="878"/>
      <c r="M112" s="878"/>
      <c r="N112" s="878"/>
      <c r="O112" s="878"/>
    </row>
    <row r="113" spans="2:15" s="835" customFormat="1" ht="12" customHeight="1">
      <c r="B113" s="881">
        <v>42797</v>
      </c>
      <c r="C113" s="880" t="s">
        <v>968</v>
      </c>
      <c r="D113" s="878">
        <v>135.69999999999999</v>
      </c>
      <c r="E113" s="879"/>
      <c r="F113" s="878">
        <v>135.69999999999999</v>
      </c>
      <c r="G113" s="878"/>
      <c r="H113" s="878"/>
      <c r="I113" s="878">
        <f t="shared" si="15"/>
        <v>0</v>
      </c>
      <c r="J113" s="878"/>
      <c r="K113" s="878"/>
      <c r="L113" s="878"/>
      <c r="M113" s="878"/>
      <c r="N113" s="878"/>
      <c r="O113" s="878"/>
    </row>
    <row r="114" spans="2:15" s="835" customFormat="1" ht="12" customHeight="1">
      <c r="B114" s="881">
        <v>42800</v>
      </c>
      <c r="C114" s="880" t="s">
        <v>967</v>
      </c>
      <c r="D114" s="878">
        <v>50.9</v>
      </c>
      <c r="E114" s="879"/>
      <c r="F114" s="878"/>
      <c r="G114" s="878"/>
      <c r="H114" s="878"/>
      <c r="I114" s="878">
        <f t="shared" si="15"/>
        <v>50.9</v>
      </c>
      <c r="J114" s="878"/>
      <c r="K114" s="878"/>
      <c r="L114" s="878"/>
      <c r="M114" s="878"/>
      <c r="N114" s="878"/>
      <c r="O114" s="878"/>
    </row>
    <row r="115" spans="2:15" s="835" customFormat="1" ht="12" customHeight="1">
      <c r="B115" s="881">
        <v>42802</v>
      </c>
      <c r="C115" s="880" t="s">
        <v>967</v>
      </c>
      <c r="D115" s="878">
        <v>73.45</v>
      </c>
      <c r="E115" s="879"/>
      <c r="F115" s="878"/>
      <c r="G115" s="878"/>
      <c r="H115" s="878"/>
      <c r="I115" s="878">
        <f t="shared" si="15"/>
        <v>73.45</v>
      </c>
      <c r="J115" s="878"/>
      <c r="K115" s="878"/>
      <c r="L115" s="878"/>
      <c r="M115" s="878"/>
      <c r="N115" s="878"/>
      <c r="O115" s="878"/>
    </row>
    <row r="116" spans="2:15" s="835" customFormat="1" ht="12" customHeight="1">
      <c r="B116" s="881">
        <v>42804</v>
      </c>
      <c r="C116" s="880" t="s">
        <v>297</v>
      </c>
      <c r="D116" s="878">
        <v>29.4</v>
      </c>
      <c r="E116" s="879"/>
      <c r="F116" s="878">
        <v>29.4</v>
      </c>
      <c r="G116" s="878"/>
      <c r="H116" s="878"/>
      <c r="I116" s="878">
        <f t="shared" si="15"/>
        <v>0</v>
      </c>
      <c r="J116" s="878"/>
      <c r="K116" s="878"/>
      <c r="L116" s="878"/>
      <c r="M116" s="878"/>
      <c r="N116" s="878"/>
      <c r="O116" s="878"/>
    </row>
    <row r="117" spans="2:15" s="835" customFormat="1" ht="12" customHeight="1">
      <c r="B117" s="881">
        <v>42807</v>
      </c>
      <c r="C117" s="880" t="s">
        <v>968</v>
      </c>
      <c r="D117" s="878">
        <v>12.1</v>
      </c>
      <c r="E117" s="879"/>
      <c r="F117" s="878">
        <v>12.1</v>
      </c>
      <c r="G117" s="878"/>
      <c r="H117" s="878"/>
      <c r="I117" s="878">
        <f t="shared" si="15"/>
        <v>0</v>
      </c>
      <c r="J117" s="878"/>
      <c r="K117" s="878"/>
      <c r="L117" s="878"/>
      <c r="M117" s="878"/>
      <c r="N117" s="878"/>
      <c r="O117" s="878"/>
    </row>
    <row r="118" spans="2:15" s="835" customFormat="1" ht="12" customHeight="1">
      <c r="B118" s="881">
        <v>42810</v>
      </c>
      <c r="C118" s="880" t="s">
        <v>722</v>
      </c>
      <c r="D118" s="878">
        <v>82</v>
      </c>
      <c r="E118" s="879"/>
      <c r="F118" s="878"/>
      <c r="G118" s="878">
        <v>30</v>
      </c>
      <c r="H118" s="878"/>
      <c r="I118" s="878">
        <f t="shared" si="15"/>
        <v>52</v>
      </c>
      <c r="J118" s="878"/>
      <c r="K118" s="878"/>
      <c r="L118" s="878"/>
      <c r="M118" s="878"/>
      <c r="N118" s="878"/>
      <c r="O118" s="878"/>
    </row>
    <row r="119" spans="2:15" s="835" customFormat="1" ht="12" customHeight="1">
      <c r="B119" s="881">
        <v>42810</v>
      </c>
      <c r="C119" s="880" t="s">
        <v>223</v>
      </c>
      <c r="D119" s="878">
        <v>60</v>
      </c>
      <c r="E119" s="879"/>
      <c r="F119" s="878"/>
      <c r="G119" s="878"/>
      <c r="H119" s="878"/>
      <c r="I119" s="878">
        <f t="shared" si="15"/>
        <v>60</v>
      </c>
      <c r="J119" s="878"/>
      <c r="K119" s="878"/>
      <c r="L119" s="878"/>
      <c r="M119" s="878"/>
      <c r="N119" s="878"/>
      <c r="O119" s="878"/>
    </row>
    <row r="120" spans="2:15" s="835" customFormat="1" ht="12" customHeight="1">
      <c r="B120" s="881">
        <v>42810</v>
      </c>
      <c r="C120" s="880" t="s">
        <v>39</v>
      </c>
      <c r="D120" s="878">
        <v>60.8</v>
      </c>
      <c r="E120" s="879"/>
      <c r="F120" s="878"/>
      <c r="G120" s="878"/>
      <c r="H120" s="878"/>
      <c r="I120" s="878">
        <f t="shared" si="15"/>
        <v>60.8</v>
      </c>
      <c r="J120" s="878"/>
      <c r="K120" s="878"/>
      <c r="L120" s="878"/>
      <c r="M120" s="878"/>
      <c r="N120" s="878"/>
      <c r="O120" s="878"/>
    </row>
    <row r="121" spans="2:15" s="835" customFormat="1" ht="12" customHeight="1">
      <c r="B121" s="881">
        <v>42816</v>
      </c>
      <c r="C121" s="880" t="s">
        <v>967</v>
      </c>
      <c r="D121" s="878">
        <v>57.3</v>
      </c>
      <c r="E121" s="879"/>
      <c r="F121" s="878"/>
      <c r="G121" s="878"/>
      <c r="H121" s="878"/>
      <c r="I121" s="878">
        <f t="shared" si="15"/>
        <v>57.3</v>
      </c>
      <c r="J121" s="878"/>
      <c r="K121" s="878"/>
      <c r="L121" s="878"/>
      <c r="M121" s="878"/>
      <c r="N121" s="878"/>
      <c r="O121" s="878"/>
    </row>
    <row r="122" spans="2:15" s="835" customFormat="1" ht="12" customHeight="1">
      <c r="B122" s="881">
        <v>42816</v>
      </c>
      <c r="C122" s="880" t="s">
        <v>722</v>
      </c>
      <c r="D122" s="878">
        <v>65.5</v>
      </c>
      <c r="E122" s="879"/>
      <c r="F122" s="878"/>
      <c r="G122" s="878">
        <v>38</v>
      </c>
      <c r="H122" s="878"/>
      <c r="I122" s="878">
        <f t="shared" si="15"/>
        <v>27.5</v>
      </c>
      <c r="J122" s="878"/>
      <c r="K122" s="878"/>
      <c r="L122" s="878"/>
      <c r="M122" s="878"/>
      <c r="N122" s="878"/>
      <c r="O122" s="878"/>
    </row>
    <row r="123" spans="2:15" s="835" customFormat="1" ht="12" customHeight="1">
      <c r="B123" s="881">
        <v>42816</v>
      </c>
      <c r="C123" s="880" t="s">
        <v>722</v>
      </c>
      <c r="D123" s="878">
        <v>65</v>
      </c>
      <c r="E123" s="879"/>
      <c r="F123" s="878"/>
      <c r="G123" s="878">
        <v>65</v>
      </c>
      <c r="H123" s="878"/>
      <c r="I123" s="878">
        <f t="shared" si="15"/>
        <v>0</v>
      </c>
      <c r="J123" s="878"/>
      <c r="K123" s="878"/>
      <c r="L123" s="878"/>
      <c r="M123" s="878"/>
      <c r="N123" s="878"/>
      <c r="O123" s="878"/>
    </row>
    <row r="124" spans="2:15" s="835" customFormat="1" ht="12" customHeight="1">
      <c r="B124" s="881">
        <v>42817</v>
      </c>
      <c r="C124" s="880" t="s">
        <v>968</v>
      </c>
      <c r="D124" s="878">
        <v>35.5</v>
      </c>
      <c r="E124" s="879"/>
      <c r="F124" s="878">
        <v>35.5</v>
      </c>
      <c r="G124" s="878"/>
      <c r="H124" s="878"/>
      <c r="I124" s="878">
        <f t="shared" si="15"/>
        <v>0</v>
      </c>
      <c r="J124" s="878"/>
      <c r="K124" s="878"/>
      <c r="L124" s="878"/>
      <c r="M124" s="878"/>
      <c r="N124" s="878"/>
      <c r="O124" s="878"/>
    </row>
    <row r="125" spans="2:15" s="835" customFormat="1" ht="12" customHeight="1">
      <c r="B125" s="881">
        <v>42818</v>
      </c>
      <c r="C125" s="880" t="s">
        <v>722</v>
      </c>
      <c r="D125" s="878">
        <v>75</v>
      </c>
      <c r="E125" s="879"/>
      <c r="F125" s="878"/>
      <c r="G125" s="878"/>
      <c r="H125" s="878"/>
      <c r="I125" s="878">
        <f t="shared" si="15"/>
        <v>75</v>
      </c>
      <c r="J125" s="878"/>
      <c r="K125" s="878"/>
      <c r="L125" s="878"/>
      <c r="M125" s="878"/>
      <c r="N125" s="878"/>
      <c r="O125" s="878"/>
    </row>
    <row r="126" spans="2:15" s="835" customFormat="1" ht="12" customHeight="1">
      <c r="B126" s="881">
        <v>42823</v>
      </c>
      <c r="C126" s="880" t="s">
        <v>968</v>
      </c>
      <c r="D126" s="878">
        <v>15</v>
      </c>
      <c r="E126" s="879"/>
      <c r="F126" s="878"/>
      <c r="G126" s="878"/>
      <c r="H126" s="895"/>
      <c r="I126" s="874">
        <f t="shared" si="15"/>
        <v>15</v>
      </c>
      <c r="J126" s="878"/>
      <c r="K126" s="878"/>
      <c r="L126" s="878"/>
      <c r="M126" s="878"/>
      <c r="N126" s="878"/>
      <c r="O126" s="878"/>
    </row>
    <row r="127" spans="2:15" s="835" customFormat="1" ht="12" customHeight="1">
      <c r="B127" s="894">
        <v>42825</v>
      </c>
      <c r="C127" s="893" t="s">
        <v>968</v>
      </c>
      <c r="D127" s="891">
        <v>95.65</v>
      </c>
      <c r="E127" s="892">
        <v>77</v>
      </c>
      <c r="F127" s="891">
        <v>18.649999999999999</v>
      </c>
      <c r="G127" s="891"/>
      <c r="H127" s="870"/>
      <c r="I127" s="870">
        <f t="shared" si="15"/>
        <v>7.1054273576010019E-15</v>
      </c>
      <c r="J127" s="891"/>
      <c r="K127" s="891"/>
      <c r="L127" s="891"/>
      <c r="M127" s="891"/>
      <c r="N127" s="891"/>
      <c r="O127" s="891"/>
    </row>
    <row r="128" spans="2:15" s="835" customFormat="1" ht="12" customHeight="1">
      <c r="B128" s="869">
        <v>42825</v>
      </c>
      <c r="C128" s="868" t="s">
        <v>722</v>
      </c>
      <c r="D128" s="866">
        <v>276.5</v>
      </c>
      <c r="E128" s="867">
        <v>77</v>
      </c>
      <c r="F128" s="866"/>
      <c r="G128" s="866">
        <v>24</v>
      </c>
      <c r="H128" s="866"/>
      <c r="I128" s="866">
        <f t="shared" si="15"/>
        <v>175.5</v>
      </c>
      <c r="J128" s="866"/>
      <c r="K128" s="866"/>
      <c r="L128" s="866"/>
      <c r="M128" s="866"/>
      <c r="N128" s="866"/>
      <c r="O128" s="866"/>
    </row>
    <row r="129" spans="2:15" s="835" customFormat="1" ht="12" customHeight="1">
      <c r="B129" s="869">
        <v>42825</v>
      </c>
      <c r="C129" s="868" t="s">
        <v>223</v>
      </c>
      <c r="D129" s="866">
        <v>421</v>
      </c>
      <c r="E129" s="867"/>
      <c r="F129" s="866"/>
      <c r="G129" s="866">
        <v>30</v>
      </c>
      <c r="H129" s="866"/>
      <c r="I129" s="866">
        <f t="shared" si="15"/>
        <v>391</v>
      </c>
      <c r="J129" s="866"/>
      <c r="K129" s="866"/>
      <c r="L129" s="866"/>
      <c r="M129" s="866"/>
      <c r="N129" s="866"/>
      <c r="O129" s="866"/>
    </row>
    <row r="130" spans="2:15" s="835" customFormat="1" ht="12" customHeight="1">
      <c r="B130" s="869">
        <v>42825</v>
      </c>
      <c r="C130" s="868" t="s">
        <v>722</v>
      </c>
      <c r="D130" s="866">
        <v>136.4</v>
      </c>
      <c r="E130" s="867"/>
      <c r="F130" s="866"/>
      <c r="G130" s="866"/>
      <c r="H130" s="866"/>
      <c r="I130" s="866">
        <f t="shared" si="15"/>
        <v>136.4</v>
      </c>
      <c r="J130" s="866"/>
      <c r="K130" s="866"/>
      <c r="L130" s="866"/>
      <c r="M130" s="866"/>
      <c r="N130" s="866"/>
      <c r="O130" s="866"/>
    </row>
    <row r="131" spans="2:15" s="835" customFormat="1" ht="12" customHeight="1">
      <c r="B131" s="869">
        <v>42825</v>
      </c>
      <c r="C131" s="868" t="s">
        <v>469</v>
      </c>
      <c r="D131" s="866">
        <v>85.5</v>
      </c>
      <c r="E131" s="867"/>
      <c r="F131" s="866"/>
      <c r="G131" s="866">
        <v>55.5</v>
      </c>
      <c r="H131" s="866"/>
      <c r="I131" s="866">
        <f t="shared" si="15"/>
        <v>30</v>
      </c>
      <c r="J131" s="866"/>
      <c r="K131" s="866"/>
      <c r="L131" s="866"/>
      <c r="M131" s="866"/>
      <c r="N131" s="866"/>
      <c r="O131" s="866"/>
    </row>
    <row r="132" spans="2:15" s="835" customFormat="1" ht="12" customHeight="1">
      <c r="B132" s="869">
        <v>42825</v>
      </c>
      <c r="C132" s="868" t="s">
        <v>969</v>
      </c>
      <c r="D132" s="866">
        <v>125</v>
      </c>
      <c r="E132" s="867"/>
      <c r="F132" s="866"/>
      <c r="G132" s="866"/>
      <c r="H132" s="866"/>
      <c r="I132" s="866">
        <f t="shared" si="15"/>
        <v>125</v>
      </c>
      <c r="J132" s="866"/>
      <c r="K132" s="866"/>
      <c r="L132" s="866"/>
      <c r="M132" s="866"/>
      <c r="N132" s="866"/>
      <c r="O132" s="866"/>
    </row>
    <row r="133" spans="2:15" s="835" customFormat="1" ht="12" customHeight="1">
      <c r="B133" s="869">
        <v>42825</v>
      </c>
      <c r="C133" s="868" t="s">
        <v>967</v>
      </c>
      <c r="D133" s="866">
        <v>44.75</v>
      </c>
      <c r="E133" s="867"/>
      <c r="F133" s="866"/>
      <c r="G133" s="866"/>
      <c r="H133" s="866"/>
      <c r="I133" s="866">
        <f t="shared" si="15"/>
        <v>44.75</v>
      </c>
      <c r="J133" s="866"/>
      <c r="K133" s="866"/>
      <c r="L133" s="866"/>
      <c r="M133" s="866"/>
      <c r="N133" s="866"/>
      <c r="O133" s="866"/>
    </row>
    <row r="134" spans="2:15" s="835" customFormat="1" ht="12" customHeight="1">
      <c r="B134" s="869">
        <v>42825</v>
      </c>
      <c r="C134" s="868" t="s">
        <v>967</v>
      </c>
      <c r="D134" s="866">
        <v>232.2</v>
      </c>
      <c r="E134" s="867"/>
      <c r="F134" s="866"/>
      <c r="G134" s="866">
        <v>10</v>
      </c>
      <c r="H134" s="866"/>
      <c r="I134" s="866">
        <f t="shared" si="15"/>
        <v>222.2</v>
      </c>
      <c r="J134" s="866"/>
      <c r="K134" s="866"/>
      <c r="L134" s="866"/>
      <c r="M134" s="866"/>
      <c r="N134" s="866"/>
      <c r="O134" s="866"/>
    </row>
    <row r="135" spans="2:15" s="835" customFormat="1" ht="12" customHeight="1">
      <c r="B135" s="869">
        <v>42827</v>
      </c>
      <c r="C135" s="868" t="s">
        <v>967</v>
      </c>
      <c r="D135" s="866">
        <v>232.2</v>
      </c>
      <c r="E135" s="867"/>
      <c r="F135" s="866"/>
      <c r="G135" s="866">
        <v>10</v>
      </c>
      <c r="H135" s="866"/>
      <c r="I135" s="866">
        <f t="shared" si="15"/>
        <v>222.2</v>
      </c>
      <c r="J135" s="866"/>
      <c r="K135" s="866"/>
      <c r="L135" s="866"/>
      <c r="M135" s="866"/>
      <c r="N135" s="866"/>
      <c r="O135" s="866"/>
    </row>
    <row r="136" spans="2:15" s="835" customFormat="1" ht="12" customHeight="1">
      <c r="B136" s="869">
        <v>42827</v>
      </c>
      <c r="C136" s="868" t="s">
        <v>722</v>
      </c>
      <c r="D136" s="866">
        <v>67.95</v>
      </c>
      <c r="E136" s="867"/>
      <c r="F136" s="866"/>
      <c r="G136" s="866">
        <v>22.95</v>
      </c>
      <c r="H136" s="866"/>
      <c r="I136" s="866">
        <f t="shared" si="15"/>
        <v>45</v>
      </c>
      <c r="J136" s="866"/>
      <c r="K136" s="866"/>
      <c r="L136" s="866"/>
      <c r="M136" s="866"/>
      <c r="N136" s="866"/>
      <c r="O136" s="866"/>
    </row>
    <row r="137" spans="2:15" s="835" customFormat="1" ht="12" customHeight="1">
      <c r="B137" s="869">
        <v>42827</v>
      </c>
      <c r="C137" s="868" t="s">
        <v>968</v>
      </c>
      <c r="D137" s="866">
        <v>59.8</v>
      </c>
      <c r="E137" s="867"/>
      <c r="F137" s="866"/>
      <c r="G137" s="866"/>
      <c r="H137" s="866"/>
      <c r="I137" s="866">
        <f t="shared" si="15"/>
        <v>59.8</v>
      </c>
      <c r="J137" s="866"/>
      <c r="K137" s="866"/>
      <c r="L137" s="866"/>
      <c r="M137" s="866"/>
      <c r="N137" s="866"/>
      <c r="O137" s="866"/>
    </row>
    <row r="138" spans="2:15" s="835" customFormat="1" ht="12" customHeight="1">
      <c r="B138" s="869">
        <v>42828</v>
      </c>
      <c r="C138" s="868" t="s">
        <v>297</v>
      </c>
      <c r="D138" s="866">
        <v>66.75</v>
      </c>
      <c r="E138" s="867"/>
      <c r="F138" s="866">
        <v>66.75</v>
      </c>
      <c r="G138" s="866"/>
      <c r="H138" s="866"/>
      <c r="I138" s="866">
        <f t="shared" si="15"/>
        <v>0</v>
      </c>
      <c r="J138" s="866"/>
      <c r="K138" s="866"/>
      <c r="L138" s="866"/>
      <c r="M138" s="866"/>
      <c r="N138" s="866"/>
      <c r="O138" s="866"/>
    </row>
    <row r="139" spans="2:15" s="835" customFormat="1" ht="12" customHeight="1">
      <c r="B139" s="869">
        <v>42828</v>
      </c>
      <c r="C139" s="868" t="s">
        <v>967</v>
      </c>
      <c r="D139" s="866">
        <v>12.5</v>
      </c>
      <c r="E139" s="867"/>
      <c r="F139" s="866"/>
      <c r="G139" s="866"/>
      <c r="H139" s="866"/>
      <c r="I139" s="866">
        <f t="shared" si="15"/>
        <v>12.5</v>
      </c>
      <c r="J139" s="866"/>
      <c r="K139" s="866"/>
      <c r="L139" s="866"/>
      <c r="M139" s="866"/>
      <c r="N139" s="866"/>
      <c r="O139" s="866"/>
    </row>
    <row r="140" spans="2:15" s="835" customFormat="1" ht="12" customHeight="1">
      <c r="B140" s="869">
        <v>42828</v>
      </c>
      <c r="C140" s="868" t="s">
        <v>469</v>
      </c>
      <c r="D140" s="866">
        <v>120.5</v>
      </c>
      <c r="E140" s="867"/>
      <c r="F140" s="866"/>
      <c r="G140" s="866"/>
      <c r="H140" s="866"/>
      <c r="I140" s="866">
        <f t="shared" si="15"/>
        <v>120.5</v>
      </c>
      <c r="J140" s="866"/>
      <c r="K140" s="866"/>
      <c r="L140" s="866"/>
      <c r="M140" s="866"/>
      <c r="N140" s="866"/>
      <c r="O140" s="866"/>
    </row>
    <row r="141" spans="2:15" s="835" customFormat="1" ht="12" customHeight="1">
      <c r="B141" s="869">
        <v>42828</v>
      </c>
      <c r="C141" s="868" t="s">
        <v>967</v>
      </c>
      <c r="D141" s="866">
        <v>21.95</v>
      </c>
      <c r="E141" s="867"/>
      <c r="F141" s="866"/>
      <c r="G141" s="866"/>
      <c r="H141" s="866"/>
      <c r="I141" s="866">
        <f t="shared" si="15"/>
        <v>21.95</v>
      </c>
      <c r="J141" s="866"/>
      <c r="K141" s="866"/>
      <c r="L141" s="866"/>
      <c r="M141" s="866"/>
      <c r="N141" s="866"/>
      <c r="O141" s="866"/>
    </row>
    <row r="142" spans="2:15" s="835" customFormat="1" ht="12" customHeight="1">
      <c r="B142" s="869">
        <v>42829</v>
      </c>
      <c r="C142" s="868" t="s">
        <v>722</v>
      </c>
      <c r="D142" s="866">
        <v>14.95</v>
      </c>
      <c r="E142" s="867"/>
      <c r="F142" s="866"/>
      <c r="G142" s="866">
        <v>14.95</v>
      </c>
      <c r="H142" s="866"/>
      <c r="I142" s="866">
        <f t="shared" si="15"/>
        <v>0</v>
      </c>
      <c r="J142" s="866"/>
      <c r="K142" s="866"/>
      <c r="L142" s="866"/>
      <c r="M142" s="866"/>
      <c r="N142" s="866"/>
      <c r="O142" s="866"/>
    </row>
    <row r="143" spans="2:15" s="835" customFormat="1" ht="12" customHeight="1">
      <c r="B143" s="869">
        <v>42830</v>
      </c>
      <c r="C143" s="868" t="s">
        <v>722</v>
      </c>
      <c r="D143" s="866">
        <v>22</v>
      </c>
      <c r="E143" s="867"/>
      <c r="F143" s="866"/>
      <c r="G143" s="866"/>
      <c r="H143" s="866"/>
      <c r="I143" s="866">
        <f t="shared" si="15"/>
        <v>22</v>
      </c>
      <c r="J143" s="866"/>
      <c r="K143" s="866"/>
      <c r="L143" s="866"/>
      <c r="M143" s="866"/>
      <c r="N143" s="866"/>
      <c r="O143" s="866"/>
    </row>
    <row r="144" spans="2:15" s="835" customFormat="1" ht="12" customHeight="1">
      <c r="B144" s="869">
        <v>42831</v>
      </c>
      <c r="C144" s="868" t="s">
        <v>967</v>
      </c>
      <c r="D144" s="866">
        <v>68.95</v>
      </c>
      <c r="E144" s="867"/>
      <c r="F144" s="866"/>
      <c r="G144" s="866"/>
      <c r="H144" s="866"/>
      <c r="I144" s="866">
        <f t="shared" ref="I144:I207" si="16">D144-E144-F144-G144</f>
        <v>68.95</v>
      </c>
      <c r="J144" s="866"/>
      <c r="K144" s="866"/>
      <c r="L144" s="866"/>
      <c r="M144" s="866"/>
      <c r="N144" s="866"/>
      <c r="O144" s="866"/>
    </row>
    <row r="145" spans="2:15" s="835" customFormat="1" ht="12" customHeight="1">
      <c r="B145" s="869">
        <v>42831</v>
      </c>
      <c r="C145" s="868" t="s">
        <v>469</v>
      </c>
      <c r="D145" s="866">
        <v>77</v>
      </c>
      <c r="E145" s="867">
        <v>77</v>
      </c>
      <c r="F145" s="866"/>
      <c r="G145" s="866"/>
      <c r="H145" s="866"/>
      <c r="I145" s="866">
        <f t="shared" si="16"/>
        <v>0</v>
      </c>
      <c r="J145" s="866"/>
      <c r="K145" s="866"/>
      <c r="L145" s="866"/>
      <c r="M145" s="866"/>
      <c r="N145" s="866"/>
      <c r="O145" s="866"/>
    </row>
    <row r="146" spans="2:15" s="835" customFormat="1" ht="12" customHeight="1">
      <c r="B146" s="869">
        <v>42831</v>
      </c>
      <c r="C146" s="868" t="s">
        <v>967</v>
      </c>
      <c r="D146" s="866">
        <v>232.1</v>
      </c>
      <c r="E146" s="867"/>
      <c r="F146" s="866"/>
      <c r="G146" s="866"/>
      <c r="H146" s="866"/>
      <c r="I146" s="866">
        <f t="shared" si="16"/>
        <v>232.1</v>
      </c>
      <c r="J146" s="866"/>
      <c r="K146" s="866"/>
      <c r="L146" s="866"/>
      <c r="M146" s="866"/>
      <c r="N146" s="866"/>
      <c r="O146" s="866"/>
    </row>
    <row r="147" spans="2:15" s="835" customFormat="1" ht="12" customHeight="1">
      <c r="B147" s="869">
        <v>42832</v>
      </c>
      <c r="C147" s="868" t="s">
        <v>469</v>
      </c>
      <c r="D147" s="866">
        <v>32.5</v>
      </c>
      <c r="E147" s="867"/>
      <c r="F147" s="866"/>
      <c r="G147" s="866"/>
      <c r="H147" s="866"/>
      <c r="I147" s="866">
        <f t="shared" si="16"/>
        <v>32.5</v>
      </c>
      <c r="J147" s="866"/>
      <c r="K147" s="866"/>
      <c r="L147" s="866"/>
      <c r="M147" s="866"/>
      <c r="N147" s="866"/>
      <c r="O147" s="866"/>
    </row>
    <row r="148" spans="2:15" s="835" customFormat="1" ht="12" customHeight="1">
      <c r="B148" s="869">
        <v>42835</v>
      </c>
      <c r="C148" s="868" t="s">
        <v>722</v>
      </c>
      <c r="D148" s="866">
        <v>46.95</v>
      </c>
      <c r="E148" s="867"/>
      <c r="F148" s="866"/>
      <c r="G148" s="866">
        <v>24</v>
      </c>
      <c r="H148" s="866"/>
      <c r="I148" s="866">
        <f t="shared" si="16"/>
        <v>22.950000000000003</v>
      </c>
      <c r="J148" s="866"/>
      <c r="K148" s="866"/>
      <c r="L148" s="866"/>
      <c r="M148" s="866"/>
      <c r="N148" s="866"/>
      <c r="O148" s="866"/>
    </row>
    <row r="149" spans="2:15" s="835" customFormat="1" ht="12" customHeight="1">
      <c r="B149" s="869">
        <v>42835</v>
      </c>
      <c r="C149" s="868" t="s">
        <v>967</v>
      </c>
      <c r="D149" s="866">
        <v>161.94999999999999</v>
      </c>
      <c r="E149" s="867"/>
      <c r="F149" s="866"/>
      <c r="G149" s="866">
        <v>14.95</v>
      </c>
      <c r="H149" s="866"/>
      <c r="I149" s="866">
        <f t="shared" si="16"/>
        <v>147</v>
      </c>
      <c r="J149" s="866"/>
      <c r="K149" s="866"/>
      <c r="L149" s="866"/>
      <c r="M149" s="866"/>
      <c r="N149" s="866"/>
      <c r="O149" s="866"/>
    </row>
    <row r="150" spans="2:15" s="835" customFormat="1" ht="12" customHeight="1">
      <c r="B150" s="869">
        <v>42836</v>
      </c>
      <c r="C150" s="868" t="s">
        <v>722</v>
      </c>
      <c r="D150" s="866">
        <v>61.95</v>
      </c>
      <c r="E150" s="867"/>
      <c r="F150" s="866"/>
      <c r="G150" s="866">
        <v>21.95</v>
      </c>
      <c r="H150" s="866"/>
      <c r="I150" s="866">
        <f t="shared" si="16"/>
        <v>40</v>
      </c>
      <c r="J150" s="866"/>
      <c r="K150" s="866"/>
      <c r="L150" s="866"/>
      <c r="M150" s="866"/>
      <c r="N150" s="866"/>
      <c r="O150" s="866"/>
    </row>
    <row r="151" spans="2:15" s="835" customFormat="1" ht="12" customHeight="1">
      <c r="B151" s="869">
        <v>42837</v>
      </c>
      <c r="C151" s="868" t="s">
        <v>469</v>
      </c>
      <c r="D151" s="866">
        <v>41.9</v>
      </c>
      <c r="E151" s="867"/>
      <c r="F151" s="866"/>
      <c r="G151" s="866"/>
      <c r="H151" s="866"/>
      <c r="I151" s="866">
        <f t="shared" si="16"/>
        <v>41.9</v>
      </c>
      <c r="J151" s="866"/>
      <c r="K151" s="866"/>
      <c r="L151" s="866"/>
      <c r="M151" s="866"/>
      <c r="N151" s="866"/>
      <c r="O151" s="866"/>
    </row>
    <row r="152" spans="2:15" s="835" customFormat="1" ht="12" customHeight="1">
      <c r="B152" s="869">
        <v>42837</v>
      </c>
      <c r="C152" s="868" t="s">
        <v>967</v>
      </c>
      <c r="D152" s="866">
        <v>23.5</v>
      </c>
      <c r="E152" s="867"/>
      <c r="F152" s="866"/>
      <c r="G152" s="866"/>
      <c r="H152" s="866"/>
      <c r="I152" s="866">
        <f t="shared" si="16"/>
        <v>23.5</v>
      </c>
      <c r="J152" s="866"/>
      <c r="K152" s="866"/>
      <c r="L152" s="866"/>
      <c r="M152" s="866"/>
      <c r="N152" s="866"/>
      <c r="O152" s="866"/>
    </row>
    <row r="153" spans="2:15" s="835" customFormat="1" ht="12" customHeight="1">
      <c r="B153" s="869">
        <v>42839</v>
      </c>
      <c r="C153" s="868" t="s">
        <v>969</v>
      </c>
      <c r="D153" s="866">
        <v>151</v>
      </c>
      <c r="E153" s="867"/>
      <c r="F153" s="866"/>
      <c r="G153" s="866"/>
      <c r="H153" s="866"/>
      <c r="I153" s="866">
        <f t="shared" si="16"/>
        <v>151</v>
      </c>
      <c r="J153" s="866"/>
      <c r="K153" s="866"/>
      <c r="L153" s="866"/>
      <c r="M153" s="866"/>
      <c r="N153" s="866"/>
      <c r="O153" s="866"/>
    </row>
    <row r="154" spans="2:15" s="835" customFormat="1" ht="12" customHeight="1">
      <c r="B154" s="869">
        <v>42843</v>
      </c>
      <c r="C154" s="868" t="s">
        <v>969</v>
      </c>
      <c r="D154" s="866">
        <v>126</v>
      </c>
      <c r="E154" s="867"/>
      <c r="F154" s="866"/>
      <c r="G154" s="866"/>
      <c r="H154" s="866"/>
      <c r="I154" s="866">
        <f t="shared" si="16"/>
        <v>126</v>
      </c>
      <c r="J154" s="866"/>
      <c r="K154" s="866"/>
      <c r="L154" s="866"/>
      <c r="M154" s="866"/>
      <c r="N154" s="866"/>
      <c r="O154" s="866"/>
    </row>
    <row r="155" spans="2:15" s="835" customFormat="1" ht="12" customHeight="1">
      <c r="B155" s="869">
        <v>42843</v>
      </c>
      <c r="C155" s="868" t="s">
        <v>967</v>
      </c>
      <c r="D155" s="866">
        <v>115.35</v>
      </c>
      <c r="E155" s="867"/>
      <c r="F155" s="866"/>
      <c r="G155" s="866"/>
      <c r="H155" s="866"/>
      <c r="I155" s="866">
        <f t="shared" si="16"/>
        <v>115.35</v>
      </c>
      <c r="J155" s="866"/>
      <c r="K155" s="866"/>
      <c r="L155" s="866"/>
      <c r="M155" s="866"/>
      <c r="N155" s="866"/>
      <c r="O155" s="866"/>
    </row>
    <row r="156" spans="2:15" s="835" customFormat="1" ht="12" customHeight="1">
      <c r="B156" s="869">
        <v>42843</v>
      </c>
      <c r="C156" s="868" t="s">
        <v>297</v>
      </c>
      <c r="D156" s="866">
        <v>12.35</v>
      </c>
      <c r="E156" s="867"/>
      <c r="F156" s="866">
        <v>12.35</v>
      </c>
      <c r="G156" s="866"/>
      <c r="H156" s="866"/>
      <c r="I156" s="866">
        <f t="shared" si="16"/>
        <v>0</v>
      </c>
      <c r="J156" s="866"/>
      <c r="K156" s="866"/>
      <c r="L156" s="866"/>
      <c r="M156" s="866"/>
      <c r="N156" s="866"/>
      <c r="O156" s="866"/>
    </row>
    <row r="157" spans="2:15" s="835" customFormat="1" ht="12" customHeight="1">
      <c r="B157" s="869">
        <v>42843</v>
      </c>
      <c r="C157" s="868" t="s">
        <v>967</v>
      </c>
      <c r="D157" s="866">
        <v>30</v>
      </c>
      <c r="E157" s="867"/>
      <c r="F157" s="866"/>
      <c r="G157" s="866">
        <v>30</v>
      </c>
      <c r="H157" s="866"/>
      <c r="I157" s="866">
        <f t="shared" si="16"/>
        <v>0</v>
      </c>
      <c r="J157" s="866"/>
      <c r="K157" s="866"/>
      <c r="L157" s="866"/>
      <c r="M157" s="866"/>
      <c r="N157" s="866"/>
      <c r="O157" s="866"/>
    </row>
    <row r="158" spans="2:15" s="835" customFormat="1" ht="12" customHeight="1">
      <c r="B158" s="869">
        <v>42845</v>
      </c>
      <c r="C158" s="868" t="s">
        <v>722</v>
      </c>
      <c r="D158" s="866">
        <v>118.45</v>
      </c>
      <c r="E158" s="867"/>
      <c r="F158" s="866"/>
      <c r="G158" s="866">
        <v>32.5</v>
      </c>
      <c r="H158" s="866"/>
      <c r="I158" s="866">
        <f t="shared" si="16"/>
        <v>85.95</v>
      </c>
      <c r="J158" s="866"/>
      <c r="K158" s="866"/>
      <c r="L158" s="866"/>
      <c r="M158" s="866"/>
      <c r="N158" s="866"/>
      <c r="O158" s="866"/>
    </row>
    <row r="159" spans="2:15" s="835" customFormat="1" ht="12" customHeight="1">
      <c r="B159" s="869">
        <v>42846</v>
      </c>
      <c r="C159" s="868" t="s">
        <v>967</v>
      </c>
      <c r="D159" s="866">
        <v>23.95</v>
      </c>
      <c r="E159" s="867"/>
      <c r="F159" s="866"/>
      <c r="G159" s="866"/>
      <c r="H159" s="866"/>
      <c r="I159" s="866">
        <f t="shared" si="16"/>
        <v>23.95</v>
      </c>
      <c r="J159" s="866"/>
      <c r="K159" s="866"/>
      <c r="L159" s="866"/>
      <c r="M159" s="866"/>
      <c r="N159" s="866"/>
      <c r="O159" s="866"/>
    </row>
    <row r="160" spans="2:15" s="835" customFormat="1" ht="12" customHeight="1">
      <c r="B160" s="869">
        <v>42846</v>
      </c>
      <c r="C160" s="868" t="s">
        <v>968</v>
      </c>
      <c r="D160" s="866">
        <v>12.85</v>
      </c>
      <c r="E160" s="867"/>
      <c r="F160" s="866">
        <v>12.85</v>
      </c>
      <c r="G160" s="866"/>
      <c r="H160" s="866"/>
      <c r="I160" s="866">
        <f t="shared" si="16"/>
        <v>0</v>
      </c>
      <c r="J160" s="866"/>
      <c r="K160" s="866"/>
      <c r="L160" s="866"/>
      <c r="M160" s="866"/>
      <c r="N160" s="866"/>
      <c r="O160" s="866"/>
    </row>
    <row r="161" spans="2:15" s="835" customFormat="1" ht="12" customHeight="1">
      <c r="B161" s="869">
        <v>42847</v>
      </c>
      <c r="C161" s="868" t="s">
        <v>297</v>
      </c>
      <c r="D161" s="866">
        <v>20</v>
      </c>
      <c r="E161" s="867"/>
      <c r="F161" s="866">
        <v>20</v>
      </c>
      <c r="G161" s="866"/>
      <c r="H161" s="866"/>
      <c r="I161" s="866">
        <f t="shared" si="16"/>
        <v>0</v>
      </c>
      <c r="J161" s="866"/>
      <c r="K161" s="866"/>
      <c r="L161" s="866"/>
      <c r="M161" s="866"/>
      <c r="N161" s="866"/>
      <c r="O161" s="866"/>
    </row>
    <row r="162" spans="2:15" s="835" customFormat="1" ht="12" customHeight="1">
      <c r="B162" s="869">
        <v>42847</v>
      </c>
      <c r="C162" s="868" t="s">
        <v>967</v>
      </c>
      <c r="D162" s="866">
        <v>150.94999999999999</v>
      </c>
      <c r="E162" s="867"/>
      <c r="F162" s="866"/>
      <c r="G162" s="866">
        <v>110.5</v>
      </c>
      <c r="H162" s="866"/>
      <c r="I162" s="866">
        <f t="shared" si="16"/>
        <v>40.449999999999989</v>
      </c>
      <c r="J162" s="866"/>
      <c r="K162" s="866"/>
      <c r="L162" s="866"/>
      <c r="M162" s="866"/>
      <c r="N162" s="866"/>
      <c r="O162" s="866"/>
    </row>
    <row r="163" spans="2:15" s="835" customFormat="1" ht="12" customHeight="1">
      <c r="B163" s="869">
        <v>42847</v>
      </c>
      <c r="C163" s="868" t="s">
        <v>722</v>
      </c>
      <c r="D163" s="866">
        <v>52.9</v>
      </c>
      <c r="E163" s="867"/>
      <c r="F163" s="866"/>
      <c r="G163" s="866"/>
      <c r="H163" s="866"/>
      <c r="I163" s="866">
        <f t="shared" si="16"/>
        <v>52.9</v>
      </c>
      <c r="J163" s="866"/>
      <c r="K163" s="866"/>
      <c r="L163" s="866"/>
      <c r="M163" s="866"/>
      <c r="N163" s="866"/>
      <c r="O163" s="866"/>
    </row>
    <row r="164" spans="2:15" s="835" customFormat="1" ht="12" customHeight="1">
      <c r="B164" s="869">
        <v>42847</v>
      </c>
      <c r="C164" s="868" t="s">
        <v>968</v>
      </c>
      <c r="D164" s="866">
        <v>55.95</v>
      </c>
      <c r="E164" s="867"/>
      <c r="F164" s="866"/>
      <c r="G164" s="866"/>
      <c r="H164" s="866"/>
      <c r="I164" s="866">
        <f t="shared" si="16"/>
        <v>55.95</v>
      </c>
      <c r="J164" s="866"/>
      <c r="K164" s="866"/>
      <c r="L164" s="866"/>
      <c r="M164" s="866"/>
      <c r="N164" s="866"/>
      <c r="O164" s="866"/>
    </row>
    <row r="165" spans="2:15" s="835" customFormat="1" ht="12" customHeight="1">
      <c r="B165" s="869">
        <v>42848</v>
      </c>
      <c r="C165" s="868" t="s">
        <v>967</v>
      </c>
      <c r="D165" s="866">
        <v>77.5</v>
      </c>
      <c r="E165" s="867"/>
      <c r="F165" s="866"/>
      <c r="G165" s="866"/>
      <c r="H165" s="866"/>
      <c r="I165" s="866">
        <f t="shared" si="16"/>
        <v>77.5</v>
      </c>
      <c r="J165" s="866"/>
      <c r="K165" s="866"/>
      <c r="L165" s="866"/>
      <c r="M165" s="866"/>
      <c r="N165" s="866"/>
      <c r="O165" s="866"/>
    </row>
    <row r="166" spans="2:15" s="835" customFormat="1" ht="12" customHeight="1">
      <c r="B166" s="869">
        <v>42849</v>
      </c>
      <c r="C166" s="868" t="s">
        <v>967</v>
      </c>
      <c r="D166" s="866">
        <v>82.45</v>
      </c>
      <c r="E166" s="867"/>
      <c r="F166" s="866"/>
      <c r="G166" s="866"/>
      <c r="H166" s="866"/>
      <c r="I166" s="866">
        <f t="shared" si="16"/>
        <v>82.45</v>
      </c>
      <c r="J166" s="866"/>
      <c r="K166" s="866"/>
      <c r="L166" s="866"/>
      <c r="M166" s="866"/>
      <c r="N166" s="866"/>
      <c r="O166" s="866"/>
    </row>
    <row r="167" spans="2:15" s="835" customFormat="1" ht="12" customHeight="1">
      <c r="B167" s="869">
        <v>42850</v>
      </c>
      <c r="C167" s="868" t="s">
        <v>967</v>
      </c>
      <c r="D167" s="866">
        <v>19.5</v>
      </c>
      <c r="E167" s="867"/>
      <c r="F167" s="866"/>
      <c r="G167" s="866"/>
      <c r="H167" s="866"/>
      <c r="I167" s="866">
        <f t="shared" si="16"/>
        <v>19.5</v>
      </c>
      <c r="J167" s="866"/>
      <c r="K167" s="866"/>
      <c r="L167" s="866"/>
      <c r="M167" s="866"/>
      <c r="N167" s="866"/>
      <c r="O167" s="866"/>
    </row>
    <row r="168" spans="2:15" s="835" customFormat="1" ht="12" customHeight="1">
      <c r="B168" s="869">
        <v>42851</v>
      </c>
      <c r="C168" s="868" t="s">
        <v>967</v>
      </c>
      <c r="D168" s="866">
        <v>12.5</v>
      </c>
      <c r="E168" s="867"/>
      <c r="F168" s="866"/>
      <c r="G168" s="866"/>
      <c r="H168" s="866"/>
      <c r="I168" s="866">
        <f t="shared" si="16"/>
        <v>12.5</v>
      </c>
      <c r="J168" s="866"/>
      <c r="K168" s="866"/>
      <c r="L168" s="866"/>
      <c r="M168" s="866"/>
      <c r="N168" s="866"/>
      <c r="O168" s="866"/>
    </row>
    <row r="169" spans="2:15" s="835" customFormat="1" ht="12" customHeight="1">
      <c r="B169" s="869">
        <v>42851</v>
      </c>
      <c r="C169" s="868" t="s">
        <v>469</v>
      </c>
      <c r="D169" s="866">
        <v>51.85</v>
      </c>
      <c r="E169" s="867"/>
      <c r="F169" s="866"/>
      <c r="G169" s="866"/>
      <c r="H169" s="866"/>
      <c r="I169" s="866">
        <f t="shared" si="16"/>
        <v>51.85</v>
      </c>
      <c r="J169" s="866"/>
      <c r="K169" s="866"/>
      <c r="L169" s="866"/>
      <c r="M169" s="866"/>
      <c r="N169" s="866"/>
      <c r="O169" s="866"/>
    </row>
    <row r="170" spans="2:15" s="835" customFormat="1" ht="12" customHeight="1">
      <c r="B170" s="900">
        <v>42852</v>
      </c>
      <c r="C170" s="899" t="s">
        <v>967</v>
      </c>
      <c r="D170" s="896">
        <v>147.44999999999999</v>
      </c>
      <c r="E170" s="898"/>
      <c r="F170" s="896"/>
      <c r="G170" s="896">
        <v>25</v>
      </c>
      <c r="H170" s="896"/>
      <c r="I170" s="897">
        <f t="shared" si="16"/>
        <v>122.44999999999999</v>
      </c>
      <c r="J170" s="896"/>
      <c r="K170" s="896"/>
      <c r="L170" s="896"/>
      <c r="M170" s="896"/>
      <c r="N170" s="896"/>
      <c r="O170" s="896"/>
    </row>
    <row r="171" spans="2:15" s="835" customFormat="1" ht="12" customHeight="1">
      <c r="B171" s="889">
        <v>42853</v>
      </c>
      <c r="C171" s="888" t="s">
        <v>967</v>
      </c>
      <c r="D171" s="886">
        <v>111.45</v>
      </c>
      <c r="E171" s="887"/>
      <c r="F171" s="886"/>
      <c r="G171" s="886">
        <v>50</v>
      </c>
      <c r="H171" s="883"/>
      <c r="I171" s="883">
        <f t="shared" si="16"/>
        <v>61.45</v>
      </c>
      <c r="J171" s="886"/>
      <c r="K171" s="886"/>
      <c r="L171" s="886"/>
      <c r="M171" s="886"/>
      <c r="N171" s="886"/>
      <c r="O171" s="886"/>
    </row>
    <row r="172" spans="2:15" s="835" customFormat="1" ht="12" customHeight="1">
      <c r="B172" s="881">
        <v>42853</v>
      </c>
      <c r="C172" s="880" t="s">
        <v>297</v>
      </c>
      <c r="D172" s="878">
        <v>34</v>
      </c>
      <c r="E172" s="879"/>
      <c r="F172" s="878">
        <v>34</v>
      </c>
      <c r="G172" s="878"/>
      <c r="H172" s="878"/>
      <c r="I172" s="878">
        <f t="shared" si="16"/>
        <v>0</v>
      </c>
      <c r="J172" s="878"/>
      <c r="K172" s="878"/>
      <c r="L172" s="878"/>
      <c r="M172" s="878"/>
      <c r="N172" s="878"/>
      <c r="O172" s="878"/>
    </row>
    <row r="173" spans="2:15" s="835" customFormat="1" ht="12" customHeight="1">
      <c r="B173" s="881">
        <v>42853</v>
      </c>
      <c r="C173" s="880" t="s">
        <v>223</v>
      </c>
      <c r="D173" s="878">
        <v>189</v>
      </c>
      <c r="E173" s="879"/>
      <c r="F173" s="878"/>
      <c r="G173" s="878">
        <v>44</v>
      </c>
      <c r="H173" s="878"/>
      <c r="I173" s="878">
        <f t="shared" si="16"/>
        <v>145</v>
      </c>
      <c r="J173" s="878"/>
      <c r="K173" s="878"/>
      <c r="L173" s="878"/>
      <c r="M173" s="878"/>
      <c r="N173" s="878"/>
      <c r="O173" s="878"/>
    </row>
    <row r="174" spans="2:15" s="835" customFormat="1" ht="12" customHeight="1">
      <c r="B174" s="881">
        <v>42854</v>
      </c>
      <c r="C174" s="880" t="s">
        <v>967</v>
      </c>
      <c r="D174" s="878">
        <v>168.5</v>
      </c>
      <c r="E174" s="879"/>
      <c r="F174" s="878"/>
      <c r="G174" s="878">
        <v>100</v>
      </c>
      <c r="H174" s="878"/>
      <c r="I174" s="878">
        <f t="shared" si="16"/>
        <v>68.5</v>
      </c>
      <c r="J174" s="878"/>
      <c r="K174" s="878"/>
      <c r="L174" s="878"/>
      <c r="M174" s="878"/>
      <c r="N174" s="878"/>
      <c r="O174" s="878"/>
    </row>
    <row r="175" spans="2:15" s="835" customFormat="1" ht="12" customHeight="1">
      <c r="B175" s="881">
        <v>42856</v>
      </c>
      <c r="C175" s="880" t="s">
        <v>967</v>
      </c>
      <c r="D175" s="878">
        <v>22</v>
      </c>
      <c r="E175" s="879"/>
      <c r="F175" s="878"/>
      <c r="G175" s="878"/>
      <c r="H175" s="878"/>
      <c r="I175" s="878">
        <f t="shared" si="16"/>
        <v>22</v>
      </c>
      <c r="J175" s="878"/>
      <c r="K175" s="878"/>
      <c r="L175" s="878"/>
      <c r="M175" s="878"/>
      <c r="N175" s="878"/>
      <c r="O175" s="878"/>
    </row>
    <row r="176" spans="2:15" s="835" customFormat="1" ht="12" customHeight="1">
      <c r="B176" s="881">
        <v>42856</v>
      </c>
      <c r="C176" s="880" t="s">
        <v>967</v>
      </c>
      <c r="D176" s="878">
        <v>26.5</v>
      </c>
      <c r="E176" s="879"/>
      <c r="F176" s="878"/>
      <c r="G176" s="878"/>
      <c r="H176" s="878"/>
      <c r="I176" s="878">
        <f t="shared" si="16"/>
        <v>26.5</v>
      </c>
      <c r="J176" s="878"/>
      <c r="K176" s="878"/>
      <c r="L176" s="878"/>
      <c r="M176" s="878"/>
      <c r="N176" s="878"/>
      <c r="O176" s="878"/>
    </row>
    <row r="177" spans="2:15" s="835" customFormat="1" ht="12" customHeight="1">
      <c r="B177" s="881">
        <v>42857</v>
      </c>
      <c r="C177" s="880" t="s">
        <v>967</v>
      </c>
      <c r="D177" s="878">
        <v>141.05000000000001</v>
      </c>
      <c r="E177" s="879">
        <v>77</v>
      </c>
      <c r="F177" s="878"/>
      <c r="G177" s="878"/>
      <c r="H177" s="878"/>
      <c r="I177" s="878">
        <f t="shared" si="16"/>
        <v>64.050000000000011</v>
      </c>
      <c r="J177" s="878"/>
      <c r="K177" s="878"/>
      <c r="L177" s="878"/>
      <c r="M177" s="878"/>
      <c r="N177" s="878"/>
      <c r="O177" s="878"/>
    </row>
    <row r="178" spans="2:15" s="835" customFormat="1" ht="12" customHeight="1">
      <c r="B178" s="881">
        <v>42857</v>
      </c>
      <c r="C178" s="880" t="s">
        <v>967</v>
      </c>
      <c r="D178" s="878">
        <v>64.55</v>
      </c>
      <c r="E178" s="879"/>
      <c r="F178" s="878"/>
      <c r="G178" s="878"/>
      <c r="H178" s="878"/>
      <c r="I178" s="878">
        <f t="shared" si="16"/>
        <v>64.55</v>
      </c>
      <c r="J178" s="878"/>
      <c r="K178" s="878"/>
      <c r="L178" s="878"/>
      <c r="M178" s="878"/>
      <c r="N178" s="878"/>
      <c r="O178" s="878"/>
    </row>
    <row r="179" spans="2:15" s="835" customFormat="1" ht="12" customHeight="1">
      <c r="B179" s="881">
        <v>42858</v>
      </c>
      <c r="C179" s="880" t="s">
        <v>39</v>
      </c>
      <c r="D179" s="878">
        <v>69.849999999999994</v>
      </c>
      <c r="E179" s="879"/>
      <c r="F179" s="878"/>
      <c r="G179" s="878"/>
      <c r="H179" s="878"/>
      <c r="I179" s="878">
        <f t="shared" si="16"/>
        <v>69.849999999999994</v>
      </c>
      <c r="J179" s="878"/>
      <c r="K179" s="878"/>
      <c r="L179" s="878"/>
      <c r="M179" s="878"/>
      <c r="N179" s="878"/>
      <c r="O179" s="878"/>
    </row>
    <row r="180" spans="2:15" s="835" customFormat="1" ht="12" customHeight="1">
      <c r="B180" s="881">
        <v>42858</v>
      </c>
      <c r="C180" s="880" t="s">
        <v>722</v>
      </c>
      <c r="D180" s="878">
        <v>58.25</v>
      </c>
      <c r="E180" s="879"/>
      <c r="F180" s="878"/>
      <c r="G180" s="878">
        <v>36</v>
      </c>
      <c r="H180" s="878"/>
      <c r="I180" s="878">
        <f t="shared" si="16"/>
        <v>22.25</v>
      </c>
      <c r="J180" s="878"/>
      <c r="K180" s="878"/>
      <c r="L180" s="878"/>
      <c r="M180" s="878"/>
      <c r="N180" s="878"/>
      <c r="O180" s="878"/>
    </row>
    <row r="181" spans="2:15" s="835" customFormat="1" ht="12" customHeight="1">
      <c r="B181" s="881">
        <v>42860</v>
      </c>
      <c r="C181" s="880" t="s">
        <v>967</v>
      </c>
      <c r="D181" s="878">
        <v>1495</v>
      </c>
      <c r="E181" s="879"/>
      <c r="F181" s="878"/>
      <c r="G181" s="878">
        <v>14.95</v>
      </c>
      <c r="H181" s="878"/>
      <c r="I181" s="878">
        <f t="shared" si="16"/>
        <v>1480.05</v>
      </c>
      <c r="J181" s="878"/>
      <c r="K181" s="878"/>
      <c r="L181" s="878"/>
      <c r="M181" s="878"/>
      <c r="N181" s="878"/>
      <c r="O181" s="878"/>
    </row>
    <row r="182" spans="2:15" s="835" customFormat="1" ht="12" customHeight="1">
      <c r="B182" s="881">
        <v>42864</v>
      </c>
      <c r="C182" s="880" t="s">
        <v>967</v>
      </c>
      <c r="D182" s="878">
        <v>92.65</v>
      </c>
      <c r="E182" s="879"/>
      <c r="F182" s="878"/>
      <c r="G182" s="878"/>
      <c r="H182" s="878"/>
      <c r="I182" s="878">
        <f t="shared" si="16"/>
        <v>92.65</v>
      </c>
      <c r="J182" s="878"/>
      <c r="K182" s="878"/>
      <c r="L182" s="878"/>
      <c r="M182" s="878"/>
      <c r="N182" s="878"/>
      <c r="O182" s="878"/>
    </row>
    <row r="183" spans="2:15" s="835" customFormat="1" ht="12" customHeight="1">
      <c r="B183" s="881">
        <v>42865</v>
      </c>
      <c r="C183" s="880" t="s">
        <v>967</v>
      </c>
      <c r="D183" s="878">
        <v>45.5</v>
      </c>
      <c r="E183" s="879"/>
      <c r="F183" s="878"/>
      <c r="G183" s="878"/>
      <c r="H183" s="878"/>
      <c r="I183" s="878">
        <f t="shared" si="16"/>
        <v>45.5</v>
      </c>
      <c r="J183" s="878"/>
      <c r="K183" s="878"/>
      <c r="L183" s="878"/>
      <c r="M183" s="878"/>
      <c r="N183" s="878"/>
      <c r="O183" s="878"/>
    </row>
    <row r="184" spans="2:15" s="835" customFormat="1" ht="12" customHeight="1">
      <c r="B184" s="881">
        <v>42865</v>
      </c>
      <c r="C184" s="880" t="s">
        <v>722</v>
      </c>
      <c r="D184" s="878">
        <v>35</v>
      </c>
      <c r="E184" s="879"/>
      <c r="F184" s="878"/>
      <c r="G184" s="878"/>
      <c r="H184" s="878"/>
      <c r="I184" s="878">
        <f t="shared" si="16"/>
        <v>35</v>
      </c>
      <c r="J184" s="878"/>
      <c r="K184" s="878"/>
      <c r="L184" s="878"/>
      <c r="M184" s="878"/>
      <c r="N184" s="878"/>
      <c r="O184" s="878"/>
    </row>
    <row r="185" spans="2:15" s="835" customFormat="1" ht="12" customHeight="1">
      <c r="B185" s="881">
        <v>42865</v>
      </c>
      <c r="C185" s="880" t="s">
        <v>297</v>
      </c>
      <c r="D185" s="878">
        <v>49.7</v>
      </c>
      <c r="E185" s="879"/>
      <c r="F185" s="878">
        <v>49.7</v>
      </c>
      <c r="G185" s="878"/>
      <c r="H185" s="878"/>
      <c r="I185" s="878">
        <f t="shared" si="16"/>
        <v>0</v>
      </c>
      <c r="J185" s="878"/>
      <c r="K185" s="878"/>
      <c r="L185" s="878"/>
      <c r="M185" s="878"/>
      <c r="N185" s="878"/>
      <c r="O185" s="878"/>
    </row>
    <row r="186" spans="2:15" s="835" customFormat="1" ht="12" customHeight="1">
      <c r="B186" s="881">
        <v>42866</v>
      </c>
      <c r="C186" s="880" t="s">
        <v>469</v>
      </c>
      <c r="D186" s="878">
        <v>100.65</v>
      </c>
      <c r="E186" s="879"/>
      <c r="F186" s="878"/>
      <c r="G186" s="878"/>
      <c r="H186" s="878"/>
      <c r="I186" s="878">
        <f t="shared" si="16"/>
        <v>100.65</v>
      </c>
      <c r="J186" s="878"/>
      <c r="K186" s="878"/>
      <c r="L186" s="878"/>
      <c r="M186" s="878"/>
      <c r="N186" s="878"/>
      <c r="O186" s="878"/>
    </row>
    <row r="187" spans="2:15" s="835" customFormat="1" ht="12" customHeight="1">
      <c r="B187" s="881">
        <v>42867</v>
      </c>
      <c r="C187" s="880" t="s">
        <v>722</v>
      </c>
      <c r="D187" s="878">
        <v>22</v>
      </c>
      <c r="E187" s="879"/>
      <c r="F187" s="878"/>
      <c r="G187" s="878"/>
      <c r="H187" s="878"/>
      <c r="I187" s="878">
        <f t="shared" si="16"/>
        <v>22</v>
      </c>
      <c r="J187" s="878"/>
      <c r="K187" s="878"/>
      <c r="L187" s="878"/>
      <c r="M187" s="878"/>
      <c r="N187" s="878"/>
      <c r="O187" s="878"/>
    </row>
    <row r="188" spans="2:15" s="835" customFormat="1" ht="12" customHeight="1">
      <c r="B188" s="881">
        <v>42870</v>
      </c>
      <c r="C188" s="880" t="s">
        <v>967</v>
      </c>
      <c r="D188" s="878">
        <v>20</v>
      </c>
      <c r="E188" s="879"/>
      <c r="F188" s="878"/>
      <c r="G188" s="878"/>
      <c r="H188" s="878"/>
      <c r="I188" s="878">
        <f t="shared" si="16"/>
        <v>20</v>
      </c>
      <c r="J188" s="878"/>
      <c r="K188" s="878"/>
      <c r="L188" s="878"/>
      <c r="M188" s="878"/>
      <c r="N188" s="878"/>
      <c r="O188" s="878"/>
    </row>
    <row r="189" spans="2:15" s="835" customFormat="1" ht="12" customHeight="1">
      <c r="B189" s="881">
        <v>42871</v>
      </c>
      <c r="C189" s="880" t="s">
        <v>967</v>
      </c>
      <c r="D189" s="878">
        <v>30.4</v>
      </c>
      <c r="E189" s="879"/>
      <c r="F189" s="878"/>
      <c r="G189" s="878"/>
      <c r="H189" s="878"/>
      <c r="I189" s="878">
        <f t="shared" si="16"/>
        <v>30.4</v>
      </c>
      <c r="J189" s="878"/>
      <c r="K189" s="878"/>
      <c r="L189" s="878"/>
      <c r="M189" s="878"/>
      <c r="N189" s="878"/>
      <c r="O189" s="878"/>
    </row>
    <row r="190" spans="2:15" s="835" customFormat="1" ht="12" customHeight="1">
      <c r="B190" s="881">
        <v>42872</v>
      </c>
      <c r="C190" s="880" t="s">
        <v>967</v>
      </c>
      <c r="D190" s="878">
        <v>70.650000000000006</v>
      </c>
      <c r="E190" s="879"/>
      <c r="F190" s="878"/>
      <c r="G190" s="878">
        <v>14.95</v>
      </c>
      <c r="H190" s="878"/>
      <c r="I190" s="878">
        <f t="shared" si="16"/>
        <v>55.7</v>
      </c>
      <c r="J190" s="878"/>
      <c r="K190" s="878"/>
      <c r="L190" s="878"/>
      <c r="M190" s="878"/>
      <c r="N190" s="878"/>
      <c r="O190" s="878"/>
    </row>
    <row r="191" spans="2:15" s="835" customFormat="1" ht="12" customHeight="1">
      <c r="B191" s="881">
        <v>42874</v>
      </c>
      <c r="C191" s="880" t="s">
        <v>967</v>
      </c>
      <c r="D191" s="878">
        <v>124.65</v>
      </c>
      <c r="E191" s="879"/>
      <c r="F191" s="878"/>
      <c r="G191" s="878"/>
      <c r="H191" s="878"/>
      <c r="I191" s="878">
        <f t="shared" si="16"/>
        <v>124.65</v>
      </c>
      <c r="J191" s="878"/>
      <c r="K191" s="878"/>
      <c r="L191" s="878"/>
      <c r="M191" s="878"/>
      <c r="N191" s="878"/>
      <c r="O191" s="878"/>
    </row>
    <row r="192" spans="2:15" s="835" customFormat="1" ht="12" customHeight="1">
      <c r="B192" s="881">
        <v>42874</v>
      </c>
      <c r="C192" s="880" t="s">
        <v>297</v>
      </c>
      <c r="D192" s="878">
        <v>29.45</v>
      </c>
      <c r="E192" s="879"/>
      <c r="F192" s="878">
        <v>29.45</v>
      </c>
      <c r="G192" s="878"/>
      <c r="H192" s="878"/>
      <c r="I192" s="878">
        <f t="shared" si="16"/>
        <v>0</v>
      </c>
      <c r="J192" s="878"/>
      <c r="K192" s="878"/>
      <c r="L192" s="878"/>
      <c r="M192" s="878"/>
      <c r="N192" s="878"/>
      <c r="O192" s="878"/>
    </row>
    <row r="193" spans="2:15" s="835" customFormat="1" ht="12" customHeight="1">
      <c r="B193" s="881">
        <v>42874</v>
      </c>
      <c r="C193" s="880" t="s">
        <v>469</v>
      </c>
      <c r="D193" s="878">
        <v>28.95</v>
      </c>
      <c r="E193" s="879"/>
      <c r="F193" s="878"/>
      <c r="G193" s="878"/>
      <c r="H193" s="878"/>
      <c r="I193" s="878">
        <f t="shared" si="16"/>
        <v>28.95</v>
      </c>
      <c r="J193" s="878"/>
      <c r="K193" s="878"/>
      <c r="L193" s="878"/>
      <c r="M193" s="878"/>
      <c r="N193" s="878"/>
      <c r="O193" s="878"/>
    </row>
    <row r="194" spans="2:15" s="835" customFormat="1" ht="12" customHeight="1">
      <c r="B194" s="881">
        <v>42874</v>
      </c>
      <c r="C194" s="880" t="s">
        <v>969</v>
      </c>
      <c r="D194" s="878">
        <v>86</v>
      </c>
      <c r="E194" s="879"/>
      <c r="F194" s="878"/>
      <c r="G194" s="878"/>
      <c r="H194" s="878"/>
      <c r="I194" s="878">
        <f t="shared" si="16"/>
        <v>86</v>
      </c>
      <c r="J194" s="878"/>
      <c r="K194" s="878"/>
      <c r="L194" s="878"/>
      <c r="M194" s="878"/>
      <c r="N194" s="878"/>
      <c r="O194" s="878"/>
    </row>
    <row r="195" spans="2:15" s="835" customFormat="1" ht="12" customHeight="1">
      <c r="B195" s="881">
        <v>42876</v>
      </c>
      <c r="C195" s="880" t="s">
        <v>967</v>
      </c>
      <c r="D195" s="878">
        <v>30</v>
      </c>
      <c r="E195" s="879"/>
      <c r="F195" s="878"/>
      <c r="G195" s="878"/>
      <c r="H195" s="878"/>
      <c r="I195" s="878">
        <f t="shared" si="16"/>
        <v>30</v>
      </c>
      <c r="J195" s="878"/>
      <c r="K195" s="878"/>
      <c r="L195" s="878"/>
      <c r="M195" s="878"/>
      <c r="N195" s="878"/>
      <c r="O195" s="878"/>
    </row>
    <row r="196" spans="2:15" s="835" customFormat="1" ht="12" customHeight="1">
      <c r="B196" s="881">
        <v>42878</v>
      </c>
      <c r="C196" s="880" t="s">
        <v>968</v>
      </c>
      <c r="D196" s="878">
        <v>53.5</v>
      </c>
      <c r="E196" s="879">
        <v>38.5</v>
      </c>
      <c r="F196" s="878"/>
      <c r="G196" s="878"/>
      <c r="H196" s="878"/>
      <c r="I196" s="878">
        <f t="shared" si="16"/>
        <v>15</v>
      </c>
      <c r="J196" s="878"/>
      <c r="K196" s="878"/>
      <c r="L196" s="878"/>
      <c r="M196" s="878"/>
      <c r="N196" s="878"/>
      <c r="O196" s="878"/>
    </row>
    <row r="197" spans="2:15" s="835" customFormat="1" ht="12" customHeight="1">
      <c r="B197" s="881">
        <v>42882</v>
      </c>
      <c r="C197" s="880" t="s">
        <v>967</v>
      </c>
      <c r="D197" s="878">
        <v>9</v>
      </c>
      <c r="E197" s="879"/>
      <c r="F197" s="878"/>
      <c r="G197" s="878"/>
      <c r="H197" s="878"/>
      <c r="I197" s="878">
        <f t="shared" si="16"/>
        <v>9</v>
      </c>
      <c r="J197" s="878"/>
      <c r="K197" s="878"/>
      <c r="L197" s="878"/>
      <c r="M197" s="878"/>
      <c r="N197" s="878"/>
      <c r="O197" s="878"/>
    </row>
    <row r="198" spans="2:15" s="835" customFormat="1" ht="12" customHeight="1">
      <c r="B198" s="881">
        <v>42883</v>
      </c>
      <c r="C198" s="880" t="s">
        <v>967</v>
      </c>
      <c r="D198" s="878">
        <v>46</v>
      </c>
      <c r="E198" s="879"/>
      <c r="F198" s="878"/>
      <c r="G198" s="878">
        <v>40</v>
      </c>
      <c r="H198" s="878"/>
      <c r="I198" s="878">
        <f t="shared" si="16"/>
        <v>6</v>
      </c>
      <c r="J198" s="878"/>
      <c r="K198" s="878"/>
      <c r="L198" s="878"/>
      <c r="M198" s="878"/>
      <c r="N198" s="878"/>
      <c r="O198" s="878"/>
    </row>
    <row r="199" spans="2:15" s="835" customFormat="1" ht="12" customHeight="1">
      <c r="B199" s="881">
        <v>42883</v>
      </c>
      <c r="C199" s="880" t="s">
        <v>968</v>
      </c>
      <c r="D199" s="878">
        <v>60</v>
      </c>
      <c r="E199" s="879"/>
      <c r="F199" s="878"/>
      <c r="G199" s="878"/>
      <c r="H199" s="878"/>
      <c r="I199" s="878">
        <f t="shared" si="16"/>
        <v>60</v>
      </c>
      <c r="J199" s="878"/>
      <c r="K199" s="878"/>
      <c r="L199" s="878"/>
      <c r="M199" s="878"/>
      <c r="N199" s="878"/>
      <c r="O199" s="878"/>
    </row>
    <row r="200" spans="2:15" s="835" customFormat="1" ht="12" customHeight="1">
      <c r="B200" s="881">
        <v>42884</v>
      </c>
      <c r="C200" s="880" t="s">
        <v>967</v>
      </c>
      <c r="D200" s="878">
        <v>25</v>
      </c>
      <c r="E200" s="879"/>
      <c r="F200" s="878"/>
      <c r="G200" s="878"/>
      <c r="H200" s="878"/>
      <c r="I200" s="878">
        <f t="shared" si="16"/>
        <v>25</v>
      </c>
      <c r="J200" s="878"/>
      <c r="K200" s="878"/>
      <c r="L200" s="878"/>
      <c r="M200" s="878"/>
      <c r="N200" s="878"/>
      <c r="O200" s="878"/>
    </row>
    <row r="201" spans="2:15" s="835" customFormat="1" ht="12" customHeight="1">
      <c r="B201" s="881">
        <v>42884</v>
      </c>
      <c r="C201" s="880" t="s">
        <v>968</v>
      </c>
      <c r="D201" s="878">
        <v>15</v>
      </c>
      <c r="E201" s="879"/>
      <c r="F201" s="878"/>
      <c r="G201" s="878"/>
      <c r="H201" s="895"/>
      <c r="I201" s="874">
        <f t="shared" si="16"/>
        <v>15</v>
      </c>
      <c r="J201" s="878"/>
      <c r="K201" s="878"/>
      <c r="L201" s="878"/>
      <c r="M201" s="878"/>
      <c r="N201" s="878"/>
      <c r="O201" s="878"/>
    </row>
    <row r="202" spans="2:15" s="835" customFormat="1" ht="12" customHeight="1">
      <c r="B202" s="894">
        <v>42886</v>
      </c>
      <c r="C202" s="893" t="s">
        <v>967</v>
      </c>
      <c r="D202" s="891">
        <v>71.900000000000006</v>
      </c>
      <c r="E202" s="892"/>
      <c r="F202" s="891"/>
      <c r="G202" s="891">
        <v>20</v>
      </c>
      <c r="H202" s="870"/>
      <c r="I202" s="870">
        <f t="shared" si="16"/>
        <v>51.900000000000006</v>
      </c>
      <c r="J202" s="891"/>
      <c r="K202" s="891"/>
      <c r="L202" s="891"/>
      <c r="M202" s="891"/>
      <c r="N202" s="891"/>
      <c r="O202" s="891"/>
    </row>
    <row r="203" spans="2:15" s="835" customFormat="1" ht="12" customHeight="1">
      <c r="B203" s="869">
        <v>42886</v>
      </c>
      <c r="C203" s="868" t="s">
        <v>40</v>
      </c>
      <c r="D203" s="866">
        <v>130</v>
      </c>
      <c r="E203" s="867">
        <v>77</v>
      </c>
      <c r="F203" s="866"/>
      <c r="G203" s="866"/>
      <c r="H203" s="866"/>
      <c r="I203" s="866">
        <f t="shared" si="16"/>
        <v>53</v>
      </c>
      <c r="J203" s="866"/>
      <c r="K203" s="866"/>
      <c r="L203" s="866"/>
      <c r="M203" s="866"/>
      <c r="N203" s="866"/>
      <c r="O203" s="866"/>
    </row>
    <row r="204" spans="2:15" s="835" customFormat="1" ht="12" customHeight="1">
      <c r="B204" s="869">
        <v>42886</v>
      </c>
      <c r="C204" s="868" t="s">
        <v>968</v>
      </c>
      <c r="D204" s="866">
        <v>107</v>
      </c>
      <c r="E204" s="867">
        <v>77</v>
      </c>
      <c r="F204" s="866"/>
      <c r="G204" s="866"/>
      <c r="H204" s="866"/>
      <c r="I204" s="866">
        <f t="shared" si="16"/>
        <v>30</v>
      </c>
      <c r="J204" s="866"/>
      <c r="K204" s="866"/>
      <c r="L204" s="866"/>
      <c r="M204" s="866"/>
      <c r="N204" s="866"/>
      <c r="O204" s="866"/>
    </row>
    <row r="205" spans="2:15" s="835" customFormat="1" ht="12" customHeight="1">
      <c r="B205" s="869">
        <v>42886</v>
      </c>
      <c r="C205" s="868" t="s">
        <v>223</v>
      </c>
      <c r="D205" s="866">
        <v>196</v>
      </c>
      <c r="E205" s="867"/>
      <c r="F205" s="866"/>
      <c r="G205" s="866"/>
      <c r="H205" s="866"/>
      <c r="I205" s="866">
        <f t="shared" si="16"/>
        <v>196</v>
      </c>
      <c r="J205" s="866"/>
      <c r="K205" s="866"/>
      <c r="L205" s="866"/>
      <c r="M205" s="866"/>
      <c r="N205" s="866"/>
      <c r="O205" s="866"/>
    </row>
    <row r="206" spans="2:15" s="835" customFormat="1" ht="12" customHeight="1">
      <c r="B206" s="869">
        <v>42886</v>
      </c>
      <c r="C206" s="868" t="s">
        <v>469</v>
      </c>
      <c r="D206" s="866">
        <v>114.75</v>
      </c>
      <c r="E206" s="867"/>
      <c r="F206" s="866"/>
      <c r="G206" s="866"/>
      <c r="H206" s="866"/>
      <c r="I206" s="866">
        <f t="shared" si="16"/>
        <v>114.75</v>
      </c>
      <c r="J206" s="866"/>
      <c r="K206" s="866"/>
      <c r="L206" s="866"/>
      <c r="M206" s="866"/>
      <c r="N206" s="866"/>
      <c r="O206" s="866"/>
    </row>
    <row r="207" spans="2:15" s="835" customFormat="1" ht="12" customHeight="1">
      <c r="B207" s="869">
        <v>42886</v>
      </c>
      <c r="C207" s="868" t="s">
        <v>967</v>
      </c>
      <c r="D207" s="866">
        <v>158.19999999999999</v>
      </c>
      <c r="E207" s="867"/>
      <c r="F207" s="866"/>
      <c r="G207" s="866"/>
      <c r="H207" s="866"/>
      <c r="I207" s="866">
        <f t="shared" si="16"/>
        <v>158.19999999999999</v>
      </c>
      <c r="J207" s="866"/>
      <c r="K207" s="866"/>
      <c r="L207" s="866"/>
      <c r="M207" s="866"/>
      <c r="N207" s="866"/>
      <c r="O207" s="866"/>
    </row>
    <row r="208" spans="2:15" s="835" customFormat="1" ht="12" customHeight="1">
      <c r="B208" s="869">
        <v>42886</v>
      </c>
      <c r="C208" s="868" t="s">
        <v>722</v>
      </c>
      <c r="D208" s="866">
        <v>88</v>
      </c>
      <c r="E208" s="867"/>
      <c r="F208" s="866"/>
      <c r="G208" s="866"/>
      <c r="H208" s="866"/>
      <c r="I208" s="866">
        <f t="shared" ref="I208:I271" si="17">D208-E208-F208-G208</f>
        <v>88</v>
      </c>
      <c r="J208" s="866"/>
      <c r="K208" s="866"/>
      <c r="L208" s="866"/>
      <c r="M208" s="866"/>
      <c r="N208" s="866"/>
      <c r="O208" s="866"/>
    </row>
    <row r="209" spans="2:15" s="835" customFormat="1" ht="12" customHeight="1">
      <c r="B209" s="869">
        <v>42886</v>
      </c>
      <c r="C209" s="868" t="s">
        <v>297</v>
      </c>
      <c r="D209" s="866">
        <v>53.95</v>
      </c>
      <c r="E209" s="867"/>
      <c r="F209" s="866">
        <v>53.95</v>
      </c>
      <c r="G209" s="866"/>
      <c r="H209" s="866"/>
      <c r="I209" s="866">
        <f t="shared" si="17"/>
        <v>0</v>
      </c>
      <c r="J209" s="866"/>
      <c r="K209" s="866"/>
      <c r="L209" s="866"/>
      <c r="M209" s="866"/>
      <c r="N209" s="866"/>
      <c r="O209" s="866"/>
    </row>
    <row r="210" spans="2:15" s="835" customFormat="1" ht="12" customHeight="1">
      <c r="B210" s="869">
        <v>42886</v>
      </c>
      <c r="C210" s="868" t="s">
        <v>968</v>
      </c>
      <c r="D210" s="866">
        <v>30.4</v>
      </c>
      <c r="E210" s="867"/>
      <c r="F210" s="866">
        <v>30.4</v>
      </c>
      <c r="G210" s="866"/>
      <c r="H210" s="866"/>
      <c r="I210" s="866">
        <f t="shared" si="17"/>
        <v>0</v>
      </c>
      <c r="J210" s="866"/>
      <c r="K210" s="866"/>
      <c r="L210" s="866"/>
      <c r="M210" s="866"/>
      <c r="N210" s="866"/>
      <c r="O210" s="866"/>
    </row>
    <row r="211" spans="2:15" s="835" customFormat="1" ht="12" customHeight="1">
      <c r="B211" s="869">
        <v>42887</v>
      </c>
      <c r="C211" s="868" t="s">
        <v>297</v>
      </c>
      <c r="D211" s="866">
        <v>40.450000000000003</v>
      </c>
      <c r="E211" s="867"/>
      <c r="F211" s="866">
        <v>40.450000000000003</v>
      </c>
      <c r="G211" s="866"/>
      <c r="H211" s="866"/>
      <c r="I211" s="866">
        <f t="shared" si="17"/>
        <v>0</v>
      </c>
      <c r="J211" s="866"/>
      <c r="K211" s="866"/>
      <c r="L211" s="866"/>
      <c r="M211" s="866"/>
      <c r="N211" s="866"/>
      <c r="O211" s="866"/>
    </row>
    <row r="212" spans="2:15" s="835" customFormat="1" ht="12" customHeight="1">
      <c r="B212" s="869">
        <v>42887</v>
      </c>
      <c r="C212" s="868" t="s">
        <v>969</v>
      </c>
      <c r="D212" s="866">
        <v>27</v>
      </c>
      <c r="E212" s="867"/>
      <c r="F212" s="866"/>
      <c r="G212" s="866"/>
      <c r="H212" s="866"/>
      <c r="I212" s="866">
        <f t="shared" si="17"/>
        <v>27</v>
      </c>
      <c r="J212" s="866"/>
      <c r="K212" s="866"/>
      <c r="L212" s="866"/>
      <c r="M212" s="866"/>
      <c r="N212" s="866"/>
      <c r="O212" s="866"/>
    </row>
    <row r="213" spans="2:15" s="835" customFormat="1" ht="12" customHeight="1">
      <c r="B213" s="869">
        <v>42887</v>
      </c>
      <c r="C213" s="868" t="s">
        <v>968</v>
      </c>
      <c r="D213" s="866">
        <v>60</v>
      </c>
      <c r="E213" s="867"/>
      <c r="F213" s="866"/>
      <c r="G213" s="866"/>
      <c r="H213" s="866"/>
      <c r="I213" s="866">
        <f t="shared" si="17"/>
        <v>60</v>
      </c>
      <c r="J213" s="866"/>
      <c r="K213" s="866"/>
      <c r="L213" s="866"/>
      <c r="M213" s="866"/>
      <c r="N213" s="866"/>
      <c r="O213" s="866"/>
    </row>
    <row r="214" spans="2:15" s="835" customFormat="1" ht="12" customHeight="1">
      <c r="B214" s="869">
        <v>42887</v>
      </c>
      <c r="C214" s="868" t="s">
        <v>968</v>
      </c>
      <c r="D214" s="866">
        <v>178.95</v>
      </c>
      <c r="E214" s="867"/>
      <c r="F214" s="866"/>
      <c r="G214" s="866"/>
      <c r="H214" s="866"/>
      <c r="I214" s="866">
        <f t="shared" si="17"/>
        <v>178.95</v>
      </c>
      <c r="J214" s="866"/>
      <c r="K214" s="866"/>
      <c r="L214" s="866"/>
      <c r="M214" s="866"/>
      <c r="N214" s="866"/>
      <c r="O214" s="866"/>
    </row>
    <row r="215" spans="2:15" s="835" customFormat="1" ht="12" customHeight="1">
      <c r="B215" s="869">
        <v>42888</v>
      </c>
      <c r="C215" s="868" t="s">
        <v>967</v>
      </c>
      <c r="D215" s="866">
        <v>100</v>
      </c>
      <c r="E215" s="867"/>
      <c r="F215" s="866"/>
      <c r="G215" s="866">
        <v>70</v>
      </c>
      <c r="H215" s="866"/>
      <c r="I215" s="866">
        <f t="shared" si="17"/>
        <v>30</v>
      </c>
      <c r="J215" s="866"/>
      <c r="K215" s="866"/>
      <c r="L215" s="866"/>
      <c r="M215" s="866"/>
      <c r="N215" s="866"/>
      <c r="O215" s="866"/>
    </row>
    <row r="216" spans="2:15" s="835" customFormat="1" ht="12" customHeight="1">
      <c r="B216" s="869">
        <v>42888</v>
      </c>
      <c r="C216" s="868" t="s">
        <v>469</v>
      </c>
      <c r="D216" s="866">
        <v>38</v>
      </c>
      <c r="E216" s="867"/>
      <c r="F216" s="866"/>
      <c r="G216" s="866"/>
      <c r="H216" s="866"/>
      <c r="I216" s="866">
        <f t="shared" si="17"/>
        <v>38</v>
      </c>
      <c r="J216" s="866"/>
      <c r="K216" s="866"/>
      <c r="L216" s="866"/>
      <c r="M216" s="866"/>
      <c r="N216" s="866"/>
      <c r="O216" s="866"/>
    </row>
    <row r="217" spans="2:15" s="835" customFormat="1" ht="12" customHeight="1">
      <c r="B217" s="869">
        <v>42889</v>
      </c>
      <c r="C217" s="868" t="s">
        <v>967</v>
      </c>
      <c r="D217" s="866">
        <v>10</v>
      </c>
      <c r="E217" s="867"/>
      <c r="F217" s="866"/>
      <c r="G217" s="866"/>
      <c r="H217" s="866"/>
      <c r="I217" s="866">
        <f t="shared" si="17"/>
        <v>10</v>
      </c>
      <c r="J217" s="866"/>
      <c r="K217" s="866"/>
      <c r="L217" s="866"/>
      <c r="M217" s="866"/>
      <c r="N217" s="866"/>
      <c r="O217" s="866"/>
    </row>
    <row r="218" spans="2:15" s="835" customFormat="1" ht="12" customHeight="1">
      <c r="B218" s="869">
        <v>42889</v>
      </c>
      <c r="C218" s="868" t="s">
        <v>969</v>
      </c>
      <c r="D218" s="866">
        <v>159.91999999999999</v>
      </c>
      <c r="E218" s="867"/>
      <c r="F218" s="866"/>
      <c r="G218" s="866">
        <v>10</v>
      </c>
      <c r="H218" s="866"/>
      <c r="I218" s="866">
        <f t="shared" si="17"/>
        <v>149.91999999999999</v>
      </c>
      <c r="J218" s="866"/>
      <c r="K218" s="866"/>
      <c r="L218" s="866"/>
      <c r="M218" s="866"/>
      <c r="N218" s="866"/>
      <c r="O218" s="866"/>
    </row>
    <row r="219" spans="2:15" s="835" customFormat="1" ht="12" customHeight="1">
      <c r="B219" s="869">
        <v>42891</v>
      </c>
      <c r="C219" s="868" t="s">
        <v>969</v>
      </c>
      <c r="D219" s="866">
        <v>52</v>
      </c>
      <c r="E219" s="867"/>
      <c r="F219" s="866"/>
      <c r="G219" s="866">
        <v>15</v>
      </c>
      <c r="H219" s="866"/>
      <c r="I219" s="866">
        <f t="shared" si="17"/>
        <v>37</v>
      </c>
      <c r="J219" s="866"/>
      <c r="K219" s="866"/>
      <c r="L219" s="866"/>
      <c r="M219" s="866"/>
      <c r="N219" s="866"/>
      <c r="O219" s="866"/>
    </row>
    <row r="220" spans="2:15" s="835" customFormat="1" ht="12" customHeight="1">
      <c r="B220" s="869">
        <v>42891</v>
      </c>
      <c r="C220" s="868" t="s">
        <v>722</v>
      </c>
      <c r="D220" s="866">
        <v>25</v>
      </c>
      <c r="E220" s="867"/>
      <c r="F220" s="866"/>
      <c r="G220" s="866"/>
      <c r="H220" s="866"/>
      <c r="I220" s="866">
        <f t="shared" si="17"/>
        <v>25</v>
      </c>
      <c r="J220" s="866"/>
      <c r="K220" s="866"/>
      <c r="L220" s="866"/>
      <c r="M220" s="866"/>
      <c r="N220" s="866"/>
      <c r="O220" s="866"/>
    </row>
    <row r="221" spans="2:15" s="835" customFormat="1" ht="12" customHeight="1">
      <c r="B221" s="869">
        <v>42892</v>
      </c>
      <c r="C221" s="868" t="s">
        <v>297</v>
      </c>
      <c r="D221" s="866">
        <v>34.950000000000003</v>
      </c>
      <c r="E221" s="867"/>
      <c r="F221" s="866">
        <v>34.950000000000003</v>
      </c>
      <c r="G221" s="866"/>
      <c r="H221" s="866"/>
      <c r="I221" s="866">
        <f t="shared" si="17"/>
        <v>0</v>
      </c>
      <c r="J221" s="866"/>
      <c r="K221" s="866"/>
      <c r="L221" s="866"/>
      <c r="M221" s="866"/>
      <c r="N221" s="866"/>
      <c r="O221" s="866"/>
    </row>
    <row r="222" spans="2:15" s="835" customFormat="1" ht="12" customHeight="1">
      <c r="B222" s="869">
        <v>42892</v>
      </c>
      <c r="C222" s="868" t="s">
        <v>967</v>
      </c>
      <c r="D222" s="866">
        <v>69.45</v>
      </c>
      <c r="E222" s="867"/>
      <c r="F222" s="866"/>
      <c r="G222" s="866"/>
      <c r="H222" s="866"/>
      <c r="I222" s="866">
        <f t="shared" si="17"/>
        <v>69.45</v>
      </c>
      <c r="J222" s="866"/>
      <c r="K222" s="866"/>
      <c r="L222" s="866"/>
      <c r="M222" s="866"/>
      <c r="N222" s="866"/>
      <c r="O222" s="866"/>
    </row>
    <row r="223" spans="2:15" s="835" customFormat="1" ht="12" customHeight="1">
      <c r="B223" s="869">
        <v>42893</v>
      </c>
      <c r="C223" s="868" t="s">
        <v>967</v>
      </c>
      <c r="D223" s="866">
        <v>32.5</v>
      </c>
      <c r="E223" s="867"/>
      <c r="F223" s="866"/>
      <c r="G223" s="866"/>
      <c r="H223" s="866"/>
      <c r="I223" s="866">
        <f t="shared" si="17"/>
        <v>32.5</v>
      </c>
      <c r="J223" s="866"/>
      <c r="K223" s="866"/>
      <c r="L223" s="866"/>
      <c r="M223" s="866"/>
      <c r="N223" s="866"/>
      <c r="O223" s="866"/>
    </row>
    <row r="224" spans="2:15" s="835" customFormat="1" ht="12" customHeight="1">
      <c r="B224" s="869">
        <v>42893</v>
      </c>
      <c r="C224" s="868" t="s">
        <v>297</v>
      </c>
      <c r="D224" s="866">
        <v>8.5500000000000007</v>
      </c>
      <c r="E224" s="867"/>
      <c r="F224" s="866">
        <v>8.5500000000000007</v>
      </c>
      <c r="G224" s="866"/>
      <c r="H224" s="866"/>
      <c r="I224" s="866">
        <f t="shared" si="17"/>
        <v>0</v>
      </c>
      <c r="J224" s="866"/>
      <c r="K224" s="866"/>
      <c r="L224" s="866"/>
      <c r="M224" s="866"/>
      <c r="N224" s="866"/>
      <c r="O224" s="866"/>
    </row>
    <row r="225" spans="2:15" s="835" customFormat="1" ht="12" customHeight="1">
      <c r="B225" s="869">
        <v>42893</v>
      </c>
      <c r="C225" s="868" t="s">
        <v>967</v>
      </c>
      <c r="D225" s="866">
        <v>20</v>
      </c>
      <c r="E225" s="867"/>
      <c r="F225" s="866"/>
      <c r="G225" s="866"/>
      <c r="H225" s="866"/>
      <c r="I225" s="866">
        <f t="shared" si="17"/>
        <v>20</v>
      </c>
      <c r="J225" s="866"/>
      <c r="K225" s="866"/>
      <c r="L225" s="866"/>
      <c r="M225" s="866"/>
      <c r="N225" s="866"/>
      <c r="O225" s="866"/>
    </row>
    <row r="226" spans="2:15" s="835" customFormat="1" ht="12" customHeight="1">
      <c r="B226" s="869">
        <v>42894</v>
      </c>
      <c r="C226" s="868" t="s">
        <v>967</v>
      </c>
      <c r="D226" s="866">
        <v>47.2</v>
      </c>
      <c r="E226" s="867"/>
      <c r="F226" s="866"/>
      <c r="G226" s="866"/>
      <c r="H226" s="866"/>
      <c r="I226" s="866">
        <f t="shared" si="17"/>
        <v>47.2</v>
      </c>
      <c r="J226" s="866"/>
      <c r="K226" s="866"/>
      <c r="L226" s="866"/>
      <c r="M226" s="866"/>
      <c r="N226" s="866"/>
      <c r="O226" s="866"/>
    </row>
    <row r="227" spans="2:15" s="835" customFormat="1" ht="12" customHeight="1">
      <c r="B227" s="869">
        <v>42894</v>
      </c>
      <c r="C227" s="868" t="s">
        <v>722</v>
      </c>
      <c r="D227" s="866">
        <v>28</v>
      </c>
      <c r="E227" s="867"/>
      <c r="F227" s="866"/>
      <c r="G227" s="866"/>
      <c r="H227" s="866"/>
      <c r="I227" s="866">
        <f t="shared" si="17"/>
        <v>28</v>
      </c>
      <c r="J227" s="866"/>
      <c r="K227" s="866"/>
      <c r="L227" s="866"/>
      <c r="M227" s="866"/>
      <c r="N227" s="866"/>
      <c r="O227" s="866"/>
    </row>
    <row r="228" spans="2:15" s="835" customFormat="1" ht="12" customHeight="1">
      <c r="B228" s="869">
        <v>42894</v>
      </c>
      <c r="C228" s="868" t="s">
        <v>722</v>
      </c>
      <c r="D228" s="866">
        <v>50</v>
      </c>
      <c r="E228" s="867"/>
      <c r="F228" s="866"/>
      <c r="G228" s="866"/>
      <c r="H228" s="866"/>
      <c r="I228" s="866">
        <f t="shared" si="17"/>
        <v>50</v>
      </c>
      <c r="J228" s="866"/>
      <c r="K228" s="866"/>
      <c r="L228" s="866"/>
      <c r="M228" s="866"/>
      <c r="N228" s="866"/>
      <c r="O228" s="866"/>
    </row>
    <row r="229" spans="2:15" s="835" customFormat="1" ht="12" customHeight="1">
      <c r="B229" s="869">
        <v>42894</v>
      </c>
      <c r="C229" s="868" t="s">
        <v>469</v>
      </c>
      <c r="D229" s="866">
        <v>45</v>
      </c>
      <c r="E229" s="867"/>
      <c r="F229" s="866"/>
      <c r="G229" s="866">
        <v>45</v>
      </c>
      <c r="H229" s="866"/>
      <c r="I229" s="866">
        <f t="shared" si="17"/>
        <v>0</v>
      </c>
      <c r="J229" s="866"/>
      <c r="K229" s="866"/>
      <c r="L229" s="866"/>
      <c r="M229" s="866"/>
      <c r="N229" s="866"/>
      <c r="O229" s="866"/>
    </row>
    <row r="230" spans="2:15" s="835" customFormat="1" ht="12" customHeight="1">
      <c r="B230" s="869">
        <v>42896</v>
      </c>
      <c r="C230" s="868" t="s">
        <v>967</v>
      </c>
      <c r="D230" s="866">
        <v>67.45</v>
      </c>
      <c r="E230" s="867"/>
      <c r="F230" s="866"/>
      <c r="G230" s="866"/>
      <c r="H230" s="866"/>
      <c r="I230" s="866">
        <f t="shared" si="17"/>
        <v>67.45</v>
      </c>
      <c r="J230" s="866"/>
      <c r="K230" s="866"/>
      <c r="L230" s="866"/>
      <c r="M230" s="866"/>
      <c r="N230" s="866"/>
      <c r="O230" s="866"/>
    </row>
    <row r="231" spans="2:15" s="835" customFormat="1" ht="12" customHeight="1">
      <c r="B231" s="869">
        <v>42896</v>
      </c>
      <c r="C231" s="868" t="s">
        <v>469</v>
      </c>
      <c r="D231" s="866">
        <v>58.35</v>
      </c>
      <c r="E231" s="867"/>
      <c r="F231" s="866"/>
      <c r="G231" s="866">
        <v>29.45</v>
      </c>
      <c r="H231" s="866"/>
      <c r="I231" s="866">
        <f t="shared" si="17"/>
        <v>28.900000000000002</v>
      </c>
      <c r="J231" s="866"/>
      <c r="K231" s="866"/>
      <c r="L231" s="866"/>
      <c r="M231" s="866"/>
      <c r="N231" s="866"/>
      <c r="O231" s="866"/>
    </row>
    <row r="232" spans="2:15" s="835" customFormat="1" ht="12" customHeight="1">
      <c r="B232" s="869">
        <v>42897</v>
      </c>
      <c r="C232" s="868" t="s">
        <v>967</v>
      </c>
      <c r="D232" s="866">
        <v>128.5</v>
      </c>
      <c r="E232" s="867">
        <v>38.5</v>
      </c>
      <c r="F232" s="866"/>
      <c r="G232" s="866"/>
      <c r="H232" s="866"/>
      <c r="I232" s="866">
        <f t="shared" si="17"/>
        <v>90</v>
      </c>
      <c r="J232" s="866"/>
      <c r="K232" s="866"/>
      <c r="L232" s="866"/>
      <c r="M232" s="866"/>
      <c r="N232" s="866"/>
      <c r="O232" s="866"/>
    </row>
    <row r="233" spans="2:15" s="835" customFormat="1" ht="12" customHeight="1">
      <c r="B233" s="869">
        <v>42898</v>
      </c>
      <c r="C233" s="868" t="s">
        <v>967</v>
      </c>
      <c r="D233" s="866">
        <v>54.85</v>
      </c>
      <c r="E233" s="867"/>
      <c r="F233" s="866"/>
      <c r="G233" s="866"/>
      <c r="H233" s="866"/>
      <c r="I233" s="866">
        <f t="shared" si="17"/>
        <v>54.85</v>
      </c>
      <c r="J233" s="866"/>
      <c r="K233" s="866"/>
      <c r="L233" s="866"/>
      <c r="M233" s="866"/>
      <c r="N233" s="866"/>
      <c r="O233" s="866"/>
    </row>
    <row r="234" spans="2:15" s="835" customFormat="1" ht="12" customHeight="1">
      <c r="B234" s="869">
        <v>42899</v>
      </c>
      <c r="C234" s="868" t="s">
        <v>967</v>
      </c>
      <c r="D234" s="866">
        <v>69.900000000000006</v>
      </c>
      <c r="E234" s="867"/>
      <c r="F234" s="866"/>
      <c r="G234" s="866"/>
      <c r="H234" s="866"/>
      <c r="I234" s="866">
        <f t="shared" si="17"/>
        <v>69.900000000000006</v>
      </c>
      <c r="J234" s="866"/>
      <c r="K234" s="866"/>
      <c r="L234" s="866"/>
      <c r="M234" s="866"/>
      <c r="N234" s="866"/>
      <c r="O234" s="866"/>
    </row>
    <row r="235" spans="2:15" s="835" customFormat="1" ht="12" customHeight="1">
      <c r="B235" s="869">
        <v>42899</v>
      </c>
      <c r="C235" s="868" t="s">
        <v>973</v>
      </c>
      <c r="D235" s="866">
        <v>25</v>
      </c>
      <c r="E235" s="867"/>
      <c r="F235" s="866">
        <v>54.85</v>
      </c>
      <c r="G235" s="866"/>
      <c r="H235" s="866"/>
      <c r="I235" s="866">
        <f t="shared" si="17"/>
        <v>-29.85</v>
      </c>
      <c r="J235" s="866"/>
      <c r="K235" s="866"/>
      <c r="L235" s="866"/>
      <c r="M235" s="866"/>
      <c r="N235" s="866"/>
      <c r="O235" s="866"/>
    </row>
    <row r="236" spans="2:15" s="835" customFormat="1" ht="12" customHeight="1">
      <c r="B236" s="869">
        <v>42900</v>
      </c>
      <c r="C236" s="868" t="s">
        <v>967</v>
      </c>
      <c r="D236" s="866">
        <v>30</v>
      </c>
      <c r="E236" s="867"/>
      <c r="F236" s="866"/>
      <c r="G236" s="866">
        <v>20</v>
      </c>
      <c r="H236" s="866"/>
      <c r="I236" s="866">
        <f t="shared" si="17"/>
        <v>10</v>
      </c>
      <c r="J236" s="866"/>
      <c r="K236" s="866"/>
      <c r="L236" s="866"/>
      <c r="M236" s="866"/>
      <c r="N236" s="866"/>
      <c r="O236" s="866"/>
    </row>
    <row r="237" spans="2:15" s="835" customFormat="1" ht="12" customHeight="1">
      <c r="B237" s="869">
        <v>42900</v>
      </c>
      <c r="C237" s="868" t="s">
        <v>297</v>
      </c>
      <c r="D237" s="866">
        <v>54.85</v>
      </c>
      <c r="E237" s="867"/>
      <c r="F237" s="866">
        <v>54.85</v>
      </c>
      <c r="G237" s="866"/>
      <c r="H237" s="866"/>
      <c r="I237" s="866">
        <f t="shared" si="17"/>
        <v>0</v>
      </c>
      <c r="J237" s="866"/>
      <c r="K237" s="866"/>
      <c r="L237" s="866"/>
      <c r="M237" s="866"/>
      <c r="N237" s="866"/>
      <c r="O237" s="866"/>
    </row>
    <row r="238" spans="2:15" s="835" customFormat="1" ht="12" customHeight="1">
      <c r="B238" s="869">
        <v>42902</v>
      </c>
      <c r="C238" s="868" t="s">
        <v>967</v>
      </c>
      <c r="D238" s="866">
        <v>99.2</v>
      </c>
      <c r="E238" s="867"/>
      <c r="F238" s="866"/>
      <c r="G238" s="866">
        <v>20</v>
      </c>
      <c r="H238" s="866"/>
      <c r="I238" s="866">
        <f t="shared" si="17"/>
        <v>79.2</v>
      </c>
      <c r="J238" s="866"/>
      <c r="K238" s="866"/>
      <c r="L238" s="866"/>
      <c r="M238" s="866"/>
      <c r="N238" s="866"/>
      <c r="O238" s="866"/>
    </row>
    <row r="239" spans="2:15" s="835" customFormat="1" ht="12" customHeight="1">
      <c r="B239" s="869">
        <v>42902</v>
      </c>
      <c r="C239" s="868" t="s">
        <v>968</v>
      </c>
      <c r="D239" s="866">
        <v>15</v>
      </c>
      <c r="E239" s="867"/>
      <c r="F239" s="866"/>
      <c r="G239" s="866"/>
      <c r="H239" s="866"/>
      <c r="I239" s="866">
        <f t="shared" si="17"/>
        <v>15</v>
      </c>
      <c r="J239" s="866"/>
      <c r="K239" s="866"/>
      <c r="L239" s="866"/>
      <c r="M239" s="866"/>
      <c r="N239" s="866"/>
      <c r="O239" s="866"/>
    </row>
    <row r="240" spans="2:15" s="835" customFormat="1" ht="12" customHeight="1">
      <c r="B240" s="869">
        <v>42903</v>
      </c>
      <c r="C240" s="868" t="s">
        <v>967</v>
      </c>
      <c r="D240" s="866">
        <v>46</v>
      </c>
      <c r="E240" s="867"/>
      <c r="F240" s="866"/>
      <c r="G240" s="866">
        <v>40</v>
      </c>
      <c r="H240" s="866"/>
      <c r="I240" s="866">
        <f t="shared" si="17"/>
        <v>6</v>
      </c>
      <c r="J240" s="866"/>
      <c r="K240" s="866"/>
      <c r="L240" s="866"/>
      <c r="M240" s="866"/>
      <c r="N240" s="866"/>
      <c r="O240" s="866"/>
    </row>
    <row r="241" spans="2:15" s="835" customFormat="1" ht="12" customHeight="1">
      <c r="B241" s="869">
        <v>42904</v>
      </c>
      <c r="C241" s="868" t="s">
        <v>967</v>
      </c>
      <c r="D241" s="866">
        <v>27.5</v>
      </c>
      <c r="E241" s="867"/>
      <c r="F241" s="866"/>
      <c r="G241" s="866"/>
      <c r="H241" s="866"/>
      <c r="I241" s="866">
        <f t="shared" si="17"/>
        <v>27.5</v>
      </c>
      <c r="J241" s="866"/>
      <c r="K241" s="866"/>
      <c r="L241" s="866"/>
      <c r="M241" s="866"/>
      <c r="N241" s="866"/>
      <c r="O241" s="866"/>
    </row>
    <row r="242" spans="2:15" s="835" customFormat="1" ht="12" customHeight="1">
      <c r="B242" s="869">
        <v>42904</v>
      </c>
      <c r="C242" s="868" t="s">
        <v>39</v>
      </c>
      <c r="D242" s="866">
        <v>35</v>
      </c>
      <c r="E242" s="867"/>
      <c r="F242" s="866"/>
      <c r="G242" s="866"/>
      <c r="H242" s="866"/>
      <c r="I242" s="866">
        <f t="shared" si="17"/>
        <v>35</v>
      </c>
      <c r="J242" s="866"/>
      <c r="K242" s="866"/>
      <c r="L242" s="866"/>
      <c r="M242" s="866"/>
      <c r="N242" s="866"/>
      <c r="O242" s="866"/>
    </row>
    <row r="243" spans="2:15" s="835" customFormat="1" ht="12" customHeight="1">
      <c r="B243" s="869">
        <v>42906</v>
      </c>
      <c r="C243" s="868" t="s">
        <v>967</v>
      </c>
      <c r="D243" s="866">
        <v>20</v>
      </c>
      <c r="E243" s="867"/>
      <c r="F243" s="866"/>
      <c r="G243" s="866"/>
      <c r="H243" s="866"/>
      <c r="I243" s="866">
        <f t="shared" si="17"/>
        <v>20</v>
      </c>
      <c r="J243" s="866"/>
      <c r="K243" s="866"/>
      <c r="L243" s="866"/>
      <c r="M243" s="866"/>
      <c r="N243" s="866"/>
      <c r="O243" s="866"/>
    </row>
    <row r="244" spans="2:15" s="835" customFormat="1" ht="12" customHeight="1">
      <c r="B244" s="869">
        <v>42906</v>
      </c>
      <c r="C244" s="868" t="s">
        <v>39</v>
      </c>
      <c r="D244" s="866">
        <v>20</v>
      </c>
      <c r="E244" s="867"/>
      <c r="F244" s="866"/>
      <c r="G244" s="866"/>
      <c r="H244" s="866"/>
      <c r="I244" s="866">
        <f t="shared" si="17"/>
        <v>20</v>
      </c>
      <c r="J244" s="866"/>
      <c r="K244" s="866"/>
      <c r="L244" s="866"/>
      <c r="M244" s="866"/>
      <c r="N244" s="866"/>
      <c r="O244" s="866"/>
    </row>
    <row r="245" spans="2:15" s="835" customFormat="1" ht="12" customHeight="1">
      <c r="B245" s="869">
        <v>42907</v>
      </c>
      <c r="C245" s="868" t="s">
        <v>968</v>
      </c>
      <c r="D245" s="866">
        <v>65.2</v>
      </c>
      <c r="E245" s="867"/>
      <c r="F245" s="866">
        <v>15.2</v>
      </c>
      <c r="G245" s="866"/>
      <c r="H245" s="866"/>
      <c r="I245" s="866">
        <f t="shared" si="17"/>
        <v>50</v>
      </c>
      <c r="J245" s="866"/>
      <c r="K245" s="866"/>
      <c r="L245" s="866"/>
      <c r="M245" s="866"/>
      <c r="N245" s="866"/>
      <c r="O245" s="866"/>
    </row>
    <row r="246" spans="2:15" s="835" customFormat="1" ht="12" customHeight="1">
      <c r="B246" s="869">
        <v>42907</v>
      </c>
      <c r="C246" s="868" t="s">
        <v>722</v>
      </c>
      <c r="D246" s="866">
        <v>36.5</v>
      </c>
      <c r="E246" s="867"/>
      <c r="F246" s="866"/>
      <c r="G246" s="866"/>
      <c r="H246" s="866"/>
      <c r="I246" s="866">
        <f t="shared" si="17"/>
        <v>36.5</v>
      </c>
      <c r="J246" s="866"/>
      <c r="K246" s="866"/>
      <c r="L246" s="866"/>
      <c r="M246" s="866"/>
      <c r="N246" s="866"/>
      <c r="O246" s="866"/>
    </row>
    <row r="247" spans="2:15" s="835" customFormat="1" ht="12" customHeight="1">
      <c r="B247" s="869">
        <v>42909</v>
      </c>
      <c r="C247" s="868" t="s">
        <v>967</v>
      </c>
      <c r="D247" s="866">
        <v>54.45</v>
      </c>
      <c r="E247" s="867"/>
      <c r="F247" s="866"/>
      <c r="G247" s="866"/>
      <c r="H247" s="866"/>
      <c r="I247" s="866">
        <f t="shared" si="17"/>
        <v>54.45</v>
      </c>
      <c r="J247" s="866"/>
      <c r="K247" s="866"/>
      <c r="L247" s="866"/>
      <c r="M247" s="866"/>
      <c r="N247" s="866"/>
      <c r="O247" s="866"/>
    </row>
    <row r="248" spans="2:15" s="835" customFormat="1" ht="12" customHeight="1">
      <c r="B248" s="869">
        <v>42909</v>
      </c>
      <c r="C248" s="868" t="s">
        <v>469</v>
      </c>
      <c r="D248" s="866">
        <v>16</v>
      </c>
      <c r="E248" s="867"/>
      <c r="F248" s="866"/>
      <c r="G248" s="866"/>
      <c r="H248" s="866"/>
      <c r="I248" s="866">
        <f t="shared" si="17"/>
        <v>16</v>
      </c>
      <c r="J248" s="866"/>
      <c r="K248" s="866"/>
      <c r="L248" s="866"/>
      <c r="M248" s="866"/>
      <c r="N248" s="866"/>
      <c r="O248" s="866"/>
    </row>
    <row r="249" spans="2:15" s="835" customFormat="1" ht="12" customHeight="1">
      <c r="B249" s="869">
        <v>42909</v>
      </c>
      <c r="C249" s="868" t="s">
        <v>722</v>
      </c>
      <c r="D249" s="866">
        <v>14</v>
      </c>
      <c r="E249" s="867"/>
      <c r="F249" s="866"/>
      <c r="G249" s="866"/>
      <c r="H249" s="866"/>
      <c r="I249" s="866">
        <f t="shared" si="17"/>
        <v>14</v>
      </c>
      <c r="J249" s="866"/>
      <c r="K249" s="866"/>
      <c r="L249" s="866"/>
      <c r="M249" s="866"/>
      <c r="N249" s="866"/>
      <c r="O249" s="866"/>
    </row>
    <row r="250" spans="2:15" s="835" customFormat="1" ht="12" customHeight="1">
      <c r="B250" s="869">
        <v>42912</v>
      </c>
      <c r="C250" s="868" t="s">
        <v>967</v>
      </c>
      <c r="D250" s="866">
        <v>39.450000000000003</v>
      </c>
      <c r="E250" s="867"/>
      <c r="F250" s="866"/>
      <c r="G250" s="866"/>
      <c r="H250" s="866"/>
      <c r="I250" s="866">
        <f t="shared" si="17"/>
        <v>39.450000000000003</v>
      </c>
      <c r="J250" s="866"/>
      <c r="K250" s="866"/>
      <c r="L250" s="866"/>
      <c r="M250" s="866"/>
      <c r="N250" s="866"/>
      <c r="O250" s="866"/>
    </row>
    <row r="251" spans="2:15" s="835" customFormat="1" ht="12" customHeight="1">
      <c r="B251" s="869">
        <v>42912</v>
      </c>
      <c r="C251" s="868" t="s">
        <v>968</v>
      </c>
      <c r="D251" s="866">
        <v>38.5</v>
      </c>
      <c r="E251" s="867">
        <v>38.5</v>
      </c>
      <c r="F251" s="866"/>
      <c r="G251" s="866"/>
      <c r="H251" s="866"/>
      <c r="I251" s="866">
        <f t="shared" si="17"/>
        <v>0</v>
      </c>
      <c r="J251" s="866"/>
      <c r="K251" s="866"/>
      <c r="L251" s="866"/>
      <c r="M251" s="866"/>
      <c r="N251" s="866"/>
      <c r="O251" s="866"/>
    </row>
    <row r="252" spans="2:15" s="835" customFormat="1" ht="12" customHeight="1">
      <c r="B252" s="869">
        <v>42913</v>
      </c>
      <c r="C252" s="868" t="s">
        <v>967</v>
      </c>
      <c r="D252" s="866">
        <v>56.9</v>
      </c>
      <c r="E252" s="867"/>
      <c r="F252" s="866"/>
      <c r="G252" s="866"/>
      <c r="H252" s="866"/>
      <c r="I252" s="866">
        <f t="shared" si="17"/>
        <v>56.9</v>
      </c>
      <c r="J252" s="866"/>
      <c r="K252" s="866"/>
      <c r="L252" s="866"/>
      <c r="M252" s="866"/>
      <c r="N252" s="866"/>
      <c r="O252" s="866"/>
    </row>
    <row r="253" spans="2:15" s="835" customFormat="1" ht="12" customHeight="1">
      <c r="B253" s="869">
        <v>42914</v>
      </c>
      <c r="C253" s="868" t="s">
        <v>968</v>
      </c>
      <c r="D253" s="866">
        <v>140</v>
      </c>
      <c r="E253" s="867"/>
      <c r="F253" s="866"/>
      <c r="G253" s="866"/>
      <c r="H253" s="866"/>
      <c r="I253" s="866">
        <f t="shared" si="17"/>
        <v>140</v>
      </c>
      <c r="J253" s="866"/>
      <c r="K253" s="866"/>
      <c r="L253" s="866"/>
      <c r="M253" s="866"/>
      <c r="N253" s="866"/>
      <c r="O253" s="866"/>
    </row>
    <row r="254" spans="2:15" s="835" customFormat="1" ht="12" customHeight="1">
      <c r="B254" s="869">
        <v>42915</v>
      </c>
      <c r="C254" s="868" t="s">
        <v>297</v>
      </c>
      <c r="D254" s="866">
        <v>14.5</v>
      </c>
      <c r="E254" s="867"/>
      <c r="F254" s="866">
        <v>14.5</v>
      </c>
      <c r="G254" s="866"/>
      <c r="H254" s="866"/>
      <c r="I254" s="866">
        <f t="shared" si="17"/>
        <v>0</v>
      </c>
      <c r="J254" s="866"/>
      <c r="K254" s="866"/>
      <c r="L254" s="866"/>
      <c r="M254" s="866"/>
      <c r="N254" s="866"/>
      <c r="O254" s="866"/>
    </row>
    <row r="255" spans="2:15" s="835" customFormat="1" ht="12" customHeight="1">
      <c r="B255" s="869">
        <v>42915</v>
      </c>
      <c r="C255" s="868" t="s">
        <v>967</v>
      </c>
      <c r="D255" s="866">
        <v>28</v>
      </c>
      <c r="E255" s="867"/>
      <c r="F255" s="866"/>
      <c r="G255" s="866"/>
      <c r="H255" s="866"/>
      <c r="I255" s="866">
        <f t="shared" si="17"/>
        <v>28</v>
      </c>
      <c r="J255" s="866"/>
      <c r="K255" s="866"/>
      <c r="L255" s="866"/>
      <c r="M255" s="866"/>
      <c r="N255" s="866"/>
      <c r="O255" s="866"/>
    </row>
    <row r="256" spans="2:15" s="835" customFormat="1" ht="12" customHeight="1">
      <c r="B256" s="869">
        <v>42915</v>
      </c>
      <c r="C256" s="868" t="s">
        <v>722</v>
      </c>
      <c r="D256" s="866">
        <v>31</v>
      </c>
      <c r="E256" s="867"/>
      <c r="F256" s="866"/>
      <c r="G256" s="866"/>
      <c r="H256" s="866"/>
      <c r="I256" s="866">
        <f t="shared" si="17"/>
        <v>31</v>
      </c>
      <c r="J256" s="866"/>
      <c r="K256" s="866"/>
      <c r="L256" s="866"/>
      <c r="M256" s="866"/>
      <c r="N256" s="866"/>
      <c r="O256" s="866"/>
    </row>
    <row r="257" spans="2:15" s="835" customFormat="1" ht="12" customHeight="1">
      <c r="B257" s="869">
        <v>42905</v>
      </c>
      <c r="C257" s="868" t="s">
        <v>297</v>
      </c>
      <c r="D257" s="866">
        <v>25.5</v>
      </c>
      <c r="E257" s="867"/>
      <c r="F257" s="866">
        <v>25.5</v>
      </c>
      <c r="G257" s="866"/>
      <c r="H257" s="866"/>
      <c r="I257" s="866">
        <f t="shared" si="17"/>
        <v>0</v>
      </c>
      <c r="J257" s="866"/>
      <c r="K257" s="866"/>
      <c r="L257" s="866"/>
      <c r="M257" s="866"/>
      <c r="N257" s="866"/>
      <c r="O257" s="866"/>
    </row>
    <row r="258" spans="2:15" s="835" customFormat="1" ht="12" customHeight="1">
      <c r="B258" s="889">
        <v>42916</v>
      </c>
      <c r="C258" s="888" t="s">
        <v>967</v>
      </c>
      <c r="D258" s="886">
        <v>166.35</v>
      </c>
      <c r="E258" s="887">
        <v>77</v>
      </c>
      <c r="F258" s="886"/>
      <c r="G258" s="886"/>
      <c r="H258" s="886"/>
      <c r="I258" s="886">
        <f t="shared" si="17"/>
        <v>89.35</v>
      </c>
      <c r="J258" s="886"/>
      <c r="K258" s="886"/>
      <c r="L258" s="886"/>
      <c r="M258" s="886"/>
      <c r="N258" s="886"/>
      <c r="O258" s="886"/>
    </row>
    <row r="259" spans="2:15" s="835" customFormat="1" ht="12" customHeight="1">
      <c r="B259" s="881">
        <v>42916</v>
      </c>
      <c r="C259" s="880" t="s">
        <v>469</v>
      </c>
      <c r="D259" s="878">
        <v>230.35</v>
      </c>
      <c r="E259" s="879"/>
      <c r="F259" s="878"/>
      <c r="G259" s="878"/>
      <c r="H259" s="878"/>
      <c r="I259" s="878">
        <f t="shared" si="17"/>
        <v>230.35</v>
      </c>
      <c r="J259" s="878"/>
      <c r="K259" s="878"/>
      <c r="L259" s="878"/>
      <c r="M259" s="878"/>
      <c r="N259" s="878"/>
      <c r="O259" s="878"/>
    </row>
    <row r="260" spans="2:15" s="835" customFormat="1" ht="12" customHeight="1">
      <c r="B260" s="881">
        <v>42916</v>
      </c>
      <c r="C260" s="880" t="s">
        <v>40</v>
      </c>
      <c r="D260" s="878">
        <v>134</v>
      </c>
      <c r="E260" s="879">
        <v>77</v>
      </c>
      <c r="F260" s="878"/>
      <c r="G260" s="878">
        <v>39</v>
      </c>
      <c r="H260" s="878"/>
      <c r="I260" s="878">
        <f t="shared" si="17"/>
        <v>18</v>
      </c>
      <c r="J260" s="878"/>
      <c r="K260" s="878"/>
      <c r="L260" s="878"/>
      <c r="M260" s="878"/>
      <c r="N260" s="878"/>
      <c r="O260" s="878"/>
    </row>
    <row r="261" spans="2:15" s="835" customFormat="1" ht="12" customHeight="1">
      <c r="B261" s="881">
        <v>42917</v>
      </c>
      <c r="C261" s="880" t="s">
        <v>967</v>
      </c>
      <c r="D261" s="878">
        <v>296.14999999999998</v>
      </c>
      <c r="E261" s="879">
        <v>77</v>
      </c>
      <c r="F261" s="878"/>
      <c r="G261" s="878"/>
      <c r="H261" s="878"/>
      <c r="I261" s="878">
        <f t="shared" si="17"/>
        <v>219.14999999999998</v>
      </c>
      <c r="J261" s="878"/>
      <c r="K261" s="878"/>
      <c r="L261" s="878"/>
      <c r="M261" s="878"/>
      <c r="N261" s="878"/>
      <c r="O261" s="878"/>
    </row>
    <row r="262" spans="2:15" s="835" customFormat="1" ht="12" customHeight="1">
      <c r="B262" s="881">
        <v>42917</v>
      </c>
      <c r="C262" s="880" t="s">
        <v>469</v>
      </c>
      <c r="D262" s="878">
        <v>98.25</v>
      </c>
      <c r="E262" s="879"/>
      <c r="F262" s="878"/>
      <c r="G262" s="878"/>
      <c r="H262" s="878"/>
      <c r="I262" s="878">
        <f t="shared" si="17"/>
        <v>98.25</v>
      </c>
      <c r="J262" s="878"/>
      <c r="K262" s="878"/>
      <c r="L262" s="878"/>
      <c r="M262" s="878"/>
      <c r="N262" s="878"/>
      <c r="O262" s="878"/>
    </row>
    <row r="263" spans="2:15" s="835" customFormat="1" ht="12" customHeight="1">
      <c r="B263" s="881">
        <v>42919</v>
      </c>
      <c r="C263" s="880" t="s">
        <v>967</v>
      </c>
      <c r="D263" s="878">
        <v>155.35</v>
      </c>
      <c r="E263" s="879"/>
      <c r="F263" s="878"/>
      <c r="G263" s="878"/>
      <c r="H263" s="878"/>
      <c r="I263" s="878">
        <f t="shared" si="17"/>
        <v>155.35</v>
      </c>
      <c r="J263" s="878"/>
      <c r="K263" s="878"/>
      <c r="L263" s="878"/>
      <c r="M263" s="878"/>
      <c r="N263" s="878"/>
      <c r="O263" s="878"/>
    </row>
    <row r="264" spans="2:15" s="835" customFormat="1" ht="12" customHeight="1">
      <c r="B264" s="881">
        <v>42920</v>
      </c>
      <c r="C264" s="880" t="s">
        <v>967</v>
      </c>
      <c r="D264" s="878">
        <v>46.9</v>
      </c>
      <c r="E264" s="879"/>
      <c r="F264" s="878"/>
      <c r="G264" s="878"/>
      <c r="H264" s="878"/>
      <c r="I264" s="878">
        <f t="shared" si="17"/>
        <v>46.9</v>
      </c>
      <c r="J264" s="878"/>
      <c r="K264" s="878"/>
      <c r="L264" s="878"/>
      <c r="M264" s="878"/>
      <c r="N264" s="878"/>
      <c r="O264" s="878"/>
    </row>
    <row r="265" spans="2:15" s="835" customFormat="1" ht="12" customHeight="1">
      <c r="B265" s="881">
        <v>42921</v>
      </c>
      <c r="C265" s="880" t="s">
        <v>967</v>
      </c>
      <c r="D265" s="878">
        <v>100.95</v>
      </c>
      <c r="E265" s="879"/>
      <c r="F265" s="878"/>
      <c r="G265" s="878"/>
      <c r="H265" s="878"/>
      <c r="I265" s="878">
        <f t="shared" si="17"/>
        <v>100.95</v>
      </c>
      <c r="J265" s="878"/>
      <c r="K265" s="878"/>
      <c r="L265" s="878"/>
      <c r="M265" s="878"/>
      <c r="N265" s="878"/>
      <c r="O265" s="878"/>
    </row>
    <row r="266" spans="2:15" s="835" customFormat="1" ht="12" customHeight="1">
      <c r="B266" s="881">
        <v>42921</v>
      </c>
      <c r="C266" s="880" t="s">
        <v>297</v>
      </c>
      <c r="D266" s="878">
        <v>6.5</v>
      </c>
      <c r="E266" s="879"/>
      <c r="F266" s="878">
        <v>6.5</v>
      </c>
      <c r="G266" s="878"/>
      <c r="H266" s="878"/>
      <c r="I266" s="878">
        <f t="shared" si="17"/>
        <v>0</v>
      </c>
      <c r="J266" s="878"/>
      <c r="K266" s="878"/>
      <c r="L266" s="878"/>
      <c r="M266" s="878"/>
      <c r="N266" s="878"/>
      <c r="O266" s="878"/>
    </row>
    <row r="267" spans="2:15" s="835" customFormat="1" ht="12" customHeight="1">
      <c r="B267" s="881">
        <v>42921</v>
      </c>
      <c r="C267" s="880" t="s">
        <v>967</v>
      </c>
      <c r="D267" s="878">
        <v>100.95</v>
      </c>
      <c r="E267" s="879"/>
      <c r="F267" s="878"/>
      <c r="G267" s="878"/>
      <c r="H267" s="878"/>
      <c r="I267" s="878">
        <f t="shared" si="17"/>
        <v>100.95</v>
      </c>
      <c r="J267" s="878"/>
      <c r="K267" s="878"/>
      <c r="L267" s="878"/>
      <c r="M267" s="878"/>
      <c r="N267" s="878"/>
      <c r="O267" s="878"/>
    </row>
    <row r="268" spans="2:15" s="835" customFormat="1" ht="12" customHeight="1">
      <c r="B268" s="881">
        <v>42922</v>
      </c>
      <c r="C268" s="880" t="s">
        <v>967</v>
      </c>
      <c r="D268" s="878">
        <v>7.5</v>
      </c>
      <c r="E268" s="879"/>
      <c r="F268" s="878"/>
      <c r="G268" s="878"/>
      <c r="H268" s="878"/>
      <c r="I268" s="878">
        <f t="shared" si="17"/>
        <v>7.5</v>
      </c>
      <c r="J268" s="878"/>
      <c r="K268" s="878"/>
      <c r="L268" s="878"/>
      <c r="M268" s="878"/>
      <c r="N268" s="878"/>
      <c r="O268" s="878"/>
    </row>
    <row r="269" spans="2:15" s="835" customFormat="1" ht="12" customHeight="1">
      <c r="B269" s="881">
        <v>42923</v>
      </c>
      <c r="C269" s="880" t="s">
        <v>967</v>
      </c>
      <c r="D269" s="878">
        <v>31.4</v>
      </c>
      <c r="E269" s="879"/>
      <c r="F269" s="878"/>
      <c r="G269" s="878"/>
      <c r="H269" s="878"/>
      <c r="I269" s="878">
        <f t="shared" si="17"/>
        <v>31.4</v>
      </c>
      <c r="J269" s="878"/>
      <c r="K269" s="878"/>
      <c r="L269" s="878"/>
      <c r="M269" s="878"/>
      <c r="N269" s="878"/>
      <c r="O269" s="878"/>
    </row>
    <row r="270" spans="2:15" s="835" customFormat="1" ht="12" customHeight="1">
      <c r="B270" s="881">
        <v>42923</v>
      </c>
      <c r="C270" s="880" t="s">
        <v>469</v>
      </c>
      <c r="D270" s="878">
        <v>90.45</v>
      </c>
      <c r="E270" s="879"/>
      <c r="F270" s="878"/>
      <c r="G270" s="878"/>
      <c r="H270" s="878"/>
      <c r="I270" s="878">
        <f t="shared" si="17"/>
        <v>90.45</v>
      </c>
      <c r="J270" s="878"/>
      <c r="K270" s="878"/>
      <c r="L270" s="878"/>
      <c r="M270" s="878"/>
      <c r="N270" s="878"/>
      <c r="O270" s="878"/>
    </row>
    <row r="271" spans="2:15" s="835" customFormat="1" ht="12" customHeight="1">
      <c r="B271" s="881">
        <v>42923</v>
      </c>
      <c r="C271" s="880" t="s">
        <v>40</v>
      </c>
      <c r="D271" s="878">
        <v>89.2</v>
      </c>
      <c r="E271" s="879"/>
      <c r="F271" s="878"/>
      <c r="G271" s="878"/>
      <c r="H271" s="878"/>
      <c r="I271" s="878">
        <f t="shared" si="17"/>
        <v>89.2</v>
      </c>
      <c r="J271" s="878"/>
      <c r="K271" s="878"/>
      <c r="L271" s="878"/>
      <c r="M271" s="878"/>
      <c r="N271" s="878"/>
      <c r="O271" s="878"/>
    </row>
    <row r="272" spans="2:15" s="835" customFormat="1" ht="12" customHeight="1">
      <c r="B272" s="881">
        <v>42924</v>
      </c>
      <c r="C272" s="880" t="s">
        <v>967</v>
      </c>
      <c r="D272" s="878">
        <v>16</v>
      </c>
      <c r="E272" s="879"/>
      <c r="F272" s="878"/>
      <c r="G272" s="878"/>
      <c r="H272" s="878"/>
      <c r="I272" s="878">
        <f t="shared" ref="I272:I335" si="18">D272-E272-F272-G272</f>
        <v>16</v>
      </c>
      <c r="J272" s="878"/>
      <c r="K272" s="878"/>
      <c r="L272" s="878"/>
      <c r="M272" s="878"/>
      <c r="N272" s="878"/>
      <c r="O272" s="878"/>
    </row>
    <row r="273" spans="2:15" s="835" customFormat="1" ht="12" customHeight="1">
      <c r="B273" s="881">
        <v>42925</v>
      </c>
      <c r="C273" s="880" t="s">
        <v>967</v>
      </c>
      <c r="D273" s="878">
        <v>16</v>
      </c>
      <c r="E273" s="879"/>
      <c r="F273" s="878"/>
      <c r="G273" s="878"/>
      <c r="H273" s="878"/>
      <c r="I273" s="878">
        <f t="shared" si="18"/>
        <v>16</v>
      </c>
      <c r="J273" s="878"/>
      <c r="K273" s="878"/>
      <c r="L273" s="878"/>
      <c r="M273" s="878"/>
      <c r="N273" s="878"/>
      <c r="O273" s="878"/>
    </row>
    <row r="274" spans="2:15" s="835" customFormat="1" ht="12" customHeight="1">
      <c r="B274" s="881">
        <v>42925</v>
      </c>
      <c r="C274" s="880" t="s">
        <v>223</v>
      </c>
      <c r="D274" s="878">
        <v>20</v>
      </c>
      <c r="E274" s="879"/>
      <c r="F274" s="878"/>
      <c r="G274" s="878"/>
      <c r="H274" s="878"/>
      <c r="I274" s="878">
        <f t="shared" si="18"/>
        <v>20</v>
      </c>
      <c r="J274" s="878"/>
      <c r="K274" s="878"/>
      <c r="L274" s="878"/>
      <c r="M274" s="878"/>
      <c r="N274" s="878"/>
      <c r="O274" s="878"/>
    </row>
    <row r="275" spans="2:15" s="835" customFormat="1" ht="12" customHeight="1">
      <c r="B275" s="881">
        <v>42926</v>
      </c>
      <c r="C275" s="880" t="s">
        <v>40</v>
      </c>
      <c r="D275" s="878">
        <v>20</v>
      </c>
      <c r="E275" s="879"/>
      <c r="F275" s="878"/>
      <c r="G275" s="878"/>
      <c r="H275" s="878"/>
      <c r="I275" s="878">
        <f t="shared" si="18"/>
        <v>20</v>
      </c>
      <c r="J275" s="878"/>
      <c r="K275" s="878"/>
      <c r="L275" s="878"/>
      <c r="M275" s="878"/>
      <c r="N275" s="878"/>
      <c r="O275" s="878"/>
    </row>
    <row r="276" spans="2:15" s="835" customFormat="1" ht="12" customHeight="1">
      <c r="B276" s="881">
        <v>42926</v>
      </c>
      <c r="C276" s="880" t="s">
        <v>297</v>
      </c>
      <c r="D276" s="878">
        <v>16.5</v>
      </c>
      <c r="E276" s="879"/>
      <c r="F276" s="878">
        <v>16.5</v>
      </c>
      <c r="G276" s="878"/>
      <c r="H276" s="878"/>
      <c r="I276" s="878">
        <f t="shared" si="18"/>
        <v>0</v>
      </c>
      <c r="J276" s="878"/>
      <c r="K276" s="878"/>
      <c r="L276" s="878"/>
      <c r="M276" s="878"/>
      <c r="N276" s="878"/>
      <c r="O276" s="878"/>
    </row>
    <row r="277" spans="2:15" s="835" customFormat="1" ht="12" customHeight="1">
      <c r="B277" s="881">
        <v>42927</v>
      </c>
      <c r="C277" s="880" t="s">
        <v>967</v>
      </c>
      <c r="D277" s="878">
        <v>41.95</v>
      </c>
      <c r="E277" s="879"/>
      <c r="F277" s="878"/>
      <c r="G277" s="878"/>
      <c r="H277" s="878"/>
      <c r="I277" s="878">
        <f t="shared" si="18"/>
        <v>41.95</v>
      </c>
      <c r="J277" s="878"/>
      <c r="K277" s="878"/>
      <c r="L277" s="878"/>
      <c r="M277" s="878"/>
      <c r="N277" s="878"/>
      <c r="O277" s="878"/>
    </row>
    <row r="278" spans="2:15" s="835" customFormat="1" ht="12" customHeight="1">
      <c r="B278" s="881">
        <v>42928</v>
      </c>
      <c r="C278" s="880" t="s">
        <v>967</v>
      </c>
      <c r="D278" s="878">
        <v>19.5</v>
      </c>
      <c r="E278" s="879"/>
      <c r="F278" s="878"/>
      <c r="G278" s="878"/>
      <c r="H278" s="878"/>
      <c r="I278" s="878">
        <f t="shared" si="18"/>
        <v>19.5</v>
      </c>
      <c r="J278" s="878"/>
      <c r="K278" s="878"/>
      <c r="L278" s="878"/>
      <c r="M278" s="878"/>
      <c r="N278" s="878"/>
      <c r="O278" s="878"/>
    </row>
    <row r="279" spans="2:15" s="835" customFormat="1" ht="12" customHeight="1">
      <c r="B279" s="881">
        <v>42928</v>
      </c>
      <c r="C279" s="880" t="s">
        <v>297</v>
      </c>
      <c r="D279" s="878">
        <v>41</v>
      </c>
      <c r="E279" s="879"/>
      <c r="F279" s="878">
        <v>41</v>
      </c>
      <c r="G279" s="878"/>
      <c r="H279" s="878"/>
      <c r="I279" s="878">
        <f t="shared" si="18"/>
        <v>0</v>
      </c>
      <c r="J279" s="878"/>
      <c r="K279" s="878"/>
      <c r="L279" s="878"/>
      <c r="M279" s="878"/>
      <c r="N279" s="878"/>
      <c r="O279" s="878"/>
    </row>
    <row r="280" spans="2:15" s="835" customFormat="1" ht="12" customHeight="1">
      <c r="B280" s="881">
        <v>42929</v>
      </c>
      <c r="C280" s="880" t="s">
        <v>967</v>
      </c>
      <c r="D280" s="878">
        <v>41.5</v>
      </c>
      <c r="E280" s="879"/>
      <c r="F280" s="878"/>
      <c r="G280" s="878"/>
      <c r="H280" s="878"/>
      <c r="I280" s="878">
        <f t="shared" si="18"/>
        <v>41.5</v>
      </c>
      <c r="J280" s="878"/>
      <c r="K280" s="878"/>
      <c r="L280" s="878"/>
      <c r="M280" s="878"/>
      <c r="N280" s="878"/>
      <c r="O280" s="878"/>
    </row>
    <row r="281" spans="2:15" s="835" customFormat="1" ht="12" customHeight="1">
      <c r="B281" s="881">
        <v>42930</v>
      </c>
      <c r="C281" s="880" t="s">
        <v>967</v>
      </c>
      <c r="D281" s="878">
        <v>31.5</v>
      </c>
      <c r="E281" s="879"/>
      <c r="F281" s="878"/>
      <c r="G281" s="878"/>
      <c r="H281" s="878"/>
      <c r="I281" s="878">
        <f t="shared" si="18"/>
        <v>31.5</v>
      </c>
      <c r="J281" s="878"/>
      <c r="K281" s="878"/>
      <c r="L281" s="878"/>
      <c r="M281" s="878"/>
      <c r="N281" s="878"/>
      <c r="O281" s="878"/>
    </row>
    <row r="282" spans="2:15" s="835" customFormat="1" ht="12" customHeight="1">
      <c r="B282" s="881">
        <v>42930</v>
      </c>
      <c r="C282" s="880" t="s">
        <v>967</v>
      </c>
      <c r="D282" s="878">
        <v>67</v>
      </c>
      <c r="E282" s="879"/>
      <c r="F282" s="878"/>
      <c r="G282" s="878"/>
      <c r="H282" s="878"/>
      <c r="I282" s="878">
        <f t="shared" si="18"/>
        <v>67</v>
      </c>
      <c r="J282" s="878"/>
      <c r="K282" s="878"/>
      <c r="L282" s="878"/>
      <c r="M282" s="878"/>
      <c r="N282" s="878"/>
      <c r="O282" s="878"/>
    </row>
    <row r="283" spans="2:15" s="835" customFormat="1" ht="12" customHeight="1">
      <c r="B283" s="881">
        <v>42931</v>
      </c>
      <c r="C283" s="880" t="s">
        <v>967</v>
      </c>
      <c r="D283" s="878">
        <v>22.5</v>
      </c>
      <c r="E283" s="879"/>
      <c r="F283" s="878"/>
      <c r="G283" s="878"/>
      <c r="H283" s="878"/>
      <c r="I283" s="878">
        <f t="shared" si="18"/>
        <v>22.5</v>
      </c>
      <c r="J283" s="878"/>
      <c r="K283" s="878"/>
      <c r="L283" s="878"/>
      <c r="M283" s="878"/>
      <c r="N283" s="878"/>
      <c r="O283" s="878"/>
    </row>
    <row r="284" spans="2:15" s="835" customFormat="1" ht="12" customHeight="1">
      <c r="B284" s="881">
        <v>42932</v>
      </c>
      <c r="C284" s="880" t="s">
        <v>967</v>
      </c>
      <c r="D284" s="878">
        <v>12.5</v>
      </c>
      <c r="E284" s="879"/>
      <c r="F284" s="878"/>
      <c r="G284" s="878"/>
      <c r="H284" s="878"/>
      <c r="I284" s="878">
        <f t="shared" si="18"/>
        <v>12.5</v>
      </c>
      <c r="J284" s="878"/>
      <c r="K284" s="878"/>
      <c r="L284" s="878"/>
      <c r="M284" s="878"/>
      <c r="N284" s="878"/>
      <c r="O284" s="878"/>
    </row>
    <row r="285" spans="2:15" s="835" customFormat="1" ht="12" customHeight="1">
      <c r="B285" s="881">
        <v>42933</v>
      </c>
      <c r="C285" s="880" t="s">
        <v>967</v>
      </c>
      <c r="D285" s="878">
        <v>15</v>
      </c>
      <c r="E285" s="879"/>
      <c r="F285" s="878"/>
      <c r="G285" s="878"/>
      <c r="H285" s="878"/>
      <c r="I285" s="878">
        <f t="shared" si="18"/>
        <v>15</v>
      </c>
      <c r="J285" s="878"/>
      <c r="K285" s="878"/>
      <c r="L285" s="878"/>
      <c r="M285" s="878"/>
      <c r="N285" s="878"/>
      <c r="O285" s="878"/>
    </row>
    <row r="286" spans="2:15" s="835" customFormat="1" ht="12" customHeight="1">
      <c r="B286" s="881">
        <v>42934</v>
      </c>
      <c r="C286" s="880" t="s">
        <v>967</v>
      </c>
      <c r="D286" s="878">
        <v>32.5</v>
      </c>
      <c r="E286" s="879"/>
      <c r="F286" s="878"/>
      <c r="G286" s="878"/>
      <c r="H286" s="878"/>
      <c r="I286" s="878">
        <f t="shared" si="18"/>
        <v>32.5</v>
      </c>
      <c r="J286" s="878"/>
      <c r="K286" s="878"/>
      <c r="L286" s="878"/>
      <c r="M286" s="878"/>
      <c r="N286" s="878"/>
      <c r="O286" s="878"/>
    </row>
    <row r="287" spans="2:15" s="835" customFormat="1" ht="12" customHeight="1">
      <c r="B287" s="881">
        <v>42935</v>
      </c>
      <c r="C287" s="880" t="s">
        <v>967</v>
      </c>
      <c r="D287" s="878">
        <v>84.5</v>
      </c>
      <c r="E287" s="879">
        <v>77</v>
      </c>
      <c r="F287" s="878"/>
      <c r="G287" s="878"/>
      <c r="H287" s="878"/>
      <c r="I287" s="878">
        <f t="shared" si="18"/>
        <v>7.5</v>
      </c>
      <c r="J287" s="878"/>
      <c r="K287" s="878"/>
      <c r="L287" s="878"/>
      <c r="M287" s="878"/>
      <c r="N287" s="878"/>
      <c r="O287" s="878"/>
    </row>
    <row r="288" spans="2:15" s="835" customFormat="1" ht="12" customHeight="1">
      <c r="B288" s="881">
        <v>42936</v>
      </c>
      <c r="C288" s="880" t="s">
        <v>967</v>
      </c>
      <c r="D288" s="878">
        <v>7.5</v>
      </c>
      <c r="E288" s="879"/>
      <c r="F288" s="878"/>
      <c r="G288" s="878"/>
      <c r="H288" s="878"/>
      <c r="I288" s="878">
        <f t="shared" si="18"/>
        <v>7.5</v>
      </c>
      <c r="J288" s="878"/>
      <c r="K288" s="878"/>
      <c r="L288" s="878"/>
      <c r="M288" s="878"/>
      <c r="N288" s="878"/>
      <c r="O288" s="878"/>
    </row>
    <row r="289" spans="2:15" s="835" customFormat="1" ht="12" customHeight="1">
      <c r="B289" s="881">
        <v>42937</v>
      </c>
      <c r="C289" s="880" t="s">
        <v>967</v>
      </c>
      <c r="D289" s="878">
        <v>30</v>
      </c>
      <c r="E289" s="879"/>
      <c r="F289" s="878"/>
      <c r="G289" s="878"/>
      <c r="H289" s="878"/>
      <c r="I289" s="878">
        <f t="shared" si="18"/>
        <v>30</v>
      </c>
      <c r="J289" s="878"/>
      <c r="K289" s="878"/>
      <c r="L289" s="878"/>
      <c r="M289" s="878"/>
      <c r="N289" s="878"/>
      <c r="O289" s="878"/>
    </row>
    <row r="290" spans="2:15" s="835" customFormat="1" ht="12" customHeight="1">
      <c r="B290" s="881">
        <v>42938</v>
      </c>
      <c r="C290" s="880" t="s">
        <v>967</v>
      </c>
      <c r="D290" s="878">
        <v>56.5</v>
      </c>
      <c r="E290" s="879"/>
      <c r="F290" s="878"/>
      <c r="G290" s="878"/>
      <c r="H290" s="878"/>
      <c r="I290" s="878">
        <f t="shared" si="18"/>
        <v>56.5</v>
      </c>
      <c r="J290" s="878"/>
      <c r="K290" s="878"/>
      <c r="L290" s="878"/>
      <c r="M290" s="878"/>
      <c r="N290" s="878"/>
      <c r="O290" s="878"/>
    </row>
    <row r="291" spans="2:15" s="835" customFormat="1" ht="12" customHeight="1">
      <c r="B291" s="881">
        <v>42938</v>
      </c>
      <c r="C291" s="880" t="s">
        <v>297</v>
      </c>
      <c r="D291" s="878">
        <v>14.95</v>
      </c>
      <c r="E291" s="879"/>
      <c r="F291" s="878">
        <v>14.95</v>
      </c>
      <c r="G291" s="878"/>
      <c r="H291" s="878"/>
      <c r="I291" s="878">
        <f t="shared" si="18"/>
        <v>0</v>
      </c>
      <c r="J291" s="878"/>
      <c r="K291" s="878"/>
      <c r="L291" s="878"/>
      <c r="M291" s="878"/>
      <c r="N291" s="878"/>
      <c r="O291" s="878"/>
    </row>
    <row r="292" spans="2:15" s="835" customFormat="1" ht="12" customHeight="1">
      <c r="B292" s="881">
        <v>42938</v>
      </c>
      <c r="C292" s="880" t="s">
        <v>967</v>
      </c>
      <c r="D292" s="878">
        <v>56</v>
      </c>
      <c r="E292" s="879"/>
      <c r="F292" s="878"/>
      <c r="G292" s="878"/>
      <c r="H292" s="878"/>
      <c r="I292" s="878">
        <f t="shared" si="18"/>
        <v>56</v>
      </c>
      <c r="J292" s="878"/>
      <c r="K292" s="878"/>
      <c r="L292" s="878"/>
      <c r="M292" s="878"/>
      <c r="N292" s="878"/>
      <c r="O292" s="878"/>
    </row>
    <row r="293" spans="2:15" s="835" customFormat="1" ht="12" customHeight="1">
      <c r="B293" s="881">
        <v>42942</v>
      </c>
      <c r="C293" s="880" t="s">
        <v>967</v>
      </c>
      <c r="D293" s="878">
        <v>27.5</v>
      </c>
      <c r="E293" s="879"/>
      <c r="F293" s="878"/>
      <c r="G293" s="878"/>
      <c r="H293" s="878"/>
      <c r="I293" s="878">
        <f t="shared" si="18"/>
        <v>27.5</v>
      </c>
      <c r="J293" s="878"/>
      <c r="K293" s="878"/>
      <c r="L293" s="878"/>
      <c r="M293" s="878"/>
      <c r="N293" s="878"/>
      <c r="O293" s="878"/>
    </row>
    <row r="294" spans="2:15" s="835" customFormat="1" ht="12" customHeight="1">
      <c r="B294" s="881">
        <v>42942</v>
      </c>
      <c r="C294" s="880" t="s">
        <v>469</v>
      </c>
      <c r="D294" s="878">
        <v>85.5</v>
      </c>
      <c r="E294" s="879"/>
      <c r="F294" s="878"/>
      <c r="G294" s="878"/>
      <c r="H294" s="878"/>
      <c r="I294" s="878">
        <f t="shared" si="18"/>
        <v>85.5</v>
      </c>
      <c r="J294" s="878"/>
      <c r="K294" s="878"/>
      <c r="L294" s="878"/>
      <c r="M294" s="878"/>
      <c r="N294" s="878"/>
      <c r="O294" s="878"/>
    </row>
    <row r="295" spans="2:15" s="835" customFormat="1" ht="12" customHeight="1">
      <c r="B295" s="881">
        <v>42944</v>
      </c>
      <c r="C295" s="880" t="s">
        <v>469</v>
      </c>
      <c r="D295" s="878">
        <v>49</v>
      </c>
      <c r="E295" s="879"/>
      <c r="F295" s="878"/>
      <c r="G295" s="878">
        <v>23.5</v>
      </c>
      <c r="H295" s="878"/>
      <c r="I295" s="878">
        <f t="shared" si="18"/>
        <v>25.5</v>
      </c>
      <c r="J295" s="878"/>
      <c r="K295" s="878"/>
      <c r="L295" s="878"/>
      <c r="M295" s="878"/>
      <c r="N295" s="878"/>
      <c r="O295" s="878"/>
    </row>
    <row r="296" spans="2:15" s="835" customFormat="1" ht="12" customHeight="1">
      <c r="B296" s="877">
        <v>42946</v>
      </c>
      <c r="C296" s="876" t="s">
        <v>722</v>
      </c>
      <c r="D296" s="874">
        <v>23.5</v>
      </c>
      <c r="E296" s="875"/>
      <c r="F296" s="874"/>
      <c r="G296" s="874"/>
      <c r="H296" s="874"/>
      <c r="I296" s="874">
        <f t="shared" si="18"/>
        <v>23.5</v>
      </c>
      <c r="J296" s="874"/>
      <c r="K296" s="874"/>
      <c r="L296" s="874"/>
      <c r="M296" s="874"/>
      <c r="N296" s="874"/>
      <c r="O296" s="874"/>
    </row>
    <row r="297" spans="2:15" s="835" customFormat="1" ht="12" customHeight="1">
      <c r="B297" s="894">
        <v>42947</v>
      </c>
      <c r="C297" s="893" t="s">
        <v>969</v>
      </c>
      <c r="D297" s="891">
        <v>58</v>
      </c>
      <c r="E297" s="892"/>
      <c r="F297" s="891"/>
      <c r="G297" s="891"/>
      <c r="H297" s="870"/>
      <c r="I297" s="870">
        <f t="shared" si="18"/>
        <v>58</v>
      </c>
      <c r="J297" s="891"/>
      <c r="K297" s="891"/>
      <c r="L297" s="891"/>
      <c r="M297" s="891"/>
      <c r="N297" s="891"/>
      <c r="O297" s="891"/>
    </row>
    <row r="298" spans="2:15" s="835" customFormat="1" ht="12" customHeight="1">
      <c r="B298" s="873">
        <v>42947</v>
      </c>
      <c r="C298" s="868" t="s">
        <v>967</v>
      </c>
      <c r="D298" s="866">
        <v>181.65</v>
      </c>
      <c r="E298" s="867">
        <v>77</v>
      </c>
      <c r="F298" s="866"/>
      <c r="G298" s="866">
        <v>20</v>
      </c>
      <c r="H298" s="870"/>
      <c r="I298" s="870">
        <f t="shared" si="18"/>
        <v>84.65</v>
      </c>
      <c r="J298" s="866"/>
      <c r="K298" s="866"/>
      <c r="L298" s="866"/>
      <c r="M298" s="866"/>
      <c r="N298" s="866"/>
      <c r="O298" s="866"/>
    </row>
    <row r="299" spans="2:15" s="835" customFormat="1" ht="12" customHeight="1">
      <c r="B299" s="873">
        <v>42947</v>
      </c>
      <c r="C299" s="872" t="s">
        <v>39</v>
      </c>
      <c r="D299" s="870">
        <v>157.19999999999999</v>
      </c>
      <c r="E299" s="871"/>
      <c r="F299" s="870"/>
      <c r="G299" s="870">
        <v>23.5</v>
      </c>
      <c r="H299" s="870"/>
      <c r="I299" s="870">
        <f t="shared" si="18"/>
        <v>133.69999999999999</v>
      </c>
      <c r="J299" s="870"/>
      <c r="K299" s="870"/>
      <c r="L299" s="870"/>
      <c r="M299" s="870"/>
      <c r="N299" s="870"/>
      <c r="O299" s="870"/>
    </row>
    <row r="300" spans="2:15" s="835" customFormat="1" ht="12" customHeight="1">
      <c r="B300" s="873">
        <v>42947</v>
      </c>
      <c r="C300" s="872" t="s">
        <v>967</v>
      </c>
      <c r="D300" s="870">
        <v>246.3</v>
      </c>
      <c r="E300" s="871"/>
      <c r="F300" s="870"/>
      <c r="G300" s="870">
        <v>70</v>
      </c>
      <c r="H300" s="870"/>
      <c r="I300" s="870">
        <f t="shared" si="18"/>
        <v>176.3</v>
      </c>
      <c r="J300" s="870"/>
      <c r="K300" s="870"/>
      <c r="L300" s="870"/>
      <c r="M300" s="870"/>
      <c r="N300" s="870"/>
      <c r="O300" s="870"/>
    </row>
    <row r="301" spans="2:15" s="835" customFormat="1" ht="12" customHeight="1">
      <c r="B301" s="873">
        <v>42947</v>
      </c>
      <c r="C301" s="872" t="s">
        <v>297</v>
      </c>
      <c r="D301" s="870">
        <v>22.1</v>
      </c>
      <c r="E301" s="871"/>
      <c r="F301" s="870">
        <v>22.1</v>
      </c>
      <c r="G301" s="870"/>
      <c r="H301" s="870"/>
      <c r="I301" s="870">
        <f t="shared" si="18"/>
        <v>0</v>
      </c>
      <c r="J301" s="870"/>
      <c r="K301" s="870"/>
      <c r="L301" s="870"/>
      <c r="M301" s="870"/>
      <c r="N301" s="870"/>
      <c r="O301" s="870"/>
    </row>
    <row r="302" spans="2:15" s="835" customFormat="1" ht="12" customHeight="1">
      <c r="B302" s="873">
        <v>42948</v>
      </c>
      <c r="C302" s="872" t="s">
        <v>297</v>
      </c>
      <c r="D302" s="870">
        <v>115.95</v>
      </c>
      <c r="E302" s="871"/>
      <c r="F302" s="870">
        <v>115.95</v>
      </c>
      <c r="G302" s="870"/>
      <c r="H302" s="870"/>
      <c r="I302" s="870">
        <f t="shared" si="18"/>
        <v>0</v>
      </c>
      <c r="J302" s="870"/>
      <c r="K302" s="870"/>
      <c r="L302" s="870"/>
      <c r="M302" s="870"/>
      <c r="N302" s="870"/>
      <c r="O302" s="870"/>
    </row>
    <row r="303" spans="2:15" s="835" customFormat="1" ht="12" customHeight="1">
      <c r="B303" s="873">
        <v>42948</v>
      </c>
      <c r="C303" s="872" t="s">
        <v>967</v>
      </c>
      <c r="D303" s="870">
        <v>73.97</v>
      </c>
      <c r="E303" s="871"/>
      <c r="F303" s="870"/>
      <c r="G303" s="870">
        <v>34.950000000000003</v>
      </c>
      <c r="H303" s="870"/>
      <c r="I303" s="870">
        <f t="shared" si="18"/>
        <v>39.019999999999996</v>
      </c>
      <c r="J303" s="870"/>
      <c r="K303" s="870"/>
      <c r="L303" s="870"/>
      <c r="M303" s="870"/>
      <c r="N303" s="870"/>
      <c r="O303" s="870"/>
    </row>
    <row r="304" spans="2:15" s="835" customFormat="1" ht="12" customHeight="1">
      <c r="B304" s="873">
        <v>42948</v>
      </c>
      <c r="C304" s="872" t="s">
        <v>254</v>
      </c>
      <c r="D304" s="870">
        <v>29</v>
      </c>
      <c r="E304" s="871"/>
      <c r="F304" s="870"/>
      <c r="G304" s="870">
        <v>29</v>
      </c>
      <c r="H304" s="870"/>
      <c r="I304" s="870">
        <f t="shared" si="18"/>
        <v>0</v>
      </c>
      <c r="J304" s="870"/>
      <c r="K304" s="870"/>
      <c r="L304" s="870"/>
      <c r="M304" s="870"/>
      <c r="N304" s="870"/>
      <c r="O304" s="870"/>
    </row>
    <row r="305" spans="2:15" s="835" customFormat="1" ht="12" customHeight="1">
      <c r="B305" s="873">
        <v>42949</v>
      </c>
      <c r="C305" s="872" t="s">
        <v>967</v>
      </c>
      <c r="D305" s="870">
        <v>24.45</v>
      </c>
      <c r="E305" s="871"/>
      <c r="F305" s="870"/>
      <c r="G305" s="870"/>
      <c r="H305" s="870"/>
      <c r="I305" s="870">
        <f t="shared" si="18"/>
        <v>24.45</v>
      </c>
      <c r="J305" s="870"/>
      <c r="K305" s="870"/>
      <c r="L305" s="870"/>
      <c r="M305" s="870"/>
      <c r="N305" s="870"/>
      <c r="O305" s="870"/>
    </row>
    <row r="306" spans="2:15" s="835" customFormat="1" ht="12" customHeight="1">
      <c r="B306" s="869">
        <v>42949</v>
      </c>
      <c r="C306" s="868" t="s">
        <v>39</v>
      </c>
      <c r="D306" s="866">
        <v>35.5</v>
      </c>
      <c r="E306" s="867"/>
      <c r="F306" s="866"/>
      <c r="G306" s="866">
        <v>23.5</v>
      </c>
      <c r="H306" s="870"/>
      <c r="I306" s="870">
        <f t="shared" si="18"/>
        <v>12</v>
      </c>
      <c r="J306" s="866"/>
      <c r="K306" s="866"/>
      <c r="L306" s="866"/>
      <c r="M306" s="866"/>
      <c r="N306" s="866"/>
      <c r="O306" s="866"/>
    </row>
    <row r="307" spans="2:15" s="835" customFormat="1" ht="12" customHeight="1">
      <c r="B307" s="869">
        <v>42949</v>
      </c>
      <c r="C307" s="868" t="s">
        <v>297</v>
      </c>
      <c r="D307" s="866">
        <v>47.5</v>
      </c>
      <c r="E307" s="867"/>
      <c r="F307" s="866">
        <v>47.5</v>
      </c>
      <c r="G307" s="866"/>
      <c r="H307" s="866"/>
      <c r="I307" s="866">
        <f t="shared" si="18"/>
        <v>0</v>
      </c>
      <c r="J307" s="866"/>
      <c r="K307" s="866"/>
      <c r="L307" s="866"/>
      <c r="M307" s="866"/>
      <c r="N307" s="866"/>
      <c r="O307" s="866"/>
    </row>
    <row r="308" spans="2:15" s="835" customFormat="1" ht="12" customHeight="1">
      <c r="B308" s="869">
        <v>42949</v>
      </c>
      <c r="C308" s="868" t="s">
        <v>972</v>
      </c>
      <c r="D308" s="866">
        <v>20</v>
      </c>
      <c r="E308" s="867"/>
      <c r="F308" s="866"/>
      <c r="G308" s="866"/>
      <c r="H308" s="866"/>
      <c r="I308" s="866">
        <f t="shared" si="18"/>
        <v>20</v>
      </c>
      <c r="J308" s="866"/>
      <c r="K308" s="866"/>
      <c r="L308" s="866"/>
      <c r="M308" s="866"/>
      <c r="N308" s="866"/>
      <c r="O308" s="866"/>
    </row>
    <row r="309" spans="2:15" s="835" customFormat="1" ht="12" customHeight="1">
      <c r="B309" s="869">
        <v>42949</v>
      </c>
      <c r="C309" s="868" t="s">
        <v>967</v>
      </c>
      <c r="D309" s="866">
        <v>169.79</v>
      </c>
      <c r="E309" s="867">
        <v>38.5</v>
      </c>
      <c r="F309" s="866"/>
      <c r="G309" s="866"/>
      <c r="H309" s="866"/>
      <c r="I309" s="866">
        <f t="shared" si="18"/>
        <v>131.29</v>
      </c>
      <c r="J309" s="866"/>
      <c r="K309" s="866"/>
      <c r="L309" s="866"/>
      <c r="M309" s="866"/>
      <c r="N309" s="866"/>
      <c r="O309" s="866"/>
    </row>
    <row r="310" spans="2:15" s="835" customFormat="1" ht="12" customHeight="1">
      <c r="B310" s="869">
        <v>42950</v>
      </c>
      <c r="C310" s="868" t="s">
        <v>967</v>
      </c>
      <c r="D310" s="866">
        <v>27.5</v>
      </c>
      <c r="E310" s="867"/>
      <c r="F310" s="866"/>
      <c r="G310" s="866"/>
      <c r="H310" s="866"/>
      <c r="I310" s="866">
        <f t="shared" si="18"/>
        <v>27.5</v>
      </c>
      <c r="J310" s="866"/>
      <c r="K310" s="866"/>
      <c r="L310" s="866"/>
      <c r="M310" s="866"/>
      <c r="N310" s="866"/>
      <c r="O310" s="866"/>
    </row>
    <row r="311" spans="2:15" s="835" customFormat="1" ht="12" customHeight="1">
      <c r="B311" s="869">
        <v>42952</v>
      </c>
      <c r="C311" s="868" t="s">
        <v>967</v>
      </c>
      <c r="D311" s="866">
        <v>17.5</v>
      </c>
      <c r="E311" s="867"/>
      <c r="F311" s="866"/>
      <c r="G311" s="866">
        <v>10</v>
      </c>
      <c r="H311" s="866"/>
      <c r="I311" s="866">
        <f t="shared" si="18"/>
        <v>7.5</v>
      </c>
      <c r="J311" s="866"/>
      <c r="K311" s="866"/>
      <c r="L311" s="866"/>
      <c r="M311" s="866"/>
      <c r="N311" s="866"/>
      <c r="O311" s="866"/>
    </row>
    <row r="312" spans="2:15" s="835" customFormat="1" ht="12" customHeight="1">
      <c r="B312" s="869">
        <v>42953</v>
      </c>
      <c r="C312" s="868" t="s">
        <v>967</v>
      </c>
      <c r="D312" s="866">
        <v>100.9</v>
      </c>
      <c r="E312" s="867"/>
      <c r="F312" s="866"/>
      <c r="G312" s="866"/>
      <c r="H312" s="866"/>
      <c r="I312" s="866">
        <f t="shared" si="18"/>
        <v>100.9</v>
      </c>
      <c r="J312" s="866"/>
      <c r="K312" s="866"/>
      <c r="L312" s="866"/>
      <c r="M312" s="866"/>
      <c r="N312" s="866"/>
      <c r="O312" s="866"/>
    </row>
    <row r="313" spans="2:15" s="835" customFormat="1" ht="12" customHeight="1">
      <c r="B313" s="869">
        <v>42953</v>
      </c>
      <c r="C313" s="868" t="s">
        <v>969</v>
      </c>
      <c r="D313" s="866">
        <v>72</v>
      </c>
      <c r="E313" s="867"/>
      <c r="F313" s="866"/>
      <c r="G313" s="866"/>
      <c r="H313" s="866"/>
      <c r="I313" s="866">
        <f t="shared" si="18"/>
        <v>72</v>
      </c>
      <c r="J313" s="866"/>
      <c r="K313" s="866"/>
      <c r="L313" s="866"/>
      <c r="M313" s="866"/>
      <c r="N313" s="866"/>
      <c r="O313" s="866"/>
    </row>
    <row r="314" spans="2:15" s="835" customFormat="1" ht="12" customHeight="1">
      <c r="B314" s="869">
        <v>42954</v>
      </c>
      <c r="C314" s="868" t="s">
        <v>969</v>
      </c>
      <c r="D314" s="866">
        <v>30</v>
      </c>
      <c r="E314" s="867"/>
      <c r="F314" s="866"/>
      <c r="G314" s="866"/>
      <c r="H314" s="866"/>
      <c r="I314" s="866">
        <f t="shared" si="18"/>
        <v>30</v>
      </c>
      <c r="J314" s="866"/>
      <c r="K314" s="866"/>
      <c r="L314" s="866"/>
      <c r="M314" s="866"/>
      <c r="N314" s="866"/>
      <c r="O314" s="866"/>
    </row>
    <row r="315" spans="2:15" s="835" customFormat="1" ht="12" customHeight="1">
      <c r="B315" s="869">
        <v>42954</v>
      </c>
      <c r="C315" s="868" t="s">
        <v>967</v>
      </c>
      <c r="D315" s="866">
        <v>38.950000000000003</v>
      </c>
      <c r="E315" s="867"/>
      <c r="F315" s="866"/>
      <c r="G315" s="866"/>
      <c r="H315" s="866"/>
      <c r="I315" s="866">
        <f t="shared" si="18"/>
        <v>38.950000000000003</v>
      </c>
      <c r="J315" s="866"/>
      <c r="K315" s="866"/>
      <c r="L315" s="866"/>
      <c r="M315" s="866"/>
      <c r="N315" s="866"/>
      <c r="O315" s="866"/>
    </row>
    <row r="316" spans="2:15" s="835" customFormat="1" ht="12" customHeight="1">
      <c r="B316" s="869">
        <v>42954</v>
      </c>
      <c r="C316" s="868" t="s">
        <v>967</v>
      </c>
      <c r="D316" s="866">
        <v>27.5</v>
      </c>
      <c r="E316" s="867"/>
      <c r="F316" s="866"/>
      <c r="G316" s="866">
        <v>10</v>
      </c>
      <c r="H316" s="866"/>
      <c r="I316" s="866">
        <f t="shared" si="18"/>
        <v>17.5</v>
      </c>
      <c r="J316" s="866"/>
      <c r="K316" s="866"/>
      <c r="L316" s="866"/>
      <c r="M316" s="866"/>
      <c r="N316" s="866"/>
      <c r="O316" s="866"/>
    </row>
    <row r="317" spans="2:15" s="835" customFormat="1" ht="12" customHeight="1">
      <c r="B317" s="869">
        <v>42955</v>
      </c>
      <c r="C317" s="868" t="s">
        <v>297</v>
      </c>
      <c r="D317" s="866">
        <v>28.1</v>
      </c>
      <c r="E317" s="867"/>
      <c r="F317" s="866"/>
      <c r="G317" s="866"/>
      <c r="H317" s="866"/>
      <c r="I317" s="866">
        <f t="shared" si="18"/>
        <v>28.1</v>
      </c>
      <c r="J317" s="866"/>
      <c r="K317" s="866"/>
      <c r="L317" s="866"/>
      <c r="M317" s="866"/>
      <c r="N317" s="866"/>
      <c r="O317" s="866"/>
    </row>
    <row r="318" spans="2:15" s="835" customFormat="1" ht="12" customHeight="1">
      <c r="B318" s="869">
        <v>42955</v>
      </c>
      <c r="C318" s="868" t="s">
        <v>967</v>
      </c>
      <c r="D318" s="866">
        <v>50.35</v>
      </c>
      <c r="E318" s="867"/>
      <c r="F318" s="866"/>
      <c r="G318" s="866"/>
      <c r="H318" s="866"/>
      <c r="I318" s="866">
        <f t="shared" si="18"/>
        <v>50.35</v>
      </c>
      <c r="J318" s="866"/>
      <c r="K318" s="866"/>
      <c r="L318" s="866"/>
      <c r="M318" s="866"/>
      <c r="N318" s="866"/>
      <c r="O318" s="866"/>
    </row>
    <row r="319" spans="2:15" s="835" customFormat="1" ht="12" customHeight="1">
      <c r="B319" s="869">
        <v>42956</v>
      </c>
      <c r="C319" s="868" t="s">
        <v>722</v>
      </c>
      <c r="D319" s="866">
        <v>47.5</v>
      </c>
      <c r="E319" s="867"/>
      <c r="F319" s="866"/>
      <c r="G319" s="866"/>
      <c r="H319" s="866"/>
      <c r="I319" s="866">
        <f t="shared" si="18"/>
        <v>47.5</v>
      </c>
      <c r="J319" s="866"/>
      <c r="K319" s="866"/>
      <c r="L319" s="866"/>
      <c r="M319" s="866"/>
      <c r="N319" s="866"/>
      <c r="O319" s="866"/>
    </row>
    <row r="320" spans="2:15" s="835" customFormat="1" ht="12" customHeight="1">
      <c r="B320" s="869">
        <v>42956</v>
      </c>
      <c r="C320" s="868" t="s">
        <v>716</v>
      </c>
      <c r="D320" s="866">
        <v>324.95</v>
      </c>
      <c r="E320" s="867"/>
      <c r="F320" s="866"/>
      <c r="G320" s="866"/>
      <c r="H320" s="866"/>
      <c r="I320" s="866">
        <f t="shared" si="18"/>
        <v>324.95</v>
      </c>
      <c r="J320" s="866"/>
      <c r="K320" s="866"/>
      <c r="L320" s="866"/>
      <c r="M320" s="866"/>
      <c r="N320" s="866"/>
      <c r="O320" s="866"/>
    </row>
    <row r="321" spans="2:15" s="835" customFormat="1" ht="12" customHeight="1">
      <c r="B321" s="869">
        <v>42957</v>
      </c>
      <c r="C321" s="868" t="s">
        <v>967</v>
      </c>
      <c r="D321" s="866">
        <v>45.4</v>
      </c>
      <c r="E321" s="867"/>
      <c r="F321" s="866"/>
      <c r="G321" s="866"/>
      <c r="H321" s="866"/>
      <c r="I321" s="866">
        <f t="shared" si="18"/>
        <v>45.4</v>
      </c>
      <c r="J321" s="866"/>
      <c r="K321" s="866"/>
      <c r="L321" s="866"/>
      <c r="M321" s="866"/>
      <c r="N321" s="866"/>
      <c r="O321" s="866"/>
    </row>
    <row r="322" spans="2:15" s="835" customFormat="1" ht="12" customHeight="1">
      <c r="B322" s="869">
        <v>42958</v>
      </c>
      <c r="C322" s="868" t="s">
        <v>967</v>
      </c>
      <c r="D322" s="866">
        <v>84.5</v>
      </c>
      <c r="E322" s="867">
        <v>77</v>
      </c>
      <c r="F322" s="866"/>
      <c r="G322" s="866"/>
      <c r="H322" s="866"/>
      <c r="I322" s="866">
        <f t="shared" si="18"/>
        <v>7.5</v>
      </c>
      <c r="J322" s="866"/>
      <c r="K322" s="866"/>
      <c r="L322" s="866"/>
      <c r="M322" s="866"/>
      <c r="N322" s="866"/>
      <c r="O322" s="866"/>
    </row>
    <row r="323" spans="2:15" s="835" customFormat="1" ht="12" customHeight="1">
      <c r="B323" s="869">
        <v>42959</v>
      </c>
      <c r="C323" s="868" t="s">
        <v>967</v>
      </c>
      <c r="D323" s="866">
        <v>14.5</v>
      </c>
      <c r="E323" s="867"/>
      <c r="F323" s="866"/>
      <c r="G323" s="866"/>
      <c r="H323" s="866"/>
      <c r="I323" s="866">
        <f t="shared" si="18"/>
        <v>14.5</v>
      </c>
      <c r="J323" s="866"/>
      <c r="K323" s="866"/>
      <c r="L323" s="866"/>
      <c r="M323" s="866"/>
      <c r="N323" s="866"/>
      <c r="O323" s="866"/>
    </row>
    <row r="324" spans="2:15" s="835" customFormat="1" ht="12" customHeight="1">
      <c r="B324" s="869">
        <v>42962</v>
      </c>
      <c r="C324" s="868" t="s">
        <v>297</v>
      </c>
      <c r="D324" s="866">
        <v>31.95</v>
      </c>
      <c r="E324" s="867"/>
      <c r="F324" s="866"/>
      <c r="G324" s="866"/>
      <c r="H324" s="866"/>
      <c r="I324" s="866">
        <f t="shared" si="18"/>
        <v>31.95</v>
      </c>
      <c r="J324" s="866"/>
      <c r="K324" s="866"/>
      <c r="L324" s="866"/>
      <c r="M324" s="866"/>
      <c r="N324" s="866"/>
      <c r="O324" s="866"/>
    </row>
    <row r="325" spans="2:15" s="835" customFormat="1" ht="12" customHeight="1">
      <c r="B325" s="869">
        <v>42962</v>
      </c>
      <c r="C325" s="868" t="s">
        <v>40</v>
      </c>
      <c r="D325" s="866">
        <v>37.450000000000003</v>
      </c>
      <c r="E325" s="867"/>
      <c r="F325" s="866"/>
      <c r="G325" s="866"/>
      <c r="H325" s="866"/>
      <c r="I325" s="866">
        <f t="shared" si="18"/>
        <v>37.450000000000003</v>
      </c>
      <c r="J325" s="866"/>
      <c r="K325" s="866"/>
      <c r="L325" s="866"/>
      <c r="M325" s="866"/>
      <c r="N325" s="866"/>
      <c r="O325" s="866"/>
    </row>
    <row r="326" spans="2:15" s="835" customFormat="1" ht="12" customHeight="1">
      <c r="B326" s="869">
        <v>42962</v>
      </c>
      <c r="C326" s="868" t="s">
        <v>967</v>
      </c>
      <c r="D326" s="866">
        <v>18</v>
      </c>
      <c r="E326" s="867"/>
      <c r="F326" s="866"/>
      <c r="G326" s="866">
        <v>10</v>
      </c>
      <c r="H326" s="866"/>
      <c r="I326" s="866">
        <f t="shared" si="18"/>
        <v>8</v>
      </c>
      <c r="J326" s="866"/>
      <c r="K326" s="866"/>
      <c r="L326" s="866"/>
      <c r="M326" s="866"/>
      <c r="N326" s="866"/>
      <c r="O326" s="866"/>
    </row>
    <row r="327" spans="2:15" s="835" customFormat="1" ht="12" customHeight="1">
      <c r="B327" s="869">
        <v>42962</v>
      </c>
      <c r="C327" s="868" t="s">
        <v>967</v>
      </c>
      <c r="D327" s="866">
        <v>34.950000000000003</v>
      </c>
      <c r="E327" s="867"/>
      <c r="F327" s="866"/>
      <c r="G327" s="866"/>
      <c r="H327" s="866"/>
      <c r="I327" s="866">
        <f t="shared" si="18"/>
        <v>34.950000000000003</v>
      </c>
      <c r="J327" s="866"/>
      <c r="K327" s="866"/>
      <c r="L327" s="866"/>
      <c r="M327" s="866"/>
      <c r="N327" s="866"/>
      <c r="O327" s="866"/>
    </row>
    <row r="328" spans="2:15" s="835" customFormat="1" ht="12" customHeight="1">
      <c r="B328" s="869">
        <v>42963</v>
      </c>
      <c r="C328" s="868" t="s">
        <v>967</v>
      </c>
      <c r="D328" s="866">
        <v>1.4</v>
      </c>
      <c r="E328" s="867"/>
      <c r="F328" s="866"/>
      <c r="G328" s="866"/>
      <c r="H328" s="866"/>
      <c r="I328" s="866">
        <f t="shared" si="18"/>
        <v>1.4</v>
      </c>
      <c r="J328" s="866"/>
      <c r="K328" s="866"/>
      <c r="L328" s="866"/>
      <c r="M328" s="866"/>
      <c r="N328" s="866"/>
      <c r="O328" s="866"/>
    </row>
    <row r="329" spans="2:15" s="835" customFormat="1" ht="12" customHeight="1">
      <c r="B329" s="869">
        <v>42964</v>
      </c>
      <c r="C329" s="868" t="s">
        <v>967</v>
      </c>
      <c r="D329" s="866">
        <v>-10.6</v>
      </c>
      <c r="E329" s="867"/>
      <c r="F329" s="866"/>
      <c r="G329" s="866"/>
      <c r="H329" s="866"/>
      <c r="I329" s="866">
        <f t="shared" si="18"/>
        <v>-10.6</v>
      </c>
      <c r="J329" s="866"/>
      <c r="K329" s="866"/>
      <c r="L329" s="866"/>
      <c r="M329" s="866"/>
      <c r="N329" s="866"/>
      <c r="O329" s="866"/>
    </row>
    <row r="330" spans="2:15" s="835" customFormat="1" ht="12" customHeight="1">
      <c r="B330" s="869">
        <v>42965</v>
      </c>
      <c r="C330" s="868" t="s">
        <v>967</v>
      </c>
      <c r="D330" s="866">
        <v>53.9</v>
      </c>
      <c r="E330" s="867"/>
      <c r="F330" s="866"/>
      <c r="G330" s="866"/>
      <c r="H330" s="866"/>
      <c r="I330" s="866">
        <f t="shared" si="18"/>
        <v>53.9</v>
      </c>
      <c r="J330" s="866"/>
      <c r="K330" s="866"/>
      <c r="L330" s="866"/>
      <c r="M330" s="866"/>
      <c r="N330" s="866"/>
      <c r="O330" s="866"/>
    </row>
    <row r="331" spans="2:15" s="835" customFormat="1" ht="12" customHeight="1">
      <c r="B331" s="869">
        <v>42966</v>
      </c>
      <c r="C331" s="868" t="s">
        <v>967</v>
      </c>
      <c r="D331" s="866">
        <v>73</v>
      </c>
      <c r="E331" s="867">
        <v>38.5</v>
      </c>
      <c r="F331" s="866"/>
      <c r="G331" s="866"/>
      <c r="H331" s="866"/>
      <c r="I331" s="866">
        <f t="shared" si="18"/>
        <v>34.5</v>
      </c>
      <c r="J331" s="866"/>
      <c r="K331" s="866"/>
      <c r="L331" s="866"/>
      <c r="M331" s="866"/>
      <c r="N331" s="866"/>
      <c r="O331" s="866"/>
    </row>
    <row r="332" spans="2:15" s="835" customFormat="1" ht="12" customHeight="1">
      <c r="B332" s="869">
        <v>42969</v>
      </c>
      <c r="C332" s="868" t="s">
        <v>967</v>
      </c>
      <c r="D332" s="866">
        <v>94.45</v>
      </c>
      <c r="E332" s="867">
        <v>38.5</v>
      </c>
      <c r="F332" s="866"/>
      <c r="G332" s="866"/>
      <c r="H332" s="866"/>
      <c r="I332" s="866">
        <f t="shared" si="18"/>
        <v>55.95</v>
      </c>
      <c r="J332" s="866"/>
      <c r="K332" s="866"/>
      <c r="L332" s="866"/>
      <c r="M332" s="866"/>
      <c r="N332" s="866"/>
      <c r="O332" s="866"/>
    </row>
    <row r="333" spans="2:15" s="835" customFormat="1" ht="12" customHeight="1">
      <c r="B333" s="869">
        <v>42972</v>
      </c>
      <c r="C333" s="868" t="s">
        <v>967</v>
      </c>
      <c r="D333" s="866">
        <v>37</v>
      </c>
      <c r="E333" s="867"/>
      <c r="F333" s="866"/>
      <c r="G333" s="866"/>
      <c r="H333" s="866"/>
      <c r="I333" s="866">
        <f t="shared" si="18"/>
        <v>37</v>
      </c>
      <c r="J333" s="866"/>
      <c r="K333" s="866"/>
      <c r="L333" s="866"/>
      <c r="M333" s="866"/>
      <c r="N333" s="866"/>
      <c r="O333" s="866"/>
    </row>
    <row r="334" spans="2:15" s="835" customFormat="1" ht="12" customHeight="1">
      <c r="B334" s="869">
        <v>42972</v>
      </c>
      <c r="C334" s="868" t="s">
        <v>722</v>
      </c>
      <c r="D334" s="866">
        <v>21</v>
      </c>
      <c r="E334" s="867"/>
      <c r="F334" s="866"/>
      <c r="G334" s="866"/>
      <c r="H334" s="866"/>
      <c r="I334" s="866">
        <f t="shared" si="18"/>
        <v>21</v>
      </c>
      <c r="J334" s="866"/>
      <c r="K334" s="866"/>
      <c r="L334" s="866"/>
      <c r="M334" s="866"/>
      <c r="N334" s="866"/>
      <c r="O334" s="866"/>
    </row>
    <row r="335" spans="2:15" s="835" customFormat="1" ht="12" customHeight="1">
      <c r="B335" s="869">
        <v>42973</v>
      </c>
      <c r="C335" s="868" t="s">
        <v>967</v>
      </c>
      <c r="D335" s="866">
        <v>39.450000000000003</v>
      </c>
      <c r="E335" s="867"/>
      <c r="F335" s="866"/>
      <c r="G335" s="866"/>
      <c r="H335" s="866"/>
      <c r="I335" s="866">
        <f t="shared" si="18"/>
        <v>39.450000000000003</v>
      </c>
      <c r="J335" s="866"/>
      <c r="K335" s="866"/>
      <c r="L335" s="866"/>
      <c r="M335" s="866"/>
      <c r="N335" s="866"/>
      <c r="O335" s="866"/>
    </row>
    <row r="336" spans="2:15" s="835" customFormat="1" ht="12" customHeight="1">
      <c r="B336" s="869">
        <v>42974</v>
      </c>
      <c r="C336" s="868" t="s">
        <v>967</v>
      </c>
      <c r="D336" s="866">
        <v>70</v>
      </c>
      <c r="E336" s="867">
        <v>38.5</v>
      </c>
      <c r="F336" s="866"/>
      <c r="G336" s="866"/>
      <c r="H336" s="866"/>
      <c r="I336" s="866">
        <f t="shared" ref="I336:I399" si="19">D336-E336-F336-G336</f>
        <v>31.5</v>
      </c>
      <c r="J336" s="866"/>
      <c r="K336" s="866"/>
      <c r="L336" s="866"/>
      <c r="M336" s="866"/>
      <c r="N336" s="866"/>
      <c r="O336" s="866"/>
    </row>
    <row r="337" spans="2:15" s="835" customFormat="1" ht="12" customHeight="1">
      <c r="B337" s="869">
        <v>42976</v>
      </c>
      <c r="C337" s="868" t="s">
        <v>967</v>
      </c>
      <c r="D337" s="866">
        <v>75</v>
      </c>
      <c r="E337" s="867"/>
      <c r="F337" s="866"/>
      <c r="G337" s="866"/>
      <c r="H337" s="866"/>
      <c r="I337" s="890">
        <f t="shared" si="19"/>
        <v>75</v>
      </c>
      <c r="J337" s="866"/>
      <c r="K337" s="866"/>
      <c r="L337" s="866"/>
      <c r="M337" s="866"/>
      <c r="N337" s="866"/>
      <c r="O337" s="866"/>
    </row>
    <row r="338" spans="2:15" s="835" customFormat="1" ht="12" customHeight="1">
      <c r="B338" s="889">
        <v>42978</v>
      </c>
      <c r="C338" s="888" t="s">
        <v>297</v>
      </c>
      <c r="D338" s="886">
        <v>280.75</v>
      </c>
      <c r="E338" s="887"/>
      <c r="F338" s="886">
        <v>280.75</v>
      </c>
      <c r="G338" s="886"/>
      <c r="H338" s="886"/>
      <c r="I338" s="883">
        <f t="shared" si="19"/>
        <v>0</v>
      </c>
      <c r="J338" s="886"/>
      <c r="K338" s="886"/>
      <c r="L338" s="886"/>
      <c r="M338" s="886"/>
      <c r="N338" s="886"/>
      <c r="O338" s="886"/>
    </row>
    <row r="339" spans="2:15" s="835" customFormat="1" ht="12" customHeight="1">
      <c r="B339" s="882">
        <v>42978</v>
      </c>
      <c r="C339" s="885" t="s">
        <v>967</v>
      </c>
      <c r="D339" s="883">
        <v>203.6</v>
      </c>
      <c r="E339" s="884">
        <v>77</v>
      </c>
      <c r="F339" s="883"/>
      <c r="G339" s="883"/>
      <c r="H339" s="460">
        <v>114.8</v>
      </c>
      <c r="I339" s="878">
        <f t="shared" si="19"/>
        <v>126.6</v>
      </c>
      <c r="J339" s="883"/>
      <c r="K339" s="883"/>
      <c r="L339" s="883"/>
      <c r="M339" s="883"/>
      <c r="N339" s="883"/>
      <c r="O339" s="883"/>
    </row>
    <row r="340" spans="2:15" s="835" customFormat="1" ht="12" customHeight="1">
      <c r="B340" s="882">
        <v>42978</v>
      </c>
      <c r="C340" s="880" t="s">
        <v>967</v>
      </c>
      <c r="D340" s="878">
        <v>409.95</v>
      </c>
      <c r="E340" s="879">
        <v>77</v>
      </c>
      <c r="F340" s="878"/>
      <c r="G340" s="878">
        <v>39.9</v>
      </c>
      <c r="H340" s="460"/>
      <c r="I340" s="878">
        <f t="shared" si="19"/>
        <v>293.05</v>
      </c>
      <c r="J340" s="878"/>
      <c r="K340" s="878"/>
      <c r="L340" s="878"/>
      <c r="M340" s="878"/>
      <c r="N340" s="878"/>
      <c r="O340" s="878"/>
    </row>
    <row r="341" spans="2:15" s="835" customFormat="1" ht="12" customHeight="1">
      <c r="B341" s="882">
        <v>42978</v>
      </c>
      <c r="C341" s="880" t="s">
        <v>969</v>
      </c>
      <c r="D341" s="878">
        <v>58</v>
      </c>
      <c r="E341" s="879"/>
      <c r="F341" s="878"/>
      <c r="G341" s="878"/>
      <c r="H341" s="460"/>
      <c r="I341" s="878">
        <f t="shared" si="19"/>
        <v>58</v>
      </c>
      <c r="J341" s="878"/>
      <c r="K341" s="878"/>
      <c r="L341" s="878"/>
      <c r="M341" s="878"/>
      <c r="N341" s="878"/>
      <c r="O341" s="878"/>
    </row>
    <row r="342" spans="2:15" s="835" customFormat="1" ht="12" customHeight="1">
      <c r="B342" s="882">
        <v>42978</v>
      </c>
      <c r="C342" s="880" t="s">
        <v>469</v>
      </c>
      <c r="D342" s="878">
        <v>132.85</v>
      </c>
      <c r="E342" s="879">
        <v>77</v>
      </c>
      <c r="F342" s="878"/>
      <c r="G342" s="878"/>
      <c r="H342" s="460"/>
      <c r="I342" s="878">
        <f t="shared" si="19"/>
        <v>55.849999999999994</v>
      </c>
      <c r="J342" s="878"/>
      <c r="K342" s="878"/>
      <c r="L342" s="878"/>
      <c r="M342" s="878"/>
      <c r="N342" s="878"/>
      <c r="O342" s="878"/>
    </row>
    <row r="343" spans="2:15" s="835" customFormat="1" ht="12" customHeight="1">
      <c r="B343" s="882">
        <v>42978</v>
      </c>
      <c r="C343" s="880" t="s">
        <v>469</v>
      </c>
      <c r="D343" s="878">
        <v>96</v>
      </c>
      <c r="E343" s="879"/>
      <c r="F343" s="878"/>
      <c r="G343" s="878"/>
      <c r="H343" s="460"/>
      <c r="I343" s="878">
        <f t="shared" si="19"/>
        <v>96</v>
      </c>
      <c r="J343" s="878"/>
      <c r="K343" s="878"/>
      <c r="L343" s="878"/>
      <c r="M343" s="878"/>
      <c r="N343" s="878"/>
      <c r="O343" s="878"/>
    </row>
    <row r="344" spans="2:15" s="835" customFormat="1" ht="12" customHeight="1">
      <c r="B344" s="881">
        <v>42978</v>
      </c>
      <c r="C344" s="880" t="s">
        <v>971</v>
      </c>
      <c r="D344" s="878">
        <v>40</v>
      </c>
      <c r="E344" s="879"/>
      <c r="F344" s="878"/>
      <c r="G344" s="878"/>
      <c r="H344" s="460">
        <v>102</v>
      </c>
      <c r="I344" s="878">
        <f t="shared" si="19"/>
        <v>40</v>
      </c>
      <c r="J344" s="878"/>
      <c r="K344" s="878"/>
      <c r="L344" s="878"/>
      <c r="M344" s="878"/>
      <c r="N344" s="878"/>
      <c r="O344" s="878"/>
    </row>
    <row r="345" spans="2:15" s="835" customFormat="1" ht="12" customHeight="1">
      <c r="B345" s="881">
        <v>42978</v>
      </c>
      <c r="C345" s="880" t="s">
        <v>967</v>
      </c>
      <c r="D345" s="878">
        <v>69.5</v>
      </c>
      <c r="E345" s="879"/>
      <c r="F345" s="878"/>
      <c r="G345" s="878">
        <v>48</v>
      </c>
      <c r="H345" s="460">
        <v>44.95</v>
      </c>
      <c r="I345" s="878">
        <f t="shared" si="19"/>
        <v>21.5</v>
      </c>
      <c r="J345" s="878"/>
      <c r="K345" s="878"/>
      <c r="L345" s="878"/>
      <c r="M345" s="878"/>
      <c r="N345" s="878"/>
      <c r="O345" s="878"/>
    </row>
    <row r="346" spans="2:15" s="835" customFormat="1" ht="12" customHeight="1">
      <c r="B346" s="881">
        <v>42979</v>
      </c>
      <c r="C346" s="880" t="s">
        <v>967</v>
      </c>
      <c r="D346" s="878">
        <v>159.19999999999999</v>
      </c>
      <c r="E346" s="879"/>
      <c r="F346" s="878"/>
      <c r="G346" s="878"/>
      <c r="H346" s="460"/>
      <c r="I346" s="878">
        <f t="shared" si="19"/>
        <v>159.19999999999999</v>
      </c>
      <c r="J346" s="878"/>
      <c r="K346" s="878"/>
      <c r="L346" s="878"/>
      <c r="M346" s="878"/>
      <c r="N346" s="878"/>
      <c r="O346" s="878"/>
    </row>
    <row r="347" spans="2:15" s="835" customFormat="1" ht="12" customHeight="1">
      <c r="B347" s="881">
        <v>42979</v>
      </c>
      <c r="C347" s="880" t="s">
        <v>722</v>
      </c>
      <c r="D347" s="878">
        <v>96.85</v>
      </c>
      <c r="E347" s="879">
        <v>77</v>
      </c>
      <c r="F347" s="878"/>
      <c r="G347" s="878"/>
      <c r="H347" s="460"/>
      <c r="I347" s="878">
        <f t="shared" si="19"/>
        <v>19.849999999999994</v>
      </c>
      <c r="J347" s="878"/>
      <c r="K347" s="878"/>
      <c r="L347" s="878"/>
      <c r="M347" s="878"/>
      <c r="N347" s="878"/>
      <c r="O347" s="878"/>
    </row>
    <row r="348" spans="2:15" s="835" customFormat="1" ht="12" customHeight="1">
      <c r="B348" s="881">
        <v>42979</v>
      </c>
      <c r="C348" s="880" t="s">
        <v>716</v>
      </c>
      <c r="D348" s="878">
        <v>649.9</v>
      </c>
      <c r="E348" s="879"/>
      <c r="F348" s="878"/>
      <c r="G348" s="878"/>
      <c r="H348" s="460"/>
      <c r="I348" s="878">
        <f t="shared" si="19"/>
        <v>649.9</v>
      </c>
      <c r="J348" s="878"/>
      <c r="K348" s="878"/>
      <c r="L348" s="878"/>
      <c r="M348" s="878"/>
      <c r="N348" s="878"/>
      <c r="O348" s="878"/>
    </row>
    <row r="349" spans="2:15" s="835" customFormat="1" ht="12" customHeight="1">
      <c r="B349" s="881">
        <v>42980</v>
      </c>
      <c r="C349" s="880" t="s">
        <v>970</v>
      </c>
      <c r="D349" s="878">
        <v>35</v>
      </c>
      <c r="E349" s="879"/>
      <c r="F349" s="878"/>
      <c r="G349" s="878">
        <v>15</v>
      </c>
      <c r="H349" s="460"/>
      <c r="I349" s="878">
        <f t="shared" si="19"/>
        <v>20</v>
      </c>
      <c r="J349" s="878"/>
      <c r="K349" s="878"/>
      <c r="L349" s="878"/>
      <c r="M349" s="878"/>
      <c r="N349" s="878"/>
      <c r="O349" s="878"/>
    </row>
    <row r="350" spans="2:15" s="835" customFormat="1" ht="12" customHeight="1">
      <c r="B350" s="881">
        <v>42983</v>
      </c>
      <c r="C350" s="880" t="s">
        <v>967</v>
      </c>
      <c r="D350" s="878">
        <v>53</v>
      </c>
      <c r="E350" s="879"/>
      <c r="F350" s="878"/>
      <c r="G350" s="878">
        <v>18</v>
      </c>
      <c r="H350" s="460"/>
      <c r="I350" s="878">
        <f t="shared" si="19"/>
        <v>35</v>
      </c>
      <c r="J350" s="878"/>
      <c r="K350" s="878"/>
      <c r="L350" s="878"/>
      <c r="M350" s="878"/>
      <c r="N350" s="878"/>
      <c r="O350" s="878"/>
    </row>
    <row r="351" spans="2:15" s="835" customFormat="1" ht="12" customHeight="1">
      <c r="B351" s="881">
        <v>42984</v>
      </c>
      <c r="C351" s="880" t="s">
        <v>722</v>
      </c>
      <c r="D351" s="878">
        <v>34</v>
      </c>
      <c r="E351" s="879"/>
      <c r="F351" s="878"/>
      <c r="G351" s="878"/>
      <c r="H351" s="460"/>
      <c r="I351" s="878">
        <f t="shared" si="19"/>
        <v>34</v>
      </c>
      <c r="J351" s="878"/>
      <c r="K351" s="878"/>
      <c r="L351" s="878"/>
      <c r="M351" s="878"/>
      <c r="N351" s="878"/>
      <c r="O351" s="878"/>
    </row>
    <row r="352" spans="2:15" s="835" customFormat="1" ht="12" customHeight="1">
      <c r="B352" s="881">
        <v>42984</v>
      </c>
      <c r="C352" s="880" t="s">
        <v>722</v>
      </c>
      <c r="D352" s="878">
        <v>36</v>
      </c>
      <c r="E352" s="879"/>
      <c r="F352" s="878"/>
      <c r="G352" s="878"/>
      <c r="H352" s="460"/>
      <c r="I352" s="878">
        <f t="shared" si="19"/>
        <v>36</v>
      </c>
      <c r="J352" s="878"/>
      <c r="K352" s="878"/>
      <c r="L352" s="878"/>
      <c r="M352" s="878"/>
      <c r="N352" s="878"/>
      <c r="O352" s="878"/>
    </row>
    <row r="353" spans="2:15" s="835" customFormat="1" ht="12" customHeight="1">
      <c r="B353" s="881">
        <v>42986</v>
      </c>
      <c r="C353" s="880" t="s">
        <v>297</v>
      </c>
      <c r="D353" s="878">
        <v>6</v>
      </c>
      <c r="E353" s="879"/>
      <c r="F353" s="878">
        <v>6</v>
      </c>
      <c r="G353" s="878"/>
      <c r="H353" s="460">
        <v>23.5</v>
      </c>
      <c r="I353" s="878">
        <f t="shared" si="19"/>
        <v>0</v>
      </c>
      <c r="J353" s="878"/>
      <c r="K353" s="878"/>
      <c r="L353" s="878"/>
      <c r="M353" s="878"/>
      <c r="N353" s="878"/>
      <c r="O353" s="878"/>
    </row>
    <row r="354" spans="2:15" s="835" customFormat="1" ht="12" customHeight="1">
      <c r="B354" s="881">
        <v>42986</v>
      </c>
      <c r="C354" s="880" t="s">
        <v>967</v>
      </c>
      <c r="D354" s="878">
        <v>44.7</v>
      </c>
      <c r="E354" s="879"/>
      <c r="F354" s="878"/>
      <c r="G354" s="878"/>
      <c r="H354" s="460"/>
      <c r="I354" s="878">
        <f t="shared" si="19"/>
        <v>44.7</v>
      </c>
      <c r="J354" s="878"/>
      <c r="K354" s="878"/>
      <c r="L354" s="878"/>
      <c r="M354" s="878"/>
      <c r="N354" s="878"/>
      <c r="O354" s="878"/>
    </row>
    <row r="355" spans="2:15" s="835" customFormat="1" ht="12" customHeight="1">
      <c r="B355" s="881">
        <v>42986</v>
      </c>
      <c r="C355" s="880" t="s">
        <v>39</v>
      </c>
      <c r="D355" s="878">
        <v>100.9</v>
      </c>
      <c r="E355" s="879"/>
      <c r="F355" s="878"/>
      <c r="G355" s="878">
        <v>68.45</v>
      </c>
      <c r="H355" s="460"/>
      <c r="I355" s="878">
        <f t="shared" si="19"/>
        <v>32.450000000000003</v>
      </c>
      <c r="J355" s="878"/>
      <c r="K355" s="878"/>
      <c r="L355" s="878"/>
      <c r="M355" s="878"/>
      <c r="N355" s="878"/>
      <c r="O355" s="878"/>
    </row>
    <row r="356" spans="2:15" s="835" customFormat="1" ht="12" customHeight="1">
      <c r="B356" s="881">
        <v>42986</v>
      </c>
      <c r="C356" s="880" t="s">
        <v>967</v>
      </c>
      <c r="D356" s="878">
        <v>38.950000000000003</v>
      </c>
      <c r="E356" s="879"/>
      <c r="F356" s="878"/>
      <c r="G356" s="878"/>
      <c r="H356" s="460">
        <v>23.5</v>
      </c>
      <c r="I356" s="878">
        <f t="shared" si="19"/>
        <v>38.950000000000003</v>
      </c>
      <c r="J356" s="878"/>
      <c r="K356" s="878"/>
      <c r="L356" s="878"/>
      <c r="M356" s="878"/>
      <c r="N356" s="878"/>
      <c r="O356" s="878"/>
    </row>
    <row r="357" spans="2:15" s="835" customFormat="1" ht="12" customHeight="1">
      <c r="B357" s="881">
        <v>42987</v>
      </c>
      <c r="C357" s="880" t="s">
        <v>469</v>
      </c>
      <c r="D357" s="878">
        <v>34.950000000000003</v>
      </c>
      <c r="E357" s="879"/>
      <c r="F357" s="878"/>
      <c r="G357" s="878"/>
      <c r="H357" s="460">
        <v>23.5</v>
      </c>
      <c r="I357" s="878">
        <f t="shared" si="19"/>
        <v>34.950000000000003</v>
      </c>
      <c r="J357" s="878"/>
      <c r="K357" s="878"/>
      <c r="L357" s="878"/>
      <c r="M357" s="878"/>
      <c r="N357" s="878"/>
      <c r="O357" s="878"/>
    </row>
    <row r="358" spans="2:15" s="835" customFormat="1" ht="12" customHeight="1">
      <c r="B358" s="881">
        <v>42990</v>
      </c>
      <c r="C358" s="880" t="s">
        <v>297</v>
      </c>
      <c r="D358" s="878">
        <v>232.55</v>
      </c>
      <c r="E358" s="879"/>
      <c r="F358" s="878">
        <v>232.55</v>
      </c>
      <c r="G358" s="878"/>
      <c r="H358" s="460"/>
      <c r="I358" s="878">
        <f t="shared" si="19"/>
        <v>0</v>
      </c>
      <c r="J358" s="878"/>
      <c r="K358" s="878"/>
      <c r="L358" s="878"/>
      <c r="M358" s="878"/>
      <c r="N358" s="878"/>
      <c r="O358" s="878"/>
    </row>
    <row r="359" spans="2:15" s="835" customFormat="1" ht="12" customHeight="1">
      <c r="B359" s="881">
        <v>42991</v>
      </c>
      <c r="C359" s="880" t="s">
        <v>967</v>
      </c>
      <c r="D359" s="878">
        <v>16</v>
      </c>
      <c r="E359" s="879"/>
      <c r="F359" s="878"/>
      <c r="G359" s="878"/>
      <c r="H359" s="460"/>
      <c r="I359" s="878">
        <f t="shared" si="19"/>
        <v>16</v>
      </c>
      <c r="J359" s="878"/>
      <c r="K359" s="878"/>
      <c r="L359" s="878"/>
      <c r="M359" s="878"/>
      <c r="N359" s="878"/>
      <c r="O359" s="878"/>
    </row>
    <row r="360" spans="2:15" s="835" customFormat="1" ht="12" customHeight="1">
      <c r="B360" s="881">
        <v>42993</v>
      </c>
      <c r="C360" s="880" t="s">
        <v>469</v>
      </c>
      <c r="D360" s="878">
        <v>8</v>
      </c>
      <c r="E360" s="879"/>
      <c r="F360" s="878"/>
      <c r="G360" s="878"/>
      <c r="H360" s="460"/>
      <c r="I360" s="878">
        <f t="shared" si="19"/>
        <v>8</v>
      </c>
      <c r="J360" s="878"/>
      <c r="K360" s="878"/>
      <c r="L360" s="878"/>
      <c r="M360" s="878"/>
      <c r="N360" s="878"/>
      <c r="O360" s="878"/>
    </row>
    <row r="361" spans="2:15" s="835" customFormat="1" ht="12" customHeight="1">
      <c r="B361" s="881">
        <v>42993</v>
      </c>
      <c r="C361" s="880" t="s">
        <v>967</v>
      </c>
      <c r="D361" s="878">
        <v>60.45</v>
      </c>
      <c r="E361" s="879"/>
      <c r="F361" s="878"/>
      <c r="G361" s="878"/>
      <c r="H361" s="460"/>
      <c r="I361" s="878">
        <f t="shared" si="19"/>
        <v>60.45</v>
      </c>
      <c r="J361" s="878"/>
      <c r="K361" s="878"/>
      <c r="L361" s="878"/>
      <c r="M361" s="878"/>
      <c r="N361" s="878"/>
      <c r="O361" s="878"/>
    </row>
    <row r="362" spans="2:15" s="835" customFormat="1" ht="12" customHeight="1">
      <c r="B362" s="881">
        <v>42994</v>
      </c>
      <c r="C362" s="880" t="s">
        <v>967</v>
      </c>
      <c r="D362" s="878">
        <v>9.5</v>
      </c>
      <c r="E362" s="879"/>
      <c r="F362" s="878"/>
      <c r="G362" s="878"/>
      <c r="H362" s="460"/>
      <c r="I362" s="878">
        <f t="shared" si="19"/>
        <v>9.5</v>
      </c>
      <c r="J362" s="878"/>
      <c r="K362" s="878"/>
      <c r="L362" s="878"/>
      <c r="M362" s="878"/>
      <c r="N362" s="878"/>
      <c r="O362" s="878"/>
    </row>
    <row r="363" spans="2:15" s="835" customFormat="1" ht="12" customHeight="1">
      <c r="B363" s="881">
        <v>42995</v>
      </c>
      <c r="C363" s="880" t="s">
        <v>469</v>
      </c>
      <c r="D363" s="878">
        <v>17.95</v>
      </c>
      <c r="E363" s="879"/>
      <c r="F363" s="878"/>
      <c r="G363" s="878"/>
      <c r="H363" s="460"/>
      <c r="I363" s="878">
        <f t="shared" si="19"/>
        <v>17.95</v>
      </c>
      <c r="J363" s="878"/>
      <c r="K363" s="878"/>
      <c r="L363" s="878"/>
      <c r="M363" s="878"/>
      <c r="N363" s="878"/>
      <c r="O363" s="878"/>
    </row>
    <row r="364" spans="2:15" s="835" customFormat="1" ht="12" customHeight="1">
      <c r="B364" s="881">
        <v>42996</v>
      </c>
      <c r="C364" s="880" t="s">
        <v>722</v>
      </c>
      <c r="D364" s="878">
        <v>17.5</v>
      </c>
      <c r="E364" s="879"/>
      <c r="F364" s="878"/>
      <c r="G364" s="878"/>
      <c r="H364" s="460"/>
      <c r="I364" s="878">
        <f t="shared" si="19"/>
        <v>17.5</v>
      </c>
      <c r="J364" s="878"/>
      <c r="K364" s="878"/>
      <c r="L364" s="878"/>
      <c r="M364" s="878"/>
      <c r="N364" s="878"/>
      <c r="O364" s="878"/>
    </row>
    <row r="365" spans="2:15" s="835" customFormat="1" ht="12" customHeight="1">
      <c r="B365" s="881">
        <v>42997</v>
      </c>
      <c r="C365" s="880" t="s">
        <v>967</v>
      </c>
      <c r="D365" s="878">
        <v>64.95</v>
      </c>
      <c r="E365" s="879"/>
      <c r="F365" s="878"/>
      <c r="G365" s="878"/>
      <c r="H365" s="460"/>
      <c r="I365" s="878">
        <f t="shared" si="19"/>
        <v>64.95</v>
      </c>
      <c r="J365" s="878"/>
      <c r="K365" s="878"/>
      <c r="L365" s="878"/>
      <c r="M365" s="878"/>
      <c r="N365" s="878"/>
      <c r="O365" s="878"/>
    </row>
    <row r="366" spans="2:15" s="835" customFormat="1" ht="12" customHeight="1">
      <c r="B366" s="881">
        <v>42967</v>
      </c>
      <c r="C366" s="880" t="s">
        <v>967</v>
      </c>
      <c r="D366" s="878">
        <v>28.5</v>
      </c>
      <c r="E366" s="879"/>
      <c r="F366" s="878"/>
      <c r="G366" s="878"/>
      <c r="H366" s="460"/>
      <c r="I366" s="878">
        <f t="shared" si="19"/>
        <v>28.5</v>
      </c>
      <c r="J366" s="878"/>
      <c r="K366" s="878"/>
      <c r="L366" s="878"/>
      <c r="M366" s="878"/>
      <c r="N366" s="878"/>
      <c r="O366" s="878"/>
    </row>
    <row r="367" spans="2:15" s="835" customFormat="1" ht="12" customHeight="1">
      <c r="B367" s="881">
        <v>43000</v>
      </c>
      <c r="C367" s="880" t="s">
        <v>39</v>
      </c>
      <c r="D367" s="878">
        <v>20</v>
      </c>
      <c r="E367" s="879"/>
      <c r="F367" s="878"/>
      <c r="G367" s="878"/>
      <c r="H367" s="460"/>
      <c r="I367" s="878">
        <f t="shared" si="19"/>
        <v>20</v>
      </c>
      <c r="J367" s="878"/>
      <c r="K367" s="878"/>
      <c r="L367" s="878"/>
      <c r="M367" s="878"/>
      <c r="N367" s="878"/>
      <c r="O367" s="878"/>
    </row>
    <row r="368" spans="2:15" s="835" customFormat="1" ht="12" customHeight="1">
      <c r="B368" s="881">
        <v>43000</v>
      </c>
      <c r="C368" s="880" t="s">
        <v>967</v>
      </c>
      <c r="D368" s="878">
        <v>35</v>
      </c>
      <c r="E368" s="879"/>
      <c r="F368" s="878"/>
      <c r="G368" s="878"/>
      <c r="H368" s="460"/>
      <c r="I368" s="878">
        <f t="shared" si="19"/>
        <v>35</v>
      </c>
      <c r="J368" s="878"/>
      <c r="K368" s="878"/>
      <c r="L368" s="878"/>
      <c r="M368" s="878"/>
      <c r="N368" s="878"/>
      <c r="O368" s="878"/>
    </row>
    <row r="369" spans="2:15" s="835" customFormat="1" ht="12" customHeight="1">
      <c r="B369" s="881">
        <v>43001</v>
      </c>
      <c r="C369" s="880" t="s">
        <v>967</v>
      </c>
      <c r="D369" s="878">
        <v>25.4</v>
      </c>
      <c r="E369" s="879"/>
      <c r="F369" s="878"/>
      <c r="G369" s="878"/>
      <c r="H369" s="878"/>
      <c r="I369" s="878">
        <f t="shared" si="19"/>
        <v>25.4</v>
      </c>
      <c r="J369" s="878"/>
      <c r="K369" s="878"/>
      <c r="L369" s="878"/>
      <c r="M369" s="878"/>
      <c r="N369" s="878"/>
      <c r="O369" s="878"/>
    </row>
    <row r="370" spans="2:15" s="835" customFormat="1" ht="12" customHeight="1">
      <c r="B370" s="881">
        <v>43004</v>
      </c>
      <c r="C370" s="880" t="s">
        <v>469</v>
      </c>
      <c r="D370" s="878">
        <v>24</v>
      </c>
      <c r="E370" s="879"/>
      <c r="F370" s="878"/>
      <c r="G370" s="878"/>
      <c r="H370" s="878"/>
      <c r="I370" s="878">
        <f t="shared" si="19"/>
        <v>24</v>
      </c>
      <c r="J370" s="878"/>
      <c r="K370" s="878"/>
      <c r="L370" s="878"/>
      <c r="M370" s="878"/>
      <c r="N370" s="878"/>
      <c r="O370" s="878"/>
    </row>
    <row r="371" spans="2:15" s="835" customFormat="1" ht="12" customHeight="1">
      <c r="B371" s="881">
        <v>43004</v>
      </c>
      <c r="C371" s="880" t="s">
        <v>967</v>
      </c>
      <c r="D371" s="878">
        <v>7.5</v>
      </c>
      <c r="E371" s="879"/>
      <c r="F371" s="878"/>
      <c r="G371" s="878"/>
      <c r="H371" s="878"/>
      <c r="I371" s="878">
        <f t="shared" si="19"/>
        <v>7.5</v>
      </c>
      <c r="J371" s="878"/>
      <c r="K371" s="878"/>
      <c r="L371" s="878"/>
      <c r="M371" s="878"/>
      <c r="N371" s="878"/>
      <c r="O371" s="878"/>
    </row>
    <row r="372" spans="2:15" s="835" customFormat="1" ht="12" customHeight="1">
      <c r="B372" s="881">
        <v>43005</v>
      </c>
      <c r="C372" s="880" t="s">
        <v>967</v>
      </c>
      <c r="D372" s="878">
        <v>63.2</v>
      </c>
      <c r="E372" s="879"/>
      <c r="F372" s="878"/>
      <c r="G372" s="878"/>
      <c r="H372" s="878"/>
      <c r="I372" s="878">
        <f t="shared" si="19"/>
        <v>63.2</v>
      </c>
      <c r="J372" s="878"/>
      <c r="K372" s="878"/>
      <c r="L372" s="878"/>
      <c r="M372" s="878"/>
      <c r="N372" s="878"/>
      <c r="O372" s="878"/>
    </row>
    <row r="373" spans="2:15" s="835" customFormat="1" ht="12" customHeight="1">
      <c r="B373" s="877">
        <v>43006</v>
      </c>
      <c r="C373" s="876" t="s">
        <v>967</v>
      </c>
      <c r="D373" s="874">
        <v>35</v>
      </c>
      <c r="E373" s="875"/>
      <c r="F373" s="874"/>
      <c r="G373" s="874"/>
      <c r="H373" s="874"/>
      <c r="I373" s="874">
        <f t="shared" si="19"/>
        <v>35</v>
      </c>
      <c r="J373" s="874"/>
      <c r="K373" s="874"/>
      <c r="L373" s="874"/>
      <c r="M373" s="874"/>
      <c r="N373" s="874"/>
      <c r="O373" s="874"/>
    </row>
    <row r="374" spans="2:15" s="835" customFormat="1" ht="12" customHeight="1">
      <c r="B374" s="873">
        <v>43007</v>
      </c>
      <c r="C374" s="872" t="s">
        <v>967</v>
      </c>
      <c r="D374" s="870">
        <f>134.25-23.95</f>
        <v>110.3</v>
      </c>
      <c r="E374" s="871">
        <v>77</v>
      </c>
      <c r="F374" s="870"/>
      <c r="G374" s="870"/>
      <c r="H374" s="687">
        <v>23.95</v>
      </c>
      <c r="I374" s="870">
        <f t="shared" si="19"/>
        <v>33.299999999999997</v>
      </c>
      <c r="J374" s="870"/>
      <c r="K374" s="870"/>
      <c r="L374" s="870"/>
      <c r="M374" s="870"/>
      <c r="N374" s="870"/>
      <c r="O374" s="870"/>
    </row>
    <row r="375" spans="2:15" s="835" customFormat="1" ht="12" customHeight="1">
      <c r="B375" s="869">
        <v>43007</v>
      </c>
      <c r="C375" s="868" t="s">
        <v>967</v>
      </c>
      <c r="D375" s="866">
        <v>320.7</v>
      </c>
      <c r="E375" s="867">
        <v>77</v>
      </c>
      <c r="F375" s="866"/>
      <c r="G375" s="866"/>
      <c r="H375" s="460"/>
      <c r="I375" s="866">
        <f t="shared" si="19"/>
        <v>243.7</v>
      </c>
      <c r="J375" s="866"/>
      <c r="K375" s="866"/>
      <c r="L375" s="866"/>
      <c r="M375" s="866"/>
      <c r="N375" s="866"/>
      <c r="O375" s="866"/>
    </row>
    <row r="376" spans="2:15" s="835" customFormat="1" ht="12" customHeight="1">
      <c r="B376" s="869">
        <v>43007</v>
      </c>
      <c r="C376" s="868" t="s">
        <v>469</v>
      </c>
      <c r="D376" s="866">
        <v>110.4</v>
      </c>
      <c r="E376" s="867"/>
      <c r="F376" s="866"/>
      <c r="G376" s="866"/>
      <c r="H376" s="460"/>
      <c r="I376" s="866">
        <f t="shared" si="19"/>
        <v>110.4</v>
      </c>
      <c r="J376" s="866"/>
      <c r="K376" s="866"/>
      <c r="L376" s="866"/>
      <c r="M376" s="866"/>
      <c r="N376" s="866"/>
      <c r="O376" s="866"/>
    </row>
    <row r="377" spans="2:15" s="835" customFormat="1" ht="12" customHeight="1">
      <c r="B377" s="869">
        <v>43009</v>
      </c>
      <c r="C377" s="868" t="s">
        <v>967</v>
      </c>
      <c r="D377" s="866">
        <v>233.1</v>
      </c>
      <c r="E377" s="867">
        <v>78</v>
      </c>
      <c r="F377" s="866"/>
      <c r="G377" s="866"/>
      <c r="H377" s="460">
        <v>23.95</v>
      </c>
      <c r="I377" s="866">
        <f t="shared" si="19"/>
        <v>155.1</v>
      </c>
      <c r="J377" s="866"/>
      <c r="K377" s="866"/>
      <c r="L377" s="866"/>
      <c r="M377" s="866"/>
      <c r="N377" s="866"/>
      <c r="O377" s="866"/>
    </row>
    <row r="378" spans="2:15" s="835" customFormat="1" ht="12" customHeight="1">
      <c r="B378" s="869">
        <v>43009</v>
      </c>
      <c r="C378" s="868" t="s">
        <v>216</v>
      </c>
      <c r="D378" s="866">
        <v>27.9</v>
      </c>
      <c r="E378" s="867"/>
      <c r="F378" s="866"/>
      <c r="G378" s="866"/>
      <c r="H378" s="866"/>
      <c r="I378" s="866">
        <f t="shared" si="19"/>
        <v>27.9</v>
      </c>
      <c r="J378" s="866"/>
      <c r="K378" s="866"/>
      <c r="L378" s="866"/>
      <c r="M378" s="866"/>
      <c r="N378" s="866"/>
      <c r="O378" s="866"/>
    </row>
    <row r="379" spans="2:15" s="835" customFormat="1" ht="12" customHeight="1">
      <c r="B379" s="869">
        <v>43009</v>
      </c>
      <c r="C379" s="868" t="s">
        <v>716</v>
      </c>
      <c r="D379" s="866">
        <v>399</v>
      </c>
      <c r="E379" s="867"/>
      <c r="F379" s="866"/>
      <c r="G379" s="866"/>
      <c r="H379" s="866"/>
      <c r="I379" s="866">
        <f t="shared" si="19"/>
        <v>399</v>
      </c>
      <c r="J379" s="866"/>
      <c r="K379" s="866"/>
      <c r="L379" s="866"/>
      <c r="M379" s="866"/>
      <c r="N379" s="866"/>
      <c r="O379" s="866"/>
    </row>
    <row r="380" spans="2:15" s="835" customFormat="1" ht="12" customHeight="1">
      <c r="B380" s="869">
        <v>43010</v>
      </c>
      <c r="C380" s="868" t="s">
        <v>968</v>
      </c>
      <c r="D380" s="866">
        <v>25</v>
      </c>
      <c r="E380" s="867"/>
      <c r="F380" s="866"/>
      <c r="G380" s="866"/>
      <c r="H380" s="866"/>
      <c r="I380" s="866">
        <f t="shared" si="19"/>
        <v>25</v>
      </c>
      <c r="J380" s="866"/>
      <c r="K380" s="866"/>
      <c r="L380" s="866"/>
      <c r="M380" s="866"/>
      <c r="N380" s="866"/>
      <c r="O380" s="866"/>
    </row>
    <row r="381" spans="2:15" s="835" customFormat="1" ht="12" customHeight="1">
      <c r="B381" s="869">
        <v>43010</v>
      </c>
      <c r="C381" s="868" t="s">
        <v>297</v>
      </c>
      <c r="D381" s="866">
        <v>90.5</v>
      </c>
      <c r="E381" s="867"/>
      <c r="F381" s="866">
        <v>90.5</v>
      </c>
      <c r="G381" s="866"/>
      <c r="H381" s="866"/>
      <c r="I381" s="866">
        <f t="shared" si="19"/>
        <v>0</v>
      </c>
      <c r="J381" s="866"/>
      <c r="K381" s="866"/>
      <c r="L381" s="866"/>
      <c r="M381" s="866"/>
      <c r="N381" s="866"/>
      <c r="O381" s="866"/>
    </row>
    <row r="382" spans="2:15" s="835" customFormat="1" ht="12" customHeight="1">
      <c r="B382" s="869">
        <v>43011</v>
      </c>
      <c r="C382" s="868" t="s">
        <v>297</v>
      </c>
      <c r="D382" s="866">
        <v>50.5</v>
      </c>
      <c r="E382" s="867"/>
      <c r="F382" s="866">
        <v>50.5</v>
      </c>
      <c r="G382" s="866"/>
      <c r="H382" s="866"/>
      <c r="I382" s="866">
        <f t="shared" si="19"/>
        <v>0</v>
      </c>
      <c r="J382" s="866"/>
      <c r="K382" s="866"/>
      <c r="L382" s="866"/>
      <c r="M382" s="866"/>
      <c r="N382" s="866"/>
      <c r="O382" s="866"/>
    </row>
    <row r="383" spans="2:15" s="835" customFormat="1" ht="12" customHeight="1">
      <c r="B383" s="869">
        <v>43011</v>
      </c>
      <c r="C383" s="868" t="s">
        <v>967</v>
      </c>
      <c r="D383" s="866">
        <v>40</v>
      </c>
      <c r="E383" s="867"/>
      <c r="F383" s="866"/>
      <c r="G383" s="866"/>
      <c r="H383" s="866"/>
      <c r="I383" s="866">
        <f t="shared" si="19"/>
        <v>40</v>
      </c>
      <c r="J383" s="866"/>
      <c r="K383" s="866"/>
      <c r="L383" s="866"/>
      <c r="M383" s="866"/>
      <c r="N383" s="866"/>
      <c r="O383" s="866"/>
    </row>
    <row r="384" spans="2:15" s="835" customFormat="1" ht="12" customHeight="1">
      <c r="B384" s="869">
        <v>43012</v>
      </c>
      <c r="C384" s="868" t="s">
        <v>967</v>
      </c>
      <c r="D384" s="866">
        <v>46.5</v>
      </c>
      <c r="E384" s="867"/>
      <c r="F384" s="866"/>
      <c r="G384" s="866"/>
      <c r="H384" s="866"/>
      <c r="I384" s="866">
        <f t="shared" si="19"/>
        <v>46.5</v>
      </c>
      <c r="J384" s="866"/>
      <c r="K384" s="866"/>
      <c r="L384" s="866"/>
      <c r="M384" s="866"/>
      <c r="N384" s="866"/>
      <c r="O384" s="866"/>
    </row>
    <row r="385" spans="2:15" s="835" customFormat="1" ht="12" customHeight="1">
      <c r="B385" s="869">
        <v>43012</v>
      </c>
      <c r="C385" s="868" t="s">
        <v>469</v>
      </c>
      <c r="D385" s="866">
        <v>48.85</v>
      </c>
      <c r="E385" s="867"/>
      <c r="F385" s="866">
        <v>102.3</v>
      </c>
      <c r="G385" s="866"/>
      <c r="H385" s="866"/>
      <c r="I385" s="866">
        <f t="shared" si="19"/>
        <v>-53.449999999999996</v>
      </c>
      <c r="J385" s="866"/>
      <c r="K385" s="866"/>
      <c r="L385" s="866"/>
      <c r="M385" s="866"/>
      <c r="N385" s="866"/>
      <c r="O385" s="866"/>
    </row>
    <row r="386" spans="2:15" s="835" customFormat="1" ht="12" customHeight="1">
      <c r="B386" s="869">
        <v>43012</v>
      </c>
      <c r="C386" s="868" t="s">
        <v>297</v>
      </c>
      <c r="D386" s="866">
        <v>102.3</v>
      </c>
      <c r="E386" s="867"/>
      <c r="F386" s="866"/>
      <c r="G386" s="866"/>
      <c r="H386" s="866"/>
      <c r="I386" s="866">
        <f t="shared" si="19"/>
        <v>102.3</v>
      </c>
      <c r="J386" s="866"/>
      <c r="K386" s="866"/>
      <c r="L386" s="866"/>
      <c r="M386" s="866"/>
      <c r="N386" s="866"/>
      <c r="O386" s="866"/>
    </row>
    <row r="387" spans="2:15" s="835" customFormat="1" ht="12" customHeight="1">
      <c r="B387" s="869">
        <v>43012</v>
      </c>
      <c r="C387" s="868" t="s">
        <v>297</v>
      </c>
      <c r="D387" s="866">
        <v>225</v>
      </c>
      <c r="E387" s="867"/>
      <c r="F387" s="866">
        <v>225</v>
      </c>
      <c r="G387" s="866"/>
      <c r="H387" s="866"/>
      <c r="I387" s="866">
        <f t="shared" si="19"/>
        <v>0</v>
      </c>
      <c r="J387" s="866"/>
      <c r="K387" s="866"/>
      <c r="L387" s="866"/>
      <c r="M387" s="866"/>
      <c r="N387" s="866"/>
      <c r="O387" s="866"/>
    </row>
    <row r="388" spans="2:15" s="835" customFormat="1" ht="12" customHeight="1">
      <c r="B388" s="869">
        <v>43012</v>
      </c>
      <c r="C388" s="868" t="s">
        <v>40</v>
      </c>
      <c r="D388" s="866">
        <v>45</v>
      </c>
      <c r="E388" s="867"/>
      <c r="F388" s="866"/>
      <c r="G388" s="866"/>
      <c r="H388" s="866"/>
      <c r="I388" s="866">
        <f t="shared" si="19"/>
        <v>45</v>
      </c>
      <c r="J388" s="866"/>
      <c r="K388" s="866"/>
      <c r="L388" s="866"/>
      <c r="M388" s="866"/>
      <c r="N388" s="866"/>
      <c r="O388" s="866"/>
    </row>
    <row r="389" spans="2:15" s="835" customFormat="1" ht="12" customHeight="1">
      <c r="B389" s="869">
        <v>43014</v>
      </c>
      <c r="C389" s="868" t="s">
        <v>967</v>
      </c>
      <c r="D389" s="866">
        <v>17.5</v>
      </c>
      <c r="E389" s="867"/>
      <c r="F389" s="866"/>
      <c r="G389" s="866"/>
      <c r="H389" s="866"/>
      <c r="I389" s="866">
        <f t="shared" si="19"/>
        <v>17.5</v>
      </c>
      <c r="J389" s="866"/>
      <c r="K389" s="866"/>
      <c r="L389" s="866"/>
      <c r="M389" s="866"/>
      <c r="N389" s="866"/>
      <c r="O389" s="866"/>
    </row>
    <row r="390" spans="2:15" s="835" customFormat="1" ht="12" customHeight="1">
      <c r="B390" s="869">
        <v>43015</v>
      </c>
      <c r="C390" s="868" t="s">
        <v>722</v>
      </c>
      <c r="D390" s="866">
        <v>46.9</v>
      </c>
      <c r="E390" s="867"/>
      <c r="F390" s="866"/>
      <c r="G390" s="866"/>
      <c r="H390" s="866">
        <v>14.95</v>
      </c>
      <c r="I390" s="866">
        <f t="shared" si="19"/>
        <v>46.9</v>
      </c>
      <c r="J390" s="866"/>
      <c r="K390" s="866"/>
      <c r="L390" s="866"/>
      <c r="M390" s="866"/>
      <c r="N390" s="866"/>
      <c r="O390" s="866"/>
    </row>
    <row r="391" spans="2:15" s="835" customFormat="1" ht="12" customHeight="1">
      <c r="B391" s="869">
        <v>43017</v>
      </c>
      <c r="C391" s="868" t="s">
        <v>722</v>
      </c>
      <c r="D391" s="866">
        <v>50.95</v>
      </c>
      <c r="E391" s="867"/>
      <c r="F391" s="866"/>
      <c r="G391" s="866"/>
      <c r="H391" s="866"/>
      <c r="I391" s="866">
        <f t="shared" si="19"/>
        <v>50.95</v>
      </c>
      <c r="J391" s="866"/>
      <c r="K391" s="866"/>
      <c r="L391" s="866"/>
      <c r="M391" s="866"/>
      <c r="N391" s="866"/>
      <c r="O391" s="866"/>
    </row>
    <row r="392" spans="2:15" s="835" customFormat="1" ht="12" customHeight="1">
      <c r="B392" s="869">
        <v>43017</v>
      </c>
      <c r="C392" s="868" t="s">
        <v>967</v>
      </c>
      <c r="D392" s="866">
        <v>-25</v>
      </c>
      <c r="E392" s="867"/>
      <c r="F392" s="866"/>
      <c r="G392" s="866"/>
      <c r="H392" s="866"/>
      <c r="I392" s="866">
        <f t="shared" si="19"/>
        <v>-25</v>
      </c>
      <c r="J392" s="866"/>
      <c r="K392" s="866"/>
      <c r="L392" s="866"/>
      <c r="M392" s="866"/>
      <c r="N392" s="866"/>
      <c r="O392" s="866"/>
    </row>
    <row r="393" spans="2:15" s="835" customFormat="1" ht="12" customHeight="1">
      <c r="B393" s="869">
        <v>43018</v>
      </c>
      <c r="C393" s="868" t="s">
        <v>722</v>
      </c>
      <c r="D393" s="866">
        <v>33.9</v>
      </c>
      <c r="E393" s="867"/>
      <c r="F393" s="866"/>
      <c r="G393" s="866"/>
      <c r="H393" s="866"/>
      <c r="I393" s="866">
        <f t="shared" si="19"/>
        <v>33.9</v>
      </c>
      <c r="J393" s="866"/>
      <c r="K393" s="866"/>
      <c r="L393" s="866"/>
      <c r="M393" s="866"/>
      <c r="N393" s="866"/>
      <c r="O393" s="866"/>
    </row>
    <row r="394" spans="2:15" s="835" customFormat="1" ht="12" customHeight="1">
      <c r="B394" s="869">
        <v>43019</v>
      </c>
      <c r="C394" s="868" t="s">
        <v>967</v>
      </c>
      <c r="D394" s="866">
        <v>60.2</v>
      </c>
      <c r="E394" s="867"/>
      <c r="F394" s="866"/>
      <c r="G394" s="866"/>
      <c r="H394" s="866"/>
      <c r="I394" s="866">
        <f t="shared" si="19"/>
        <v>60.2</v>
      </c>
      <c r="J394" s="866"/>
      <c r="K394" s="866"/>
      <c r="L394" s="866"/>
      <c r="M394" s="866"/>
      <c r="N394" s="866"/>
      <c r="O394" s="866"/>
    </row>
    <row r="395" spans="2:15" s="835" customFormat="1" ht="12" customHeight="1">
      <c r="B395" s="869">
        <v>43019</v>
      </c>
      <c r="C395" s="868" t="s">
        <v>469</v>
      </c>
      <c r="D395" s="866">
        <v>36</v>
      </c>
      <c r="E395" s="867"/>
      <c r="F395" s="866"/>
      <c r="G395" s="866"/>
      <c r="H395" s="866"/>
      <c r="I395" s="866">
        <f t="shared" si="19"/>
        <v>36</v>
      </c>
      <c r="J395" s="866"/>
      <c r="K395" s="866"/>
      <c r="L395" s="866"/>
      <c r="M395" s="866"/>
      <c r="N395" s="866"/>
      <c r="O395" s="866"/>
    </row>
    <row r="396" spans="2:15" s="835" customFormat="1" ht="12" customHeight="1">
      <c r="B396" s="869">
        <v>43021</v>
      </c>
      <c r="C396" s="868" t="s">
        <v>722</v>
      </c>
      <c r="D396" s="866">
        <v>16</v>
      </c>
      <c r="E396" s="867"/>
      <c r="F396" s="866"/>
      <c r="G396" s="866"/>
      <c r="H396" s="866"/>
      <c r="I396" s="866">
        <f t="shared" si="19"/>
        <v>16</v>
      </c>
      <c r="J396" s="866"/>
      <c r="K396" s="866"/>
      <c r="L396" s="866"/>
      <c r="M396" s="866"/>
      <c r="N396" s="866"/>
      <c r="O396" s="866"/>
    </row>
    <row r="397" spans="2:15" s="835" customFormat="1" ht="12" customHeight="1">
      <c r="B397" s="869">
        <v>43022</v>
      </c>
      <c r="C397" s="868" t="s">
        <v>297</v>
      </c>
      <c r="D397" s="866">
        <v>95</v>
      </c>
      <c r="E397" s="867"/>
      <c r="F397" s="866">
        <v>95</v>
      </c>
      <c r="G397" s="866"/>
      <c r="H397" s="866"/>
      <c r="I397" s="866">
        <f t="shared" si="19"/>
        <v>0</v>
      </c>
      <c r="J397" s="866"/>
      <c r="K397" s="866"/>
      <c r="L397" s="866"/>
      <c r="M397" s="866"/>
      <c r="N397" s="866"/>
      <c r="O397" s="866"/>
    </row>
    <row r="398" spans="2:15" s="835" customFormat="1" ht="12" customHeight="1">
      <c r="B398" s="869">
        <v>43022</v>
      </c>
      <c r="C398" s="868" t="s">
        <v>967</v>
      </c>
      <c r="D398" s="866">
        <v>24.45</v>
      </c>
      <c r="E398" s="867"/>
      <c r="F398" s="866"/>
      <c r="G398" s="866"/>
      <c r="H398" s="866"/>
      <c r="I398" s="866">
        <f t="shared" si="19"/>
        <v>24.45</v>
      </c>
      <c r="J398" s="866"/>
      <c r="K398" s="866"/>
      <c r="L398" s="866"/>
      <c r="M398" s="866"/>
      <c r="N398" s="866"/>
      <c r="O398" s="866"/>
    </row>
    <row r="399" spans="2:15" s="835" customFormat="1" ht="12" customHeight="1">
      <c r="B399" s="869">
        <v>43024</v>
      </c>
      <c r="C399" s="868" t="s">
        <v>722</v>
      </c>
      <c r="D399" s="866">
        <v>54.4</v>
      </c>
      <c r="E399" s="867"/>
      <c r="F399" s="866"/>
      <c r="G399" s="866"/>
      <c r="H399" s="866"/>
      <c r="I399" s="866">
        <f t="shared" si="19"/>
        <v>54.4</v>
      </c>
      <c r="J399" s="866"/>
      <c r="K399" s="866"/>
      <c r="L399" s="866"/>
      <c r="M399" s="866"/>
      <c r="N399" s="866"/>
      <c r="O399" s="866"/>
    </row>
    <row r="400" spans="2:15" s="835" customFormat="1" ht="12" customHeight="1">
      <c r="B400" s="869">
        <v>43025</v>
      </c>
      <c r="C400" s="868" t="s">
        <v>469</v>
      </c>
      <c r="D400" s="866">
        <v>89</v>
      </c>
      <c r="E400" s="867"/>
      <c r="F400" s="866"/>
      <c r="G400" s="866"/>
      <c r="H400" s="866"/>
      <c r="I400" s="866">
        <f t="shared" ref="I400:I463" si="20">D400-E400-F400-G400</f>
        <v>89</v>
      </c>
      <c r="J400" s="866"/>
      <c r="K400" s="866"/>
      <c r="L400" s="866"/>
      <c r="M400" s="866"/>
      <c r="N400" s="866"/>
      <c r="O400" s="866"/>
    </row>
    <row r="401" spans="1:15" ht="12" customHeight="1">
      <c r="B401" s="869">
        <v>43026</v>
      </c>
      <c r="C401" s="868" t="s">
        <v>967</v>
      </c>
      <c r="D401" s="866">
        <v>16</v>
      </c>
      <c r="E401" s="867"/>
      <c r="F401" s="866"/>
      <c r="G401" s="866"/>
      <c r="H401" s="866"/>
      <c r="I401" s="866">
        <f t="shared" si="20"/>
        <v>16</v>
      </c>
      <c r="J401" s="866"/>
      <c r="K401" s="866"/>
      <c r="L401" s="866"/>
      <c r="M401" s="866"/>
      <c r="N401" s="866"/>
      <c r="O401" s="866"/>
    </row>
    <row r="402" spans="1:15" ht="12" customHeight="1">
      <c r="B402" s="869">
        <v>43027</v>
      </c>
      <c r="C402" s="868" t="s">
        <v>967</v>
      </c>
      <c r="D402" s="866">
        <v>111</v>
      </c>
      <c r="E402" s="867">
        <v>78</v>
      </c>
      <c r="F402" s="866"/>
      <c r="G402" s="866"/>
      <c r="H402" s="866"/>
      <c r="I402" s="866">
        <f t="shared" si="20"/>
        <v>33</v>
      </c>
      <c r="J402" s="866"/>
      <c r="K402" s="866"/>
      <c r="L402" s="866"/>
      <c r="M402" s="866"/>
      <c r="N402" s="866"/>
      <c r="O402" s="866"/>
    </row>
    <row r="403" spans="1:15" ht="12" customHeight="1">
      <c r="B403" s="869">
        <v>43028</v>
      </c>
      <c r="C403" s="868" t="s">
        <v>967</v>
      </c>
      <c r="D403" s="866">
        <v>8</v>
      </c>
      <c r="E403" s="867"/>
      <c r="F403" s="866"/>
      <c r="G403" s="866"/>
      <c r="H403" s="866"/>
      <c r="I403" s="866">
        <f t="shared" si="20"/>
        <v>8</v>
      </c>
      <c r="J403" s="866"/>
      <c r="K403" s="866"/>
      <c r="L403" s="866"/>
      <c r="M403" s="866"/>
      <c r="N403" s="866"/>
      <c r="O403" s="866"/>
    </row>
    <row r="404" spans="1:15" ht="12" customHeight="1">
      <c r="B404" s="869">
        <v>43030</v>
      </c>
      <c r="C404" s="868" t="s">
        <v>969</v>
      </c>
      <c r="D404" s="866">
        <v>8</v>
      </c>
      <c r="E404" s="867"/>
      <c r="F404" s="866"/>
      <c r="G404" s="866"/>
      <c r="H404" s="866"/>
      <c r="I404" s="866">
        <f t="shared" si="20"/>
        <v>8</v>
      </c>
      <c r="J404" s="866"/>
      <c r="K404" s="866"/>
      <c r="L404" s="866"/>
      <c r="M404" s="866"/>
      <c r="N404" s="866"/>
      <c r="O404" s="866"/>
    </row>
    <row r="405" spans="1:15" ht="12" customHeight="1">
      <c r="B405" s="869">
        <v>43030</v>
      </c>
      <c r="C405" s="868" t="s">
        <v>469</v>
      </c>
      <c r="D405" s="866">
        <v>29.95</v>
      </c>
      <c r="E405" s="867"/>
      <c r="F405" s="866"/>
      <c r="G405" s="866"/>
      <c r="H405" s="866"/>
      <c r="I405" s="866">
        <f t="shared" si="20"/>
        <v>29.95</v>
      </c>
      <c r="J405" s="866"/>
      <c r="K405" s="866"/>
      <c r="L405" s="866"/>
      <c r="M405" s="866"/>
      <c r="N405" s="866"/>
      <c r="O405" s="866"/>
    </row>
    <row r="406" spans="1:15" ht="12" customHeight="1">
      <c r="B406" s="869">
        <v>43031</v>
      </c>
      <c r="C406" s="868" t="s">
        <v>722</v>
      </c>
      <c r="D406" s="866">
        <v>40.450000000000003</v>
      </c>
      <c r="E406" s="867"/>
      <c r="F406" s="866"/>
      <c r="G406" s="866"/>
      <c r="H406" s="866"/>
      <c r="I406" s="866">
        <f t="shared" si="20"/>
        <v>40.450000000000003</v>
      </c>
      <c r="J406" s="866"/>
      <c r="K406" s="866"/>
      <c r="L406" s="866"/>
      <c r="M406" s="866"/>
      <c r="N406" s="866"/>
      <c r="O406" s="866"/>
    </row>
    <row r="407" spans="1:15" ht="12" customHeight="1">
      <c r="B407" s="869">
        <v>43032</v>
      </c>
      <c r="C407" s="868" t="s">
        <v>969</v>
      </c>
      <c r="D407" s="866">
        <v>64.95</v>
      </c>
      <c r="E407" s="867"/>
      <c r="F407" s="866"/>
      <c r="G407" s="866"/>
      <c r="H407" s="866"/>
      <c r="I407" s="866">
        <f t="shared" si="20"/>
        <v>64.95</v>
      </c>
      <c r="J407" s="866"/>
      <c r="K407" s="866"/>
      <c r="L407" s="866"/>
      <c r="M407" s="866"/>
      <c r="N407" s="866"/>
      <c r="O407" s="866"/>
    </row>
    <row r="408" spans="1:15" ht="12" customHeight="1">
      <c r="B408" s="869">
        <v>43032</v>
      </c>
      <c r="C408" s="868" t="s">
        <v>39</v>
      </c>
      <c r="D408" s="866">
        <v>44.5</v>
      </c>
      <c r="E408" s="867"/>
      <c r="F408" s="866"/>
      <c r="G408" s="866"/>
      <c r="H408" s="866"/>
      <c r="I408" s="866">
        <f t="shared" si="20"/>
        <v>44.5</v>
      </c>
      <c r="J408" s="866"/>
      <c r="K408" s="866"/>
      <c r="L408" s="866"/>
      <c r="M408" s="866"/>
      <c r="N408" s="866"/>
      <c r="O408" s="866"/>
    </row>
    <row r="409" spans="1:15" ht="12" customHeight="1">
      <c r="B409" s="869">
        <v>43033</v>
      </c>
      <c r="C409" s="868" t="s">
        <v>967</v>
      </c>
      <c r="D409" s="866">
        <v>151.1</v>
      </c>
      <c r="E409" s="867"/>
      <c r="F409" s="866"/>
      <c r="G409" s="866"/>
      <c r="H409" s="866"/>
      <c r="I409" s="866">
        <f t="shared" si="20"/>
        <v>151.1</v>
      </c>
      <c r="J409" s="866"/>
      <c r="K409" s="866"/>
      <c r="L409" s="866"/>
      <c r="M409" s="866"/>
      <c r="N409" s="866"/>
      <c r="O409" s="866"/>
    </row>
    <row r="410" spans="1:15" ht="12" customHeight="1">
      <c r="B410" s="869">
        <v>43033</v>
      </c>
      <c r="C410" s="868" t="s">
        <v>968</v>
      </c>
      <c r="D410" s="866">
        <v>169.95</v>
      </c>
      <c r="E410" s="867"/>
      <c r="F410" s="866"/>
      <c r="G410" s="866"/>
      <c r="H410" s="866"/>
      <c r="I410" s="866">
        <f t="shared" si="20"/>
        <v>169.95</v>
      </c>
      <c r="J410" s="866"/>
      <c r="K410" s="866"/>
      <c r="L410" s="866"/>
      <c r="M410" s="866"/>
      <c r="N410" s="866"/>
      <c r="O410" s="866"/>
    </row>
    <row r="411" spans="1:15" ht="12" customHeight="1">
      <c r="B411" s="869">
        <v>43034</v>
      </c>
      <c r="C411" s="868" t="s">
        <v>39</v>
      </c>
      <c r="D411" s="866">
        <v>79.75</v>
      </c>
      <c r="E411" s="867"/>
      <c r="F411" s="866"/>
      <c r="G411" s="866">
        <v>64.75</v>
      </c>
      <c r="H411" s="866"/>
      <c r="I411" s="866">
        <f t="shared" si="20"/>
        <v>15</v>
      </c>
      <c r="J411" s="866"/>
      <c r="K411" s="866"/>
      <c r="L411" s="866"/>
      <c r="M411" s="866"/>
      <c r="N411" s="866"/>
      <c r="O411" s="866"/>
    </row>
    <row r="412" spans="1:15" ht="12" customHeight="1">
      <c r="B412" s="869">
        <v>43037</v>
      </c>
      <c r="C412" s="868" t="s">
        <v>967</v>
      </c>
      <c r="D412" s="866">
        <v>121.3</v>
      </c>
      <c r="E412" s="867"/>
      <c r="F412" s="866"/>
      <c r="G412" s="866">
        <v>44.95</v>
      </c>
      <c r="H412" s="866"/>
      <c r="I412" s="866">
        <f t="shared" si="20"/>
        <v>76.349999999999994</v>
      </c>
      <c r="J412" s="866"/>
      <c r="K412" s="866"/>
      <c r="L412" s="866"/>
      <c r="M412" s="866"/>
      <c r="N412" s="866"/>
      <c r="O412" s="866"/>
    </row>
    <row r="413" spans="1:15" s="843" customFormat="1" ht="12" customHeight="1">
      <c r="A413" s="670"/>
      <c r="B413" s="865">
        <v>43039</v>
      </c>
      <c r="C413" s="864" t="s">
        <v>967</v>
      </c>
      <c r="D413" s="861">
        <v>186.95</v>
      </c>
      <c r="E413" s="863">
        <v>78</v>
      </c>
      <c r="F413" s="861"/>
      <c r="G413" s="861"/>
      <c r="H413" s="862"/>
      <c r="I413" s="862">
        <f t="shared" si="20"/>
        <v>108.94999999999999</v>
      </c>
      <c r="J413" s="861"/>
      <c r="K413" s="861"/>
      <c r="L413" s="861"/>
      <c r="M413" s="861"/>
      <c r="N413" s="861"/>
      <c r="O413" s="861"/>
    </row>
    <row r="414" spans="1:15" s="843" customFormat="1" ht="12" customHeight="1">
      <c r="A414" s="670"/>
      <c r="B414" s="860">
        <v>43039</v>
      </c>
      <c r="C414" s="859" t="s">
        <v>297</v>
      </c>
      <c r="D414" s="856">
        <v>210.25</v>
      </c>
      <c r="E414" s="858"/>
      <c r="F414" s="856">
        <v>210.25</v>
      </c>
      <c r="G414" s="856"/>
      <c r="H414" s="856"/>
      <c r="I414" s="856">
        <f t="shared" si="20"/>
        <v>0</v>
      </c>
      <c r="J414" s="856"/>
      <c r="K414" s="856"/>
      <c r="L414" s="856"/>
      <c r="M414" s="856"/>
      <c r="N414" s="856"/>
      <c r="O414" s="856"/>
    </row>
    <row r="415" spans="1:15" s="843" customFormat="1" ht="12" customHeight="1">
      <c r="A415" s="670"/>
      <c r="B415" s="860">
        <v>43039</v>
      </c>
      <c r="C415" s="859" t="s">
        <v>39</v>
      </c>
      <c r="D415" s="856">
        <v>266.75</v>
      </c>
      <c r="E415" s="858">
        <v>78</v>
      </c>
      <c r="F415" s="856"/>
      <c r="G415" s="856">
        <v>93.75</v>
      </c>
      <c r="H415" s="856"/>
      <c r="I415" s="856">
        <f t="shared" si="20"/>
        <v>95</v>
      </c>
      <c r="J415" s="856"/>
      <c r="K415" s="856"/>
      <c r="L415" s="856"/>
      <c r="M415" s="856"/>
      <c r="N415" s="856"/>
      <c r="O415" s="856"/>
    </row>
    <row r="416" spans="1:15" s="843" customFormat="1" ht="12" customHeight="1">
      <c r="A416" s="670"/>
      <c r="B416" s="860">
        <v>43039</v>
      </c>
      <c r="C416" s="859" t="s">
        <v>967</v>
      </c>
      <c r="D416" s="856">
        <v>230.9</v>
      </c>
      <c r="E416" s="858">
        <v>78</v>
      </c>
      <c r="F416" s="856"/>
      <c r="G416" s="856">
        <v>35.450000000000003</v>
      </c>
      <c r="H416" s="856"/>
      <c r="I416" s="856">
        <f t="shared" si="20"/>
        <v>117.45</v>
      </c>
      <c r="J416" s="856"/>
      <c r="K416" s="856"/>
      <c r="L416" s="856"/>
      <c r="M416" s="856"/>
      <c r="N416" s="856"/>
      <c r="O416" s="856"/>
    </row>
    <row r="417" spans="1:15" s="843" customFormat="1" ht="12" customHeight="1">
      <c r="A417" s="670"/>
      <c r="B417" s="860">
        <v>43039</v>
      </c>
      <c r="C417" s="859" t="s">
        <v>716</v>
      </c>
      <c r="D417" s="856">
        <v>263</v>
      </c>
      <c r="E417" s="858"/>
      <c r="F417" s="856"/>
      <c r="G417" s="856"/>
      <c r="H417" s="856"/>
      <c r="I417" s="856">
        <f t="shared" si="20"/>
        <v>263</v>
      </c>
      <c r="J417" s="856"/>
      <c r="K417" s="856"/>
      <c r="L417" s="856"/>
      <c r="M417" s="856"/>
      <c r="N417" s="856"/>
      <c r="O417" s="856"/>
    </row>
    <row r="418" spans="1:15" s="843" customFormat="1" ht="12" customHeight="1">
      <c r="A418" s="670"/>
      <c r="B418" s="860">
        <v>43039</v>
      </c>
      <c r="C418" s="859" t="s">
        <v>722</v>
      </c>
      <c r="D418" s="856">
        <v>220</v>
      </c>
      <c r="E418" s="858"/>
      <c r="F418" s="856"/>
      <c r="G418" s="856">
        <v>220</v>
      </c>
      <c r="H418" s="856"/>
      <c r="I418" s="856">
        <f t="shared" si="20"/>
        <v>0</v>
      </c>
      <c r="J418" s="856"/>
      <c r="K418" s="856"/>
      <c r="L418" s="856"/>
      <c r="M418" s="856"/>
      <c r="N418" s="856"/>
      <c r="O418" s="856"/>
    </row>
    <row r="419" spans="1:15" s="843" customFormat="1" ht="12" customHeight="1">
      <c r="A419" s="670"/>
      <c r="B419" s="860">
        <v>43040</v>
      </c>
      <c r="C419" s="859" t="s">
        <v>722</v>
      </c>
      <c r="D419" s="856">
        <v>173.45</v>
      </c>
      <c r="E419" s="858">
        <v>78</v>
      </c>
      <c r="F419" s="856"/>
      <c r="G419" s="856">
        <v>53</v>
      </c>
      <c r="H419" s="856"/>
      <c r="I419" s="856">
        <f t="shared" si="20"/>
        <v>42.449999999999989</v>
      </c>
      <c r="J419" s="856"/>
      <c r="K419" s="856"/>
      <c r="L419" s="856"/>
      <c r="M419" s="856"/>
      <c r="N419" s="856"/>
      <c r="O419" s="856"/>
    </row>
    <row r="420" spans="1:15" s="843" customFormat="1" ht="12" customHeight="1">
      <c r="A420" s="670"/>
      <c r="B420" s="860">
        <v>43040</v>
      </c>
      <c r="C420" s="859" t="s">
        <v>967</v>
      </c>
      <c r="D420" s="856">
        <v>78</v>
      </c>
      <c r="E420" s="858">
        <v>78</v>
      </c>
      <c r="F420" s="856"/>
      <c r="G420" s="856"/>
      <c r="H420" s="856"/>
      <c r="I420" s="856">
        <f t="shared" si="20"/>
        <v>0</v>
      </c>
      <c r="J420" s="856"/>
      <c r="K420" s="856"/>
      <c r="L420" s="856"/>
      <c r="M420" s="856"/>
      <c r="N420" s="856"/>
      <c r="O420" s="856"/>
    </row>
    <row r="421" spans="1:15" s="843" customFormat="1" ht="12" customHeight="1">
      <c r="A421" s="670"/>
      <c r="B421" s="860">
        <v>43041</v>
      </c>
      <c r="C421" s="859" t="s">
        <v>967</v>
      </c>
      <c r="D421" s="856">
        <v>213.6</v>
      </c>
      <c r="E421" s="858"/>
      <c r="F421" s="856"/>
      <c r="G421" s="856"/>
      <c r="H421" s="856"/>
      <c r="I421" s="856">
        <f t="shared" si="20"/>
        <v>213.6</v>
      </c>
      <c r="J421" s="856"/>
      <c r="K421" s="856"/>
      <c r="L421" s="856"/>
      <c r="M421" s="856"/>
      <c r="N421" s="856"/>
      <c r="O421" s="856"/>
    </row>
    <row r="422" spans="1:15" s="843" customFormat="1" ht="12" customHeight="1">
      <c r="A422" s="670"/>
      <c r="B422" s="860">
        <v>43041</v>
      </c>
      <c r="C422" s="859" t="s">
        <v>39</v>
      </c>
      <c r="D422" s="856">
        <v>213.4</v>
      </c>
      <c r="E422" s="858"/>
      <c r="F422" s="856"/>
      <c r="G422" s="856">
        <v>90</v>
      </c>
      <c r="H422" s="856"/>
      <c r="I422" s="856">
        <f t="shared" si="20"/>
        <v>123.4</v>
      </c>
      <c r="J422" s="856"/>
      <c r="K422" s="856"/>
      <c r="L422" s="856"/>
      <c r="M422" s="856"/>
      <c r="N422" s="856"/>
      <c r="O422" s="856"/>
    </row>
    <row r="423" spans="1:15" s="843" customFormat="1" ht="12" customHeight="1">
      <c r="A423" s="670"/>
      <c r="B423" s="860">
        <v>43042</v>
      </c>
      <c r="C423" s="859" t="s">
        <v>223</v>
      </c>
      <c r="D423" s="856">
        <v>30</v>
      </c>
      <c r="E423" s="858"/>
      <c r="F423" s="856"/>
      <c r="G423" s="856"/>
      <c r="H423" s="856"/>
      <c r="I423" s="856">
        <f t="shared" si="20"/>
        <v>30</v>
      </c>
      <c r="J423" s="856"/>
      <c r="K423" s="856"/>
      <c r="L423" s="856"/>
      <c r="M423" s="856"/>
      <c r="N423" s="856"/>
      <c r="O423" s="856"/>
    </row>
    <row r="424" spans="1:15" s="843" customFormat="1" ht="12" customHeight="1">
      <c r="A424" s="670"/>
      <c r="B424" s="860">
        <v>43042</v>
      </c>
      <c r="C424" s="859" t="s">
        <v>967</v>
      </c>
      <c r="D424" s="856">
        <v>32</v>
      </c>
      <c r="E424" s="858"/>
      <c r="F424" s="856"/>
      <c r="G424" s="856"/>
      <c r="H424" s="856"/>
      <c r="I424" s="856">
        <f t="shared" si="20"/>
        <v>32</v>
      </c>
      <c r="J424" s="856"/>
      <c r="K424" s="856"/>
      <c r="L424" s="856"/>
      <c r="M424" s="856"/>
      <c r="N424" s="856"/>
      <c r="O424" s="856"/>
    </row>
    <row r="425" spans="1:15" s="843" customFormat="1" ht="12" customHeight="1">
      <c r="A425" s="670"/>
      <c r="B425" s="860">
        <v>43043</v>
      </c>
      <c r="C425" s="859" t="s">
        <v>297</v>
      </c>
      <c r="D425" s="856">
        <v>124.8</v>
      </c>
      <c r="E425" s="858"/>
      <c r="F425" s="856">
        <v>124.8</v>
      </c>
      <c r="G425" s="856"/>
      <c r="H425" s="856"/>
      <c r="I425" s="856">
        <f t="shared" si="20"/>
        <v>0</v>
      </c>
      <c r="J425" s="856"/>
      <c r="K425" s="856"/>
      <c r="L425" s="856"/>
      <c r="M425" s="856"/>
      <c r="N425" s="856"/>
      <c r="O425" s="856"/>
    </row>
    <row r="426" spans="1:15" s="843" customFormat="1" ht="12" customHeight="1">
      <c r="A426" s="670"/>
      <c r="B426" s="860">
        <v>43043</v>
      </c>
      <c r="C426" s="859" t="s">
        <v>967</v>
      </c>
      <c r="D426" s="856">
        <v>91.8</v>
      </c>
      <c r="E426" s="858"/>
      <c r="F426" s="856"/>
      <c r="G426" s="856"/>
      <c r="H426" s="856"/>
      <c r="I426" s="856">
        <f t="shared" si="20"/>
        <v>91.8</v>
      </c>
      <c r="J426" s="856"/>
      <c r="K426" s="856"/>
      <c r="L426" s="856"/>
      <c r="M426" s="856"/>
      <c r="N426" s="856"/>
      <c r="O426" s="856"/>
    </row>
    <row r="427" spans="1:15" s="843" customFormat="1" ht="12" customHeight="1">
      <c r="A427" s="670"/>
      <c r="B427" s="860">
        <v>43043</v>
      </c>
      <c r="C427" s="859"/>
      <c r="D427" s="856">
        <v>32.9</v>
      </c>
      <c r="E427" s="858"/>
      <c r="F427" s="856"/>
      <c r="G427" s="856"/>
      <c r="H427" s="856"/>
      <c r="I427" s="856">
        <f t="shared" si="20"/>
        <v>32.9</v>
      </c>
      <c r="J427" s="856"/>
      <c r="K427" s="856"/>
      <c r="L427" s="856"/>
      <c r="M427" s="856"/>
      <c r="N427" s="856"/>
      <c r="O427" s="856"/>
    </row>
    <row r="428" spans="1:15" s="843" customFormat="1" ht="12" customHeight="1">
      <c r="A428" s="670"/>
      <c r="B428" s="860">
        <v>43045</v>
      </c>
      <c r="C428" s="859" t="s">
        <v>39</v>
      </c>
      <c r="D428" s="856">
        <v>23.85</v>
      </c>
      <c r="E428" s="858"/>
      <c r="F428" s="856"/>
      <c r="G428" s="856"/>
      <c r="H428" s="856"/>
      <c r="I428" s="856">
        <f t="shared" si="20"/>
        <v>23.85</v>
      </c>
      <c r="J428" s="856"/>
      <c r="K428" s="856"/>
      <c r="L428" s="856"/>
      <c r="M428" s="856"/>
      <c r="N428" s="856"/>
      <c r="O428" s="856"/>
    </row>
    <row r="429" spans="1:15" s="843" customFormat="1" ht="12" customHeight="1">
      <c r="A429" s="670"/>
      <c r="B429" s="860">
        <v>43045</v>
      </c>
      <c r="C429" s="859" t="s">
        <v>631</v>
      </c>
      <c r="D429" s="856">
        <v>94.95</v>
      </c>
      <c r="E429" s="858"/>
      <c r="F429" s="856"/>
      <c r="G429" s="856"/>
      <c r="H429" s="856"/>
      <c r="I429" s="856">
        <f t="shared" si="20"/>
        <v>94.95</v>
      </c>
      <c r="J429" s="856"/>
      <c r="K429" s="856"/>
      <c r="L429" s="856"/>
      <c r="M429" s="856"/>
      <c r="N429" s="856"/>
      <c r="O429" s="856"/>
    </row>
    <row r="430" spans="1:15" s="843" customFormat="1" ht="12" customHeight="1">
      <c r="A430" s="670"/>
      <c r="B430" s="860">
        <v>43047</v>
      </c>
      <c r="C430" s="859" t="s">
        <v>39</v>
      </c>
      <c r="D430" s="856">
        <v>70.5</v>
      </c>
      <c r="E430" s="858"/>
      <c r="F430" s="856"/>
      <c r="G430" s="856"/>
      <c r="H430" s="856"/>
      <c r="I430" s="856">
        <f t="shared" si="20"/>
        <v>70.5</v>
      </c>
      <c r="J430" s="856"/>
      <c r="K430" s="856"/>
      <c r="L430" s="856"/>
      <c r="M430" s="856"/>
      <c r="N430" s="856"/>
      <c r="O430" s="856"/>
    </row>
    <row r="431" spans="1:15" s="843" customFormat="1" ht="12" customHeight="1">
      <c r="A431" s="670"/>
      <c r="B431" s="860">
        <v>43047</v>
      </c>
      <c r="C431" s="859" t="s">
        <v>967</v>
      </c>
      <c r="D431" s="856">
        <v>32.9</v>
      </c>
      <c r="E431" s="858"/>
      <c r="F431" s="856"/>
      <c r="G431" s="856">
        <v>14.95</v>
      </c>
      <c r="H431" s="856"/>
      <c r="I431" s="856">
        <f t="shared" si="20"/>
        <v>17.95</v>
      </c>
      <c r="J431" s="856"/>
      <c r="K431" s="856"/>
      <c r="L431" s="856"/>
      <c r="M431" s="856"/>
      <c r="N431" s="856"/>
      <c r="O431" s="856"/>
    </row>
    <row r="432" spans="1:15" s="843" customFormat="1" ht="12" customHeight="1">
      <c r="A432" s="670"/>
      <c r="B432" s="860">
        <v>43047</v>
      </c>
      <c r="C432" s="859" t="s">
        <v>967</v>
      </c>
      <c r="D432" s="856">
        <v>38</v>
      </c>
      <c r="E432" s="858"/>
      <c r="F432" s="856"/>
      <c r="G432" s="856"/>
      <c r="H432" s="856"/>
      <c r="I432" s="856">
        <f t="shared" si="20"/>
        <v>38</v>
      </c>
      <c r="J432" s="856"/>
      <c r="K432" s="856"/>
      <c r="L432" s="856"/>
      <c r="M432" s="856"/>
      <c r="N432" s="856"/>
      <c r="O432" s="856"/>
    </row>
    <row r="433" spans="1:15" s="843" customFormat="1" ht="12" customHeight="1">
      <c r="A433" s="670"/>
      <c r="B433" s="860">
        <v>43048</v>
      </c>
      <c r="C433" s="859" t="s">
        <v>722</v>
      </c>
      <c r="D433" s="856">
        <v>81.849999999999994</v>
      </c>
      <c r="E433" s="858"/>
      <c r="F433" s="856"/>
      <c r="G433" s="856"/>
      <c r="H433" s="856"/>
      <c r="I433" s="856">
        <f t="shared" si="20"/>
        <v>81.849999999999994</v>
      </c>
      <c r="J433" s="856"/>
      <c r="K433" s="856"/>
      <c r="L433" s="856"/>
      <c r="M433" s="856"/>
      <c r="N433" s="856"/>
      <c r="O433" s="856"/>
    </row>
    <row r="434" spans="1:15" s="843" customFormat="1" ht="12" customHeight="1">
      <c r="A434" s="670"/>
      <c r="B434" s="860">
        <v>43049</v>
      </c>
      <c r="C434" s="859" t="s">
        <v>722</v>
      </c>
      <c r="D434" s="856">
        <v>62.9</v>
      </c>
      <c r="E434" s="858"/>
      <c r="F434" s="856"/>
      <c r="G434" s="856"/>
      <c r="H434" s="856"/>
      <c r="I434" s="856">
        <f t="shared" si="20"/>
        <v>62.9</v>
      </c>
      <c r="J434" s="856"/>
      <c r="K434" s="856"/>
      <c r="L434" s="856"/>
      <c r="M434" s="856"/>
      <c r="N434" s="856"/>
      <c r="O434" s="856"/>
    </row>
    <row r="435" spans="1:15" s="843" customFormat="1" ht="12" customHeight="1">
      <c r="A435" s="670"/>
      <c r="B435" s="860">
        <v>43050</v>
      </c>
      <c r="C435" s="859" t="s">
        <v>496</v>
      </c>
      <c r="D435" s="856">
        <v>40</v>
      </c>
      <c r="E435" s="858"/>
      <c r="F435" s="856"/>
      <c r="G435" s="856"/>
      <c r="H435" s="856"/>
      <c r="I435" s="856">
        <f t="shared" si="20"/>
        <v>40</v>
      </c>
      <c r="J435" s="856"/>
      <c r="K435" s="856"/>
      <c r="L435" s="856"/>
      <c r="M435" s="856"/>
      <c r="N435" s="856"/>
      <c r="O435" s="856"/>
    </row>
    <row r="436" spans="1:15" s="843" customFormat="1" ht="12" customHeight="1">
      <c r="A436" s="670"/>
      <c r="B436" s="860">
        <v>43050</v>
      </c>
      <c r="C436" s="859" t="s">
        <v>967</v>
      </c>
      <c r="D436" s="856">
        <v>139.65</v>
      </c>
      <c r="E436" s="858"/>
      <c r="F436" s="856"/>
      <c r="G436" s="856"/>
      <c r="H436" s="856"/>
      <c r="I436" s="856">
        <f t="shared" si="20"/>
        <v>139.65</v>
      </c>
      <c r="J436" s="856"/>
      <c r="K436" s="856"/>
      <c r="L436" s="856"/>
      <c r="M436" s="856"/>
      <c r="N436" s="856"/>
      <c r="O436" s="856"/>
    </row>
    <row r="437" spans="1:15" s="843" customFormat="1" ht="12" customHeight="1">
      <c r="A437" s="670"/>
      <c r="B437" s="860">
        <v>43051</v>
      </c>
      <c r="C437" s="859" t="s">
        <v>967</v>
      </c>
      <c r="D437" s="856">
        <v>90.8</v>
      </c>
      <c r="E437" s="858"/>
      <c r="F437" s="856"/>
      <c r="G437" s="856">
        <v>40</v>
      </c>
      <c r="H437" s="856"/>
      <c r="I437" s="856">
        <f t="shared" si="20"/>
        <v>50.8</v>
      </c>
      <c r="J437" s="856"/>
      <c r="K437" s="856"/>
      <c r="L437" s="856"/>
      <c r="M437" s="856"/>
      <c r="N437" s="856"/>
      <c r="O437" s="856"/>
    </row>
    <row r="438" spans="1:15" s="843" customFormat="1" ht="12" customHeight="1">
      <c r="A438" s="670"/>
      <c r="B438" s="860">
        <v>43051</v>
      </c>
      <c r="C438" s="859" t="s">
        <v>722</v>
      </c>
      <c r="D438" s="856">
        <v>70</v>
      </c>
      <c r="E438" s="858"/>
      <c r="F438" s="856"/>
      <c r="G438" s="856"/>
      <c r="H438" s="856"/>
      <c r="I438" s="856">
        <f t="shared" si="20"/>
        <v>70</v>
      </c>
      <c r="J438" s="856"/>
      <c r="K438" s="856"/>
      <c r="L438" s="856"/>
      <c r="M438" s="856"/>
      <c r="N438" s="856"/>
      <c r="O438" s="856"/>
    </row>
    <row r="439" spans="1:15" s="843" customFormat="1" ht="12" customHeight="1">
      <c r="A439" s="670"/>
      <c r="B439" s="860">
        <v>43052</v>
      </c>
      <c r="C439" s="859" t="s">
        <v>967</v>
      </c>
      <c r="D439" s="856">
        <v>44.95</v>
      </c>
      <c r="E439" s="858"/>
      <c r="F439" s="856"/>
      <c r="G439" s="856">
        <v>10</v>
      </c>
      <c r="H439" s="856"/>
      <c r="I439" s="856">
        <f t="shared" si="20"/>
        <v>34.950000000000003</v>
      </c>
      <c r="J439" s="856"/>
      <c r="K439" s="856"/>
      <c r="L439" s="856"/>
      <c r="M439" s="856"/>
      <c r="N439" s="856"/>
      <c r="O439" s="856"/>
    </row>
    <row r="440" spans="1:15" s="843" customFormat="1" ht="12" customHeight="1">
      <c r="A440" s="670"/>
      <c r="B440" s="860">
        <v>43052</v>
      </c>
      <c r="C440" s="859" t="s">
        <v>469</v>
      </c>
      <c r="D440" s="856">
        <v>59.75</v>
      </c>
      <c r="E440" s="858"/>
      <c r="F440" s="856"/>
      <c r="G440" s="856">
        <v>12.95</v>
      </c>
      <c r="H440" s="856"/>
      <c r="I440" s="856">
        <f t="shared" si="20"/>
        <v>46.8</v>
      </c>
      <c r="J440" s="856"/>
      <c r="K440" s="856"/>
      <c r="L440" s="856"/>
      <c r="M440" s="856"/>
      <c r="N440" s="856"/>
      <c r="O440" s="856"/>
    </row>
    <row r="441" spans="1:15" s="843" customFormat="1" ht="12" customHeight="1">
      <c r="A441" s="670"/>
      <c r="B441" s="860">
        <v>43054</v>
      </c>
      <c r="C441" s="859" t="s">
        <v>967</v>
      </c>
      <c r="D441" s="856">
        <v>84.25</v>
      </c>
      <c r="E441" s="858"/>
      <c r="F441" s="856"/>
      <c r="G441" s="856">
        <v>15.75</v>
      </c>
      <c r="H441" s="856"/>
      <c r="I441" s="856">
        <f t="shared" si="20"/>
        <v>68.5</v>
      </c>
      <c r="J441" s="856"/>
      <c r="K441" s="856"/>
      <c r="L441" s="856"/>
      <c r="M441" s="856"/>
      <c r="N441" s="856"/>
      <c r="O441" s="856"/>
    </row>
    <row r="442" spans="1:15" s="843" customFormat="1" ht="12" customHeight="1">
      <c r="A442" s="670"/>
      <c r="B442" s="860">
        <v>43054</v>
      </c>
      <c r="C442" s="859" t="s">
        <v>722</v>
      </c>
      <c r="D442" s="856">
        <v>57</v>
      </c>
      <c r="E442" s="858"/>
      <c r="F442" s="856"/>
      <c r="G442" s="856"/>
      <c r="H442" s="856"/>
      <c r="I442" s="856">
        <f t="shared" si="20"/>
        <v>57</v>
      </c>
      <c r="J442" s="856"/>
      <c r="K442" s="856"/>
      <c r="L442" s="856"/>
      <c r="M442" s="856"/>
      <c r="N442" s="856"/>
      <c r="O442" s="856"/>
    </row>
    <row r="443" spans="1:15" s="843" customFormat="1" ht="12" customHeight="1">
      <c r="A443" s="670"/>
      <c r="B443" s="860">
        <v>43055</v>
      </c>
      <c r="C443" s="859" t="s">
        <v>722</v>
      </c>
      <c r="D443" s="856">
        <v>17</v>
      </c>
      <c r="E443" s="858"/>
      <c r="F443" s="856"/>
      <c r="G443" s="856"/>
      <c r="H443" s="856"/>
      <c r="I443" s="856">
        <f t="shared" si="20"/>
        <v>17</v>
      </c>
      <c r="J443" s="856"/>
      <c r="K443" s="856"/>
      <c r="L443" s="856"/>
      <c r="M443" s="856"/>
      <c r="N443" s="856"/>
      <c r="O443" s="856"/>
    </row>
    <row r="444" spans="1:15" s="843" customFormat="1" ht="12" customHeight="1">
      <c r="A444" s="670"/>
      <c r="B444" s="860">
        <v>43056</v>
      </c>
      <c r="C444" s="859" t="s">
        <v>967</v>
      </c>
      <c r="D444" s="856">
        <v>10</v>
      </c>
      <c r="E444" s="858"/>
      <c r="F444" s="856"/>
      <c r="G444" s="856"/>
      <c r="H444" s="856"/>
      <c r="I444" s="856">
        <f t="shared" si="20"/>
        <v>10</v>
      </c>
      <c r="J444" s="856"/>
      <c r="K444" s="856"/>
      <c r="L444" s="856"/>
      <c r="M444" s="856"/>
      <c r="N444" s="856"/>
      <c r="O444" s="856"/>
    </row>
    <row r="445" spans="1:15" s="843" customFormat="1" ht="12" customHeight="1">
      <c r="A445" s="670"/>
      <c r="B445" s="860">
        <v>43059</v>
      </c>
      <c r="C445" s="859" t="s">
        <v>722</v>
      </c>
      <c r="D445" s="856">
        <v>84.9</v>
      </c>
      <c r="E445" s="858"/>
      <c r="F445" s="856"/>
      <c r="G445" s="856">
        <v>19.95</v>
      </c>
      <c r="H445" s="856"/>
      <c r="I445" s="856">
        <f t="shared" si="20"/>
        <v>64.95</v>
      </c>
      <c r="J445" s="856"/>
      <c r="K445" s="856"/>
      <c r="L445" s="856"/>
      <c r="M445" s="856"/>
      <c r="N445" s="856"/>
      <c r="O445" s="856"/>
    </row>
    <row r="446" spans="1:15" s="843" customFormat="1" ht="12" customHeight="1">
      <c r="A446" s="670"/>
      <c r="B446" s="860">
        <v>43060</v>
      </c>
      <c r="C446" s="859" t="s">
        <v>722</v>
      </c>
      <c r="D446" s="856">
        <v>47</v>
      </c>
      <c r="E446" s="858"/>
      <c r="F446" s="856"/>
      <c r="G446" s="856"/>
      <c r="H446" s="856"/>
      <c r="I446" s="856">
        <f t="shared" si="20"/>
        <v>47</v>
      </c>
      <c r="J446" s="856"/>
      <c r="K446" s="856"/>
      <c r="L446" s="856"/>
      <c r="M446" s="856"/>
      <c r="N446" s="856"/>
      <c r="O446" s="856"/>
    </row>
    <row r="447" spans="1:15" s="843" customFormat="1" ht="12" customHeight="1">
      <c r="A447" s="670"/>
      <c r="B447" s="860">
        <v>43062</v>
      </c>
      <c r="C447" s="859" t="s">
        <v>722</v>
      </c>
      <c r="D447" s="856">
        <v>72.5</v>
      </c>
      <c r="E447" s="858"/>
      <c r="F447" s="856"/>
      <c r="G447" s="856"/>
      <c r="H447" s="856"/>
      <c r="I447" s="856">
        <f t="shared" si="20"/>
        <v>72.5</v>
      </c>
      <c r="J447" s="856"/>
      <c r="K447" s="856"/>
      <c r="L447" s="856"/>
      <c r="M447" s="856"/>
      <c r="N447" s="856"/>
      <c r="O447" s="856"/>
    </row>
    <row r="448" spans="1:15" s="843" customFormat="1" ht="12" customHeight="1">
      <c r="A448" s="670"/>
      <c r="B448" s="860">
        <v>43062</v>
      </c>
      <c r="C448" s="859" t="s">
        <v>39</v>
      </c>
      <c r="D448" s="856">
        <v>48</v>
      </c>
      <c r="E448" s="858"/>
      <c r="F448" s="856"/>
      <c r="G448" s="856"/>
      <c r="H448" s="856"/>
      <c r="I448" s="856">
        <f t="shared" si="20"/>
        <v>48</v>
      </c>
      <c r="J448" s="856"/>
      <c r="K448" s="856"/>
      <c r="L448" s="856"/>
      <c r="M448" s="856"/>
      <c r="N448" s="856"/>
      <c r="O448" s="856"/>
    </row>
    <row r="449" spans="1:15" s="843" customFormat="1" ht="12" customHeight="1">
      <c r="A449" s="670"/>
      <c r="B449" s="860">
        <v>43063</v>
      </c>
      <c r="C449" s="859" t="s">
        <v>39</v>
      </c>
      <c r="D449" s="856">
        <v>20</v>
      </c>
      <c r="E449" s="858"/>
      <c r="F449" s="856"/>
      <c r="G449" s="856"/>
      <c r="H449" s="856"/>
      <c r="I449" s="856">
        <f t="shared" si="20"/>
        <v>20</v>
      </c>
      <c r="J449" s="856"/>
      <c r="K449" s="856"/>
      <c r="L449" s="856"/>
      <c r="M449" s="856"/>
      <c r="N449" s="856"/>
      <c r="O449" s="856"/>
    </row>
    <row r="450" spans="1:15" s="843" customFormat="1" ht="12" customHeight="1">
      <c r="A450" s="670"/>
      <c r="B450" s="860">
        <v>43063</v>
      </c>
      <c r="C450" s="859" t="s">
        <v>40</v>
      </c>
      <c r="D450" s="856">
        <v>142.4</v>
      </c>
      <c r="E450" s="858">
        <v>39</v>
      </c>
      <c r="F450" s="856"/>
      <c r="G450" s="856">
        <v>39.9</v>
      </c>
      <c r="H450" s="856"/>
      <c r="I450" s="856">
        <f t="shared" si="20"/>
        <v>63.500000000000007</v>
      </c>
      <c r="J450" s="856"/>
      <c r="K450" s="856"/>
      <c r="L450" s="856"/>
      <c r="M450" s="856"/>
      <c r="N450" s="856"/>
      <c r="O450" s="856"/>
    </row>
    <row r="451" spans="1:15" s="843" customFormat="1" ht="12" customHeight="1">
      <c r="A451" s="670"/>
      <c r="B451" s="860">
        <v>43066</v>
      </c>
      <c r="C451" s="859" t="s">
        <v>968</v>
      </c>
      <c r="D451" s="856">
        <v>34.950000000000003</v>
      </c>
      <c r="E451" s="858"/>
      <c r="F451" s="856"/>
      <c r="G451" s="856"/>
      <c r="H451" s="856"/>
      <c r="I451" s="856">
        <f t="shared" si="20"/>
        <v>34.950000000000003</v>
      </c>
      <c r="J451" s="856"/>
      <c r="K451" s="856"/>
      <c r="L451" s="856"/>
      <c r="M451" s="856"/>
      <c r="N451" s="856"/>
      <c r="O451" s="856"/>
    </row>
    <row r="452" spans="1:15" s="843" customFormat="1" ht="12" customHeight="1">
      <c r="A452" s="670"/>
      <c r="B452" s="860">
        <v>43066</v>
      </c>
      <c r="C452" s="859" t="s">
        <v>967</v>
      </c>
      <c r="D452" s="856">
        <v>48.45</v>
      </c>
      <c r="E452" s="858"/>
      <c r="F452" s="856"/>
      <c r="G452" s="856"/>
      <c r="H452" s="857"/>
      <c r="I452" s="857">
        <f t="shared" si="20"/>
        <v>48.45</v>
      </c>
      <c r="J452" s="856"/>
      <c r="K452" s="856"/>
      <c r="L452" s="856"/>
      <c r="M452" s="856"/>
      <c r="N452" s="856"/>
      <c r="O452" s="856"/>
    </row>
    <row r="453" spans="1:15" s="843" customFormat="1" ht="12" customHeight="1">
      <c r="A453" s="670"/>
      <c r="B453" s="855">
        <v>43069</v>
      </c>
      <c r="C453" s="854" t="s">
        <v>967</v>
      </c>
      <c r="D453" s="852">
        <v>728.1</v>
      </c>
      <c r="E453" s="853">
        <v>390</v>
      </c>
      <c r="F453" s="852"/>
      <c r="G453" s="852"/>
      <c r="H453" s="848"/>
      <c r="I453" s="848">
        <f t="shared" si="20"/>
        <v>338.1</v>
      </c>
      <c r="J453" s="852"/>
      <c r="K453" s="852"/>
      <c r="L453" s="852"/>
      <c r="M453" s="852"/>
      <c r="N453" s="852"/>
      <c r="O453" s="852"/>
    </row>
    <row r="454" spans="1:15" s="843" customFormat="1" ht="12" customHeight="1">
      <c r="A454" s="670"/>
      <c r="B454" s="847">
        <v>43069</v>
      </c>
      <c r="C454" s="846" t="s">
        <v>39</v>
      </c>
      <c r="D454" s="844">
        <v>140.15</v>
      </c>
      <c r="E454" s="845"/>
      <c r="F454" s="844"/>
      <c r="G454" s="844"/>
      <c r="H454" s="844"/>
      <c r="I454" s="844">
        <f t="shared" si="20"/>
        <v>140.15</v>
      </c>
      <c r="J454" s="844"/>
      <c r="K454" s="844"/>
      <c r="L454" s="844"/>
      <c r="M454" s="844"/>
      <c r="N454" s="844"/>
      <c r="O454" s="844"/>
    </row>
    <row r="455" spans="1:15" s="843" customFormat="1" ht="12" customHeight="1">
      <c r="A455" s="670"/>
      <c r="B455" s="847">
        <v>43069</v>
      </c>
      <c r="C455" s="846" t="s">
        <v>969</v>
      </c>
      <c r="D455" s="844">
        <v>190.4</v>
      </c>
      <c r="E455" s="845"/>
      <c r="F455" s="844"/>
      <c r="G455" s="844"/>
      <c r="H455" s="844"/>
      <c r="I455" s="844">
        <f t="shared" si="20"/>
        <v>190.4</v>
      </c>
      <c r="J455" s="844"/>
      <c r="K455" s="844"/>
      <c r="L455" s="844"/>
      <c r="M455" s="844"/>
      <c r="N455" s="844"/>
      <c r="O455" s="844"/>
    </row>
    <row r="456" spans="1:15" s="843" customFormat="1" ht="12" customHeight="1">
      <c r="A456" s="670"/>
      <c r="B456" s="847">
        <v>43069</v>
      </c>
      <c r="C456" s="846" t="s">
        <v>297</v>
      </c>
      <c r="D456" s="844">
        <v>276.05</v>
      </c>
      <c r="E456" s="845"/>
      <c r="F456" s="844">
        <v>276.05</v>
      </c>
      <c r="G456" s="844"/>
      <c r="H456" s="844"/>
      <c r="I456" s="844">
        <f t="shared" si="20"/>
        <v>0</v>
      </c>
      <c r="J456" s="844"/>
      <c r="K456" s="844"/>
      <c r="L456" s="844"/>
      <c r="M456" s="844"/>
      <c r="N456" s="844"/>
      <c r="O456" s="844"/>
    </row>
    <row r="457" spans="1:15" s="843" customFormat="1" ht="12" customHeight="1">
      <c r="A457" s="670"/>
      <c r="B457" s="847">
        <v>43069</v>
      </c>
      <c r="C457" s="846" t="s">
        <v>40</v>
      </c>
      <c r="D457" s="844">
        <v>102.85</v>
      </c>
      <c r="E457" s="845"/>
      <c r="F457" s="844"/>
      <c r="G457" s="844">
        <v>59.85</v>
      </c>
      <c r="H457" s="844"/>
      <c r="I457" s="844">
        <f t="shared" si="20"/>
        <v>42.999999999999993</v>
      </c>
      <c r="J457" s="844"/>
      <c r="K457" s="844"/>
      <c r="L457" s="844"/>
      <c r="M457" s="844"/>
      <c r="N457" s="844"/>
      <c r="O457" s="844"/>
    </row>
    <row r="458" spans="1:15" s="843" customFormat="1" ht="12" customHeight="1">
      <c r="A458" s="670"/>
      <c r="B458" s="847">
        <v>43070</v>
      </c>
      <c r="C458" s="846" t="s">
        <v>967</v>
      </c>
      <c r="D458" s="844">
        <v>478.7</v>
      </c>
      <c r="E458" s="845"/>
      <c r="F458" s="844"/>
      <c r="G458" s="844">
        <v>70.75</v>
      </c>
      <c r="H458" s="844"/>
      <c r="I458" s="844">
        <f t="shared" si="20"/>
        <v>407.95</v>
      </c>
      <c r="J458" s="844"/>
      <c r="K458" s="844"/>
      <c r="L458" s="844"/>
      <c r="M458" s="844"/>
      <c r="N458" s="844"/>
      <c r="O458" s="844"/>
    </row>
    <row r="459" spans="1:15" s="843" customFormat="1" ht="12" customHeight="1">
      <c r="A459" s="670"/>
      <c r="B459" s="847">
        <v>43070</v>
      </c>
      <c r="C459" s="846" t="s">
        <v>716</v>
      </c>
      <c r="D459" s="844">
        <v>597</v>
      </c>
      <c r="E459" s="845"/>
      <c r="F459" s="844"/>
      <c r="G459" s="844"/>
      <c r="H459" s="844"/>
      <c r="I459" s="844">
        <f t="shared" si="20"/>
        <v>597</v>
      </c>
      <c r="J459" s="844"/>
      <c r="K459" s="844"/>
      <c r="L459" s="844"/>
      <c r="M459" s="844"/>
      <c r="N459" s="844"/>
      <c r="O459" s="844"/>
    </row>
    <row r="460" spans="1:15" s="843" customFormat="1" ht="12" customHeight="1">
      <c r="A460" s="670"/>
      <c r="B460" s="847">
        <v>43071</v>
      </c>
      <c r="C460" s="846" t="s">
        <v>967</v>
      </c>
      <c r="D460" s="844">
        <v>94.15</v>
      </c>
      <c r="E460" s="845"/>
      <c r="F460" s="844"/>
      <c r="G460" s="844">
        <v>10</v>
      </c>
      <c r="H460" s="844"/>
      <c r="I460" s="844">
        <f t="shared" si="20"/>
        <v>84.15</v>
      </c>
      <c r="J460" s="844"/>
      <c r="K460" s="844"/>
      <c r="L460" s="844"/>
      <c r="M460" s="844"/>
      <c r="N460" s="844"/>
      <c r="O460" s="844"/>
    </row>
    <row r="461" spans="1:15" s="843" customFormat="1" ht="12" customHeight="1">
      <c r="A461" s="670"/>
      <c r="B461" s="847">
        <v>43073</v>
      </c>
      <c r="C461" s="846" t="s">
        <v>297</v>
      </c>
      <c r="D461" s="844">
        <v>10</v>
      </c>
      <c r="E461" s="845"/>
      <c r="F461" s="844">
        <v>10</v>
      </c>
      <c r="G461" s="844"/>
      <c r="H461" s="844"/>
      <c r="I461" s="844">
        <f t="shared" si="20"/>
        <v>0</v>
      </c>
      <c r="J461" s="844"/>
      <c r="K461" s="844"/>
      <c r="L461" s="844"/>
      <c r="M461" s="844"/>
      <c r="N461" s="844"/>
      <c r="O461" s="844"/>
    </row>
    <row r="462" spans="1:15" s="843" customFormat="1" ht="12" customHeight="1">
      <c r="A462" s="670"/>
      <c r="B462" s="847">
        <v>43073</v>
      </c>
      <c r="C462" s="846" t="s">
        <v>40</v>
      </c>
      <c r="D462" s="844">
        <v>56.85</v>
      </c>
      <c r="E462" s="845"/>
      <c r="F462" s="844"/>
      <c r="G462" s="844"/>
      <c r="H462" s="844"/>
      <c r="I462" s="844">
        <f t="shared" si="20"/>
        <v>56.85</v>
      </c>
      <c r="J462" s="844"/>
      <c r="K462" s="844"/>
      <c r="L462" s="844"/>
      <c r="M462" s="844"/>
      <c r="N462" s="844"/>
      <c r="O462" s="844"/>
    </row>
    <row r="463" spans="1:15" s="843" customFormat="1" ht="12" customHeight="1">
      <c r="A463" s="670"/>
      <c r="B463" s="847">
        <v>43073</v>
      </c>
      <c r="C463" s="846" t="s">
        <v>967</v>
      </c>
      <c r="D463" s="844">
        <v>122.3</v>
      </c>
      <c r="E463" s="845"/>
      <c r="F463" s="844"/>
      <c r="G463" s="844"/>
      <c r="H463" s="844"/>
      <c r="I463" s="844">
        <f t="shared" si="20"/>
        <v>122.3</v>
      </c>
      <c r="J463" s="844"/>
      <c r="K463" s="844"/>
      <c r="L463" s="844"/>
      <c r="M463" s="844"/>
      <c r="N463" s="844"/>
      <c r="O463" s="844"/>
    </row>
    <row r="464" spans="1:15" s="843" customFormat="1" ht="12" customHeight="1">
      <c r="A464" s="670"/>
      <c r="B464" s="847">
        <v>43074</v>
      </c>
      <c r="C464" s="846" t="s">
        <v>40</v>
      </c>
      <c r="D464" s="844">
        <v>48.95</v>
      </c>
      <c r="E464" s="845"/>
      <c r="F464" s="844"/>
      <c r="G464" s="844">
        <v>14.95</v>
      </c>
      <c r="H464" s="844"/>
      <c r="I464" s="844">
        <f t="shared" ref="I464:I493" si="21">D464-E464-F464-G464</f>
        <v>34</v>
      </c>
      <c r="J464" s="844"/>
      <c r="K464" s="844"/>
      <c r="L464" s="844"/>
      <c r="M464" s="844"/>
      <c r="N464" s="844"/>
      <c r="O464" s="844"/>
    </row>
    <row r="465" spans="1:15" s="843" customFormat="1" ht="12" customHeight="1">
      <c r="A465" s="670"/>
      <c r="B465" s="847">
        <v>43075</v>
      </c>
      <c r="C465" s="846" t="s">
        <v>297</v>
      </c>
      <c r="D465" s="844">
        <v>29</v>
      </c>
      <c r="E465" s="845"/>
      <c r="F465" s="844">
        <v>29</v>
      </c>
      <c r="G465" s="844"/>
      <c r="H465" s="844"/>
      <c r="I465" s="844">
        <f t="shared" si="21"/>
        <v>0</v>
      </c>
      <c r="J465" s="844"/>
      <c r="K465" s="844"/>
      <c r="L465" s="844"/>
      <c r="M465" s="844"/>
      <c r="N465" s="844"/>
      <c r="O465" s="844"/>
    </row>
    <row r="466" spans="1:15" s="843" customFormat="1" ht="12" customHeight="1">
      <c r="A466" s="670"/>
      <c r="B466" s="851">
        <v>43075</v>
      </c>
      <c r="C466" s="850" t="s">
        <v>967</v>
      </c>
      <c r="D466" s="848">
        <v>122.2</v>
      </c>
      <c r="E466" s="849"/>
      <c r="F466" s="848"/>
      <c r="G466" s="848">
        <v>15.75</v>
      </c>
      <c r="H466" s="848"/>
      <c r="I466" s="844">
        <f t="shared" si="21"/>
        <v>106.45</v>
      </c>
      <c r="J466" s="848"/>
      <c r="K466" s="848"/>
      <c r="L466" s="848"/>
      <c r="M466" s="848"/>
      <c r="N466" s="848"/>
      <c r="O466" s="848"/>
    </row>
    <row r="467" spans="1:15" s="843" customFormat="1" ht="12" customHeight="1">
      <c r="A467" s="670"/>
      <c r="B467" s="847">
        <v>43076</v>
      </c>
      <c r="C467" s="846" t="s">
        <v>40</v>
      </c>
      <c r="D467" s="844">
        <v>218.9</v>
      </c>
      <c r="E467" s="845"/>
      <c r="F467" s="844"/>
      <c r="G467" s="844">
        <v>39.9</v>
      </c>
      <c r="H467" s="844"/>
      <c r="I467" s="844">
        <f t="shared" si="21"/>
        <v>179</v>
      </c>
      <c r="J467" s="844"/>
      <c r="K467" s="844"/>
      <c r="L467" s="844"/>
      <c r="M467" s="844"/>
      <c r="N467" s="844"/>
      <c r="O467" s="844"/>
    </row>
    <row r="468" spans="1:15" s="843" customFormat="1" ht="12" customHeight="1">
      <c r="A468" s="670"/>
      <c r="B468" s="847">
        <v>43078</v>
      </c>
      <c r="C468" s="846" t="s">
        <v>340</v>
      </c>
      <c r="D468" s="844">
        <v>156.94999999999999</v>
      </c>
      <c r="E468" s="845"/>
      <c r="F468" s="844"/>
      <c r="G468" s="844"/>
      <c r="H468" s="844"/>
      <c r="I468" s="844">
        <f t="shared" si="21"/>
        <v>156.94999999999999</v>
      </c>
      <c r="J468" s="844"/>
      <c r="K468" s="844"/>
      <c r="L468" s="844"/>
      <c r="M468" s="844"/>
      <c r="N468" s="844"/>
      <c r="O468" s="844"/>
    </row>
    <row r="469" spans="1:15" s="843" customFormat="1" ht="12" customHeight="1">
      <c r="A469" s="670"/>
      <c r="B469" s="847">
        <v>43078</v>
      </c>
      <c r="C469" s="846" t="s">
        <v>469</v>
      </c>
      <c r="D469" s="844">
        <v>85</v>
      </c>
      <c r="E469" s="845"/>
      <c r="F469" s="844"/>
      <c r="G469" s="844"/>
      <c r="H469" s="844"/>
      <c r="I469" s="844">
        <f t="shared" si="21"/>
        <v>85</v>
      </c>
      <c r="J469" s="844"/>
      <c r="K469" s="844"/>
      <c r="L469" s="844"/>
      <c r="M469" s="844"/>
      <c r="N469" s="844"/>
      <c r="O469" s="844"/>
    </row>
    <row r="470" spans="1:15" s="843" customFormat="1" ht="12" customHeight="1">
      <c r="A470" s="670"/>
      <c r="B470" s="847">
        <v>43079</v>
      </c>
      <c r="C470" s="846" t="s">
        <v>469</v>
      </c>
      <c r="D470" s="844">
        <v>232</v>
      </c>
      <c r="E470" s="845"/>
      <c r="F470" s="844"/>
      <c r="G470" s="844">
        <v>50</v>
      </c>
      <c r="H470" s="844"/>
      <c r="I470" s="844">
        <f t="shared" si="21"/>
        <v>182</v>
      </c>
      <c r="J470" s="844"/>
      <c r="K470" s="844"/>
      <c r="L470" s="844"/>
      <c r="M470" s="844"/>
      <c r="N470" s="844"/>
      <c r="O470" s="844"/>
    </row>
    <row r="471" spans="1:15" s="843" customFormat="1" ht="12" customHeight="1">
      <c r="A471" s="670"/>
      <c r="B471" s="847">
        <v>43080</v>
      </c>
      <c r="C471" s="846" t="s">
        <v>40</v>
      </c>
      <c r="D471" s="844">
        <v>94.5</v>
      </c>
      <c r="E471" s="845"/>
      <c r="F471" s="844"/>
      <c r="G471" s="844"/>
      <c r="H471" s="844"/>
      <c r="I471" s="844">
        <f t="shared" si="21"/>
        <v>94.5</v>
      </c>
      <c r="J471" s="844"/>
      <c r="K471" s="844"/>
      <c r="L471" s="844"/>
      <c r="M471" s="844"/>
      <c r="N471" s="844"/>
      <c r="O471" s="844"/>
    </row>
    <row r="472" spans="1:15" s="843" customFormat="1" ht="12" customHeight="1">
      <c r="A472" s="670"/>
      <c r="B472" s="847">
        <v>43081</v>
      </c>
      <c r="C472" s="846" t="s">
        <v>40</v>
      </c>
      <c r="D472" s="844">
        <v>71.95</v>
      </c>
      <c r="E472" s="845"/>
      <c r="F472" s="844"/>
      <c r="G472" s="844"/>
      <c r="H472" s="844"/>
      <c r="I472" s="844">
        <f t="shared" si="21"/>
        <v>71.95</v>
      </c>
      <c r="J472" s="844"/>
      <c r="K472" s="844"/>
      <c r="L472" s="844"/>
      <c r="M472" s="844"/>
      <c r="N472" s="844"/>
      <c r="O472" s="844"/>
    </row>
    <row r="473" spans="1:15" s="843" customFormat="1" ht="12" customHeight="1">
      <c r="A473" s="670"/>
      <c r="B473" s="847">
        <v>43084</v>
      </c>
      <c r="C473" s="846" t="s">
        <v>40</v>
      </c>
      <c r="D473" s="844">
        <v>27.5</v>
      </c>
      <c r="E473" s="845"/>
      <c r="F473" s="844"/>
      <c r="G473" s="844"/>
      <c r="H473" s="844"/>
      <c r="I473" s="844">
        <f t="shared" si="21"/>
        <v>27.5</v>
      </c>
      <c r="J473" s="844"/>
      <c r="K473" s="844"/>
      <c r="L473" s="844"/>
      <c r="M473" s="844"/>
      <c r="N473" s="844"/>
      <c r="O473" s="844"/>
    </row>
    <row r="474" spans="1:15" s="843" customFormat="1" ht="12" customHeight="1">
      <c r="A474" s="670"/>
      <c r="B474" s="847">
        <v>43084</v>
      </c>
      <c r="C474" s="846" t="s">
        <v>967</v>
      </c>
      <c r="D474" s="844">
        <v>98.9</v>
      </c>
      <c r="E474" s="845"/>
      <c r="F474" s="844"/>
      <c r="G474" s="844">
        <v>41.65</v>
      </c>
      <c r="H474" s="844">
        <v>12.75</v>
      </c>
      <c r="I474" s="844">
        <f t="shared" si="21"/>
        <v>57.250000000000007</v>
      </c>
      <c r="J474" s="844"/>
      <c r="K474" s="844"/>
      <c r="L474" s="844"/>
      <c r="M474" s="844"/>
      <c r="N474" s="844"/>
      <c r="O474" s="844"/>
    </row>
    <row r="475" spans="1:15" s="843" customFormat="1" ht="12" customHeight="1">
      <c r="A475" s="670"/>
      <c r="B475" s="847">
        <v>43084</v>
      </c>
      <c r="C475" s="846" t="s">
        <v>968</v>
      </c>
      <c r="D475" s="844">
        <v>10</v>
      </c>
      <c r="E475" s="845"/>
      <c r="F475" s="844"/>
      <c r="G475" s="844"/>
      <c r="H475" s="844"/>
      <c r="I475" s="844">
        <f t="shared" si="21"/>
        <v>10</v>
      </c>
      <c r="J475" s="844"/>
      <c r="K475" s="844"/>
      <c r="L475" s="844"/>
      <c r="M475" s="844"/>
      <c r="N475" s="844"/>
      <c r="O475" s="844"/>
    </row>
    <row r="476" spans="1:15" s="843" customFormat="1" ht="12" customHeight="1">
      <c r="A476" s="670"/>
      <c r="B476" s="847">
        <v>43086</v>
      </c>
      <c r="C476" s="846" t="s">
        <v>967</v>
      </c>
      <c r="D476" s="844">
        <v>167.75</v>
      </c>
      <c r="E476" s="845"/>
      <c r="F476" s="844"/>
      <c r="G476" s="844">
        <v>40</v>
      </c>
      <c r="H476" s="844"/>
      <c r="I476" s="844">
        <f t="shared" si="21"/>
        <v>127.75</v>
      </c>
      <c r="J476" s="844"/>
      <c r="K476" s="844"/>
      <c r="L476" s="844"/>
      <c r="M476" s="844"/>
      <c r="N476" s="844"/>
      <c r="O476" s="844"/>
    </row>
    <row r="477" spans="1:15" s="843" customFormat="1" ht="12" customHeight="1">
      <c r="A477" s="670"/>
      <c r="B477" s="847">
        <v>43087</v>
      </c>
      <c r="C477" s="846" t="s">
        <v>967</v>
      </c>
      <c r="D477" s="844">
        <v>155.85</v>
      </c>
      <c r="E477" s="845"/>
      <c r="F477" s="844"/>
      <c r="G477" s="844"/>
      <c r="H477" s="844"/>
      <c r="I477" s="844">
        <f t="shared" si="21"/>
        <v>155.85</v>
      </c>
      <c r="J477" s="844"/>
      <c r="K477" s="844"/>
      <c r="L477" s="844"/>
      <c r="M477" s="844"/>
      <c r="N477" s="844"/>
      <c r="O477" s="844"/>
    </row>
    <row r="478" spans="1:15" s="843" customFormat="1" ht="12" customHeight="1">
      <c r="A478" s="670"/>
      <c r="B478" s="847">
        <v>43089</v>
      </c>
      <c r="C478" s="846" t="s">
        <v>968</v>
      </c>
      <c r="D478" s="844">
        <v>30</v>
      </c>
      <c r="E478" s="845"/>
      <c r="F478" s="844"/>
      <c r="G478" s="844">
        <v>20</v>
      </c>
      <c r="H478" s="844"/>
      <c r="I478" s="844">
        <f t="shared" si="21"/>
        <v>10</v>
      </c>
      <c r="J478" s="844"/>
      <c r="K478" s="844"/>
      <c r="L478" s="844"/>
      <c r="M478" s="844"/>
      <c r="N478" s="844"/>
      <c r="O478" s="844"/>
    </row>
    <row r="479" spans="1:15" s="843" customFormat="1" ht="12" customHeight="1">
      <c r="A479" s="670"/>
      <c r="B479" s="847">
        <v>43089</v>
      </c>
      <c r="C479" s="846" t="s">
        <v>40</v>
      </c>
      <c r="D479" s="844">
        <v>36.950000000000003</v>
      </c>
      <c r="E479" s="845"/>
      <c r="F479" s="844"/>
      <c r="G479" s="844"/>
      <c r="H479" s="844"/>
      <c r="I479" s="844">
        <f t="shared" si="21"/>
        <v>36.950000000000003</v>
      </c>
      <c r="J479" s="844"/>
      <c r="K479" s="844"/>
      <c r="L479" s="844"/>
      <c r="M479" s="844"/>
      <c r="N479" s="844"/>
      <c r="O479" s="844"/>
    </row>
    <row r="480" spans="1:15" s="843" customFormat="1" ht="12" customHeight="1">
      <c r="A480" s="670"/>
      <c r="B480" s="851">
        <v>43089</v>
      </c>
      <c r="C480" s="850" t="s">
        <v>967</v>
      </c>
      <c r="D480" s="848">
        <v>53.7</v>
      </c>
      <c r="E480" s="849"/>
      <c r="F480" s="848"/>
      <c r="G480" s="848"/>
      <c r="H480" s="848">
        <v>12.75</v>
      </c>
      <c r="I480" s="848">
        <f t="shared" si="21"/>
        <v>53.7</v>
      </c>
      <c r="J480" s="848"/>
      <c r="K480" s="848"/>
      <c r="L480" s="848"/>
      <c r="M480" s="848"/>
      <c r="N480" s="848"/>
      <c r="O480" s="848"/>
    </row>
    <row r="481" spans="1:15" s="843" customFormat="1" ht="12" customHeight="1">
      <c r="A481" s="670"/>
      <c r="B481" s="847">
        <v>43091</v>
      </c>
      <c r="C481" s="846" t="s">
        <v>967</v>
      </c>
      <c r="D481" s="844">
        <v>116.88</v>
      </c>
      <c r="E481" s="845"/>
      <c r="F481" s="844"/>
      <c r="G481" s="844">
        <v>29.9</v>
      </c>
      <c r="H481" s="844"/>
      <c r="I481" s="844">
        <f t="shared" si="21"/>
        <v>86.97999999999999</v>
      </c>
      <c r="J481" s="844"/>
      <c r="K481" s="844"/>
      <c r="L481" s="844"/>
      <c r="M481" s="844"/>
      <c r="N481" s="844"/>
      <c r="O481" s="844"/>
    </row>
    <row r="482" spans="1:15" s="843" customFormat="1" ht="12" customHeight="1">
      <c r="A482" s="670"/>
      <c r="B482" s="847">
        <v>43091</v>
      </c>
      <c r="C482" s="846" t="s">
        <v>40</v>
      </c>
      <c r="D482" s="844">
        <v>39.9</v>
      </c>
      <c r="E482" s="845"/>
      <c r="F482" s="844"/>
      <c r="G482" s="844">
        <v>39.9</v>
      </c>
      <c r="H482" s="844"/>
      <c r="I482" s="844">
        <f t="shared" si="21"/>
        <v>0</v>
      </c>
      <c r="J482" s="844"/>
      <c r="K482" s="844"/>
      <c r="L482" s="844"/>
      <c r="M482" s="844"/>
      <c r="N482" s="844"/>
      <c r="O482" s="844"/>
    </row>
    <row r="483" spans="1:15" s="843" customFormat="1" ht="12" customHeight="1">
      <c r="A483" s="670"/>
      <c r="B483" s="847">
        <v>43091</v>
      </c>
      <c r="C483" s="846" t="s">
        <v>297</v>
      </c>
      <c r="D483" s="844">
        <v>56.7</v>
      </c>
      <c r="E483" s="845"/>
      <c r="F483" s="844">
        <v>56.7</v>
      </c>
      <c r="G483" s="844"/>
      <c r="H483" s="844"/>
      <c r="I483" s="844">
        <f t="shared" si="21"/>
        <v>0</v>
      </c>
      <c r="J483" s="844"/>
      <c r="K483" s="844"/>
      <c r="L483" s="844"/>
      <c r="M483" s="844"/>
      <c r="N483" s="844"/>
      <c r="O483" s="844"/>
    </row>
    <row r="484" spans="1:15" s="843" customFormat="1" ht="12" customHeight="1">
      <c r="A484" s="670"/>
      <c r="B484" s="847">
        <v>43092</v>
      </c>
      <c r="C484" s="846" t="s">
        <v>40</v>
      </c>
      <c r="D484" s="844">
        <v>166.35</v>
      </c>
      <c r="E484" s="845"/>
      <c r="F484" s="844"/>
      <c r="G484" s="844">
        <v>20</v>
      </c>
      <c r="H484" s="844"/>
      <c r="I484" s="844">
        <f t="shared" si="21"/>
        <v>146.35</v>
      </c>
      <c r="J484" s="844"/>
      <c r="K484" s="844"/>
      <c r="L484" s="844"/>
      <c r="M484" s="844"/>
      <c r="N484" s="844"/>
      <c r="O484" s="844"/>
    </row>
    <row r="485" spans="1:15" s="843" customFormat="1" ht="12" customHeight="1">
      <c r="A485" s="670"/>
      <c r="B485" s="847">
        <v>43092</v>
      </c>
      <c r="C485" s="846" t="s">
        <v>40</v>
      </c>
      <c r="D485" s="848">
        <v>28</v>
      </c>
      <c r="E485" s="849"/>
      <c r="F485" s="848"/>
      <c r="G485" s="848"/>
      <c r="H485" s="848"/>
      <c r="I485" s="844">
        <f t="shared" si="21"/>
        <v>28</v>
      </c>
      <c r="J485" s="848"/>
      <c r="K485" s="848"/>
      <c r="L485" s="848"/>
      <c r="M485" s="848"/>
      <c r="N485" s="848"/>
      <c r="O485" s="848"/>
    </row>
    <row r="486" spans="1:15" s="843" customFormat="1" ht="12" customHeight="1">
      <c r="A486" s="670"/>
      <c r="B486" s="847">
        <v>43092</v>
      </c>
      <c r="C486" s="846" t="s">
        <v>469</v>
      </c>
      <c r="D486" s="844">
        <v>52.8</v>
      </c>
      <c r="E486" s="845"/>
      <c r="F486" s="844"/>
      <c r="G486" s="844">
        <v>33.9</v>
      </c>
      <c r="H486" s="844"/>
      <c r="I486" s="844">
        <f t="shared" si="21"/>
        <v>18.899999999999999</v>
      </c>
      <c r="J486" s="844"/>
      <c r="K486" s="844"/>
      <c r="L486" s="844"/>
      <c r="M486" s="844"/>
      <c r="N486" s="844"/>
      <c r="O486" s="844"/>
    </row>
    <row r="487" spans="1:15" s="843" customFormat="1" ht="12" customHeight="1">
      <c r="A487" s="670"/>
      <c r="B487" s="847">
        <v>43092</v>
      </c>
      <c r="C487" s="846" t="s">
        <v>39</v>
      </c>
      <c r="D487" s="844">
        <v>63.55</v>
      </c>
      <c r="E487" s="845"/>
      <c r="F487" s="844"/>
      <c r="G487" s="844"/>
      <c r="H487" s="844"/>
      <c r="I487" s="844">
        <f t="shared" si="21"/>
        <v>63.55</v>
      </c>
      <c r="J487" s="844"/>
      <c r="K487" s="844"/>
      <c r="L487" s="844"/>
      <c r="M487" s="844"/>
      <c r="N487" s="844"/>
      <c r="O487" s="844"/>
    </row>
    <row r="488" spans="1:15" s="843" customFormat="1" ht="12" customHeight="1">
      <c r="A488" s="670"/>
      <c r="B488" s="847">
        <v>43092</v>
      </c>
      <c r="C488" s="846" t="s">
        <v>967</v>
      </c>
      <c r="D488" s="844">
        <v>53.95</v>
      </c>
      <c r="E488" s="845"/>
      <c r="F488" s="844"/>
      <c r="G488" s="844"/>
      <c r="H488" s="844"/>
      <c r="I488" s="844">
        <f t="shared" si="21"/>
        <v>53.95</v>
      </c>
      <c r="J488" s="844"/>
      <c r="K488" s="844"/>
      <c r="L488" s="844"/>
      <c r="M488" s="844"/>
      <c r="N488" s="844"/>
      <c r="O488" s="844"/>
    </row>
    <row r="489" spans="1:15" s="843" customFormat="1" ht="12" customHeight="1">
      <c r="A489" s="670"/>
      <c r="B489" s="847">
        <v>43093</v>
      </c>
      <c r="C489" s="846" t="s">
        <v>722</v>
      </c>
      <c r="D489" s="844">
        <v>74.400000000000006</v>
      </c>
      <c r="E489" s="845"/>
      <c r="F489" s="844"/>
      <c r="G489" s="844">
        <v>10.95</v>
      </c>
      <c r="H489" s="844"/>
      <c r="I489" s="844">
        <f t="shared" si="21"/>
        <v>63.45</v>
      </c>
      <c r="J489" s="844"/>
      <c r="K489" s="844"/>
      <c r="L489" s="844"/>
      <c r="M489" s="844"/>
      <c r="N489" s="844"/>
      <c r="O489" s="844"/>
    </row>
    <row r="490" spans="1:15" s="843" customFormat="1" ht="12" customHeight="1">
      <c r="A490" s="670"/>
      <c r="B490" s="847">
        <v>43095</v>
      </c>
      <c r="C490" s="846" t="s">
        <v>722</v>
      </c>
      <c r="D490" s="844">
        <v>56.85</v>
      </c>
      <c r="E490" s="845"/>
      <c r="F490" s="844"/>
      <c r="G490" s="844"/>
      <c r="H490" s="844"/>
      <c r="I490" s="844">
        <f t="shared" si="21"/>
        <v>56.85</v>
      </c>
      <c r="J490" s="844"/>
      <c r="K490" s="844"/>
      <c r="L490" s="844"/>
      <c r="M490" s="844"/>
      <c r="N490" s="844"/>
      <c r="O490" s="844"/>
    </row>
    <row r="491" spans="1:15" s="843" customFormat="1" ht="12" customHeight="1">
      <c r="A491" s="670"/>
      <c r="B491" s="847">
        <v>43096</v>
      </c>
      <c r="C491" s="846" t="s">
        <v>722</v>
      </c>
      <c r="D491" s="844">
        <v>30</v>
      </c>
      <c r="E491" s="845"/>
      <c r="F491" s="844"/>
      <c r="G491" s="844"/>
      <c r="H491" s="844"/>
      <c r="I491" s="844">
        <f t="shared" si="21"/>
        <v>30</v>
      </c>
      <c r="J491" s="844"/>
      <c r="K491" s="844"/>
      <c r="L491" s="844"/>
      <c r="M491" s="844"/>
      <c r="N491" s="844"/>
      <c r="O491" s="844"/>
    </row>
    <row r="492" spans="1:15" s="843" customFormat="1" ht="12" customHeight="1">
      <c r="A492" s="670"/>
      <c r="B492" s="847">
        <v>43100</v>
      </c>
      <c r="C492" s="846" t="s">
        <v>722</v>
      </c>
      <c r="D492" s="844">
        <v>133.75</v>
      </c>
      <c r="E492" s="845"/>
      <c r="F492" s="844"/>
      <c r="G492" s="844">
        <v>39.9</v>
      </c>
      <c r="H492" s="844"/>
      <c r="I492" s="844">
        <f t="shared" si="21"/>
        <v>93.85</v>
      </c>
      <c r="J492" s="844"/>
      <c r="K492" s="844"/>
      <c r="L492" s="844"/>
      <c r="M492" s="844"/>
      <c r="N492" s="844"/>
      <c r="O492" s="844"/>
    </row>
    <row r="493" spans="1:15" s="843" customFormat="1" ht="12" customHeight="1">
      <c r="A493" s="670"/>
      <c r="B493" s="847">
        <v>43100</v>
      </c>
      <c r="C493" s="846" t="s">
        <v>967</v>
      </c>
      <c r="D493" s="844">
        <v>85.25</v>
      </c>
      <c r="E493" s="845"/>
      <c r="F493" s="844"/>
      <c r="G493" s="844">
        <v>25</v>
      </c>
      <c r="H493" s="844">
        <v>12.75</v>
      </c>
      <c r="I493" s="844">
        <f t="shared" si="21"/>
        <v>60.25</v>
      </c>
      <c r="J493" s="844"/>
      <c r="K493" s="844"/>
      <c r="L493" s="844"/>
      <c r="M493" s="844"/>
      <c r="N493" s="844"/>
      <c r="O493" s="844"/>
    </row>
    <row r="515" spans="1:15" ht="12" customHeight="1">
      <c r="A515" s="842"/>
      <c r="B515" s="841"/>
      <c r="C515" s="840"/>
      <c r="D515" s="838"/>
      <c r="E515" s="839"/>
      <c r="F515" s="838"/>
      <c r="G515" s="838"/>
      <c r="H515" s="838"/>
      <c r="I515" s="838"/>
      <c r="J515" s="838"/>
      <c r="K515" s="838"/>
      <c r="L515" s="838"/>
      <c r="M515" s="838"/>
      <c r="N515" s="838"/>
      <c r="O515" s="838"/>
    </row>
    <row r="552" spans="2:15" s="835" customFormat="1" ht="12" customHeight="1">
      <c r="B552" s="841"/>
      <c r="C552" s="840"/>
      <c r="D552" s="838"/>
      <c r="E552" s="839"/>
      <c r="F552" s="838"/>
      <c r="G552" s="838"/>
      <c r="H552" s="838"/>
      <c r="I552" s="838"/>
      <c r="J552" s="838"/>
      <c r="K552" s="838"/>
      <c r="L552" s="838"/>
      <c r="M552" s="838"/>
      <c r="N552" s="838"/>
      <c r="O552" s="838"/>
    </row>
    <row r="577" spans="2:15" s="835" customFormat="1" ht="12" customHeight="1">
      <c r="B577" s="841"/>
      <c r="C577" s="840"/>
      <c r="D577" s="838"/>
      <c r="E577" s="839"/>
      <c r="F577" s="838"/>
      <c r="G577" s="838"/>
      <c r="H577" s="838"/>
      <c r="I577" s="838"/>
      <c r="J577" s="838"/>
      <c r="K577" s="838"/>
      <c r="L577" s="838"/>
      <c r="M577" s="838"/>
      <c r="N577" s="838"/>
      <c r="O577" s="838"/>
    </row>
    <row r="607" spans="2:15" s="835" customFormat="1" ht="12" customHeight="1">
      <c r="B607" s="841"/>
      <c r="C607" s="840"/>
      <c r="D607" s="838"/>
      <c r="E607" s="839"/>
      <c r="F607" s="838"/>
      <c r="G607" s="838"/>
      <c r="H607" s="838"/>
      <c r="I607" s="838"/>
      <c r="J607" s="838"/>
      <c r="K607" s="838"/>
      <c r="L607" s="838"/>
      <c r="M607" s="838"/>
      <c r="N607" s="838"/>
      <c r="O607" s="838"/>
    </row>
  </sheetData>
  <mergeCells count="1">
    <mergeCell ref="K1:L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D350"/>
  <sheetViews>
    <sheetView zoomScale="115" zoomScaleNormal="115" workbookViewId="0">
      <pane ySplit="14" topLeftCell="A324" activePane="bottomLeft" state="frozen"/>
      <selection activeCell="F31" sqref="F31"/>
      <selection pane="bottomLeft" activeCell="F31" sqref="F31"/>
    </sheetView>
  </sheetViews>
  <sheetFormatPr defaultColWidth="9.109375" defaultRowHeight="12" customHeight="1"/>
  <cols>
    <col min="1" max="1" width="1.6640625" style="654" customWidth="1"/>
    <col min="2" max="2" width="13" style="653" customWidth="1"/>
    <col min="3" max="3" width="23" style="652" customWidth="1"/>
    <col min="4" max="4" width="13.109375" style="651" customWidth="1"/>
    <col min="5" max="10" width="11.6640625" style="650" customWidth="1"/>
    <col min="11" max="11" width="9.6640625" style="651" customWidth="1"/>
    <col min="12" max="12" width="9.6640625" style="650" customWidth="1"/>
    <col min="13" max="56" width="9.109375" style="649"/>
    <col min="57" max="16384" width="9.109375" style="648"/>
  </cols>
  <sheetData>
    <row r="1" spans="1:56" s="694" customFormat="1" ht="12" customHeight="1">
      <c r="A1" s="700"/>
      <c r="B1" s="717"/>
      <c r="C1" s="716"/>
      <c r="D1" s="715" t="s">
        <v>708</v>
      </c>
      <c r="E1" s="714" t="s">
        <v>48</v>
      </c>
      <c r="F1" s="714" t="s">
        <v>282</v>
      </c>
      <c r="G1" s="714" t="s">
        <v>280</v>
      </c>
      <c r="H1" s="714" t="s">
        <v>186</v>
      </c>
      <c r="I1" s="714" t="s">
        <v>629</v>
      </c>
      <c r="J1" s="714" t="s">
        <v>58</v>
      </c>
      <c r="K1" s="3048" t="s">
        <v>561</v>
      </c>
      <c r="L1" s="3048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5"/>
      <c r="AC1" s="695"/>
      <c r="AD1" s="695"/>
      <c r="AE1" s="695"/>
      <c r="AF1" s="695"/>
      <c r="AG1" s="695"/>
      <c r="AH1" s="695"/>
      <c r="AI1" s="695"/>
      <c r="AJ1" s="695"/>
      <c r="AK1" s="695"/>
      <c r="AL1" s="695"/>
      <c r="AM1" s="695"/>
      <c r="AN1" s="695"/>
      <c r="AO1" s="695"/>
      <c r="AP1" s="695"/>
      <c r="AQ1" s="695"/>
      <c r="AR1" s="695"/>
      <c r="AS1" s="695"/>
      <c r="AT1" s="695"/>
      <c r="AU1" s="695"/>
      <c r="AV1" s="695"/>
      <c r="AW1" s="695"/>
      <c r="AX1" s="695"/>
      <c r="AY1" s="695"/>
      <c r="AZ1" s="695"/>
      <c r="BA1" s="695"/>
      <c r="BB1" s="695"/>
      <c r="BC1" s="695"/>
      <c r="BD1" s="695"/>
    </row>
    <row r="2" spans="1:56" s="701" customFormat="1" ht="12" customHeight="1">
      <c r="A2" s="707"/>
      <c r="B2" s="713" t="s">
        <v>1100</v>
      </c>
      <c r="C2" s="964"/>
      <c r="D2" s="711">
        <f>SUM(D15:D56)</f>
        <v>10228.020000000004</v>
      </c>
      <c r="E2" s="710">
        <f>SUM(E15:E56)</f>
        <v>1600</v>
      </c>
      <c r="F2" s="710" t="e">
        <f>SUM(F15:F56)+#REF!</f>
        <v>#REF!</v>
      </c>
      <c r="G2" s="710">
        <f>SUM(G15:G56)</f>
        <v>324</v>
      </c>
      <c r="H2" s="710">
        <f>SUM(H15:H56)</f>
        <v>0</v>
      </c>
      <c r="I2" s="710">
        <f>SUM(I15:I56)</f>
        <v>0</v>
      </c>
      <c r="J2" s="710">
        <f>SUM(J15:J56)</f>
        <v>852.22</v>
      </c>
      <c r="K2" s="710"/>
      <c r="L2" s="710">
        <f>SUM(L15:L56)</f>
        <v>0</v>
      </c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</row>
    <row r="3" spans="1:56" s="701" customFormat="1" ht="12" customHeight="1">
      <c r="A3" s="707"/>
      <c r="B3" s="706" t="s">
        <v>121</v>
      </c>
      <c r="C3" s="964"/>
      <c r="D3" s="711">
        <f>SUM(D58:D86)</f>
        <v>8011.78</v>
      </c>
      <c r="E3" s="710">
        <f>SUM(E58:E86)</f>
        <v>438</v>
      </c>
      <c r="F3" s="710" t="e">
        <f>SUM(F58:F86)+#REF!</f>
        <v>#REF!</v>
      </c>
      <c r="G3" s="710">
        <f>SUM(G58:G86)</f>
        <v>474</v>
      </c>
      <c r="H3" s="710">
        <f>SUM(H58:H86)</f>
        <v>0</v>
      </c>
      <c r="I3" s="710">
        <f>SUM(I58:I86)</f>
        <v>0</v>
      </c>
      <c r="J3" s="710">
        <f>SUM(J58:J86)</f>
        <v>1540.91</v>
      </c>
      <c r="K3" s="710"/>
      <c r="L3" s="710">
        <f>SUM(L58:L86)</f>
        <v>500</v>
      </c>
      <c r="M3" s="702"/>
      <c r="N3" s="702"/>
      <c r="O3" s="702"/>
      <c r="P3" s="702"/>
      <c r="Q3" s="702"/>
      <c r="R3" s="702"/>
      <c r="S3" s="702"/>
      <c r="T3" s="702"/>
      <c r="U3" s="702"/>
      <c r="V3" s="702"/>
      <c r="W3" s="702"/>
      <c r="X3" s="702"/>
      <c r="Y3" s="702"/>
      <c r="Z3" s="702"/>
      <c r="AA3" s="702"/>
      <c r="AB3" s="702"/>
      <c r="AC3" s="702"/>
      <c r="AD3" s="702"/>
      <c r="AE3" s="702"/>
      <c r="AF3" s="702"/>
      <c r="AG3" s="702"/>
      <c r="AH3" s="702"/>
      <c r="AI3" s="702"/>
      <c r="AJ3" s="702"/>
      <c r="AK3" s="702"/>
      <c r="AL3" s="702"/>
      <c r="AM3" s="702"/>
      <c r="AN3" s="702"/>
      <c r="AO3" s="702"/>
      <c r="AP3" s="702"/>
      <c r="AQ3" s="702"/>
      <c r="AR3" s="702"/>
      <c r="AS3" s="702"/>
      <c r="AT3" s="702"/>
      <c r="AU3" s="702"/>
      <c r="AV3" s="702"/>
      <c r="AW3" s="702"/>
      <c r="AX3" s="702"/>
      <c r="AY3" s="702"/>
      <c r="AZ3" s="702"/>
      <c r="BA3" s="702"/>
      <c r="BB3" s="702"/>
      <c r="BC3" s="702"/>
      <c r="BD3" s="702"/>
    </row>
    <row r="4" spans="1:56" s="701" customFormat="1" ht="12" customHeight="1">
      <c r="A4" s="707"/>
      <c r="B4" s="706" t="s">
        <v>120</v>
      </c>
      <c r="C4" s="964"/>
      <c r="D4" s="711">
        <f>SUM(D88:D100)</f>
        <v>5121.0999999999995</v>
      </c>
      <c r="E4" s="710">
        <f>SUM(E88:E100)</f>
        <v>417.95</v>
      </c>
      <c r="F4" s="710" t="e">
        <f>SUM(F88:F100)+#REF!</f>
        <v>#REF!</v>
      </c>
      <c r="G4" s="710">
        <f>SUM(G88:G100)</f>
        <v>0</v>
      </c>
      <c r="H4" s="710">
        <f>SUM(H88:H100)</f>
        <v>0</v>
      </c>
      <c r="I4" s="710">
        <f>SUM(I88:I100)</f>
        <v>0</v>
      </c>
      <c r="J4" s="710">
        <f>SUM(J88:J100)</f>
        <v>1187.25</v>
      </c>
      <c r="K4" s="710"/>
      <c r="L4" s="710">
        <f>SUM(L88:L100)</f>
        <v>200</v>
      </c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702"/>
      <c r="AT4" s="702"/>
      <c r="AU4" s="702"/>
      <c r="AV4" s="702"/>
      <c r="AW4" s="702"/>
      <c r="AX4" s="702"/>
      <c r="AY4" s="702"/>
      <c r="AZ4" s="702"/>
      <c r="BA4" s="702"/>
      <c r="BB4" s="702"/>
      <c r="BC4" s="702"/>
      <c r="BD4" s="702"/>
    </row>
    <row r="5" spans="1:56" s="701" customFormat="1" ht="12" customHeight="1">
      <c r="A5" s="707"/>
      <c r="B5" s="713" t="s">
        <v>119</v>
      </c>
      <c r="C5" s="964"/>
      <c r="D5" s="711">
        <f>SUM(D102:D119)</f>
        <v>1674.15</v>
      </c>
      <c r="E5" s="710">
        <f>SUM(E102:E137)</f>
        <v>440</v>
      </c>
      <c r="F5" s="710" t="e">
        <f>SUM(F102:F137)+#REF!</f>
        <v>#REF!</v>
      </c>
      <c r="G5" s="710">
        <f>SUM(G102:G137)</f>
        <v>0</v>
      </c>
      <c r="H5" s="710">
        <f>SUM(H102:H137)</f>
        <v>0</v>
      </c>
      <c r="I5" s="710">
        <f>SUM(I102:I137)</f>
        <v>0</v>
      </c>
      <c r="J5" s="710">
        <f>SUM(J102:J137)</f>
        <v>466.7</v>
      </c>
      <c r="K5" s="710"/>
      <c r="L5" s="710">
        <f>SUM(L102:L137)</f>
        <v>500</v>
      </c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</row>
    <row r="6" spans="1:56" s="701" customFormat="1" ht="12" customHeight="1">
      <c r="A6" s="707"/>
      <c r="B6" s="713" t="s">
        <v>118</v>
      </c>
      <c r="C6" s="964"/>
      <c r="D6" s="711">
        <f>SUM(D121:D137)</f>
        <v>5404.45</v>
      </c>
      <c r="E6" s="710">
        <f>SUM(E121:E137)</f>
        <v>220</v>
      </c>
      <c r="F6" s="710" t="e">
        <f>SUM(F121:F137)+#REF!</f>
        <v>#REF!</v>
      </c>
      <c r="G6" s="710">
        <f>SUM(G121:G137)</f>
        <v>0</v>
      </c>
      <c r="H6" s="710">
        <f>SUM(H121:H137)</f>
        <v>0</v>
      </c>
      <c r="I6" s="710">
        <f>SUM(I121:I137)</f>
        <v>0</v>
      </c>
      <c r="J6" s="710">
        <f>SUM(J121:J137)</f>
        <v>0</v>
      </c>
      <c r="K6" s="710"/>
      <c r="L6" s="710">
        <f>SUM(L121:L137)</f>
        <v>300</v>
      </c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702"/>
      <c r="BC6" s="702"/>
      <c r="BD6" s="702"/>
    </row>
    <row r="7" spans="1:56" s="701" customFormat="1" ht="12" customHeight="1">
      <c r="A7" s="707"/>
      <c r="B7" s="713" t="s">
        <v>44</v>
      </c>
      <c r="C7" s="964"/>
      <c r="D7" s="711">
        <f>SUM(D138:D156)</f>
        <v>4084.1800000000003</v>
      </c>
      <c r="E7" s="710">
        <f>SUM(E138:E156)</f>
        <v>100</v>
      </c>
      <c r="F7" s="710" t="e">
        <f>SUM(F138:F156)+#REF!</f>
        <v>#REF!</v>
      </c>
      <c r="G7" s="710">
        <f>SUM(G138:G156)</f>
        <v>236</v>
      </c>
      <c r="H7" s="710">
        <f>SUM(H138:H156)</f>
        <v>0</v>
      </c>
      <c r="I7" s="710">
        <f>SUM(I138:I156)</f>
        <v>0</v>
      </c>
      <c r="J7" s="710">
        <f>SUM(J138:J156)</f>
        <v>1308.1799999999998</v>
      </c>
      <c r="K7" s="710"/>
      <c r="L7" s="710">
        <f>SUM(L138:L156)</f>
        <v>0</v>
      </c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2"/>
      <c r="AZ7" s="702"/>
      <c r="BA7" s="702"/>
      <c r="BB7" s="702"/>
      <c r="BC7" s="702"/>
      <c r="BD7" s="702"/>
    </row>
    <row r="8" spans="1:56" s="701" customFormat="1" ht="12" customHeight="1">
      <c r="A8" s="707"/>
      <c r="B8" s="713" t="str">
        <f>B157</f>
        <v>juli</v>
      </c>
      <c r="C8" s="964"/>
      <c r="D8" s="711">
        <f>SUM(D157:D188)</f>
        <v>13210.02</v>
      </c>
      <c r="E8" s="710">
        <f>SUM(E157:E188)</f>
        <v>0</v>
      </c>
      <c r="F8" s="710" t="e">
        <f>SUM(F157:F188)+#REF!</f>
        <v>#REF!</v>
      </c>
      <c r="G8" s="710">
        <f>SUM(G157:G188)</f>
        <v>250</v>
      </c>
      <c r="H8" s="710">
        <f>SUM(H157:H188)</f>
        <v>0</v>
      </c>
      <c r="I8" s="710">
        <f>SUM(I157:I188)</f>
        <v>0</v>
      </c>
      <c r="J8" s="710" t="e">
        <f>SUM(J157:J188)+#REF!</f>
        <v>#REF!</v>
      </c>
      <c r="K8" s="710"/>
      <c r="L8" s="710">
        <f>SUM(L157:L188)</f>
        <v>0</v>
      </c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2"/>
      <c r="AZ8" s="702"/>
      <c r="BA8" s="702"/>
      <c r="BB8" s="702"/>
      <c r="BC8" s="702"/>
      <c r="BD8" s="702"/>
    </row>
    <row r="9" spans="1:56" s="701" customFormat="1" ht="12" customHeight="1">
      <c r="A9" s="707"/>
      <c r="B9" s="713" t="s">
        <v>116</v>
      </c>
      <c r="C9" s="964"/>
      <c r="D9" s="711">
        <f>SUM(D192:D218)</f>
        <v>3335.53</v>
      </c>
      <c r="E9" s="710">
        <f>SUM(E192:E218)</f>
        <v>99</v>
      </c>
      <c r="F9" s="710" t="e">
        <f>SUM(F192:F218)+#REF!</f>
        <v>#REF!</v>
      </c>
      <c r="G9" s="710">
        <f>SUM(G190:G218)</f>
        <v>212</v>
      </c>
      <c r="H9" s="710">
        <f>SUM(H190:H218)</f>
        <v>0</v>
      </c>
      <c r="I9" s="710">
        <f>SUM(I192:I218)</f>
        <v>0</v>
      </c>
      <c r="J9" s="710" t="e">
        <f>SUM(J192:J218)+#REF!+#REF!</f>
        <v>#REF!</v>
      </c>
      <c r="K9" s="710"/>
      <c r="L9" s="710">
        <f>SUM(L192:L218)</f>
        <v>0</v>
      </c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2"/>
      <c r="AZ9" s="702"/>
      <c r="BA9" s="702"/>
      <c r="BB9" s="702"/>
      <c r="BC9" s="702"/>
      <c r="BD9" s="702"/>
    </row>
    <row r="10" spans="1:56" s="962" customFormat="1" ht="12" customHeight="1">
      <c r="A10" s="709"/>
      <c r="B10" s="706" t="s">
        <v>115</v>
      </c>
      <c r="C10" s="708"/>
      <c r="D10" s="704">
        <f>SUM(D221:D237)</f>
        <v>2221.83</v>
      </c>
      <c r="E10" s="703">
        <f>SUM(E221:E237)</f>
        <v>98</v>
      </c>
      <c r="F10" s="703" t="e">
        <f>SUM(F221:F237)+#REF!</f>
        <v>#REF!</v>
      </c>
      <c r="G10" s="703">
        <f>SUM(G221:G237)</f>
        <v>359</v>
      </c>
      <c r="H10" s="703">
        <f>SUM(H221:H237)</f>
        <v>0</v>
      </c>
      <c r="I10" s="703">
        <f>SUM(I221:I237)</f>
        <v>120</v>
      </c>
      <c r="J10" s="703" t="e">
        <f>SUM(J221:J237)+#REF!</f>
        <v>#REF!</v>
      </c>
      <c r="K10" s="703"/>
      <c r="L10" s="703">
        <f>SUM(L221:L237)</f>
        <v>0</v>
      </c>
      <c r="M10" s="963"/>
      <c r="N10" s="963"/>
      <c r="O10" s="963"/>
      <c r="P10" s="963"/>
      <c r="Q10" s="963"/>
      <c r="R10" s="963"/>
      <c r="S10" s="963"/>
      <c r="T10" s="963"/>
      <c r="U10" s="963"/>
      <c r="V10" s="963"/>
      <c r="W10" s="963"/>
      <c r="X10" s="963"/>
      <c r="Y10" s="963"/>
      <c r="Z10" s="963"/>
      <c r="AA10" s="963"/>
      <c r="AB10" s="963"/>
      <c r="AC10" s="963"/>
      <c r="AD10" s="963"/>
      <c r="AE10" s="963"/>
      <c r="AF10" s="963"/>
      <c r="AG10" s="963"/>
      <c r="AH10" s="963"/>
      <c r="AI10" s="963"/>
      <c r="AJ10" s="963"/>
      <c r="AK10" s="963"/>
      <c r="AL10" s="963"/>
      <c r="AM10" s="963"/>
      <c r="AN10" s="963"/>
      <c r="AO10" s="963"/>
      <c r="AP10" s="963"/>
      <c r="AQ10" s="963"/>
      <c r="AR10" s="963"/>
      <c r="AS10" s="963"/>
      <c r="AT10" s="963"/>
      <c r="AU10" s="963"/>
      <c r="AV10" s="963"/>
      <c r="AW10" s="963"/>
      <c r="AX10" s="963"/>
      <c r="AY10" s="963"/>
      <c r="AZ10" s="963"/>
      <c r="BA10" s="963"/>
      <c r="BB10" s="963"/>
      <c r="BC10" s="963"/>
      <c r="BD10" s="963"/>
    </row>
    <row r="11" spans="1:56" s="962" customFormat="1" ht="12" customHeight="1">
      <c r="A11" s="709"/>
      <c r="B11" s="706" t="s">
        <v>114</v>
      </c>
      <c r="C11" s="708"/>
      <c r="D11" s="704">
        <f>SUM(D239:D264)</f>
        <v>2571.7399999999998</v>
      </c>
      <c r="E11" s="703">
        <f>SUM(E239:E264)</f>
        <v>320</v>
      </c>
      <c r="F11" s="703" t="e">
        <f>SUM(F239:F264)+#REF!</f>
        <v>#REF!</v>
      </c>
      <c r="G11" s="703">
        <f>SUM(G239:G264)</f>
        <v>288</v>
      </c>
      <c r="H11" s="703">
        <f>SUM(H239:H264)</f>
        <v>110</v>
      </c>
      <c r="I11" s="703">
        <f>SUM(I239:I264)</f>
        <v>0</v>
      </c>
      <c r="J11" s="703">
        <f>SUM(J239:J264)</f>
        <v>0</v>
      </c>
      <c r="K11" s="703"/>
      <c r="L11" s="703">
        <f>SUM(L239:L264)</f>
        <v>1168.45</v>
      </c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963"/>
      <c r="AN11" s="963"/>
      <c r="AO11" s="963"/>
      <c r="AP11" s="963"/>
      <c r="AQ11" s="963"/>
      <c r="AR11" s="963"/>
      <c r="AS11" s="963"/>
      <c r="AT11" s="963"/>
      <c r="AU11" s="963"/>
      <c r="AV11" s="963"/>
      <c r="AW11" s="963"/>
      <c r="AX11" s="963"/>
      <c r="AY11" s="963"/>
      <c r="AZ11" s="963"/>
      <c r="BA11" s="963"/>
      <c r="BB11" s="963"/>
      <c r="BC11" s="963"/>
      <c r="BD11" s="963"/>
    </row>
    <row r="12" spans="1:56" s="962" customFormat="1" ht="12" customHeight="1">
      <c r="A12" s="709"/>
      <c r="B12" s="706" t="s">
        <v>113</v>
      </c>
      <c r="C12" s="708"/>
      <c r="D12" s="704">
        <f>SUM(D266:D299)</f>
        <v>4881.7800000000007</v>
      </c>
      <c r="E12" s="703">
        <f>SUM(E266:E299)</f>
        <v>600</v>
      </c>
      <c r="F12" s="703" t="e">
        <f>SUM(F266:F299)+#REF!</f>
        <v>#REF!</v>
      </c>
      <c r="G12" s="703">
        <f>SUM(G266:G299)</f>
        <v>334</v>
      </c>
      <c r="H12" s="703">
        <f>SUM(H266:H299)</f>
        <v>369</v>
      </c>
      <c r="I12" s="703">
        <f>SUM(I266:I299)</f>
        <v>0</v>
      </c>
      <c r="J12" s="703">
        <f>SUM(J266:J299)</f>
        <v>0</v>
      </c>
      <c r="K12" s="703"/>
      <c r="L12" s="703">
        <f>SUM(L266:L299)</f>
        <v>100</v>
      </c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963"/>
      <c r="AN12" s="963"/>
      <c r="AO12" s="963"/>
      <c r="AP12" s="963"/>
      <c r="AQ12" s="963"/>
      <c r="AR12" s="963"/>
      <c r="AS12" s="963"/>
      <c r="AT12" s="963"/>
      <c r="AU12" s="963"/>
      <c r="AV12" s="963"/>
      <c r="AW12" s="963"/>
      <c r="AX12" s="963"/>
      <c r="AY12" s="963"/>
      <c r="AZ12" s="963"/>
      <c r="BA12" s="963"/>
      <c r="BB12" s="963"/>
      <c r="BC12" s="963"/>
      <c r="BD12" s="963"/>
    </row>
    <row r="13" spans="1:56" s="955" customFormat="1" ht="12" customHeight="1">
      <c r="A13" s="961"/>
      <c r="B13" s="960" t="s">
        <v>112</v>
      </c>
      <c r="C13" s="959"/>
      <c r="D13" s="958">
        <f t="shared" ref="D13:J13" si="0">SUM(D301:D343)</f>
        <v>8071.8499999999995</v>
      </c>
      <c r="E13" s="957">
        <f t="shared" si="0"/>
        <v>1256</v>
      </c>
      <c r="F13" s="957">
        <f t="shared" si="0"/>
        <v>0</v>
      </c>
      <c r="G13" s="957">
        <f t="shared" si="0"/>
        <v>614</v>
      </c>
      <c r="H13" s="957">
        <f t="shared" si="0"/>
        <v>402</v>
      </c>
      <c r="I13" s="957">
        <f t="shared" si="0"/>
        <v>0</v>
      </c>
      <c r="J13" s="957">
        <f t="shared" si="0"/>
        <v>0</v>
      </c>
      <c r="K13" s="957"/>
      <c r="L13" s="957">
        <f>SUM(L301:L343)</f>
        <v>150</v>
      </c>
      <c r="M13" s="956"/>
      <c r="N13" s="956"/>
      <c r="O13" s="956"/>
      <c r="P13" s="956"/>
      <c r="Q13" s="956"/>
      <c r="R13" s="956"/>
      <c r="S13" s="956"/>
      <c r="T13" s="956"/>
      <c r="U13" s="956"/>
      <c r="V13" s="956"/>
      <c r="W13" s="956"/>
      <c r="X13" s="956"/>
      <c r="Y13" s="956"/>
      <c r="Z13" s="956"/>
      <c r="AA13" s="956"/>
      <c r="AB13" s="956"/>
      <c r="AC13" s="956"/>
      <c r="AD13" s="956"/>
      <c r="AE13" s="956"/>
      <c r="AF13" s="956"/>
      <c r="AG13" s="956"/>
      <c r="AH13" s="956"/>
      <c r="AI13" s="956"/>
      <c r="AJ13" s="956"/>
      <c r="AK13" s="956"/>
      <c r="AL13" s="956"/>
      <c r="AM13" s="956"/>
      <c r="AN13" s="956"/>
      <c r="AO13" s="956"/>
      <c r="AP13" s="956"/>
      <c r="AQ13" s="956"/>
      <c r="AR13" s="956"/>
      <c r="AS13" s="956"/>
      <c r="AT13" s="956"/>
      <c r="AU13" s="956"/>
      <c r="AV13" s="956"/>
      <c r="AW13" s="956"/>
      <c r="AX13" s="956"/>
      <c r="AY13" s="956"/>
      <c r="AZ13" s="956"/>
      <c r="BA13" s="956"/>
      <c r="BB13" s="956"/>
      <c r="BC13" s="956"/>
      <c r="BD13" s="956"/>
    </row>
    <row r="14" spans="1:56" s="694" customFormat="1" ht="12" customHeight="1">
      <c r="A14" s="700"/>
      <c r="B14" s="699" t="s">
        <v>1101</v>
      </c>
      <c r="C14" s="698"/>
      <c r="D14" s="697">
        <f t="shared" ref="D14:J14" si="1">SUM(D2:D8)</f>
        <v>47733.700000000012</v>
      </c>
      <c r="E14" s="696">
        <f t="shared" si="1"/>
        <v>3215.95</v>
      </c>
      <c r="F14" s="696" t="e">
        <f t="shared" si="1"/>
        <v>#REF!</v>
      </c>
      <c r="G14" s="696">
        <f t="shared" si="1"/>
        <v>1284</v>
      </c>
      <c r="H14" s="696">
        <f t="shared" si="1"/>
        <v>0</v>
      </c>
      <c r="I14" s="696">
        <f t="shared" si="1"/>
        <v>0</v>
      </c>
      <c r="J14" s="696" t="e">
        <f t="shared" si="1"/>
        <v>#REF!</v>
      </c>
      <c r="K14" s="3049"/>
      <c r="L14" s="3049">
        <f>SUM(L2:L8)</f>
        <v>1500</v>
      </c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5"/>
      <c r="AD14" s="695"/>
      <c r="AE14" s="695"/>
      <c r="AF14" s="695"/>
      <c r="AG14" s="695"/>
      <c r="AH14" s="695"/>
      <c r="AI14" s="695"/>
      <c r="AJ14" s="695"/>
      <c r="AK14" s="695"/>
      <c r="AL14" s="695"/>
      <c r="AM14" s="695"/>
      <c r="AN14" s="695"/>
      <c r="AO14" s="695"/>
      <c r="AP14" s="695"/>
      <c r="AQ14" s="695"/>
      <c r="AR14" s="695"/>
      <c r="AS14" s="695"/>
      <c r="AT14" s="695"/>
      <c r="AU14" s="695"/>
      <c r="AV14" s="695"/>
      <c r="AW14" s="695"/>
      <c r="AX14" s="695"/>
      <c r="AY14" s="695"/>
      <c r="AZ14" s="695"/>
      <c r="BA14" s="695"/>
      <c r="BB14" s="695"/>
      <c r="BC14" s="695"/>
      <c r="BD14" s="695"/>
    </row>
    <row r="15" spans="1:56" s="662" customFormat="1" ht="12" customHeight="1">
      <c r="A15" s="668"/>
      <c r="B15" s="667" t="s">
        <v>1100</v>
      </c>
      <c r="C15" s="666" t="s">
        <v>37</v>
      </c>
      <c r="D15" s="665"/>
      <c r="E15" s="664" t="s">
        <v>48</v>
      </c>
      <c r="F15" s="664" t="s">
        <v>282</v>
      </c>
      <c r="G15" s="664" t="s">
        <v>280</v>
      </c>
      <c r="H15" s="664"/>
      <c r="I15" s="664" t="s">
        <v>629</v>
      </c>
      <c r="J15" s="664" t="s">
        <v>58</v>
      </c>
      <c r="K15" s="3047" t="s">
        <v>561</v>
      </c>
      <c r="L15" s="3047"/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/>
      <c r="AN15" s="663"/>
      <c r="AO15" s="663"/>
      <c r="AP15" s="663"/>
      <c r="AQ15" s="663"/>
      <c r="AR15" s="663"/>
      <c r="AS15" s="663"/>
      <c r="AT15" s="663"/>
      <c r="AU15" s="663"/>
      <c r="AV15" s="663"/>
      <c r="AW15" s="663"/>
      <c r="AX15" s="663"/>
      <c r="AY15" s="663"/>
      <c r="AZ15" s="663"/>
      <c r="BA15" s="663"/>
      <c r="BB15" s="663"/>
      <c r="BC15" s="663"/>
      <c r="BD15" s="663"/>
    </row>
    <row r="16" spans="1:56" ht="12" customHeight="1">
      <c r="B16" s="661">
        <v>42734</v>
      </c>
      <c r="C16" s="660" t="s">
        <v>1099</v>
      </c>
      <c r="D16" s="659">
        <v>99.9</v>
      </c>
      <c r="E16" s="460"/>
      <c r="F16" s="460"/>
      <c r="G16" s="460"/>
      <c r="H16" s="460"/>
      <c r="I16" s="460"/>
      <c r="J16" s="460"/>
      <c r="K16" s="460"/>
      <c r="L16" s="460"/>
    </row>
    <row r="17" spans="2:12" s="648" customFormat="1" ht="12" customHeight="1">
      <c r="B17" s="661">
        <v>42734</v>
      </c>
      <c r="C17" s="660" t="s">
        <v>1098</v>
      </c>
      <c r="D17" s="659">
        <v>59</v>
      </c>
      <c r="E17" s="460"/>
      <c r="F17" s="460"/>
      <c r="G17" s="460"/>
      <c r="H17" s="460"/>
      <c r="I17" s="460"/>
      <c r="J17" s="460"/>
      <c r="K17" s="460"/>
      <c r="L17" s="460"/>
    </row>
    <row r="18" spans="2:12" s="648" customFormat="1" ht="12" customHeight="1">
      <c r="B18" s="661">
        <v>42734</v>
      </c>
      <c r="C18" s="660" t="s">
        <v>430</v>
      </c>
      <c r="D18" s="659">
        <v>40</v>
      </c>
      <c r="E18" s="460"/>
      <c r="F18" s="460"/>
      <c r="G18" s="460"/>
      <c r="H18" s="460"/>
      <c r="I18" s="460"/>
      <c r="J18" s="460"/>
      <c r="K18" s="460"/>
      <c r="L18" s="460"/>
    </row>
    <row r="19" spans="2:12" s="648" customFormat="1" ht="12" customHeight="1">
      <c r="B19" s="661">
        <v>42734</v>
      </c>
      <c r="C19" s="660" t="s">
        <v>216</v>
      </c>
      <c r="D19" s="659">
        <v>200</v>
      </c>
      <c r="E19" s="460">
        <f>D19</f>
        <v>200</v>
      </c>
      <c r="F19" s="460"/>
      <c r="G19" s="460"/>
      <c r="H19" s="460"/>
      <c r="I19" s="460"/>
      <c r="J19" s="460"/>
      <c r="K19" s="460"/>
      <c r="L19" s="460"/>
    </row>
    <row r="20" spans="2:12" s="648" customFormat="1" ht="12" customHeight="1">
      <c r="B20" s="661">
        <v>42734</v>
      </c>
      <c r="C20" s="660" t="s">
        <v>1097</v>
      </c>
      <c r="D20" s="659">
        <v>442.5</v>
      </c>
      <c r="E20" s="460"/>
      <c r="F20" s="460"/>
      <c r="G20" s="460"/>
      <c r="H20" s="460"/>
      <c r="I20" s="460"/>
      <c r="J20" s="460"/>
      <c r="K20" s="460"/>
      <c r="L20" s="460"/>
    </row>
    <row r="21" spans="2:12" s="648" customFormat="1" ht="12" customHeight="1">
      <c r="B21" s="661">
        <v>42734</v>
      </c>
      <c r="C21" s="660" t="s">
        <v>216</v>
      </c>
      <c r="D21" s="659">
        <v>200</v>
      </c>
      <c r="E21" s="460">
        <f>D21</f>
        <v>200</v>
      </c>
      <c r="F21" s="460"/>
      <c r="G21" s="460"/>
      <c r="H21" s="460"/>
      <c r="I21" s="460"/>
      <c r="J21" s="460"/>
      <c r="K21" s="460"/>
      <c r="L21" s="460"/>
    </row>
    <row r="22" spans="2:12" s="648" customFormat="1" ht="12" customHeight="1">
      <c r="B22" s="661">
        <v>42734</v>
      </c>
      <c r="C22" s="660" t="s">
        <v>1096</v>
      </c>
      <c r="D22" s="659">
        <v>39.950000000000003</v>
      </c>
      <c r="E22" s="460"/>
      <c r="F22" s="460"/>
      <c r="G22" s="460"/>
      <c r="H22" s="460"/>
      <c r="I22" s="460"/>
      <c r="J22" s="460"/>
      <c r="K22" s="460"/>
      <c r="L22" s="460"/>
    </row>
    <row r="23" spans="2:12" s="648" customFormat="1" ht="12" customHeight="1">
      <c r="B23" s="661">
        <v>42734</v>
      </c>
      <c r="C23" s="660" t="s">
        <v>167</v>
      </c>
      <c r="D23" s="659">
        <v>270</v>
      </c>
      <c r="E23" s="460"/>
      <c r="F23" s="460"/>
      <c r="G23" s="460"/>
      <c r="H23" s="460"/>
      <c r="I23" s="460"/>
      <c r="J23" s="460"/>
      <c r="K23" s="460"/>
      <c r="L23" s="460"/>
    </row>
    <row r="24" spans="2:12" s="648" customFormat="1" ht="12" customHeight="1">
      <c r="B24" s="661">
        <v>42735</v>
      </c>
      <c r="C24" s="660" t="s">
        <v>216</v>
      </c>
      <c r="D24" s="659">
        <v>200</v>
      </c>
      <c r="E24" s="460">
        <v>200</v>
      </c>
      <c r="F24" s="460"/>
      <c r="G24" s="460"/>
      <c r="H24" s="460"/>
      <c r="I24" s="460"/>
      <c r="J24" s="460"/>
      <c r="K24" s="460"/>
      <c r="L24" s="460"/>
    </row>
    <row r="25" spans="2:12" s="648" customFormat="1" ht="12" customHeight="1">
      <c r="B25" s="661">
        <v>42735</v>
      </c>
      <c r="C25" s="660" t="s">
        <v>1095</v>
      </c>
      <c r="D25" s="659">
        <v>99</v>
      </c>
      <c r="E25" s="460"/>
      <c r="F25" s="460"/>
      <c r="G25" s="460"/>
      <c r="H25" s="460"/>
      <c r="I25" s="460"/>
      <c r="J25" s="460"/>
      <c r="K25" s="460"/>
      <c r="L25" s="460"/>
    </row>
    <row r="26" spans="2:12" s="648" customFormat="1" ht="12" customHeight="1">
      <c r="B26" s="661">
        <v>42736</v>
      </c>
      <c r="C26" s="660" t="s">
        <v>617</v>
      </c>
      <c r="D26" s="659">
        <v>1371.88</v>
      </c>
      <c r="E26" s="460"/>
      <c r="F26" s="460">
        <v>514.16</v>
      </c>
      <c r="G26" s="460"/>
      <c r="H26" s="460"/>
      <c r="I26" s="460"/>
      <c r="J26" s="460">
        <v>852.22</v>
      </c>
      <c r="K26" s="460"/>
      <c r="L26" s="460"/>
    </row>
    <row r="27" spans="2:12" s="648" customFormat="1" ht="12" customHeight="1">
      <c r="B27" s="661">
        <v>42736</v>
      </c>
      <c r="C27" s="660" t="s">
        <v>22</v>
      </c>
      <c r="D27" s="659"/>
      <c r="E27" s="460"/>
      <c r="F27" s="460"/>
      <c r="G27" s="460">
        <v>125</v>
      </c>
      <c r="H27" s="460"/>
      <c r="I27" s="460"/>
      <c r="J27" s="460"/>
      <c r="K27" s="460"/>
      <c r="L27" s="460"/>
    </row>
    <row r="28" spans="2:12" s="648" customFormat="1" ht="12" customHeight="1">
      <c r="B28" s="661">
        <v>42736</v>
      </c>
      <c r="C28" s="660" t="s">
        <v>21</v>
      </c>
      <c r="D28" s="659">
        <v>0</v>
      </c>
      <c r="E28" s="460"/>
      <c r="F28" s="460"/>
      <c r="G28" s="460">
        <v>0</v>
      </c>
      <c r="H28" s="460"/>
      <c r="I28" s="460"/>
      <c r="J28" s="460"/>
      <c r="K28" s="460"/>
      <c r="L28" s="460"/>
    </row>
    <row r="29" spans="2:12" s="648" customFormat="1" ht="12" customHeight="1">
      <c r="B29" s="661">
        <v>42736</v>
      </c>
      <c r="C29" s="660" t="s">
        <v>230</v>
      </c>
      <c r="D29" s="659">
        <v>199</v>
      </c>
      <c r="E29" s="460"/>
      <c r="F29" s="460"/>
      <c r="G29" s="460">
        <v>199</v>
      </c>
      <c r="H29" s="460"/>
      <c r="I29" s="460"/>
      <c r="J29" s="460"/>
      <c r="K29" s="460"/>
      <c r="L29" s="460"/>
    </row>
    <row r="30" spans="2:12" s="648" customFormat="1" ht="12" customHeight="1">
      <c r="B30" s="661">
        <v>42737</v>
      </c>
      <c r="C30" s="660" t="s">
        <v>1094</v>
      </c>
      <c r="D30" s="659">
        <v>7788</v>
      </c>
      <c r="E30" s="460"/>
      <c r="F30" s="460">
        <v>7788</v>
      </c>
      <c r="G30" s="460"/>
      <c r="H30" s="460"/>
      <c r="I30" s="460"/>
      <c r="J30" s="460"/>
      <c r="K30" s="460"/>
      <c r="L30" s="460"/>
    </row>
    <row r="31" spans="2:12" s="648" customFormat="1" ht="12" customHeight="1">
      <c r="B31" s="661">
        <v>42737</v>
      </c>
      <c r="C31" s="660" t="s">
        <v>397</v>
      </c>
      <c r="D31" s="659">
        <v>199.5</v>
      </c>
      <c r="E31" s="460"/>
      <c r="F31" s="460"/>
      <c r="G31" s="460"/>
      <c r="H31" s="460"/>
      <c r="I31" s="460"/>
      <c r="J31" s="460"/>
      <c r="K31" s="460"/>
      <c r="L31" s="460"/>
    </row>
    <row r="32" spans="2:12" s="648" customFormat="1" ht="12" customHeight="1">
      <c r="B32" s="661">
        <v>42738</v>
      </c>
      <c r="C32" s="660" t="s">
        <v>869</v>
      </c>
      <c r="D32" s="659">
        <v>353.15</v>
      </c>
      <c r="E32" s="460"/>
      <c r="F32" s="460"/>
      <c r="G32" s="460"/>
      <c r="H32" s="460"/>
      <c r="I32" s="460"/>
      <c r="J32" s="460"/>
      <c r="K32" s="460"/>
      <c r="L32" s="460"/>
    </row>
    <row r="33" spans="2:12" s="648" customFormat="1" ht="12" customHeight="1">
      <c r="B33" s="661">
        <v>42738</v>
      </c>
      <c r="C33" s="660" t="s">
        <v>48</v>
      </c>
      <c r="D33" s="659">
        <v>200</v>
      </c>
      <c r="E33" s="460">
        <v>200</v>
      </c>
      <c r="F33" s="460"/>
      <c r="G33" s="460"/>
      <c r="H33" s="460"/>
      <c r="I33" s="460"/>
      <c r="J33" s="460"/>
      <c r="K33" s="460"/>
      <c r="L33" s="460"/>
    </row>
    <row r="34" spans="2:12" s="648" customFormat="1" ht="12" customHeight="1">
      <c r="B34" s="661">
        <v>42739</v>
      </c>
      <c r="C34" s="660" t="s">
        <v>48</v>
      </c>
      <c r="D34" s="659">
        <v>200</v>
      </c>
      <c r="E34" s="460">
        <v>200</v>
      </c>
      <c r="F34" s="460"/>
      <c r="G34" s="460"/>
      <c r="H34" s="460"/>
      <c r="I34" s="460"/>
      <c r="J34" s="460"/>
      <c r="K34" s="460"/>
      <c r="L34" s="460"/>
    </row>
    <row r="35" spans="2:12" s="648" customFormat="1" ht="12" customHeight="1">
      <c r="B35" s="661">
        <v>42739</v>
      </c>
      <c r="C35" s="660" t="s">
        <v>1093</v>
      </c>
      <c r="D35" s="659">
        <v>44.95</v>
      </c>
      <c r="E35" s="460"/>
      <c r="F35" s="460"/>
      <c r="G35" s="460"/>
      <c r="H35" s="460"/>
      <c r="I35" s="460"/>
      <c r="J35" s="460"/>
      <c r="K35" s="460"/>
      <c r="L35" s="460"/>
    </row>
    <row r="36" spans="2:12" s="648" customFormat="1" ht="12" customHeight="1">
      <c r="B36" s="661">
        <v>42739</v>
      </c>
      <c r="C36" s="660" t="s">
        <v>896</v>
      </c>
      <c r="D36" s="659">
        <v>39.9</v>
      </c>
      <c r="E36" s="460"/>
      <c r="F36" s="460"/>
      <c r="G36" s="460"/>
      <c r="H36" s="460"/>
      <c r="I36" s="460"/>
      <c r="J36" s="460"/>
      <c r="K36" s="460"/>
      <c r="L36" s="460"/>
    </row>
    <row r="37" spans="2:12" s="648" customFormat="1" ht="12" customHeight="1">
      <c r="B37" s="661">
        <v>42740</v>
      </c>
      <c r="C37" s="660" t="s">
        <v>48</v>
      </c>
      <c r="D37" s="659">
        <v>200</v>
      </c>
      <c r="E37" s="460">
        <v>200</v>
      </c>
      <c r="F37" s="460"/>
      <c r="G37" s="460"/>
      <c r="H37" s="460"/>
      <c r="I37" s="460"/>
      <c r="J37" s="460"/>
      <c r="K37" s="460"/>
      <c r="L37" s="460"/>
    </row>
    <row r="38" spans="2:12" s="648" customFormat="1" ht="12" customHeight="1">
      <c r="B38" s="661">
        <v>42740</v>
      </c>
      <c r="C38" s="660" t="s">
        <v>216</v>
      </c>
      <c r="D38" s="659">
        <v>305.45</v>
      </c>
      <c r="E38" s="460">
        <v>200</v>
      </c>
      <c r="F38" s="460"/>
      <c r="G38" s="460"/>
      <c r="H38" s="460"/>
      <c r="I38" s="460"/>
      <c r="J38" s="460"/>
      <c r="K38" s="460"/>
      <c r="L38" s="460"/>
    </row>
    <row r="39" spans="2:12" s="648" customFormat="1" ht="12" customHeight="1">
      <c r="B39" s="661">
        <v>42740</v>
      </c>
      <c r="C39" s="660" t="s">
        <v>235</v>
      </c>
      <c r="D39" s="659">
        <v>80</v>
      </c>
      <c r="E39" s="460"/>
      <c r="F39" s="460"/>
      <c r="G39" s="460"/>
      <c r="H39" s="460"/>
      <c r="I39" s="460"/>
      <c r="J39" s="460"/>
      <c r="K39" s="460"/>
      <c r="L39" s="460"/>
    </row>
    <row r="40" spans="2:12" s="648" customFormat="1" ht="12" customHeight="1">
      <c r="B40" s="661">
        <v>42744</v>
      </c>
      <c r="C40" s="660" t="s">
        <v>249</v>
      </c>
      <c r="D40" s="659">
        <v>183.2</v>
      </c>
      <c r="E40" s="460"/>
      <c r="F40" s="460"/>
      <c r="G40" s="460"/>
      <c r="H40" s="460"/>
      <c r="I40" s="460"/>
      <c r="J40" s="460"/>
      <c r="K40" s="460"/>
      <c r="L40" s="460"/>
    </row>
    <row r="41" spans="2:12" s="648" customFormat="1" ht="12" customHeight="1">
      <c r="B41" s="661">
        <v>42745</v>
      </c>
      <c r="C41" s="660" t="s">
        <v>48</v>
      </c>
      <c r="D41" s="659">
        <v>200</v>
      </c>
      <c r="E41" s="460">
        <v>200</v>
      </c>
      <c r="F41" s="460"/>
      <c r="G41" s="460"/>
      <c r="H41" s="460"/>
      <c r="I41" s="460"/>
      <c r="J41" s="460"/>
      <c r="K41" s="460"/>
      <c r="L41" s="460"/>
    </row>
    <row r="42" spans="2:12" s="648" customFormat="1" ht="12" customHeight="1">
      <c r="B42" s="661">
        <v>42745</v>
      </c>
      <c r="C42" s="660" t="s">
        <v>1092</v>
      </c>
      <c r="D42" s="659">
        <v>203.95</v>
      </c>
      <c r="E42" s="460"/>
      <c r="F42" s="460"/>
      <c r="G42" s="460"/>
      <c r="H42" s="460"/>
      <c r="I42" s="460"/>
      <c r="J42" s="460"/>
      <c r="K42" s="460"/>
      <c r="L42" s="460"/>
    </row>
    <row r="43" spans="2:12" s="648" customFormat="1" ht="12" customHeight="1">
      <c r="B43" s="661">
        <v>42745</v>
      </c>
      <c r="C43" s="660" t="s">
        <v>644</v>
      </c>
      <c r="D43" s="659">
        <v>-2000</v>
      </c>
      <c r="E43" s="460"/>
      <c r="F43" s="460">
        <v>-2000</v>
      </c>
      <c r="G43" s="460"/>
      <c r="H43" s="460"/>
      <c r="I43" s="460"/>
      <c r="J43" s="460"/>
      <c r="K43" s="460"/>
      <c r="L43" s="460"/>
    </row>
    <row r="44" spans="2:12" s="648" customFormat="1" ht="12" customHeight="1">
      <c r="B44" s="661">
        <v>42747</v>
      </c>
      <c r="C44" s="660" t="s">
        <v>49</v>
      </c>
      <c r="D44" s="659">
        <v>-629.44000000000005</v>
      </c>
      <c r="E44" s="460"/>
      <c r="F44" s="460">
        <v>-629.44000000000005</v>
      </c>
      <c r="G44" s="460"/>
      <c r="H44" s="460"/>
      <c r="I44" s="460"/>
      <c r="J44" s="460"/>
      <c r="K44" s="460"/>
      <c r="L44" s="460"/>
    </row>
    <row r="45" spans="2:12" s="648" customFormat="1" ht="12" customHeight="1">
      <c r="B45" s="661">
        <v>42748</v>
      </c>
      <c r="C45" s="660" t="s">
        <v>186</v>
      </c>
      <c r="D45" s="659">
        <v>202.53</v>
      </c>
      <c r="E45" s="460"/>
      <c r="F45" s="460"/>
      <c r="G45" s="460"/>
      <c r="H45" s="460"/>
      <c r="I45" s="460"/>
      <c r="J45" s="460"/>
      <c r="K45" s="460"/>
      <c r="L45" s="460"/>
    </row>
    <row r="46" spans="2:12" s="648" customFormat="1" ht="12" customHeight="1">
      <c r="B46" s="661">
        <v>42748</v>
      </c>
      <c r="C46" s="660" t="s">
        <v>648</v>
      </c>
      <c r="D46" s="659">
        <v>149</v>
      </c>
      <c r="E46" s="460"/>
      <c r="F46" s="460"/>
      <c r="G46" s="460"/>
      <c r="H46" s="460"/>
      <c r="I46" s="460"/>
      <c r="J46" s="460"/>
      <c r="K46" s="460"/>
      <c r="L46" s="460"/>
    </row>
    <row r="47" spans="2:12" s="648" customFormat="1" ht="12" customHeight="1">
      <c r="B47" s="661">
        <v>42748</v>
      </c>
      <c r="C47" s="660" t="s">
        <v>1091</v>
      </c>
      <c r="D47" s="659">
        <v>168.95</v>
      </c>
      <c r="E47" s="460"/>
      <c r="F47" s="460"/>
      <c r="G47" s="460"/>
      <c r="H47" s="460"/>
      <c r="I47" s="460"/>
      <c r="J47" s="460"/>
      <c r="K47" s="460"/>
      <c r="L47" s="460"/>
    </row>
    <row r="48" spans="2:12" s="648" customFormat="1" ht="12" customHeight="1">
      <c r="B48" s="661">
        <v>42753</v>
      </c>
      <c r="C48" s="660" t="s">
        <v>216</v>
      </c>
      <c r="D48" s="659">
        <v>183.95</v>
      </c>
      <c r="E48" s="460"/>
      <c r="F48" s="460">
        <v>178.95</v>
      </c>
      <c r="G48" s="460"/>
      <c r="H48" s="460"/>
      <c r="I48" s="460"/>
      <c r="J48" s="460"/>
      <c r="K48" s="460"/>
      <c r="L48" s="460"/>
    </row>
    <row r="49" spans="1:56" ht="12" customHeight="1">
      <c r="B49" s="661">
        <v>42753</v>
      </c>
      <c r="C49" s="660" t="s">
        <v>1090</v>
      </c>
      <c r="D49" s="659">
        <v>54.9</v>
      </c>
      <c r="E49" s="460"/>
      <c r="F49" s="460">
        <v>54.9</v>
      </c>
      <c r="G49" s="460"/>
      <c r="H49" s="460"/>
      <c r="I49" s="460"/>
      <c r="J49" s="460"/>
      <c r="K49" s="460"/>
      <c r="L49" s="460"/>
    </row>
    <row r="50" spans="1:56" ht="12" customHeight="1">
      <c r="B50" s="661">
        <v>42754</v>
      </c>
      <c r="C50" s="660" t="s">
        <v>1089</v>
      </c>
      <c r="D50" s="659">
        <v>-2000</v>
      </c>
      <c r="E50" s="460"/>
      <c r="F50" s="460">
        <v>-2000</v>
      </c>
      <c r="G50" s="460"/>
      <c r="H50" s="460"/>
      <c r="I50" s="460"/>
      <c r="J50" s="460"/>
      <c r="K50" s="460"/>
      <c r="L50" s="460"/>
    </row>
    <row r="51" spans="1:56" ht="12" customHeight="1">
      <c r="B51" s="661">
        <v>42755</v>
      </c>
      <c r="C51" s="660" t="s">
        <v>1070</v>
      </c>
      <c r="D51" s="659">
        <v>493.85</v>
      </c>
      <c r="E51" s="460"/>
      <c r="F51" s="460">
        <v>493.85</v>
      </c>
      <c r="G51" s="460"/>
      <c r="H51" s="460"/>
      <c r="I51" s="460"/>
      <c r="J51" s="460"/>
      <c r="K51" s="460"/>
      <c r="L51" s="460"/>
    </row>
    <row r="52" spans="1:56" ht="12" customHeight="1">
      <c r="B52" s="661">
        <v>42759</v>
      </c>
      <c r="C52" s="660" t="s">
        <v>186</v>
      </c>
      <c r="D52" s="659">
        <v>206</v>
      </c>
      <c r="E52" s="460"/>
      <c r="F52" s="460"/>
      <c r="G52" s="460"/>
      <c r="H52" s="460"/>
      <c r="I52" s="460"/>
      <c r="J52" s="460"/>
      <c r="K52" s="460"/>
      <c r="L52" s="460"/>
    </row>
    <row r="53" spans="1:56" ht="12" customHeight="1">
      <c r="B53" s="661">
        <v>42760</v>
      </c>
      <c r="C53" s="660" t="s">
        <v>1088</v>
      </c>
      <c r="D53" s="659">
        <v>29.95</v>
      </c>
      <c r="E53" s="460"/>
      <c r="F53" s="460"/>
      <c r="G53" s="460"/>
      <c r="H53" s="460"/>
      <c r="I53" s="460"/>
      <c r="J53" s="460"/>
      <c r="K53" s="460"/>
      <c r="L53" s="460"/>
    </row>
    <row r="54" spans="1:56" ht="12" customHeight="1">
      <c r="B54" s="661">
        <v>42761</v>
      </c>
      <c r="C54" s="660" t="s">
        <v>543</v>
      </c>
      <c r="D54" s="659">
        <v>39</v>
      </c>
      <c r="E54" s="460"/>
      <c r="F54" s="460"/>
      <c r="G54" s="460"/>
      <c r="H54" s="460"/>
      <c r="I54" s="460"/>
      <c r="J54" s="460"/>
      <c r="K54" s="460"/>
      <c r="L54" s="460"/>
    </row>
    <row r="55" spans="1:56" ht="12" customHeight="1">
      <c r="B55" s="661">
        <v>42761</v>
      </c>
      <c r="C55" s="660" t="s">
        <v>1087</v>
      </c>
      <c r="D55" s="659">
        <v>90</v>
      </c>
      <c r="E55" s="460"/>
      <c r="F55" s="460"/>
      <c r="G55" s="460"/>
      <c r="H55" s="460"/>
      <c r="I55" s="460"/>
      <c r="J55" s="460"/>
      <c r="K55" s="460"/>
      <c r="L55" s="460"/>
    </row>
    <row r="56" spans="1:56" ht="12" customHeight="1">
      <c r="B56" s="658">
        <v>42762</v>
      </c>
      <c r="C56" s="657" t="s">
        <v>1086</v>
      </c>
      <c r="D56" s="656">
        <v>20</v>
      </c>
      <c r="E56" s="655"/>
      <c r="F56" s="655"/>
      <c r="G56" s="655"/>
      <c r="H56" s="655"/>
      <c r="I56" s="655"/>
      <c r="J56" s="655"/>
      <c r="K56" s="655"/>
      <c r="L56" s="655"/>
    </row>
    <row r="57" spans="1:56" s="662" customFormat="1" ht="12" customHeight="1">
      <c r="A57" s="668"/>
      <c r="B57" s="667" t="s">
        <v>121</v>
      </c>
      <c r="C57" s="666" t="s">
        <v>37</v>
      </c>
      <c r="D57" s="665"/>
      <c r="E57" s="664" t="s">
        <v>48</v>
      </c>
      <c r="F57" s="664" t="s">
        <v>282</v>
      </c>
      <c r="G57" s="664" t="s">
        <v>280</v>
      </c>
      <c r="H57" s="664"/>
      <c r="I57" s="664" t="s">
        <v>629</v>
      </c>
      <c r="J57" s="664" t="s">
        <v>58</v>
      </c>
      <c r="K57" s="3047" t="s">
        <v>561</v>
      </c>
      <c r="L57" s="3047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63"/>
      <c r="AL57" s="663"/>
      <c r="AM57" s="663"/>
      <c r="AN57" s="663"/>
      <c r="AO57" s="663"/>
      <c r="AP57" s="663"/>
      <c r="AQ57" s="663"/>
      <c r="AR57" s="663"/>
      <c r="AS57" s="663"/>
      <c r="AT57" s="663"/>
      <c r="AU57" s="663"/>
      <c r="AV57" s="663"/>
      <c r="AW57" s="663"/>
      <c r="AX57" s="663"/>
      <c r="AY57" s="663"/>
      <c r="AZ57" s="663"/>
      <c r="BA57" s="663"/>
      <c r="BB57" s="663"/>
      <c r="BC57" s="663"/>
      <c r="BD57" s="663"/>
    </row>
    <row r="58" spans="1:56" ht="12" customHeight="1">
      <c r="B58" s="690">
        <v>42766</v>
      </c>
      <c r="C58" s="689" t="s">
        <v>49</v>
      </c>
      <c r="D58" s="659">
        <v>2336.94</v>
      </c>
      <c r="E58" s="687"/>
      <c r="F58" s="460">
        <v>2336.94</v>
      </c>
      <c r="G58" s="687"/>
      <c r="H58" s="687"/>
      <c r="I58" s="687"/>
      <c r="J58" s="687"/>
      <c r="K58" s="687"/>
      <c r="L58" s="687"/>
    </row>
    <row r="59" spans="1:56" ht="12" customHeight="1">
      <c r="B59" s="661">
        <v>42766</v>
      </c>
      <c r="C59" s="660" t="s">
        <v>1085</v>
      </c>
      <c r="D59" s="659">
        <v>1968.71</v>
      </c>
      <c r="E59" s="460"/>
      <c r="F59" s="460">
        <v>1968.71</v>
      </c>
      <c r="G59" s="460"/>
      <c r="H59" s="460"/>
      <c r="I59" s="460"/>
      <c r="J59" s="460"/>
      <c r="K59" s="460"/>
      <c r="L59" s="460"/>
    </row>
    <row r="60" spans="1:56" ht="12" customHeight="1">
      <c r="B60" s="661">
        <v>42766</v>
      </c>
      <c r="C60" s="660" t="s">
        <v>22</v>
      </c>
      <c r="D60" s="659">
        <v>125</v>
      </c>
      <c r="E60" s="460"/>
      <c r="F60" s="460"/>
      <c r="G60" s="460">
        <v>125</v>
      </c>
      <c r="H60" s="460"/>
      <c r="I60" s="460"/>
      <c r="J60" s="460"/>
      <c r="K60" s="460"/>
      <c r="L60" s="460"/>
    </row>
    <row r="61" spans="1:56" ht="12" customHeight="1">
      <c r="B61" s="661">
        <v>42766</v>
      </c>
      <c r="C61" s="660" t="s">
        <v>21</v>
      </c>
      <c r="D61" s="659">
        <v>150</v>
      </c>
      <c r="E61" s="460"/>
      <c r="F61" s="460"/>
      <c r="G61" s="460">
        <v>150</v>
      </c>
      <c r="H61" s="460"/>
      <c r="I61" s="460"/>
      <c r="J61" s="460"/>
      <c r="K61" s="460"/>
      <c r="L61" s="460"/>
    </row>
    <row r="62" spans="1:56" ht="12" customHeight="1">
      <c r="B62" s="661">
        <v>42766</v>
      </c>
      <c r="C62" s="660" t="s">
        <v>1084</v>
      </c>
      <c r="D62" s="659">
        <v>99</v>
      </c>
      <c r="E62" s="460"/>
      <c r="F62" s="460"/>
      <c r="G62" s="460"/>
      <c r="H62" s="460"/>
      <c r="I62" s="460"/>
      <c r="J62" s="460"/>
      <c r="K62" s="460"/>
      <c r="L62" s="460"/>
    </row>
    <row r="63" spans="1:56" ht="12" customHeight="1">
      <c r="B63" s="661">
        <v>42766</v>
      </c>
      <c r="C63" s="660" t="s">
        <v>1083</v>
      </c>
      <c r="D63" s="659">
        <v>29.95</v>
      </c>
      <c r="E63" s="460"/>
      <c r="F63" s="460"/>
      <c r="G63" s="460"/>
      <c r="H63" s="460"/>
      <c r="I63" s="460"/>
      <c r="J63" s="460"/>
      <c r="K63" s="460"/>
      <c r="L63" s="460"/>
    </row>
    <row r="64" spans="1:56" ht="12" customHeight="1">
      <c r="B64" s="661">
        <v>42766</v>
      </c>
      <c r="C64" s="660" t="s">
        <v>1082</v>
      </c>
      <c r="D64" s="659">
        <v>19.95</v>
      </c>
      <c r="E64" s="460"/>
      <c r="F64" s="460"/>
      <c r="G64" s="460"/>
      <c r="H64" s="460"/>
      <c r="I64" s="460"/>
      <c r="J64" s="460"/>
      <c r="K64" s="460"/>
      <c r="L64" s="460"/>
    </row>
    <row r="65" spans="2:12" s="648" customFormat="1" ht="12" customHeight="1">
      <c r="B65" s="661">
        <v>42767</v>
      </c>
      <c r="C65" s="660" t="s">
        <v>617</v>
      </c>
      <c r="D65" s="659">
        <v>2909.18</v>
      </c>
      <c r="E65" s="460"/>
      <c r="F65" s="460">
        <v>1362.97</v>
      </c>
      <c r="G65" s="460"/>
      <c r="H65" s="460"/>
      <c r="I65" s="460"/>
      <c r="J65" s="460">
        <v>1540.91</v>
      </c>
      <c r="K65" s="460"/>
      <c r="L65" s="460"/>
    </row>
    <row r="66" spans="2:12" s="648" customFormat="1" ht="12" customHeight="1">
      <c r="B66" s="661">
        <v>42767</v>
      </c>
      <c r="C66" s="660" t="s">
        <v>164</v>
      </c>
      <c r="D66" s="659">
        <v>350</v>
      </c>
      <c r="E66" s="460"/>
      <c r="F66" s="460"/>
      <c r="G66" s="460"/>
      <c r="H66" s="460"/>
      <c r="I66" s="460"/>
      <c r="J66" s="460"/>
      <c r="K66" s="460"/>
      <c r="L66" s="460"/>
    </row>
    <row r="67" spans="2:12" s="648" customFormat="1" ht="12" customHeight="1">
      <c r="B67" s="661">
        <v>42767</v>
      </c>
      <c r="C67" s="660" t="s">
        <v>230</v>
      </c>
      <c r="D67" s="659">
        <v>199</v>
      </c>
      <c r="E67" s="460"/>
      <c r="F67" s="460"/>
      <c r="G67" s="460">
        <v>199</v>
      </c>
      <c r="H67" s="460"/>
      <c r="I67" s="460"/>
      <c r="J67" s="460"/>
      <c r="K67" s="460"/>
      <c r="L67" s="460"/>
    </row>
    <row r="68" spans="2:12" s="648" customFormat="1" ht="12" customHeight="1">
      <c r="B68" s="661">
        <v>42767</v>
      </c>
      <c r="C68" s="660" t="s">
        <v>957</v>
      </c>
      <c r="D68" s="659">
        <v>90</v>
      </c>
      <c r="E68" s="460"/>
      <c r="F68" s="460"/>
      <c r="G68" s="460"/>
      <c r="H68" s="460"/>
      <c r="I68" s="460"/>
      <c r="J68" s="460"/>
      <c r="K68" s="460"/>
      <c r="L68" s="460"/>
    </row>
    <row r="69" spans="2:12" s="648" customFormat="1" ht="12" customHeight="1">
      <c r="B69" s="661">
        <v>42767</v>
      </c>
      <c r="C69" s="660" t="s">
        <v>462</v>
      </c>
      <c r="D69" s="659">
        <v>240</v>
      </c>
      <c r="E69" s="460">
        <v>240</v>
      </c>
      <c r="F69" s="460"/>
      <c r="G69" s="460"/>
      <c r="H69" s="460"/>
      <c r="I69" s="460"/>
      <c r="J69" s="460"/>
      <c r="K69" s="460"/>
      <c r="L69" s="460"/>
    </row>
    <row r="70" spans="2:12" s="648" customFormat="1" ht="12" customHeight="1">
      <c r="B70" s="661">
        <v>42767</v>
      </c>
      <c r="C70" s="660" t="s">
        <v>216</v>
      </c>
      <c r="D70" s="659">
        <v>30</v>
      </c>
      <c r="E70" s="460"/>
      <c r="F70" s="460"/>
      <c r="G70" s="460"/>
      <c r="H70" s="460"/>
      <c r="I70" s="460"/>
      <c r="J70" s="460"/>
      <c r="K70" s="460"/>
      <c r="L70" s="460"/>
    </row>
    <row r="71" spans="2:12" s="648" customFormat="1" ht="12" customHeight="1">
      <c r="B71" s="661">
        <v>42768</v>
      </c>
      <c r="C71" s="660" t="s">
        <v>1081</v>
      </c>
      <c r="D71" s="659">
        <v>-2000</v>
      </c>
      <c r="E71" s="460"/>
      <c r="F71" s="460">
        <v>-2000</v>
      </c>
      <c r="G71" s="460"/>
      <c r="H71" s="460"/>
      <c r="I71" s="460"/>
      <c r="J71" s="460"/>
      <c r="K71" s="460"/>
      <c r="L71" s="460"/>
    </row>
    <row r="72" spans="2:12" s="648" customFormat="1" ht="12" customHeight="1">
      <c r="B72" s="661">
        <v>42768</v>
      </c>
      <c r="C72" s="660" t="s">
        <v>1080</v>
      </c>
      <c r="D72" s="659">
        <v>99</v>
      </c>
      <c r="E72" s="460"/>
      <c r="F72" s="460"/>
      <c r="G72" s="460"/>
      <c r="H72" s="460"/>
      <c r="I72" s="460"/>
      <c r="J72" s="460"/>
      <c r="K72" s="460"/>
      <c r="L72" s="460"/>
    </row>
    <row r="73" spans="2:12" s="648" customFormat="1" ht="12" customHeight="1">
      <c r="B73" s="661">
        <v>42769</v>
      </c>
      <c r="C73" s="660" t="s">
        <v>1079</v>
      </c>
      <c r="D73" s="659">
        <v>-500</v>
      </c>
      <c r="E73" s="460"/>
      <c r="F73" s="460"/>
      <c r="G73" s="460"/>
      <c r="H73" s="460"/>
      <c r="I73" s="460"/>
      <c r="J73" s="460"/>
      <c r="K73" s="460"/>
      <c r="L73" s="460">
        <v>500</v>
      </c>
    </row>
    <row r="74" spans="2:12" s="648" customFormat="1" ht="12" customHeight="1">
      <c r="B74" s="661">
        <v>42769</v>
      </c>
      <c r="C74" s="660" t="s">
        <v>636</v>
      </c>
      <c r="D74" s="659">
        <v>493.35</v>
      </c>
      <c r="E74" s="460"/>
      <c r="F74" s="460"/>
      <c r="G74" s="460"/>
      <c r="H74" s="460"/>
      <c r="I74" s="460"/>
      <c r="J74" s="460"/>
      <c r="K74" s="460"/>
      <c r="L74" s="460"/>
    </row>
    <row r="75" spans="2:12" s="648" customFormat="1" ht="12" customHeight="1">
      <c r="B75" s="661">
        <v>42769</v>
      </c>
      <c r="C75" s="660" t="s">
        <v>489</v>
      </c>
      <c r="D75" s="659">
        <v>50</v>
      </c>
      <c r="E75" s="460"/>
      <c r="F75" s="460"/>
      <c r="G75" s="460"/>
      <c r="H75" s="460"/>
      <c r="I75" s="460"/>
      <c r="J75" s="460"/>
      <c r="K75" s="460"/>
      <c r="L75" s="460"/>
    </row>
    <row r="76" spans="2:12" s="648" customFormat="1" ht="12" customHeight="1">
      <c r="B76" s="661">
        <v>42769</v>
      </c>
      <c r="C76" s="660" t="s">
        <v>543</v>
      </c>
      <c r="D76" s="659">
        <v>69</v>
      </c>
      <c r="E76" s="460"/>
      <c r="F76" s="460"/>
      <c r="G76" s="460"/>
      <c r="H76" s="460"/>
      <c r="I76" s="460"/>
      <c r="J76" s="460"/>
      <c r="K76" s="460"/>
      <c r="L76" s="460"/>
    </row>
    <row r="77" spans="2:12" s="648" customFormat="1" ht="12" customHeight="1">
      <c r="B77" s="661">
        <v>42769</v>
      </c>
      <c r="C77" s="660" t="s">
        <v>1078</v>
      </c>
      <c r="D77" s="659">
        <v>-500</v>
      </c>
      <c r="E77" s="460"/>
      <c r="F77" s="460"/>
      <c r="G77" s="460"/>
      <c r="H77" s="460"/>
      <c r="I77" s="460"/>
      <c r="J77" s="460"/>
      <c r="K77" s="460"/>
      <c r="L77" s="460"/>
    </row>
    <row r="78" spans="2:12" s="648" customFormat="1" ht="12" customHeight="1">
      <c r="B78" s="661">
        <v>42772</v>
      </c>
      <c r="C78" s="660" t="s">
        <v>1077</v>
      </c>
      <c r="D78" s="659">
        <v>169</v>
      </c>
      <c r="E78" s="460"/>
      <c r="F78" s="460"/>
      <c r="G78" s="460"/>
      <c r="H78" s="460"/>
      <c r="I78" s="460"/>
      <c r="J78" s="460"/>
      <c r="K78" s="460"/>
      <c r="L78" s="460"/>
    </row>
    <row r="79" spans="2:12" s="648" customFormat="1" ht="12" customHeight="1">
      <c r="B79" s="661">
        <v>42772</v>
      </c>
      <c r="C79" s="660" t="s">
        <v>1076</v>
      </c>
      <c r="D79" s="659">
        <v>99</v>
      </c>
      <c r="E79" s="460"/>
      <c r="F79" s="460"/>
      <c r="G79" s="460"/>
      <c r="H79" s="460"/>
      <c r="I79" s="460"/>
      <c r="J79" s="460"/>
      <c r="K79" s="460"/>
      <c r="L79" s="460"/>
    </row>
    <row r="80" spans="2:12" s="648" customFormat="1" ht="12" customHeight="1">
      <c r="B80" s="661">
        <v>42772</v>
      </c>
      <c r="C80" s="660" t="s">
        <v>1075</v>
      </c>
      <c r="D80" s="659">
        <v>19.95</v>
      </c>
      <c r="E80" s="460"/>
      <c r="F80" s="460"/>
      <c r="G80" s="460"/>
      <c r="H80" s="460"/>
      <c r="I80" s="460"/>
      <c r="J80" s="460"/>
      <c r="K80" s="460"/>
      <c r="L80" s="460"/>
    </row>
    <row r="81" spans="1:56" ht="12" customHeight="1">
      <c r="B81" s="661">
        <v>42774</v>
      </c>
      <c r="C81" s="660" t="s">
        <v>216</v>
      </c>
      <c r="D81" s="659">
        <v>198</v>
      </c>
      <c r="E81" s="460">
        <v>198</v>
      </c>
      <c r="F81" s="460"/>
      <c r="G81" s="460"/>
      <c r="H81" s="460"/>
      <c r="I81" s="460"/>
      <c r="J81" s="460"/>
      <c r="K81" s="460"/>
      <c r="L81" s="460"/>
    </row>
    <row r="82" spans="1:56" ht="12" customHeight="1">
      <c r="B82" s="661">
        <v>42775</v>
      </c>
      <c r="C82" s="660" t="s">
        <v>167</v>
      </c>
      <c r="D82" s="659">
        <v>700</v>
      </c>
      <c r="E82" s="460"/>
      <c r="F82" s="460"/>
      <c r="G82" s="460"/>
      <c r="H82" s="460"/>
      <c r="I82" s="460"/>
      <c r="J82" s="460"/>
      <c r="K82" s="460"/>
      <c r="L82" s="460"/>
    </row>
    <row r="83" spans="1:56" ht="12" customHeight="1">
      <c r="B83" s="661">
        <v>42782</v>
      </c>
      <c r="C83" s="660" t="s">
        <v>216</v>
      </c>
      <c r="D83" s="659">
        <v>159.80000000000001</v>
      </c>
      <c r="E83" s="460"/>
      <c r="F83" s="460">
        <v>159.80000000000001</v>
      </c>
      <c r="G83" s="460"/>
      <c r="H83" s="460"/>
      <c r="I83" s="460"/>
      <c r="J83" s="460"/>
      <c r="K83" s="460"/>
      <c r="L83" s="460"/>
    </row>
    <row r="84" spans="1:56" ht="12" customHeight="1">
      <c r="B84" s="661">
        <v>42781</v>
      </c>
      <c r="C84" s="660" t="s">
        <v>831</v>
      </c>
      <c r="D84" s="659">
        <v>339</v>
      </c>
      <c r="E84" s="460"/>
      <c r="F84" s="460"/>
      <c r="G84" s="460"/>
      <c r="H84" s="460"/>
      <c r="I84" s="460"/>
      <c r="J84" s="460"/>
      <c r="K84" s="460"/>
      <c r="L84" s="460"/>
    </row>
    <row r="85" spans="1:56" ht="12" customHeight="1">
      <c r="B85" s="661">
        <v>42782</v>
      </c>
      <c r="C85" s="660" t="s">
        <v>1074</v>
      </c>
      <c r="D85" s="659">
        <v>35.950000000000003</v>
      </c>
      <c r="E85" s="460"/>
      <c r="F85" s="460">
        <f>D85</f>
        <v>35.950000000000003</v>
      </c>
      <c r="G85" s="460"/>
      <c r="H85" s="460"/>
      <c r="I85" s="460"/>
      <c r="J85" s="460"/>
      <c r="K85" s="460"/>
      <c r="L85" s="460"/>
    </row>
    <row r="86" spans="1:56" ht="12" customHeight="1">
      <c r="B86" s="658">
        <v>42786</v>
      </c>
      <c r="C86" s="657" t="s">
        <v>1073</v>
      </c>
      <c r="D86" s="656">
        <v>32</v>
      </c>
      <c r="E86" s="655"/>
      <c r="F86" s="655"/>
      <c r="G86" s="655"/>
      <c r="H86" s="655"/>
      <c r="I86" s="655"/>
      <c r="J86" s="655"/>
      <c r="K86" s="655"/>
      <c r="L86" s="655"/>
    </row>
    <row r="87" spans="1:56" s="662" customFormat="1" ht="12" customHeight="1">
      <c r="A87" s="668"/>
      <c r="B87" s="951" t="s">
        <v>120</v>
      </c>
      <c r="C87" s="812" t="s">
        <v>37</v>
      </c>
      <c r="D87" s="811"/>
      <c r="E87" s="808" t="s">
        <v>48</v>
      </c>
      <c r="F87" s="808" t="s">
        <v>282</v>
      </c>
      <c r="G87" s="808" t="s">
        <v>280</v>
      </c>
      <c r="H87" s="808"/>
      <c r="I87" s="808" t="s">
        <v>629</v>
      </c>
      <c r="J87" s="808" t="s">
        <v>58</v>
      </c>
      <c r="K87" s="3052" t="s">
        <v>561</v>
      </c>
      <c r="L87" s="3052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  <c r="Z87" s="663"/>
      <c r="AA87" s="663"/>
      <c r="AB87" s="663"/>
      <c r="AC87" s="663"/>
      <c r="AD87" s="663"/>
      <c r="AE87" s="663"/>
      <c r="AF87" s="663"/>
      <c r="AG87" s="663"/>
      <c r="AH87" s="663"/>
      <c r="AI87" s="663"/>
      <c r="AJ87" s="663"/>
      <c r="AK87" s="663"/>
      <c r="AL87" s="663"/>
      <c r="AM87" s="663"/>
      <c r="AN87" s="663"/>
      <c r="AO87" s="663"/>
      <c r="AP87" s="663"/>
      <c r="AQ87" s="663"/>
      <c r="AR87" s="663"/>
      <c r="AS87" s="663"/>
      <c r="AT87" s="663"/>
      <c r="AU87" s="663"/>
      <c r="AV87" s="663"/>
      <c r="AW87" s="663"/>
      <c r="AX87" s="663"/>
      <c r="AY87" s="663"/>
      <c r="AZ87" s="663"/>
      <c r="BA87" s="663"/>
      <c r="BB87" s="663"/>
      <c r="BC87" s="663"/>
      <c r="BD87" s="663"/>
    </row>
    <row r="88" spans="1:56" ht="12" customHeight="1">
      <c r="B88" s="690">
        <v>42794</v>
      </c>
      <c r="C88" s="689" t="s">
        <v>1072</v>
      </c>
      <c r="D88" s="688">
        <v>215</v>
      </c>
      <c r="E88" s="687"/>
      <c r="F88" s="687"/>
      <c r="G88" s="687"/>
      <c r="H88" s="687"/>
      <c r="I88" s="687"/>
      <c r="J88" s="687"/>
      <c r="K88" s="687"/>
      <c r="L88" s="687"/>
    </row>
    <row r="89" spans="1:56" ht="12" customHeight="1">
      <c r="B89" s="690">
        <v>42794</v>
      </c>
      <c r="C89" s="660" t="s">
        <v>1071</v>
      </c>
      <c r="D89" s="659">
        <v>99</v>
      </c>
      <c r="E89" s="460"/>
      <c r="F89" s="460"/>
      <c r="G89" s="460"/>
      <c r="H89" s="460"/>
      <c r="I89" s="460"/>
      <c r="J89" s="460"/>
      <c r="K89" s="460"/>
      <c r="L89" s="460"/>
    </row>
    <row r="90" spans="1:56" ht="12" customHeight="1">
      <c r="B90" s="690">
        <v>42794</v>
      </c>
      <c r="C90" s="660" t="s">
        <v>430</v>
      </c>
      <c r="D90" s="659">
        <f>14.95+59.9+29.95+14.95+9.95+14.95</f>
        <v>144.64999999999998</v>
      </c>
      <c r="E90" s="460"/>
      <c r="F90" s="460"/>
      <c r="G90" s="460"/>
      <c r="H90" s="460"/>
      <c r="I90" s="460"/>
      <c r="J90" s="460"/>
      <c r="K90" s="460"/>
      <c r="L90" s="460"/>
    </row>
    <row r="91" spans="1:56" ht="12" customHeight="1">
      <c r="B91" s="690">
        <v>42795</v>
      </c>
      <c r="C91" s="660" t="s">
        <v>617</v>
      </c>
      <c r="D91" s="659">
        <v>1749.5</v>
      </c>
      <c r="E91" s="460"/>
      <c r="F91" s="460">
        <v>556.75</v>
      </c>
      <c r="G91" s="460"/>
      <c r="H91" s="460"/>
      <c r="I91" s="460"/>
      <c r="J91" s="460">
        <v>1187.25</v>
      </c>
      <c r="K91" s="460"/>
      <c r="L91" s="460"/>
    </row>
    <row r="92" spans="1:56" ht="12" customHeight="1">
      <c r="B92" s="661">
        <v>42795</v>
      </c>
      <c r="C92" s="660" t="s">
        <v>430</v>
      </c>
      <c r="D92" s="659">
        <v>74.849999999999994</v>
      </c>
      <c r="E92" s="460"/>
      <c r="F92" s="460"/>
      <c r="G92" s="460"/>
      <c r="H92" s="460"/>
      <c r="I92" s="460"/>
      <c r="J92" s="460"/>
      <c r="K92" s="460"/>
      <c r="L92" s="460"/>
    </row>
    <row r="93" spans="1:56" ht="12" customHeight="1">
      <c r="B93" s="661">
        <v>42795</v>
      </c>
      <c r="C93" s="660" t="s">
        <v>48</v>
      </c>
      <c r="D93" s="659">
        <v>219.95</v>
      </c>
      <c r="E93" s="460">
        <v>219.95</v>
      </c>
      <c r="F93" s="460"/>
      <c r="G93" s="460"/>
      <c r="H93" s="460"/>
      <c r="I93" s="460"/>
      <c r="J93" s="460"/>
      <c r="K93" s="460"/>
      <c r="L93" s="460"/>
    </row>
    <row r="94" spans="1:56" ht="12" customHeight="1">
      <c r="B94" s="661">
        <v>42795</v>
      </c>
      <c r="C94" s="660" t="s">
        <v>1070</v>
      </c>
      <c r="D94" s="659">
        <v>2245.6</v>
      </c>
      <c r="E94" s="460"/>
      <c r="F94" s="460">
        <v>1893.75</v>
      </c>
      <c r="G94" s="460"/>
      <c r="H94" s="460"/>
      <c r="I94" s="460"/>
      <c r="J94" s="460"/>
      <c r="K94" s="460"/>
      <c r="L94" s="460"/>
    </row>
    <row r="95" spans="1:56" ht="12" customHeight="1">
      <c r="B95" s="661">
        <v>42796</v>
      </c>
      <c r="C95" s="660" t="s">
        <v>430</v>
      </c>
      <c r="D95" s="659">
        <v>30</v>
      </c>
      <c r="E95" s="460"/>
      <c r="F95" s="460"/>
      <c r="G95" s="460"/>
      <c r="H95" s="460"/>
      <c r="I95" s="460"/>
      <c r="J95" s="460"/>
      <c r="K95" s="460"/>
      <c r="L95" s="460"/>
    </row>
    <row r="96" spans="1:56" ht="12" customHeight="1">
      <c r="B96" s="661">
        <v>42796</v>
      </c>
      <c r="C96" s="660" t="s">
        <v>668</v>
      </c>
      <c r="D96" s="659">
        <v>150</v>
      </c>
      <c r="E96" s="460"/>
      <c r="F96" s="460"/>
      <c r="G96" s="460"/>
      <c r="H96" s="460"/>
      <c r="I96" s="460"/>
      <c r="J96" s="460"/>
      <c r="K96" s="460"/>
      <c r="L96" s="460"/>
    </row>
    <row r="97" spans="1:56" ht="12" customHeight="1">
      <c r="B97" s="661">
        <v>42800</v>
      </c>
      <c r="C97" s="660" t="s">
        <v>397</v>
      </c>
      <c r="D97" s="659">
        <v>169.55</v>
      </c>
      <c r="E97" s="460"/>
      <c r="F97" s="460"/>
      <c r="G97" s="460"/>
      <c r="H97" s="460"/>
      <c r="I97" s="460"/>
      <c r="J97" s="460"/>
      <c r="K97" s="460"/>
      <c r="L97" s="460"/>
    </row>
    <row r="98" spans="1:56" ht="12" customHeight="1">
      <c r="B98" s="661">
        <v>42810</v>
      </c>
      <c r="C98" s="660" t="s">
        <v>48</v>
      </c>
      <c r="D98" s="659">
        <v>198</v>
      </c>
      <c r="E98" s="460">
        <v>198</v>
      </c>
      <c r="F98" s="460"/>
      <c r="G98" s="460"/>
      <c r="H98" s="460"/>
      <c r="I98" s="460"/>
      <c r="J98" s="460"/>
      <c r="K98" s="460"/>
      <c r="L98" s="460"/>
    </row>
    <row r="99" spans="1:56" ht="12" customHeight="1">
      <c r="B99" s="661">
        <v>42810</v>
      </c>
      <c r="C99" s="660" t="s">
        <v>1069</v>
      </c>
      <c r="D99" s="659">
        <v>25</v>
      </c>
      <c r="E99" s="460"/>
      <c r="F99" s="460"/>
      <c r="G99" s="460"/>
      <c r="H99" s="460"/>
      <c r="I99" s="460"/>
      <c r="J99" s="460"/>
      <c r="K99" s="460"/>
      <c r="L99" s="460"/>
    </row>
    <row r="100" spans="1:56" ht="12" customHeight="1">
      <c r="B100" s="661">
        <v>42815</v>
      </c>
      <c r="C100" s="660" t="s">
        <v>1068</v>
      </c>
      <c r="D100" s="659">
        <v>-200</v>
      </c>
      <c r="E100" s="460"/>
      <c r="F100" s="460"/>
      <c r="G100" s="460"/>
      <c r="H100" s="460"/>
      <c r="I100" s="460"/>
      <c r="J100" s="460"/>
      <c r="K100" s="460"/>
      <c r="L100" s="460">
        <v>200</v>
      </c>
    </row>
    <row r="101" spans="1:56" s="662" customFormat="1" ht="12" customHeight="1">
      <c r="A101" s="668"/>
      <c r="B101" s="951" t="s">
        <v>119</v>
      </c>
      <c r="C101" s="812" t="s">
        <v>37</v>
      </c>
      <c r="D101" s="811"/>
      <c r="E101" s="808" t="s">
        <v>48</v>
      </c>
      <c r="F101" s="808" t="s">
        <v>282</v>
      </c>
      <c r="G101" s="808" t="s">
        <v>280</v>
      </c>
      <c r="H101" s="808"/>
      <c r="I101" s="808" t="s">
        <v>629</v>
      </c>
      <c r="J101" s="808" t="s">
        <v>58</v>
      </c>
      <c r="K101" s="3052" t="s">
        <v>561</v>
      </c>
      <c r="L101" s="3052"/>
      <c r="M101" s="663"/>
      <c r="N101" s="663"/>
      <c r="O101" s="663"/>
      <c r="P101" s="663"/>
      <c r="Q101" s="663"/>
      <c r="R101" s="663"/>
      <c r="S101" s="663"/>
      <c r="T101" s="663"/>
      <c r="U101" s="663"/>
      <c r="V101" s="663"/>
      <c r="W101" s="663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663"/>
      <c r="AN101" s="663"/>
      <c r="AO101" s="663"/>
      <c r="AP101" s="663"/>
      <c r="AQ101" s="663"/>
      <c r="AR101" s="663"/>
      <c r="AS101" s="663"/>
      <c r="AT101" s="663"/>
      <c r="AU101" s="663"/>
      <c r="AV101" s="663"/>
      <c r="AW101" s="663"/>
      <c r="AX101" s="663"/>
      <c r="AY101" s="663"/>
      <c r="AZ101" s="663"/>
      <c r="BA101" s="663"/>
      <c r="BB101" s="663"/>
      <c r="BC101" s="663"/>
      <c r="BD101" s="663"/>
    </row>
    <row r="102" spans="1:56" ht="12" customHeight="1">
      <c r="B102" s="690">
        <v>42825</v>
      </c>
      <c r="C102" s="689" t="s">
        <v>157</v>
      </c>
      <c r="D102" s="688">
        <v>280</v>
      </c>
      <c r="E102" s="687"/>
      <c r="F102" s="687"/>
      <c r="G102" s="687"/>
      <c r="H102" s="687"/>
      <c r="I102" s="687"/>
      <c r="J102" s="687"/>
      <c r="K102" s="687"/>
      <c r="L102" s="687"/>
    </row>
    <row r="103" spans="1:56" ht="12" customHeight="1">
      <c r="B103" s="690">
        <v>42825</v>
      </c>
      <c r="C103" s="660" t="s">
        <v>216</v>
      </c>
      <c r="D103" s="659">
        <v>22.8</v>
      </c>
      <c r="E103" s="460">
        <v>220</v>
      </c>
      <c r="F103" s="460"/>
      <c r="G103" s="460"/>
      <c r="H103" s="460"/>
      <c r="I103" s="460"/>
      <c r="J103" s="460"/>
      <c r="K103" s="460"/>
      <c r="L103" s="460"/>
    </row>
    <row r="104" spans="1:56" ht="12" customHeight="1">
      <c r="B104" s="690">
        <v>42827</v>
      </c>
      <c r="C104" s="689" t="s">
        <v>1067</v>
      </c>
      <c r="D104" s="688">
        <v>80</v>
      </c>
      <c r="E104" s="460"/>
      <c r="F104" s="460"/>
      <c r="G104" s="460"/>
      <c r="H104" s="460"/>
      <c r="I104" s="460"/>
      <c r="J104" s="460"/>
      <c r="K104" s="460"/>
      <c r="L104" s="460"/>
    </row>
    <row r="105" spans="1:56" ht="12" customHeight="1">
      <c r="B105" s="661">
        <v>42828</v>
      </c>
      <c r="C105" s="660" t="s">
        <v>1066</v>
      </c>
      <c r="D105" s="659">
        <v>39.950000000000003</v>
      </c>
      <c r="E105" s="460"/>
      <c r="F105" s="460"/>
      <c r="G105" s="460"/>
      <c r="H105" s="460"/>
      <c r="I105" s="460"/>
      <c r="J105" s="460"/>
      <c r="K105" s="460"/>
      <c r="L105" s="460"/>
    </row>
    <row r="106" spans="1:56" ht="12" customHeight="1">
      <c r="B106" s="661">
        <v>42828</v>
      </c>
      <c r="C106" s="660" t="s">
        <v>1065</v>
      </c>
      <c r="D106" s="659">
        <v>39</v>
      </c>
      <c r="E106" s="460"/>
      <c r="F106" s="460"/>
      <c r="G106" s="460"/>
      <c r="H106" s="460"/>
      <c r="I106" s="460"/>
      <c r="J106" s="460"/>
      <c r="K106" s="460"/>
      <c r="L106" s="460"/>
    </row>
    <row r="107" spans="1:56" ht="12" customHeight="1">
      <c r="B107" s="661">
        <v>42829</v>
      </c>
      <c r="C107" s="660" t="s">
        <v>980</v>
      </c>
      <c r="D107" s="659">
        <v>16</v>
      </c>
      <c r="E107" s="460"/>
      <c r="F107" s="460"/>
      <c r="G107" s="460"/>
      <c r="H107" s="460"/>
      <c r="I107" s="460"/>
      <c r="J107" s="460"/>
      <c r="K107" s="460"/>
      <c r="L107" s="460"/>
    </row>
    <row r="108" spans="1:56" ht="12" customHeight="1">
      <c r="B108" s="661">
        <v>42831</v>
      </c>
      <c r="C108" s="660" t="s">
        <v>469</v>
      </c>
      <c r="D108" s="659">
        <f>29.95+12.95+149+39.95+29.95+18</f>
        <v>279.8</v>
      </c>
      <c r="E108" s="460"/>
      <c r="F108" s="460">
        <v>180</v>
      </c>
      <c r="G108" s="460"/>
      <c r="H108" s="460"/>
      <c r="I108" s="460"/>
      <c r="J108" s="460"/>
      <c r="K108" s="460"/>
      <c r="L108" s="460"/>
    </row>
    <row r="109" spans="1:56" ht="12" customHeight="1">
      <c r="B109" s="661">
        <v>42831</v>
      </c>
      <c r="C109" s="660" t="s">
        <v>1064</v>
      </c>
      <c r="D109" s="659">
        <v>100</v>
      </c>
      <c r="E109" s="460"/>
      <c r="F109" s="460">
        <v>100</v>
      </c>
      <c r="G109" s="460"/>
      <c r="H109" s="460"/>
      <c r="I109" s="460"/>
      <c r="J109" s="460"/>
      <c r="K109" s="460"/>
      <c r="L109" s="460"/>
    </row>
    <row r="110" spans="1:56" ht="12" customHeight="1">
      <c r="B110" s="661">
        <v>42831</v>
      </c>
      <c r="C110" s="660" t="s">
        <v>58</v>
      </c>
      <c r="D110" s="659">
        <f>297.7+169</f>
        <v>466.7</v>
      </c>
      <c r="E110" s="460"/>
      <c r="F110" s="460"/>
      <c r="G110" s="460"/>
      <c r="H110" s="460"/>
      <c r="I110" s="460"/>
      <c r="J110" s="460">
        <v>466.7</v>
      </c>
      <c r="K110" s="460"/>
      <c r="L110" s="460"/>
    </row>
    <row r="111" spans="1:56" ht="12" customHeight="1">
      <c r="B111" s="661">
        <v>42832</v>
      </c>
      <c r="C111" s="660" t="s">
        <v>242</v>
      </c>
      <c r="D111" s="659">
        <v>-200</v>
      </c>
      <c r="E111" s="460"/>
      <c r="F111" s="460"/>
      <c r="G111" s="460"/>
      <c r="H111" s="460"/>
      <c r="I111" s="460"/>
      <c r="J111" s="460"/>
      <c r="K111" s="460" t="s">
        <v>242</v>
      </c>
      <c r="L111" s="460">
        <v>200</v>
      </c>
    </row>
    <row r="112" spans="1:56" ht="12" customHeight="1">
      <c r="B112" s="661">
        <v>42832</v>
      </c>
      <c r="C112" s="660" t="s">
        <v>1063</v>
      </c>
      <c r="D112" s="659">
        <v>150</v>
      </c>
      <c r="E112" s="460"/>
      <c r="F112" s="460"/>
      <c r="G112" s="460"/>
      <c r="H112" s="460"/>
      <c r="I112" s="460"/>
      <c r="J112" s="460"/>
      <c r="K112" s="460"/>
      <c r="L112" s="460"/>
    </row>
    <row r="113" spans="1:56" ht="12" customHeight="1">
      <c r="B113" s="661">
        <v>42832</v>
      </c>
      <c r="C113" s="660" t="s">
        <v>397</v>
      </c>
      <c r="D113" s="659">
        <v>40</v>
      </c>
      <c r="E113" s="460"/>
      <c r="F113" s="460"/>
      <c r="G113" s="460"/>
      <c r="H113" s="460"/>
      <c r="I113" s="460"/>
      <c r="J113" s="460"/>
      <c r="K113" s="460"/>
      <c r="L113" s="460"/>
    </row>
    <row r="114" spans="1:56" ht="12" customHeight="1">
      <c r="B114" s="661"/>
      <c r="C114" s="660" t="s">
        <v>1062</v>
      </c>
      <c r="D114" s="659">
        <v>100</v>
      </c>
      <c r="E114" s="460"/>
      <c r="F114" s="460"/>
      <c r="G114" s="460"/>
      <c r="H114" s="460"/>
      <c r="I114" s="460"/>
      <c r="J114" s="460"/>
      <c r="K114" s="460"/>
      <c r="L114" s="460"/>
    </row>
    <row r="115" spans="1:56" ht="12" customHeight="1">
      <c r="B115" s="661">
        <v>42835</v>
      </c>
      <c r="C115" s="660" t="s">
        <v>131</v>
      </c>
      <c r="D115" s="659">
        <v>45</v>
      </c>
      <c r="E115" s="460"/>
      <c r="F115" s="460"/>
      <c r="G115" s="460"/>
      <c r="H115" s="460"/>
      <c r="I115" s="460"/>
      <c r="J115" s="460"/>
      <c r="K115" s="460"/>
      <c r="L115" s="460"/>
    </row>
    <row r="116" spans="1:56" ht="12" customHeight="1">
      <c r="B116" s="661">
        <v>42837</v>
      </c>
      <c r="C116" s="660" t="s">
        <v>1056</v>
      </c>
      <c r="D116" s="659">
        <v>40</v>
      </c>
      <c r="E116" s="460"/>
      <c r="F116" s="460"/>
      <c r="G116" s="460"/>
      <c r="H116" s="460"/>
      <c r="I116" s="460"/>
      <c r="J116" s="460"/>
      <c r="K116" s="460"/>
      <c r="L116" s="460"/>
    </row>
    <row r="117" spans="1:56" ht="12" customHeight="1">
      <c r="B117" s="661">
        <v>42840</v>
      </c>
      <c r="C117" s="660" t="s">
        <v>1061</v>
      </c>
      <c r="D117" s="659">
        <v>80</v>
      </c>
      <c r="E117" s="460"/>
      <c r="F117" s="460"/>
      <c r="G117" s="460"/>
      <c r="H117" s="460"/>
      <c r="I117" s="460"/>
      <c r="J117" s="460"/>
      <c r="K117" s="460"/>
      <c r="L117" s="460"/>
    </row>
    <row r="118" spans="1:56" ht="12" customHeight="1">
      <c r="B118" s="661">
        <v>42843</v>
      </c>
      <c r="C118" s="660" t="s">
        <v>1056</v>
      </c>
      <c r="D118" s="659">
        <v>40</v>
      </c>
      <c r="E118" s="460"/>
      <c r="F118" s="460"/>
      <c r="G118" s="460"/>
      <c r="H118" s="460"/>
      <c r="I118" s="460"/>
      <c r="J118" s="460"/>
      <c r="K118" s="460"/>
      <c r="L118" s="460"/>
    </row>
    <row r="119" spans="1:56" ht="12" customHeight="1">
      <c r="B119" s="661">
        <v>42845</v>
      </c>
      <c r="C119" s="660" t="s">
        <v>1060</v>
      </c>
      <c r="D119" s="659">
        <v>54.9</v>
      </c>
      <c r="E119" s="460"/>
      <c r="F119" s="460"/>
      <c r="G119" s="460"/>
      <c r="H119" s="460"/>
      <c r="I119" s="460"/>
      <c r="J119" s="460"/>
      <c r="K119" s="460"/>
      <c r="L119" s="460"/>
    </row>
    <row r="120" spans="1:56" s="662" customFormat="1" ht="12" customHeight="1">
      <c r="A120" s="668"/>
      <c r="B120" s="951" t="s">
        <v>118</v>
      </c>
      <c r="C120" s="812" t="s">
        <v>37</v>
      </c>
      <c r="D120" s="811"/>
      <c r="E120" s="808" t="s">
        <v>48</v>
      </c>
      <c r="F120" s="808" t="s">
        <v>282</v>
      </c>
      <c r="G120" s="808" t="s">
        <v>280</v>
      </c>
      <c r="H120" s="808"/>
      <c r="I120" s="808" t="s">
        <v>629</v>
      </c>
      <c r="J120" s="808" t="s">
        <v>58</v>
      </c>
      <c r="K120" s="3052" t="s">
        <v>561</v>
      </c>
      <c r="L120" s="3052"/>
      <c r="M120" s="663"/>
      <c r="N120" s="663"/>
      <c r="O120" s="663"/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63"/>
      <c r="AP120" s="663"/>
      <c r="AQ120" s="663"/>
      <c r="AR120" s="663"/>
      <c r="AS120" s="663"/>
      <c r="AT120" s="663"/>
      <c r="AU120" s="663"/>
      <c r="AV120" s="663"/>
      <c r="AW120" s="663"/>
      <c r="AX120" s="663"/>
      <c r="AY120" s="663"/>
      <c r="AZ120" s="663"/>
      <c r="BA120" s="663"/>
      <c r="BB120" s="663"/>
      <c r="BC120" s="663"/>
      <c r="BD120" s="663"/>
    </row>
    <row r="121" spans="1:56" ht="12" customHeight="1">
      <c r="B121" s="661">
        <v>42853</v>
      </c>
      <c r="C121" s="660" t="s">
        <v>636</v>
      </c>
      <c r="D121" s="659">
        <v>506.35</v>
      </c>
      <c r="E121" s="460"/>
      <c r="F121" s="460"/>
      <c r="G121" s="460"/>
      <c r="H121" s="460"/>
      <c r="I121" s="460"/>
      <c r="J121" s="460"/>
      <c r="K121" s="460"/>
      <c r="L121" s="460"/>
    </row>
    <row r="122" spans="1:56" ht="12" customHeight="1">
      <c r="B122" s="661">
        <v>42853</v>
      </c>
      <c r="C122" s="660" t="s">
        <v>143</v>
      </c>
      <c r="D122" s="659">
        <v>150</v>
      </c>
      <c r="E122" s="460"/>
      <c r="F122" s="460"/>
      <c r="G122" s="460"/>
      <c r="H122" s="460"/>
      <c r="I122" s="460"/>
      <c r="J122" s="460"/>
      <c r="K122" s="460"/>
      <c r="L122" s="460"/>
    </row>
    <row r="123" spans="1:56" ht="12" customHeight="1">
      <c r="B123" s="661">
        <v>42853</v>
      </c>
      <c r="C123" s="660" t="s">
        <v>216</v>
      </c>
      <c r="D123" s="659">
        <v>263.95</v>
      </c>
      <c r="E123" s="460">
        <v>220</v>
      </c>
      <c r="F123" s="460"/>
      <c r="G123" s="460"/>
      <c r="H123" s="460"/>
      <c r="I123" s="460"/>
      <c r="J123" s="460"/>
      <c r="K123" s="460"/>
      <c r="L123" s="460"/>
    </row>
    <row r="124" spans="1:56" ht="12" customHeight="1">
      <c r="B124" s="661">
        <v>42853</v>
      </c>
      <c r="C124" s="660" t="s">
        <v>229</v>
      </c>
      <c r="D124" s="659">
        <v>214.55</v>
      </c>
      <c r="E124" s="460"/>
      <c r="F124" s="460"/>
      <c r="G124" s="460"/>
      <c r="H124" s="460"/>
      <c r="I124" s="460"/>
      <c r="J124" s="460"/>
      <c r="K124" s="460"/>
      <c r="L124" s="460"/>
    </row>
    <row r="125" spans="1:56" ht="12" customHeight="1">
      <c r="B125" s="661">
        <v>42854</v>
      </c>
      <c r="C125" s="660" t="s">
        <v>1059</v>
      </c>
      <c r="D125" s="659">
        <v>169</v>
      </c>
      <c r="E125" s="460"/>
      <c r="F125" s="460"/>
      <c r="G125" s="460"/>
      <c r="H125" s="460"/>
      <c r="I125" s="460"/>
      <c r="J125" s="460"/>
      <c r="K125" s="460"/>
      <c r="L125" s="460"/>
    </row>
    <row r="126" spans="1:56" ht="12" customHeight="1">
      <c r="B126" s="661">
        <v>42854</v>
      </c>
      <c r="C126" s="660" t="s">
        <v>1058</v>
      </c>
      <c r="D126" s="659">
        <v>1499</v>
      </c>
      <c r="E126" s="460"/>
      <c r="F126" s="460">
        <v>1499</v>
      </c>
      <c r="G126" s="460"/>
      <c r="H126" s="460"/>
      <c r="I126" s="460"/>
      <c r="J126" s="460"/>
      <c r="K126" s="460"/>
      <c r="L126" s="460"/>
    </row>
    <row r="127" spans="1:56" ht="12" customHeight="1">
      <c r="B127" s="661">
        <v>42854</v>
      </c>
      <c r="C127" s="660" t="s">
        <v>653</v>
      </c>
      <c r="D127" s="659">
        <v>40</v>
      </c>
      <c r="E127" s="460"/>
      <c r="F127" s="460"/>
      <c r="G127" s="460"/>
      <c r="H127" s="460"/>
      <c r="I127" s="460"/>
      <c r="J127" s="460"/>
      <c r="K127" s="460"/>
      <c r="L127" s="460"/>
    </row>
    <row r="128" spans="1:56" ht="12" customHeight="1">
      <c r="B128" s="661">
        <v>42854</v>
      </c>
      <c r="C128" s="660" t="s">
        <v>1057</v>
      </c>
      <c r="D128" s="659">
        <v>51.6</v>
      </c>
      <c r="E128" s="460"/>
      <c r="F128" s="460"/>
      <c r="G128" s="460"/>
      <c r="H128" s="460"/>
      <c r="I128" s="460"/>
      <c r="J128" s="460"/>
      <c r="K128" s="460"/>
      <c r="L128" s="460"/>
    </row>
    <row r="129" spans="1:56" ht="12" customHeight="1">
      <c r="B129" s="661">
        <v>42856</v>
      </c>
      <c r="C129" s="660" t="s">
        <v>1056</v>
      </c>
      <c r="D129" s="659">
        <v>100</v>
      </c>
      <c r="E129" s="460"/>
      <c r="F129" s="460"/>
      <c r="G129" s="460"/>
      <c r="H129" s="460"/>
      <c r="I129" s="460"/>
      <c r="J129" s="460"/>
      <c r="K129" s="460"/>
      <c r="L129" s="460"/>
    </row>
    <row r="130" spans="1:56" ht="12" customHeight="1">
      <c r="B130" s="661">
        <v>42857</v>
      </c>
      <c r="C130" s="660" t="s">
        <v>396</v>
      </c>
      <c r="D130" s="659">
        <v>429</v>
      </c>
      <c r="E130" s="460"/>
      <c r="F130" s="460"/>
      <c r="G130" s="460"/>
      <c r="H130" s="460"/>
      <c r="I130" s="460"/>
      <c r="J130" s="460"/>
      <c r="K130" s="460"/>
      <c r="L130" s="460"/>
    </row>
    <row r="131" spans="1:56" ht="12" customHeight="1">
      <c r="B131" s="661">
        <v>42857</v>
      </c>
      <c r="C131" s="660" t="s">
        <v>1055</v>
      </c>
      <c r="D131" s="659">
        <v>175</v>
      </c>
      <c r="E131" s="460"/>
      <c r="F131" s="460"/>
      <c r="G131" s="460"/>
      <c r="H131" s="460"/>
      <c r="I131" s="460"/>
      <c r="J131" s="460"/>
      <c r="K131" s="460"/>
      <c r="L131" s="460"/>
    </row>
    <row r="132" spans="1:56" ht="12" customHeight="1">
      <c r="B132" s="661">
        <v>42857</v>
      </c>
      <c r="C132" s="660" t="s">
        <v>1054</v>
      </c>
      <c r="D132" s="659">
        <v>145</v>
      </c>
      <c r="E132" s="460"/>
      <c r="F132" s="460"/>
      <c r="G132" s="460"/>
      <c r="H132" s="460"/>
      <c r="I132" s="460"/>
      <c r="J132" s="460"/>
      <c r="K132" s="460"/>
      <c r="L132" s="460"/>
    </row>
    <row r="133" spans="1:56" ht="12" customHeight="1">
      <c r="B133" s="661">
        <v>42860</v>
      </c>
      <c r="C133" s="660" t="s">
        <v>1053</v>
      </c>
      <c r="D133" s="659">
        <v>152</v>
      </c>
      <c r="E133" s="460"/>
      <c r="F133" s="460"/>
      <c r="G133" s="460"/>
      <c r="H133" s="460"/>
      <c r="I133" s="460"/>
      <c r="J133" s="460"/>
      <c r="K133" s="460"/>
      <c r="L133" s="460"/>
    </row>
    <row r="134" spans="1:56" ht="12" customHeight="1">
      <c r="B134" s="661"/>
      <c r="C134" s="660" t="s">
        <v>143</v>
      </c>
      <c r="D134" s="659">
        <v>100</v>
      </c>
      <c r="E134" s="460"/>
      <c r="F134" s="460"/>
      <c r="G134" s="460"/>
      <c r="H134" s="460"/>
      <c r="I134" s="460"/>
      <c r="J134" s="460"/>
      <c r="K134" s="460"/>
      <c r="L134" s="460"/>
    </row>
    <row r="135" spans="1:56" ht="12" customHeight="1">
      <c r="B135" s="661">
        <v>42863</v>
      </c>
      <c r="C135" s="660" t="s">
        <v>1052</v>
      </c>
      <c r="D135" s="659">
        <v>1360</v>
      </c>
      <c r="E135" s="460"/>
      <c r="F135" s="460">
        <v>1360</v>
      </c>
      <c r="G135" s="460"/>
      <c r="H135" s="460"/>
      <c r="I135" s="460"/>
      <c r="J135" s="460"/>
      <c r="K135" s="460"/>
      <c r="L135" s="460"/>
    </row>
    <row r="136" spans="1:56" ht="12" customHeight="1">
      <c r="B136" s="661">
        <v>42864</v>
      </c>
      <c r="C136" s="660" t="s">
        <v>194</v>
      </c>
      <c r="D136" s="659">
        <v>349</v>
      </c>
      <c r="E136" s="460"/>
      <c r="F136" s="460">
        <v>349</v>
      </c>
      <c r="G136" s="460"/>
      <c r="H136" s="460"/>
      <c r="I136" s="460"/>
      <c r="J136" s="460"/>
      <c r="K136" s="460"/>
      <c r="L136" s="460"/>
    </row>
    <row r="137" spans="1:56" ht="12" customHeight="1">
      <c r="B137" s="661">
        <v>42872</v>
      </c>
      <c r="C137" s="660" t="s">
        <v>1051</v>
      </c>
      <c r="D137" s="659">
        <v>-300</v>
      </c>
      <c r="E137" s="460"/>
      <c r="F137" s="460"/>
      <c r="G137" s="460"/>
      <c r="H137" s="460"/>
      <c r="I137" s="460"/>
      <c r="J137" s="460"/>
      <c r="K137" s="460"/>
      <c r="L137" s="460">
        <v>300</v>
      </c>
    </row>
    <row r="138" spans="1:56" s="662" customFormat="1" ht="12" customHeight="1">
      <c r="A138" s="668"/>
      <c r="B138" s="951" t="s">
        <v>44</v>
      </c>
      <c r="C138" s="812" t="s">
        <v>37</v>
      </c>
      <c r="D138" s="811"/>
      <c r="E138" s="808" t="s">
        <v>48</v>
      </c>
      <c r="F138" s="808" t="s">
        <v>282</v>
      </c>
      <c r="G138" s="808" t="s">
        <v>280</v>
      </c>
      <c r="H138" s="808"/>
      <c r="I138" s="808" t="s">
        <v>629</v>
      </c>
      <c r="J138" s="808" t="s">
        <v>58</v>
      </c>
      <c r="K138" s="3052" t="s">
        <v>561</v>
      </c>
      <c r="L138" s="3052"/>
      <c r="M138" s="663"/>
      <c r="N138" s="663"/>
      <c r="O138" s="663"/>
      <c r="P138" s="663"/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/>
      <c r="AO138" s="663"/>
      <c r="AP138" s="663"/>
      <c r="AQ138" s="663"/>
      <c r="AR138" s="663"/>
      <c r="AS138" s="663"/>
      <c r="AT138" s="663"/>
      <c r="AU138" s="663"/>
      <c r="AV138" s="663"/>
      <c r="AW138" s="663"/>
      <c r="AX138" s="663"/>
      <c r="AY138" s="663"/>
      <c r="AZ138" s="663"/>
      <c r="BA138" s="663"/>
      <c r="BB138" s="663"/>
      <c r="BC138" s="663"/>
      <c r="BD138" s="663"/>
    </row>
    <row r="139" spans="1:56" ht="12" customHeight="1">
      <c r="B139" s="661">
        <v>42886</v>
      </c>
      <c r="C139" s="660" t="s">
        <v>21</v>
      </c>
      <c r="D139" s="659">
        <v>151</v>
      </c>
      <c r="E139" s="460"/>
      <c r="F139" s="460"/>
      <c r="G139" s="460">
        <v>151</v>
      </c>
      <c r="H139" s="460"/>
      <c r="I139" s="460"/>
      <c r="J139" s="460"/>
      <c r="K139" s="460"/>
      <c r="L139" s="460"/>
    </row>
    <row r="140" spans="1:56" ht="12" customHeight="1">
      <c r="B140" s="661">
        <v>42886</v>
      </c>
      <c r="C140" s="660" t="s">
        <v>22</v>
      </c>
      <c r="D140" s="659">
        <v>85</v>
      </c>
      <c r="E140" s="460"/>
      <c r="F140" s="460"/>
      <c r="G140" s="460">
        <v>85</v>
      </c>
      <c r="H140" s="460"/>
      <c r="I140" s="460"/>
      <c r="J140" s="460"/>
      <c r="K140" s="460"/>
      <c r="L140" s="460"/>
    </row>
    <row r="141" spans="1:56" ht="12" customHeight="1">
      <c r="B141" s="661">
        <v>42886</v>
      </c>
      <c r="C141" s="660" t="s">
        <v>656</v>
      </c>
      <c r="D141" s="659">
        <v>1562.53</v>
      </c>
      <c r="E141" s="460"/>
      <c r="F141" s="460">
        <v>744.99</v>
      </c>
      <c r="G141" s="460"/>
      <c r="H141" s="460"/>
      <c r="I141" s="460"/>
      <c r="J141" s="460">
        <v>817.54</v>
      </c>
      <c r="K141" s="460"/>
      <c r="L141" s="460"/>
    </row>
    <row r="142" spans="1:56" ht="12" customHeight="1">
      <c r="B142" s="661">
        <v>42886</v>
      </c>
      <c r="C142" s="660" t="s">
        <v>223</v>
      </c>
      <c r="D142" s="659">
        <v>100</v>
      </c>
      <c r="E142" s="460">
        <v>100</v>
      </c>
      <c r="F142" s="460"/>
      <c r="G142" s="460"/>
      <c r="H142" s="460"/>
      <c r="I142" s="460"/>
      <c r="J142" s="460"/>
      <c r="K142" s="460"/>
      <c r="L142" s="460"/>
    </row>
    <row r="143" spans="1:56" ht="12" customHeight="1">
      <c r="B143" s="661">
        <v>42886</v>
      </c>
      <c r="C143" s="660" t="s">
        <v>1050</v>
      </c>
      <c r="D143" s="659">
        <v>59.9</v>
      </c>
      <c r="E143" s="460"/>
      <c r="F143" s="460"/>
      <c r="G143" s="460"/>
      <c r="H143" s="460"/>
      <c r="I143" s="460"/>
      <c r="J143" s="460"/>
      <c r="K143" s="460"/>
      <c r="L143" s="460"/>
    </row>
    <row r="144" spans="1:56" ht="12" customHeight="1">
      <c r="B144" s="661">
        <v>42886</v>
      </c>
      <c r="C144" s="660" t="s">
        <v>520</v>
      </c>
      <c r="D144" s="659">
        <v>150</v>
      </c>
      <c r="E144" s="460"/>
      <c r="F144" s="460"/>
      <c r="G144" s="460"/>
      <c r="H144" s="460"/>
      <c r="I144" s="460"/>
      <c r="J144" s="460"/>
      <c r="K144" s="460"/>
      <c r="L144" s="460"/>
    </row>
    <row r="145" spans="1:56" ht="12" customHeight="1">
      <c r="B145" s="661">
        <v>42892</v>
      </c>
      <c r="C145" s="660" t="s">
        <v>1049</v>
      </c>
      <c r="D145" s="659">
        <v>553</v>
      </c>
      <c r="E145" s="460"/>
      <c r="F145" s="460"/>
      <c r="G145" s="460"/>
      <c r="H145" s="460"/>
      <c r="I145" s="460"/>
      <c r="J145" s="460">
        <v>553</v>
      </c>
      <c r="K145" s="460"/>
      <c r="L145" s="460"/>
    </row>
    <row r="146" spans="1:56" ht="12" customHeight="1">
      <c r="B146" s="661">
        <v>42892</v>
      </c>
      <c r="C146" s="660" t="s">
        <v>473</v>
      </c>
      <c r="D146" s="659">
        <v>45</v>
      </c>
      <c r="E146" s="460"/>
      <c r="F146" s="460"/>
      <c r="G146" s="460"/>
      <c r="H146" s="460"/>
      <c r="I146" s="460"/>
      <c r="J146" s="460"/>
      <c r="K146" s="460"/>
      <c r="L146" s="460"/>
    </row>
    <row r="147" spans="1:56" ht="12.75" customHeight="1">
      <c r="B147" s="661">
        <v>42893</v>
      </c>
      <c r="C147" s="660" t="s">
        <v>1048</v>
      </c>
      <c r="D147" s="659">
        <v>423</v>
      </c>
      <c r="E147" s="460"/>
      <c r="F147" s="460">
        <v>155</v>
      </c>
      <c r="G147" s="460"/>
      <c r="H147" s="460"/>
      <c r="I147" s="460"/>
      <c r="J147" s="460">
        <v>179</v>
      </c>
      <c r="K147" s="460"/>
      <c r="L147" s="460"/>
    </row>
    <row r="148" spans="1:56" ht="12" customHeight="1">
      <c r="B148" s="661">
        <v>42893</v>
      </c>
      <c r="C148" s="660" t="s">
        <v>196</v>
      </c>
      <c r="D148" s="659">
        <v>112</v>
      </c>
      <c r="E148" s="460"/>
      <c r="F148" s="460"/>
      <c r="G148" s="460"/>
      <c r="H148" s="460"/>
      <c r="I148" s="460"/>
      <c r="J148" s="460"/>
      <c r="K148" s="460"/>
      <c r="L148" s="460"/>
    </row>
    <row r="149" spans="1:56" ht="12" customHeight="1">
      <c r="B149" s="661">
        <v>42894</v>
      </c>
      <c r="C149" s="660" t="s">
        <v>1047</v>
      </c>
      <c r="D149" s="659">
        <v>20</v>
      </c>
      <c r="E149" s="460"/>
      <c r="F149" s="460"/>
      <c r="G149" s="460"/>
      <c r="H149" s="460"/>
      <c r="I149" s="460"/>
      <c r="J149" s="460"/>
      <c r="K149" s="460"/>
      <c r="L149" s="460"/>
    </row>
    <row r="150" spans="1:56" ht="12" customHeight="1">
      <c r="B150" s="661">
        <v>42896</v>
      </c>
      <c r="C150" s="660" t="s">
        <v>1046</v>
      </c>
      <c r="D150" s="659"/>
      <c r="E150" s="460"/>
      <c r="F150" s="460"/>
      <c r="G150" s="460"/>
      <c r="H150" s="460"/>
      <c r="I150" s="460"/>
      <c r="J150" s="460">
        <v>-241.36</v>
      </c>
      <c r="K150" s="460"/>
      <c r="L150" s="460"/>
    </row>
    <row r="151" spans="1:56" ht="12" customHeight="1">
      <c r="B151" s="661">
        <v>42898</v>
      </c>
      <c r="C151" s="660" t="s">
        <v>216</v>
      </c>
      <c r="D151" s="659">
        <v>249</v>
      </c>
      <c r="E151" s="460"/>
      <c r="F151" s="460"/>
      <c r="G151" s="460"/>
      <c r="H151" s="460"/>
      <c r="I151" s="460"/>
      <c r="J151" s="460"/>
      <c r="K151" s="460"/>
      <c r="L151" s="460"/>
    </row>
    <row r="152" spans="1:56" ht="12" customHeight="1">
      <c r="B152" s="661">
        <v>42899</v>
      </c>
      <c r="C152" s="660" t="s">
        <v>397</v>
      </c>
      <c r="D152" s="659">
        <v>99.75</v>
      </c>
      <c r="E152" s="460"/>
      <c r="F152" s="460"/>
      <c r="G152" s="460"/>
      <c r="H152" s="460"/>
      <c r="I152" s="460"/>
      <c r="J152" s="460"/>
      <c r="K152" s="460"/>
      <c r="L152" s="460"/>
    </row>
    <row r="153" spans="1:56" ht="12" customHeight="1">
      <c r="B153" s="661">
        <v>42899</v>
      </c>
      <c r="C153" s="660" t="s">
        <v>1045</v>
      </c>
      <c r="D153" s="659">
        <v>30</v>
      </c>
      <c r="E153" s="460"/>
      <c r="F153" s="460"/>
      <c r="G153" s="460"/>
      <c r="H153" s="460"/>
      <c r="I153" s="460"/>
      <c r="J153" s="460"/>
      <c r="K153" s="460"/>
      <c r="L153" s="460"/>
    </row>
    <row r="154" spans="1:56" ht="12" customHeight="1">
      <c r="B154" s="661">
        <v>42902</v>
      </c>
      <c r="C154" s="660" t="s">
        <v>1044</v>
      </c>
      <c r="D154" s="659">
        <v>150</v>
      </c>
      <c r="E154" s="460"/>
      <c r="F154" s="460"/>
      <c r="G154" s="460"/>
      <c r="H154" s="460"/>
      <c r="I154" s="460"/>
      <c r="J154" s="460"/>
      <c r="K154" s="460"/>
      <c r="L154" s="460"/>
    </row>
    <row r="155" spans="1:56" ht="12" customHeight="1">
      <c r="B155" s="661">
        <v>42902</v>
      </c>
      <c r="C155" s="660" t="s">
        <v>1043</v>
      </c>
      <c r="D155" s="659">
        <v>94</v>
      </c>
      <c r="E155" s="460"/>
      <c r="F155" s="460"/>
      <c r="G155" s="460"/>
      <c r="H155" s="460"/>
      <c r="I155" s="460"/>
      <c r="J155" s="460"/>
      <c r="K155" s="460"/>
      <c r="L155" s="460"/>
    </row>
    <row r="156" spans="1:56" ht="12" customHeight="1">
      <c r="B156" s="661">
        <v>42913</v>
      </c>
      <c r="C156" s="660" t="s">
        <v>1042</v>
      </c>
      <c r="D156" s="659">
        <v>200</v>
      </c>
      <c r="E156" s="460"/>
      <c r="F156" s="460">
        <v>200</v>
      </c>
      <c r="G156" s="460"/>
      <c r="H156" s="460"/>
      <c r="I156" s="460"/>
      <c r="J156" s="460"/>
      <c r="K156" s="460"/>
      <c r="L156" s="460"/>
    </row>
    <row r="157" spans="1:56" s="662" customFormat="1" ht="12" customHeight="1">
      <c r="A157" s="668"/>
      <c r="B157" s="951" t="s">
        <v>117</v>
      </c>
      <c r="C157" s="812" t="s">
        <v>37</v>
      </c>
      <c r="D157" s="811"/>
      <c r="E157" s="808" t="s">
        <v>48</v>
      </c>
      <c r="F157" s="808" t="s">
        <v>282</v>
      </c>
      <c r="G157" s="808" t="s">
        <v>280</v>
      </c>
      <c r="H157" s="808"/>
      <c r="I157" s="808" t="s">
        <v>629</v>
      </c>
      <c r="J157" s="808" t="s">
        <v>58</v>
      </c>
      <c r="K157" s="3052" t="s">
        <v>561</v>
      </c>
      <c r="L157" s="3052"/>
      <c r="M157" s="663"/>
      <c r="N157" s="663"/>
      <c r="O157" s="663"/>
      <c r="P157" s="663"/>
      <c r="Q157" s="663"/>
      <c r="R157" s="663"/>
      <c r="S157" s="663"/>
      <c r="T157" s="663"/>
      <c r="U157" s="663"/>
      <c r="V157" s="663"/>
      <c r="W157" s="663"/>
      <c r="X157" s="663"/>
      <c r="Y157" s="663"/>
      <c r="Z157" s="663"/>
      <c r="AA157" s="663"/>
      <c r="AB157" s="663"/>
      <c r="AC157" s="663"/>
      <c r="AD157" s="663"/>
      <c r="AE157" s="663"/>
      <c r="AF157" s="663"/>
      <c r="AG157" s="663"/>
      <c r="AH157" s="663"/>
      <c r="AI157" s="663"/>
      <c r="AJ157" s="663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  <c r="BC157" s="663"/>
      <c r="BD157" s="663"/>
    </row>
    <row r="158" spans="1:56" ht="12" customHeight="1">
      <c r="B158" s="661">
        <v>42916</v>
      </c>
      <c r="C158" s="660" t="s">
        <v>1041</v>
      </c>
      <c r="D158" s="659">
        <v>425</v>
      </c>
      <c r="E158" s="460"/>
      <c r="F158" s="460"/>
      <c r="G158" s="460"/>
      <c r="H158" s="460"/>
      <c r="I158" s="460"/>
      <c r="J158" s="460"/>
      <c r="K158" s="460"/>
      <c r="L158" s="460"/>
    </row>
    <row r="159" spans="1:56" ht="12" customHeight="1">
      <c r="B159" s="661">
        <v>42916</v>
      </c>
      <c r="C159" s="660" t="s">
        <v>21</v>
      </c>
      <c r="D159" s="659">
        <v>160</v>
      </c>
      <c r="E159" s="460"/>
      <c r="F159" s="460"/>
      <c r="G159" s="460">
        <v>160</v>
      </c>
      <c r="H159" s="460"/>
      <c r="I159" s="460"/>
      <c r="J159" s="460"/>
      <c r="K159" s="460"/>
      <c r="L159" s="460"/>
    </row>
    <row r="160" spans="1:56" ht="12" customHeight="1">
      <c r="B160" s="661">
        <v>42916</v>
      </c>
      <c r="C160" s="660" t="s">
        <v>22</v>
      </c>
      <c r="D160" s="659">
        <v>90</v>
      </c>
      <c r="E160" s="460"/>
      <c r="F160" s="460"/>
      <c r="G160" s="460">
        <v>90</v>
      </c>
      <c r="H160" s="460"/>
      <c r="I160" s="460"/>
      <c r="J160" s="460"/>
      <c r="K160" s="460"/>
      <c r="L160" s="460"/>
    </row>
    <row r="161" spans="2:12" s="648" customFormat="1" ht="12" customHeight="1">
      <c r="B161" s="661">
        <v>42916</v>
      </c>
      <c r="C161" s="660" t="s">
        <v>1040</v>
      </c>
      <c r="D161" s="659">
        <v>200</v>
      </c>
      <c r="E161" s="460"/>
      <c r="F161" s="460"/>
      <c r="G161" s="460"/>
      <c r="H161" s="460"/>
      <c r="I161" s="460"/>
      <c r="J161" s="460"/>
      <c r="K161" s="460"/>
      <c r="L161" s="460"/>
    </row>
    <row r="162" spans="2:12" s="648" customFormat="1" ht="12" customHeight="1">
      <c r="B162" s="661">
        <v>42916</v>
      </c>
      <c r="C162" s="660" t="s">
        <v>1039</v>
      </c>
      <c r="D162" s="659">
        <v>79</v>
      </c>
      <c r="E162" s="460"/>
      <c r="F162" s="460"/>
      <c r="G162" s="460"/>
      <c r="H162" s="460"/>
      <c r="I162" s="460"/>
      <c r="J162" s="460"/>
      <c r="K162" s="460"/>
      <c r="L162" s="460"/>
    </row>
    <row r="163" spans="2:12" s="648" customFormat="1" ht="12" customHeight="1">
      <c r="B163" s="661">
        <v>42916</v>
      </c>
      <c r="C163" s="660" t="s">
        <v>231</v>
      </c>
      <c r="D163" s="659">
        <v>39.950000000000003</v>
      </c>
      <c r="E163" s="460"/>
      <c r="F163" s="460"/>
      <c r="G163" s="460"/>
      <c r="H163" s="460"/>
      <c r="I163" s="460"/>
      <c r="J163" s="460"/>
      <c r="K163" s="460"/>
      <c r="L163" s="460"/>
    </row>
    <row r="164" spans="2:12" s="648" customFormat="1" ht="12" customHeight="1">
      <c r="B164" s="661">
        <v>42916</v>
      </c>
      <c r="C164" s="660" t="s">
        <v>1038</v>
      </c>
      <c r="D164" s="659">
        <v>328</v>
      </c>
      <c r="E164" s="460"/>
      <c r="F164" s="460"/>
      <c r="G164" s="460"/>
      <c r="H164" s="460"/>
      <c r="I164" s="460"/>
      <c r="J164" s="460"/>
      <c r="K164" s="460"/>
      <c r="L164" s="460"/>
    </row>
    <row r="165" spans="2:12" s="648" customFormat="1" ht="12" customHeight="1">
      <c r="B165" s="661">
        <v>42917</v>
      </c>
      <c r="C165" s="660" t="s">
        <v>216</v>
      </c>
      <c r="D165" s="659">
        <v>246.85</v>
      </c>
      <c r="E165" s="460"/>
      <c r="F165" s="460"/>
      <c r="G165" s="460"/>
      <c r="H165" s="460"/>
      <c r="I165" s="460"/>
      <c r="J165" s="460"/>
      <c r="K165" s="460"/>
      <c r="L165" s="460"/>
    </row>
    <row r="166" spans="2:12" s="648" customFormat="1" ht="12" customHeight="1">
      <c r="B166" s="661">
        <v>42917</v>
      </c>
      <c r="C166" s="660" t="s">
        <v>1037</v>
      </c>
      <c r="D166" s="659">
        <v>59.9</v>
      </c>
      <c r="E166" s="460"/>
      <c r="F166" s="460"/>
      <c r="G166" s="460"/>
      <c r="H166" s="460"/>
      <c r="I166" s="460"/>
      <c r="J166" s="460"/>
      <c r="K166" s="460"/>
      <c r="L166" s="460"/>
    </row>
    <row r="167" spans="2:12" s="648" customFormat="1" ht="12" customHeight="1">
      <c r="B167" s="661">
        <v>42918</v>
      </c>
      <c r="C167" s="660" t="s">
        <v>216</v>
      </c>
      <c r="D167" s="659">
        <v>110.9</v>
      </c>
      <c r="E167" s="460"/>
      <c r="F167" s="460"/>
      <c r="G167" s="460"/>
      <c r="H167" s="460"/>
      <c r="I167" s="460"/>
      <c r="J167" s="460"/>
      <c r="K167" s="460"/>
      <c r="L167" s="460"/>
    </row>
    <row r="168" spans="2:12" s="648" customFormat="1" ht="12" customHeight="1">
      <c r="B168" s="661">
        <v>42918</v>
      </c>
      <c r="C168" s="660" t="s">
        <v>1036</v>
      </c>
      <c r="D168" s="659">
        <v>39.9</v>
      </c>
      <c r="E168" s="460"/>
      <c r="F168" s="460"/>
      <c r="G168" s="460"/>
      <c r="H168" s="460"/>
      <c r="I168" s="460"/>
      <c r="J168" s="460"/>
      <c r="K168" s="460"/>
      <c r="L168" s="460"/>
    </row>
    <row r="169" spans="2:12" s="648" customFormat="1" ht="12" customHeight="1">
      <c r="B169" s="661"/>
      <c r="C169" s="660" t="s">
        <v>316</v>
      </c>
      <c r="D169" s="659">
        <v>140</v>
      </c>
      <c r="E169" s="460"/>
      <c r="F169" s="460"/>
      <c r="G169" s="460"/>
      <c r="H169" s="460"/>
      <c r="I169" s="460"/>
      <c r="J169" s="460"/>
      <c r="K169" s="460"/>
      <c r="L169" s="460"/>
    </row>
    <row r="170" spans="2:12" s="648" customFormat="1" ht="12" customHeight="1">
      <c r="B170" s="661">
        <v>42919</v>
      </c>
      <c r="C170" s="660" t="s">
        <v>397</v>
      </c>
      <c r="D170" s="659">
        <v>199.5</v>
      </c>
      <c r="E170" s="460"/>
      <c r="F170" s="460"/>
      <c r="G170" s="460"/>
      <c r="H170" s="460"/>
      <c r="I170" s="460"/>
      <c r="J170" s="460"/>
      <c r="K170" s="460"/>
      <c r="L170" s="460"/>
    </row>
    <row r="171" spans="2:12" s="648" customFormat="1" ht="12" customHeight="1">
      <c r="B171" s="661">
        <v>42919</v>
      </c>
      <c r="C171" s="660" t="s">
        <v>492</v>
      </c>
      <c r="D171" s="659">
        <v>79</v>
      </c>
      <c r="E171" s="460"/>
      <c r="F171" s="460"/>
      <c r="G171" s="460"/>
      <c r="H171" s="460"/>
      <c r="I171" s="460"/>
      <c r="J171" s="460"/>
      <c r="K171" s="460"/>
      <c r="L171" s="460"/>
    </row>
    <row r="172" spans="2:12" s="648" customFormat="1" ht="12" customHeight="1">
      <c r="B172" s="661">
        <v>42919</v>
      </c>
      <c r="C172" s="660" t="s">
        <v>1021</v>
      </c>
      <c r="D172" s="659">
        <v>85</v>
      </c>
      <c r="E172" s="460"/>
      <c r="F172" s="460"/>
      <c r="G172" s="460"/>
      <c r="H172" s="460"/>
      <c r="I172" s="460"/>
      <c r="J172" s="460"/>
      <c r="K172" s="460"/>
      <c r="L172" s="460"/>
    </row>
    <row r="173" spans="2:12" s="648" customFormat="1" ht="12" customHeight="1">
      <c r="B173" s="661">
        <v>42919</v>
      </c>
      <c r="C173" s="660" t="s">
        <v>1035</v>
      </c>
      <c r="D173" s="659">
        <v>249</v>
      </c>
      <c r="E173" s="460"/>
      <c r="F173" s="460"/>
      <c r="G173" s="460"/>
      <c r="H173" s="460"/>
      <c r="I173" s="460"/>
      <c r="J173" s="460"/>
      <c r="K173" s="460"/>
      <c r="L173" s="460"/>
    </row>
    <row r="174" spans="2:12" s="648" customFormat="1" ht="12" customHeight="1">
      <c r="B174" s="661">
        <v>42919</v>
      </c>
      <c r="C174" s="660" t="s">
        <v>216</v>
      </c>
      <c r="D174" s="659">
        <v>77.95</v>
      </c>
      <c r="E174" s="460"/>
      <c r="F174" s="460"/>
      <c r="G174" s="460"/>
      <c r="H174" s="460"/>
      <c r="I174" s="460"/>
      <c r="J174" s="460"/>
      <c r="K174" s="460"/>
      <c r="L174" s="460"/>
    </row>
    <row r="175" spans="2:12" s="648" customFormat="1" ht="12" customHeight="1">
      <c r="B175" s="661">
        <v>42921</v>
      </c>
      <c r="C175" s="660" t="s">
        <v>1034</v>
      </c>
      <c r="D175" s="659">
        <v>5240</v>
      </c>
      <c r="E175" s="460"/>
      <c r="F175" s="460">
        <v>5240</v>
      </c>
      <c r="G175" s="460"/>
      <c r="H175" s="460"/>
      <c r="I175" s="460"/>
      <c r="J175" s="460"/>
      <c r="K175" s="460"/>
      <c r="L175" s="460"/>
    </row>
    <row r="176" spans="2:12" s="648" customFormat="1" ht="12" customHeight="1">
      <c r="B176" s="661">
        <v>42922</v>
      </c>
      <c r="C176" s="660" t="s">
        <v>1033</v>
      </c>
      <c r="D176" s="659">
        <v>1563.75</v>
      </c>
      <c r="E176" s="460"/>
      <c r="F176" s="460">
        <v>1563.75</v>
      </c>
      <c r="G176" s="460"/>
      <c r="H176" s="460"/>
      <c r="I176" s="460"/>
      <c r="J176" s="460"/>
      <c r="K176" s="460"/>
      <c r="L176" s="460"/>
    </row>
    <row r="177" spans="1:56" ht="12" customHeight="1">
      <c r="B177" s="661">
        <v>42922</v>
      </c>
      <c r="C177" s="660" t="s">
        <v>1032</v>
      </c>
      <c r="D177" s="659">
        <v>100</v>
      </c>
      <c r="E177" s="460"/>
      <c r="F177" s="460"/>
      <c r="G177" s="460"/>
      <c r="H177" s="460"/>
      <c r="I177" s="460"/>
      <c r="J177" s="460"/>
      <c r="K177" s="460"/>
      <c r="L177" s="460"/>
    </row>
    <row r="178" spans="1:56" ht="12" customHeight="1">
      <c r="B178" s="661">
        <v>42922</v>
      </c>
      <c r="C178" s="660" t="s">
        <v>1031</v>
      </c>
      <c r="D178" s="659">
        <v>200</v>
      </c>
      <c r="E178" s="460"/>
      <c r="F178" s="460">
        <v>200</v>
      </c>
      <c r="G178" s="460"/>
      <c r="H178" s="460"/>
      <c r="I178" s="460"/>
      <c r="J178" s="460"/>
      <c r="K178" s="460"/>
      <c r="L178" s="460"/>
    </row>
    <row r="179" spans="1:56" ht="12" customHeight="1">
      <c r="B179" s="661">
        <v>42923</v>
      </c>
      <c r="C179" s="660" t="s">
        <v>1030</v>
      </c>
      <c r="D179" s="659">
        <v>800</v>
      </c>
      <c r="E179" s="460"/>
      <c r="F179" s="460">
        <v>800</v>
      </c>
      <c r="G179" s="460"/>
      <c r="H179" s="460"/>
      <c r="I179" s="460"/>
      <c r="J179" s="460"/>
      <c r="K179" s="460"/>
      <c r="L179" s="460"/>
    </row>
    <row r="180" spans="1:56" ht="12" customHeight="1">
      <c r="B180" s="661">
        <v>42923</v>
      </c>
      <c r="C180" s="660" t="s">
        <v>1029</v>
      </c>
      <c r="D180" s="659">
        <v>1000</v>
      </c>
      <c r="E180" s="460"/>
      <c r="F180" s="460">
        <v>1000</v>
      </c>
      <c r="G180" s="460"/>
      <c r="H180" s="460"/>
      <c r="I180" s="460"/>
      <c r="J180" s="460"/>
      <c r="K180" s="460"/>
      <c r="L180" s="460"/>
    </row>
    <row r="181" spans="1:56" ht="12" customHeight="1">
      <c r="B181" s="661">
        <v>42923</v>
      </c>
      <c r="C181" s="660" t="s">
        <v>831</v>
      </c>
      <c r="D181" s="659">
        <v>684</v>
      </c>
      <c r="E181" s="460"/>
      <c r="F181" s="460"/>
      <c r="G181" s="460"/>
      <c r="H181" s="460"/>
      <c r="I181" s="460"/>
      <c r="J181" s="460"/>
      <c r="K181" s="460"/>
      <c r="L181" s="460"/>
    </row>
    <row r="182" spans="1:56" ht="12" customHeight="1">
      <c r="A182" s="654" t="s">
        <v>57</v>
      </c>
      <c r="B182" s="661">
        <v>42924</v>
      </c>
      <c r="C182" s="660" t="s">
        <v>1028</v>
      </c>
      <c r="D182" s="659">
        <v>188</v>
      </c>
      <c r="E182" s="460"/>
      <c r="F182" s="460"/>
      <c r="G182" s="460"/>
      <c r="H182" s="460"/>
      <c r="I182" s="460"/>
      <c r="J182" s="460"/>
      <c r="K182" s="460"/>
      <c r="L182" s="460"/>
    </row>
    <row r="183" spans="1:56" ht="12" customHeight="1">
      <c r="B183" s="661">
        <v>42925</v>
      </c>
      <c r="C183" s="660" t="s">
        <v>1027</v>
      </c>
      <c r="D183" s="659">
        <v>100</v>
      </c>
      <c r="E183" s="460"/>
      <c r="F183" s="460"/>
      <c r="G183" s="460"/>
      <c r="H183" s="460"/>
      <c r="I183" s="460"/>
      <c r="J183" s="460"/>
      <c r="K183" s="460"/>
      <c r="L183" s="460"/>
    </row>
    <row r="184" spans="1:56" ht="12" customHeight="1">
      <c r="B184" s="661">
        <v>42925</v>
      </c>
      <c r="C184" s="660" t="s">
        <v>1026</v>
      </c>
      <c r="D184" s="659">
        <v>98</v>
      </c>
      <c r="E184" s="460"/>
      <c r="F184" s="460"/>
      <c r="G184" s="460"/>
      <c r="H184" s="460"/>
      <c r="I184" s="460"/>
      <c r="J184" s="460"/>
      <c r="K184" s="460"/>
      <c r="L184" s="460"/>
    </row>
    <row r="185" spans="1:56" ht="12" customHeight="1">
      <c r="B185" s="661">
        <v>42926</v>
      </c>
      <c r="C185" s="660" t="s">
        <v>1025</v>
      </c>
      <c r="D185" s="659">
        <v>453.83</v>
      </c>
      <c r="E185" s="460"/>
      <c r="F185" s="460">
        <v>453.83</v>
      </c>
      <c r="G185" s="460"/>
      <c r="H185" s="460"/>
      <c r="I185" s="460"/>
      <c r="J185" s="460"/>
      <c r="K185" s="460"/>
      <c r="L185" s="460"/>
    </row>
    <row r="186" spans="1:56" ht="12" customHeight="1">
      <c r="B186" s="661">
        <v>42934</v>
      </c>
      <c r="C186" s="660" t="s">
        <v>914</v>
      </c>
      <c r="D186" s="659">
        <v>28</v>
      </c>
      <c r="E186" s="460"/>
      <c r="F186" s="460"/>
      <c r="G186" s="460"/>
      <c r="H186" s="460"/>
      <c r="I186" s="460"/>
      <c r="J186" s="460"/>
      <c r="K186" s="460"/>
      <c r="L186" s="460"/>
    </row>
    <row r="187" spans="1:56" ht="12" customHeight="1">
      <c r="B187" s="661">
        <v>42941</v>
      </c>
      <c r="C187" s="660" t="s">
        <v>1024</v>
      </c>
      <c r="D187" s="659">
        <v>200</v>
      </c>
      <c r="E187" s="460"/>
      <c r="F187" s="460">
        <v>200</v>
      </c>
      <c r="G187" s="460"/>
      <c r="H187" s="460"/>
      <c r="I187" s="460"/>
      <c r="J187" s="460"/>
      <c r="K187" s="460"/>
      <c r="L187" s="460"/>
    </row>
    <row r="188" spans="1:56" ht="12" customHeight="1">
      <c r="B188" s="661">
        <v>42941</v>
      </c>
      <c r="C188" s="660" t="s">
        <v>143</v>
      </c>
      <c r="D188" s="659">
        <v>-55.51</v>
      </c>
      <c r="E188" s="460"/>
      <c r="F188" s="460"/>
      <c r="G188" s="460"/>
      <c r="H188" s="460"/>
      <c r="I188" s="460"/>
      <c r="J188" s="460"/>
      <c r="K188" s="460"/>
      <c r="L188" s="460"/>
    </row>
    <row r="189" spans="1:56" s="662" customFormat="1" ht="12" customHeight="1">
      <c r="A189" s="668"/>
      <c r="B189" s="951" t="s">
        <v>116</v>
      </c>
      <c r="C189" s="812" t="s">
        <v>37</v>
      </c>
      <c r="D189" s="811"/>
      <c r="E189" s="808" t="s">
        <v>48</v>
      </c>
      <c r="F189" s="808" t="s">
        <v>282</v>
      </c>
      <c r="G189" s="808" t="s">
        <v>280</v>
      </c>
      <c r="H189" s="808"/>
      <c r="I189" s="808" t="s">
        <v>629</v>
      </c>
      <c r="J189" s="808" t="s">
        <v>58</v>
      </c>
      <c r="K189" s="3052" t="s">
        <v>561</v>
      </c>
      <c r="L189" s="3052"/>
      <c r="M189" s="663"/>
      <c r="N189" s="663"/>
      <c r="O189" s="663"/>
      <c r="P189" s="663"/>
      <c r="Q189" s="663"/>
      <c r="R189" s="663"/>
      <c r="S189" s="663"/>
      <c r="T189" s="663"/>
      <c r="U189" s="663"/>
      <c r="V189" s="663"/>
      <c r="W189" s="663"/>
      <c r="X189" s="663"/>
      <c r="Y189" s="663"/>
      <c r="Z189" s="663"/>
      <c r="AA189" s="663"/>
      <c r="AB189" s="663"/>
      <c r="AC189" s="663"/>
      <c r="AD189" s="663"/>
      <c r="AE189" s="663"/>
      <c r="AF189" s="663"/>
      <c r="AG189" s="663"/>
      <c r="AH189" s="663"/>
      <c r="AI189" s="663"/>
      <c r="AJ189" s="663"/>
      <c r="AK189" s="663"/>
      <c r="AL189" s="663"/>
      <c r="AM189" s="663"/>
      <c r="AN189" s="663"/>
      <c r="AO189" s="663"/>
      <c r="AP189" s="663"/>
      <c r="AQ189" s="663"/>
      <c r="AR189" s="663"/>
      <c r="AS189" s="663"/>
      <c r="AT189" s="663"/>
      <c r="AU189" s="663"/>
      <c r="AV189" s="663"/>
      <c r="AW189" s="663"/>
      <c r="AX189" s="663"/>
      <c r="AY189" s="663"/>
      <c r="AZ189" s="663"/>
      <c r="BA189" s="663"/>
      <c r="BB189" s="663"/>
      <c r="BC189" s="663"/>
      <c r="BD189" s="663"/>
    </row>
    <row r="190" spans="1:56" ht="12" customHeight="1">
      <c r="B190" s="661">
        <v>42947</v>
      </c>
      <c r="C190" s="660" t="s">
        <v>22</v>
      </c>
      <c r="D190" s="659">
        <v>82</v>
      </c>
      <c r="E190" s="460"/>
      <c r="F190" s="460"/>
      <c r="G190" s="460">
        <f>D190</f>
        <v>82</v>
      </c>
      <c r="H190" s="460"/>
      <c r="I190" s="460"/>
      <c r="J190" s="460"/>
      <c r="K190" s="460"/>
      <c r="L190" s="460"/>
    </row>
    <row r="191" spans="1:56" ht="12" customHeight="1">
      <c r="B191" s="661">
        <v>42947</v>
      </c>
      <c r="C191" s="660" t="s">
        <v>21</v>
      </c>
      <c r="D191" s="659">
        <v>130</v>
      </c>
      <c r="E191" s="460"/>
      <c r="F191" s="460"/>
      <c r="G191" s="460">
        <f>D191</f>
        <v>130</v>
      </c>
      <c r="H191" s="460"/>
      <c r="I191" s="460"/>
      <c r="J191" s="460"/>
      <c r="K191" s="460"/>
      <c r="L191" s="460"/>
    </row>
    <row r="192" spans="1:56" ht="12" customHeight="1">
      <c r="B192" s="661">
        <v>42947</v>
      </c>
      <c r="C192" s="660" t="s">
        <v>379</v>
      </c>
      <c r="D192" s="659">
        <v>399.9</v>
      </c>
      <c r="E192" s="460"/>
      <c r="F192" s="460"/>
      <c r="G192" s="460"/>
      <c r="H192" s="460"/>
      <c r="I192" s="460"/>
      <c r="J192" s="460"/>
      <c r="K192" s="460"/>
      <c r="L192" s="460"/>
    </row>
    <row r="193" spans="2:12" s="648" customFormat="1" ht="12" customHeight="1">
      <c r="B193" s="661">
        <v>42947</v>
      </c>
      <c r="C193" s="660" t="s">
        <v>1023</v>
      </c>
      <c r="D193" s="659">
        <v>60</v>
      </c>
      <c r="E193" s="460"/>
      <c r="F193" s="460"/>
      <c r="G193" s="460"/>
      <c r="H193" s="460"/>
      <c r="I193" s="460"/>
      <c r="J193" s="460"/>
      <c r="K193" s="460"/>
      <c r="L193" s="460"/>
    </row>
    <row r="194" spans="2:12" s="648" customFormat="1" ht="12" customHeight="1">
      <c r="B194" s="661">
        <v>42947</v>
      </c>
      <c r="C194" s="660" t="s">
        <v>216</v>
      </c>
      <c r="D194" s="659">
        <v>47.9</v>
      </c>
      <c r="E194" s="460"/>
      <c r="F194" s="460"/>
      <c r="G194" s="460"/>
      <c r="H194" s="460"/>
      <c r="I194" s="460"/>
      <c r="J194" s="460"/>
      <c r="K194" s="460"/>
      <c r="L194" s="460"/>
    </row>
    <row r="195" spans="2:12" s="648" customFormat="1" ht="12" customHeight="1">
      <c r="B195" s="661">
        <v>42948</v>
      </c>
      <c r="C195" s="660" t="s">
        <v>914</v>
      </c>
      <c r="D195" s="659">
        <v>95.9</v>
      </c>
      <c r="E195" s="460"/>
      <c r="F195" s="460"/>
      <c r="G195" s="460"/>
      <c r="H195" s="460"/>
      <c r="I195" s="460"/>
      <c r="J195" s="460"/>
      <c r="K195" s="460"/>
      <c r="L195" s="460"/>
    </row>
    <row r="196" spans="2:12" s="648" customFormat="1" ht="12" customHeight="1">
      <c r="B196" s="661">
        <v>42948</v>
      </c>
      <c r="C196" s="660" t="s">
        <v>430</v>
      </c>
      <c r="D196" s="659">
        <v>49.9</v>
      </c>
      <c r="E196" s="460"/>
      <c r="F196" s="460"/>
      <c r="G196" s="460"/>
      <c r="H196" s="460"/>
      <c r="I196" s="460"/>
      <c r="J196" s="460"/>
      <c r="K196" s="460"/>
      <c r="L196" s="460"/>
    </row>
    <row r="197" spans="2:12" s="648" customFormat="1" ht="12" customHeight="1">
      <c r="B197" s="661">
        <v>42948</v>
      </c>
      <c r="C197" s="660" t="s">
        <v>638</v>
      </c>
      <c r="D197" s="659">
        <v>59.85</v>
      </c>
      <c r="E197" s="460"/>
      <c r="F197" s="460"/>
      <c r="G197" s="460"/>
      <c r="H197" s="460"/>
      <c r="I197" s="460"/>
      <c r="J197" s="460"/>
      <c r="K197" s="460"/>
      <c r="L197" s="460"/>
    </row>
    <row r="198" spans="2:12" s="648" customFormat="1" ht="12" customHeight="1">
      <c r="B198" s="661">
        <v>42948</v>
      </c>
      <c r="C198" s="660" t="s">
        <v>1022</v>
      </c>
      <c r="D198" s="659">
        <v>49.9</v>
      </c>
      <c r="E198" s="460"/>
      <c r="F198" s="460"/>
      <c r="G198" s="460"/>
      <c r="H198" s="460"/>
      <c r="I198" s="460"/>
      <c r="J198" s="460"/>
      <c r="K198" s="460"/>
      <c r="L198" s="460"/>
    </row>
    <row r="199" spans="2:12" s="648" customFormat="1" ht="12" customHeight="1">
      <c r="B199" s="661">
        <v>42948</v>
      </c>
      <c r="C199" s="660" t="s">
        <v>1021</v>
      </c>
      <c r="D199" s="659">
        <v>60</v>
      </c>
      <c r="E199" s="460"/>
      <c r="F199" s="460"/>
      <c r="G199" s="460"/>
      <c r="H199" s="460"/>
      <c r="I199" s="460"/>
      <c r="J199" s="460"/>
      <c r="K199" s="460"/>
      <c r="L199" s="460"/>
    </row>
    <row r="200" spans="2:12" s="648" customFormat="1" ht="12" customHeight="1">
      <c r="B200" s="661">
        <v>42948</v>
      </c>
      <c r="C200" s="660" t="s">
        <v>653</v>
      </c>
      <c r="D200" s="659">
        <v>85</v>
      </c>
      <c r="E200" s="460"/>
      <c r="F200" s="460"/>
      <c r="G200" s="460"/>
      <c r="H200" s="460"/>
      <c r="I200" s="460"/>
      <c r="J200" s="460"/>
      <c r="K200" s="460"/>
      <c r="L200" s="460"/>
    </row>
    <row r="201" spans="2:12" s="648" customFormat="1" ht="12" customHeight="1">
      <c r="B201" s="661">
        <v>42949</v>
      </c>
      <c r="C201" s="660" t="s">
        <v>186</v>
      </c>
      <c r="D201" s="659">
        <v>202.53</v>
      </c>
      <c r="E201" s="460"/>
      <c r="F201" s="460"/>
      <c r="G201" s="460"/>
      <c r="H201" s="460"/>
      <c r="I201" s="460"/>
      <c r="J201" s="460"/>
      <c r="K201" s="460"/>
      <c r="L201" s="460"/>
    </row>
    <row r="202" spans="2:12" s="648" customFormat="1" ht="12" customHeight="1">
      <c r="B202" s="661">
        <v>42949</v>
      </c>
      <c r="C202" s="660" t="s">
        <v>217</v>
      </c>
      <c r="D202" s="659">
        <v>74</v>
      </c>
      <c r="E202" s="460"/>
      <c r="F202" s="460"/>
      <c r="G202" s="460"/>
      <c r="H202" s="460"/>
      <c r="I202" s="460"/>
      <c r="J202" s="460"/>
      <c r="K202" s="460"/>
      <c r="L202" s="460"/>
    </row>
    <row r="203" spans="2:12" s="648" customFormat="1" ht="12" customHeight="1">
      <c r="B203" s="661">
        <v>42949</v>
      </c>
      <c r="C203" s="660" t="s">
        <v>1020</v>
      </c>
      <c r="D203" s="659">
        <v>55</v>
      </c>
      <c r="E203" s="460"/>
      <c r="F203" s="460"/>
      <c r="G203" s="460"/>
      <c r="H203" s="460"/>
      <c r="I203" s="460"/>
      <c r="J203" s="460"/>
      <c r="K203" s="460"/>
      <c r="L203" s="460"/>
    </row>
    <row r="204" spans="2:12" s="648" customFormat="1" ht="12" customHeight="1">
      <c r="B204" s="661">
        <v>42951</v>
      </c>
      <c r="C204" s="660" t="s">
        <v>845</v>
      </c>
      <c r="D204" s="659">
        <v>178.95</v>
      </c>
      <c r="E204" s="460"/>
      <c r="F204" s="460"/>
      <c r="G204" s="460"/>
      <c r="H204" s="460"/>
      <c r="I204" s="460"/>
      <c r="J204" s="460"/>
      <c r="K204" s="460"/>
      <c r="L204" s="460"/>
    </row>
    <row r="205" spans="2:12" s="648" customFormat="1" ht="12" customHeight="1">
      <c r="B205" s="661">
        <v>42951</v>
      </c>
      <c r="C205" s="660" t="s">
        <v>220</v>
      </c>
      <c r="D205" s="659">
        <v>74.45</v>
      </c>
      <c r="E205" s="460"/>
      <c r="F205" s="460"/>
      <c r="G205" s="460"/>
      <c r="H205" s="460"/>
      <c r="I205" s="460"/>
      <c r="J205" s="460"/>
      <c r="K205" s="460"/>
      <c r="L205" s="460"/>
    </row>
    <row r="206" spans="2:12" s="648" customFormat="1" ht="12" customHeight="1">
      <c r="B206" s="661">
        <v>42953</v>
      </c>
      <c r="C206" s="660" t="s">
        <v>1019</v>
      </c>
      <c r="D206" s="659">
        <v>9.9499999999999993</v>
      </c>
      <c r="E206" s="460"/>
      <c r="F206" s="460"/>
      <c r="G206" s="460"/>
      <c r="H206" s="460"/>
      <c r="I206" s="460"/>
      <c r="J206" s="460"/>
      <c r="K206" s="460"/>
      <c r="L206" s="460"/>
    </row>
    <row r="207" spans="2:12" s="648" customFormat="1" ht="12" customHeight="1">
      <c r="B207" s="661">
        <v>42954</v>
      </c>
      <c r="C207" s="660" t="s">
        <v>1018</v>
      </c>
      <c r="D207" s="659">
        <v>78</v>
      </c>
      <c r="E207" s="460"/>
      <c r="F207" s="460"/>
      <c r="G207" s="460"/>
      <c r="H207" s="460"/>
      <c r="I207" s="460"/>
      <c r="J207" s="460"/>
      <c r="K207" s="460"/>
      <c r="L207" s="460"/>
    </row>
    <row r="208" spans="2:12" s="648" customFormat="1" ht="12" customHeight="1">
      <c r="B208" s="661">
        <v>42955</v>
      </c>
      <c r="C208" s="660" t="s">
        <v>1017</v>
      </c>
      <c r="D208" s="659">
        <v>20</v>
      </c>
      <c r="E208" s="460"/>
      <c r="F208" s="460"/>
      <c r="G208" s="460"/>
      <c r="H208" s="460"/>
      <c r="I208" s="460"/>
      <c r="J208" s="460"/>
      <c r="K208" s="460"/>
      <c r="L208" s="460"/>
    </row>
    <row r="209" spans="1:56" ht="12" customHeight="1">
      <c r="B209" s="661">
        <v>42955</v>
      </c>
      <c r="C209" s="660" t="s">
        <v>641</v>
      </c>
      <c r="D209" s="659">
        <v>98</v>
      </c>
      <c r="E209" s="460"/>
      <c r="F209" s="460"/>
      <c r="G209" s="460"/>
      <c r="H209" s="460"/>
      <c r="I209" s="460"/>
      <c r="J209" s="460"/>
      <c r="K209" s="460"/>
      <c r="L209" s="460"/>
    </row>
    <row r="210" spans="1:56" ht="12" customHeight="1">
      <c r="B210" s="661">
        <v>42956</v>
      </c>
      <c r="C210" s="660" t="s">
        <v>716</v>
      </c>
      <c r="D210" s="659">
        <v>99</v>
      </c>
      <c r="E210" s="460">
        <v>99</v>
      </c>
      <c r="F210" s="460"/>
      <c r="G210" s="460"/>
      <c r="H210" s="460"/>
      <c r="I210" s="460"/>
      <c r="J210" s="460"/>
      <c r="K210" s="460"/>
      <c r="L210" s="460"/>
    </row>
    <row r="211" spans="1:56" ht="12" customHeight="1">
      <c r="B211" s="661">
        <v>42956</v>
      </c>
      <c r="C211" s="660" t="s">
        <v>581</v>
      </c>
      <c r="D211" s="659">
        <v>220</v>
      </c>
      <c r="E211" s="460"/>
      <c r="F211" s="460"/>
      <c r="G211" s="460"/>
      <c r="H211" s="460"/>
      <c r="I211" s="460"/>
      <c r="J211" s="460"/>
      <c r="K211" s="460"/>
      <c r="L211" s="460"/>
    </row>
    <row r="212" spans="1:56" ht="12" customHeight="1">
      <c r="B212" s="661">
        <v>42957</v>
      </c>
      <c r="C212" s="660" t="s">
        <v>167</v>
      </c>
      <c r="D212" s="659">
        <v>760</v>
      </c>
      <c r="E212" s="460"/>
      <c r="F212" s="460"/>
      <c r="G212" s="460"/>
      <c r="H212" s="460"/>
      <c r="I212" s="460"/>
      <c r="J212" s="460"/>
      <c r="K212" s="460"/>
      <c r="L212" s="460"/>
    </row>
    <row r="213" spans="1:56" ht="12" customHeight="1">
      <c r="B213" s="661">
        <v>42957</v>
      </c>
      <c r="C213" s="660" t="s">
        <v>641</v>
      </c>
      <c r="D213" s="659">
        <v>49</v>
      </c>
      <c r="E213" s="460"/>
      <c r="F213" s="460"/>
      <c r="G213" s="460"/>
      <c r="H213" s="460"/>
      <c r="I213" s="460"/>
      <c r="J213" s="460"/>
      <c r="K213" s="460"/>
      <c r="L213" s="460"/>
    </row>
    <row r="214" spans="1:56" ht="12" customHeight="1">
      <c r="B214" s="661">
        <v>42957</v>
      </c>
      <c r="C214" s="660" t="s">
        <v>1016</v>
      </c>
      <c r="D214" s="659">
        <v>60.8</v>
      </c>
      <c r="E214" s="460"/>
      <c r="F214" s="460"/>
      <c r="G214" s="460"/>
      <c r="H214" s="460"/>
      <c r="I214" s="460"/>
      <c r="J214" s="460"/>
      <c r="K214" s="460"/>
      <c r="L214" s="460"/>
    </row>
    <row r="215" spans="1:56" ht="12" customHeight="1">
      <c r="B215" s="661">
        <v>42958</v>
      </c>
      <c r="C215" s="660" t="s">
        <v>1015</v>
      </c>
      <c r="D215" s="659">
        <v>228</v>
      </c>
      <c r="E215" s="460"/>
      <c r="F215" s="460"/>
      <c r="G215" s="460"/>
      <c r="H215" s="460"/>
      <c r="I215" s="460"/>
      <c r="J215" s="460"/>
      <c r="K215" s="460"/>
      <c r="L215" s="460"/>
    </row>
    <row r="216" spans="1:56" ht="12" customHeight="1">
      <c r="B216" s="661">
        <v>42963</v>
      </c>
      <c r="C216" s="660" t="s">
        <v>1014</v>
      </c>
      <c r="D216" s="659">
        <v>59.5</v>
      </c>
      <c r="E216" s="460"/>
      <c r="F216" s="460"/>
      <c r="G216" s="460"/>
      <c r="H216" s="460"/>
      <c r="I216" s="460"/>
      <c r="J216" s="460"/>
      <c r="K216" s="460"/>
      <c r="L216" s="460"/>
    </row>
    <row r="217" spans="1:56" ht="12" customHeight="1">
      <c r="B217" s="661">
        <v>42967</v>
      </c>
      <c r="C217" s="660" t="s">
        <v>651</v>
      </c>
      <c r="D217" s="659">
        <v>300</v>
      </c>
      <c r="E217" s="460"/>
      <c r="F217" s="460"/>
      <c r="G217" s="460"/>
      <c r="H217" s="460"/>
      <c r="I217" s="460"/>
      <c r="J217" s="460"/>
      <c r="K217" s="460"/>
      <c r="L217" s="460"/>
    </row>
    <row r="218" spans="1:56" ht="12" customHeight="1">
      <c r="B218" s="661">
        <v>42969</v>
      </c>
      <c r="C218" s="660" t="s">
        <v>578</v>
      </c>
      <c r="D218" s="659">
        <v>-140</v>
      </c>
      <c r="E218" s="460"/>
      <c r="F218" s="460"/>
      <c r="G218" s="460"/>
      <c r="H218" s="460"/>
      <c r="I218" s="460"/>
      <c r="J218" s="460"/>
      <c r="K218" s="460"/>
      <c r="L218" s="460"/>
    </row>
    <row r="219" spans="1:56" s="670" customFormat="1" ht="12" customHeight="1">
      <c r="A219" s="675"/>
      <c r="B219" s="954"/>
      <c r="C219" s="953"/>
      <c r="D219" s="952"/>
      <c r="E219" s="671"/>
      <c r="F219" s="671"/>
      <c r="G219" s="671"/>
      <c r="H219" s="671"/>
      <c r="I219" s="671"/>
      <c r="J219" s="671"/>
      <c r="K219" s="671"/>
      <c r="L219" s="671"/>
      <c r="M219" s="663"/>
      <c r="N219" s="663"/>
      <c r="O219" s="663"/>
      <c r="P219" s="663"/>
      <c r="Q219" s="663"/>
      <c r="R219" s="663"/>
      <c r="S219" s="663"/>
      <c r="T219" s="663"/>
      <c r="U219" s="663"/>
      <c r="V219" s="663"/>
      <c r="W219" s="663"/>
      <c r="X219" s="663"/>
      <c r="Y219" s="663"/>
      <c r="Z219" s="663"/>
      <c r="AA219" s="663"/>
      <c r="AB219" s="663"/>
      <c r="AC219" s="663"/>
      <c r="AD219" s="663"/>
      <c r="AE219" s="663"/>
      <c r="AF219" s="663"/>
      <c r="AG219" s="663"/>
      <c r="AH219" s="663"/>
      <c r="AI219" s="663"/>
      <c r="AJ219" s="663"/>
      <c r="AK219" s="663"/>
      <c r="AL219" s="663"/>
      <c r="AM219" s="663"/>
      <c r="AN219" s="663"/>
      <c r="AO219" s="663"/>
      <c r="AP219" s="663"/>
      <c r="AQ219" s="663"/>
      <c r="AR219" s="663"/>
      <c r="AS219" s="663"/>
      <c r="AT219" s="663"/>
      <c r="AU219" s="663"/>
      <c r="AV219" s="663"/>
      <c r="AW219" s="663"/>
      <c r="AX219" s="663"/>
      <c r="AY219" s="663"/>
      <c r="AZ219" s="663"/>
      <c r="BA219" s="663"/>
      <c r="BB219" s="663"/>
      <c r="BC219" s="663"/>
      <c r="BD219" s="663"/>
    </row>
    <row r="220" spans="1:56" s="662" customFormat="1" ht="12" customHeight="1">
      <c r="A220" s="668"/>
      <c r="B220" s="951" t="s">
        <v>115</v>
      </c>
      <c r="C220" s="812" t="s">
        <v>37</v>
      </c>
      <c r="D220" s="811"/>
      <c r="E220" s="808" t="s">
        <v>48</v>
      </c>
      <c r="F220" s="808" t="s">
        <v>282</v>
      </c>
      <c r="G220" s="808" t="s">
        <v>280</v>
      </c>
      <c r="H220" s="808"/>
      <c r="I220" s="808" t="s">
        <v>629</v>
      </c>
      <c r="J220" s="808" t="s">
        <v>58</v>
      </c>
      <c r="K220" s="3052" t="s">
        <v>561</v>
      </c>
      <c r="L220" s="3052"/>
      <c r="M220" s="663"/>
      <c r="N220" s="663"/>
      <c r="O220" s="663"/>
      <c r="P220" s="663"/>
      <c r="Q220" s="663"/>
      <c r="R220" s="663"/>
      <c r="S220" s="663"/>
      <c r="T220" s="663"/>
      <c r="U220" s="663"/>
      <c r="V220" s="663"/>
      <c r="W220" s="663"/>
      <c r="X220" s="663"/>
      <c r="Y220" s="663"/>
      <c r="Z220" s="663"/>
      <c r="AA220" s="663"/>
      <c r="AB220" s="663"/>
      <c r="AC220" s="663"/>
      <c r="AD220" s="663"/>
      <c r="AE220" s="663"/>
      <c r="AF220" s="663"/>
      <c r="AG220" s="663"/>
      <c r="AH220" s="663"/>
      <c r="AI220" s="663"/>
      <c r="AJ220" s="663"/>
      <c r="AK220" s="663"/>
      <c r="AL220" s="663"/>
      <c r="AM220" s="663"/>
      <c r="AN220" s="663"/>
      <c r="AO220" s="663"/>
      <c r="AP220" s="663"/>
      <c r="AQ220" s="663"/>
      <c r="AR220" s="663"/>
      <c r="AS220" s="663"/>
      <c r="AT220" s="663"/>
      <c r="AU220" s="663"/>
      <c r="AV220" s="663"/>
      <c r="AW220" s="663"/>
      <c r="AX220" s="663"/>
      <c r="AY220" s="663"/>
      <c r="AZ220" s="663"/>
      <c r="BA220" s="663"/>
      <c r="BB220" s="663"/>
      <c r="BC220" s="663"/>
      <c r="BD220" s="663"/>
    </row>
    <row r="221" spans="1:56" s="670" customFormat="1" ht="12" customHeight="1">
      <c r="A221" s="675"/>
      <c r="B221" s="679">
        <v>42978</v>
      </c>
      <c r="C221" s="678" t="s">
        <v>22</v>
      </c>
      <c r="D221" s="677">
        <v>100</v>
      </c>
      <c r="E221" s="676"/>
      <c r="F221" s="676"/>
      <c r="G221" s="676">
        <v>100</v>
      </c>
      <c r="H221" s="676"/>
      <c r="I221" s="676"/>
      <c r="J221" s="676"/>
      <c r="K221" s="676"/>
      <c r="L221" s="676"/>
      <c r="M221" s="663"/>
      <c r="N221" s="663"/>
      <c r="O221" s="663"/>
      <c r="P221" s="663"/>
      <c r="Q221" s="663"/>
      <c r="R221" s="663"/>
      <c r="S221" s="663"/>
      <c r="T221" s="663"/>
      <c r="U221" s="663"/>
      <c r="V221" s="663"/>
      <c r="W221" s="663"/>
      <c r="X221" s="663"/>
      <c r="Y221" s="663"/>
      <c r="Z221" s="663"/>
      <c r="AA221" s="663"/>
      <c r="AB221" s="663"/>
      <c r="AC221" s="663"/>
      <c r="AD221" s="663"/>
      <c r="AE221" s="663"/>
      <c r="AF221" s="663"/>
      <c r="AG221" s="663"/>
      <c r="AH221" s="663"/>
      <c r="AI221" s="663"/>
      <c r="AJ221" s="663"/>
      <c r="AK221" s="663"/>
      <c r="AL221" s="663"/>
      <c r="AM221" s="663"/>
      <c r="AN221" s="663"/>
      <c r="AO221" s="663"/>
      <c r="AP221" s="663"/>
      <c r="AQ221" s="663"/>
      <c r="AR221" s="663"/>
      <c r="AS221" s="663"/>
      <c r="AT221" s="663"/>
      <c r="AU221" s="663"/>
      <c r="AV221" s="663"/>
      <c r="AW221" s="663"/>
      <c r="AX221" s="663"/>
      <c r="AY221" s="663"/>
      <c r="AZ221" s="663"/>
      <c r="BA221" s="663"/>
      <c r="BB221" s="663"/>
      <c r="BC221" s="663"/>
      <c r="BD221" s="663"/>
    </row>
    <row r="222" spans="1:56" s="670" customFormat="1" ht="12" customHeight="1">
      <c r="A222" s="675"/>
      <c r="B222" s="679">
        <v>42978</v>
      </c>
      <c r="C222" s="678" t="s">
        <v>21</v>
      </c>
      <c r="D222" s="677">
        <v>200</v>
      </c>
      <c r="E222" s="676"/>
      <c r="F222" s="676"/>
      <c r="G222" s="676">
        <v>200</v>
      </c>
      <c r="H222" s="676"/>
      <c r="I222" s="676"/>
      <c r="J222" s="676"/>
      <c r="K222" s="676"/>
      <c r="L222" s="676"/>
      <c r="M222" s="663"/>
      <c r="N222" s="663"/>
      <c r="O222" s="663"/>
      <c r="P222" s="663"/>
      <c r="Q222" s="663"/>
      <c r="R222" s="663"/>
      <c r="S222" s="663"/>
      <c r="T222" s="663"/>
      <c r="U222" s="663"/>
      <c r="V222" s="663"/>
      <c r="W222" s="663"/>
      <c r="X222" s="663"/>
      <c r="Y222" s="663"/>
      <c r="Z222" s="663"/>
      <c r="AA222" s="663"/>
      <c r="AB222" s="663"/>
      <c r="AC222" s="663"/>
      <c r="AD222" s="663"/>
      <c r="AE222" s="663"/>
      <c r="AF222" s="663"/>
      <c r="AG222" s="663"/>
      <c r="AH222" s="663"/>
      <c r="AI222" s="663"/>
      <c r="AJ222" s="663"/>
      <c r="AK222" s="663"/>
      <c r="AL222" s="663"/>
      <c r="AM222" s="663"/>
      <c r="AN222" s="663"/>
      <c r="AO222" s="663"/>
      <c r="AP222" s="663"/>
      <c r="AQ222" s="663"/>
      <c r="AR222" s="663"/>
      <c r="AS222" s="663"/>
      <c r="AT222" s="663"/>
      <c r="AU222" s="663"/>
      <c r="AV222" s="663"/>
      <c r="AW222" s="663"/>
      <c r="AX222" s="663"/>
      <c r="AY222" s="663"/>
      <c r="AZ222" s="663"/>
      <c r="BA222" s="663"/>
      <c r="BB222" s="663"/>
      <c r="BC222" s="663"/>
      <c r="BD222" s="663"/>
    </row>
    <row r="223" spans="1:56" s="670" customFormat="1" ht="12" customHeight="1">
      <c r="A223" s="675"/>
      <c r="B223" s="679">
        <v>42978</v>
      </c>
      <c r="C223" s="678" t="s">
        <v>469</v>
      </c>
      <c r="D223" s="677">
        <v>219</v>
      </c>
      <c r="E223" s="676"/>
      <c r="F223" s="676"/>
      <c r="G223" s="676"/>
      <c r="H223" s="676"/>
      <c r="I223" s="676"/>
      <c r="J223" s="676"/>
      <c r="K223" s="676"/>
      <c r="L223" s="676"/>
      <c r="M223" s="663"/>
      <c r="N223" s="663"/>
      <c r="O223" s="663"/>
      <c r="P223" s="663"/>
      <c r="Q223" s="663"/>
      <c r="R223" s="663"/>
      <c r="S223" s="663"/>
      <c r="T223" s="663"/>
      <c r="U223" s="663"/>
      <c r="V223" s="663"/>
      <c r="W223" s="663"/>
      <c r="X223" s="663"/>
      <c r="Y223" s="663"/>
      <c r="Z223" s="663"/>
      <c r="AA223" s="663"/>
      <c r="AB223" s="663"/>
      <c r="AC223" s="663"/>
      <c r="AD223" s="663"/>
      <c r="AE223" s="663"/>
      <c r="AF223" s="663"/>
      <c r="AG223" s="663"/>
      <c r="AH223" s="663"/>
      <c r="AI223" s="663"/>
      <c r="AJ223" s="663"/>
      <c r="AK223" s="663"/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663"/>
      <c r="AV223" s="663"/>
      <c r="AW223" s="663"/>
      <c r="AX223" s="663"/>
      <c r="AY223" s="663"/>
      <c r="AZ223" s="663"/>
      <c r="BA223" s="663"/>
      <c r="BB223" s="663"/>
      <c r="BC223" s="663"/>
      <c r="BD223" s="663"/>
    </row>
    <row r="224" spans="1:56" s="670" customFormat="1" ht="12" customHeight="1">
      <c r="A224" s="675"/>
      <c r="B224" s="679">
        <v>42978</v>
      </c>
      <c r="C224" s="678" t="s">
        <v>186</v>
      </c>
      <c r="D224" s="677">
        <v>202.53</v>
      </c>
      <c r="E224" s="676"/>
      <c r="F224" s="676"/>
      <c r="G224" s="676"/>
      <c r="H224" s="676"/>
      <c r="I224" s="676"/>
      <c r="J224" s="676"/>
      <c r="K224" s="676"/>
      <c r="L224" s="676"/>
      <c r="M224" s="663"/>
      <c r="N224" s="663"/>
      <c r="O224" s="663"/>
      <c r="P224" s="663"/>
      <c r="Q224" s="663"/>
      <c r="R224" s="663"/>
      <c r="S224" s="663"/>
      <c r="T224" s="663"/>
      <c r="U224" s="663"/>
      <c r="V224" s="663"/>
      <c r="W224" s="663"/>
      <c r="X224" s="663"/>
      <c r="Y224" s="663"/>
      <c r="Z224" s="663"/>
      <c r="AA224" s="663"/>
      <c r="AB224" s="663"/>
      <c r="AC224" s="663"/>
      <c r="AD224" s="663"/>
      <c r="AE224" s="663"/>
      <c r="AF224" s="663"/>
      <c r="AG224" s="663"/>
      <c r="AH224" s="663"/>
      <c r="AI224" s="663"/>
      <c r="AJ224" s="663"/>
      <c r="AK224" s="663"/>
      <c r="AL224" s="663"/>
      <c r="AM224" s="663"/>
      <c r="AN224" s="663"/>
      <c r="AO224" s="663"/>
      <c r="AP224" s="663"/>
      <c r="AQ224" s="663"/>
      <c r="AR224" s="663"/>
      <c r="AS224" s="663"/>
      <c r="AT224" s="663"/>
      <c r="AU224" s="663"/>
      <c r="AV224" s="663"/>
      <c r="AW224" s="663"/>
      <c r="AX224" s="663"/>
      <c r="AY224" s="663"/>
      <c r="AZ224" s="663"/>
      <c r="BA224" s="663"/>
      <c r="BB224" s="663"/>
      <c r="BC224" s="663"/>
      <c r="BD224" s="663"/>
    </row>
    <row r="225" spans="1:56" s="670" customFormat="1" ht="12" customHeight="1">
      <c r="A225" s="675"/>
      <c r="B225" s="679">
        <v>42979</v>
      </c>
      <c r="C225" s="678" t="s">
        <v>230</v>
      </c>
      <c r="D225" s="677">
        <v>59</v>
      </c>
      <c r="E225" s="676"/>
      <c r="F225" s="676"/>
      <c r="G225" s="676">
        <f>D225</f>
        <v>59</v>
      </c>
      <c r="H225" s="676"/>
      <c r="I225" s="676"/>
      <c r="J225" s="676"/>
      <c r="K225" s="676"/>
      <c r="L225" s="676"/>
      <c r="M225" s="663"/>
      <c r="N225" s="663"/>
      <c r="O225" s="663"/>
      <c r="P225" s="663"/>
      <c r="Q225" s="663"/>
      <c r="R225" s="663"/>
      <c r="S225" s="663"/>
      <c r="T225" s="663"/>
      <c r="U225" s="663"/>
      <c r="V225" s="663"/>
      <c r="W225" s="663"/>
      <c r="X225" s="663"/>
      <c r="Y225" s="663"/>
      <c r="Z225" s="663"/>
      <c r="AA225" s="663"/>
      <c r="AB225" s="663"/>
      <c r="AC225" s="663"/>
      <c r="AD225" s="663"/>
      <c r="AE225" s="663"/>
      <c r="AF225" s="663"/>
      <c r="AG225" s="663"/>
      <c r="AH225" s="663"/>
      <c r="AI225" s="663"/>
      <c r="AJ225" s="663"/>
      <c r="AK225" s="663"/>
      <c r="AL225" s="663"/>
      <c r="AM225" s="663"/>
      <c r="AN225" s="663"/>
      <c r="AO225" s="663"/>
      <c r="AP225" s="663"/>
      <c r="AQ225" s="663"/>
      <c r="AR225" s="663"/>
      <c r="AS225" s="663"/>
      <c r="AT225" s="663"/>
      <c r="AU225" s="663"/>
      <c r="AV225" s="663"/>
      <c r="AW225" s="663"/>
      <c r="AX225" s="663"/>
      <c r="AY225" s="663"/>
      <c r="AZ225" s="663"/>
      <c r="BA225" s="663"/>
      <c r="BB225" s="663"/>
      <c r="BC225" s="663"/>
      <c r="BD225" s="663"/>
    </row>
    <row r="226" spans="1:56" s="670" customFormat="1" ht="12" customHeight="1">
      <c r="A226" s="675"/>
      <c r="B226" s="679">
        <v>42979</v>
      </c>
      <c r="C226" s="678" t="s">
        <v>1013</v>
      </c>
      <c r="D226" s="677">
        <v>98</v>
      </c>
      <c r="E226" s="676">
        <v>98</v>
      </c>
      <c r="F226" s="676"/>
      <c r="G226" s="676"/>
      <c r="H226" s="676"/>
      <c r="I226" s="676"/>
      <c r="J226" s="676"/>
      <c r="K226" s="676"/>
      <c r="L226" s="676"/>
      <c r="M226" s="663"/>
      <c r="N226" s="663"/>
      <c r="O226" s="663"/>
      <c r="P226" s="663"/>
      <c r="Q226" s="663"/>
      <c r="R226" s="663"/>
      <c r="S226" s="663"/>
      <c r="T226" s="663"/>
      <c r="U226" s="663"/>
      <c r="V226" s="663"/>
      <c r="W226" s="663"/>
      <c r="X226" s="663"/>
      <c r="Y226" s="663"/>
      <c r="Z226" s="663"/>
      <c r="AA226" s="663"/>
      <c r="AB226" s="663"/>
      <c r="AC226" s="663"/>
      <c r="AD226" s="663"/>
      <c r="AE226" s="663"/>
      <c r="AF226" s="663"/>
      <c r="AG226" s="663"/>
      <c r="AH226" s="663"/>
      <c r="AI226" s="663"/>
      <c r="AJ226" s="663"/>
      <c r="AK226" s="663"/>
      <c r="AL226" s="663"/>
      <c r="AM226" s="663"/>
      <c r="AN226" s="663"/>
      <c r="AO226" s="663"/>
      <c r="AP226" s="663"/>
      <c r="AQ226" s="663"/>
      <c r="AR226" s="663"/>
      <c r="AS226" s="663"/>
      <c r="AT226" s="663"/>
      <c r="AU226" s="663"/>
      <c r="AV226" s="663"/>
      <c r="AW226" s="663"/>
      <c r="AX226" s="663"/>
      <c r="AY226" s="663"/>
      <c r="AZ226" s="663"/>
      <c r="BA226" s="663"/>
      <c r="BB226" s="663"/>
      <c r="BC226" s="663"/>
      <c r="BD226" s="663"/>
    </row>
    <row r="227" spans="1:56" s="670" customFormat="1" ht="12" customHeight="1">
      <c r="A227" s="675"/>
      <c r="B227" s="679">
        <v>42979</v>
      </c>
      <c r="C227" s="678" t="s">
        <v>397</v>
      </c>
      <c r="D227" s="677">
        <v>204.45</v>
      </c>
      <c r="E227" s="676"/>
      <c r="F227" s="676"/>
      <c r="G227" s="676"/>
      <c r="H227" s="676"/>
      <c r="I227" s="676"/>
      <c r="J227" s="676"/>
      <c r="K227" s="676"/>
      <c r="L227" s="676"/>
      <c r="M227" s="663"/>
      <c r="N227" s="663"/>
      <c r="O227" s="663"/>
      <c r="P227" s="663"/>
      <c r="Q227" s="663"/>
      <c r="R227" s="663"/>
      <c r="S227" s="663"/>
      <c r="T227" s="663"/>
      <c r="U227" s="663"/>
      <c r="V227" s="663"/>
      <c r="W227" s="663"/>
      <c r="X227" s="663"/>
      <c r="Y227" s="663"/>
      <c r="Z227" s="663"/>
      <c r="AA227" s="663"/>
      <c r="AB227" s="663"/>
      <c r="AC227" s="663"/>
      <c r="AD227" s="663"/>
      <c r="AE227" s="663"/>
      <c r="AF227" s="663"/>
      <c r="AG227" s="663"/>
      <c r="AH227" s="663"/>
      <c r="AI227" s="663"/>
      <c r="AJ227" s="663"/>
      <c r="AK227" s="663"/>
      <c r="AL227" s="663"/>
      <c r="AM227" s="663"/>
      <c r="AN227" s="663"/>
      <c r="AO227" s="663"/>
      <c r="AP227" s="663"/>
      <c r="AQ227" s="663"/>
      <c r="AR227" s="663"/>
      <c r="AS227" s="663"/>
      <c r="AT227" s="663"/>
      <c r="AU227" s="663"/>
      <c r="AV227" s="663"/>
      <c r="AW227" s="663"/>
      <c r="AX227" s="663"/>
      <c r="AY227" s="663"/>
      <c r="AZ227" s="663"/>
      <c r="BA227" s="663"/>
      <c r="BB227" s="663"/>
      <c r="BC227" s="663"/>
      <c r="BD227" s="663"/>
    </row>
    <row r="228" spans="1:56" s="670" customFormat="1" ht="12" customHeight="1">
      <c r="A228" s="675"/>
      <c r="B228" s="679">
        <v>42980</v>
      </c>
      <c r="C228" s="678" t="s">
        <v>629</v>
      </c>
      <c r="D228" s="677">
        <v>120</v>
      </c>
      <c r="E228" s="676"/>
      <c r="F228" s="676"/>
      <c r="G228" s="676"/>
      <c r="H228" s="676"/>
      <c r="I228" s="676">
        <f>D228</f>
        <v>120</v>
      </c>
      <c r="J228" s="676"/>
      <c r="K228" s="676"/>
      <c r="L228" s="676"/>
      <c r="M228" s="663"/>
      <c r="N228" s="663"/>
      <c r="O228" s="663"/>
      <c r="P228" s="663"/>
      <c r="Q228" s="663"/>
      <c r="R228" s="663"/>
      <c r="S228" s="663"/>
      <c r="T228" s="663"/>
      <c r="U228" s="663"/>
      <c r="V228" s="663"/>
      <c r="W228" s="663"/>
      <c r="X228" s="663"/>
      <c r="Y228" s="663"/>
      <c r="Z228" s="663"/>
      <c r="AA228" s="663"/>
      <c r="AB228" s="663"/>
      <c r="AC228" s="663"/>
      <c r="AD228" s="663"/>
      <c r="AE228" s="663"/>
      <c r="AF228" s="663"/>
      <c r="AG228" s="663"/>
      <c r="AH228" s="663"/>
      <c r="AI228" s="663"/>
      <c r="AJ228" s="663"/>
      <c r="AK228" s="663"/>
      <c r="AL228" s="663"/>
      <c r="AM228" s="663"/>
      <c r="AN228" s="663"/>
      <c r="AO228" s="663"/>
      <c r="AP228" s="663"/>
      <c r="AQ228" s="663"/>
      <c r="AR228" s="663"/>
      <c r="AS228" s="663"/>
      <c r="AT228" s="663"/>
      <c r="AU228" s="663"/>
      <c r="AV228" s="663"/>
      <c r="AW228" s="663"/>
      <c r="AX228" s="663"/>
      <c r="AY228" s="663"/>
      <c r="AZ228" s="663"/>
      <c r="BA228" s="663"/>
      <c r="BB228" s="663"/>
      <c r="BC228" s="663"/>
      <c r="BD228" s="663"/>
    </row>
    <row r="229" spans="1:56" s="670" customFormat="1" ht="12" customHeight="1">
      <c r="A229" s="675"/>
      <c r="B229" s="679">
        <v>42980</v>
      </c>
      <c r="C229" s="678" t="s">
        <v>254</v>
      </c>
      <c r="D229" s="677">
        <v>100</v>
      </c>
      <c r="E229" s="676"/>
      <c r="F229" s="676"/>
      <c r="G229" s="676"/>
      <c r="H229" s="676"/>
      <c r="I229" s="676"/>
      <c r="J229" s="676"/>
      <c r="K229" s="676"/>
      <c r="L229" s="676"/>
      <c r="M229" s="663"/>
      <c r="N229" s="663"/>
      <c r="O229" s="663"/>
      <c r="P229" s="663"/>
      <c r="Q229" s="663"/>
      <c r="R229" s="663"/>
      <c r="S229" s="663"/>
      <c r="T229" s="663"/>
      <c r="U229" s="663"/>
      <c r="V229" s="663"/>
      <c r="W229" s="663"/>
      <c r="X229" s="663"/>
      <c r="Y229" s="663"/>
      <c r="Z229" s="663"/>
      <c r="AA229" s="663"/>
      <c r="AB229" s="663"/>
      <c r="AC229" s="663"/>
      <c r="AD229" s="663"/>
      <c r="AE229" s="663"/>
      <c r="AF229" s="663"/>
      <c r="AG229" s="663"/>
      <c r="AH229" s="663"/>
      <c r="AI229" s="663"/>
      <c r="AJ229" s="663"/>
      <c r="AK229" s="663"/>
      <c r="AL229" s="663"/>
      <c r="AM229" s="663"/>
      <c r="AN229" s="663"/>
      <c r="AO229" s="663"/>
      <c r="AP229" s="663"/>
      <c r="AQ229" s="663"/>
      <c r="AR229" s="663"/>
      <c r="AS229" s="663"/>
      <c r="AT229" s="663"/>
      <c r="AU229" s="663"/>
      <c r="AV229" s="663"/>
      <c r="AW229" s="663"/>
      <c r="AX229" s="663"/>
      <c r="AY229" s="663"/>
      <c r="AZ229" s="663"/>
      <c r="BA229" s="663"/>
      <c r="BB229" s="663"/>
      <c r="BC229" s="663"/>
      <c r="BD229" s="663"/>
    </row>
    <row r="230" spans="1:56" s="670" customFormat="1" ht="12" customHeight="1">
      <c r="A230" s="675"/>
      <c r="B230" s="679">
        <v>42981</v>
      </c>
      <c r="C230" s="678" t="s">
        <v>58</v>
      </c>
      <c r="D230" s="677">
        <v>300</v>
      </c>
      <c r="E230" s="676"/>
      <c r="F230" s="676"/>
      <c r="G230" s="676"/>
      <c r="H230" s="676"/>
      <c r="I230" s="676"/>
      <c r="J230" s="676">
        <v>300</v>
      </c>
      <c r="K230" s="676"/>
      <c r="L230" s="676"/>
      <c r="M230" s="663"/>
      <c r="N230" s="663"/>
      <c r="O230" s="663"/>
      <c r="P230" s="663"/>
      <c r="Q230" s="663"/>
      <c r="R230" s="663"/>
      <c r="S230" s="663"/>
      <c r="T230" s="663"/>
      <c r="U230" s="663"/>
      <c r="V230" s="663"/>
      <c r="W230" s="663"/>
      <c r="X230" s="663"/>
      <c r="Y230" s="663"/>
      <c r="Z230" s="663"/>
      <c r="AA230" s="663"/>
      <c r="AB230" s="663"/>
      <c r="AC230" s="663"/>
      <c r="AD230" s="663"/>
      <c r="AE230" s="663"/>
      <c r="AF230" s="663"/>
      <c r="AG230" s="663"/>
      <c r="AH230" s="663"/>
      <c r="AI230" s="663"/>
      <c r="AJ230" s="663"/>
      <c r="AK230" s="663"/>
      <c r="AL230" s="663"/>
      <c r="AM230" s="663"/>
      <c r="AN230" s="663"/>
      <c r="AO230" s="663"/>
      <c r="AP230" s="663"/>
      <c r="AQ230" s="663"/>
      <c r="AR230" s="663"/>
      <c r="AS230" s="663"/>
      <c r="AT230" s="663"/>
      <c r="AU230" s="663"/>
      <c r="AV230" s="663"/>
      <c r="AW230" s="663"/>
      <c r="AX230" s="663"/>
      <c r="AY230" s="663"/>
      <c r="AZ230" s="663"/>
      <c r="BA230" s="663"/>
      <c r="BB230" s="663"/>
      <c r="BC230" s="663"/>
      <c r="BD230" s="663"/>
    </row>
    <row r="231" spans="1:56" s="670" customFormat="1" ht="12" customHeight="1">
      <c r="A231" s="675"/>
      <c r="B231" s="679">
        <v>42986</v>
      </c>
      <c r="C231" s="678" t="s">
        <v>473</v>
      </c>
      <c r="D231" s="677">
        <v>24</v>
      </c>
      <c r="E231" s="676"/>
      <c r="F231" s="676"/>
      <c r="G231" s="676"/>
      <c r="H231" s="676"/>
      <c r="I231" s="676"/>
      <c r="J231" s="676"/>
      <c r="K231" s="676"/>
      <c r="L231" s="676"/>
      <c r="M231" s="663"/>
      <c r="N231" s="663"/>
      <c r="O231" s="663"/>
      <c r="P231" s="663"/>
      <c r="Q231" s="663"/>
      <c r="R231" s="663"/>
      <c r="S231" s="663"/>
      <c r="T231" s="663"/>
      <c r="U231" s="663"/>
      <c r="V231" s="663"/>
      <c r="W231" s="663"/>
      <c r="X231" s="663"/>
      <c r="Y231" s="663"/>
      <c r="Z231" s="663"/>
      <c r="AA231" s="663"/>
      <c r="AB231" s="663"/>
      <c r="AC231" s="663"/>
      <c r="AD231" s="663"/>
      <c r="AE231" s="663"/>
      <c r="AF231" s="663"/>
      <c r="AG231" s="663"/>
      <c r="AH231" s="663"/>
      <c r="AI231" s="663"/>
      <c r="AJ231" s="663"/>
      <c r="AK231" s="663"/>
      <c r="AL231" s="663"/>
      <c r="AM231" s="663"/>
      <c r="AN231" s="663"/>
      <c r="AO231" s="663"/>
      <c r="AP231" s="663"/>
      <c r="AQ231" s="663"/>
      <c r="AR231" s="663"/>
      <c r="AS231" s="663"/>
      <c r="AT231" s="663"/>
      <c r="AU231" s="663"/>
      <c r="AV231" s="663"/>
      <c r="AW231" s="663"/>
      <c r="AX231" s="663"/>
      <c r="AY231" s="663"/>
      <c r="AZ231" s="663"/>
      <c r="BA231" s="663"/>
      <c r="BB231" s="663"/>
      <c r="BC231" s="663"/>
      <c r="BD231" s="663"/>
    </row>
    <row r="232" spans="1:56" s="670" customFormat="1" ht="12" customHeight="1">
      <c r="A232" s="675"/>
      <c r="B232" s="679">
        <v>42986</v>
      </c>
      <c r="C232" s="678" t="s">
        <v>58</v>
      </c>
      <c r="D232" s="677">
        <v>200</v>
      </c>
      <c r="E232" s="676"/>
      <c r="F232" s="676"/>
      <c r="G232" s="676"/>
      <c r="H232" s="676"/>
      <c r="I232" s="676"/>
      <c r="J232" s="676">
        <v>200</v>
      </c>
      <c r="K232" s="676"/>
      <c r="L232" s="676"/>
      <c r="M232" s="663"/>
      <c r="N232" s="663"/>
      <c r="O232" s="663"/>
      <c r="P232" s="663"/>
      <c r="Q232" s="663"/>
      <c r="R232" s="663"/>
      <c r="S232" s="663"/>
      <c r="T232" s="663"/>
      <c r="U232" s="663"/>
      <c r="V232" s="663"/>
      <c r="W232" s="663"/>
      <c r="X232" s="663"/>
      <c r="Y232" s="663"/>
      <c r="Z232" s="663"/>
      <c r="AA232" s="663"/>
      <c r="AB232" s="663"/>
      <c r="AC232" s="663"/>
      <c r="AD232" s="663"/>
      <c r="AE232" s="663"/>
      <c r="AF232" s="663"/>
      <c r="AG232" s="663"/>
      <c r="AH232" s="663"/>
      <c r="AI232" s="663"/>
      <c r="AJ232" s="663"/>
      <c r="AK232" s="663"/>
      <c r="AL232" s="663"/>
      <c r="AM232" s="663"/>
      <c r="AN232" s="663"/>
      <c r="AO232" s="663"/>
      <c r="AP232" s="663"/>
      <c r="AQ232" s="663"/>
      <c r="AR232" s="663"/>
      <c r="AS232" s="663"/>
      <c r="AT232" s="663"/>
      <c r="AU232" s="663"/>
      <c r="AV232" s="663"/>
      <c r="AW232" s="663"/>
      <c r="AX232" s="663"/>
      <c r="AY232" s="663"/>
      <c r="AZ232" s="663"/>
      <c r="BA232" s="663"/>
      <c r="BB232" s="663"/>
      <c r="BC232" s="663"/>
      <c r="BD232" s="663"/>
    </row>
    <row r="233" spans="1:56" s="670" customFormat="1" ht="12" customHeight="1">
      <c r="A233" s="675"/>
      <c r="B233" s="679">
        <v>42988</v>
      </c>
      <c r="C233" s="678" t="s">
        <v>1012</v>
      </c>
      <c r="D233" s="677">
        <v>300</v>
      </c>
      <c r="E233" s="676"/>
      <c r="F233" s="676"/>
      <c r="G233" s="676"/>
      <c r="H233" s="676"/>
      <c r="I233" s="676"/>
      <c r="J233" s="676"/>
      <c r="K233" s="676"/>
      <c r="L233" s="676"/>
      <c r="M233" s="663"/>
      <c r="N233" s="663"/>
      <c r="O233" s="663"/>
      <c r="P233" s="663"/>
      <c r="Q233" s="663"/>
      <c r="R233" s="663"/>
      <c r="S233" s="663"/>
      <c r="T233" s="663"/>
      <c r="U233" s="663"/>
      <c r="V233" s="663"/>
      <c r="W233" s="663"/>
      <c r="X233" s="663"/>
      <c r="Y233" s="663"/>
      <c r="Z233" s="663"/>
      <c r="AA233" s="663"/>
      <c r="AB233" s="663"/>
      <c r="AC233" s="663"/>
      <c r="AD233" s="663"/>
      <c r="AE233" s="663"/>
      <c r="AF233" s="663"/>
      <c r="AG233" s="663"/>
      <c r="AH233" s="663"/>
      <c r="AI233" s="663"/>
      <c r="AJ233" s="663"/>
      <c r="AK233" s="663"/>
      <c r="AL233" s="663"/>
      <c r="AM233" s="663"/>
      <c r="AN233" s="663"/>
      <c r="AO233" s="663"/>
      <c r="AP233" s="663"/>
      <c r="AQ233" s="663"/>
      <c r="AR233" s="663"/>
      <c r="AS233" s="663"/>
      <c r="AT233" s="663"/>
      <c r="AU233" s="663"/>
      <c r="AV233" s="663"/>
      <c r="AW233" s="663"/>
      <c r="AX233" s="663"/>
      <c r="AY233" s="663"/>
      <c r="AZ233" s="663"/>
      <c r="BA233" s="663"/>
      <c r="BB233" s="663"/>
      <c r="BC233" s="663"/>
      <c r="BD233" s="663"/>
    </row>
    <row r="234" spans="1:56" s="670" customFormat="1" ht="12" customHeight="1">
      <c r="A234" s="675"/>
      <c r="B234" s="679">
        <v>42987</v>
      </c>
      <c r="C234" s="678" t="s">
        <v>1011</v>
      </c>
      <c r="D234" s="677">
        <v>9.9499999999999993</v>
      </c>
      <c r="E234" s="676"/>
      <c r="F234" s="676"/>
      <c r="G234" s="676"/>
      <c r="H234" s="676"/>
      <c r="I234" s="676"/>
      <c r="J234" s="676"/>
      <c r="K234" s="676"/>
      <c r="L234" s="676"/>
      <c r="M234" s="663"/>
      <c r="N234" s="663"/>
      <c r="O234" s="663"/>
      <c r="P234" s="663"/>
      <c r="Q234" s="663"/>
      <c r="R234" s="663"/>
      <c r="S234" s="663"/>
      <c r="T234" s="663"/>
      <c r="U234" s="663"/>
      <c r="V234" s="663"/>
      <c r="W234" s="663"/>
      <c r="X234" s="663"/>
      <c r="Y234" s="663"/>
      <c r="Z234" s="663"/>
      <c r="AA234" s="663"/>
      <c r="AB234" s="663"/>
      <c r="AC234" s="663"/>
      <c r="AD234" s="663"/>
      <c r="AE234" s="663"/>
      <c r="AF234" s="663"/>
      <c r="AG234" s="663"/>
      <c r="AH234" s="663"/>
      <c r="AI234" s="663"/>
      <c r="AJ234" s="663"/>
      <c r="AK234" s="663"/>
      <c r="AL234" s="663"/>
      <c r="AM234" s="663"/>
      <c r="AN234" s="663"/>
      <c r="AO234" s="663"/>
      <c r="AP234" s="663"/>
      <c r="AQ234" s="663"/>
      <c r="AR234" s="663"/>
      <c r="AS234" s="663"/>
      <c r="AT234" s="663"/>
      <c r="AU234" s="663"/>
      <c r="AV234" s="663"/>
      <c r="AW234" s="663"/>
      <c r="AX234" s="663"/>
      <c r="AY234" s="663"/>
      <c r="AZ234" s="663"/>
      <c r="BA234" s="663"/>
      <c r="BB234" s="663"/>
      <c r="BC234" s="663"/>
      <c r="BD234" s="663"/>
    </row>
    <row r="235" spans="1:56" s="670" customFormat="1" ht="12" customHeight="1">
      <c r="A235" s="675"/>
      <c r="B235" s="679">
        <v>42993</v>
      </c>
      <c r="C235" s="678" t="s">
        <v>1010</v>
      </c>
      <c r="D235" s="677">
        <v>25.9</v>
      </c>
      <c r="E235" s="676"/>
      <c r="F235" s="676"/>
      <c r="G235" s="676"/>
      <c r="H235" s="676"/>
      <c r="I235" s="676"/>
      <c r="J235" s="676"/>
      <c r="K235" s="676"/>
      <c r="L235" s="676"/>
      <c r="M235" s="663"/>
      <c r="N235" s="663"/>
      <c r="O235" s="663"/>
      <c r="P235" s="663"/>
      <c r="Q235" s="663"/>
      <c r="R235" s="663"/>
      <c r="S235" s="663"/>
      <c r="T235" s="663"/>
      <c r="U235" s="663"/>
      <c r="V235" s="663"/>
      <c r="W235" s="663"/>
      <c r="X235" s="663"/>
      <c r="Y235" s="663"/>
      <c r="Z235" s="663"/>
      <c r="AA235" s="663"/>
      <c r="AB235" s="663"/>
      <c r="AC235" s="663"/>
      <c r="AD235" s="663"/>
      <c r="AE235" s="663"/>
      <c r="AF235" s="663"/>
      <c r="AG235" s="663"/>
      <c r="AH235" s="663"/>
      <c r="AI235" s="663"/>
      <c r="AJ235" s="663"/>
      <c r="AK235" s="663"/>
      <c r="AL235" s="663"/>
      <c r="AM235" s="663"/>
      <c r="AN235" s="663"/>
      <c r="AO235" s="663"/>
      <c r="AP235" s="663"/>
      <c r="AQ235" s="663"/>
      <c r="AR235" s="663"/>
      <c r="AS235" s="663"/>
      <c r="AT235" s="663"/>
      <c r="AU235" s="663"/>
      <c r="AV235" s="663"/>
      <c r="AW235" s="663"/>
      <c r="AX235" s="663"/>
      <c r="AY235" s="663"/>
      <c r="AZ235" s="663"/>
      <c r="BA235" s="663"/>
      <c r="BB235" s="663"/>
      <c r="BC235" s="663"/>
      <c r="BD235" s="663"/>
    </row>
    <row r="236" spans="1:56" s="670" customFormat="1" ht="12" customHeight="1">
      <c r="A236" s="675"/>
      <c r="B236" s="679">
        <v>42993</v>
      </c>
      <c r="C236" s="678" t="s">
        <v>1009</v>
      </c>
      <c r="D236" s="677">
        <v>20</v>
      </c>
      <c r="E236" s="676"/>
      <c r="F236" s="676"/>
      <c r="G236" s="676"/>
      <c r="H236" s="676"/>
      <c r="I236" s="676"/>
      <c r="J236" s="676"/>
      <c r="K236" s="676"/>
      <c r="L236" s="676"/>
      <c r="M236" s="663"/>
      <c r="N236" s="663"/>
      <c r="O236" s="663"/>
      <c r="P236" s="663"/>
      <c r="Q236" s="663"/>
      <c r="R236" s="663"/>
      <c r="S236" s="663"/>
      <c r="T236" s="663"/>
      <c r="U236" s="663"/>
      <c r="V236" s="663"/>
      <c r="W236" s="663"/>
      <c r="X236" s="663"/>
      <c r="Y236" s="663"/>
      <c r="Z236" s="663"/>
      <c r="AA236" s="663"/>
      <c r="AB236" s="663"/>
      <c r="AC236" s="663"/>
      <c r="AD236" s="663"/>
      <c r="AE236" s="663"/>
      <c r="AF236" s="663"/>
      <c r="AG236" s="663"/>
      <c r="AH236" s="663"/>
      <c r="AI236" s="663"/>
      <c r="AJ236" s="663"/>
      <c r="AK236" s="663"/>
      <c r="AL236" s="663"/>
      <c r="AM236" s="663"/>
      <c r="AN236" s="663"/>
      <c r="AO236" s="663"/>
      <c r="AP236" s="663"/>
      <c r="AQ236" s="663"/>
      <c r="AR236" s="663"/>
      <c r="AS236" s="663"/>
      <c r="AT236" s="663"/>
      <c r="AU236" s="663"/>
      <c r="AV236" s="663"/>
      <c r="AW236" s="663"/>
      <c r="AX236" s="663"/>
      <c r="AY236" s="663"/>
      <c r="AZ236" s="663"/>
      <c r="BA236" s="663"/>
      <c r="BB236" s="663"/>
      <c r="BC236" s="663"/>
      <c r="BD236" s="663"/>
    </row>
    <row r="237" spans="1:56" s="670" customFormat="1" ht="12" customHeight="1">
      <c r="A237" s="675"/>
      <c r="B237" s="679">
        <v>43005</v>
      </c>
      <c r="C237" s="678" t="s">
        <v>543</v>
      </c>
      <c r="D237" s="677">
        <v>39</v>
      </c>
      <c r="E237" s="676"/>
      <c r="F237" s="676"/>
      <c r="G237" s="676"/>
      <c r="H237" s="676"/>
      <c r="I237" s="676"/>
      <c r="J237" s="676"/>
      <c r="K237" s="676"/>
      <c r="L237" s="676"/>
      <c r="M237" s="663"/>
      <c r="N237" s="663"/>
      <c r="O237" s="663"/>
      <c r="P237" s="663"/>
      <c r="Q237" s="663"/>
      <c r="R237" s="663"/>
      <c r="S237" s="663"/>
      <c r="T237" s="663"/>
      <c r="U237" s="663"/>
      <c r="V237" s="663"/>
      <c r="W237" s="663"/>
      <c r="X237" s="663"/>
      <c r="Y237" s="663"/>
      <c r="Z237" s="663"/>
      <c r="AA237" s="663"/>
      <c r="AB237" s="663"/>
      <c r="AC237" s="663"/>
      <c r="AD237" s="663"/>
      <c r="AE237" s="663"/>
      <c r="AF237" s="663"/>
      <c r="AG237" s="663"/>
      <c r="AH237" s="663"/>
      <c r="AI237" s="663"/>
      <c r="AJ237" s="663"/>
      <c r="AK237" s="663"/>
      <c r="AL237" s="663"/>
      <c r="AM237" s="663"/>
      <c r="AN237" s="663"/>
      <c r="AO237" s="663"/>
      <c r="AP237" s="663"/>
      <c r="AQ237" s="663"/>
      <c r="AR237" s="663"/>
      <c r="AS237" s="663"/>
      <c r="AT237" s="663"/>
      <c r="AU237" s="663"/>
      <c r="AV237" s="663"/>
      <c r="AW237" s="663"/>
      <c r="AX237" s="663"/>
      <c r="AY237" s="663"/>
      <c r="AZ237" s="663"/>
      <c r="BA237" s="663"/>
      <c r="BB237" s="663"/>
      <c r="BC237" s="663"/>
      <c r="BD237" s="663"/>
    </row>
    <row r="238" spans="1:56" s="662" customFormat="1" ht="12" customHeight="1">
      <c r="A238" s="668"/>
      <c r="B238" s="951" t="s">
        <v>114</v>
      </c>
      <c r="C238" s="812" t="s">
        <v>37</v>
      </c>
      <c r="D238" s="811"/>
      <c r="E238" s="808" t="s">
        <v>48</v>
      </c>
      <c r="F238" s="808" t="s">
        <v>282</v>
      </c>
      <c r="G238" s="808" t="s">
        <v>280</v>
      </c>
      <c r="H238" s="808" t="s">
        <v>186</v>
      </c>
      <c r="I238" s="808" t="s">
        <v>629</v>
      </c>
      <c r="J238" s="808" t="s">
        <v>58</v>
      </c>
      <c r="K238" s="3052" t="s">
        <v>561</v>
      </c>
      <c r="L238" s="3052"/>
      <c r="M238" s="663"/>
      <c r="N238" s="663"/>
      <c r="O238" s="663"/>
      <c r="P238" s="663"/>
      <c r="Q238" s="663"/>
      <c r="R238" s="663"/>
      <c r="S238" s="663"/>
      <c r="T238" s="663"/>
      <c r="U238" s="663"/>
      <c r="V238" s="663"/>
      <c r="W238" s="663"/>
      <c r="X238" s="663"/>
      <c r="Y238" s="663"/>
      <c r="Z238" s="663"/>
      <c r="AA238" s="663"/>
      <c r="AB238" s="663"/>
      <c r="AC238" s="663"/>
      <c r="AD238" s="663"/>
      <c r="AE238" s="663"/>
      <c r="AF238" s="663"/>
      <c r="AG238" s="663"/>
      <c r="AH238" s="663"/>
      <c r="AI238" s="663"/>
      <c r="AJ238" s="663"/>
      <c r="AK238" s="663"/>
      <c r="AL238" s="663"/>
      <c r="AM238" s="663"/>
      <c r="AN238" s="663"/>
      <c r="AO238" s="663"/>
      <c r="AP238" s="663"/>
      <c r="AQ238" s="663"/>
      <c r="AR238" s="663"/>
      <c r="AS238" s="663"/>
      <c r="AT238" s="663"/>
      <c r="AU238" s="663"/>
      <c r="AV238" s="663"/>
      <c r="AW238" s="663"/>
      <c r="AX238" s="663"/>
      <c r="AY238" s="663"/>
      <c r="AZ238" s="663"/>
      <c r="BA238" s="663"/>
      <c r="BB238" s="663"/>
      <c r="BC238" s="663"/>
      <c r="BD238" s="663"/>
    </row>
    <row r="239" spans="1:56" s="670" customFormat="1" ht="12" customHeight="1">
      <c r="A239" s="675"/>
      <c r="B239" s="679">
        <v>43007</v>
      </c>
      <c r="C239" s="678" t="s">
        <v>1008</v>
      </c>
      <c r="D239" s="677">
        <v>30</v>
      </c>
      <c r="E239" s="676"/>
      <c r="F239" s="676"/>
      <c r="G239" s="676"/>
      <c r="H239" s="676">
        <f>D239</f>
        <v>30</v>
      </c>
      <c r="I239" s="676"/>
      <c r="J239" s="676"/>
      <c r="K239" s="676"/>
      <c r="L239" s="676"/>
      <c r="M239" s="663"/>
      <c r="N239" s="663"/>
      <c r="O239" s="663"/>
      <c r="P239" s="663"/>
      <c r="Q239" s="663"/>
      <c r="R239" s="663"/>
      <c r="S239" s="663"/>
      <c r="T239" s="663"/>
      <c r="U239" s="663"/>
      <c r="V239" s="663"/>
      <c r="W239" s="663"/>
      <c r="X239" s="663"/>
      <c r="Y239" s="663"/>
      <c r="Z239" s="663"/>
      <c r="AA239" s="663"/>
      <c r="AB239" s="663"/>
      <c r="AC239" s="663"/>
      <c r="AD239" s="663"/>
      <c r="AE239" s="663"/>
      <c r="AF239" s="663"/>
      <c r="AG239" s="663"/>
      <c r="AH239" s="663"/>
      <c r="AI239" s="663"/>
      <c r="AJ239" s="663"/>
      <c r="AK239" s="663"/>
      <c r="AL239" s="663"/>
      <c r="AM239" s="663"/>
      <c r="AN239" s="663"/>
      <c r="AO239" s="663"/>
      <c r="AP239" s="663"/>
      <c r="AQ239" s="663"/>
      <c r="AR239" s="663"/>
      <c r="AS239" s="663"/>
      <c r="AT239" s="663"/>
      <c r="AU239" s="663"/>
      <c r="AV239" s="663"/>
      <c r="AW239" s="663"/>
      <c r="AX239" s="663"/>
      <c r="AY239" s="663"/>
      <c r="AZ239" s="663"/>
      <c r="BA239" s="663"/>
      <c r="BB239" s="663"/>
      <c r="BC239" s="663"/>
      <c r="BD239" s="663"/>
    </row>
    <row r="240" spans="1:56" s="670" customFormat="1" ht="12" customHeight="1">
      <c r="A240" s="675"/>
      <c r="B240" s="679">
        <v>43007</v>
      </c>
      <c r="C240" s="678" t="s">
        <v>186</v>
      </c>
      <c r="D240" s="677">
        <v>25</v>
      </c>
      <c r="E240" s="676"/>
      <c r="F240" s="676"/>
      <c r="G240" s="676"/>
      <c r="H240" s="676">
        <f>D240</f>
        <v>25</v>
      </c>
      <c r="I240" s="676"/>
      <c r="J240" s="676"/>
      <c r="K240" s="676"/>
      <c r="L240" s="676"/>
      <c r="M240" s="663"/>
      <c r="N240" s="663"/>
      <c r="O240" s="663"/>
      <c r="P240" s="663"/>
      <c r="Q240" s="663"/>
      <c r="R240" s="663"/>
      <c r="S240" s="663"/>
      <c r="T240" s="663"/>
      <c r="U240" s="663"/>
      <c r="V240" s="663"/>
      <c r="W240" s="663"/>
      <c r="X240" s="663"/>
      <c r="Y240" s="663"/>
      <c r="Z240" s="663"/>
      <c r="AA240" s="663"/>
      <c r="AB240" s="663"/>
      <c r="AC240" s="663"/>
      <c r="AD240" s="663"/>
      <c r="AE240" s="663"/>
      <c r="AF240" s="663"/>
      <c r="AG240" s="663"/>
      <c r="AH240" s="663"/>
      <c r="AI240" s="663"/>
      <c r="AJ240" s="663"/>
      <c r="AK240" s="663"/>
      <c r="AL240" s="663"/>
      <c r="AM240" s="663"/>
      <c r="AN240" s="663"/>
      <c r="AO240" s="663"/>
      <c r="AP240" s="663"/>
      <c r="AQ240" s="663"/>
      <c r="AR240" s="663"/>
      <c r="AS240" s="663"/>
      <c r="AT240" s="663"/>
      <c r="AU240" s="663"/>
      <c r="AV240" s="663"/>
      <c r="AW240" s="663"/>
      <c r="AX240" s="663"/>
      <c r="AY240" s="663"/>
      <c r="AZ240" s="663"/>
      <c r="BA240" s="663"/>
      <c r="BB240" s="663"/>
      <c r="BC240" s="663"/>
      <c r="BD240" s="663"/>
    </row>
    <row r="241" spans="1:56" s="670" customFormat="1" ht="12" customHeight="1">
      <c r="A241" s="675"/>
      <c r="B241" s="679">
        <v>43007</v>
      </c>
      <c r="C241" s="678" t="s">
        <v>1007</v>
      </c>
      <c r="D241" s="677">
        <v>79</v>
      </c>
      <c r="E241" s="676"/>
      <c r="F241" s="676"/>
      <c r="G241" s="676"/>
      <c r="H241" s="676"/>
      <c r="I241" s="676"/>
      <c r="J241" s="676"/>
      <c r="K241" s="676"/>
      <c r="L241" s="676"/>
      <c r="M241" s="663"/>
      <c r="N241" s="663"/>
      <c r="O241" s="663"/>
      <c r="P241" s="663"/>
      <c r="Q241" s="663"/>
      <c r="R241" s="663"/>
      <c r="S241" s="663"/>
      <c r="T241" s="663"/>
      <c r="U241" s="663"/>
      <c r="V241" s="663"/>
      <c r="W241" s="663"/>
      <c r="X241" s="663"/>
      <c r="Y241" s="663"/>
      <c r="Z241" s="663"/>
      <c r="AA241" s="663"/>
      <c r="AB241" s="663"/>
      <c r="AC241" s="663"/>
      <c r="AD241" s="663"/>
      <c r="AE241" s="663"/>
      <c r="AF241" s="663"/>
      <c r="AG241" s="663"/>
      <c r="AH241" s="663"/>
      <c r="AI241" s="663"/>
      <c r="AJ241" s="663"/>
      <c r="AK241" s="663"/>
      <c r="AL241" s="663"/>
      <c r="AM241" s="663"/>
      <c r="AN241" s="663"/>
      <c r="AO241" s="663"/>
      <c r="AP241" s="663"/>
      <c r="AQ241" s="663"/>
      <c r="AR241" s="663"/>
      <c r="AS241" s="663"/>
      <c r="AT241" s="663"/>
      <c r="AU241" s="663"/>
      <c r="AV241" s="663"/>
      <c r="AW241" s="663"/>
      <c r="AX241" s="663"/>
      <c r="AY241" s="663"/>
      <c r="AZ241" s="663"/>
      <c r="BA241" s="663"/>
      <c r="BB241" s="663"/>
      <c r="BC241" s="663"/>
      <c r="BD241" s="663"/>
    </row>
    <row r="242" spans="1:56" s="670" customFormat="1" ht="12" customHeight="1">
      <c r="A242" s="675"/>
      <c r="B242" s="679">
        <v>43007</v>
      </c>
      <c r="C242" s="678" t="s">
        <v>1006</v>
      </c>
      <c r="D242" s="677">
        <v>79</v>
      </c>
      <c r="E242" s="676"/>
      <c r="F242" s="676"/>
      <c r="G242" s="676"/>
      <c r="H242" s="676"/>
      <c r="I242" s="676"/>
      <c r="J242" s="676"/>
      <c r="K242" s="676"/>
      <c r="L242" s="676"/>
      <c r="M242" s="663"/>
      <c r="N242" s="663"/>
      <c r="O242" s="663"/>
      <c r="P242" s="663"/>
      <c r="Q242" s="663"/>
      <c r="R242" s="663"/>
      <c r="S242" s="663"/>
      <c r="T242" s="663"/>
      <c r="U242" s="663"/>
      <c r="V242" s="663"/>
      <c r="W242" s="663"/>
      <c r="X242" s="663"/>
      <c r="Y242" s="663"/>
      <c r="Z242" s="663"/>
      <c r="AA242" s="663"/>
      <c r="AB242" s="663"/>
      <c r="AC242" s="663"/>
      <c r="AD242" s="663"/>
      <c r="AE242" s="663"/>
      <c r="AF242" s="663"/>
      <c r="AG242" s="663"/>
      <c r="AH242" s="663"/>
      <c r="AI242" s="663"/>
      <c r="AJ242" s="663"/>
      <c r="AK242" s="663"/>
      <c r="AL242" s="663"/>
      <c r="AM242" s="663"/>
      <c r="AN242" s="663"/>
      <c r="AO242" s="663"/>
      <c r="AP242" s="663"/>
      <c r="AQ242" s="663"/>
      <c r="AR242" s="663"/>
      <c r="AS242" s="663"/>
      <c r="AT242" s="663"/>
      <c r="AU242" s="663"/>
      <c r="AV242" s="663"/>
      <c r="AW242" s="663"/>
      <c r="AX242" s="663"/>
      <c r="AY242" s="663"/>
      <c r="AZ242" s="663"/>
      <c r="BA242" s="663"/>
      <c r="BB242" s="663"/>
      <c r="BC242" s="663"/>
      <c r="BD242" s="663"/>
    </row>
    <row r="243" spans="1:56" s="670" customFormat="1" ht="12" customHeight="1">
      <c r="A243" s="675"/>
      <c r="B243" s="679">
        <v>43007</v>
      </c>
      <c r="C243" s="678" t="s">
        <v>1005</v>
      </c>
      <c r="D243" s="677">
        <v>99</v>
      </c>
      <c r="E243" s="676"/>
      <c r="F243" s="676"/>
      <c r="G243" s="676"/>
      <c r="H243" s="676"/>
      <c r="I243" s="676"/>
      <c r="J243" s="676"/>
      <c r="K243" s="676"/>
      <c r="L243" s="676"/>
      <c r="M243" s="663"/>
      <c r="N243" s="663"/>
      <c r="O243" s="663"/>
      <c r="P243" s="663"/>
      <c r="Q243" s="663"/>
      <c r="R243" s="663"/>
      <c r="S243" s="663"/>
      <c r="T243" s="663"/>
      <c r="U243" s="663"/>
      <c r="V243" s="663"/>
      <c r="W243" s="663"/>
      <c r="X243" s="663"/>
      <c r="Y243" s="663"/>
      <c r="Z243" s="663"/>
      <c r="AA243" s="663"/>
      <c r="AB243" s="663"/>
      <c r="AC243" s="663"/>
      <c r="AD243" s="663"/>
      <c r="AE243" s="663"/>
      <c r="AF243" s="663"/>
      <c r="AG243" s="663"/>
      <c r="AH243" s="663"/>
      <c r="AI243" s="663"/>
      <c r="AJ243" s="663"/>
      <c r="AK243" s="663"/>
      <c r="AL243" s="663"/>
      <c r="AM243" s="663"/>
      <c r="AN243" s="663"/>
      <c r="AO243" s="663"/>
      <c r="AP243" s="663"/>
      <c r="AQ243" s="663"/>
      <c r="AR243" s="663"/>
      <c r="AS243" s="663"/>
      <c r="AT243" s="663"/>
      <c r="AU243" s="663"/>
      <c r="AV243" s="663"/>
      <c r="AW243" s="663"/>
      <c r="AX243" s="663"/>
      <c r="AY243" s="663"/>
      <c r="AZ243" s="663"/>
      <c r="BA243" s="663"/>
      <c r="BB243" s="663"/>
      <c r="BC243" s="663"/>
      <c r="BD243" s="663"/>
    </row>
    <row r="244" spans="1:56" s="670" customFormat="1" ht="12" customHeight="1">
      <c r="A244" s="675"/>
      <c r="B244" s="679">
        <v>43007</v>
      </c>
      <c r="C244" s="678" t="s">
        <v>480</v>
      </c>
      <c r="D244" s="677">
        <v>237.4</v>
      </c>
      <c r="E244" s="676"/>
      <c r="F244" s="676"/>
      <c r="G244" s="676"/>
      <c r="H244" s="676"/>
      <c r="I244" s="676"/>
      <c r="J244" s="676"/>
      <c r="K244" s="676"/>
      <c r="L244" s="676"/>
      <c r="M244" s="663"/>
      <c r="N244" s="663"/>
      <c r="O244" s="663"/>
      <c r="P244" s="663"/>
      <c r="Q244" s="663"/>
      <c r="R244" s="663"/>
      <c r="S244" s="663"/>
      <c r="T244" s="663"/>
      <c r="U244" s="663"/>
      <c r="V244" s="663"/>
      <c r="W244" s="663"/>
      <c r="X244" s="663"/>
      <c r="Y244" s="663"/>
      <c r="Z244" s="663"/>
      <c r="AA244" s="663"/>
      <c r="AB244" s="663"/>
      <c r="AC244" s="663"/>
      <c r="AD244" s="663"/>
      <c r="AE244" s="663"/>
      <c r="AF244" s="663"/>
      <c r="AG244" s="663"/>
      <c r="AH244" s="663"/>
      <c r="AI244" s="663"/>
      <c r="AJ244" s="663"/>
      <c r="AK244" s="663"/>
      <c r="AL244" s="663"/>
      <c r="AM244" s="663"/>
      <c r="AN244" s="663"/>
      <c r="AO244" s="663"/>
      <c r="AP244" s="663"/>
      <c r="AQ244" s="663"/>
      <c r="AR244" s="663"/>
      <c r="AS244" s="663"/>
      <c r="AT244" s="663"/>
      <c r="AU244" s="663"/>
      <c r="AV244" s="663"/>
      <c r="AW244" s="663"/>
      <c r="AX244" s="663"/>
      <c r="AY244" s="663"/>
      <c r="AZ244" s="663"/>
      <c r="BA244" s="663"/>
      <c r="BB244" s="663"/>
      <c r="BC244" s="663"/>
      <c r="BD244" s="663"/>
    </row>
    <row r="245" spans="1:56" s="670" customFormat="1" ht="12" customHeight="1">
      <c r="A245" s="675"/>
      <c r="B245" s="679">
        <v>43010</v>
      </c>
      <c r="C245" s="678" t="s">
        <v>186</v>
      </c>
      <c r="D245" s="677">
        <v>55</v>
      </c>
      <c r="E245" s="676"/>
      <c r="F245" s="676"/>
      <c r="G245" s="676"/>
      <c r="H245" s="676">
        <f>D245</f>
        <v>55</v>
      </c>
      <c r="I245" s="676"/>
      <c r="J245" s="676"/>
      <c r="K245" s="676"/>
      <c r="L245" s="676"/>
      <c r="M245" s="663"/>
      <c r="N245" s="663"/>
      <c r="O245" s="663"/>
      <c r="P245" s="663"/>
      <c r="Q245" s="663"/>
      <c r="R245" s="663"/>
      <c r="S245" s="663"/>
      <c r="T245" s="663"/>
      <c r="U245" s="663"/>
      <c r="V245" s="663"/>
      <c r="W245" s="663"/>
      <c r="X245" s="663"/>
      <c r="Y245" s="663"/>
      <c r="Z245" s="663"/>
      <c r="AA245" s="663"/>
      <c r="AB245" s="663"/>
      <c r="AC245" s="663"/>
      <c r="AD245" s="663"/>
      <c r="AE245" s="663"/>
      <c r="AF245" s="663"/>
      <c r="AG245" s="663"/>
      <c r="AH245" s="663"/>
      <c r="AI245" s="663"/>
      <c r="AJ245" s="663"/>
      <c r="AK245" s="663"/>
      <c r="AL245" s="663"/>
      <c r="AM245" s="663"/>
      <c r="AN245" s="663"/>
      <c r="AO245" s="663"/>
      <c r="AP245" s="663"/>
      <c r="AQ245" s="663"/>
      <c r="AR245" s="663"/>
      <c r="AS245" s="663"/>
      <c r="AT245" s="663"/>
      <c r="AU245" s="663"/>
      <c r="AV245" s="663"/>
      <c r="AW245" s="663"/>
      <c r="AX245" s="663"/>
      <c r="AY245" s="663"/>
      <c r="AZ245" s="663"/>
      <c r="BA245" s="663"/>
      <c r="BB245" s="663"/>
      <c r="BC245" s="663"/>
      <c r="BD245" s="663"/>
    </row>
    <row r="246" spans="1:56" s="670" customFormat="1" ht="12" customHeight="1">
      <c r="A246" s="675"/>
      <c r="B246" s="679">
        <v>43008</v>
      </c>
      <c r="C246" s="678" t="s">
        <v>22</v>
      </c>
      <c r="D246" s="677">
        <v>75</v>
      </c>
      <c r="E246" s="676"/>
      <c r="F246" s="676"/>
      <c r="G246" s="676">
        <f>D246</f>
        <v>75</v>
      </c>
      <c r="H246" s="676"/>
      <c r="I246" s="676"/>
      <c r="J246" s="676"/>
      <c r="K246" s="676"/>
      <c r="L246" s="676"/>
      <c r="M246" s="663"/>
      <c r="N246" s="663"/>
      <c r="O246" s="663"/>
      <c r="P246" s="663"/>
      <c r="Q246" s="663"/>
      <c r="R246" s="663"/>
      <c r="S246" s="663"/>
      <c r="T246" s="663"/>
      <c r="U246" s="663"/>
      <c r="V246" s="663"/>
      <c r="W246" s="663"/>
      <c r="X246" s="663"/>
      <c r="Y246" s="663"/>
      <c r="Z246" s="663"/>
      <c r="AA246" s="663"/>
      <c r="AB246" s="663"/>
      <c r="AC246" s="663"/>
      <c r="AD246" s="663"/>
      <c r="AE246" s="663"/>
      <c r="AF246" s="663"/>
      <c r="AG246" s="663"/>
      <c r="AH246" s="663"/>
      <c r="AI246" s="663"/>
      <c r="AJ246" s="663"/>
      <c r="AK246" s="663"/>
      <c r="AL246" s="663"/>
      <c r="AM246" s="663"/>
      <c r="AN246" s="663"/>
      <c r="AO246" s="663"/>
      <c r="AP246" s="663"/>
      <c r="AQ246" s="663"/>
      <c r="AR246" s="663"/>
      <c r="AS246" s="663"/>
      <c r="AT246" s="663"/>
      <c r="AU246" s="663"/>
      <c r="AV246" s="663"/>
      <c r="AW246" s="663"/>
      <c r="AX246" s="663"/>
      <c r="AY246" s="663"/>
      <c r="AZ246" s="663"/>
      <c r="BA246" s="663"/>
      <c r="BB246" s="663"/>
      <c r="BC246" s="663"/>
      <c r="BD246" s="663"/>
    </row>
    <row r="247" spans="1:56" s="670" customFormat="1" ht="12" customHeight="1">
      <c r="A247" s="675"/>
      <c r="B247" s="679">
        <v>43008</v>
      </c>
      <c r="C247" s="678" t="s">
        <v>21</v>
      </c>
      <c r="D247" s="677">
        <v>154</v>
      </c>
      <c r="E247" s="676"/>
      <c r="F247" s="676"/>
      <c r="G247" s="676">
        <f>D247</f>
        <v>154</v>
      </c>
      <c r="H247" s="676"/>
      <c r="I247" s="676"/>
      <c r="J247" s="676"/>
      <c r="K247" s="676"/>
      <c r="L247" s="676"/>
      <c r="M247" s="663"/>
      <c r="N247" s="663"/>
      <c r="O247" s="663"/>
      <c r="P247" s="663"/>
      <c r="Q247" s="663"/>
      <c r="R247" s="663"/>
      <c r="S247" s="663"/>
      <c r="T247" s="663"/>
      <c r="U247" s="663"/>
      <c r="V247" s="663"/>
      <c r="W247" s="663"/>
      <c r="X247" s="663"/>
      <c r="Y247" s="663"/>
      <c r="Z247" s="663"/>
      <c r="AA247" s="663"/>
      <c r="AB247" s="663"/>
      <c r="AC247" s="663"/>
      <c r="AD247" s="663"/>
      <c r="AE247" s="663"/>
      <c r="AF247" s="663"/>
      <c r="AG247" s="663"/>
      <c r="AH247" s="663"/>
      <c r="AI247" s="663"/>
      <c r="AJ247" s="663"/>
      <c r="AK247" s="663"/>
      <c r="AL247" s="663"/>
      <c r="AM247" s="663"/>
      <c r="AN247" s="663"/>
      <c r="AO247" s="663"/>
      <c r="AP247" s="663"/>
      <c r="AQ247" s="663"/>
      <c r="AR247" s="663"/>
      <c r="AS247" s="663"/>
      <c r="AT247" s="663"/>
      <c r="AU247" s="663"/>
      <c r="AV247" s="663"/>
      <c r="AW247" s="663"/>
      <c r="AX247" s="663"/>
      <c r="AY247" s="663"/>
      <c r="AZ247" s="663"/>
      <c r="BA247" s="663"/>
      <c r="BB247" s="663"/>
      <c r="BC247" s="663"/>
      <c r="BD247" s="663"/>
    </row>
    <row r="248" spans="1:56" s="670" customFormat="1" ht="12" customHeight="1">
      <c r="A248" s="675"/>
      <c r="B248" s="679">
        <v>43009</v>
      </c>
      <c r="C248" s="678" t="s">
        <v>230</v>
      </c>
      <c r="D248" s="677">
        <v>59</v>
      </c>
      <c r="E248" s="676"/>
      <c r="F248" s="676"/>
      <c r="G248" s="676">
        <f>D248</f>
        <v>59</v>
      </c>
      <c r="H248" s="676"/>
      <c r="I248" s="676"/>
      <c r="J248" s="676"/>
      <c r="K248" s="676"/>
      <c r="L248" s="676"/>
      <c r="M248" s="663"/>
      <c r="N248" s="663"/>
      <c r="O248" s="663"/>
      <c r="P248" s="663"/>
      <c r="Q248" s="663"/>
      <c r="R248" s="663"/>
      <c r="S248" s="663"/>
      <c r="T248" s="663"/>
      <c r="U248" s="663"/>
      <c r="V248" s="663"/>
      <c r="W248" s="663"/>
      <c r="X248" s="663"/>
      <c r="Y248" s="663"/>
      <c r="Z248" s="663"/>
      <c r="AA248" s="663"/>
      <c r="AB248" s="663"/>
      <c r="AC248" s="663"/>
      <c r="AD248" s="663"/>
      <c r="AE248" s="663"/>
      <c r="AF248" s="663"/>
      <c r="AG248" s="663"/>
      <c r="AH248" s="663"/>
      <c r="AI248" s="663"/>
      <c r="AJ248" s="663"/>
      <c r="AK248" s="663"/>
      <c r="AL248" s="663"/>
      <c r="AM248" s="663"/>
      <c r="AN248" s="663"/>
      <c r="AO248" s="663"/>
      <c r="AP248" s="663"/>
      <c r="AQ248" s="663"/>
      <c r="AR248" s="663"/>
      <c r="AS248" s="663"/>
      <c r="AT248" s="663"/>
      <c r="AU248" s="663"/>
      <c r="AV248" s="663"/>
      <c r="AW248" s="663"/>
      <c r="AX248" s="663"/>
      <c r="AY248" s="663"/>
      <c r="AZ248" s="663"/>
      <c r="BA248" s="663"/>
      <c r="BB248" s="663"/>
      <c r="BC248" s="663"/>
      <c r="BD248" s="663"/>
    </row>
    <row r="249" spans="1:56" s="670" customFormat="1" ht="12" customHeight="1">
      <c r="A249" s="675"/>
      <c r="B249" s="679">
        <v>43009</v>
      </c>
      <c r="C249" s="678" t="s">
        <v>914</v>
      </c>
      <c r="D249" s="677">
        <v>76</v>
      </c>
      <c r="E249" s="676"/>
      <c r="F249" s="676"/>
      <c r="G249" s="676"/>
      <c r="H249" s="676"/>
      <c r="I249" s="676"/>
      <c r="J249" s="676"/>
      <c r="K249" s="676"/>
      <c r="L249" s="676"/>
      <c r="M249" s="663"/>
      <c r="N249" s="663"/>
      <c r="O249" s="663"/>
      <c r="P249" s="663"/>
      <c r="Q249" s="663"/>
      <c r="R249" s="663"/>
      <c r="S249" s="663"/>
      <c r="T249" s="663"/>
      <c r="U249" s="663"/>
      <c r="V249" s="663"/>
      <c r="W249" s="663"/>
      <c r="X249" s="663"/>
      <c r="Y249" s="663"/>
      <c r="Z249" s="663"/>
      <c r="AA249" s="663"/>
      <c r="AB249" s="663"/>
      <c r="AC249" s="663"/>
      <c r="AD249" s="663"/>
      <c r="AE249" s="663"/>
      <c r="AF249" s="663"/>
      <c r="AG249" s="663"/>
      <c r="AH249" s="663"/>
      <c r="AI249" s="663"/>
      <c r="AJ249" s="663"/>
      <c r="AK249" s="663"/>
      <c r="AL249" s="663"/>
      <c r="AM249" s="663"/>
      <c r="AN249" s="663"/>
      <c r="AO249" s="663"/>
      <c r="AP249" s="663"/>
      <c r="AQ249" s="663"/>
      <c r="AR249" s="663"/>
      <c r="AS249" s="663"/>
      <c r="AT249" s="663"/>
      <c r="AU249" s="663"/>
      <c r="AV249" s="663"/>
      <c r="AW249" s="663"/>
      <c r="AX249" s="663"/>
      <c r="AY249" s="663"/>
      <c r="AZ249" s="663"/>
      <c r="BA249" s="663"/>
      <c r="BB249" s="663"/>
      <c r="BC249" s="663"/>
      <c r="BD249" s="663"/>
    </row>
    <row r="250" spans="1:56" s="670" customFormat="1" ht="12" customHeight="1">
      <c r="A250" s="675"/>
      <c r="B250" s="679">
        <v>43010</v>
      </c>
      <c r="C250" s="678" t="s">
        <v>167</v>
      </c>
      <c r="D250" s="677">
        <v>280</v>
      </c>
      <c r="E250" s="676"/>
      <c r="F250" s="676"/>
      <c r="G250" s="676"/>
      <c r="H250" s="676"/>
      <c r="I250" s="676"/>
      <c r="J250" s="676"/>
      <c r="K250" s="676"/>
      <c r="L250" s="676"/>
      <c r="M250" s="663"/>
      <c r="N250" s="663"/>
      <c r="O250" s="663"/>
      <c r="P250" s="663"/>
      <c r="Q250" s="663"/>
      <c r="R250" s="663"/>
      <c r="S250" s="663"/>
      <c r="T250" s="663"/>
      <c r="U250" s="663"/>
      <c r="V250" s="663"/>
      <c r="W250" s="663"/>
      <c r="X250" s="663"/>
      <c r="Y250" s="663"/>
      <c r="Z250" s="663"/>
      <c r="AA250" s="663"/>
      <c r="AB250" s="663"/>
      <c r="AC250" s="663"/>
      <c r="AD250" s="663"/>
      <c r="AE250" s="663"/>
      <c r="AF250" s="663"/>
      <c r="AG250" s="663"/>
      <c r="AH250" s="663"/>
      <c r="AI250" s="663"/>
      <c r="AJ250" s="663"/>
      <c r="AK250" s="663"/>
      <c r="AL250" s="663"/>
      <c r="AM250" s="663"/>
      <c r="AN250" s="663"/>
      <c r="AO250" s="663"/>
      <c r="AP250" s="663"/>
      <c r="AQ250" s="663"/>
      <c r="AR250" s="663"/>
      <c r="AS250" s="663"/>
      <c r="AT250" s="663"/>
      <c r="AU250" s="663"/>
      <c r="AV250" s="663"/>
      <c r="AW250" s="663"/>
      <c r="AX250" s="663"/>
      <c r="AY250" s="663"/>
      <c r="AZ250" s="663"/>
      <c r="BA250" s="663"/>
      <c r="BB250" s="663"/>
      <c r="BC250" s="663"/>
      <c r="BD250" s="663"/>
    </row>
    <row r="251" spans="1:56" s="670" customFormat="1" ht="12" customHeight="1">
      <c r="A251" s="675"/>
      <c r="B251" s="679">
        <v>43010</v>
      </c>
      <c r="C251" s="678" t="s">
        <v>680</v>
      </c>
      <c r="D251" s="677">
        <v>550</v>
      </c>
      <c r="E251" s="676"/>
      <c r="F251" s="676"/>
      <c r="G251" s="676"/>
      <c r="H251" s="676"/>
      <c r="I251" s="676"/>
      <c r="J251" s="676"/>
      <c r="K251" s="676"/>
      <c r="L251" s="676">
        <v>550</v>
      </c>
      <c r="M251" s="663"/>
      <c r="N251" s="663"/>
      <c r="O251" s="663"/>
      <c r="P251" s="663"/>
      <c r="Q251" s="663"/>
      <c r="R251" s="663"/>
      <c r="S251" s="663"/>
      <c r="T251" s="663"/>
      <c r="U251" s="663"/>
      <c r="V251" s="663"/>
      <c r="W251" s="663"/>
      <c r="X251" s="663"/>
      <c r="Y251" s="663"/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</row>
    <row r="252" spans="1:56" s="670" customFormat="1" ht="12" customHeight="1">
      <c r="A252" s="675"/>
      <c r="B252" s="679">
        <v>43009</v>
      </c>
      <c r="C252" s="678" t="s">
        <v>1004</v>
      </c>
      <c r="D252" s="677">
        <v>381.55</v>
      </c>
      <c r="E252" s="676"/>
      <c r="F252" s="676"/>
      <c r="G252" s="676"/>
      <c r="H252" s="676"/>
      <c r="I252" s="676"/>
      <c r="J252" s="676"/>
      <c r="K252" s="676"/>
      <c r="L252" s="676">
        <v>-381.55</v>
      </c>
      <c r="M252" s="663"/>
      <c r="N252" s="663"/>
      <c r="O252" s="663"/>
      <c r="P252" s="663"/>
      <c r="Q252" s="663"/>
      <c r="R252" s="663"/>
      <c r="S252" s="663"/>
      <c r="T252" s="663"/>
      <c r="U252" s="663"/>
      <c r="V252" s="663"/>
      <c r="W252" s="663"/>
      <c r="X252" s="663"/>
      <c r="Y252" s="663"/>
      <c r="Z252" s="663"/>
      <c r="AA252" s="663"/>
      <c r="AB252" s="663"/>
      <c r="AC252" s="663"/>
      <c r="AD252" s="663"/>
      <c r="AE252" s="663"/>
      <c r="AF252" s="663"/>
      <c r="AG252" s="663"/>
      <c r="AH252" s="663"/>
      <c r="AI252" s="663"/>
      <c r="AJ252" s="663"/>
      <c r="AK252" s="663"/>
      <c r="AL252" s="663"/>
      <c r="AM252" s="663"/>
      <c r="AN252" s="663"/>
      <c r="AO252" s="663"/>
      <c r="AP252" s="663"/>
      <c r="AQ252" s="663"/>
      <c r="AR252" s="663"/>
      <c r="AS252" s="663"/>
      <c r="AT252" s="663"/>
      <c r="AU252" s="663"/>
      <c r="AV252" s="663"/>
      <c r="AW252" s="663"/>
      <c r="AX252" s="663"/>
      <c r="AY252" s="663"/>
      <c r="AZ252" s="663"/>
      <c r="BA252" s="663"/>
      <c r="BB252" s="663"/>
      <c r="BC252" s="663"/>
      <c r="BD252" s="663"/>
    </row>
    <row r="253" spans="1:56" s="670" customFormat="1" ht="12" customHeight="1">
      <c r="A253" s="675"/>
      <c r="B253" s="679">
        <v>43012</v>
      </c>
      <c r="C253" s="678" t="s">
        <v>1003</v>
      </c>
      <c r="D253" s="677">
        <v>49.95</v>
      </c>
      <c r="E253" s="676"/>
      <c r="F253" s="676"/>
      <c r="G253" s="676"/>
      <c r="H253" s="676"/>
      <c r="I253" s="676"/>
      <c r="J253" s="676"/>
      <c r="K253" s="676"/>
      <c r="L253" s="676"/>
      <c r="M253" s="663"/>
      <c r="N253" s="663"/>
      <c r="O253" s="663"/>
      <c r="P253" s="663"/>
      <c r="Q253" s="663"/>
      <c r="R253" s="663"/>
      <c r="S253" s="663"/>
      <c r="T253" s="663"/>
      <c r="U253" s="663"/>
      <c r="V253" s="663"/>
      <c r="W253" s="663"/>
      <c r="X253" s="663"/>
      <c r="Y253" s="663"/>
      <c r="Z253" s="663"/>
      <c r="AA253" s="663"/>
      <c r="AB253" s="663"/>
      <c r="AC253" s="663"/>
      <c r="AD253" s="663"/>
      <c r="AE253" s="663"/>
      <c r="AF253" s="663"/>
      <c r="AG253" s="663"/>
      <c r="AH253" s="663"/>
      <c r="AI253" s="663"/>
      <c r="AJ253" s="663"/>
      <c r="AK253" s="663"/>
      <c r="AL253" s="663"/>
      <c r="AM253" s="663"/>
      <c r="AN253" s="663"/>
      <c r="AO253" s="663"/>
      <c r="AP253" s="663"/>
      <c r="AQ253" s="663"/>
      <c r="AR253" s="663"/>
      <c r="AS253" s="663"/>
      <c r="AT253" s="663"/>
      <c r="AU253" s="663"/>
      <c r="AV253" s="663"/>
      <c r="AW253" s="663"/>
      <c r="AX253" s="663"/>
      <c r="AY253" s="663"/>
      <c r="AZ253" s="663"/>
      <c r="BA253" s="663"/>
      <c r="BB253" s="663"/>
      <c r="BC253" s="663"/>
      <c r="BD253" s="663"/>
    </row>
    <row r="254" spans="1:56" s="670" customFormat="1" ht="12" customHeight="1">
      <c r="A254" s="675"/>
      <c r="B254" s="679">
        <v>43012</v>
      </c>
      <c r="C254" s="678" t="s">
        <v>360</v>
      </c>
      <c r="D254" s="677">
        <v>796.39</v>
      </c>
      <c r="E254" s="676"/>
      <c r="F254" s="676"/>
      <c r="G254" s="676"/>
      <c r="H254" s="676"/>
      <c r="I254" s="676"/>
      <c r="J254" s="676"/>
      <c r="K254" s="676"/>
      <c r="L254" s="676"/>
      <c r="M254" s="663"/>
      <c r="N254" s="663"/>
      <c r="O254" s="663"/>
      <c r="P254" s="663"/>
      <c r="Q254" s="663"/>
      <c r="R254" s="663"/>
      <c r="S254" s="663"/>
      <c r="T254" s="663"/>
      <c r="U254" s="663"/>
      <c r="V254" s="663"/>
      <c r="W254" s="663"/>
      <c r="X254" s="663"/>
      <c r="Y254" s="663"/>
      <c r="Z254" s="663"/>
      <c r="AA254" s="663"/>
      <c r="AB254" s="663"/>
      <c r="AC254" s="663"/>
      <c r="AD254" s="663"/>
      <c r="AE254" s="663"/>
      <c r="AF254" s="663"/>
      <c r="AG254" s="663"/>
      <c r="AH254" s="663"/>
      <c r="AI254" s="663"/>
      <c r="AJ254" s="663"/>
      <c r="AK254" s="663"/>
      <c r="AL254" s="663"/>
      <c r="AM254" s="663"/>
      <c r="AN254" s="663"/>
      <c r="AO254" s="663"/>
      <c r="AP254" s="663"/>
      <c r="AQ254" s="663"/>
      <c r="AR254" s="663"/>
      <c r="AS254" s="663"/>
      <c r="AT254" s="663"/>
      <c r="AU254" s="663"/>
      <c r="AV254" s="663"/>
      <c r="AW254" s="663"/>
      <c r="AX254" s="663"/>
      <c r="AY254" s="663"/>
      <c r="AZ254" s="663"/>
      <c r="BA254" s="663"/>
      <c r="BB254" s="663"/>
      <c r="BC254" s="663"/>
      <c r="BD254" s="663"/>
    </row>
    <row r="255" spans="1:56" s="670" customFormat="1" ht="12" customHeight="1">
      <c r="A255" s="675"/>
      <c r="B255" s="679">
        <v>43017</v>
      </c>
      <c r="C255" s="678" t="s">
        <v>1002</v>
      </c>
      <c r="D255" s="677">
        <v>24.5</v>
      </c>
      <c r="E255" s="676"/>
      <c r="F255" s="676"/>
      <c r="G255" s="676"/>
      <c r="H255" s="676"/>
      <c r="I255" s="676"/>
      <c r="J255" s="676"/>
      <c r="K255" s="676"/>
      <c r="L255" s="676"/>
      <c r="M255" s="663"/>
      <c r="N255" s="663"/>
      <c r="O255" s="663"/>
      <c r="P255" s="663"/>
      <c r="Q255" s="663"/>
      <c r="R255" s="663"/>
      <c r="S255" s="663"/>
      <c r="T255" s="663"/>
      <c r="U255" s="663"/>
      <c r="V255" s="663"/>
      <c r="W255" s="663"/>
      <c r="X255" s="663"/>
      <c r="Y255" s="663"/>
      <c r="Z255" s="663"/>
      <c r="AA255" s="663"/>
      <c r="AB255" s="663"/>
      <c r="AC255" s="663"/>
      <c r="AD255" s="663"/>
      <c r="AE255" s="663"/>
      <c r="AF255" s="663"/>
      <c r="AG255" s="663"/>
      <c r="AH255" s="663"/>
      <c r="AI255" s="663"/>
      <c r="AJ255" s="663"/>
      <c r="AK255" s="663"/>
      <c r="AL255" s="663"/>
      <c r="AM255" s="663"/>
      <c r="AN255" s="663"/>
      <c r="AO255" s="663"/>
      <c r="AP255" s="663"/>
      <c r="AQ255" s="663"/>
      <c r="AR255" s="663"/>
      <c r="AS255" s="663"/>
      <c r="AT255" s="663"/>
      <c r="AU255" s="663"/>
      <c r="AV255" s="663"/>
      <c r="AW255" s="663"/>
      <c r="AX255" s="663"/>
      <c r="AY255" s="663"/>
      <c r="AZ255" s="663"/>
      <c r="BA255" s="663"/>
      <c r="BB255" s="663"/>
      <c r="BC255" s="663"/>
      <c r="BD255" s="663"/>
    </row>
    <row r="256" spans="1:56" s="670" customFormat="1" ht="12" customHeight="1">
      <c r="A256" s="675"/>
      <c r="B256" s="679">
        <v>43024</v>
      </c>
      <c r="C256" s="678" t="s">
        <v>636</v>
      </c>
      <c r="D256" s="677">
        <v>35</v>
      </c>
      <c r="E256" s="676"/>
      <c r="F256" s="676"/>
      <c r="G256" s="676"/>
      <c r="H256" s="676"/>
      <c r="I256" s="676"/>
      <c r="J256" s="676"/>
      <c r="K256" s="676"/>
      <c r="L256" s="676"/>
      <c r="M256" s="663"/>
      <c r="N256" s="663"/>
      <c r="O256" s="663"/>
      <c r="P256" s="663"/>
      <c r="Q256" s="663"/>
      <c r="R256" s="663"/>
      <c r="S256" s="663"/>
      <c r="T256" s="663"/>
      <c r="U256" s="663"/>
      <c r="V256" s="663"/>
      <c r="W256" s="663"/>
      <c r="X256" s="663"/>
      <c r="Y256" s="663"/>
      <c r="Z256" s="663"/>
      <c r="AA256" s="663"/>
      <c r="AB256" s="663"/>
      <c r="AC256" s="663"/>
      <c r="AD256" s="663"/>
      <c r="AE256" s="663"/>
      <c r="AF256" s="663"/>
      <c r="AG256" s="663"/>
      <c r="AH256" s="663"/>
      <c r="AI256" s="663"/>
      <c r="AJ256" s="663"/>
      <c r="AK256" s="663"/>
      <c r="AL256" s="663"/>
      <c r="AM256" s="663"/>
      <c r="AN256" s="663"/>
      <c r="AO256" s="663"/>
      <c r="AP256" s="663"/>
      <c r="AQ256" s="663"/>
      <c r="AR256" s="663"/>
      <c r="AS256" s="663"/>
      <c r="AT256" s="663"/>
      <c r="AU256" s="663"/>
      <c r="AV256" s="663"/>
      <c r="AW256" s="663"/>
      <c r="AX256" s="663"/>
      <c r="AY256" s="663"/>
      <c r="AZ256" s="663"/>
      <c r="BA256" s="663"/>
      <c r="BB256" s="663"/>
      <c r="BC256" s="663"/>
      <c r="BD256" s="663"/>
    </row>
    <row r="257" spans="1:56" s="670" customFormat="1" ht="12" customHeight="1">
      <c r="A257" s="675"/>
      <c r="B257" s="679">
        <v>43028</v>
      </c>
      <c r="C257" s="678" t="s">
        <v>1001</v>
      </c>
      <c r="D257" s="677">
        <v>100</v>
      </c>
      <c r="E257" s="676">
        <v>100</v>
      </c>
      <c r="F257" s="676"/>
      <c r="G257" s="676"/>
      <c r="H257" s="676"/>
      <c r="I257" s="676"/>
      <c r="J257" s="676"/>
      <c r="K257" s="676"/>
      <c r="L257" s="676"/>
      <c r="M257" s="663"/>
      <c r="N257" s="663"/>
      <c r="O257" s="663"/>
      <c r="P257" s="663"/>
      <c r="Q257" s="663"/>
      <c r="R257" s="663"/>
      <c r="S257" s="663"/>
      <c r="T257" s="663"/>
      <c r="U257" s="663"/>
      <c r="V257" s="663"/>
      <c r="W257" s="663"/>
      <c r="X257" s="663"/>
      <c r="Y257" s="663"/>
      <c r="Z257" s="663"/>
      <c r="AA257" s="663"/>
      <c r="AB257" s="663"/>
      <c r="AC257" s="663"/>
      <c r="AD257" s="663"/>
      <c r="AE257" s="663"/>
      <c r="AF257" s="663"/>
      <c r="AG257" s="663"/>
      <c r="AH257" s="663"/>
      <c r="AI257" s="663"/>
      <c r="AJ257" s="663"/>
      <c r="AK257" s="663"/>
      <c r="AL257" s="663"/>
      <c r="AM257" s="663"/>
      <c r="AN257" s="663"/>
      <c r="AO257" s="663"/>
      <c r="AP257" s="663"/>
      <c r="AQ257" s="663"/>
      <c r="AR257" s="663"/>
      <c r="AS257" s="663"/>
      <c r="AT257" s="663"/>
      <c r="AU257" s="663"/>
      <c r="AV257" s="663"/>
      <c r="AW257" s="663"/>
      <c r="AX257" s="663"/>
      <c r="AY257" s="663"/>
      <c r="AZ257" s="663"/>
      <c r="BA257" s="663"/>
      <c r="BB257" s="663"/>
      <c r="BC257" s="663"/>
      <c r="BD257" s="663"/>
    </row>
    <row r="258" spans="1:56" s="670" customFormat="1" ht="12" customHeight="1">
      <c r="A258" s="675"/>
      <c r="B258" s="679">
        <v>43031</v>
      </c>
      <c r="C258" s="678" t="s">
        <v>636</v>
      </c>
      <c r="D258" s="677">
        <v>34.950000000000003</v>
      </c>
      <c r="E258" s="676"/>
      <c r="F258" s="676"/>
      <c r="G258" s="676"/>
      <c r="H258" s="676"/>
      <c r="I258" s="676"/>
      <c r="J258" s="676"/>
      <c r="K258" s="676"/>
      <c r="L258" s="676"/>
      <c r="M258" s="663"/>
      <c r="N258" s="663"/>
      <c r="O258" s="663"/>
      <c r="P258" s="663"/>
      <c r="Q258" s="663"/>
      <c r="R258" s="663"/>
      <c r="S258" s="663"/>
      <c r="T258" s="663"/>
      <c r="U258" s="663"/>
      <c r="V258" s="663"/>
      <c r="W258" s="663"/>
      <c r="X258" s="663"/>
      <c r="Y258" s="663"/>
      <c r="Z258" s="663"/>
      <c r="AA258" s="663"/>
      <c r="AB258" s="663"/>
      <c r="AC258" s="663"/>
      <c r="AD258" s="663"/>
      <c r="AE258" s="663"/>
      <c r="AF258" s="663"/>
      <c r="AG258" s="663"/>
      <c r="AH258" s="663"/>
      <c r="AI258" s="663"/>
      <c r="AJ258" s="663"/>
      <c r="AK258" s="663"/>
      <c r="AL258" s="663"/>
      <c r="AM258" s="663"/>
      <c r="AN258" s="663"/>
      <c r="AO258" s="663"/>
      <c r="AP258" s="663"/>
      <c r="AQ258" s="663"/>
      <c r="AR258" s="663"/>
      <c r="AS258" s="663"/>
      <c r="AT258" s="663"/>
      <c r="AU258" s="663"/>
      <c r="AV258" s="663"/>
      <c r="AW258" s="663"/>
      <c r="AX258" s="663"/>
      <c r="AY258" s="663"/>
      <c r="AZ258" s="663"/>
      <c r="BA258" s="663"/>
      <c r="BB258" s="663"/>
      <c r="BC258" s="663"/>
      <c r="BD258" s="663"/>
    </row>
    <row r="259" spans="1:56" s="670" customFormat="1" ht="12" customHeight="1">
      <c r="A259" s="675"/>
      <c r="B259" s="679">
        <v>43032</v>
      </c>
      <c r="C259" s="678" t="s">
        <v>1000</v>
      </c>
      <c r="D259" s="677">
        <v>-500</v>
      </c>
      <c r="E259" s="676"/>
      <c r="F259" s="676"/>
      <c r="G259" s="676"/>
      <c r="H259" s="676"/>
      <c r="I259" s="676"/>
      <c r="J259" s="676"/>
      <c r="K259" s="676"/>
      <c r="L259" s="676">
        <v>500</v>
      </c>
      <c r="M259" s="663"/>
      <c r="N259" s="663"/>
      <c r="O259" s="663"/>
      <c r="P259" s="663"/>
      <c r="Q259" s="663"/>
      <c r="R259" s="663"/>
      <c r="S259" s="663"/>
      <c r="T259" s="663"/>
      <c r="U259" s="663"/>
      <c r="V259" s="663"/>
      <c r="W259" s="663"/>
      <c r="X259" s="663"/>
      <c r="Y259" s="663"/>
      <c r="Z259" s="663"/>
      <c r="AA259" s="663"/>
      <c r="AB259" s="663"/>
      <c r="AC259" s="663"/>
      <c r="AD259" s="663"/>
      <c r="AE259" s="663"/>
      <c r="AF259" s="663"/>
      <c r="AG259" s="663"/>
      <c r="AH259" s="663"/>
      <c r="AI259" s="663"/>
      <c r="AJ259" s="663"/>
      <c r="AK259" s="663"/>
      <c r="AL259" s="663"/>
      <c r="AM259" s="663"/>
      <c r="AN259" s="663"/>
      <c r="AO259" s="663"/>
      <c r="AP259" s="663"/>
      <c r="AQ259" s="663"/>
      <c r="AR259" s="663"/>
      <c r="AS259" s="663"/>
      <c r="AT259" s="663"/>
      <c r="AU259" s="663"/>
      <c r="AV259" s="663"/>
      <c r="AW259" s="663"/>
      <c r="AX259" s="663"/>
      <c r="AY259" s="663"/>
      <c r="AZ259" s="663"/>
      <c r="BA259" s="663"/>
      <c r="BB259" s="663"/>
      <c r="BC259" s="663"/>
      <c r="BD259" s="663"/>
    </row>
    <row r="260" spans="1:56" s="670" customFormat="1" ht="12" customHeight="1">
      <c r="A260" s="675"/>
      <c r="B260" s="679">
        <v>43032</v>
      </c>
      <c r="C260" s="678" t="s">
        <v>186</v>
      </c>
      <c r="D260" s="677">
        <v>40</v>
      </c>
      <c r="E260" s="676"/>
      <c r="F260" s="676"/>
      <c r="G260" s="676"/>
      <c r="H260" s="676"/>
      <c r="I260" s="676"/>
      <c r="J260" s="676"/>
      <c r="K260" s="676"/>
      <c r="L260" s="676"/>
      <c r="M260" s="663"/>
      <c r="N260" s="663"/>
      <c r="O260" s="663"/>
      <c r="P260" s="663"/>
      <c r="Q260" s="663"/>
      <c r="R260" s="663"/>
      <c r="S260" s="663"/>
      <c r="T260" s="663"/>
      <c r="U260" s="663"/>
      <c r="V260" s="663"/>
      <c r="W260" s="663"/>
      <c r="X260" s="663"/>
      <c r="Y260" s="663"/>
      <c r="Z260" s="663"/>
      <c r="AA260" s="663"/>
      <c r="AB260" s="663"/>
      <c r="AC260" s="663"/>
      <c r="AD260" s="663"/>
      <c r="AE260" s="663"/>
      <c r="AF260" s="663"/>
      <c r="AG260" s="663"/>
      <c r="AH260" s="663"/>
      <c r="AI260" s="663"/>
      <c r="AJ260" s="663"/>
      <c r="AK260" s="663"/>
      <c r="AL260" s="663"/>
      <c r="AM260" s="663"/>
      <c r="AN260" s="663"/>
      <c r="AO260" s="663"/>
      <c r="AP260" s="663"/>
      <c r="AQ260" s="663"/>
      <c r="AR260" s="663"/>
      <c r="AS260" s="663"/>
      <c r="AT260" s="663"/>
      <c r="AU260" s="663"/>
      <c r="AV260" s="663"/>
      <c r="AW260" s="663"/>
      <c r="AX260" s="663"/>
      <c r="AY260" s="663"/>
      <c r="AZ260" s="663"/>
      <c r="BA260" s="663"/>
      <c r="BB260" s="663"/>
      <c r="BC260" s="663"/>
      <c r="BD260" s="663"/>
    </row>
    <row r="261" spans="1:56" s="670" customFormat="1" ht="12" customHeight="1">
      <c r="A261" s="675"/>
      <c r="B261" s="679">
        <v>43037</v>
      </c>
      <c r="C261" s="678" t="s">
        <v>999</v>
      </c>
      <c r="D261" s="677">
        <v>-500</v>
      </c>
      <c r="E261" s="676"/>
      <c r="F261" s="676"/>
      <c r="G261" s="676"/>
      <c r="H261" s="676"/>
      <c r="I261" s="676"/>
      <c r="J261" s="676"/>
      <c r="K261" s="676"/>
      <c r="L261" s="676">
        <v>500</v>
      </c>
      <c r="M261" s="663"/>
      <c r="N261" s="663"/>
      <c r="O261" s="663"/>
      <c r="P261" s="663"/>
      <c r="Q261" s="663"/>
      <c r="R261" s="663"/>
      <c r="S261" s="663"/>
      <c r="T261" s="663"/>
      <c r="U261" s="663"/>
      <c r="V261" s="663"/>
      <c r="W261" s="663"/>
      <c r="X261" s="663"/>
      <c r="Y261" s="663"/>
      <c r="Z261" s="663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3"/>
      <c r="AL261" s="663"/>
      <c r="AM261" s="663"/>
      <c r="AN261" s="663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</row>
    <row r="262" spans="1:56" s="670" customFormat="1" ht="12" customHeight="1">
      <c r="A262" s="675"/>
      <c r="B262" s="679">
        <v>43038</v>
      </c>
      <c r="C262" s="678" t="s">
        <v>48</v>
      </c>
      <c r="D262" s="677">
        <v>220</v>
      </c>
      <c r="E262" s="676">
        <v>220</v>
      </c>
      <c r="F262" s="676"/>
      <c r="G262" s="676"/>
      <c r="H262" s="676"/>
      <c r="I262" s="676"/>
      <c r="J262" s="676"/>
      <c r="K262" s="676"/>
      <c r="L262" s="676"/>
      <c r="M262" s="663"/>
      <c r="N262" s="663"/>
      <c r="O262" s="663"/>
      <c r="P262" s="663"/>
      <c r="Q262" s="663"/>
      <c r="R262" s="663"/>
      <c r="S262" s="663"/>
      <c r="T262" s="663"/>
      <c r="U262" s="663"/>
      <c r="V262" s="663"/>
      <c r="W262" s="663"/>
      <c r="X262" s="663"/>
      <c r="Y262" s="663"/>
      <c r="Z262" s="663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3"/>
      <c r="AL262" s="663"/>
      <c r="AM262" s="663"/>
      <c r="AN262" s="663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</row>
    <row r="263" spans="1:56" s="670" customFormat="1" ht="12" customHeight="1">
      <c r="A263" s="675"/>
      <c r="B263" s="679">
        <v>43038</v>
      </c>
      <c r="C263" s="678" t="s">
        <v>837</v>
      </c>
      <c r="D263" s="677">
        <v>56</v>
      </c>
      <c r="E263" s="676"/>
      <c r="F263" s="676"/>
      <c r="G263" s="676"/>
      <c r="H263" s="676"/>
      <c r="I263" s="676"/>
      <c r="J263" s="676"/>
      <c r="K263" s="676"/>
      <c r="L263" s="676"/>
      <c r="M263" s="663"/>
      <c r="N263" s="663"/>
      <c r="O263" s="663"/>
      <c r="P263" s="663"/>
      <c r="Q263" s="663"/>
      <c r="R263" s="663"/>
      <c r="S263" s="663"/>
      <c r="T263" s="663"/>
      <c r="U263" s="663"/>
      <c r="V263" s="663"/>
      <c r="W263" s="663"/>
      <c r="X263" s="663"/>
      <c r="Y263" s="663"/>
      <c r="Z263" s="663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3"/>
      <c r="AL263" s="663"/>
      <c r="AM263" s="663"/>
      <c r="AN263" s="663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</row>
    <row r="264" spans="1:56" s="670" customFormat="1" ht="12" customHeight="1">
      <c r="A264" s="675"/>
      <c r="B264" s="679">
        <v>43038</v>
      </c>
      <c r="C264" s="678" t="s">
        <v>636</v>
      </c>
      <c r="D264" s="677">
        <v>35</v>
      </c>
      <c r="E264" s="676"/>
      <c r="F264" s="676"/>
      <c r="G264" s="676"/>
      <c r="H264" s="676"/>
      <c r="I264" s="676"/>
      <c r="J264" s="676"/>
      <c r="K264" s="676"/>
      <c r="L264" s="676"/>
      <c r="M264" s="663"/>
      <c r="N264" s="663"/>
      <c r="O264" s="663"/>
      <c r="P264" s="663"/>
      <c r="Q264" s="663"/>
      <c r="R264" s="663"/>
      <c r="S264" s="663"/>
      <c r="T264" s="663"/>
      <c r="U264" s="663"/>
      <c r="V264" s="663"/>
      <c r="W264" s="663"/>
      <c r="X264" s="663"/>
      <c r="Y264" s="663"/>
      <c r="Z264" s="663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3"/>
      <c r="AL264" s="663"/>
      <c r="AM264" s="663"/>
      <c r="AN264" s="663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</row>
    <row r="265" spans="1:56" s="662" customFormat="1" ht="12" customHeight="1">
      <c r="A265" s="668"/>
      <c r="B265" s="951" t="s">
        <v>113</v>
      </c>
      <c r="C265" s="812" t="s">
        <v>37</v>
      </c>
      <c r="D265" s="811"/>
      <c r="E265" s="808" t="s">
        <v>48</v>
      </c>
      <c r="F265" s="808" t="s">
        <v>282</v>
      </c>
      <c r="G265" s="808" t="s">
        <v>280</v>
      </c>
      <c r="H265" s="808"/>
      <c r="I265" s="808" t="s">
        <v>629</v>
      </c>
      <c r="J265" s="808" t="s">
        <v>58</v>
      </c>
      <c r="K265" s="3052" t="s">
        <v>561</v>
      </c>
      <c r="L265" s="3052"/>
      <c r="M265" s="663"/>
      <c r="N265" s="663"/>
      <c r="O265" s="663"/>
      <c r="P265" s="663"/>
      <c r="Q265" s="663"/>
      <c r="R265" s="663"/>
      <c r="S265" s="663"/>
      <c r="T265" s="663"/>
      <c r="U265" s="663"/>
      <c r="V265" s="663"/>
      <c r="W265" s="663"/>
      <c r="X265" s="663"/>
      <c r="Y265" s="663"/>
      <c r="Z265" s="663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3"/>
      <c r="AL265" s="663"/>
      <c r="AM265" s="663"/>
      <c r="AN265" s="663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</row>
    <row r="266" spans="1:56" s="670" customFormat="1" ht="12" customHeight="1">
      <c r="A266" s="675"/>
      <c r="B266" s="679">
        <v>43039</v>
      </c>
      <c r="C266" s="678" t="s">
        <v>22</v>
      </c>
      <c r="D266" s="677">
        <v>89</v>
      </c>
      <c r="E266" s="676"/>
      <c r="F266" s="676"/>
      <c r="G266" s="676">
        <f>D266</f>
        <v>89</v>
      </c>
      <c r="H266" s="676"/>
      <c r="I266" s="676"/>
      <c r="J266" s="676"/>
      <c r="K266" s="676"/>
      <c r="L266" s="676"/>
      <c r="M266" s="663"/>
      <c r="N266" s="663"/>
      <c r="O266" s="663"/>
      <c r="P266" s="663"/>
      <c r="Q266" s="663"/>
      <c r="R266" s="663"/>
      <c r="S266" s="663"/>
      <c r="T266" s="663"/>
      <c r="U266" s="663"/>
      <c r="V266" s="663"/>
      <c r="W266" s="663"/>
      <c r="X266" s="663"/>
      <c r="Y266" s="663"/>
      <c r="Z266" s="663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3"/>
      <c r="AL266" s="663"/>
      <c r="AM266" s="663"/>
      <c r="AN266" s="663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</row>
    <row r="267" spans="1:56" s="670" customFormat="1" ht="12" customHeight="1">
      <c r="A267" s="675"/>
      <c r="B267" s="679">
        <v>43039</v>
      </c>
      <c r="C267" s="678" t="s">
        <v>21</v>
      </c>
      <c r="D267" s="677">
        <v>186</v>
      </c>
      <c r="E267" s="676"/>
      <c r="F267" s="676"/>
      <c r="G267" s="676">
        <f>D267</f>
        <v>186</v>
      </c>
      <c r="H267" s="676"/>
      <c r="I267" s="676"/>
      <c r="J267" s="676"/>
      <c r="K267" s="676"/>
      <c r="L267" s="676"/>
      <c r="M267" s="663"/>
      <c r="N267" s="663"/>
      <c r="O267" s="663"/>
      <c r="P267" s="663"/>
      <c r="Q267" s="663"/>
      <c r="R267" s="663"/>
      <c r="S267" s="663"/>
      <c r="T267" s="663"/>
      <c r="U267" s="663"/>
      <c r="V267" s="663"/>
      <c r="W267" s="663"/>
      <c r="X267" s="663"/>
      <c r="Y267" s="663"/>
      <c r="Z267" s="663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3"/>
      <c r="AL267" s="663"/>
      <c r="AM267" s="663"/>
      <c r="AN267" s="663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</row>
    <row r="268" spans="1:56" s="670" customFormat="1" ht="12" customHeight="1">
      <c r="A268" s="675"/>
      <c r="B268" s="679">
        <v>43039</v>
      </c>
      <c r="C268" s="678" t="s">
        <v>656</v>
      </c>
      <c r="D268" s="677">
        <v>725.03</v>
      </c>
      <c r="E268" s="676"/>
      <c r="F268" s="676">
        <f>D268</f>
        <v>725.03</v>
      </c>
      <c r="G268" s="676"/>
      <c r="H268" s="676"/>
      <c r="I268" s="676"/>
      <c r="J268" s="676"/>
      <c r="K268" s="676"/>
      <c r="L268" s="676"/>
      <c r="M268" s="663"/>
      <c r="N268" s="663"/>
      <c r="O268" s="663"/>
      <c r="P268" s="663"/>
      <c r="Q268" s="663"/>
      <c r="R268" s="663"/>
      <c r="S268" s="663"/>
      <c r="T268" s="663"/>
      <c r="U268" s="663"/>
      <c r="V268" s="663"/>
      <c r="W268" s="663"/>
      <c r="X268" s="663"/>
      <c r="Y268" s="663"/>
      <c r="Z268" s="663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3"/>
      <c r="AL268" s="663"/>
      <c r="AM268" s="663"/>
      <c r="AN268" s="663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</row>
    <row r="269" spans="1:56" s="670" customFormat="1" ht="12" customHeight="1">
      <c r="A269" s="675"/>
      <c r="B269" s="679">
        <v>43039</v>
      </c>
      <c r="C269" s="678" t="s">
        <v>186</v>
      </c>
      <c r="D269" s="677">
        <v>25</v>
      </c>
      <c r="E269" s="676"/>
      <c r="F269" s="676"/>
      <c r="G269" s="676"/>
      <c r="H269" s="676">
        <f>D269</f>
        <v>25</v>
      </c>
      <c r="I269" s="676"/>
      <c r="J269" s="676"/>
      <c r="K269" s="676"/>
      <c r="L269" s="676"/>
      <c r="M269" s="663"/>
      <c r="N269" s="663"/>
      <c r="O269" s="663"/>
      <c r="P269" s="663"/>
      <c r="Q269" s="663"/>
      <c r="R269" s="663"/>
      <c r="S269" s="663"/>
      <c r="T269" s="663"/>
      <c r="U269" s="663"/>
      <c r="V269" s="663"/>
      <c r="W269" s="663"/>
      <c r="X269" s="663"/>
      <c r="Y269" s="663"/>
      <c r="Z269" s="663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3"/>
      <c r="AL269" s="663"/>
      <c r="AM269" s="663"/>
      <c r="AN269" s="663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</row>
    <row r="270" spans="1:56" s="670" customFormat="1" ht="12" customHeight="1">
      <c r="A270" s="675"/>
      <c r="B270" s="679">
        <v>43039</v>
      </c>
      <c r="C270" s="678" t="s">
        <v>397</v>
      </c>
      <c r="D270" s="677">
        <v>279.3</v>
      </c>
      <c r="E270" s="676"/>
      <c r="F270" s="676"/>
      <c r="G270" s="676"/>
      <c r="H270" s="676"/>
      <c r="I270" s="676"/>
      <c r="J270" s="676"/>
      <c r="K270" s="676"/>
      <c r="L270" s="676"/>
      <c r="M270" s="663"/>
      <c r="N270" s="663"/>
      <c r="O270" s="663"/>
      <c r="P270" s="663"/>
      <c r="Q270" s="663"/>
      <c r="R270" s="663"/>
      <c r="S270" s="663"/>
      <c r="T270" s="663"/>
      <c r="U270" s="663"/>
      <c r="V270" s="663"/>
      <c r="W270" s="663"/>
      <c r="X270" s="663"/>
      <c r="Y270" s="663"/>
      <c r="Z270" s="663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3"/>
      <c r="AL270" s="663"/>
      <c r="AM270" s="663"/>
      <c r="AN270" s="663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</row>
    <row r="271" spans="1:56" s="670" customFormat="1" ht="12" customHeight="1">
      <c r="A271" s="675"/>
      <c r="B271" s="679">
        <v>43039</v>
      </c>
      <c r="C271" s="678" t="s">
        <v>48</v>
      </c>
      <c r="D271" s="677">
        <v>200</v>
      </c>
      <c r="E271" s="676">
        <v>200</v>
      </c>
      <c r="F271" s="676"/>
      <c r="G271" s="676"/>
      <c r="H271" s="676"/>
      <c r="I271" s="676"/>
      <c r="J271" s="676"/>
      <c r="K271" s="676"/>
      <c r="L271" s="676"/>
      <c r="M271" s="663"/>
      <c r="N271" s="663"/>
      <c r="O271" s="663"/>
      <c r="P271" s="663"/>
      <c r="Q271" s="663"/>
      <c r="R271" s="663"/>
      <c r="S271" s="663"/>
      <c r="T271" s="663"/>
      <c r="U271" s="663"/>
      <c r="V271" s="663"/>
      <c r="W271" s="663"/>
      <c r="X271" s="663"/>
      <c r="Y271" s="663"/>
      <c r="Z271" s="663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3"/>
      <c r="AL271" s="663"/>
      <c r="AM271" s="663"/>
      <c r="AN271" s="663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</row>
    <row r="272" spans="1:56" s="670" customFormat="1" ht="12" customHeight="1">
      <c r="A272" s="675"/>
      <c r="B272" s="679">
        <v>43039</v>
      </c>
      <c r="C272" s="678" t="s">
        <v>837</v>
      </c>
      <c r="D272" s="677">
        <v>35</v>
      </c>
      <c r="E272" s="676"/>
      <c r="F272" s="676"/>
      <c r="G272" s="676"/>
      <c r="H272" s="676"/>
      <c r="I272" s="676"/>
      <c r="J272" s="676"/>
      <c r="K272" s="676"/>
      <c r="L272" s="676"/>
      <c r="M272" s="663"/>
      <c r="N272" s="663"/>
      <c r="O272" s="663"/>
      <c r="P272" s="663"/>
      <c r="Q272" s="663"/>
      <c r="R272" s="663"/>
      <c r="S272" s="663"/>
      <c r="T272" s="663"/>
      <c r="U272" s="663"/>
      <c r="V272" s="663"/>
      <c r="W272" s="663"/>
      <c r="X272" s="663"/>
      <c r="Y272" s="663"/>
      <c r="Z272" s="663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3"/>
      <c r="AL272" s="663"/>
      <c r="AM272" s="663"/>
      <c r="AN272" s="663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</row>
    <row r="273" spans="1:56" s="670" customFormat="1" ht="12" customHeight="1">
      <c r="A273" s="675"/>
      <c r="B273" s="679">
        <v>43040</v>
      </c>
      <c r="C273" s="678" t="s">
        <v>186</v>
      </c>
      <c r="D273" s="677">
        <v>225</v>
      </c>
      <c r="E273" s="676"/>
      <c r="F273" s="676"/>
      <c r="G273" s="676"/>
      <c r="H273" s="676">
        <f>D273</f>
        <v>225</v>
      </c>
      <c r="I273" s="676"/>
      <c r="J273" s="676"/>
      <c r="K273" s="676"/>
      <c r="L273" s="676"/>
      <c r="M273" s="663"/>
      <c r="N273" s="663"/>
      <c r="O273" s="663"/>
      <c r="P273" s="663"/>
      <c r="Q273" s="663"/>
      <c r="R273" s="663"/>
      <c r="S273" s="663"/>
      <c r="T273" s="663"/>
      <c r="U273" s="663"/>
      <c r="V273" s="663"/>
      <c r="W273" s="663"/>
      <c r="X273" s="663"/>
      <c r="Y273" s="663"/>
      <c r="Z273" s="663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3"/>
      <c r="AL273" s="663"/>
      <c r="AM273" s="663"/>
      <c r="AN273" s="663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</row>
    <row r="274" spans="1:56" s="670" customFormat="1" ht="12" customHeight="1">
      <c r="A274" s="675"/>
      <c r="B274" s="679">
        <v>43040</v>
      </c>
      <c r="C274" s="678" t="s">
        <v>230</v>
      </c>
      <c r="D274" s="677">
        <v>59</v>
      </c>
      <c r="E274" s="676"/>
      <c r="F274" s="676"/>
      <c r="G274" s="676">
        <f>D274</f>
        <v>59</v>
      </c>
      <c r="H274" s="676"/>
      <c r="I274" s="676"/>
      <c r="J274" s="676"/>
      <c r="K274" s="676"/>
      <c r="L274" s="676"/>
      <c r="M274" s="663"/>
      <c r="N274" s="663"/>
      <c r="O274" s="663"/>
      <c r="P274" s="663"/>
      <c r="Q274" s="663"/>
      <c r="R274" s="663"/>
      <c r="S274" s="663"/>
      <c r="T274" s="663"/>
      <c r="U274" s="663"/>
      <c r="V274" s="663"/>
      <c r="W274" s="663"/>
      <c r="X274" s="663"/>
      <c r="Y274" s="663"/>
      <c r="Z274" s="663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3"/>
      <c r="AL274" s="663"/>
      <c r="AM274" s="663"/>
      <c r="AN274" s="663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</row>
    <row r="275" spans="1:56" s="670" customFormat="1" ht="12" customHeight="1">
      <c r="A275" s="675"/>
      <c r="B275" s="679">
        <v>43040</v>
      </c>
      <c r="C275" s="678" t="s">
        <v>388</v>
      </c>
      <c r="D275" s="677">
        <v>600</v>
      </c>
      <c r="E275" s="676"/>
      <c r="F275" s="676"/>
      <c r="G275" s="676"/>
      <c r="H275" s="676"/>
      <c r="I275" s="676"/>
      <c r="J275" s="676"/>
      <c r="K275" s="676"/>
      <c r="L275" s="676"/>
      <c r="M275" s="663"/>
      <c r="N275" s="663"/>
      <c r="O275" s="663"/>
      <c r="P275" s="663"/>
      <c r="Q275" s="663"/>
      <c r="R275" s="663"/>
      <c r="S275" s="663"/>
      <c r="T275" s="663"/>
      <c r="U275" s="663"/>
      <c r="V275" s="663"/>
      <c r="W275" s="663"/>
      <c r="X275" s="663"/>
      <c r="Y275" s="663"/>
      <c r="Z275" s="663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3"/>
      <c r="AL275" s="663"/>
      <c r="AM275" s="663"/>
      <c r="AN275" s="663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</row>
    <row r="276" spans="1:56" s="670" customFormat="1" ht="12" customHeight="1">
      <c r="A276" s="675"/>
      <c r="B276" s="679">
        <v>43040</v>
      </c>
      <c r="C276" s="678" t="s">
        <v>543</v>
      </c>
      <c r="D276" s="677">
        <v>79</v>
      </c>
      <c r="E276" s="676"/>
      <c r="F276" s="676"/>
      <c r="G276" s="676"/>
      <c r="H276" s="676"/>
      <c r="I276" s="676"/>
      <c r="J276" s="676"/>
      <c r="K276" s="676"/>
      <c r="L276" s="676"/>
      <c r="M276" s="663"/>
      <c r="N276" s="663"/>
      <c r="O276" s="663"/>
      <c r="P276" s="663"/>
      <c r="Q276" s="663"/>
      <c r="R276" s="663"/>
      <c r="S276" s="663"/>
      <c r="T276" s="663"/>
      <c r="U276" s="663"/>
      <c r="V276" s="663"/>
      <c r="W276" s="663"/>
      <c r="X276" s="663"/>
      <c r="Y276" s="663"/>
      <c r="Z276" s="663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3"/>
      <c r="AL276" s="663"/>
      <c r="AM276" s="663"/>
      <c r="AN276" s="663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</row>
    <row r="277" spans="1:56" s="670" customFormat="1" ht="12" customHeight="1">
      <c r="A277" s="675"/>
      <c r="B277" s="679">
        <v>43041</v>
      </c>
      <c r="C277" s="678" t="s">
        <v>48</v>
      </c>
      <c r="D277" s="677">
        <v>200</v>
      </c>
      <c r="E277" s="676">
        <v>200</v>
      </c>
      <c r="F277" s="676"/>
      <c r="G277" s="676"/>
      <c r="H277" s="676"/>
      <c r="I277" s="676"/>
      <c r="J277" s="676"/>
      <c r="K277" s="676"/>
      <c r="L277" s="676"/>
      <c r="M277" s="663"/>
      <c r="N277" s="663"/>
      <c r="O277" s="663"/>
      <c r="P277" s="663"/>
      <c r="Q277" s="663"/>
      <c r="R277" s="663"/>
      <c r="S277" s="663"/>
      <c r="T277" s="663"/>
      <c r="U277" s="663"/>
      <c r="V277" s="663"/>
      <c r="W277" s="663"/>
      <c r="X277" s="663"/>
      <c r="Y277" s="663"/>
      <c r="Z277" s="663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3"/>
      <c r="AL277" s="663"/>
      <c r="AM277" s="663"/>
      <c r="AN277" s="663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</row>
    <row r="278" spans="1:56" s="670" customFormat="1" ht="12" customHeight="1">
      <c r="A278" s="675"/>
      <c r="B278" s="679">
        <v>43041</v>
      </c>
      <c r="C278" s="678" t="s">
        <v>837</v>
      </c>
      <c r="D278" s="677">
        <v>55</v>
      </c>
      <c r="E278" s="676"/>
      <c r="F278" s="676"/>
      <c r="G278" s="676"/>
      <c r="H278" s="676"/>
      <c r="I278" s="676"/>
      <c r="J278" s="676"/>
      <c r="K278" s="676"/>
      <c r="L278" s="676"/>
      <c r="M278" s="663"/>
      <c r="N278" s="663"/>
      <c r="O278" s="663"/>
      <c r="P278" s="663"/>
      <c r="Q278" s="663"/>
      <c r="R278" s="663"/>
      <c r="S278" s="663"/>
      <c r="T278" s="663"/>
      <c r="U278" s="663"/>
      <c r="V278" s="663"/>
      <c r="W278" s="663"/>
      <c r="X278" s="663"/>
      <c r="Y278" s="663"/>
      <c r="Z278" s="663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3"/>
      <c r="AL278" s="663"/>
      <c r="AM278" s="663"/>
      <c r="AN278" s="663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</row>
    <row r="279" spans="1:56" s="670" customFormat="1" ht="12" customHeight="1">
      <c r="A279" s="675"/>
      <c r="B279" s="679">
        <v>43041</v>
      </c>
      <c r="C279" s="678" t="s">
        <v>998</v>
      </c>
      <c r="D279" s="677">
        <v>79</v>
      </c>
      <c r="E279" s="676"/>
      <c r="F279" s="676"/>
      <c r="G279" s="676"/>
      <c r="H279" s="676"/>
      <c r="I279" s="676"/>
      <c r="J279" s="676"/>
      <c r="K279" s="676"/>
      <c r="L279" s="676"/>
      <c r="M279" s="663"/>
      <c r="N279" s="663"/>
      <c r="O279" s="663"/>
      <c r="P279" s="663"/>
      <c r="Q279" s="663"/>
      <c r="R279" s="663"/>
      <c r="S279" s="663"/>
      <c r="T279" s="663"/>
      <c r="U279" s="663"/>
      <c r="V279" s="663"/>
      <c r="W279" s="663"/>
      <c r="X279" s="663"/>
      <c r="Y279" s="663"/>
      <c r="Z279" s="663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3"/>
      <c r="AL279" s="663"/>
      <c r="AM279" s="663"/>
      <c r="AN279" s="663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</row>
    <row r="280" spans="1:56" s="670" customFormat="1" ht="12" customHeight="1">
      <c r="A280" s="675"/>
      <c r="B280" s="679">
        <v>43041</v>
      </c>
      <c r="C280" s="678" t="s">
        <v>997</v>
      </c>
      <c r="D280" s="677">
        <v>30</v>
      </c>
      <c r="E280" s="676"/>
      <c r="F280" s="676"/>
      <c r="G280" s="676"/>
      <c r="H280" s="676">
        <f>D280</f>
        <v>30</v>
      </c>
      <c r="I280" s="676"/>
      <c r="J280" s="676"/>
      <c r="K280" s="676"/>
      <c r="L280" s="676"/>
      <c r="M280" s="663"/>
      <c r="N280" s="663"/>
      <c r="O280" s="663"/>
      <c r="P280" s="663"/>
      <c r="Q280" s="663"/>
      <c r="R280" s="663"/>
      <c r="S280" s="663"/>
      <c r="T280" s="663"/>
      <c r="U280" s="663"/>
      <c r="V280" s="663"/>
      <c r="W280" s="663"/>
      <c r="X280" s="663"/>
      <c r="Y280" s="663"/>
      <c r="Z280" s="663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3"/>
      <c r="AL280" s="663"/>
      <c r="AM280" s="663"/>
      <c r="AN280" s="663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</row>
    <row r="281" spans="1:56" s="670" customFormat="1" ht="12" customHeight="1">
      <c r="A281" s="675"/>
      <c r="B281" s="679">
        <v>43041</v>
      </c>
      <c r="C281" s="678" t="s">
        <v>633</v>
      </c>
      <c r="D281" s="677">
        <v>130</v>
      </c>
      <c r="E281" s="676"/>
      <c r="F281" s="676"/>
      <c r="G281" s="676"/>
      <c r="H281" s="676"/>
      <c r="I281" s="676"/>
      <c r="J281" s="676"/>
      <c r="K281" s="676"/>
      <c r="L281" s="676"/>
      <c r="M281" s="663"/>
      <c r="N281" s="663"/>
      <c r="O281" s="663"/>
      <c r="P281" s="663"/>
      <c r="Q281" s="663"/>
      <c r="R281" s="663"/>
      <c r="S281" s="663"/>
      <c r="T281" s="663"/>
      <c r="U281" s="663"/>
      <c r="V281" s="663"/>
      <c r="W281" s="663"/>
      <c r="X281" s="663"/>
      <c r="Y281" s="663"/>
      <c r="Z281" s="663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3"/>
      <c r="AL281" s="663"/>
      <c r="AM281" s="663"/>
      <c r="AN281" s="663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</row>
    <row r="282" spans="1:56" s="670" customFormat="1" ht="12" customHeight="1">
      <c r="A282" s="675"/>
      <c r="B282" s="679">
        <v>43041</v>
      </c>
      <c r="C282" s="678" t="s">
        <v>447</v>
      </c>
      <c r="D282" s="677">
        <v>400</v>
      </c>
      <c r="E282" s="676"/>
      <c r="F282" s="676"/>
      <c r="G282" s="676"/>
      <c r="H282" s="676"/>
      <c r="I282" s="676"/>
      <c r="J282" s="676"/>
      <c r="K282" s="676"/>
      <c r="L282" s="676"/>
      <c r="M282" s="663"/>
      <c r="N282" s="663"/>
      <c r="O282" s="663"/>
      <c r="P282" s="663"/>
      <c r="Q282" s="663"/>
      <c r="R282" s="663"/>
      <c r="S282" s="663"/>
      <c r="T282" s="663"/>
      <c r="U282" s="663"/>
      <c r="V282" s="663"/>
      <c r="W282" s="663"/>
      <c r="X282" s="663"/>
      <c r="Y282" s="663"/>
      <c r="Z282" s="663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3"/>
      <c r="AL282" s="663"/>
      <c r="AM282" s="663"/>
      <c r="AN282" s="663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</row>
    <row r="283" spans="1:56" s="670" customFormat="1" ht="12" customHeight="1">
      <c r="A283" s="675"/>
      <c r="B283" s="679">
        <v>43042</v>
      </c>
      <c r="C283" s="678" t="s">
        <v>996</v>
      </c>
      <c r="D283" s="677">
        <v>379.8</v>
      </c>
      <c r="E283" s="676"/>
      <c r="F283" s="676"/>
      <c r="G283" s="676"/>
      <c r="H283" s="676"/>
      <c r="I283" s="676"/>
      <c r="J283" s="676"/>
      <c r="K283" s="676"/>
      <c r="L283" s="676"/>
      <c r="M283" s="663"/>
      <c r="N283" s="663"/>
      <c r="O283" s="663"/>
      <c r="P283" s="663"/>
      <c r="Q283" s="663"/>
      <c r="R283" s="663"/>
      <c r="S283" s="663"/>
      <c r="T283" s="663"/>
      <c r="U283" s="663"/>
      <c r="V283" s="663"/>
      <c r="W283" s="663"/>
      <c r="X283" s="663"/>
      <c r="Y283" s="663"/>
      <c r="Z283" s="663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3"/>
      <c r="AL283" s="663"/>
      <c r="AM283" s="663"/>
      <c r="AN283" s="663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</row>
    <row r="284" spans="1:56" s="670" customFormat="1" ht="12" customHeight="1">
      <c r="A284" s="675"/>
      <c r="B284" s="679">
        <v>43042</v>
      </c>
      <c r="C284" s="678" t="s">
        <v>48</v>
      </c>
      <c r="D284" s="677">
        <v>200</v>
      </c>
      <c r="E284" s="676"/>
      <c r="F284" s="676"/>
      <c r="G284" s="676"/>
      <c r="H284" s="676"/>
      <c r="I284" s="676"/>
      <c r="J284" s="676"/>
      <c r="K284" s="676"/>
      <c r="L284" s="676"/>
      <c r="M284" s="663"/>
      <c r="N284" s="663"/>
      <c r="O284" s="663"/>
      <c r="P284" s="663"/>
      <c r="Q284" s="663"/>
      <c r="R284" s="663"/>
      <c r="S284" s="663"/>
      <c r="T284" s="663"/>
      <c r="U284" s="663"/>
      <c r="V284" s="663"/>
      <c r="W284" s="663"/>
      <c r="X284" s="663"/>
      <c r="Y284" s="663"/>
      <c r="Z284" s="663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3"/>
      <c r="AL284" s="663"/>
      <c r="AM284" s="663"/>
      <c r="AN284" s="663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</row>
    <row r="285" spans="1:56" s="670" customFormat="1" ht="12" customHeight="1">
      <c r="A285" s="675"/>
      <c r="B285" s="679">
        <v>43042</v>
      </c>
      <c r="C285" s="678" t="s">
        <v>837</v>
      </c>
      <c r="D285" s="677">
        <v>55</v>
      </c>
      <c r="E285" s="676"/>
      <c r="F285" s="676"/>
      <c r="G285" s="676"/>
      <c r="H285" s="676"/>
      <c r="I285" s="676"/>
      <c r="J285" s="676"/>
      <c r="K285" s="676"/>
      <c r="L285" s="676"/>
      <c r="M285" s="663"/>
      <c r="N285" s="663"/>
      <c r="O285" s="663"/>
      <c r="P285" s="663"/>
      <c r="Q285" s="663"/>
      <c r="R285" s="663"/>
      <c r="S285" s="663"/>
      <c r="T285" s="663"/>
      <c r="U285" s="663"/>
      <c r="V285" s="663"/>
      <c r="W285" s="663"/>
      <c r="X285" s="663"/>
      <c r="Y285" s="663"/>
      <c r="Z285" s="663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3"/>
      <c r="AL285" s="663"/>
      <c r="AM285" s="663"/>
      <c r="AN285" s="663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</row>
    <row r="286" spans="1:56" s="670" customFormat="1" ht="12" customHeight="1">
      <c r="A286" s="675"/>
      <c r="B286" s="679">
        <v>43042</v>
      </c>
      <c r="C286" s="678" t="s">
        <v>914</v>
      </c>
      <c r="D286" s="677">
        <v>28</v>
      </c>
      <c r="E286" s="676"/>
      <c r="F286" s="676"/>
      <c r="G286" s="676"/>
      <c r="H286" s="676"/>
      <c r="I286" s="676"/>
      <c r="J286" s="676"/>
      <c r="K286" s="676"/>
      <c r="L286" s="676"/>
      <c r="M286" s="663"/>
      <c r="N286" s="663"/>
      <c r="O286" s="663"/>
      <c r="P286" s="663"/>
      <c r="Q286" s="663"/>
      <c r="R286" s="663"/>
      <c r="S286" s="663"/>
      <c r="T286" s="663"/>
      <c r="U286" s="663"/>
      <c r="V286" s="663"/>
      <c r="W286" s="663"/>
      <c r="X286" s="663"/>
      <c r="Y286" s="663"/>
      <c r="Z286" s="663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3"/>
      <c r="AL286" s="663"/>
      <c r="AM286" s="663"/>
      <c r="AN286" s="663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</row>
    <row r="287" spans="1:56" s="670" customFormat="1" ht="12" customHeight="1">
      <c r="A287" s="675"/>
      <c r="B287" s="679">
        <v>43045</v>
      </c>
      <c r="C287" s="678" t="s">
        <v>430</v>
      </c>
      <c r="D287" s="677">
        <v>99.85</v>
      </c>
      <c r="E287" s="676"/>
      <c r="F287" s="676"/>
      <c r="G287" s="676"/>
      <c r="H287" s="676"/>
      <c r="I287" s="676"/>
      <c r="J287" s="676"/>
      <c r="K287" s="676"/>
      <c r="L287" s="676"/>
      <c r="M287" s="663"/>
      <c r="N287" s="663"/>
      <c r="O287" s="663"/>
      <c r="P287" s="663"/>
      <c r="Q287" s="663"/>
      <c r="R287" s="663"/>
      <c r="S287" s="663"/>
      <c r="T287" s="663"/>
      <c r="U287" s="663"/>
      <c r="V287" s="663"/>
      <c r="W287" s="663"/>
      <c r="X287" s="663"/>
      <c r="Y287" s="663"/>
      <c r="Z287" s="663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3"/>
      <c r="AL287" s="663"/>
      <c r="AM287" s="663"/>
      <c r="AN287" s="663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</row>
    <row r="288" spans="1:56" s="670" customFormat="1" ht="12" customHeight="1">
      <c r="A288" s="675"/>
      <c r="B288" s="679">
        <v>43046</v>
      </c>
      <c r="C288" s="678" t="s">
        <v>186</v>
      </c>
      <c r="D288" s="677">
        <v>25</v>
      </c>
      <c r="E288" s="676"/>
      <c r="F288" s="676"/>
      <c r="G288" s="676"/>
      <c r="H288" s="676">
        <v>25</v>
      </c>
      <c r="I288" s="676"/>
      <c r="J288" s="676"/>
      <c r="K288" s="676"/>
      <c r="L288" s="676"/>
      <c r="M288" s="663"/>
      <c r="N288" s="663"/>
      <c r="O288" s="663"/>
      <c r="P288" s="663"/>
      <c r="Q288" s="663"/>
      <c r="R288" s="663"/>
      <c r="S288" s="663"/>
      <c r="T288" s="663"/>
      <c r="U288" s="663"/>
      <c r="V288" s="663"/>
      <c r="W288" s="663"/>
      <c r="X288" s="663"/>
      <c r="Y288" s="663"/>
      <c r="Z288" s="663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3"/>
      <c r="AL288" s="663"/>
      <c r="AM288" s="663"/>
      <c r="AN288" s="663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</row>
    <row r="289" spans="1:56" s="670" customFormat="1" ht="12" customHeight="1">
      <c r="A289" s="675"/>
      <c r="B289" s="679">
        <v>43047</v>
      </c>
      <c r="C289" s="678" t="s">
        <v>131</v>
      </c>
      <c r="D289" s="677">
        <v>45</v>
      </c>
      <c r="E289" s="676"/>
      <c r="F289" s="676"/>
      <c r="G289" s="676"/>
      <c r="H289" s="676"/>
      <c r="I289" s="676"/>
      <c r="J289" s="676"/>
      <c r="K289" s="676"/>
      <c r="L289" s="676"/>
      <c r="M289" s="663"/>
      <c r="N289" s="663"/>
      <c r="O289" s="663"/>
      <c r="P289" s="663"/>
      <c r="Q289" s="663"/>
      <c r="R289" s="663"/>
      <c r="S289" s="663"/>
      <c r="T289" s="663"/>
      <c r="U289" s="663"/>
      <c r="V289" s="663"/>
      <c r="W289" s="663"/>
      <c r="X289" s="663"/>
      <c r="Y289" s="663"/>
      <c r="Z289" s="663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3"/>
      <c r="AL289" s="663"/>
      <c r="AM289" s="663"/>
      <c r="AN289" s="663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</row>
    <row r="290" spans="1:56" s="670" customFormat="1" ht="12" customHeight="1">
      <c r="A290" s="675"/>
      <c r="B290" s="679">
        <v>43050</v>
      </c>
      <c r="C290" s="678" t="s">
        <v>995</v>
      </c>
      <c r="D290" s="677">
        <v>50</v>
      </c>
      <c r="E290" s="676"/>
      <c r="F290" s="676"/>
      <c r="G290" s="676"/>
      <c r="H290" s="676">
        <v>50</v>
      </c>
      <c r="I290" s="676"/>
      <c r="J290" s="676"/>
      <c r="K290" s="676"/>
      <c r="L290" s="676"/>
      <c r="M290" s="663"/>
      <c r="N290" s="663"/>
      <c r="O290" s="663"/>
      <c r="P290" s="663"/>
      <c r="Q290" s="663"/>
      <c r="R290" s="663"/>
      <c r="S290" s="663"/>
      <c r="T290" s="663"/>
      <c r="U290" s="663"/>
      <c r="V290" s="663"/>
      <c r="W290" s="663"/>
      <c r="X290" s="663"/>
      <c r="Y290" s="663"/>
      <c r="Z290" s="663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3"/>
      <c r="AL290" s="663"/>
      <c r="AM290" s="663"/>
      <c r="AN290" s="663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</row>
    <row r="291" spans="1:56" s="670" customFormat="1" ht="12" customHeight="1">
      <c r="A291" s="675"/>
      <c r="B291" s="679">
        <v>43052</v>
      </c>
      <c r="C291" s="678" t="s">
        <v>186</v>
      </c>
      <c r="D291" s="677">
        <v>37</v>
      </c>
      <c r="E291" s="676"/>
      <c r="F291" s="676"/>
      <c r="G291" s="676"/>
      <c r="H291" s="676">
        <v>37</v>
      </c>
      <c r="I291" s="676"/>
      <c r="J291" s="676"/>
      <c r="K291" s="676"/>
      <c r="L291" s="676"/>
      <c r="M291" s="663"/>
      <c r="N291" s="663"/>
      <c r="O291" s="663"/>
      <c r="P291" s="663"/>
      <c r="Q291" s="663"/>
      <c r="R291" s="663"/>
      <c r="S291" s="663"/>
      <c r="T291" s="663"/>
      <c r="U291" s="663"/>
      <c r="V291" s="663"/>
      <c r="W291" s="663"/>
      <c r="X291" s="663"/>
      <c r="Y291" s="663"/>
      <c r="Z291" s="663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3"/>
      <c r="AL291" s="663"/>
      <c r="AM291" s="663"/>
      <c r="AN291" s="663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</row>
    <row r="292" spans="1:56" s="670" customFormat="1" ht="12" customHeight="1">
      <c r="A292" s="675"/>
      <c r="B292" s="679">
        <v>43054</v>
      </c>
      <c r="C292" s="678" t="s">
        <v>186</v>
      </c>
      <c r="D292" s="677">
        <v>-60</v>
      </c>
      <c r="E292" s="676"/>
      <c r="F292" s="676"/>
      <c r="G292" s="676"/>
      <c r="H292" s="676">
        <v>-60</v>
      </c>
      <c r="I292" s="676"/>
      <c r="J292" s="676"/>
      <c r="K292" s="676"/>
      <c r="L292" s="676"/>
      <c r="M292" s="663"/>
      <c r="N292" s="663"/>
      <c r="O292" s="663"/>
      <c r="P292" s="663"/>
      <c r="Q292" s="663"/>
      <c r="R292" s="663"/>
      <c r="S292" s="663"/>
      <c r="T292" s="663"/>
      <c r="U292" s="663"/>
      <c r="V292" s="663"/>
      <c r="W292" s="663"/>
      <c r="X292" s="663"/>
      <c r="Y292" s="663"/>
      <c r="Z292" s="663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3"/>
      <c r="AL292" s="663"/>
      <c r="AM292" s="663"/>
      <c r="AN292" s="663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</row>
    <row r="293" spans="1:56" s="670" customFormat="1" ht="12" customHeight="1">
      <c r="A293" s="675"/>
      <c r="B293" s="679">
        <v>43057</v>
      </c>
      <c r="C293" s="678" t="s">
        <v>447</v>
      </c>
      <c r="D293" s="677">
        <v>270</v>
      </c>
      <c r="E293" s="676"/>
      <c r="F293" s="676"/>
      <c r="G293" s="676"/>
      <c r="H293" s="676"/>
      <c r="I293" s="676"/>
      <c r="J293" s="676"/>
      <c r="K293" s="676"/>
      <c r="L293" s="676"/>
      <c r="M293" s="663"/>
      <c r="N293" s="663"/>
      <c r="O293" s="663"/>
      <c r="P293" s="663"/>
      <c r="Q293" s="663"/>
      <c r="R293" s="663"/>
      <c r="S293" s="663"/>
      <c r="T293" s="663"/>
      <c r="U293" s="663"/>
      <c r="V293" s="663"/>
      <c r="W293" s="663"/>
      <c r="X293" s="663"/>
      <c r="Y293" s="663"/>
      <c r="Z293" s="663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3"/>
      <c r="AL293" s="663"/>
      <c r="AM293" s="663"/>
      <c r="AN293" s="663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</row>
    <row r="294" spans="1:56" s="670" customFormat="1" ht="12" customHeight="1">
      <c r="A294" s="675"/>
      <c r="B294" s="679">
        <v>43059</v>
      </c>
      <c r="C294" s="678" t="s">
        <v>186</v>
      </c>
      <c r="D294" s="677">
        <v>12</v>
      </c>
      <c r="E294" s="676"/>
      <c r="F294" s="676"/>
      <c r="G294" s="676"/>
      <c r="H294" s="676">
        <v>37</v>
      </c>
      <c r="I294" s="676"/>
      <c r="J294" s="676"/>
      <c r="K294" s="676"/>
      <c r="L294" s="676"/>
      <c r="M294" s="663"/>
      <c r="N294" s="663"/>
      <c r="O294" s="663"/>
      <c r="P294" s="663"/>
      <c r="Q294" s="663"/>
      <c r="R294" s="663"/>
      <c r="S294" s="663"/>
      <c r="T294" s="663"/>
      <c r="U294" s="663"/>
      <c r="V294" s="663"/>
      <c r="W294" s="663"/>
      <c r="X294" s="663"/>
      <c r="Y294" s="663"/>
      <c r="Z294" s="663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3"/>
      <c r="AL294" s="663"/>
      <c r="AM294" s="663"/>
      <c r="AN294" s="663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</row>
    <row r="295" spans="1:56" s="670" customFormat="1" ht="12" customHeight="1">
      <c r="A295" s="675"/>
      <c r="B295" s="679">
        <v>43061</v>
      </c>
      <c r="C295" s="678" t="s">
        <v>994</v>
      </c>
      <c r="D295" s="677">
        <v>149.85</v>
      </c>
      <c r="E295" s="676"/>
      <c r="F295" s="676"/>
      <c r="G295" s="676"/>
      <c r="H295" s="676"/>
      <c r="I295" s="676"/>
      <c r="J295" s="676"/>
      <c r="K295" s="676"/>
      <c r="L295" s="676"/>
      <c r="M295" s="663"/>
      <c r="N295" s="663"/>
      <c r="O295" s="663"/>
      <c r="P295" s="663"/>
      <c r="Q295" s="663"/>
      <c r="R295" s="663"/>
      <c r="S295" s="663"/>
      <c r="T295" s="663"/>
      <c r="U295" s="663"/>
      <c r="V295" s="663"/>
      <c r="W295" s="663"/>
      <c r="X295" s="663"/>
      <c r="Y295" s="663"/>
      <c r="Z295" s="663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3"/>
      <c r="AL295" s="663"/>
      <c r="AM295" s="663"/>
      <c r="AN295" s="663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</row>
    <row r="296" spans="1:56" s="670" customFormat="1" ht="12" customHeight="1">
      <c r="A296" s="675"/>
      <c r="B296" s="679">
        <v>43062</v>
      </c>
      <c r="C296" s="678" t="s">
        <v>162</v>
      </c>
      <c r="D296" s="677">
        <v>93.95</v>
      </c>
      <c r="E296" s="676"/>
      <c r="F296" s="676"/>
      <c r="G296" s="676"/>
      <c r="H296" s="676"/>
      <c r="I296" s="676"/>
      <c r="J296" s="676"/>
      <c r="K296" s="676"/>
      <c r="L296" s="676"/>
      <c r="M296" s="663"/>
      <c r="N296" s="663"/>
      <c r="O296" s="663"/>
      <c r="P296" s="663"/>
      <c r="Q296" s="663"/>
      <c r="R296" s="663"/>
      <c r="S296" s="663"/>
      <c r="T296" s="663"/>
      <c r="U296" s="663"/>
      <c r="V296" s="663"/>
      <c r="W296" s="663"/>
      <c r="X296" s="663"/>
      <c r="Y296" s="663"/>
      <c r="Z296" s="663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3"/>
      <c r="AL296" s="663"/>
      <c r="AM296" s="663"/>
      <c r="AN296" s="663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</row>
    <row r="297" spans="1:56" s="670" customFormat="1" ht="12" customHeight="1">
      <c r="A297" s="675"/>
      <c r="B297" s="679">
        <v>43063</v>
      </c>
      <c r="C297" s="678" t="s">
        <v>461</v>
      </c>
      <c r="D297" s="677">
        <v>-100</v>
      </c>
      <c r="E297" s="676"/>
      <c r="F297" s="676"/>
      <c r="G297" s="676"/>
      <c r="H297" s="676"/>
      <c r="I297" s="676"/>
      <c r="J297" s="676"/>
      <c r="K297" s="676"/>
      <c r="L297" s="676">
        <v>100</v>
      </c>
      <c r="M297" s="663"/>
      <c r="N297" s="663"/>
      <c r="O297" s="663"/>
      <c r="P297" s="663"/>
      <c r="Q297" s="663"/>
      <c r="R297" s="663"/>
      <c r="S297" s="663"/>
      <c r="T297" s="663"/>
      <c r="U297" s="663"/>
      <c r="V297" s="663"/>
      <c r="W297" s="663"/>
      <c r="X297" s="663"/>
      <c r="Y297" s="663"/>
      <c r="Z297" s="663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3"/>
      <c r="AL297" s="663"/>
      <c r="AM297" s="663"/>
      <c r="AN297" s="663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</row>
    <row r="298" spans="1:56" s="670" customFormat="1" ht="12" customHeight="1">
      <c r="A298" s="675"/>
      <c r="B298" s="679">
        <v>43063</v>
      </c>
      <c r="C298" s="678" t="s">
        <v>216</v>
      </c>
      <c r="D298" s="677">
        <v>100</v>
      </c>
      <c r="E298" s="676">
        <v>100</v>
      </c>
      <c r="F298" s="676"/>
      <c r="G298" s="676"/>
      <c r="H298" s="676"/>
      <c r="I298" s="676"/>
      <c r="J298" s="676"/>
      <c r="K298" s="676"/>
      <c r="L298" s="676"/>
      <c r="M298" s="663"/>
      <c r="N298" s="663"/>
      <c r="O298" s="663"/>
      <c r="P298" s="663"/>
      <c r="Q298" s="663"/>
      <c r="R298" s="663"/>
      <c r="S298" s="663"/>
      <c r="T298" s="663"/>
      <c r="U298" s="663"/>
      <c r="V298" s="663"/>
      <c r="W298" s="663"/>
      <c r="X298" s="663"/>
      <c r="Y298" s="663"/>
      <c r="Z298" s="663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3"/>
      <c r="AL298" s="663"/>
      <c r="AM298" s="663"/>
      <c r="AN298" s="663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</row>
    <row r="299" spans="1:56" s="670" customFormat="1" ht="12" customHeight="1">
      <c r="A299" s="675"/>
      <c r="B299" s="679">
        <v>43064</v>
      </c>
      <c r="C299" s="678" t="s">
        <v>216</v>
      </c>
      <c r="D299" s="677">
        <v>100</v>
      </c>
      <c r="E299" s="676">
        <v>100</v>
      </c>
      <c r="F299" s="676"/>
      <c r="G299" s="676"/>
      <c r="H299" s="676"/>
      <c r="I299" s="676"/>
      <c r="J299" s="676"/>
      <c r="K299" s="676"/>
      <c r="L299" s="676"/>
      <c r="M299" s="663"/>
      <c r="N299" s="663"/>
      <c r="O299" s="663"/>
      <c r="P299" s="663"/>
      <c r="Q299" s="663"/>
      <c r="R299" s="663"/>
      <c r="S299" s="663"/>
      <c r="T299" s="663"/>
      <c r="U299" s="663"/>
      <c r="V299" s="663"/>
      <c r="W299" s="663"/>
      <c r="X299" s="663"/>
      <c r="Y299" s="663"/>
      <c r="Z299" s="663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3"/>
      <c r="AL299" s="663"/>
      <c r="AM299" s="663"/>
      <c r="AN299" s="663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</row>
    <row r="300" spans="1:56" s="662" customFormat="1" ht="12" customHeight="1">
      <c r="A300" s="668"/>
      <c r="B300" s="951" t="s">
        <v>112</v>
      </c>
      <c r="C300" s="812" t="s">
        <v>37</v>
      </c>
      <c r="D300" s="811"/>
      <c r="E300" s="808" t="s">
        <v>48</v>
      </c>
      <c r="F300" s="808" t="s">
        <v>282</v>
      </c>
      <c r="G300" s="808" t="s">
        <v>280</v>
      </c>
      <c r="H300" s="808"/>
      <c r="I300" s="808" t="s">
        <v>629</v>
      </c>
      <c r="J300" s="808" t="s">
        <v>58</v>
      </c>
      <c r="K300" s="3052" t="s">
        <v>561</v>
      </c>
      <c r="L300" s="3052"/>
      <c r="M300" s="663"/>
      <c r="N300" s="663"/>
      <c r="O300" s="663"/>
      <c r="P300" s="663"/>
      <c r="Q300" s="663"/>
      <c r="R300" s="663"/>
      <c r="S300" s="663"/>
      <c r="T300" s="663"/>
      <c r="U300" s="663"/>
      <c r="V300" s="663"/>
      <c r="W300" s="663"/>
      <c r="X300" s="663"/>
      <c r="Y300" s="663"/>
      <c r="Z300" s="663"/>
      <c r="AA300" s="663"/>
      <c r="AB300" s="663"/>
      <c r="AC300" s="663"/>
      <c r="AD300" s="663"/>
      <c r="AE300" s="663"/>
      <c r="AF300" s="663"/>
      <c r="AG300" s="663"/>
      <c r="AH300" s="663"/>
      <c r="AI300" s="663"/>
      <c r="AJ300" s="663"/>
      <c r="AK300" s="663"/>
      <c r="AL300" s="663"/>
      <c r="AM300" s="663"/>
      <c r="AN300" s="663"/>
      <c r="AO300" s="663"/>
      <c r="AP300" s="663"/>
      <c r="AQ300" s="663"/>
      <c r="AR300" s="663"/>
      <c r="AS300" s="663"/>
      <c r="AT300" s="663"/>
      <c r="AU300" s="663"/>
      <c r="AV300" s="663"/>
      <c r="AW300" s="663"/>
      <c r="AX300" s="663"/>
      <c r="AY300" s="663"/>
      <c r="AZ300" s="663"/>
      <c r="BA300" s="663"/>
      <c r="BB300" s="663"/>
      <c r="BC300" s="663"/>
      <c r="BD300" s="663"/>
    </row>
    <row r="301" spans="1:56" s="670" customFormat="1" ht="12" customHeight="1">
      <c r="A301" s="675"/>
      <c r="B301" s="679">
        <v>43069</v>
      </c>
      <c r="C301" s="678" t="s">
        <v>993</v>
      </c>
      <c r="D301" s="677">
        <v>75</v>
      </c>
      <c r="E301" s="676"/>
      <c r="F301" s="676"/>
      <c r="G301" s="676"/>
      <c r="H301" s="676"/>
      <c r="I301" s="676"/>
      <c r="J301" s="676"/>
      <c r="K301" s="676"/>
      <c r="L301" s="676"/>
      <c r="M301" s="663"/>
      <c r="N301" s="663"/>
      <c r="O301" s="663"/>
      <c r="P301" s="663"/>
      <c r="Q301" s="663"/>
      <c r="R301" s="663"/>
      <c r="S301" s="663"/>
      <c r="T301" s="663"/>
      <c r="U301" s="663"/>
      <c r="V301" s="663"/>
      <c r="W301" s="663"/>
      <c r="X301" s="663"/>
      <c r="Y301" s="663"/>
      <c r="Z301" s="663"/>
      <c r="AA301" s="663"/>
      <c r="AB301" s="663"/>
      <c r="AC301" s="663"/>
      <c r="AD301" s="663"/>
      <c r="AE301" s="663"/>
      <c r="AF301" s="663"/>
      <c r="AG301" s="663"/>
      <c r="AH301" s="663"/>
      <c r="AI301" s="663"/>
      <c r="AJ301" s="663"/>
      <c r="AK301" s="663"/>
      <c r="AL301" s="663"/>
      <c r="AM301" s="663"/>
      <c r="AN301" s="663"/>
      <c r="AO301" s="663"/>
      <c r="AP301" s="663"/>
      <c r="AQ301" s="663"/>
      <c r="AR301" s="663"/>
      <c r="AS301" s="663"/>
      <c r="AT301" s="663"/>
      <c r="AU301" s="663"/>
      <c r="AV301" s="663"/>
      <c r="AW301" s="663"/>
      <c r="AX301" s="663"/>
      <c r="AY301" s="663"/>
      <c r="AZ301" s="663"/>
      <c r="BA301" s="663"/>
      <c r="BB301" s="663"/>
      <c r="BC301" s="663"/>
      <c r="BD301" s="663"/>
    </row>
    <row r="302" spans="1:56" s="670" customFormat="1" ht="12" customHeight="1">
      <c r="A302" s="675"/>
      <c r="B302" s="679">
        <v>43069</v>
      </c>
      <c r="C302" s="678" t="s">
        <v>186</v>
      </c>
      <c r="D302" s="677">
        <v>137</v>
      </c>
      <c r="E302" s="676"/>
      <c r="F302" s="676"/>
      <c r="G302" s="676"/>
      <c r="H302" s="676">
        <f>D302</f>
        <v>137</v>
      </c>
      <c r="I302" s="676"/>
      <c r="J302" s="676"/>
      <c r="K302" s="676"/>
      <c r="L302" s="676"/>
      <c r="M302" s="663"/>
      <c r="N302" s="663"/>
      <c r="O302" s="663"/>
      <c r="P302" s="663"/>
      <c r="Q302" s="663"/>
      <c r="R302" s="663"/>
      <c r="S302" s="663"/>
      <c r="T302" s="663"/>
      <c r="U302" s="663"/>
      <c r="V302" s="663"/>
      <c r="W302" s="663"/>
      <c r="X302" s="663"/>
      <c r="Y302" s="663"/>
      <c r="Z302" s="663"/>
      <c r="AA302" s="663"/>
      <c r="AB302" s="663"/>
      <c r="AC302" s="663"/>
      <c r="AD302" s="663"/>
      <c r="AE302" s="663"/>
      <c r="AF302" s="663"/>
      <c r="AG302" s="663"/>
      <c r="AH302" s="663"/>
      <c r="AI302" s="663"/>
      <c r="AJ302" s="663"/>
      <c r="AK302" s="663"/>
      <c r="AL302" s="663"/>
      <c r="AM302" s="663"/>
      <c r="AN302" s="663"/>
      <c r="AO302" s="663"/>
      <c r="AP302" s="663"/>
      <c r="AQ302" s="663"/>
      <c r="AR302" s="663"/>
      <c r="AS302" s="663"/>
      <c r="AT302" s="663"/>
      <c r="AU302" s="663"/>
      <c r="AV302" s="663"/>
      <c r="AW302" s="663"/>
      <c r="AX302" s="663"/>
      <c r="AY302" s="663"/>
      <c r="AZ302" s="663"/>
      <c r="BA302" s="663"/>
      <c r="BB302" s="663"/>
      <c r="BC302" s="663"/>
      <c r="BD302" s="663"/>
    </row>
    <row r="303" spans="1:56" s="670" customFormat="1" ht="12" customHeight="1">
      <c r="A303" s="675"/>
      <c r="B303" s="679">
        <v>43069</v>
      </c>
      <c r="C303" s="678" t="s">
        <v>22</v>
      </c>
      <c r="D303" s="677">
        <v>100</v>
      </c>
      <c r="E303" s="676"/>
      <c r="F303" s="676"/>
      <c r="G303" s="676">
        <f>D303</f>
        <v>100</v>
      </c>
      <c r="H303" s="676"/>
      <c r="I303" s="676"/>
      <c r="J303" s="676"/>
      <c r="K303" s="676"/>
      <c r="L303" s="676"/>
      <c r="M303" s="663"/>
      <c r="N303" s="663"/>
      <c r="O303" s="663"/>
      <c r="P303" s="663"/>
      <c r="Q303" s="663"/>
      <c r="R303" s="663"/>
      <c r="S303" s="663"/>
      <c r="T303" s="663"/>
      <c r="U303" s="663"/>
      <c r="V303" s="663"/>
      <c r="W303" s="663"/>
      <c r="X303" s="663"/>
      <c r="Y303" s="663"/>
      <c r="Z303" s="663"/>
      <c r="AA303" s="663"/>
      <c r="AB303" s="663"/>
      <c r="AC303" s="663"/>
      <c r="AD303" s="663"/>
      <c r="AE303" s="663"/>
      <c r="AF303" s="663"/>
      <c r="AG303" s="663"/>
      <c r="AH303" s="663"/>
      <c r="AI303" s="663"/>
      <c r="AJ303" s="663"/>
      <c r="AK303" s="663"/>
      <c r="AL303" s="663"/>
      <c r="AM303" s="663"/>
      <c r="AN303" s="663"/>
      <c r="AO303" s="663"/>
      <c r="AP303" s="663"/>
      <c r="AQ303" s="663"/>
      <c r="AR303" s="663"/>
      <c r="AS303" s="663"/>
      <c r="AT303" s="663"/>
      <c r="AU303" s="663"/>
      <c r="AV303" s="663"/>
      <c r="AW303" s="663"/>
      <c r="AX303" s="663"/>
      <c r="AY303" s="663"/>
      <c r="AZ303" s="663"/>
      <c r="BA303" s="663"/>
      <c r="BB303" s="663"/>
      <c r="BC303" s="663"/>
      <c r="BD303" s="663"/>
    </row>
    <row r="304" spans="1:56" s="670" customFormat="1" ht="12" customHeight="1">
      <c r="A304" s="675"/>
      <c r="B304" s="679">
        <v>43069</v>
      </c>
      <c r="C304" s="678" t="s">
        <v>21</v>
      </c>
      <c r="D304" s="677">
        <v>200</v>
      </c>
      <c r="E304" s="676"/>
      <c r="F304" s="676"/>
      <c r="G304" s="676">
        <f>D304</f>
        <v>200</v>
      </c>
      <c r="H304" s="676"/>
      <c r="I304" s="676"/>
      <c r="J304" s="676"/>
      <c r="K304" s="676"/>
      <c r="L304" s="676"/>
      <c r="M304" s="663"/>
      <c r="N304" s="663"/>
      <c r="O304" s="663"/>
      <c r="P304" s="663"/>
      <c r="Q304" s="663"/>
      <c r="R304" s="663"/>
      <c r="S304" s="663"/>
      <c r="T304" s="663"/>
      <c r="U304" s="663"/>
      <c r="V304" s="663"/>
      <c r="W304" s="663"/>
      <c r="X304" s="663"/>
      <c r="Y304" s="663"/>
      <c r="Z304" s="663"/>
      <c r="AA304" s="663"/>
      <c r="AB304" s="663"/>
      <c r="AC304" s="663"/>
      <c r="AD304" s="663"/>
      <c r="AE304" s="663"/>
      <c r="AF304" s="663"/>
      <c r="AG304" s="663"/>
      <c r="AH304" s="663"/>
      <c r="AI304" s="663"/>
      <c r="AJ304" s="663"/>
      <c r="AK304" s="663"/>
      <c r="AL304" s="663"/>
      <c r="AM304" s="663"/>
      <c r="AN304" s="663"/>
      <c r="AO304" s="663"/>
      <c r="AP304" s="663"/>
      <c r="AQ304" s="663"/>
      <c r="AR304" s="663"/>
      <c r="AS304" s="663"/>
      <c r="AT304" s="663"/>
      <c r="AU304" s="663"/>
      <c r="AV304" s="663"/>
      <c r="AW304" s="663"/>
      <c r="AX304" s="663"/>
      <c r="AY304" s="663"/>
      <c r="AZ304" s="663"/>
      <c r="BA304" s="663"/>
      <c r="BB304" s="663"/>
      <c r="BC304" s="663"/>
      <c r="BD304" s="663"/>
    </row>
    <row r="305" spans="1:56" s="670" customFormat="1" ht="12" customHeight="1">
      <c r="A305" s="675"/>
      <c r="B305" s="679">
        <v>43069</v>
      </c>
      <c r="C305" s="678" t="s">
        <v>216</v>
      </c>
      <c r="D305" s="677">
        <v>307.75</v>
      </c>
      <c r="E305" s="676">
        <v>200</v>
      </c>
      <c r="F305" s="676"/>
      <c r="G305" s="676"/>
      <c r="H305" s="676"/>
      <c r="I305" s="676"/>
      <c r="J305" s="676"/>
      <c r="K305" s="676"/>
      <c r="L305" s="676"/>
      <c r="M305" s="663"/>
      <c r="N305" s="663"/>
      <c r="O305" s="663"/>
      <c r="P305" s="663"/>
      <c r="Q305" s="663"/>
      <c r="R305" s="663"/>
      <c r="S305" s="663"/>
      <c r="T305" s="663"/>
      <c r="U305" s="663"/>
      <c r="V305" s="663"/>
      <c r="W305" s="663"/>
      <c r="X305" s="663"/>
      <c r="Y305" s="663"/>
      <c r="Z305" s="663"/>
      <c r="AA305" s="663"/>
      <c r="AB305" s="663"/>
      <c r="AC305" s="663"/>
      <c r="AD305" s="663"/>
      <c r="AE305" s="663"/>
      <c r="AF305" s="663"/>
      <c r="AG305" s="663"/>
      <c r="AH305" s="663"/>
      <c r="AI305" s="663"/>
      <c r="AJ305" s="663"/>
      <c r="AK305" s="663"/>
      <c r="AL305" s="663"/>
      <c r="AM305" s="663"/>
      <c r="AN305" s="663"/>
      <c r="AO305" s="663"/>
      <c r="AP305" s="663"/>
      <c r="AQ305" s="663"/>
      <c r="AR305" s="663"/>
      <c r="AS305" s="663"/>
      <c r="AT305" s="663"/>
      <c r="AU305" s="663"/>
      <c r="AV305" s="663"/>
      <c r="AW305" s="663"/>
      <c r="AX305" s="663"/>
      <c r="AY305" s="663"/>
      <c r="AZ305" s="663"/>
      <c r="BA305" s="663"/>
      <c r="BB305" s="663"/>
      <c r="BC305" s="663"/>
      <c r="BD305" s="663"/>
    </row>
    <row r="306" spans="1:56" s="670" customFormat="1" ht="12" customHeight="1">
      <c r="A306" s="675"/>
      <c r="B306" s="679">
        <v>43069</v>
      </c>
      <c r="C306" s="678" t="s">
        <v>397</v>
      </c>
      <c r="D306" s="677">
        <v>279.3</v>
      </c>
      <c r="E306" s="676"/>
      <c r="F306" s="676"/>
      <c r="G306" s="676"/>
      <c r="H306" s="676"/>
      <c r="I306" s="676"/>
      <c r="J306" s="676"/>
      <c r="K306" s="676"/>
      <c r="L306" s="676"/>
      <c r="M306" s="663"/>
      <c r="N306" s="663"/>
      <c r="O306" s="663"/>
      <c r="P306" s="663"/>
      <c r="Q306" s="663"/>
      <c r="R306" s="663"/>
      <c r="S306" s="663"/>
      <c r="T306" s="663"/>
      <c r="U306" s="663"/>
      <c r="V306" s="663"/>
      <c r="W306" s="663"/>
      <c r="X306" s="663"/>
      <c r="Y306" s="663"/>
      <c r="Z306" s="663"/>
      <c r="AA306" s="663"/>
      <c r="AB306" s="663"/>
      <c r="AC306" s="663"/>
      <c r="AD306" s="663"/>
      <c r="AE306" s="663"/>
      <c r="AF306" s="663"/>
      <c r="AG306" s="663"/>
      <c r="AH306" s="663"/>
      <c r="AI306" s="663"/>
      <c r="AJ306" s="663"/>
      <c r="AK306" s="663"/>
      <c r="AL306" s="663"/>
      <c r="AM306" s="663"/>
      <c r="AN306" s="663"/>
      <c r="AO306" s="663"/>
      <c r="AP306" s="663"/>
      <c r="AQ306" s="663"/>
      <c r="AR306" s="663"/>
      <c r="AS306" s="663"/>
      <c r="AT306" s="663"/>
      <c r="AU306" s="663"/>
      <c r="AV306" s="663"/>
      <c r="AW306" s="663"/>
      <c r="AX306" s="663"/>
      <c r="AY306" s="663"/>
      <c r="AZ306" s="663"/>
      <c r="BA306" s="663"/>
      <c r="BB306" s="663"/>
      <c r="BC306" s="663"/>
      <c r="BD306" s="663"/>
    </row>
    <row r="307" spans="1:56" s="670" customFormat="1" ht="12" customHeight="1">
      <c r="A307" s="675"/>
      <c r="B307" s="679">
        <v>43070</v>
      </c>
      <c r="C307" s="678" t="s">
        <v>230</v>
      </c>
      <c r="D307" s="677">
        <v>59</v>
      </c>
      <c r="E307" s="676"/>
      <c r="F307" s="676"/>
      <c r="G307" s="676">
        <f>D307</f>
        <v>59</v>
      </c>
      <c r="H307" s="676"/>
      <c r="I307" s="676"/>
      <c r="J307" s="676"/>
      <c r="K307" s="676"/>
      <c r="L307" s="676"/>
      <c r="M307" s="663"/>
      <c r="N307" s="663"/>
      <c r="O307" s="663"/>
      <c r="P307" s="663"/>
      <c r="Q307" s="663"/>
      <c r="R307" s="663"/>
      <c r="S307" s="663"/>
      <c r="T307" s="663"/>
      <c r="U307" s="663"/>
      <c r="V307" s="663"/>
      <c r="W307" s="663"/>
      <c r="X307" s="663"/>
      <c r="Y307" s="663"/>
      <c r="Z307" s="663"/>
      <c r="AA307" s="663"/>
      <c r="AB307" s="663"/>
      <c r="AC307" s="663"/>
      <c r="AD307" s="663"/>
      <c r="AE307" s="663"/>
      <c r="AF307" s="663"/>
      <c r="AG307" s="663"/>
      <c r="AH307" s="663"/>
      <c r="AI307" s="663"/>
      <c r="AJ307" s="663"/>
      <c r="AK307" s="663"/>
      <c r="AL307" s="663"/>
      <c r="AM307" s="663"/>
      <c r="AN307" s="663"/>
      <c r="AO307" s="663"/>
      <c r="AP307" s="663"/>
      <c r="AQ307" s="663"/>
      <c r="AR307" s="663"/>
      <c r="AS307" s="663"/>
      <c r="AT307" s="663"/>
      <c r="AU307" s="663"/>
      <c r="AV307" s="663"/>
      <c r="AW307" s="663"/>
      <c r="AX307" s="663"/>
      <c r="AY307" s="663"/>
      <c r="AZ307" s="663"/>
      <c r="BA307" s="663"/>
      <c r="BB307" s="663"/>
      <c r="BC307" s="663"/>
      <c r="BD307" s="663"/>
    </row>
    <row r="308" spans="1:56" s="670" customFormat="1" ht="12" customHeight="1">
      <c r="A308" s="675"/>
      <c r="B308" s="679">
        <v>43070</v>
      </c>
      <c r="C308" s="678" t="s">
        <v>156</v>
      </c>
      <c r="D308" s="677">
        <v>180</v>
      </c>
      <c r="E308" s="676"/>
      <c r="F308" s="676"/>
      <c r="G308" s="676"/>
      <c r="H308" s="676">
        <v>180</v>
      </c>
      <c r="I308" s="676"/>
      <c r="J308" s="676"/>
      <c r="K308" s="676"/>
      <c r="L308" s="676"/>
      <c r="M308" s="663"/>
      <c r="N308" s="663"/>
      <c r="O308" s="663"/>
      <c r="P308" s="663"/>
      <c r="Q308" s="663"/>
      <c r="R308" s="663"/>
      <c r="S308" s="663"/>
      <c r="T308" s="663"/>
      <c r="U308" s="663"/>
      <c r="V308" s="663"/>
      <c r="W308" s="663"/>
      <c r="X308" s="663"/>
      <c r="Y308" s="663"/>
      <c r="Z308" s="663"/>
      <c r="AA308" s="663"/>
      <c r="AB308" s="663"/>
      <c r="AC308" s="663"/>
      <c r="AD308" s="663"/>
      <c r="AE308" s="663"/>
      <c r="AF308" s="663"/>
      <c r="AG308" s="663"/>
      <c r="AH308" s="663"/>
      <c r="AI308" s="663"/>
      <c r="AJ308" s="663"/>
      <c r="AK308" s="663"/>
      <c r="AL308" s="663"/>
      <c r="AM308" s="663"/>
      <c r="AN308" s="663"/>
      <c r="AO308" s="663"/>
      <c r="AP308" s="663"/>
      <c r="AQ308" s="663"/>
      <c r="AR308" s="663"/>
      <c r="AS308" s="663"/>
      <c r="AT308" s="663"/>
      <c r="AU308" s="663"/>
      <c r="AV308" s="663"/>
      <c r="AW308" s="663"/>
      <c r="AX308" s="663"/>
      <c r="AY308" s="663"/>
      <c r="AZ308" s="663"/>
      <c r="BA308" s="663"/>
      <c r="BB308" s="663"/>
      <c r="BC308" s="663"/>
      <c r="BD308" s="663"/>
    </row>
    <row r="309" spans="1:56" s="670" customFormat="1" ht="12" customHeight="1">
      <c r="A309" s="675"/>
      <c r="B309" s="679">
        <v>43070</v>
      </c>
      <c r="C309" s="678" t="s">
        <v>143</v>
      </c>
      <c r="D309" s="677">
        <v>200</v>
      </c>
      <c r="E309" s="676"/>
      <c r="F309" s="676"/>
      <c r="G309" s="676"/>
      <c r="H309" s="676"/>
      <c r="I309" s="676"/>
      <c r="J309" s="676"/>
      <c r="K309" s="676"/>
      <c r="L309" s="676"/>
      <c r="M309" s="663"/>
      <c r="N309" s="663"/>
      <c r="O309" s="663"/>
      <c r="P309" s="663"/>
      <c r="Q309" s="663"/>
      <c r="R309" s="663"/>
      <c r="S309" s="663"/>
      <c r="T309" s="663"/>
      <c r="U309" s="663"/>
      <c r="V309" s="663"/>
      <c r="W309" s="663"/>
      <c r="X309" s="663"/>
      <c r="Y309" s="663"/>
      <c r="Z309" s="663"/>
      <c r="AA309" s="663"/>
      <c r="AB309" s="663"/>
      <c r="AC309" s="663"/>
      <c r="AD309" s="663"/>
      <c r="AE309" s="663"/>
      <c r="AF309" s="663"/>
      <c r="AG309" s="663"/>
      <c r="AH309" s="663"/>
      <c r="AI309" s="663"/>
      <c r="AJ309" s="663"/>
      <c r="AK309" s="663"/>
      <c r="AL309" s="663"/>
      <c r="AM309" s="663"/>
      <c r="AN309" s="663"/>
      <c r="AO309" s="663"/>
      <c r="AP309" s="663"/>
      <c r="AQ309" s="663"/>
      <c r="AR309" s="663"/>
      <c r="AS309" s="663"/>
      <c r="AT309" s="663"/>
      <c r="AU309" s="663"/>
      <c r="AV309" s="663"/>
      <c r="AW309" s="663"/>
      <c r="AX309" s="663"/>
      <c r="AY309" s="663"/>
      <c r="AZ309" s="663"/>
      <c r="BA309" s="663"/>
      <c r="BB309" s="663"/>
      <c r="BC309" s="663"/>
      <c r="BD309" s="663"/>
    </row>
    <row r="310" spans="1:56" s="670" customFormat="1" ht="12" customHeight="1">
      <c r="A310" s="675"/>
      <c r="B310" s="679">
        <v>43070</v>
      </c>
      <c r="C310" s="678" t="s">
        <v>216</v>
      </c>
      <c r="D310" s="677">
        <v>319.45</v>
      </c>
      <c r="E310" s="676">
        <v>200</v>
      </c>
      <c r="F310" s="676"/>
      <c r="G310" s="676"/>
      <c r="H310" s="676"/>
      <c r="I310" s="676"/>
      <c r="J310" s="676"/>
      <c r="K310" s="676"/>
      <c r="L310" s="676"/>
      <c r="M310" s="663"/>
      <c r="N310" s="663"/>
      <c r="O310" s="663"/>
      <c r="P310" s="663"/>
      <c r="Q310" s="663"/>
      <c r="R310" s="663"/>
      <c r="S310" s="663"/>
      <c r="T310" s="663"/>
      <c r="U310" s="663"/>
      <c r="V310" s="663"/>
      <c r="W310" s="663"/>
      <c r="X310" s="663"/>
      <c r="Y310" s="663"/>
      <c r="Z310" s="663"/>
      <c r="AA310" s="663"/>
      <c r="AB310" s="663"/>
      <c r="AC310" s="663"/>
      <c r="AD310" s="663"/>
      <c r="AE310" s="663"/>
      <c r="AF310" s="663"/>
      <c r="AG310" s="663"/>
      <c r="AH310" s="663"/>
      <c r="AI310" s="663"/>
      <c r="AJ310" s="663"/>
      <c r="AK310" s="663"/>
      <c r="AL310" s="663"/>
      <c r="AM310" s="663"/>
      <c r="AN310" s="663"/>
      <c r="AO310" s="663"/>
      <c r="AP310" s="663"/>
      <c r="AQ310" s="663"/>
      <c r="AR310" s="663"/>
      <c r="AS310" s="663"/>
      <c r="AT310" s="663"/>
      <c r="AU310" s="663"/>
      <c r="AV310" s="663"/>
      <c r="AW310" s="663"/>
      <c r="AX310" s="663"/>
      <c r="AY310" s="663"/>
      <c r="AZ310" s="663"/>
      <c r="BA310" s="663"/>
      <c r="BB310" s="663"/>
      <c r="BC310" s="663"/>
      <c r="BD310" s="663"/>
    </row>
    <row r="311" spans="1:56" s="670" customFormat="1" ht="12" customHeight="1">
      <c r="A311" s="675"/>
      <c r="B311" s="679">
        <v>43070</v>
      </c>
      <c r="C311" s="678" t="s">
        <v>654</v>
      </c>
      <c r="D311" s="677">
        <v>225</v>
      </c>
      <c r="E311" s="676"/>
      <c r="F311" s="676"/>
      <c r="G311" s="676"/>
      <c r="H311" s="676"/>
      <c r="I311" s="676"/>
      <c r="J311" s="676"/>
      <c r="K311" s="676"/>
      <c r="L311" s="676"/>
      <c r="M311" s="663"/>
      <c r="N311" s="663"/>
      <c r="O311" s="663"/>
      <c r="P311" s="663"/>
      <c r="Q311" s="663"/>
      <c r="R311" s="663"/>
      <c r="S311" s="663"/>
      <c r="T311" s="663"/>
      <c r="U311" s="663"/>
      <c r="V311" s="663"/>
      <c r="W311" s="663"/>
      <c r="X311" s="663"/>
      <c r="Y311" s="663"/>
      <c r="Z311" s="663"/>
      <c r="AA311" s="663"/>
      <c r="AB311" s="663"/>
      <c r="AC311" s="663"/>
      <c r="AD311" s="663"/>
      <c r="AE311" s="663"/>
      <c r="AF311" s="663"/>
      <c r="AG311" s="663"/>
      <c r="AH311" s="663"/>
      <c r="AI311" s="663"/>
      <c r="AJ311" s="663"/>
      <c r="AK311" s="663"/>
      <c r="AL311" s="663"/>
      <c r="AM311" s="663"/>
      <c r="AN311" s="663"/>
      <c r="AO311" s="663"/>
      <c r="AP311" s="663"/>
      <c r="AQ311" s="663"/>
      <c r="AR311" s="663"/>
      <c r="AS311" s="663"/>
      <c r="AT311" s="663"/>
      <c r="AU311" s="663"/>
      <c r="AV311" s="663"/>
      <c r="AW311" s="663"/>
      <c r="AX311" s="663"/>
      <c r="AY311" s="663"/>
      <c r="AZ311" s="663"/>
      <c r="BA311" s="663"/>
      <c r="BB311" s="663"/>
      <c r="BC311" s="663"/>
      <c r="BD311" s="663"/>
    </row>
    <row r="312" spans="1:56" s="670" customFormat="1" ht="12" customHeight="1">
      <c r="A312" s="675"/>
      <c r="B312" s="679">
        <v>43070</v>
      </c>
      <c r="C312" s="678" t="s">
        <v>540</v>
      </c>
      <c r="D312" s="677">
        <v>65</v>
      </c>
      <c r="E312" s="676"/>
      <c r="F312" s="676"/>
      <c r="G312" s="676"/>
      <c r="H312" s="676"/>
      <c r="I312" s="676"/>
      <c r="J312" s="676"/>
      <c r="K312" s="676"/>
      <c r="L312" s="676"/>
      <c r="M312" s="663"/>
      <c r="N312" s="663"/>
      <c r="O312" s="663"/>
      <c r="P312" s="663"/>
      <c r="Q312" s="663"/>
      <c r="R312" s="663"/>
      <c r="S312" s="663"/>
      <c r="T312" s="663"/>
      <c r="U312" s="663"/>
      <c r="V312" s="663"/>
      <c r="W312" s="663"/>
      <c r="X312" s="663"/>
      <c r="Y312" s="663"/>
      <c r="Z312" s="663"/>
      <c r="AA312" s="663"/>
      <c r="AB312" s="663"/>
      <c r="AC312" s="663"/>
      <c r="AD312" s="663"/>
      <c r="AE312" s="663"/>
      <c r="AF312" s="663"/>
      <c r="AG312" s="663"/>
      <c r="AH312" s="663"/>
      <c r="AI312" s="663"/>
      <c r="AJ312" s="663"/>
      <c r="AK312" s="663"/>
      <c r="AL312" s="663"/>
      <c r="AM312" s="663"/>
      <c r="AN312" s="663"/>
      <c r="AO312" s="663"/>
      <c r="AP312" s="663"/>
      <c r="AQ312" s="663"/>
      <c r="AR312" s="663"/>
      <c r="AS312" s="663"/>
      <c r="AT312" s="663"/>
      <c r="AU312" s="663"/>
      <c r="AV312" s="663"/>
      <c r="AW312" s="663"/>
      <c r="AX312" s="663"/>
      <c r="AY312" s="663"/>
      <c r="AZ312" s="663"/>
      <c r="BA312" s="663"/>
      <c r="BB312" s="663"/>
      <c r="BC312" s="663"/>
      <c r="BD312" s="663"/>
    </row>
    <row r="313" spans="1:56" s="670" customFormat="1" ht="12" customHeight="1">
      <c r="A313" s="675"/>
      <c r="B313" s="679">
        <v>43070</v>
      </c>
      <c r="C313" s="678" t="s">
        <v>217</v>
      </c>
      <c r="D313" s="677">
        <v>40</v>
      </c>
      <c r="E313" s="676"/>
      <c r="F313" s="676"/>
      <c r="G313" s="676"/>
      <c r="H313" s="676"/>
      <c r="I313" s="676"/>
      <c r="J313" s="676"/>
      <c r="K313" s="676"/>
      <c r="L313" s="676"/>
      <c r="M313" s="663"/>
      <c r="N313" s="663"/>
      <c r="O313" s="663"/>
      <c r="P313" s="663"/>
      <c r="Q313" s="663"/>
      <c r="R313" s="663"/>
      <c r="S313" s="663"/>
      <c r="T313" s="663"/>
      <c r="U313" s="663"/>
      <c r="V313" s="663"/>
      <c r="W313" s="663"/>
      <c r="X313" s="663"/>
      <c r="Y313" s="663"/>
      <c r="Z313" s="663"/>
      <c r="AA313" s="663"/>
      <c r="AB313" s="663"/>
      <c r="AC313" s="663"/>
      <c r="AD313" s="663"/>
      <c r="AE313" s="663"/>
      <c r="AF313" s="663"/>
      <c r="AG313" s="663"/>
      <c r="AH313" s="663"/>
      <c r="AI313" s="663"/>
      <c r="AJ313" s="663"/>
      <c r="AK313" s="663"/>
      <c r="AL313" s="663"/>
      <c r="AM313" s="663"/>
      <c r="AN313" s="663"/>
      <c r="AO313" s="663"/>
      <c r="AP313" s="663"/>
      <c r="AQ313" s="663"/>
      <c r="AR313" s="663"/>
      <c r="AS313" s="663"/>
      <c r="AT313" s="663"/>
      <c r="AU313" s="663"/>
      <c r="AV313" s="663"/>
      <c r="AW313" s="663"/>
      <c r="AX313" s="663"/>
      <c r="AY313" s="663"/>
      <c r="AZ313" s="663"/>
      <c r="BA313" s="663"/>
      <c r="BB313" s="663"/>
      <c r="BC313" s="663"/>
      <c r="BD313" s="663"/>
    </row>
    <row r="314" spans="1:56" s="670" customFormat="1" ht="12" customHeight="1">
      <c r="A314" s="675"/>
      <c r="B314" s="679">
        <v>43071</v>
      </c>
      <c r="C314" s="678" t="s">
        <v>615</v>
      </c>
      <c r="D314" s="677">
        <v>115</v>
      </c>
      <c r="E314" s="676"/>
      <c r="F314" s="676"/>
      <c r="G314" s="676"/>
      <c r="H314" s="676"/>
      <c r="I314" s="676"/>
      <c r="J314" s="676"/>
      <c r="K314" s="676"/>
      <c r="L314" s="676"/>
      <c r="M314" s="663"/>
      <c r="N314" s="663"/>
      <c r="O314" s="663"/>
      <c r="P314" s="663"/>
      <c r="Q314" s="663"/>
      <c r="R314" s="663"/>
      <c r="S314" s="663"/>
      <c r="T314" s="663"/>
      <c r="U314" s="663"/>
      <c r="V314" s="663"/>
      <c r="W314" s="663"/>
      <c r="X314" s="663"/>
      <c r="Y314" s="663"/>
      <c r="Z314" s="663"/>
      <c r="AA314" s="663"/>
      <c r="AB314" s="663"/>
      <c r="AC314" s="663"/>
      <c r="AD314" s="663"/>
      <c r="AE314" s="663"/>
      <c r="AF314" s="663"/>
      <c r="AG314" s="663"/>
      <c r="AH314" s="663"/>
      <c r="AI314" s="663"/>
      <c r="AJ314" s="663"/>
      <c r="AK314" s="663"/>
      <c r="AL314" s="663"/>
      <c r="AM314" s="663"/>
      <c r="AN314" s="663"/>
      <c r="AO314" s="663"/>
      <c r="AP314" s="663"/>
      <c r="AQ314" s="663"/>
      <c r="AR314" s="663"/>
      <c r="AS314" s="663"/>
      <c r="AT314" s="663"/>
      <c r="AU314" s="663"/>
      <c r="AV314" s="663"/>
      <c r="AW314" s="663"/>
      <c r="AX314" s="663"/>
      <c r="AY314" s="663"/>
      <c r="AZ314" s="663"/>
      <c r="BA314" s="663"/>
      <c r="BB314" s="663"/>
      <c r="BC314" s="663"/>
      <c r="BD314" s="663"/>
    </row>
    <row r="315" spans="1:56" s="670" customFormat="1" ht="12" customHeight="1">
      <c r="A315" s="675"/>
      <c r="B315" s="679">
        <v>43071</v>
      </c>
      <c r="C315" s="678" t="s">
        <v>992</v>
      </c>
      <c r="D315" s="677">
        <v>333.75</v>
      </c>
      <c r="E315" s="676"/>
      <c r="F315" s="676"/>
      <c r="G315" s="676"/>
      <c r="H315" s="676"/>
      <c r="I315" s="676"/>
      <c r="J315" s="676"/>
      <c r="K315" s="676"/>
      <c r="L315" s="676"/>
      <c r="M315" s="663"/>
      <c r="N315" s="663"/>
      <c r="O315" s="663"/>
      <c r="P315" s="663"/>
      <c r="Q315" s="663"/>
      <c r="R315" s="663"/>
      <c r="S315" s="663"/>
      <c r="T315" s="663"/>
      <c r="U315" s="663"/>
      <c r="V315" s="663"/>
      <c r="W315" s="663"/>
      <c r="X315" s="663"/>
      <c r="Y315" s="663"/>
      <c r="Z315" s="663"/>
      <c r="AA315" s="663"/>
      <c r="AB315" s="663"/>
      <c r="AC315" s="663"/>
      <c r="AD315" s="663"/>
      <c r="AE315" s="663"/>
      <c r="AF315" s="663"/>
      <c r="AG315" s="663"/>
      <c r="AH315" s="663"/>
      <c r="AI315" s="663"/>
      <c r="AJ315" s="663"/>
      <c r="AK315" s="663"/>
      <c r="AL315" s="663"/>
      <c r="AM315" s="663"/>
      <c r="AN315" s="663"/>
      <c r="AO315" s="663"/>
      <c r="AP315" s="663"/>
      <c r="AQ315" s="663"/>
      <c r="AR315" s="663"/>
      <c r="AS315" s="663"/>
      <c r="AT315" s="663"/>
      <c r="AU315" s="663"/>
      <c r="AV315" s="663"/>
      <c r="AW315" s="663"/>
      <c r="AX315" s="663"/>
      <c r="AY315" s="663"/>
      <c r="AZ315" s="663"/>
      <c r="BA315" s="663"/>
      <c r="BB315" s="663"/>
      <c r="BC315" s="663"/>
      <c r="BD315" s="663"/>
    </row>
    <row r="316" spans="1:56" s="670" customFormat="1" ht="12" customHeight="1">
      <c r="A316" s="675"/>
      <c r="B316" s="679">
        <v>43072</v>
      </c>
      <c r="C316" s="678" t="s">
        <v>991</v>
      </c>
      <c r="D316" s="677">
        <v>-300</v>
      </c>
      <c r="E316" s="676"/>
      <c r="F316" s="676"/>
      <c r="G316" s="676"/>
      <c r="H316" s="676"/>
      <c r="I316" s="676"/>
      <c r="J316" s="676"/>
      <c r="K316" s="676"/>
      <c r="L316" s="676"/>
      <c r="M316" s="663"/>
      <c r="N316" s="663"/>
      <c r="O316" s="663"/>
      <c r="P316" s="663"/>
      <c r="Q316" s="663"/>
      <c r="R316" s="663"/>
      <c r="S316" s="663"/>
      <c r="T316" s="663"/>
      <c r="U316" s="663"/>
      <c r="V316" s="663"/>
      <c r="W316" s="663"/>
      <c r="X316" s="663"/>
      <c r="Y316" s="663"/>
      <c r="Z316" s="663"/>
      <c r="AA316" s="663"/>
      <c r="AB316" s="663"/>
      <c r="AC316" s="663"/>
      <c r="AD316" s="663"/>
      <c r="AE316" s="663"/>
      <c r="AF316" s="663"/>
      <c r="AG316" s="663"/>
      <c r="AH316" s="663"/>
      <c r="AI316" s="663"/>
      <c r="AJ316" s="663"/>
      <c r="AK316" s="663"/>
      <c r="AL316" s="663"/>
      <c r="AM316" s="663"/>
      <c r="AN316" s="663"/>
      <c r="AO316" s="663"/>
      <c r="AP316" s="663"/>
      <c r="AQ316" s="663"/>
      <c r="AR316" s="663"/>
      <c r="AS316" s="663"/>
      <c r="AT316" s="663"/>
      <c r="AU316" s="663"/>
      <c r="AV316" s="663"/>
      <c r="AW316" s="663"/>
      <c r="AX316" s="663"/>
      <c r="AY316" s="663"/>
      <c r="AZ316" s="663"/>
      <c r="BA316" s="663"/>
      <c r="BB316" s="663"/>
      <c r="BC316" s="663"/>
      <c r="BD316" s="663"/>
    </row>
    <row r="317" spans="1:56" s="670" customFormat="1" ht="12" customHeight="1">
      <c r="A317" s="675"/>
      <c r="B317" s="679">
        <v>43075</v>
      </c>
      <c r="C317" s="678" t="s">
        <v>186</v>
      </c>
      <c r="D317" s="677">
        <v>30</v>
      </c>
      <c r="E317" s="676"/>
      <c r="F317" s="676"/>
      <c r="G317" s="676"/>
      <c r="H317" s="676">
        <v>30</v>
      </c>
      <c r="I317" s="676"/>
      <c r="J317" s="676"/>
      <c r="K317" s="676"/>
      <c r="L317" s="676"/>
      <c r="M317" s="663"/>
      <c r="N317" s="663"/>
      <c r="O317" s="663"/>
      <c r="P317" s="663"/>
      <c r="Q317" s="663"/>
      <c r="R317" s="663"/>
      <c r="S317" s="663"/>
      <c r="T317" s="663"/>
      <c r="U317" s="663"/>
      <c r="V317" s="663"/>
      <c r="W317" s="663"/>
      <c r="X317" s="663"/>
      <c r="Y317" s="663"/>
      <c r="Z317" s="663"/>
      <c r="AA317" s="663"/>
      <c r="AB317" s="663"/>
      <c r="AC317" s="663"/>
      <c r="AD317" s="663"/>
      <c r="AE317" s="663"/>
      <c r="AF317" s="663"/>
      <c r="AG317" s="663"/>
      <c r="AH317" s="663"/>
      <c r="AI317" s="663"/>
      <c r="AJ317" s="663"/>
      <c r="AK317" s="663"/>
      <c r="AL317" s="663"/>
      <c r="AM317" s="663"/>
      <c r="AN317" s="663"/>
      <c r="AO317" s="663"/>
      <c r="AP317" s="663"/>
      <c r="AQ317" s="663"/>
      <c r="AR317" s="663"/>
      <c r="AS317" s="663"/>
      <c r="AT317" s="663"/>
      <c r="AU317" s="663"/>
      <c r="AV317" s="663"/>
      <c r="AW317" s="663"/>
      <c r="AX317" s="663"/>
      <c r="AY317" s="663"/>
      <c r="AZ317" s="663"/>
      <c r="BA317" s="663"/>
      <c r="BB317" s="663"/>
      <c r="BC317" s="663"/>
      <c r="BD317" s="663"/>
    </row>
    <row r="318" spans="1:56" s="670" customFormat="1" ht="12" customHeight="1">
      <c r="A318" s="675"/>
      <c r="B318" s="679">
        <v>43077</v>
      </c>
      <c r="C318" s="678" t="s">
        <v>58</v>
      </c>
      <c r="D318" s="677">
        <v>400</v>
      </c>
      <c r="E318" s="676"/>
      <c r="F318" s="676"/>
      <c r="G318" s="676"/>
      <c r="H318" s="676"/>
      <c r="I318" s="676"/>
      <c r="J318" s="676"/>
      <c r="K318" s="676"/>
      <c r="L318" s="676"/>
      <c r="M318" s="663"/>
      <c r="N318" s="663"/>
      <c r="O318" s="663"/>
      <c r="P318" s="663"/>
      <c r="Q318" s="663"/>
      <c r="R318" s="663"/>
      <c r="S318" s="663"/>
      <c r="T318" s="663"/>
      <c r="U318" s="663"/>
      <c r="V318" s="663"/>
      <c r="W318" s="663"/>
      <c r="X318" s="663"/>
      <c r="Y318" s="663"/>
      <c r="Z318" s="663"/>
      <c r="AA318" s="663"/>
      <c r="AB318" s="663"/>
      <c r="AC318" s="663"/>
      <c r="AD318" s="663"/>
      <c r="AE318" s="663"/>
      <c r="AF318" s="663"/>
      <c r="AG318" s="663"/>
      <c r="AH318" s="663"/>
      <c r="AI318" s="663"/>
      <c r="AJ318" s="663"/>
      <c r="AK318" s="663"/>
      <c r="AL318" s="663"/>
      <c r="AM318" s="663"/>
      <c r="AN318" s="663"/>
      <c r="AO318" s="663"/>
      <c r="AP318" s="663"/>
      <c r="AQ318" s="663"/>
      <c r="AR318" s="663"/>
      <c r="AS318" s="663"/>
      <c r="AT318" s="663"/>
      <c r="AU318" s="663"/>
      <c r="AV318" s="663"/>
      <c r="AW318" s="663"/>
      <c r="AX318" s="663"/>
      <c r="AY318" s="663"/>
      <c r="AZ318" s="663"/>
      <c r="BA318" s="663"/>
      <c r="BB318" s="663"/>
      <c r="BC318" s="663"/>
      <c r="BD318" s="663"/>
    </row>
    <row r="319" spans="1:56" s="670" customFormat="1" ht="12" customHeight="1">
      <c r="A319" s="675"/>
      <c r="B319" s="679">
        <v>43078</v>
      </c>
      <c r="C319" s="678" t="s">
        <v>990</v>
      </c>
      <c r="D319" s="677">
        <v>900</v>
      </c>
      <c r="E319" s="676"/>
      <c r="F319" s="676"/>
      <c r="G319" s="676"/>
      <c r="H319" s="676"/>
      <c r="I319" s="676"/>
      <c r="J319" s="676"/>
      <c r="K319" s="676"/>
      <c r="L319" s="676"/>
      <c r="M319" s="663"/>
      <c r="N319" s="663"/>
      <c r="O319" s="663"/>
      <c r="P319" s="663"/>
      <c r="Q319" s="663"/>
      <c r="R319" s="663"/>
      <c r="S319" s="663"/>
      <c r="T319" s="663"/>
      <c r="U319" s="663"/>
      <c r="V319" s="663"/>
      <c r="W319" s="663"/>
      <c r="X319" s="663"/>
      <c r="Y319" s="663"/>
      <c r="Z319" s="663"/>
      <c r="AA319" s="663"/>
      <c r="AB319" s="663"/>
      <c r="AC319" s="663"/>
      <c r="AD319" s="663"/>
      <c r="AE319" s="663"/>
      <c r="AF319" s="663"/>
      <c r="AG319" s="663"/>
      <c r="AH319" s="663"/>
      <c r="AI319" s="663"/>
      <c r="AJ319" s="663"/>
      <c r="AK319" s="663"/>
      <c r="AL319" s="663"/>
      <c r="AM319" s="663"/>
      <c r="AN319" s="663"/>
      <c r="AO319" s="663"/>
      <c r="AP319" s="663"/>
      <c r="AQ319" s="663"/>
      <c r="AR319" s="663"/>
      <c r="AS319" s="663"/>
      <c r="AT319" s="663"/>
      <c r="AU319" s="663"/>
      <c r="AV319" s="663"/>
      <c r="AW319" s="663"/>
      <c r="AX319" s="663"/>
      <c r="AY319" s="663"/>
      <c r="AZ319" s="663"/>
      <c r="BA319" s="663"/>
      <c r="BB319" s="663"/>
      <c r="BC319" s="663"/>
      <c r="BD319" s="663"/>
    </row>
    <row r="320" spans="1:56" s="670" customFormat="1" ht="12" customHeight="1">
      <c r="A320" s="675"/>
      <c r="B320" s="679">
        <v>43078</v>
      </c>
      <c r="C320" s="678" t="s">
        <v>680</v>
      </c>
      <c r="D320" s="677">
        <v>-150</v>
      </c>
      <c r="E320" s="676"/>
      <c r="F320" s="676"/>
      <c r="G320" s="676"/>
      <c r="H320" s="676"/>
      <c r="I320" s="676"/>
      <c r="J320" s="676"/>
      <c r="K320" s="676"/>
      <c r="L320" s="676">
        <v>150</v>
      </c>
      <c r="M320" s="663"/>
      <c r="N320" s="663"/>
      <c r="O320" s="663"/>
      <c r="P320" s="663"/>
      <c r="Q320" s="663"/>
      <c r="R320" s="663"/>
      <c r="S320" s="663"/>
      <c r="T320" s="663"/>
      <c r="U320" s="663"/>
      <c r="V320" s="663"/>
      <c r="W320" s="663"/>
      <c r="X320" s="663"/>
      <c r="Y320" s="663"/>
      <c r="Z320" s="663"/>
      <c r="AA320" s="663"/>
      <c r="AB320" s="663"/>
      <c r="AC320" s="663"/>
      <c r="AD320" s="663"/>
      <c r="AE320" s="663"/>
      <c r="AF320" s="663"/>
      <c r="AG320" s="663"/>
      <c r="AH320" s="663"/>
      <c r="AI320" s="663"/>
      <c r="AJ320" s="663"/>
      <c r="AK320" s="663"/>
      <c r="AL320" s="663"/>
      <c r="AM320" s="663"/>
      <c r="AN320" s="663"/>
      <c r="AO320" s="663"/>
      <c r="AP320" s="663"/>
      <c r="AQ320" s="663"/>
      <c r="AR320" s="663"/>
      <c r="AS320" s="663"/>
      <c r="AT320" s="663"/>
      <c r="AU320" s="663"/>
      <c r="AV320" s="663"/>
      <c r="AW320" s="663"/>
      <c r="AX320" s="663"/>
      <c r="AY320" s="663"/>
      <c r="AZ320" s="663"/>
      <c r="BA320" s="663"/>
      <c r="BB320" s="663"/>
      <c r="BC320" s="663"/>
      <c r="BD320" s="663"/>
    </row>
    <row r="321" spans="1:56" s="670" customFormat="1" ht="12" customHeight="1">
      <c r="A321" s="675"/>
      <c r="B321" s="679">
        <v>43081</v>
      </c>
      <c r="C321" s="678" t="s">
        <v>989</v>
      </c>
      <c r="D321" s="677">
        <v>100</v>
      </c>
      <c r="E321" s="676"/>
      <c r="F321" s="676"/>
      <c r="G321" s="676"/>
      <c r="H321" s="676"/>
      <c r="I321" s="676"/>
      <c r="J321" s="676"/>
      <c r="K321" s="676"/>
      <c r="L321" s="676"/>
      <c r="M321" s="663"/>
      <c r="N321" s="663"/>
      <c r="O321" s="663"/>
      <c r="P321" s="663"/>
      <c r="Q321" s="663"/>
      <c r="R321" s="663"/>
      <c r="S321" s="663"/>
      <c r="T321" s="663"/>
      <c r="U321" s="663"/>
      <c r="V321" s="663"/>
      <c r="W321" s="663"/>
      <c r="X321" s="663"/>
      <c r="Y321" s="663"/>
      <c r="Z321" s="663"/>
      <c r="AA321" s="663"/>
      <c r="AB321" s="663"/>
      <c r="AC321" s="663"/>
      <c r="AD321" s="663"/>
      <c r="AE321" s="663"/>
      <c r="AF321" s="663"/>
      <c r="AG321" s="663"/>
      <c r="AH321" s="663"/>
      <c r="AI321" s="663"/>
      <c r="AJ321" s="663"/>
      <c r="AK321" s="663"/>
      <c r="AL321" s="663"/>
      <c r="AM321" s="663"/>
      <c r="AN321" s="663"/>
      <c r="AO321" s="663"/>
      <c r="AP321" s="663"/>
      <c r="AQ321" s="663"/>
      <c r="AR321" s="663"/>
      <c r="AS321" s="663"/>
      <c r="AT321" s="663"/>
      <c r="AU321" s="663"/>
      <c r="AV321" s="663"/>
      <c r="AW321" s="663"/>
      <c r="AX321" s="663"/>
      <c r="AY321" s="663"/>
      <c r="AZ321" s="663"/>
      <c r="BA321" s="663"/>
      <c r="BB321" s="663"/>
      <c r="BC321" s="663"/>
      <c r="BD321" s="663"/>
    </row>
    <row r="322" spans="1:56" s="670" customFormat="1" ht="12" customHeight="1">
      <c r="A322" s="675"/>
      <c r="B322" s="679">
        <v>43082</v>
      </c>
      <c r="C322" s="678" t="s">
        <v>216</v>
      </c>
      <c r="D322" s="677">
        <v>220</v>
      </c>
      <c r="E322" s="676">
        <v>220</v>
      </c>
      <c r="F322" s="676"/>
      <c r="G322" s="676"/>
      <c r="H322" s="676"/>
      <c r="I322" s="676"/>
      <c r="J322" s="676"/>
      <c r="K322" s="676"/>
      <c r="L322" s="676"/>
      <c r="M322" s="663"/>
      <c r="N322" s="663"/>
      <c r="O322" s="663"/>
      <c r="P322" s="663"/>
      <c r="Q322" s="663"/>
      <c r="R322" s="663"/>
      <c r="S322" s="663"/>
      <c r="T322" s="663"/>
      <c r="U322" s="663"/>
      <c r="V322" s="663"/>
      <c r="W322" s="663"/>
      <c r="X322" s="663"/>
      <c r="Y322" s="663"/>
      <c r="Z322" s="663"/>
      <c r="AA322" s="663"/>
      <c r="AB322" s="663"/>
      <c r="AC322" s="663"/>
      <c r="AD322" s="663"/>
      <c r="AE322" s="663"/>
      <c r="AF322" s="663"/>
      <c r="AG322" s="663"/>
      <c r="AH322" s="663"/>
      <c r="AI322" s="663"/>
      <c r="AJ322" s="663"/>
      <c r="AK322" s="663"/>
      <c r="AL322" s="663"/>
      <c r="AM322" s="663"/>
      <c r="AN322" s="663"/>
      <c r="AO322" s="663"/>
      <c r="AP322" s="663"/>
      <c r="AQ322" s="663"/>
      <c r="AR322" s="663"/>
      <c r="AS322" s="663"/>
      <c r="AT322" s="663"/>
      <c r="AU322" s="663"/>
      <c r="AV322" s="663"/>
      <c r="AW322" s="663"/>
      <c r="AX322" s="663"/>
      <c r="AY322" s="663"/>
      <c r="AZ322" s="663"/>
      <c r="BA322" s="663"/>
      <c r="BB322" s="663"/>
      <c r="BC322" s="663"/>
      <c r="BD322" s="663"/>
    </row>
    <row r="323" spans="1:56" s="670" customFormat="1" ht="12" customHeight="1">
      <c r="A323" s="675"/>
      <c r="B323" s="679">
        <v>43082</v>
      </c>
      <c r="C323" s="678" t="s">
        <v>988</v>
      </c>
      <c r="D323" s="677">
        <v>400</v>
      </c>
      <c r="E323" s="676"/>
      <c r="F323" s="676"/>
      <c r="G323" s="676"/>
      <c r="H323" s="676"/>
      <c r="I323" s="676"/>
      <c r="J323" s="676"/>
      <c r="K323" s="676"/>
      <c r="L323" s="676"/>
      <c r="M323" s="663"/>
      <c r="N323" s="663"/>
      <c r="O323" s="663"/>
      <c r="P323" s="663"/>
      <c r="Q323" s="663"/>
      <c r="R323" s="663"/>
      <c r="S323" s="663"/>
      <c r="T323" s="663"/>
      <c r="U323" s="663"/>
      <c r="V323" s="663"/>
      <c r="W323" s="663"/>
      <c r="X323" s="663"/>
      <c r="Y323" s="663"/>
      <c r="Z323" s="663"/>
      <c r="AA323" s="663"/>
      <c r="AB323" s="663"/>
      <c r="AC323" s="663"/>
      <c r="AD323" s="663"/>
      <c r="AE323" s="663"/>
      <c r="AF323" s="663"/>
      <c r="AG323" s="663"/>
      <c r="AH323" s="663"/>
      <c r="AI323" s="663"/>
      <c r="AJ323" s="663"/>
      <c r="AK323" s="663"/>
      <c r="AL323" s="663"/>
      <c r="AM323" s="663"/>
      <c r="AN323" s="663"/>
      <c r="AO323" s="663"/>
      <c r="AP323" s="663"/>
      <c r="AQ323" s="663"/>
      <c r="AR323" s="663"/>
      <c r="AS323" s="663"/>
      <c r="AT323" s="663"/>
      <c r="AU323" s="663"/>
      <c r="AV323" s="663"/>
      <c r="AW323" s="663"/>
      <c r="AX323" s="663"/>
      <c r="AY323" s="663"/>
      <c r="AZ323" s="663"/>
      <c r="BA323" s="663"/>
      <c r="BB323" s="663"/>
      <c r="BC323" s="663"/>
      <c r="BD323" s="663"/>
    </row>
    <row r="324" spans="1:56" s="670" customFormat="1" ht="12" customHeight="1">
      <c r="A324" s="675"/>
      <c r="B324" s="679">
        <v>43082</v>
      </c>
      <c r="C324" s="678" t="s">
        <v>987</v>
      </c>
      <c r="D324" s="677">
        <v>450</v>
      </c>
      <c r="E324" s="676"/>
      <c r="F324" s="676"/>
      <c r="G324" s="676"/>
      <c r="H324" s="676"/>
      <c r="I324" s="676"/>
      <c r="J324" s="676"/>
      <c r="K324" s="676"/>
      <c r="L324" s="676"/>
      <c r="M324" s="663"/>
      <c r="N324" s="663"/>
      <c r="O324" s="663"/>
      <c r="P324" s="663"/>
      <c r="Q324" s="663"/>
      <c r="R324" s="663"/>
      <c r="S324" s="663"/>
      <c r="T324" s="663"/>
      <c r="U324" s="663"/>
      <c r="V324" s="663"/>
      <c r="W324" s="663"/>
      <c r="X324" s="663"/>
      <c r="Y324" s="663"/>
      <c r="Z324" s="663"/>
      <c r="AA324" s="663"/>
      <c r="AB324" s="663"/>
      <c r="AC324" s="663"/>
      <c r="AD324" s="663"/>
      <c r="AE324" s="663"/>
      <c r="AF324" s="663"/>
      <c r="AG324" s="663"/>
      <c r="AH324" s="663"/>
      <c r="AI324" s="663"/>
      <c r="AJ324" s="663"/>
      <c r="AK324" s="663"/>
      <c r="AL324" s="663"/>
      <c r="AM324" s="663"/>
      <c r="AN324" s="663"/>
      <c r="AO324" s="663"/>
      <c r="AP324" s="663"/>
      <c r="AQ324" s="663"/>
      <c r="AR324" s="663"/>
      <c r="AS324" s="663"/>
      <c r="AT324" s="663"/>
      <c r="AU324" s="663"/>
      <c r="AV324" s="663"/>
      <c r="AW324" s="663"/>
      <c r="AX324" s="663"/>
      <c r="AY324" s="663"/>
      <c r="AZ324" s="663"/>
      <c r="BA324" s="663"/>
      <c r="BB324" s="663"/>
      <c r="BC324" s="663"/>
      <c r="BD324" s="663"/>
    </row>
    <row r="325" spans="1:56" s="670" customFormat="1" ht="12" customHeight="1">
      <c r="A325" s="675"/>
      <c r="B325" s="679">
        <v>43082</v>
      </c>
      <c r="C325" s="678" t="s">
        <v>986</v>
      </c>
      <c r="D325" s="677">
        <v>437</v>
      </c>
      <c r="E325" s="676"/>
      <c r="F325" s="676"/>
      <c r="G325" s="676"/>
      <c r="H325" s="676"/>
      <c r="I325" s="676"/>
      <c r="J325" s="676"/>
      <c r="K325" s="676"/>
      <c r="L325" s="676"/>
      <c r="M325" s="663"/>
      <c r="N325" s="663"/>
      <c r="O325" s="663"/>
      <c r="P325" s="663"/>
      <c r="Q325" s="663"/>
      <c r="R325" s="663"/>
      <c r="S325" s="663"/>
      <c r="T325" s="663"/>
      <c r="U325" s="663"/>
      <c r="V325" s="663"/>
      <c r="W325" s="663"/>
      <c r="X325" s="663"/>
      <c r="Y325" s="663"/>
      <c r="Z325" s="663"/>
      <c r="AA325" s="663"/>
      <c r="AB325" s="663"/>
      <c r="AC325" s="663"/>
      <c r="AD325" s="663"/>
      <c r="AE325" s="663"/>
      <c r="AF325" s="663"/>
      <c r="AG325" s="663"/>
      <c r="AH325" s="663"/>
      <c r="AI325" s="663"/>
      <c r="AJ325" s="663"/>
      <c r="AK325" s="663"/>
      <c r="AL325" s="663"/>
      <c r="AM325" s="663"/>
      <c r="AN325" s="663"/>
      <c r="AO325" s="663"/>
      <c r="AP325" s="663"/>
      <c r="AQ325" s="663"/>
      <c r="AR325" s="663"/>
      <c r="AS325" s="663"/>
      <c r="AT325" s="663"/>
      <c r="AU325" s="663"/>
      <c r="AV325" s="663"/>
      <c r="AW325" s="663"/>
      <c r="AX325" s="663"/>
      <c r="AY325" s="663"/>
      <c r="AZ325" s="663"/>
      <c r="BA325" s="663"/>
      <c r="BB325" s="663"/>
      <c r="BC325" s="663"/>
      <c r="BD325" s="663"/>
    </row>
    <row r="326" spans="1:56" s="670" customFormat="1" ht="12" customHeight="1">
      <c r="A326" s="675"/>
      <c r="B326" s="679">
        <v>43082</v>
      </c>
      <c r="C326" s="678" t="s">
        <v>985</v>
      </c>
      <c r="D326" s="677">
        <v>80</v>
      </c>
      <c r="E326" s="676"/>
      <c r="F326" s="676"/>
      <c r="G326" s="676"/>
      <c r="H326" s="676"/>
      <c r="I326" s="676"/>
      <c r="J326" s="676"/>
      <c r="K326" s="676"/>
      <c r="L326" s="676"/>
      <c r="M326" s="663"/>
      <c r="N326" s="663"/>
      <c r="O326" s="663"/>
      <c r="P326" s="663"/>
      <c r="Q326" s="663"/>
      <c r="R326" s="663"/>
      <c r="S326" s="663"/>
      <c r="T326" s="663"/>
      <c r="U326" s="663"/>
      <c r="V326" s="663"/>
      <c r="W326" s="663"/>
      <c r="X326" s="663"/>
      <c r="Y326" s="663"/>
      <c r="Z326" s="663"/>
      <c r="AA326" s="663"/>
      <c r="AB326" s="663"/>
      <c r="AC326" s="663"/>
      <c r="AD326" s="663"/>
      <c r="AE326" s="663"/>
      <c r="AF326" s="663"/>
      <c r="AG326" s="663"/>
      <c r="AH326" s="663"/>
      <c r="AI326" s="663"/>
      <c r="AJ326" s="663"/>
      <c r="AK326" s="663"/>
      <c r="AL326" s="663"/>
      <c r="AM326" s="663"/>
      <c r="AN326" s="663"/>
      <c r="AO326" s="663"/>
      <c r="AP326" s="663"/>
      <c r="AQ326" s="663"/>
      <c r="AR326" s="663"/>
      <c r="AS326" s="663"/>
      <c r="AT326" s="663"/>
      <c r="AU326" s="663"/>
      <c r="AV326" s="663"/>
      <c r="AW326" s="663"/>
      <c r="AX326" s="663"/>
      <c r="AY326" s="663"/>
      <c r="AZ326" s="663"/>
      <c r="BA326" s="663"/>
      <c r="BB326" s="663"/>
      <c r="BC326" s="663"/>
      <c r="BD326" s="663"/>
    </row>
    <row r="327" spans="1:56" s="670" customFormat="1" ht="12" customHeight="1">
      <c r="A327" s="675"/>
      <c r="B327" s="679">
        <v>43086</v>
      </c>
      <c r="C327" s="678" t="s">
        <v>984</v>
      </c>
      <c r="D327" s="677">
        <v>39</v>
      </c>
      <c r="E327" s="676"/>
      <c r="F327" s="676"/>
      <c r="G327" s="676"/>
      <c r="H327" s="676"/>
      <c r="I327" s="676"/>
      <c r="J327" s="676"/>
      <c r="K327" s="676"/>
      <c r="L327" s="676"/>
      <c r="M327" s="663"/>
      <c r="N327" s="663"/>
      <c r="O327" s="663"/>
      <c r="P327" s="663"/>
      <c r="Q327" s="663"/>
      <c r="R327" s="663"/>
      <c r="S327" s="663"/>
      <c r="T327" s="663"/>
      <c r="U327" s="663"/>
      <c r="V327" s="663"/>
      <c r="W327" s="663"/>
      <c r="X327" s="663"/>
      <c r="Y327" s="663"/>
      <c r="Z327" s="663"/>
      <c r="AA327" s="663"/>
      <c r="AB327" s="663"/>
      <c r="AC327" s="663"/>
      <c r="AD327" s="663"/>
      <c r="AE327" s="663"/>
      <c r="AF327" s="663"/>
      <c r="AG327" s="663"/>
      <c r="AH327" s="663"/>
      <c r="AI327" s="663"/>
      <c r="AJ327" s="663"/>
      <c r="AK327" s="663"/>
      <c r="AL327" s="663"/>
      <c r="AM327" s="663"/>
      <c r="AN327" s="663"/>
      <c r="AO327" s="663"/>
      <c r="AP327" s="663"/>
      <c r="AQ327" s="663"/>
      <c r="AR327" s="663"/>
      <c r="AS327" s="663"/>
      <c r="AT327" s="663"/>
      <c r="AU327" s="663"/>
      <c r="AV327" s="663"/>
      <c r="AW327" s="663"/>
      <c r="AX327" s="663"/>
      <c r="AY327" s="663"/>
      <c r="AZ327" s="663"/>
      <c r="BA327" s="663"/>
      <c r="BB327" s="663"/>
      <c r="BC327" s="663"/>
      <c r="BD327" s="663"/>
    </row>
    <row r="328" spans="1:56" s="670" customFormat="1" ht="12" customHeight="1">
      <c r="A328" s="675"/>
      <c r="B328" s="679">
        <v>43086</v>
      </c>
      <c r="C328" s="678" t="s">
        <v>983</v>
      </c>
      <c r="D328" s="677">
        <v>49</v>
      </c>
      <c r="E328" s="676"/>
      <c r="F328" s="676"/>
      <c r="G328" s="676"/>
      <c r="H328" s="676"/>
      <c r="I328" s="676"/>
      <c r="J328" s="676"/>
      <c r="K328" s="676"/>
      <c r="L328" s="676"/>
      <c r="M328" s="663"/>
      <c r="N328" s="663"/>
      <c r="O328" s="663"/>
      <c r="P328" s="663"/>
      <c r="Q328" s="663"/>
      <c r="R328" s="663"/>
      <c r="S328" s="663"/>
      <c r="T328" s="663"/>
      <c r="U328" s="663"/>
      <c r="V328" s="663"/>
      <c r="W328" s="663"/>
      <c r="X328" s="663"/>
      <c r="Y328" s="663"/>
      <c r="Z328" s="663"/>
      <c r="AA328" s="663"/>
      <c r="AB328" s="663"/>
      <c r="AC328" s="663"/>
      <c r="AD328" s="663"/>
      <c r="AE328" s="663"/>
      <c r="AF328" s="663"/>
      <c r="AG328" s="663"/>
      <c r="AH328" s="663"/>
      <c r="AI328" s="663"/>
      <c r="AJ328" s="663"/>
      <c r="AK328" s="663"/>
      <c r="AL328" s="663"/>
      <c r="AM328" s="663"/>
      <c r="AN328" s="663"/>
      <c r="AO328" s="663"/>
      <c r="AP328" s="663"/>
      <c r="AQ328" s="663"/>
      <c r="AR328" s="663"/>
      <c r="AS328" s="663"/>
      <c r="AT328" s="663"/>
      <c r="AU328" s="663"/>
      <c r="AV328" s="663"/>
      <c r="AW328" s="663"/>
      <c r="AX328" s="663"/>
      <c r="AY328" s="663"/>
      <c r="AZ328" s="663"/>
      <c r="BA328" s="663"/>
      <c r="BB328" s="663"/>
      <c r="BC328" s="663"/>
      <c r="BD328" s="663"/>
    </row>
    <row r="329" spans="1:56" s="670" customFormat="1" ht="12" customHeight="1">
      <c r="A329" s="675"/>
      <c r="B329" s="679">
        <v>43088</v>
      </c>
      <c r="C329" s="678" t="s">
        <v>982</v>
      </c>
      <c r="D329" s="677">
        <v>768.9</v>
      </c>
      <c r="E329" s="676"/>
      <c r="F329" s="676"/>
      <c r="G329" s="676"/>
      <c r="H329" s="676"/>
      <c r="I329" s="676"/>
      <c r="J329" s="676"/>
      <c r="K329" s="676"/>
      <c r="L329" s="676"/>
      <c r="M329" s="663"/>
      <c r="N329" s="663"/>
      <c r="O329" s="663"/>
      <c r="P329" s="663"/>
      <c r="Q329" s="663"/>
      <c r="R329" s="663"/>
      <c r="S329" s="663"/>
      <c r="T329" s="663"/>
      <c r="U329" s="663"/>
      <c r="V329" s="663"/>
      <c r="W329" s="663"/>
      <c r="X329" s="663"/>
      <c r="Y329" s="663"/>
      <c r="Z329" s="663"/>
      <c r="AA329" s="663"/>
      <c r="AB329" s="663"/>
      <c r="AC329" s="663"/>
      <c r="AD329" s="663"/>
      <c r="AE329" s="663"/>
      <c r="AF329" s="663"/>
      <c r="AG329" s="663"/>
      <c r="AH329" s="663"/>
      <c r="AI329" s="663"/>
      <c r="AJ329" s="663"/>
      <c r="AK329" s="663"/>
      <c r="AL329" s="663"/>
      <c r="AM329" s="663"/>
      <c r="AN329" s="663"/>
      <c r="AO329" s="663"/>
      <c r="AP329" s="663"/>
      <c r="AQ329" s="663"/>
      <c r="AR329" s="663"/>
      <c r="AS329" s="663"/>
      <c r="AT329" s="663"/>
      <c r="AU329" s="663"/>
      <c r="AV329" s="663"/>
      <c r="AW329" s="663"/>
      <c r="AX329" s="663"/>
      <c r="AY329" s="663"/>
      <c r="AZ329" s="663"/>
      <c r="BA329" s="663"/>
      <c r="BB329" s="663"/>
      <c r="BC329" s="663"/>
      <c r="BD329" s="663"/>
    </row>
    <row r="330" spans="1:56" s="670" customFormat="1" ht="12" customHeight="1">
      <c r="A330" s="675"/>
      <c r="B330" s="679">
        <v>43088</v>
      </c>
      <c r="C330" s="678" t="s">
        <v>12</v>
      </c>
      <c r="D330" s="677">
        <v>349</v>
      </c>
      <c r="E330" s="676"/>
      <c r="F330" s="676"/>
      <c r="G330" s="676"/>
      <c r="H330" s="676"/>
      <c r="I330" s="676"/>
      <c r="J330" s="676"/>
      <c r="K330" s="676"/>
      <c r="L330" s="676"/>
      <c r="M330" s="663"/>
      <c r="N330" s="663"/>
      <c r="O330" s="663"/>
      <c r="P330" s="663"/>
      <c r="Q330" s="663"/>
      <c r="R330" s="663"/>
      <c r="S330" s="663"/>
      <c r="T330" s="663"/>
      <c r="U330" s="663"/>
      <c r="V330" s="663"/>
      <c r="W330" s="663"/>
      <c r="X330" s="663"/>
      <c r="Y330" s="663"/>
      <c r="Z330" s="663"/>
      <c r="AA330" s="663"/>
      <c r="AB330" s="663"/>
      <c r="AC330" s="663"/>
      <c r="AD330" s="663"/>
      <c r="AE330" s="663"/>
      <c r="AF330" s="663"/>
      <c r="AG330" s="663"/>
      <c r="AH330" s="663"/>
      <c r="AI330" s="663"/>
      <c r="AJ330" s="663"/>
      <c r="AK330" s="663"/>
      <c r="AL330" s="663"/>
      <c r="AM330" s="663"/>
      <c r="AN330" s="663"/>
      <c r="AO330" s="663"/>
      <c r="AP330" s="663"/>
      <c r="AQ330" s="663"/>
      <c r="AR330" s="663"/>
      <c r="AS330" s="663"/>
      <c r="AT330" s="663"/>
      <c r="AU330" s="663"/>
      <c r="AV330" s="663"/>
      <c r="AW330" s="663"/>
      <c r="AX330" s="663"/>
      <c r="AY330" s="663"/>
      <c r="AZ330" s="663"/>
      <c r="BA330" s="663"/>
      <c r="BB330" s="663"/>
      <c r="BC330" s="663"/>
      <c r="BD330" s="663"/>
    </row>
    <row r="331" spans="1:56" s="670" customFormat="1" ht="12" customHeight="1">
      <c r="A331" s="675"/>
      <c r="B331" s="679">
        <v>43088</v>
      </c>
      <c r="C331" s="678" t="s">
        <v>178</v>
      </c>
      <c r="D331" s="677">
        <v>250</v>
      </c>
      <c r="E331" s="676"/>
      <c r="F331" s="676"/>
      <c r="G331" s="676"/>
      <c r="H331" s="676"/>
      <c r="I331" s="676"/>
      <c r="J331" s="676"/>
      <c r="K331" s="676"/>
      <c r="L331" s="676"/>
      <c r="M331" s="663"/>
      <c r="N331" s="663"/>
      <c r="O331" s="663"/>
      <c r="P331" s="663"/>
      <c r="Q331" s="663"/>
      <c r="R331" s="663"/>
      <c r="S331" s="663"/>
      <c r="T331" s="663"/>
      <c r="U331" s="663"/>
      <c r="V331" s="663"/>
      <c r="W331" s="663"/>
      <c r="X331" s="663"/>
      <c r="Y331" s="663"/>
      <c r="Z331" s="663"/>
      <c r="AA331" s="663"/>
      <c r="AB331" s="663"/>
      <c r="AC331" s="663"/>
      <c r="AD331" s="663"/>
      <c r="AE331" s="663"/>
      <c r="AF331" s="663"/>
      <c r="AG331" s="663"/>
      <c r="AH331" s="663"/>
      <c r="AI331" s="663"/>
      <c r="AJ331" s="663"/>
      <c r="AK331" s="663"/>
      <c r="AL331" s="663"/>
      <c r="AM331" s="663"/>
      <c r="AN331" s="663"/>
      <c r="AO331" s="663"/>
      <c r="AP331" s="663"/>
      <c r="AQ331" s="663"/>
      <c r="AR331" s="663"/>
      <c r="AS331" s="663"/>
      <c r="AT331" s="663"/>
      <c r="AU331" s="663"/>
      <c r="AV331" s="663"/>
      <c r="AW331" s="663"/>
      <c r="AX331" s="663"/>
      <c r="AY331" s="663"/>
      <c r="AZ331" s="663"/>
      <c r="BA331" s="663"/>
      <c r="BB331" s="663"/>
      <c r="BC331" s="663"/>
      <c r="BD331" s="663"/>
    </row>
    <row r="332" spans="1:56" s="670" customFormat="1" ht="12" customHeight="1">
      <c r="A332" s="675"/>
      <c r="B332" s="679">
        <v>43088</v>
      </c>
      <c r="C332" s="678" t="s">
        <v>217</v>
      </c>
      <c r="D332" s="677">
        <v>30</v>
      </c>
      <c r="E332" s="676"/>
      <c r="F332" s="676"/>
      <c r="G332" s="676"/>
      <c r="H332" s="676"/>
      <c r="I332" s="676"/>
      <c r="J332" s="676"/>
      <c r="K332" s="676"/>
      <c r="L332" s="676"/>
      <c r="M332" s="663"/>
      <c r="N332" s="663"/>
      <c r="O332" s="663"/>
      <c r="P332" s="663"/>
      <c r="Q332" s="663"/>
      <c r="R332" s="663"/>
      <c r="S332" s="663"/>
      <c r="T332" s="663"/>
      <c r="U332" s="663"/>
      <c r="V332" s="663"/>
      <c r="W332" s="663"/>
      <c r="X332" s="663"/>
      <c r="Y332" s="663"/>
      <c r="Z332" s="663"/>
      <c r="AA332" s="663"/>
      <c r="AB332" s="663"/>
      <c r="AC332" s="663"/>
      <c r="AD332" s="663"/>
      <c r="AE332" s="663"/>
      <c r="AF332" s="663"/>
      <c r="AG332" s="663"/>
      <c r="AH332" s="663"/>
      <c r="AI332" s="663"/>
      <c r="AJ332" s="663"/>
      <c r="AK332" s="663"/>
      <c r="AL332" s="663"/>
      <c r="AM332" s="663"/>
      <c r="AN332" s="663"/>
      <c r="AO332" s="663"/>
      <c r="AP332" s="663"/>
      <c r="AQ332" s="663"/>
      <c r="AR332" s="663"/>
      <c r="AS332" s="663"/>
      <c r="AT332" s="663"/>
      <c r="AU332" s="663"/>
      <c r="AV332" s="663"/>
      <c r="AW332" s="663"/>
      <c r="AX332" s="663"/>
      <c r="AY332" s="663"/>
      <c r="AZ332" s="663"/>
      <c r="BA332" s="663"/>
      <c r="BB332" s="663"/>
      <c r="BC332" s="663"/>
      <c r="BD332" s="663"/>
    </row>
    <row r="333" spans="1:56" s="670" customFormat="1" ht="12" customHeight="1">
      <c r="A333" s="675"/>
      <c r="B333" s="679">
        <v>43091</v>
      </c>
      <c r="C333" s="678" t="s">
        <v>216</v>
      </c>
      <c r="D333" s="677">
        <v>220</v>
      </c>
      <c r="E333" s="676">
        <v>220</v>
      </c>
      <c r="F333" s="676"/>
      <c r="G333" s="676"/>
      <c r="H333" s="676"/>
      <c r="I333" s="676"/>
      <c r="J333" s="676"/>
      <c r="K333" s="676"/>
      <c r="L333" s="676"/>
      <c r="M333" s="663"/>
      <c r="N333" s="663"/>
      <c r="O333" s="663"/>
      <c r="P333" s="663"/>
      <c r="Q333" s="663"/>
      <c r="R333" s="663"/>
      <c r="S333" s="663"/>
      <c r="T333" s="663"/>
      <c r="U333" s="663"/>
      <c r="V333" s="663"/>
      <c r="W333" s="663"/>
      <c r="X333" s="663"/>
      <c r="Y333" s="663"/>
      <c r="Z333" s="663"/>
      <c r="AA333" s="663"/>
      <c r="AB333" s="663"/>
      <c r="AC333" s="663"/>
      <c r="AD333" s="663"/>
      <c r="AE333" s="663"/>
      <c r="AF333" s="663"/>
      <c r="AG333" s="663"/>
      <c r="AH333" s="663"/>
      <c r="AI333" s="663"/>
      <c r="AJ333" s="663"/>
      <c r="AK333" s="663"/>
      <c r="AL333" s="663"/>
      <c r="AM333" s="663"/>
      <c r="AN333" s="663"/>
      <c r="AO333" s="663"/>
      <c r="AP333" s="663"/>
      <c r="AQ333" s="663"/>
      <c r="AR333" s="663"/>
      <c r="AS333" s="663"/>
      <c r="AT333" s="663"/>
      <c r="AU333" s="663"/>
      <c r="AV333" s="663"/>
      <c r="AW333" s="663"/>
      <c r="AX333" s="663"/>
      <c r="AY333" s="663"/>
      <c r="AZ333" s="663"/>
      <c r="BA333" s="663"/>
      <c r="BB333" s="663"/>
      <c r="BC333" s="663"/>
      <c r="BD333" s="663"/>
    </row>
    <row r="334" spans="1:56" s="670" customFormat="1" ht="12" customHeight="1">
      <c r="A334" s="675"/>
      <c r="B334" s="679">
        <v>43095</v>
      </c>
      <c r="C334" s="678" t="s">
        <v>981</v>
      </c>
      <c r="D334" s="677">
        <v>144</v>
      </c>
      <c r="E334" s="676"/>
      <c r="F334" s="676"/>
      <c r="G334" s="676"/>
      <c r="H334" s="676"/>
      <c r="I334" s="676"/>
      <c r="J334" s="676"/>
      <c r="K334" s="676"/>
      <c r="L334" s="676"/>
      <c r="M334" s="663"/>
      <c r="N334" s="663"/>
      <c r="O334" s="663"/>
      <c r="P334" s="663"/>
      <c r="Q334" s="663"/>
      <c r="R334" s="663"/>
      <c r="S334" s="663"/>
      <c r="T334" s="663"/>
      <c r="U334" s="663"/>
      <c r="V334" s="663"/>
      <c r="W334" s="663"/>
      <c r="X334" s="663"/>
      <c r="Y334" s="663"/>
      <c r="Z334" s="663"/>
      <c r="AA334" s="663"/>
      <c r="AB334" s="663"/>
      <c r="AC334" s="663"/>
      <c r="AD334" s="663"/>
      <c r="AE334" s="663"/>
      <c r="AF334" s="663"/>
      <c r="AG334" s="663"/>
      <c r="AH334" s="663"/>
      <c r="AI334" s="663"/>
      <c r="AJ334" s="663"/>
      <c r="AK334" s="663"/>
      <c r="AL334" s="663"/>
      <c r="AM334" s="663"/>
      <c r="AN334" s="663"/>
      <c r="AO334" s="663"/>
      <c r="AP334" s="663"/>
      <c r="AQ334" s="663"/>
      <c r="AR334" s="663"/>
      <c r="AS334" s="663"/>
      <c r="AT334" s="663"/>
      <c r="AU334" s="663"/>
      <c r="AV334" s="663"/>
      <c r="AW334" s="663"/>
      <c r="AX334" s="663"/>
      <c r="AY334" s="663"/>
      <c r="AZ334" s="663"/>
      <c r="BA334" s="663"/>
      <c r="BB334" s="663"/>
      <c r="BC334" s="663"/>
      <c r="BD334" s="663"/>
    </row>
    <row r="335" spans="1:56" s="670" customFormat="1" ht="12" customHeight="1">
      <c r="A335" s="675"/>
      <c r="B335" s="679">
        <v>43095</v>
      </c>
      <c r="C335" s="678" t="s">
        <v>980</v>
      </c>
      <c r="D335" s="677">
        <v>40</v>
      </c>
      <c r="E335" s="676"/>
      <c r="F335" s="676"/>
      <c r="G335" s="676"/>
      <c r="H335" s="676"/>
      <c r="I335" s="676"/>
      <c r="J335" s="676"/>
      <c r="K335" s="676"/>
      <c r="L335" s="676"/>
      <c r="M335" s="663"/>
      <c r="N335" s="663"/>
      <c r="O335" s="663"/>
      <c r="P335" s="663"/>
      <c r="Q335" s="663"/>
      <c r="R335" s="663"/>
      <c r="S335" s="663"/>
      <c r="T335" s="663"/>
      <c r="U335" s="663"/>
      <c r="V335" s="663"/>
      <c r="W335" s="663"/>
      <c r="X335" s="663"/>
      <c r="Y335" s="663"/>
      <c r="Z335" s="663"/>
      <c r="AA335" s="663"/>
      <c r="AB335" s="663"/>
      <c r="AC335" s="663"/>
      <c r="AD335" s="663"/>
      <c r="AE335" s="663"/>
      <c r="AF335" s="663"/>
      <c r="AG335" s="663"/>
      <c r="AH335" s="663"/>
      <c r="AI335" s="663"/>
      <c r="AJ335" s="663"/>
      <c r="AK335" s="663"/>
      <c r="AL335" s="663"/>
      <c r="AM335" s="663"/>
      <c r="AN335" s="663"/>
      <c r="AO335" s="663"/>
      <c r="AP335" s="663"/>
      <c r="AQ335" s="663"/>
      <c r="AR335" s="663"/>
      <c r="AS335" s="663"/>
      <c r="AT335" s="663"/>
      <c r="AU335" s="663"/>
      <c r="AV335" s="663"/>
      <c r="AW335" s="663"/>
      <c r="AX335" s="663"/>
      <c r="AY335" s="663"/>
      <c r="AZ335" s="663"/>
      <c r="BA335" s="663"/>
      <c r="BB335" s="663"/>
      <c r="BC335" s="663"/>
      <c r="BD335" s="663"/>
    </row>
    <row r="336" spans="1:56" s="670" customFormat="1" ht="12" customHeight="1">
      <c r="A336" s="675"/>
      <c r="B336" s="679">
        <v>43096</v>
      </c>
      <c r="C336" s="678" t="s">
        <v>186</v>
      </c>
      <c r="D336" s="677">
        <v>30</v>
      </c>
      <c r="E336" s="676"/>
      <c r="F336" s="676"/>
      <c r="G336" s="676"/>
      <c r="H336" s="676">
        <v>30</v>
      </c>
      <c r="I336" s="676"/>
      <c r="J336" s="676"/>
      <c r="K336" s="676"/>
      <c r="L336" s="676"/>
      <c r="M336" s="663"/>
      <c r="N336" s="663"/>
      <c r="O336" s="663"/>
      <c r="P336" s="663"/>
      <c r="Q336" s="663"/>
      <c r="R336" s="663"/>
      <c r="S336" s="663"/>
      <c r="T336" s="663"/>
      <c r="U336" s="663"/>
      <c r="V336" s="663"/>
      <c r="W336" s="663"/>
      <c r="X336" s="663"/>
      <c r="Y336" s="663"/>
      <c r="Z336" s="663"/>
      <c r="AA336" s="663"/>
      <c r="AB336" s="663"/>
      <c r="AC336" s="663"/>
      <c r="AD336" s="663"/>
      <c r="AE336" s="663"/>
      <c r="AF336" s="663"/>
      <c r="AG336" s="663"/>
      <c r="AH336" s="663"/>
      <c r="AI336" s="663"/>
      <c r="AJ336" s="663"/>
      <c r="AK336" s="663"/>
      <c r="AL336" s="663"/>
      <c r="AM336" s="663"/>
      <c r="AN336" s="663"/>
      <c r="AO336" s="663"/>
      <c r="AP336" s="663"/>
      <c r="AQ336" s="663"/>
      <c r="AR336" s="663"/>
      <c r="AS336" s="663"/>
      <c r="AT336" s="663"/>
      <c r="AU336" s="663"/>
      <c r="AV336" s="663"/>
      <c r="AW336" s="663"/>
      <c r="AX336" s="663"/>
      <c r="AY336" s="663"/>
      <c r="AZ336" s="663"/>
      <c r="BA336" s="663"/>
      <c r="BB336" s="663"/>
      <c r="BC336" s="663"/>
      <c r="BD336" s="663"/>
    </row>
    <row r="337" spans="1:56" s="670" customFormat="1" ht="12" customHeight="1">
      <c r="A337" s="675"/>
      <c r="B337" s="679">
        <v>43097</v>
      </c>
      <c r="C337" s="678" t="s">
        <v>216</v>
      </c>
      <c r="D337" s="677">
        <v>178</v>
      </c>
      <c r="E337" s="676"/>
      <c r="F337" s="676"/>
      <c r="G337" s="676"/>
      <c r="H337" s="676"/>
      <c r="I337" s="676"/>
      <c r="J337" s="676"/>
      <c r="K337" s="676"/>
      <c r="L337" s="676"/>
      <c r="M337" s="663"/>
      <c r="N337" s="663"/>
      <c r="O337" s="663"/>
      <c r="P337" s="663"/>
      <c r="Q337" s="663"/>
      <c r="R337" s="663"/>
      <c r="S337" s="663"/>
      <c r="T337" s="663"/>
      <c r="U337" s="663"/>
      <c r="V337" s="663"/>
      <c r="W337" s="663"/>
      <c r="X337" s="663"/>
      <c r="Y337" s="663"/>
      <c r="Z337" s="663"/>
      <c r="AA337" s="663"/>
      <c r="AB337" s="663"/>
      <c r="AC337" s="663"/>
      <c r="AD337" s="663"/>
      <c r="AE337" s="663"/>
      <c r="AF337" s="663"/>
      <c r="AG337" s="663"/>
      <c r="AH337" s="663"/>
      <c r="AI337" s="663"/>
      <c r="AJ337" s="663"/>
      <c r="AK337" s="663"/>
      <c r="AL337" s="663"/>
      <c r="AM337" s="663"/>
      <c r="AN337" s="663"/>
      <c r="AO337" s="663"/>
      <c r="AP337" s="663"/>
      <c r="AQ337" s="663"/>
      <c r="AR337" s="663"/>
      <c r="AS337" s="663"/>
      <c r="AT337" s="663"/>
      <c r="AU337" s="663"/>
      <c r="AV337" s="663"/>
      <c r="AW337" s="663"/>
      <c r="AX337" s="663"/>
      <c r="AY337" s="663"/>
      <c r="AZ337" s="663"/>
      <c r="BA337" s="663"/>
      <c r="BB337" s="663"/>
      <c r="BC337" s="663"/>
      <c r="BD337" s="663"/>
    </row>
    <row r="338" spans="1:56" s="670" customFormat="1" ht="12" customHeight="1">
      <c r="A338" s="675"/>
      <c r="B338" s="679">
        <v>43098</v>
      </c>
      <c r="C338" s="678" t="s">
        <v>21</v>
      </c>
      <c r="D338" s="677">
        <v>175</v>
      </c>
      <c r="E338" s="676"/>
      <c r="F338" s="676"/>
      <c r="G338" s="676">
        <v>175</v>
      </c>
      <c r="H338" s="676"/>
      <c r="I338" s="676"/>
      <c r="J338" s="676"/>
      <c r="K338" s="676"/>
      <c r="L338" s="676"/>
      <c r="M338" s="663"/>
      <c r="N338" s="663"/>
      <c r="O338" s="663"/>
      <c r="P338" s="663"/>
      <c r="Q338" s="663"/>
      <c r="R338" s="663"/>
      <c r="S338" s="663"/>
      <c r="T338" s="663"/>
      <c r="U338" s="663"/>
      <c r="V338" s="663"/>
      <c r="W338" s="663"/>
      <c r="X338" s="663"/>
      <c r="Y338" s="663"/>
      <c r="Z338" s="663"/>
      <c r="AA338" s="663"/>
      <c r="AB338" s="663"/>
      <c r="AC338" s="663"/>
      <c r="AD338" s="663"/>
      <c r="AE338" s="663"/>
      <c r="AF338" s="663"/>
      <c r="AG338" s="663"/>
      <c r="AH338" s="663"/>
      <c r="AI338" s="663"/>
      <c r="AJ338" s="663"/>
      <c r="AK338" s="663"/>
      <c r="AL338" s="663"/>
      <c r="AM338" s="663"/>
      <c r="AN338" s="663"/>
      <c r="AO338" s="663"/>
      <c r="AP338" s="663"/>
      <c r="AQ338" s="663"/>
      <c r="AR338" s="663"/>
      <c r="AS338" s="663"/>
      <c r="AT338" s="663"/>
      <c r="AU338" s="663"/>
      <c r="AV338" s="663"/>
      <c r="AW338" s="663"/>
      <c r="AX338" s="663"/>
      <c r="AY338" s="663"/>
      <c r="AZ338" s="663"/>
      <c r="BA338" s="663"/>
      <c r="BB338" s="663"/>
      <c r="BC338" s="663"/>
      <c r="BD338" s="663"/>
    </row>
    <row r="339" spans="1:56" s="670" customFormat="1" ht="12" customHeight="1">
      <c r="A339" s="675"/>
      <c r="B339" s="679">
        <v>43098</v>
      </c>
      <c r="C339" s="678" t="s">
        <v>22</v>
      </c>
      <c r="D339" s="677">
        <v>80</v>
      </c>
      <c r="E339" s="676"/>
      <c r="F339" s="676"/>
      <c r="G339" s="676">
        <v>80</v>
      </c>
      <c r="H339" s="676"/>
      <c r="I339" s="676"/>
      <c r="J339" s="676"/>
      <c r="K339" s="676"/>
      <c r="L339" s="676"/>
      <c r="M339" s="663"/>
      <c r="N339" s="663"/>
      <c r="O339" s="663"/>
      <c r="P339" s="663"/>
      <c r="Q339" s="663"/>
      <c r="R339" s="663"/>
      <c r="S339" s="663"/>
      <c r="T339" s="663"/>
      <c r="U339" s="663"/>
      <c r="V339" s="663"/>
      <c r="W339" s="663"/>
      <c r="X339" s="663"/>
      <c r="Y339" s="663"/>
      <c r="Z339" s="663"/>
      <c r="AA339" s="663"/>
      <c r="AB339" s="663"/>
      <c r="AC339" s="663"/>
      <c r="AD339" s="663"/>
      <c r="AE339" s="663"/>
      <c r="AF339" s="663"/>
      <c r="AG339" s="663"/>
      <c r="AH339" s="663"/>
      <c r="AI339" s="663"/>
      <c r="AJ339" s="663"/>
      <c r="AK339" s="663"/>
      <c r="AL339" s="663"/>
      <c r="AM339" s="663"/>
      <c r="AN339" s="663"/>
      <c r="AO339" s="663"/>
      <c r="AP339" s="663"/>
      <c r="AQ339" s="663"/>
      <c r="AR339" s="663"/>
      <c r="AS339" s="663"/>
      <c r="AT339" s="663"/>
      <c r="AU339" s="663"/>
      <c r="AV339" s="663"/>
      <c r="AW339" s="663"/>
      <c r="AX339" s="663"/>
      <c r="AY339" s="663"/>
      <c r="AZ339" s="663"/>
      <c r="BA339" s="663"/>
      <c r="BB339" s="663"/>
      <c r="BC339" s="663"/>
      <c r="BD339" s="663"/>
    </row>
    <row r="340" spans="1:56" s="670" customFormat="1" ht="12" customHeight="1">
      <c r="A340" s="675"/>
      <c r="B340" s="679">
        <v>43100</v>
      </c>
      <c r="C340" s="678" t="s">
        <v>216</v>
      </c>
      <c r="D340" s="677">
        <v>94.7</v>
      </c>
      <c r="E340" s="676">
        <v>20</v>
      </c>
      <c r="F340" s="676"/>
      <c r="G340" s="676"/>
      <c r="H340" s="676"/>
      <c r="I340" s="676"/>
      <c r="J340" s="676"/>
      <c r="K340" s="676"/>
      <c r="L340" s="676"/>
      <c r="M340" s="663"/>
      <c r="N340" s="663"/>
      <c r="O340" s="663"/>
      <c r="P340" s="663"/>
      <c r="Q340" s="663"/>
      <c r="R340" s="663"/>
      <c r="S340" s="663"/>
      <c r="T340" s="663"/>
      <c r="U340" s="663"/>
      <c r="V340" s="663"/>
      <c r="W340" s="663"/>
      <c r="X340" s="663"/>
      <c r="Y340" s="663"/>
      <c r="Z340" s="663"/>
      <c r="AA340" s="663"/>
      <c r="AB340" s="663"/>
      <c r="AC340" s="663"/>
      <c r="AD340" s="663"/>
      <c r="AE340" s="663"/>
      <c r="AF340" s="663"/>
      <c r="AG340" s="663"/>
      <c r="AH340" s="663"/>
      <c r="AI340" s="663"/>
      <c r="AJ340" s="663"/>
      <c r="AK340" s="663"/>
      <c r="AL340" s="663"/>
      <c r="AM340" s="663"/>
      <c r="AN340" s="663"/>
      <c r="AO340" s="663"/>
      <c r="AP340" s="663"/>
      <c r="AQ340" s="663"/>
      <c r="AR340" s="663"/>
      <c r="AS340" s="663"/>
      <c r="AT340" s="663"/>
      <c r="AU340" s="663"/>
      <c r="AV340" s="663"/>
      <c r="AW340" s="663"/>
      <c r="AX340" s="663"/>
      <c r="AY340" s="663"/>
      <c r="AZ340" s="663"/>
      <c r="BA340" s="663"/>
      <c r="BB340" s="663"/>
      <c r="BC340" s="663"/>
      <c r="BD340" s="663"/>
    </row>
    <row r="341" spans="1:56" s="670" customFormat="1" ht="12" customHeight="1">
      <c r="A341" s="675"/>
      <c r="B341" s="679">
        <v>43100</v>
      </c>
      <c r="C341" s="678" t="s">
        <v>716</v>
      </c>
      <c r="D341" s="677">
        <v>396</v>
      </c>
      <c r="E341" s="676">
        <v>396</v>
      </c>
      <c r="F341" s="676"/>
      <c r="G341" s="676"/>
      <c r="H341" s="676"/>
      <c r="I341" s="676"/>
      <c r="J341" s="676"/>
      <c r="K341" s="676"/>
      <c r="L341" s="676"/>
      <c r="M341" s="663"/>
      <c r="N341" s="663"/>
      <c r="O341" s="663"/>
      <c r="P341" s="663"/>
      <c r="Q341" s="663"/>
      <c r="R341" s="663"/>
      <c r="S341" s="663"/>
      <c r="T341" s="663"/>
      <c r="U341" s="663"/>
      <c r="V341" s="663"/>
      <c r="W341" s="663"/>
      <c r="X341" s="663"/>
      <c r="Y341" s="663"/>
      <c r="Z341" s="663"/>
      <c r="AA341" s="663"/>
      <c r="AB341" s="663"/>
      <c r="AC341" s="663"/>
      <c r="AD341" s="663"/>
      <c r="AE341" s="663"/>
      <c r="AF341" s="663"/>
      <c r="AG341" s="663"/>
      <c r="AH341" s="663"/>
      <c r="AI341" s="663"/>
      <c r="AJ341" s="663"/>
      <c r="AK341" s="663"/>
      <c r="AL341" s="663"/>
      <c r="AM341" s="663"/>
      <c r="AN341" s="663"/>
      <c r="AO341" s="663"/>
      <c r="AP341" s="663"/>
      <c r="AQ341" s="663"/>
      <c r="AR341" s="663"/>
      <c r="AS341" s="663"/>
      <c r="AT341" s="663"/>
      <c r="AU341" s="663"/>
      <c r="AV341" s="663"/>
      <c r="AW341" s="663"/>
      <c r="AX341" s="663"/>
      <c r="AY341" s="663"/>
      <c r="AZ341" s="663"/>
      <c r="BA341" s="663"/>
      <c r="BB341" s="663"/>
      <c r="BC341" s="663"/>
      <c r="BD341" s="663"/>
    </row>
    <row r="342" spans="1:56" s="670" customFormat="1" ht="12" customHeight="1">
      <c r="A342" s="675"/>
      <c r="B342" s="679">
        <v>43100</v>
      </c>
      <c r="C342" s="678" t="s">
        <v>186</v>
      </c>
      <c r="D342" s="677">
        <v>25</v>
      </c>
      <c r="E342" s="676"/>
      <c r="F342" s="676"/>
      <c r="G342" s="676"/>
      <c r="H342" s="676">
        <v>25</v>
      </c>
      <c r="I342" s="676"/>
      <c r="J342" s="676"/>
      <c r="K342" s="676"/>
      <c r="L342" s="676"/>
      <c r="M342" s="663"/>
      <c r="N342" s="663"/>
      <c r="O342" s="663"/>
      <c r="P342" s="663"/>
      <c r="Q342" s="663"/>
      <c r="R342" s="663"/>
      <c r="S342" s="663"/>
      <c r="T342" s="663"/>
      <c r="U342" s="663"/>
      <c r="V342" s="663"/>
      <c r="W342" s="663"/>
      <c r="X342" s="663"/>
      <c r="Y342" s="663"/>
      <c r="Z342" s="663"/>
      <c r="AA342" s="663"/>
      <c r="AB342" s="663"/>
      <c r="AC342" s="663"/>
      <c r="AD342" s="663"/>
      <c r="AE342" s="663"/>
      <c r="AF342" s="663"/>
      <c r="AG342" s="663"/>
      <c r="AH342" s="663"/>
      <c r="AI342" s="663"/>
      <c r="AJ342" s="663"/>
      <c r="AK342" s="663"/>
      <c r="AL342" s="663"/>
      <c r="AM342" s="663"/>
      <c r="AN342" s="663"/>
      <c r="AO342" s="663"/>
      <c r="AP342" s="663"/>
      <c r="AQ342" s="663"/>
      <c r="AR342" s="663"/>
      <c r="AS342" s="663"/>
      <c r="AT342" s="663"/>
      <c r="AU342" s="663"/>
      <c r="AV342" s="663"/>
      <c r="AW342" s="663"/>
      <c r="AX342" s="663"/>
      <c r="AY342" s="663"/>
      <c r="AZ342" s="663"/>
      <c r="BA342" s="663"/>
      <c r="BB342" s="663"/>
      <c r="BC342" s="663"/>
      <c r="BD342" s="663"/>
    </row>
    <row r="343" spans="1:56" s="670" customFormat="1" ht="12" customHeight="1">
      <c r="A343" s="675"/>
      <c r="B343" s="679"/>
      <c r="C343" s="678"/>
      <c r="D343" s="677"/>
      <c r="E343" s="676"/>
      <c r="F343" s="676"/>
      <c r="G343" s="676"/>
      <c r="H343" s="676"/>
      <c r="I343" s="676"/>
      <c r="J343" s="676"/>
      <c r="K343" s="676"/>
      <c r="L343" s="676"/>
      <c r="M343" s="663"/>
      <c r="N343" s="663"/>
      <c r="O343" s="663"/>
      <c r="P343" s="663"/>
      <c r="Q343" s="663"/>
      <c r="R343" s="663"/>
      <c r="S343" s="663"/>
      <c r="T343" s="663"/>
      <c r="U343" s="663"/>
      <c r="V343" s="663"/>
      <c r="W343" s="663"/>
      <c r="X343" s="663"/>
      <c r="Y343" s="663"/>
      <c r="Z343" s="663"/>
      <c r="AA343" s="663"/>
      <c r="AB343" s="663"/>
      <c r="AC343" s="663"/>
      <c r="AD343" s="663"/>
      <c r="AE343" s="663"/>
      <c r="AF343" s="663"/>
      <c r="AG343" s="663"/>
      <c r="AH343" s="663"/>
      <c r="AI343" s="663"/>
      <c r="AJ343" s="663"/>
      <c r="AK343" s="663"/>
      <c r="AL343" s="663"/>
      <c r="AM343" s="663"/>
      <c r="AN343" s="663"/>
      <c r="AO343" s="663"/>
      <c r="AP343" s="663"/>
      <c r="AQ343" s="663"/>
      <c r="AR343" s="663"/>
      <c r="AS343" s="663"/>
      <c r="AT343" s="663"/>
      <c r="AU343" s="663"/>
      <c r="AV343" s="663"/>
      <c r="AW343" s="663"/>
      <c r="AX343" s="663"/>
      <c r="AY343" s="663"/>
      <c r="AZ343" s="663"/>
      <c r="BA343" s="663"/>
      <c r="BB343" s="663"/>
      <c r="BC343" s="663"/>
      <c r="BD343" s="663"/>
    </row>
    <row r="344" spans="1:56" s="670" customFormat="1" ht="12" customHeight="1">
      <c r="A344" s="675"/>
      <c r="B344" s="950"/>
      <c r="C344" s="774"/>
      <c r="D344" s="773"/>
      <c r="E344" s="676"/>
      <c r="F344" s="676"/>
      <c r="G344" s="676"/>
      <c r="H344" s="676"/>
      <c r="I344" s="676"/>
      <c r="J344" s="676"/>
      <c r="K344" s="676"/>
      <c r="L344" s="676"/>
      <c r="M344" s="663"/>
      <c r="N344" s="663"/>
      <c r="O344" s="663"/>
      <c r="P344" s="663"/>
      <c r="Q344" s="663"/>
      <c r="R344" s="663"/>
      <c r="S344" s="663"/>
      <c r="T344" s="663"/>
      <c r="U344" s="663"/>
      <c r="V344" s="663"/>
      <c r="W344" s="663"/>
      <c r="X344" s="663"/>
      <c r="Y344" s="663"/>
      <c r="Z344" s="663"/>
      <c r="AA344" s="663"/>
      <c r="AB344" s="663"/>
      <c r="AC344" s="663"/>
      <c r="AD344" s="663"/>
      <c r="AE344" s="663"/>
      <c r="AF344" s="663"/>
      <c r="AG344" s="663"/>
      <c r="AH344" s="663"/>
      <c r="AI344" s="663"/>
      <c r="AJ344" s="663"/>
      <c r="AK344" s="663"/>
      <c r="AL344" s="663"/>
      <c r="AM344" s="663"/>
      <c r="AN344" s="663"/>
      <c r="AO344" s="663"/>
      <c r="AP344" s="663"/>
      <c r="AQ344" s="663"/>
      <c r="AR344" s="663"/>
      <c r="AS344" s="663"/>
      <c r="AT344" s="663"/>
      <c r="AU344" s="663"/>
      <c r="AV344" s="663"/>
      <c r="AW344" s="663"/>
      <c r="AX344" s="663"/>
      <c r="AY344" s="663"/>
      <c r="AZ344" s="663"/>
      <c r="BA344" s="663"/>
      <c r="BB344" s="663"/>
      <c r="BC344" s="663"/>
      <c r="BD344" s="663"/>
    </row>
    <row r="345" spans="1:56" s="670" customFormat="1" ht="12" customHeight="1">
      <c r="A345" s="675"/>
      <c r="B345" s="949" t="s">
        <v>112</v>
      </c>
      <c r="C345" s="806" t="s">
        <v>36</v>
      </c>
      <c r="D345" s="805">
        <f>SUM(D346:D350)</f>
        <v>0</v>
      </c>
      <c r="E345" s="676"/>
      <c r="F345" s="676"/>
      <c r="G345" s="676"/>
      <c r="H345" s="676"/>
      <c r="I345" s="676"/>
      <c r="J345" s="676"/>
      <c r="K345" s="676"/>
      <c r="L345" s="676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Q345" s="663"/>
      <c r="AR345" s="663"/>
      <c r="AS345" s="663"/>
      <c r="AT345" s="663"/>
      <c r="AU345" s="663"/>
      <c r="AV345" s="663"/>
      <c r="AW345" s="663"/>
      <c r="AX345" s="663"/>
      <c r="AY345" s="663"/>
      <c r="AZ345" s="663"/>
      <c r="BA345" s="663"/>
      <c r="BB345" s="663"/>
      <c r="BC345" s="663"/>
      <c r="BD345" s="663"/>
    </row>
    <row r="346" spans="1:56" s="670" customFormat="1" ht="12" customHeight="1">
      <c r="A346" s="675"/>
      <c r="B346" s="679">
        <v>43084</v>
      </c>
      <c r="C346" s="678" t="s">
        <v>979</v>
      </c>
      <c r="D346" s="677"/>
      <c r="E346" s="676"/>
      <c r="F346" s="676"/>
      <c r="G346" s="676"/>
      <c r="H346" s="676"/>
      <c r="I346" s="676"/>
      <c r="J346" s="676"/>
      <c r="K346" s="676"/>
      <c r="L346" s="676"/>
      <c r="M346" s="677">
        <v>-765.63</v>
      </c>
      <c r="N346" s="663"/>
      <c r="O346" s="663"/>
      <c r="P346" s="663"/>
      <c r="Q346" s="663"/>
      <c r="R346" s="663"/>
      <c r="S346" s="663"/>
      <c r="T346" s="663"/>
      <c r="U346" s="663"/>
      <c r="V346" s="663"/>
      <c r="W346" s="663"/>
      <c r="X346" s="663"/>
      <c r="Y346" s="663"/>
      <c r="Z346" s="663"/>
      <c r="AA346" s="663"/>
      <c r="AB346" s="663"/>
      <c r="AC346" s="663"/>
      <c r="AD346" s="663"/>
      <c r="AE346" s="663"/>
      <c r="AF346" s="663"/>
      <c r="AG346" s="663"/>
      <c r="AH346" s="663"/>
      <c r="AI346" s="663"/>
      <c r="AJ346" s="663"/>
      <c r="AK346" s="663"/>
      <c r="AL346" s="663"/>
      <c r="AM346" s="663"/>
      <c r="AN346" s="663"/>
      <c r="AO346" s="663"/>
      <c r="AP346" s="663"/>
      <c r="AQ346" s="663"/>
      <c r="AR346" s="663"/>
      <c r="AS346" s="663"/>
      <c r="AT346" s="663"/>
      <c r="AU346" s="663"/>
      <c r="AV346" s="663"/>
      <c r="AW346" s="663"/>
      <c r="AX346" s="663"/>
      <c r="AY346" s="663"/>
      <c r="AZ346" s="663"/>
      <c r="BA346" s="663"/>
      <c r="BB346" s="663"/>
      <c r="BC346" s="663"/>
      <c r="BD346" s="663"/>
    </row>
    <row r="347" spans="1:56" s="670" customFormat="1" ht="12" customHeight="1">
      <c r="A347" s="675"/>
      <c r="B347" s="679"/>
      <c r="C347" s="678" t="s">
        <v>614</v>
      </c>
      <c r="D347" s="677"/>
      <c r="E347" s="676">
        <f>D347</f>
        <v>0</v>
      </c>
      <c r="F347" s="676"/>
      <c r="G347" s="676"/>
      <c r="H347" s="676"/>
      <c r="I347" s="676"/>
      <c r="J347" s="676"/>
      <c r="K347" s="676"/>
      <c r="L347" s="676"/>
      <c r="M347" s="663"/>
      <c r="N347" s="663"/>
      <c r="O347" s="663"/>
      <c r="P347" s="663"/>
      <c r="Q347" s="663"/>
      <c r="R347" s="663"/>
      <c r="S347" s="663"/>
      <c r="T347" s="663"/>
      <c r="U347" s="663"/>
      <c r="V347" s="663"/>
      <c r="W347" s="663"/>
      <c r="X347" s="663"/>
      <c r="Y347" s="663"/>
      <c r="Z347" s="663"/>
      <c r="AA347" s="663"/>
      <c r="AB347" s="663"/>
      <c r="AC347" s="663"/>
      <c r="AD347" s="663"/>
      <c r="AE347" s="663"/>
      <c r="AF347" s="663"/>
      <c r="AG347" s="663"/>
      <c r="AH347" s="663"/>
      <c r="AI347" s="663"/>
      <c r="AJ347" s="663"/>
      <c r="AK347" s="663"/>
      <c r="AL347" s="663"/>
      <c r="AM347" s="663"/>
      <c r="AN347" s="663"/>
      <c r="AO347" s="663"/>
      <c r="AP347" s="663"/>
      <c r="AQ347" s="663"/>
      <c r="AR347" s="663"/>
      <c r="AS347" s="663"/>
      <c r="AT347" s="663"/>
      <c r="AU347" s="663"/>
      <c r="AV347" s="663"/>
      <c r="AW347" s="663"/>
      <c r="AX347" s="663"/>
      <c r="AY347" s="663"/>
      <c r="AZ347" s="663"/>
      <c r="BA347" s="663"/>
      <c r="BB347" s="663"/>
      <c r="BC347" s="663"/>
      <c r="BD347" s="663"/>
    </row>
    <row r="348" spans="1:56" s="670" customFormat="1" ht="12" customHeight="1">
      <c r="A348" s="675"/>
      <c r="B348" s="679"/>
      <c r="C348" s="678"/>
      <c r="D348" s="677"/>
      <c r="E348" s="676"/>
      <c r="F348" s="676"/>
      <c r="G348" s="676"/>
      <c r="H348" s="676"/>
      <c r="I348" s="676"/>
      <c r="J348" s="676"/>
      <c r="K348" s="676"/>
      <c r="L348" s="676"/>
      <c r="M348" s="663"/>
      <c r="N348" s="663"/>
      <c r="O348" s="663"/>
      <c r="P348" s="663"/>
      <c r="Q348" s="663"/>
      <c r="R348" s="663"/>
      <c r="S348" s="663"/>
      <c r="T348" s="663"/>
      <c r="U348" s="663"/>
      <c r="V348" s="663"/>
      <c r="W348" s="663"/>
      <c r="X348" s="663"/>
      <c r="Y348" s="663"/>
      <c r="Z348" s="663"/>
      <c r="AA348" s="663"/>
      <c r="AB348" s="663"/>
      <c r="AC348" s="663"/>
      <c r="AD348" s="663"/>
      <c r="AE348" s="663"/>
      <c r="AF348" s="663"/>
      <c r="AG348" s="663"/>
      <c r="AH348" s="663"/>
      <c r="AI348" s="663"/>
      <c r="AJ348" s="663"/>
      <c r="AK348" s="663"/>
      <c r="AL348" s="663"/>
      <c r="AM348" s="663"/>
      <c r="AN348" s="663"/>
      <c r="AO348" s="663"/>
      <c r="AP348" s="663"/>
      <c r="AQ348" s="663"/>
      <c r="AR348" s="663"/>
      <c r="AS348" s="663"/>
      <c r="AT348" s="663"/>
      <c r="AU348" s="663"/>
      <c r="AV348" s="663"/>
      <c r="AW348" s="663"/>
      <c r="AX348" s="663"/>
      <c r="AY348" s="663"/>
      <c r="AZ348" s="663"/>
      <c r="BA348" s="663"/>
      <c r="BB348" s="663"/>
      <c r="BC348" s="663"/>
      <c r="BD348" s="663"/>
    </row>
    <row r="349" spans="1:56" s="670" customFormat="1" ht="12" customHeight="1">
      <c r="A349" s="675"/>
      <c r="B349" s="679"/>
      <c r="C349" s="678"/>
      <c r="D349" s="677"/>
      <c r="E349" s="676"/>
      <c r="F349" s="676"/>
      <c r="G349" s="676"/>
      <c r="H349" s="676"/>
      <c r="I349" s="676"/>
      <c r="J349" s="676"/>
      <c r="K349" s="676"/>
      <c r="L349" s="676"/>
      <c r="M349" s="663"/>
      <c r="N349" s="663"/>
      <c r="O349" s="663"/>
      <c r="P349" s="663"/>
      <c r="Q349" s="663"/>
      <c r="R349" s="663"/>
      <c r="S349" s="663"/>
      <c r="T349" s="663"/>
      <c r="U349" s="663"/>
      <c r="V349" s="663"/>
      <c r="W349" s="663"/>
      <c r="X349" s="663"/>
      <c r="Y349" s="663"/>
      <c r="Z349" s="663"/>
      <c r="AA349" s="663"/>
      <c r="AB349" s="663"/>
      <c r="AC349" s="663"/>
      <c r="AD349" s="663"/>
      <c r="AE349" s="663"/>
      <c r="AF349" s="663"/>
      <c r="AG349" s="663"/>
      <c r="AH349" s="663"/>
      <c r="AI349" s="663"/>
      <c r="AJ349" s="663"/>
      <c r="AK349" s="663"/>
      <c r="AL349" s="663"/>
      <c r="AM349" s="663"/>
      <c r="AN349" s="663"/>
      <c r="AO349" s="663"/>
      <c r="AP349" s="663"/>
      <c r="AQ349" s="663"/>
      <c r="AR349" s="663"/>
      <c r="AS349" s="663"/>
      <c r="AT349" s="663"/>
      <c r="AU349" s="663"/>
      <c r="AV349" s="663"/>
      <c r="AW349" s="663"/>
      <c r="AX349" s="663"/>
      <c r="AY349" s="663"/>
      <c r="AZ349" s="663"/>
      <c r="BA349" s="663"/>
      <c r="BB349" s="663"/>
      <c r="BC349" s="663"/>
      <c r="BD349" s="663"/>
    </row>
    <row r="350" spans="1:56" s="670" customFormat="1" ht="12" customHeight="1">
      <c r="A350" s="675"/>
      <c r="B350" s="679"/>
      <c r="C350" s="678"/>
      <c r="D350" s="677"/>
      <c r="E350" s="676"/>
      <c r="F350" s="676"/>
      <c r="G350" s="676"/>
      <c r="H350" s="676"/>
      <c r="I350" s="676"/>
      <c r="J350" s="676"/>
      <c r="K350" s="676"/>
      <c r="L350" s="676"/>
      <c r="M350" s="663"/>
      <c r="N350" s="663"/>
      <c r="O350" s="663"/>
      <c r="P350" s="663"/>
      <c r="Q350" s="663"/>
      <c r="R350" s="663"/>
      <c r="S350" s="663"/>
      <c r="T350" s="663"/>
      <c r="U350" s="663"/>
      <c r="V350" s="663"/>
      <c r="W350" s="663"/>
      <c r="X350" s="663"/>
      <c r="Y350" s="663"/>
      <c r="Z350" s="663"/>
      <c r="AA350" s="663"/>
      <c r="AB350" s="663"/>
      <c r="AC350" s="663"/>
      <c r="AD350" s="663"/>
      <c r="AE350" s="663"/>
      <c r="AF350" s="663"/>
      <c r="AG350" s="663"/>
      <c r="AH350" s="663"/>
      <c r="AI350" s="663"/>
      <c r="AJ350" s="663"/>
      <c r="AK350" s="663"/>
      <c r="AL350" s="663"/>
      <c r="AM350" s="663"/>
      <c r="AN350" s="663"/>
      <c r="AO350" s="663"/>
      <c r="AP350" s="663"/>
      <c r="AQ350" s="663"/>
      <c r="AR350" s="663"/>
      <c r="AS350" s="663"/>
      <c r="AT350" s="663"/>
      <c r="AU350" s="663"/>
      <c r="AV350" s="663"/>
      <c r="AW350" s="663"/>
      <c r="AX350" s="663"/>
      <c r="AY350" s="663"/>
      <c r="AZ350" s="663"/>
      <c r="BA350" s="663"/>
      <c r="BB350" s="663"/>
      <c r="BC350" s="663"/>
      <c r="BD350" s="663"/>
    </row>
  </sheetData>
  <mergeCells count="14">
    <mergeCell ref="K238:L238"/>
    <mergeCell ref="K265:L265"/>
    <mergeCell ref="K300:L300"/>
    <mergeCell ref="K101:L101"/>
    <mergeCell ref="K120:L120"/>
    <mergeCell ref="K138:L138"/>
    <mergeCell ref="K157:L157"/>
    <mergeCell ref="K189:L189"/>
    <mergeCell ref="K220:L220"/>
    <mergeCell ref="K87:L87"/>
    <mergeCell ref="K15:L15"/>
    <mergeCell ref="K57:L57"/>
    <mergeCell ref="K1:L1"/>
    <mergeCell ref="K14:L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802"/>
  <sheetViews>
    <sheetView workbookViewId="0">
      <pane ySplit="1" topLeftCell="A81" activePane="bottomLeft" state="frozen"/>
      <selection pane="bottomLeft" activeCell="D102" sqref="D102:D226"/>
    </sheetView>
  </sheetViews>
  <sheetFormatPr defaultColWidth="9.109375" defaultRowHeight="14.4"/>
  <cols>
    <col min="1" max="2" width="16.33203125" style="1785" customWidth="1"/>
    <col min="3" max="5" width="12.109375" style="1786" customWidth="1"/>
    <col min="6" max="6" width="1.6640625" style="1793" customWidth="1"/>
    <col min="7" max="8" width="16.33203125" style="1785" customWidth="1"/>
    <col min="9" max="9" width="12.109375" style="1786" customWidth="1"/>
    <col min="10" max="10" width="1.6640625" style="1793" customWidth="1"/>
    <col min="11" max="16384" width="9.109375" style="1785"/>
  </cols>
  <sheetData>
    <row r="1" spans="1:10" s="1784" customFormat="1" ht="15" thickBot="1">
      <c r="A1" s="1790" t="s">
        <v>1114</v>
      </c>
      <c r="B1" s="1790"/>
      <c r="C1" s="1790" t="s">
        <v>1467</v>
      </c>
      <c r="D1" s="1790" t="s">
        <v>475</v>
      </c>
      <c r="E1" s="1790" t="s">
        <v>567</v>
      </c>
      <c r="F1" s="1803"/>
      <c r="G1" s="1790" t="s">
        <v>1114</v>
      </c>
      <c r="H1" s="1790" t="s">
        <v>1469</v>
      </c>
      <c r="I1" s="1790" t="s">
        <v>1470</v>
      </c>
      <c r="J1" s="1803"/>
    </row>
    <row r="2" spans="1:10">
      <c r="A2" s="2764"/>
      <c r="B2" s="2764"/>
      <c r="C2" s="1789"/>
      <c r="D2" s="1789"/>
      <c r="E2" s="1789"/>
      <c r="F2" s="1802"/>
      <c r="G2" s="2764" t="str">
        <f>G3</f>
        <v>01-06-2023 00:00</v>
      </c>
      <c r="H2" s="2764"/>
      <c r="I2" s="1789">
        <f>SUM(I3:I26)</f>
        <v>15.085000000000001</v>
      </c>
      <c r="J2" s="1802"/>
    </row>
    <row r="3" spans="1:10">
      <c r="G3" s="1785" t="str">
        <f>"01-06-2023 00:00"</f>
        <v>01-06-2023 00:00</v>
      </c>
      <c r="H3" s="1785" t="str">
        <f>"01-06-2023 01:00"</f>
        <v>01-06-2023 01:00</v>
      </c>
      <c r="I3" s="1786">
        <v>0.47</v>
      </c>
    </row>
    <row r="4" spans="1:10">
      <c r="G4" s="1785" t="str">
        <f>"01-06-2023 01:00"</f>
        <v>01-06-2023 01:00</v>
      </c>
      <c r="H4" s="1785" t="str">
        <f>"01-06-2023 02:00"</f>
        <v>01-06-2023 02:00</v>
      </c>
      <c r="I4" s="1786">
        <v>0.34</v>
      </c>
    </row>
    <row r="5" spans="1:10">
      <c r="G5" s="1785" t="str">
        <f>"01-06-2023 02:00"</f>
        <v>01-06-2023 02:00</v>
      </c>
      <c r="H5" s="1785" t="str">
        <f>"01-06-2023 03:00"</f>
        <v>01-06-2023 03:00</v>
      </c>
      <c r="I5" s="1786">
        <v>0.37</v>
      </c>
    </row>
    <row r="6" spans="1:10">
      <c r="G6" s="1785" t="str">
        <f>"01-06-2023 03:00"</f>
        <v>01-06-2023 03:00</v>
      </c>
      <c r="H6" s="1785" t="str">
        <f>"01-06-2023 04:00"</f>
        <v>01-06-2023 04:00</v>
      </c>
      <c r="I6" s="1786">
        <v>0.42</v>
      </c>
    </row>
    <row r="7" spans="1:10">
      <c r="G7" s="1785" t="str">
        <f>"01-06-2023 04:00"</f>
        <v>01-06-2023 04:00</v>
      </c>
      <c r="H7" s="1785" t="str">
        <f>"01-06-2023 05:00"</f>
        <v>01-06-2023 05:00</v>
      </c>
      <c r="I7" s="1786">
        <v>0.2</v>
      </c>
    </row>
    <row r="8" spans="1:10">
      <c r="G8" s="1785" t="str">
        <f>"01-06-2023 05:00"</f>
        <v>01-06-2023 05:00</v>
      </c>
      <c r="H8" s="1785" t="str">
        <f>"01-06-2023 06:00"</f>
        <v>01-06-2023 06:00</v>
      </c>
      <c r="I8" s="1786">
        <v>0.44</v>
      </c>
    </row>
    <row r="9" spans="1:10">
      <c r="G9" s="1785" t="str">
        <f>"01-06-2023 06:00"</f>
        <v>01-06-2023 06:00</v>
      </c>
      <c r="H9" s="1785" t="str">
        <f>"01-06-2023 07:00"</f>
        <v>01-06-2023 07:00</v>
      </c>
      <c r="I9" s="1786">
        <v>0.68</v>
      </c>
    </row>
    <row r="10" spans="1:10">
      <c r="G10" s="1785" t="str">
        <f>"01-06-2023 07:00"</f>
        <v>01-06-2023 07:00</v>
      </c>
      <c r="H10" s="1785" t="str">
        <f>"01-06-2023 08:00"</f>
        <v>01-06-2023 08:00</v>
      </c>
      <c r="I10" s="1786">
        <v>0.93</v>
      </c>
    </row>
    <row r="11" spans="1:10">
      <c r="A11" s="1795"/>
      <c r="B11" s="1796"/>
      <c r="C11" s="1797"/>
      <c r="D11" s="1797"/>
      <c r="E11" s="1797"/>
      <c r="G11" s="1795" t="str">
        <f>"01-06-2023 08:00"</f>
        <v>01-06-2023 08:00</v>
      </c>
      <c r="H11" s="1796" t="str">
        <f>"01-06-2023 09:00"</f>
        <v>01-06-2023 09:00</v>
      </c>
      <c r="I11" s="1797">
        <v>0.76</v>
      </c>
    </row>
    <row r="12" spans="1:10">
      <c r="A12" s="1798"/>
      <c r="B12" s="1788"/>
      <c r="C12" s="1799"/>
      <c r="D12" s="1799"/>
      <c r="E12" s="1799"/>
      <c r="G12" s="1798" t="str">
        <f>"01-06-2023 09:00"</f>
        <v>01-06-2023 09:00</v>
      </c>
      <c r="H12" s="1788" t="str">
        <f>"01-06-2023 10:00"</f>
        <v>01-06-2023 10:00</v>
      </c>
      <c r="I12" s="1799">
        <v>0.74</v>
      </c>
    </row>
    <row r="13" spans="1:10">
      <c r="A13" s="1798"/>
      <c r="B13" s="1788"/>
      <c r="C13" s="1799"/>
      <c r="D13" s="1799"/>
      <c r="E13" s="1799"/>
      <c r="G13" s="1798" t="str">
        <f>"01-06-2023 10:00"</f>
        <v>01-06-2023 10:00</v>
      </c>
      <c r="H13" s="1788" t="str">
        <f>"01-06-2023 11:00"</f>
        <v>01-06-2023 11:00</v>
      </c>
      <c r="I13" s="1799">
        <v>0.72</v>
      </c>
    </row>
    <row r="14" spans="1:10">
      <c r="A14" s="1798"/>
      <c r="B14" s="1788"/>
      <c r="C14" s="1799"/>
      <c r="D14" s="1799"/>
      <c r="E14" s="1799"/>
      <c r="G14" s="1798" t="str">
        <f>"01-06-2023 11:00"</f>
        <v>01-06-2023 11:00</v>
      </c>
      <c r="H14" s="1788" t="str">
        <f>"01-06-2023 12:00"</f>
        <v>01-06-2023 12:00</v>
      </c>
      <c r="I14" s="1799">
        <v>0.39</v>
      </c>
    </row>
    <row r="15" spans="1:10">
      <c r="A15" s="1798"/>
      <c r="B15" s="1788"/>
      <c r="C15" s="1799"/>
      <c r="D15" s="1799"/>
      <c r="E15" s="1799"/>
      <c r="G15" s="1798" t="str">
        <f>"01-06-2023 12:00"</f>
        <v>01-06-2023 12:00</v>
      </c>
      <c r="H15" s="1788" t="str">
        <f>"01-06-2023 13:00"</f>
        <v>01-06-2023 13:00</v>
      </c>
      <c r="I15" s="1799">
        <v>0.72499999999999998</v>
      </c>
    </row>
    <row r="16" spans="1:10">
      <c r="A16" s="1798"/>
      <c r="B16" s="1788"/>
      <c r="C16" s="1799"/>
      <c r="D16" s="1799"/>
      <c r="E16" s="1799"/>
      <c r="G16" s="1798" t="str">
        <f>"01-06-2023 13:00"</f>
        <v>01-06-2023 13:00</v>
      </c>
      <c r="H16" s="1788" t="str">
        <f>"01-06-2023 14:00"</f>
        <v>01-06-2023 14:00</v>
      </c>
      <c r="I16" s="1799">
        <v>0.32</v>
      </c>
    </row>
    <row r="17" spans="1:10">
      <c r="A17" s="1798"/>
      <c r="B17" s="1788"/>
      <c r="C17" s="1799"/>
      <c r="D17" s="1799"/>
      <c r="E17" s="1799"/>
      <c r="G17" s="1798" t="str">
        <f>"01-06-2023 14:00"</f>
        <v>01-06-2023 14:00</v>
      </c>
      <c r="H17" s="1788" t="str">
        <f>"01-06-2023 15:00"</f>
        <v>01-06-2023 15:00</v>
      </c>
      <c r="I17" s="1799">
        <v>0.47</v>
      </c>
    </row>
    <row r="18" spans="1:10">
      <c r="A18" s="1798"/>
      <c r="B18" s="1788"/>
      <c r="C18" s="1799"/>
      <c r="D18" s="1799"/>
      <c r="E18" s="1799"/>
      <c r="G18" s="1798" t="str">
        <f>"01-06-2023 15:00"</f>
        <v>01-06-2023 15:00</v>
      </c>
      <c r="H18" s="1788" t="str">
        <f>"01-06-2023 16:00"</f>
        <v>01-06-2023 16:00</v>
      </c>
      <c r="I18" s="1799">
        <v>0.52</v>
      </c>
    </row>
    <row r="19" spans="1:10">
      <c r="A19" s="1798"/>
      <c r="B19" s="1788"/>
      <c r="C19" s="1799"/>
      <c r="D19" s="1799"/>
      <c r="E19" s="1799"/>
      <c r="G19" s="1798" t="str">
        <f>"01-06-2023 16:00"</f>
        <v>01-06-2023 16:00</v>
      </c>
      <c r="H19" s="1788" t="str">
        <f>"01-06-2023 17:00"</f>
        <v>01-06-2023 17:00</v>
      </c>
      <c r="I19" s="1799">
        <v>0.39</v>
      </c>
    </row>
    <row r="20" spans="1:10">
      <c r="A20" s="1798"/>
      <c r="B20" s="1788"/>
      <c r="C20" s="1799"/>
      <c r="D20" s="1799"/>
      <c r="E20" s="1799"/>
      <c r="G20" s="1798" t="str">
        <f>"01-06-2023 17:00"</f>
        <v>01-06-2023 17:00</v>
      </c>
      <c r="H20" s="1788" t="str">
        <f>"01-06-2023 18:00"</f>
        <v>01-06-2023 18:00</v>
      </c>
      <c r="I20" s="1799">
        <v>0.88</v>
      </c>
    </row>
    <row r="21" spans="1:10">
      <c r="A21" s="1800"/>
      <c r="B21" s="1794"/>
      <c r="C21" s="1801"/>
      <c r="D21" s="1801"/>
      <c r="E21" s="1801"/>
      <c r="G21" s="1800" t="str">
        <f>"01-06-2023 18:00"</f>
        <v>01-06-2023 18:00</v>
      </c>
      <c r="H21" s="1794" t="str">
        <f>"01-06-2023 19:00"</f>
        <v>01-06-2023 19:00</v>
      </c>
      <c r="I21" s="1801">
        <v>1.62</v>
      </c>
    </row>
    <row r="22" spans="1:10">
      <c r="G22" s="1785" t="str">
        <f>"01-06-2023 19:00"</f>
        <v>01-06-2023 19:00</v>
      </c>
      <c r="H22" s="1785" t="str">
        <f>"01-06-2023 20:00"</f>
        <v>01-06-2023 20:00</v>
      </c>
      <c r="I22" s="1786">
        <v>1.0900000000000001</v>
      </c>
    </row>
    <row r="23" spans="1:10">
      <c r="G23" s="1785" t="str">
        <f>"01-06-2023 20:00"</f>
        <v>01-06-2023 20:00</v>
      </c>
      <c r="H23" s="1785" t="str">
        <f>"01-06-2023 21:00"</f>
        <v>01-06-2023 21:00</v>
      </c>
      <c r="I23" s="1786">
        <v>0.9</v>
      </c>
    </row>
    <row r="24" spans="1:10">
      <c r="G24" s="1785" t="str">
        <f>"01-06-2023 21:00"</f>
        <v>01-06-2023 21:00</v>
      </c>
      <c r="H24" s="1785" t="str">
        <f>"01-06-2023 22:00"</f>
        <v>01-06-2023 22:00</v>
      </c>
      <c r="I24" s="1786">
        <v>0.64</v>
      </c>
    </row>
    <row r="25" spans="1:10">
      <c r="G25" s="1785" t="str">
        <f>"01-06-2023 22:00"</f>
        <v>01-06-2023 22:00</v>
      </c>
      <c r="H25" s="1785" t="str">
        <f>"01-06-2023 23:00"</f>
        <v>01-06-2023 23:00</v>
      </c>
      <c r="I25" s="1786">
        <v>0.7</v>
      </c>
    </row>
    <row r="26" spans="1:10" ht="15" thickBot="1">
      <c r="G26" s="1785" t="str">
        <f>"01-06-2023 23:00"</f>
        <v>01-06-2023 23:00</v>
      </c>
      <c r="H26" s="1785" t="str">
        <f>"02-06-2023 00:00"</f>
        <v>02-06-2023 00:00</v>
      </c>
      <c r="I26" s="1786">
        <v>0.37</v>
      </c>
    </row>
    <row r="27" spans="1:10">
      <c r="A27" s="2764"/>
      <c r="B27" s="2764"/>
      <c r="C27" s="1789"/>
      <c r="D27" s="1789"/>
      <c r="E27" s="1789"/>
      <c r="F27" s="1802"/>
      <c r="G27" s="2764" t="str">
        <f>G28</f>
        <v>02-06-2023 00:00</v>
      </c>
      <c r="H27" s="2764"/>
      <c r="I27" s="1789">
        <f>SUM(I28:I51)</f>
        <v>17.53</v>
      </c>
      <c r="J27" s="1802"/>
    </row>
    <row r="28" spans="1:10">
      <c r="G28" s="1785" t="str">
        <f>"02-06-2023 00:00"</f>
        <v>02-06-2023 00:00</v>
      </c>
      <c r="H28" s="1785" t="str">
        <f>"02-06-2023 01:00"</f>
        <v>02-06-2023 01:00</v>
      </c>
      <c r="I28" s="1786">
        <v>0.43</v>
      </c>
    </row>
    <row r="29" spans="1:10">
      <c r="G29" s="1785" t="str">
        <f>"02-06-2023 01:00"</f>
        <v>02-06-2023 01:00</v>
      </c>
      <c r="H29" s="1785" t="str">
        <f>"02-06-2023 02:00"</f>
        <v>02-06-2023 02:00</v>
      </c>
      <c r="I29" s="1786">
        <v>0.48</v>
      </c>
    </row>
    <row r="30" spans="1:10">
      <c r="G30" s="1785" t="str">
        <f>"02-06-2023 02:00"</f>
        <v>02-06-2023 02:00</v>
      </c>
      <c r="H30" s="1785" t="str">
        <f>"02-06-2023 03:00"</f>
        <v>02-06-2023 03:00</v>
      </c>
      <c r="I30" s="1786">
        <v>0.42</v>
      </c>
    </row>
    <row r="31" spans="1:10">
      <c r="G31" s="1785" t="str">
        <f>"02-06-2023 03:00"</f>
        <v>02-06-2023 03:00</v>
      </c>
      <c r="H31" s="1785" t="str">
        <f>"02-06-2023 04:00"</f>
        <v>02-06-2023 04:00</v>
      </c>
      <c r="I31" s="1786">
        <v>0.35</v>
      </c>
    </row>
    <row r="32" spans="1:10">
      <c r="G32" s="1785" t="str">
        <f>"02-06-2023 04:00"</f>
        <v>02-06-2023 04:00</v>
      </c>
      <c r="H32" s="1785" t="str">
        <f>"02-06-2023 05:00"</f>
        <v>02-06-2023 05:00</v>
      </c>
      <c r="I32" s="1786">
        <v>0.44</v>
      </c>
    </row>
    <row r="33" spans="1:9">
      <c r="G33" s="1785" t="str">
        <f>"02-06-2023 05:00"</f>
        <v>02-06-2023 05:00</v>
      </c>
      <c r="H33" s="1785" t="str">
        <f>"02-06-2023 06:00"</f>
        <v>02-06-2023 06:00</v>
      </c>
      <c r="I33" s="1786">
        <v>0.61</v>
      </c>
    </row>
    <row r="34" spans="1:9">
      <c r="G34" s="1785" t="str">
        <f>"02-06-2023 06:00"</f>
        <v>02-06-2023 06:00</v>
      </c>
      <c r="H34" s="1785" t="str">
        <f>"02-06-2023 07:00"</f>
        <v>02-06-2023 07:00</v>
      </c>
      <c r="I34" s="1786">
        <v>0.89</v>
      </c>
    </row>
    <row r="35" spans="1:9">
      <c r="G35" s="1785" t="str">
        <f>"02-06-2023 07:00"</f>
        <v>02-06-2023 07:00</v>
      </c>
      <c r="H35" s="1785" t="str">
        <f>"02-06-2023 08:00"</f>
        <v>02-06-2023 08:00</v>
      </c>
      <c r="I35" s="1786">
        <v>0.99</v>
      </c>
    </row>
    <row r="36" spans="1:9">
      <c r="A36" s="1795"/>
      <c r="B36" s="1796"/>
      <c r="C36" s="1797"/>
      <c r="D36" s="1797"/>
      <c r="E36" s="1797"/>
      <c r="G36" s="1795" t="str">
        <f>"02-06-2023 08:00"</f>
        <v>02-06-2023 08:00</v>
      </c>
      <c r="H36" s="1796" t="str">
        <f>"02-06-2023 09:00"</f>
        <v>02-06-2023 09:00</v>
      </c>
      <c r="I36" s="1797">
        <v>0.86</v>
      </c>
    </row>
    <row r="37" spans="1:9">
      <c r="A37" s="1798"/>
      <c r="B37" s="1788"/>
      <c r="C37" s="1799"/>
      <c r="D37" s="1799"/>
      <c r="E37" s="1799"/>
      <c r="G37" s="1798" t="str">
        <f>"02-06-2023 09:00"</f>
        <v>02-06-2023 09:00</v>
      </c>
      <c r="H37" s="1788" t="str">
        <f>"02-06-2023 10:00"</f>
        <v>02-06-2023 10:00</v>
      </c>
      <c r="I37" s="1799">
        <v>0.69</v>
      </c>
    </row>
    <row r="38" spans="1:9">
      <c r="A38" s="1798"/>
      <c r="B38" s="1788"/>
      <c r="C38" s="1799"/>
      <c r="D38" s="1799"/>
      <c r="E38" s="1799"/>
      <c r="G38" s="1798" t="str">
        <f>"02-06-2023 10:00"</f>
        <v>02-06-2023 10:00</v>
      </c>
      <c r="H38" s="1788" t="str">
        <f>"02-06-2023 11:00"</f>
        <v>02-06-2023 11:00</v>
      </c>
      <c r="I38" s="1799">
        <v>1.0900000000000001</v>
      </c>
    </row>
    <row r="39" spans="1:9">
      <c r="A39" s="1798"/>
      <c r="B39" s="1788"/>
      <c r="C39" s="1799"/>
      <c r="D39" s="1799"/>
      <c r="E39" s="1799"/>
      <c r="G39" s="1798" t="str">
        <f>"02-06-2023 11:00"</f>
        <v>02-06-2023 11:00</v>
      </c>
      <c r="H39" s="1788" t="str">
        <f>"02-06-2023 12:00"</f>
        <v>02-06-2023 12:00</v>
      </c>
      <c r="I39" s="1799">
        <v>0.94</v>
      </c>
    </row>
    <row r="40" spans="1:9">
      <c r="A40" s="1798"/>
      <c r="B40" s="1788"/>
      <c r="C40" s="1799"/>
      <c r="D40" s="1799"/>
      <c r="E40" s="1799"/>
      <c r="G40" s="1798" t="str">
        <f>"02-06-2023 12:00"</f>
        <v>02-06-2023 12:00</v>
      </c>
      <c r="H40" s="1788" t="str">
        <f>"02-06-2023 13:00"</f>
        <v>02-06-2023 13:00</v>
      </c>
      <c r="I40" s="1799">
        <v>0.75</v>
      </c>
    </row>
    <row r="41" spans="1:9">
      <c r="A41" s="1798"/>
      <c r="B41" s="1788"/>
      <c r="C41" s="1799"/>
      <c r="D41" s="1799"/>
      <c r="E41" s="1799"/>
      <c r="G41" s="1798" t="str">
        <f>"02-06-2023 13:00"</f>
        <v>02-06-2023 13:00</v>
      </c>
      <c r="H41" s="1788" t="str">
        <f>"02-06-2023 14:00"</f>
        <v>02-06-2023 14:00</v>
      </c>
      <c r="I41" s="1799">
        <v>0.56999999999999995</v>
      </c>
    </row>
    <row r="42" spans="1:9">
      <c r="A42" s="1798"/>
      <c r="B42" s="1788"/>
      <c r="C42" s="1799"/>
      <c r="D42" s="1799"/>
      <c r="E42" s="1799"/>
      <c r="G42" s="1798" t="str">
        <f>"02-06-2023 14:00"</f>
        <v>02-06-2023 14:00</v>
      </c>
      <c r="H42" s="1788" t="str">
        <f>"02-06-2023 15:00"</f>
        <v>02-06-2023 15:00</v>
      </c>
      <c r="I42" s="1799">
        <v>0.71</v>
      </c>
    </row>
    <row r="43" spans="1:9">
      <c r="A43" s="1798"/>
      <c r="B43" s="1788"/>
      <c r="C43" s="1799"/>
      <c r="D43" s="1799"/>
      <c r="E43" s="1799"/>
      <c r="G43" s="1798" t="str">
        <f>"02-06-2023 15:00"</f>
        <v>02-06-2023 15:00</v>
      </c>
      <c r="H43" s="1788" t="str">
        <f>"02-06-2023 16:00"</f>
        <v>02-06-2023 16:00</v>
      </c>
      <c r="I43" s="1799">
        <v>0.68</v>
      </c>
    </row>
    <row r="44" spans="1:9">
      <c r="A44" s="1798"/>
      <c r="B44" s="1788"/>
      <c r="C44" s="1799"/>
      <c r="D44" s="1799"/>
      <c r="E44" s="1799"/>
      <c r="G44" s="1798" t="str">
        <f>"02-06-2023 16:00"</f>
        <v>02-06-2023 16:00</v>
      </c>
      <c r="H44" s="1788" t="str">
        <f>"02-06-2023 17:00"</f>
        <v>02-06-2023 17:00</v>
      </c>
      <c r="I44" s="1799">
        <v>0.75</v>
      </c>
    </row>
    <row r="45" spans="1:9">
      <c r="A45" s="1798"/>
      <c r="B45" s="1788"/>
      <c r="C45" s="1799"/>
      <c r="D45" s="1799"/>
      <c r="E45" s="1799"/>
      <c r="G45" s="1798" t="str">
        <f>"02-06-2023 17:00"</f>
        <v>02-06-2023 17:00</v>
      </c>
      <c r="H45" s="1788" t="str">
        <f>"02-06-2023 18:00"</f>
        <v>02-06-2023 18:00</v>
      </c>
      <c r="I45" s="1799">
        <v>0.86</v>
      </c>
    </row>
    <row r="46" spans="1:9">
      <c r="A46" s="1800"/>
      <c r="B46" s="1794"/>
      <c r="C46" s="1801"/>
      <c r="D46" s="1801"/>
      <c r="E46" s="1801"/>
      <c r="G46" s="1800" t="str">
        <f>"02-06-2023 18:00"</f>
        <v>02-06-2023 18:00</v>
      </c>
      <c r="H46" s="1794" t="str">
        <f>"02-06-2023 19:00"</f>
        <v>02-06-2023 19:00</v>
      </c>
      <c r="I46" s="1801">
        <v>1.44</v>
      </c>
    </row>
    <row r="47" spans="1:9">
      <c r="G47" s="1785" t="str">
        <f>"02-06-2023 19:00"</f>
        <v>02-06-2023 19:00</v>
      </c>
      <c r="H47" s="1785" t="str">
        <f>"02-06-2023 20:00"</f>
        <v>02-06-2023 20:00</v>
      </c>
      <c r="I47" s="1786">
        <v>1</v>
      </c>
    </row>
    <row r="48" spans="1:9">
      <c r="G48" s="1785" t="str">
        <f>"02-06-2023 20:00"</f>
        <v>02-06-2023 20:00</v>
      </c>
      <c r="H48" s="1785" t="str">
        <f>"02-06-2023 21:00"</f>
        <v>02-06-2023 21:00</v>
      </c>
      <c r="I48" s="1786">
        <v>0.92</v>
      </c>
    </row>
    <row r="49" spans="1:10">
      <c r="G49" s="1785" t="str">
        <f>"02-06-2023 21:00"</f>
        <v>02-06-2023 21:00</v>
      </c>
      <c r="H49" s="1785" t="str">
        <f>"02-06-2023 22:00"</f>
        <v>02-06-2023 22:00</v>
      </c>
      <c r="I49" s="1786">
        <v>0.67</v>
      </c>
    </row>
    <row r="50" spans="1:10">
      <c r="G50" s="1785" t="str">
        <f>"02-06-2023 22:00"</f>
        <v>02-06-2023 22:00</v>
      </c>
      <c r="H50" s="1785" t="str">
        <f>"02-06-2023 23:00"</f>
        <v>02-06-2023 23:00</v>
      </c>
      <c r="I50" s="1786">
        <v>0.6</v>
      </c>
    </row>
    <row r="51" spans="1:10" ht="15" thickBot="1">
      <c r="G51" s="1785" t="str">
        <f>"02-06-2023 23:00"</f>
        <v>02-06-2023 23:00</v>
      </c>
      <c r="H51" s="1785" t="str">
        <f>"03-06-2023 00:00"</f>
        <v>03-06-2023 00:00</v>
      </c>
      <c r="I51" s="1786">
        <v>0.39</v>
      </c>
    </row>
    <row r="52" spans="1:10">
      <c r="A52" s="2764"/>
      <c r="B52" s="2764"/>
      <c r="C52" s="1789"/>
      <c r="D52" s="1789"/>
      <c r="E52" s="1789"/>
      <c r="F52" s="1802"/>
      <c r="G52" s="2764" t="str">
        <f>G53</f>
        <v>03-06-2023 00:00</v>
      </c>
      <c r="H52" s="2764"/>
      <c r="I52" s="1789">
        <f>SUM(I53:I76)</f>
        <v>14.979999999999999</v>
      </c>
      <c r="J52" s="1802"/>
    </row>
    <row r="53" spans="1:10">
      <c r="G53" s="1785" t="str">
        <f>"03-06-2023 00:00"</f>
        <v>03-06-2023 00:00</v>
      </c>
      <c r="H53" s="1785" t="str">
        <f>"03-06-2023 01:00"</f>
        <v>03-06-2023 01:00</v>
      </c>
      <c r="I53" s="1786">
        <v>0.48</v>
      </c>
    </row>
    <row r="54" spans="1:10">
      <c r="G54" s="1785" t="str">
        <f>"03-06-2023 01:00"</f>
        <v>03-06-2023 01:00</v>
      </c>
      <c r="H54" s="1785" t="str">
        <f>"03-06-2023 02:00"</f>
        <v>03-06-2023 02:00</v>
      </c>
      <c r="I54" s="1786">
        <v>0.41</v>
      </c>
    </row>
    <row r="55" spans="1:10">
      <c r="G55" s="1785" t="str">
        <f>"03-06-2023 02:00"</f>
        <v>03-06-2023 02:00</v>
      </c>
      <c r="H55" s="1785" t="str">
        <f>"03-06-2023 03:00"</f>
        <v>03-06-2023 03:00</v>
      </c>
      <c r="I55" s="1786">
        <v>0.48</v>
      </c>
    </row>
    <row r="56" spans="1:10">
      <c r="G56" s="1785" t="str">
        <f>"03-06-2023 03:00"</f>
        <v>03-06-2023 03:00</v>
      </c>
      <c r="H56" s="1785" t="str">
        <f>"03-06-2023 04:00"</f>
        <v>03-06-2023 04:00</v>
      </c>
      <c r="I56" s="1786">
        <v>0.35</v>
      </c>
    </row>
    <row r="57" spans="1:10">
      <c r="G57" s="1785" t="str">
        <f>"03-06-2023 04:00"</f>
        <v>03-06-2023 04:00</v>
      </c>
      <c r="H57" s="1785" t="str">
        <f>"03-06-2023 05:00"</f>
        <v>03-06-2023 05:00</v>
      </c>
      <c r="I57" s="1786">
        <v>0.36</v>
      </c>
    </row>
    <row r="58" spans="1:10">
      <c r="G58" s="1785" t="str">
        <f>"03-06-2023 05:00"</f>
        <v>03-06-2023 05:00</v>
      </c>
      <c r="H58" s="1785" t="str">
        <f>"03-06-2023 06:00"</f>
        <v>03-06-2023 06:00</v>
      </c>
      <c r="I58" s="1786">
        <v>0.68</v>
      </c>
    </row>
    <row r="59" spans="1:10">
      <c r="G59" s="1785" t="str">
        <f>"03-06-2023 06:00"</f>
        <v>03-06-2023 06:00</v>
      </c>
      <c r="H59" s="1785" t="str">
        <f>"03-06-2023 07:00"</f>
        <v>03-06-2023 07:00</v>
      </c>
      <c r="I59" s="1786">
        <v>0.92</v>
      </c>
    </row>
    <row r="60" spans="1:10">
      <c r="G60" s="1785" t="str">
        <f>"03-06-2023 07:00"</f>
        <v>03-06-2023 07:00</v>
      </c>
      <c r="H60" s="1785" t="str">
        <f>"03-06-2023 08:00"</f>
        <v>03-06-2023 08:00</v>
      </c>
      <c r="I60" s="1786">
        <v>0.77</v>
      </c>
    </row>
    <row r="61" spans="1:10">
      <c r="A61" s="1795"/>
      <c r="B61" s="1796"/>
      <c r="C61" s="1797"/>
      <c r="D61" s="1797"/>
      <c r="E61" s="1797"/>
      <c r="G61" s="1795" t="str">
        <f>"03-06-2023 08:00"</f>
        <v>03-06-2023 08:00</v>
      </c>
      <c r="H61" s="1796" t="str">
        <f>"03-06-2023 09:00"</f>
        <v>03-06-2023 09:00</v>
      </c>
      <c r="I61" s="1797">
        <v>0.76</v>
      </c>
    </row>
    <row r="62" spans="1:10">
      <c r="A62" s="1798"/>
      <c r="B62" s="1788"/>
      <c r="C62" s="1799"/>
      <c r="D62" s="1799"/>
      <c r="E62" s="1799"/>
      <c r="G62" s="1798" t="str">
        <f>"03-06-2023 09:00"</f>
        <v>03-06-2023 09:00</v>
      </c>
      <c r="H62" s="1788" t="str">
        <f>"03-06-2023 10:00"</f>
        <v>03-06-2023 10:00</v>
      </c>
      <c r="I62" s="1799">
        <v>0.77</v>
      </c>
    </row>
    <row r="63" spans="1:10">
      <c r="A63" s="1798"/>
      <c r="B63" s="1788"/>
      <c r="C63" s="1799"/>
      <c r="D63" s="1799"/>
      <c r="E63" s="1799"/>
      <c r="G63" s="1798" t="str">
        <f>"03-06-2023 10:00"</f>
        <v>03-06-2023 10:00</v>
      </c>
      <c r="H63" s="1788" t="str">
        <f>"03-06-2023 11:00"</f>
        <v>03-06-2023 11:00</v>
      </c>
      <c r="I63" s="1799">
        <v>0.59</v>
      </c>
    </row>
    <row r="64" spans="1:10">
      <c r="A64" s="1798"/>
      <c r="B64" s="1788"/>
      <c r="C64" s="1799"/>
      <c r="D64" s="1799"/>
      <c r="E64" s="1799"/>
      <c r="G64" s="1798" t="str">
        <f>"03-06-2023 11:00"</f>
        <v>03-06-2023 11:00</v>
      </c>
      <c r="H64" s="1788" t="str">
        <f>"03-06-2023 12:00"</f>
        <v>03-06-2023 12:00</v>
      </c>
      <c r="I64" s="1799">
        <v>0.59</v>
      </c>
    </row>
    <row r="65" spans="1:10">
      <c r="A65" s="1798"/>
      <c r="B65" s="1788"/>
      <c r="C65" s="1799"/>
      <c r="D65" s="1799"/>
      <c r="E65" s="1799"/>
      <c r="G65" s="1798" t="str">
        <f>"03-06-2023 12:00"</f>
        <v>03-06-2023 12:00</v>
      </c>
      <c r="H65" s="1788" t="str">
        <f>"03-06-2023 13:00"</f>
        <v>03-06-2023 13:00</v>
      </c>
      <c r="I65" s="1799">
        <v>0.47</v>
      </c>
    </row>
    <row r="66" spans="1:10">
      <c r="A66" s="1798"/>
      <c r="B66" s="1788"/>
      <c r="C66" s="1799"/>
      <c r="D66" s="1799"/>
      <c r="E66" s="1799"/>
      <c r="G66" s="1798" t="str">
        <f>"03-06-2023 13:00"</f>
        <v>03-06-2023 13:00</v>
      </c>
      <c r="H66" s="1788" t="str">
        <f>"03-06-2023 14:00"</f>
        <v>03-06-2023 14:00</v>
      </c>
      <c r="I66" s="1799">
        <v>0.37</v>
      </c>
    </row>
    <row r="67" spans="1:10">
      <c r="A67" s="1798"/>
      <c r="B67" s="1788"/>
      <c r="C67" s="1799"/>
      <c r="D67" s="1799"/>
      <c r="E67" s="1799"/>
      <c r="G67" s="1798" t="str">
        <f>"03-06-2023 14:00"</f>
        <v>03-06-2023 14:00</v>
      </c>
      <c r="H67" s="1788" t="str">
        <f>"03-06-2023 15:00"</f>
        <v>03-06-2023 15:00</v>
      </c>
      <c r="I67" s="1799">
        <v>0.38</v>
      </c>
    </row>
    <row r="68" spans="1:10">
      <c r="A68" s="1798"/>
      <c r="B68" s="1788"/>
      <c r="C68" s="1799"/>
      <c r="D68" s="1799"/>
      <c r="E68" s="1799"/>
      <c r="G68" s="1798" t="str">
        <f>"03-06-2023 15:00"</f>
        <v>03-06-2023 15:00</v>
      </c>
      <c r="H68" s="1788" t="str">
        <f>"03-06-2023 16:00"</f>
        <v>03-06-2023 16:00</v>
      </c>
      <c r="I68" s="1799">
        <v>0.37</v>
      </c>
    </row>
    <row r="69" spans="1:10">
      <c r="A69" s="1798"/>
      <c r="B69" s="1788"/>
      <c r="C69" s="1799"/>
      <c r="D69" s="1799"/>
      <c r="E69" s="1799"/>
      <c r="G69" s="1798" t="str">
        <f>"03-06-2023 16:00"</f>
        <v>03-06-2023 16:00</v>
      </c>
      <c r="H69" s="1788" t="str">
        <f>"03-06-2023 17:00"</f>
        <v>03-06-2023 17:00</v>
      </c>
      <c r="I69" s="1799">
        <v>0.44</v>
      </c>
    </row>
    <row r="70" spans="1:10">
      <c r="A70" s="1798"/>
      <c r="B70" s="1788"/>
      <c r="C70" s="1799"/>
      <c r="D70" s="1799"/>
      <c r="E70" s="1799"/>
      <c r="G70" s="1798" t="str">
        <f>"03-06-2023 17:00"</f>
        <v>03-06-2023 17:00</v>
      </c>
      <c r="H70" s="1788" t="str">
        <f>"03-06-2023 18:00"</f>
        <v>03-06-2023 18:00</v>
      </c>
      <c r="I70" s="1799">
        <v>0.67</v>
      </c>
    </row>
    <row r="71" spans="1:10">
      <c r="A71" s="1800"/>
      <c r="B71" s="1794"/>
      <c r="C71" s="1801"/>
      <c r="D71" s="1801"/>
      <c r="E71" s="1801"/>
      <c r="G71" s="1800" t="str">
        <f>"03-06-2023 18:00"</f>
        <v>03-06-2023 18:00</v>
      </c>
      <c r="H71" s="1794" t="str">
        <f>"03-06-2023 19:00"</f>
        <v>03-06-2023 19:00</v>
      </c>
      <c r="I71" s="1801">
        <v>0.98</v>
      </c>
    </row>
    <row r="72" spans="1:10">
      <c r="G72" s="1785" t="str">
        <f>"03-06-2023 19:00"</f>
        <v>03-06-2023 19:00</v>
      </c>
      <c r="H72" s="1785" t="str">
        <f>"03-06-2023 20:00"</f>
        <v>03-06-2023 20:00</v>
      </c>
      <c r="I72" s="1786">
        <v>1.06</v>
      </c>
    </row>
    <row r="73" spans="1:10">
      <c r="G73" s="1785" t="str">
        <f>"03-06-2023 20:00"</f>
        <v>03-06-2023 20:00</v>
      </c>
      <c r="H73" s="1785" t="str">
        <f>"03-06-2023 21:00"</f>
        <v>03-06-2023 21:00</v>
      </c>
      <c r="I73" s="1786">
        <v>0.88</v>
      </c>
    </row>
    <row r="74" spans="1:10">
      <c r="G74" s="1785" t="str">
        <f>"03-06-2023 21:00"</f>
        <v>03-06-2023 21:00</v>
      </c>
      <c r="H74" s="1785" t="str">
        <f>"03-06-2023 22:00"</f>
        <v>03-06-2023 22:00</v>
      </c>
      <c r="I74" s="1786">
        <v>0.85</v>
      </c>
    </row>
    <row r="75" spans="1:10">
      <c r="G75" s="1785" t="str">
        <f>"03-06-2023 22:00"</f>
        <v>03-06-2023 22:00</v>
      </c>
      <c r="H75" s="1785" t="str">
        <f>"03-06-2023 23:00"</f>
        <v>03-06-2023 23:00</v>
      </c>
      <c r="I75" s="1786">
        <v>0.82</v>
      </c>
    </row>
    <row r="76" spans="1:10" ht="15" thickBot="1">
      <c r="G76" s="1785" t="str">
        <f>"03-06-2023 23:00"</f>
        <v>03-06-2023 23:00</v>
      </c>
      <c r="H76" s="1785" t="str">
        <f>"04-06-2023 00:00"</f>
        <v>04-06-2023 00:00</v>
      </c>
      <c r="I76" s="1786">
        <v>0.53</v>
      </c>
    </row>
    <row r="77" spans="1:10">
      <c r="A77" s="2764"/>
      <c r="B77" s="2764"/>
      <c r="C77" s="1789"/>
      <c r="D77" s="1789"/>
      <c r="E77" s="1789"/>
      <c r="F77" s="1802"/>
      <c r="G77" s="2764" t="str">
        <f>G78</f>
        <v>04-06-2023 00:00</v>
      </c>
      <c r="H77" s="2764"/>
      <c r="I77" s="1789">
        <f>SUM(I78:I101)</f>
        <v>11.68</v>
      </c>
      <c r="J77" s="1802"/>
    </row>
    <row r="78" spans="1:10">
      <c r="G78" s="1785" t="str">
        <f>"04-06-2023 00:00"</f>
        <v>04-06-2023 00:00</v>
      </c>
      <c r="H78" s="1785" t="str">
        <f>"04-06-2023 01:00"</f>
        <v>04-06-2023 01:00</v>
      </c>
      <c r="I78" s="1786">
        <v>0.44</v>
      </c>
    </row>
    <row r="79" spans="1:10">
      <c r="G79" s="1785" t="str">
        <f>"04-06-2023 01:00"</f>
        <v>04-06-2023 01:00</v>
      </c>
      <c r="H79" s="1785" t="str">
        <f>"04-06-2023 02:00"</f>
        <v>04-06-2023 02:00</v>
      </c>
      <c r="I79" s="1786">
        <v>0.56999999999999995</v>
      </c>
    </row>
    <row r="80" spans="1:10">
      <c r="G80" s="1785" t="str">
        <f>"04-06-2023 02:00"</f>
        <v>04-06-2023 02:00</v>
      </c>
      <c r="H80" s="1785" t="str">
        <f>"04-06-2023 03:00"</f>
        <v>04-06-2023 03:00</v>
      </c>
      <c r="I80" s="1786">
        <v>0.49</v>
      </c>
    </row>
    <row r="81" spans="1:9">
      <c r="G81" s="1785" t="str">
        <f>"04-06-2023 03:00"</f>
        <v>04-06-2023 03:00</v>
      </c>
      <c r="H81" s="1785" t="str">
        <f>"04-06-2023 04:00"</f>
        <v>04-06-2023 04:00</v>
      </c>
      <c r="I81" s="1786">
        <v>0.37</v>
      </c>
    </row>
    <row r="82" spans="1:9">
      <c r="G82" s="1785" t="str">
        <f>"04-06-2023 04:00"</f>
        <v>04-06-2023 04:00</v>
      </c>
      <c r="H82" s="1785" t="str">
        <f>"04-06-2023 05:00"</f>
        <v>04-06-2023 05:00</v>
      </c>
      <c r="I82" s="1786">
        <v>0.56999999999999995</v>
      </c>
    </row>
    <row r="83" spans="1:9">
      <c r="G83" s="1785" t="str">
        <f>"04-06-2023 05:00"</f>
        <v>04-06-2023 05:00</v>
      </c>
      <c r="H83" s="1785" t="str">
        <f>"04-06-2023 06:00"</f>
        <v>04-06-2023 06:00</v>
      </c>
      <c r="I83" s="1786">
        <v>0.49</v>
      </c>
    </row>
    <row r="84" spans="1:9">
      <c r="G84" s="1785" t="str">
        <f>"04-06-2023 06:00"</f>
        <v>04-06-2023 06:00</v>
      </c>
      <c r="H84" s="1785" t="str">
        <f>"04-06-2023 07:00"</f>
        <v>04-06-2023 07:00</v>
      </c>
      <c r="I84" s="1786">
        <v>0.51</v>
      </c>
    </row>
    <row r="85" spans="1:9">
      <c r="G85" s="1785" t="str">
        <f>"04-06-2023 07:00"</f>
        <v>04-06-2023 07:00</v>
      </c>
      <c r="H85" s="1785" t="str">
        <f>"04-06-2023 08:00"</f>
        <v>04-06-2023 08:00</v>
      </c>
      <c r="I85" s="1786">
        <v>0.67</v>
      </c>
    </row>
    <row r="86" spans="1:9">
      <c r="A86" s="1795"/>
      <c r="B86" s="1796"/>
      <c r="C86" s="1797"/>
      <c r="D86" s="1797"/>
      <c r="E86" s="1797"/>
      <c r="G86" s="1795" t="str">
        <f>"04-06-2023 08:00"</f>
        <v>04-06-2023 08:00</v>
      </c>
      <c r="H86" s="1796" t="str">
        <f>"04-06-2023 09:00"</f>
        <v>04-06-2023 09:00</v>
      </c>
      <c r="I86" s="1797">
        <v>0.81</v>
      </c>
    </row>
    <row r="87" spans="1:9">
      <c r="A87" s="1798"/>
      <c r="B87" s="1788"/>
      <c r="C87" s="1799"/>
      <c r="D87" s="1799"/>
      <c r="E87" s="1799"/>
      <c r="G87" s="1798" t="str">
        <f>"04-06-2023 09:00"</f>
        <v>04-06-2023 09:00</v>
      </c>
      <c r="H87" s="1788" t="str">
        <f>"04-06-2023 10:00"</f>
        <v>04-06-2023 10:00</v>
      </c>
      <c r="I87" s="1799">
        <v>0.64</v>
      </c>
    </row>
    <row r="88" spans="1:9">
      <c r="A88" s="1798"/>
      <c r="B88" s="1788"/>
      <c r="C88" s="1799"/>
      <c r="D88" s="1799"/>
      <c r="E88" s="1799"/>
      <c r="G88" s="1798" t="str">
        <f>"04-06-2023 10:00"</f>
        <v>04-06-2023 10:00</v>
      </c>
      <c r="H88" s="1788" t="str">
        <f>"04-06-2023 11:00"</f>
        <v>04-06-2023 11:00</v>
      </c>
      <c r="I88" s="1799">
        <v>0.51</v>
      </c>
    </row>
    <row r="89" spans="1:9">
      <c r="A89" s="1798"/>
      <c r="B89" s="1788"/>
      <c r="C89" s="1799"/>
      <c r="D89" s="1799"/>
      <c r="E89" s="1799"/>
      <c r="G89" s="1798" t="str">
        <f>"04-06-2023 11:00"</f>
        <v>04-06-2023 11:00</v>
      </c>
      <c r="H89" s="1788" t="str">
        <f>"04-06-2023 12:00"</f>
        <v>04-06-2023 12:00</v>
      </c>
      <c r="I89" s="1799">
        <v>0.45</v>
      </c>
    </row>
    <row r="90" spans="1:9">
      <c r="A90" s="1798"/>
      <c r="B90" s="1788"/>
      <c r="C90" s="1799"/>
      <c r="D90" s="1799"/>
      <c r="E90" s="1799"/>
      <c r="G90" s="1798" t="str">
        <f>"04-06-2023 12:00"</f>
        <v>04-06-2023 12:00</v>
      </c>
      <c r="H90" s="1788" t="str">
        <f>"04-06-2023 13:00"</f>
        <v>04-06-2023 13:00</v>
      </c>
      <c r="I90" s="1799">
        <v>0.43</v>
      </c>
    </row>
    <row r="91" spans="1:9">
      <c r="A91" s="1798"/>
      <c r="B91" s="1788"/>
      <c r="C91" s="1799"/>
      <c r="D91" s="1799"/>
      <c r="E91" s="1799"/>
      <c r="G91" s="1798" t="str">
        <f>"04-06-2023 13:00"</f>
        <v>04-06-2023 13:00</v>
      </c>
      <c r="H91" s="1788" t="str">
        <f>"04-06-2023 14:00"</f>
        <v>04-06-2023 14:00</v>
      </c>
      <c r="I91" s="1799">
        <v>0.49</v>
      </c>
    </row>
    <row r="92" spans="1:9">
      <c r="A92" s="1798"/>
      <c r="B92" s="1788"/>
      <c r="C92" s="1799"/>
      <c r="D92" s="1799"/>
      <c r="E92" s="1799"/>
      <c r="G92" s="1798" t="str">
        <f>"04-06-2023 14:00"</f>
        <v>04-06-2023 14:00</v>
      </c>
      <c r="H92" s="1788" t="str">
        <f>"04-06-2023 15:00"</f>
        <v>04-06-2023 15:00</v>
      </c>
      <c r="I92" s="1799">
        <v>0.18</v>
      </c>
    </row>
    <row r="93" spans="1:9">
      <c r="A93" s="1798"/>
      <c r="B93" s="1788"/>
      <c r="C93" s="1799"/>
      <c r="D93" s="1799"/>
      <c r="E93" s="1799"/>
      <c r="G93" s="1798" t="str">
        <f>"04-06-2023 15:00"</f>
        <v>04-06-2023 15:00</v>
      </c>
      <c r="H93" s="1788" t="str">
        <f>"04-06-2023 16:00"</f>
        <v>04-06-2023 16:00</v>
      </c>
      <c r="I93" s="1799">
        <v>0.28000000000000003</v>
      </c>
    </row>
    <row r="94" spans="1:9">
      <c r="A94" s="1798"/>
      <c r="B94" s="1788"/>
      <c r="C94" s="1799"/>
      <c r="D94" s="1799"/>
      <c r="E94" s="1799"/>
      <c r="G94" s="1798" t="str">
        <f>"04-06-2023 16:00"</f>
        <v>04-06-2023 16:00</v>
      </c>
      <c r="H94" s="1788" t="str">
        <f>"04-06-2023 17:00"</f>
        <v>04-06-2023 17:00</v>
      </c>
      <c r="I94" s="1799">
        <v>0.2</v>
      </c>
    </row>
    <row r="95" spans="1:9">
      <c r="A95" s="1798"/>
      <c r="B95" s="1788"/>
      <c r="C95" s="1799"/>
      <c r="D95" s="1799"/>
      <c r="E95" s="1799"/>
      <c r="G95" s="1798" t="str">
        <f>"04-06-2023 17:00"</f>
        <v>04-06-2023 17:00</v>
      </c>
      <c r="H95" s="1788" t="str">
        <f>"04-06-2023 18:00"</f>
        <v>04-06-2023 18:00</v>
      </c>
      <c r="I95" s="1799">
        <v>0.36</v>
      </c>
    </row>
    <row r="96" spans="1:9">
      <c r="A96" s="1800"/>
      <c r="B96" s="1794"/>
      <c r="C96" s="1801"/>
      <c r="D96" s="1801"/>
      <c r="E96" s="1801"/>
      <c r="G96" s="1800" t="str">
        <f>"04-06-2023 18:00"</f>
        <v>04-06-2023 18:00</v>
      </c>
      <c r="H96" s="1794" t="str">
        <f>"04-06-2023 19:00"</f>
        <v>04-06-2023 19:00</v>
      </c>
      <c r="I96" s="1801">
        <v>0.49</v>
      </c>
    </row>
    <row r="97" spans="1:10">
      <c r="G97" s="1785" t="str">
        <f>"04-06-2023 19:00"</f>
        <v>04-06-2023 19:00</v>
      </c>
      <c r="H97" s="1785" t="str">
        <f>"04-06-2023 20:00"</f>
        <v>04-06-2023 20:00</v>
      </c>
      <c r="I97" s="1786">
        <v>0.59</v>
      </c>
    </row>
    <row r="98" spans="1:10">
      <c r="G98" s="1785" t="str">
        <f>"04-06-2023 20:00"</f>
        <v>04-06-2023 20:00</v>
      </c>
      <c r="H98" s="1785" t="str">
        <f>"04-06-2023 21:00"</f>
        <v>04-06-2023 21:00</v>
      </c>
      <c r="I98" s="1786">
        <v>0.59</v>
      </c>
    </row>
    <row r="99" spans="1:10">
      <c r="G99" s="1785" t="str">
        <f>"04-06-2023 21:00"</f>
        <v>04-06-2023 21:00</v>
      </c>
      <c r="H99" s="1785" t="str">
        <f>"04-06-2023 22:00"</f>
        <v>04-06-2023 22:00</v>
      </c>
      <c r="I99" s="1786">
        <v>0.5</v>
      </c>
    </row>
    <row r="100" spans="1:10">
      <c r="G100" s="1785" t="str">
        <f>"04-06-2023 22:00"</f>
        <v>04-06-2023 22:00</v>
      </c>
      <c r="H100" s="1785" t="str">
        <f>"04-06-2023 23:00"</f>
        <v>04-06-2023 23:00</v>
      </c>
      <c r="I100" s="1786">
        <v>0.56000000000000005</v>
      </c>
    </row>
    <row r="101" spans="1:10" ht="15" thickBot="1">
      <c r="G101" s="1785" t="str">
        <f>"04-06-2023 23:00"</f>
        <v>04-06-2023 23:00</v>
      </c>
      <c r="H101" s="1785" t="str">
        <f>"05-06-2023 00:00"</f>
        <v>05-06-2023 00:00</v>
      </c>
      <c r="I101" s="1786">
        <v>0.49</v>
      </c>
    </row>
    <row r="102" spans="1:10">
      <c r="A102" s="2764">
        <v>45051</v>
      </c>
      <c r="B102" s="2764"/>
      <c r="C102" s="1789">
        <f>SUM(C103:C126)</f>
        <v>0.7400000000000001</v>
      </c>
      <c r="D102" s="1789">
        <f>SUM(D103:D126)</f>
        <v>8.77</v>
      </c>
      <c r="E102" s="1789">
        <f>C102+D102</f>
        <v>9.51</v>
      </c>
      <c r="F102" s="1802"/>
      <c r="G102" s="2764" t="str">
        <f>G103</f>
        <v>05-06-2023 00:00</v>
      </c>
      <c r="H102" s="2764"/>
      <c r="I102" s="1789">
        <f>SUM(I103:I126)</f>
        <v>13.17</v>
      </c>
      <c r="J102" s="1802"/>
    </row>
    <row r="103" spans="1:10">
      <c r="A103" s="1785" t="str">
        <f>"05-05-2023 00:00"</f>
        <v>05-05-2023 00:00</v>
      </c>
      <c r="C103" s="1786">
        <v>0</v>
      </c>
      <c r="D103" s="1786">
        <v>0.15</v>
      </c>
      <c r="G103" s="1785" t="str">
        <f>"05-06-2023 00:00"</f>
        <v>05-06-2023 00:00</v>
      </c>
      <c r="H103" s="1785" t="str">
        <f>"05-06-2023 01:00"</f>
        <v>05-06-2023 01:00</v>
      </c>
      <c r="I103" s="1786">
        <v>0.46</v>
      </c>
    </row>
    <row r="104" spans="1:10">
      <c r="A104" s="1785" t="str">
        <f>"05-05-2023 01:00"</f>
        <v>05-05-2023 01:00</v>
      </c>
      <c r="C104" s="1786">
        <v>0</v>
      </c>
      <c r="D104" s="1786">
        <v>0.18</v>
      </c>
      <c r="G104" s="1785" t="str">
        <f>"05-06-2023 01:00"</f>
        <v>05-06-2023 01:00</v>
      </c>
      <c r="H104" s="1785" t="str">
        <f>"05-06-2023 02:00"</f>
        <v>05-06-2023 02:00</v>
      </c>
      <c r="I104" s="1786">
        <v>0.35</v>
      </c>
    </row>
    <row r="105" spans="1:10">
      <c r="A105" s="1785" t="str">
        <f>"05-05-2023 02:00"</f>
        <v>05-05-2023 02:00</v>
      </c>
      <c r="C105" s="1786">
        <v>0</v>
      </c>
      <c r="D105" s="1786">
        <v>0.14000000000000001</v>
      </c>
      <c r="G105" s="1785" t="str">
        <f>"05-06-2023 02:00"</f>
        <v>05-06-2023 02:00</v>
      </c>
      <c r="H105" s="1785" t="str">
        <f>"05-06-2023 03:00"</f>
        <v>05-06-2023 03:00</v>
      </c>
      <c r="I105" s="1786">
        <v>0.51</v>
      </c>
    </row>
    <row r="106" spans="1:10">
      <c r="A106" s="1785" t="str">
        <f>"05-05-2023 03:00"</f>
        <v>05-05-2023 03:00</v>
      </c>
      <c r="C106" s="1786">
        <v>0</v>
      </c>
      <c r="D106" s="1786">
        <v>0.2</v>
      </c>
      <c r="G106" s="1785" t="str">
        <f>"05-06-2023 03:00"</f>
        <v>05-06-2023 03:00</v>
      </c>
      <c r="H106" s="1785" t="str">
        <f>"05-06-2023 04:00"</f>
        <v>05-06-2023 04:00</v>
      </c>
      <c r="I106" s="1786">
        <v>0.37</v>
      </c>
    </row>
    <row r="107" spans="1:10">
      <c r="A107" s="1785" t="str">
        <f>"05-05-2023 04:00"</f>
        <v>05-05-2023 04:00</v>
      </c>
      <c r="C107" s="1786">
        <v>0</v>
      </c>
      <c r="D107" s="1786">
        <v>0.18</v>
      </c>
      <c r="G107" s="1785" t="str">
        <f>"05-06-2023 04:00"</f>
        <v>05-06-2023 04:00</v>
      </c>
      <c r="H107" s="1785" t="str">
        <f>"05-06-2023 05:00"</f>
        <v>05-06-2023 05:00</v>
      </c>
      <c r="I107" s="1786">
        <v>0.36</v>
      </c>
    </row>
    <row r="108" spans="1:10">
      <c r="A108" s="1785" t="str">
        <f>"05-05-2023 05:00"</f>
        <v>05-05-2023 05:00</v>
      </c>
      <c r="C108" s="1786">
        <v>0</v>
      </c>
      <c r="D108" s="1786">
        <v>0.28000000000000003</v>
      </c>
      <c r="G108" s="1785" t="str">
        <f>"05-06-2023 05:00"</f>
        <v>05-06-2023 05:00</v>
      </c>
      <c r="H108" s="1785" t="str">
        <f>"05-06-2023 06:00"</f>
        <v>05-06-2023 06:00</v>
      </c>
      <c r="I108" s="1786">
        <v>0.51</v>
      </c>
    </row>
    <row r="109" spans="1:10">
      <c r="A109" s="1785" t="str">
        <f>"05-05-2023 06:00"</f>
        <v>05-05-2023 06:00</v>
      </c>
      <c r="C109" s="1786">
        <v>0</v>
      </c>
      <c r="D109" s="1786">
        <v>0.33</v>
      </c>
      <c r="G109" s="1785" t="str">
        <f>"05-06-2023 06:00"</f>
        <v>05-06-2023 06:00</v>
      </c>
      <c r="H109" s="1785" t="str">
        <f>"05-06-2023 07:00"</f>
        <v>05-06-2023 07:00</v>
      </c>
      <c r="I109" s="1786">
        <v>0.55000000000000004</v>
      </c>
    </row>
    <row r="110" spans="1:10">
      <c r="A110" s="1785" t="str">
        <f>"05-05-2023 07:00"</f>
        <v>05-05-2023 07:00</v>
      </c>
      <c r="C110" s="1786">
        <v>0</v>
      </c>
      <c r="D110" s="1786">
        <v>0.66</v>
      </c>
      <c r="G110" s="1785" t="str">
        <f>"05-06-2023 07:00"</f>
        <v>05-06-2023 07:00</v>
      </c>
      <c r="H110" s="1785" t="str">
        <f>"05-06-2023 08:00"</f>
        <v>05-06-2023 08:00</v>
      </c>
      <c r="I110" s="1786">
        <v>0.45</v>
      </c>
    </row>
    <row r="111" spans="1:10">
      <c r="A111" s="1795" t="str">
        <f>"05-05-2023 08:00"</f>
        <v>05-05-2023 08:00</v>
      </c>
      <c r="B111" s="1796"/>
      <c r="C111" s="1797">
        <v>0</v>
      </c>
      <c r="D111" s="1797">
        <v>1.06</v>
      </c>
      <c r="E111" s="1797"/>
      <c r="G111" s="1795" t="str">
        <f>"05-06-2023 08:00"</f>
        <v>05-06-2023 08:00</v>
      </c>
      <c r="H111" s="1796" t="str">
        <f>"05-06-2023 09:00"</f>
        <v>05-06-2023 09:00</v>
      </c>
      <c r="I111" s="1797">
        <v>0.51</v>
      </c>
    </row>
    <row r="112" spans="1:10">
      <c r="A112" s="1798" t="str">
        <f>"05-05-2023 09:00"</f>
        <v>05-05-2023 09:00</v>
      </c>
      <c r="B112" s="1788"/>
      <c r="C112" s="1799">
        <v>0</v>
      </c>
      <c r="D112" s="1799">
        <v>0.4</v>
      </c>
      <c r="E112" s="1799"/>
      <c r="G112" s="1798" t="str">
        <f>"05-06-2023 09:00"</f>
        <v>05-06-2023 09:00</v>
      </c>
      <c r="H112" s="1788" t="str">
        <f>"05-06-2023 10:00"</f>
        <v>05-06-2023 10:00</v>
      </c>
      <c r="I112" s="1799">
        <v>0.49</v>
      </c>
    </row>
    <row r="113" spans="1:10">
      <c r="A113" s="1798" t="str">
        <f>"05-05-2023 10:00"</f>
        <v>05-05-2023 10:00</v>
      </c>
      <c r="B113" s="1788"/>
      <c r="C113" s="1799">
        <v>0.01</v>
      </c>
      <c r="D113" s="1799">
        <v>0.49</v>
      </c>
      <c r="E113" s="1799"/>
      <c r="G113" s="1798" t="str">
        <f>"05-06-2023 10:00"</f>
        <v>05-06-2023 10:00</v>
      </c>
      <c r="H113" s="1788" t="str">
        <f>"05-06-2023 11:00"</f>
        <v>05-06-2023 11:00</v>
      </c>
      <c r="I113" s="1799">
        <v>0.45</v>
      </c>
    </row>
    <row r="114" spans="1:10">
      <c r="A114" s="1798" t="str">
        <f>"05-05-2023 11:00"</f>
        <v>05-05-2023 11:00</v>
      </c>
      <c r="B114" s="1788"/>
      <c r="C114" s="1799">
        <v>0</v>
      </c>
      <c r="D114" s="1799">
        <v>0.22</v>
      </c>
      <c r="E114" s="1799"/>
      <c r="G114" s="1798" t="str">
        <f>"05-06-2023 11:00"</f>
        <v>05-06-2023 11:00</v>
      </c>
      <c r="H114" s="1788" t="str">
        <f>"05-06-2023 12:00"</f>
        <v>05-06-2023 12:00</v>
      </c>
      <c r="I114" s="1799">
        <v>0.35</v>
      </c>
    </row>
    <row r="115" spans="1:10">
      <c r="A115" s="1798" t="str">
        <f>"05-05-2023 12:00"</f>
        <v>05-05-2023 12:00</v>
      </c>
      <c r="B115" s="1788"/>
      <c r="C115" s="1799">
        <v>0</v>
      </c>
      <c r="D115" s="1799">
        <v>0.12</v>
      </c>
      <c r="E115" s="1799"/>
      <c r="G115" s="1798" t="str">
        <f>"05-06-2023 12:00"</f>
        <v>05-06-2023 12:00</v>
      </c>
      <c r="H115" s="1788" t="str">
        <f>"05-06-2023 13:00"</f>
        <v>05-06-2023 13:00</v>
      </c>
      <c r="I115" s="1799">
        <v>0.56999999999999995</v>
      </c>
    </row>
    <row r="116" spans="1:10">
      <c r="A116" s="1798" t="str">
        <f>"05-05-2023 13:00"</f>
        <v>05-05-2023 13:00</v>
      </c>
      <c r="B116" s="1788"/>
      <c r="C116" s="1799">
        <v>7.0000000000000007E-2</v>
      </c>
      <c r="D116" s="1799">
        <v>0.18</v>
      </c>
      <c r="E116" s="1799"/>
      <c r="G116" s="1798" t="str">
        <f>"05-06-2023 13:00"</f>
        <v>05-06-2023 13:00</v>
      </c>
      <c r="H116" s="1788" t="str">
        <f>"05-06-2023 14:00"</f>
        <v>05-06-2023 14:00</v>
      </c>
      <c r="I116" s="1799">
        <v>0.41</v>
      </c>
    </row>
    <row r="117" spans="1:10">
      <c r="A117" s="1798" t="str">
        <f>"05-05-2023 14:00"</f>
        <v>05-05-2023 14:00</v>
      </c>
      <c r="B117" s="1788"/>
      <c r="C117" s="1799">
        <v>0.08</v>
      </c>
      <c r="D117" s="1799">
        <v>0.15</v>
      </c>
      <c r="E117" s="1799"/>
      <c r="G117" s="1798" t="str">
        <f>"05-06-2023 14:00"</f>
        <v>05-06-2023 14:00</v>
      </c>
      <c r="H117" s="1788" t="str">
        <f>"05-06-2023 15:00"</f>
        <v>05-06-2023 15:00</v>
      </c>
      <c r="I117" s="1799">
        <v>0.46</v>
      </c>
    </row>
    <row r="118" spans="1:10">
      <c r="A118" s="1798" t="str">
        <f>"05-05-2023 15:00"</f>
        <v>05-05-2023 15:00</v>
      </c>
      <c r="B118" s="1788"/>
      <c r="C118" s="1799">
        <v>7.0000000000000007E-2</v>
      </c>
      <c r="D118" s="1799">
        <v>0.16</v>
      </c>
      <c r="E118" s="1799"/>
      <c r="G118" s="1798" t="str">
        <f>"05-06-2023 15:00"</f>
        <v>05-06-2023 15:00</v>
      </c>
      <c r="H118" s="1788" t="str">
        <f>"05-06-2023 16:00"</f>
        <v>05-06-2023 16:00</v>
      </c>
      <c r="I118" s="1799">
        <v>0.39</v>
      </c>
    </row>
    <row r="119" spans="1:10">
      <c r="A119" s="1798" t="str">
        <f>"05-05-2023 16:00"</f>
        <v>05-05-2023 16:00</v>
      </c>
      <c r="B119" s="1788"/>
      <c r="C119" s="1799">
        <v>7.0000000000000007E-2</v>
      </c>
      <c r="D119" s="1799">
        <v>0.28000000000000003</v>
      </c>
      <c r="E119" s="1799"/>
      <c r="G119" s="1798" t="str">
        <f>"05-06-2023 16:00"</f>
        <v>05-06-2023 16:00</v>
      </c>
      <c r="H119" s="1788" t="str">
        <f>"05-06-2023 17:00"</f>
        <v>05-06-2023 17:00</v>
      </c>
      <c r="I119" s="1799">
        <v>0.55000000000000004</v>
      </c>
    </row>
    <row r="120" spans="1:10">
      <c r="A120" s="1798" t="str">
        <f>"05-05-2023 17:00"</f>
        <v>05-05-2023 17:00</v>
      </c>
      <c r="B120" s="1788"/>
      <c r="C120" s="1799">
        <v>0.02</v>
      </c>
      <c r="D120" s="1799">
        <v>1.06</v>
      </c>
      <c r="E120" s="1799"/>
      <c r="G120" s="1798" t="str">
        <f>"05-06-2023 17:00"</f>
        <v>05-06-2023 17:00</v>
      </c>
      <c r="H120" s="1788" t="str">
        <f>"05-06-2023 18:00"</f>
        <v>05-06-2023 18:00</v>
      </c>
      <c r="I120" s="1799">
        <v>0.53</v>
      </c>
    </row>
    <row r="121" spans="1:10">
      <c r="A121" s="1800" t="str">
        <f>"05-05-2023 18:00"</f>
        <v>05-05-2023 18:00</v>
      </c>
      <c r="B121" s="1794"/>
      <c r="C121" s="1801">
        <v>0.06</v>
      </c>
      <c r="D121" s="1801">
        <v>0.43</v>
      </c>
      <c r="E121" s="1801"/>
      <c r="G121" s="1800" t="str">
        <f>"05-06-2023 18:00"</f>
        <v>05-06-2023 18:00</v>
      </c>
      <c r="H121" s="1794" t="str">
        <f>"05-06-2023 19:00"</f>
        <v>05-06-2023 19:00</v>
      </c>
      <c r="I121" s="1801">
        <v>0.68</v>
      </c>
    </row>
    <row r="122" spans="1:10">
      <c r="A122" s="1785" t="str">
        <f>"05-05-2023 19:00"</f>
        <v>05-05-2023 19:00</v>
      </c>
      <c r="C122" s="1786">
        <v>0.12</v>
      </c>
      <c r="D122" s="1786">
        <v>0.36</v>
      </c>
      <c r="G122" s="1785" t="str">
        <f>"05-06-2023 19:00"</f>
        <v>05-06-2023 19:00</v>
      </c>
      <c r="H122" s="1785" t="str">
        <f>"05-06-2023 20:00"</f>
        <v>05-06-2023 20:00</v>
      </c>
      <c r="I122" s="1786">
        <v>0.85</v>
      </c>
    </row>
    <row r="123" spans="1:10">
      <c r="A123" s="1785" t="str">
        <f>"05-05-2023 20:00"</f>
        <v>05-05-2023 20:00</v>
      </c>
      <c r="C123" s="1786">
        <v>0.03</v>
      </c>
      <c r="D123" s="1786">
        <v>0.5</v>
      </c>
      <c r="G123" s="1785" t="str">
        <f>"05-06-2023 20:00"</f>
        <v>05-06-2023 20:00</v>
      </c>
      <c r="H123" s="1785" t="str">
        <f>"05-06-2023 21:00"</f>
        <v>05-06-2023 21:00</v>
      </c>
      <c r="I123" s="1786">
        <v>1.39</v>
      </c>
    </row>
    <row r="124" spans="1:10">
      <c r="A124" s="1785" t="str">
        <f>"05-05-2023 21:00"</f>
        <v>05-05-2023 21:00</v>
      </c>
      <c r="C124" s="1786">
        <v>0.05</v>
      </c>
      <c r="D124" s="1786">
        <v>0.46</v>
      </c>
      <c r="G124" s="1785" t="str">
        <f>"05-06-2023 21:00"</f>
        <v>05-06-2023 21:00</v>
      </c>
      <c r="H124" s="1785" t="str">
        <f>"05-06-2023 22:00"</f>
        <v>05-06-2023 22:00</v>
      </c>
      <c r="I124" s="1786">
        <v>0.82</v>
      </c>
    </row>
    <row r="125" spans="1:10">
      <c r="A125" s="1785" t="str">
        <f>"05-05-2023 22:00"</f>
        <v>05-05-2023 22:00</v>
      </c>
      <c r="C125" s="1786">
        <v>0.12</v>
      </c>
      <c r="D125" s="1786">
        <v>0.52</v>
      </c>
      <c r="G125" s="1785" t="str">
        <f>"05-06-2023 22:00"</f>
        <v>05-06-2023 22:00</v>
      </c>
      <c r="H125" s="1785" t="str">
        <f>"05-06-2023 23:00"</f>
        <v>05-06-2023 23:00</v>
      </c>
      <c r="I125" s="1786">
        <v>0.68</v>
      </c>
    </row>
    <row r="126" spans="1:10" ht="15" thickBot="1">
      <c r="A126" s="1785" t="str">
        <f>"05-05-2023 23:00"</f>
        <v>05-05-2023 23:00</v>
      </c>
      <c r="C126" s="1786">
        <v>0.04</v>
      </c>
      <c r="D126" s="1786">
        <v>0.26</v>
      </c>
      <c r="G126" s="1785" t="str">
        <f>"05-06-2023 23:00"</f>
        <v>05-06-2023 23:00</v>
      </c>
      <c r="H126" s="1785" t="str">
        <f>"06-06-2023 00:00"</f>
        <v>06-06-2023 00:00</v>
      </c>
      <c r="I126" s="1786">
        <v>0.48</v>
      </c>
    </row>
    <row r="127" spans="1:10">
      <c r="A127" s="2764">
        <v>45052</v>
      </c>
      <c r="B127" s="2764"/>
      <c r="C127" s="1789">
        <f>SUM(C128:C151)</f>
        <v>3.2</v>
      </c>
      <c r="D127" s="1789">
        <f>SUM(D128:D151)</f>
        <v>8.6800000000000015</v>
      </c>
      <c r="E127" s="1789">
        <f>C127+D127</f>
        <v>11.880000000000003</v>
      </c>
      <c r="F127" s="1802"/>
      <c r="G127" s="2764" t="str">
        <f>G128</f>
        <v>06-06-2023 00:00</v>
      </c>
      <c r="H127" s="2764"/>
      <c r="I127" s="1789">
        <f>SUM(I128:I151)</f>
        <v>18.649999999999995</v>
      </c>
      <c r="J127" s="1802"/>
    </row>
    <row r="128" spans="1:10">
      <c r="A128" s="1785" t="str">
        <f>"06-05-2023 00:00"</f>
        <v>06-05-2023 00:00</v>
      </c>
      <c r="C128" s="1786">
        <v>0.03</v>
      </c>
      <c r="D128" s="1786">
        <v>0.19</v>
      </c>
      <c r="G128" s="1785" t="str">
        <f>"06-06-2023 00:00"</f>
        <v>06-06-2023 00:00</v>
      </c>
      <c r="H128" s="1785" t="str">
        <f>"06-06-2023 01:00"</f>
        <v>06-06-2023 01:00</v>
      </c>
      <c r="I128" s="1786">
        <v>0.5</v>
      </c>
    </row>
    <row r="129" spans="1:9">
      <c r="A129" s="1785" t="str">
        <f>"06-05-2023 01:00"</f>
        <v>06-05-2023 01:00</v>
      </c>
      <c r="C129" s="1786">
        <v>0.12</v>
      </c>
      <c r="D129" s="1786">
        <v>0.08</v>
      </c>
      <c r="G129" s="1785" t="str">
        <f>"06-06-2023 01:00"</f>
        <v>06-06-2023 01:00</v>
      </c>
      <c r="H129" s="1785" t="str">
        <f>"06-06-2023 02:00"</f>
        <v>06-06-2023 02:00</v>
      </c>
      <c r="I129" s="1786">
        <v>0.45</v>
      </c>
    </row>
    <row r="130" spans="1:9">
      <c r="A130" s="1785" t="str">
        <f>"06-05-2023 02:00"</f>
        <v>06-05-2023 02:00</v>
      </c>
      <c r="C130" s="1786">
        <v>0.05</v>
      </c>
      <c r="D130" s="1786">
        <v>0.14000000000000001</v>
      </c>
      <c r="G130" s="1785" t="str">
        <f>"06-06-2023 02:00"</f>
        <v>06-06-2023 02:00</v>
      </c>
      <c r="H130" s="1785" t="str">
        <f>"06-06-2023 03:00"</f>
        <v>06-06-2023 03:00</v>
      </c>
      <c r="I130" s="1786">
        <v>0.34</v>
      </c>
    </row>
    <row r="131" spans="1:9">
      <c r="A131" s="1785" t="str">
        <f>"06-05-2023 03:00"</f>
        <v>06-05-2023 03:00</v>
      </c>
      <c r="C131" s="1786">
        <v>0.03</v>
      </c>
      <c r="D131" s="1786">
        <v>0.2</v>
      </c>
      <c r="G131" s="1785" t="str">
        <f>"06-06-2023 03:00"</f>
        <v>06-06-2023 03:00</v>
      </c>
      <c r="H131" s="1785" t="str">
        <f>"06-06-2023 04:00"</f>
        <v>06-06-2023 04:00</v>
      </c>
      <c r="I131" s="1786">
        <v>0.55000000000000004</v>
      </c>
    </row>
    <row r="132" spans="1:9">
      <c r="A132" s="1785" t="str">
        <f>"06-05-2023 04:00"</f>
        <v>06-05-2023 04:00</v>
      </c>
      <c r="C132" s="1786">
        <v>0.13</v>
      </c>
      <c r="D132" s="1786">
        <v>0.14000000000000001</v>
      </c>
      <c r="G132" s="1785" t="str">
        <f>"06-06-2023 04:00"</f>
        <v>06-06-2023 04:00</v>
      </c>
      <c r="H132" s="1785" t="str">
        <f>"06-06-2023 05:00"</f>
        <v>06-06-2023 05:00</v>
      </c>
      <c r="I132" s="1786">
        <v>0.32</v>
      </c>
    </row>
    <row r="133" spans="1:9">
      <c r="A133" s="1785" t="str">
        <f>"06-05-2023 05:00"</f>
        <v>06-05-2023 05:00</v>
      </c>
      <c r="C133" s="1786">
        <v>0.06</v>
      </c>
      <c r="D133" s="1786">
        <v>0.17</v>
      </c>
      <c r="G133" s="1785" t="str">
        <f>"06-06-2023 05:00"</f>
        <v>06-06-2023 05:00</v>
      </c>
      <c r="H133" s="1785" t="str">
        <f>"06-06-2023 06:00"</f>
        <v>06-06-2023 06:00</v>
      </c>
      <c r="I133" s="1786">
        <v>0.46</v>
      </c>
    </row>
    <row r="134" spans="1:9">
      <c r="A134" s="1785" t="str">
        <f>"06-05-2023 06:00"</f>
        <v>06-05-2023 06:00</v>
      </c>
      <c r="C134" s="1786">
        <v>0.02</v>
      </c>
      <c r="D134" s="1786">
        <v>0.13</v>
      </c>
      <c r="G134" s="1785" t="str">
        <f>"06-06-2023 06:00"</f>
        <v>06-06-2023 06:00</v>
      </c>
      <c r="H134" s="1785" t="str">
        <f>"06-06-2023 07:00"</f>
        <v>06-06-2023 07:00</v>
      </c>
      <c r="I134" s="1786">
        <v>0.68</v>
      </c>
    </row>
    <row r="135" spans="1:9">
      <c r="A135" s="1785" t="str">
        <f>"06-05-2023 07:00"</f>
        <v>06-05-2023 07:00</v>
      </c>
      <c r="C135" s="1786">
        <v>0.13</v>
      </c>
      <c r="D135" s="1786">
        <v>0.3</v>
      </c>
      <c r="G135" s="1785" t="str">
        <f>"06-06-2023 07:00"</f>
        <v>06-06-2023 07:00</v>
      </c>
      <c r="H135" s="1785" t="str">
        <f>"06-06-2023 08:00"</f>
        <v>06-06-2023 08:00</v>
      </c>
      <c r="I135" s="1786">
        <v>0.92</v>
      </c>
    </row>
    <row r="136" spans="1:9">
      <c r="A136" s="1795" t="str">
        <f>"06-05-2023 08:00"</f>
        <v>06-05-2023 08:00</v>
      </c>
      <c r="B136" s="1796"/>
      <c r="C136" s="1797">
        <v>0.06</v>
      </c>
      <c r="D136" s="1797">
        <v>0.35</v>
      </c>
      <c r="E136" s="1797"/>
      <c r="G136" s="1795" t="str">
        <f>"06-06-2023 08:00"</f>
        <v>06-06-2023 08:00</v>
      </c>
      <c r="H136" s="1796" t="str">
        <f>"06-06-2023 09:00"</f>
        <v>06-06-2023 09:00</v>
      </c>
      <c r="I136" s="1797">
        <v>0.8</v>
      </c>
    </row>
    <row r="137" spans="1:9">
      <c r="A137" s="1798" t="str">
        <f>"06-05-2023 09:00"</f>
        <v>06-05-2023 09:00</v>
      </c>
      <c r="B137" s="1788"/>
      <c r="C137" s="1799">
        <v>0.02</v>
      </c>
      <c r="D137" s="1799">
        <v>0.46</v>
      </c>
      <c r="E137" s="1799"/>
      <c r="G137" s="1798" t="str">
        <f>"06-06-2023 09:00"</f>
        <v>06-06-2023 09:00</v>
      </c>
      <c r="H137" s="1788" t="str">
        <f>"06-06-2023 10:00"</f>
        <v>06-06-2023 10:00</v>
      </c>
      <c r="I137" s="1799">
        <v>0.63</v>
      </c>
    </row>
    <row r="138" spans="1:9">
      <c r="A138" s="1798" t="str">
        <f>"06-05-2023 10:00"</f>
        <v>06-05-2023 10:00</v>
      </c>
      <c r="B138" s="1788"/>
      <c r="C138" s="1799">
        <v>0.11</v>
      </c>
      <c r="D138" s="1799">
        <v>0.53</v>
      </c>
      <c r="E138" s="1799"/>
      <c r="G138" s="1798" t="str">
        <f>"06-06-2023 10:00"</f>
        <v>06-06-2023 10:00</v>
      </c>
      <c r="H138" s="1788" t="str">
        <f>"06-06-2023 11:00"</f>
        <v>06-06-2023 11:00</v>
      </c>
      <c r="I138" s="1799">
        <v>0.76</v>
      </c>
    </row>
    <row r="139" spans="1:9">
      <c r="A139" s="1798" t="str">
        <f>"06-05-2023 11:00"</f>
        <v>06-05-2023 11:00</v>
      </c>
      <c r="B139" s="1788"/>
      <c r="C139" s="1799">
        <v>7.0000000000000007E-2</v>
      </c>
      <c r="D139" s="1799">
        <v>0.23</v>
      </c>
      <c r="E139" s="1799"/>
      <c r="G139" s="1798" t="str">
        <f>"06-06-2023 11:00"</f>
        <v>06-06-2023 11:00</v>
      </c>
      <c r="H139" s="1788" t="str">
        <f>"06-06-2023 12:00"</f>
        <v>06-06-2023 12:00</v>
      </c>
      <c r="I139" s="1799">
        <v>0.47</v>
      </c>
    </row>
    <row r="140" spans="1:9">
      <c r="A140" s="1798" t="str">
        <f>"06-05-2023 12:00"</f>
        <v>06-05-2023 12:00</v>
      </c>
      <c r="B140" s="1788"/>
      <c r="C140" s="1799">
        <v>0.15</v>
      </c>
      <c r="D140" s="1799">
        <v>0.19</v>
      </c>
      <c r="E140" s="1799"/>
      <c r="G140" s="1798" t="str">
        <f>"06-06-2023 12:00"</f>
        <v>06-06-2023 12:00</v>
      </c>
      <c r="H140" s="1788" t="str">
        <f>"06-06-2023 13:00"</f>
        <v>06-06-2023 13:00</v>
      </c>
      <c r="I140" s="1799">
        <v>0.62</v>
      </c>
    </row>
    <row r="141" spans="1:9">
      <c r="A141" s="1798" t="str">
        <f>"06-05-2023 13:00"</f>
        <v>06-05-2023 13:00</v>
      </c>
      <c r="B141" s="1788"/>
      <c r="C141" s="1799">
        <v>0.21</v>
      </c>
      <c r="D141" s="1799">
        <v>1</v>
      </c>
      <c r="E141" s="1799"/>
      <c r="G141" s="1798" t="str">
        <f>"06-06-2023 13:00"</f>
        <v>06-06-2023 13:00</v>
      </c>
      <c r="H141" s="1788" t="str">
        <f>"06-06-2023 14:00"</f>
        <v>06-06-2023 14:00</v>
      </c>
      <c r="I141" s="1799">
        <v>0.81</v>
      </c>
    </row>
    <row r="142" spans="1:9">
      <c r="A142" s="1798" t="str">
        <f>"06-05-2023 14:00"</f>
        <v>06-05-2023 14:00</v>
      </c>
      <c r="B142" s="1788"/>
      <c r="C142" s="1799">
        <v>0.18</v>
      </c>
      <c r="D142" s="1799">
        <v>1.04</v>
      </c>
      <c r="E142" s="1799"/>
      <c r="G142" s="1798" t="str">
        <f>"06-06-2023 14:00"</f>
        <v>06-06-2023 14:00</v>
      </c>
      <c r="H142" s="1788" t="str">
        <f>"06-06-2023 15:00"</f>
        <v>06-06-2023 15:00</v>
      </c>
      <c r="I142" s="1799">
        <v>0.82</v>
      </c>
    </row>
    <row r="143" spans="1:9">
      <c r="A143" s="1798" t="str">
        <f>"06-05-2023 15:00"</f>
        <v>06-05-2023 15:00</v>
      </c>
      <c r="B143" s="1788"/>
      <c r="C143" s="1799">
        <v>0.14000000000000001</v>
      </c>
      <c r="D143" s="1799">
        <v>0.33</v>
      </c>
      <c r="E143" s="1799"/>
      <c r="G143" s="1798" t="str">
        <f>"06-06-2023 15:00"</f>
        <v>06-06-2023 15:00</v>
      </c>
      <c r="H143" s="1788" t="str">
        <f>"06-06-2023 16:00"</f>
        <v>06-06-2023 16:00</v>
      </c>
      <c r="I143" s="1799">
        <v>0.77</v>
      </c>
    </row>
    <row r="144" spans="1:9">
      <c r="A144" s="1798" t="str">
        <f>"06-05-2023 16:00"</f>
        <v>06-05-2023 16:00</v>
      </c>
      <c r="B144" s="1788"/>
      <c r="C144" s="1799">
        <v>0.21</v>
      </c>
      <c r="D144" s="1799">
        <v>0.41</v>
      </c>
      <c r="E144" s="1799"/>
      <c r="G144" s="1798" t="str">
        <f>"06-06-2023 16:00"</f>
        <v>06-06-2023 16:00</v>
      </c>
      <c r="H144" s="1788" t="str">
        <f>"06-06-2023 17:00"</f>
        <v>06-06-2023 17:00</v>
      </c>
      <c r="I144" s="1799">
        <v>0.76</v>
      </c>
    </row>
    <row r="145" spans="1:10">
      <c r="A145" s="1798" t="str">
        <f>"06-05-2023 17:00"</f>
        <v>06-05-2023 17:00</v>
      </c>
      <c r="B145" s="1788"/>
      <c r="C145" s="1799">
        <v>0.24</v>
      </c>
      <c r="D145" s="1799">
        <v>0.32</v>
      </c>
      <c r="E145" s="1799"/>
      <c r="G145" s="1798" t="str">
        <f>"06-06-2023 17:00"</f>
        <v>06-06-2023 17:00</v>
      </c>
      <c r="H145" s="1788" t="str">
        <f>"06-06-2023 18:00"</f>
        <v>06-06-2023 18:00</v>
      </c>
      <c r="I145" s="1799">
        <v>2.68</v>
      </c>
    </row>
    <row r="146" spans="1:10">
      <c r="A146" s="1800" t="str">
        <f>"06-05-2023 18:00"</f>
        <v>06-05-2023 18:00</v>
      </c>
      <c r="B146" s="1794"/>
      <c r="C146" s="1801">
        <v>0.18</v>
      </c>
      <c r="D146" s="1801">
        <v>0.45</v>
      </c>
      <c r="E146" s="1801"/>
      <c r="G146" s="1800" t="str">
        <f>"06-06-2023 18:00"</f>
        <v>06-06-2023 18:00</v>
      </c>
      <c r="H146" s="1794" t="str">
        <f>"06-06-2023 19:00"</f>
        <v>06-06-2023 19:00</v>
      </c>
      <c r="I146" s="1801">
        <v>1.0900000000000001</v>
      </c>
    </row>
    <row r="147" spans="1:10">
      <c r="A147" s="1785" t="str">
        <f>"06-05-2023 19:00"</f>
        <v>06-05-2023 19:00</v>
      </c>
      <c r="C147" s="1786">
        <v>0.16</v>
      </c>
      <c r="D147" s="1786">
        <v>0.82</v>
      </c>
      <c r="G147" s="1785" t="str">
        <f>"06-06-2023 19:00"</f>
        <v>06-06-2023 19:00</v>
      </c>
      <c r="H147" s="1785" t="str">
        <f>"06-06-2023 20:00"</f>
        <v>06-06-2023 20:00</v>
      </c>
      <c r="I147" s="1786">
        <v>0.99</v>
      </c>
    </row>
    <row r="148" spans="1:10">
      <c r="A148" s="1785" t="str">
        <f>"06-05-2023 20:00"</f>
        <v>06-05-2023 20:00</v>
      </c>
      <c r="C148" s="1786">
        <v>0.28999999999999998</v>
      </c>
      <c r="D148" s="1786">
        <v>0.45</v>
      </c>
      <c r="G148" s="1785" t="str">
        <f>"06-06-2023 20:00"</f>
        <v>06-06-2023 20:00</v>
      </c>
      <c r="H148" s="1785" t="str">
        <f>"06-06-2023 21:00"</f>
        <v>06-06-2023 21:00</v>
      </c>
      <c r="I148" s="1786">
        <v>0.98</v>
      </c>
    </row>
    <row r="149" spans="1:10">
      <c r="A149" s="1785" t="str">
        <f>"06-05-2023 21:00"</f>
        <v>06-05-2023 21:00</v>
      </c>
      <c r="C149" s="1786">
        <v>0.24</v>
      </c>
      <c r="D149" s="1786">
        <v>0.26</v>
      </c>
      <c r="G149" s="1785" t="str">
        <f>"06-06-2023 21:00"</f>
        <v>06-06-2023 21:00</v>
      </c>
      <c r="H149" s="1785" t="str">
        <f>"06-06-2023 22:00"</f>
        <v>06-06-2023 22:00</v>
      </c>
      <c r="I149" s="1786">
        <v>1.08</v>
      </c>
    </row>
    <row r="150" spans="1:10">
      <c r="A150" s="1785" t="str">
        <f>"06-05-2023 22:00"</f>
        <v>06-05-2023 22:00</v>
      </c>
      <c r="C150" s="1786">
        <v>0.17</v>
      </c>
      <c r="D150" s="1786">
        <v>0.22</v>
      </c>
      <c r="G150" s="1785" t="str">
        <f>"06-06-2023 22:00"</f>
        <v>06-06-2023 22:00</v>
      </c>
      <c r="H150" s="1785" t="str">
        <f>"06-06-2023 23:00"</f>
        <v>06-06-2023 23:00</v>
      </c>
      <c r="I150" s="1786">
        <v>0.74</v>
      </c>
    </row>
    <row r="151" spans="1:10" ht="15" thickBot="1">
      <c r="A151" s="1785" t="str">
        <f>"06-05-2023 23:00"</f>
        <v>06-05-2023 23:00</v>
      </c>
      <c r="C151" s="1786">
        <v>0.2</v>
      </c>
      <c r="D151" s="1786">
        <v>0.27</v>
      </c>
      <c r="G151" s="1785" t="str">
        <f>"06-06-2023 23:00"</f>
        <v>06-06-2023 23:00</v>
      </c>
      <c r="H151" s="1785" t="str">
        <f>"07-06-2023 00:00"</f>
        <v>07-06-2023 00:00</v>
      </c>
      <c r="I151" s="1786">
        <v>0.43</v>
      </c>
    </row>
    <row r="152" spans="1:10">
      <c r="A152" s="2764">
        <v>45053</v>
      </c>
      <c r="B152" s="2764"/>
      <c r="C152" s="1789">
        <f>SUM(C153:C176)</f>
        <v>4.26</v>
      </c>
      <c r="D152" s="1789">
        <f>SUM(D153:D176)</f>
        <v>6.62</v>
      </c>
      <c r="E152" s="1789">
        <f>C152+D152</f>
        <v>10.879999999999999</v>
      </c>
      <c r="F152" s="1802"/>
      <c r="G152" s="2764" t="str">
        <f>G153</f>
        <v>07-06-2023 00:00</v>
      </c>
      <c r="H152" s="2764"/>
      <c r="I152" s="1789">
        <f>SUM(I153:I176)</f>
        <v>19.28</v>
      </c>
      <c r="J152" s="1802"/>
    </row>
    <row r="153" spans="1:10">
      <c r="A153" s="1785" t="str">
        <f>"07-05-2023 00:00"</f>
        <v>07-05-2023 00:00</v>
      </c>
      <c r="C153" s="1786">
        <v>0.26</v>
      </c>
      <c r="D153" s="1786">
        <v>0.2</v>
      </c>
      <c r="F153" s="1804"/>
      <c r="G153" s="1785" t="str">
        <f>"07-06-2023 00:00"</f>
        <v>07-06-2023 00:00</v>
      </c>
      <c r="H153" s="1785" t="str">
        <f>"07-06-2023 01:00"</f>
        <v>07-06-2023 01:00</v>
      </c>
      <c r="I153" s="1786">
        <v>0.51</v>
      </c>
      <c r="J153" s="1804"/>
    </row>
    <row r="154" spans="1:10">
      <c r="A154" s="1785" t="str">
        <f>"07-05-2023 01:00"</f>
        <v>07-05-2023 01:00</v>
      </c>
      <c r="C154" s="1786">
        <v>0.21</v>
      </c>
      <c r="D154" s="1786">
        <v>0.21</v>
      </c>
      <c r="F154" s="1804"/>
      <c r="G154" s="1785" t="str">
        <f>"07-06-2023 01:00"</f>
        <v>07-06-2023 01:00</v>
      </c>
      <c r="H154" s="1785" t="str">
        <f>"07-06-2023 02:00"</f>
        <v>07-06-2023 02:00</v>
      </c>
      <c r="I154" s="1786">
        <v>0.38</v>
      </c>
      <c r="J154" s="1804"/>
    </row>
    <row r="155" spans="1:10">
      <c r="A155" s="1785" t="str">
        <f>"07-05-2023 02:00"</f>
        <v>07-05-2023 02:00</v>
      </c>
      <c r="C155" s="1786">
        <v>0.14000000000000001</v>
      </c>
      <c r="D155" s="1786">
        <v>0.06</v>
      </c>
      <c r="F155" s="1804"/>
      <c r="G155" s="1785" t="str">
        <f>"07-06-2023 02:00"</f>
        <v>07-06-2023 02:00</v>
      </c>
      <c r="H155" s="1785" t="str">
        <f>"07-06-2023 03:00"</f>
        <v>07-06-2023 03:00</v>
      </c>
      <c r="I155" s="1786">
        <v>0.45</v>
      </c>
      <c r="J155" s="1804"/>
    </row>
    <row r="156" spans="1:10">
      <c r="A156" s="1785" t="str">
        <f>"07-05-2023 03:00"</f>
        <v>07-05-2023 03:00</v>
      </c>
      <c r="C156" s="1786">
        <v>0.24</v>
      </c>
      <c r="D156" s="1786">
        <v>0.16</v>
      </c>
      <c r="F156" s="1804"/>
      <c r="G156" s="1785" t="str">
        <f>"07-06-2023 03:00"</f>
        <v>07-06-2023 03:00</v>
      </c>
      <c r="H156" s="1785" t="str">
        <f>"07-06-2023 04:00"</f>
        <v>07-06-2023 04:00</v>
      </c>
      <c r="I156" s="1786">
        <v>0.36</v>
      </c>
      <c r="J156" s="1804"/>
    </row>
    <row r="157" spans="1:10">
      <c r="A157" s="1785" t="str">
        <f>"07-05-2023 04:00"</f>
        <v>07-05-2023 04:00</v>
      </c>
      <c r="C157" s="1786">
        <v>0.24</v>
      </c>
      <c r="D157" s="1786">
        <v>0.13</v>
      </c>
      <c r="F157" s="1804"/>
      <c r="G157" s="1785" t="str">
        <f>"07-06-2023 04:00"</f>
        <v>07-06-2023 04:00</v>
      </c>
      <c r="H157" s="1785" t="str">
        <f>"07-06-2023 05:00"</f>
        <v>07-06-2023 05:00</v>
      </c>
      <c r="I157" s="1786">
        <v>0.42</v>
      </c>
      <c r="J157" s="1804"/>
    </row>
    <row r="158" spans="1:10">
      <c r="A158" s="1785" t="str">
        <f>"07-05-2023 05:00"</f>
        <v>07-05-2023 05:00</v>
      </c>
      <c r="C158" s="1786">
        <v>0.18</v>
      </c>
      <c r="D158" s="1786">
        <v>0.32</v>
      </c>
      <c r="F158" s="1804"/>
      <c r="G158" s="1785" t="str">
        <f>"07-06-2023 05:00"</f>
        <v>07-06-2023 05:00</v>
      </c>
      <c r="H158" s="1785" t="str">
        <f>"07-06-2023 06:00"</f>
        <v>07-06-2023 06:00</v>
      </c>
      <c r="I158" s="1786">
        <v>0.45</v>
      </c>
      <c r="J158" s="1804"/>
    </row>
    <row r="159" spans="1:10">
      <c r="A159" s="1785" t="str">
        <f>"07-05-2023 06:00"</f>
        <v>07-05-2023 06:00</v>
      </c>
      <c r="C159" s="1786">
        <v>0.16</v>
      </c>
      <c r="D159" s="1786">
        <v>0.34</v>
      </c>
      <c r="F159" s="1804"/>
      <c r="G159" s="1785" t="str">
        <f>"07-06-2023 06:00"</f>
        <v>07-06-2023 06:00</v>
      </c>
      <c r="H159" s="1785" t="str">
        <f>"07-06-2023 07:00"</f>
        <v>07-06-2023 07:00</v>
      </c>
      <c r="I159" s="1786">
        <v>0.5</v>
      </c>
      <c r="J159" s="1804"/>
    </row>
    <row r="160" spans="1:10">
      <c r="A160" s="1785" t="str">
        <f>"07-05-2023 07:00"</f>
        <v>07-05-2023 07:00</v>
      </c>
      <c r="C160" s="1786">
        <v>0.25</v>
      </c>
      <c r="D160" s="1786">
        <v>0.46</v>
      </c>
      <c r="F160" s="1804"/>
      <c r="G160" s="1785" t="str">
        <f>"07-06-2023 07:00"</f>
        <v>07-06-2023 07:00</v>
      </c>
      <c r="H160" s="1785" t="str">
        <f>"07-06-2023 08:00"</f>
        <v>07-06-2023 08:00</v>
      </c>
      <c r="I160" s="1786">
        <v>1.22</v>
      </c>
      <c r="J160" s="1804"/>
    </row>
    <row r="161" spans="1:10">
      <c r="A161" s="1795" t="str">
        <f>"07-05-2023 08:00"</f>
        <v>07-05-2023 08:00</v>
      </c>
      <c r="B161" s="1796"/>
      <c r="C161" s="1797">
        <v>0.23</v>
      </c>
      <c r="D161" s="1797">
        <v>0.43</v>
      </c>
      <c r="E161" s="1797"/>
      <c r="F161" s="1804"/>
      <c r="G161" s="1795" t="str">
        <f>"07-06-2023 08:00"</f>
        <v>07-06-2023 08:00</v>
      </c>
      <c r="H161" s="1796" t="str">
        <f>"07-06-2023 09:00"</f>
        <v>07-06-2023 09:00</v>
      </c>
      <c r="I161" s="1797">
        <v>0.83</v>
      </c>
      <c r="J161" s="1804"/>
    </row>
    <row r="162" spans="1:10">
      <c r="A162" s="1798" t="str">
        <f>"07-05-2023 09:00"</f>
        <v>07-05-2023 09:00</v>
      </c>
      <c r="B162" s="1788"/>
      <c r="C162" s="1799">
        <v>0.13</v>
      </c>
      <c r="D162" s="1799">
        <v>0.34</v>
      </c>
      <c r="E162" s="1799"/>
      <c r="F162" s="1804"/>
      <c r="G162" s="1798" t="str">
        <f>"07-06-2023 09:00"</f>
        <v>07-06-2023 09:00</v>
      </c>
      <c r="H162" s="1788" t="str">
        <f>"07-06-2023 10:00"</f>
        <v>07-06-2023 10:00</v>
      </c>
      <c r="I162" s="1799">
        <v>1.07</v>
      </c>
      <c r="J162" s="1804"/>
    </row>
    <row r="163" spans="1:10">
      <c r="A163" s="1798" t="str">
        <f>"07-05-2023 10:00"</f>
        <v>07-05-2023 10:00</v>
      </c>
      <c r="B163" s="1788"/>
      <c r="C163" s="1799">
        <v>0.14000000000000001</v>
      </c>
      <c r="D163" s="1799">
        <v>0.27</v>
      </c>
      <c r="E163" s="1799"/>
      <c r="F163" s="1804"/>
      <c r="G163" s="1798" t="str">
        <f>"07-06-2023 10:00"</f>
        <v>07-06-2023 10:00</v>
      </c>
      <c r="H163" s="1788" t="str">
        <f>"07-06-2023 11:00"</f>
        <v>07-06-2023 11:00</v>
      </c>
      <c r="I163" s="1799">
        <v>0.93</v>
      </c>
      <c r="J163" s="1804"/>
    </row>
    <row r="164" spans="1:10">
      <c r="A164" s="1798" t="str">
        <f>"07-05-2023 11:00"</f>
        <v>07-05-2023 11:00</v>
      </c>
      <c r="B164" s="1788"/>
      <c r="C164" s="1799">
        <v>0.14000000000000001</v>
      </c>
      <c r="D164" s="1799">
        <v>0.3</v>
      </c>
      <c r="E164" s="1799"/>
      <c r="F164" s="1804"/>
      <c r="G164" s="1798" t="str">
        <f>"07-06-2023 11:00"</f>
        <v>07-06-2023 11:00</v>
      </c>
      <c r="H164" s="1788" t="str">
        <f>"07-06-2023 12:00"</f>
        <v>07-06-2023 12:00</v>
      </c>
      <c r="I164" s="1799">
        <v>0.79</v>
      </c>
      <c r="J164" s="1804"/>
    </row>
    <row r="165" spans="1:10">
      <c r="A165" s="1798" t="str">
        <f>"07-05-2023 12:00"</f>
        <v>07-05-2023 12:00</v>
      </c>
      <c r="B165" s="1788"/>
      <c r="C165" s="1799">
        <v>0.11</v>
      </c>
      <c r="D165" s="1799">
        <v>0.12</v>
      </c>
      <c r="E165" s="1799"/>
      <c r="F165" s="1804"/>
      <c r="G165" s="1798" t="str">
        <f>"07-06-2023 12:00"</f>
        <v>07-06-2023 12:00</v>
      </c>
      <c r="H165" s="1788" t="str">
        <f>"07-06-2023 13:00"</f>
        <v>07-06-2023 13:00</v>
      </c>
      <c r="I165" s="1799">
        <v>0.97</v>
      </c>
      <c r="J165" s="1804"/>
    </row>
    <row r="166" spans="1:10">
      <c r="A166" s="1798" t="str">
        <f>"07-05-2023 13:00"</f>
        <v>07-05-2023 13:00</v>
      </c>
      <c r="B166" s="1788"/>
      <c r="C166" s="1799">
        <v>0.08</v>
      </c>
      <c r="D166" s="1799">
        <v>0.16</v>
      </c>
      <c r="E166" s="1799"/>
      <c r="F166" s="1804"/>
      <c r="G166" s="1798" t="str">
        <f>"07-06-2023 13:00"</f>
        <v>07-06-2023 13:00</v>
      </c>
      <c r="H166" s="1788" t="str">
        <f>"07-06-2023 14:00"</f>
        <v>07-06-2023 14:00</v>
      </c>
      <c r="I166" s="1799">
        <v>0.76</v>
      </c>
      <c r="J166" s="1804"/>
    </row>
    <row r="167" spans="1:10">
      <c r="A167" s="1798" t="str">
        <f>"07-05-2023 14:00"</f>
        <v>07-05-2023 14:00</v>
      </c>
      <c r="B167" s="1788"/>
      <c r="C167" s="1799">
        <v>0.09</v>
      </c>
      <c r="D167" s="1799">
        <v>0.11</v>
      </c>
      <c r="E167" s="1799"/>
      <c r="F167" s="1804"/>
      <c r="G167" s="1798" t="str">
        <f>"07-06-2023 14:00"</f>
        <v>07-06-2023 14:00</v>
      </c>
      <c r="H167" s="1788" t="str">
        <f>"07-06-2023 15:00"</f>
        <v>07-06-2023 15:00</v>
      </c>
      <c r="I167" s="1799">
        <v>0.76</v>
      </c>
      <c r="J167" s="1804"/>
    </row>
    <row r="168" spans="1:10">
      <c r="A168" s="1798" t="str">
        <f>"07-05-2023 15:00"</f>
        <v>07-05-2023 15:00</v>
      </c>
      <c r="B168" s="1788"/>
      <c r="C168" s="1799">
        <v>0.12</v>
      </c>
      <c r="D168" s="1799">
        <v>0.28999999999999998</v>
      </c>
      <c r="E168" s="1799"/>
      <c r="F168" s="1804"/>
      <c r="G168" s="1798" t="str">
        <f>"07-06-2023 15:00"</f>
        <v>07-06-2023 15:00</v>
      </c>
      <c r="H168" s="1788" t="str">
        <f>"07-06-2023 16:00"</f>
        <v>07-06-2023 16:00</v>
      </c>
      <c r="I168" s="1799">
        <v>0.88</v>
      </c>
      <c r="J168" s="1804"/>
    </row>
    <row r="169" spans="1:10">
      <c r="A169" s="1798" t="str">
        <f>"07-05-2023 16:00"</f>
        <v>07-05-2023 16:00</v>
      </c>
      <c r="B169" s="1788"/>
      <c r="C169" s="1799">
        <v>0.17</v>
      </c>
      <c r="D169" s="1799">
        <v>0.3</v>
      </c>
      <c r="E169" s="1799"/>
      <c r="F169" s="1804"/>
      <c r="G169" s="1798" t="str">
        <f>"07-06-2023 16:00"</f>
        <v>07-06-2023 16:00</v>
      </c>
      <c r="H169" s="1788" t="str">
        <f>"07-06-2023 17:00"</f>
        <v>07-06-2023 17:00</v>
      </c>
      <c r="I169" s="1799">
        <v>1.73</v>
      </c>
      <c r="J169" s="1804"/>
    </row>
    <row r="170" spans="1:10">
      <c r="A170" s="1798" t="str">
        <f>"07-05-2023 17:00"</f>
        <v>07-05-2023 17:00</v>
      </c>
      <c r="B170" s="1788"/>
      <c r="C170" s="1799">
        <v>0.18</v>
      </c>
      <c r="D170" s="1799">
        <v>0.24</v>
      </c>
      <c r="E170" s="1799"/>
      <c r="F170" s="1804"/>
      <c r="G170" s="1798" t="str">
        <f>"07-06-2023 17:00"</f>
        <v>07-06-2023 17:00</v>
      </c>
      <c r="H170" s="1788" t="str">
        <f>"07-06-2023 18:00"</f>
        <v>07-06-2023 18:00</v>
      </c>
      <c r="I170" s="1799">
        <v>1.63</v>
      </c>
      <c r="J170" s="1804"/>
    </row>
    <row r="171" spans="1:10">
      <c r="A171" s="1800" t="str">
        <f>"07-05-2023 18:00"</f>
        <v>07-05-2023 18:00</v>
      </c>
      <c r="B171" s="1794"/>
      <c r="C171" s="1801">
        <v>0.2</v>
      </c>
      <c r="D171" s="1801">
        <v>0.35</v>
      </c>
      <c r="E171" s="1801"/>
      <c r="F171" s="1804"/>
      <c r="G171" s="1800" t="str">
        <f>"07-06-2023 18:00"</f>
        <v>07-06-2023 18:00</v>
      </c>
      <c r="H171" s="1794" t="str">
        <f>"07-06-2023 19:00"</f>
        <v>07-06-2023 19:00</v>
      </c>
      <c r="I171" s="1801">
        <v>1.07</v>
      </c>
      <c r="J171" s="1804"/>
    </row>
    <row r="172" spans="1:10">
      <c r="A172" s="1785" t="str">
        <f>"07-05-2023 19:00"</f>
        <v>07-05-2023 19:00</v>
      </c>
      <c r="C172" s="1786">
        <v>0.21</v>
      </c>
      <c r="D172" s="1786">
        <v>0.42</v>
      </c>
      <c r="F172" s="1804"/>
      <c r="G172" s="1785" t="str">
        <f>"07-06-2023 19:00"</f>
        <v>07-06-2023 19:00</v>
      </c>
      <c r="H172" s="1785" t="str">
        <f>"07-06-2023 20:00"</f>
        <v>07-06-2023 20:00</v>
      </c>
      <c r="I172" s="1786">
        <v>0.78</v>
      </c>
      <c r="J172" s="1804"/>
    </row>
    <row r="173" spans="1:10">
      <c r="A173" s="1785" t="str">
        <f>"07-05-2023 20:00"</f>
        <v>07-05-2023 20:00</v>
      </c>
      <c r="C173" s="1786">
        <v>0.22</v>
      </c>
      <c r="D173" s="1786">
        <v>0.59</v>
      </c>
      <c r="F173" s="1804"/>
      <c r="G173" s="1785" t="str">
        <f>"07-06-2023 20:00"</f>
        <v>07-06-2023 20:00</v>
      </c>
      <c r="H173" s="1785" t="str">
        <f>"07-06-2023 21:00"</f>
        <v>07-06-2023 21:00</v>
      </c>
      <c r="I173" s="1786">
        <v>0.96</v>
      </c>
      <c r="J173" s="1804"/>
    </row>
    <row r="174" spans="1:10">
      <c r="A174" s="1785" t="str">
        <f>"07-05-2023 21:00"</f>
        <v>07-05-2023 21:00</v>
      </c>
      <c r="C174" s="1786">
        <v>0.12</v>
      </c>
      <c r="D174" s="1786">
        <v>0.43</v>
      </c>
      <c r="F174" s="1804"/>
      <c r="G174" s="1785" t="str">
        <f>"07-06-2023 21:00"</f>
        <v>07-06-2023 21:00</v>
      </c>
      <c r="H174" s="1785" t="str">
        <f>"07-06-2023 22:00"</f>
        <v>07-06-2023 22:00</v>
      </c>
      <c r="I174" s="1786">
        <v>0.86</v>
      </c>
      <c r="J174" s="1804"/>
    </row>
    <row r="175" spans="1:10">
      <c r="A175" s="1785" t="str">
        <f>"07-05-2023 22:00"</f>
        <v>07-05-2023 22:00</v>
      </c>
      <c r="C175" s="1786">
        <v>0.22</v>
      </c>
      <c r="D175" s="1786">
        <v>0.19</v>
      </c>
      <c r="F175" s="1804"/>
      <c r="G175" s="1785" t="str">
        <f>"07-06-2023 22:00"</f>
        <v>07-06-2023 22:00</v>
      </c>
      <c r="H175" s="1785" t="str">
        <f>"07-06-2023 23:00"</f>
        <v>07-06-2023 23:00</v>
      </c>
      <c r="I175" s="1786">
        <v>0.68</v>
      </c>
      <c r="J175" s="1804"/>
    </row>
    <row r="176" spans="1:10" ht="15" thickBot="1">
      <c r="A176" s="1785" t="str">
        <f>"07-05-2023 23:00"</f>
        <v>07-05-2023 23:00</v>
      </c>
      <c r="C176" s="1786">
        <v>0.22</v>
      </c>
      <c r="D176" s="1786">
        <v>0.2</v>
      </c>
      <c r="F176" s="1804"/>
      <c r="G176" s="1785" t="str">
        <f>"07-06-2023 23:00"</f>
        <v>07-06-2023 23:00</v>
      </c>
      <c r="H176" s="1785" t="str">
        <f>"08-06-2023 00:00"</f>
        <v>08-06-2023 00:00</v>
      </c>
      <c r="I176" s="1786">
        <v>0.28999999999999998</v>
      </c>
      <c r="J176" s="1804"/>
    </row>
    <row r="177" spans="1:10">
      <c r="A177" s="2764">
        <v>45054</v>
      </c>
      <c r="B177" s="2764"/>
      <c r="C177" s="1789">
        <f>SUM(C178:C201)</f>
        <v>4.3100000000000005</v>
      </c>
      <c r="D177" s="1789">
        <f>SUM(D178:D201)</f>
        <v>7.549999999999998</v>
      </c>
      <c r="E177" s="1789">
        <f>C177+D177</f>
        <v>11.86</v>
      </c>
      <c r="F177" s="1802"/>
      <c r="G177" s="2764" t="str">
        <f>G178</f>
        <v>08-06-2023 00:00</v>
      </c>
      <c r="H177" s="2764"/>
      <c r="I177" s="1789">
        <f>SUM(I178:I201)</f>
        <v>17.53</v>
      </c>
      <c r="J177" s="1802"/>
    </row>
    <row r="178" spans="1:10">
      <c r="A178" s="1785" t="str">
        <f>"08-05-2023 00:00"</f>
        <v>08-05-2023 00:00</v>
      </c>
      <c r="C178" s="1786">
        <v>0.28999999999999998</v>
      </c>
      <c r="D178" s="1786">
        <v>0.33</v>
      </c>
      <c r="F178" s="1804"/>
      <c r="G178" s="1785" t="str">
        <f>"08-06-2023 00:00"</f>
        <v>08-06-2023 00:00</v>
      </c>
      <c r="H178" s="1785" t="str">
        <f>"08-06-2023 01:00"</f>
        <v>08-06-2023 01:00</v>
      </c>
      <c r="I178" s="1786">
        <v>0.54</v>
      </c>
      <c r="J178" s="1804"/>
    </row>
    <row r="179" spans="1:10">
      <c r="A179" s="1785" t="str">
        <f>"08-05-2023 01:00"</f>
        <v>08-05-2023 01:00</v>
      </c>
      <c r="C179" s="1786">
        <v>0.13</v>
      </c>
      <c r="D179" s="1786">
        <v>0.28000000000000003</v>
      </c>
      <c r="F179" s="1804"/>
      <c r="G179" s="1785" t="str">
        <f>"08-06-2023 01:00"</f>
        <v>08-06-2023 01:00</v>
      </c>
      <c r="H179" s="1785" t="str">
        <f>"08-06-2023 02:00"</f>
        <v>08-06-2023 02:00</v>
      </c>
      <c r="I179" s="1786">
        <v>0.4</v>
      </c>
      <c r="J179" s="1804"/>
    </row>
    <row r="180" spans="1:10">
      <c r="A180" s="1785" t="str">
        <f>"08-05-2023 02:00"</f>
        <v>08-05-2023 02:00</v>
      </c>
      <c r="C180" s="1786">
        <v>0.1</v>
      </c>
      <c r="D180" s="1786">
        <v>0.19</v>
      </c>
      <c r="F180" s="1804"/>
      <c r="G180" s="1785" t="str">
        <f>"08-06-2023 02:00"</f>
        <v>08-06-2023 02:00</v>
      </c>
      <c r="H180" s="1785" t="str">
        <f>"08-06-2023 03:00"</f>
        <v>08-06-2023 03:00</v>
      </c>
      <c r="I180" s="1786">
        <v>0.3</v>
      </c>
      <c r="J180" s="1804"/>
    </row>
    <row r="181" spans="1:10">
      <c r="A181" s="1785" t="str">
        <f>"08-05-2023 03:00"</f>
        <v>08-05-2023 03:00</v>
      </c>
      <c r="C181" s="1786">
        <v>0.21</v>
      </c>
      <c r="D181" s="1786">
        <v>0.09</v>
      </c>
      <c r="F181" s="1804"/>
      <c r="G181" s="1785" t="str">
        <f>"08-06-2023 03:00"</f>
        <v>08-06-2023 03:00</v>
      </c>
      <c r="H181" s="1785" t="str">
        <f>"08-06-2023 04:00"</f>
        <v>08-06-2023 04:00</v>
      </c>
      <c r="I181" s="1786">
        <v>0.31</v>
      </c>
      <c r="J181" s="1804"/>
    </row>
    <row r="182" spans="1:10">
      <c r="A182" s="1785" t="str">
        <f>"08-05-2023 04:00"</f>
        <v>08-05-2023 04:00</v>
      </c>
      <c r="C182" s="1786">
        <v>0.19</v>
      </c>
      <c r="D182" s="1786">
        <v>0.15</v>
      </c>
      <c r="F182" s="1804"/>
      <c r="G182" s="1785" t="str">
        <f>"08-06-2023 04:00"</f>
        <v>08-06-2023 04:00</v>
      </c>
      <c r="H182" s="1785" t="str">
        <f>"08-06-2023 05:00"</f>
        <v>08-06-2023 05:00</v>
      </c>
      <c r="I182" s="1786">
        <v>0.28000000000000003</v>
      </c>
      <c r="J182" s="1804"/>
    </row>
    <row r="183" spans="1:10">
      <c r="A183" s="1785" t="str">
        <f>"08-05-2023 05:00"</f>
        <v>08-05-2023 05:00</v>
      </c>
      <c r="C183" s="1786">
        <v>0.2</v>
      </c>
      <c r="D183" s="1786">
        <v>0.21</v>
      </c>
      <c r="F183" s="1804"/>
      <c r="G183" s="1785" t="str">
        <f>"08-06-2023 05:00"</f>
        <v>08-06-2023 05:00</v>
      </c>
      <c r="H183" s="1785" t="str">
        <f>"08-06-2023 06:00"</f>
        <v>08-06-2023 06:00</v>
      </c>
      <c r="I183" s="1786">
        <v>0.56000000000000005</v>
      </c>
      <c r="J183" s="1804"/>
    </row>
    <row r="184" spans="1:10">
      <c r="A184" s="1785" t="str">
        <f>"08-05-2023 06:00"</f>
        <v>08-05-2023 06:00</v>
      </c>
      <c r="C184" s="1786">
        <v>0.21</v>
      </c>
      <c r="D184" s="1786">
        <v>0.33</v>
      </c>
      <c r="F184" s="1804"/>
      <c r="G184" s="1785" t="str">
        <f>"08-06-2023 06:00"</f>
        <v>08-06-2023 06:00</v>
      </c>
      <c r="H184" s="1785" t="str">
        <f>"08-06-2023 07:00"</f>
        <v>08-06-2023 07:00</v>
      </c>
      <c r="I184" s="1786">
        <v>0.64</v>
      </c>
      <c r="J184" s="1804"/>
    </row>
    <row r="185" spans="1:10">
      <c r="A185" s="1785" t="str">
        <f>"08-05-2023 07:00"</f>
        <v>08-05-2023 07:00</v>
      </c>
      <c r="C185" s="1786">
        <v>0.15</v>
      </c>
      <c r="D185" s="1786">
        <v>0.64</v>
      </c>
      <c r="F185" s="1804"/>
      <c r="G185" s="1785" t="str">
        <f>"08-06-2023 07:00"</f>
        <v>08-06-2023 07:00</v>
      </c>
      <c r="H185" s="1785" t="str">
        <f>"08-06-2023 08:00"</f>
        <v>08-06-2023 08:00</v>
      </c>
      <c r="I185" s="1786">
        <v>1.62</v>
      </c>
      <c r="J185" s="1804"/>
    </row>
    <row r="186" spans="1:10">
      <c r="A186" s="1795" t="str">
        <f>"08-05-2023 08:00"</f>
        <v>08-05-2023 08:00</v>
      </c>
      <c r="B186" s="1796"/>
      <c r="C186" s="1797">
        <v>0.24</v>
      </c>
      <c r="D186" s="1797">
        <v>0.38</v>
      </c>
      <c r="E186" s="1797"/>
      <c r="F186" s="1804"/>
      <c r="G186" s="1795" t="str">
        <f>"08-06-2023 08:00"</f>
        <v>08-06-2023 08:00</v>
      </c>
      <c r="H186" s="1796" t="str">
        <f>"08-06-2023 09:00"</f>
        <v>08-06-2023 09:00</v>
      </c>
      <c r="I186" s="1797">
        <v>0.73</v>
      </c>
      <c r="J186" s="1804"/>
    </row>
    <row r="187" spans="1:10">
      <c r="A187" s="1798" t="str">
        <f>"08-05-2023 09:00"</f>
        <v>08-05-2023 09:00</v>
      </c>
      <c r="B187" s="1788"/>
      <c r="C187" s="1799">
        <v>0.21</v>
      </c>
      <c r="D187" s="1799">
        <v>0.53</v>
      </c>
      <c r="E187" s="1799"/>
      <c r="F187" s="1804"/>
      <c r="G187" s="1798" t="str">
        <f>"08-06-2023 09:00"</f>
        <v>08-06-2023 09:00</v>
      </c>
      <c r="H187" s="1788" t="str">
        <f>"08-06-2023 10:00"</f>
        <v>08-06-2023 10:00</v>
      </c>
      <c r="I187" s="1799">
        <v>0.51</v>
      </c>
      <c r="J187" s="1804"/>
    </row>
    <row r="188" spans="1:10">
      <c r="A188" s="1798" t="str">
        <f>"08-05-2023 10:00"</f>
        <v>08-05-2023 10:00</v>
      </c>
      <c r="B188" s="1788"/>
      <c r="C188" s="1799">
        <v>0.17</v>
      </c>
      <c r="D188" s="1799">
        <v>0.47</v>
      </c>
      <c r="E188" s="1799"/>
      <c r="F188" s="1804"/>
      <c r="G188" s="1798" t="str">
        <f>"08-06-2023 10:00"</f>
        <v>08-06-2023 10:00</v>
      </c>
      <c r="H188" s="1788" t="str">
        <f>"08-06-2023 11:00"</f>
        <v>08-06-2023 11:00</v>
      </c>
      <c r="I188" s="1799">
        <v>0.68</v>
      </c>
      <c r="J188" s="1804"/>
    </row>
    <row r="189" spans="1:10">
      <c r="A189" s="1798" t="str">
        <f>"08-05-2023 11:00"</f>
        <v>08-05-2023 11:00</v>
      </c>
      <c r="B189" s="1788"/>
      <c r="C189" s="1799">
        <v>0.11</v>
      </c>
      <c r="D189" s="1799">
        <v>0.36</v>
      </c>
      <c r="E189" s="1799"/>
      <c r="F189" s="1804"/>
      <c r="G189" s="1798" t="str">
        <f>"08-06-2023 11:00"</f>
        <v>08-06-2023 11:00</v>
      </c>
      <c r="H189" s="1788" t="str">
        <f>"08-06-2023 12:00"</f>
        <v>08-06-2023 12:00</v>
      </c>
      <c r="I189" s="1799">
        <v>0.68</v>
      </c>
      <c r="J189" s="1804"/>
    </row>
    <row r="190" spans="1:10">
      <c r="A190" s="1798" t="str">
        <f>"08-05-2023 12:00"</f>
        <v>08-05-2023 12:00</v>
      </c>
      <c r="B190" s="1788"/>
      <c r="C190" s="1799">
        <v>0.18</v>
      </c>
      <c r="D190" s="1799">
        <v>0.28999999999999998</v>
      </c>
      <c r="E190" s="1799"/>
      <c r="F190" s="1804"/>
      <c r="G190" s="1798" t="str">
        <f>"08-06-2023 12:00"</f>
        <v>08-06-2023 12:00</v>
      </c>
      <c r="H190" s="1788" t="str">
        <f>"08-06-2023 13:00"</f>
        <v>08-06-2023 13:00</v>
      </c>
      <c r="I190" s="1799">
        <v>0.62</v>
      </c>
      <c r="J190" s="1804"/>
    </row>
    <row r="191" spans="1:10">
      <c r="A191" s="1798" t="str">
        <f>"08-05-2023 13:00"</f>
        <v>08-05-2023 13:00</v>
      </c>
      <c r="B191" s="1788"/>
      <c r="C191" s="1799">
        <v>0.19</v>
      </c>
      <c r="D191" s="1799">
        <v>0.12</v>
      </c>
      <c r="E191" s="1799"/>
      <c r="F191" s="1804"/>
      <c r="G191" s="1798" t="str">
        <f>"08-06-2023 13:00"</f>
        <v>08-06-2023 13:00</v>
      </c>
      <c r="H191" s="1788" t="str">
        <f>"08-06-2023 14:00"</f>
        <v>08-06-2023 14:00</v>
      </c>
      <c r="I191" s="1799">
        <v>0.65</v>
      </c>
      <c r="J191" s="1804"/>
    </row>
    <row r="192" spans="1:10">
      <c r="A192" s="1798" t="str">
        <f>"08-05-2023 14:00"</f>
        <v>08-05-2023 14:00</v>
      </c>
      <c r="B192" s="1788"/>
      <c r="C192" s="1799">
        <v>0.18</v>
      </c>
      <c r="D192" s="1799">
        <v>0.18</v>
      </c>
      <c r="E192" s="1799"/>
      <c r="F192" s="1804"/>
      <c r="G192" s="1798" t="str">
        <f>"08-06-2023 14:00"</f>
        <v>08-06-2023 14:00</v>
      </c>
      <c r="H192" s="1788" t="str">
        <f>"08-06-2023 15:00"</f>
        <v>08-06-2023 15:00</v>
      </c>
      <c r="I192" s="1799">
        <v>0.64</v>
      </c>
      <c r="J192" s="1804"/>
    </row>
    <row r="193" spans="1:10">
      <c r="A193" s="1798" t="str">
        <f>"08-05-2023 15:00"</f>
        <v>08-05-2023 15:00</v>
      </c>
      <c r="B193" s="1788"/>
      <c r="C193" s="1799">
        <v>0.1</v>
      </c>
      <c r="D193" s="1799">
        <v>0.33</v>
      </c>
      <c r="E193" s="1799"/>
      <c r="F193" s="1804"/>
      <c r="G193" s="1798" t="str">
        <f>"08-06-2023 15:00"</f>
        <v>08-06-2023 15:00</v>
      </c>
      <c r="H193" s="1788" t="str">
        <f>"08-06-2023 16:00"</f>
        <v>08-06-2023 16:00</v>
      </c>
      <c r="I193" s="1799">
        <v>0.7</v>
      </c>
      <c r="J193" s="1804"/>
    </row>
    <row r="194" spans="1:10">
      <c r="A194" s="1798" t="str">
        <f>"08-05-2023 16:00"</f>
        <v>08-05-2023 16:00</v>
      </c>
      <c r="B194" s="1788"/>
      <c r="C194" s="1799">
        <v>0.12</v>
      </c>
      <c r="D194" s="1799">
        <v>0.36</v>
      </c>
      <c r="E194" s="1799"/>
      <c r="F194" s="1804"/>
      <c r="G194" s="1798" t="str">
        <f>"08-06-2023 16:00"</f>
        <v>08-06-2023 16:00</v>
      </c>
      <c r="H194" s="1788" t="str">
        <f>"08-06-2023 17:00"</f>
        <v>08-06-2023 17:00</v>
      </c>
      <c r="I194" s="1799">
        <v>0.74</v>
      </c>
      <c r="J194" s="1804"/>
    </row>
    <row r="195" spans="1:10">
      <c r="A195" s="1798" t="str">
        <f>"08-05-2023 17:00"</f>
        <v>08-05-2023 17:00</v>
      </c>
      <c r="B195" s="1788"/>
      <c r="C195" s="1799">
        <v>0.21</v>
      </c>
      <c r="D195" s="1799">
        <v>0.5</v>
      </c>
      <c r="E195" s="1799"/>
      <c r="F195" s="1804"/>
      <c r="G195" s="1798" t="str">
        <f>"08-06-2023 17:00"</f>
        <v>08-06-2023 17:00</v>
      </c>
      <c r="H195" s="1788" t="str">
        <f>"08-06-2023 18:00"</f>
        <v>08-06-2023 18:00</v>
      </c>
      <c r="I195" s="1799">
        <v>1.65</v>
      </c>
      <c r="J195" s="1804"/>
    </row>
    <row r="196" spans="1:10">
      <c r="A196" s="1800" t="str">
        <f>"08-05-2023 18:00"</f>
        <v>08-05-2023 18:00</v>
      </c>
      <c r="B196" s="1794"/>
      <c r="C196" s="1801">
        <v>0.22</v>
      </c>
      <c r="D196" s="1801">
        <v>0.51</v>
      </c>
      <c r="E196" s="1801"/>
      <c r="F196" s="1804"/>
      <c r="G196" s="1800" t="str">
        <f>"08-06-2023 18:00"</f>
        <v>08-06-2023 18:00</v>
      </c>
      <c r="H196" s="1794" t="str">
        <f>"08-06-2023 19:00"</f>
        <v>08-06-2023 19:00</v>
      </c>
      <c r="I196" s="1801">
        <v>1.1399999999999999</v>
      </c>
      <c r="J196" s="1804"/>
    </row>
    <row r="197" spans="1:10">
      <c r="A197" s="1785" t="str">
        <f>"08-05-2023 19:00"</f>
        <v>08-05-2023 19:00</v>
      </c>
      <c r="C197" s="1786">
        <v>0.19</v>
      </c>
      <c r="D197" s="1786">
        <v>0.6</v>
      </c>
      <c r="F197" s="1804"/>
      <c r="G197" s="1785" t="str">
        <f>"08-06-2023 19:00"</f>
        <v>08-06-2023 19:00</v>
      </c>
      <c r="H197" s="1785" t="str">
        <f>"08-06-2023 20:00"</f>
        <v>08-06-2023 20:00</v>
      </c>
      <c r="I197" s="1786">
        <v>0.94</v>
      </c>
      <c r="J197" s="1804"/>
    </row>
    <row r="198" spans="1:10">
      <c r="A198" s="1785" t="str">
        <f>"08-05-2023 20:00"</f>
        <v>08-05-2023 20:00</v>
      </c>
      <c r="C198" s="1786">
        <v>0.11</v>
      </c>
      <c r="D198" s="1786">
        <v>0.39</v>
      </c>
      <c r="F198" s="1804"/>
      <c r="G198" s="1785" t="str">
        <f>"08-06-2023 20:00"</f>
        <v>08-06-2023 20:00</v>
      </c>
      <c r="H198" s="1785" t="str">
        <f>"08-06-2023 21:00"</f>
        <v>08-06-2023 21:00</v>
      </c>
      <c r="I198" s="1786">
        <v>0.84</v>
      </c>
      <c r="J198" s="1804"/>
    </row>
    <row r="199" spans="1:10">
      <c r="A199" s="1785" t="str">
        <f>"08-05-2023 21:00"</f>
        <v>08-05-2023 21:00</v>
      </c>
      <c r="C199" s="1786">
        <v>0.19</v>
      </c>
      <c r="D199" s="1786">
        <v>0.21</v>
      </c>
      <c r="F199" s="1804"/>
      <c r="G199" s="1785" t="str">
        <f>"08-06-2023 21:00"</f>
        <v>08-06-2023 21:00</v>
      </c>
      <c r="H199" s="1785" t="str">
        <f>"08-06-2023 22:00"</f>
        <v>08-06-2023 22:00</v>
      </c>
      <c r="I199" s="1786">
        <v>0.99</v>
      </c>
      <c r="J199" s="1804"/>
    </row>
    <row r="200" spans="1:10">
      <c r="A200" s="1785" t="str">
        <f>"08-05-2023 22:00"</f>
        <v>08-05-2023 22:00</v>
      </c>
      <c r="C200" s="1786">
        <v>0.22</v>
      </c>
      <c r="D200" s="1786">
        <v>0.09</v>
      </c>
      <c r="F200" s="1804"/>
      <c r="G200" s="1785" t="str">
        <f>"08-06-2023 22:00"</f>
        <v>08-06-2023 22:00</v>
      </c>
      <c r="H200" s="1785" t="str">
        <f>"08-06-2023 23:00"</f>
        <v>08-06-2023 23:00</v>
      </c>
      <c r="I200" s="1786">
        <v>0.77</v>
      </c>
      <c r="J200" s="1804"/>
    </row>
    <row r="201" spans="1:10" ht="15" thickBot="1">
      <c r="A201" s="1785" t="str">
        <f>"08-05-2023 23:00"</f>
        <v>08-05-2023 23:00</v>
      </c>
      <c r="C201" s="1786">
        <v>0.19</v>
      </c>
      <c r="D201" s="1786">
        <v>0.01</v>
      </c>
      <c r="F201" s="1804"/>
      <c r="G201" s="1785" t="str">
        <f>"08-06-2023 23:00"</f>
        <v>08-06-2023 23:00</v>
      </c>
      <c r="H201" s="1785" t="str">
        <f>"09-06-2023 00:00"</f>
        <v>09-06-2023 00:00</v>
      </c>
      <c r="I201" s="1786">
        <v>0.6</v>
      </c>
      <c r="J201" s="1804"/>
    </row>
    <row r="202" spans="1:10">
      <c r="A202" s="2764">
        <v>45055</v>
      </c>
      <c r="B202" s="2764"/>
      <c r="C202" s="1789">
        <f>SUM(C203:C226)</f>
        <v>7.910000000000001</v>
      </c>
      <c r="D202" s="1789">
        <f>SUM(D203:D226)</f>
        <v>2.3200000000000003</v>
      </c>
      <c r="E202" s="1789">
        <f>C202+D202</f>
        <v>10.23</v>
      </c>
      <c r="F202" s="1802"/>
      <c r="G202" s="2764" t="str">
        <f>G203</f>
        <v>09-06-2023 00:00</v>
      </c>
      <c r="H202" s="2764"/>
      <c r="I202" s="1789">
        <f>SUM(I203:I226)</f>
        <v>20.29</v>
      </c>
      <c r="J202" s="1802"/>
    </row>
    <row r="203" spans="1:10">
      <c r="A203" s="1785" t="str">
        <f>"09-05-2023 00:00"</f>
        <v>09-05-2023 00:00</v>
      </c>
      <c r="C203" s="1786">
        <v>0.11</v>
      </c>
      <c r="D203" s="1786">
        <v>0.06</v>
      </c>
      <c r="G203" s="1785" t="str">
        <f>"09-06-2023 00:00"</f>
        <v>09-06-2023 00:00</v>
      </c>
      <c r="H203" s="1785" t="str">
        <f>"09-06-2023 01:00"</f>
        <v>09-06-2023 01:00</v>
      </c>
      <c r="I203" s="1786">
        <v>0.39</v>
      </c>
    </row>
    <row r="204" spans="1:10">
      <c r="A204" s="1785" t="str">
        <f>"09-05-2023 01:00"</f>
        <v>09-05-2023 01:00</v>
      </c>
      <c r="C204" s="1786">
        <v>0.12</v>
      </c>
      <c r="D204" s="1786">
        <v>0.09</v>
      </c>
      <c r="G204" s="1785" t="str">
        <f>"09-06-2023 01:00"</f>
        <v>09-06-2023 01:00</v>
      </c>
      <c r="H204" s="1785" t="str">
        <f>"09-06-2023 02:00"</f>
        <v>09-06-2023 02:00</v>
      </c>
      <c r="I204" s="1786">
        <v>0.3</v>
      </c>
    </row>
    <row r="205" spans="1:10">
      <c r="A205" s="1785" t="str">
        <f>"09-05-2023 02:00"</f>
        <v>09-05-2023 02:00</v>
      </c>
      <c r="C205" s="1786">
        <v>0.2</v>
      </c>
      <c r="D205" s="1786">
        <v>0.09</v>
      </c>
      <c r="G205" s="1785" t="str">
        <f>"09-06-2023 02:00"</f>
        <v>09-06-2023 02:00</v>
      </c>
      <c r="H205" s="1785" t="str">
        <f>"09-06-2023 03:00"</f>
        <v>09-06-2023 03:00</v>
      </c>
      <c r="I205" s="1786">
        <v>0.34</v>
      </c>
    </row>
    <row r="206" spans="1:10">
      <c r="A206" s="1785" t="str">
        <f>"09-05-2023 03:00"</f>
        <v>09-05-2023 03:00</v>
      </c>
      <c r="C206" s="1786">
        <v>0.19</v>
      </c>
      <c r="D206" s="1786">
        <v>7.0000000000000007E-2</v>
      </c>
      <c r="G206" s="1785" t="str">
        <f>"09-06-2023 03:00"</f>
        <v>09-06-2023 03:00</v>
      </c>
      <c r="H206" s="1785" t="str">
        <f>"09-06-2023 04:00"</f>
        <v>09-06-2023 04:00</v>
      </c>
      <c r="I206" s="1786">
        <v>0.27</v>
      </c>
    </row>
    <row r="207" spans="1:10">
      <c r="A207" s="1785" t="str">
        <f>"09-05-2023 04:00"</f>
        <v>09-05-2023 04:00</v>
      </c>
      <c r="C207" s="1786">
        <v>0.14000000000000001</v>
      </c>
      <c r="D207" s="1786">
        <v>0.03</v>
      </c>
      <c r="G207" s="1785" t="str">
        <f>"09-06-2023 04:00"</f>
        <v>09-06-2023 04:00</v>
      </c>
      <c r="H207" s="1785" t="str">
        <f>"09-06-2023 05:00"</f>
        <v>09-06-2023 05:00</v>
      </c>
      <c r="I207" s="1786">
        <v>0.34</v>
      </c>
    </row>
    <row r="208" spans="1:10">
      <c r="A208" s="1785" t="str">
        <f>"09-05-2023 05:00"</f>
        <v>09-05-2023 05:00</v>
      </c>
      <c r="C208" s="1786">
        <v>0.11</v>
      </c>
      <c r="D208" s="1786">
        <v>0.24</v>
      </c>
      <c r="G208" s="1785" t="str">
        <f>"09-06-2023 05:00"</f>
        <v>09-06-2023 05:00</v>
      </c>
      <c r="H208" s="1785" t="str">
        <f>"09-06-2023 06:00"</f>
        <v>09-06-2023 06:00</v>
      </c>
      <c r="I208" s="1786">
        <v>0.35</v>
      </c>
    </row>
    <row r="209" spans="1:9">
      <c r="A209" s="1785" t="str">
        <f>"09-05-2023 06:00"</f>
        <v>09-05-2023 06:00</v>
      </c>
      <c r="C209" s="1786">
        <v>0.2</v>
      </c>
      <c r="D209" s="1786">
        <v>0.27</v>
      </c>
      <c r="G209" s="1785" t="str">
        <f>"09-06-2023 06:00"</f>
        <v>09-06-2023 06:00</v>
      </c>
      <c r="H209" s="1785" t="str">
        <f>"09-06-2023 07:00"</f>
        <v>09-06-2023 07:00</v>
      </c>
      <c r="I209" s="1786">
        <v>0.3</v>
      </c>
    </row>
    <row r="210" spans="1:9">
      <c r="A210" s="1785" t="str">
        <f>"09-05-2023 07:00"</f>
        <v>09-05-2023 07:00</v>
      </c>
      <c r="C210" s="1786">
        <v>0.2</v>
      </c>
      <c r="D210" s="1786">
        <v>0.25</v>
      </c>
      <c r="G210" s="1785" t="str">
        <f>"09-06-2023 07:00"</f>
        <v>09-06-2023 07:00</v>
      </c>
      <c r="H210" s="1785" t="str">
        <f>"09-06-2023 08:00"</f>
        <v>09-06-2023 08:00</v>
      </c>
      <c r="I210" s="1786">
        <v>0.71</v>
      </c>
    </row>
    <row r="211" spans="1:9">
      <c r="A211" s="1795" t="str">
        <f>"09-05-2023 08:00"</f>
        <v>09-05-2023 08:00</v>
      </c>
      <c r="B211" s="1796"/>
      <c r="C211" s="1797">
        <v>0.19</v>
      </c>
      <c r="D211" s="1797">
        <v>0.19</v>
      </c>
      <c r="E211" s="1797"/>
      <c r="G211" s="1795" t="str">
        <f>"09-06-2023 08:00"</f>
        <v>09-06-2023 08:00</v>
      </c>
      <c r="H211" s="1796" t="str">
        <f>"09-06-2023 09:00"</f>
        <v>09-06-2023 09:00</v>
      </c>
      <c r="I211" s="1797">
        <v>1.21</v>
      </c>
    </row>
    <row r="212" spans="1:9">
      <c r="A212" s="1798" t="str">
        <f>"09-05-2023 09:00"</f>
        <v>09-05-2023 09:00</v>
      </c>
      <c r="B212" s="1788"/>
      <c r="C212" s="1799">
        <v>0.1</v>
      </c>
      <c r="D212" s="1799">
        <v>0.02</v>
      </c>
      <c r="E212" s="1799"/>
      <c r="G212" s="1798" t="str">
        <f>"09-06-2023 09:00"</f>
        <v>09-06-2023 09:00</v>
      </c>
      <c r="H212" s="1788" t="str">
        <f>"09-06-2023 10:00"</f>
        <v>09-06-2023 10:00</v>
      </c>
      <c r="I212" s="1799">
        <v>2.87</v>
      </c>
    </row>
    <row r="213" spans="1:9">
      <c r="A213" s="1798" t="str">
        <f>"09-05-2023 10:00"</f>
        <v>09-05-2023 10:00</v>
      </c>
      <c r="B213" s="1788"/>
      <c r="C213" s="1799">
        <v>0.26</v>
      </c>
      <c r="D213" s="1799">
        <v>0.03</v>
      </c>
      <c r="E213" s="1799"/>
      <c r="G213" s="1798" t="str">
        <f>"09-06-2023 10:00"</f>
        <v>09-06-2023 10:00</v>
      </c>
      <c r="H213" s="1788" t="str">
        <f>"09-06-2023 11:00"</f>
        <v>09-06-2023 11:00</v>
      </c>
      <c r="I213" s="1799">
        <v>0.78</v>
      </c>
    </row>
    <row r="214" spans="1:9">
      <c r="A214" s="1798" t="str">
        <f>"09-05-2023 11:00"</f>
        <v>09-05-2023 11:00</v>
      </c>
      <c r="B214" s="1788"/>
      <c r="C214" s="1799">
        <v>0.34</v>
      </c>
      <c r="D214" s="1799">
        <v>7.0000000000000007E-2</v>
      </c>
      <c r="E214" s="1799"/>
      <c r="G214" s="1798" t="str">
        <f>"09-06-2023 11:00"</f>
        <v>09-06-2023 11:00</v>
      </c>
      <c r="H214" s="1788" t="str">
        <f>"09-06-2023 12:00"</f>
        <v>09-06-2023 12:00</v>
      </c>
      <c r="I214" s="1799">
        <v>0.57999999999999996</v>
      </c>
    </row>
    <row r="215" spans="1:9">
      <c r="A215" s="1798" t="str">
        <f>"09-05-2023 12:00"</f>
        <v>09-05-2023 12:00</v>
      </c>
      <c r="B215" s="1788"/>
      <c r="C215" s="1799">
        <v>0.28999999999999998</v>
      </c>
      <c r="D215" s="1799">
        <v>0.21</v>
      </c>
      <c r="E215" s="1799"/>
      <c r="G215" s="1798" t="str">
        <f>"09-06-2023 12:00"</f>
        <v>09-06-2023 12:00</v>
      </c>
      <c r="H215" s="1788" t="str">
        <f>"09-06-2023 13:00"</f>
        <v>09-06-2023 13:00</v>
      </c>
      <c r="I215" s="1799">
        <v>1</v>
      </c>
    </row>
    <row r="216" spans="1:9">
      <c r="A216" s="1798" t="str">
        <f>"09-05-2023 13:00"</f>
        <v>09-05-2023 13:00</v>
      </c>
      <c r="B216" s="1788"/>
      <c r="C216" s="1799">
        <v>0.26</v>
      </c>
      <c r="D216" s="1799">
        <v>0.06</v>
      </c>
      <c r="E216" s="1799"/>
      <c r="G216" s="1798" t="str">
        <f>"09-06-2023 13:00"</f>
        <v>09-06-2023 13:00</v>
      </c>
      <c r="H216" s="1788" t="str">
        <f>"09-06-2023 14:00"</f>
        <v>09-06-2023 14:00</v>
      </c>
      <c r="I216" s="1799">
        <v>0.61</v>
      </c>
    </row>
    <row r="217" spans="1:9">
      <c r="A217" s="1798" t="str">
        <f>"09-05-2023 14:00"</f>
        <v>09-05-2023 14:00</v>
      </c>
      <c r="B217" s="1788"/>
      <c r="C217" s="1799">
        <v>0.94</v>
      </c>
      <c r="D217" s="1799">
        <v>0.01</v>
      </c>
      <c r="E217" s="1799"/>
      <c r="G217" s="1798" t="str">
        <f>"09-06-2023 14:00"</f>
        <v>09-06-2023 14:00</v>
      </c>
      <c r="H217" s="1788" t="str">
        <f>"09-06-2023 15:00"</f>
        <v>09-06-2023 15:00</v>
      </c>
      <c r="I217" s="1799">
        <v>0.44</v>
      </c>
    </row>
    <row r="218" spans="1:9">
      <c r="A218" s="1798" t="str">
        <f>"09-05-2023 15:00"</f>
        <v>09-05-2023 15:00</v>
      </c>
      <c r="B218" s="1788"/>
      <c r="C218" s="1799">
        <v>0.88</v>
      </c>
      <c r="D218" s="1799">
        <v>0.04</v>
      </c>
      <c r="E218" s="1799"/>
      <c r="G218" s="1798" t="str">
        <f>"09-06-2023 15:00"</f>
        <v>09-06-2023 15:00</v>
      </c>
      <c r="H218" s="1788" t="str">
        <f>"09-06-2023 16:00"</f>
        <v>09-06-2023 16:00</v>
      </c>
      <c r="I218" s="1799">
        <v>0.8</v>
      </c>
    </row>
    <row r="219" spans="1:9">
      <c r="A219" s="1798" t="str">
        <f>"09-05-2023 16:00"</f>
        <v>09-05-2023 16:00</v>
      </c>
      <c r="B219" s="1788"/>
      <c r="C219" s="1799">
        <v>0.4</v>
      </c>
      <c r="D219" s="1799">
        <v>0.08</v>
      </c>
      <c r="E219" s="1799"/>
      <c r="G219" s="1798" t="str">
        <f>"09-06-2023 16:00"</f>
        <v>09-06-2023 16:00</v>
      </c>
      <c r="H219" s="1788" t="str">
        <f>"09-06-2023 17:00"</f>
        <v>09-06-2023 17:00</v>
      </c>
      <c r="I219" s="1799">
        <v>0.6</v>
      </c>
    </row>
    <row r="220" spans="1:9">
      <c r="A220" s="1798" t="str">
        <f>"09-05-2023 17:00"</f>
        <v>09-05-2023 17:00</v>
      </c>
      <c r="B220" s="1788"/>
      <c r="C220" s="1799">
        <v>0.72</v>
      </c>
      <c r="D220" s="1799">
        <v>0.09</v>
      </c>
      <c r="E220" s="1799"/>
      <c r="G220" s="1798" t="str">
        <f>"09-06-2023 17:00"</f>
        <v>09-06-2023 17:00</v>
      </c>
      <c r="H220" s="1788" t="str">
        <f>"09-06-2023 18:00"</f>
        <v>09-06-2023 18:00</v>
      </c>
      <c r="I220" s="1799">
        <v>2.37</v>
      </c>
    </row>
    <row r="221" spans="1:9">
      <c r="A221" s="1800" t="str">
        <f>"09-05-2023 18:00"</f>
        <v>09-05-2023 18:00</v>
      </c>
      <c r="B221" s="1794"/>
      <c r="C221" s="1801">
        <v>0.45</v>
      </c>
      <c r="D221" s="1801">
        <v>0.08</v>
      </c>
      <c r="E221" s="1801"/>
      <c r="G221" s="1800" t="str">
        <f>"09-06-2023 18:00"</f>
        <v>09-06-2023 18:00</v>
      </c>
      <c r="H221" s="1794" t="str">
        <f>"09-06-2023 19:00"</f>
        <v>09-06-2023 19:00</v>
      </c>
      <c r="I221" s="1801">
        <v>1.9</v>
      </c>
    </row>
    <row r="222" spans="1:9">
      <c r="A222" s="1785" t="str">
        <f>"09-05-2023 19:00"</f>
        <v>09-05-2023 19:00</v>
      </c>
      <c r="C222" s="1786">
        <v>0.44</v>
      </c>
      <c r="D222" s="1786">
        <v>0.02</v>
      </c>
      <c r="G222" s="1785" t="str">
        <f>"09-06-2023 19:00"</f>
        <v>09-06-2023 19:00</v>
      </c>
      <c r="H222" s="1785" t="str">
        <f>"09-06-2023 20:00"</f>
        <v>09-06-2023 20:00</v>
      </c>
      <c r="I222" s="1786">
        <v>1.27</v>
      </c>
    </row>
    <row r="223" spans="1:9">
      <c r="A223" s="1785" t="str">
        <f>"09-05-2023 20:00"</f>
        <v>09-05-2023 20:00</v>
      </c>
      <c r="C223" s="1786">
        <v>0.39</v>
      </c>
      <c r="D223" s="1786">
        <v>0.06</v>
      </c>
      <c r="G223" s="1785" t="str">
        <f>"09-06-2023 20:00"</f>
        <v>09-06-2023 20:00</v>
      </c>
      <c r="H223" s="1785" t="str">
        <f>"09-06-2023 21:00"</f>
        <v>09-06-2023 21:00</v>
      </c>
      <c r="I223" s="1786">
        <v>0.69</v>
      </c>
    </row>
    <row r="224" spans="1:9">
      <c r="A224" s="1785" t="str">
        <f>"09-05-2023 21:00"</f>
        <v>09-05-2023 21:00</v>
      </c>
      <c r="C224" s="1786">
        <v>0.42</v>
      </c>
      <c r="D224" s="1786">
        <v>0.08</v>
      </c>
      <c r="G224" s="1785" t="str">
        <f>"09-06-2023 21:00"</f>
        <v>09-06-2023 21:00</v>
      </c>
      <c r="H224" s="1785" t="str">
        <f>"09-06-2023 22:00"</f>
        <v>09-06-2023 22:00</v>
      </c>
      <c r="I224" s="1786">
        <v>0.56999999999999995</v>
      </c>
    </row>
    <row r="225" spans="1:10">
      <c r="A225" s="1785" t="str">
        <f>"09-05-2023 22:00"</f>
        <v>09-05-2023 22:00</v>
      </c>
      <c r="C225" s="1786">
        <v>0.28000000000000003</v>
      </c>
      <c r="D225" s="1786">
        <v>0.09</v>
      </c>
      <c r="G225" s="1785" t="str">
        <f>"09-06-2023 22:00"</f>
        <v>09-06-2023 22:00</v>
      </c>
      <c r="H225" s="1785" t="str">
        <f>"09-06-2023 23:00"</f>
        <v>09-06-2023 23:00</v>
      </c>
      <c r="I225" s="1786">
        <v>1</v>
      </c>
    </row>
    <row r="226" spans="1:10" ht="15" thickBot="1">
      <c r="A226" s="1785" t="str">
        <f>"09-05-2023 23:00"</f>
        <v>09-05-2023 23:00</v>
      </c>
      <c r="C226" s="1786">
        <v>0.28000000000000003</v>
      </c>
      <c r="D226" s="1786">
        <v>0.09</v>
      </c>
      <c r="G226" s="1785" t="str">
        <f>"09-06-2023 23:00"</f>
        <v>09-06-2023 23:00</v>
      </c>
      <c r="H226" s="1785" t="str">
        <f>"10-06-2023 00:00"</f>
        <v>10-06-2023 00:00</v>
      </c>
      <c r="I226" s="1786">
        <v>0.6</v>
      </c>
    </row>
    <row r="227" spans="1:10">
      <c r="A227" s="2764">
        <v>45056</v>
      </c>
      <c r="B227" s="2764"/>
      <c r="C227" s="1789">
        <f>SUM(C228:C251)</f>
        <v>10.530000000000003</v>
      </c>
      <c r="D227" s="1789">
        <f>SUM(D228:D251)</f>
        <v>0</v>
      </c>
      <c r="E227" s="1789">
        <f>C227+D227</f>
        <v>10.530000000000003</v>
      </c>
      <c r="F227" s="1802"/>
      <c r="G227" s="2764" t="str">
        <f>G228</f>
        <v>10-06-2023 00:00</v>
      </c>
      <c r="H227" s="2764"/>
      <c r="I227" s="1789">
        <f>SUM(I228:I251)</f>
        <v>12.68</v>
      </c>
      <c r="J227" s="1802"/>
    </row>
    <row r="228" spans="1:10">
      <c r="A228" s="1785" t="str">
        <f>"10-05-2023 00:00"</f>
        <v>10-05-2023 00:00</v>
      </c>
      <c r="C228" s="1786">
        <v>0.28000000000000003</v>
      </c>
      <c r="G228" s="1785" t="str">
        <f>"10-06-2023 00:00"</f>
        <v>10-06-2023 00:00</v>
      </c>
      <c r="H228" s="1785" t="str">
        <f>"10-06-2023 01:00"</f>
        <v>10-06-2023 01:00</v>
      </c>
      <c r="I228" s="1786">
        <v>0.68</v>
      </c>
    </row>
    <row r="229" spans="1:10">
      <c r="A229" s="1785" t="str">
        <f>"10-05-2023 01:00"</f>
        <v>10-05-2023 01:00</v>
      </c>
      <c r="C229" s="1786">
        <v>0.23</v>
      </c>
      <c r="G229" s="1785" t="str">
        <f>"10-06-2023 01:00"</f>
        <v>10-06-2023 01:00</v>
      </c>
      <c r="H229" s="1785" t="str">
        <f>"10-06-2023 02:00"</f>
        <v>10-06-2023 02:00</v>
      </c>
      <c r="I229" s="1786">
        <v>0.46</v>
      </c>
    </row>
    <row r="230" spans="1:10">
      <c r="A230" s="1785" t="str">
        <f>"10-05-2023 02:00"</f>
        <v>10-05-2023 02:00</v>
      </c>
      <c r="C230" s="1786">
        <v>0.24</v>
      </c>
      <c r="G230" s="1785" t="str">
        <f>"10-06-2023 02:00"</f>
        <v>10-06-2023 02:00</v>
      </c>
      <c r="H230" s="1785" t="str">
        <f>"10-06-2023 03:00"</f>
        <v>10-06-2023 03:00</v>
      </c>
      <c r="I230" s="1786">
        <v>0.47</v>
      </c>
    </row>
    <row r="231" spans="1:10">
      <c r="A231" s="1785" t="str">
        <f>"10-05-2023 03:00"</f>
        <v>10-05-2023 03:00</v>
      </c>
      <c r="C231" s="1786">
        <v>0.17</v>
      </c>
      <c r="G231" s="1785" t="str">
        <f>"10-06-2023 03:00"</f>
        <v>10-06-2023 03:00</v>
      </c>
      <c r="H231" s="1785" t="str">
        <f>"10-06-2023 04:00"</f>
        <v>10-06-2023 04:00</v>
      </c>
      <c r="I231" s="1786">
        <v>0.4</v>
      </c>
    </row>
    <row r="232" spans="1:10">
      <c r="A232" s="1785" t="str">
        <f>"10-05-2023 04:00"</f>
        <v>10-05-2023 04:00</v>
      </c>
      <c r="C232" s="1786">
        <v>0.17</v>
      </c>
      <c r="G232" s="1785" t="str">
        <f>"10-06-2023 04:00"</f>
        <v>10-06-2023 04:00</v>
      </c>
      <c r="H232" s="1785" t="str">
        <f>"10-06-2023 05:00"</f>
        <v>10-06-2023 05:00</v>
      </c>
      <c r="I232" s="1786">
        <v>0.51</v>
      </c>
    </row>
    <row r="233" spans="1:10">
      <c r="A233" s="1785" t="str">
        <f>"10-05-2023 05:00"</f>
        <v>10-05-2023 05:00</v>
      </c>
      <c r="C233" s="1786">
        <v>0.26</v>
      </c>
      <c r="G233" s="1785" t="str">
        <f>"10-06-2023 05:00"</f>
        <v>10-06-2023 05:00</v>
      </c>
      <c r="H233" s="1785" t="str">
        <f>"10-06-2023 06:00"</f>
        <v>10-06-2023 06:00</v>
      </c>
      <c r="I233" s="1786">
        <v>0.38</v>
      </c>
    </row>
    <row r="234" spans="1:10">
      <c r="A234" s="1785" t="str">
        <f>"10-05-2023 06:00"</f>
        <v>10-05-2023 06:00</v>
      </c>
      <c r="C234" s="1786">
        <v>0.25</v>
      </c>
      <c r="G234" s="1785" t="str">
        <f>"10-06-2023 06:00"</f>
        <v>10-06-2023 06:00</v>
      </c>
      <c r="H234" s="1785" t="str">
        <f>"10-06-2023 07:00"</f>
        <v>10-06-2023 07:00</v>
      </c>
      <c r="I234" s="1786">
        <v>0.46</v>
      </c>
    </row>
    <row r="235" spans="1:10">
      <c r="A235" s="1785" t="str">
        <f>"10-05-2023 07:00"</f>
        <v>10-05-2023 07:00</v>
      </c>
      <c r="C235" s="1786">
        <v>0.26</v>
      </c>
      <c r="G235" s="1785" t="str">
        <f>"10-06-2023 07:00"</f>
        <v>10-06-2023 07:00</v>
      </c>
      <c r="H235" s="1785" t="str">
        <f>"10-06-2023 08:00"</f>
        <v>10-06-2023 08:00</v>
      </c>
      <c r="I235" s="1786">
        <v>0.5</v>
      </c>
    </row>
    <row r="236" spans="1:10">
      <c r="A236" s="1795" t="str">
        <f>"10-05-2023 08:00"</f>
        <v>10-05-2023 08:00</v>
      </c>
      <c r="B236" s="1796"/>
      <c r="C236" s="1797">
        <v>0.48</v>
      </c>
      <c r="D236" s="1797"/>
      <c r="E236" s="1797"/>
      <c r="G236" s="1795" t="str">
        <f>"10-06-2023 08:00"</f>
        <v>10-06-2023 08:00</v>
      </c>
      <c r="H236" s="1796" t="str">
        <f>"10-06-2023 09:00"</f>
        <v>10-06-2023 09:00</v>
      </c>
      <c r="I236" s="1797">
        <v>0.64</v>
      </c>
    </row>
    <row r="237" spans="1:10">
      <c r="A237" s="1798" t="str">
        <f>"10-05-2023 09:00"</f>
        <v>10-05-2023 09:00</v>
      </c>
      <c r="B237" s="1788"/>
      <c r="C237" s="1799">
        <v>0.25</v>
      </c>
      <c r="D237" s="1799"/>
      <c r="E237" s="1799"/>
      <c r="G237" s="1798" t="str">
        <f>"10-06-2023 09:00"</f>
        <v>10-06-2023 09:00</v>
      </c>
      <c r="H237" s="1788" t="str">
        <f>"10-06-2023 10:00"</f>
        <v>10-06-2023 10:00</v>
      </c>
      <c r="I237" s="1799">
        <v>0.47</v>
      </c>
    </row>
    <row r="238" spans="1:10">
      <c r="A238" s="1798" t="str">
        <f>"10-05-2023 10:00"</f>
        <v>10-05-2023 10:00</v>
      </c>
      <c r="B238" s="1788"/>
      <c r="C238" s="1799">
        <v>0.42</v>
      </c>
      <c r="D238" s="1799"/>
      <c r="E238" s="1799"/>
      <c r="G238" s="1798" t="str">
        <f>"10-06-2023 10:00"</f>
        <v>10-06-2023 10:00</v>
      </c>
      <c r="H238" s="1788" t="str">
        <f>"10-06-2023 11:00"</f>
        <v>10-06-2023 11:00</v>
      </c>
      <c r="I238" s="1799">
        <v>0.39</v>
      </c>
    </row>
    <row r="239" spans="1:10">
      <c r="A239" s="1798" t="str">
        <f>"10-05-2023 11:00"</f>
        <v>10-05-2023 11:00</v>
      </c>
      <c r="B239" s="1788"/>
      <c r="C239" s="1799">
        <v>0.48</v>
      </c>
      <c r="D239" s="1799"/>
      <c r="E239" s="1799"/>
      <c r="G239" s="1798" t="str">
        <f>"10-06-2023 11:00"</f>
        <v>10-06-2023 11:00</v>
      </c>
      <c r="H239" s="1788" t="str">
        <f>"10-06-2023 12:00"</f>
        <v>10-06-2023 12:00</v>
      </c>
      <c r="I239" s="1799">
        <v>0.43</v>
      </c>
    </row>
    <row r="240" spans="1:10">
      <c r="A240" s="1798" t="str">
        <f>"10-05-2023 12:00"</f>
        <v>10-05-2023 12:00</v>
      </c>
      <c r="B240" s="1788"/>
      <c r="C240" s="1799">
        <v>0.46</v>
      </c>
      <c r="D240" s="1799"/>
      <c r="E240" s="1799"/>
      <c r="G240" s="1798" t="str">
        <f>"10-06-2023 12:00"</f>
        <v>10-06-2023 12:00</v>
      </c>
      <c r="H240" s="1788" t="str">
        <f>"10-06-2023 13:00"</f>
        <v>10-06-2023 13:00</v>
      </c>
      <c r="I240" s="1799">
        <v>0.42</v>
      </c>
    </row>
    <row r="241" spans="1:10">
      <c r="A241" s="1798" t="str">
        <f>"10-05-2023 13:00"</f>
        <v>10-05-2023 13:00</v>
      </c>
      <c r="B241" s="1788"/>
      <c r="C241" s="1799">
        <v>0.39</v>
      </c>
      <c r="D241" s="1799"/>
      <c r="E241" s="1799"/>
      <c r="G241" s="1798" t="str">
        <f>"10-06-2023 13:00"</f>
        <v>10-06-2023 13:00</v>
      </c>
      <c r="H241" s="1788" t="str">
        <f>"10-06-2023 14:00"</f>
        <v>10-06-2023 14:00</v>
      </c>
      <c r="I241" s="1799">
        <v>0.32</v>
      </c>
    </row>
    <row r="242" spans="1:10">
      <c r="A242" s="1798" t="str">
        <f>"10-05-2023 14:00"</f>
        <v>10-05-2023 14:00</v>
      </c>
      <c r="B242" s="1788"/>
      <c r="C242" s="1799">
        <v>0.41</v>
      </c>
      <c r="D242" s="1799"/>
      <c r="E242" s="1799"/>
      <c r="G242" s="1798" t="str">
        <f>"10-06-2023 14:00"</f>
        <v>10-06-2023 14:00</v>
      </c>
      <c r="H242" s="1788" t="str">
        <f>"10-06-2023 15:00"</f>
        <v>10-06-2023 15:00</v>
      </c>
      <c r="I242" s="1799">
        <v>0.25</v>
      </c>
    </row>
    <row r="243" spans="1:10">
      <c r="A243" s="1798" t="str">
        <f>"10-05-2023 15:00"</f>
        <v>10-05-2023 15:00</v>
      </c>
      <c r="B243" s="1788"/>
      <c r="C243" s="1799">
        <v>0.54</v>
      </c>
      <c r="D243" s="1799"/>
      <c r="E243" s="1799"/>
      <c r="G243" s="1798" t="str">
        <f>"10-06-2023 15:00"</f>
        <v>10-06-2023 15:00</v>
      </c>
      <c r="H243" s="1788" t="str">
        <f>"10-06-2023 16:00"</f>
        <v>10-06-2023 16:00</v>
      </c>
      <c r="I243" s="1799">
        <v>0.51</v>
      </c>
    </row>
    <row r="244" spans="1:10">
      <c r="A244" s="1798" t="str">
        <f>"10-05-2023 16:00"</f>
        <v>10-05-2023 16:00</v>
      </c>
      <c r="B244" s="1788"/>
      <c r="C244" s="1799">
        <v>0.4</v>
      </c>
      <c r="D244" s="1799"/>
      <c r="E244" s="1799"/>
      <c r="G244" s="1798" t="str">
        <f>"10-06-2023 16:00"</f>
        <v>10-06-2023 16:00</v>
      </c>
      <c r="H244" s="1788" t="str">
        <f>"10-06-2023 17:00"</f>
        <v>10-06-2023 17:00</v>
      </c>
      <c r="I244" s="1799">
        <v>0.33</v>
      </c>
    </row>
    <row r="245" spans="1:10">
      <c r="A245" s="1798" t="str">
        <f>"10-05-2023 17:00"</f>
        <v>10-05-2023 17:00</v>
      </c>
      <c r="B245" s="1788"/>
      <c r="C245" s="1799">
        <v>0.51</v>
      </c>
      <c r="D245" s="1799"/>
      <c r="E245" s="1799"/>
      <c r="G245" s="1798" t="str">
        <f>"10-06-2023 17:00"</f>
        <v>10-06-2023 17:00</v>
      </c>
      <c r="H245" s="1788" t="str">
        <f>"10-06-2023 18:00"</f>
        <v>10-06-2023 18:00</v>
      </c>
      <c r="I245" s="1799">
        <v>1.24</v>
      </c>
    </row>
    <row r="246" spans="1:10">
      <c r="A246" s="1800" t="str">
        <f>"10-05-2023 18:00"</f>
        <v>10-05-2023 18:00</v>
      </c>
      <c r="B246" s="1794"/>
      <c r="C246" s="1801">
        <v>0.66</v>
      </c>
      <c r="D246" s="1801"/>
      <c r="E246" s="1801"/>
      <c r="G246" s="1800" t="str">
        <f>"10-06-2023 18:00"</f>
        <v>10-06-2023 18:00</v>
      </c>
      <c r="H246" s="1794" t="str">
        <f>"10-06-2023 19:00"</f>
        <v>10-06-2023 19:00</v>
      </c>
      <c r="I246" s="1801">
        <v>0.8</v>
      </c>
    </row>
    <row r="247" spans="1:10">
      <c r="A247" s="1785" t="str">
        <f>"10-05-2023 19:00"</f>
        <v>10-05-2023 19:00</v>
      </c>
      <c r="C247" s="1786">
        <v>0.77</v>
      </c>
      <c r="G247" s="1785" t="str">
        <f>"10-06-2023 19:00"</f>
        <v>10-06-2023 19:00</v>
      </c>
      <c r="H247" s="1785" t="str">
        <f>"10-06-2023 20:00"</f>
        <v>10-06-2023 20:00</v>
      </c>
      <c r="I247" s="1786">
        <v>0.79</v>
      </c>
    </row>
    <row r="248" spans="1:10">
      <c r="A248" s="1785" t="str">
        <f>"10-05-2023 20:00"</f>
        <v>10-05-2023 20:00</v>
      </c>
      <c r="C248" s="1786">
        <v>0.79</v>
      </c>
      <c r="G248" s="1785" t="str">
        <f>"10-06-2023 20:00"</f>
        <v>10-06-2023 20:00</v>
      </c>
      <c r="H248" s="1785" t="str">
        <f>"10-06-2023 21:00"</f>
        <v>10-06-2023 21:00</v>
      </c>
      <c r="I248" s="1786">
        <v>0.55000000000000004</v>
      </c>
    </row>
    <row r="249" spans="1:10">
      <c r="A249" s="1785" t="str">
        <f>"10-05-2023 21:00"</f>
        <v>10-05-2023 21:00</v>
      </c>
      <c r="C249" s="1786">
        <v>1.1200000000000001</v>
      </c>
      <c r="G249" s="1785" t="str">
        <f>"10-06-2023 21:00"</f>
        <v>10-06-2023 21:00</v>
      </c>
      <c r="H249" s="1785" t="str">
        <f>"10-06-2023 22:00"</f>
        <v>10-06-2023 22:00</v>
      </c>
      <c r="I249" s="1786">
        <v>0.7</v>
      </c>
    </row>
    <row r="250" spans="1:10">
      <c r="A250" s="1785" t="str">
        <f>"10-05-2023 22:00"</f>
        <v>10-05-2023 22:00</v>
      </c>
      <c r="C250" s="1786">
        <v>0.56999999999999995</v>
      </c>
      <c r="G250" s="1785" t="str">
        <f>"10-06-2023 22:00"</f>
        <v>10-06-2023 22:00</v>
      </c>
      <c r="H250" s="1785" t="str">
        <f>"10-06-2023 23:00"</f>
        <v>10-06-2023 23:00</v>
      </c>
      <c r="I250" s="1786">
        <v>0.55000000000000004</v>
      </c>
    </row>
    <row r="251" spans="1:10" ht="15" thickBot="1">
      <c r="A251" s="1785" t="str">
        <f>"10-05-2023 23:00"</f>
        <v>10-05-2023 23:00</v>
      </c>
      <c r="C251" s="1786">
        <v>0.42</v>
      </c>
      <c r="G251" s="1785" t="str">
        <f>"10-06-2023 23:00"</f>
        <v>10-06-2023 23:00</v>
      </c>
      <c r="H251" s="1785" t="str">
        <f>"11-06-2023 00:00"</f>
        <v>11-06-2023 00:00</v>
      </c>
      <c r="I251" s="1786">
        <v>0.43</v>
      </c>
    </row>
    <row r="252" spans="1:10">
      <c r="A252" s="2764">
        <v>45057</v>
      </c>
      <c r="B252" s="2764"/>
      <c r="C252" s="1789">
        <f>SUM(C253:C276)</f>
        <v>13.71</v>
      </c>
      <c r="D252" s="1789">
        <f>SUM(D253:D276)</f>
        <v>0</v>
      </c>
      <c r="E252" s="1789">
        <f>C252+D252</f>
        <v>13.71</v>
      </c>
      <c r="F252" s="1802"/>
      <c r="G252" s="2764" t="str">
        <f>G253</f>
        <v>11-06-2023 00:00</v>
      </c>
      <c r="H252" s="2764"/>
      <c r="I252" s="1789">
        <f>SUM(I253:I276)</f>
        <v>10.790000000000001</v>
      </c>
      <c r="J252" s="1802"/>
    </row>
    <row r="253" spans="1:10">
      <c r="A253" s="1785" t="str">
        <f>"11-05-2023 00:00"</f>
        <v>11-05-2023 00:00</v>
      </c>
      <c r="C253" s="1786">
        <v>0.3</v>
      </c>
      <c r="G253" s="1785" t="str">
        <f>"11-06-2023 00:00"</f>
        <v>11-06-2023 00:00</v>
      </c>
      <c r="H253" s="1785" t="str">
        <f>"11-06-2023 01:00"</f>
        <v>11-06-2023 01:00</v>
      </c>
      <c r="I253" s="1786">
        <v>0.28999999999999998</v>
      </c>
    </row>
    <row r="254" spans="1:10">
      <c r="A254" s="1785" t="str">
        <f>"11-05-2023 01:00"</f>
        <v>11-05-2023 01:00</v>
      </c>
      <c r="C254" s="1786">
        <v>0.36</v>
      </c>
      <c r="G254" s="1785" t="str">
        <f>"11-06-2023 01:00"</f>
        <v>11-06-2023 01:00</v>
      </c>
      <c r="H254" s="1785" t="str">
        <f>"11-06-2023 02:00"</f>
        <v>11-06-2023 02:00</v>
      </c>
      <c r="I254" s="1786">
        <v>0.35</v>
      </c>
    </row>
    <row r="255" spans="1:10">
      <c r="A255" s="1785" t="str">
        <f>"11-05-2023 02:00"</f>
        <v>11-05-2023 02:00</v>
      </c>
      <c r="C255" s="1786">
        <v>0.26</v>
      </c>
      <c r="G255" s="1785" t="str">
        <f>"11-06-2023 02:00"</f>
        <v>11-06-2023 02:00</v>
      </c>
      <c r="H255" s="1785" t="str">
        <f>"11-06-2023 03:00"</f>
        <v>11-06-2023 03:00</v>
      </c>
      <c r="I255" s="1786">
        <v>0.18</v>
      </c>
    </row>
    <row r="256" spans="1:10">
      <c r="A256" s="1785" t="str">
        <f>"11-05-2023 03:00"</f>
        <v>11-05-2023 03:00</v>
      </c>
      <c r="C256" s="1786">
        <v>0.33</v>
      </c>
      <c r="G256" s="1785" t="str">
        <f>"11-06-2023 03:00"</f>
        <v>11-06-2023 03:00</v>
      </c>
      <c r="H256" s="1785" t="str">
        <f>"11-06-2023 04:00"</f>
        <v>11-06-2023 04:00</v>
      </c>
      <c r="I256" s="1786">
        <v>0.28999999999999998</v>
      </c>
    </row>
    <row r="257" spans="1:9">
      <c r="A257" s="1785" t="str">
        <f>"11-05-2023 04:00"</f>
        <v>11-05-2023 04:00</v>
      </c>
      <c r="C257" s="1786">
        <v>0.28999999999999998</v>
      </c>
      <c r="G257" s="1785" t="str">
        <f>"11-06-2023 04:00"</f>
        <v>11-06-2023 04:00</v>
      </c>
      <c r="H257" s="1785" t="str">
        <f>"11-06-2023 05:00"</f>
        <v>11-06-2023 05:00</v>
      </c>
      <c r="I257" s="1786">
        <v>0.18</v>
      </c>
    </row>
    <row r="258" spans="1:9">
      <c r="A258" s="1785" t="str">
        <f>"11-05-2023 05:00"</f>
        <v>11-05-2023 05:00</v>
      </c>
      <c r="C258" s="1786">
        <v>0.34</v>
      </c>
      <c r="G258" s="1785" t="str">
        <f>"11-06-2023 05:00"</f>
        <v>11-06-2023 05:00</v>
      </c>
      <c r="H258" s="1785" t="str">
        <f>"11-06-2023 06:00"</f>
        <v>11-06-2023 06:00</v>
      </c>
      <c r="I258" s="1786">
        <v>0.39</v>
      </c>
    </row>
    <row r="259" spans="1:9">
      <c r="A259" s="1785" t="str">
        <f>"11-05-2023 06:00"</f>
        <v>11-05-2023 06:00</v>
      </c>
      <c r="C259" s="1786">
        <v>0.49</v>
      </c>
      <c r="G259" s="1785" t="str">
        <f>"11-06-2023 06:00"</f>
        <v>11-06-2023 06:00</v>
      </c>
      <c r="H259" s="1785" t="str">
        <f>"11-06-2023 07:00"</f>
        <v>11-06-2023 07:00</v>
      </c>
      <c r="I259" s="1786">
        <v>0.69</v>
      </c>
    </row>
    <row r="260" spans="1:9">
      <c r="A260" s="1785" t="str">
        <f>"11-05-2023 07:00"</f>
        <v>11-05-2023 07:00</v>
      </c>
      <c r="C260" s="1786">
        <v>0.68</v>
      </c>
      <c r="G260" s="1785" t="str">
        <f>"11-06-2023 07:00"</f>
        <v>11-06-2023 07:00</v>
      </c>
      <c r="H260" s="1785" t="str">
        <f>"11-06-2023 08:00"</f>
        <v>11-06-2023 08:00</v>
      </c>
      <c r="I260" s="1786">
        <v>0.65</v>
      </c>
    </row>
    <row r="261" spans="1:9">
      <c r="A261" s="1795" t="str">
        <f>"11-05-2023 08:00"</f>
        <v>11-05-2023 08:00</v>
      </c>
      <c r="B261" s="1796"/>
      <c r="C261" s="1797">
        <v>0.67</v>
      </c>
      <c r="D261" s="1797"/>
      <c r="E261" s="1797"/>
      <c r="G261" s="1795" t="str">
        <f>"11-06-2023 08:00"</f>
        <v>11-06-2023 08:00</v>
      </c>
      <c r="H261" s="1796" t="str">
        <f>"11-06-2023 09:00"</f>
        <v>11-06-2023 09:00</v>
      </c>
      <c r="I261" s="1797">
        <v>0.53</v>
      </c>
    </row>
    <row r="262" spans="1:9">
      <c r="A262" s="1798" t="str">
        <f>"11-05-2023 09:00"</f>
        <v>11-05-2023 09:00</v>
      </c>
      <c r="B262" s="1788"/>
      <c r="C262" s="1799">
        <v>0.64</v>
      </c>
      <c r="D262" s="1799"/>
      <c r="E262" s="1799"/>
      <c r="G262" s="1798" t="str">
        <f>"11-06-2023 09:00"</f>
        <v>11-06-2023 09:00</v>
      </c>
      <c r="H262" s="1788" t="str">
        <f>"11-06-2023 10:00"</f>
        <v>11-06-2023 10:00</v>
      </c>
      <c r="I262" s="1799">
        <v>0.37</v>
      </c>
    </row>
    <row r="263" spans="1:9">
      <c r="A263" s="1798" t="str">
        <f>"11-05-2023 10:00"</f>
        <v>11-05-2023 10:00</v>
      </c>
      <c r="B263" s="1788"/>
      <c r="C263" s="1799">
        <v>0.44</v>
      </c>
      <c r="D263" s="1799"/>
      <c r="E263" s="1799"/>
      <c r="G263" s="1798" t="str">
        <f>"11-06-2023 10:00"</f>
        <v>11-06-2023 10:00</v>
      </c>
      <c r="H263" s="1788" t="str">
        <f>"11-06-2023 11:00"</f>
        <v>11-06-2023 11:00</v>
      </c>
      <c r="I263" s="1799">
        <v>0.31</v>
      </c>
    </row>
    <row r="264" spans="1:9">
      <c r="A264" s="1798" t="str">
        <f>"11-05-2023 11:00"</f>
        <v>11-05-2023 11:00</v>
      </c>
      <c r="B264" s="1788"/>
      <c r="C264" s="1799">
        <v>0.44</v>
      </c>
      <c r="D264" s="1799"/>
      <c r="E264" s="1799"/>
      <c r="G264" s="1798" t="str">
        <f>"11-06-2023 11:00"</f>
        <v>11-06-2023 11:00</v>
      </c>
      <c r="H264" s="1788" t="str">
        <f>"11-06-2023 12:00"</f>
        <v>11-06-2023 12:00</v>
      </c>
      <c r="I264" s="1799">
        <v>0.5</v>
      </c>
    </row>
    <row r="265" spans="1:9">
      <c r="A265" s="1798" t="str">
        <f>"11-05-2023 12:00"</f>
        <v>11-05-2023 12:00</v>
      </c>
      <c r="B265" s="1788"/>
      <c r="C265" s="1799">
        <v>0.43</v>
      </c>
      <c r="D265" s="1799"/>
      <c r="E265" s="1799"/>
      <c r="G265" s="1798" t="str">
        <f>"11-06-2023 12:00"</f>
        <v>11-06-2023 12:00</v>
      </c>
      <c r="H265" s="1788" t="str">
        <f>"11-06-2023 13:00"</f>
        <v>11-06-2023 13:00</v>
      </c>
      <c r="I265" s="1799">
        <v>0.25</v>
      </c>
    </row>
    <row r="266" spans="1:9">
      <c r="A266" s="1798" t="str">
        <f>"11-05-2023 13:00"</f>
        <v>11-05-2023 13:00</v>
      </c>
      <c r="B266" s="1788"/>
      <c r="C266" s="1799">
        <v>0.31</v>
      </c>
      <c r="D266" s="1799"/>
      <c r="E266" s="1799"/>
      <c r="G266" s="1798" t="str">
        <f>"11-06-2023 13:00"</f>
        <v>11-06-2023 13:00</v>
      </c>
      <c r="H266" s="1788" t="str">
        <f>"11-06-2023 14:00"</f>
        <v>11-06-2023 14:00</v>
      </c>
      <c r="I266" s="1799">
        <v>0.17</v>
      </c>
    </row>
    <row r="267" spans="1:9">
      <c r="A267" s="1798" t="str">
        <f>"11-05-2023 14:00"</f>
        <v>11-05-2023 14:00</v>
      </c>
      <c r="B267" s="1788"/>
      <c r="C267" s="1799">
        <v>0.26</v>
      </c>
      <c r="D267" s="1799"/>
      <c r="E267" s="1799"/>
      <c r="G267" s="1798" t="str">
        <f>"11-06-2023 14:00"</f>
        <v>11-06-2023 14:00</v>
      </c>
      <c r="H267" s="1788" t="str">
        <f>"11-06-2023 15:00"</f>
        <v>11-06-2023 15:00</v>
      </c>
      <c r="I267" s="1799">
        <v>0.26</v>
      </c>
    </row>
    <row r="268" spans="1:9">
      <c r="A268" s="1798" t="str">
        <f>"11-05-2023 15:00"</f>
        <v>11-05-2023 15:00</v>
      </c>
      <c r="B268" s="1788"/>
      <c r="C268" s="1799">
        <v>0.59</v>
      </c>
      <c r="D268" s="1799"/>
      <c r="E268" s="1799"/>
      <c r="G268" s="1798" t="str">
        <f>"11-06-2023 15:00"</f>
        <v>11-06-2023 15:00</v>
      </c>
      <c r="H268" s="1788" t="str">
        <f>"11-06-2023 16:00"</f>
        <v>11-06-2023 16:00</v>
      </c>
      <c r="I268" s="1799">
        <v>0.36</v>
      </c>
    </row>
    <row r="269" spans="1:9">
      <c r="A269" s="1798" t="str">
        <f>"11-05-2023 16:00"</f>
        <v>11-05-2023 16:00</v>
      </c>
      <c r="B269" s="1788"/>
      <c r="C269" s="1799">
        <v>0.75</v>
      </c>
      <c r="D269" s="1799"/>
      <c r="E269" s="1799"/>
      <c r="G269" s="1798" t="str">
        <f>"11-06-2023 16:00"</f>
        <v>11-06-2023 16:00</v>
      </c>
      <c r="H269" s="1788" t="str">
        <f>"11-06-2023 17:00"</f>
        <v>11-06-2023 17:00</v>
      </c>
      <c r="I269" s="1799">
        <v>0.6</v>
      </c>
    </row>
    <row r="270" spans="1:9">
      <c r="A270" s="1798" t="str">
        <f>"11-05-2023 17:00"</f>
        <v>11-05-2023 17:00</v>
      </c>
      <c r="B270" s="1788"/>
      <c r="C270" s="1799">
        <v>0.6</v>
      </c>
      <c r="D270" s="1799"/>
      <c r="E270" s="1799"/>
      <c r="G270" s="1798" t="str">
        <f>"11-06-2023 17:00"</f>
        <v>11-06-2023 17:00</v>
      </c>
      <c r="H270" s="1788" t="str">
        <f>"11-06-2023 18:00"</f>
        <v>11-06-2023 18:00</v>
      </c>
      <c r="I270" s="1799">
        <v>0.83</v>
      </c>
    </row>
    <row r="271" spans="1:9">
      <c r="A271" s="1800" t="str">
        <f>"11-05-2023 18:00"</f>
        <v>11-05-2023 18:00</v>
      </c>
      <c r="B271" s="1794"/>
      <c r="C271" s="1801">
        <v>1.73</v>
      </c>
      <c r="D271" s="1801"/>
      <c r="E271" s="1801"/>
      <c r="G271" s="1800" t="str">
        <f>"11-06-2023 18:00"</f>
        <v>11-06-2023 18:00</v>
      </c>
      <c r="H271" s="1794" t="str">
        <f>"11-06-2023 19:00"</f>
        <v>11-06-2023 19:00</v>
      </c>
      <c r="I271" s="1801">
        <v>0.68</v>
      </c>
    </row>
    <row r="272" spans="1:9">
      <c r="A272" s="1785" t="str">
        <f>"11-05-2023 19:00"</f>
        <v>11-05-2023 19:00</v>
      </c>
      <c r="C272" s="1786">
        <v>1.24</v>
      </c>
      <c r="G272" s="1785" t="str">
        <f>"11-06-2023 19:00"</f>
        <v>11-06-2023 19:00</v>
      </c>
      <c r="H272" s="1785" t="str">
        <f>"11-06-2023 20:00"</f>
        <v>11-06-2023 20:00</v>
      </c>
      <c r="I272" s="1786">
        <v>0.63</v>
      </c>
    </row>
    <row r="273" spans="1:10">
      <c r="A273" s="1785" t="str">
        <f>"11-05-2023 20:00"</f>
        <v>11-05-2023 20:00</v>
      </c>
      <c r="C273" s="1786">
        <v>0.7</v>
      </c>
      <c r="G273" s="1785" t="str">
        <f>"11-06-2023 20:00"</f>
        <v>11-06-2023 20:00</v>
      </c>
      <c r="H273" s="1785" t="str">
        <f>"11-06-2023 21:00"</f>
        <v>11-06-2023 21:00</v>
      </c>
      <c r="I273" s="1786">
        <v>0.64</v>
      </c>
    </row>
    <row r="274" spans="1:10">
      <c r="A274" s="1785" t="str">
        <f>"11-05-2023 21:00"</f>
        <v>11-05-2023 21:00</v>
      </c>
      <c r="C274" s="1786">
        <v>0.81</v>
      </c>
      <c r="G274" s="1785" t="str">
        <f>"11-06-2023 21:00"</f>
        <v>11-06-2023 21:00</v>
      </c>
      <c r="H274" s="1785" t="str">
        <f>"11-06-2023 22:00"</f>
        <v>11-06-2023 22:00</v>
      </c>
      <c r="I274" s="1786">
        <v>0.69</v>
      </c>
    </row>
    <row r="275" spans="1:10">
      <c r="A275" s="1785" t="str">
        <f>"11-05-2023 22:00"</f>
        <v>11-05-2023 22:00</v>
      </c>
      <c r="C275" s="1786">
        <v>0.49</v>
      </c>
      <c r="G275" s="1785" t="str">
        <f>"11-06-2023 22:00"</f>
        <v>11-06-2023 22:00</v>
      </c>
      <c r="H275" s="1785" t="str">
        <f>"11-06-2023 23:00"</f>
        <v>11-06-2023 23:00</v>
      </c>
      <c r="I275" s="1786">
        <v>0.56999999999999995</v>
      </c>
    </row>
    <row r="276" spans="1:10" ht="15" thickBot="1">
      <c r="A276" s="1785" t="str">
        <f>"11-05-2023 23:00"</f>
        <v>11-05-2023 23:00</v>
      </c>
      <c r="C276" s="1786">
        <v>0.56000000000000005</v>
      </c>
      <c r="G276" s="1785" t="str">
        <f>"11-06-2023 23:00"</f>
        <v>11-06-2023 23:00</v>
      </c>
      <c r="H276" s="1785" t="str">
        <f>"12-06-2023 00:00"</f>
        <v>12-06-2023 00:00</v>
      </c>
      <c r="I276" s="1786">
        <v>0.38</v>
      </c>
    </row>
    <row r="277" spans="1:10">
      <c r="A277" s="2764">
        <v>45058</v>
      </c>
      <c r="B277" s="2764"/>
      <c r="C277" s="1789">
        <f>SUM(C278:C301)</f>
        <v>12.81</v>
      </c>
      <c r="D277" s="1789">
        <f>SUM(D278:D301)</f>
        <v>0</v>
      </c>
      <c r="E277" s="1789">
        <f>C277+D277</f>
        <v>12.81</v>
      </c>
      <c r="F277" s="1802"/>
      <c r="G277" s="2764" t="str">
        <f>G278</f>
        <v>12-06-2023 00:00</v>
      </c>
      <c r="H277" s="2764"/>
      <c r="I277" s="1789">
        <f>SUM(I278:I301)</f>
        <v>17.240000000000002</v>
      </c>
      <c r="J277" s="1802"/>
    </row>
    <row r="278" spans="1:10">
      <c r="A278" s="1785" t="str">
        <f>"12-05-2023 00:00"</f>
        <v>12-05-2023 00:00</v>
      </c>
      <c r="C278" s="1786">
        <v>0.28999999999999998</v>
      </c>
      <c r="G278" s="1785" t="str">
        <f>"12-06-2023 00:00"</f>
        <v>12-06-2023 00:00</v>
      </c>
      <c r="H278" s="1785" t="str">
        <f>"12-06-2023 01:00"</f>
        <v>12-06-2023 01:00</v>
      </c>
      <c r="I278" s="1786">
        <v>0.37</v>
      </c>
    </row>
    <row r="279" spans="1:10">
      <c r="A279" s="1785" t="str">
        <f>"12-05-2023 01:00"</f>
        <v>12-05-2023 01:00</v>
      </c>
      <c r="C279" s="1786">
        <v>0.4</v>
      </c>
      <c r="G279" s="1785" t="str">
        <f>"12-06-2023 01:00"</f>
        <v>12-06-2023 01:00</v>
      </c>
      <c r="H279" s="1785" t="str">
        <f>"12-06-2023 02:00"</f>
        <v>12-06-2023 02:00</v>
      </c>
      <c r="I279" s="1786">
        <v>0.28999999999999998</v>
      </c>
    </row>
    <row r="280" spans="1:10">
      <c r="A280" s="1785" t="str">
        <f>"12-05-2023 02:00"</f>
        <v>12-05-2023 02:00</v>
      </c>
      <c r="C280" s="1786">
        <v>0.38</v>
      </c>
      <c r="G280" s="1785" t="str">
        <f>"12-06-2023 02:00"</f>
        <v>12-06-2023 02:00</v>
      </c>
      <c r="H280" s="1785" t="str">
        <f>"12-06-2023 03:00"</f>
        <v>12-06-2023 03:00</v>
      </c>
      <c r="I280" s="1786">
        <v>0.36</v>
      </c>
    </row>
    <row r="281" spans="1:10">
      <c r="A281" s="1785" t="str">
        <f>"12-05-2023 03:00"</f>
        <v>12-05-2023 03:00</v>
      </c>
      <c r="C281" s="1786">
        <v>0.4</v>
      </c>
      <c r="G281" s="1785" t="str">
        <f>"12-06-2023 03:00"</f>
        <v>12-06-2023 03:00</v>
      </c>
      <c r="H281" s="1785" t="str">
        <f>"12-06-2023 04:00"</f>
        <v>12-06-2023 04:00</v>
      </c>
      <c r="I281" s="1786">
        <v>0.39</v>
      </c>
    </row>
    <row r="282" spans="1:10">
      <c r="A282" s="1785" t="str">
        <f>"12-05-2023 04:00"</f>
        <v>12-05-2023 04:00</v>
      </c>
      <c r="C282" s="1786">
        <v>0.3</v>
      </c>
      <c r="G282" s="1785" t="str">
        <f>"12-06-2023 04:00"</f>
        <v>12-06-2023 04:00</v>
      </c>
      <c r="H282" s="1785" t="str">
        <f>"12-06-2023 05:00"</f>
        <v>12-06-2023 05:00</v>
      </c>
      <c r="I282" s="1786">
        <v>0.38</v>
      </c>
    </row>
    <row r="283" spans="1:10">
      <c r="A283" s="1785" t="str">
        <f>"12-05-2023 05:00"</f>
        <v>12-05-2023 05:00</v>
      </c>
      <c r="C283" s="1786">
        <v>0.28000000000000003</v>
      </c>
      <c r="G283" s="1785" t="str">
        <f>"12-06-2023 05:00"</f>
        <v>12-06-2023 05:00</v>
      </c>
      <c r="H283" s="1785" t="str">
        <f>"12-06-2023 06:00"</f>
        <v>12-06-2023 06:00</v>
      </c>
      <c r="I283" s="1786">
        <v>0.65</v>
      </c>
    </row>
    <row r="284" spans="1:10">
      <c r="A284" s="1785" t="str">
        <f>"12-05-2023 06:00"</f>
        <v>12-05-2023 06:00</v>
      </c>
      <c r="C284" s="1786">
        <v>0.34</v>
      </c>
      <c r="G284" s="1785" t="str">
        <f>"12-06-2023 06:00"</f>
        <v>12-06-2023 06:00</v>
      </c>
      <c r="H284" s="1785" t="str">
        <f>"12-06-2023 07:00"</f>
        <v>12-06-2023 07:00</v>
      </c>
      <c r="I284" s="1786">
        <v>0.73</v>
      </c>
    </row>
    <row r="285" spans="1:10">
      <c r="A285" s="1785" t="str">
        <f>"12-05-2023 07:00"</f>
        <v>12-05-2023 07:00</v>
      </c>
      <c r="C285" s="1786">
        <v>0.51</v>
      </c>
      <c r="G285" s="1785" t="str">
        <f>"12-06-2023 07:00"</f>
        <v>12-06-2023 07:00</v>
      </c>
      <c r="H285" s="1785" t="str">
        <f>"12-06-2023 08:00"</f>
        <v>12-06-2023 08:00</v>
      </c>
      <c r="I285" s="1786">
        <v>0.74</v>
      </c>
    </row>
    <row r="286" spans="1:10">
      <c r="A286" s="1795" t="str">
        <f>"12-05-2023 08:00"</f>
        <v>12-05-2023 08:00</v>
      </c>
      <c r="B286" s="1796"/>
      <c r="C286" s="1797">
        <v>0.5</v>
      </c>
      <c r="D286" s="1797"/>
      <c r="E286" s="1797"/>
      <c r="G286" s="1795" t="str">
        <f>"12-06-2023 08:00"</f>
        <v>12-06-2023 08:00</v>
      </c>
      <c r="H286" s="1796" t="str">
        <f>"12-06-2023 09:00"</f>
        <v>12-06-2023 09:00</v>
      </c>
      <c r="I286" s="1797">
        <v>0.61</v>
      </c>
    </row>
    <row r="287" spans="1:10">
      <c r="A287" s="1798" t="str">
        <f>"12-05-2023 09:00"</f>
        <v>12-05-2023 09:00</v>
      </c>
      <c r="B287" s="1788"/>
      <c r="C287" s="1799">
        <v>0.64</v>
      </c>
      <c r="D287" s="1799"/>
      <c r="E287" s="1799"/>
      <c r="G287" s="1798" t="str">
        <f>"12-06-2023 09:00"</f>
        <v>12-06-2023 09:00</v>
      </c>
      <c r="H287" s="1788" t="str">
        <f>"12-06-2023 10:00"</f>
        <v>12-06-2023 10:00</v>
      </c>
      <c r="I287" s="1799">
        <v>0.99</v>
      </c>
    </row>
    <row r="288" spans="1:10">
      <c r="A288" s="1798" t="str">
        <f>"12-05-2023 10:00"</f>
        <v>12-05-2023 10:00</v>
      </c>
      <c r="B288" s="1788"/>
      <c r="C288" s="1799">
        <v>0.39</v>
      </c>
      <c r="D288" s="1799"/>
      <c r="E288" s="1799"/>
      <c r="G288" s="1798" t="str">
        <f>"12-06-2023 10:00"</f>
        <v>12-06-2023 10:00</v>
      </c>
      <c r="H288" s="1788" t="str">
        <f>"12-06-2023 11:00"</f>
        <v>12-06-2023 11:00</v>
      </c>
      <c r="I288" s="1799">
        <v>0.6</v>
      </c>
    </row>
    <row r="289" spans="1:10">
      <c r="A289" s="1798" t="str">
        <f>"12-05-2023 11:00"</f>
        <v>12-05-2023 11:00</v>
      </c>
      <c r="B289" s="1788"/>
      <c r="C289" s="1799">
        <v>0.62</v>
      </c>
      <c r="D289" s="1799"/>
      <c r="E289" s="1799"/>
      <c r="G289" s="1798" t="str">
        <f>"12-06-2023 11:00"</f>
        <v>12-06-2023 11:00</v>
      </c>
      <c r="H289" s="1788" t="str">
        <f>"12-06-2023 12:00"</f>
        <v>12-06-2023 12:00</v>
      </c>
      <c r="I289" s="1799">
        <v>0.69</v>
      </c>
    </row>
    <row r="290" spans="1:10">
      <c r="A290" s="1798" t="str">
        <f>"12-05-2023 12:00"</f>
        <v>12-05-2023 12:00</v>
      </c>
      <c r="B290" s="1788"/>
      <c r="C290" s="1799">
        <v>0.59</v>
      </c>
      <c r="D290" s="1799"/>
      <c r="E290" s="1799"/>
      <c r="G290" s="1798" t="str">
        <f>"12-06-2023 12:00"</f>
        <v>12-06-2023 12:00</v>
      </c>
      <c r="H290" s="1788" t="str">
        <f>"12-06-2023 13:00"</f>
        <v>12-06-2023 13:00</v>
      </c>
      <c r="I290" s="1799">
        <v>0.62</v>
      </c>
    </row>
    <row r="291" spans="1:10">
      <c r="A291" s="1798" t="str">
        <f>"12-05-2023 13:00"</f>
        <v>12-05-2023 13:00</v>
      </c>
      <c r="B291" s="1788"/>
      <c r="C291" s="1799">
        <v>0.4</v>
      </c>
      <c r="D291" s="1799"/>
      <c r="E291" s="1799"/>
      <c r="G291" s="1798" t="str">
        <f>"12-06-2023 13:00"</f>
        <v>12-06-2023 13:00</v>
      </c>
      <c r="H291" s="1788" t="str">
        <f>"12-06-2023 14:00"</f>
        <v>12-06-2023 14:00</v>
      </c>
      <c r="I291" s="1799">
        <v>0.78</v>
      </c>
    </row>
    <row r="292" spans="1:10">
      <c r="A292" s="1798" t="str">
        <f>"12-05-2023 14:00"</f>
        <v>12-05-2023 14:00</v>
      </c>
      <c r="B292" s="1788"/>
      <c r="C292" s="1799">
        <v>0.5</v>
      </c>
      <c r="D292" s="1799"/>
      <c r="E292" s="1799"/>
      <c r="G292" s="1798" t="str">
        <f>"12-06-2023 14:00"</f>
        <v>12-06-2023 14:00</v>
      </c>
      <c r="H292" s="1788" t="str">
        <f>"12-06-2023 15:00"</f>
        <v>12-06-2023 15:00</v>
      </c>
      <c r="I292" s="1799">
        <v>0.83</v>
      </c>
    </row>
    <row r="293" spans="1:10">
      <c r="A293" s="1798" t="str">
        <f>"12-05-2023 15:00"</f>
        <v>12-05-2023 15:00</v>
      </c>
      <c r="B293" s="1788"/>
      <c r="C293" s="1799">
        <v>0.4</v>
      </c>
      <c r="D293" s="1799"/>
      <c r="E293" s="1799"/>
      <c r="G293" s="1798" t="str">
        <f>"12-06-2023 15:00"</f>
        <v>12-06-2023 15:00</v>
      </c>
      <c r="H293" s="1788" t="str">
        <f>"12-06-2023 16:00"</f>
        <v>12-06-2023 16:00</v>
      </c>
      <c r="I293" s="1799">
        <v>0.72</v>
      </c>
    </row>
    <row r="294" spans="1:10">
      <c r="A294" s="1798" t="str">
        <f>"12-05-2023 16:00"</f>
        <v>12-05-2023 16:00</v>
      </c>
      <c r="B294" s="1788"/>
      <c r="C294" s="1799">
        <v>0.39</v>
      </c>
      <c r="D294" s="1799"/>
      <c r="E294" s="1799"/>
      <c r="G294" s="1798" t="str">
        <f>"12-06-2023 16:00"</f>
        <v>12-06-2023 16:00</v>
      </c>
      <c r="H294" s="1788" t="str">
        <f>"12-06-2023 17:00"</f>
        <v>12-06-2023 17:00</v>
      </c>
      <c r="I294" s="1799">
        <v>1.06</v>
      </c>
    </row>
    <row r="295" spans="1:10">
      <c r="A295" s="1798" t="str">
        <f>"12-05-2023 17:00"</f>
        <v>12-05-2023 17:00</v>
      </c>
      <c r="B295" s="1788"/>
      <c r="C295" s="1799">
        <v>0.68</v>
      </c>
      <c r="D295" s="1799"/>
      <c r="E295" s="1799"/>
      <c r="G295" s="1798" t="str">
        <f>"12-06-2023 17:00"</f>
        <v>12-06-2023 17:00</v>
      </c>
      <c r="H295" s="1788" t="str">
        <f>"12-06-2023 18:00"</f>
        <v>12-06-2023 18:00</v>
      </c>
      <c r="I295" s="1799">
        <v>1.5</v>
      </c>
    </row>
    <row r="296" spans="1:10">
      <c r="A296" s="1800" t="str">
        <f>"12-05-2023 18:00"</f>
        <v>12-05-2023 18:00</v>
      </c>
      <c r="B296" s="1794"/>
      <c r="C296" s="1801">
        <v>1.1599999999999999</v>
      </c>
      <c r="D296" s="1801"/>
      <c r="E296" s="1801"/>
      <c r="G296" s="1800" t="str">
        <f>"12-06-2023 18:00"</f>
        <v>12-06-2023 18:00</v>
      </c>
      <c r="H296" s="1794" t="str">
        <f>"12-06-2023 19:00"</f>
        <v>12-06-2023 19:00</v>
      </c>
      <c r="I296" s="1801">
        <v>0.92</v>
      </c>
    </row>
    <row r="297" spans="1:10">
      <c r="A297" s="1785" t="str">
        <f>"12-05-2023 19:00"</f>
        <v>12-05-2023 19:00</v>
      </c>
      <c r="C297" s="1786">
        <v>0.98</v>
      </c>
      <c r="G297" s="1785" t="str">
        <f>"12-06-2023 19:00"</f>
        <v>12-06-2023 19:00</v>
      </c>
      <c r="H297" s="1785" t="str">
        <f>"12-06-2023 20:00"</f>
        <v>12-06-2023 20:00</v>
      </c>
      <c r="I297" s="1786">
        <v>0.92</v>
      </c>
    </row>
    <row r="298" spans="1:10">
      <c r="A298" s="1785" t="str">
        <f>"12-05-2023 20:00"</f>
        <v>12-05-2023 20:00</v>
      </c>
      <c r="C298" s="1786">
        <v>0.82</v>
      </c>
      <c r="G298" s="1785" t="str">
        <f>"12-06-2023 20:00"</f>
        <v>12-06-2023 20:00</v>
      </c>
      <c r="H298" s="1785" t="str">
        <f>"12-06-2023 21:00"</f>
        <v>12-06-2023 21:00</v>
      </c>
      <c r="I298" s="1786">
        <v>1.18</v>
      </c>
    </row>
    <row r="299" spans="1:10">
      <c r="A299" s="1785" t="str">
        <f>"12-05-2023 21:00"</f>
        <v>12-05-2023 21:00</v>
      </c>
      <c r="C299" s="1786">
        <v>0.81</v>
      </c>
      <c r="G299" s="1785" t="str">
        <f>"12-06-2023 21:00"</f>
        <v>12-06-2023 21:00</v>
      </c>
      <c r="H299" s="1785" t="str">
        <f>"12-06-2023 22:00"</f>
        <v>12-06-2023 22:00</v>
      </c>
      <c r="I299" s="1786">
        <v>0.8</v>
      </c>
    </row>
    <row r="300" spans="1:10">
      <c r="A300" s="1785" t="str">
        <f>"12-05-2023 22:00"</f>
        <v>12-05-2023 22:00</v>
      </c>
      <c r="C300" s="1786">
        <v>0.6</v>
      </c>
      <c r="G300" s="1785" t="str">
        <f>"12-06-2023 22:00"</f>
        <v>12-06-2023 22:00</v>
      </c>
      <c r="H300" s="1785" t="str">
        <f>"12-06-2023 23:00"</f>
        <v>12-06-2023 23:00</v>
      </c>
      <c r="I300" s="1786">
        <v>0.71</v>
      </c>
    </row>
    <row r="301" spans="1:10" ht="15" thickBot="1">
      <c r="A301" s="1785" t="str">
        <f>"12-05-2023 23:00"</f>
        <v>12-05-2023 23:00</v>
      </c>
      <c r="C301" s="1786">
        <v>0.43</v>
      </c>
      <c r="G301" s="1785" t="str">
        <f>"12-06-2023 23:00"</f>
        <v>12-06-2023 23:00</v>
      </c>
      <c r="H301" s="1785" t="str">
        <f>"13-06-2023 00:00"</f>
        <v>13-06-2023 00:00</v>
      </c>
      <c r="I301" s="1786">
        <v>0.4</v>
      </c>
    </row>
    <row r="302" spans="1:10">
      <c r="A302" s="2764">
        <v>45059</v>
      </c>
      <c r="B302" s="2764"/>
      <c r="C302" s="1789">
        <f>SUM(C303:C326)</f>
        <v>11.260000000000002</v>
      </c>
      <c r="D302" s="1789">
        <f>SUM(D303:D326)</f>
        <v>0</v>
      </c>
      <c r="E302" s="1789">
        <f>C302+D302</f>
        <v>11.260000000000002</v>
      </c>
      <c r="F302" s="1802"/>
      <c r="G302" s="2764" t="str">
        <f>G303</f>
        <v>13-06-2023 00:00</v>
      </c>
      <c r="H302" s="2764"/>
      <c r="I302" s="1789">
        <f>SUM(I303:I326)</f>
        <v>15.729999999999999</v>
      </c>
      <c r="J302" s="1802"/>
    </row>
    <row r="303" spans="1:10">
      <c r="A303" s="1785" t="str">
        <f>"13-05-2023 00:00"</f>
        <v>13-05-2023 00:00</v>
      </c>
      <c r="B303" s="1785" t="str">
        <f>"13-05-2023 01:00"</f>
        <v>13-05-2023 01:00</v>
      </c>
      <c r="C303" s="1786">
        <v>0.39</v>
      </c>
      <c r="G303" s="1785" t="str">
        <f>"13-06-2023 00:00"</f>
        <v>13-06-2023 00:00</v>
      </c>
      <c r="H303" s="1785" t="str">
        <f>"13-06-2023 01:00"</f>
        <v>13-06-2023 01:00</v>
      </c>
      <c r="I303" s="1786">
        <v>0.46</v>
      </c>
    </row>
    <row r="304" spans="1:10">
      <c r="A304" s="1785" t="str">
        <f>"13-05-2023 01:00"</f>
        <v>13-05-2023 01:00</v>
      </c>
      <c r="B304" s="1785" t="str">
        <f>"13-05-2023 02:00"</f>
        <v>13-05-2023 02:00</v>
      </c>
      <c r="C304" s="1786">
        <v>0.38</v>
      </c>
      <c r="G304" s="1785" t="str">
        <f>"13-06-2023 01:00"</f>
        <v>13-06-2023 01:00</v>
      </c>
      <c r="H304" s="1785" t="str">
        <f>"13-06-2023 02:00"</f>
        <v>13-06-2023 02:00</v>
      </c>
      <c r="I304" s="1786">
        <v>0.32</v>
      </c>
    </row>
    <row r="305" spans="1:9">
      <c r="A305" s="1785" t="str">
        <f>"13-05-2023 02:00"</f>
        <v>13-05-2023 02:00</v>
      </c>
      <c r="B305" s="1785" t="str">
        <f>"13-05-2023 03:00"</f>
        <v>13-05-2023 03:00</v>
      </c>
      <c r="C305" s="1786">
        <v>0.24</v>
      </c>
      <c r="G305" s="1785" t="str">
        <f>"13-06-2023 02:00"</f>
        <v>13-06-2023 02:00</v>
      </c>
      <c r="H305" s="1785" t="str">
        <f>"13-06-2023 03:00"</f>
        <v>13-06-2023 03:00</v>
      </c>
      <c r="I305" s="1786">
        <v>0.45</v>
      </c>
    </row>
    <row r="306" spans="1:9">
      <c r="A306" s="1785" t="str">
        <f>"13-05-2023 03:00"</f>
        <v>13-05-2023 03:00</v>
      </c>
      <c r="B306" s="1785" t="str">
        <f>"13-05-2023 04:00"</f>
        <v>13-05-2023 04:00</v>
      </c>
      <c r="C306" s="1786">
        <v>0.31</v>
      </c>
      <c r="G306" s="1785" t="str">
        <f>"13-06-2023 03:00"</f>
        <v>13-06-2023 03:00</v>
      </c>
      <c r="H306" s="1785" t="str">
        <f>"13-06-2023 04:00"</f>
        <v>13-06-2023 04:00</v>
      </c>
      <c r="I306" s="1786">
        <v>0.33</v>
      </c>
    </row>
    <row r="307" spans="1:9">
      <c r="A307" s="1785" t="str">
        <f>"13-05-2023 04:00"</f>
        <v>13-05-2023 04:00</v>
      </c>
      <c r="B307" s="1785" t="str">
        <f>"13-05-2023 05:00"</f>
        <v>13-05-2023 05:00</v>
      </c>
      <c r="C307" s="1786">
        <v>0.34</v>
      </c>
      <c r="G307" s="1785" t="str">
        <f>"13-06-2023 04:00"</f>
        <v>13-06-2023 04:00</v>
      </c>
      <c r="H307" s="1785" t="str">
        <f>"13-06-2023 05:00"</f>
        <v>13-06-2023 05:00</v>
      </c>
      <c r="I307" s="1786">
        <v>0.47</v>
      </c>
    </row>
    <row r="308" spans="1:9">
      <c r="A308" s="1785" t="str">
        <f>"13-05-2023 05:00"</f>
        <v>13-05-2023 05:00</v>
      </c>
      <c r="B308" s="1785" t="str">
        <f>"13-05-2023 06:00"</f>
        <v>13-05-2023 06:00</v>
      </c>
      <c r="C308" s="1786">
        <v>0.31</v>
      </c>
      <c r="G308" s="1785" t="str">
        <f>"13-06-2023 05:00"</f>
        <v>13-06-2023 05:00</v>
      </c>
      <c r="H308" s="1785" t="str">
        <f>"13-06-2023 06:00"</f>
        <v>13-06-2023 06:00</v>
      </c>
      <c r="I308" s="1786">
        <v>0.31</v>
      </c>
    </row>
    <row r="309" spans="1:9">
      <c r="A309" s="1785" t="str">
        <f>"13-05-2023 06:00"</f>
        <v>13-05-2023 06:00</v>
      </c>
      <c r="B309" s="1785" t="str">
        <f>"13-05-2023 07:00"</f>
        <v>13-05-2023 07:00</v>
      </c>
      <c r="C309" s="1786">
        <v>0.31</v>
      </c>
      <c r="G309" s="1785" t="str">
        <f>"13-06-2023 06:00"</f>
        <v>13-06-2023 06:00</v>
      </c>
      <c r="H309" s="1785" t="str">
        <f>"13-06-2023 07:00"</f>
        <v>13-06-2023 07:00</v>
      </c>
      <c r="I309" s="1786">
        <v>0.62</v>
      </c>
    </row>
    <row r="310" spans="1:9">
      <c r="A310" s="1785" t="str">
        <f>"13-05-2023 07:00"</f>
        <v>13-05-2023 07:00</v>
      </c>
      <c r="B310" s="1785" t="str">
        <f>"13-05-2023 08:00"</f>
        <v>13-05-2023 08:00</v>
      </c>
      <c r="C310" s="1786">
        <v>0.32</v>
      </c>
      <c r="G310" s="1785" t="str">
        <f>"13-06-2023 07:00"</f>
        <v>13-06-2023 07:00</v>
      </c>
      <c r="H310" s="1785" t="str">
        <f>"13-06-2023 08:00"</f>
        <v>13-06-2023 08:00</v>
      </c>
      <c r="I310" s="1786">
        <v>0.93</v>
      </c>
    </row>
    <row r="311" spans="1:9">
      <c r="A311" s="1795" t="str">
        <f>"13-05-2023 08:00"</f>
        <v>13-05-2023 08:00</v>
      </c>
      <c r="B311" s="1796" t="str">
        <f>"13-05-2023 09:00"</f>
        <v>13-05-2023 09:00</v>
      </c>
      <c r="C311" s="1797">
        <v>0.57999999999999996</v>
      </c>
      <c r="D311" s="1797"/>
      <c r="E311" s="1797"/>
      <c r="G311" s="1795" t="str">
        <f>"13-06-2023 08:00"</f>
        <v>13-06-2023 08:00</v>
      </c>
      <c r="H311" s="1796" t="str">
        <f>"13-06-2023 09:00"</f>
        <v>13-06-2023 09:00</v>
      </c>
      <c r="I311" s="1797">
        <v>0.87</v>
      </c>
    </row>
    <row r="312" spans="1:9">
      <c r="A312" s="1798" t="str">
        <f>"13-05-2023 09:00"</f>
        <v>13-05-2023 09:00</v>
      </c>
      <c r="B312" s="1788" t="str">
        <f>"13-05-2023 10:00"</f>
        <v>13-05-2023 10:00</v>
      </c>
      <c r="C312" s="1799">
        <v>0.61</v>
      </c>
      <c r="D312" s="1799"/>
      <c r="E312" s="1799"/>
      <c r="G312" s="1798" t="str">
        <f>"13-06-2023 09:00"</f>
        <v>13-06-2023 09:00</v>
      </c>
      <c r="H312" s="1788" t="str">
        <f>"13-06-2023 10:00"</f>
        <v>13-06-2023 10:00</v>
      </c>
      <c r="I312" s="1799">
        <v>0.96</v>
      </c>
    </row>
    <row r="313" spans="1:9">
      <c r="A313" s="1798" t="str">
        <f>"13-05-2023 10:00"</f>
        <v>13-05-2023 10:00</v>
      </c>
      <c r="B313" s="1788" t="str">
        <f>"13-05-2023 11:00"</f>
        <v>13-05-2023 11:00</v>
      </c>
      <c r="C313" s="1799">
        <v>0.53</v>
      </c>
      <c r="D313" s="1799"/>
      <c r="E313" s="1799"/>
      <c r="G313" s="1798" t="str">
        <f>"13-06-2023 10:00"</f>
        <v>13-06-2023 10:00</v>
      </c>
      <c r="H313" s="1788" t="str">
        <f>"13-06-2023 11:00"</f>
        <v>13-06-2023 11:00</v>
      </c>
      <c r="I313" s="1799">
        <v>0.63</v>
      </c>
    </row>
    <row r="314" spans="1:9">
      <c r="A314" s="1798" t="str">
        <f>"13-05-2023 11:00"</f>
        <v>13-05-2023 11:00</v>
      </c>
      <c r="B314" s="1788" t="str">
        <f>"13-05-2023 12:00"</f>
        <v>13-05-2023 12:00</v>
      </c>
      <c r="C314" s="1799">
        <v>0.45</v>
      </c>
      <c r="D314" s="1799"/>
      <c r="E314" s="1799"/>
      <c r="G314" s="1798" t="str">
        <f>"13-06-2023 11:00"</f>
        <v>13-06-2023 11:00</v>
      </c>
      <c r="H314" s="1788" t="str">
        <f>"13-06-2023 12:00"</f>
        <v>13-06-2023 12:00</v>
      </c>
      <c r="I314" s="1799">
        <v>0.77</v>
      </c>
    </row>
    <row r="315" spans="1:9">
      <c r="A315" s="1798" t="str">
        <f>"13-05-2023 12:00"</f>
        <v>13-05-2023 12:00</v>
      </c>
      <c r="B315" s="1788" t="str">
        <f>"13-05-2023 13:00"</f>
        <v>13-05-2023 13:00</v>
      </c>
      <c r="C315" s="1799">
        <v>0.36</v>
      </c>
      <c r="D315" s="1799"/>
      <c r="E315" s="1799"/>
      <c r="G315" s="1798" t="str">
        <f>"13-06-2023 12:00"</f>
        <v>13-06-2023 12:00</v>
      </c>
      <c r="H315" s="1788" t="str">
        <f>"13-06-2023 13:00"</f>
        <v>13-06-2023 13:00</v>
      </c>
      <c r="I315" s="1799">
        <v>0.72</v>
      </c>
    </row>
    <row r="316" spans="1:9">
      <c r="A316" s="1798" t="str">
        <f>"13-05-2023 13:00"</f>
        <v>13-05-2023 13:00</v>
      </c>
      <c r="B316" s="1788" t="str">
        <f>"13-05-2023 14:00"</f>
        <v>13-05-2023 14:00</v>
      </c>
      <c r="C316" s="1799">
        <v>0.42</v>
      </c>
      <c r="D316" s="1799"/>
      <c r="E316" s="1799"/>
      <c r="G316" s="1798" t="str">
        <f>"13-06-2023 13:00"</f>
        <v>13-06-2023 13:00</v>
      </c>
      <c r="H316" s="1788" t="str">
        <f>"13-06-2023 14:00"</f>
        <v>13-06-2023 14:00</v>
      </c>
      <c r="I316" s="1799">
        <v>0.5</v>
      </c>
    </row>
    <row r="317" spans="1:9">
      <c r="A317" s="1798" t="str">
        <f>"13-05-2023 14:00"</f>
        <v>13-05-2023 14:00</v>
      </c>
      <c r="B317" s="1788" t="str">
        <f>"13-05-2023 15:00"</f>
        <v>13-05-2023 15:00</v>
      </c>
      <c r="C317" s="1799">
        <v>0.33</v>
      </c>
      <c r="D317" s="1799"/>
      <c r="E317" s="1799"/>
      <c r="G317" s="1798" t="str">
        <f>"13-06-2023 14:00"</f>
        <v>13-06-2023 14:00</v>
      </c>
      <c r="H317" s="1788" t="str">
        <f>"13-06-2023 15:00"</f>
        <v>13-06-2023 15:00</v>
      </c>
      <c r="I317" s="1799">
        <v>0.57999999999999996</v>
      </c>
    </row>
    <row r="318" spans="1:9">
      <c r="A318" s="1798" t="str">
        <f>"13-05-2023 15:00"</f>
        <v>13-05-2023 15:00</v>
      </c>
      <c r="B318" s="1788" t="str">
        <f>"13-05-2023 16:00"</f>
        <v>13-05-2023 16:00</v>
      </c>
      <c r="C318" s="1799">
        <v>0.28999999999999998</v>
      </c>
      <c r="D318" s="1799"/>
      <c r="E318" s="1799"/>
      <c r="G318" s="1798" t="str">
        <f>"13-06-2023 15:00"</f>
        <v>13-06-2023 15:00</v>
      </c>
      <c r="H318" s="1788" t="str">
        <f>"13-06-2023 16:00"</f>
        <v>13-06-2023 16:00</v>
      </c>
      <c r="I318" s="1799">
        <v>0.62</v>
      </c>
    </row>
    <row r="319" spans="1:9">
      <c r="A319" s="1798" t="str">
        <f>"13-05-2023 16:00"</f>
        <v>13-05-2023 16:00</v>
      </c>
      <c r="B319" s="1788" t="str">
        <f>"13-05-2023 17:00"</f>
        <v>13-05-2023 17:00</v>
      </c>
      <c r="C319" s="1799">
        <v>0.45</v>
      </c>
      <c r="D319" s="1799"/>
      <c r="E319" s="1799"/>
      <c r="G319" s="1798" t="str">
        <f>"13-06-2023 16:00"</f>
        <v>13-06-2023 16:00</v>
      </c>
      <c r="H319" s="1788" t="str">
        <f>"13-06-2023 17:00"</f>
        <v>13-06-2023 17:00</v>
      </c>
      <c r="I319" s="1799">
        <v>0.45</v>
      </c>
    </row>
    <row r="320" spans="1:9">
      <c r="A320" s="1798" t="str">
        <f>"13-05-2023 17:00"</f>
        <v>13-05-2023 17:00</v>
      </c>
      <c r="B320" s="1788" t="str">
        <f>"13-05-2023 18:00"</f>
        <v>13-05-2023 18:00</v>
      </c>
      <c r="C320" s="1799">
        <v>0.46</v>
      </c>
      <c r="D320" s="1799"/>
      <c r="E320" s="1799"/>
      <c r="G320" s="1798" t="str">
        <f>"13-06-2023 17:00"</f>
        <v>13-06-2023 17:00</v>
      </c>
      <c r="H320" s="1788" t="str">
        <f>"13-06-2023 18:00"</f>
        <v>13-06-2023 18:00</v>
      </c>
      <c r="I320" s="1799">
        <v>0.3</v>
      </c>
    </row>
    <row r="321" spans="1:10">
      <c r="A321" s="1800" t="str">
        <f>"13-05-2023 18:00"</f>
        <v>13-05-2023 18:00</v>
      </c>
      <c r="B321" s="1794" t="str">
        <f>"13-05-2023 19:00"</f>
        <v>13-05-2023 19:00</v>
      </c>
      <c r="C321" s="1801">
        <v>0.59</v>
      </c>
      <c r="D321" s="1801"/>
      <c r="E321" s="1801"/>
      <c r="G321" s="1800" t="str">
        <f>"13-06-2023 18:00"</f>
        <v>13-06-2023 18:00</v>
      </c>
      <c r="H321" s="1794" t="str">
        <f>"13-06-2023 19:00"</f>
        <v>13-06-2023 19:00</v>
      </c>
      <c r="I321" s="1801">
        <v>1.27</v>
      </c>
    </row>
    <row r="322" spans="1:10">
      <c r="A322" s="1785" t="str">
        <f>"13-05-2023 19:00"</f>
        <v>13-05-2023 19:00</v>
      </c>
      <c r="B322" s="1785" t="str">
        <f>"13-05-2023 20:00"</f>
        <v>13-05-2023 20:00</v>
      </c>
      <c r="C322" s="1786">
        <v>0.69</v>
      </c>
      <c r="G322" s="1785" t="str">
        <f>"13-06-2023 19:00"</f>
        <v>13-06-2023 19:00</v>
      </c>
      <c r="H322" s="1785" t="str">
        <f>"13-06-2023 20:00"</f>
        <v>13-06-2023 20:00</v>
      </c>
      <c r="I322" s="1786">
        <v>1.21</v>
      </c>
    </row>
    <row r="323" spans="1:10">
      <c r="A323" s="1785" t="str">
        <f>"13-05-2023 20:00"</f>
        <v>13-05-2023 20:00</v>
      </c>
      <c r="B323" s="1785" t="str">
        <f>"13-05-2023 21:00"</f>
        <v>13-05-2023 21:00</v>
      </c>
      <c r="C323" s="1786">
        <v>1.17</v>
      </c>
      <c r="G323" s="1785" t="str">
        <f>"13-06-2023 20:00"</f>
        <v>13-06-2023 20:00</v>
      </c>
      <c r="H323" s="1785" t="str">
        <f>"13-06-2023 21:00"</f>
        <v>13-06-2023 21:00</v>
      </c>
      <c r="I323" s="1786">
        <v>0.85</v>
      </c>
    </row>
    <row r="324" spans="1:10">
      <c r="A324" s="1785" t="str">
        <f>"13-05-2023 21:00"</f>
        <v>13-05-2023 21:00</v>
      </c>
      <c r="B324" s="1785" t="str">
        <f>"13-05-2023 22:00"</f>
        <v>13-05-2023 22:00</v>
      </c>
      <c r="C324" s="1786">
        <v>0.66</v>
      </c>
      <c r="G324" s="1785" t="str">
        <f>"13-06-2023 21:00"</f>
        <v>13-06-2023 21:00</v>
      </c>
      <c r="H324" s="1785" t="str">
        <f>"13-06-2023 22:00"</f>
        <v>13-06-2023 22:00</v>
      </c>
      <c r="I324" s="1786">
        <v>1</v>
      </c>
    </row>
    <row r="325" spans="1:10">
      <c r="A325" s="1785" t="str">
        <f>"13-05-2023 22:00"</f>
        <v>13-05-2023 22:00</v>
      </c>
      <c r="B325" s="1785" t="str">
        <f>"13-05-2023 23:00"</f>
        <v>13-05-2023 23:00</v>
      </c>
      <c r="C325" s="1786">
        <v>0.66</v>
      </c>
      <c r="G325" s="1785" t="str">
        <f>"13-06-2023 22:00"</f>
        <v>13-06-2023 22:00</v>
      </c>
      <c r="H325" s="1785" t="str">
        <f>"13-06-2023 23:00"</f>
        <v>13-06-2023 23:00</v>
      </c>
      <c r="I325" s="1786">
        <v>0.61</v>
      </c>
    </row>
    <row r="326" spans="1:10" ht="15" thickBot="1">
      <c r="A326" s="1785" t="str">
        <f>"13-05-2023 23:00"</f>
        <v>13-05-2023 23:00</v>
      </c>
      <c r="B326" s="1785" t="str">
        <f>"14-05-2023 00:00"</f>
        <v>14-05-2023 00:00</v>
      </c>
      <c r="C326" s="1786">
        <v>0.41</v>
      </c>
      <c r="G326" s="1785" t="str">
        <f>"13-06-2023 23:00"</f>
        <v>13-06-2023 23:00</v>
      </c>
      <c r="H326" s="1785" t="str">
        <f>"14-06-2023 00:00"</f>
        <v>14-06-2023 00:00</v>
      </c>
      <c r="I326" s="1786">
        <v>0.5</v>
      </c>
    </row>
    <row r="327" spans="1:10">
      <c r="A327" s="2764">
        <v>45060</v>
      </c>
      <c r="B327" s="2764"/>
      <c r="C327" s="1789">
        <f>SUM(C328:C351)</f>
        <v>11.119999999999997</v>
      </c>
      <c r="D327" s="1789">
        <f>SUM(D328:D351)</f>
        <v>0</v>
      </c>
      <c r="E327" s="1789">
        <f>C327+D327</f>
        <v>11.119999999999997</v>
      </c>
      <c r="F327" s="1802"/>
      <c r="G327" s="2764" t="str">
        <f>G328</f>
        <v>14-06-2023 00:00</v>
      </c>
      <c r="H327" s="2764"/>
      <c r="I327" s="1789">
        <f>SUM(I328:I351)</f>
        <v>19.329999999999998</v>
      </c>
      <c r="J327" s="1802"/>
    </row>
    <row r="328" spans="1:10">
      <c r="A328" s="1785" t="str">
        <f>"14-05-2023 00:00"</f>
        <v>14-05-2023 00:00</v>
      </c>
      <c r="B328" s="1785" t="str">
        <f>"14-05-2023 01:00"</f>
        <v>14-05-2023 01:00</v>
      </c>
      <c r="C328" s="1786">
        <v>0.27</v>
      </c>
      <c r="G328" s="1785" t="str">
        <f>"14-06-2023 00:00"</f>
        <v>14-06-2023 00:00</v>
      </c>
      <c r="H328" s="1785" t="str">
        <f>"14-06-2023 01:00"</f>
        <v>14-06-2023 01:00</v>
      </c>
      <c r="I328" s="1786">
        <v>0.39</v>
      </c>
    </row>
    <row r="329" spans="1:10">
      <c r="A329" s="1785" t="str">
        <f>"14-05-2023 01:00"</f>
        <v>14-05-2023 01:00</v>
      </c>
      <c r="B329" s="1785" t="str">
        <f>"14-05-2023 02:00"</f>
        <v>14-05-2023 02:00</v>
      </c>
      <c r="C329" s="1786">
        <v>0.36</v>
      </c>
      <c r="G329" s="1785" t="str">
        <f>"14-06-2023 01:00"</f>
        <v>14-06-2023 01:00</v>
      </c>
      <c r="H329" s="1785" t="str">
        <f>"14-06-2023 02:00"</f>
        <v>14-06-2023 02:00</v>
      </c>
      <c r="I329" s="1786">
        <v>0.38</v>
      </c>
    </row>
    <row r="330" spans="1:10">
      <c r="A330" s="1785" t="str">
        <f>"14-05-2023 02:00"</f>
        <v>14-05-2023 02:00</v>
      </c>
      <c r="B330" s="1785" t="str">
        <f>"14-05-2023 03:00"</f>
        <v>14-05-2023 03:00</v>
      </c>
      <c r="C330" s="1786">
        <v>0.28999999999999998</v>
      </c>
      <c r="G330" s="1785" t="str">
        <f>"14-06-2023 02:00"</f>
        <v>14-06-2023 02:00</v>
      </c>
      <c r="H330" s="1785" t="str">
        <f>"14-06-2023 03:00"</f>
        <v>14-06-2023 03:00</v>
      </c>
      <c r="I330" s="1786">
        <v>0.28999999999999998</v>
      </c>
    </row>
    <row r="331" spans="1:10">
      <c r="A331" s="1785" t="str">
        <f>"14-05-2023 03:00"</f>
        <v>14-05-2023 03:00</v>
      </c>
      <c r="B331" s="1785" t="str">
        <f>"14-05-2023 04:00"</f>
        <v>14-05-2023 04:00</v>
      </c>
      <c r="C331" s="1786">
        <v>0.31</v>
      </c>
      <c r="G331" s="1785" t="str">
        <f>"14-06-2023 03:00"</f>
        <v>14-06-2023 03:00</v>
      </c>
      <c r="H331" s="1785" t="str">
        <f>"14-06-2023 04:00"</f>
        <v>14-06-2023 04:00</v>
      </c>
      <c r="I331" s="1786">
        <v>0.36</v>
      </c>
    </row>
    <row r="332" spans="1:10">
      <c r="A332" s="1785" t="str">
        <f>"14-05-2023 04:00"</f>
        <v>14-05-2023 04:00</v>
      </c>
      <c r="B332" s="1785" t="str">
        <f>"14-05-2023 05:00"</f>
        <v>14-05-2023 05:00</v>
      </c>
      <c r="C332" s="1786">
        <v>0.34</v>
      </c>
      <c r="G332" s="1785" t="str">
        <f>"14-06-2023 04:00"</f>
        <v>14-06-2023 04:00</v>
      </c>
      <c r="H332" s="1785" t="str">
        <f>"14-06-2023 05:00"</f>
        <v>14-06-2023 05:00</v>
      </c>
      <c r="I332" s="1786">
        <v>0.28999999999999998</v>
      </c>
    </row>
    <row r="333" spans="1:10">
      <c r="A333" s="1785" t="str">
        <f>"14-05-2023 05:00"</f>
        <v>14-05-2023 05:00</v>
      </c>
      <c r="B333" s="1785" t="str">
        <f>"14-05-2023 06:00"</f>
        <v>14-05-2023 06:00</v>
      </c>
      <c r="C333" s="1786">
        <v>0.24</v>
      </c>
      <c r="G333" s="1785" t="str">
        <f>"14-06-2023 05:00"</f>
        <v>14-06-2023 05:00</v>
      </c>
      <c r="H333" s="1785" t="str">
        <f>"14-06-2023 06:00"</f>
        <v>14-06-2023 06:00</v>
      </c>
      <c r="I333" s="1786">
        <v>0.36</v>
      </c>
    </row>
    <row r="334" spans="1:10">
      <c r="A334" s="1785" t="str">
        <f>"14-05-2023 06:00"</f>
        <v>14-05-2023 06:00</v>
      </c>
      <c r="B334" s="1785" t="str">
        <f>"14-05-2023 07:00"</f>
        <v>14-05-2023 07:00</v>
      </c>
      <c r="C334" s="1786">
        <v>0.27</v>
      </c>
      <c r="G334" s="1785" t="str">
        <f>"14-06-2023 06:00"</f>
        <v>14-06-2023 06:00</v>
      </c>
      <c r="H334" s="1785" t="str">
        <f>"14-06-2023 07:00"</f>
        <v>14-06-2023 07:00</v>
      </c>
      <c r="I334" s="1786">
        <v>1.1399999999999999</v>
      </c>
    </row>
    <row r="335" spans="1:10">
      <c r="A335" s="1785" t="str">
        <f>"14-05-2023 07:00"</f>
        <v>14-05-2023 07:00</v>
      </c>
      <c r="B335" s="1785" t="str">
        <f>"14-05-2023 08:00"</f>
        <v>14-05-2023 08:00</v>
      </c>
      <c r="C335" s="1786">
        <v>0.71</v>
      </c>
      <c r="G335" s="1785" t="str">
        <f>"14-06-2023 07:00"</f>
        <v>14-06-2023 07:00</v>
      </c>
      <c r="H335" s="1785" t="str">
        <f>"14-06-2023 08:00"</f>
        <v>14-06-2023 08:00</v>
      </c>
      <c r="I335" s="1786">
        <v>0.75</v>
      </c>
    </row>
    <row r="336" spans="1:10">
      <c r="A336" s="1795" t="str">
        <f>"14-05-2023 08:00"</f>
        <v>14-05-2023 08:00</v>
      </c>
      <c r="B336" s="1796" t="str">
        <f>"14-05-2023 09:00"</f>
        <v>14-05-2023 09:00</v>
      </c>
      <c r="C336" s="1797">
        <v>0.61</v>
      </c>
      <c r="D336" s="1797"/>
      <c r="E336" s="1797"/>
      <c r="G336" s="1795" t="str">
        <f>"14-06-2023 08:00"</f>
        <v>14-06-2023 08:00</v>
      </c>
      <c r="H336" s="1796" t="str">
        <f>"14-06-2023 09:00"</f>
        <v>14-06-2023 09:00</v>
      </c>
      <c r="I336" s="1797">
        <v>0.88</v>
      </c>
    </row>
    <row r="337" spans="1:10">
      <c r="A337" s="1798" t="str">
        <f>"14-05-2023 09:00"</f>
        <v>14-05-2023 09:00</v>
      </c>
      <c r="B337" s="1788" t="str">
        <f>"14-05-2023 10:00"</f>
        <v>14-05-2023 10:00</v>
      </c>
      <c r="C337" s="1799">
        <v>0.42</v>
      </c>
      <c r="D337" s="1799"/>
      <c r="E337" s="1799"/>
      <c r="G337" s="1798" t="str">
        <f>"14-06-2023 09:00"</f>
        <v>14-06-2023 09:00</v>
      </c>
      <c r="H337" s="1788" t="str">
        <f>"14-06-2023 10:00"</f>
        <v>14-06-2023 10:00</v>
      </c>
      <c r="I337" s="1799">
        <v>0.71</v>
      </c>
    </row>
    <row r="338" spans="1:10">
      <c r="A338" s="1798" t="str">
        <f>"14-05-2023 10:00"</f>
        <v>14-05-2023 10:00</v>
      </c>
      <c r="B338" s="1788" t="str">
        <f>"14-05-2023 11:00"</f>
        <v>14-05-2023 11:00</v>
      </c>
      <c r="C338" s="1799">
        <v>0.28999999999999998</v>
      </c>
      <c r="D338" s="1799"/>
      <c r="E338" s="1799"/>
      <c r="G338" s="1798" t="str">
        <f>"14-06-2023 10:00"</f>
        <v>14-06-2023 10:00</v>
      </c>
      <c r="H338" s="1788" t="str">
        <f>"14-06-2023 11:00"</f>
        <v>14-06-2023 11:00</v>
      </c>
      <c r="I338" s="1799">
        <v>0.9</v>
      </c>
    </row>
    <row r="339" spans="1:10">
      <c r="A339" s="1798" t="str">
        <f>"14-05-2023 11:00"</f>
        <v>14-05-2023 11:00</v>
      </c>
      <c r="B339" s="1788" t="str">
        <f>"14-05-2023 12:00"</f>
        <v>14-05-2023 12:00</v>
      </c>
      <c r="C339" s="1799">
        <v>0.68</v>
      </c>
      <c r="D339" s="1799"/>
      <c r="E339" s="1799"/>
      <c r="G339" s="1798" t="str">
        <f>"14-06-2023 11:00"</f>
        <v>14-06-2023 11:00</v>
      </c>
      <c r="H339" s="1788" t="str">
        <f>"14-06-2023 12:00"</f>
        <v>14-06-2023 12:00</v>
      </c>
      <c r="I339" s="1799">
        <v>1.21</v>
      </c>
    </row>
    <row r="340" spans="1:10">
      <c r="A340" s="1798" t="str">
        <f>"14-05-2023 12:00"</f>
        <v>14-05-2023 12:00</v>
      </c>
      <c r="B340" s="1788" t="str">
        <f>"14-05-2023 13:00"</f>
        <v>14-05-2023 13:00</v>
      </c>
      <c r="C340" s="1799">
        <v>0.34</v>
      </c>
      <c r="D340" s="1799"/>
      <c r="E340" s="1799"/>
      <c r="G340" s="1798" t="str">
        <f>"14-06-2023 12:00"</f>
        <v>14-06-2023 12:00</v>
      </c>
      <c r="H340" s="1788" t="str">
        <f>"14-06-2023 13:00"</f>
        <v>14-06-2023 13:00</v>
      </c>
      <c r="I340" s="1799">
        <v>1.39</v>
      </c>
    </row>
    <row r="341" spans="1:10">
      <c r="A341" s="1798" t="str">
        <f>"14-05-2023 13:00"</f>
        <v>14-05-2023 13:00</v>
      </c>
      <c r="B341" s="1788" t="str">
        <f>"14-05-2023 14:00"</f>
        <v>14-05-2023 14:00</v>
      </c>
      <c r="C341" s="1799">
        <v>0.32</v>
      </c>
      <c r="D341" s="1799"/>
      <c r="E341" s="1799"/>
      <c r="G341" s="1798" t="str">
        <f>"14-06-2023 13:00"</f>
        <v>14-06-2023 13:00</v>
      </c>
      <c r="H341" s="1788" t="str">
        <f>"14-06-2023 14:00"</f>
        <v>14-06-2023 14:00</v>
      </c>
      <c r="I341" s="1799">
        <v>0.7</v>
      </c>
    </row>
    <row r="342" spans="1:10">
      <c r="A342" s="1798" t="str">
        <f>"14-05-2023 14:00"</f>
        <v>14-05-2023 14:00</v>
      </c>
      <c r="B342" s="1788" t="str">
        <f>"14-05-2023 15:00"</f>
        <v>14-05-2023 15:00</v>
      </c>
      <c r="C342" s="1799">
        <v>0.26</v>
      </c>
      <c r="D342" s="1799"/>
      <c r="E342" s="1799"/>
      <c r="G342" s="1798" t="str">
        <f>"14-06-2023 14:00"</f>
        <v>14-06-2023 14:00</v>
      </c>
      <c r="H342" s="1788" t="str">
        <f>"14-06-2023 15:00"</f>
        <v>14-06-2023 15:00</v>
      </c>
      <c r="I342" s="1799">
        <v>0.63</v>
      </c>
    </row>
    <row r="343" spans="1:10">
      <c r="A343" s="1798" t="str">
        <f>"14-05-2023 15:00"</f>
        <v>14-05-2023 15:00</v>
      </c>
      <c r="B343" s="1788" t="str">
        <f>"14-05-2023 16:00"</f>
        <v>14-05-2023 16:00</v>
      </c>
      <c r="C343" s="1799">
        <v>0.25</v>
      </c>
      <c r="D343" s="1799"/>
      <c r="E343" s="1799"/>
      <c r="G343" s="1798" t="str">
        <f>"14-06-2023 15:00"</f>
        <v>14-06-2023 15:00</v>
      </c>
      <c r="H343" s="1788" t="str">
        <f>"14-06-2023 16:00"</f>
        <v>14-06-2023 16:00</v>
      </c>
      <c r="I343" s="1799">
        <v>0.94</v>
      </c>
    </row>
    <row r="344" spans="1:10">
      <c r="A344" s="1798" t="str">
        <f>"14-05-2023 16:00"</f>
        <v>14-05-2023 16:00</v>
      </c>
      <c r="B344" s="1788" t="str">
        <f>"14-05-2023 17:00"</f>
        <v>14-05-2023 17:00</v>
      </c>
      <c r="C344" s="1799">
        <v>0.35</v>
      </c>
      <c r="D344" s="1799"/>
      <c r="E344" s="1799"/>
      <c r="G344" s="1798" t="str">
        <f>"14-06-2023 16:00"</f>
        <v>14-06-2023 16:00</v>
      </c>
      <c r="H344" s="1788" t="str">
        <f>"14-06-2023 17:00"</f>
        <v>14-06-2023 17:00</v>
      </c>
      <c r="I344" s="1799">
        <v>0.76</v>
      </c>
    </row>
    <row r="345" spans="1:10">
      <c r="A345" s="1798" t="str">
        <f>"14-05-2023 17:00"</f>
        <v>14-05-2023 17:00</v>
      </c>
      <c r="B345" s="1788" t="str">
        <f>"14-05-2023 18:00"</f>
        <v>14-05-2023 18:00</v>
      </c>
      <c r="C345" s="1799">
        <v>0.75</v>
      </c>
      <c r="D345" s="1799"/>
      <c r="E345" s="1799"/>
      <c r="G345" s="1798" t="str">
        <f>"14-06-2023 17:00"</f>
        <v>14-06-2023 17:00</v>
      </c>
      <c r="H345" s="1788" t="str">
        <f>"14-06-2023 18:00"</f>
        <v>14-06-2023 18:00</v>
      </c>
      <c r="I345" s="1799">
        <v>1.82</v>
      </c>
    </row>
    <row r="346" spans="1:10">
      <c r="A346" s="1800" t="str">
        <f>"14-05-2023 18:00"</f>
        <v>14-05-2023 18:00</v>
      </c>
      <c r="B346" s="1794" t="str">
        <f>"14-05-2023 19:00"</f>
        <v>14-05-2023 19:00</v>
      </c>
      <c r="C346" s="1801">
        <v>1.06</v>
      </c>
      <c r="D346" s="1801"/>
      <c r="E346" s="1801"/>
      <c r="G346" s="1800" t="str">
        <f>"14-06-2023 18:00"</f>
        <v>14-06-2023 18:00</v>
      </c>
      <c r="H346" s="1794" t="str">
        <f>"14-06-2023 19:00"</f>
        <v>14-06-2023 19:00</v>
      </c>
      <c r="I346" s="1801">
        <v>0.98</v>
      </c>
    </row>
    <row r="347" spans="1:10">
      <c r="A347" s="1785" t="str">
        <f>"14-05-2023 19:00"</f>
        <v>14-05-2023 19:00</v>
      </c>
      <c r="B347" s="1785" t="str">
        <f>"14-05-2023 20:00"</f>
        <v>14-05-2023 20:00</v>
      </c>
      <c r="C347" s="1786">
        <v>0.91</v>
      </c>
      <c r="G347" s="1785" t="str">
        <f>"14-06-2023 19:00"</f>
        <v>14-06-2023 19:00</v>
      </c>
      <c r="H347" s="1785" t="str">
        <f>"14-06-2023 20:00"</f>
        <v>14-06-2023 20:00</v>
      </c>
      <c r="I347" s="1786">
        <v>0.83</v>
      </c>
    </row>
    <row r="348" spans="1:10">
      <c r="A348" s="1785" t="str">
        <f>"14-05-2023 20:00"</f>
        <v>14-05-2023 20:00</v>
      </c>
      <c r="B348" s="1785" t="str">
        <f>"14-05-2023 21:00"</f>
        <v>14-05-2023 21:00</v>
      </c>
      <c r="C348" s="1786">
        <v>0.78</v>
      </c>
      <c r="G348" s="1785" t="str">
        <f>"14-06-2023 20:00"</f>
        <v>14-06-2023 20:00</v>
      </c>
      <c r="H348" s="1785" t="str">
        <f>"14-06-2023 21:00"</f>
        <v>14-06-2023 21:00</v>
      </c>
      <c r="I348" s="1786">
        <v>1</v>
      </c>
    </row>
    <row r="349" spans="1:10">
      <c r="A349" s="1785" t="str">
        <f>"14-05-2023 21:00"</f>
        <v>14-05-2023 21:00</v>
      </c>
      <c r="B349" s="1785" t="str">
        <f>"14-05-2023 22:00"</f>
        <v>14-05-2023 22:00</v>
      </c>
      <c r="C349" s="1786">
        <v>0.57999999999999996</v>
      </c>
      <c r="G349" s="1785" t="str">
        <f>"14-06-2023 21:00"</f>
        <v>14-06-2023 21:00</v>
      </c>
      <c r="H349" s="1785" t="str">
        <f>"14-06-2023 22:00"</f>
        <v>14-06-2023 22:00</v>
      </c>
      <c r="I349" s="1786">
        <v>1.31</v>
      </c>
    </row>
    <row r="350" spans="1:10">
      <c r="A350" s="1785" t="str">
        <f>"14-05-2023 22:00"</f>
        <v>14-05-2023 22:00</v>
      </c>
      <c r="B350" s="1785" t="str">
        <f>"14-05-2023 23:00"</f>
        <v>14-05-2023 23:00</v>
      </c>
      <c r="C350" s="1786">
        <v>0.37</v>
      </c>
      <c r="G350" s="1785" t="str">
        <f>"14-06-2023 22:00"</f>
        <v>14-06-2023 22:00</v>
      </c>
      <c r="H350" s="1785" t="str">
        <f>"14-06-2023 23:00"</f>
        <v>14-06-2023 23:00</v>
      </c>
      <c r="I350" s="1786">
        <v>0.83</v>
      </c>
    </row>
    <row r="351" spans="1:10" ht="15" thickBot="1">
      <c r="A351" s="1785" t="str">
        <f>"14-05-2023 23:00"</f>
        <v>14-05-2023 23:00</v>
      </c>
      <c r="B351" s="1785" t="str">
        <f>"15-05-2023 00:00"</f>
        <v>15-05-2023 00:00</v>
      </c>
      <c r="C351" s="1786">
        <v>0.36</v>
      </c>
      <c r="G351" s="1785" t="str">
        <f>"14-06-2023 23:00"</f>
        <v>14-06-2023 23:00</v>
      </c>
      <c r="H351" s="1785" t="str">
        <f>"15-06-2023 00:00"</f>
        <v>15-06-2023 00:00</v>
      </c>
      <c r="I351" s="1786">
        <v>0.48</v>
      </c>
    </row>
    <row r="352" spans="1:10">
      <c r="A352" s="2764">
        <v>45061</v>
      </c>
      <c r="B352" s="2764"/>
      <c r="C352" s="1789">
        <f>SUM(C353:C376)</f>
        <v>14.7</v>
      </c>
      <c r="D352" s="1789">
        <f>SUM(D353:D376)</f>
        <v>0</v>
      </c>
      <c r="E352" s="1789">
        <f>C352+D352</f>
        <v>14.7</v>
      </c>
      <c r="F352" s="1802"/>
      <c r="G352" s="2764" t="str">
        <f>G353</f>
        <v>15-06-2023 00:00</v>
      </c>
      <c r="H352" s="2764"/>
      <c r="I352" s="1789">
        <f>SUM(I353:I376)</f>
        <v>16.990000000000002</v>
      </c>
      <c r="J352" s="1802"/>
    </row>
    <row r="353" spans="1:9">
      <c r="A353" s="1785" t="str">
        <f>"15-05-2023 00:00"</f>
        <v>15-05-2023 00:00</v>
      </c>
      <c r="B353" s="1785" t="str">
        <f>"15-05-2023 01:00"</f>
        <v>15-05-2023 01:00</v>
      </c>
      <c r="C353" s="1786">
        <v>0.35</v>
      </c>
      <c r="G353" s="1785" t="str">
        <f>"15-06-2023 00:00"</f>
        <v>15-06-2023 00:00</v>
      </c>
      <c r="H353" s="1785" t="str">
        <f>"15-06-2023 01:00"</f>
        <v>15-06-2023 01:00</v>
      </c>
      <c r="I353" s="1786">
        <v>0.28999999999999998</v>
      </c>
    </row>
    <row r="354" spans="1:9">
      <c r="A354" s="1785" t="str">
        <f>"15-05-2023 01:00"</f>
        <v>15-05-2023 01:00</v>
      </c>
      <c r="B354" s="1785" t="str">
        <f>"15-05-2023 02:00"</f>
        <v>15-05-2023 02:00</v>
      </c>
      <c r="C354" s="1786">
        <v>0.42</v>
      </c>
      <c r="G354" s="1785" t="str">
        <f>"15-06-2023 01:00"</f>
        <v>15-06-2023 01:00</v>
      </c>
      <c r="H354" s="1785" t="str">
        <f>"15-06-2023 02:00"</f>
        <v>15-06-2023 02:00</v>
      </c>
      <c r="I354" s="1786">
        <v>0.37</v>
      </c>
    </row>
    <row r="355" spans="1:9">
      <c r="A355" s="1785" t="str">
        <f>"15-05-2023 02:00"</f>
        <v>15-05-2023 02:00</v>
      </c>
      <c r="B355" s="1785" t="str">
        <f>"15-05-2023 03:00"</f>
        <v>15-05-2023 03:00</v>
      </c>
      <c r="C355" s="1786">
        <v>0.2</v>
      </c>
      <c r="G355" s="1785" t="str">
        <f>"15-06-2023 02:00"</f>
        <v>15-06-2023 02:00</v>
      </c>
      <c r="H355" s="1785" t="str">
        <f>"15-06-2023 03:00"</f>
        <v>15-06-2023 03:00</v>
      </c>
      <c r="I355" s="1786">
        <v>0.28000000000000003</v>
      </c>
    </row>
    <row r="356" spans="1:9">
      <c r="A356" s="1785" t="str">
        <f>"15-05-2023 03:00"</f>
        <v>15-05-2023 03:00</v>
      </c>
      <c r="B356" s="1785" t="str">
        <f>"15-05-2023 04:00"</f>
        <v>15-05-2023 04:00</v>
      </c>
      <c r="C356" s="1786">
        <v>0.42</v>
      </c>
      <c r="G356" s="1785" t="str">
        <f>"15-06-2023 03:00"</f>
        <v>15-06-2023 03:00</v>
      </c>
      <c r="H356" s="1785" t="str">
        <f>"15-06-2023 04:00"</f>
        <v>15-06-2023 04:00</v>
      </c>
      <c r="I356" s="1786">
        <v>0.39</v>
      </c>
    </row>
    <row r="357" spans="1:9">
      <c r="A357" s="1785" t="str">
        <f>"15-05-2023 04:00"</f>
        <v>15-05-2023 04:00</v>
      </c>
      <c r="B357" s="1785" t="str">
        <f>"15-05-2023 05:00"</f>
        <v>15-05-2023 05:00</v>
      </c>
      <c r="C357" s="1786">
        <v>0.35</v>
      </c>
      <c r="G357" s="1785" t="str">
        <f>"15-06-2023 04:00"</f>
        <v>15-06-2023 04:00</v>
      </c>
      <c r="H357" s="1785" t="str">
        <f>"15-06-2023 05:00"</f>
        <v>15-06-2023 05:00</v>
      </c>
      <c r="I357" s="1786">
        <v>0.25</v>
      </c>
    </row>
    <row r="358" spans="1:9">
      <c r="A358" s="1785" t="str">
        <f>"15-05-2023 05:00"</f>
        <v>15-05-2023 05:00</v>
      </c>
      <c r="B358" s="1785" t="str">
        <f>"15-05-2023 06:00"</f>
        <v>15-05-2023 06:00</v>
      </c>
      <c r="C358" s="1786">
        <v>0.36</v>
      </c>
      <c r="G358" s="1785" t="str">
        <f>"15-06-2023 05:00"</f>
        <v>15-06-2023 05:00</v>
      </c>
      <c r="H358" s="1785" t="str">
        <f>"15-06-2023 06:00"</f>
        <v>15-06-2023 06:00</v>
      </c>
      <c r="I358" s="1786">
        <v>0.39</v>
      </c>
    </row>
    <row r="359" spans="1:9">
      <c r="A359" s="1785" t="str">
        <f>"15-05-2023 06:00"</f>
        <v>15-05-2023 06:00</v>
      </c>
      <c r="B359" s="1785" t="str">
        <f>"15-05-2023 07:00"</f>
        <v>15-05-2023 07:00</v>
      </c>
      <c r="C359" s="1786">
        <v>0.33</v>
      </c>
      <c r="G359" s="1785" t="str">
        <f>"15-06-2023 06:00"</f>
        <v>15-06-2023 06:00</v>
      </c>
      <c r="H359" s="1785" t="str">
        <f>"15-06-2023 07:00"</f>
        <v>15-06-2023 07:00</v>
      </c>
      <c r="I359" s="1786">
        <v>0.49</v>
      </c>
    </row>
    <row r="360" spans="1:9">
      <c r="A360" s="1785" t="str">
        <f>"15-05-2023 07:00"</f>
        <v>15-05-2023 07:00</v>
      </c>
      <c r="B360" s="1785" t="str">
        <f>"15-05-2023 08:00"</f>
        <v>15-05-2023 08:00</v>
      </c>
      <c r="C360" s="1786">
        <v>0.67</v>
      </c>
      <c r="G360" s="1785" t="str">
        <f>"15-06-2023 07:00"</f>
        <v>15-06-2023 07:00</v>
      </c>
      <c r="H360" s="1785" t="str">
        <f>"15-06-2023 08:00"</f>
        <v>15-06-2023 08:00</v>
      </c>
      <c r="I360" s="1786">
        <v>0.8</v>
      </c>
    </row>
    <row r="361" spans="1:9">
      <c r="A361" s="1795" t="str">
        <f>"15-05-2023 08:00"</f>
        <v>15-05-2023 08:00</v>
      </c>
      <c r="B361" s="1796" t="str">
        <f>"15-05-2023 09:00"</f>
        <v>15-05-2023 09:00</v>
      </c>
      <c r="C361" s="1797">
        <v>0.88</v>
      </c>
      <c r="D361" s="1797"/>
      <c r="E361" s="1797"/>
      <c r="G361" s="1795" t="str">
        <f>"15-06-2023 08:00"</f>
        <v>15-06-2023 08:00</v>
      </c>
      <c r="H361" s="1796" t="str">
        <f>"15-06-2023 09:00"</f>
        <v>15-06-2023 09:00</v>
      </c>
      <c r="I361" s="1797">
        <v>1.27</v>
      </c>
    </row>
    <row r="362" spans="1:9">
      <c r="A362" s="1798" t="str">
        <f>"15-05-2023 09:00"</f>
        <v>15-05-2023 09:00</v>
      </c>
      <c r="B362" s="1788" t="str">
        <f>"15-05-2023 10:00"</f>
        <v>15-05-2023 10:00</v>
      </c>
      <c r="C362" s="1799">
        <v>0.77</v>
      </c>
      <c r="D362" s="1799"/>
      <c r="E362" s="1799"/>
      <c r="G362" s="1798" t="str">
        <f>"15-06-2023 09:00"</f>
        <v>15-06-2023 09:00</v>
      </c>
      <c r="H362" s="1788" t="str">
        <f>"15-06-2023 10:00"</f>
        <v>15-06-2023 10:00</v>
      </c>
      <c r="I362" s="1799">
        <v>0.91</v>
      </c>
    </row>
    <row r="363" spans="1:9">
      <c r="A363" s="1798" t="str">
        <f>"15-05-2023 10:00"</f>
        <v>15-05-2023 10:00</v>
      </c>
      <c r="B363" s="1788" t="str">
        <f>"15-05-2023 11:00"</f>
        <v>15-05-2023 11:00</v>
      </c>
      <c r="C363" s="1799">
        <v>0.85</v>
      </c>
      <c r="D363" s="1799"/>
      <c r="E363" s="1799"/>
      <c r="G363" s="1798" t="str">
        <f>"15-06-2023 10:00"</f>
        <v>15-06-2023 10:00</v>
      </c>
      <c r="H363" s="1788" t="str">
        <f>"15-06-2023 11:00"</f>
        <v>15-06-2023 11:00</v>
      </c>
      <c r="I363" s="1799">
        <v>0.78</v>
      </c>
    </row>
    <row r="364" spans="1:9">
      <c r="A364" s="1798" t="str">
        <f>"15-05-2023 11:00"</f>
        <v>15-05-2023 11:00</v>
      </c>
      <c r="B364" s="1788" t="str">
        <f>"15-05-2023 12:00"</f>
        <v>15-05-2023 12:00</v>
      </c>
      <c r="C364" s="1799">
        <v>0.52</v>
      </c>
      <c r="D364" s="1799"/>
      <c r="E364" s="1799"/>
      <c r="G364" s="1798" t="str">
        <f>"15-06-2023 11:00"</f>
        <v>15-06-2023 11:00</v>
      </c>
      <c r="H364" s="1788" t="str">
        <f>"15-06-2023 12:00"</f>
        <v>15-06-2023 12:00</v>
      </c>
      <c r="I364" s="1799">
        <v>0.86</v>
      </c>
    </row>
    <row r="365" spans="1:9">
      <c r="A365" s="1798" t="str">
        <f>"15-05-2023 12:00"</f>
        <v>15-05-2023 12:00</v>
      </c>
      <c r="B365" s="1788" t="str">
        <f>"15-05-2023 13:00"</f>
        <v>15-05-2023 13:00</v>
      </c>
      <c r="C365" s="1799">
        <v>0.42</v>
      </c>
      <c r="D365" s="1799"/>
      <c r="E365" s="1799"/>
      <c r="G365" s="1798" t="str">
        <f>"15-06-2023 12:00"</f>
        <v>15-06-2023 12:00</v>
      </c>
      <c r="H365" s="1788" t="str">
        <f>"15-06-2023 13:00"</f>
        <v>15-06-2023 13:00</v>
      </c>
      <c r="I365" s="1799">
        <v>0.74</v>
      </c>
    </row>
    <row r="366" spans="1:9">
      <c r="A366" s="1798" t="str">
        <f>"15-05-2023 13:00"</f>
        <v>15-05-2023 13:00</v>
      </c>
      <c r="B366" s="1788" t="str">
        <f>"15-05-2023 14:00"</f>
        <v>15-05-2023 14:00</v>
      </c>
      <c r="C366" s="1799">
        <v>0.65</v>
      </c>
      <c r="D366" s="1799"/>
      <c r="E366" s="1799"/>
      <c r="G366" s="1798" t="str">
        <f>"15-06-2023 13:00"</f>
        <v>15-06-2023 13:00</v>
      </c>
      <c r="H366" s="1788" t="str">
        <f>"15-06-2023 14:00"</f>
        <v>15-06-2023 14:00</v>
      </c>
      <c r="I366" s="1799">
        <v>0.69</v>
      </c>
    </row>
    <row r="367" spans="1:9">
      <c r="A367" s="1798" t="str">
        <f>"15-05-2023 14:00"</f>
        <v>15-05-2023 14:00</v>
      </c>
      <c r="B367" s="1788" t="str">
        <f>"15-05-2023 15:00"</f>
        <v>15-05-2023 15:00</v>
      </c>
      <c r="C367" s="1799">
        <v>0.63</v>
      </c>
      <c r="D367" s="1799"/>
      <c r="E367" s="1799"/>
      <c r="G367" s="1798" t="str">
        <f>"15-06-2023 14:00"</f>
        <v>15-06-2023 14:00</v>
      </c>
      <c r="H367" s="1788" t="str">
        <f>"15-06-2023 15:00"</f>
        <v>15-06-2023 15:00</v>
      </c>
      <c r="I367" s="1799">
        <v>0.65</v>
      </c>
    </row>
    <row r="368" spans="1:9">
      <c r="A368" s="1798" t="str">
        <f>"15-05-2023 15:00"</f>
        <v>15-05-2023 15:00</v>
      </c>
      <c r="B368" s="1788" t="str">
        <f>"15-05-2023 16:00"</f>
        <v>15-05-2023 16:00</v>
      </c>
      <c r="C368" s="1799">
        <v>0.56000000000000005</v>
      </c>
      <c r="D368" s="1799"/>
      <c r="E368" s="1799"/>
      <c r="G368" s="1798" t="str">
        <f>"15-06-2023 15:00"</f>
        <v>15-06-2023 15:00</v>
      </c>
      <c r="H368" s="1788" t="str">
        <f>"15-06-2023 16:00"</f>
        <v>15-06-2023 16:00</v>
      </c>
      <c r="I368" s="1799">
        <v>0.64</v>
      </c>
    </row>
    <row r="369" spans="1:10">
      <c r="A369" s="1798" t="str">
        <f>"15-05-2023 16:00"</f>
        <v>15-05-2023 16:00</v>
      </c>
      <c r="B369" s="1788" t="str">
        <f>"15-05-2023 17:00"</f>
        <v>15-05-2023 17:00</v>
      </c>
      <c r="C369" s="1799">
        <v>0.6</v>
      </c>
      <c r="D369" s="1799"/>
      <c r="E369" s="1799"/>
      <c r="G369" s="1798" t="str">
        <f>"15-06-2023 16:00"</f>
        <v>15-06-2023 16:00</v>
      </c>
      <c r="H369" s="1788" t="str">
        <f>"15-06-2023 17:00"</f>
        <v>15-06-2023 17:00</v>
      </c>
      <c r="I369" s="1799">
        <v>0.7</v>
      </c>
    </row>
    <row r="370" spans="1:10">
      <c r="A370" s="1798" t="str">
        <f>"15-05-2023 17:00"</f>
        <v>15-05-2023 17:00</v>
      </c>
      <c r="B370" s="1788" t="str">
        <f>"15-05-2023 18:00"</f>
        <v>15-05-2023 18:00</v>
      </c>
      <c r="C370" s="1799">
        <v>0.66</v>
      </c>
      <c r="D370" s="1799"/>
      <c r="E370" s="1799"/>
      <c r="G370" s="1798" t="str">
        <f>"15-06-2023 17:00"</f>
        <v>15-06-2023 17:00</v>
      </c>
      <c r="H370" s="1788" t="str">
        <f>"15-06-2023 18:00"</f>
        <v>15-06-2023 18:00</v>
      </c>
      <c r="I370" s="1799">
        <v>0.61</v>
      </c>
    </row>
    <row r="371" spans="1:10">
      <c r="A371" s="1800" t="str">
        <f>"15-05-2023 18:00"</f>
        <v>15-05-2023 18:00</v>
      </c>
      <c r="B371" s="1794" t="str">
        <f>"15-05-2023 19:00"</f>
        <v>15-05-2023 19:00</v>
      </c>
      <c r="C371" s="1801">
        <v>1.3</v>
      </c>
      <c r="D371" s="1801"/>
      <c r="E371" s="1801"/>
      <c r="G371" s="1800" t="str">
        <f>"15-06-2023 18:00"</f>
        <v>15-06-2023 18:00</v>
      </c>
      <c r="H371" s="1794" t="str">
        <f>"15-06-2023 19:00"</f>
        <v>15-06-2023 19:00</v>
      </c>
      <c r="I371" s="1801">
        <v>0.99</v>
      </c>
    </row>
    <row r="372" spans="1:10">
      <c r="A372" s="1785" t="str">
        <f>"15-05-2023 19:00"</f>
        <v>15-05-2023 19:00</v>
      </c>
      <c r="B372" s="1785" t="str">
        <f>"15-05-2023 20:00"</f>
        <v>15-05-2023 20:00</v>
      </c>
      <c r="C372" s="1786">
        <v>0.95</v>
      </c>
      <c r="G372" s="1785" t="str">
        <f>"15-06-2023 19:00"</f>
        <v>15-06-2023 19:00</v>
      </c>
      <c r="H372" s="1785" t="str">
        <f>"15-06-2023 20:00"</f>
        <v>15-06-2023 20:00</v>
      </c>
      <c r="I372" s="1786">
        <v>1.48</v>
      </c>
    </row>
    <row r="373" spans="1:10">
      <c r="A373" s="1785" t="str">
        <f>"15-05-2023 20:00"</f>
        <v>15-05-2023 20:00</v>
      </c>
      <c r="B373" s="1785" t="str">
        <f>"15-05-2023 21:00"</f>
        <v>15-05-2023 21:00</v>
      </c>
      <c r="C373" s="1786">
        <v>0.99</v>
      </c>
      <c r="G373" s="1785" t="str">
        <f>"15-06-2023 20:00"</f>
        <v>15-06-2023 20:00</v>
      </c>
      <c r="H373" s="1785" t="str">
        <f>"15-06-2023 21:00"</f>
        <v>15-06-2023 21:00</v>
      </c>
      <c r="I373" s="1786">
        <v>1.0900000000000001</v>
      </c>
    </row>
    <row r="374" spans="1:10">
      <c r="A374" s="1785" t="str">
        <f>"15-05-2023 21:00"</f>
        <v>15-05-2023 21:00</v>
      </c>
      <c r="B374" s="1785" t="str">
        <f>"15-05-2023 22:00"</f>
        <v>15-05-2023 22:00</v>
      </c>
      <c r="C374" s="1786">
        <v>0.98</v>
      </c>
      <c r="G374" s="1785" t="str">
        <f>"15-06-2023 21:00"</f>
        <v>15-06-2023 21:00</v>
      </c>
      <c r="H374" s="1785" t="str">
        <f>"15-06-2023 22:00"</f>
        <v>15-06-2023 22:00</v>
      </c>
      <c r="I374" s="1786">
        <v>0.99</v>
      </c>
    </row>
    <row r="375" spans="1:10">
      <c r="A375" s="1785" t="str">
        <f>"15-05-2023 22:00"</f>
        <v>15-05-2023 22:00</v>
      </c>
      <c r="B375" s="1785" t="str">
        <f>"15-05-2023 23:00"</f>
        <v>15-05-2023 23:00</v>
      </c>
      <c r="C375" s="1786">
        <v>0.5</v>
      </c>
      <c r="G375" s="1785" t="str">
        <f>"15-06-2023 22:00"</f>
        <v>15-06-2023 22:00</v>
      </c>
      <c r="H375" s="1785" t="str">
        <f>"15-06-2023 23:00"</f>
        <v>15-06-2023 23:00</v>
      </c>
      <c r="I375" s="1786">
        <v>0.89</v>
      </c>
    </row>
    <row r="376" spans="1:10" ht="15" thickBot="1">
      <c r="A376" s="1785" t="str">
        <f>"15-05-2023 23:00"</f>
        <v>15-05-2023 23:00</v>
      </c>
      <c r="B376" s="1785" t="str">
        <f>"16-05-2023 00:00"</f>
        <v>16-05-2023 00:00</v>
      </c>
      <c r="C376" s="1786">
        <v>0.34</v>
      </c>
      <c r="G376" s="1785" t="str">
        <f>"15-06-2023 23:00"</f>
        <v>15-06-2023 23:00</v>
      </c>
      <c r="H376" s="1785" t="str">
        <f>"16-06-2023 00:00"</f>
        <v>16-06-2023 00:00</v>
      </c>
      <c r="I376" s="1786">
        <v>0.44</v>
      </c>
    </row>
    <row r="377" spans="1:10">
      <c r="A377" s="2764">
        <v>45062</v>
      </c>
      <c r="B377" s="2764"/>
      <c r="C377" s="1789">
        <f>SUM(C378:C401)</f>
        <v>10.160000000000002</v>
      </c>
      <c r="D377" s="1789">
        <f>SUM(D378:D401)</f>
        <v>0</v>
      </c>
      <c r="E377" s="1789">
        <f>C377+D377</f>
        <v>10.160000000000002</v>
      </c>
      <c r="F377" s="1802"/>
      <c r="G377" s="2764" t="str">
        <f>G378</f>
        <v>16-06-2023 00:00</v>
      </c>
      <c r="H377" s="2764"/>
      <c r="I377" s="1789">
        <f>SUM(I378:I401)</f>
        <v>19.34</v>
      </c>
      <c r="J377" s="1802"/>
    </row>
    <row r="378" spans="1:10">
      <c r="A378" s="1785" t="str">
        <f>"16-05-2023 00:00"</f>
        <v>16-05-2023 00:00</v>
      </c>
      <c r="B378" s="1785" t="str">
        <f>"16-05-2023 01:00"</f>
        <v>16-05-2023 01:00</v>
      </c>
      <c r="C378" s="1786">
        <v>0.35</v>
      </c>
      <c r="G378" s="1785" t="str">
        <f>"16-06-2023 00:00"</f>
        <v>16-06-2023 00:00</v>
      </c>
      <c r="H378" s="1785" t="str">
        <f>"16-06-2023 01:00"</f>
        <v>16-06-2023 01:00</v>
      </c>
      <c r="I378" s="1786">
        <v>0.42</v>
      </c>
    </row>
    <row r="379" spans="1:10">
      <c r="A379" s="1785" t="str">
        <f>"16-05-2023 01:00"</f>
        <v>16-05-2023 01:00</v>
      </c>
      <c r="B379" s="1785" t="str">
        <f>"16-05-2023 02:00"</f>
        <v>16-05-2023 02:00</v>
      </c>
      <c r="C379" s="1786">
        <v>0.27</v>
      </c>
      <c r="G379" s="1785" t="str">
        <f>"16-06-2023 01:00"</f>
        <v>16-06-2023 01:00</v>
      </c>
      <c r="H379" s="1785" t="str">
        <f>"16-06-2023 02:00"</f>
        <v>16-06-2023 02:00</v>
      </c>
      <c r="I379" s="1786">
        <v>0.35</v>
      </c>
    </row>
    <row r="380" spans="1:10">
      <c r="A380" s="1785" t="str">
        <f>"16-05-2023 02:00"</f>
        <v>16-05-2023 02:00</v>
      </c>
      <c r="B380" s="1785" t="str">
        <f>"16-05-2023 03:00"</f>
        <v>16-05-2023 03:00</v>
      </c>
      <c r="C380" s="1786">
        <v>0.28999999999999998</v>
      </c>
      <c r="G380" s="1785" t="str">
        <f>"16-06-2023 02:00"</f>
        <v>16-06-2023 02:00</v>
      </c>
      <c r="H380" s="1785" t="str">
        <f>"16-06-2023 03:00"</f>
        <v>16-06-2023 03:00</v>
      </c>
      <c r="I380" s="1786">
        <v>0.42</v>
      </c>
    </row>
    <row r="381" spans="1:10">
      <c r="A381" s="1785" t="str">
        <f>"16-05-2023 03:00"</f>
        <v>16-05-2023 03:00</v>
      </c>
      <c r="B381" s="1785" t="str">
        <f>"16-05-2023 04:00"</f>
        <v>16-05-2023 04:00</v>
      </c>
      <c r="C381" s="1786">
        <v>0.26</v>
      </c>
      <c r="G381" s="1785" t="str">
        <f>"16-06-2023 03:00"</f>
        <v>16-06-2023 03:00</v>
      </c>
      <c r="H381" s="1785" t="str">
        <f>"16-06-2023 04:00"</f>
        <v>16-06-2023 04:00</v>
      </c>
      <c r="I381" s="1786">
        <v>0.37</v>
      </c>
    </row>
    <row r="382" spans="1:10">
      <c r="A382" s="1785" t="str">
        <f>"16-05-2023 04:00"</f>
        <v>16-05-2023 04:00</v>
      </c>
      <c r="B382" s="1785" t="str">
        <f>"16-05-2023 05:00"</f>
        <v>16-05-2023 05:00</v>
      </c>
      <c r="C382" s="1786">
        <v>0.23</v>
      </c>
      <c r="G382" s="1785" t="str">
        <f>"16-06-2023 04:00"</f>
        <v>16-06-2023 04:00</v>
      </c>
      <c r="H382" s="1785" t="str">
        <f>"16-06-2023 05:00"</f>
        <v>16-06-2023 05:00</v>
      </c>
      <c r="I382" s="1786">
        <v>0.36</v>
      </c>
    </row>
    <row r="383" spans="1:10">
      <c r="A383" s="1785" t="str">
        <f>"16-05-2023 05:00"</f>
        <v>16-05-2023 05:00</v>
      </c>
      <c r="B383" s="1785" t="str">
        <f>"16-05-2023 06:00"</f>
        <v>16-05-2023 06:00</v>
      </c>
      <c r="C383" s="1786">
        <v>0.35</v>
      </c>
      <c r="G383" s="1785" t="str">
        <f>"16-06-2023 05:00"</f>
        <v>16-06-2023 05:00</v>
      </c>
      <c r="H383" s="1785" t="str">
        <f>"16-06-2023 06:00"</f>
        <v>16-06-2023 06:00</v>
      </c>
      <c r="I383" s="1786">
        <v>0.34</v>
      </c>
    </row>
    <row r="384" spans="1:10">
      <c r="A384" s="1785" t="str">
        <f>"16-05-2023 06:00"</f>
        <v>16-05-2023 06:00</v>
      </c>
      <c r="B384" s="1785" t="str">
        <f>"16-05-2023 07:00"</f>
        <v>16-05-2023 07:00</v>
      </c>
      <c r="C384" s="1786">
        <v>0.51</v>
      </c>
      <c r="G384" s="1785" t="str">
        <f>"16-06-2023 06:00"</f>
        <v>16-06-2023 06:00</v>
      </c>
      <c r="H384" s="1785" t="str">
        <f>"16-06-2023 07:00"</f>
        <v>16-06-2023 07:00</v>
      </c>
      <c r="I384" s="1786">
        <v>0.84</v>
      </c>
    </row>
    <row r="385" spans="1:9">
      <c r="A385" s="1785" t="str">
        <f>"16-05-2023 07:00"</f>
        <v>16-05-2023 07:00</v>
      </c>
      <c r="B385" s="1785" t="str">
        <f>"16-05-2023 08:00"</f>
        <v>16-05-2023 08:00</v>
      </c>
      <c r="C385" s="1786">
        <v>0.44</v>
      </c>
      <c r="G385" s="1785" t="str">
        <f>"16-06-2023 07:00"</f>
        <v>16-06-2023 07:00</v>
      </c>
      <c r="H385" s="1785" t="str">
        <f>"16-06-2023 08:00"</f>
        <v>16-06-2023 08:00</v>
      </c>
      <c r="I385" s="1786">
        <v>0.76</v>
      </c>
    </row>
    <row r="386" spans="1:9">
      <c r="A386" s="1795" t="str">
        <f>"16-05-2023 08:00"</f>
        <v>16-05-2023 08:00</v>
      </c>
      <c r="B386" s="1796" t="str">
        <f>"16-05-2023 09:00"</f>
        <v>16-05-2023 09:00</v>
      </c>
      <c r="C386" s="1797">
        <v>0.37</v>
      </c>
      <c r="D386" s="1797"/>
      <c r="E386" s="1797"/>
      <c r="G386" s="1795" t="str">
        <f>"16-06-2023 08:00"</f>
        <v>16-06-2023 08:00</v>
      </c>
      <c r="H386" s="1796" t="str">
        <f>"16-06-2023 09:00"</f>
        <v>16-06-2023 09:00</v>
      </c>
      <c r="I386" s="1797">
        <v>0.69</v>
      </c>
    </row>
    <row r="387" spans="1:9">
      <c r="A387" s="1798" t="str">
        <f>"16-05-2023 09:00"</f>
        <v>16-05-2023 09:00</v>
      </c>
      <c r="B387" s="1788" t="str">
        <f>"16-05-2023 10:00"</f>
        <v>16-05-2023 10:00</v>
      </c>
      <c r="C387" s="1799">
        <v>0.52</v>
      </c>
      <c r="D387" s="1799"/>
      <c r="E387" s="1799"/>
      <c r="G387" s="1798" t="str">
        <f>"16-06-2023 09:00"</f>
        <v>16-06-2023 09:00</v>
      </c>
      <c r="H387" s="1788" t="str">
        <f>"16-06-2023 10:00"</f>
        <v>16-06-2023 10:00</v>
      </c>
      <c r="I387" s="1799">
        <v>0.71</v>
      </c>
    </row>
    <row r="388" spans="1:9">
      <c r="A388" s="1798" t="str">
        <f>"16-05-2023 10:00"</f>
        <v>16-05-2023 10:00</v>
      </c>
      <c r="B388" s="1788" t="str">
        <f>"16-05-2023 11:00"</f>
        <v>16-05-2023 11:00</v>
      </c>
      <c r="C388" s="1799">
        <v>0.47</v>
      </c>
      <c r="D388" s="1799"/>
      <c r="E388" s="1799"/>
      <c r="G388" s="1798" t="str">
        <f>"16-06-2023 10:00"</f>
        <v>16-06-2023 10:00</v>
      </c>
      <c r="H388" s="1788" t="str">
        <f>"16-06-2023 11:00"</f>
        <v>16-06-2023 11:00</v>
      </c>
      <c r="I388" s="1799">
        <v>1.08</v>
      </c>
    </row>
    <row r="389" spans="1:9">
      <c r="A389" s="1798" t="str">
        <f>"16-05-2023 11:00"</f>
        <v>16-05-2023 11:00</v>
      </c>
      <c r="B389" s="1788" t="str">
        <f>"16-05-2023 12:00"</f>
        <v>16-05-2023 12:00</v>
      </c>
      <c r="C389" s="1799">
        <v>0.4</v>
      </c>
      <c r="D389" s="1799"/>
      <c r="E389" s="1799"/>
      <c r="G389" s="1798" t="str">
        <f>"16-06-2023 11:00"</f>
        <v>16-06-2023 11:00</v>
      </c>
      <c r="H389" s="1788" t="str">
        <f>"16-06-2023 12:00"</f>
        <v>16-06-2023 12:00</v>
      </c>
      <c r="I389" s="1799">
        <v>0.92</v>
      </c>
    </row>
    <row r="390" spans="1:9">
      <c r="A390" s="1798" t="str">
        <f>"16-05-2023 12:00"</f>
        <v>16-05-2023 12:00</v>
      </c>
      <c r="B390" s="1788" t="str">
        <f>"16-05-2023 13:00"</f>
        <v>16-05-2023 13:00</v>
      </c>
      <c r="C390" s="1799">
        <v>0.47</v>
      </c>
      <c r="D390" s="1799"/>
      <c r="E390" s="1799"/>
      <c r="G390" s="1798" t="str">
        <f>"16-06-2023 12:00"</f>
        <v>16-06-2023 12:00</v>
      </c>
      <c r="H390" s="1788" t="str">
        <f>"16-06-2023 13:00"</f>
        <v>16-06-2023 13:00</v>
      </c>
      <c r="I390" s="1799">
        <v>0.8</v>
      </c>
    </row>
    <row r="391" spans="1:9">
      <c r="A391" s="1798" t="str">
        <f>"16-05-2023 13:00"</f>
        <v>16-05-2023 13:00</v>
      </c>
      <c r="B391" s="1788" t="str">
        <f>"16-05-2023 14:00"</f>
        <v>16-05-2023 14:00</v>
      </c>
      <c r="C391" s="1799">
        <v>0.35</v>
      </c>
      <c r="D391" s="1799"/>
      <c r="E391" s="1799"/>
      <c r="G391" s="1798" t="str">
        <f>"16-06-2023 13:00"</f>
        <v>16-06-2023 13:00</v>
      </c>
      <c r="H391" s="1788" t="str">
        <f>"16-06-2023 14:00"</f>
        <v>16-06-2023 14:00</v>
      </c>
      <c r="I391" s="1799">
        <v>0.77</v>
      </c>
    </row>
    <row r="392" spans="1:9">
      <c r="A392" s="1798" t="str">
        <f>"16-05-2023 14:00"</f>
        <v>16-05-2023 14:00</v>
      </c>
      <c r="B392" s="1788" t="str">
        <f>"16-05-2023 15:00"</f>
        <v>16-05-2023 15:00</v>
      </c>
      <c r="C392" s="1799">
        <v>0.18</v>
      </c>
      <c r="D392" s="1799"/>
      <c r="E392" s="1799"/>
      <c r="G392" s="1798" t="str">
        <f>"16-06-2023 14:00"</f>
        <v>16-06-2023 14:00</v>
      </c>
      <c r="H392" s="1788" t="str">
        <f>"16-06-2023 15:00"</f>
        <v>16-06-2023 15:00</v>
      </c>
      <c r="I392" s="1799">
        <v>0.97</v>
      </c>
    </row>
    <row r="393" spans="1:9">
      <c r="A393" s="1798" t="str">
        <f>"16-05-2023 15:00"</f>
        <v>16-05-2023 15:00</v>
      </c>
      <c r="B393" s="1788" t="str">
        <f>"16-05-2023 16:00"</f>
        <v>16-05-2023 16:00</v>
      </c>
      <c r="C393" s="1799">
        <v>0.34</v>
      </c>
      <c r="D393" s="1799"/>
      <c r="E393" s="1799"/>
      <c r="G393" s="1798" t="str">
        <f>"16-06-2023 15:00"</f>
        <v>16-06-2023 15:00</v>
      </c>
      <c r="H393" s="1788" t="str">
        <f>"16-06-2023 16:00"</f>
        <v>16-06-2023 16:00</v>
      </c>
      <c r="I393" s="1799">
        <v>0.9</v>
      </c>
    </row>
    <row r="394" spans="1:9">
      <c r="A394" s="1798" t="str">
        <f>"16-05-2023 16:00"</f>
        <v>16-05-2023 16:00</v>
      </c>
      <c r="B394" s="1788" t="str">
        <f>"16-05-2023 17:00"</f>
        <v>16-05-2023 17:00</v>
      </c>
      <c r="C394" s="1799">
        <v>0.38</v>
      </c>
      <c r="D394" s="1799"/>
      <c r="E394" s="1799"/>
      <c r="G394" s="1798" t="str">
        <f>"16-06-2023 16:00"</f>
        <v>16-06-2023 16:00</v>
      </c>
      <c r="H394" s="1788" t="str">
        <f>"16-06-2023 17:00"</f>
        <v>16-06-2023 17:00</v>
      </c>
      <c r="I394" s="1799">
        <v>0.91</v>
      </c>
    </row>
    <row r="395" spans="1:9">
      <c r="A395" s="1798" t="str">
        <f>"16-05-2023 17:00"</f>
        <v>16-05-2023 17:00</v>
      </c>
      <c r="B395" s="1788" t="str">
        <f>"16-05-2023 18:00"</f>
        <v>16-05-2023 18:00</v>
      </c>
      <c r="C395" s="1799">
        <v>1.28</v>
      </c>
      <c r="D395" s="1799"/>
      <c r="E395" s="1799"/>
      <c r="G395" s="1798" t="str">
        <f>"16-06-2023 17:00"</f>
        <v>16-06-2023 17:00</v>
      </c>
      <c r="H395" s="1788" t="str">
        <f>"16-06-2023 18:00"</f>
        <v>16-06-2023 18:00</v>
      </c>
      <c r="I395" s="1799">
        <v>1.81</v>
      </c>
    </row>
    <row r="396" spans="1:9">
      <c r="A396" s="1800" t="str">
        <f>"16-05-2023 18:00"</f>
        <v>16-05-2023 18:00</v>
      </c>
      <c r="B396" s="1794" t="str">
        <f>"16-05-2023 19:00"</f>
        <v>16-05-2023 19:00</v>
      </c>
      <c r="C396" s="1801">
        <v>0.64</v>
      </c>
      <c r="D396" s="1801"/>
      <c r="E396" s="1801"/>
      <c r="G396" s="1800" t="str">
        <f>"16-06-2023 18:00"</f>
        <v>16-06-2023 18:00</v>
      </c>
      <c r="H396" s="1794" t="str">
        <f>"16-06-2023 19:00"</f>
        <v>16-06-2023 19:00</v>
      </c>
      <c r="I396" s="1801">
        <v>1.1000000000000001</v>
      </c>
    </row>
    <row r="397" spans="1:9">
      <c r="A397" s="1785" t="str">
        <f>"16-05-2023 19:00"</f>
        <v>16-05-2023 19:00</v>
      </c>
      <c r="B397" s="1785" t="str">
        <f>"16-05-2023 20:00"</f>
        <v>16-05-2023 20:00</v>
      </c>
      <c r="C397" s="1786">
        <v>0.68</v>
      </c>
      <c r="G397" s="1785" t="str">
        <f>"16-06-2023 19:00"</f>
        <v>16-06-2023 19:00</v>
      </c>
      <c r="H397" s="1785" t="str">
        <f>"16-06-2023 20:00"</f>
        <v>16-06-2023 20:00</v>
      </c>
      <c r="I397" s="1786">
        <v>1.23</v>
      </c>
    </row>
    <row r="398" spans="1:9">
      <c r="A398" s="1785" t="str">
        <f>"16-05-2023 20:00"</f>
        <v>16-05-2023 20:00</v>
      </c>
      <c r="B398" s="1785" t="str">
        <f>"16-05-2023 21:00"</f>
        <v>16-05-2023 21:00</v>
      </c>
      <c r="C398" s="1786">
        <v>0.38</v>
      </c>
      <c r="G398" s="1785" t="str">
        <f>"16-06-2023 20:00"</f>
        <v>16-06-2023 20:00</v>
      </c>
      <c r="H398" s="1785" t="str">
        <f>"16-06-2023 21:00"</f>
        <v>16-06-2023 21:00</v>
      </c>
      <c r="I398" s="1786">
        <v>1.1499999999999999</v>
      </c>
    </row>
    <row r="399" spans="1:9">
      <c r="A399" s="1785" t="str">
        <f>"16-05-2023 21:00"</f>
        <v>16-05-2023 21:00</v>
      </c>
      <c r="B399" s="1785" t="str">
        <f>"16-05-2023 22:00"</f>
        <v>16-05-2023 22:00</v>
      </c>
      <c r="C399" s="1786">
        <v>0.48</v>
      </c>
      <c r="G399" s="1785" t="str">
        <f>"16-06-2023 21:00"</f>
        <v>16-06-2023 21:00</v>
      </c>
      <c r="H399" s="1785" t="str">
        <f>"16-06-2023 22:00"</f>
        <v>16-06-2023 22:00</v>
      </c>
      <c r="I399" s="1786">
        <v>1.01</v>
      </c>
    </row>
    <row r="400" spans="1:9">
      <c r="A400" s="1785" t="str">
        <f>"16-05-2023 22:00"</f>
        <v>16-05-2023 22:00</v>
      </c>
      <c r="B400" s="1785" t="str">
        <f>"16-05-2023 23:00"</f>
        <v>16-05-2023 23:00</v>
      </c>
      <c r="C400" s="1786">
        <v>0.31</v>
      </c>
      <c r="G400" s="1785" t="str">
        <f>"16-06-2023 22:00"</f>
        <v>16-06-2023 22:00</v>
      </c>
      <c r="H400" s="1785" t="str">
        <f>"16-06-2023 23:00"</f>
        <v>16-06-2023 23:00</v>
      </c>
      <c r="I400" s="1786">
        <v>1.05</v>
      </c>
    </row>
    <row r="401" spans="1:10" ht="15" thickBot="1">
      <c r="A401" s="1785" t="str">
        <f>"16-05-2023 23:00"</f>
        <v>16-05-2023 23:00</v>
      </c>
      <c r="B401" s="1785" t="str">
        <f>"17-05-2023 00:00"</f>
        <v>17-05-2023 00:00</v>
      </c>
      <c r="C401" s="1786">
        <v>0.21</v>
      </c>
      <c r="G401" s="1785" t="str">
        <f>"16-06-2023 23:00"</f>
        <v>16-06-2023 23:00</v>
      </c>
      <c r="H401" s="1785" t="str">
        <f>"17-06-2023 00:00"</f>
        <v>17-06-2023 00:00</v>
      </c>
      <c r="I401" s="1786">
        <v>0.38</v>
      </c>
    </row>
    <row r="402" spans="1:10">
      <c r="A402" s="2764">
        <v>45063</v>
      </c>
      <c r="B402" s="2764"/>
      <c r="C402" s="1789">
        <f>SUM(C403:C426)</f>
        <v>10.67</v>
      </c>
      <c r="D402" s="1789">
        <f>SUM(D403:D426)</f>
        <v>0</v>
      </c>
      <c r="E402" s="1789">
        <f>C402+D402</f>
        <v>10.67</v>
      </c>
      <c r="F402" s="1802"/>
      <c r="G402" s="2764" t="str">
        <f>G403</f>
        <v>17-06-2023 00:00</v>
      </c>
      <c r="H402" s="2764"/>
      <c r="I402" s="1789">
        <f>SUM(I403:I426)</f>
        <v>17.109999999999996</v>
      </c>
      <c r="J402" s="1802"/>
    </row>
    <row r="403" spans="1:10">
      <c r="A403" s="1785" t="str">
        <f>"17-05-2023 00:00"</f>
        <v>17-05-2023 00:00</v>
      </c>
      <c r="B403" s="1785" t="str">
        <f>"17-05-2023 01:00"</f>
        <v>17-05-2023 01:00</v>
      </c>
      <c r="C403" s="1786">
        <v>0.13</v>
      </c>
      <c r="G403" s="1785" t="str">
        <f>"17-06-2023 00:00"</f>
        <v>17-06-2023 00:00</v>
      </c>
      <c r="H403" s="1785" t="str">
        <f>"17-06-2023 01:00"</f>
        <v>17-06-2023 01:00</v>
      </c>
      <c r="I403" s="1786">
        <v>0.43</v>
      </c>
    </row>
    <row r="404" spans="1:10">
      <c r="A404" s="1785" t="str">
        <f>"17-05-2023 01:00"</f>
        <v>17-05-2023 01:00</v>
      </c>
      <c r="B404" s="1785" t="str">
        <f>"17-05-2023 02:00"</f>
        <v>17-05-2023 02:00</v>
      </c>
      <c r="C404" s="1786">
        <v>0.25</v>
      </c>
      <c r="G404" s="1785" t="str">
        <f>"17-06-2023 01:00"</f>
        <v>17-06-2023 01:00</v>
      </c>
      <c r="H404" s="1785" t="str">
        <f>"17-06-2023 02:00"</f>
        <v>17-06-2023 02:00</v>
      </c>
      <c r="I404" s="1786">
        <v>0.33</v>
      </c>
    </row>
    <row r="405" spans="1:10">
      <c r="A405" s="1785" t="str">
        <f>"17-05-2023 02:00"</f>
        <v>17-05-2023 02:00</v>
      </c>
      <c r="B405" s="1785" t="str">
        <f>"17-05-2023 03:00"</f>
        <v>17-05-2023 03:00</v>
      </c>
      <c r="C405" s="1786">
        <v>0.2</v>
      </c>
      <c r="G405" s="1785" t="str">
        <f>"17-06-2023 02:00"</f>
        <v>17-06-2023 02:00</v>
      </c>
      <c r="H405" s="1785" t="str">
        <f>"17-06-2023 03:00"</f>
        <v>17-06-2023 03:00</v>
      </c>
      <c r="I405" s="1786">
        <v>0.46</v>
      </c>
    </row>
    <row r="406" spans="1:10">
      <c r="A406" s="1785" t="str">
        <f>"17-05-2023 03:00"</f>
        <v>17-05-2023 03:00</v>
      </c>
      <c r="B406" s="1785" t="str">
        <f>"17-05-2023 04:00"</f>
        <v>17-05-2023 04:00</v>
      </c>
      <c r="C406" s="1786">
        <v>0.19</v>
      </c>
      <c r="G406" s="1785" t="str">
        <f>"17-06-2023 03:00"</f>
        <v>17-06-2023 03:00</v>
      </c>
      <c r="H406" s="1785" t="str">
        <f>"17-06-2023 04:00"</f>
        <v>17-06-2023 04:00</v>
      </c>
      <c r="I406" s="1786">
        <v>0.32</v>
      </c>
    </row>
    <row r="407" spans="1:10">
      <c r="A407" s="1785" t="str">
        <f>"17-05-2023 04:00"</f>
        <v>17-05-2023 04:00</v>
      </c>
      <c r="B407" s="1785" t="str">
        <f>"17-05-2023 05:00"</f>
        <v>17-05-2023 05:00</v>
      </c>
      <c r="C407" s="1786">
        <v>0.2</v>
      </c>
      <c r="G407" s="1785" t="str">
        <f>"17-06-2023 04:00"</f>
        <v>17-06-2023 04:00</v>
      </c>
      <c r="H407" s="1785" t="str">
        <f>"17-06-2023 05:00"</f>
        <v>17-06-2023 05:00</v>
      </c>
      <c r="I407" s="1786">
        <v>0.39</v>
      </c>
    </row>
    <row r="408" spans="1:10">
      <c r="A408" s="1785" t="str">
        <f>"17-05-2023 05:00"</f>
        <v>17-05-2023 05:00</v>
      </c>
      <c r="B408" s="1785" t="str">
        <f>"17-05-2023 06:00"</f>
        <v>17-05-2023 06:00</v>
      </c>
      <c r="C408" s="1786">
        <v>0.22</v>
      </c>
      <c r="G408" s="1785" t="str">
        <f>"17-06-2023 05:00"</f>
        <v>17-06-2023 05:00</v>
      </c>
      <c r="H408" s="1785" t="str">
        <f>"17-06-2023 06:00"</f>
        <v>17-06-2023 06:00</v>
      </c>
      <c r="I408" s="1786">
        <v>0.28999999999999998</v>
      </c>
    </row>
    <row r="409" spans="1:10">
      <c r="A409" s="1785" t="str">
        <f>"17-05-2023 06:00"</f>
        <v>17-05-2023 06:00</v>
      </c>
      <c r="B409" s="1785" t="str">
        <f>"17-05-2023 07:00"</f>
        <v>17-05-2023 07:00</v>
      </c>
      <c r="C409" s="1786">
        <v>0.32</v>
      </c>
      <c r="G409" s="1785" t="str">
        <f>"17-06-2023 06:00"</f>
        <v>17-06-2023 06:00</v>
      </c>
      <c r="H409" s="1785" t="str">
        <f>"17-06-2023 07:00"</f>
        <v>17-06-2023 07:00</v>
      </c>
      <c r="I409" s="1786">
        <v>0.42</v>
      </c>
    </row>
    <row r="410" spans="1:10">
      <c r="A410" s="1785" t="str">
        <f>"17-05-2023 07:00"</f>
        <v>17-05-2023 07:00</v>
      </c>
      <c r="B410" s="1785" t="str">
        <f>"17-05-2023 08:00"</f>
        <v>17-05-2023 08:00</v>
      </c>
      <c r="C410" s="1786">
        <v>0.56999999999999995</v>
      </c>
      <c r="G410" s="1785" t="str">
        <f>"17-06-2023 07:00"</f>
        <v>17-06-2023 07:00</v>
      </c>
      <c r="H410" s="1785" t="str">
        <f>"17-06-2023 08:00"</f>
        <v>17-06-2023 08:00</v>
      </c>
      <c r="I410" s="1786">
        <v>0.53</v>
      </c>
    </row>
    <row r="411" spans="1:10">
      <c r="A411" s="1795" t="str">
        <f>"17-05-2023 08:00"</f>
        <v>17-05-2023 08:00</v>
      </c>
      <c r="B411" s="1796" t="str">
        <f>"17-05-2023 09:00"</f>
        <v>17-05-2023 09:00</v>
      </c>
      <c r="C411" s="1797">
        <v>0.32</v>
      </c>
      <c r="D411" s="1797"/>
      <c r="E411" s="1797"/>
      <c r="G411" s="1795" t="str">
        <f>"17-06-2023 08:00"</f>
        <v>17-06-2023 08:00</v>
      </c>
      <c r="H411" s="1796" t="str">
        <f>"17-06-2023 09:00"</f>
        <v>17-06-2023 09:00</v>
      </c>
      <c r="I411" s="1797">
        <v>1.18</v>
      </c>
    </row>
    <row r="412" spans="1:10">
      <c r="A412" s="1798" t="str">
        <f>"17-05-2023 09:00"</f>
        <v>17-05-2023 09:00</v>
      </c>
      <c r="B412" s="1788" t="str">
        <f>"17-05-2023 10:00"</f>
        <v>17-05-2023 10:00</v>
      </c>
      <c r="C412" s="1799">
        <v>0.51</v>
      </c>
      <c r="D412" s="1799"/>
      <c r="E412" s="1799"/>
      <c r="G412" s="1798" t="str">
        <f>"17-06-2023 09:00"</f>
        <v>17-06-2023 09:00</v>
      </c>
      <c r="H412" s="1788" t="str">
        <f>"17-06-2023 10:00"</f>
        <v>17-06-2023 10:00</v>
      </c>
      <c r="I412" s="1799">
        <v>0.8</v>
      </c>
    </row>
    <row r="413" spans="1:10">
      <c r="A413" s="1798" t="str">
        <f>"17-05-2023 10:00"</f>
        <v>17-05-2023 10:00</v>
      </c>
      <c r="B413" s="1788" t="str">
        <f>"17-05-2023 11:00"</f>
        <v>17-05-2023 11:00</v>
      </c>
      <c r="C413" s="1799">
        <v>0.38</v>
      </c>
      <c r="D413" s="1799"/>
      <c r="E413" s="1799"/>
      <c r="G413" s="1798" t="str">
        <f>"17-06-2023 10:00"</f>
        <v>17-06-2023 10:00</v>
      </c>
      <c r="H413" s="1788" t="str">
        <f>"17-06-2023 11:00"</f>
        <v>17-06-2023 11:00</v>
      </c>
      <c r="I413" s="1799">
        <v>0.69</v>
      </c>
    </row>
    <row r="414" spans="1:10">
      <c r="A414" s="1798" t="str">
        <f>"17-05-2023 11:00"</f>
        <v>17-05-2023 11:00</v>
      </c>
      <c r="B414" s="1788" t="str">
        <f>"17-05-2023 12:00"</f>
        <v>17-05-2023 12:00</v>
      </c>
      <c r="C414" s="1799">
        <v>0.33</v>
      </c>
      <c r="D414" s="1799"/>
      <c r="E414" s="1799"/>
      <c r="G414" s="1798" t="str">
        <f>"17-06-2023 11:00"</f>
        <v>17-06-2023 11:00</v>
      </c>
      <c r="H414" s="1788" t="str">
        <f>"17-06-2023 12:00"</f>
        <v>17-06-2023 12:00</v>
      </c>
      <c r="I414" s="1799">
        <v>0.6</v>
      </c>
    </row>
    <row r="415" spans="1:10">
      <c r="A415" s="1798" t="str">
        <f>"17-05-2023 12:00"</f>
        <v>17-05-2023 12:00</v>
      </c>
      <c r="B415" s="1788" t="str">
        <f>"17-05-2023 13:00"</f>
        <v>17-05-2023 13:00</v>
      </c>
      <c r="C415" s="1799">
        <v>0.3</v>
      </c>
      <c r="D415" s="1799"/>
      <c r="E415" s="1799"/>
      <c r="G415" s="1798" t="str">
        <f>"17-06-2023 12:00"</f>
        <v>17-06-2023 12:00</v>
      </c>
      <c r="H415" s="1788" t="str">
        <f>"17-06-2023 13:00"</f>
        <v>17-06-2023 13:00</v>
      </c>
      <c r="I415" s="1799">
        <v>0.64</v>
      </c>
    </row>
    <row r="416" spans="1:10">
      <c r="A416" s="1798" t="str">
        <f>"17-05-2023 13:00"</f>
        <v>17-05-2023 13:00</v>
      </c>
      <c r="B416" s="1788" t="str">
        <f>"17-05-2023 14:00"</f>
        <v>17-05-2023 14:00</v>
      </c>
      <c r="C416" s="1799">
        <v>0.2</v>
      </c>
      <c r="D416" s="1799"/>
      <c r="E416" s="1799"/>
      <c r="G416" s="1798" t="str">
        <f>"17-06-2023 13:00"</f>
        <v>17-06-2023 13:00</v>
      </c>
      <c r="H416" s="1788" t="str">
        <f>"17-06-2023 14:00"</f>
        <v>17-06-2023 14:00</v>
      </c>
      <c r="I416" s="1799">
        <v>0.43</v>
      </c>
    </row>
    <row r="417" spans="1:10">
      <c r="A417" s="1798" t="str">
        <f>"17-05-2023 14:00"</f>
        <v>17-05-2023 14:00</v>
      </c>
      <c r="B417" s="1788" t="str">
        <f>"17-05-2023 15:00"</f>
        <v>17-05-2023 15:00</v>
      </c>
      <c r="C417" s="1799">
        <v>0.2</v>
      </c>
      <c r="D417" s="1799"/>
      <c r="E417" s="1799"/>
      <c r="G417" s="1798" t="str">
        <f>"17-06-2023 14:00"</f>
        <v>17-06-2023 14:00</v>
      </c>
      <c r="H417" s="1788" t="str">
        <f>"17-06-2023 15:00"</f>
        <v>17-06-2023 15:00</v>
      </c>
      <c r="I417" s="1799">
        <v>0.97</v>
      </c>
    </row>
    <row r="418" spans="1:10">
      <c r="A418" s="1798" t="str">
        <f>"17-05-2023 15:00"</f>
        <v>17-05-2023 15:00</v>
      </c>
      <c r="B418" s="1788" t="str">
        <f>"17-05-2023 16:00"</f>
        <v>17-05-2023 16:00</v>
      </c>
      <c r="C418" s="1799">
        <v>0.17</v>
      </c>
      <c r="D418" s="1799"/>
      <c r="E418" s="1799"/>
      <c r="G418" s="1798" t="str">
        <f>"17-06-2023 15:00"</f>
        <v>17-06-2023 15:00</v>
      </c>
      <c r="H418" s="1788" t="str">
        <f>"17-06-2023 16:00"</f>
        <v>17-06-2023 16:00</v>
      </c>
      <c r="I418" s="1799">
        <v>0.55000000000000004</v>
      </c>
    </row>
    <row r="419" spans="1:10">
      <c r="A419" s="1798" t="str">
        <f>"17-05-2023 16:00"</f>
        <v>17-05-2023 16:00</v>
      </c>
      <c r="B419" s="1788" t="str">
        <f>"17-05-2023 17:00"</f>
        <v>17-05-2023 17:00</v>
      </c>
      <c r="C419" s="1799">
        <v>0.27</v>
      </c>
      <c r="D419" s="1799"/>
      <c r="E419" s="1799"/>
      <c r="G419" s="1798" t="str">
        <f>"17-06-2023 16:00"</f>
        <v>17-06-2023 16:00</v>
      </c>
      <c r="H419" s="1788" t="str">
        <f>"17-06-2023 17:00"</f>
        <v>17-06-2023 17:00</v>
      </c>
      <c r="I419" s="1799">
        <v>0.79</v>
      </c>
    </row>
    <row r="420" spans="1:10">
      <c r="A420" s="1798" t="str">
        <f>"17-05-2023 17:00"</f>
        <v>17-05-2023 17:00</v>
      </c>
      <c r="B420" s="1788" t="str">
        <f>"17-05-2023 18:00"</f>
        <v>17-05-2023 18:00</v>
      </c>
      <c r="C420" s="1799">
        <v>1.17</v>
      </c>
      <c r="D420" s="1799"/>
      <c r="E420" s="1799"/>
      <c r="G420" s="1798" t="str">
        <f>"17-06-2023 17:00"</f>
        <v>17-06-2023 17:00</v>
      </c>
      <c r="H420" s="1788" t="str">
        <f>"17-06-2023 18:00"</f>
        <v>17-06-2023 18:00</v>
      </c>
      <c r="I420" s="1799">
        <v>1.81</v>
      </c>
    </row>
    <row r="421" spans="1:10">
      <c r="A421" s="1800" t="str">
        <f>"17-05-2023 18:00"</f>
        <v>17-05-2023 18:00</v>
      </c>
      <c r="B421" s="1794" t="str">
        <f>"17-05-2023 19:00"</f>
        <v>17-05-2023 19:00</v>
      </c>
      <c r="C421" s="1801">
        <v>1.79</v>
      </c>
      <c r="D421" s="1801"/>
      <c r="E421" s="1801"/>
      <c r="G421" s="1800" t="str">
        <f>"17-06-2023 18:00"</f>
        <v>17-06-2023 18:00</v>
      </c>
      <c r="H421" s="1794" t="str">
        <f>"17-06-2023 19:00"</f>
        <v>17-06-2023 19:00</v>
      </c>
      <c r="I421" s="1801">
        <v>1.21</v>
      </c>
    </row>
    <row r="422" spans="1:10">
      <c r="A422" s="1785" t="str">
        <f>"17-05-2023 19:00"</f>
        <v>17-05-2023 19:00</v>
      </c>
      <c r="B422" s="1785" t="str">
        <f>"17-05-2023 20:00"</f>
        <v>17-05-2023 20:00</v>
      </c>
      <c r="C422" s="1786">
        <v>0.81</v>
      </c>
      <c r="G422" s="1785" t="str">
        <f>"17-06-2023 19:00"</f>
        <v>17-06-2023 19:00</v>
      </c>
      <c r="H422" s="1785" t="str">
        <f>"17-06-2023 20:00"</f>
        <v>17-06-2023 20:00</v>
      </c>
      <c r="I422" s="1786">
        <v>1.2</v>
      </c>
    </row>
    <row r="423" spans="1:10">
      <c r="A423" s="1785" t="str">
        <f>"17-05-2023 20:00"</f>
        <v>17-05-2023 20:00</v>
      </c>
      <c r="B423" s="1785" t="str">
        <f>"17-05-2023 21:00"</f>
        <v>17-05-2023 21:00</v>
      </c>
      <c r="C423" s="1786">
        <v>0.85</v>
      </c>
      <c r="G423" s="1785" t="str">
        <f>"17-06-2023 20:00"</f>
        <v>17-06-2023 20:00</v>
      </c>
      <c r="H423" s="1785" t="str">
        <f>"17-06-2023 21:00"</f>
        <v>17-06-2023 21:00</v>
      </c>
      <c r="I423" s="1786">
        <v>0.87</v>
      </c>
    </row>
    <row r="424" spans="1:10">
      <c r="A424" s="1785" t="str">
        <f>"17-05-2023 21:00"</f>
        <v>17-05-2023 21:00</v>
      </c>
      <c r="B424" s="1785" t="str">
        <f>"17-05-2023 22:00"</f>
        <v>17-05-2023 22:00</v>
      </c>
      <c r="C424" s="1786">
        <v>0.46</v>
      </c>
      <c r="G424" s="1785" t="str">
        <f>"17-06-2023 21:00"</f>
        <v>17-06-2023 21:00</v>
      </c>
      <c r="H424" s="1785" t="str">
        <f>"17-06-2023 22:00"</f>
        <v>17-06-2023 22:00</v>
      </c>
      <c r="I424" s="1786">
        <v>0.93</v>
      </c>
    </row>
    <row r="425" spans="1:10">
      <c r="A425" s="1785" t="str">
        <f>"17-05-2023 22:00"</f>
        <v>17-05-2023 22:00</v>
      </c>
      <c r="B425" s="1785" t="str">
        <f>"17-05-2023 23:00"</f>
        <v>17-05-2023 23:00</v>
      </c>
      <c r="C425" s="1786">
        <v>0.44</v>
      </c>
      <c r="G425" s="1785" t="str">
        <f>"17-06-2023 22:00"</f>
        <v>17-06-2023 22:00</v>
      </c>
      <c r="H425" s="1785" t="str">
        <f>"17-06-2023 23:00"</f>
        <v>17-06-2023 23:00</v>
      </c>
      <c r="I425" s="1786">
        <v>0.69</v>
      </c>
    </row>
    <row r="426" spans="1:10" ht="15" thickBot="1">
      <c r="A426" s="1785" t="str">
        <f>"17-05-2023 23:00"</f>
        <v>17-05-2023 23:00</v>
      </c>
      <c r="B426" s="1785" t="str">
        <f>"18-05-2023 00:00"</f>
        <v>18-05-2023 00:00</v>
      </c>
      <c r="C426" s="1786">
        <v>0.39</v>
      </c>
      <c r="G426" s="1785" t="str">
        <f>"17-06-2023 23:00"</f>
        <v>17-06-2023 23:00</v>
      </c>
      <c r="H426" s="1785" t="str">
        <f>"18-06-2023 00:00"</f>
        <v>18-06-2023 00:00</v>
      </c>
      <c r="I426" s="1786">
        <v>0.57999999999999996</v>
      </c>
    </row>
    <row r="427" spans="1:10">
      <c r="A427" s="1792">
        <v>45064</v>
      </c>
      <c r="B427" s="1792"/>
      <c r="C427" s="1789">
        <f>SUM(C428:C451)</f>
        <v>14.290000000000001</v>
      </c>
      <c r="D427" s="1789">
        <f>SUM(D428:D451)</f>
        <v>0</v>
      </c>
      <c r="E427" s="1789">
        <f>C427+D427</f>
        <v>14.290000000000001</v>
      </c>
      <c r="F427" s="1802"/>
      <c r="G427" s="1791"/>
      <c r="H427" s="1791"/>
      <c r="I427" s="1789"/>
      <c r="J427" s="1802"/>
    </row>
    <row r="428" spans="1:10">
      <c r="A428" s="1721" t="str">
        <f>"18-05-2023 00:00"</f>
        <v>18-05-2023 00:00</v>
      </c>
      <c r="B428" s="1721" t="str">
        <f>"18-05-2023 01:00"</f>
        <v>18-05-2023 01:00</v>
      </c>
      <c r="C428" s="1721">
        <v>0.3</v>
      </c>
      <c r="D428" s="1721"/>
      <c r="E428" s="1721"/>
      <c r="G428" s="1721"/>
      <c r="H428" s="1721"/>
      <c r="I428" s="1721"/>
    </row>
    <row r="429" spans="1:10">
      <c r="A429" s="1721" t="str">
        <f>"18-05-2023 01:00"</f>
        <v>18-05-2023 01:00</v>
      </c>
      <c r="B429" s="1721" t="str">
        <f>"18-05-2023 02:00"</f>
        <v>18-05-2023 02:00</v>
      </c>
      <c r="C429" s="1721">
        <v>0.28999999999999998</v>
      </c>
      <c r="D429" s="1721"/>
      <c r="E429" s="1721"/>
      <c r="G429" s="1721"/>
      <c r="H429" s="1721"/>
      <c r="I429" s="1721"/>
    </row>
    <row r="430" spans="1:10">
      <c r="A430" s="1721" t="str">
        <f>"18-05-2023 02:00"</f>
        <v>18-05-2023 02:00</v>
      </c>
      <c r="B430" s="1721" t="str">
        <f>"18-05-2023 03:00"</f>
        <v>18-05-2023 03:00</v>
      </c>
      <c r="C430" s="1721">
        <v>0.41</v>
      </c>
      <c r="D430" s="1721"/>
      <c r="E430" s="1721"/>
      <c r="G430" s="1721"/>
      <c r="H430" s="1721"/>
      <c r="I430" s="1721"/>
    </row>
    <row r="431" spans="1:10">
      <c r="A431" s="1721" t="str">
        <f>"18-05-2023 03:00"</f>
        <v>18-05-2023 03:00</v>
      </c>
      <c r="B431" s="1721" t="str">
        <f>"18-05-2023 04:00"</f>
        <v>18-05-2023 04:00</v>
      </c>
      <c r="C431" s="1721">
        <v>0.45</v>
      </c>
      <c r="D431" s="1721"/>
      <c r="E431" s="1721"/>
      <c r="G431" s="1721"/>
      <c r="H431" s="1721"/>
      <c r="I431" s="1721"/>
    </row>
    <row r="432" spans="1:10">
      <c r="A432" s="1721" t="str">
        <f>"18-05-2023 04:00"</f>
        <v>18-05-2023 04:00</v>
      </c>
      <c r="B432" s="1721" t="str">
        <f>"18-05-2023 05:00"</f>
        <v>18-05-2023 05:00</v>
      </c>
      <c r="C432" s="1721">
        <v>0.42</v>
      </c>
      <c r="D432" s="1721"/>
      <c r="E432" s="1721"/>
      <c r="G432" s="1721"/>
      <c r="H432" s="1721"/>
      <c r="I432" s="1721"/>
    </row>
    <row r="433" spans="1:9">
      <c r="A433" s="1721" t="str">
        <f>"18-05-2023 05:00"</f>
        <v>18-05-2023 05:00</v>
      </c>
      <c r="B433" s="1721" t="str">
        <f>"18-05-2023 06:00"</f>
        <v>18-05-2023 06:00</v>
      </c>
      <c r="C433" s="1721">
        <v>0.35</v>
      </c>
      <c r="D433" s="1721"/>
      <c r="E433" s="1721"/>
      <c r="G433" s="1721"/>
      <c r="H433" s="1721"/>
      <c r="I433" s="1721"/>
    </row>
    <row r="434" spans="1:9">
      <c r="A434" s="1721" t="str">
        <f>"18-05-2023 06:00"</f>
        <v>18-05-2023 06:00</v>
      </c>
      <c r="B434" s="1721" t="str">
        <f>"18-05-2023 07:00"</f>
        <v>18-05-2023 07:00</v>
      </c>
      <c r="C434" s="1721">
        <v>0.42</v>
      </c>
      <c r="D434" s="1721"/>
      <c r="E434" s="1721"/>
      <c r="G434" s="1721"/>
      <c r="H434" s="1721"/>
      <c r="I434" s="1721"/>
    </row>
    <row r="435" spans="1:9">
      <c r="A435" s="1721" t="str">
        <f>"18-05-2023 07:00"</f>
        <v>18-05-2023 07:00</v>
      </c>
      <c r="B435" s="1721" t="str">
        <f>"18-05-2023 08:00"</f>
        <v>18-05-2023 08:00</v>
      </c>
      <c r="C435" s="1721">
        <v>0.7</v>
      </c>
      <c r="D435" s="1721"/>
      <c r="E435" s="1721"/>
      <c r="G435" s="1721"/>
      <c r="H435" s="1721"/>
      <c r="I435" s="1721"/>
    </row>
    <row r="436" spans="1:9">
      <c r="A436" s="1721" t="str">
        <f>"18-05-2023 08:00"</f>
        <v>18-05-2023 08:00</v>
      </c>
      <c r="B436" s="1721" t="str">
        <f>"18-05-2023 09:00"</f>
        <v>18-05-2023 09:00</v>
      </c>
      <c r="C436" s="1721">
        <v>0.6</v>
      </c>
      <c r="D436" s="1721"/>
      <c r="E436" s="1721"/>
      <c r="G436" s="1721"/>
      <c r="H436" s="1721"/>
      <c r="I436" s="1721"/>
    </row>
    <row r="437" spans="1:9">
      <c r="A437" s="1721" t="str">
        <f>"18-05-2023 09:00"</f>
        <v>18-05-2023 09:00</v>
      </c>
      <c r="B437" s="1721" t="str">
        <f>"18-05-2023 10:00"</f>
        <v>18-05-2023 10:00</v>
      </c>
      <c r="C437" s="1721">
        <v>0.56000000000000005</v>
      </c>
      <c r="D437" s="1721"/>
      <c r="E437" s="1721"/>
      <c r="G437" s="1721"/>
      <c r="H437" s="1721"/>
      <c r="I437" s="1721"/>
    </row>
    <row r="438" spans="1:9">
      <c r="A438" s="1721" t="str">
        <f>"18-05-2023 10:00"</f>
        <v>18-05-2023 10:00</v>
      </c>
      <c r="B438" s="1721" t="str">
        <f>"18-05-2023 11:00"</f>
        <v>18-05-2023 11:00</v>
      </c>
      <c r="C438" s="1721">
        <v>0.71</v>
      </c>
      <c r="D438" s="1721"/>
      <c r="E438" s="1721"/>
      <c r="G438" s="1721"/>
      <c r="H438" s="1721"/>
      <c r="I438" s="1721"/>
    </row>
    <row r="439" spans="1:9">
      <c r="A439" s="1721" t="str">
        <f>"18-05-2023 11:00"</f>
        <v>18-05-2023 11:00</v>
      </c>
      <c r="B439" s="1721" t="str">
        <f>"18-05-2023 12:00"</f>
        <v>18-05-2023 12:00</v>
      </c>
      <c r="C439" s="1721">
        <v>0.9</v>
      </c>
      <c r="D439" s="1721"/>
      <c r="E439" s="1721"/>
      <c r="G439" s="1721"/>
      <c r="H439" s="1721"/>
      <c r="I439" s="1721"/>
    </row>
    <row r="440" spans="1:9">
      <c r="A440" s="1721" t="str">
        <f>"18-05-2023 12:00"</f>
        <v>18-05-2023 12:00</v>
      </c>
      <c r="B440" s="1721" t="str">
        <f>"18-05-2023 13:00"</f>
        <v>18-05-2023 13:00</v>
      </c>
      <c r="C440" s="1721">
        <v>0.59</v>
      </c>
      <c r="D440" s="1721"/>
      <c r="E440" s="1721"/>
      <c r="G440" s="1721"/>
      <c r="H440" s="1721"/>
      <c r="I440" s="1721"/>
    </row>
    <row r="441" spans="1:9">
      <c r="A441" s="1721" t="str">
        <f>"18-05-2023 13:00"</f>
        <v>18-05-2023 13:00</v>
      </c>
      <c r="B441" s="1721" t="str">
        <f>"18-05-2023 14:00"</f>
        <v>18-05-2023 14:00</v>
      </c>
      <c r="C441" s="1721">
        <v>0.52</v>
      </c>
      <c r="D441" s="1721"/>
      <c r="E441" s="1721"/>
      <c r="G441" s="1721"/>
      <c r="H441" s="1721"/>
      <c r="I441" s="1721"/>
    </row>
    <row r="442" spans="1:9">
      <c r="A442" s="1721" t="str">
        <f>"18-05-2023 14:00"</f>
        <v>18-05-2023 14:00</v>
      </c>
      <c r="B442" s="1721" t="str">
        <f>"18-05-2023 15:00"</f>
        <v>18-05-2023 15:00</v>
      </c>
      <c r="C442" s="1721">
        <v>0.51</v>
      </c>
      <c r="D442" s="1721"/>
      <c r="E442" s="1721"/>
      <c r="G442" s="1721"/>
      <c r="H442" s="1721"/>
      <c r="I442" s="1721"/>
    </row>
    <row r="443" spans="1:9">
      <c r="A443" s="1721" t="str">
        <f>"18-05-2023 15:00"</f>
        <v>18-05-2023 15:00</v>
      </c>
      <c r="B443" s="1721" t="str">
        <f>"18-05-2023 16:00"</f>
        <v>18-05-2023 16:00</v>
      </c>
      <c r="C443" s="1721">
        <v>0.64</v>
      </c>
      <c r="D443" s="1721"/>
      <c r="E443" s="1721"/>
      <c r="G443" s="1721"/>
      <c r="H443" s="1721"/>
      <c r="I443" s="1721"/>
    </row>
    <row r="444" spans="1:9">
      <c r="A444" s="1721" t="str">
        <f>"18-05-2023 16:00"</f>
        <v>18-05-2023 16:00</v>
      </c>
      <c r="B444" s="1721" t="str">
        <f>"18-05-2023 17:00"</f>
        <v>18-05-2023 17:00</v>
      </c>
      <c r="C444" s="1721">
        <v>0.68</v>
      </c>
      <c r="D444" s="1721"/>
      <c r="E444" s="1721"/>
      <c r="G444" s="1721"/>
      <c r="H444" s="1721"/>
      <c r="I444" s="1721"/>
    </row>
    <row r="445" spans="1:9">
      <c r="A445" s="1721" t="str">
        <f>"18-05-2023 17:00"</f>
        <v>18-05-2023 17:00</v>
      </c>
      <c r="B445" s="1721" t="str">
        <f>"18-05-2023 18:00"</f>
        <v>18-05-2023 18:00</v>
      </c>
      <c r="C445" s="1721">
        <v>0.79</v>
      </c>
      <c r="D445" s="1721"/>
      <c r="E445" s="1721"/>
      <c r="G445" s="1721"/>
      <c r="H445" s="1721"/>
      <c r="I445" s="1721"/>
    </row>
    <row r="446" spans="1:9">
      <c r="A446" s="1721" t="str">
        <f>"18-05-2023 18:00"</f>
        <v>18-05-2023 18:00</v>
      </c>
      <c r="B446" s="1721" t="str">
        <f>"18-05-2023 19:00"</f>
        <v>18-05-2023 19:00</v>
      </c>
      <c r="C446" s="1721">
        <v>1.1399999999999999</v>
      </c>
      <c r="D446" s="1721"/>
      <c r="E446" s="1721"/>
      <c r="G446" s="1721"/>
      <c r="H446" s="1721"/>
      <c r="I446" s="1721"/>
    </row>
    <row r="447" spans="1:9">
      <c r="A447" s="1721" t="str">
        <f>"18-05-2023 19:00"</f>
        <v>18-05-2023 19:00</v>
      </c>
      <c r="B447" s="1721" t="str">
        <f>"18-05-2023 20:00"</f>
        <v>18-05-2023 20:00</v>
      </c>
      <c r="C447" s="1721">
        <v>0.81</v>
      </c>
      <c r="D447" s="1721"/>
      <c r="E447" s="1721"/>
      <c r="G447" s="1721"/>
      <c r="H447" s="1721"/>
      <c r="I447" s="1721"/>
    </row>
    <row r="448" spans="1:9">
      <c r="A448" s="1721" t="str">
        <f>"18-05-2023 20:00"</f>
        <v>18-05-2023 20:00</v>
      </c>
      <c r="B448" s="1721" t="str">
        <f>"18-05-2023 21:00"</f>
        <v>18-05-2023 21:00</v>
      </c>
      <c r="C448" s="1721">
        <v>0.91</v>
      </c>
      <c r="D448" s="1721"/>
      <c r="E448" s="1721"/>
      <c r="G448" s="1721"/>
      <c r="H448" s="1721"/>
      <c r="I448" s="1721"/>
    </row>
    <row r="449" spans="1:10">
      <c r="A449" s="1721" t="str">
        <f>"18-05-2023 21:00"</f>
        <v>18-05-2023 21:00</v>
      </c>
      <c r="B449" s="1721" t="str">
        <f>"18-05-2023 22:00"</f>
        <v>18-05-2023 22:00</v>
      </c>
      <c r="C449" s="1721">
        <v>0.71</v>
      </c>
      <c r="D449" s="1721"/>
      <c r="E449" s="1721"/>
      <c r="G449" s="1721"/>
      <c r="H449" s="1721"/>
      <c r="I449" s="1721"/>
    </row>
    <row r="450" spans="1:10">
      <c r="A450" s="1721" t="str">
        <f>"18-05-2023 22:00"</f>
        <v>18-05-2023 22:00</v>
      </c>
      <c r="B450" s="1721" t="str">
        <f>"18-05-2023 23:00"</f>
        <v>18-05-2023 23:00</v>
      </c>
      <c r="C450" s="1721">
        <v>0.46</v>
      </c>
      <c r="D450" s="1721"/>
      <c r="E450" s="1721"/>
      <c r="G450" s="1721"/>
      <c r="H450" s="1721"/>
      <c r="I450" s="1721"/>
    </row>
    <row r="451" spans="1:10" ht="15" thickBot="1">
      <c r="A451" s="1721" t="str">
        <f>"18-05-2023 23:00"</f>
        <v>18-05-2023 23:00</v>
      </c>
      <c r="B451" s="1721" t="str">
        <f>"19-05-2023 00:00"</f>
        <v>19-05-2023 00:00</v>
      </c>
      <c r="C451" s="1721">
        <v>0.42</v>
      </c>
      <c r="D451" s="1721"/>
      <c r="E451" s="1721"/>
      <c r="G451" s="1721"/>
      <c r="H451" s="1721"/>
      <c r="I451" s="1721"/>
    </row>
    <row r="452" spans="1:10">
      <c r="A452" s="1792">
        <v>45065</v>
      </c>
      <c r="B452" s="1792"/>
      <c r="C452" s="1789">
        <f>SUM(C453:C476)</f>
        <v>15.2</v>
      </c>
      <c r="D452" s="1789">
        <f>SUM(D453:D476)</f>
        <v>0</v>
      </c>
      <c r="E452" s="1789">
        <f>C452+D452</f>
        <v>15.2</v>
      </c>
      <c r="F452" s="1802"/>
      <c r="G452" s="1791"/>
      <c r="H452" s="1791"/>
      <c r="I452" s="1789"/>
      <c r="J452" s="1802"/>
    </row>
    <row r="453" spans="1:10">
      <c r="A453" s="1721" t="str">
        <f>"19-05-2023 00:00"</f>
        <v>19-05-2023 00:00</v>
      </c>
      <c r="B453" s="1721" t="str">
        <f>"19-05-2023 01:00"</f>
        <v>19-05-2023 01:00</v>
      </c>
      <c r="C453" s="1721">
        <v>0.42</v>
      </c>
      <c r="D453" s="1721"/>
      <c r="E453" s="1721"/>
      <c r="G453" s="1721"/>
      <c r="H453" s="1721"/>
      <c r="I453" s="1721"/>
    </row>
    <row r="454" spans="1:10">
      <c r="A454" s="1721" t="str">
        <f>"19-05-2023 01:00"</f>
        <v>19-05-2023 01:00</v>
      </c>
      <c r="B454" s="1721" t="str">
        <f>"19-05-2023 02:00"</f>
        <v>19-05-2023 02:00</v>
      </c>
      <c r="C454" s="1721">
        <v>0.32</v>
      </c>
      <c r="D454" s="1721"/>
      <c r="E454" s="1721"/>
      <c r="G454" s="1721"/>
      <c r="H454" s="1721"/>
      <c r="I454" s="1721"/>
    </row>
    <row r="455" spans="1:10">
      <c r="A455" s="1721" t="str">
        <f>"19-05-2023 02:00"</f>
        <v>19-05-2023 02:00</v>
      </c>
      <c r="B455" s="1721" t="str">
        <f>"19-05-2023 03:00"</f>
        <v>19-05-2023 03:00</v>
      </c>
      <c r="C455" s="1721">
        <v>0.28000000000000003</v>
      </c>
      <c r="D455" s="1721"/>
      <c r="E455" s="1721"/>
      <c r="G455" s="1721"/>
      <c r="H455" s="1721"/>
      <c r="I455" s="1721"/>
    </row>
    <row r="456" spans="1:10">
      <c r="A456" s="1721" t="str">
        <f>"19-05-2023 03:00"</f>
        <v>19-05-2023 03:00</v>
      </c>
      <c r="B456" s="1721" t="str">
        <f>"19-05-2023 04:00"</f>
        <v>19-05-2023 04:00</v>
      </c>
      <c r="C456" s="1721">
        <v>0.38</v>
      </c>
      <c r="D456" s="1721"/>
      <c r="E456" s="1721"/>
      <c r="G456" s="1721"/>
      <c r="H456" s="1721"/>
      <c r="I456" s="1721"/>
    </row>
    <row r="457" spans="1:10">
      <c r="A457" s="1721" t="str">
        <f>"19-05-2023 04:00"</f>
        <v>19-05-2023 04:00</v>
      </c>
      <c r="B457" s="1721" t="str">
        <f>"19-05-2023 05:00"</f>
        <v>19-05-2023 05:00</v>
      </c>
      <c r="C457" s="1721">
        <v>0.34</v>
      </c>
      <c r="D457" s="1721"/>
      <c r="E457" s="1721"/>
      <c r="G457" s="1721"/>
      <c r="H457" s="1721"/>
      <c r="I457" s="1721"/>
    </row>
    <row r="458" spans="1:10">
      <c r="A458" s="1721" t="str">
        <f>"19-05-2023 05:00"</f>
        <v>19-05-2023 05:00</v>
      </c>
      <c r="B458" s="1721" t="str">
        <f>"19-05-2023 06:00"</f>
        <v>19-05-2023 06:00</v>
      </c>
      <c r="C458" s="1721">
        <v>0.33</v>
      </c>
      <c r="D458" s="1721"/>
      <c r="E458" s="1721"/>
      <c r="G458" s="1721"/>
      <c r="H458" s="1721"/>
      <c r="I458" s="1721"/>
    </row>
    <row r="459" spans="1:10">
      <c r="A459" s="1721" t="str">
        <f>"19-05-2023 06:00"</f>
        <v>19-05-2023 06:00</v>
      </c>
      <c r="B459" s="1721" t="str">
        <f>"19-05-2023 07:00"</f>
        <v>19-05-2023 07:00</v>
      </c>
      <c r="C459" s="1721">
        <v>0.39</v>
      </c>
      <c r="D459" s="1721"/>
      <c r="E459" s="1721"/>
      <c r="G459" s="1721"/>
      <c r="H459" s="1721"/>
      <c r="I459" s="1721"/>
    </row>
    <row r="460" spans="1:10">
      <c r="A460" s="1721" t="str">
        <f>"19-05-2023 07:00"</f>
        <v>19-05-2023 07:00</v>
      </c>
      <c r="B460" s="1721" t="str">
        <f>"19-05-2023 08:00"</f>
        <v>19-05-2023 08:00</v>
      </c>
      <c r="C460" s="1721">
        <v>0.81</v>
      </c>
      <c r="D460" s="1721"/>
      <c r="E460" s="1721"/>
      <c r="G460" s="1721"/>
      <c r="H460" s="1721"/>
      <c r="I460" s="1721"/>
    </row>
    <row r="461" spans="1:10">
      <c r="A461" s="1721" t="str">
        <f>"19-05-2023 08:00"</f>
        <v>19-05-2023 08:00</v>
      </c>
      <c r="B461" s="1721" t="str">
        <f>"19-05-2023 09:00"</f>
        <v>19-05-2023 09:00</v>
      </c>
      <c r="C461" s="1721">
        <v>1.5</v>
      </c>
      <c r="D461" s="1721"/>
      <c r="E461" s="1721"/>
      <c r="G461" s="1721"/>
      <c r="H461" s="1721"/>
      <c r="I461" s="1721"/>
    </row>
    <row r="462" spans="1:10">
      <c r="A462" s="1721" t="str">
        <f>"19-05-2023 09:00"</f>
        <v>19-05-2023 09:00</v>
      </c>
      <c r="B462" s="1721" t="str">
        <f>"19-05-2023 10:00"</f>
        <v>19-05-2023 10:00</v>
      </c>
      <c r="C462" s="1721">
        <v>0.68</v>
      </c>
      <c r="D462" s="1721"/>
      <c r="E462" s="1721"/>
      <c r="G462" s="1721"/>
      <c r="H462" s="1721"/>
      <c r="I462" s="1721"/>
    </row>
    <row r="463" spans="1:10">
      <c r="A463" s="1721" t="str">
        <f>"19-05-2023 10:00"</f>
        <v>19-05-2023 10:00</v>
      </c>
      <c r="B463" s="1721" t="str">
        <f>"19-05-2023 11:00"</f>
        <v>19-05-2023 11:00</v>
      </c>
      <c r="C463" s="1721">
        <v>1.1499999999999999</v>
      </c>
      <c r="D463" s="1721"/>
      <c r="E463" s="1721"/>
      <c r="G463" s="1721"/>
      <c r="H463" s="1721"/>
      <c r="I463" s="1721"/>
    </row>
    <row r="464" spans="1:10">
      <c r="A464" s="1721" t="str">
        <f>"19-05-2023 11:00"</f>
        <v>19-05-2023 11:00</v>
      </c>
      <c r="B464" s="1721" t="str">
        <f>"19-05-2023 12:00"</f>
        <v>19-05-2023 12:00</v>
      </c>
      <c r="C464" s="1721">
        <v>0.55000000000000004</v>
      </c>
      <c r="D464" s="1721"/>
      <c r="E464" s="1721"/>
      <c r="G464" s="1721"/>
      <c r="H464" s="1721"/>
      <c r="I464" s="1721"/>
    </row>
    <row r="465" spans="1:10">
      <c r="A465" s="1721" t="str">
        <f>"19-05-2023 12:00"</f>
        <v>19-05-2023 12:00</v>
      </c>
      <c r="B465" s="1721" t="str">
        <f>"19-05-2023 13:00"</f>
        <v>19-05-2023 13:00</v>
      </c>
      <c r="C465" s="1721">
        <v>0.43</v>
      </c>
      <c r="D465" s="1721"/>
      <c r="E465" s="1721"/>
      <c r="G465" s="1721"/>
      <c r="H465" s="1721"/>
      <c r="I465" s="1721"/>
    </row>
    <row r="466" spans="1:10">
      <c r="A466" s="1721" t="str">
        <f>"19-05-2023 13:00"</f>
        <v>19-05-2023 13:00</v>
      </c>
      <c r="B466" s="1721" t="str">
        <f>"19-05-2023 14:00"</f>
        <v>19-05-2023 14:00</v>
      </c>
      <c r="C466" s="1721">
        <v>0.66</v>
      </c>
      <c r="D466" s="1721"/>
      <c r="E466" s="1721"/>
      <c r="G466" s="1721"/>
      <c r="H466" s="1721"/>
      <c r="I466" s="1721"/>
    </row>
    <row r="467" spans="1:10">
      <c r="A467" s="1721" t="str">
        <f>"19-05-2023 14:00"</f>
        <v>19-05-2023 14:00</v>
      </c>
      <c r="B467" s="1721" t="str">
        <f>"19-05-2023 15:00"</f>
        <v>19-05-2023 15:00</v>
      </c>
      <c r="C467" s="1721">
        <v>0.5</v>
      </c>
      <c r="D467" s="1721"/>
      <c r="E467" s="1721"/>
      <c r="G467" s="1721"/>
      <c r="H467" s="1721"/>
      <c r="I467" s="1721"/>
    </row>
    <row r="468" spans="1:10">
      <c r="A468" s="1721" t="str">
        <f>"19-05-2023 15:00"</f>
        <v>19-05-2023 15:00</v>
      </c>
      <c r="B468" s="1721" t="str">
        <f>"19-05-2023 16:00"</f>
        <v>19-05-2023 16:00</v>
      </c>
      <c r="C468" s="1721">
        <v>0.48</v>
      </c>
      <c r="D468" s="1721"/>
      <c r="E468" s="1721"/>
      <c r="G468" s="1721"/>
      <c r="H468" s="1721"/>
      <c r="I468" s="1721"/>
    </row>
    <row r="469" spans="1:10">
      <c r="A469" s="1721" t="str">
        <f>"19-05-2023 16:00"</f>
        <v>19-05-2023 16:00</v>
      </c>
      <c r="B469" s="1721" t="str">
        <f>"19-05-2023 17:00"</f>
        <v>19-05-2023 17:00</v>
      </c>
      <c r="C469" s="1721">
        <v>0.62</v>
      </c>
      <c r="D469" s="1721"/>
      <c r="E469" s="1721"/>
      <c r="G469" s="1721"/>
      <c r="H469" s="1721"/>
      <c r="I469" s="1721"/>
    </row>
    <row r="470" spans="1:10">
      <c r="A470" s="1721" t="str">
        <f>"19-05-2023 17:00"</f>
        <v>19-05-2023 17:00</v>
      </c>
      <c r="B470" s="1721" t="str">
        <f>"19-05-2023 18:00"</f>
        <v>19-05-2023 18:00</v>
      </c>
      <c r="C470" s="1721">
        <v>0.7</v>
      </c>
      <c r="D470" s="1721"/>
      <c r="E470" s="1721"/>
      <c r="G470" s="1721"/>
      <c r="H470" s="1721"/>
      <c r="I470" s="1721"/>
    </row>
    <row r="471" spans="1:10">
      <c r="A471" s="1721" t="str">
        <f>"19-05-2023 18:00"</f>
        <v>19-05-2023 18:00</v>
      </c>
      <c r="B471" s="1721" t="str">
        <f>"19-05-2023 19:00"</f>
        <v>19-05-2023 19:00</v>
      </c>
      <c r="C471" s="1721">
        <v>1.55</v>
      </c>
      <c r="D471" s="1721"/>
      <c r="E471" s="1721"/>
      <c r="G471" s="1721"/>
      <c r="H471" s="1721"/>
      <c r="I471" s="1721"/>
    </row>
    <row r="472" spans="1:10">
      <c r="A472" s="1721" t="str">
        <f>"19-05-2023 19:00"</f>
        <v>19-05-2023 19:00</v>
      </c>
      <c r="B472" s="1721" t="str">
        <f>"19-05-2023 20:00"</f>
        <v>19-05-2023 20:00</v>
      </c>
      <c r="C472" s="1721">
        <v>0.48</v>
      </c>
      <c r="D472" s="1721"/>
      <c r="E472" s="1721"/>
      <c r="G472" s="1721"/>
      <c r="H472" s="1721"/>
      <c r="I472" s="1721"/>
    </row>
    <row r="473" spans="1:10">
      <c r="A473" s="1721" t="str">
        <f>"19-05-2023 20:00"</f>
        <v>19-05-2023 20:00</v>
      </c>
      <c r="B473" s="1721" t="str">
        <f>"19-05-2023 21:00"</f>
        <v>19-05-2023 21:00</v>
      </c>
      <c r="C473" s="1721">
        <v>0.89</v>
      </c>
      <c r="D473" s="1721"/>
      <c r="E473" s="1721"/>
      <c r="G473" s="1721"/>
      <c r="H473" s="1721"/>
      <c r="I473" s="1721"/>
    </row>
    <row r="474" spans="1:10">
      <c r="A474" s="1721" t="str">
        <f>"19-05-2023 21:00"</f>
        <v>19-05-2023 21:00</v>
      </c>
      <c r="B474" s="1721" t="str">
        <f>"19-05-2023 22:00"</f>
        <v>19-05-2023 22:00</v>
      </c>
      <c r="C474" s="1721">
        <v>0.75</v>
      </c>
      <c r="D474" s="1721"/>
      <c r="E474" s="1721"/>
      <c r="G474" s="1721"/>
      <c r="H474" s="1721"/>
      <c r="I474" s="1721"/>
    </row>
    <row r="475" spans="1:10">
      <c r="A475" s="1721" t="str">
        <f>"19-05-2023 22:00"</f>
        <v>19-05-2023 22:00</v>
      </c>
      <c r="B475" s="1721" t="str">
        <f>"19-05-2023 23:00"</f>
        <v>19-05-2023 23:00</v>
      </c>
      <c r="C475" s="1721">
        <v>0.59</v>
      </c>
      <c r="D475" s="1721"/>
      <c r="E475" s="1721"/>
      <c r="G475" s="1721"/>
      <c r="H475" s="1721"/>
      <c r="I475" s="1721"/>
    </row>
    <row r="476" spans="1:10" ht="15" thickBot="1">
      <c r="A476" s="1721" t="str">
        <f>"19-05-2023 23:00"</f>
        <v>19-05-2023 23:00</v>
      </c>
      <c r="B476" s="1721" t="str">
        <f>"20-05-2023 00:00"</f>
        <v>20-05-2023 00:00</v>
      </c>
      <c r="C476" s="1721">
        <v>0.4</v>
      </c>
      <c r="D476" s="1721"/>
      <c r="E476" s="1721"/>
      <c r="G476" s="1721"/>
      <c r="H476" s="1721"/>
      <c r="I476" s="1721"/>
    </row>
    <row r="477" spans="1:10">
      <c r="A477" s="1792">
        <v>45066</v>
      </c>
      <c r="B477" s="1792"/>
      <c r="C477" s="1789">
        <f>SUM(C478:C501)</f>
        <v>13.100000000000001</v>
      </c>
      <c r="D477" s="1789">
        <f>SUM(D478:D501)</f>
        <v>0</v>
      </c>
      <c r="E477" s="1789">
        <f>C477+D477</f>
        <v>13.100000000000001</v>
      </c>
      <c r="F477" s="1802"/>
      <c r="G477" s="1791"/>
      <c r="H477" s="1791"/>
      <c r="I477" s="1789"/>
      <c r="J477" s="1802"/>
    </row>
    <row r="478" spans="1:10">
      <c r="A478" s="1721" t="str">
        <f>"20-05-2023 00:00"</f>
        <v>20-05-2023 00:00</v>
      </c>
      <c r="B478" s="1721" t="str">
        <f>"20-05-2023 01:00"</f>
        <v>20-05-2023 01:00</v>
      </c>
      <c r="C478" s="1721">
        <v>0.31</v>
      </c>
      <c r="D478" s="1721"/>
      <c r="E478" s="1721"/>
      <c r="G478" s="1721"/>
      <c r="H478" s="1721"/>
      <c r="I478" s="1721"/>
    </row>
    <row r="479" spans="1:10">
      <c r="A479" s="1721" t="str">
        <f>"20-05-2023 01:00"</f>
        <v>20-05-2023 01:00</v>
      </c>
      <c r="B479" s="1721" t="str">
        <f>"20-05-2023 02:00"</f>
        <v>20-05-2023 02:00</v>
      </c>
      <c r="C479" s="1721">
        <v>0.32</v>
      </c>
      <c r="D479" s="1721"/>
      <c r="E479" s="1721"/>
      <c r="G479" s="1721"/>
      <c r="H479" s="1721"/>
      <c r="I479" s="1721"/>
    </row>
    <row r="480" spans="1:10">
      <c r="A480" s="1721" t="str">
        <f>"20-05-2023 02:00"</f>
        <v>20-05-2023 02:00</v>
      </c>
      <c r="B480" s="1721" t="str">
        <f>"20-05-2023 03:00"</f>
        <v>20-05-2023 03:00</v>
      </c>
      <c r="C480" s="1721">
        <v>0.3</v>
      </c>
      <c r="D480" s="1721"/>
      <c r="E480" s="1721"/>
      <c r="G480" s="1721"/>
      <c r="H480" s="1721"/>
      <c r="I480" s="1721"/>
    </row>
    <row r="481" spans="1:9">
      <c r="A481" s="1721" t="str">
        <f>"20-05-2023 03:00"</f>
        <v>20-05-2023 03:00</v>
      </c>
      <c r="B481" s="1721" t="str">
        <f>"20-05-2023 04:00"</f>
        <v>20-05-2023 04:00</v>
      </c>
      <c r="C481" s="1721">
        <v>0.26</v>
      </c>
      <c r="D481" s="1721"/>
      <c r="E481" s="1721"/>
      <c r="G481" s="1721"/>
      <c r="H481" s="1721"/>
      <c r="I481" s="1721"/>
    </row>
    <row r="482" spans="1:9">
      <c r="A482" s="1721" t="str">
        <f>"20-05-2023 04:00"</f>
        <v>20-05-2023 04:00</v>
      </c>
      <c r="B482" s="1721" t="str">
        <f>"20-05-2023 05:00"</f>
        <v>20-05-2023 05:00</v>
      </c>
      <c r="C482" s="1721">
        <v>0.3</v>
      </c>
      <c r="D482" s="1721"/>
      <c r="E482" s="1721"/>
      <c r="G482" s="1721"/>
      <c r="H482" s="1721"/>
      <c r="I482" s="1721"/>
    </row>
    <row r="483" spans="1:9">
      <c r="A483" s="1721" t="str">
        <f>"20-05-2023 05:00"</f>
        <v>20-05-2023 05:00</v>
      </c>
      <c r="B483" s="1721" t="str">
        <f>"20-05-2023 06:00"</f>
        <v>20-05-2023 06:00</v>
      </c>
      <c r="C483" s="1721">
        <v>0.3</v>
      </c>
      <c r="D483" s="1721"/>
      <c r="E483" s="1721"/>
      <c r="G483" s="1721"/>
      <c r="H483" s="1721"/>
      <c r="I483" s="1721"/>
    </row>
    <row r="484" spans="1:9">
      <c r="A484" s="1721" t="str">
        <f>"20-05-2023 06:00"</f>
        <v>20-05-2023 06:00</v>
      </c>
      <c r="B484" s="1721" t="str">
        <f>"20-05-2023 07:00"</f>
        <v>20-05-2023 07:00</v>
      </c>
      <c r="C484" s="1721">
        <v>0.46</v>
      </c>
      <c r="D484" s="1721"/>
      <c r="E484" s="1721"/>
      <c r="G484" s="1721"/>
      <c r="H484" s="1721"/>
      <c r="I484" s="1721"/>
    </row>
    <row r="485" spans="1:9">
      <c r="A485" s="1721" t="str">
        <f>"20-05-2023 07:00"</f>
        <v>20-05-2023 07:00</v>
      </c>
      <c r="B485" s="1721" t="str">
        <f>"20-05-2023 08:00"</f>
        <v>20-05-2023 08:00</v>
      </c>
      <c r="C485" s="1721">
        <v>0.46</v>
      </c>
      <c r="D485" s="1721"/>
      <c r="E485" s="1721"/>
      <c r="G485" s="1721"/>
      <c r="H485" s="1721"/>
      <c r="I485" s="1721"/>
    </row>
    <row r="486" spans="1:9">
      <c r="A486" s="1721" t="str">
        <f>"20-05-2023 08:00"</f>
        <v>20-05-2023 08:00</v>
      </c>
      <c r="B486" s="1721" t="str">
        <f>"20-05-2023 09:00"</f>
        <v>20-05-2023 09:00</v>
      </c>
      <c r="C486" s="1721">
        <v>0.56000000000000005</v>
      </c>
      <c r="D486" s="1721"/>
      <c r="E486" s="1721"/>
      <c r="G486" s="1721"/>
      <c r="H486" s="1721"/>
      <c r="I486" s="1721"/>
    </row>
    <row r="487" spans="1:9">
      <c r="A487" s="1721" t="str">
        <f>"20-05-2023 09:00"</f>
        <v>20-05-2023 09:00</v>
      </c>
      <c r="B487" s="1721" t="str">
        <f>"20-05-2023 10:00"</f>
        <v>20-05-2023 10:00</v>
      </c>
      <c r="C487" s="1721">
        <v>0.68</v>
      </c>
      <c r="D487" s="1721"/>
      <c r="E487" s="1721"/>
      <c r="G487" s="1721"/>
      <c r="H487" s="1721"/>
      <c r="I487" s="1721"/>
    </row>
    <row r="488" spans="1:9">
      <c r="A488" s="1721" t="str">
        <f>"20-05-2023 10:00"</f>
        <v>20-05-2023 10:00</v>
      </c>
      <c r="B488" s="1721" t="str">
        <f>"20-05-2023 11:00"</f>
        <v>20-05-2023 11:00</v>
      </c>
      <c r="C488" s="1721">
        <v>0.45</v>
      </c>
      <c r="D488" s="1721"/>
      <c r="E488" s="1721"/>
      <c r="G488" s="1721"/>
      <c r="H488" s="1721"/>
      <c r="I488" s="1721"/>
    </row>
    <row r="489" spans="1:9">
      <c r="A489" s="1721" t="str">
        <f>"20-05-2023 11:00"</f>
        <v>20-05-2023 11:00</v>
      </c>
      <c r="B489" s="1721" t="str">
        <f>"20-05-2023 12:00"</f>
        <v>20-05-2023 12:00</v>
      </c>
      <c r="C489" s="1721">
        <v>0.31</v>
      </c>
      <c r="D489" s="1721"/>
      <c r="E489" s="1721"/>
      <c r="G489" s="1721"/>
      <c r="H489" s="1721"/>
      <c r="I489" s="1721"/>
    </row>
    <row r="490" spans="1:9">
      <c r="A490" s="1721" t="str">
        <f>"20-05-2023 12:00"</f>
        <v>20-05-2023 12:00</v>
      </c>
      <c r="B490" s="1721" t="str">
        <f>"20-05-2023 13:00"</f>
        <v>20-05-2023 13:00</v>
      </c>
      <c r="C490" s="1721">
        <v>0.3</v>
      </c>
      <c r="D490" s="1721"/>
      <c r="E490" s="1721"/>
      <c r="G490" s="1721"/>
      <c r="H490" s="1721"/>
      <c r="I490" s="1721"/>
    </row>
    <row r="491" spans="1:9">
      <c r="A491" s="1721" t="str">
        <f>"20-05-2023 13:00"</f>
        <v>20-05-2023 13:00</v>
      </c>
      <c r="B491" s="1721" t="str">
        <f>"20-05-2023 14:00"</f>
        <v>20-05-2023 14:00</v>
      </c>
      <c r="C491" s="1721">
        <v>0.4</v>
      </c>
      <c r="D491" s="1721"/>
      <c r="E491" s="1721"/>
      <c r="G491" s="1721"/>
      <c r="H491" s="1721"/>
      <c r="I491" s="1721"/>
    </row>
    <row r="492" spans="1:9">
      <c r="A492" s="1721" t="str">
        <f>"20-05-2023 14:00"</f>
        <v>20-05-2023 14:00</v>
      </c>
      <c r="B492" s="1721" t="str">
        <f>"20-05-2023 15:00"</f>
        <v>20-05-2023 15:00</v>
      </c>
      <c r="C492" s="1721">
        <v>0.28000000000000003</v>
      </c>
      <c r="D492" s="1721"/>
      <c r="E492" s="1721"/>
      <c r="G492" s="1721"/>
      <c r="H492" s="1721"/>
      <c r="I492" s="1721"/>
    </row>
    <row r="493" spans="1:9">
      <c r="A493" s="1721" t="str">
        <f>"20-05-2023 15:00"</f>
        <v>20-05-2023 15:00</v>
      </c>
      <c r="B493" s="1721" t="str">
        <f>"20-05-2023 16:00"</f>
        <v>20-05-2023 16:00</v>
      </c>
      <c r="C493" s="1721">
        <v>0.32</v>
      </c>
      <c r="D493" s="1721"/>
      <c r="E493" s="1721"/>
      <c r="G493" s="1721"/>
      <c r="H493" s="1721"/>
      <c r="I493" s="1721"/>
    </row>
    <row r="494" spans="1:9">
      <c r="A494" s="1721" t="str">
        <f>"20-05-2023 16:00"</f>
        <v>20-05-2023 16:00</v>
      </c>
      <c r="B494" s="1721" t="str">
        <f>"20-05-2023 17:00"</f>
        <v>20-05-2023 17:00</v>
      </c>
      <c r="C494" s="1721">
        <v>0.38</v>
      </c>
      <c r="D494" s="1721"/>
      <c r="E494" s="1721"/>
      <c r="G494" s="1721"/>
      <c r="H494" s="1721"/>
      <c r="I494" s="1721"/>
    </row>
    <row r="495" spans="1:9">
      <c r="A495" s="1721" t="str">
        <f>"20-05-2023 17:00"</f>
        <v>20-05-2023 17:00</v>
      </c>
      <c r="B495" s="1721" t="str">
        <f>"20-05-2023 18:00"</f>
        <v>20-05-2023 18:00</v>
      </c>
      <c r="C495" s="1721">
        <v>0.92</v>
      </c>
      <c r="D495" s="1721"/>
      <c r="E495" s="1721"/>
      <c r="G495" s="1721"/>
      <c r="H495" s="1721"/>
      <c r="I495" s="1721"/>
    </row>
    <row r="496" spans="1:9">
      <c r="A496" s="1721" t="str">
        <f>"20-05-2023 18:00"</f>
        <v>20-05-2023 18:00</v>
      </c>
      <c r="B496" s="1721" t="str">
        <f>"20-05-2023 19:00"</f>
        <v>20-05-2023 19:00</v>
      </c>
      <c r="C496" s="1721">
        <v>1.08</v>
      </c>
      <c r="D496" s="1721"/>
      <c r="E496" s="1721"/>
      <c r="G496" s="1721"/>
      <c r="H496" s="1721"/>
      <c r="I496" s="1721"/>
    </row>
    <row r="497" spans="1:10">
      <c r="A497" s="1721" t="str">
        <f>"20-05-2023 19:00"</f>
        <v>20-05-2023 19:00</v>
      </c>
      <c r="B497" s="1721" t="str">
        <f>"20-05-2023 20:00"</f>
        <v>20-05-2023 20:00</v>
      </c>
      <c r="C497" s="1721">
        <v>2.57</v>
      </c>
      <c r="D497" s="1721"/>
      <c r="E497" s="1721"/>
      <c r="G497" s="1721"/>
      <c r="H497" s="1721"/>
      <c r="I497" s="1721"/>
    </row>
    <row r="498" spans="1:10">
      <c r="A498" s="1721" t="str">
        <f>"20-05-2023 20:00"</f>
        <v>20-05-2023 20:00</v>
      </c>
      <c r="B498" s="1721" t="str">
        <f>"20-05-2023 21:00"</f>
        <v>20-05-2023 21:00</v>
      </c>
      <c r="C498" s="1721">
        <v>0.7</v>
      </c>
      <c r="D498" s="1721"/>
      <c r="E498" s="1721"/>
      <c r="G498" s="1721"/>
      <c r="H498" s="1721"/>
      <c r="I498" s="1721"/>
    </row>
    <row r="499" spans="1:10">
      <c r="A499" s="1721" t="str">
        <f>"20-05-2023 21:00"</f>
        <v>20-05-2023 21:00</v>
      </c>
      <c r="B499" s="1721" t="str">
        <f>"20-05-2023 22:00"</f>
        <v>20-05-2023 22:00</v>
      </c>
      <c r="C499" s="1721">
        <v>0.71</v>
      </c>
      <c r="D499" s="1721"/>
      <c r="E499" s="1721"/>
      <c r="G499" s="1721"/>
      <c r="H499" s="1721"/>
      <c r="I499" s="1721"/>
    </row>
    <row r="500" spans="1:10">
      <c r="A500" s="1721" t="str">
        <f>"20-05-2023 22:00"</f>
        <v>20-05-2023 22:00</v>
      </c>
      <c r="B500" s="1721" t="str">
        <f>"20-05-2023 23:00"</f>
        <v>20-05-2023 23:00</v>
      </c>
      <c r="C500" s="1721">
        <v>0.4</v>
      </c>
      <c r="D500" s="1721"/>
      <c r="E500" s="1721"/>
      <c r="G500" s="1721"/>
      <c r="H500" s="1721"/>
      <c r="I500" s="1721"/>
    </row>
    <row r="501" spans="1:10" ht="15" thickBot="1">
      <c r="A501" s="1721" t="str">
        <f>"20-05-2023 23:00"</f>
        <v>20-05-2023 23:00</v>
      </c>
      <c r="B501" s="1721" t="str">
        <f>"21-05-2023 00:00"</f>
        <v>21-05-2023 00:00</v>
      </c>
      <c r="C501" s="1721">
        <v>0.33</v>
      </c>
      <c r="D501" s="1721"/>
      <c r="E501" s="1721"/>
      <c r="G501" s="1721"/>
      <c r="H501" s="1721"/>
      <c r="I501" s="1721"/>
    </row>
    <row r="502" spans="1:10">
      <c r="A502" s="1792">
        <v>45067</v>
      </c>
      <c r="B502" s="1792"/>
      <c r="C502" s="1789">
        <f>SUM(C503:C526)</f>
        <v>8.8800000000000008</v>
      </c>
      <c r="D502" s="1789">
        <f>SUM(D503:D526)</f>
        <v>0</v>
      </c>
      <c r="E502" s="1789">
        <f>C502+D502</f>
        <v>8.8800000000000008</v>
      </c>
      <c r="F502" s="1802"/>
      <c r="G502" s="1791"/>
      <c r="H502" s="1791"/>
      <c r="I502" s="1789"/>
      <c r="J502" s="1802"/>
    </row>
    <row r="503" spans="1:10">
      <c r="A503" s="1721" t="str">
        <f>"21-05-2023 00:00"</f>
        <v>21-05-2023 00:00</v>
      </c>
      <c r="B503" s="1721" t="str">
        <f>"21-05-2023 01:00"</f>
        <v>21-05-2023 01:00</v>
      </c>
      <c r="C503" s="1721">
        <v>0.28999999999999998</v>
      </c>
      <c r="D503" s="1721"/>
      <c r="E503" s="1721"/>
      <c r="G503" s="1721"/>
      <c r="H503" s="1721"/>
      <c r="I503" s="1721"/>
    </row>
    <row r="504" spans="1:10">
      <c r="A504" s="1721" t="str">
        <f>"21-05-2023 01:00"</f>
        <v>21-05-2023 01:00</v>
      </c>
      <c r="B504" s="1721" t="str">
        <f>"21-05-2023 02:00"</f>
        <v>21-05-2023 02:00</v>
      </c>
      <c r="C504" s="1721">
        <v>0.25</v>
      </c>
      <c r="D504" s="1721"/>
      <c r="E504" s="1721"/>
      <c r="G504" s="1721"/>
      <c r="H504" s="1721"/>
      <c r="I504" s="1721"/>
    </row>
    <row r="505" spans="1:10">
      <c r="A505" s="1721" t="str">
        <f>"21-05-2023 02:00"</f>
        <v>21-05-2023 02:00</v>
      </c>
      <c r="B505" s="1721" t="str">
        <f>"21-05-2023 03:00"</f>
        <v>21-05-2023 03:00</v>
      </c>
      <c r="C505" s="1721">
        <v>0.26</v>
      </c>
      <c r="D505" s="1721"/>
      <c r="E505" s="1721"/>
      <c r="G505" s="1721"/>
      <c r="H505" s="1721"/>
      <c r="I505" s="1721"/>
    </row>
    <row r="506" spans="1:10">
      <c r="A506" s="1721" t="str">
        <f>"21-05-2023 03:00"</f>
        <v>21-05-2023 03:00</v>
      </c>
      <c r="B506" s="1721" t="str">
        <f>"21-05-2023 04:00"</f>
        <v>21-05-2023 04:00</v>
      </c>
      <c r="C506" s="1721">
        <v>0.16</v>
      </c>
      <c r="D506" s="1721"/>
      <c r="E506" s="1721"/>
      <c r="G506" s="1721"/>
      <c r="H506" s="1721"/>
      <c r="I506" s="1721"/>
    </row>
    <row r="507" spans="1:10">
      <c r="A507" s="1721" t="str">
        <f>"21-05-2023 04:00"</f>
        <v>21-05-2023 04:00</v>
      </c>
      <c r="B507" s="1721" t="str">
        <f>"21-05-2023 05:00"</f>
        <v>21-05-2023 05:00</v>
      </c>
      <c r="C507" s="1721">
        <v>0.24</v>
      </c>
      <c r="D507" s="1721"/>
      <c r="E507" s="1721"/>
      <c r="G507" s="1721"/>
      <c r="H507" s="1721"/>
      <c r="I507" s="1721"/>
    </row>
    <row r="508" spans="1:10">
      <c r="A508" s="1721" t="str">
        <f>"21-05-2023 05:00"</f>
        <v>21-05-2023 05:00</v>
      </c>
      <c r="B508" s="1721" t="str">
        <f>"21-05-2023 06:00"</f>
        <v>21-05-2023 06:00</v>
      </c>
      <c r="C508" s="1721">
        <v>0.23</v>
      </c>
      <c r="D508" s="1721"/>
      <c r="E508" s="1721"/>
      <c r="G508" s="1721"/>
      <c r="H508" s="1721"/>
      <c r="I508" s="1721"/>
    </row>
    <row r="509" spans="1:10">
      <c r="A509" s="1721" t="str">
        <f>"21-05-2023 06:00"</f>
        <v>21-05-2023 06:00</v>
      </c>
      <c r="B509" s="1721" t="str">
        <f>"21-05-2023 07:00"</f>
        <v>21-05-2023 07:00</v>
      </c>
      <c r="C509" s="1721">
        <v>0.3</v>
      </c>
      <c r="D509" s="1721"/>
      <c r="E509" s="1721"/>
      <c r="G509" s="1721"/>
      <c r="H509" s="1721"/>
      <c r="I509" s="1721"/>
    </row>
    <row r="510" spans="1:10">
      <c r="A510" s="1721" t="str">
        <f>"21-05-2023 07:00"</f>
        <v>21-05-2023 07:00</v>
      </c>
      <c r="B510" s="1721" t="str">
        <f>"21-05-2023 08:00"</f>
        <v>21-05-2023 08:00</v>
      </c>
      <c r="C510" s="1721">
        <v>0.28999999999999998</v>
      </c>
      <c r="D510" s="1721"/>
      <c r="E510" s="1721"/>
      <c r="G510" s="1721"/>
      <c r="H510" s="1721"/>
      <c r="I510" s="1721"/>
    </row>
    <row r="511" spans="1:10">
      <c r="A511" s="1721" t="str">
        <f>"21-05-2023 08:00"</f>
        <v>21-05-2023 08:00</v>
      </c>
      <c r="B511" s="1721" t="str">
        <f>"21-05-2023 09:00"</f>
        <v>21-05-2023 09:00</v>
      </c>
      <c r="C511" s="1721">
        <v>0.4</v>
      </c>
      <c r="D511" s="1721"/>
      <c r="E511" s="1721"/>
      <c r="G511" s="1721"/>
      <c r="H511" s="1721"/>
      <c r="I511" s="1721"/>
    </row>
    <row r="512" spans="1:10">
      <c r="A512" s="1721" t="str">
        <f>"21-05-2023 09:00"</f>
        <v>21-05-2023 09:00</v>
      </c>
      <c r="B512" s="1721" t="str">
        <f>"21-05-2023 10:00"</f>
        <v>21-05-2023 10:00</v>
      </c>
      <c r="C512" s="1721">
        <v>0.23</v>
      </c>
      <c r="D512" s="1721"/>
      <c r="E512" s="1721"/>
      <c r="G512" s="1721"/>
      <c r="H512" s="1721"/>
      <c r="I512" s="1721"/>
    </row>
    <row r="513" spans="1:10">
      <c r="A513" s="1721" t="str">
        <f>"21-05-2023 10:00"</f>
        <v>21-05-2023 10:00</v>
      </c>
      <c r="B513" s="1721" t="str">
        <f>"21-05-2023 11:00"</f>
        <v>21-05-2023 11:00</v>
      </c>
      <c r="C513" s="1721">
        <v>0.38</v>
      </c>
      <c r="D513" s="1721"/>
      <c r="E513" s="1721"/>
      <c r="G513" s="1721"/>
      <c r="H513" s="1721"/>
      <c r="I513" s="1721"/>
    </row>
    <row r="514" spans="1:10">
      <c r="A514" s="1721" t="str">
        <f>"21-05-2023 11:00"</f>
        <v>21-05-2023 11:00</v>
      </c>
      <c r="B514" s="1721" t="str">
        <f>"21-05-2023 12:00"</f>
        <v>21-05-2023 12:00</v>
      </c>
      <c r="C514" s="1721">
        <v>0.42</v>
      </c>
      <c r="D514" s="1721"/>
      <c r="E514" s="1721"/>
      <c r="G514" s="1721"/>
      <c r="H514" s="1721"/>
      <c r="I514" s="1721"/>
    </row>
    <row r="515" spans="1:10">
      <c r="A515" s="1721" t="str">
        <f>"21-05-2023 12:00"</f>
        <v>21-05-2023 12:00</v>
      </c>
      <c r="B515" s="1721" t="str">
        <f>"21-05-2023 13:00"</f>
        <v>21-05-2023 13:00</v>
      </c>
      <c r="C515" s="1721">
        <v>0.3</v>
      </c>
      <c r="D515" s="1721"/>
      <c r="E515" s="1721"/>
      <c r="G515" s="1721"/>
      <c r="H515" s="1721"/>
      <c r="I515" s="1721"/>
    </row>
    <row r="516" spans="1:10">
      <c r="A516" s="1721" t="str">
        <f>"21-05-2023 13:00"</f>
        <v>21-05-2023 13:00</v>
      </c>
      <c r="B516" s="1721" t="str">
        <f>"21-05-2023 14:00"</f>
        <v>21-05-2023 14:00</v>
      </c>
      <c r="C516" s="1721">
        <v>0.27</v>
      </c>
      <c r="D516" s="1721"/>
      <c r="E516" s="1721"/>
      <c r="G516" s="1721"/>
      <c r="H516" s="1721"/>
      <c r="I516" s="1721"/>
    </row>
    <row r="517" spans="1:10">
      <c r="A517" s="1721" t="str">
        <f>"21-05-2023 14:00"</f>
        <v>21-05-2023 14:00</v>
      </c>
      <c r="B517" s="1721" t="str">
        <f>"21-05-2023 15:00"</f>
        <v>21-05-2023 15:00</v>
      </c>
      <c r="C517" s="1721">
        <v>0.21</v>
      </c>
      <c r="D517" s="1721"/>
      <c r="E517" s="1721"/>
      <c r="G517" s="1721"/>
      <c r="H517" s="1721"/>
      <c r="I517" s="1721"/>
    </row>
    <row r="518" spans="1:10">
      <c r="A518" s="1721" t="str">
        <f>"21-05-2023 15:00"</f>
        <v>21-05-2023 15:00</v>
      </c>
      <c r="B518" s="1721" t="str">
        <f>"21-05-2023 16:00"</f>
        <v>21-05-2023 16:00</v>
      </c>
      <c r="C518" s="1721">
        <v>0.28000000000000003</v>
      </c>
      <c r="D518" s="1721"/>
      <c r="E518" s="1721"/>
      <c r="G518" s="1721"/>
      <c r="H518" s="1721"/>
      <c r="I518" s="1721"/>
    </row>
    <row r="519" spans="1:10">
      <c r="A519" s="1721" t="str">
        <f>"21-05-2023 16:00"</f>
        <v>21-05-2023 16:00</v>
      </c>
      <c r="B519" s="1721" t="str">
        <f>"21-05-2023 17:00"</f>
        <v>21-05-2023 17:00</v>
      </c>
      <c r="C519" s="1721">
        <v>0.36</v>
      </c>
      <c r="D519" s="1721"/>
      <c r="E519" s="1721"/>
      <c r="G519" s="1721"/>
      <c r="H519" s="1721"/>
      <c r="I519" s="1721"/>
    </row>
    <row r="520" spans="1:10">
      <c r="A520" s="1721" t="str">
        <f>"21-05-2023 17:00"</f>
        <v>21-05-2023 17:00</v>
      </c>
      <c r="B520" s="1721" t="str">
        <f>"21-05-2023 18:00"</f>
        <v>21-05-2023 18:00</v>
      </c>
      <c r="C520" s="1721">
        <v>0.34</v>
      </c>
      <c r="D520" s="1721"/>
      <c r="E520" s="1721"/>
      <c r="G520" s="1721"/>
      <c r="H520" s="1721"/>
      <c r="I520" s="1721"/>
    </row>
    <row r="521" spans="1:10">
      <c r="A521" s="1721" t="str">
        <f>"21-05-2023 18:00"</f>
        <v>21-05-2023 18:00</v>
      </c>
      <c r="B521" s="1721" t="str">
        <f>"21-05-2023 19:00"</f>
        <v>21-05-2023 19:00</v>
      </c>
      <c r="C521" s="1721">
        <v>0.57999999999999996</v>
      </c>
      <c r="D521" s="1721"/>
      <c r="E521" s="1721"/>
      <c r="G521" s="1721"/>
      <c r="H521" s="1721"/>
      <c r="I521" s="1721"/>
    </row>
    <row r="522" spans="1:10">
      <c r="A522" s="1721" t="str">
        <f>"21-05-2023 19:00"</f>
        <v>21-05-2023 19:00</v>
      </c>
      <c r="B522" s="1721" t="str">
        <f>"21-05-2023 20:00"</f>
        <v>21-05-2023 20:00</v>
      </c>
      <c r="C522" s="1721">
        <v>0.69</v>
      </c>
      <c r="D522" s="1721"/>
      <c r="E522" s="1721"/>
      <c r="G522" s="1721"/>
      <c r="H522" s="1721"/>
      <c r="I522" s="1721"/>
    </row>
    <row r="523" spans="1:10">
      <c r="A523" s="1721" t="str">
        <f>"21-05-2023 20:00"</f>
        <v>21-05-2023 20:00</v>
      </c>
      <c r="B523" s="1721" t="str">
        <f>"21-05-2023 21:00"</f>
        <v>21-05-2023 21:00</v>
      </c>
      <c r="C523" s="1721">
        <v>0.88</v>
      </c>
      <c r="D523" s="1721"/>
      <c r="E523" s="1721"/>
      <c r="G523" s="1721"/>
      <c r="H523" s="1721"/>
      <c r="I523" s="1721"/>
    </row>
    <row r="524" spans="1:10">
      <c r="A524" s="1721" t="str">
        <f>"21-05-2023 21:00"</f>
        <v>21-05-2023 21:00</v>
      </c>
      <c r="B524" s="1721" t="str">
        <f>"21-05-2023 22:00"</f>
        <v>21-05-2023 22:00</v>
      </c>
      <c r="C524" s="1721">
        <v>0.69</v>
      </c>
      <c r="D524" s="1721"/>
      <c r="E524" s="1721"/>
      <c r="G524" s="1721"/>
      <c r="H524" s="1721"/>
      <c r="I524" s="1721"/>
    </row>
    <row r="525" spans="1:10">
      <c r="A525" s="1721" t="str">
        <f>"21-05-2023 22:00"</f>
        <v>21-05-2023 22:00</v>
      </c>
      <c r="B525" s="1721" t="str">
        <f>"21-05-2023 23:00"</f>
        <v>21-05-2023 23:00</v>
      </c>
      <c r="C525" s="1721">
        <v>0.49</v>
      </c>
      <c r="D525" s="1721"/>
      <c r="E525" s="1721"/>
      <c r="G525" s="1721"/>
      <c r="H525" s="1721"/>
      <c r="I525" s="1721"/>
    </row>
    <row r="526" spans="1:10" ht="15" thickBot="1">
      <c r="A526" s="1721" t="str">
        <f>"21-05-2023 23:00"</f>
        <v>21-05-2023 23:00</v>
      </c>
      <c r="B526" s="1721" t="str">
        <f>"22-05-2023 00:00"</f>
        <v>22-05-2023 00:00</v>
      </c>
      <c r="C526" s="1721">
        <v>0.34</v>
      </c>
      <c r="D526" s="1721"/>
      <c r="E526" s="1721"/>
      <c r="G526" s="1721"/>
      <c r="H526" s="1721"/>
      <c r="I526" s="1721"/>
    </row>
    <row r="527" spans="1:10">
      <c r="A527" s="1792">
        <v>45068</v>
      </c>
      <c r="B527" s="1792"/>
      <c r="C527" s="1789">
        <f>SUM(C528:C551)</f>
        <v>12.780000000000001</v>
      </c>
      <c r="D527" s="1789">
        <f>SUM(D528:D551)</f>
        <v>0</v>
      </c>
      <c r="E527" s="1789">
        <f>C527+D527</f>
        <v>12.780000000000001</v>
      </c>
      <c r="F527" s="1802"/>
      <c r="G527" s="1791"/>
      <c r="H527" s="1791"/>
      <c r="I527" s="1789"/>
      <c r="J527" s="1802"/>
    </row>
    <row r="528" spans="1:10">
      <c r="A528" s="1721" t="str">
        <f>"22-05-2023 00:00"</f>
        <v>22-05-2023 00:00</v>
      </c>
      <c r="B528" s="1721" t="str">
        <f>"22-05-2023 01:00"</f>
        <v>22-05-2023 01:00</v>
      </c>
      <c r="C528" s="1721">
        <v>0.36</v>
      </c>
      <c r="D528" s="1721"/>
      <c r="E528" s="1721"/>
      <c r="G528" s="1721"/>
      <c r="H528" s="1721"/>
      <c r="I528" s="1721"/>
    </row>
    <row r="529" spans="1:9">
      <c r="A529" s="1721" t="str">
        <f>"22-05-2023 01:00"</f>
        <v>22-05-2023 01:00</v>
      </c>
      <c r="B529" s="1721" t="str">
        <f>"22-05-2023 02:00"</f>
        <v>22-05-2023 02:00</v>
      </c>
      <c r="C529" s="1721">
        <v>0.33</v>
      </c>
      <c r="D529" s="1721"/>
      <c r="E529" s="1721"/>
      <c r="G529" s="1721"/>
      <c r="H529" s="1721"/>
      <c r="I529" s="1721"/>
    </row>
    <row r="530" spans="1:9">
      <c r="A530" s="1721" t="str">
        <f>"22-05-2023 02:00"</f>
        <v>22-05-2023 02:00</v>
      </c>
      <c r="B530" s="1721" t="str">
        <f>"22-05-2023 03:00"</f>
        <v>22-05-2023 03:00</v>
      </c>
      <c r="C530" s="1721">
        <v>0.37</v>
      </c>
      <c r="D530" s="1721"/>
      <c r="E530" s="1721"/>
      <c r="G530" s="1721"/>
      <c r="H530" s="1721"/>
      <c r="I530" s="1721"/>
    </row>
    <row r="531" spans="1:9">
      <c r="A531" s="1721" t="str">
        <f>"22-05-2023 03:00"</f>
        <v>22-05-2023 03:00</v>
      </c>
      <c r="B531" s="1721" t="str">
        <f>"22-05-2023 04:00"</f>
        <v>22-05-2023 04:00</v>
      </c>
      <c r="C531" s="1721">
        <v>0.28000000000000003</v>
      </c>
      <c r="D531" s="1721"/>
      <c r="E531" s="1721"/>
      <c r="G531" s="1721"/>
      <c r="H531" s="1721"/>
      <c r="I531" s="1721"/>
    </row>
    <row r="532" spans="1:9">
      <c r="A532" s="1721" t="str">
        <f>"22-05-2023 04:00"</f>
        <v>22-05-2023 04:00</v>
      </c>
      <c r="B532" s="1721" t="str">
        <f>"22-05-2023 05:00"</f>
        <v>22-05-2023 05:00</v>
      </c>
      <c r="C532" s="1721">
        <v>0.33</v>
      </c>
      <c r="D532" s="1721"/>
      <c r="E532" s="1721"/>
      <c r="G532" s="1721"/>
      <c r="H532" s="1721"/>
      <c r="I532" s="1721"/>
    </row>
    <row r="533" spans="1:9">
      <c r="A533" s="1721" t="str">
        <f>"22-05-2023 05:00"</f>
        <v>22-05-2023 05:00</v>
      </c>
      <c r="B533" s="1721" t="str">
        <f>"22-05-2023 06:00"</f>
        <v>22-05-2023 06:00</v>
      </c>
      <c r="C533" s="1721">
        <v>0.37</v>
      </c>
      <c r="D533" s="1721"/>
      <c r="E533" s="1721"/>
      <c r="G533" s="1721"/>
      <c r="H533" s="1721"/>
      <c r="I533" s="1721"/>
    </row>
    <row r="534" spans="1:9">
      <c r="A534" s="1721" t="str">
        <f>"22-05-2023 06:00"</f>
        <v>22-05-2023 06:00</v>
      </c>
      <c r="B534" s="1721" t="str">
        <f>"22-05-2023 07:00"</f>
        <v>22-05-2023 07:00</v>
      </c>
      <c r="C534" s="1721">
        <v>0.9</v>
      </c>
      <c r="D534" s="1721"/>
      <c r="E534" s="1721"/>
      <c r="G534" s="1721"/>
      <c r="H534" s="1721"/>
      <c r="I534" s="1721"/>
    </row>
    <row r="535" spans="1:9">
      <c r="A535" s="1721" t="str">
        <f>"22-05-2023 07:00"</f>
        <v>22-05-2023 07:00</v>
      </c>
      <c r="B535" s="1721" t="str">
        <f>"22-05-2023 08:00"</f>
        <v>22-05-2023 08:00</v>
      </c>
      <c r="C535" s="1721">
        <v>0.79</v>
      </c>
      <c r="D535" s="1721"/>
      <c r="E535" s="1721"/>
      <c r="G535" s="1721"/>
      <c r="H535" s="1721"/>
      <c r="I535" s="1721"/>
    </row>
    <row r="536" spans="1:9">
      <c r="A536" s="1721" t="str">
        <f>"22-05-2023 08:00"</f>
        <v>22-05-2023 08:00</v>
      </c>
      <c r="B536" s="1721" t="str">
        <f>"22-05-2023 09:00"</f>
        <v>22-05-2023 09:00</v>
      </c>
      <c r="C536" s="1721">
        <v>0.66</v>
      </c>
      <c r="D536" s="1721"/>
      <c r="E536" s="1721"/>
      <c r="G536" s="1721"/>
      <c r="H536" s="1721"/>
      <c r="I536" s="1721"/>
    </row>
    <row r="537" spans="1:9">
      <c r="A537" s="1721" t="str">
        <f>"22-05-2023 09:00"</f>
        <v>22-05-2023 09:00</v>
      </c>
      <c r="B537" s="1721" t="str">
        <f>"22-05-2023 10:00"</f>
        <v>22-05-2023 10:00</v>
      </c>
      <c r="C537" s="1721">
        <v>0.61</v>
      </c>
      <c r="D537" s="1721"/>
      <c r="E537" s="1721"/>
      <c r="G537" s="1721"/>
      <c r="H537" s="1721"/>
      <c r="I537" s="1721"/>
    </row>
    <row r="538" spans="1:9">
      <c r="A538" s="1721" t="str">
        <f>"22-05-2023 10:00"</f>
        <v>22-05-2023 10:00</v>
      </c>
      <c r="B538" s="1721" t="str">
        <f>"22-05-2023 11:00"</f>
        <v>22-05-2023 11:00</v>
      </c>
      <c r="C538" s="1721">
        <v>0.59</v>
      </c>
      <c r="D538" s="1721"/>
      <c r="E538" s="1721"/>
      <c r="G538" s="1721"/>
      <c r="H538" s="1721"/>
      <c r="I538" s="1721"/>
    </row>
    <row r="539" spans="1:9">
      <c r="A539" s="1721" t="str">
        <f>"22-05-2023 11:00"</f>
        <v>22-05-2023 11:00</v>
      </c>
      <c r="B539" s="1721" t="str">
        <f>"22-05-2023 12:00"</f>
        <v>22-05-2023 12:00</v>
      </c>
      <c r="C539" s="1721">
        <v>0.34</v>
      </c>
      <c r="D539" s="1721"/>
      <c r="E539" s="1721"/>
      <c r="G539" s="1721"/>
      <c r="H539" s="1721"/>
      <c r="I539" s="1721"/>
    </row>
    <row r="540" spans="1:9">
      <c r="A540" s="1721" t="str">
        <f>"22-05-2023 12:00"</f>
        <v>22-05-2023 12:00</v>
      </c>
      <c r="B540" s="1721" t="str">
        <f>"22-05-2023 13:00"</f>
        <v>22-05-2023 13:00</v>
      </c>
      <c r="C540" s="1721">
        <v>0.46</v>
      </c>
      <c r="D540" s="1721"/>
      <c r="E540" s="1721"/>
      <c r="G540" s="1721"/>
      <c r="H540" s="1721"/>
      <c r="I540" s="1721"/>
    </row>
    <row r="541" spans="1:9">
      <c r="A541" s="1721" t="str">
        <f>"22-05-2023 13:00"</f>
        <v>22-05-2023 13:00</v>
      </c>
      <c r="B541" s="1721" t="str">
        <f>"22-05-2023 14:00"</f>
        <v>22-05-2023 14:00</v>
      </c>
      <c r="C541" s="1721">
        <v>0.38</v>
      </c>
      <c r="D541" s="1721"/>
      <c r="E541" s="1721"/>
      <c r="G541" s="1721"/>
      <c r="H541" s="1721"/>
      <c r="I541" s="1721"/>
    </row>
    <row r="542" spans="1:9">
      <c r="A542" s="1721" t="str">
        <f>"22-05-2023 14:00"</f>
        <v>22-05-2023 14:00</v>
      </c>
      <c r="B542" s="1721" t="str">
        <f>"22-05-2023 15:00"</f>
        <v>22-05-2023 15:00</v>
      </c>
      <c r="C542" s="1721">
        <v>0.34</v>
      </c>
      <c r="D542" s="1721"/>
      <c r="E542" s="1721"/>
      <c r="G542" s="1721"/>
      <c r="H542" s="1721"/>
      <c r="I542" s="1721"/>
    </row>
    <row r="543" spans="1:9">
      <c r="A543" s="1721" t="str">
        <f>"22-05-2023 15:00"</f>
        <v>22-05-2023 15:00</v>
      </c>
      <c r="B543" s="1721" t="str">
        <f>"22-05-2023 16:00"</f>
        <v>22-05-2023 16:00</v>
      </c>
      <c r="C543" s="1721">
        <v>0.35</v>
      </c>
      <c r="D543" s="1721"/>
      <c r="E543" s="1721"/>
      <c r="G543" s="1721"/>
      <c r="H543" s="1721"/>
      <c r="I543" s="1721"/>
    </row>
    <row r="544" spans="1:9">
      <c r="A544" s="1721" t="str">
        <f>"22-05-2023 16:00"</f>
        <v>22-05-2023 16:00</v>
      </c>
      <c r="B544" s="1721" t="str">
        <f>"22-05-2023 17:00"</f>
        <v>22-05-2023 17:00</v>
      </c>
      <c r="C544" s="1721">
        <v>0.63</v>
      </c>
      <c r="D544" s="1721"/>
      <c r="E544" s="1721"/>
      <c r="G544" s="1721"/>
      <c r="H544" s="1721"/>
      <c r="I544" s="1721"/>
    </row>
    <row r="545" spans="1:10">
      <c r="A545" s="1721" t="str">
        <f>"22-05-2023 17:00"</f>
        <v>22-05-2023 17:00</v>
      </c>
      <c r="B545" s="1721" t="str">
        <f>"22-05-2023 18:00"</f>
        <v>22-05-2023 18:00</v>
      </c>
      <c r="C545" s="1721">
        <v>0.74</v>
      </c>
      <c r="D545" s="1721"/>
      <c r="E545" s="1721"/>
      <c r="G545" s="1721"/>
      <c r="H545" s="1721"/>
      <c r="I545" s="1721"/>
    </row>
    <row r="546" spans="1:10">
      <c r="A546" s="1721" t="str">
        <f>"22-05-2023 18:00"</f>
        <v>22-05-2023 18:00</v>
      </c>
      <c r="B546" s="1721" t="str">
        <f>"22-05-2023 19:00"</f>
        <v>22-05-2023 19:00</v>
      </c>
      <c r="C546" s="1721">
        <v>0.79</v>
      </c>
      <c r="D546" s="1721"/>
      <c r="E546" s="1721"/>
      <c r="G546" s="1721"/>
      <c r="H546" s="1721"/>
      <c r="I546" s="1721"/>
    </row>
    <row r="547" spans="1:10">
      <c r="A547" s="1721" t="str">
        <f>"22-05-2023 19:00"</f>
        <v>22-05-2023 19:00</v>
      </c>
      <c r="B547" s="1721" t="str">
        <f>"22-05-2023 20:00"</f>
        <v>22-05-2023 20:00</v>
      </c>
      <c r="C547" s="1721">
        <v>0.67</v>
      </c>
      <c r="D547" s="1721"/>
      <c r="E547" s="1721"/>
      <c r="G547" s="1721"/>
      <c r="H547" s="1721"/>
      <c r="I547" s="1721"/>
    </row>
    <row r="548" spans="1:10">
      <c r="A548" s="1721" t="str">
        <f>"22-05-2023 20:00"</f>
        <v>22-05-2023 20:00</v>
      </c>
      <c r="B548" s="1721" t="str">
        <f>"22-05-2023 21:00"</f>
        <v>22-05-2023 21:00</v>
      </c>
      <c r="C548" s="1721">
        <v>0.73</v>
      </c>
      <c r="D548" s="1721"/>
      <c r="E548" s="1721"/>
      <c r="G548" s="1721"/>
      <c r="H548" s="1721"/>
      <c r="I548" s="1721"/>
    </row>
    <row r="549" spans="1:10">
      <c r="A549" s="1721" t="str">
        <f>"22-05-2023 21:00"</f>
        <v>22-05-2023 21:00</v>
      </c>
      <c r="B549" s="1721" t="str">
        <f>"22-05-2023 22:00"</f>
        <v>22-05-2023 22:00</v>
      </c>
      <c r="C549" s="1721">
        <v>0.75</v>
      </c>
      <c r="D549" s="1721"/>
      <c r="E549" s="1721"/>
      <c r="G549" s="1721"/>
      <c r="H549" s="1721"/>
      <c r="I549" s="1721"/>
    </row>
    <row r="550" spans="1:10">
      <c r="A550" s="1721" t="str">
        <f>"22-05-2023 22:00"</f>
        <v>22-05-2023 22:00</v>
      </c>
      <c r="B550" s="1721" t="str">
        <f>"22-05-2023 23:00"</f>
        <v>22-05-2023 23:00</v>
      </c>
      <c r="C550" s="1721">
        <v>0.64</v>
      </c>
      <c r="D550" s="1721"/>
      <c r="E550" s="1721"/>
      <c r="G550" s="1721"/>
      <c r="H550" s="1721"/>
      <c r="I550" s="1721"/>
    </row>
    <row r="551" spans="1:10" ht="15" thickBot="1">
      <c r="A551" s="1721" t="str">
        <f>"22-05-2023 23:00"</f>
        <v>22-05-2023 23:00</v>
      </c>
      <c r="B551" s="1721" t="str">
        <f>"23-05-2023 00:00"</f>
        <v>23-05-2023 00:00</v>
      </c>
      <c r="C551" s="1721">
        <v>0.37</v>
      </c>
      <c r="D551" s="1721"/>
      <c r="E551" s="1721"/>
      <c r="G551" s="1721"/>
      <c r="H551" s="1721"/>
      <c r="I551" s="1721"/>
    </row>
    <row r="552" spans="1:10">
      <c r="A552" s="1792">
        <v>45069</v>
      </c>
      <c r="B552" s="1792"/>
      <c r="C552" s="1789">
        <f>SUM(C553:C576)</f>
        <v>12.28</v>
      </c>
      <c r="D552" s="1789">
        <f>SUM(D553:D576)</f>
        <v>0</v>
      </c>
      <c r="E552" s="1789">
        <f>C552+D552</f>
        <v>12.28</v>
      </c>
      <c r="F552" s="1802"/>
      <c r="G552" s="1791"/>
      <c r="H552" s="1791"/>
      <c r="I552" s="1789"/>
      <c r="J552" s="1802"/>
    </row>
    <row r="553" spans="1:10">
      <c r="A553" s="1721" t="str">
        <f>"23-05-2023 00:00"</f>
        <v>23-05-2023 00:00</v>
      </c>
      <c r="B553" s="1721" t="str">
        <f>"23-05-2023 01:00"</f>
        <v>23-05-2023 01:00</v>
      </c>
      <c r="C553" s="1721">
        <v>0.35</v>
      </c>
      <c r="D553" s="1721"/>
      <c r="E553" s="1721"/>
      <c r="G553" s="1721"/>
      <c r="H553" s="1721"/>
      <c r="I553" s="1721"/>
    </row>
    <row r="554" spans="1:10">
      <c r="A554" s="1721" t="str">
        <f>"23-05-2023 01:00"</f>
        <v>23-05-2023 01:00</v>
      </c>
      <c r="B554" s="1721" t="str">
        <f>"23-05-2023 02:00"</f>
        <v>23-05-2023 02:00</v>
      </c>
      <c r="C554" s="1721">
        <v>0.39</v>
      </c>
      <c r="D554" s="1721"/>
      <c r="E554" s="1721"/>
      <c r="G554" s="1721"/>
      <c r="H554" s="1721"/>
      <c r="I554" s="1721"/>
    </row>
    <row r="555" spans="1:10">
      <c r="A555" s="1721" t="str">
        <f>"23-05-2023 02:00"</f>
        <v>23-05-2023 02:00</v>
      </c>
      <c r="B555" s="1721" t="str">
        <f>"23-05-2023 03:00"</f>
        <v>23-05-2023 03:00</v>
      </c>
      <c r="C555" s="1721">
        <v>0.34</v>
      </c>
      <c r="D555" s="1721"/>
      <c r="E555" s="1721"/>
      <c r="G555" s="1721"/>
      <c r="H555" s="1721"/>
      <c r="I555" s="1721"/>
    </row>
    <row r="556" spans="1:10">
      <c r="A556" s="1721" t="str">
        <f>"23-05-2023 03:00"</f>
        <v>23-05-2023 03:00</v>
      </c>
      <c r="B556" s="1721" t="str">
        <f>"23-05-2023 04:00"</f>
        <v>23-05-2023 04:00</v>
      </c>
      <c r="C556" s="1721">
        <v>0.35</v>
      </c>
      <c r="D556" s="1721"/>
      <c r="E556" s="1721"/>
      <c r="G556" s="1721"/>
      <c r="H556" s="1721"/>
      <c r="I556" s="1721"/>
    </row>
    <row r="557" spans="1:10">
      <c r="A557" s="1721" t="str">
        <f>"23-05-2023 04:00"</f>
        <v>23-05-2023 04:00</v>
      </c>
      <c r="B557" s="1721" t="str">
        <f>"23-05-2023 05:00"</f>
        <v>23-05-2023 05:00</v>
      </c>
      <c r="C557" s="1721">
        <v>0.4</v>
      </c>
      <c r="D557" s="1721"/>
      <c r="E557" s="1721"/>
      <c r="G557" s="1721"/>
      <c r="H557" s="1721"/>
      <c r="I557" s="1721"/>
    </row>
    <row r="558" spans="1:10">
      <c r="A558" s="1721" t="str">
        <f>"23-05-2023 05:00"</f>
        <v>23-05-2023 05:00</v>
      </c>
      <c r="B558" s="1721" t="str">
        <f>"23-05-2023 06:00"</f>
        <v>23-05-2023 06:00</v>
      </c>
      <c r="C558" s="1721">
        <v>0.28000000000000003</v>
      </c>
      <c r="D558" s="1721"/>
      <c r="E558" s="1721"/>
      <c r="G558" s="1721"/>
      <c r="H558" s="1721"/>
      <c r="I558" s="1721"/>
    </row>
    <row r="559" spans="1:10">
      <c r="A559" s="1721" t="str">
        <f>"23-05-2023 06:00"</f>
        <v>23-05-2023 06:00</v>
      </c>
      <c r="B559" s="1721" t="str">
        <f>"23-05-2023 07:00"</f>
        <v>23-05-2023 07:00</v>
      </c>
      <c r="C559" s="1721">
        <v>0.81</v>
      </c>
      <c r="D559" s="1721"/>
      <c r="E559" s="1721"/>
      <c r="G559" s="1721"/>
      <c r="H559" s="1721"/>
      <c r="I559" s="1721"/>
    </row>
    <row r="560" spans="1:10">
      <c r="A560" s="1721" t="str">
        <f>"23-05-2023 07:00"</f>
        <v>23-05-2023 07:00</v>
      </c>
      <c r="B560" s="1721" t="str">
        <f>"23-05-2023 08:00"</f>
        <v>23-05-2023 08:00</v>
      </c>
      <c r="C560" s="1721">
        <v>0.93</v>
      </c>
      <c r="D560" s="1721"/>
      <c r="E560" s="1721"/>
      <c r="G560" s="1721"/>
      <c r="H560" s="1721"/>
      <c r="I560" s="1721"/>
    </row>
    <row r="561" spans="1:9">
      <c r="A561" s="1721" t="str">
        <f>"23-05-2023 08:00"</f>
        <v>23-05-2023 08:00</v>
      </c>
      <c r="B561" s="1721" t="str">
        <f>"23-05-2023 09:00"</f>
        <v>23-05-2023 09:00</v>
      </c>
      <c r="C561" s="1721">
        <v>0.54</v>
      </c>
      <c r="D561" s="1721"/>
      <c r="E561" s="1721"/>
      <c r="G561" s="1721"/>
      <c r="H561" s="1721"/>
      <c r="I561" s="1721"/>
    </row>
    <row r="562" spans="1:9">
      <c r="A562" s="1721" t="str">
        <f>"23-05-2023 09:00"</f>
        <v>23-05-2023 09:00</v>
      </c>
      <c r="B562" s="1721" t="str">
        <f>"23-05-2023 10:00"</f>
        <v>23-05-2023 10:00</v>
      </c>
      <c r="C562" s="1721">
        <v>0.69</v>
      </c>
      <c r="D562" s="1721"/>
      <c r="E562" s="1721"/>
      <c r="G562" s="1721"/>
      <c r="H562" s="1721"/>
      <c r="I562" s="1721"/>
    </row>
    <row r="563" spans="1:9">
      <c r="A563" s="1721" t="str">
        <f>"23-05-2023 10:00"</f>
        <v>23-05-2023 10:00</v>
      </c>
      <c r="B563" s="1721" t="str">
        <f>"23-05-2023 11:00"</f>
        <v>23-05-2023 11:00</v>
      </c>
      <c r="C563" s="1721">
        <v>0.48</v>
      </c>
      <c r="D563" s="1721"/>
      <c r="E563" s="1721"/>
      <c r="G563" s="1721"/>
      <c r="H563" s="1721"/>
      <c r="I563" s="1721"/>
    </row>
    <row r="564" spans="1:9">
      <c r="A564" s="1721" t="str">
        <f>"23-05-2023 11:00"</f>
        <v>23-05-2023 11:00</v>
      </c>
      <c r="B564" s="1721" t="str">
        <f>"23-05-2023 12:00"</f>
        <v>23-05-2023 12:00</v>
      </c>
      <c r="C564" s="1721">
        <v>0.59</v>
      </c>
      <c r="D564" s="1721"/>
      <c r="E564" s="1721"/>
      <c r="G564" s="1721"/>
      <c r="H564" s="1721"/>
      <c r="I564" s="1721"/>
    </row>
    <row r="565" spans="1:9">
      <c r="A565" s="1721" t="str">
        <f>"23-05-2023 12:00"</f>
        <v>23-05-2023 12:00</v>
      </c>
      <c r="B565" s="1721" t="str">
        <f>"23-05-2023 13:00"</f>
        <v>23-05-2023 13:00</v>
      </c>
      <c r="C565" s="1721">
        <v>0.41</v>
      </c>
      <c r="D565" s="1721"/>
      <c r="E565" s="1721"/>
      <c r="G565" s="1721"/>
      <c r="H565" s="1721"/>
      <c r="I565" s="1721"/>
    </row>
    <row r="566" spans="1:9">
      <c r="A566" s="1721" t="str">
        <f>"23-05-2023 13:00"</f>
        <v>23-05-2023 13:00</v>
      </c>
      <c r="B566" s="1721" t="str">
        <f>"23-05-2023 14:00"</f>
        <v>23-05-2023 14:00</v>
      </c>
      <c r="C566" s="1721">
        <v>0.34</v>
      </c>
      <c r="D566" s="1721"/>
      <c r="E566" s="1721"/>
      <c r="G566" s="1721"/>
      <c r="H566" s="1721"/>
      <c r="I566" s="1721"/>
    </row>
    <row r="567" spans="1:9">
      <c r="A567" s="1721" t="str">
        <f>"23-05-2023 14:00"</f>
        <v>23-05-2023 14:00</v>
      </c>
      <c r="B567" s="1721" t="str">
        <f>"23-05-2023 15:00"</f>
        <v>23-05-2023 15:00</v>
      </c>
      <c r="C567" s="1721">
        <v>0.28000000000000003</v>
      </c>
      <c r="D567" s="1721"/>
      <c r="E567" s="1721"/>
      <c r="G567" s="1721"/>
      <c r="H567" s="1721"/>
      <c r="I567" s="1721"/>
    </row>
    <row r="568" spans="1:9">
      <c r="A568" s="1721" t="str">
        <f>"23-05-2023 15:00"</f>
        <v>23-05-2023 15:00</v>
      </c>
      <c r="B568" s="1721" t="str">
        <f>"23-05-2023 16:00"</f>
        <v>23-05-2023 16:00</v>
      </c>
      <c r="C568" s="1721">
        <v>0.4</v>
      </c>
      <c r="D568" s="1721"/>
      <c r="E568" s="1721"/>
      <c r="G568" s="1721"/>
      <c r="H568" s="1721"/>
      <c r="I568" s="1721"/>
    </row>
    <row r="569" spans="1:9">
      <c r="A569" s="1721" t="str">
        <f>"23-05-2023 16:00"</f>
        <v>23-05-2023 16:00</v>
      </c>
      <c r="B569" s="1721" t="str">
        <f>"23-05-2023 17:00"</f>
        <v>23-05-2023 17:00</v>
      </c>
      <c r="C569" s="1721">
        <v>0.44</v>
      </c>
      <c r="D569" s="1721"/>
      <c r="E569" s="1721"/>
      <c r="G569" s="1721"/>
      <c r="H569" s="1721"/>
      <c r="I569" s="1721"/>
    </row>
    <row r="570" spans="1:9">
      <c r="A570" s="1721" t="str">
        <f>"23-05-2023 17:00"</f>
        <v>23-05-2023 17:00</v>
      </c>
      <c r="B570" s="1721" t="str">
        <f>"23-05-2023 18:00"</f>
        <v>23-05-2023 18:00</v>
      </c>
      <c r="C570" s="1721">
        <v>0.87</v>
      </c>
      <c r="D570" s="1721"/>
      <c r="E570" s="1721"/>
      <c r="G570" s="1721"/>
      <c r="H570" s="1721"/>
      <c r="I570" s="1721"/>
    </row>
    <row r="571" spans="1:9">
      <c r="A571" s="1721" t="str">
        <f>"23-05-2023 18:00"</f>
        <v>23-05-2023 18:00</v>
      </c>
      <c r="B571" s="1721" t="str">
        <f>"23-05-2023 19:00"</f>
        <v>23-05-2023 19:00</v>
      </c>
      <c r="C571" s="1721">
        <v>0.56000000000000005</v>
      </c>
      <c r="D571" s="1721"/>
      <c r="E571" s="1721"/>
      <c r="G571" s="1721"/>
      <c r="H571" s="1721"/>
      <c r="I571" s="1721"/>
    </row>
    <row r="572" spans="1:9">
      <c r="A572" s="1721" t="str">
        <f>"23-05-2023 19:00"</f>
        <v>23-05-2023 19:00</v>
      </c>
      <c r="B572" s="1721" t="str">
        <f>"23-05-2023 20:00"</f>
        <v>23-05-2023 20:00</v>
      </c>
      <c r="C572" s="1721">
        <v>0.7</v>
      </c>
      <c r="D572" s="1721"/>
      <c r="E572" s="1721"/>
      <c r="G572" s="1721"/>
      <c r="H572" s="1721"/>
      <c r="I572" s="1721"/>
    </row>
    <row r="573" spans="1:9">
      <c r="A573" s="1721" t="str">
        <f>"23-05-2023 20:00"</f>
        <v>23-05-2023 20:00</v>
      </c>
      <c r="B573" s="1721" t="str">
        <f>"23-05-2023 21:00"</f>
        <v>23-05-2023 21:00</v>
      </c>
      <c r="C573" s="1721">
        <v>0.75</v>
      </c>
      <c r="D573" s="1721"/>
      <c r="E573" s="1721"/>
      <c r="G573" s="1721"/>
      <c r="H573" s="1721"/>
      <c r="I573" s="1721"/>
    </row>
    <row r="574" spans="1:9">
      <c r="A574" s="1721" t="str">
        <f>"23-05-2023 21:00"</f>
        <v>23-05-2023 21:00</v>
      </c>
      <c r="B574" s="1721" t="str">
        <f>"23-05-2023 22:00"</f>
        <v>23-05-2023 22:00</v>
      </c>
      <c r="C574" s="1721">
        <v>0.62</v>
      </c>
      <c r="D574" s="1721"/>
      <c r="E574" s="1721"/>
      <c r="G574" s="1721"/>
      <c r="H574" s="1721"/>
      <c r="I574" s="1721"/>
    </row>
    <row r="575" spans="1:9">
      <c r="A575" s="1721" t="str">
        <f>"23-05-2023 22:00"</f>
        <v>23-05-2023 22:00</v>
      </c>
      <c r="B575" s="1721" t="str">
        <f>"23-05-2023 23:00"</f>
        <v>23-05-2023 23:00</v>
      </c>
      <c r="C575" s="1721">
        <v>0.4</v>
      </c>
      <c r="D575" s="1721"/>
      <c r="E575" s="1721"/>
      <c r="G575" s="1721"/>
      <c r="H575" s="1721"/>
      <c r="I575" s="1721"/>
    </row>
    <row r="576" spans="1:9" ht="15" thickBot="1">
      <c r="A576" s="1721" t="str">
        <f>"23-05-2023 23:00"</f>
        <v>23-05-2023 23:00</v>
      </c>
      <c r="B576" s="1721" t="str">
        <f>"24-05-2023 00:00"</f>
        <v>24-05-2023 00:00</v>
      </c>
      <c r="C576" s="1721">
        <v>0.36</v>
      </c>
      <c r="D576" s="1721"/>
      <c r="E576" s="1721"/>
      <c r="G576" s="1721"/>
      <c r="H576" s="1721"/>
      <c r="I576" s="1721"/>
    </row>
    <row r="577" spans="1:10">
      <c r="A577" s="1792">
        <v>45070</v>
      </c>
      <c r="B577" s="1792"/>
      <c r="C577" s="1789">
        <f>SUM(C578:C601)</f>
        <v>15.339999999999998</v>
      </c>
      <c r="D577" s="1789">
        <f>SUM(D578:D601)</f>
        <v>0</v>
      </c>
      <c r="E577" s="1789">
        <f>C577+D577</f>
        <v>15.339999999999998</v>
      </c>
      <c r="F577" s="1802"/>
      <c r="G577" s="1791"/>
      <c r="H577" s="1791"/>
      <c r="I577" s="1789"/>
      <c r="J577" s="1802"/>
    </row>
    <row r="578" spans="1:10">
      <c r="A578" s="1721" t="str">
        <f>"24-05-2023 00:00"</f>
        <v>24-05-2023 00:00</v>
      </c>
      <c r="B578" s="1721" t="str">
        <f>"24-05-2023 01:00"</f>
        <v>24-05-2023 01:00</v>
      </c>
      <c r="C578" s="1721">
        <v>0.33</v>
      </c>
      <c r="D578" s="1721"/>
      <c r="E578" s="1721"/>
      <c r="G578" s="1721"/>
      <c r="H578" s="1721"/>
      <c r="I578" s="1721"/>
    </row>
    <row r="579" spans="1:10">
      <c r="A579" s="1721" t="str">
        <f>"24-05-2023 01:00"</f>
        <v>24-05-2023 01:00</v>
      </c>
      <c r="B579" s="1721" t="str">
        <f>"24-05-2023 02:00"</f>
        <v>24-05-2023 02:00</v>
      </c>
      <c r="C579" s="1721">
        <v>0.37</v>
      </c>
      <c r="D579" s="1721"/>
      <c r="E579" s="1721"/>
      <c r="G579" s="1721"/>
      <c r="H579" s="1721"/>
      <c r="I579" s="1721"/>
    </row>
    <row r="580" spans="1:10">
      <c r="A580" s="1721" t="str">
        <f>"24-05-2023 02:00"</f>
        <v>24-05-2023 02:00</v>
      </c>
      <c r="B580" s="1721" t="str">
        <f>"24-05-2023 03:00"</f>
        <v>24-05-2023 03:00</v>
      </c>
      <c r="C580" s="1721">
        <v>0.32</v>
      </c>
      <c r="D580" s="1721"/>
      <c r="E580" s="1721"/>
      <c r="G580" s="1721"/>
      <c r="H580" s="1721"/>
      <c r="I580" s="1721"/>
    </row>
    <row r="581" spans="1:10">
      <c r="A581" s="1721" t="str">
        <f>"24-05-2023 03:00"</f>
        <v>24-05-2023 03:00</v>
      </c>
      <c r="B581" s="1721" t="str">
        <f>"24-05-2023 04:00"</f>
        <v>24-05-2023 04:00</v>
      </c>
      <c r="C581" s="1721">
        <v>0.26</v>
      </c>
      <c r="D581" s="1721"/>
      <c r="E581" s="1721"/>
      <c r="G581" s="1721"/>
      <c r="H581" s="1721"/>
      <c r="I581" s="1721"/>
    </row>
    <row r="582" spans="1:10">
      <c r="A582" s="1721" t="str">
        <f>"24-05-2023 04:00"</f>
        <v>24-05-2023 04:00</v>
      </c>
      <c r="B582" s="1721" t="str">
        <f>"24-05-2023 05:00"</f>
        <v>24-05-2023 05:00</v>
      </c>
      <c r="C582" s="1721">
        <v>0.44</v>
      </c>
      <c r="D582" s="1721"/>
      <c r="E582" s="1721"/>
      <c r="G582" s="1721"/>
      <c r="H582" s="1721"/>
      <c r="I582" s="1721"/>
    </row>
    <row r="583" spans="1:10">
      <c r="A583" s="1721" t="str">
        <f>"24-05-2023 05:00"</f>
        <v>24-05-2023 05:00</v>
      </c>
      <c r="B583" s="1721" t="str">
        <f>"24-05-2023 06:00"</f>
        <v>24-05-2023 06:00</v>
      </c>
      <c r="C583" s="1721">
        <v>0.35</v>
      </c>
      <c r="D583" s="1721"/>
      <c r="E583" s="1721"/>
      <c r="G583" s="1721"/>
      <c r="H583" s="1721"/>
      <c r="I583" s="1721"/>
    </row>
    <row r="584" spans="1:10">
      <c r="A584" s="1721" t="str">
        <f>"24-05-2023 06:00"</f>
        <v>24-05-2023 06:00</v>
      </c>
      <c r="B584" s="1721" t="str">
        <f>"24-05-2023 07:00"</f>
        <v>24-05-2023 07:00</v>
      </c>
      <c r="C584" s="1721">
        <v>0.83</v>
      </c>
      <c r="D584" s="1721"/>
      <c r="E584" s="1721"/>
      <c r="G584" s="1721"/>
      <c r="H584" s="1721"/>
      <c r="I584" s="1721"/>
    </row>
    <row r="585" spans="1:10">
      <c r="A585" s="1721" t="str">
        <f>"24-05-2023 07:00"</f>
        <v>24-05-2023 07:00</v>
      </c>
      <c r="B585" s="1721" t="str">
        <f>"24-05-2023 08:00"</f>
        <v>24-05-2023 08:00</v>
      </c>
      <c r="C585" s="1721">
        <v>0.84</v>
      </c>
      <c r="D585" s="1721"/>
      <c r="E585" s="1721"/>
      <c r="G585" s="1721"/>
      <c r="H585" s="1721"/>
      <c r="I585" s="1721"/>
    </row>
    <row r="586" spans="1:10">
      <c r="A586" s="1721" t="str">
        <f>"24-05-2023 08:00"</f>
        <v>24-05-2023 08:00</v>
      </c>
      <c r="B586" s="1721" t="str">
        <f>"24-05-2023 09:00"</f>
        <v>24-05-2023 09:00</v>
      </c>
      <c r="C586" s="1721">
        <v>0.68</v>
      </c>
      <c r="D586" s="1721"/>
      <c r="E586" s="1721"/>
      <c r="G586" s="1721"/>
      <c r="H586" s="1721"/>
      <c r="I586" s="1721"/>
    </row>
    <row r="587" spans="1:10">
      <c r="A587" s="1721" t="str">
        <f>"24-05-2023 09:00"</f>
        <v>24-05-2023 09:00</v>
      </c>
      <c r="B587" s="1721" t="str">
        <f>"24-05-2023 10:00"</f>
        <v>24-05-2023 10:00</v>
      </c>
      <c r="C587" s="1721">
        <v>0.74</v>
      </c>
      <c r="D587" s="1721"/>
      <c r="E587" s="1721"/>
      <c r="G587" s="1721"/>
      <c r="H587" s="1721"/>
      <c r="I587" s="1721"/>
    </row>
    <row r="588" spans="1:10">
      <c r="A588" s="1721" t="str">
        <f>"24-05-2023 10:00"</f>
        <v>24-05-2023 10:00</v>
      </c>
      <c r="B588" s="1721" t="str">
        <f>"24-05-2023 11:00"</f>
        <v>24-05-2023 11:00</v>
      </c>
      <c r="C588" s="1721">
        <v>0.65</v>
      </c>
      <c r="D588" s="1721"/>
      <c r="E588" s="1721"/>
      <c r="G588" s="1721"/>
      <c r="H588" s="1721"/>
      <c r="I588" s="1721"/>
    </row>
    <row r="589" spans="1:10">
      <c r="A589" s="1721" t="str">
        <f>"24-05-2023 11:00"</f>
        <v>24-05-2023 11:00</v>
      </c>
      <c r="B589" s="1721" t="str">
        <f>"24-05-2023 12:00"</f>
        <v>24-05-2023 12:00</v>
      </c>
      <c r="C589" s="1721">
        <v>0.44</v>
      </c>
      <c r="D589" s="1721"/>
      <c r="E589" s="1721"/>
      <c r="G589" s="1721"/>
      <c r="H589" s="1721"/>
      <c r="I589" s="1721"/>
    </row>
    <row r="590" spans="1:10">
      <c r="A590" s="1721" t="str">
        <f>"24-05-2023 12:00"</f>
        <v>24-05-2023 12:00</v>
      </c>
      <c r="B590" s="1721" t="str">
        <f>"24-05-2023 13:00"</f>
        <v>24-05-2023 13:00</v>
      </c>
      <c r="C590" s="1721">
        <v>0.69</v>
      </c>
      <c r="D590" s="1721"/>
      <c r="E590" s="1721"/>
      <c r="G590" s="1721"/>
      <c r="H590" s="1721"/>
      <c r="I590" s="1721"/>
    </row>
    <row r="591" spans="1:10">
      <c r="A591" s="1721" t="str">
        <f>"24-05-2023 13:00"</f>
        <v>24-05-2023 13:00</v>
      </c>
      <c r="B591" s="1721" t="str">
        <f>"24-05-2023 14:00"</f>
        <v>24-05-2023 14:00</v>
      </c>
      <c r="C591" s="1721">
        <v>0.59</v>
      </c>
      <c r="D591" s="1721"/>
      <c r="E591" s="1721"/>
      <c r="G591" s="1721"/>
      <c r="H591" s="1721"/>
      <c r="I591" s="1721"/>
    </row>
    <row r="592" spans="1:10">
      <c r="A592" s="1721" t="str">
        <f>"24-05-2023 14:00"</f>
        <v>24-05-2023 14:00</v>
      </c>
      <c r="B592" s="1721" t="str">
        <f>"24-05-2023 15:00"</f>
        <v>24-05-2023 15:00</v>
      </c>
      <c r="C592" s="1721">
        <v>0.68</v>
      </c>
      <c r="D592" s="1721"/>
      <c r="E592" s="1721"/>
      <c r="G592" s="1721"/>
      <c r="H592" s="1721"/>
      <c r="I592" s="1721"/>
    </row>
    <row r="593" spans="1:10">
      <c r="A593" s="1721" t="str">
        <f>"24-05-2023 15:00"</f>
        <v>24-05-2023 15:00</v>
      </c>
      <c r="B593" s="1721" t="str">
        <f>"24-05-2023 16:00"</f>
        <v>24-05-2023 16:00</v>
      </c>
      <c r="C593" s="1721">
        <v>0.53</v>
      </c>
      <c r="D593" s="1721"/>
      <c r="E593" s="1721"/>
      <c r="G593" s="1721"/>
      <c r="H593" s="1721"/>
      <c r="I593" s="1721"/>
    </row>
    <row r="594" spans="1:10">
      <c r="A594" s="1721" t="str">
        <f>"24-05-2023 16:00"</f>
        <v>24-05-2023 16:00</v>
      </c>
      <c r="B594" s="1721" t="str">
        <f>"24-05-2023 17:00"</f>
        <v>24-05-2023 17:00</v>
      </c>
      <c r="C594" s="1721">
        <v>0.66</v>
      </c>
      <c r="D594" s="1721"/>
      <c r="E594" s="1721"/>
      <c r="G594" s="1721"/>
      <c r="H594" s="1721"/>
      <c r="I594" s="1721"/>
    </row>
    <row r="595" spans="1:10">
      <c r="A595" s="1721" t="str">
        <f>"24-05-2023 17:00"</f>
        <v>24-05-2023 17:00</v>
      </c>
      <c r="B595" s="1721" t="str">
        <f>"24-05-2023 18:00"</f>
        <v>24-05-2023 18:00</v>
      </c>
      <c r="C595" s="1721">
        <v>1.1000000000000001</v>
      </c>
      <c r="D595" s="1721"/>
      <c r="E595" s="1721"/>
      <c r="G595" s="1721"/>
      <c r="H595" s="1721"/>
      <c r="I595" s="1721"/>
    </row>
    <row r="596" spans="1:10">
      <c r="A596" s="1721" t="str">
        <f>"24-05-2023 18:00"</f>
        <v>24-05-2023 18:00</v>
      </c>
      <c r="B596" s="1721" t="str">
        <f>"24-05-2023 19:00"</f>
        <v>24-05-2023 19:00</v>
      </c>
      <c r="C596" s="1721">
        <v>1.27</v>
      </c>
      <c r="D596" s="1721"/>
      <c r="E596" s="1721"/>
      <c r="G596" s="1721"/>
      <c r="H596" s="1721"/>
      <c r="I596" s="1721"/>
    </row>
    <row r="597" spans="1:10">
      <c r="A597" s="1721" t="str">
        <f>"24-05-2023 19:00"</f>
        <v>24-05-2023 19:00</v>
      </c>
      <c r="B597" s="1721" t="str">
        <f>"24-05-2023 20:00"</f>
        <v>24-05-2023 20:00</v>
      </c>
      <c r="C597" s="1721">
        <v>0.92</v>
      </c>
      <c r="D597" s="1721"/>
      <c r="E597" s="1721"/>
      <c r="G597" s="1721"/>
      <c r="H597" s="1721"/>
      <c r="I597" s="1721"/>
    </row>
    <row r="598" spans="1:10">
      <c r="A598" s="1721" t="str">
        <f>"24-05-2023 20:00"</f>
        <v>24-05-2023 20:00</v>
      </c>
      <c r="B598" s="1721" t="str">
        <f>"24-05-2023 21:00"</f>
        <v>24-05-2023 21:00</v>
      </c>
      <c r="C598" s="1721">
        <v>0.96</v>
      </c>
      <c r="D598" s="1721"/>
      <c r="E598" s="1721"/>
      <c r="G598" s="1721"/>
      <c r="H598" s="1721"/>
      <c r="I598" s="1721"/>
    </row>
    <row r="599" spans="1:10">
      <c r="A599" s="1721" t="str">
        <f>"24-05-2023 21:00"</f>
        <v>24-05-2023 21:00</v>
      </c>
      <c r="B599" s="1721" t="str">
        <f>"24-05-2023 22:00"</f>
        <v>24-05-2023 22:00</v>
      </c>
      <c r="C599" s="1721">
        <v>0.68</v>
      </c>
      <c r="D599" s="1721"/>
      <c r="E599" s="1721"/>
      <c r="G599" s="1721"/>
      <c r="H599" s="1721"/>
      <c r="I599" s="1721"/>
    </row>
    <row r="600" spans="1:10">
      <c r="A600" s="1721" t="str">
        <f>"24-05-2023 22:00"</f>
        <v>24-05-2023 22:00</v>
      </c>
      <c r="B600" s="1721" t="str">
        <f>"24-05-2023 23:00"</f>
        <v>24-05-2023 23:00</v>
      </c>
      <c r="C600" s="1721">
        <v>0.57999999999999996</v>
      </c>
      <c r="D600" s="1721"/>
      <c r="E600" s="1721"/>
      <c r="G600" s="1721"/>
      <c r="H600" s="1721"/>
      <c r="I600" s="1721"/>
    </row>
    <row r="601" spans="1:10" ht="15" thickBot="1">
      <c r="A601" s="1721" t="str">
        <f>"24-05-2023 23:00"</f>
        <v>24-05-2023 23:00</v>
      </c>
      <c r="B601" s="1721" t="str">
        <f>"25-05-2023 00:00"</f>
        <v>25-05-2023 00:00</v>
      </c>
      <c r="C601" s="1721">
        <v>0.43</v>
      </c>
      <c r="D601" s="1721"/>
      <c r="E601" s="1721"/>
      <c r="G601" s="1721"/>
      <c r="H601" s="1721"/>
      <c r="I601" s="1721"/>
    </row>
    <row r="602" spans="1:10">
      <c r="A602" s="1792">
        <v>45071</v>
      </c>
      <c r="B602" s="1792"/>
      <c r="C602" s="1789">
        <f>SUM(C603:C626)</f>
        <v>14.83</v>
      </c>
      <c r="D602" s="1789">
        <f>SUM(D603:D626)</f>
        <v>0</v>
      </c>
      <c r="E602" s="1789">
        <f>C602+D602</f>
        <v>14.83</v>
      </c>
      <c r="F602" s="1802"/>
      <c r="G602" s="1791"/>
      <c r="H602" s="1791"/>
      <c r="I602" s="1789"/>
      <c r="J602" s="1802"/>
    </row>
    <row r="603" spans="1:10">
      <c r="A603" s="1721" t="str">
        <f>"25-05-2023 00:00"</f>
        <v>25-05-2023 00:00</v>
      </c>
      <c r="B603" s="1721" t="str">
        <f>"25-05-2023 01:00"</f>
        <v>25-05-2023 01:00</v>
      </c>
      <c r="C603" s="1721">
        <v>0.24</v>
      </c>
      <c r="D603" s="1721"/>
      <c r="E603" s="1721"/>
      <c r="G603" s="1721"/>
      <c r="H603" s="1721"/>
      <c r="I603" s="1721"/>
    </row>
    <row r="604" spans="1:10">
      <c r="A604" s="1721" t="str">
        <f>"25-05-2023 01:00"</f>
        <v>25-05-2023 01:00</v>
      </c>
      <c r="B604" s="1721" t="str">
        <f>"25-05-2023 02:00"</f>
        <v>25-05-2023 02:00</v>
      </c>
      <c r="C604" s="1721">
        <v>0.35</v>
      </c>
      <c r="D604" s="1721"/>
      <c r="E604" s="1721"/>
      <c r="G604" s="1721"/>
      <c r="H604" s="1721"/>
      <c r="I604" s="1721"/>
    </row>
    <row r="605" spans="1:10">
      <c r="A605" s="1721" t="str">
        <f>"25-05-2023 02:00"</f>
        <v>25-05-2023 02:00</v>
      </c>
      <c r="B605" s="1721" t="str">
        <f>"25-05-2023 03:00"</f>
        <v>25-05-2023 03:00</v>
      </c>
      <c r="C605" s="1721">
        <v>0.36</v>
      </c>
      <c r="D605" s="1721"/>
      <c r="E605" s="1721"/>
      <c r="G605" s="1721"/>
      <c r="H605" s="1721"/>
      <c r="I605" s="1721"/>
    </row>
    <row r="606" spans="1:10">
      <c r="A606" s="1721" t="str">
        <f>"25-05-2023 03:00"</f>
        <v>25-05-2023 03:00</v>
      </c>
      <c r="B606" s="1721" t="str">
        <f>"25-05-2023 04:00"</f>
        <v>25-05-2023 04:00</v>
      </c>
      <c r="C606" s="1721">
        <v>0.26</v>
      </c>
      <c r="D606" s="1721"/>
      <c r="E606" s="1721"/>
      <c r="G606" s="1721"/>
      <c r="H606" s="1721"/>
      <c r="I606" s="1721"/>
    </row>
    <row r="607" spans="1:10">
      <c r="A607" s="1721" t="str">
        <f>"25-05-2023 04:00"</f>
        <v>25-05-2023 04:00</v>
      </c>
      <c r="B607" s="1721" t="str">
        <f>"25-05-2023 05:00"</f>
        <v>25-05-2023 05:00</v>
      </c>
      <c r="C607" s="1721">
        <v>0.27</v>
      </c>
      <c r="D607" s="1721"/>
      <c r="E607" s="1721"/>
      <c r="G607" s="1721"/>
      <c r="H607" s="1721"/>
      <c r="I607" s="1721"/>
    </row>
    <row r="608" spans="1:10">
      <c r="A608" s="1721" t="str">
        <f>"25-05-2023 05:00"</f>
        <v>25-05-2023 05:00</v>
      </c>
      <c r="B608" s="1721" t="str">
        <f>"25-05-2023 06:00"</f>
        <v>25-05-2023 06:00</v>
      </c>
      <c r="C608" s="1721">
        <v>0.3</v>
      </c>
      <c r="D608" s="1721"/>
      <c r="E608" s="1721"/>
      <c r="G608" s="1721"/>
      <c r="H608" s="1721"/>
      <c r="I608" s="1721"/>
    </row>
    <row r="609" spans="1:9">
      <c r="A609" s="1721" t="str">
        <f>"25-05-2023 06:00"</f>
        <v>25-05-2023 06:00</v>
      </c>
      <c r="B609" s="1721" t="str">
        <f>"25-05-2023 07:00"</f>
        <v>25-05-2023 07:00</v>
      </c>
      <c r="C609" s="1721">
        <v>0.34</v>
      </c>
      <c r="D609" s="1721"/>
      <c r="E609" s="1721"/>
      <c r="G609" s="1721"/>
      <c r="H609" s="1721"/>
      <c r="I609" s="1721"/>
    </row>
    <row r="610" spans="1:9">
      <c r="A610" s="1721" t="str">
        <f>"25-05-2023 07:00"</f>
        <v>25-05-2023 07:00</v>
      </c>
      <c r="B610" s="1721" t="str">
        <f>"25-05-2023 08:00"</f>
        <v>25-05-2023 08:00</v>
      </c>
      <c r="C610" s="1721">
        <v>0.76</v>
      </c>
      <c r="D610" s="1721"/>
      <c r="E610" s="1721"/>
      <c r="G610" s="1721"/>
      <c r="H610" s="1721"/>
      <c r="I610" s="1721"/>
    </row>
    <row r="611" spans="1:9">
      <c r="A611" s="1721" t="str">
        <f>"25-05-2023 08:00"</f>
        <v>25-05-2023 08:00</v>
      </c>
      <c r="B611" s="1721" t="str">
        <f>"25-05-2023 09:00"</f>
        <v>25-05-2023 09:00</v>
      </c>
      <c r="C611" s="1721">
        <v>0.55000000000000004</v>
      </c>
      <c r="D611" s="1721"/>
      <c r="E611" s="1721"/>
      <c r="G611" s="1721"/>
      <c r="H611" s="1721"/>
      <c r="I611" s="1721"/>
    </row>
    <row r="612" spans="1:9">
      <c r="A612" s="1721" t="str">
        <f>"25-05-2023 09:00"</f>
        <v>25-05-2023 09:00</v>
      </c>
      <c r="B612" s="1721" t="str">
        <f>"25-05-2023 10:00"</f>
        <v>25-05-2023 10:00</v>
      </c>
      <c r="C612" s="1721">
        <v>0.65</v>
      </c>
      <c r="D612" s="1721"/>
      <c r="E612" s="1721"/>
      <c r="G612" s="1721"/>
      <c r="H612" s="1721"/>
      <c r="I612" s="1721"/>
    </row>
    <row r="613" spans="1:9">
      <c r="A613" s="1721" t="str">
        <f>"25-05-2023 10:00"</f>
        <v>25-05-2023 10:00</v>
      </c>
      <c r="B613" s="1721" t="str">
        <f>"25-05-2023 11:00"</f>
        <v>25-05-2023 11:00</v>
      </c>
      <c r="C613" s="1721">
        <v>1.34</v>
      </c>
      <c r="D613" s="1721"/>
      <c r="E613" s="1721"/>
      <c r="G613" s="1721"/>
      <c r="H613" s="1721"/>
      <c r="I613" s="1721"/>
    </row>
    <row r="614" spans="1:9">
      <c r="A614" s="1721" t="str">
        <f>"25-05-2023 11:00"</f>
        <v>25-05-2023 11:00</v>
      </c>
      <c r="B614" s="1721" t="str">
        <f>"25-05-2023 12:00"</f>
        <v>25-05-2023 12:00</v>
      </c>
      <c r="C614" s="1721">
        <v>1.23</v>
      </c>
      <c r="D614" s="1721"/>
      <c r="E614" s="1721"/>
      <c r="G614" s="1721"/>
      <c r="H614" s="1721"/>
      <c r="I614" s="1721"/>
    </row>
    <row r="615" spans="1:9">
      <c r="A615" s="1721" t="str">
        <f>"25-05-2023 12:00"</f>
        <v>25-05-2023 12:00</v>
      </c>
      <c r="B615" s="1721" t="str">
        <f>"25-05-2023 13:00"</f>
        <v>25-05-2023 13:00</v>
      </c>
      <c r="C615" s="1721">
        <v>1.02</v>
      </c>
      <c r="D615" s="1721"/>
      <c r="E615" s="1721"/>
      <c r="G615" s="1721"/>
      <c r="H615" s="1721"/>
      <c r="I615" s="1721"/>
    </row>
    <row r="616" spans="1:9">
      <c r="A616" s="1721" t="str">
        <f>"25-05-2023 13:00"</f>
        <v>25-05-2023 13:00</v>
      </c>
      <c r="B616" s="1721" t="str">
        <f>"25-05-2023 14:00"</f>
        <v>25-05-2023 14:00</v>
      </c>
      <c r="C616" s="1721">
        <v>0.54</v>
      </c>
      <c r="D616" s="1721"/>
      <c r="E616" s="1721"/>
      <c r="G616" s="1721"/>
      <c r="H616" s="1721"/>
      <c r="I616" s="1721"/>
    </row>
    <row r="617" spans="1:9">
      <c r="A617" s="1721" t="str">
        <f>"25-05-2023 14:00"</f>
        <v>25-05-2023 14:00</v>
      </c>
      <c r="B617" s="1721" t="str">
        <f>"25-05-2023 15:00"</f>
        <v>25-05-2023 15:00</v>
      </c>
      <c r="C617" s="1721">
        <v>0.37</v>
      </c>
      <c r="D617" s="1721"/>
      <c r="E617" s="1721"/>
      <c r="G617" s="1721"/>
      <c r="H617" s="1721"/>
      <c r="I617" s="1721"/>
    </row>
    <row r="618" spans="1:9">
      <c r="A618" s="1721" t="str">
        <f>"25-05-2023 15:00"</f>
        <v>25-05-2023 15:00</v>
      </c>
      <c r="B618" s="1721" t="str">
        <f>"25-05-2023 16:00"</f>
        <v>25-05-2023 16:00</v>
      </c>
      <c r="C618" s="1721">
        <v>0.4</v>
      </c>
      <c r="D618" s="1721"/>
      <c r="E618" s="1721"/>
      <c r="G618" s="1721"/>
      <c r="H618" s="1721"/>
      <c r="I618" s="1721"/>
    </row>
    <row r="619" spans="1:9">
      <c r="A619" s="1721" t="str">
        <f>"25-05-2023 16:00"</f>
        <v>25-05-2023 16:00</v>
      </c>
      <c r="B619" s="1721" t="str">
        <f>"25-05-2023 17:00"</f>
        <v>25-05-2023 17:00</v>
      </c>
      <c r="C619" s="1721">
        <v>0.47</v>
      </c>
      <c r="D619" s="1721"/>
      <c r="E619" s="1721"/>
      <c r="G619" s="1721"/>
      <c r="H619" s="1721"/>
      <c r="I619" s="1721"/>
    </row>
    <row r="620" spans="1:9">
      <c r="A620" s="1721" t="str">
        <f>"25-05-2023 17:00"</f>
        <v>25-05-2023 17:00</v>
      </c>
      <c r="B620" s="1721" t="str">
        <f>"25-05-2023 18:00"</f>
        <v>25-05-2023 18:00</v>
      </c>
      <c r="C620" s="1721">
        <v>1.17</v>
      </c>
      <c r="D620" s="1721"/>
      <c r="E620" s="1721"/>
      <c r="G620" s="1721"/>
      <c r="H620" s="1721"/>
      <c r="I620" s="1721"/>
    </row>
    <row r="621" spans="1:9">
      <c r="A621" s="1721" t="str">
        <f>"25-05-2023 18:00"</f>
        <v>25-05-2023 18:00</v>
      </c>
      <c r="B621" s="1721" t="str">
        <f>"25-05-2023 19:00"</f>
        <v>25-05-2023 19:00</v>
      </c>
      <c r="C621" s="1721">
        <v>0.69</v>
      </c>
      <c r="D621" s="1721"/>
      <c r="E621" s="1721"/>
      <c r="G621" s="1721"/>
      <c r="H621" s="1721"/>
      <c r="I621" s="1721"/>
    </row>
    <row r="622" spans="1:9">
      <c r="A622" s="1721" t="str">
        <f>"25-05-2023 19:00"</f>
        <v>25-05-2023 19:00</v>
      </c>
      <c r="B622" s="1721" t="str">
        <f>"25-05-2023 20:00"</f>
        <v>25-05-2023 20:00</v>
      </c>
      <c r="C622" s="1721">
        <v>0.77</v>
      </c>
      <c r="D622" s="1721"/>
      <c r="E622" s="1721"/>
      <c r="G622" s="1721"/>
      <c r="H622" s="1721"/>
      <c r="I622" s="1721"/>
    </row>
    <row r="623" spans="1:9">
      <c r="A623" s="1721" t="str">
        <f>"25-05-2023 20:00"</f>
        <v>25-05-2023 20:00</v>
      </c>
      <c r="B623" s="1721" t="str">
        <f>"25-05-2023 21:00"</f>
        <v>25-05-2023 21:00</v>
      </c>
      <c r="C623" s="1721">
        <v>0.68</v>
      </c>
      <c r="D623" s="1721"/>
      <c r="E623" s="1721"/>
      <c r="G623" s="1721"/>
      <c r="H623" s="1721"/>
      <c r="I623" s="1721"/>
    </row>
    <row r="624" spans="1:9">
      <c r="A624" s="1721" t="str">
        <f>"25-05-2023 21:00"</f>
        <v>25-05-2023 21:00</v>
      </c>
      <c r="B624" s="1721" t="str">
        <f>"25-05-2023 22:00"</f>
        <v>25-05-2023 22:00</v>
      </c>
      <c r="C624" s="1721">
        <v>0.97</v>
      </c>
      <c r="D624" s="1721"/>
      <c r="E624" s="1721"/>
      <c r="G624" s="1721"/>
      <c r="H624" s="1721"/>
      <c r="I624" s="1721"/>
    </row>
    <row r="625" spans="1:10">
      <c r="A625" s="1721" t="str">
        <f>"25-05-2023 22:00"</f>
        <v>25-05-2023 22:00</v>
      </c>
      <c r="B625" s="1721" t="str">
        <f>"25-05-2023 23:00"</f>
        <v>25-05-2023 23:00</v>
      </c>
      <c r="C625" s="1721">
        <v>0.68</v>
      </c>
      <c r="D625" s="1721"/>
      <c r="E625" s="1721"/>
      <c r="G625" s="1721"/>
      <c r="H625" s="1721"/>
      <c r="I625" s="1721"/>
    </row>
    <row r="626" spans="1:10" ht="15" thickBot="1">
      <c r="A626" s="1721" t="str">
        <f>"25-05-2023 23:00"</f>
        <v>25-05-2023 23:00</v>
      </c>
      <c r="B626" s="1721" t="str">
        <f>"26-05-2023 00:00"</f>
        <v>26-05-2023 00:00</v>
      </c>
      <c r="C626" s="1721">
        <v>0.42</v>
      </c>
      <c r="D626" s="1721"/>
      <c r="E626" s="1721"/>
      <c r="G626" s="1721"/>
      <c r="H626" s="1721"/>
      <c r="I626" s="1721"/>
    </row>
    <row r="627" spans="1:10">
      <c r="A627" s="1792">
        <v>45072</v>
      </c>
      <c r="B627" s="1792"/>
      <c r="C627" s="1789">
        <f>SUM(C628:C651)</f>
        <v>13.97</v>
      </c>
      <c r="D627" s="1789">
        <f>SUM(D628:D651)</f>
        <v>0</v>
      </c>
      <c r="E627" s="1789">
        <f>C627+D627</f>
        <v>13.97</v>
      </c>
      <c r="F627" s="1802"/>
      <c r="G627" s="1791"/>
      <c r="H627" s="1791"/>
      <c r="I627" s="1789"/>
      <c r="J627" s="1802"/>
    </row>
    <row r="628" spans="1:10">
      <c r="A628" s="1721" t="str">
        <f>"26-05-2023 00:00"</f>
        <v>26-05-2023 00:00</v>
      </c>
      <c r="B628" s="1721" t="str">
        <f>"26-05-2023 01:00"</f>
        <v>26-05-2023 01:00</v>
      </c>
      <c r="C628" s="1721">
        <v>0.39</v>
      </c>
      <c r="D628" s="1721"/>
      <c r="E628" s="1721"/>
      <c r="G628" s="1721"/>
      <c r="H628" s="1721"/>
      <c r="I628" s="1721"/>
    </row>
    <row r="629" spans="1:10">
      <c r="A629" s="1721" t="str">
        <f>"26-05-2023 01:00"</f>
        <v>26-05-2023 01:00</v>
      </c>
      <c r="B629" s="1721" t="str">
        <f>"26-05-2023 02:00"</f>
        <v>26-05-2023 02:00</v>
      </c>
      <c r="C629" s="1721">
        <v>0.46</v>
      </c>
      <c r="D629" s="1721"/>
      <c r="E629" s="1721"/>
      <c r="G629" s="1721"/>
      <c r="H629" s="1721"/>
      <c r="I629" s="1721"/>
    </row>
    <row r="630" spans="1:10">
      <c r="A630" s="1721" t="str">
        <f>"26-05-2023 02:00"</f>
        <v>26-05-2023 02:00</v>
      </c>
      <c r="B630" s="1721" t="str">
        <f>"26-05-2023 03:00"</f>
        <v>26-05-2023 03:00</v>
      </c>
      <c r="C630" s="1721">
        <v>0.36</v>
      </c>
      <c r="D630" s="1721"/>
      <c r="E630" s="1721"/>
      <c r="G630" s="1721"/>
      <c r="H630" s="1721"/>
      <c r="I630" s="1721"/>
    </row>
    <row r="631" spans="1:10">
      <c r="A631" s="1721" t="str">
        <f>"26-05-2023 03:00"</f>
        <v>26-05-2023 03:00</v>
      </c>
      <c r="B631" s="1721" t="str">
        <f>"26-05-2023 04:00"</f>
        <v>26-05-2023 04:00</v>
      </c>
      <c r="C631" s="1721">
        <v>0.39</v>
      </c>
      <c r="D631" s="1721"/>
      <c r="E631" s="1721"/>
      <c r="G631" s="1721"/>
      <c r="H631" s="1721"/>
      <c r="I631" s="1721"/>
    </row>
    <row r="632" spans="1:10">
      <c r="A632" s="1721" t="str">
        <f>"26-05-2023 04:00"</f>
        <v>26-05-2023 04:00</v>
      </c>
      <c r="B632" s="1721" t="str">
        <f>"26-05-2023 05:00"</f>
        <v>26-05-2023 05:00</v>
      </c>
      <c r="C632" s="1721">
        <v>0.46</v>
      </c>
      <c r="D632" s="1721"/>
      <c r="E632" s="1721"/>
      <c r="G632" s="1721"/>
      <c r="H632" s="1721"/>
      <c r="I632" s="1721"/>
    </row>
    <row r="633" spans="1:10">
      <c r="A633" s="1721" t="str">
        <f>"26-05-2023 05:00"</f>
        <v>26-05-2023 05:00</v>
      </c>
      <c r="B633" s="1721" t="str">
        <f>"26-05-2023 06:00"</f>
        <v>26-05-2023 06:00</v>
      </c>
      <c r="C633" s="1721">
        <v>0.37</v>
      </c>
      <c r="D633" s="1721"/>
      <c r="E633" s="1721"/>
      <c r="G633" s="1721"/>
      <c r="H633" s="1721"/>
      <c r="I633" s="1721"/>
    </row>
    <row r="634" spans="1:10">
      <c r="A634" s="1721" t="str">
        <f>"26-05-2023 06:00"</f>
        <v>26-05-2023 06:00</v>
      </c>
      <c r="B634" s="1721" t="str">
        <f>"26-05-2023 07:00"</f>
        <v>26-05-2023 07:00</v>
      </c>
      <c r="C634" s="1721">
        <v>0.46</v>
      </c>
      <c r="D634" s="1721"/>
      <c r="E634" s="1721"/>
      <c r="G634" s="1721"/>
      <c r="H634" s="1721"/>
      <c r="I634" s="1721"/>
    </row>
    <row r="635" spans="1:10">
      <c r="A635" s="1721" t="str">
        <f>"26-05-2023 07:00"</f>
        <v>26-05-2023 07:00</v>
      </c>
      <c r="B635" s="1721" t="str">
        <f>"26-05-2023 08:00"</f>
        <v>26-05-2023 08:00</v>
      </c>
      <c r="C635" s="1721">
        <v>0.62</v>
      </c>
      <c r="D635" s="1721"/>
      <c r="E635" s="1721"/>
      <c r="G635" s="1721"/>
      <c r="H635" s="1721"/>
      <c r="I635" s="1721"/>
    </row>
    <row r="636" spans="1:10">
      <c r="A636" s="1721" t="str">
        <f>"26-05-2023 08:00"</f>
        <v>26-05-2023 08:00</v>
      </c>
      <c r="B636" s="1721" t="str">
        <f>"26-05-2023 09:00"</f>
        <v>26-05-2023 09:00</v>
      </c>
      <c r="C636" s="1721">
        <v>0.85</v>
      </c>
      <c r="D636" s="1721"/>
      <c r="E636" s="1721"/>
      <c r="G636" s="1721"/>
      <c r="H636" s="1721"/>
      <c r="I636" s="1721"/>
    </row>
    <row r="637" spans="1:10">
      <c r="A637" s="1721" t="str">
        <f>"26-05-2023 09:00"</f>
        <v>26-05-2023 09:00</v>
      </c>
      <c r="B637" s="1721" t="str">
        <f>"26-05-2023 10:00"</f>
        <v>26-05-2023 10:00</v>
      </c>
      <c r="C637" s="1721">
        <v>0.71</v>
      </c>
      <c r="D637" s="1721"/>
      <c r="E637" s="1721"/>
      <c r="G637" s="1721"/>
      <c r="H637" s="1721"/>
      <c r="I637" s="1721"/>
    </row>
    <row r="638" spans="1:10">
      <c r="A638" s="1721" t="str">
        <f>"26-05-2023 10:00"</f>
        <v>26-05-2023 10:00</v>
      </c>
      <c r="B638" s="1721" t="str">
        <f>"26-05-2023 11:00"</f>
        <v>26-05-2023 11:00</v>
      </c>
      <c r="C638" s="1721">
        <v>0.46</v>
      </c>
      <c r="D638" s="1721"/>
      <c r="E638" s="1721"/>
      <c r="G638" s="1721"/>
      <c r="H638" s="1721"/>
      <c r="I638" s="1721"/>
    </row>
    <row r="639" spans="1:10">
      <c r="A639" s="1721" t="str">
        <f>"26-05-2023 11:00"</f>
        <v>26-05-2023 11:00</v>
      </c>
      <c r="B639" s="1721" t="str">
        <f>"26-05-2023 12:00"</f>
        <v>26-05-2023 12:00</v>
      </c>
      <c r="C639" s="1721">
        <v>0.27</v>
      </c>
      <c r="D639" s="1721"/>
      <c r="E639" s="1721"/>
      <c r="G639" s="1721"/>
      <c r="H639" s="1721"/>
      <c r="I639" s="1721"/>
    </row>
    <row r="640" spans="1:10">
      <c r="A640" s="1721" t="str">
        <f>"26-05-2023 12:00"</f>
        <v>26-05-2023 12:00</v>
      </c>
      <c r="B640" s="1721" t="str">
        <f>"26-05-2023 13:00"</f>
        <v>26-05-2023 13:00</v>
      </c>
      <c r="C640" s="1721">
        <v>0.44</v>
      </c>
      <c r="D640" s="1721"/>
      <c r="E640" s="1721"/>
      <c r="G640" s="1721"/>
      <c r="H640" s="1721"/>
      <c r="I640" s="1721"/>
    </row>
    <row r="641" spans="1:10">
      <c r="A641" s="1721" t="str">
        <f>"26-05-2023 13:00"</f>
        <v>26-05-2023 13:00</v>
      </c>
      <c r="B641" s="1721" t="str">
        <f>"26-05-2023 14:00"</f>
        <v>26-05-2023 14:00</v>
      </c>
      <c r="C641" s="1721">
        <v>0.36</v>
      </c>
      <c r="D641" s="1721"/>
      <c r="E641" s="1721"/>
      <c r="G641" s="1721"/>
      <c r="H641" s="1721"/>
      <c r="I641" s="1721"/>
    </row>
    <row r="642" spans="1:10">
      <c r="A642" s="1721" t="str">
        <f>"26-05-2023 14:00"</f>
        <v>26-05-2023 14:00</v>
      </c>
      <c r="B642" s="1721" t="str">
        <f>"26-05-2023 15:00"</f>
        <v>26-05-2023 15:00</v>
      </c>
      <c r="C642" s="1721">
        <v>0.35</v>
      </c>
      <c r="D642" s="1721"/>
      <c r="E642" s="1721"/>
      <c r="G642" s="1721"/>
      <c r="H642" s="1721"/>
      <c r="I642" s="1721"/>
    </row>
    <row r="643" spans="1:10">
      <c r="A643" s="1721" t="str">
        <f>"26-05-2023 15:00"</f>
        <v>26-05-2023 15:00</v>
      </c>
      <c r="B643" s="1721" t="str">
        <f>"26-05-2023 16:00"</f>
        <v>26-05-2023 16:00</v>
      </c>
      <c r="C643" s="1721">
        <v>0.32</v>
      </c>
      <c r="D643" s="1721"/>
      <c r="E643" s="1721"/>
      <c r="G643" s="1721"/>
      <c r="H643" s="1721"/>
      <c r="I643" s="1721"/>
    </row>
    <row r="644" spans="1:10">
      <c r="A644" s="1721" t="str">
        <f>"26-05-2023 16:00"</f>
        <v>26-05-2023 16:00</v>
      </c>
      <c r="B644" s="1721" t="str">
        <f>"26-05-2023 17:00"</f>
        <v>26-05-2023 17:00</v>
      </c>
      <c r="C644" s="1721">
        <v>0.47</v>
      </c>
      <c r="D644" s="1721"/>
      <c r="E644" s="1721"/>
      <c r="G644" s="1721"/>
      <c r="H644" s="1721"/>
      <c r="I644" s="1721"/>
    </row>
    <row r="645" spans="1:10">
      <c r="A645" s="1721" t="str">
        <f>"26-05-2023 17:00"</f>
        <v>26-05-2023 17:00</v>
      </c>
      <c r="B645" s="1721" t="str">
        <f>"26-05-2023 18:00"</f>
        <v>26-05-2023 18:00</v>
      </c>
      <c r="C645" s="1721">
        <v>1.55</v>
      </c>
      <c r="D645" s="1721"/>
      <c r="E645" s="1721"/>
      <c r="G645" s="1721"/>
      <c r="H645" s="1721"/>
      <c r="I645" s="1721"/>
    </row>
    <row r="646" spans="1:10">
      <c r="A646" s="1721" t="str">
        <f>"26-05-2023 18:00"</f>
        <v>26-05-2023 18:00</v>
      </c>
      <c r="B646" s="1721" t="str">
        <f>"26-05-2023 19:00"</f>
        <v>26-05-2023 19:00</v>
      </c>
      <c r="C646" s="1721">
        <v>0.99</v>
      </c>
      <c r="D646" s="1721"/>
      <c r="E646" s="1721"/>
      <c r="G646" s="1721"/>
      <c r="H646" s="1721"/>
      <c r="I646" s="1721"/>
    </row>
    <row r="647" spans="1:10">
      <c r="A647" s="1721" t="str">
        <f>"26-05-2023 19:00"</f>
        <v>26-05-2023 19:00</v>
      </c>
      <c r="B647" s="1721" t="str">
        <f>"26-05-2023 20:00"</f>
        <v>26-05-2023 20:00</v>
      </c>
      <c r="C647" s="1721">
        <v>0.78</v>
      </c>
      <c r="D647" s="1721"/>
      <c r="E647" s="1721"/>
      <c r="G647" s="1721"/>
      <c r="H647" s="1721"/>
      <c r="I647" s="1721"/>
    </row>
    <row r="648" spans="1:10">
      <c r="A648" s="1721" t="str">
        <f>"26-05-2023 20:00"</f>
        <v>26-05-2023 20:00</v>
      </c>
      <c r="B648" s="1721" t="str">
        <f>"26-05-2023 21:00"</f>
        <v>26-05-2023 21:00</v>
      </c>
      <c r="C648" s="1721">
        <v>1</v>
      </c>
      <c r="D648" s="1721"/>
      <c r="E648" s="1721"/>
      <c r="G648" s="1721"/>
      <c r="H648" s="1721"/>
      <c r="I648" s="1721"/>
    </row>
    <row r="649" spans="1:10">
      <c r="A649" s="1721" t="str">
        <f>"26-05-2023 21:00"</f>
        <v>26-05-2023 21:00</v>
      </c>
      <c r="B649" s="1721" t="str">
        <f>"26-05-2023 22:00"</f>
        <v>26-05-2023 22:00</v>
      </c>
      <c r="C649" s="1721">
        <v>0.9</v>
      </c>
      <c r="D649" s="1721"/>
      <c r="E649" s="1721"/>
      <c r="G649" s="1721"/>
      <c r="H649" s="1721"/>
      <c r="I649" s="1721"/>
    </row>
    <row r="650" spans="1:10">
      <c r="A650" s="1721" t="str">
        <f>"26-05-2023 22:00"</f>
        <v>26-05-2023 22:00</v>
      </c>
      <c r="B650" s="1721" t="str">
        <f>"26-05-2023 23:00"</f>
        <v>26-05-2023 23:00</v>
      </c>
      <c r="C650" s="1721">
        <v>0.56999999999999995</v>
      </c>
      <c r="D650" s="1721"/>
      <c r="E650" s="1721"/>
      <c r="G650" s="1721"/>
      <c r="H650" s="1721"/>
      <c r="I650" s="1721"/>
    </row>
    <row r="651" spans="1:10" ht="15" thickBot="1">
      <c r="A651" s="1721" t="str">
        <f>"26-05-2023 23:00"</f>
        <v>26-05-2023 23:00</v>
      </c>
      <c r="B651" s="1721" t="str">
        <f>"27-05-2023 00:00"</f>
        <v>27-05-2023 00:00</v>
      </c>
      <c r="C651" s="1721">
        <v>0.44</v>
      </c>
      <c r="D651" s="1721"/>
      <c r="E651" s="1721"/>
      <c r="G651" s="1721"/>
      <c r="H651" s="1721"/>
      <c r="I651" s="1721"/>
    </row>
    <row r="652" spans="1:10">
      <c r="A652" s="1792">
        <v>45073</v>
      </c>
      <c r="B652" s="1792"/>
      <c r="C652" s="1789">
        <f>SUM(C653:C676)</f>
        <v>14.13</v>
      </c>
      <c r="D652" s="1789">
        <f>SUM(D653:D676)</f>
        <v>0</v>
      </c>
      <c r="E652" s="1789">
        <f>C652+D652</f>
        <v>14.13</v>
      </c>
      <c r="F652" s="1802"/>
      <c r="G652" s="1791"/>
      <c r="H652" s="1791"/>
      <c r="I652" s="1789"/>
      <c r="J652" s="1802"/>
    </row>
    <row r="653" spans="1:10">
      <c r="A653" s="1721" t="str">
        <f>"27-05-2023 00:00"</f>
        <v>27-05-2023 00:00</v>
      </c>
      <c r="B653" s="1721" t="str">
        <f>"27-05-2023 01:00"</f>
        <v>27-05-2023 01:00</v>
      </c>
      <c r="C653" s="1721">
        <v>0.51</v>
      </c>
      <c r="D653" s="1721"/>
      <c r="E653" s="1721"/>
      <c r="G653" s="1721"/>
      <c r="H653" s="1721"/>
      <c r="I653" s="1721"/>
    </row>
    <row r="654" spans="1:10">
      <c r="A654" s="1721" t="str">
        <f>"27-05-2023 01:00"</f>
        <v>27-05-2023 01:00</v>
      </c>
      <c r="B654" s="1721" t="str">
        <f>"27-05-2023 02:00"</f>
        <v>27-05-2023 02:00</v>
      </c>
      <c r="C654" s="1721">
        <v>0.45</v>
      </c>
      <c r="D654" s="1721"/>
      <c r="E654" s="1721"/>
      <c r="G654" s="1721"/>
      <c r="H654" s="1721"/>
      <c r="I654" s="1721"/>
    </row>
    <row r="655" spans="1:10">
      <c r="A655" s="1721" t="str">
        <f>"27-05-2023 02:00"</f>
        <v>27-05-2023 02:00</v>
      </c>
      <c r="B655" s="1721" t="str">
        <f>"27-05-2023 03:00"</f>
        <v>27-05-2023 03:00</v>
      </c>
      <c r="C655" s="1721">
        <v>0.42</v>
      </c>
      <c r="D655" s="1721"/>
      <c r="E655" s="1721"/>
      <c r="G655" s="1721"/>
      <c r="H655" s="1721"/>
      <c r="I655" s="1721"/>
    </row>
    <row r="656" spans="1:10">
      <c r="A656" s="1721" t="str">
        <f>"27-05-2023 03:00"</f>
        <v>27-05-2023 03:00</v>
      </c>
      <c r="B656" s="1721" t="str">
        <f>"27-05-2023 04:00"</f>
        <v>27-05-2023 04:00</v>
      </c>
      <c r="C656" s="1721">
        <v>0.55000000000000004</v>
      </c>
      <c r="D656" s="1721"/>
      <c r="E656" s="1721"/>
      <c r="G656" s="1721"/>
      <c r="H656" s="1721"/>
      <c r="I656" s="1721"/>
    </row>
    <row r="657" spans="1:9">
      <c r="A657" s="1721" t="str">
        <f>"27-05-2023 04:00"</f>
        <v>27-05-2023 04:00</v>
      </c>
      <c r="B657" s="1721" t="str">
        <f>"27-05-2023 05:00"</f>
        <v>27-05-2023 05:00</v>
      </c>
      <c r="C657" s="1721">
        <v>0.42</v>
      </c>
      <c r="D657" s="1721"/>
      <c r="E657" s="1721"/>
      <c r="G657" s="1721"/>
      <c r="H657" s="1721"/>
      <c r="I657" s="1721"/>
    </row>
    <row r="658" spans="1:9">
      <c r="A658" s="1721" t="str">
        <f>"27-05-2023 05:00"</f>
        <v>27-05-2023 05:00</v>
      </c>
      <c r="B658" s="1721" t="str">
        <f>"27-05-2023 06:00"</f>
        <v>27-05-2023 06:00</v>
      </c>
      <c r="C658" s="1721">
        <v>0.45</v>
      </c>
      <c r="D658" s="1721"/>
      <c r="E658" s="1721"/>
      <c r="G658" s="1721"/>
      <c r="H658" s="1721"/>
      <c r="I658" s="1721"/>
    </row>
    <row r="659" spans="1:9">
      <c r="A659" s="1721" t="str">
        <f>"27-05-2023 06:00"</f>
        <v>27-05-2023 06:00</v>
      </c>
      <c r="B659" s="1721" t="str">
        <f>"27-05-2023 07:00"</f>
        <v>27-05-2023 07:00</v>
      </c>
      <c r="C659" s="1721">
        <v>0.49</v>
      </c>
      <c r="D659" s="1721"/>
      <c r="E659" s="1721"/>
      <c r="G659" s="1721"/>
      <c r="H659" s="1721"/>
      <c r="I659" s="1721"/>
    </row>
    <row r="660" spans="1:9">
      <c r="A660" s="1721" t="str">
        <f>"27-05-2023 07:00"</f>
        <v>27-05-2023 07:00</v>
      </c>
      <c r="B660" s="1721" t="str">
        <f>"27-05-2023 08:00"</f>
        <v>27-05-2023 08:00</v>
      </c>
      <c r="C660" s="1721">
        <v>0.51</v>
      </c>
      <c r="D660" s="1721"/>
      <c r="E660" s="1721"/>
      <c r="G660" s="1721"/>
      <c r="H660" s="1721"/>
      <c r="I660" s="1721"/>
    </row>
    <row r="661" spans="1:9">
      <c r="A661" s="1721" t="str">
        <f>"27-05-2023 08:00"</f>
        <v>27-05-2023 08:00</v>
      </c>
      <c r="B661" s="1721" t="str">
        <f>"27-05-2023 09:00"</f>
        <v>27-05-2023 09:00</v>
      </c>
      <c r="C661" s="1721">
        <v>0.54</v>
      </c>
      <c r="D661" s="1721"/>
      <c r="E661" s="1721"/>
      <c r="G661" s="1721"/>
      <c r="H661" s="1721"/>
      <c r="I661" s="1721"/>
    </row>
    <row r="662" spans="1:9">
      <c r="A662" s="1721" t="str">
        <f>"27-05-2023 09:00"</f>
        <v>27-05-2023 09:00</v>
      </c>
      <c r="B662" s="1721" t="str">
        <f>"27-05-2023 10:00"</f>
        <v>27-05-2023 10:00</v>
      </c>
      <c r="C662" s="1721">
        <v>0.65</v>
      </c>
      <c r="D662" s="1721"/>
      <c r="E662" s="1721"/>
      <c r="G662" s="1721"/>
      <c r="H662" s="1721"/>
      <c r="I662" s="1721"/>
    </row>
    <row r="663" spans="1:9">
      <c r="A663" s="1721" t="str">
        <f>"27-05-2023 10:00"</f>
        <v>27-05-2023 10:00</v>
      </c>
      <c r="B663" s="1721" t="str">
        <f>"27-05-2023 11:00"</f>
        <v>27-05-2023 11:00</v>
      </c>
      <c r="C663" s="1721">
        <v>0.35</v>
      </c>
      <c r="D663" s="1721"/>
      <c r="E663" s="1721"/>
      <c r="G663" s="1721"/>
      <c r="H663" s="1721"/>
      <c r="I663" s="1721"/>
    </row>
    <row r="664" spans="1:9">
      <c r="A664" s="1721" t="str">
        <f>"27-05-2023 11:00"</f>
        <v>27-05-2023 11:00</v>
      </c>
      <c r="B664" s="1721" t="str">
        <f>"27-05-2023 12:00"</f>
        <v>27-05-2023 12:00</v>
      </c>
      <c r="C664" s="1721">
        <v>0.4</v>
      </c>
      <c r="D664" s="1721"/>
      <c r="E664" s="1721"/>
      <c r="G664" s="1721"/>
      <c r="H664" s="1721"/>
      <c r="I664" s="1721"/>
    </row>
    <row r="665" spans="1:9">
      <c r="A665" s="1721" t="str">
        <f>"27-05-2023 12:00"</f>
        <v>27-05-2023 12:00</v>
      </c>
      <c r="B665" s="1721" t="str">
        <f>"27-05-2023 13:00"</f>
        <v>27-05-2023 13:00</v>
      </c>
      <c r="C665" s="1721">
        <v>0.44</v>
      </c>
      <c r="D665" s="1721"/>
      <c r="E665" s="1721"/>
      <c r="G665" s="1721"/>
      <c r="H665" s="1721"/>
      <c r="I665" s="1721"/>
    </row>
    <row r="666" spans="1:9">
      <c r="A666" s="1721" t="str">
        <f>"27-05-2023 13:00"</f>
        <v>27-05-2023 13:00</v>
      </c>
      <c r="B666" s="1721" t="str">
        <f>"27-05-2023 14:00"</f>
        <v>27-05-2023 14:00</v>
      </c>
      <c r="C666" s="1721">
        <v>0.44</v>
      </c>
      <c r="D666" s="1721"/>
      <c r="E666" s="1721"/>
      <c r="G666" s="1721"/>
      <c r="H666" s="1721"/>
      <c r="I666" s="1721"/>
    </row>
    <row r="667" spans="1:9">
      <c r="A667" s="1721" t="str">
        <f>"27-05-2023 14:00"</f>
        <v>27-05-2023 14:00</v>
      </c>
      <c r="B667" s="1721" t="str">
        <f>"27-05-2023 15:00"</f>
        <v>27-05-2023 15:00</v>
      </c>
      <c r="C667" s="1721">
        <v>0.34</v>
      </c>
      <c r="D667" s="1721"/>
      <c r="E667" s="1721"/>
      <c r="G667" s="1721"/>
      <c r="H667" s="1721"/>
      <c r="I667" s="1721"/>
    </row>
    <row r="668" spans="1:9">
      <c r="A668" s="1721" t="str">
        <f>"27-05-2023 15:00"</f>
        <v>27-05-2023 15:00</v>
      </c>
      <c r="B668" s="1721" t="str">
        <f>"27-05-2023 16:00"</f>
        <v>27-05-2023 16:00</v>
      </c>
      <c r="C668" s="1721">
        <v>0.43</v>
      </c>
      <c r="D668" s="1721"/>
      <c r="E668" s="1721"/>
      <c r="G668" s="1721"/>
      <c r="H668" s="1721"/>
      <c r="I668" s="1721"/>
    </row>
    <row r="669" spans="1:9">
      <c r="A669" s="1721" t="str">
        <f>"27-05-2023 16:00"</f>
        <v>27-05-2023 16:00</v>
      </c>
      <c r="B669" s="1721" t="str">
        <f>"27-05-2023 17:00"</f>
        <v>27-05-2023 17:00</v>
      </c>
      <c r="C669" s="1721">
        <v>0.62</v>
      </c>
      <c r="D669" s="1721"/>
      <c r="E669" s="1721"/>
      <c r="G669" s="1721"/>
      <c r="H669" s="1721"/>
      <c r="I669" s="1721"/>
    </row>
    <row r="670" spans="1:9">
      <c r="A670" s="1721" t="str">
        <f>"27-05-2023 17:00"</f>
        <v>27-05-2023 17:00</v>
      </c>
      <c r="B670" s="1721" t="str">
        <f>"27-05-2023 18:00"</f>
        <v>27-05-2023 18:00</v>
      </c>
      <c r="C670" s="1721">
        <v>1.32</v>
      </c>
      <c r="D670" s="1721"/>
      <c r="E670" s="1721"/>
      <c r="G670" s="1721"/>
      <c r="H670" s="1721"/>
      <c r="I670" s="1721"/>
    </row>
    <row r="671" spans="1:9">
      <c r="A671" s="1721" t="str">
        <f>"27-05-2023 18:00"</f>
        <v>27-05-2023 18:00</v>
      </c>
      <c r="B671" s="1721" t="str">
        <f>"27-05-2023 19:00"</f>
        <v>27-05-2023 19:00</v>
      </c>
      <c r="C671" s="1721">
        <v>0.82</v>
      </c>
      <c r="D671" s="1721"/>
      <c r="E671" s="1721"/>
      <c r="G671" s="1721"/>
      <c r="H671" s="1721"/>
      <c r="I671" s="1721"/>
    </row>
    <row r="672" spans="1:9">
      <c r="A672" s="1721" t="str">
        <f>"27-05-2023 19:00"</f>
        <v>27-05-2023 19:00</v>
      </c>
      <c r="B672" s="1721" t="str">
        <f>"27-05-2023 20:00"</f>
        <v>27-05-2023 20:00</v>
      </c>
      <c r="C672" s="1721">
        <v>0.98</v>
      </c>
      <c r="D672" s="1721"/>
      <c r="E672" s="1721"/>
      <c r="G672" s="1721"/>
      <c r="H672" s="1721"/>
      <c r="I672" s="1721"/>
    </row>
    <row r="673" spans="1:10">
      <c r="A673" s="1721" t="str">
        <f>"27-05-2023 20:00"</f>
        <v>27-05-2023 20:00</v>
      </c>
      <c r="B673" s="1721" t="str">
        <f>"27-05-2023 21:00"</f>
        <v>27-05-2023 21:00</v>
      </c>
      <c r="C673" s="1721">
        <v>1.05</v>
      </c>
      <c r="D673" s="1721"/>
      <c r="E673" s="1721"/>
      <c r="G673" s="1721"/>
      <c r="H673" s="1721"/>
      <c r="I673" s="1721"/>
    </row>
    <row r="674" spans="1:10">
      <c r="A674" s="1721" t="str">
        <f>"27-05-2023 21:00"</f>
        <v>27-05-2023 21:00</v>
      </c>
      <c r="B674" s="1721" t="str">
        <f>"27-05-2023 22:00"</f>
        <v>27-05-2023 22:00</v>
      </c>
      <c r="C674" s="1721">
        <v>0.95</v>
      </c>
      <c r="D674" s="1721"/>
      <c r="E674" s="1721"/>
      <c r="G674" s="1721"/>
      <c r="H674" s="1721"/>
      <c r="I674" s="1721"/>
    </row>
    <row r="675" spans="1:10">
      <c r="A675" s="1721" t="str">
        <f>"27-05-2023 22:00"</f>
        <v>27-05-2023 22:00</v>
      </c>
      <c r="B675" s="1721" t="str">
        <f>"27-05-2023 23:00"</f>
        <v>27-05-2023 23:00</v>
      </c>
      <c r="C675" s="1721">
        <v>0.59</v>
      </c>
      <c r="D675" s="1721"/>
      <c r="E675" s="1721"/>
      <c r="G675" s="1721"/>
      <c r="H675" s="1721"/>
      <c r="I675" s="1721"/>
    </row>
    <row r="676" spans="1:10" ht="15" thickBot="1">
      <c r="A676" s="1721" t="str">
        <f>"27-05-2023 23:00"</f>
        <v>27-05-2023 23:00</v>
      </c>
      <c r="B676" s="1721" t="str">
        <f>"28-05-2023 00:00"</f>
        <v>28-05-2023 00:00</v>
      </c>
      <c r="C676" s="1721">
        <v>0.41</v>
      </c>
      <c r="D676" s="1721"/>
      <c r="E676" s="1721"/>
      <c r="G676" s="1721"/>
      <c r="H676" s="1721"/>
      <c r="I676" s="1721"/>
    </row>
    <row r="677" spans="1:10">
      <c r="A677" s="1792">
        <v>45074</v>
      </c>
      <c r="B677" s="1792"/>
      <c r="C677" s="1789">
        <f>SUM(C678:C701)</f>
        <v>11.280000000000001</v>
      </c>
      <c r="D677" s="1789">
        <f>SUM(D678:D701)</f>
        <v>0</v>
      </c>
      <c r="E677" s="1789">
        <f>C677+D677</f>
        <v>11.280000000000001</v>
      </c>
      <c r="F677" s="1802"/>
      <c r="G677" s="1791"/>
      <c r="H677" s="1791"/>
      <c r="I677" s="1789"/>
      <c r="J677" s="1802"/>
    </row>
    <row r="678" spans="1:10">
      <c r="A678" s="1721" t="str">
        <f>"28-05-2023 00:00"</f>
        <v>28-05-2023 00:00</v>
      </c>
      <c r="B678" s="1721" t="str">
        <f>"28-05-2023 01:00"</f>
        <v>28-05-2023 01:00</v>
      </c>
      <c r="C678" s="1721">
        <v>0.49</v>
      </c>
      <c r="D678" s="1721"/>
      <c r="E678" s="1721"/>
      <c r="G678" s="1721"/>
      <c r="H678" s="1721"/>
      <c r="I678" s="1721"/>
    </row>
    <row r="679" spans="1:10">
      <c r="A679" s="1721" t="str">
        <f>"28-05-2023 01:00"</f>
        <v>28-05-2023 01:00</v>
      </c>
      <c r="B679" s="1721" t="str">
        <f>"28-05-2023 02:00"</f>
        <v>28-05-2023 02:00</v>
      </c>
      <c r="C679" s="1721">
        <v>0.53</v>
      </c>
      <c r="D679" s="1721"/>
      <c r="E679" s="1721"/>
      <c r="G679" s="1721"/>
      <c r="H679" s="1721"/>
      <c r="I679" s="1721"/>
    </row>
    <row r="680" spans="1:10">
      <c r="A680" s="1721" t="str">
        <f>"28-05-2023 02:00"</f>
        <v>28-05-2023 02:00</v>
      </c>
      <c r="B680" s="1721" t="str">
        <f>"28-05-2023 03:00"</f>
        <v>28-05-2023 03:00</v>
      </c>
      <c r="C680" s="1721">
        <v>0.51</v>
      </c>
      <c r="D680" s="1721"/>
      <c r="E680" s="1721"/>
      <c r="G680" s="1721"/>
      <c r="H680" s="1721"/>
      <c r="I680" s="1721"/>
    </row>
    <row r="681" spans="1:10">
      <c r="A681" s="1721" t="str">
        <f>"28-05-2023 03:00"</f>
        <v>28-05-2023 03:00</v>
      </c>
      <c r="B681" s="1721" t="str">
        <f>"28-05-2023 04:00"</f>
        <v>28-05-2023 04:00</v>
      </c>
      <c r="C681" s="1721">
        <v>0.34</v>
      </c>
      <c r="D681" s="1721"/>
      <c r="E681" s="1721"/>
      <c r="G681" s="1721"/>
      <c r="H681" s="1721"/>
      <c r="I681" s="1721"/>
    </row>
    <row r="682" spans="1:10">
      <c r="A682" s="1721" t="str">
        <f>"28-05-2023 04:00"</f>
        <v>28-05-2023 04:00</v>
      </c>
      <c r="B682" s="1721" t="str">
        <f>"28-05-2023 05:00"</f>
        <v>28-05-2023 05:00</v>
      </c>
      <c r="C682" s="1721">
        <v>0.51</v>
      </c>
      <c r="D682" s="1721"/>
      <c r="E682" s="1721"/>
      <c r="G682" s="1721"/>
      <c r="H682" s="1721"/>
      <c r="I682" s="1721"/>
    </row>
    <row r="683" spans="1:10">
      <c r="A683" s="1721" t="str">
        <f>"28-05-2023 05:00"</f>
        <v>28-05-2023 05:00</v>
      </c>
      <c r="B683" s="1721" t="str">
        <f>"28-05-2023 06:00"</f>
        <v>28-05-2023 06:00</v>
      </c>
      <c r="C683" s="1721">
        <v>0.43</v>
      </c>
      <c r="D683" s="1721"/>
      <c r="E683" s="1721"/>
      <c r="G683" s="1721"/>
      <c r="H683" s="1721"/>
      <c r="I683" s="1721"/>
    </row>
    <row r="684" spans="1:10">
      <c r="A684" s="1721" t="str">
        <f>"28-05-2023 06:00"</f>
        <v>28-05-2023 06:00</v>
      </c>
      <c r="B684" s="1721" t="str">
        <f>"28-05-2023 07:00"</f>
        <v>28-05-2023 07:00</v>
      </c>
      <c r="C684" s="1721">
        <v>0.4</v>
      </c>
      <c r="D684" s="1721"/>
      <c r="E684" s="1721"/>
      <c r="G684" s="1721"/>
      <c r="H684" s="1721"/>
      <c r="I684" s="1721"/>
    </row>
    <row r="685" spans="1:10">
      <c r="A685" s="1721" t="str">
        <f>"28-05-2023 07:00"</f>
        <v>28-05-2023 07:00</v>
      </c>
      <c r="B685" s="1721" t="str">
        <f>"28-05-2023 08:00"</f>
        <v>28-05-2023 08:00</v>
      </c>
      <c r="C685" s="1721">
        <v>0.5</v>
      </c>
      <c r="D685" s="1721"/>
      <c r="E685" s="1721"/>
      <c r="G685" s="1721"/>
      <c r="H685" s="1721"/>
      <c r="I685" s="1721"/>
    </row>
    <row r="686" spans="1:10">
      <c r="A686" s="1721" t="str">
        <f>"28-05-2023 08:00"</f>
        <v>28-05-2023 08:00</v>
      </c>
      <c r="B686" s="1721" t="str">
        <f>"28-05-2023 09:00"</f>
        <v>28-05-2023 09:00</v>
      </c>
      <c r="C686" s="1721">
        <v>0.37</v>
      </c>
      <c r="D686" s="1721"/>
      <c r="E686" s="1721"/>
      <c r="G686" s="1721"/>
      <c r="H686" s="1721"/>
      <c r="I686" s="1721"/>
    </row>
    <row r="687" spans="1:10">
      <c r="A687" s="1721" t="str">
        <f>"28-05-2023 09:00"</f>
        <v>28-05-2023 09:00</v>
      </c>
      <c r="B687" s="1721" t="str">
        <f>"28-05-2023 10:00"</f>
        <v>28-05-2023 10:00</v>
      </c>
      <c r="C687" s="1721">
        <v>0.38</v>
      </c>
      <c r="D687" s="1721"/>
      <c r="E687" s="1721"/>
      <c r="G687" s="1721"/>
      <c r="H687" s="1721"/>
      <c r="I687" s="1721"/>
    </row>
    <row r="688" spans="1:10">
      <c r="A688" s="1721" t="str">
        <f>"28-05-2023 10:00"</f>
        <v>28-05-2023 10:00</v>
      </c>
      <c r="B688" s="1721" t="str">
        <f>"28-05-2023 11:00"</f>
        <v>28-05-2023 11:00</v>
      </c>
      <c r="C688" s="1721">
        <v>0.39</v>
      </c>
      <c r="D688" s="1721"/>
      <c r="E688" s="1721"/>
      <c r="G688" s="1721"/>
      <c r="H688" s="1721"/>
      <c r="I688" s="1721"/>
    </row>
    <row r="689" spans="1:10">
      <c r="A689" s="1721" t="str">
        <f>"28-05-2023 11:00"</f>
        <v>28-05-2023 11:00</v>
      </c>
      <c r="B689" s="1721" t="str">
        <f>"28-05-2023 12:00"</f>
        <v>28-05-2023 12:00</v>
      </c>
      <c r="C689" s="1721">
        <v>0.3</v>
      </c>
      <c r="D689" s="1721"/>
      <c r="E689" s="1721"/>
      <c r="G689" s="1721"/>
      <c r="H689" s="1721"/>
      <c r="I689" s="1721"/>
    </row>
    <row r="690" spans="1:10">
      <c r="A690" s="1721" t="str">
        <f>"28-05-2023 12:00"</f>
        <v>28-05-2023 12:00</v>
      </c>
      <c r="B690" s="1721" t="str">
        <f>"28-05-2023 13:00"</f>
        <v>28-05-2023 13:00</v>
      </c>
      <c r="C690" s="1721">
        <v>0.13</v>
      </c>
      <c r="D690" s="1721"/>
      <c r="E690" s="1721"/>
      <c r="G690" s="1721"/>
      <c r="H690" s="1721"/>
      <c r="I690" s="1721"/>
    </row>
    <row r="691" spans="1:10">
      <c r="A691" s="1721" t="str">
        <f>"28-05-2023 13:00"</f>
        <v>28-05-2023 13:00</v>
      </c>
      <c r="B691" s="1721" t="str">
        <f>"28-05-2023 14:00"</f>
        <v>28-05-2023 14:00</v>
      </c>
      <c r="C691" s="1721">
        <v>-0.18</v>
      </c>
      <c r="D691" s="1721"/>
      <c r="E691" s="1721"/>
      <c r="G691" s="1721"/>
      <c r="H691" s="1721"/>
      <c r="I691" s="1721"/>
    </row>
    <row r="692" spans="1:10">
      <c r="A692" s="1721" t="str">
        <f>"28-05-2023 14:00"</f>
        <v>28-05-2023 14:00</v>
      </c>
      <c r="B692" s="1721" t="str">
        <f>"28-05-2023 15:00"</f>
        <v>28-05-2023 15:00</v>
      </c>
      <c r="C692" s="1721">
        <v>-0.3</v>
      </c>
      <c r="D692" s="1721"/>
      <c r="E692" s="1721"/>
      <c r="G692" s="1721"/>
      <c r="H692" s="1721"/>
      <c r="I692" s="1721"/>
    </row>
    <row r="693" spans="1:10">
      <c r="A693" s="1721" t="str">
        <f>"28-05-2023 15:00"</f>
        <v>28-05-2023 15:00</v>
      </c>
      <c r="B693" s="1721" t="str">
        <f>"28-05-2023 16:00"</f>
        <v>28-05-2023 16:00</v>
      </c>
      <c r="C693" s="1721">
        <v>-0.05</v>
      </c>
      <c r="D693" s="1721"/>
      <c r="E693" s="1721"/>
      <c r="G693" s="1721"/>
      <c r="H693" s="1721"/>
      <c r="I693" s="1721"/>
    </row>
    <row r="694" spans="1:10">
      <c r="A694" s="1721" t="str">
        <f>"28-05-2023 16:00"</f>
        <v>28-05-2023 16:00</v>
      </c>
      <c r="B694" s="1721" t="str">
        <f>"28-05-2023 17:00"</f>
        <v>28-05-2023 17:00</v>
      </c>
      <c r="C694" s="1721">
        <v>0.4</v>
      </c>
      <c r="D694" s="1721"/>
      <c r="E694" s="1721"/>
      <c r="G694" s="1721"/>
      <c r="H694" s="1721"/>
      <c r="I694" s="1721"/>
    </row>
    <row r="695" spans="1:10">
      <c r="A695" s="1721" t="str">
        <f>"28-05-2023 17:00"</f>
        <v>28-05-2023 17:00</v>
      </c>
      <c r="B695" s="1721" t="str">
        <f>"28-05-2023 18:00"</f>
        <v>28-05-2023 18:00</v>
      </c>
      <c r="C695" s="1721">
        <v>0.96</v>
      </c>
      <c r="D695" s="1721"/>
      <c r="E695" s="1721"/>
      <c r="G695" s="1721"/>
      <c r="H695" s="1721"/>
      <c r="I695" s="1721"/>
    </row>
    <row r="696" spans="1:10">
      <c r="A696" s="1721" t="str">
        <f>"28-05-2023 18:00"</f>
        <v>28-05-2023 18:00</v>
      </c>
      <c r="B696" s="1721" t="str">
        <f>"28-05-2023 19:00"</f>
        <v>28-05-2023 19:00</v>
      </c>
      <c r="C696" s="1721">
        <v>1.77</v>
      </c>
      <c r="D696" s="1721"/>
      <c r="E696" s="1721"/>
      <c r="G696" s="1721"/>
      <c r="H696" s="1721"/>
      <c r="I696" s="1721"/>
    </row>
    <row r="697" spans="1:10">
      <c r="A697" s="1721" t="str">
        <f>"28-05-2023 19:00"</f>
        <v>28-05-2023 19:00</v>
      </c>
      <c r="B697" s="1721" t="str">
        <f>"28-05-2023 20:00"</f>
        <v>28-05-2023 20:00</v>
      </c>
      <c r="C697" s="1721">
        <v>0.84</v>
      </c>
      <c r="D697" s="1721"/>
      <c r="E697" s="1721"/>
      <c r="G697" s="1721"/>
      <c r="H697" s="1721"/>
      <c r="I697" s="1721"/>
    </row>
    <row r="698" spans="1:10">
      <c r="A698" s="1721" t="str">
        <f>"28-05-2023 20:00"</f>
        <v>28-05-2023 20:00</v>
      </c>
      <c r="B698" s="1721" t="str">
        <f>"28-05-2023 21:00"</f>
        <v>28-05-2023 21:00</v>
      </c>
      <c r="C698" s="1721">
        <v>0.8</v>
      </c>
      <c r="D698" s="1721"/>
      <c r="E698" s="1721"/>
      <c r="G698" s="1721"/>
      <c r="H698" s="1721"/>
      <c r="I698" s="1721"/>
    </row>
    <row r="699" spans="1:10">
      <c r="A699" s="1721" t="str">
        <f>"28-05-2023 21:00"</f>
        <v>28-05-2023 21:00</v>
      </c>
      <c r="B699" s="1721" t="str">
        <f>"28-05-2023 22:00"</f>
        <v>28-05-2023 22:00</v>
      </c>
      <c r="C699" s="1721">
        <v>0.65</v>
      </c>
      <c r="D699" s="1721"/>
      <c r="E699" s="1721"/>
      <c r="G699" s="1721"/>
      <c r="H699" s="1721"/>
      <c r="I699" s="1721"/>
    </row>
    <row r="700" spans="1:10">
      <c r="A700" s="1721" t="str">
        <f>"28-05-2023 22:00"</f>
        <v>28-05-2023 22:00</v>
      </c>
      <c r="B700" s="1721" t="str">
        <f>"28-05-2023 23:00"</f>
        <v>28-05-2023 23:00</v>
      </c>
      <c r="C700" s="1721">
        <v>0.6</v>
      </c>
      <c r="D700" s="1721"/>
      <c r="E700" s="1721"/>
      <c r="G700" s="1721"/>
      <c r="H700" s="1721"/>
      <c r="I700" s="1721"/>
    </row>
    <row r="701" spans="1:10" ht="15" thickBot="1">
      <c r="A701" s="1721" t="str">
        <f>"28-05-2023 23:00"</f>
        <v>28-05-2023 23:00</v>
      </c>
      <c r="B701" s="1721" t="str">
        <f>"29-05-2023 00:00"</f>
        <v>29-05-2023 00:00</v>
      </c>
      <c r="C701" s="1721">
        <v>0.51</v>
      </c>
      <c r="D701" s="1721"/>
      <c r="E701" s="1721"/>
      <c r="G701" s="1721"/>
      <c r="H701" s="1721"/>
      <c r="I701" s="1721"/>
    </row>
    <row r="702" spans="1:10">
      <c r="A702" s="1792">
        <v>45075</v>
      </c>
      <c r="B702" s="1792"/>
      <c r="C702" s="1789">
        <f>SUM(C703:C726)</f>
        <v>10.030000000000001</v>
      </c>
      <c r="D702" s="1789">
        <f>SUM(D703:D726)</f>
        <v>0</v>
      </c>
      <c r="E702" s="1789">
        <f>C702+D702</f>
        <v>10.030000000000001</v>
      </c>
      <c r="F702" s="1802"/>
      <c r="G702" s="1791"/>
      <c r="H702" s="1791"/>
      <c r="I702" s="1789"/>
      <c r="J702" s="1802"/>
    </row>
    <row r="703" spans="1:10">
      <c r="A703" s="1785" t="str">
        <f>"29-05-2023 00:00"</f>
        <v>29-05-2023 00:00</v>
      </c>
      <c r="B703" s="1785" t="str">
        <f>"29-05-2023 01:00"</f>
        <v>29-05-2023 01:00</v>
      </c>
      <c r="C703" s="1786">
        <v>0.38</v>
      </c>
    </row>
    <row r="704" spans="1:10">
      <c r="A704" s="1785" t="str">
        <f>"29-05-2023 01:00"</f>
        <v>29-05-2023 01:00</v>
      </c>
      <c r="B704" s="1785" t="str">
        <f>"29-05-2023 02:00"</f>
        <v>29-05-2023 02:00</v>
      </c>
      <c r="C704" s="1786">
        <v>0.42</v>
      </c>
    </row>
    <row r="705" spans="1:3">
      <c r="A705" s="1785" t="str">
        <f>"29-05-2023 02:00"</f>
        <v>29-05-2023 02:00</v>
      </c>
      <c r="B705" s="1785" t="str">
        <f>"29-05-2023 03:00"</f>
        <v>29-05-2023 03:00</v>
      </c>
      <c r="C705" s="1786">
        <v>0.31</v>
      </c>
    </row>
    <row r="706" spans="1:3">
      <c r="A706" s="1785" t="str">
        <f>"29-05-2023 03:00"</f>
        <v>29-05-2023 03:00</v>
      </c>
      <c r="B706" s="1785" t="str">
        <f>"29-05-2023 04:00"</f>
        <v>29-05-2023 04:00</v>
      </c>
      <c r="C706" s="1786">
        <v>0.34</v>
      </c>
    </row>
    <row r="707" spans="1:3">
      <c r="A707" s="1785" t="str">
        <f>"29-05-2023 04:00"</f>
        <v>29-05-2023 04:00</v>
      </c>
      <c r="B707" s="1785" t="str">
        <f>"29-05-2023 05:00"</f>
        <v>29-05-2023 05:00</v>
      </c>
      <c r="C707" s="1786">
        <v>0.45</v>
      </c>
    </row>
    <row r="708" spans="1:3">
      <c r="A708" s="1785" t="str">
        <f>"29-05-2023 05:00"</f>
        <v>29-05-2023 05:00</v>
      </c>
      <c r="B708" s="1785" t="str">
        <f>"29-05-2023 06:00"</f>
        <v>29-05-2023 06:00</v>
      </c>
      <c r="C708" s="1786">
        <v>0.39</v>
      </c>
    </row>
    <row r="709" spans="1:3">
      <c r="A709" s="1785" t="str">
        <f>"29-05-2023 06:00"</f>
        <v>29-05-2023 06:00</v>
      </c>
      <c r="B709" s="1785" t="str">
        <f>"29-05-2023 07:00"</f>
        <v>29-05-2023 07:00</v>
      </c>
      <c r="C709" s="1786">
        <v>0.49</v>
      </c>
    </row>
    <row r="710" spans="1:3">
      <c r="A710" s="1785" t="str">
        <f>"29-05-2023 07:00"</f>
        <v>29-05-2023 07:00</v>
      </c>
      <c r="B710" s="1785" t="str">
        <f>"29-05-2023 08:00"</f>
        <v>29-05-2023 08:00</v>
      </c>
      <c r="C710" s="1786">
        <v>0.45</v>
      </c>
    </row>
    <row r="711" spans="1:3">
      <c r="A711" s="1785" t="str">
        <f>"29-05-2023 08:00"</f>
        <v>29-05-2023 08:00</v>
      </c>
      <c r="B711" s="1785" t="str">
        <f>"29-05-2023 09:00"</f>
        <v>29-05-2023 09:00</v>
      </c>
      <c r="C711" s="1786">
        <v>0.46</v>
      </c>
    </row>
    <row r="712" spans="1:3">
      <c r="A712" s="1785" t="str">
        <f>"29-05-2023 09:00"</f>
        <v>29-05-2023 09:00</v>
      </c>
      <c r="B712" s="1785" t="str">
        <f>"29-05-2023 10:00"</f>
        <v>29-05-2023 10:00</v>
      </c>
      <c r="C712" s="1786">
        <v>0.38</v>
      </c>
    </row>
    <row r="713" spans="1:3">
      <c r="A713" s="1785" t="str">
        <f>"29-05-2023 10:00"</f>
        <v>29-05-2023 10:00</v>
      </c>
      <c r="B713" s="1785" t="str">
        <f>"29-05-2023 11:00"</f>
        <v>29-05-2023 11:00</v>
      </c>
      <c r="C713" s="1786">
        <v>0.38</v>
      </c>
    </row>
    <row r="714" spans="1:3">
      <c r="A714" s="1785" t="str">
        <f>"29-05-2023 11:00"</f>
        <v>29-05-2023 11:00</v>
      </c>
      <c r="B714" s="1785" t="str">
        <f>"29-05-2023 12:00"</f>
        <v>29-05-2023 12:00</v>
      </c>
      <c r="C714" s="1786">
        <v>0.33</v>
      </c>
    </row>
    <row r="715" spans="1:3">
      <c r="A715" s="1785" t="str">
        <f>"29-05-2023 12:00"</f>
        <v>29-05-2023 12:00</v>
      </c>
      <c r="B715" s="1785" t="str">
        <f>"29-05-2023 13:00"</f>
        <v>29-05-2023 13:00</v>
      </c>
      <c r="C715" s="1786">
        <v>0.17</v>
      </c>
    </row>
    <row r="716" spans="1:3">
      <c r="A716" s="1785" t="str">
        <f>"29-05-2023 13:00"</f>
        <v>29-05-2023 13:00</v>
      </c>
      <c r="B716" s="1785" t="str">
        <f>"29-05-2023 14:00"</f>
        <v>29-05-2023 14:00</v>
      </c>
      <c r="C716" s="1786">
        <v>-0.06</v>
      </c>
    </row>
    <row r="717" spans="1:3">
      <c r="A717" s="1785" t="str">
        <f>"29-05-2023 14:00"</f>
        <v>29-05-2023 14:00</v>
      </c>
      <c r="B717" s="1785" t="str">
        <f>"29-05-2023 15:00"</f>
        <v>29-05-2023 15:00</v>
      </c>
      <c r="C717" s="1786">
        <v>-0.13</v>
      </c>
    </row>
    <row r="718" spans="1:3">
      <c r="A718" s="1785" t="str">
        <f>"29-05-2023 15:00"</f>
        <v>29-05-2023 15:00</v>
      </c>
      <c r="B718" s="1785" t="str">
        <f>"29-05-2023 16:00"</f>
        <v>29-05-2023 16:00</v>
      </c>
      <c r="C718" s="1786">
        <v>0.03</v>
      </c>
    </row>
    <row r="719" spans="1:3">
      <c r="A719" s="1785" t="str">
        <f>"29-05-2023 16:00"</f>
        <v>29-05-2023 16:00</v>
      </c>
      <c r="B719" s="1785" t="str">
        <f>"29-05-2023 17:00"</f>
        <v>29-05-2023 17:00</v>
      </c>
      <c r="C719" s="1786">
        <v>0.31</v>
      </c>
    </row>
    <row r="720" spans="1:3">
      <c r="A720" s="1785" t="str">
        <f>"29-05-2023 17:00"</f>
        <v>29-05-2023 17:00</v>
      </c>
      <c r="B720" s="1785" t="str">
        <f>"29-05-2023 18:00"</f>
        <v>29-05-2023 18:00</v>
      </c>
      <c r="C720" s="1786">
        <v>0.37</v>
      </c>
    </row>
    <row r="721" spans="1:5">
      <c r="A721" s="1785" t="str">
        <f>"29-05-2023 18:00"</f>
        <v>29-05-2023 18:00</v>
      </c>
      <c r="B721" s="1785" t="str">
        <f>"29-05-2023 19:00"</f>
        <v>29-05-2023 19:00</v>
      </c>
      <c r="C721" s="1786">
        <v>1.01</v>
      </c>
    </row>
    <row r="722" spans="1:5">
      <c r="A722" s="1785" t="str">
        <f>"29-05-2023 19:00"</f>
        <v>29-05-2023 19:00</v>
      </c>
      <c r="B722" s="1785" t="str">
        <f>"29-05-2023 20:00"</f>
        <v>29-05-2023 20:00</v>
      </c>
      <c r="C722" s="1786">
        <v>0.94</v>
      </c>
    </row>
    <row r="723" spans="1:5">
      <c r="A723" s="1785" t="str">
        <f>"29-05-2023 20:00"</f>
        <v>29-05-2023 20:00</v>
      </c>
      <c r="B723" s="1785" t="str">
        <f>"29-05-2023 21:00"</f>
        <v>29-05-2023 21:00</v>
      </c>
      <c r="C723" s="1786">
        <v>0.8</v>
      </c>
    </row>
    <row r="724" spans="1:5">
      <c r="A724" s="1785" t="str">
        <f>"29-05-2023 21:00"</f>
        <v>29-05-2023 21:00</v>
      </c>
      <c r="B724" s="1785" t="str">
        <f>"29-05-2023 22:00"</f>
        <v>29-05-2023 22:00</v>
      </c>
      <c r="C724" s="1786">
        <v>0.75</v>
      </c>
    </row>
    <row r="725" spans="1:5">
      <c r="A725" s="1785" t="str">
        <f>"29-05-2023 22:00"</f>
        <v>29-05-2023 22:00</v>
      </c>
      <c r="B725" s="1785" t="str">
        <f>"29-05-2023 23:00"</f>
        <v>29-05-2023 23:00</v>
      </c>
      <c r="C725" s="1786">
        <v>0.6</v>
      </c>
    </row>
    <row r="726" spans="1:5">
      <c r="A726" s="1785" t="str">
        <f>"29-05-2023 23:00"</f>
        <v>29-05-2023 23:00</v>
      </c>
      <c r="B726" s="1785" t="str">
        <f>"30-05-2023 00:00"</f>
        <v>30-05-2023 00:00</v>
      </c>
      <c r="C726" s="1786">
        <v>0.46</v>
      </c>
    </row>
    <row r="727" spans="1:5">
      <c r="A727" s="1785">
        <v>45076</v>
      </c>
      <c r="C727" s="1786">
        <f>SUM(C728:C751)</f>
        <v>18</v>
      </c>
      <c r="D727" s="1786">
        <f>SUM(D728:D751)</f>
        <v>0</v>
      </c>
      <c r="E727" s="1786">
        <f>C727+D727</f>
        <v>18</v>
      </c>
    </row>
    <row r="728" spans="1:5">
      <c r="A728" s="1785" t="str">
        <f>"30-05-2023 00:00"</f>
        <v>30-05-2023 00:00</v>
      </c>
      <c r="B728" s="1785" t="str">
        <f>"30-05-2023 01:00"</f>
        <v>30-05-2023 01:00</v>
      </c>
      <c r="C728" s="1786">
        <v>0.39</v>
      </c>
    </row>
    <row r="729" spans="1:5">
      <c r="A729" s="1785" t="str">
        <f>"30-05-2023 01:00"</f>
        <v>30-05-2023 01:00</v>
      </c>
      <c r="B729" s="1785" t="str">
        <f>"30-05-2023 02:00"</f>
        <v>30-05-2023 02:00</v>
      </c>
      <c r="C729" s="1786">
        <v>0.46</v>
      </c>
    </row>
    <row r="730" spans="1:5">
      <c r="A730" s="1785" t="str">
        <f>"30-05-2023 02:00"</f>
        <v>30-05-2023 02:00</v>
      </c>
      <c r="B730" s="1785" t="str">
        <f>"30-05-2023 03:00"</f>
        <v>30-05-2023 03:00</v>
      </c>
      <c r="C730" s="1786">
        <v>0.41</v>
      </c>
    </row>
    <row r="731" spans="1:5">
      <c r="A731" s="1785" t="str">
        <f>"30-05-2023 03:00"</f>
        <v>30-05-2023 03:00</v>
      </c>
      <c r="B731" s="1785" t="str">
        <f>"30-05-2023 04:00"</f>
        <v>30-05-2023 04:00</v>
      </c>
      <c r="C731" s="1786">
        <v>0.45</v>
      </c>
    </row>
    <row r="732" spans="1:5">
      <c r="A732" s="1785" t="str">
        <f>"30-05-2023 04:00"</f>
        <v>30-05-2023 04:00</v>
      </c>
      <c r="B732" s="1785" t="str">
        <f>"30-05-2023 05:00"</f>
        <v>30-05-2023 05:00</v>
      </c>
      <c r="C732" s="1786">
        <v>0.49</v>
      </c>
    </row>
    <row r="733" spans="1:5">
      <c r="A733" s="1785" t="str">
        <f>"30-05-2023 05:00"</f>
        <v>30-05-2023 05:00</v>
      </c>
      <c r="B733" s="1785" t="str">
        <f>"30-05-2023 06:00"</f>
        <v>30-05-2023 06:00</v>
      </c>
      <c r="C733" s="1786">
        <v>0.39</v>
      </c>
    </row>
    <row r="734" spans="1:5">
      <c r="A734" s="1785" t="str">
        <f>"30-05-2023 06:00"</f>
        <v>30-05-2023 06:00</v>
      </c>
      <c r="B734" s="1785" t="str">
        <f>"30-05-2023 07:00"</f>
        <v>30-05-2023 07:00</v>
      </c>
      <c r="C734" s="1786">
        <v>1.26</v>
      </c>
    </row>
    <row r="735" spans="1:5">
      <c r="A735" s="1785" t="str">
        <f>"30-05-2023 07:00"</f>
        <v>30-05-2023 07:00</v>
      </c>
      <c r="B735" s="1785" t="str">
        <f>"30-05-2023 08:00"</f>
        <v>30-05-2023 08:00</v>
      </c>
      <c r="C735" s="1786">
        <v>1.51</v>
      </c>
    </row>
    <row r="736" spans="1:5">
      <c r="A736" s="1785" t="str">
        <f>"30-05-2023 08:00"</f>
        <v>30-05-2023 08:00</v>
      </c>
      <c r="B736" s="1785" t="str">
        <f>"30-05-2023 09:00"</f>
        <v>30-05-2023 09:00</v>
      </c>
      <c r="C736" s="1786">
        <v>0.82</v>
      </c>
    </row>
    <row r="737" spans="1:5">
      <c r="A737" s="1785" t="str">
        <f>"30-05-2023 09:00"</f>
        <v>30-05-2023 09:00</v>
      </c>
      <c r="B737" s="1785" t="str">
        <f>"30-05-2023 10:00"</f>
        <v>30-05-2023 10:00</v>
      </c>
      <c r="C737" s="1786">
        <v>0.89</v>
      </c>
    </row>
    <row r="738" spans="1:5">
      <c r="A738" s="1785" t="str">
        <f>"30-05-2023 10:00"</f>
        <v>30-05-2023 10:00</v>
      </c>
      <c r="B738" s="1785" t="str">
        <f>"30-05-2023 11:00"</f>
        <v>30-05-2023 11:00</v>
      </c>
      <c r="C738" s="1786">
        <v>1.1200000000000001</v>
      </c>
    </row>
    <row r="739" spans="1:5">
      <c r="A739" s="1785" t="str">
        <f>"30-05-2023 11:00"</f>
        <v>30-05-2023 11:00</v>
      </c>
      <c r="B739" s="1785" t="str">
        <f>"30-05-2023 12:00"</f>
        <v>30-05-2023 12:00</v>
      </c>
      <c r="C739" s="1786">
        <v>0.56999999999999995</v>
      </c>
    </row>
    <row r="740" spans="1:5">
      <c r="A740" s="1785" t="str">
        <f>"30-05-2023 12:00"</f>
        <v>30-05-2023 12:00</v>
      </c>
      <c r="B740" s="1785" t="str">
        <f>"30-05-2023 13:00"</f>
        <v>30-05-2023 13:00</v>
      </c>
      <c r="C740" s="1786">
        <v>0.69</v>
      </c>
    </row>
    <row r="741" spans="1:5">
      <c r="A741" s="1785" t="str">
        <f>"30-05-2023 13:00"</f>
        <v>30-05-2023 13:00</v>
      </c>
      <c r="B741" s="1785" t="str">
        <f>"30-05-2023 14:00"</f>
        <v>30-05-2023 14:00</v>
      </c>
      <c r="C741" s="1786">
        <v>0.43</v>
      </c>
    </row>
    <row r="742" spans="1:5">
      <c r="A742" s="1785" t="str">
        <f>"30-05-2023 14:00"</f>
        <v>30-05-2023 14:00</v>
      </c>
      <c r="B742" s="1785" t="str">
        <f>"30-05-2023 15:00"</f>
        <v>30-05-2023 15:00</v>
      </c>
      <c r="C742" s="1786">
        <v>0.47</v>
      </c>
    </row>
    <row r="743" spans="1:5">
      <c r="A743" s="1785" t="str">
        <f>"30-05-2023 15:00"</f>
        <v>30-05-2023 15:00</v>
      </c>
      <c r="B743" s="1785" t="str">
        <f>"30-05-2023 16:00"</f>
        <v>30-05-2023 16:00</v>
      </c>
      <c r="C743" s="1786">
        <v>0.69</v>
      </c>
    </row>
    <row r="744" spans="1:5">
      <c r="A744" s="1785" t="str">
        <f>"30-05-2023 16:00"</f>
        <v>30-05-2023 16:00</v>
      </c>
      <c r="B744" s="1785" t="str">
        <f>"30-05-2023 17:00"</f>
        <v>30-05-2023 17:00</v>
      </c>
      <c r="C744" s="1786">
        <v>0.66</v>
      </c>
    </row>
    <row r="745" spans="1:5">
      <c r="A745" s="1785" t="str">
        <f>"30-05-2023 17:00"</f>
        <v>30-05-2023 17:00</v>
      </c>
      <c r="B745" s="1785" t="str">
        <f>"30-05-2023 18:00"</f>
        <v>30-05-2023 18:00</v>
      </c>
      <c r="C745" s="1786">
        <v>0.81</v>
      </c>
    </row>
    <row r="746" spans="1:5">
      <c r="A746" s="1785" t="str">
        <f>"30-05-2023 18:00"</f>
        <v>30-05-2023 18:00</v>
      </c>
      <c r="B746" s="1785" t="str">
        <f>"30-05-2023 19:00"</f>
        <v>30-05-2023 19:00</v>
      </c>
      <c r="C746" s="1786">
        <v>1.05</v>
      </c>
    </row>
    <row r="747" spans="1:5">
      <c r="A747" s="1785" t="str">
        <f>"30-05-2023 19:00"</f>
        <v>30-05-2023 19:00</v>
      </c>
      <c r="B747" s="1785" t="str">
        <f>"30-05-2023 20:00"</f>
        <v>30-05-2023 20:00</v>
      </c>
      <c r="C747" s="1786">
        <v>1.0900000000000001</v>
      </c>
    </row>
    <row r="748" spans="1:5">
      <c r="A748" s="1785" t="str">
        <f>"30-05-2023 20:00"</f>
        <v>30-05-2023 20:00</v>
      </c>
      <c r="B748" s="1785" t="str">
        <f>"30-05-2023 21:00"</f>
        <v>30-05-2023 21:00</v>
      </c>
      <c r="C748" s="1786">
        <v>1.49</v>
      </c>
    </row>
    <row r="749" spans="1:5">
      <c r="A749" s="1785" t="str">
        <f>"30-05-2023 21:00"</f>
        <v>30-05-2023 21:00</v>
      </c>
      <c r="B749" s="1785" t="str">
        <f>"30-05-2023 22:00"</f>
        <v>30-05-2023 22:00</v>
      </c>
      <c r="C749" s="1786">
        <v>0.81</v>
      </c>
    </row>
    <row r="750" spans="1:5">
      <c r="A750" s="1785" t="str">
        <f>"30-05-2023 22:00"</f>
        <v>30-05-2023 22:00</v>
      </c>
      <c r="B750" s="1785" t="str">
        <f>"30-05-2023 23:00"</f>
        <v>30-05-2023 23:00</v>
      </c>
      <c r="C750" s="1786">
        <v>0.52</v>
      </c>
    </row>
    <row r="751" spans="1:5">
      <c r="A751" s="1785" t="str">
        <f>"30-05-2023 23:00"</f>
        <v>30-05-2023 23:00</v>
      </c>
      <c r="B751" s="1785" t="str">
        <f>"31-05-2023 00:00"</f>
        <v>31-05-2023 00:00</v>
      </c>
      <c r="C751" s="1786">
        <v>0.53</v>
      </c>
    </row>
    <row r="752" spans="1:5">
      <c r="A752" s="1785">
        <v>45077</v>
      </c>
      <c r="C752" s="1786">
        <f>SUM(C753:C776)</f>
        <v>13.570000000000002</v>
      </c>
      <c r="D752" s="1786">
        <f>SUM(D753:D776)</f>
        <v>0</v>
      </c>
      <c r="E752" s="1786">
        <f>C752+D752</f>
        <v>13.570000000000002</v>
      </c>
    </row>
    <row r="753" spans="1:3">
      <c r="A753" s="1785" t="str">
        <f>"31-05-2023 00:00"</f>
        <v>31-05-2023 00:00</v>
      </c>
      <c r="B753" s="1785" t="str">
        <f>"31-05-2023 01:00"</f>
        <v>31-05-2023 01:00</v>
      </c>
      <c r="C753" s="1786">
        <v>0.47</v>
      </c>
    </row>
    <row r="754" spans="1:3">
      <c r="A754" s="1785" t="str">
        <f>"31-05-2023 01:00"</f>
        <v>31-05-2023 01:00</v>
      </c>
      <c r="B754" s="1785" t="str">
        <f>"31-05-2023 02:00"</f>
        <v>31-05-2023 02:00</v>
      </c>
      <c r="C754" s="1786">
        <v>0.41</v>
      </c>
    </row>
    <row r="755" spans="1:3">
      <c r="A755" s="1785" t="str">
        <f>"31-05-2023 02:00"</f>
        <v>31-05-2023 02:00</v>
      </c>
      <c r="B755" s="1785" t="str">
        <f>"31-05-2023 03:00"</f>
        <v>31-05-2023 03:00</v>
      </c>
      <c r="C755" s="1786">
        <v>0.56999999999999995</v>
      </c>
    </row>
    <row r="756" spans="1:3">
      <c r="A756" s="1785" t="str">
        <f>"31-05-2023 03:00"</f>
        <v>31-05-2023 03:00</v>
      </c>
      <c r="B756" s="1785" t="str">
        <f>"31-05-2023 04:00"</f>
        <v>31-05-2023 04:00</v>
      </c>
      <c r="C756" s="1786">
        <v>0.42</v>
      </c>
    </row>
    <row r="757" spans="1:3">
      <c r="A757" s="1785" t="str">
        <f>"31-05-2023 04:00"</f>
        <v>31-05-2023 04:00</v>
      </c>
      <c r="B757" s="1785" t="str">
        <f>"31-05-2023 05:00"</f>
        <v>31-05-2023 05:00</v>
      </c>
      <c r="C757" s="1786">
        <v>0.43</v>
      </c>
    </row>
    <row r="758" spans="1:3">
      <c r="A758" s="1785" t="str">
        <f>"31-05-2023 05:00"</f>
        <v>31-05-2023 05:00</v>
      </c>
      <c r="B758" s="1785" t="str">
        <f>"31-05-2023 06:00"</f>
        <v>31-05-2023 06:00</v>
      </c>
      <c r="C758" s="1786">
        <v>0.53</v>
      </c>
    </row>
    <row r="759" spans="1:3">
      <c r="A759" s="1785" t="str">
        <f>"31-05-2023 06:00"</f>
        <v>31-05-2023 06:00</v>
      </c>
      <c r="B759" s="1785" t="str">
        <f>"31-05-2023 07:00"</f>
        <v>31-05-2023 07:00</v>
      </c>
      <c r="C759" s="1786">
        <v>0.56999999999999995</v>
      </c>
    </row>
    <row r="760" spans="1:3">
      <c r="A760" s="1785" t="str">
        <f>"31-05-2023 07:00"</f>
        <v>31-05-2023 07:00</v>
      </c>
      <c r="B760" s="1785" t="str">
        <f>"31-05-2023 08:00"</f>
        <v>31-05-2023 08:00</v>
      </c>
      <c r="C760" s="1786">
        <v>0.52</v>
      </c>
    </row>
    <row r="761" spans="1:3">
      <c r="A761" s="1785" t="str">
        <f>"31-05-2023 08:00"</f>
        <v>31-05-2023 08:00</v>
      </c>
      <c r="B761" s="1785" t="str">
        <f>"31-05-2023 09:00"</f>
        <v>31-05-2023 09:00</v>
      </c>
      <c r="C761" s="1786">
        <v>0.51</v>
      </c>
    </row>
    <row r="762" spans="1:3">
      <c r="A762" s="1785" t="str">
        <f>"31-05-2023 09:00"</f>
        <v>31-05-2023 09:00</v>
      </c>
      <c r="B762" s="1785" t="str">
        <f>"31-05-2023 10:00"</f>
        <v>31-05-2023 10:00</v>
      </c>
      <c r="C762" s="1786">
        <v>0.7</v>
      </c>
    </row>
    <row r="763" spans="1:3">
      <c r="A763" s="1785" t="str">
        <f>"31-05-2023 10:00"</f>
        <v>31-05-2023 10:00</v>
      </c>
      <c r="B763" s="1785" t="str">
        <f>"31-05-2023 11:00"</f>
        <v>31-05-2023 11:00</v>
      </c>
      <c r="C763" s="1786">
        <v>0.76</v>
      </c>
    </row>
    <row r="764" spans="1:3">
      <c r="A764" s="1785" t="str">
        <f>"31-05-2023 11:00"</f>
        <v>31-05-2023 11:00</v>
      </c>
      <c r="B764" s="1785" t="str">
        <f>"31-05-2023 12:00"</f>
        <v>31-05-2023 12:00</v>
      </c>
      <c r="C764" s="1786">
        <v>0.71</v>
      </c>
    </row>
    <row r="765" spans="1:3">
      <c r="A765" s="1785" t="str">
        <f>"31-05-2023 12:00"</f>
        <v>31-05-2023 12:00</v>
      </c>
      <c r="B765" s="1785" t="str">
        <f>"31-05-2023 13:00"</f>
        <v>31-05-2023 13:00</v>
      </c>
      <c r="C765" s="1786">
        <v>0.52</v>
      </c>
    </row>
    <row r="766" spans="1:3">
      <c r="A766" s="1785" t="str">
        <f>"31-05-2023 13:00"</f>
        <v>31-05-2023 13:00</v>
      </c>
      <c r="B766" s="1785" t="str">
        <f>"31-05-2023 14:00"</f>
        <v>31-05-2023 14:00</v>
      </c>
      <c r="C766" s="1786">
        <v>0.4</v>
      </c>
    </row>
    <row r="767" spans="1:3">
      <c r="A767" s="1785" t="str">
        <f>"31-05-2023 14:00"</f>
        <v>31-05-2023 14:00</v>
      </c>
      <c r="B767" s="1785" t="str">
        <f>"31-05-2023 15:00"</f>
        <v>31-05-2023 15:00</v>
      </c>
      <c r="C767" s="1786">
        <v>0.32</v>
      </c>
    </row>
    <row r="768" spans="1:3">
      <c r="A768" s="1785" t="str">
        <f>"31-05-2023 15:00"</f>
        <v>31-05-2023 15:00</v>
      </c>
      <c r="B768" s="1785" t="str">
        <f>"31-05-2023 16:00"</f>
        <v>31-05-2023 16:00</v>
      </c>
      <c r="C768" s="1786">
        <v>0.49</v>
      </c>
    </row>
    <row r="769" spans="1:5">
      <c r="A769" s="1785" t="str">
        <f>"31-05-2023 16:00"</f>
        <v>31-05-2023 16:00</v>
      </c>
      <c r="B769" s="1785" t="str">
        <f>"31-05-2023 17:00"</f>
        <v>31-05-2023 17:00</v>
      </c>
      <c r="C769" s="1786">
        <v>0.48</v>
      </c>
    </row>
    <row r="770" spans="1:5">
      <c r="A770" s="1785" t="str">
        <f>"31-05-2023 17:00"</f>
        <v>31-05-2023 17:00</v>
      </c>
      <c r="B770" s="1785" t="str">
        <f>"31-05-2023 18:00"</f>
        <v>31-05-2023 18:00</v>
      </c>
      <c r="C770" s="1786">
        <v>0.66</v>
      </c>
    </row>
    <row r="771" spans="1:5">
      <c r="A771" s="1785" t="str">
        <f>"31-05-2023 18:00"</f>
        <v>31-05-2023 18:00</v>
      </c>
      <c r="B771" s="1785" t="str">
        <f>"31-05-2023 19:00"</f>
        <v>31-05-2023 19:00</v>
      </c>
      <c r="C771" s="1786">
        <v>0.99</v>
      </c>
    </row>
    <row r="772" spans="1:5">
      <c r="A772" s="1785" t="str">
        <f>"31-05-2023 19:00"</f>
        <v>31-05-2023 19:00</v>
      </c>
      <c r="B772" s="1785" t="str">
        <f>"31-05-2023 20:00"</f>
        <v>31-05-2023 20:00</v>
      </c>
      <c r="C772" s="1786">
        <v>0.72</v>
      </c>
    </row>
    <row r="773" spans="1:5">
      <c r="A773" s="1785" t="str">
        <f>"31-05-2023 20:00"</f>
        <v>31-05-2023 20:00</v>
      </c>
      <c r="B773" s="1785" t="str">
        <f>"31-05-2023 21:00"</f>
        <v>31-05-2023 21:00</v>
      </c>
      <c r="C773" s="1786">
        <v>0.75</v>
      </c>
    </row>
    <row r="774" spans="1:5">
      <c r="A774" s="1785" t="str">
        <f>"31-05-2023 21:00"</f>
        <v>31-05-2023 21:00</v>
      </c>
      <c r="B774" s="1785" t="str">
        <f>"31-05-2023 22:00"</f>
        <v>31-05-2023 22:00</v>
      </c>
      <c r="C774" s="1786">
        <v>0.79</v>
      </c>
    </row>
    <row r="775" spans="1:5">
      <c r="A775" s="1785" t="str">
        <f>"31-05-2023 22:00"</f>
        <v>31-05-2023 22:00</v>
      </c>
      <c r="B775" s="1785" t="str">
        <f>"31-05-2023 23:00"</f>
        <v>31-05-2023 23:00</v>
      </c>
      <c r="C775" s="1786">
        <v>0.5</v>
      </c>
    </row>
    <row r="776" spans="1:5">
      <c r="A776" s="1785" t="str">
        <f>"31-05-2023 23:00"</f>
        <v>31-05-2023 23:00</v>
      </c>
      <c r="B776" s="1785" t="str">
        <f>"01-06-2023 00:00"</f>
        <v>01-06-2023 00:00</v>
      </c>
      <c r="C776" s="1786">
        <v>0.35</v>
      </c>
    </row>
    <row r="777" spans="1:5">
      <c r="A777" s="1785">
        <v>45078</v>
      </c>
      <c r="C777" s="1786">
        <f>SUM(C778:C801)</f>
        <v>15.27</v>
      </c>
      <c r="D777" s="1786">
        <f>SUM(D778:D801)</f>
        <v>0</v>
      </c>
      <c r="E777" s="1786">
        <f>C777+D777</f>
        <v>15.27</v>
      </c>
    </row>
    <row r="778" spans="1:5">
      <c r="A778" s="1785" t="str">
        <f>"01-06-2023 00:00"</f>
        <v>01-06-2023 00:00</v>
      </c>
      <c r="B778" s="1785" t="str">
        <f>"01-06-2023 01:00"</f>
        <v>01-06-2023 01:00</v>
      </c>
      <c r="C778" s="1786">
        <v>0.47</v>
      </c>
    </row>
    <row r="779" spans="1:5">
      <c r="A779" s="1785" t="str">
        <f>"01-06-2023 01:00"</f>
        <v>01-06-2023 01:00</v>
      </c>
      <c r="B779" s="1785" t="str">
        <f>"01-06-2023 02:00"</f>
        <v>01-06-2023 02:00</v>
      </c>
      <c r="C779" s="1786">
        <v>0.34</v>
      </c>
    </row>
    <row r="780" spans="1:5">
      <c r="A780" s="1785" t="str">
        <f>"01-06-2023 02:00"</f>
        <v>01-06-2023 02:00</v>
      </c>
      <c r="B780" s="1785" t="str">
        <f>"01-06-2023 03:00"</f>
        <v>01-06-2023 03:00</v>
      </c>
      <c r="C780" s="1786">
        <v>0.37</v>
      </c>
    </row>
    <row r="781" spans="1:5">
      <c r="A781" s="1785" t="str">
        <f>"01-06-2023 03:00"</f>
        <v>01-06-2023 03:00</v>
      </c>
      <c r="B781" s="1785" t="str">
        <f>"01-06-2023 04:00"</f>
        <v>01-06-2023 04:00</v>
      </c>
      <c r="C781" s="1786">
        <v>0.42</v>
      </c>
    </row>
    <row r="782" spans="1:5">
      <c r="A782" s="1785" t="str">
        <f>"01-06-2023 04:00"</f>
        <v>01-06-2023 04:00</v>
      </c>
      <c r="B782" s="1785" t="str">
        <f>"01-06-2023 05:00"</f>
        <v>01-06-2023 05:00</v>
      </c>
      <c r="C782" s="1786">
        <v>0.4</v>
      </c>
    </row>
    <row r="783" spans="1:5">
      <c r="A783" s="1785" t="str">
        <f>"01-06-2023 05:00"</f>
        <v>01-06-2023 05:00</v>
      </c>
      <c r="B783" s="1785" t="str">
        <f>"01-06-2023 06:00"</f>
        <v>01-06-2023 06:00</v>
      </c>
      <c r="C783" s="1786">
        <v>0.44</v>
      </c>
    </row>
    <row r="784" spans="1:5">
      <c r="A784" s="1785" t="str">
        <f>"01-06-2023 06:00"</f>
        <v>01-06-2023 06:00</v>
      </c>
      <c r="B784" s="1785" t="str">
        <f>"01-06-2023 07:00"</f>
        <v>01-06-2023 07:00</v>
      </c>
      <c r="C784" s="1786">
        <v>0.68</v>
      </c>
    </row>
    <row r="785" spans="1:3">
      <c r="A785" s="1785" t="str">
        <f>"01-06-2023 07:00"</f>
        <v>01-06-2023 07:00</v>
      </c>
      <c r="B785" s="1785" t="str">
        <f>"01-06-2023 08:00"</f>
        <v>01-06-2023 08:00</v>
      </c>
      <c r="C785" s="1786">
        <v>0.93</v>
      </c>
    </row>
    <row r="786" spans="1:3">
      <c r="A786" s="1785" t="str">
        <f>"01-06-2023 08:00"</f>
        <v>01-06-2023 08:00</v>
      </c>
      <c r="B786" s="1785" t="str">
        <f>"01-06-2023 09:00"</f>
        <v>01-06-2023 09:00</v>
      </c>
      <c r="C786" s="1786">
        <v>0.75</v>
      </c>
    </row>
    <row r="787" spans="1:3">
      <c r="A787" s="1785" t="str">
        <f>"01-06-2023 09:00"</f>
        <v>01-06-2023 09:00</v>
      </c>
      <c r="B787" s="1785" t="str">
        <f>"01-06-2023 10:00"</f>
        <v>01-06-2023 10:00</v>
      </c>
      <c r="C787" s="1786">
        <v>0.74</v>
      </c>
    </row>
    <row r="788" spans="1:3">
      <c r="A788" s="1785" t="str">
        <f>"01-06-2023 10:00"</f>
        <v>01-06-2023 10:00</v>
      </c>
      <c r="B788" s="1785" t="str">
        <f>"01-06-2023 11:00"</f>
        <v>01-06-2023 11:00</v>
      </c>
      <c r="C788" s="1786">
        <v>0.72</v>
      </c>
    </row>
    <row r="789" spans="1:3">
      <c r="A789" s="1785" t="str">
        <f>"01-06-2023 11:00"</f>
        <v>01-06-2023 11:00</v>
      </c>
      <c r="B789" s="1785" t="str">
        <f>"01-06-2023 12:00"</f>
        <v>01-06-2023 12:00</v>
      </c>
      <c r="C789" s="1786">
        <v>0.39</v>
      </c>
    </row>
    <row r="790" spans="1:3">
      <c r="A790" s="1785" t="str">
        <f>"01-06-2023 12:00"</f>
        <v>01-06-2023 12:00</v>
      </c>
      <c r="B790" s="1785" t="str">
        <f>"01-06-2023 13:00"</f>
        <v>01-06-2023 13:00</v>
      </c>
      <c r="C790" s="1786">
        <v>0.42</v>
      </c>
    </row>
    <row r="791" spans="1:3">
      <c r="A791" s="1785" t="str">
        <f>"01-06-2023 13:00"</f>
        <v>01-06-2023 13:00</v>
      </c>
      <c r="B791" s="1785" t="str">
        <f>"01-06-2023 14:00"</f>
        <v>01-06-2023 14:00</v>
      </c>
      <c r="C791" s="1786">
        <v>0.32</v>
      </c>
    </row>
    <row r="792" spans="1:3">
      <c r="A792" s="1785" t="str">
        <f>"01-06-2023 14:00"</f>
        <v>01-06-2023 14:00</v>
      </c>
      <c r="B792" s="1785" t="str">
        <f>"01-06-2023 15:00"</f>
        <v>01-06-2023 15:00</v>
      </c>
      <c r="C792" s="1786">
        <v>0.47</v>
      </c>
    </row>
    <row r="793" spans="1:3">
      <c r="A793" s="1785" t="str">
        <f>"01-06-2023 15:00"</f>
        <v>01-06-2023 15:00</v>
      </c>
      <c r="B793" s="1785" t="str">
        <f>"01-06-2023 16:00"</f>
        <v>01-06-2023 16:00</v>
      </c>
      <c r="C793" s="1786">
        <v>0.52</v>
      </c>
    </row>
    <row r="794" spans="1:3">
      <c r="A794" s="1785" t="str">
        <f>"01-06-2023 16:00"</f>
        <v>01-06-2023 16:00</v>
      </c>
      <c r="B794" s="1785" t="str">
        <f>"01-06-2023 17:00"</f>
        <v>01-06-2023 17:00</v>
      </c>
      <c r="C794" s="1786">
        <v>0.69</v>
      </c>
    </row>
    <row r="795" spans="1:3">
      <c r="A795" s="1785" t="str">
        <f>"01-06-2023 17:00"</f>
        <v>01-06-2023 17:00</v>
      </c>
      <c r="B795" s="1785" t="str">
        <f>"01-06-2023 18:00"</f>
        <v>01-06-2023 18:00</v>
      </c>
      <c r="C795" s="1786">
        <v>0.88</v>
      </c>
    </row>
    <row r="796" spans="1:3">
      <c r="A796" s="1785" t="str">
        <f>"01-06-2023 18:00"</f>
        <v>01-06-2023 18:00</v>
      </c>
      <c r="B796" s="1785" t="str">
        <f>"01-06-2023 19:00"</f>
        <v>01-06-2023 19:00</v>
      </c>
      <c r="C796" s="1786">
        <v>1.62</v>
      </c>
    </row>
    <row r="797" spans="1:3">
      <c r="A797" s="1785" t="str">
        <f>"01-06-2023 19:00"</f>
        <v>01-06-2023 19:00</v>
      </c>
      <c r="B797" s="1785" t="str">
        <f>"01-06-2023 20:00"</f>
        <v>01-06-2023 20:00</v>
      </c>
      <c r="C797" s="1786">
        <v>1.0900000000000001</v>
      </c>
    </row>
    <row r="798" spans="1:3">
      <c r="A798" s="1785" t="str">
        <f>"01-06-2023 20:00"</f>
        <v>01-06-2023 20:00</v>
      </c>
      <c r="B798" s="1785" t="str">
        <f>"01-06-2023 21:00"</f>
        <v>01-06-2023 21:00</v>
      </c>
      <c r="C798" s="1786">
        <v>0.9</v>
      </c>
    </row>
    <row r="799" spans="1:3">
      <c r="A799" s="1785" t="str">
        <f>"01-06-2023 21:00"</f>
        <v>01-06-2023 21:00</v>
      </c>
      <c r="B799" s="1785" t="str">
        <f>"01-06-2023 22:00"</f>
        <v>01-06-2023 22:00</v>
      </c>
      <c r="C799" s="1786">
        <v>0.64</v>
      </c>
    </row>
    <row r="800" spans="1:3">
      <c r="A800" s="1785" t="str">
        <f>"01-06-2023 22:00"</f>
        <v>01-06-2023 22:00</v>
      </c>
      <c r="B800" s="1785" t="str">
        <f>"01-06-2023 23:00"</f>
        <v>01-06-2023 23:00</v>
      </c>
      <c r="C800" s="1786">
        <v>0.7</v>
      </c>
    </row>
    <row r="801" spans="1:5">
      <c r="A801" s="1785" t="str">
        <f>"01-06-2023 23:00"</f>
        <v>01-06-2023 23:00</v>
      </c>
      <c r="B801" s="1785" t="str">
        <f>"02-06-2023 00:00"</f>
        <v>02-06-2023 00:00</v>
      </c>
      <c r="C801" s="1786">
        <v>0.37</v>
      </c>
    </row>
    <row r="802" spans="1:5">
      <c r="A802" s="1785">
        <v>45079</v>
      </c>
      <c r="C802" s="1786">
        <f>SUM(C803:C826)</f>
        <v>0</v>
      </c>
      <c r="D802" s="1786">
        <f>SUM(D803:D826)</f>
        <v>0</v>
      </c>
      <c r="E802" s="1786">
        <f>C802+D802</f>
        <v>0</v>
      </c>
    </row>
  </sheetData>
  <mergeCells count="34">
    <mergeCell ref="A377:B377"/>
    <mergeCell ref="G277:H277"/>
    <mergeCell ref="G302:H302"/>
    <mergeCell ref="A402:B402"/>
    <mergeCell ref="G327:H327"/>
    <mergeCell ref="G352:H352"/>
    <mergeCell ref="G377:H377"/>
    <mergeCell ref="G402:H402"/>
    <mergeCell ref="A302:B302"/>
    <mergeCell ref="A327:B327"/>
    <mergeCell ref="G252:H252"/>
    <mergeCell ref="A352:B352"/>
    <mergeCell ref="A252:B252"/>
    <mergeCell ref="G152:H152"/>
    <mergeCell ref="G177:H177"/>
    <mergeCell ref="A277:B277"/>
    <mergeCell ref="G202:H202"/>
    <mergeCell ref="A177:B177"/>
    <mergeCell ref="A202:B202"/>
    <mergeCell ref="G102:H102"/>
    <mergeCell ref="G127:H127"/>
    <mergeCell ref="A227:B227"/>
    <mergeCell ref="G2:H2"/>
    <mergeCell ref="G27:H27"/>
    <mergeCell ref="G52:H52"/>
    <mergeCell ref="A127:B127"/>
    <mergeCell ref="A152:B152"/>
    <mergeCell ref="A2:B2"/>
    <mergeCell ref="A27:B27"/>
    <mergeCell ref="A52:B52"/>
    <mergeCell ref="A77:B77"/>
    <mergeCell ref="A102:B102"/>
    <mergeCell ref="G77:H77"/>
    <mergeCell ref="G227:H227"/>
  </mergeCells>
  <conditionalFormatting sqref="I3:I26">
    <cfRule type="colorScale" priority="11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03:C126">
    <cfRule type="colorScale" priority="11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03:D126">
    <cfRule type="colorScale" priority="11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28:I51">
    <cfRule type="colorScale" priority="11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28:C151">
    <cfRule type="colorScale" priority="11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53:C176">
    <cfRule type="colorScale" priority="10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53:I76">
    <cfRule type="colorScale" priority="10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78:I101">
    <cfRule type="colorScale" priority="10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78:C201">
    <cfRule type="colorScale" priority="10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03:C226">
    <cfRule type="colorScale" priority="10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103:I126">
    <cfRule type="colorScale" priority="10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128:I151">
    <cfRule type="colorScale" priority="10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28:C251">
    <cfRule type="colorScale" priority="10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53:C276">
    <cfRule type="colorScale" priority="10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153:I176">
    <cfRule type="colorScale" priority="10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178:I201">
    <cfRule type="colorScale" priority="9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78:C301">
    <cfRule type="colorScale" priority="9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203:I226">
    <cfRule type="colorScale" priority="9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03:C326">
    <cfRule type="colorScale" priority="9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28:C351">
    <cfRule type="colorScale" priority="9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228:I251">
    <cfRule type="colorScale" priority="9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253:I276">
    <cfRule type="colorScale" priority="9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53:C376">
    <cfRule type="colorScale" priority="9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78:C401">
    <cfRule type="colorScale" priority="9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278:I301">
    <cfRule type="colorScale" priority="9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303:I326">
    <cfRule type="colorScale" priority="8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403:C426">
    <cfRule type="colorScale" priority="8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428:C451">
    <cfRule type="colorScale" priority="8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328:I351">
    <cfRule type="colorScale" priority="8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353:I376">
    <cfRule type="colorScale" priority="8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453:C476">
    <cfRule type="colorScale" priority="8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478:C501">
    <cfRule type="colorScale" priority="8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378:I401">
    <cfRule type="colorScale" priority="8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503:C526">
    <cfRule type="colorScale" priority="8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I403:I426">
    <cfRule type="colorScale" priority="8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528:C551">
    <cfRule type="colorScale" priority="7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553:C576">
    <cfRule type="colorScale" priority="7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578:C601">
    <cfRule type="colorScale" priority="7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603:C626">
    <cfRule type="colorScale" priority="7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628:C651">
    <cfRule type="colorScale" priority="7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653:C676">
    <cfRule type="colorScale" priority="7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678:C701">
    <cfRule type="colorScale" priority="7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03:C726">
    <cfRule type="colorScale" priority="7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28:C751">
    <cfRule type="colorScale" priority="7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53:C776">
    <cfRule type="colorScale" priority="7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78:C801">
    <cfRule type="colorScale" priority="6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28:D151">
    <cfRule type="colorScale" priority="6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53:D176">
    <cfRule type="colorScale" priority="6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78:D201">
    <cfRule type="colorScale" priority="6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03:D226">
    <cfRule type="colorScale" priority="6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3:C101">
    <cfRule type="colorScale" priority="11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:C26">
    <cfRule type="colorScale" priority="6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8:C51">
    <cfRule type="colorScale" priority="6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53:C76">
    <cfRule type="colorScale" priority="6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78:C101">
    <cfRule type="colorScale" priority="6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03:C126">
    <cfRule type="colorScale" priority="5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28:C151">
    <cfRule type="colorScale" priority="5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53:C176">
    <cfRule type="colorScale" priority="5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178:C201">
    <cfRule type="colorScale" priority="5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03:C226">
    <cfRule type="colorScale" priority="5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28:C251">
    <cfRule type="colorScale" priority="5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53:C276">
    <cfRule type="colorScale" priority="5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278:C301">
    <cfRule type="colorScale" priority="5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03:C326">
    <cfRule type="colorScale" priority="5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28:C351">
    <cfRule type="colorScale" priority="5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53:C376">
    <cfRule type="colorScale" priority="4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378:C401">
    <cfRule type="colorScale" priority="4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C403:C426">
    <cfRule type="colorScale" priority="4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03:E126">
    <cfRule type="colorScale" priority="4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28:E151">
    <cfRule type="colorScale" priority="4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53:E176">
    <cfRule type="colorScale" priority="4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78:E201">
    <cfRule type="colorScale" priority="4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03:E226">
    <cfRule type="colorScale" priority="4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28:E251">
    <cfRule type="colorScale" priority="4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53:E276">
    <cfRule type="colorScale" priority="4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78:E301">
    <cfRule type="colorScale" priority="3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03:E326">
    <cfRule type="colorScale" priority="3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28:E351">
    <cfRule type="colorScale" priority="3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53:E376">
    <cfRule type="colorScale" priority="3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78:E401">
    <cfRule type="colorScale" priority="3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403:E426">
    <cfRule type="colorScale" priority="3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428:E451">
    <cfRule type="colorScale" priority="3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453:E476">
    <cfRule type="colorScale" priority="3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478:E501">
    <cfRule type="colorScale" priority="3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503:E526">
    <cfRule type="colorScale" priority="3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528:E551">
    <cfRule type="colorScale" priority="2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553:E576">
    <cfRule type="colorScale" priority="2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578:E601">
    <cfRule type="colorScale" priority="2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603:E626">
    <cfRule type="colorScale" priority="2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628:E651">
    <cfRule type="colorScale" priority="2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653:E676">
    <cfRule type="colorScale" priority="2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678:E701">
    <cfRule type="colorScale" priority="2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03:E726">
    <cfRule type="colorScale" priority="2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28:E751">
    <cfRule type="colorScale" priority="2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53:E776">
    <cfRule type="colorScale" priority="2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78:E801">
    <cfRule type="colorScale" priority="1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3:E101">
    <cfRule type="colorScale" priority="1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:E26">
    <cfRule type="colorScale" priority="1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8:E51">
    <cfRule type="colorScale" priority="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53:E76">
    <cfRule type="colorScale" priority="1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78:E101">
    <cfRule type="colorScale" priority="1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03:E126">
    <cfRule type="colorScale" priority="1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28:E151">
    <cfRule type="colorScale" priority="1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53:E176">
    <cfRule type="colorScale" priority="1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178:E201">
    <cfRule type="colorScale" priority="10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03:E226">
    <cfRule type="colorScale" priority="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28:E251">
    <cfRule type="colorScale" priority="8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53:E276">
    <cfRule type="colorScale" priority="7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278:E301">
    <cfRule type="colorScale" priority="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03:E326">
    <cfRule type="colorScale" priority="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28:E351">
    <cfRule type="colorScale" priority="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53:E376">
    <cfRule type="colorScale" priority="3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378:E401">
    <cfRule type="colorScale" priority="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D403:E426">
    <cfRule type="colorScale" priority="1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909"/>
  <sheetViews>
    <sheetView topLeftCell="Y1" workbookViewId="0">
      <pane ySplit="1" topLeftCell="A558" activePane="bottomLeft" state="frozen"/>
      <selection activeCell="B1" sqref="B1"/>
      <selection pane="bottomLeft" activeCell="AQ581" sqref="AQ581"/>
    </sheetView>
  </sheetViews>
  <sheetFormatPr defaultColWidth="9.109375" defaultRowHeight="14.4"/>
  <cols>
    <col min="1" max="1" width="1.6640625" style="1918" customWidth="1"/>
    <col min="2" max="3" width="7.6640625" style="1919" customWidth="1"/>
    <col min="4" max="5" width="10.6640625" style="1943" customWidth="1"/>
    <col min="6" max="6" width="1.6640625" style="1918" customWidth="1"/>
    <col min="7" max="8" width="6.6640625" style="1027" customWidth="1"/>
    <col min="9" max="9" width="10.6640625" style="1948" customWidth="1"/>
    <col min="10" max="10" width="10.6640625" style="1949" customWidth="1"/>
    <col min="11" max="11" width="1.6640625" style="1918" customWidth="1"/>
    <col min="12" max="13" width="6.6640625" style="1027" customWidth="1"/>
    <col min="14" max="14" width="10.6640625" style="1948" customWidth="1"/>
    <col min="15" max="15" width="10.6640625" style="1949" customWidth="1"/>
    <col min="16" max="16" width="1.6640625" style="1918" customWidth="1"/>
    <col min="17" max="18" width="6.6640625" style="1919" customWidth="1"/>
    <col min="19" max="20" width="10.6640625" style="1943" customWidth="1"/>
    <col min="21" max="21" width="1.6640625" style="1918" customWidth="1"/>
    <col min="22" max="23" width="6.6640625" style="1919" customWidth="1"/>
    <col min="24" max="25" width="10.6640625" style="1943" customWidth="1"/>
    <col min="26" max="26" width="1.6640625" style="1918" customWidth="1"/>
    <col min="27" max="28" width="6.6640625" style="1027" customWidth="1"/>
    <col min="29" max="29" width="11" style="1919" bestFit="1" customWidth="1"/>
    <col min="30" max="30" width="12.109375" style="1944" customWidth="1"/>
    <col min="31" max="31" width="2.6640625" style="1918" customWidth="1"/>
    <col min="32" max="33" width="6.6640625" style="1027" customWidth="1"/>
    <col min="34" max="34" width="11" style="1919" bestFit="1" customWidth="1"/>
    <col min="35" max="35" width="12.109375" style="1944" customWidth="1"/>
    <col min="36" max="36" width="2.6640625" style="1918" customWidth="1"/>
    <col min="37" max="38" width="9.109375" style="1960"/>
    <col min="39" max="39" width="9.109375" style="2081"/>
    <col min="40" max="40" width="9.109375" style="1960"/>
    <col min="41" max="41" width="6.6640625" style="1027" customWidth="1"/>
    <col min="42" max="42" width="14.44140625" style="1027" customWidth="1"/>
    <col min="43" max="43" width="11" style="1919" bestFit="1" customWidth="1"/>
    <col min="44" max="44" width="12.109375" style="1944" customWidth="1"/>
    <col min="45" max="47" width="9.109375" style="1960"/>
    <col min="48" max="16384" width="9.109375" style="1919"/>
  </cols>
  <sheetData>
    <row r="1" spans="2:44" ht="15" thickBot="1">
      <c r="B1" s="1973"/>
      <c r="C1" s="1973"/>
      <c r="D1" s="1973" t="s">
        <v>1147</v>
      </c>
      <c r="E1" s="1973" t="s">
        <v>708</v>
      </c>
      <c r="G1" s="2771"/>
      <c r="H1" s="2771"/>
      <c r="I1" s="1920" t="s">
        <v>1147</v>
      </c>
      <c r="J1" s="1921" t="s">
        <v>708</v>
      </c>
      <c r="L1" s="2771"/>
      <c r="M1" s="2771"/>
      <c r="N1" s="1920" t="s">
        <v>1147</v>
      </c>
      <c r="O1" s="1921" t="s">
        <v>708</v>
      </c>
      <c r="Q1" s="2767" t="s">
        <v>475</v>
      </c>
      <c r="R1" s="2767"/>
      <c r="S1" s="2767"/>
      <c r="T1" s="2767"/>
      <c r="V1" s="2768" t="s">
        <v>1467</v>
      </c>
      <c r="W1" s="2768"/>
      <c r="X1" s="2768"/>
      <c r="Y1" s="2768"/>
      <c r="AA1" s="2767" t="s">
        <v>1467</v>
      </c>
      <c r="AB1" s="2767"/>
      <c r="AC1" s="2767"/>
      <c r="AD1" s="2767"/>
      <c r="AF1" s="2767" t="s">
        <v>1467</v>
      </c>
      <c r="AG1" s="2767"/>
      <c r="AH1" s="2767"/>
      <c r="AI1" s="2767"/>
      <c r="AK1" s="1972" t="s">
        <v>590</v>
      </c>
      <c r="AL1" s="1972" t="s">
        <v>588</v>
      </c>
      <c r="AM1" s="2079" t="s">
        <v>587</v>
      </c>
      <c r="AN1" s="1972" t="s">
        <v>586</v>
      </c>
      <c r="AO1" s="2767"/>
      <c r="AP1" s="2767"/>
      <c r="AQ1" s="2767"/>
      <c r="AR1" s="2767"/>
    </row>
    <row r="2" spans="2:44">
      <c r="B2" s="2775">
        <f>B36</f>
        <v>44958</v>
      </c>
      <c r="C2" s="2775"/>
      <c r="D2" s="1979">
        <f>D36</f>
        <v>2.5000000000000004</v>
      </c>
      <c r="E2" s="1983">
        <f>E36</f>
        <v>4.92</v>
      </c>
      <c r="F2" s="1980"/>
      <c r="G2" s="2775">
        <f>G36</f>
        <v>44986</v>
      </c>
      <c r="H2" s="2775"/>
      <c r="I2" s="1979">
        <f>I36</f>
        <v>6.12</v>
      </c>
      <c r="J2" s="1983">
        <f>J36</f>
        <v>14.349999999999998</v>
      </c>
      <c r="K2" s="1980"/>
      <c r="L2" s="2775">
        <f>L36</f>
        <v>45017</v>
      </c>
      <c r="M2" s="2775"/>
      <c r="N2" s="1979">
        <f>N36</f>
        <v>5.8900000000000006</v>
      </c>
      <c r="O2" s="1983">
        <f>O36</f>
        <v>7.9399999999999986</v>
      </c>
      <c r="P2" s="1980"/>
      <c r="Q2" s="2775">
        <f>Q36</f>
        <v>45047</v>
      </c>
      <c r="R2" s="2775"/>
      <c r="S2" s="1979">
        <f>S36</f>
        <v>6.1099999999999994</v>
      </c>
      <c r="T2" s="1983">
        <f>T36</f>
        <v>8.7200000000000006</v>
      </c>
      <c r="U2" s="1980"/>
      <c r="V2" s="2775"/>
      <c r="W2" s="2775"/>
      <c r="X2" s="1984"/>
      <c r="Y2" s="1986"/>
      <c r="Z2" s="1980"/>
      <c r="AA2" s="2775">
        <f>AA36</f>
        <v>45078</v>
      </c>
      <c r="AB2" s="2775"/>
      <c r="AC2" s="1979">
        <f>AC36</f>
        <v>10.680000000000001</v>
      </c>
      <c r="AD2" s="1983">
        <f>AD36</f>
        <v>15.085000000000001</v>
      </c>
      <c r="AF2" s="2775">
        <f>AF36</f>
        <v>45108</v>
      </c>
      <c r="AG2" s="2775"/>
      <c r="AH2" s="1979">
        <f>AH36</f>
        <v>5.5100000000000007</v>
      </c>
      <c r="AI2" s="1983">
        <f>AI36</f>
        <v>12.080000000000002</v>
      </c>
      <c r="AO2" s="2089"/>
      <c r="AP2" s="2089"/>
      <c r="AQ2" s="2089"/>
      <c r="AR2" s="2089"/>
    </row>
    <row r="3" spans="2:44">
      <c r="B3" s="2775">
        <f>B61</f>
        <v>44959</v>
      </c>
      <c r="C3" s="2775"/>
      <c r="D3" s="1979">
        <f>D61</f>
        <v>5.59</v>
      </c>
      <c r="E3" s="1983">
        <f>E61</f>
        <v>13.829999999999998</v>
      </c>
      <c r="F3" s="1980"/>
      <c r="G3" s="2775">
        <f>G61</f>
        <v>44987</v>
      </c>
      <c r="H3" s="2775"/>
      <c r="I3" s="1979">
        <f>I61</f>
        <v>6.87</v>
      </c>
      <c r="J3" s="1983">
        <f>J61</f>
        <v>16.180000000000003</v>
      </c>
      <c r="K3" s="1980"/>
      <c r="L3" s="2775">
        <f>L61</f>
        <v>45018</v>
      </c>
      <c r="M3" s="2775"/>
      <c r="N3" s="1979">
        <f>N61</f>
        <v>7.62</v>
      </c>
      <c r="O3" s="1983">
        <f>O61</f>
        <v>10.84</v>
      </c>
      <c r="P3" s="1980"/>
      <c r="Q3" s="2775">
        <f>Q61</f>
        <v>45048</v>
      </c>
      <c r="R3" s="2775"/>
      <c r="S3" s="1979">
        <f>S61</f>
        <v>6.7800000000000011</v>
      </c>
      <c r="T3" s="1983">
        <f>T61</f>
        <v>11.629999999999999</v>
      </c>
      <c r="U3" s="1980"/>
      <c r="V3" s="2775"/>
      <c r="W3" s="2775"/>
      <c r="X3" s="1984"/>
      <c r="Y3" s="1986"/>
      <c r="Z3" s="1980"/>
      <c r="AA3" s="2775">
        <f>AA61</f>
        <v>45079</v>
      </c>
      <c r="AB3" s="2775"/>
      <c r="AC3" s="1979">
        <f>AC61</f>
        <v>11.230000000000002</v>
      </c>
      <c r="AD3" s="1983">
        <f>AD61</f>
        <v>17.53</v>
      </c>
      <c r="AF3" s="2775">
        <f>AF61</f>
        <v>45109</v>
      </c>
      <c r="AG3" s="2775"/>
      <c r="AH3" s="1979">
        <f>AH61</f>
        <v>10.35</v>
      </c>
      <c r="AI3" s="1983">
        <f>AI61</f>
        <v>4.6799999999999988</v>
      </c>
      <c r="AO3" s="2089"/>
      <c r="AP3" s="2089"/>
      <c r="AQ3" s="2089"/>
      <c r="AR3" s="2089"/>
    </row>
    <row r="4" spans="2:44">
      <c r="B4" s="2775">
        <f>B86</f>
        <v>44960</v>
      </c>
      <c r="C4" s="2775"/>
      <c r="D4" s="1979">
        <f>D86</f>
        <v>5.07</v>
      </c>
      <c r="E4" s="1983">
        <f>E86</f>
        <v>9.9299999999999979</v>
      </c>
      <c r="F4" s="1980"/>
      <c r="G4" s="2775">
        <f>G86</f>
        <v>44988</v>
      </c>
      <c r="H4" s="2775"/>
      <c r="I4" s="1979">
        <f>I86</f>
        <v>7.24</v>
      </c>
      <c r="J4" s="1983">
        <f>J86</f>
        <v>15.019999999999998</v>
      </c>
      <c r="K4" s="1980"/>
      <c r="L4" s="2775">
        <f>L86</f>
        <v>45019</v>
      </c>
      <c r="M4" s="2775"/>
      <c r="N4" s="1979">
        <f>N86</f>
        <v>7.3999999999999995</v>
      </c>
      <c r="O4" s="1983">
        <f>O86</f>
        <v>41.53</v>
      </c>
      <c r="P4" s="1980"/>
      <c r="Q4" s="2775">
        <f>Q86</f>
        <v>45049</v>
      </c>
      <c r="R4" s="2775"/>
      <c r="S4" s="1979">
        <f>S86</f>
        <v>7.8900000000000015</v>
      </c>
      <c r="T4" s="1983">
        <f>T86</f>
        <v>13.120000000000001</v>
      </c>
      <c r="U4" s="1980"/>
      <c r="V4" s="2775"/>
      <c r="W4" s="2775"/>
      <c r="X4" s="1984"/>
      <c r="Y4" s="1986"/>
      <c r="Z4" s="1980"/>
      <c r="AA4" s="2775">
        <f>AA86</f>
        <v>45080</v>
      </c>
      <c r="AB4" s="2775"/>
      <c r="AC4" s="1979">
        <f>AC86</f>
        <v>11.4</v>
      </c>
      <c r="AD4" s="1983">
        <f>AD86</f>
        <v>14.979999999999999</v>
      </c>
      <c r="AF4" s="2775">
        <f>AF86</f>
        <v>45110</v>
      </c>
      <c r="AG4" s="2775"/>
      <c r="AH4" s="1979">
        <f>AH86</f>
        <v>8.17</v>
      </c>
      <c r="AI4" s="1983">
        <f>AI86</f>
        <v>16.079999999999998</v>
      </c>
      <c r="AK4" s="1972"/>
      <c r="AL4" s="1972"/>
      <c r="AM4" s="2079"/>
      <c r="AN4" s="1972"/>
      <c r="AO4" s="2089"/>
      <c r="AP4" s="2089"/>
      <c r="AQ4" s="2089"/>
      <c r="AR4" s="2089"/>
    </row>
    <row r="5" spans="2:44">
      <c r="B5" s="2775">
        <f>B111</f>
        <v>44961</v>
      </c>
      <c r="C5" s="2775"/>
      <c r="D5" s="1979">
        <f>D111</f>
        <v>5.160000000000001</v>
      </c>
      <c r="E5" s="1983">
        <f>E111</f>
        <v>12.479999999999999</v>
      </c>
      <c r="F5" s="1980"/>
      <c r="G5" s="2775">
        <f>G111</f>
        <v>44989</v>
      </c>
      <c r="H5" s="2775"/>
      <c r="I5" s="1979">
        <f>I111</f>
        <v>6.5</v>
      </c>
      <c r="J5" s="1983">
        <f>J111</f>
        <v>12.809999999999997</v>
      </c>
      <c r="K5" s="1980"/>
      <c r="L5" s="2775">
        <f>L111</f>
        <v>45020</v>
      </c>
      <c r="M5" s="2775"/>
      <c r="N5" s="1979">
        <f>N111</f>
        <v>5.77</v>
      </c>
      <c r="O5" s="1983">
        <f>O111</f>
        <v>11.919999999999998</v>
      </c>
      <c r="P5" s="1980"/>
      <c r="Q5" s="2775">
        <f>Q111</f>
        <v>45050</v>
      </c>
      <c r="R5" s="2775"/>
      <c r="S5" s="1979">
        <f>S111</f>
        <v>8.1</v>
      </c>
      <c r="T5" s="1983">
        <f>T111</f>
        <v>12.75</v>
      </c>
      <c r="U5" s="1980"/>
      <c r="V5" s="2775"/>
      <c r="W5" s="2775"/>
      <c r="X5" s="1984"/>
      <c r="Y5" s="1986"/>
      <c r="Z5" s="1980"/>
      <c r="AA5" s="2775">
        <f>AA111</f>
        <v>45081</v>
      </c>
      <c r="AB5" s="2775"/>
      <c r="AC5" s="1979">
        <f>AC111</f>
        <v>9.8200000000000021</v>
      </c>
      <c r="AD5" s="1983">
        <f>AD111</f>
        <v>11.68</v>
      </c>
      <c r="AF5" s="2775">
        <f>AF111</f>
        <v>45111</v>
      </c>
      <c r="AG5" s="2775"/>
      <c r="AH5" s="1979">
        <f>AH111</f>
        <v>7.4700000000000006</v>
      </c>
      <c r="AI5" s="1983">
        <f>AI111</f>
        <v>16.73</v>
      </c>
      <c r="AK5" s="1972"/>
      <c r="AL5" s="1972"/>
      <c r="AM5" s="2079"/>
      <c r="AN5" s="1972"/>
      <c r="AO5" s="2089"/>
      <c r="AP5" s="2089"/>
      <c r="AQ5" s="2089"/>
      <c r="AR5" s="2089"/>
    </row>
    <row r="6" spans="2:44">
      <c r="B6" s="2775">
        <f>B136</f>
        <v>44962</v>
      </c>
      <c r="C6" s="2775"/>
      <c r="D6" s="1979">
        <f>D161</f>
        <v>5.86</v>
      </c>
      <c r="E6" s="1983">
        <f>E161</f>
        <v>16.240000000000002</v>
      </c>
      <c r="F6" s="1980"/>
      <c r="G6" s="2775">
        <f>G136</f>
        <v>44990</v>
      </c>
      <c r="H6" s="2775"/>
      <c r="I6" s="1979">
        <f>I161</f>
        <v>6.5300000000000011</v>
      </c>
      <c r="J6" s="1983">
        <f>J161</f>
        <v>16.11</v>
      </c>
      <c r="K6" s="1980"/>
      <c r="L6" s="2775">
        <f>L136</f>
        <v>45021</v>
      </c>
      <c r="M6" s="2775"/>
      <c r="N6" s="1979">
        <f>N161</f>
        <v>7.9400000000000013</v>
      </c>
      <c r="O6" s="1983">
        <f>O161</f>
        <v>18.09</v>
      </c>
      <c r="P6" s="1980"/>
      <c r="Q6" s="2775">
        <f>Q136</f>
        <v>45051</v>
      </c>
      <c r="R6" s="2775"/>
      <c r="S6" s="1979">
        <f>S161</f>
        <v>6.3099999999999987</v>
      </c>
      <c r="T6" s="1983">
        <f>T161</f>
        <v>8.6800000000000015</v>
      </c>
      <c r="U6" s="1980"/>
      <c r="V6" s="2775">
        <f>V136</f>
        <v>45051</v>
      </c>
      <c r="W6" s="2775"/>
      <c r="X6" s="1979">
        <f>X161</f>
        <v>2.06</v>
      </c>
      <c r="Y6" s="1983">
        <f>Y161</f>
        <v>3.2</v>
      </c>
      <c r="Z6" s="1980"/>
      <c r="AA6" s="2775">
        <f>AA136</f>
        <v>45082</v>
      </c>
      <c r="AB6" s="2775"/>
      <c r="AC6" s="1979">
        <f>AC161</f>
        <v>10.879999999999999</v>
      </c>
      <c r="AD6" s="1983">
        <f>AD161</f>
        <v>18.649999999999995</v>
      </c>
      <c r="AF6" s="2775">
        <f>AF136</f>
        <v>45112</v>
      </c>
      <c r="AG6" s="2775"/>
      <c r="AH6" s="1979">
        <f>AH161</f>
        <v>9.5299999999999994</v>
      </c>
      <c r="AI6" s="1983">
        <f>AI161</f>
        <v>23.88</v>
      </c>
      <c r="AK6" s="1972"/>
      <c r="AL6" s="1972"/>
      <c r="AM6" s="2079"/>
      <c r="AN6" s="1972"/>
      <c r="AO6" s="2089"/>
      <c r="AP6" s="2089"/>
      <c r="AQ6" s="2089"/>
      <c r="AR6" s="2089"/>
    </row>
    <row r="7" spans="2:44">
      <c r="B7" s="2775">
        <f>B161</f>
        <v>44963</v>
      </c>
      <c r="C7" s="2775"/>
      <c r="D7" s="1979">
        <f>D161</f>
        <v>5.86</v>
      </c>
      <c r="E7" s="1983">
        <f>E161</f>
        <v>16.240000000000002</v>
      </c>
      <c r="F7" s="1980"/>
      <c r="G7" s="2775">
        <f>G161</f>
        <v>44991</v>
      </c>
      <c r="H7" s="2775"/>
      <c r="I7" s="1979">
        <f>I161</f>
        <v>6.5300000000000011</v>
      </c>
      <c r="J7" s="1983">
        <f>J161</f>
        <v>16.11</v>
      </c>
      <c r="K7" s="1980"/>
      <c r="L7" s="2775">
        <f>L161</f>
        <v>45022</v>
      </c>
      <c r="M7" s="2775"/>
      <c r="N7" s="1979">
        <f>N161</f>
        <v>7.9400000000000013</v>
      </c>
      <c r="O7" s="1983">
        <f>O161</f>
        <v>18.09</v>
      </c>
      <c r="P7" s="1980"/>
      <c r="Q7" s="2775">
        <f>Q161</f>
        <v>45052</v>
      </c>
      <c r="R7" s="2775"/>
      <c r="S7" s="1979">
        <f>S161</f>
        <v>6.3099999999999987</v>
      </c>
      <c r="T7" s="1983">
        <f>T161</f>
        <v>8.6800000000000015</v>
      </c>
      <c r="U7" s="1980"/>
      <c r="V7" s="2775">
        <f>V161</f>
        <v>45052</v>
      </c>
      <c r="W7" s="2775"/>
      <c r="X7" s="1979">
        <f>X161</f>
        <v>2.06</v>
      </c>
      <c r="Y7" s="1983">
        <f>Y161</f>
        <v>3.2</v>
      </c>
      <c r="Z7" s="1980"/>
      <c r="AA7" s="2775">
        <f>AA161</f>
        <v>45083</v>
      </c>
      <c r="AB7" s="2775"/>
      <c r="AC7" s="1979">
        <f>AC161</f>
        <v>10.879999999999999</v>
      </c>
      <c r="AD7" s="1983">
        <f>AD161</f>
        <v>18.649999999999995</v>
      </c>
      <c r="AF7" s="2775">
        <f>AF161</f>
        <v>45113</v>
      </c>
      <c r="AG7" s="2775"/>
      <c r="AH7" s="1979">
        <f>AH161</f>
        <v>9.5299999999999994</v>
      </c>
      <c r="AI7" s="1983">
        <f>AI161</f>
        <v>23.88</v>
      </c>
      <c r="AK7" s="1972"/>
      <c r="AL7" s="1972"/>
      <c r="AM7" s="2079"/>
      <c r="AN7" s="1972"/>
      <c r="AO7" s="2089"/>
      <c r="AP7" s="2089"/>
      <c r="AQ7" s="2089"/>
      <c r="AR7" s="2089"/>
    </row>
    <row r="8" spans="2:44">
      <c r="B8" s="2775">
        <f>B186</f>
        <v>44964</v>
      </c>
      <c r="C8" s="2775"/>
      <c r="D8" s="1979">
        <f>D186</f>
        <v>7.6300000000000017</v>
      </c>
      <c r="E8" s="1983">
        <f>E186</f>
        <v>20.450000000000003</v>
      </c>
      <c r="F8" s="1980"/>
      <c r="G8" s="2775">
        <f>G186</f>
        <v>44992</v>
      </c>
      <c r="H8" s="2775"/>
      <c r="I8" s="1979">
        <f>I186</f>
        <v>7.93</v>
      </c>
      <c r="J8" s="1983">
        <f>J186</f>
        <v>16.540000000000003</v>
      </c>
      <c r="K8" s="1980"/>
      <c r="L8" s="2775">
        <f>L186</f>
        <v>45023</v>
      </c>
      <c r="M8" s="2775"/>
      <c r="N8" s="1979">
        <f>N186</f>
        <v>6.8600000000000012</v>
      </c>
      <c r="O8" s="1983">
        <f>O186</f>
        <v>13.010000000000002</v>
      </c>
      <c r="P8" s="1980"/>
      <c r="Q8" s="2775">
        <f>Q186</f>
        <v>45053</v>
      </c>
      <c r="R8" s="2775"/>
      <c r="S8" s="1979">
        <f>S186</f>
        <v>5</v>
      </c>
      <c r="T8" s="1983">
        <f>T186</f>
        <v>6.62</v>
      </c>
      <c r="U8" s="1980"/>
      <c r="V8" s="2775">
        <f>V186</f>
        <v>45053</v>
      </c>
      <c r="W8" s="2775"/>
      <c r="X8" s="1979">
        <f>X186</f>
        <v>2.9299999999999997</v>
      </c>
      <c r="Y8" s="1983">
        <f>Y186</f>
        <v>4.26</v>
      </c>
      <c r="Z8" s="1980"/>
      <c r="AA8" s="2775">
        <f>AA186</f>
        <v>45084</v>
      </c>
      <c r="AB8" s="2775"/>
      <c r="AC8" s="1979">
        <f>AC186</f>
        <v>11.03</v>
      </c>
      <c r="AD8" s="1983">
        <f>AD186</f>
        <v>19.28</v>
      </c>
      <c r="AF8" s="2775">
        <f>AF186</f>
        <v>45114</v>
      </c>
      <c r="AG8" s="2775"/>
      <c r="AH8" s="1979">
        <f>AH186</f>
        <v>7.7100000000000009</v>
      </c>
      <c r="AI8" s="1983">
        <f>AI186</f>
        <v>19.93</v>
      </c>
      <c r="AK8" s="1972"/>
      <c r="AL8" s="1972"/>
      <c r="AM8" s="2079"/>
      <c r="AN8" s="1972"/>
      <c r="AO8" s="2089"/>
      <c r="AP8" s="2089"/>
      <c r="AQ8" s="2089"/>
      <c r="AR8" s="2089"/>
    </row>
    <row r="9" spans="2:44">
      <c r="B9" s="2775">
        <f>B211</f>
        <v>44965</v>
      </c>
      <c r="C9" s="2775"/>
      <c r="D9" s="1979">
        <f>D211</f>
        <v>8.48</v>
      </c>
      <c r="E9" s="1983">
        <f>E211</f>
        <v>18.680000000000003</v>
      </c>
      <c r="F9" s="1980"/>
      <c r="G9" s="2775">
        <f>G211</f>
        <v>44993</v>
      </c>
      <c r="H9" s="2775"/>
      <c r="I9" s="1979">
        <f>I211</f>
        <v>5.3000000000000007</v>
      </c>
      <c r="J9" s="1983">
        <f>J211</f>
        <v>11.860000000000001</v>
      </c>
      <c r="K9" s="1980"/>
      <c r="L9" s="2775">
        <f>L211</f>
        <v>45024</v>
      </c>
      <c r="M9" s="2775"/>
      <c r="N9" s="1979">
        <f>N211</f>
        <v>6.2900000000000009</v>
      </c>
      <c r="O9" s="1983">
        <f>O211</f>
        <v>12.039999999999997</v>
      </c>
      <c r="P9" s="1980"/>
      <c r="Q9" s="2775">
        <f>Q211</f>
        <v>45054</v>
      </c>
      <c r="R9" s="2775"/>
      <c r="S9" s="1979">
        <f>S211</f>
        <v>4.9499999999999993</v>
      </c>
      <c r="T9" s="1983">
        <f>T211</f>
        <v>7.549999999999998</v>
      </c>
      <c r="U9" s="1980"/>
      <c r="V9" s="2775">
        <f>V211</f>
        <v>45054</v>
      </c>
      <c r="W9" s="2775"/>
      <c r="X9" s="1979">
        <f>X211</f>
        <v>2.5099999999999998</v>
      </c>
      <c r="Y9" s="1983">
        <f>Y211</f>
        <v>4.3100000000000005</v>
      </c>
      <c r="Z9" s="1980"/>
      <c r="AA9" s="2775">
        <f>AA211</f>
        <v>45085</v>
      </c>
      <c r="AB9" s="2775"/>
      <c r="AC9" s="1979">
        <f>AC211</f>
        <v>10.75</v>
      </c>
      <c r="AD9" s="1983">
        <f>AD211</f>
        <v>17.53</v>
      </c>
      <c r="AF9" s="2775">
        <f>AF211</f>
        <v>45115</v>
      </c>
      <c r="AG9" s="2775"/>
      <c r="AH9" s="1979">
        <f>AH211</f>
        <v>8.3800000000000008</v>
      </c>
      <c r="AI9" s="1983">
        <f>AI211</f>
        <v>20.18</v>
      </c>
      <c r="AK9" s="1972"/>
      <c r="AL9" s="1972"/>
      <c r="AM9" s="2079"/>
      <c r="AN9" s="1972"/>
      <c r="AO9" s="2089"/>
      <c r="AP9" s="2089"/>
      <c r="AQ9" s="2089"/>
      <c r="AR9" s="2089"/>
    </row>
    <row r="10" spans="2:44">
      <c r="B10" s="2775">
        <f>B236</f>
        <v>44966</v>
      </c>
      <c r="C10" s="2775"/>
      <c r="D10" s="1979">
        <f>D236</f>
        <v>8.7300000000000022</v>
      </c>
      <c r="E10" s="1983">
        <f>E236</f>
        <v>15.929999999999998</v>
      </c>
      <c r="F10" s="1980"/>
      <c r="G10" s="2775">
        <f>G236</f>
        <v>44994</v>
      </c>
      <c r="H10" s="2775"/>
      <c r="I10" s="1979">
        <f>I236</f>
        <v>7.65</v>
      </c>
      <c r="J10" s="1983">
        <f>J236</f>
        <v>17.499999999999996</v>
      </c>
      <c r="K10" s="1980"/>
      <c r="L10" s="2775">
        <f>L236</f>
        <v>45025</v>
      </c>
      <c r="M10" s="2775"/>
      <c r="N10" s="1979">
        <f>N236</f>
        <v>8.36</v>
      </c>
      <c r="O10" s="1983">
        <f>O236</f>
        <v>14.610000000000001</v>
      </c>
      <c r="P10" s="1980"/>
      <c r="Q10" s="2775">
        <f>Q236</f>
        <v>45055</v>
      </c>
      <c r="R10" s="2775"/>
      <c r="S10" s="1979">
        <f>S236</f>
        <v>1.5600000000000005</v>
      </c>
      <c r="T10" s="1983">
        <f>T236</f>
        <v>2.3200000000000003</v>
      </c>
      <c r="U10" s="1980"/>
      <c r="V10" s="2775">
        <f>V236</f>
        <v>45055</v>
      </c>
      <c r="W10" s="2775"/>
      <c r="X10" s="1979">
        <f>X236</f>
        <v>5.03</v>
      </c>
      <c r="Y10" s="1983">
        <f>Y236</f>
        <v>7.910000000000001</v>
      </c>
      <c r="Z10" s="1980"/>
      <c r="AA10" s="2775">
        <f>AA236</f>
        <v>45086</v>
      </c>
      <c r="AB10" s="2775"/>
      <c r="AC10" s="1979">
        <f>AC236</f>
        <v>12.450000000000001</v>
      </c>
      <c r="AD10" s="1983">
        <f>AD236</f>
        <v>20.29</v>
      </c>
      <c r="AF10" s="2775">
        <f>AF236</f>
        <v>45116</v>
      </c>
      <c r="AG10" s="2775"/>
      <c r="AH10" s="1979">
        <f>AH236</f>
        <v>7.1300000000000017</v>
      </c>
      <c r="AI10" s="1983">
        <f>AI236</f>
        <v>18.029999999999998</v>
      </c>
      <c r="AK10" s="1972"/>
      <c r="AL10" s="1972"/>
      <c r="AM10" s="2079"/>
      <c r="AN10" s="1972"/>
      <c r="AO10" s="2089"/>
      <c r="AP10" s="2089"/>
      <c r="AQ10" s="2089"/>
      <c r="AR10" s="2089"/>
    </row>
    <row r="11" spans="2:44">
      <c r="B11" s="2775">
        <f>B261</f>
        <v>44967</v>
      </c>
      <c r="C11" s="2775"/>
      <c r="D11" s="1979">
        <f>D261</f>
        <v>8.5500000000000007</v>
      </c>
      <c r="E11" s="1983">
        <f>E261</f>
        <v>16.640000000000004</v>
      </c>
      <c r="F11" s="1980"/>
      <c r="G11" s="2775">
        <f>G261</f>
        <v>44995</v>
      </c>
      <c r="H11" s="2775"/>
      <c r="I11" s="1979">
        <f>I261</f>
        <v>6.0600000000000005</v>
      </c>
      <c r="J11" s="1983">
        <f>J261</f>
        <v>12.410000000000002</v>
      </c>
      <c r="K11" s="1980"/>
      <c r="L11" s="2775">
        <f>L261</f>
        <v>45026</v>
      </c>
      <c r="M11" s="2775"/>
      <c r="N11" s="1979">
        <f>N261</f>
        <v>7.9399999999999995</v>
      </c>
      <c r="O11" s="1983">
        <f>O261</f>
        <v>9.1899999999999977</v>
      </c>
      <c r="P11" s="1980"/>
      <c r="Q11" s="2775"/>
      <c r="R11" s="2775"/>
      <c r="S11" s="1984"/>
      <c r="T11" s="1986"/>
      <c r="U11" s="1980"/>
      <c r="V11" s="2775">
        <f>V261</f>
        <v>45056</v>
      </c>
      <c r="W11" s="2775"/>
      <c r="X11" s="1979">
        <f>X261</f>
        <v>6.14</v>
      </c>
      <c r="Y11" s="1983">
        <f>Y261</f>
        <v>10.530000000000003</v>
      </c>
      <c r="Z11" s="1980"/>
      <c r="AA11" s="2775">
        <f>AA261</f>
        <v>45087</v>
      </c>
      <c r="AB11" s="2775"/>
      <c r="AC11" s="1979">
        <f>AC261</f>
        <v>10.16</v>
      </c>
      <c r="AD11" s="1983">
        <f>AD261</f>
        <v>12.68</v>
      </c>
      <c r="AF11" s="2775">
        <f>AF261</f>
        <v>45117</v>
      </c>
      <c r="AG11" s="2775"/>
      <c r="AH11" s="1979">
        <f>AH261</f>
        <v>9.7899999999999991</v>
      </c>
      <c r="AI11" s="1983">
        <f>AI261</f>
        <v>26.059999999999995</v>
      </c>
      <c r="AK11" s="1972"/>
      <c r="AL11" s="1972"/>
      <c r="AM11" s="2079"/>
      <c r="AN11" s="1972"/>
      <c r="AO11" s="2089"/>
      <c r="AP11" s="2089"/>
      <c r="AQ11" s="2089"/>
      <c r="AR11" s="2089"/>
    </row>
    <row r="12" spans="2:44">
      <c r="B12" s="2775">
        <f>B286</f>
        <v>44968</v>
      </c>
      <c r="C12" s="2775"/>
      <c r="D12" s="1979">
        <f>D286</f>
        <v>8.1199999999999992</v>
      </c>
      <c r="E12" s="1983">
        <f>E286</f>
        <v>14.7</v>
      </c>
      <c r="F12" s="1980"/>
      <c r="G12" s="2775">
        <f>G286</f>
        <v>44996</v>
      </c>
      <c r="H12" s="2775"/>
      <c r="I12" s="1979">
        <f>I286</f>
        <v>10.16</v>
      </c>
      <c r="J12" s="1983">
        <f>J286</f>
        <v>18.740000000000002</v>
      </c>
      <c r="K12" s="1980"/>
      <c r="L12" s="2775">
        <f>L286</f>
        <v>45027</v>
      </c>
      <c r="M12" s="2775"/>
      <c r="N12" s="1979">
        <f>N286</f>
        <v>6.02</v>
      </c>
      <c r="O12" s="1983">
        <f>O286</f>
        <v>8.61</v>
      </c>
      <c r="P12" s="1980"/>
      <c r="Q12" s="2775"/>
      <c r="R12" s="2775"/>
      <c r="S12" s="1984"/>
      <c r="T12" s="1986"/>
      <c r="U12" s="1980"/>
      <c r="V12" s="2775">
        <f>V286</f>
        <v>45057</v>
      </c>
      <c r="W12" s="2775"/>
      <c r="X12" s="1979">
        <f>X286</f>
        <v>7.08</v>
      </c>
      <c r="Y12" s="1983">
        <f>Y286</f>
        <v>13.71</v>
      </c>
      <c r="Z12" s="1980"/>
      <c r="AA12" s="2775">
        <f>AA286</f>
        <v>45088</v>
      </c>
      <c r="AB12" s="2775"/>
      <c r="AC12" s="1979">
        <f>AC286</f>
        <v>9.77</v>
      </c>
      <c r="AD12" s="1983">
        <f>AD286</f>
        <v>10.790000000000001</v>
      </c>
      <c r="AF12" s="2775">
        <f>AF286</f>
        <v>45118</v>
      </c>
      <c r="AG12" s="2775"/>
      <c r="AH12" s="1979">
        <f>AH286</f>
        <v>9.4700000000000006</v>
      </c>
      <c r="AI12" s="1983">
        <f>AI286</f>
        <v>24.679999999999993</v>
      </c>
      <c r="AK12" s="1972"/>
      <c r="AL12" s="1972"/>
      <c r="AM12" s="2079"/>
      <c r="AN12" s="1972"/>
      <c r="AO12" s="2089"/>
      <c r="AP12" s="2089"/>
      <c r="AQ12" s="2089"/>
      <c r="AR12" s="2089"/>
    </row>
    <row r="13" spans="2:44">
      <c r="B13" s="2775">
        <f>B311</f>
        <v>44969</v>
      </c>
      <c r="C13" s="2775"/>
      <c r="D13" s="1979">
        <f>D311</f>
        <v>6.28</v>
      </c>
      <c r="E13" s="1983">
        <f>E311</f>
        <v>14.129999999999999</v>
      </c>
      <c r="F13" s="1980"/>
      <c r="G13" s="2775">
        <f>G311</f>
        <v>44997</v>
      </c>
      <c r="H13" s="2775"/>
      <c r="I13" s="1979">
        <f>I311</f>
        <v>5.1300000000000008</v>
      </c>
      <c r="J13" s="1983">
        <f>J311</f>
        <v>9.3299999999999983</v>
      </c>
      <c r="K13" s="1980"/>
      <c r="L13" s="2775">
        <f>L311</f>
        <v>45028</v>
      </c>
      <c r="M13" s="2775"/>
      <c r="N13" s="1979">
        <f>N311</f>
        <v>6.87</v>
      </c>
      <c r="O13" s="1983">
        <f>O311</f>
        <v>12.15</v>
      </c>
      <c r="P13" s="1980"/>
      <c r="Q13" s="2775"/>
      <c r="R13" s="2775"/>
      <c r="S13" s="1984"/>
      <c r="T13" s="1986"/>
      <c r="U13" s="1980"/>
      <c r="V13" s="2775">
        <f>V311</f>
        <v>45058</v>
      </c>
      <c r="W13" s="2775"/>
      <c r="X13" s="1979">
        <f>X311</f>
        <v>7.35</v>
      </c>
      <c r="Y13" s="1983">
        <f>Y311</f>
        <v>12.81</v>
      </c>
      <c r="Z13" s="1980"/>
      <c r="AA13" s="2775">
        <f>AA311</f>
        <v>45089</v>
      </c>
      <c r="AB13" s="2775"/>
      <c r="AC13" s="1979">
        <f>AC311</f>
        <v>10.160000000000002</v>
      </c>
      <c r="AD13" s="1983">
        <f>AD311</f>
        <v>17.240000000000002</v>
      </c>
      <c r="AF13" s="2775">
        <f>AF311</f>
        <v>45119</v>
      </c>
      <c r="AG13" s="2775"/>
      <c r="AH13" s="1979">
        <f>AH311</f>
        <v>6.8</v>
      </c>
      <c r="AI13" s="1983">
        <f>AI311</f>
        <v>16.309999999999995</v>
      </c>
      <c r="AK13" s="1972"/>
      <c r="AL13" s="1972"/>
      <c r="AM13" s="2079"/>
      <c r="AN13" s="1972"/>
      <c r="AO13" s="2089"/>
      <c r="AP13" s="2089"/>
      <c r="AQ13" s="2089"/>
      <c r="AR13" s="2089"/>
    </row>
    <row r="14" spans="2:44">
      <c r="B14" s="2775">
        <f>B336</f>
        <v>44970</v>
      </c>
      <c r="C14" s="2775"/>
      <c r="D14" s="1979">
        <f>D336</f>
        <v>5.47</v>
      </c>
      <c r="E14" s="1983">
        <f>E336</f>
        <v>13.520000000000001</v>
      </c>
      <c r="F14" s="1980"/>
      <c r="G14" s="2775">
        <f>G336</f>
        <v>44998</v>
      </c>
      <c r="H14" s="2775"/>
      <c r="I14" s="1979">
        <f>I336</f>
        <v>5.6800000000000006</v>
      </c>
      <c r="J14" s="1983">
        <f>J336</f>
        <v>7.4400000000000022</v>
      </c>
      <c r="K14" s="1980"/>
      <c r="L14" s="2775">
        <f>L336</f>
        <v>45029</v>
      </c>
      <c r="M14" s="2775"/>
      <c r="N14" s="1979">
        <f>N336</f>
        <v>7.1399999999999988</v>
      </c>
      <c r="O14" s="1983">
        <f>O336</f>
        <v>12.14</v>
      </c>
      <c r="P14" s="1980"/>
      <c r="Q14" s="2775"/>
      <c r="R14" s="2775"/>
      <c r="S14" s="1984"/>
      <c r="T14" s="1986"/>
      <c r="U14" s="1980"/>
      <c r="V14" s="2775">
        <f>V336</f>
        <v>45059</v>
      </c>
      <c r="W14" s="2775"/>
      <c r="X14" s="1979">
        <f>X336</f>
        <v>7.58</v>
      </c>
      <c r="Y14" s="1983">
        <f>Y336</f>
        <v>11.260000000000002</v>
      </c>
      <c r="Z14" s="1980"/>
      <c r="AA14" s="2775">
        <f>AA336</f>
        <v>45090</v>
      </c>
      <c r="AB14" s="2775"/>
      <c r="AC14" s="1979">
        <f>AC336</f>
        <v>9.43</v>
      </c>
      <c r="AD14" s="1983">
        <f>AD336</f>
        <v>15.729999999999999</v>
      </c>
      <c r="AF14" s="2775">
        <f>AF336</f>
        <v>45120</v>
      </c>
      <c r="AG14" s="2775"/>
      <c r="AH14" s="1979">
        <f>AH336</f>
        <v>7.5999999999999988</v>
      </c>
      <c r="AI14" s="1983">
        <f>AI336</f>
        <v>18.309999999999999</v>
      </c>
      <c r="AK14" s="1972"/>
      <c r="AL14" s="1972"/>
      <c r="AM14" s="2079"/>
      <c r="AN14" s="1972"/>
      <c r="AO14" s="2089"/>
      <c r="AP14" s="2089"/>
      <c r="AQ14" s="2089"/>
      <c r="AR14" s="2089"/>
    </row>
    <row r="15" spans="2:44">
      <c r="B15" s="2775">
        <f>B361</f>
        <v>44971</v>
      </c>
      <c r="C15" s="2775"/>
      <c r="D15" s="1979">
        <f>D361</f>
        <v>9.26</v>
      </c>
      <c r="E15" s="1983">
        <f>E361</f>
        <v>22.94</v>
      </c>
      <c r="F15" s="1980"/>
      <c r="G15" s="2775">
        <f>G361</f>
        <v>44999</v>
      </c>
      <c r="H15" s="2775"/>
      <c r="I15" s="1979">
        <f>I361</f>
        <v>6.12</v>
      </c>
      <c r="J15" s="1983">
        <f>J361</f>
        <v>9.9699999999999971</v>
      </c>
      <c r="K15" s="1980"/>
      <c r="L15" s="2775">
        <f>L361</f>
        <v>45030</v>
      </c>
      <c r="M15" s="2775"/>
      <c r="N15" s="1979">
        <f>N361</f>
        <v>8.9</v>
      </c>
      <c r="O15" s="1983">
        <f>O361</f>
        <v>17.61</v>
      </c>
      <c r="P15" s="1980"/>
      <c r="Q15" s="2775"/>
      <c r="R15" s="2775"/>
      <c r="S15" s="1984"/>
      <c r="T15" s="1986"/>
      <c r="U15" s="1980"/>
      <c r="V15" s="2775">
        <f>V361</f>
        <v>45060</v>
      </c>
      <c r="W15" s="2775"/>
      <c r="X15" s="1979">
        <f>X361</f>
        <v>7.6999999999999993</v>
      </c>
      <c r="Y15" s="1983">
        <f>Y361</f>
        <v>11.119999999999997</v>
      </c>
      <c r="Z15" s="1980"/>
      <c r="AA15" s="2775">
        <f>AA361</f>
        <v>45091</v>
      </c>
      <c r="AB15" s="2775"/>
      <c r="AC15" s="1979">
        <f>AC361</f>
        <v>10.95</v>
      </c>
      <c r="AD15" s="1983">
        <f>AD361</f>
        <v>19.329999999999998</v>
      </c>
      <c r="AF15" s="2775">
        <f>AF361</f>
        <v>45121</v>
      </c>
      <c r="AG15" s="2775"/>
      <c r="AH15" s="1979">
        <f>AH361</f>
        <v>7.870000000000001</v>
      </c>
      <c r="AI15" s="1983">
        <f>AI361</f>
        <v>20.2</v>
      </c>
      <c r="AK15" s="1972"/>
      <c r="AL15" s="1972"/>
      <c r="AM15" s="2079"/>
      <c r="AN15" s="1972"/>
      <c r="AO15" s="2089"/>
      <c r="AP15" s="2089"/>
      <c r="AQ15" s="2089"/>
      <c r="AR15" s="2089"/>
    </row>
    <row r="16" spans="2:44">
      <c r="B16" s="2775">
        <f>B386</f>
        <v>44972</v>
      </c>
      <c r="C16" s="2775"/>
      <c r="D16" s="1979">
        <f>D386</f>
        <v>9.17</v>
      </c>
      <c r="E16" s="1983">
        <f>E386</f>
        <v>21.97</v>
      </c>
      <c r="F16" s="1980"/>
      <c r="G16" s="2775">
        <f>G386</f>
        <v>45000</v>
      </c>
      <c r="H16" s="2775"/>
      <c r="I16" s="1979">
        <f>I386</f>
        <v>5.9399999999999986</v>
      </c>
      <c r="J16" s="1983">
        <f>J386</f>
        <v>11.74</v>
      </c>
      <c r="K16" s="1980"/>
      <c r="L16" s="2775">
        <f>L386</f>
        <v>45031</v>
      </c>
      <c r="M16" s="2775"/>
      <c r="N16" s="1979">
        <f>N386</f>
        <v>7.73</v>
      </c>
      <c r="O16" s="1983">
        <f>O386</f>
        <v>13.83</v>
      </c>
      <c r="P16" s="1980"/>
      <c r="Q16" s="2775"/>
      <c r="R16" s="2775"/>
      <c r="S16" s="1984"/>
      <c r="T16" s="1986"/>
      <c r="U16" s="1980"/>
      <c r="V16" s="2775">
        <f>V386</f>
        <v>45061</v>
      </c>
      <c r="W16" s="2775"/>
      <c r="X16" s="1979">
        <f>X386</f>
        <v>7.839999999999999</v>
      </c>
      <c r="Y16" s="1983">
        <f>Y386</f>
        <v>14.7</v>
      </c>
      <c r="Z16" s="1980"/>
      <c r="AA16" s="2775">
        <f>AA386</f>
        <v>45092</v>
      </c>
      <c r="AB16" s="2775"/>
      <c r="AC16" s="1979">
        <f>AC386</f>
        <v>8.6700000000000017</v>
      </c>
      <c r="AD16" s="1983">
        <f>AD386</f>
        <v>16.990000000000002</v>
      </c>
      <c r="AF16" s="2775">
        <f>AF386</f>
        <v>45122</v>
      </c>
      <c r="AG16" s="2775"/>
      <c r="AH16" s="1979">
        <f>AH386</f>
        <v>7.47</v>
      </c>
      <c r="AI16" s="1983">
        <f>AI386</f>
        <v>14.529999999999996</v>
      </c>
      <c r="AK16" s="1972"/>
      <c r="AL16" s="1972"/>
      <c r="AM16" s="2079"/>
      <c r="AN16" s="1972"/>
      <c r="AO16" s="2089"/>
      <c r="AP16" s="2089"/>
      <c r="AQ16" s="2089"/>
      <c r="AR16" s="2089"/>
    </row>
    <row r="17" spans="2:44">
      <c r="B17" s="2775">
        <f>B411</f>
        <v>44973</v>
      </c>
      <c r="C17" s="2775"/>
      <c r="D17" s="1979">
        <f>D411</f>
        <v>6.22</v>
      </c>
      <c r="E17" s="1983">
        <f>E411</f>
        <v>14.299999999999997</v>
      </c>
      <c r="F17" s="1980"/>
      <c r="G17" s="2775">
        <f>G411</f>
        <v>45001</v>
      </c>
      <c r="H17" s="2775"/>
      <c r="I17" s="1979">
        <f>I411</f>
        <v>8.16</v>
      </c>
      <c r="J17" s="1983">
        <f>J411</f>
        <v>15.65</v>
      </c>
      <c r="K17" s="1980"/>
      <c r="L17" s="2775">
        <f>L411</f>
        <v>45032</v>
      </c>
      <c r="M17" s="2775"/>
      <c r="N17" s="1979">
        <f>N411</f>
        <v>8.76</v>
      </c>
      <c r="O17" s="1983">
        <f>O411</f>
        <v>16.12</v>
      </c>
      <c r="P17" s="1980"/>
      <c r="Q17" s="2775"/>
      <c r="R17" s="2775"/>
      <c r="S17" s="1984"/>
      <c r="T17" s="1986"/>
      <c r="U17" s="1980"/>
      <c r="V17" s="2775">
        <f>V411</f>
        <v>45062</v>
      </c>
      <c r="W17" s="2775"/>
      <c r="X17" s="1979">
        <f>X411</f>
        <v>7.6</v>
      </c>
      <c r="Y17" s="1983">
        <f>Y411</f>
        <v>10.160000000000002</v>
      </c>
      <c r="Z17" s="1980"/>
      <c r="AA17" s="2775">
        <f>AA411</f>
        <v>45093</v>
      </c>
      <c r="AB17" s="2775"/>
      <c r="AC17" s="1979">
        <f>AC411</f>
        <v>9.6800000000000015</v>
      </c>
      <c r="AD17" s="1983">
        <f>AD411</f>
        <v>19.34</v>
      </c>
      <c r="AF17" s="2775">
        <f>AF411</f>
        <v>45123</v>
      </c>
      <c r="AG17" s="2775"/>
      <c r="AH17" s="1979">
        <f>AH411</f>
        <v>9.860000000000003</v>
      </c>
      <c r="AI17" s="1983">
        <f>AI411</f>
        <v>15.549999999999995</v>
      </c>
      <c r="AK17" s="1972"/>
      <c r="AL17" s="1972"/>
      <c r="AM17" s="2079"/>
      <c r="AN17" s="1972"/>
      <c r="AO17" s="2089"/>
      <c r="AP17" s="2089"/>
      <c r="AQ17" s="2089"/>
      <c r="AR17" s="2089"/>
    </row>
    <row r="18" spans="2:44">
      <c r="B18" s="2775">
        <f>B436</f>
        <v>44974</v>
      </c>
      <c r="C18" s="2775"/>
      <c r="D18" s="1979">
        <f>D436</f>
        <v>7.1000000000000005</v>
      </c>
      <c r="E18" s="1983">
        <f>E436</f>
        <v>11.430000000000001</v>
      </c>
      <c r="F18" s="1980"/>
      <c r="G18" s="2775">
        <f>G436</f>
        <v>45002</v>
      </c>
      <c r="H18" s="2775"/>
      <c r="I18" s="1979">
        <f>I436</f>
        <v>6.8699999999999992</v>
      </c>
      <c r="J18" s="1983">
        <f>J436</f>
        <v>12.940000000000001</v>
      </c>
      <c r="K18" s="1980"/>
      <c r="L18" s="2775">
        <f>L436</f>
        <v>45033</v>
      </c>
      <c r="M18" s="2775"/>
      <c r="N18" s="1979">
        <f>N436</f>
        <v>6.28</v>
      </c>
      <c r="O18" s="1983">
        <f>O436</f>
        <v>12.240000000000002</v>
      </c>
      <c r="P18" s="1980"/>
      <c r="Q18" s="2775"/>
      <c r="R18" s="2775"/>
      <c r="S18" s="1984"/>
      <c r="T18" s="1986"/>
      <c r="U18" s="1980"/>
      <c r="V18" s="2775">
        <f>V436</f>
        <v>45063</v>
      </c>
      <c r="W18" s="2775"/>
      <c r="X18" s="1979">
        <f>X436</f>
        <v>8.14</v>
      </c>
      <c r="Y18" s="1983">
        <f>Y436</f>
        <v>10.67</v>
      </c>
      <c r="Z18" s="1980"/>
      <c r="AA18" s="2775">
        <f>AA436</f>
        <v>45094</v>
      </c>
      <c r="AB18" s="2775"/>
      <c r="AC18" s="1979">
        <f>AC436</f>
        <v>9.77</v>
      </c>
      <c r="AD18" s="1983">
        <f>AD436</f>
        <v>17.109999999999996</v>
      </c>
      <c r="AF18" s="2775">
        <f>AF436</f>
        <v>45124</v>
      </c>
      <c r="AG18" s="2775"/>
      <c r="AH18" s="1979">
        <f>AH436</f>
        <v>7.629999999999999</v>
      </c>
      <c r="AI18" s="1983">
        <f>AI436</f>
        <v>14.22</v>
      </c>
      <c r="AK18" s="1972"/>
      <c r="AL18" s="1972"/>
      <c r="AM18" s="2079"/>
      <c r="AN18" s="1972"/>
      <c r="AO18" s="2089"/>
      <c r="AP18" s="2089"/>
      <c r="AQ18" s="2089"/>
      <c r="AR18" s="2089"/>
    </row>
    <row r="19" spans="2:44">
      <c r="B19" s="2775">
        <f>B461</f>
        <v>44975</v>
      </c>
      <c r="C19" s="2775"/>
      <c r="D19" s="1979">
        <f>D486</f>
        <v>8.2500000000000018</v>
      </c>
      <c r="E19" s="1983">
        <f>E461</f>
        <v>15.520000000000003</v>
      </c>
      <c r="F19" s="1980"/>
      <c r="G19" s="2775">
        <f>G461</f>
        <v>45003</v>
      </c>
      <c r="H19" s="2775"/>
      <c r="I19" s="1979">
        <f>I486</f>
        <v>7.19</v>
      </c>
      <c r="J19" s="1983">
        <f>J461</f>
        <v>12.62</v>
      </c>
      <c r="K19" s="1980"/>
      <c r="L19" s="2775">
        <f>L461</f>
        <v>45034</v>
      </c>
      <c r="M19" s="2775"/>
      <c r="N19" s="1979">
        <f>N486</f>
        <v>5.4699999999999989</v>
      </c>
      <c r="O19" s="1983">
        <f>O461</f>
        <v>11.530000000000001</v>
      </c>
      <c r="P19" s="1980"/>
      <c r="Q19" s="2775"/>
      <c r="R19" s="2775"/>
      <c r="S19" s="1984"/>
      <c r="T19" s="1986"/>
      <c r="U19" s="1980"/>
      <c r="V19" s="2775">
        <f>V461</f>
        <v>45064</v>
      </c>
      <c r="W19" s="2775"/>
      <c r="X19" s="1979">
        <f>X486</f>
        <v>9.4599999999999991</v>
      </c>
      <c r="Y19" s="1983">
        <f>Y461</f>
        <v>14.290000000000001</v>
      </c>
      <c r="Z19" s="1980"/>
      <c r="AA19" s="2775">
        <f>AA461</f>
        <v>45095</v>
      </c>
      <c r="AB19" s="2775"/>
      <c r="AC19" s="1979">
        <f>AC486</f>
        <v>10.8</v>
      </c>
      <c r="AD19" s="1983">
        <f>AD461</f>
        <v>15.789999999999997</v>
      </c>
      <c r="AF19" s="2775">
        <f>AF461</f>
        <v>45125</v>
      </c>
      <c r="AG19" s="2775"/>
      <c r="AH19" s="1979">
        <f>AH486</f>
        <v>7.5199999999999987</v>
      </c>
      <c r="AI19" s="1983">
        <f>AI461</f>
        <v>18.169999999999995</v>
      </c>
      <c r="AK19" s="1972"/>
      <c r="AL19" s="1972"/>
      <c r="AM19" s="2079"/>
      <c r="AN19" s="1972"/>
      <c r="AO19" s="2089"/>
      <c r="AP19" s="2089"/>
      <c r="AQ19" s="2089"/>
      <c r="AR19" s="2089"/>
    </row>
    <row r="20" spans="2:44">
      <c r="B20" s="2775">
        <f>B486</f>
        <v>44976</v>
      </c>
      <c r="C20" s="2775"/>
      <c r="D20" s="1979">
        <f>D486</f>
        <v>8.2500000000000018</v>
      </c>
      <c r="E20" s="1983">
        <f>E486</f>
        <v>15.329999999999997</v>
      </c>
      <c r="F20" s="1980"/>
      <c r="G20" s="2775">
        <f>G486</f>
        <v>45004</v>
      </c>
      <c r="H20" s="2775"/>
      <c r="I20" s="1979">
        <f>I486</f>
        <v>7.19</v>
      </c>
      <c r="J20" s="1983">
        <f>J486</f>
        <v>15.370000000000003</v>
      </c>
      <c r="K20" s="1980"/>
      <c r="L20" s="2775">
        <f>L486</f>
        <v>45035</v>
      </c>
      <c r="M20" s="2775"/>
      <c r="N20" s="1979">
        <f>N486</f>
        <v>5.4699999999999989</v>
      </c>
      <c r="O20" s="1983">
        <f>O486</f>
        <v>8.5499999999999989</v>
      </c>
      <c r="P20" s="1980"/>
      <c r="Q20" s="2775"/>
      <c r="R20" s="2775"/>
      <c r="S20" s="1984"/>
      <c r="T20" s="1986"/>
      <c r="U20" s="1980"/>
      <c r="V20" s="2775">
        <f>V486</f>
        <v>45065</v>
      </c>
      <c r="W20" s="2775"/>
      <c r="X20" s="1979">
        <f>X486</f>
        <v>9.4599999999999991</v>
      </c>
      <c r="Y20" s="1983">
        <f>Y486</f>
        <v>15.2</v>
      </c>
      <c r="Z20" s="1980"/>
      <c r="AA20" s="2775">
        <f>AA486</f>
        <v>45096</v>
      </c>
      <c r="AB20" s="2775"/>
      <c r="AC20" s="1979">
        <f>AC486</f>
        <v>10.8</v>
      </c>
      <c r="AD20" s="1983">
        <f>AD486</f>
        <v>19.709999999999997</v>
      </c>
      <c r="AF20" s="2775">
        <f>AF486</f>
        <v>45126</v>
      </c>
      <c r="AG20" s="2775"/>
      <c r="AH20" s="1979">
        <f>AH486</f>
        <v>7.5199999999999987</v>
      </c>
      <c r="AI20" s="1983">
        <f>AI486</f>
        <v>19.230000000000004</v>
      </c>
      <c r="AK20" s="1972"/>
      <c r="AL20" s="1972"/>
      <c r="AM20" s="2079"/>
      <c r="AN20" s="1972"/>
      <c r="AO20" s="2089"/>
      <c r="AP20" s="2089"/>
      <c r="AQ20" s="2089"/>
      <c r="AR20" s="2089"/>
    </row>
    <row r="21" spans="2:44">
      <c r="B21" s="2775">
        <f>B511</f>
        <v>44977</v>
      </c>
      <c r="C21" s="2775"/>
      <c r="D21" s="1979">
        <f>D511</f>
        <v>7.59</v>
      </c>
      <c r="E21" s="1983">
        <f>E511</f>
        <v>12.709999999999999</v>
      </c>
      <c r="F21" s="1980"/>
      <c r="G21" s="2775">
        <f>G511</f>
        <v>45005</v>
      </c>
      <c r="H21" s="2775"/>
      <c r="I21" s="1979">
        <f>I511</f>
        <v>7.0200000000000005</v>
      </c>
      <c r="J21" s="1983">
        <f>J511</f>
        <v>14.569999999999999</v>
      </c>
      <c r="K21" s="1980"/>
      <c r="L21" s="2775">
        <f>L511</f>
        <v>45036</v>
      </c>
      <c r="M21" s="2775"/>
      <c r="N21" s="1979">
        <f>N511</f>
        <v>6.5500000000000007</v>
      </c>
      <c r="O21" s="1983">
        <f>O511</f>
        <v>10.500000000000002</v>
      </c>
      <c r="P21" s="1980"/>
      <c r="Q21" s="2775"/>
      <c r="R21" s="2775"/>
      <c r="S21" s="1984"/>
      <c r="T21" s="1986"/>
      <c r="U21" s="1980"/>
      <c r="V21" s="2775">
        <f>V511</f>
        <v>45066</v>
      </c>
      <c r="W21" s="2775"/>
      <c r="X21" s="1979">
        <f>X511</f>
        <v>10.549999999999999</v>
      </c>
      <c r="Y21" s="1983">
        <f>Y511</f>
        <v>13.100000000000001</v>
      </c>
      <c r="Z21" s="1980"/>
      <c r="AA21" s="2775">
        <f>AA511</f>
        <v>45097</v>
      </c>
      <c r="AB21" s="2775"/>
      <c r="AC21" s="1979">
        <f>AC511</f>
        <v>8.35</v>
      </c>
      <c r="AD21" s="1983">
        <f>AD511</f>
        <v>16.170000000000002</v>
      </c>
      <c r="AF21" s="2775">
        <f>AF511</f>
        <v>45127</v>
      </c>
      <c r="AG21" s="2775"/>
      <c r="AH21" s="1979">
        <f>AH511</f>
        <v>8.7199999999999989</v>
      </c>
      <c r="AI21" s="1983">
        <f>AI511</f>
        <v>18.840000000000003</v>
      </c>
      <c r="AK21" s="1972"/>
      <c r="AL21" s="1972"/>
      <c r="AM21" s="2079"/>
      <c r="AN21" s="1972"/>
      <c r="AO21" s="2089"/>
      <c r="AP21" s="2089"/>
      <c r="AQ21" s="2089"/>
      <c r="AR21" s="2089"/>
    </row>
    <row r="22" spans="2:44">
      <c r="B22" s="2775">
        <f>B536</f>
        <v>44978</v>
      </c>
      <c r="C22" s="2775"/>
      <c r="D22" s="1979">
        <f>D536</f>
        <v>7.03</v>
      </c>
      <c r="E22" s="1983">
        <f>E536</f>
        <v>15.66</v>
      </c>
      <c r="F22" s="1980"/>
      <c r="G22" s="2775">
        <f>G536</f>
        <v>45006</v>
      </c>
      <c r="H22" s="2775"/>
      <c r="I22" s="1979">
        <f>I536</f>
        <v>7.7700000000000014</v>
      </c>
      <c r="J22" s="1983">
        <f>J536</f>
        <v>14.730000000000002</v>
      </c>
      <c r="K22" s="1980"/>
      <c r="L22" s="2775">
        <f>L536</f>
        <v>45037</v>
      </c>
      <c r="M22" s="2775"/>
      <c r="N22" s="1979">
        <f>N536</f>
        <v>6.2100000000000009</v>
      </c>
      <c r="O22" s="1983">
        <f>O536</f>
        <v>10.450000000000003</v>
      </c>
      <c r="P22" s="1980"/>
      <c r="Q22" s="2775"/>
      <c r="R22" s="2775"/>
      <c r="S22" s="1984"/>
      <c r="T22" s="1986"/>
      <c r="U22" s="1980"/>
      <c r="V22" s="2775">
        <f>V536</f>
        <v>45067</v>
      </c>
      <c r="W22" s="2775"/>
      <c r="X22" s="1979">
        <f>X536</f>
        <v>8.48</v>
      </c>
      <c r="Y22" s="1983">
        <f>Y536</f>
        <v>8.8800000000000008</v>
      </c>
      <c r="Z22" s="1980"/>
      <c r="AA22" s="2775">
        <f>AA536</f>
        <v>45098</v>
      </c>
      <c r="AB22" s="2775"/>
      <c r="AC22" s="1979">
        <f>AC536</f>
        <v>9.84</v>
      </c>
      <c r="AD22" s="1983">
        <f>AD536</f>
        <v>19.360000000000003</v>
      </c>
      <c r="AF22" s="2775">
        <f>AF536</f>
        <v>45128</v>
      </c>
      <c r="AG22" s="2775"/>
      <c r="AH22" s="1979">
        <f>AH536</f>
        <v>7.38</v>
      </c>
      <c r="AI22" s="1983">
        <f>AI536</f>
        <v>18.95</v>
      </c>
      <c r="AK22" s="1972"/>
      <c r="AL22" s="1972"/>
      <c r="AM22" s="2079"/>
      <c r="AN22" s="1972"/>
      <c r="AO22" s="2089"/>
      <c r="AP22" s="2089"/>
      <c r="AQ22" s="2089"/>
      <c r="AR22" s="2089"/>
    </row>
    <row r="23" spans="2:44">
      <c r="B23" s="2775">
        <f>B561</f>
        <v>44979</v>
      </c>
      <c r="C23" s="2775"/>
      <c r="D23" s="1979">
        <f>D561</f>
        <v>7.16</v>
      </c>
      <c r="E23" s="1983">
        <f>E561</f>
        <v>17.07</v>
      </c>
      <c r="F23" s="1980"/>
      <c r="G23" s="2775">
        <f>G561</f>
        <v>45007</v>
      </c>
      <c r="H23" s="2775"/>
      <c r="I23" s="1979">
        <f>I561</f>
        <v>5.84</v>
      </c>
      <c r="J23" s="1983">
        <f>J561</f>
        <v>9.42</v>
      </c>
      <c r="K23" s="1980"/>
      <c r="L23" s="2775">
        <f>L561</f>
        <v>45038</v>
      </c>
      <c r="M23" s="2775"/>
      <c r="N23" s="1979">
        <f>N561</f>
        <v>8.240000000000002</v>
      </c>
      <c r="O23" s="1983">
        <f>O561</f>
        <v>12.8</v>
      </c>
      <c r="P23" s="1980"/>
      <c r="Q23" s="2775"/>
      <c r="R23" s="2775"/>
      <c r="S23" s="1984"/>
      <c r="T23" s="1986"/>
      <c r="U23" s="1980"/>
      <c r="V23" s="2775">
        <f>V561</f>
        <v>45068</v>
      </c>
      <c r="W23" s="2775"/>
      <c r="X23" s="1979">
        <f>X561</f>
        <v>7.9000000000000012</v>
      </c>
      <c r="Y23" s="1983">
        <f>Y561</f>
        <v>12.780000000000001</v>
      </c>
      <c r="Z23" s="1980"/>
      <c r="AA23" s="2775">
        <f>AA561</f>
        <v>45099</v>
      </c>
      <c r="AB23" s="2775"/>
      <c r="AC23" s="1979">
        <f>AC561</f>
        <v>9.4400000000000013</v>
      </c>
      <c r="AD23" s="1983">
        <f>AD561</f>
        <v>18.189999999999998</v>
      </c>
      <c r="AF23" s="2775">
        <f>AF561</f>
        <v>45129</v>
      </c>
      <c r="AG23" s="2775"/>
      <c r="AH23" s="1979">
        <f>AH561</f>
        <v>0</v>
      </c>
      <c r="AI23" s="1983">
        <f>AI561</f>
        <v>0</v>
      </c>
      <c r="AK23" s="1972"/>
      <c r="AL23" s="1972"/>
      <c r="AM23" s="2079"/>
      <c r="AN23" s="1972"/>
      <c r="AO23" s="2089"/>
      <c r="AP23" s="2089"/>
      <c r="AQ23" s="2089"/>
      <c r="AR23" s="2089"/>
    </row>
    <row r="24" spans="2:44">
      <c r="B24" s="2775">
        <f>B586</f>
        <v>44980</v>
      </c>
      <c r="C24" s="2775"/>
      <c r="D24" s="1979">
        <f>D586</f>
        <v>7.59</v>
      </c>
      <c r="E24" s="1983">
        <f>E586</f>
        <v>16.2</v>
      </c>
      <c r="F24" s="1980"/>
      <c r="G24" s="2775">
        <f>G586</f>
        <v>45008</v>
      </c>
      <c r="H24" s="2775"/>
      <c r="I24" s="1979">
        <f>I586</f>
        <v>8.4700000000000006</v>
      </c>
      <c r="J24" s="1983">
        <f>J586</f>
        <v>13.32</v>
      </c>
      <c r="K24" s="1980"/>
      <c r="L24" s="2775">
        <f>L586</f>
        <v>45039</v>
      </c>
      <c r="M24" s="2775"/>
      <c r="N24" s="1979">
        <f>N586</f>
        <v>6.9300000000000006</v>
      </c>
      <c r="O24" s="1983">
        <f>O586</f>
        <v>11.330000000000002</v>
      </c>
      <c r="P24" s="1980"/>
      <c r="Q24" s="2775"/>
      <c r="R24" s="2775"/>
      <c r="S24" s="1984"/>
      <c r="T24" s="1986"/>
      <c r="U24" s="1980"/>
      <c r="V24" s="2775">
        <f>V586</f>
        <v>45069</v>
      </c>
      <c r="W24" s="2775"/>
      <c r="X24" s="1979">
        <f>X586</f>
        <v>9.0699999999999985</v>
      </c>
      <c r="Y24" s="1983">
        <f>Y586</f>
        <v>12.28</v>
      </c>
      <c r="Z24" s="1980"/>
      <c r="AA24" s="2775">
        <f>AA586</f>
        <v>45100</v>
      </c>
      <c r="AB24" s="2775"/>
      <c r="AC24" s="1979">
        <f>AC586</f>
        <v>9.7000000000000011</v>
      </c>
      <c r="AD24" s="1983">
        <f>AD586</f>
        <v>17.260000000000002</v>
      </c>
      <c r="AF24" s="2775">
        <f>AF586</f>
        <v>45130</v>
      </c>
      <c r="AG24" s="2775"/>
      <c r="AH24" s="1979">
        <f>AH586</f>
        <v>0</v>
      </c>
      <c r="AI24" s="1983">
        <f>AI586</f>
        <v>0</v>
      </c>
      <c r="AK24" s="1972"/>
      <c r="AL24" s="1972"/>
      <c r="AM24" s="2079"/>
      <c r="AN24" s="1972"/>
      <c r="AO24" s="2089"/>
      <c r="AP24" s="2089"/>
      <c r="AQ24" s="2089"/>
      <c r="AR24" s="2089"/>
    </row>
    <row r="25" spans="2:44">
      <c r="B25" s="2775">
        <f>B611</f>
        <v>44981</v>
      </c>
      <c r="C25" s="2775"/>
      <c r="D25" s="1979">
        <f>D611</f>
        <v>7.38</v>
      </c>
      <c r="E25" s="1983">
        <f>E611</f>
        <v>14.54</v>
      </c>
      <c r="F25" s="1980"/>
      <c r="G25" s="2775">
        <f>G611</f>
        <v>45009</v>
      </c>
      <c r="H25" s="2775"/>
      <c r="I25" s="1979">
        <f>I611</f>
        <v>8.2799999999999994</v>
      </c>
      <c r="J25" s="1983">
        <f>J611</f>
        <v>12.1</v>
      </c>
      <c r="K25" s="1980"/>
      <c r="L25" s="2775">
        <f>L611</f>
        <v>45040</v>
      </c>
      <c r="M25" s="2775"/>
      <c r="N25" s="1979">
        <f>N611</f>
        <v>7.2999999999999989</v>
      </c>
      <c r="O25" s="1983">
        <f>O611</f>
        <v>13.3</v>
      </c>
      <c r="P25" s="1980"/>
      <c r="Q25" s="2775"/>
      <c r="R25" s="2775"/>
      <c r="S25" s="1984"/>
      <c r="T25" s="1986"/>
      <c r="U25" s="1980"/>
      <c r="V25" s="2775">
        <f>V611</f>
        <v>45070</v>
      </c>
      <c r="W25" s="2775"/>
      <c r="X25" s="1979">
        <f>X611</f>
        <v>9.0400000000000027</v>
      </c>
      <c r="Y25" s="1983">
        <f>Y611</f>
        <v>15.339999999999998</v>
      </c>
      <c r="Z25" s="1980"/>
      <c r="AA25" s="2775">
        <f>AA611</f>
        <v>45101</v>
      </c>
      <c r="AB25" s="2775"/>
      <c r="AC25" s="1979">
        <f>AC611</f>
        <v>9.77</v>
      </c>
      <c r="AD25" s="1983">
        <f>AD611</f>
        <v>14.530000000000001</v>
      </c>
      <c r="AF25" s="2775">
        <f>AF611</f>
        <v>45131</v>
      </c>
      <c r="AG25" s="2775"/>
      <c r="AH25" s="1979">
        <f>AH611</f>
        <v>0</v>
      </c>
      <c r="AI25" s="1983">
        <f>AI611</f>
        <v>0</v>
      </c>
      <c r="AK25" s="1972"/>
      <c r="AL25" s="1972"/>
      <c r="AM25" s="2079"/>
      <c r="AN25" s="1972"/>
      <c r="AO25" s="2089"/>
      <c r="AP25" s="2089"/>
      <c r="AQ25" s="2089"/>
      <c r="AR25" s="2089"/>
    </row>
    <row r="26" spans="2:44">
      <c r="B26" s="2775">
        <f>B636</f>
        <v>44982</v>
      </c>
      <c r="C26" s="2775"/>
      <c r="D26" s="1979">
        <f>D636</f>
        <v>5.6400000000000006</v>
      </c>
      <c r="E26" s="1983">
        <f>E636</f>
        <v>9.25</v>
      </c>
      <c r="F26" s="1980"/>
      <c r="G26" s="2775">
        <f>G636</f>
        <v>45010</v>
      </c>
      <c r="H26" s="2775"/>
      <c r="I26" s="1979">
        <f>I636</f>
        <v>8.4700000000000006</v>
      </c>
      <c r="J26" s="1983">
        <f>J636</f>
        <v>12.1</v>
      </c>
      <c r="K26" s="1980"/>
      <c r="L26" s="2775">
        <f>L636</f>
        <v>45041</v>
      </c>
      <c r="M26" s="2775"/>
      <c r="N26" s="1979">
        <f>N636</f>
        <v>7.12</v>
      </c>
      <c r="O26" s="1983">
        <f>O636</f>
        <v>9.870000000000001</v>
      </c>
      <c r="P26" s="1980"/>
      <c r="Q26" s="2775"/>
      <c r="R26" s="2775"/>
      <c r="S26" s="1984"/>
      <c r="T26" s="1986"/>
      <c r="U26" s="1980"/>
      <c r="V26" s="2775">
        <f>V636</f>
        <v>45071</v>
      </c>
      <c r="W26" s="2775"/>
      <c r="X26" s="1979">
        <f>X636</f>
        <v>11.740000000000004</v>
      </c>
      <c r="Y26" s="1983">
        <f>Y636</f>
        <v>14.83</v>
      </c>
      <c r="Z26" s="1980"/>
      <c r="AA26" s="2775">
        <f>AA636</f>
        <v>45102</v>
      </c>
      <c r="AB26" s="2775"/>
      <c r="AC26" s="1979">
        <f>AC636</f>
        <v>11.1</v>
      </c>
      <c r="AD26" s="1983">
        <f>AD636</f>
        <v>15.13</v>
      </c>
      <c r="AF26" s="2775">
        <f>AF636</f>
        <v>45132</v>
      </c>
      <c r="AG26" s="2775"/>
      <c r="AH26" s="1979">
        <f>AH636</f>
        <v>0</v>
      </c>
      <c r="AI26" s="1983">
        <f>AI636</f>
        <v>0</v>
      </c>
      <c r="AK26" s="1972"/>
      <c r="AL26" s="1972"/>
      <c r="AM26" s="2079"/>
      <c r="AN26" s="1972"/>
      <c r="AO26" s="2089"/>
      <c r="AP26" s="2089"/>
      <c r="AQ26" s="2089"/>
      <c r="AR26" s="2089"/>
    </row>
    <row r="27" spans="2:44">
      <c r="B27" s="2775">
        <f>B661</f>
        <v>44983</v>
      </c>
      <c r="C27" s="2775"/>
      <c r="D27" s="1979">
        <f>D361</f>
        <v>9.26</v>
      </c>
      <c r="E27" s="1983">
        <f>E361</f>
        <v>22.94</v>
      </c>
      <c r="F27" s="1980"/>
      <c r="G27" s="2775">
        <f>G661</f>
        <v>45011</v>
      </c>
      <c r="H27" s="2775"/>
      <c r="I27" s="1979">
        <f>I361</f>
        <v>6.12</v>
      </c>
      <c r="J27" s="1983">
        <f>J361</f>
        <v>9.9699999999999971</v>
      </c>
      <c r="K27" s="1980"/>
      <c r="L27" s="2775">
        <f>L661</f>
        <v>45133</v>
      </c>
      <c r="M27" s="2775"/>
      <c r="N27" s="1979">
        <f>N361</f>
        <v>8.9</v>
      </c>
      <c r="O27" s="1983">
        <f>O361</f>
        <v>17.61</v>
      </c>
      <c r="P27" s="1980"/>
      <c r="Q27" s="2775"/>
      <c r="R27" s="2775"/>
      <c r="S27" s="1984"/>
      <c r="T27" s="1986"/>
      <c r="U27" s="1980"/>
      <c r="V27" s="2775">
        <f>V661</f>
        <v>45072</v>
      </c>
      <c r="W27" s="2775"/>
      <c r="X27" s="1979">
        <f>X361</f>
        <v>7.6999999999999993</v>
      </c>
      <c r="Y27" s="1983">
        <f>Y361</f>
        <v>11.119999999999997</v>
      </c>
      <c r="Z27" s="1980"/>
      <c r="AA27" s="2775">
        <f>AA661</f>
        <v>45103</v>
      </c>
      <c r="AB27" s="2775"/>
      <c r="AC27" s="1984">
        <f>AC661</f>
        <v>10.49</v>
      </c>
      <c r="AD27" s="1983">
        <f>AD661</f>
        <v>16.45</v>
      </c>
      <c r="AF27" s="2775">
        <f>AF661</f>
        <v>45133</v>
      </c>
      <c r="AG27" s="2775"/>
      <c r="AH27" s="1984">
        <f>AH661</f>
        <v>0</v>
      </c>
      <c r="AI27" s="1983">
        <f>AI661</f>
        <v>0</v>
      </c>
      <c r="AK27" s="1972"/>
      <c r="AL27" s="1972"/>
      <c r="AM27" s="2079"/>
      <c r="AN27" s="1972"/>
      <c r="AO27" s="2089"/>
      <c r="AP27" s="2089"/>
      <c r="AQ27" s="2089"/>
      <c r="AR27" s="2089"/>
    </row>
    <row r="28" spans="2:44">
      <c r="B28" s="2775">
        <f>B686</f>
        <v>44984</v>
      </c>
      <c r="C28" s="2775"/>
      <c r="D28" s="1979">
        <f>D686</f>
        <v>5.5100000000000007</v>
      </c>
      <c r="E28" s="1983">
        <f>E686</f>
        <v>12.959999999999999</v>
      </c>
      <c r="F28" s="1980"/>
      <c r="G28" s="2775">
        <f>G686</f>
        <v>45012</v>
      </c>
      <c r="H28" s="2775"/>
      <c r="I28" s="1979">
        <f>I686</f>
        <v>5.57</v>
      </c>
      <c r="J28" s="1983">
        <f>J686</f>
        <v>9.7799999999999994</v>
      </c>
      <c r="K28" s="1980"/>
      <c r="L28" s="2775">
        <f>L686</f>
        <v>45043</v>
      </c>
      <c r="M28" s="2775"/>
      <c r="N28" s="1979">
        <f>N686</f>
        <v>6.9499999999999993</v>
      </c>
      <c r="O28" s="1983">
        <f>O686</f>
        <v>12.200000000000005</v>
      </c>
      <c r="P28" s="1980"/>
      <c r="Q28" s="2775"/>
      <c r="R28" s="2775"/>
      <c r="S28" s="1984"/>
      <c r="T28" s="1986"/>
      <c r="U28" s="1980"/>
      <c r="V28" s="2775">
        <f>V686</f>
        <v>45073</v>
      </c>
      <c r="W28" s="2775"/>
      <c r="X28" s="1979">
        <f>X686</f>
        <v>10.52</v>
      </c>
      <c r="Y28" s="1983">
        <f>Y686</f>
        <v>14.13</v>
      </c>
      <c r="Z28" s="1980"/>
      <c r="AA28" s="2775">
        <f>AA686</f>
        <v>45104</v>
      </c>
      <c r="AB28" s="2775"/>
      <c r="AC28" s="1984">
        <f>AC686</f>
        <v>9.86</v>
      </c>
      <c r="AD28" s="1983">
        <f>AD686</f>
        <v>14.8</v>
      </c>
      <c r="AF28" s="2775">
        <f>AF686</f>
        <v>45134</v>
      </c>
      <c r="AG28" s="2775"/>
      <c r="AH28" s="1984">
        <f>AH686</f>
        <v>0</v>
      </c>
      <c r="AI28" s="1983">
        <f>AI686</f>
        <v>0</v>
      </c>
      <c r="AK28" s="1972"/>
      <c r="AL28" s="1972"/>
      <c r="AM28" s="2079"/>
      <c r="AN28" s="1972"/>
      <c r="AO28" s="2089"/>
      <c r="AP28" s="2089"/>
      <c r="AQ28" s="2089"/>
      <c r="AR28" s="2089"/>
    </row>
    <row r="29" spans="2:44">
      <c r="B29" s="2775">
        <f>B711</f>
        <v>44985</v>
      </c>
      <c r="C29" s="2775"/>
      <c r="D29" s="1979">
        <f>D711</f>
        <v>6.6999999999999993</v>
      </c>
      <c r="E29" s="1983">
        <f>E711</f>
        <v>17.21</v>
      </c>
      <c r="F29" s="1980"/>
      <c r="G29" s="2775">
        <f>G711</f>
        <v>45013</v>
      </c>
      <c r="H29" s="2775"/>
      <c r="I29" s="1979">
        <f>I711</f>
        <v>7.93</v>
      </c>
      <c r="J29" s="1983">
        <f>J711</f>
        <v>15.66</v>
      </c>
      <c r="K29" s="1980"/>
      <c r="L29" s="2775">
        <f>L711</f>
        <v>45044</v>
      </c>
      <c r="M29" s="2775"/>
      <c r="N29" s="1979">
        <f>N711</f>
        <v>5.57</v>
      </c>
      <c r="O29" s="1983">
        <f>O711</f>
        <v>10.170000000000002</v>
      </c>
      <c r="P29" s="1980"/>
      <c r="Q29" s="2775"/>
      <c r="R29" s="2775"/>
      <c r="S29" s="1984"/>
      <c r="T29" s="1986"/>
      <c r="U29" s="1980"/>
      <c r="V29" s="2775">
        <f>V711</f>
        <v>45074</v>
      </c>
      <c r="W29" s="2775"/>
      <c r="X29" s="1979">
        <f>X711</f>
        <v>11.69</v>
      </c>
      <c r="Y29" s="1983">
        <f>Y711</f>
        <v>11.280000000000001</v>
      </c>
      <c r="Z29" s="1980"/>
      <c r="AA29" s="2775">
        <f>AA711</f>
        <v>45105</v>
      </c>
      <c r="AB29" s="2775"/>
      <c r="AC29" s="1984">
        <f>AC711</f>
        <v>7.9</v>
      </c>
      <c r="AD29" s="1983">
        <f>AD711</f>
        <v>14.81</v>
      </c>
      <c r="AF29" s="2775">
        <f>AF711</f>
        <v>45135</v>
      </c>
      <c r="AG29" s="2775"/>
      <c r="AH29" s="1984">
        <f>AH711</f>
        <v>0</v>
      </c>
      <c r="AI29" s="1983">
        <f>AI711</f>
        <v>0</v>
      </c>
      <c r="AK29" s="1972"/>
      <c r="AL29" s="1972"/>
      <c r="AM29" s="2079"/>
      <c r="AN29" s="1972"/>
      <c r="AO29" s="2089"/>
      <c r="AP29" s="2089"/>
      <c r="AQ29" s="2089"/>
      <c r="AR29" s="2089"/>
    </row>
    <row r="30" spans="2:44">
      <c r="B30" s="2775"/>
      <c r="C30" s="2775"/>
      <c r="D30" s="1984"/>
      <c r="E30" s="1986"/>
      <c r="F30" s="1980"/>
      <c r="G30" s="2775">
        <f>G736</f>
        <v>45014</v>
      </c>
      <c r="H30" s="2775"/>
      <c r="I30" s="1979">
        <f>I736</f>
        <v>6.0200000000000005</v>
      </c>
      <c r="J30" s="1983">
        <f>J736</f>
        <v>12.910000000000002</v>
      </c>
      <c r="K30" s="1980"/>
      <c r="L30" s="2775">
        <f>L736</f>
        <v>45045</v>
      </c>
      <c r="M30" s="2775"/>
      <c r="N30" s="1979">
        <f>N736</f>
        <v>5.25</v>
      </c>
      <c r="O30" s="1983">
        <f>O736</f>
        <v>8.98</v>
      </c>
      <c r="P30" s="1980"/>
      <c r="Q30" s="2775"/>
      <c r="R30" s="2775"/>
      <c r="S30" s="1984"/>
      <c r="T30" s="1986"/>
      <c r="U30" s="1980"/>
      <c r="V30" s="2775">
        <f>V736</f>
        <v>45075</v>
      </c>
      <c r="W30" s="2775"/>
      <c r="X30" s="1979">
        <f>X736</f>
        <v>11.180000000000003</v>
      </c>
      <c r="Y30" s="1983">
        <f>Y736</f>
        <v>10.030000000000001</v>
      </c>
      <c r="Z30" s="1980"/>
      <c r="AA30" s="2775">
        <f>AA736</f>
        <v>45106</v>
      </c>
      <c r="AB30" s="2775"/>
      <c r="AC30" s="1984">
        <f>AC736</f>
        <v>9.6</v>
      </c>
      <c r="AD30" s="1983">
        <f>AD736</f>
        <v>18.439999999999998</v>
      </c>
      <c r="AF30" s="2775">
        <f>AF736</f>
        <v>45136</v>
      </c>
      <c r="AG30" s="2775"/>
      <c r="AH30" s="1984">
        <f>AH736</f>
        <v>0</v>
      </c>
      <c r="AI30" s="1983">
        <f>AI736</f>
        <v>0</v>
      </c>
      <c r="AK30" s="1972"/>
      <c r="AL30" s="1972"/>
      <c r="AM30" s="2079"/>
      <c r="AN30" s="1972"/>
      <c r="AO30" s="2089"/>
      <c r="AP30" s="2089"/>
      <c r="AQ30" s="2089"/>
      <c r="AR30" s="2089"/>
    </row>
    <row r="31" spans="2:44">
      <c r="B31" s="2775"/>
      <c r="C31" s="2775"/>
      <c r="D31" s="1984"/>
      <c r="E31" s="1986"/>
      <c r="F31" s="1980"/>
      <c r="G31" s="2775">
        <f>G761</f>
        <v>45015</v>
      </c>
      <c r="H31" s="2775"/>
      <c r="I31" s="1979">
        <f>I761</f>
        <v>7.9600000000000017</v>
      </c>
      <c r="J31" s="1983">
        <f>J761</f>
        <v>14.120000000000003</v>
      </c>
      <c r="K31" s="1980"/>
      <c r="L31" s="2775">
        <f>L761</f>
        <v>45046</v>
      </c>
      <c r="M31" s="2775"/>
      <c r="N31" s="1979">
        <f>N761</f>
        <v>4.9399999999999995</v>
      </c>
      <c r="O31" s="1983">
        <f>O761</f>
        <v>6.57</v>
      </c>
      <c r="P31" s="1980"/>
      <c r="Q31" s="2775"/>
      <c r="R31" s="2775"/>
      <c r="S31" s="1984"/>
      <c r="T31" s="1986"/>
      <c r="U31" s="1980"/>
      <c r="V31" s="2775">
        <f>V761</f>
        <v>45076</v>
      </c>
      <c r="W31" s="2775"/>
      <c r="X31" s="1979">
        <f>X761</f>
        <v>10.780000000000003</v>
      </c>
      <c r="Y31" s="1983">
        <f>Y761</f>
        <v>18</v>
      </c>
      <c r="Z31" s="1980"/>
      <c r="AA31" s="2775">
        <f>AA761</f>
        <v>45107</v>
      </c>
      <c r="AB31" s="2775"/>
      <c r="AC31" s="1984">
        <f>AC761</f>
        <v>5.910000000000001</v>
      </c>
      <c r="AD31" s="1983">
        <f>AD761</f>
        <v>10.63</v>
      </c>
      <c r="AF31" s="2775">
        <f>AF761</f>
        <v>45137</v>
      </c>
      <c r="AG31" s="2775"/>
      <c r="AH31" s="1984">
        <f>AH761</f>
        <v>0</v>
      </c>
      <c r="AI31" s="1983">
        <f>AI761</f>
        <v>0</v>
      </c>
      <c r="AK31" s="1972"/>
      <c r="AL31" s="1972"/>
      <c r="AM31" s="2079"/>
      <c r="AN31" s="1972"/>
      <c r="AO31" s="2089"/>
      <c r="AP31" s="2089"/>
      <c r="AQ31" s="2089"/>
      <c r="AR31" s="2089"/>
    </row>
    <row r="32" spans="2:44" ht="15" thickBot="1">
      <c r="B32" s="2776"/>
      <c r="C32" s="2776"/>
      <c r="D32" s="1985"/>
      <c r="E32" s="1987"/>
      <c r="F32" s="1982"/>
      <c r="G32" s="2776">
        <f>G786</f>
        <v>45016</v>
      </c>
      <c r="H32" s="2776"/>
      <c r="I32" s="1981">
        <f>I786</f>
        <v>7.419999999999999</v>
      </c>
      <c r="J32" s="1981">
        <f>J786</f>
        <v>14.780000000000001</v>
      </c>
      <c r="K32" s="1982"/>
      <c r="L32" s="2776"/>
      <c r="M32" s="2776"/>
      <c r="N32" s="1985"/>
      <c r="O32" s="1987"/>
      <c r="P32" s="1982"/>
      <c r="Q32" s="2776"/>
      <c r="R32" s="2776"/>
      <c r="S32" s="1985"/>
      <c r="T32" s="1987"/>
      <c r="U32" s="1982"/>
      <c r="V32" s="2776">
        <f>V786</f>
        <v>45077</v>
      </c>
      <c r="W32" s="2776"/>
      <c r="X32" s="1981">
        <f>X786</f>
        <v>10.499999999999998</v>
      </c>
      <c r="Y32" s="1981">
        <f>Y786</f>
        <v>13.570000000000002</v>
      </c>
      <c r="Z32" s="1982"/>
      <c r="AA32" s="2776"/>
      <c r="AB32" s="2776"/>
      <c r="AC32" s="1985"/>
      <c r="AD32" s="1987"/>
      <c r="AF32" s="2776"/>
      <c r="AG32" s="2776"/>
      <c r="AH32" s="1985"/>
      <c r="AI32" s="1987"/>
      <c r="AK32" s="1972"/>
      <c r="AL32" s="1972"/>
      <c r="AM32" s="2079"/>
      <c r="AN32" s="1972"/>
      <c r="AO32" s="2089"/>
      <c r="AP32" s="2089"/>
      <c r="AQ32" s="2089"/>
      <c r="AR32" s="2089"/>
    </row>
    <row r="33" spans="1:44">
      <c r="B33" s="1988"/>
      <c r="C33" s="1989"/>
      <c r="D33" s="1990">
        <f>SUM(D2:D32)</f>
        <v>195.40999999999997</v>
      </c>
      <c r="E33" s="1991"/>
      <c r="F33" s="1992"/>
      <c r="G33" s="1989"/>
      <c r="H33" s="1989"/>
      <c r="I33" s="1990">
        <f>SUM(I2:I32)</f>
        <v>216.04000000000005</v>
      </c>
      <c r="J33" s="1991"/>
      <c r="K33" s="1992"/>
      <c r="L33" s="1989"/>
      <c r="M33" s="1989"/>
      <c r="N33" s="1990">
        <f>SUM(N2:N32)</f>
        <v>208.61000000000004</v>
      </c>
      <c r="O33" s="1991"/>
      <c r="P33" s="1992"/>
      <c r="Q33" s="1989"/>
      <c r="R33" s="1989"/>
      <c r="S33" s="1990">
        <f>SUM(S2:S32)</f>
        <v>53.010000000000005</v>
      </c>
      <c r="T33" s="1991"/>
      <c r="U33" s="1992"/>
      <c r="V33" s="1989"/>
      <c r="W33" s="1989"/>
      <c r="X33" s="1993">
        <f>SUM(X2:X32)+S33</f>
        <v>265.10000000000002</v>
      </c>
      <c r="Y33" s="1991"/>
      <c r="Z33" s="1992"/>
      <c r="AA33" s="1989"/>
      <c r="AB33" s="1989"/>
      <c r="AC33" s="1990">
        <f>SUM(AC2:AC32)</f>
        <v>301.2700000000001</v>
      </c>
      <c r="AD33" s="1994"/>
      <c r="AF33" s="1989"/>
      <c r="AG33" s="1989"/>
      <c r="AH33" s="1990">
        <f>SUM(AH2:AH32)</f>
        <v>171.41</v>
      </c>
      <c r="AI33" s="1994"/>
      <c r="AK33" s="1972"/>
      <c r="AL33" s="1972"/>
      <c r="AM33" s="2079"/>
      <c r="AN33" s="1972"/>
      <c r="AO33" s="2089"/>
      <c r="AP33" s="2089"/>
      <c r="AQ33" s="2089"/>
      <c r="AR33" s="2089"/>
    </row>
    <row r="34" spans="1:44" ht="15" thickBot="1">
      <c r="B34" s="2777"/>
      <c r="C34" s="2778"/>
      <c r="D34" s="1995"/>
      <c r="E34" s="1996">
        <f>SUM(E2:E32)</f>
        <v>427.71999999999997</v>
      </c>
      <c r="F34" s="1997"/>
      <c r="G34" s="2778"/>
      <c r="H34" s="2778"/>
      <c r="I34" s="1995"/>
      <c r="J34" s="1996">
        <f>SUM(J2:J32)</f>
        <v>416.15000000000009</v>
      </c>
      <c r="K34" s="1997"/>
      <c r="L34" s="2778"/>
      <c r="M34" s="2778"/>
      <c r="N34" s="1995"/>
      <c r="O34" s="1996">
        <f>SUM(O2:O32)</f>
        <v>393.82000000000011</v>
      </c>
      <c r="P34" s="1997"/>
      <c r="Q34" s="2778"/>
      <c r="R34" s="2778"/>
      <c r="S34" s="1995"/>
      <c r="T34" s="1996">
        <f>SUM(T2:T32)</f>
        <v>80.069999999999993</v>
      </c>
      <c r="U34" s="1997"/>
      <c r="V34" s="2778"/>
      <c r="W34" s="2778"/>
      <c r="X34" s="1995"/>
      <c r="Y34" s="1998">
        <f>SUM(Y2:Y32)+T34</f>
        <v>382.74</v>
      </c>
      <c r="Z34" s="1997"/>
      <c r="AA34" s="2778"/>
      <c r="AB34" s="2778"/>
      <c r="AC34" s="1995"/>
      <c r="AD34" s="1999">
        <f>SUM(AD2:AD32)</f>
        <v>494.15499999999997</v>
      </c>
      <c r="AF34" s="2778"/>
      <c r="AG34" s="2778"/>
      <c r="AH34" s="1995"/>
      <c r="AI34" s="1999">
        <f>SUM(AI2:AI32)</f>
        <v>380.52000000000004</v>
      </c>
      <c r="AO34" s="2089"/>
      <c r="AP34" s="2089"/>
      <c r="AQ34" s="2089"/>
      <c r="AR34" s="2089"/>
    </row>
    <row r="35" spans="1:44" ht="15" thickBot="1">
      <c r="B35" s="1973"/>
      <c r="C35" s="1973"/>
      <c r="D35" s="1973" t="s">
        <v>1147</v>
      </c>
      <c r="E35" s="1973" t="s">
        <v>708</v>
      </c>
      <c r="G35" s="2771"/>
      <c r="H35" s="2771"/>
      <c r="I35" s="1920" t="s">
        <v>1147</v>
      </c>
      <c r="J35" s="1921" t="s">
        <v>708</v>
      </c>
      <c r="L35" s="2771"/>
      <c r="M35" s="2771"/>
      <c r="N35" s="1920" t="s">
        <v>1147</v>
      </c>
      <c r="O35" s="1921" t="s">
        <v>708</v>
      </c>
      <c r="Q35" s="2767" t="s">
        <v>475</v>
      </c>
      <c r="R35" s="2767"/>
      <c r="S35" s="2767"/>
      <c r="T35" s="2767"/>
      <c r="V35" s="2768" t="s">
        <v>1467</v>
      </c>
      <c r="W35" s="2768"/>
      <c r="X35" s="2768"/>
      <c r="Y35" s="2768"/>
      <c r="AA35" s="2767" t="s">
        <v>1467</v>
      </c>
      <c r="AB35" s="2767"/>
      <c r="AC35" s="2767"/>
      <c r="AD35" s="2767"/>
      <c r="AF35" s="2767" t="s">
        <v>1467</v>
      </c>
      <c r="AG35" s="2767"/>
      <c r="AH35" s="2767"/>
      <c r="AI35" s="2767"/>
      <c r="AK35" s="1972" t="s">
        <v>590</v>
      </c>
      <c r="AL35" s="1972" t="s">
        <v>588</v>
      </c>
      <c r="AM35" s="2079" t="s">
        <v>587</v>
      </c>
      <c r="AN35" s="1972"/>
      <c r="AO35" s="2089"/>
      <c r="AP35" s="2089"/>
      <c r="AQ35" s="2089"/>
      <c r="AR35" s="2089"/>
    </row>
    <row r="36" spans="1:44">
      <c r="B36" s="2765">
        <v>44958</v>
      </c>
      <c r="C36" s="2765"/>
      <c r="D36" s="1922">
        <f>SUM(D37:D60)</f>
        <v>2.5000000000000004</v>
      </c>
      <c r="E36" s="1923">
        <f>SUM(E37:E60)</f>
        <v>4.92</v>
      </c>
      <c r="G36" s="2772">
        <v>44986</v>
      </c>
      <c r="H36" s="2772"/>
      <c r="I36" s="1922">
        <f>SUM(I37:I60)</f>
        <v>6.12</v>
      </c>
      <c r="J36" s="1923">
        <f>SUM(J37:J60)</f>
        <v>14.349999999999998</v>
      </c>
      <c r="L36" s="2772">
        <v>45017</v>
      </c>
      <c r="M36" s="2772"/>
      <c r="N36" s="1922">
        <f>SUM(N37:N60)</f>
        <v>5.8900000000000006</v>
      </c>
      <c r="O36" s="1923">
        <f>SUM(O37:O60)</f>
        <v>7.9399999999999986</v>
      </c>
      <c r="Q36" s="2765">
        <v>45047</v>
      </c>
      <c r="R36" s="2765"/>
      <c r="S36" s="1922">
        <f>SUM(S37:S60)</f>
        <v>6.1099999999999994</v>
      </c>
      <c r="T36" s="1923">
        <f>SUM(T37:T60)</f>
        <v>8.7200000000000006</v>
      </c>
      <c r="V36" s="2766">
        <v>45047</v>
      </c>
      <c r="W36" s="2766"/>
      <c r="X36" s="1924"/>
      <c r="Y36" s="1925"/>
      <c r="AA36" s="2765">
        <v>45078</v>
      </c>
      <c r="AB36" s="2765"/>
      <c r="AC36" s="1922">
        <f>SUM(AC37:AC60)</f>
        <v>10.680000000000001</v>
      </c>
      <c r="AD36" s="1923">
        <f>SUM(AD37:AD60)</f>
        <v>15.085000000000001</v>
      </c>
      <c r="AF36" s="2765">
        <v>45108</v>
      </c>
      <c r="AG36" s="2765"/>
      <c r="AH36" s="1922">
        <f>SUM(AH37:AH60)</f>
        <v>5.5100000000000007</v>
      </c>
      <c r="AI36" s="1923">
        <f>SUM(AI37:AI60)</f>
        <v>12.080000000000002</v>
      </c>
      <c r="AO36" s="2765">
        <v>45170</v>
      </c>
      <c r="AP36" s="2765"/>
      <c r="AQ36" s="1922">
        <f>SUM(AQ37:AQ60)</f>
        <v>7.120000000000001</v>
      </c>
      <c r="AR36" s="1923">
        <f>SUM(AR37:AR60)</f>
        <v>0</v>
      </c>
    </row>
    <row r="37" spans="1:44">
      <c r="A37" s="1927"/>
      <c r="B37" s="1883">
        <v>0</v>
      </c>
      <c r="C37" s="1871">
        <v>1</v>
      </c>
      <c r="D37" s="1926">
        <v>0</v>
      </c>
      <c r="E37" s="1913">
        <v>0</v>
      </c>
      <c r="F37" s="1927"/>
      <c r="G37" s="1883">
        <v>0</v>
      </c>
      <c r="H37" s="1871">
        <v>1</v>
      </c>
      <c r="I37" s="1926">
        <v>0.12</v>
      </c>
      <c r="J37" s="1913">
        <v>0.25</v>
      </c>
      <c r="K37" s="1927"/>
      <c r="L37" s="1883">
        <v>0</v>
      </c>
      <c r="M37" s="1871">
        <v>1</v>
      </c>
      <c r="N37" s="1926">
        <v>0.06</v>
      </c>
      <c r="O37" s="1913">
        <v>0.1</v>
      </c>
      <c r="P37" s="1927"/>
      <c r="Q37" s="1883">
        <v>0</v>
      </c>
      <c r="R37" s="1871">
        <v>1</v>
      </c>
      <c r="S37" s="1926">
        <v>0.16</v>
      </c>
      <c r="T37" s="1913">
        <v>0.27</v>
      </c>
      <c r="U37" s="1927"/>
      <c r="V37" s="1883"/>
      <c r="W37" s="1871"/>
      <c r="X37" s="1926"/>
      <c r="Y37" s="1913"/>
      <c r="Z37" s="1927"/>
      <c r="AA37" s="1883">
        <v>0</v>
      </c>
      <c r="AB37" s="1871">
        <v>1</v>
      </c>
      <c r="AC37" s="1926">
        <v>0.36</v>
      </c>
      <c r="AD37" s="1913">
        <v>0.47</v>
      </c>
      <c r="AF37" s="1883">
        <v>0</v>
      </c>
      <c r="AG37" s="1871">
        <v>1</v>
      </c>
      <c r="AH37" s="1926">
        <v>0.14000000000000001</v>
      </c>
      <c r="AI37" s="1913">
        <v>0.38</v>
      </c>
      <c r="AK37" s="2073">
        <f>N37</f>
        <v>0.06</v>
      </c>
      <c r="AL37" s="2074">
        <f>S37</f>
        <v>0.16</v>
      </c>
      <c r="AM37" s="2074">
        <f t="shared" ref="AM37:AM60" si="0">AC37</f>
        <v>0.36</v>
      </c>
      <c r="AN37" s="1954">
        <f>AH37</f>
        <v>0.14000000000000001</v>
      </c>
      <c r="AO37" s="1883">
        <v>0</v>
      </c>
      <c r="AP37" s="1871">
        <v>1</v>
      </c>
      <c r="AQ37" s="1979">
        <v>0.15</v>
      </c>
      <c r="AR37" s="1983"/>
    </row>
    <row r="38" spans="1:44">
      <c r="A38" s="1927"/>
      <c r="B38" s="1883">
        <v>1</v>
      </c>
      <c r="C38" s="1871">
        <v>2</v>
      </c>
      <c r="D38" s="1926">
        <v>0</v>
      </c>
      <c r="E38" s="1913">
        <v>0</v>
      </c>
      <c r="F38" s="1927"/>
      <c r="G38" s="1883">
        <v>1</v>
      </c>
      <c r="H38" s="1871">
        <v>2</v>
      </c>
      <c r="I38" s="1926">
        <v>0.13</v>
      </c>
      <c r="J38" s="1913">
        <v>0.26</v>
      </c>
      <c r="K38" s="1927"/>
      <c r="L38" s="1883">
        <v>1</v>
      </c>
      <c r="M38" s="1871">
        <v>2</v>
      </c>
      <c r="N38" s="1926">
        <v>0.11</v>
      </c>
      <c r="O38" s="1913">
        <v>0.16</v>
      </c>
      <c r="P38" s="1927"/>
      <c r="Q38" s="1883">
        <v>1</v>
      </c>
      <c r="R38" s="1871">
        <v>2</v>
      </c>
      <c r="S38" s="1926">
        <v>0.2</v>
      </c>
      <c r="T38" s="1913">
        <v>0.32</v>
      </c>
      <c r="U38" s="1927"/>
      <c r="V38" s="1883"/>
      <c r="W38" s="1871"/>
      <c r="X38" s="1926"/>
      <c r="Y38" s="1913"/>
      <c r="Z38" s="1927"/>
      <c r="AA38" s="1883">
        <v>1</v>
      </c>
      <c r="AB38" s="1871">
        <v>2</v>
      </c>
      <c r="AC38" s="1926">
        <v>0.26</v>
      </c>
      <c r="AD38" s="1913">
        <v>0.34</v>
      </c>
      <c r="AF38" s="1883">
        <v>1</v>
      </c>
      <c r="AG38" s="1871">
        <v>2</v>
      </c>
      <c r="AH38" s="1926">
        <v>0.23</v>
      </c>
      <c r="AI38" s="1913">
        <v>0.6</v>
      </c>
      <c r="AK38" s="2075">
        <f t="shared" ref="AK38:AK60" si="1">N38</f>
        <v>0.11</v>
      </c>
      <c r="AL38" s="2076">
        <f t="shared" ref="AL38:AL60" si="2">S38</f>
        <v>0.2</v>
      </c>
      <c r="AM38" s="2076">
        <f t="shared" si="0"/>
        <v>0.26</v>
      </c>
      <c r="AN38" s="1956">
        <f t="shared" ref="AN38:AN60" si="3">AH38</f>
        <v>0.23</v>
      </c>
      <c r="AO38" s="1883">
        <v>1</v>
      </c>
      <c r="AP38" s="1871">
        <v>2</v>
      </c>
      <c r="AQ38" s="1979">
        <v>0.25</v>
      </c>
      <c r="AR38" s="1983"/>
    </row>
    <row r="39" spans="1:44">
      <c r="A39" s="1927"/>
      <c r="B39" s="1883">
        <v>2</v>
      </c>
      <c r="C39" s="1871">
        <v>3</v>
      </c>
      <c r="D39" s="1926">
        <v>0</v>
      </c>
      <c r="E39" s="1913">
        <v>0</v>
      </c>
      <c r="F39" s="1927"/>
      <c r="G39" s="1883">
        <v>2</v>
      </c>
      <c r="H39" s="1871">
        <v>3</v>
      </c>
      <c r="I39" s="1926">
        <v>0.08</v>
      </c>
      <c r="J39" s="1913">
        <v>0.16</v>
      </c>
      <c r="K39" s="1927"/>
      <c r="L39" s="1883">
        <v>2</v>
      </c>
      <c r="M39" s="1871">
        <v>3</v>
      </c>
      <c r="N39" s="1926">
        <v>0.11</v>
      </c>
      <c r="O39" s="1913">
        <v>0.15</v>
      </c>
      <c r="P39" s="1927"/>
      <c r="Q39" s="1883">
        <v>2</v>
      </c>
      <c r="R39" s="1871">
        <v>3</v>
      </c>
      <c r="S39" s="1926">
        <v>0.17</v>
      </c>
      <c r="T39" s="1913">
        <v>0.27</v>
      </c>
      <c r="U39" s="1927"/>
      <c r="V39" s="1883"/>
      <c r="W39" s="1871"/>
      <c r="X39" s="1926"/>
      <c r="Y39" s="1913"/>
      <c r="Z39" s="1927"/>
      <c r="AA39" s="1883">
        <v>2</v>
      </c>
      <c r="AB39" s="1871">
        <v>3</v>
      </c>
      <c r="AC39" s="1926">
        <v>0.28000000000000003</v>
      </c>
      <c r="AD39" s="1913">
        <v>0.37</v>
      </c>
      <c r="AF39" s="1883">
        <v>2</v>
      </c>
      <c r="AG39" s="1871">
        <v>3</v>
      </c>
      <c r="AH39" s="1926">
        <v>0.15</v>
      </c>
      <c r="AI39" s="1913">
        <v>0.37</v>
      </c>
      <c r="AK39" s="2075">
        <f t="shared" si="1"/>
        <v>0.11</v>
      </c>
      <c r="AL39" s="2076">
        <f t="shared" si="2"/>
        <v>0.17</v>
      </c>
      <c r="AM39" s="2076">
        <f t="shared" si="0"/>
        <v>0.28000000000000003</v>
      </c>
      <c r="AN39" s="1956">
        <f t="shared" si="3"/>
        <v>0.15</v>
      </c>
      <c r="AO39" s="1883">
        <v>2</v>
      </c>
      <c r="AP39" s="1871">
        <v>3</v>
      </c>
      <c r="AQ39" s="1979">
        <v>0.18</v>
      </c>
      <c r="AR39" s="1983"/>
    </row>
    <row r="40" spans="1:44">
      <c r="A40" s="1927"/>
      <c r="B40" s="1883">
        <v>3</v>
      </c>
      <c r="C40" s="1871">
        <v>4</v>
      </c>
      <c r="D40" s="1926">
        <v>0</v>
      </c>
      <c r="E40" s="1913">
        <v>0</v>
      </c>
      <c r="F40" s="1927"/>
      <c r="G40" s="1883">
        <v>3</v>
      </c>
      <c r="H40" s="1871">
        <v>4</v>
      </c>
      <c r="I40" s="1926">
        <v>0.1</v>
      </c>
      <c r="J40" s="1913">
        <v>0.2</v>
      </c>
      <c r="K40" s="1927"/>
      <c r="L40" s="1883">
        <v>3</v>
      </c>
      <c r="M40" s="1871">
        <v>4</v>
      </c>
      <c r="N40" s="1926">
        <v>0.11</v>
      </c>
      <c r="O40" s="1913">
        <v>0.13</v>
      </c>
      <c r="P40" s="1927"/>
      <c r="Q40" s="1883">
        <v>3</v>
      </c>
      <c r="R40" s="1871">
        <v>4</v>
      </c>
      <c r="S40" s="1926">
        <v>0.19</v>
      </c>
      <c r="T40" s="1913">
        <v>0.28999999999999998</v>
      </c>
      <c r="U40" s="1927"/>
      <c r="V40" s="1883"/>
      <c r="W40" s="1871"/>
      <c r="X40" s="1926"/>
      <c r="Y40" s="1913"/>
      <c r="Z40" s="1927"/>
      <c r="AA40" s="1883">
        <v>3</v>
      </c>
      <c r="AB40" s="1871">
        <v>4</v>
      </c>
      <c r="AC40" s="1926">
        <v>0.31</v>
      </c>
      <c r="AD40" s="1913">
        <v>0.42</v>
      </c>
      <c r="AF40" s="1883">
        <v>3</v>
      </c>
      <c r="AG40" s="1871">
        <v>4</v>
      </c>
      <c r="AH40" s="1926">
        <v>0.19</v>
      </c>
      <c r="AI40" s="1913">
        <v>0.46</v>
      </c>
      <c r="AK40" s="2075">
        <f t="shared" si="1"/>
        <v>0.11</v>
      </c>
      <c r="AL40" s="2076">
        <f t="shared" si="2"/>
        <v>0.19</v>
      </c>
      <c r="AM40" s="2076">
        <f t="shared" si="0"/>
        <v>0.31</v>
      </c>
      <c r="AN40" s="1956">
        <f t="shared" si="3"/>
        <v>0.19</v>
      </c>
      <c r="AO40" s="1883">
        <v>3</v>
      </c>
      <c r="AP40" s="1871">
        <v>4</v>
      </c>
      <c r="AQ40" s="1979">
        <v>0.23</v>
      </c>
      <c r="AR40" s="1983"/>
    </row>
    <row r="41" spans="1:44">
      <c r="A41" s="1927"/>
      <c r="B41" s="1883">
        <v>4</v>
      </c>
      <c r="C41" s="1871">
        <v>5</v>
      </c>
      <c r="D41" s="1926">
        <v>0</v>
      </c>
      <c r="E41" s="1913">
        <v>0</v>
      </c>
      <c r="F41" s="1927"/>
      <c r="G41" s="1883">
        <v>4</v>
      </c>
      <c r="H41" s="1871">
        <v>5</v>
      </c>
      <c r="I41" s="1926">
        <v>0.11</v>
      </c>
      <c r="J41" s="1913">
        <v>0.22</v>
      </c>
      <c r="K41" s="1927"/>
      <c r="L41" s="1883">
        <v>4</v>
      </c>
      <c r="M41" s="1871">
        <v>5</v>
      </c>
      <c r="N41" s="1926">
        <v>0.12</v>
      </c>
      <c r="O41" s="1913">
        <v>0.14000000000000001</v>
      </c>
      <c r="P41" s="1927"/>
      <c r="Q41" s="1883">
        <v>4</v>
      </c>
      <c r="R41" s="1871">
        <v>5</v>
      </c>
      <c r="S41" s="1926">
        <v>0.18</v>
      </c>
      <c r="T41" s="1913">
        <v>0.27</v>
      </c>
      <c r="U41" s="1927"/>
      <c r="V41" s="1883"/>
      <c r="W41" s="1871"/>
      <c r="X41" s="1926"/>
      <c r="Y41" s="1913"/>
      <c r="Z41" s="1927"/>
      <c r="AA41" s="1883">
        <v>4</v>
      </c>
      <c r="AB41" s="1871">
        <v>5</v>
      </c>
      <c r="AC41" s="1926">
        <v>0.28000000000000003</v>
      </c>
      <c r="AD41" s="1913">
        <v>0.2</v>
      </c>
      <c r="AF41" s="1883">
        <v>4</v>
      </c>
      <c r="AG41" s="1871">
        <v>5</v>
      </c>
      <c r="AH41" s="1926">
        <v>0.11</v>
      </c>
      <c r="AI41" s="1913">
        <v>0.25</v>
      </c>
      <c r="AK41" s="2075">
        <f t="shared" si="1"/>
        <v>0.12</v>
      </c>
      <c r="AL41" s="2076">
        <f t="shared" si="2"/>
        <v>0.18</v>
      </c>
      <c r="AM41" s="2076">
        <f t="shared" si="0"/>
        <v>0.28000000000000003</v>
      </c>
      <c r="AN41" s="1956">
        <f t="shared" si="3"/>
        <v>0.11</v>
      </c>
      <c r="AO41" s="1883">
        <v>4</v>
      </c>
      <c r="AP41" s="1871">
        <v>5</v>
      </c>
      <c r="AQ41" s="1979">
        <v>0.15</v>
      </c>
      <c r="AR41" s="1983"/>
    </row>
    <row r="42" spans="1:44">
      <c r="A42" s="1927"/>
      <c r="B42" s="1883">
        <v>5</v>
      </c>
      <c r="C42" s="1871">
        <v>6</v>
      </c>
      <c r="D42" s="1926">
        <v>0</v>
      </c>
      <c r="E42" s="1913">
        <v>0</v>
      </c>
      <c r="F42" s="1927"/>
      <c r="G42" s="1883">
        <v>5</v>
      </c>
      <c r="H42" s="1871">
        <v>6</v>
      </c>
      <c r="I42" s="1926">
        <v>0.13</v>
      </c>
      <c r="J42" s="1913">
        <v>0.28000000000000003</v>
      </c>
      <c r="K42" s="1927"/>
      <c r="L42" s="1883">
        <v>5</v>
      </c>
      <c r="M42" s="1871">
        <v>6</v>
      </c>
      <c r="N42" s="1926">
        <v>0.06</v>
      </c>
      <c r="O42" s="1913">
        <v>7.0000000000000007E-2</v>
      </c>
      <c r="P42" s="1927"/>
      <c r="Q42" s="1883">
        <v>5</v>
      </c>
      <c r="R42" s="1871">
        <v>6</v>
      </c>
      <c r="S42" s="1926">
        <v>0.13</v>
      </c>
      <c r="T42" s="1913">
        <v>0.2</v>
      </c>
      <c r="U42" s="1927"/>
      <c r="V42" s="1883"/>
      <c r="W42" s="1871"/>
      <c r="X42" s="1926"/>
      <c r="Y42" s="1913"/>
      <c r="Z42" s="1927"/>
      <c r="AA42" s="1883">
        <v>5</v>
      </c>
      <c r="AB42" s="1871">
        <v>6</v>
      </c>
      <c r="AC42" s="1926">
        <v>0.31</v>
      </c>
      <c r="AD42" s="1913">
        <v>0.44</v>
      </c>
      <c r="AF42" s="1883">
        <v>5</v>
      </c>
      <c r="AG42" s="1871">
        <v>6</v>
      </c>
      <c r="AH42" s="1926">
        <v>0.22</v>
      </c>
      <c r="AI42" s="1913">
        <v>0.48</v>
      </c>
      <c r="AK42" s="2075">
        <f t="shared" si="1"/>
        <v>0.06</v>
      </c>
      <c r="AL42" s="2076">
        <f t="shared" si="2"/>
        <v>0.13</v>
      </c>
      <c r="AM42" s="2076">
        <f t="shared" si="0"/>
        <v>0.31</v>
      </c>
      <c r="AN42" s="1956">
        <f t="shared" si="3"/>
        <v>0.22</v>
      </c>
      <c r="AO42" s="1883">
        <v>5</v>
      </c>
      <c r="AP42" s="1871">
        <v>6</v>
      </c>
      <c r="AQ42" s="1979">
        <v>0.25</v>
      </c>
      <c r="AR42" s="1983"/>
    </row>
    <row r="43" spans="1:44">
      <c r="A43" s="1927"/>
      <c r="B43" s="1883">
        <v>6</v>
      </c>
      <c r="C43" s="1871">
        <v>7</v>
      </c>
      <c r="D43" s="1926">
        <v>0</v>
      </c>
      <c r="E43" s="1913">
        <v>0</v>
      </c>
      <c r="F43" s="1927"/>
      <c r="G43" s="1883">
        <v>6</v>
      </c>
      <c r="H43" s="1871">
        <v>7</v>
      </c>
      <c r="I43" s="1926">
        <v>0.11</v>
      </c>
      <c r="J43" s="1913">
        <v>0.26</v>
      </c>
      <c r="K43" s="1927"/>
      <c r="L43" s="1883">
        <v>6</v>
      </c>
      <c r="M43" s="1871">
        <v>7</v>
      </c>
      <c r="N43" s="1926">
        <v>0.18</v>
      </c>
      <c r="O43" s="1913">
        <v>0.21</v>
      </c>
      <c r="P43" s="1927"/>
      <c r="Q43" s="1883">
        <v>6</v>
      </c>
      <c r="R43" s="1871">
        <v>7</v>
      </c>
      <c r="S43" s="1926">
        <v>0.19</v>
      </c>
      <c r="T43" s="1913">
        <v>0.28999999999999998</v>
      </c>
      <c r="U43" s="1927"/>
      <c r="V43" s="1883"/>
      <c r="W43" s="1871"/>
      <c r="X43" s="1926"/>
      <c r="Y43" s="1913"/>
      <c r="Z43" s="1927"/>
      <c r="AA43" s="1883">
        <v>6</v>
      </c>
      <c r="AB43" s="1871">
        <v>7</v>
      </c>
      <c r="AC43" s="1926">
        <v>0.4</v>
      </c>
      <c r="AD43" s="1913">
        <v>0.68</v>
      </c>
      <c r="AF43" s="1883">
        <v>6</v>
      </c>
      <c r="AG43" s="1871">
        <v>7</v>
      </c>
      <c r="AH43" s="1926">
        <v>0.14000000000000001</v>
      </c>
      <c r="AI43" s="1913">
        <v>0.31</v>
      </c>
      <c r="AK43" s="2075">
        <f t="shared" si="1"/>
        <v>0.18</v>
      </c>
      <c r="AL43" s="2076">
        <f t="shared" si="2"/>
        <v>0.19</v>
      </c>
      <c r="AM43" s="2076">
        <f t="shared" si="0"/>
        <v>0.4</v>
      </c>
      <c r="AN43" s="1956">
        <f t="shared" si="3"/>
        <v>0.14000000000000001</v>
      </c>
      <c r="AO43" s="1883">
        <v>6</v>
      </c>
      <c r="AP43" s="1871">
        <v>7</v>
      </c>
      <c r="AQ43" s="1979">
        <v>0.3</v>
      </c>
      <c r="AR43" s="1983"/>
    </row>
    <row r="44" spans="1:44">
      <c r="A44" s="1927"/>
      <c r="B44" s="1908">
        <v>7</v>
      </c>
      <c r="C44" s="1909">
        <v>8</v>
      </c>
      <c r="D44" s="1928">
        <v>0</v>
      </c>
      <c r="E44" s="1917">
        <v>0</v>
      </c>
      <c r="F44" s="1927"/>
      <c r="G44" s="1908">
        <v>7</v>
      </c>
      <c r="H44" s="1909">
        <v>8</v>
      </c>
      <c r="I44" s="1928">
        <v>0.17</v>
      </c>
      <c r="J44" s="1917">
        <v>0.43</v>
      </c>
      <c r="K44" s="1927"/>
      <c r="L44" s="1908">
        <v>7</v>
      </c>
      <c r="M44" s="1909">
        <v>8</v>
      </c>
      <c r="N44" s="1928">
        <v>0.24</v>
      </c>
      <c r="O44" s="1917">
        <v>0.31</v>
      </c>
      <c r="P44" s="1927"/>
      <c r="Q44" s="1908">
        <v>7</v>
      </c>
      <c r="R44" s="1909">
        <v>8</v>
      </c>
      <c r="S44" s="1928">
        <v>0.2</v>
      </c>
      <c r="T44" s="1917">
        <v>0.3</v>
      </c>
      <c r="U44" s="1927"/>
      <c r="V44" s="1908"/>
      <c r="W44" s="1909"/>
      <c r="X44" s="1928"/>
      <c r="Y44" s="1917"/>
      <c r="Z44" s="1927"/>
      <c r="AA44" s="1908">
        <v>7</v>
      </c>
      <c r="AB44" s="1909">
        <v>8</v>
      </c>
      <c r="AC44" s="1928">
        <v>0.52</v>
      </c>
      <c r="AD44" s="1917">
        <v>0.93</v>
      </c>
      <c r="AF44" s="1908">
        <v>7</v>
      </c>
      <c r="AG44" s="1909">
        <v>8</v>
      </c>
      <c r="AH44" s="1928">
        <v>0.22</v>
      </c>
      <c r="AI44" s="1917">
        <v>0.48</v>
      </c>
      <c r="AK44" s="2077">
        <f t="shared" si="1"/>
        <v>0.24</v>
      </c>
      <c r="AL44" s="2078">
        <f t="shared" si="2"/>
        <v>0.2</v>
      </c>
      <c r="AM44" s="2078">
        <f t="shared" si="0"/>
        <v>0.52</v>
      </c>
      <c r="AN44" s="1959">
        <f t="shared" si="3"/>
        <v>0.22</v>
      </c>
      <c r="AO44" s="1908">
        <v>7</v>
      </c>
      <c r="AP44" s="1909">
        <v>8</v>
      </c>
      <c r="AQ44" s="1979">
        <v>0.41</v>
      </c>
      <c r="AR44" s="1983"/>
    </row>
    <row r="45" spans="1:44">
      <c r="A45" s="1930"/>
      <c r="B45" s="1890">
        <v>8</v>
      </c>
      <c r="C45" s="1891">
        <v>9</v>
      </c>
      <c r="D45" s="1929">
        <v>0</v>
      </c>
      <c r="E45" s="1914">
        <v>0</v>
      </c>
      <c r="F45" s="1930"/>
      <c r="G45" s="1890">
        <v>8</v>
      </c>
      <c r="H45" s="1891">
        <v>9</v>
      </c>
      <c r="I45" s="1929">
        <v>0.32</v>
      </c>
      <c r="J45" s="1914">
        <v>0.82</v>
      </c>
      <c r="K45" s="1930"/>
      <c r="L45" s="1890">
        <v>8</v>
      </c>
      <c r="M45" s="1891">
        <v>9</v>
      </c>
      <c r="N45" s="1929">
        <v>0.21</v>
      </c>
      <c r="O45" s="1914">
        <v>0.28999999999999998</v>
      </c>
      <c r="P45" s="1930"/>
      <c r="Q45" s="1890">
        <v>8</v>
      </c>
      <c r="R45" s="1891">
        <v>9</v>
      </c>
      <c r="S45" s="1929">
        <v>0.27</v>
      </c>
      <c r="T45" s="1914">
        <v>0.4</v>
      </c>
      <c r="U45" s="1930"/>
      <c r="V45" s="1890"/>
      <c r="W45" s="1891"/>
      <c r="X45" s="1929"/>
      <c r="Y45" s="1914"/>
      <c r="Z45" s="1930"/>
      <c r="AA45" s="1890">
        <v>8</v>
      </c>
      <c r="AB45" s="1891">
        <v>9</v>
      </c>
      <c r="AC45" s="1929">
        <v>0.44</v>
      </c>
      <c r="AD45" s="1914">
        <v>0.76</v>
      </c>
      <c r="AF45" s="1890">
        <v>8</v>
      </c>
      <c r="AG45" s="1891">
        <v>9</v>
      </c>
      <c r="AH45" s="1929">
        <v>0.1</v>
      </c>
      <c r="AI45" s="1914">
        <v>0.24</v>
      </c>
      <c r="AK45" s="2073">
        <f t="shared" si="1"/>
        <v>0.21</v>
      </c>
      <c r="AL45" s="2074">
        <f t="shared" si="2"/>
        <v>0.27</v>
      </c>
      <c r="AM45" s="2074">
        <f t="shared" si="0"/>
        <v>0.44</v>
      </c>
      <c r="AN45" s="1954">
        <f t="shared" si="3"/>
        <v>0.1</v>
      </c>
      <c r="AO45" s="1890">
        <v>8</v>
      </c>
      <c r="AP45" s="1891">
        <v>9</v>
      </c>
      <c r="AQ45" s="1979">
        <v>0.17</v>
      </c>
      <c r="AR45" s="1983"/>
    </row>
    <row r="46" spans="1:44">
      <c r="A46" s="1930"/>
      <c r="B46" s="1893">
        <v>9</v>
      </c>
      <c r="C46" s="1872">
        <v>10</v>
      </c>
      <c r="D46" s="1931">
        <v>0</v>
      </c>
      <c r="E46" s="1915">
        <v>0</v>
      </c>
      <c r="F46" s="1930"/>
      <c r="G46" s="1893">
        <v>9</v>
      </c>
      <c r="H46" s="1872">
        <v>10</v>
      </c>
      <c r="I46" s="1931">
        <v>0.24</v>
      </c>
      <c r="J46" s="1915">
        <v>0.54</v>
      </c>
      <c r="K46" s="1930"/>
      <c r="L46" s="1893">
        <v>9</v>
      </c>
      <c r="M46" s="1872">
        <v>10</v>
      </c>
      <c r="N46" s="1931">
        <v>0.11</v>
      </c>
      <c r="O46" s="1915">
        <v>0.15</v>
      </c>
      <c r="P46" s="1930"/>
      <c r="Q46" s="1893">
        <v>9</v>
      </c>
      <c r="R46" s="1872">
        <v>10</v>
      </c>
      <c r="S46" s="1931">
        <v>0.22</v>
      </c>
      <c r="T46" s="1915">
        <v>0.32</v>
      </c>
      <c r="U46" s="1930"/>
      <c r="V46" s="1893"/>
      <c r="W46" s="1872"/>
      <c r="X46" s="1931"/>
      <c r="Y46" s="1915"/>
      <c r="Z46" s="1930"/>
      <c r="AA46" s="1893">
        <v>9</v>
      </c>
      <c r="AB46" s="1872">
        <v>10</v>
      </c>
      <c r="AC46" s="1931">
        <v>0.48</v>
      </c>
      <c r="AD46" s="1915">
        <v>0.74</v>
      </c>
      <c r="AF46" s="1893">
        <v>9</v>
      </c>
      <c r="AG46" s="1872">
        <v>10</v>
      </c>
      <c r="AH46" s="1931">
        <v>0.22</v>
      </c>
      <c r="AI46" s="1915">
        <v>0.5</v>
      </c>
      <c r="AK46" s="2075">
        <f t="shared" si="1"/>
        <v>0.11</v>
      </c>
      <c r="AL46" s="2076">
        <f t="shared" si="2"/>
        <v>0.22</v>
      </c>
      <c r="AM46" s="2076">
        <f t="shared" si="0"/>
        <v>0.48</v>
      </c>
      <c r="AN46" s="1956">
        <f t="shared" si="3"/>
        <v>0.22</v>
      </c>
      <c r="AO46" s="1893">
        <v>9</v>
      </c>
      <c r="AP46" s="1872">
        <v>10</v>
      </c>
      <c r="AQ46" s="1979">
        <v>0.31</v>
      </c>
      <c r="AR46" s="1983"/>
    </row>
    <row r="47" spans="1:44">
      <c r="A47" s="1930"/>
      <c r="B47" s="1893">
        <v>10</v>
      </c>
      <c r="C47" s="1872">
        <v>11</v>
      </c>
      <c r="D47" s="1931">
        <v>0</v>
      </c>
      <c r="E47" s="1915">
        <v>0</v>
      </c>
      <c r="F47" s="1930"/>
      <c r="G47" s="1893">
        <v>10</v>
      </c>
      <c r="H47" s="1872">
        <v>11</v>
      </c>
      <c r="I47" s="1931">
        <v>0.23</v>
      </c>
      <c r="J47" s="1915">
        <v>0.46</v>
      </c>
      <c r="K47" s="1930"/>
      <c r="L47" s="1893">
        <v>10</v>
      </c>
      <c r="M47" s="1872">
        <v>11</v>
      </c>
      <c r="N47" s="1931">
        <v>0.25</v>
      </c>
      <c r="O47" s="1915">
        <v>0.32</v>
      </c>
      <c r="P47" s="1930"/>
      <c r="Q47" s="1893">
        <v>10</v>
      </c>
      <c r="R47" s="1872">
        <v>11</v>
      </c>
      <c r="S47" s="1931">
        <v>0.19</v>
      </c>
      <c r="T47" s="1915">
        <v>0.26</v>
      </c>
      <c r="U47" s="1930"/>
      <c r="V47" s="1893"/>
      <c r="W47" s="1872"/>
      <c r="X47" s="1931"/>
      <c r="Y47" s="1915"/>
      <c r="Z47" s="1930"/>
      <c r="AA47" s="1893">
        <v>10</v>
      </c>
      <c r="AB47" s="1872">
        <v>11</v>
      </c>
      <c r="AC47" s="1931">
        <v>0.52</v>
      </c>
      <c r="AD47" s="1915">
        <v>0.72</v>
      </c>
      <c r="AF47" s="1893">
        <v>10</v>
      </c>
      <c r="AG47" s="1872">
        <v>11</v>
      </c>
      <c r="AH47" s="1931">
        <v>0.14000000000000001</v>
      </c>
      <c r="AI47" s="1915">
        <v>0.28999999999999998</v>
      </c>
      <c r="AK47" s="2075">
        <f t="shared" si="1"/>
        <v>0.25</v>
      </c>
      <c r="AL47" s="2076">
        <f t="shared" si="2"/>
        <v>0.19</v>
      </c>
      <c r="AM47" s="2076">
        <f t="shared" si="0"/>
        <v>0.52</v>
      </c>
      <c r="AN47" s="1956">
        <f t="shared" si="3"/>
        <v>0.14000000000000001</v>
      </c>
      <c r="AO47" s="1893">
        <v>10</v>
      </c>
      <c r="AP47" s="1872">
        <v>11</v>
      </c>
      <c r="AQ47" s="1979">
        <v>0.49</v>
      </c>
      <c r="AR47" s="1983"/>
    </row>
    <row r="48" spans="1:44">
      <c r="A48" s="1930"/>
      <c r="B48" s="1893">
        <v>11</v>
      </c>
      <c r="C48" s="1872">
        <v>12</v>
      </c>
      <c r="D48" s="1931">
        <v>0</v>
      </c>
      <c r="E48" s="1915">
        <v>0</v>
      </c>
      <c r="F48" s="1930"/>
      <c r="G48" s="1893">
        <v>11</v>
      </c>
      <c r="H48" s="1872">
        <v>12</v>
      </c>
      <c r="I48" s="1931">
        <v>0.3</v>
      </c>
      <c r="J48" s="1915">
        <v>0.57999999999999996</v>
      </c>
      <c r="K48" s="1930"/>
      <c r="L48" s="1893">
        <v>11</v>
      </c>
      <c r="M48" s="1872">
        <v>12</v>
      </c>
      <c r="N48" s="1931">
        <v>0.2</v>
      </c>
      <c r="O48" s="1915">
        <v>0.25</v>
      </c>
      <c r="P48" s="1930"/>
      <c r="Q48" s="1893">
        <v>11</v>
      </c>
      <c r="R48" s="1872">
        <v>12</v>
      </c>
      <c r="S48" s="1931">
        <v>0.37</v>
      </c>
      <c r="T48" s="1915">
        <v>0.4</v>
      </c>
      <c r="U48" s="1930"/>
      <c r="V48" s="1893"/>
      <c r="W48" s="1872"/>
      <c r="X48" s="1931"/>
      <c r="Y48" s="1915"/>
      <c r="Z48" s="1930"/>
      <c r="AA48" s="1893">
        <v>11</v>
      </c>
      <c r="AB48" s="1872">
        <v>12</v>
      </c>
      <c r="AC48" s="1931">
        <v>0.28999999999999998</v>
      </c>
      <c r="AD48" s="1915">
        <v>0.39</v>
      </c>
      <c r="AF48" s="1893">
        <v>11</v>
      </c>
      <c r="AG48" s="1872">
        <v>12</v>
      </c>
      <c r="AH48" s="1931">
        <v>0.22</v>
      </c>
      <c r="AI48" s="1915">
        <v>0.42</v>
      </c>
      <c r="AK48" s="2075">
        <f t="shared" si="1"/>
        <v>0.2</v>
      </c>
      <c r="AL48" s="2076">
        <f t="shared" si="2"/>
        <v>0.37</v>
      </c>
      <c r="AM48" s="2076">
        <f t="shared" si="0"/>
        <v>0.28999999999999998</v>
      </c>
      <c r="AN48" s="1956">
        <f t="shared" si="3"/>
        <v>0.22</v>
      </c>
      <c r="AO48" s="1893">
        <v>11</v>
      </c>
      <c r="AP48" s="1872">
        <v>12</v>
      </c>
      <c r="AQ48" s="1979">
        <v>0.32</v>
      </c>
      <c r="AR48" s="1983"/>
    </row>
    <row r="49" spans="1:44">
      <c r="A49" s="1930"/>
      <c r="B49" s="1893">
        <v>12</v>
      </c>
      <c r="C49" s="1872">
        <v>13</v>
      </c>
      <c r="D49" s="1931">
        <v>0</v>
      </c>
      <c r="E49" s="1915">
        <v>0</v>
      </c>
      <c r="F49" s="1930"/>
      <c r="G49" s="1893">
        <v>12</v>
      </c>
      <c r="H49" s="1872">
        <v>13</v>
      </c>
      <c r="I49" s="1931">
        <v>0.33</v>
      </c>
      <c r="J49" s="1915">
        <v>0.63</v>
      </c>
      <c r="K49" s="1930"/>
      <c r="L49" s="1893">
        <v>12</v>
      </c>
      <c r="M49" s="1872">
        <v>13</v>
      </c>
      <c r="N49" s="1931">
        <v>0.38</v>
      </c>
      <c r="O49" s="1915">
        <v>0.46</v>
      </c>
      <c r="P49" s="1930"/>
      <c r="Q49" s="1893">
        <v>12</v>
      </c>
      <c r="R49" s="1872">
        <v>13</v>
      </c>
      <c r="S49" s="1931">
        <v>0.31</v>
      </c>
      <c r="T49" s="1915">
        <v>0.37</v>
      </c>
      <c r="U49" s="1930"/>
      <c r="V49" s="1893"/>
      <c r="W49" s="1872"/>
      <c r="X49" s="1931"/>
      <c r="Y49" s="1915"/>
      <c r="Z49" s="1930"/>
      <c r="AA49" s="1893">
        <v>12</v>
      </c>
      <c r="AB49" s="1872">
        <v>13</v>
      </c>
      <c r="AC49" s="1931">
        <v>0.36</v>
      </c>
      <c r="AD49" s="1915">
        <v>0.72499999999999998</v>
      </c>
      <c r="AF49" s="1893">
        <v>12</v>
      </c>
      <c r="AG49" s="1872">
        <v>13</v>
      </c>
      <c r="AH49" s="1931">
        <v>0.13</v>
      </c>
      <c r="AI49" s="1915">
        <v>0.24</v>
      </c>
      <c r="AK49" s="2075">
        <f t="shared" si="1"/>
        <v>0.38</v>
      </c>
      <c r="AL49" s="2076">
        <f t="shared" si="2"/>
        <v>0.31</v>
      </c>
      <c r="AM49" s="2076">
        <f t="shared" si="0"/>
        <v>0.36</v>
      </c>
      <c r="AN49" s="1956">
        <f t="shared" si="3"/>
        <v>0.13</v>
      </c>
      <c r="AO49" s="1893">
        <v>12</v>
      </c>
      <c r="AP49" s="1872">
        <v>13</v>
      </c>
      <c r="AQ49" s="1979">
        <v>0.44</v>
      </c>
      <c r="AR49" s="1983"/>
    </row>
    <row r="50" spans="1:44">
      <c r="A50" s="1930"/>
      <c r="B50" s="1893">
        <v>13</v>
      </c>
      <c r="C50" s="1872">
        <v>14</v>
      </c>
      <c r="D50" s="1931">
        <v>0.1</v>
      </c>
      <c r="E50" s="1915">
        <v>0.17</v>
      </c>
      <c r="F50" s="1930"/>
      <c r="G50" s="1893">
        <v>13</v>
      </c>
      <c r="H50" s="1872">
        <v>14</v>
      </c>
      <c r="I50" s="1931">
        <v>0.41</v>
      </c>
      <c r="J50" s="1915">
        <v>0.77</v>
      </c>
      <c r="K50" s="1930"/>
      <c r="L50" s="1893">
        <v>13</v>
      </c>
      <c r="M50" s="1872">
        <v>14</v>
      </c>
      <c r="N50" s="1931">
        <v>0.4</v>
      </c>
      <c r="O50" s="1915">
        <v>0.47</v>
      </c>
      <c r="P50" s="1930"/>
      <c r="Q50" s="1893">
        <v>13</v>
      </c>
      <c r="R50" s="1872">
        <v>14</v>
      </c>
      <c r="S50" s="1931">
        <v>0.27</v>
      </c>
      <c r="T50" s="1915">
        <v>0.27</v>
      </c>
      <c r="U50" s="1930"/>
      <c r="V50" s="1893"/>
      <c r="W50" s="1872"/>
      <c r="X50" s="1931"/>
      <c r="Y50" s="1915"/>
      <c r="Z50" s="1930"/>
      <c r="AA50" s="1893">
        <v>13</v>
      </c>
      <c r="AB50" s="1872">
        <v>14</v>
      </c>
      <c r="AC50" s="1931">
        <v>0.35</v>
      </c>
      <c r="AD50" s="1915">
        <v>0.32</v>
      </c>
      <c r="AF50" s="1893">
        <v>13</v>
      </c>
      <c r="AG50" s="1872">
        <v>14</v>
      </c>
      <c r="AH50" s="1931">
        <v>0.2</v>
      </c>
      <c r="AI50" s="1915">
        <v>0.34</v>
      </c>
      <c r="AK50" s="2075">
        <f t="shared" si="1"/>
        <v>0.4</v>
      </c>
      <c r="AL50" s="2076">
        <f t="shared" si="2"/>
        <v>0.27</v>
      </c>
      <c r="AM50" s="2076">
        <f t="shared" si="0"/>
        <v>0.35</v>
      </c>
      <c r="AN50" s="1956">
        <f t="shared" si="3"/>
        <v>0.2</v>
      </c>
      <c r="AO50" s="1893">
        <v>13</v>
      </c>
      <c r="AP50" s="1872">
        <v>14</v>
      </c>
      <c r="AQ50" s="1979">
        <v>0.36</v>
      </c>
      <c r="AR50" s="1983"/>
    </row>
    <row r="51" spans="1:44">
      <c r="A51" s="1930"/>
      <c r="B51" s="1893">
        <v>14</v>
      </c>
      <c r="C51" s="1872">
        <v>15</v>
      </c>
      <c r="D51" s="1931">
        <v>0.28000000000000003</v>
      </c>
      <c r="E51" s="1915">
        <v>0.48</v>
      </c>
      <c r="F51" s="1930"/>
      <c r="G51" s="1893">
        <v>14</v>
      </c>
      <c r="H51" s="1872">
        <v>15</v>
      </c>
      <c r="I51" s="1931">
        <v>0.3</v>
      </c>
      <c r="J51" s="1915">
        <v>0.56999999999999995</v>
      </c>
      <c r="K51" s="1930"/>
      <c r="L51" s="1893">
        <v>14</v>
      </c>
      <c r="M51" s="1872">
        <v>15</v>
      </c>
      <c r="N51" s="1931">
        <v>0.28999999999999998</v>
      </c>
      <c r="O51" s="1915">
        <v>0.33</v>
      </c>
      <c r="P51" s="1930"/>
      <c r="Q51" s="1893">
        <v>14</v>
      </c>
      <c r="R51" s="1872">
        <v>15</v>
      </c>
      <c r="S51" s="1931">
        <v>0.31</v>
      </c>
      <c r="T51" s="1915">
        <v>0.3</v>
      </c>
      <c r="U51" s="1930"/>
      <c r="V51" s="1893"/>
      <c r="W51" s="1872"/>
      <c r="X51" s="1931"/>
      <c r="Y51" s="1915"/>
      <c r="Z51" s="1930"/>
      <c r="AA51" s="1893">
        <v>14</v>
      </c>
      <c r="AB51" s="1872">
        <v>15</v>
      </c>
      <c r="AC51" s="1931">
        <v>0.56000000000000005</v>
      </c>
      <c r="AD51" s="1915">
        <v>0.47</v>
      </c>
      <c r="AF51" s="1893">
        <v>14</v>
      </c>
      <c r="AG51" s="1872">
        <v>15</v>
      </c>
      <c r="AH51" s="1931">
        <v>0.26</v>
      </c>
      <c r="AI51" s="1915">
        <v>0.44</v>
      </c>
      <c r="AK51" s="2075">
        <f t="shared" si="1"/>
        <v>0.28999999999999998</v>
      </c>
      <c r="AL51" s="2076">
        <f t="shared" si="2"/>
        <v>0.31</v>
      </c>
      <c r="AM51" s="2076">
        <f t="shared" si="0"/>
        <v>0.56000000000000005</v>
      </c>
      <c r="AN51" s="1956">
        <f t="shared" si="3"/>
        <v>0.26</v>
      </c>
      <c r="AO51" s="1893">
        <v>14</v>
      </c>
      <c r="AP51" s="1872">
        <v>15</v>
      </c>
      <c r="AQ51" s="1979">
        <v>0.32</v>
      </c>
      <c r="AR51" s="1983"/>
    </row>
    <row r="52" spans="1:44">
      <c r="A52" s="1930"/>
      <c r="B52" s="1893">
        <v>15</v>
      </c>
      <c r="C52" s="1872">
        <v>16</v>
      </c>
      <c r="D52" s="1931">
        <v>0.17</v>
      </c>
      <c r="E52" s="1915">
        <v>0.3</v>
      </c>
      <c r="F52" s="1930"/>
      <c r="G52" s="1893">
        <v>15</v>
      </c>
      <c r="H52" s="1872">
        <v>16</v>
      </c>
      <c r="I52" s="1931">
        <v>0.37</v>
      </c>
      <c r="J52" s="1915">
        <v>0.72</v>
      </c>
      <c r="K52" s="1930"/>
      <c r="L52" s="1893">
        <v>15</v>
      </c>
      <c r="M52" s="1872">
        <v>16</v>
      </c>
      <c r="N52" s="1931">
        <v>0.26</v>
      </c>
      <c r="O52" s="1915">
        <v>0.3</v>
      </c>
      <c r="P52" s="1930"/>
      <c r="Q52" s="1893">
        <v>15</v>
      </c>
      <c r="R52" s="1872">
        <v>16</v>
      </c>
      <c r="S52" s="1931">
        <v>0.34</v>
      </c>
      <c r="T52" s="1915">
        <v>0.37</v>
      </c>
      <c r="U52" s="1930"/>
      <c r="V52" s="1893"/>
      <c r="W52" s="1872"/>
      <c r="X52" s="1931"/>
      <c r="Y52" s="1915"/>
      <c r="Z52" s="1930"/>
      <c r="AA52" s="1893">
        <v>15</v>
      </c>
      <c r="AB52" s="1872">
        <v>16</v>
      </c>
      <c r="AC52" s="1931">
        <v>0.55000000000000004</v>
      </c>
      <c r="AD52" s="1915">
        <v>0.52</v>
      </c>
      <c r="AF52" s="1893">
        <v>15</v>
      </c>
      <c r="AG52" s="1872">
        <v>16</v>
      </c>
      <c r="AH52" s="1931">
        <v>0.24</v>
      </c>
      <c r="AI52" s="1915">
        <v>0.4</v>
      </c>
      <c r="AK52" s="2075">
        <f t="shared" si="1"/>
        <v>0.26</v>
      </c>
      <c r="AL52" s="2076">
        <f t="shared" si="2"/>
        <v>0.34</v>
      </c>
      <c r="AM52" s="2076">
        <f t="shared" si="0"/>
        <v>0.55000000000000004</v>
      </c>
      <c r="AN52" s="1956">
        <f t="shared" si="3"/>
        <v>0.24</v>
      </c>
      <c r="AO52" s="1893">
        <v>15</v>
      </c>
      <c r="AP52" s="1872">
        <v>16</v>
      </c>
      <c r="AQ52" s="1979">
        <v>0.3</v>
      </c>
      <c r="AR52" s="1983"/>
    </row>
    <row r="53" spans="1:44">
      <c r="A53" s="1930"/>
      <c r="B53" s="1893">
        <v>16</v>
      </c>
      <c r="C53" s="1872">
        <v>17</v>
      </c>
      <c r="D53" s="1931">
        <v>0.11</v>
      </c>
      <c r="E53" s="1915">
        <v>0.2</v>
      </c>
      <c r="F53" s="1930"/>
      <c r="G53" s="1893">
        <v>16</v>
      </c>
      <c r="H53" s="1872">
        <v>17</v>
      </c>
      <c r="I53" s="1931">
        <v>0.35</v>
      </c>
      <c r="J53" s="1915">
        <v>0.72</v>
      </c>
      <c r="K53" s="1930"/>
      <c r="L53" s="1893">
        <v>16</v>
      </c>
      <c r="M53" s="1872">
        <v>17</v>
      </c>
      <c r="N53" s="1931">
        <v>0.28999999999999998</v>
      </c>
      <c r="O53" s="1915">
        <v>0.35</v>
      </c>
      <c r="P53" s="1930"/>
      <c r="Q53" s="1893">
        <v>16</v>
      </c>
      <c r="R53" s="1872">
        <v>17</v>
      </c>
      <c r="S53" s="1931">
        <v>0.28999999999999998</v>
      </c>
      <c r="T53" s="1915">
        <v>0.41</v>
      </c>
      <c r="U53" s="1930"/>
      <c r="V53" s="1893"/>
      <c r="W53" s="1872"/>
      <c r="X53" s="1931"/>
      <c r="Y53" s="1915"/>
      <c r="Z53" s="1930"/>
      <c r="AA53" s="1893">
        <v>16</v>
      </c>
      <c r="AB53" s="1872">
        <v>17</v>
      </c>
      <c r="AC53" s="1931">
        <v>0.56999999999999995</v>
      </c>
      <c r="AD53" s="1915">
        <v>0.39</v>
      </c>
      <c r="AF53" s="1893">
        <v>16</v>
      </c>
      <c r="AG53" s="1872">
        <v>17</v>
      </c>
      <c r="AH53" s="1931">
        <v>0.33</v>
      </c>
      <c r="AI53" s="1915">
        <v>0.59</v>
      </c>
      <c r="AK53" s="2075">
        <f t="shared" si="1"/>
        <v>0.28999999999999998</v>
      </c>
      <c r="AL53" s="2076">
        <f t="shared" si="2"/>
        <v>0.28999999999999998</v>
      </c>
      <c r="AM53" s="2076">
        <f t="shared" si="0"/>
        <v>0.56999999999999995</v>
      </c>
      <c r="AN53" s="1956">
        <f t="shared" si="3"/>
        <v>0.33</v>
      </c>
      <c r="AO53" s="1893">
        <v>16</v>
      </c>
      <c r="AP53" s="1872">
        <v>17</v>
      </c>
      <c r="AQ53" s="1979">
        <v>0.26</v>
      </c>
      <c r="AR53" s="1983"/>
    </row>
    <row r="54" spans="1:44">
      <c r="A54" s="1930"/>
      <c r="B54" s="1894">
        <v>17</v>
      </c>
      <c r="C54" s="1895">
        <v>18</v>
      </c>
      <c r="D54" s="1932">
        <v>0.08</v>
      </c>
      <c r="E54" s="1916">
        <v>0.21</v>
      </c>
      <c r="F54" s="1930"/>
      <c r="G54" s="1894">
        <v>17</v>
      </c>
      <c r="H54" s="1895">
        <v>18</v>
      </c>
      <c r="I54" s="1932">
        <v>0.34</v>
      </c>
      <c r="J54" s="1916">
        <v>1.06</v>
      </c>
      <c r="K54" s="1930"/>
      <c r="L54" s="1894">
        <v>17</v>
      </c>
      <c r="M54" s="1895">
        <v>18</v>
      </c>
      <c r="N54" s="1932">
        <v>0.86</v>
      </c>
      <c r="O54" s="1916">
        <v>1.1200000000000001</v>
      </c>
      <c r="P54" s="1930"/>
      <c r="Q54" s="1894">
        <v>17</v>
      </c>
      <c r="R54" s="1895">
        <v>18</v>
      </c>
      <c r="S54" s="1932">
        <v>0.51</v>
      </c>
      <c r="T54" s="1916">
        <v>0.8</v>
      </c>
      <c r="U54" s="1930"/>
      <c r="V54" s="1894"/>
      <c r="W54" s="1895"/>
      <c r="X54" s="1932"/>
      <c r="Y54" s="1916"/>
      <c r="Z54" s="1930"/>
      <c r="AA54" s="1894">
        <v>17</v>
      </c>
      <c r="AB54" s="1895">
        <v>18</v>
      </c>
      <c r="AC54" s="1932">
        <v>0.6</v>
      </c>
      <c r="AD54" s="1916">
        <v>0.88</v>
      </c>
      <c r="AF54" s="1894">
        <v>17</v>
      </c>
      <c r="AG54" s="1895">
        <v>18</v>
      </c>
      <c r="AH54" s="1932">
        <v>0.46</v>
      </c>
      <c r="AI54" s="1916">
        <v>1</v>
      </c>
      <c r="AK54" s="2077">
        <f t="shared" si="1"/>
        <v>0.86</v>
      </c>
      <c r="AL54" s="2078">
        <f t="shared" si="2"/>
        <v>0.51</v>
      </c>
      <c r="AM54" s="2078">
        <f t="shared" si="0"/>
        <v>0.6</v>
      </c>
      <c r="AN54" s="1959">
        <f t="shared" si="3"/>
        <v>0.46</v>
      </c>
      <c r="AO54" s="1894">
        <v>17</v>
      </c>
      <c r="AP54" s="1895">
        <v>18</v>
      </c>
      <c r="AQ54" s="1979">
        <v>0.16</v>
      </c>
      <c r="AR54" s="1983"/>
    </row>
    <row r="55" spans="1:44">
      <c r="A55" s="1934"/>
      <c r="B55" s="1910">
        <v>18</v>
      </c>
      <c r="C55" s="1889">
        <v>19</v>
      </c>
      <c r="D55" s="1933">
        <v>0.27</v>
      </c>
      <c r="E55" s="1911">
        <v>0.71</v>
      </c>
      <c r="F55" s="1934"/>
      <c r="G55" s="1910">
        <v>18</v>
      </c>
      <c r="H55" s="1889">
        <v>19</v>
      </c>
      <c r="I55" s="1933">
        <v>0.72</v>
      </c>
      <c r="J55" s="1911">
        <v>2.38</v>
      </c>
      <c r="K55" s="1934"/>
      <c r="L55" s="1910">
        <v>18</v>
      </c>
      <c r="M55" s="1889">
        <v>19</v>
      </c>
      <c r="N55" s="1933">
        <v>0.6</v>
      </c>
      <c r="O55" s="1911">
        <v>0.97</v>
      </c>
      <c r="P55" s="1934"/>
      <c r="Q55" s="1910">
        <v>18</v>
      </c>
      <c r="R55" s="1889">
        <v>19</v>
      </c>
      <c r="S55" s="1933">
        <v>0.28999999999999998</v>
      </c>
      <c r="T55" s="1911">
        <v>0.51</v>
      </c>
      <c r="U55" s="1934"/>
      <c r="V55" s="1910"/>
      <c r="W55" s="1889"/>
      <c r="X55" s="1933"/>
      <c r="Y55" s="1911"/>
      <c r="Z55" s="1934"/>
      <c r="AA55" s="1910">
        <v>18</v>
      </c>
      <c r="AB55" s="1889">
        <v>19</v>
      </c>
      <c r="AC55" s="1933">
        <v>1.0900000000000001</v>
      </c>
      <c r="AD55" s="1911">
        <v>1.62</v>
      </c>
      <c r="AF55" s="1910">
        <v>18</v>
      </c>
      <c r="AG55" s="1889">
        <v>19</v>
      </c>
      <c r="AH55" s="1933">
        <v>0.21</v>
      </c>
      <c r="AI55" s="1911">
        <v>0.48</v>
      </c>
      <c r="AK55" s="2073">
        <f t="shared" si="1"/>
        <v>0.6</v>
      </c>
      <c r="AL55" s="2074">
        <f t="shared" si="2"/>
        <v>0.28999999999999998</v>
      </c>
      <c r="AM55" s="2074">
        <f t="shared" si="0"/>
        <v>1.0900000000000001</v>
      </c>
      <c r="AN55" s="1954">
        <f t="shared" si="3"/>
        <v>0.21</v>
      </c>
      <c r="AO55" s="1910">
        <v>18</v>
      </c>
      <c r="AP55" s="1889">
        <v>19</v>
      </c>
      <c r="AQ55" s="1979">
        <v>0.61</v>
      </c>
      <c r="AR55" s="1983"/>
    </row>
    <row r="56" spans="1:44">
      <c r="A56" s="1934"/>
      <c r="B56" s="1902">
        <v>19</v>
      </c>
      <c r="C56" s="1873">
        <v>20</v>
      </c>
      <c r="D56" s="1935">
        <v>0.3</v>
      </c>
      <c r="E56" s="1912">
        <v>0.76</v>
      </c>
      <c r="F56" s="1934"/>
      <c r="G56" s="1902">
        <v>19</v>
      </c>
      <c r="H56" s="1873">
        <v>20</v>
      </c>
      <c r="I56" s="1935">
        <v>0.26</v>
      </c>
      <c r="J56" s="1912">
        <v>0.85</v>
      </c>
      <c r="K56" s="1934"/>
      <c r="L56" s="1902">
        <v>19</v>
      </c>
      <c r="M56" s="1873">
        <v>20</v>
      </c>
      <c r="N56" s="1935">
        <v>0.28000000000000003</v>
      </c>
      <c r="O56" s="1912">
        <v>0.47</v>
      </c>
      <c r="P56" s="1934"/>
      <c r="Q56" s="1902">
        <v>19</v>
      </c>
      <c r="R56" s="1873">
        <v>20</v>
      </c>
      <c r="S56" s="1935">
        <v>0.36</v>
      </c>
      <c r="T56" s="1912">
        <v>0.37</v>
      </c>
      <c r="U56" s="1934"/>
      <c r="V56" s="1902"/>
      <c r="W56" s="1873"/>
      <c r="X56" s="1935"/>
      <c r="Y56" s="1912"/>
      <c r="Z56" s="1934"/>
      <c r="AA56" s="1902">
        <v>19</v>
      </c>
      <c r="AB56" s="1873">
        <v>20</v>
      </c>
      <c r="AC56" s="1935">
        <v>0.67</v>
      </c>
      <c r="AD56" s="1912">
        <v>1.0900000000000001</v>
      </c>
      <c r="AF56" s="1902">
        <v>19</v>
      </c>
      <c r="AG56" s="1873">
        <v>20</v>
      </c>
      <c r="AH56" s="1935">
        <v>0.24</v>
      </c>
      <c r="AI56" s="1912">
        <v>0.56000000000000005</v>
      </c>
      <c r="AK56" s="2075">
        <f t="shared" si="1"/>
        <v>0.28000000000000003</v>
      </c>
      <c r="AL56" s="2076">
        <f t="shared" si="2"/>
        <v>0.36</v>
      </c>
      <c r="AM56" s="2076">
        <f t="shared" si="0"/>
        <v>0.67</v>
      </c>
      <c r="AN56" s="1956">
        <f t="shared" si="3"/>
        <v>0.24</v>
      </c>
      <c r="AO56" s="1902">
        <v>19</v>
      </c>
      <c r="AP56" s="1873">
        <v>20</v>
      </c>
      <c r="AQ56" s="1979">
        <v>0.34</v>
      </c>
      <c r="AR56" s="1983"/>
    </row>
    <row r="57" spans="1:44">
      <c r="A57" s="1934"/>
      <c r="B57" s="1902">
        <v>20</v>
      </c>
      <c r="C57" s="1873">
        <v>21</v>
      </c>
      <c r="D57" s="1935">
        <v>0.35</v>
      </c>
      <c r="E57" s="1912">
        <v>0.61</v>
      </c>
      <c r="F57" s="1934"/>
      <c r="G57" s="1902">
        <v>20</v>
      </c>
      <c r="H57" s="1873">
        <v>21</v>
      </c>
      <c r="I57" s="1935">
        <v>0.35</v>
      </c>
      <c r="J57" s="1912">
        <v>0.81</v>
      </c>
      <c r="K57" s="1934"/>
      <c r="L57" s="1902">
        <v>20</v>
      </c>
      <c r="M57" s="1873">
        <v>21</v>
      </c>
      <c r="N57" s="1935">
        <v>0.24</v>
      </c>
      <c r="O57" s="1912">
        <v>0.39</v>
      </c>
      <c r="P57" s="1934"/>
      <c r="Q57" s="1902">
        <v>20</v>
      </c>
      <c r="R57" s="1873">
        <v>21</v>
      </c>
      <c r="S57" s="1935">
        <v>0.31</v>
      </c>
      <c r="T57" s="1912">
        <v>0.57999999999999996</v>
      </c>
      <c r="U57" s="1934"/>
      <c r="V57" s="1902"/>
      <c r="W57" s="1873"/>
      <c r="X57" s="1935"/>
      <c r="Y57" s="1912"/>
      <c r="Z57" s="1934"/>
      <c r="AA57" s="1902">
        <v>20</v>
      </c>
      <c r="AB57" s="1873">
        <v>21</v>
      </c>
      <c r="AC57" s="1935">
        <v>0.48</v>
      </c>
      <c r="AD57" s="1912">
        <v>0.9</v>
      </c>
      <c r="AF57" s="1902">
        <v>20</v>
      </c>
      <c r="AG57" s="1873">
        <v>21</v>
      </c>
      <c r="AH57" s="1935">
        <v>0.32</v>
      </c>
      <c r="AI57" s="1912">
        <v>0.76</v>
      </c>
      <c r="AK57" s="2075">
        <f t="shared" si="1"/>
        <v>0.24</v>
      </c>
      <c r="AL57" s="2076">
        <f t="shared" si="2"/>
        <v>0.31</v>
      </c>
      <c r="AM57" s="2076">
        <f t="shared" si="0"/>
        <v>0.48</v>
      </c>
      <c r="AN57" s="1956">
        <f t="shared" si="3"/>
        <v>0.32</v>
      </c>
      <c r="AO57" s="1902">
        <v>20</v>
      </c>
      <c r="AP57" s="1873">
        <v>21</v>
      </c>
      <c r="AQ57" s="1979">
        <v>0.41</v>
      </c>
      <c r="AR57" s="1983"/>
    </row>
    <row r="58" spans="1:44">
      <c r="A58" s="1934"/>
      <c r="B58" s="1902">
        <v>21</v>
      </c>
      <c r="C58" s="1873">
        <v>22</v>
      </c>
      <c r="D58" s="1935">
        <v>0.33</v>
      </c>
      <c r="E58" s="1912">
        <v>0.66</v>
      </c>
      <c r="F58" s="1934"/>
      <c r="G58" s="1902">
        <v>21</v>
      </c>
      <c r="H58" s="1873">
        <v>22</v>
      </c>
      <c r="I58" s="1935">
        <v>0.32</v>
      </c>
      <c r="J58" s="1912">
        <v>0.69</v>
      </c>
      <c r="K58" s="1934"/>
      <c r="L58" s="1902">
        <v>21</v>
      </c>
      <c r="M58" s="1873">
        <v>22</v>
      </c>
      <c r="N58" s="1935">
        <v>0.27</v>
      </c>
      <c r="O58" s="1912">
        <v>0.41</v>
      </c>
      <c r="P58" s="1934"/>
      <c r="Q58" s="1902">
        <v>21</v>
      </c>
      <c r="R58" s="1873">
        <v>22</v>
      </c>
      <c r="S58" s="1935">
        <v>0.34</v>
      </c>
      <c r="T58" s="1912">
        <v>0.62</v>
      </c>
      <c r="U58" s="1934"/>
      <c r="V58" s="1902"/>
      <c r="W58" s="1873"/>
      <c r="X58" s="1935"/>
      <c r="Y58" s="1912"/>
      <c r="Z58" s="1934"/>
      <c r="AA58" s="1902">
        <v>21</v>
      </c>
      <c r="AB58" s="1873">
        <v>22</v>
      </c>
      <c r="AC58" s="1935">
        <v>0.36</v>
      </c>
      <c r="AD58" s="1912">
        <v>0.64</v>
      </c>
      <c r="AF58" s="1902">
        <v>21</v>
      </c>
      <c r="AG58" s="1873">
        <v>22</v>
      </c>
      <c r="AH58" s="1935">
        <v>0.48</v>
      </c>
      <c r="AI58" s="1912">
        <v>1.1499999999999999</v>
      </c>
      <c r="AK58" s="2075">
        <f t="shared" si="1"/>
        <v>0.27</v>
      </c>
      <c r="AL58" s="2076">
        <f t="shared" si="2"/>
        <v>0.34</v>
      </c>
      <c r="AM58" s="2076">
        <f t="shared" si="0"/>
        <v>0.36</v>
      </c>
      <c r="AN58" s="1956">
        <f t="shared" si="3"/>
        <v>0.48</v>
      </c>
      <c r="AO58" s="1902">
        <v>21</v>
      </c>
      <c r="AP58" s="1873">
        <v>22</v>
      </c>
      <c r="AQ58" s="1979">
        <v>0.23</v>
      </c>
      <c r="AR58" s="1983"/>
    </row>
    <row r="59" spans="1:44">
      <c r="A59" s="1934"/>
      <c r="B59" s="1902">
        <v>22</v>
      </c>
      <c r="C59" s="1873">
        <v>23</v>
      </c>
      <c r="D59" s="1935">
        <v>0.35</v>
      </c>
      <c r="E59" s="1912">
        <v>0.56999999999999995</v>
      </c>
      <c r="F59" s="1934"/>
      <c r="G59" s="1902">
        <v>22</v>
      </c>
      <c r="H59" s="1873">
        <v>23</v>
      </c>
      <c r="I59" s="1935">
        <v>0.23</v>
      </c>
      <c r="J59" s="1912">
        <v>0.49</v>
      </c>
      <c r="K59" s="1934"/>
      <c r="L59" s="1902">
        <v>22</v>
      </c>
      <c r="M59" s="1873">
        <v>23</v>
      </c>
      <c r="N59" s="1935">
        <v>0.14000000000000001</v>
      </c>
      <c r="O59" s="1912">
        <v>0.22</v>
      </c>
      <c r="P59" s="1934"/>
      <c r="Q59" s="1902">
        <v>22</v>
      </c>
      <c r="R59" s="1873">
        <v>23</v>
      </c>
      <c r="S59" s="1935">
        <v>0.17</v>
      </c>
      <c r="T59" s="1912">
        <v>0.3</v>
      </c>
      <c r="U59" s="1934"/>
      <c r="V59" s="1902"/>
      <c r="W59" s="1873"/>
      <c r="X59" s="1935"/>
      <c r="Y59" s="1912"/>
      <c r="Z59" s="1934"/>
      <c r="AA59" s="1902">
        <v>22</v>
      </c>
      <c r="AB59" s="1873">
        <v>23</v>
      </c>
      <c r="AC59" s="1935">
        <v>0.41</v>
      </c>
      <c r="AD59" s="1912">
        <v>0.7</v>
      </c>
      <c r="AF59" s="1902">
        <v>22</v>
      </c>
      <c r="AG59" s="1873">
        <v>23</v>
      </c>
      <c r="AH59" s="1935">
        <v>0.38</v>
      </c>
      <c r="AI59" s="1912">
        <v>0.91</v>
      </c>
      <c r="AK59" s="2075">
        <f t="shared" si="1"/>
        <v>0.14000000000000001</v>
      </c>
      <c r="AL59" s="2076">
        <f t="shared" si="2"/>
        <v>0.17</v>
      </c>
      <c r="AM59" s="2076">
        <f t="shared" si="0"/>
        <v>0.41</v>
      </c>
      <c r="AN59" s="1956">
        <f t="shared" si="3"/>
        <v>0.38</v>
      </c>
      <c r="AO59" s="1902">
        <v>22</v>
      </c>
      <c r="AP59" s="1873">
        <v>23</v>
      </c>
      <c r="AQ59" s="1979">
        <v>0.28999999999999998</v>
      </c>
      <c r="AR59" s="1983"/>
    </row>
    <row r="60" spans="1:44" ht="15" thickBot="1">
      <c r="A60" s="1934"/>
      <c r="B60" s="1902">
        <v>23</v>
      </c>
      <c r="C60" s="1873">
        <v>24</v>
      </c>
      <c r="D60" s="1935">
        <v>0.16</v>
      </c>
      <c r="E60" s="1912">
        <v>0.25</v>
      </c>
      <c r="F60" s="1934"/>
      <c r="G60" s="1902">
        <v>23</v>
      </c>
      <c r="H60" s="1873">
        <v>24</v>
      </c>
      <c r="I60" s="1935">
        <v>0.1</v>
      </c>
      <c r="J60" s="1912">
        <v>0.2</v>
      </c>
      <c r="K60" s="1934"/>
      <c r="L60" s="1902">
        <v>23</v>
      </c>
      <c r="M60" s="1873">
        <v>24</v>
      </c>
      <c r="N60" s="1935">
        <v>0.12</v>
      </c>
      <c r="O60" s="1912">
        <v>0.17</v>
      </c>
      <c r="P60" s="1934"/>
      <c r="Q60" s="1902">
        <v>23</v>
      </c>
      <c r="R60" s="1873">
        <v>24</v>
      </c>
      <c r="S60" s="1935">
        <v>0.14000000000000001</v>
      </c>
      <c r="T60" s="1912">
        <v>0.23</v>
      </c>
      <c r="U60" s="1934"/>
      <c r="V60" s="1902"/>
      <c r="W60" s="1873"/>
      <c r="X60" s="1935"/>
      <c r="Y60" s="1912"/>
      <c r="Z60" s="1934"/>
      <c r="AA60" s="1902">
        <v>23</v>
      </c>
      <c r="AB60" s="1873">
        <v>24</v>
      </c>
      <c r="AC60" s="1935">
        <v>0.23</v>
      </c>
      <c r="AD60" s="1912">
        <v>0.37</v>
      </c>
      <c r="AF60" s="1902">
        <v>23</v>
      </c>
      <c r="AG60" s="1873">
        <v>24</v>
      </c>
      <c r="AH60" s="1935">
        <v>0.18</v>
      </c>
      <c r="AI60" s="1912">
        <v>0.43</v>
      </c>
      <c r="AK60" s="2077">
        <f t="shared" si="1"/>
        <v>0.12</v>
      </c>
      <c r="AL60" s="2078">
        <f t="shared" si="2"/>
        <v>0.14000000000000001</v>
      </c>
      <c r="AM60" s="2078">
        <f t="shared" si="0"/>
        <v>0.23</v>
      </c>
      <c r="AN60" s="1959">
        <f t="shared" si="3"/>
        <v>0.18</v>
      </c>
      <c r="AO60" s="1902">
        <v>23</v>
      </c>
      <c r="AP60" s="1873">
        <v>24</v>
      </c>
      <c r="AQ60" s="1979">
        <v>0.19</v>
      </c>
      <c r="AR60" s="1983"/>
    </row>
    <row r="61" spans="1:44">
      <c r="B61" s="2766">
        <v>44959</v>
      </c>
      <c r="C61" s="2766"/>
      <c r="D61" s="1922">
        <f>SUM(D62:D85)</f>
        <v>5.59</v>
      </c>
      <c r="E61" s="1923">
        <f>SUM(E62:E85)</f>
        <v>13.829999999999998</v>
      </c>
      <c r="G61" s="2773">
        <v>44987</v>
      </c>
      <c r="H61" s="2773"/>
      <c r="I61" s="1922">
        <f>SUM(I62:I85)</f>
        <v>6.87</v>
      </c>
      <c r="J61" s="1923">
        <f>SUM(J62:J85)</f>
        <v>16.180000000000003</v>
      </c>
      <c r="L61" s="2773">
        <v>45018</v>
      </c>
      <c r="M61" s="2773"/>
      <c r="N61" s="1936">
        <f>SUM(N62:N85)</f>
        <v>7.62</v>
      </c>
      <c r="O61" s="1937">
        <f>SUM(O62:O85)</f>
        <v>10.84</v>
      </c>
      <c r="Q61" s="2766">
        <v>45048</v>
      </c>
      <c r="R61" s="2766"/>
      <c r="S61" s="1936">
        <f>SUM(S62:S85)</f>
        <v>6.7800000000000011</v>
      </c>
      <c r="T61" s="1937">
        <f>SUM(T62:T85)</f>
        <v>11.629999999999999</v>
      </c>
      <c r="V61" s="2766">
        <v>45048</v>
      </c>
      <c r="W61" s="2766"/>
      <c r="X61" s="1924"/>
      <c r="Y61" s="1925"/>
      <c r="AA61" s="2766">
        <v>45079</v>
      </c>
      <c r="AB61" s="2766"/>
      <c r="AC61" s="1922">
        <f>SUM(AC62:AC85)</f>
        <v>11.230000000000002</v>
      </c>
      <c r="AD61" s="1923">
        <f>SUM(AD62:AD85)</f>
        <v>17.53</v>
      </c>
      <c r="AF61" s="2766">
        <v>45109</v>
      </c>
      <c r="AG61" s="2766"/>
      <c r="AH61" s="1922">
        <f>SUM(AH62:AH85)</f>
        <v>10.35</v>
      </c>
      <c r="AI61" s="1923">
        <f>SUM(AI62:AI85)</f>
        <v>4.6799999999999988</v>
      </c>
      <c r="AO61" s="2765">
        <v>45171</v>
      </c>
      <c r="AP61" s="2765"/>
      <c r="AQ61" s="1922">
        <f>SUM(AQ62:AQ85)</f>
        <v>28.979999999999997</v>
      </c>
      <c r="AR61" s="1923">
        <f>SUM(AR62:AR85)</f>
        <v>0</v>
      </c>
    </row>
    <row r="62" spans="1:44">
      <c r="A62" s="1927"/>
      <c r="B62" s="1883">
        <v>0</v>
      </c>
      <c r="C62" s="1871">
        <v>1</v>
      </c>
      <c r="D62" s="1926">
        <v>0.12</v>
      </c>
      <c r="E62" s="1913">
        <v>0.18</v>
      </c>
      <c r="F62" s="1927"/>
      <c r="G62" s="1883">
        <v>0</v>
      </c>
      <c r="H62" s="1871">
        <v>1</v>
      </c>
      <c r="I62" s="1926">
        <v>0.11</v>
      </c>
      <c r="J62" s="1913">
        <v>0.22</v>
      </c>
      <c r="K62" s="1927"/>
      <c r="L62" s="1883">
        <v>0</v>
      </c>
      <c r="M62" s="1871">
        <v>1</v>
      </c>
      <c r="N62" s="1926">
        <v>7.0000000000000007E-2</v>
      </c>
      <c r="O62" s="1913">
        <v>0.1</v>
      </c>
      <c r="P62" s="1927"/>
      <c r="Q62" s="1883">
        <v>0</v>
      </c>
      <c r="R62" s="1871">
        <v>1</v>
      </c>
      <c r="S62" s="1926">
        <v>0.12</v>
      </c>
      <c r="T62" s="1913">
        <v>0.19</v>
      </c>
      <c r="U62" s="1927"/>
      <c r="V62" s="1883"/>
      <c r="W62" s="1871"/>
      <c r="X62" s="1926"/>
      <c r="Y62" s="1913"/>
      <c r="Z62" s="1927"/>
      <c r="AA62" s="1883">
        <v>0</v>
      </c>
      <c r="AB62" s="1871">
        <v>1</v>
      </c>
      <c r="AC62" s="1926">
        <v>0.27</v>
      </c>
      <c r="AD62" s="1913">
        <v>0.43</v>
      </c>
      <c r="AF62" s="1883">
        <v>0</v>
      </c>
      <c r="AG62" s="1871">
        <v>1</v>
      </c>
      <c r="AH62" s="1926">
        <v>0.2</v>
      </c>
      <c r="AI62" s="1913">
        <v>0.37</v>
      </c>
      <c r="AK62" s="2073">
        <f>N62</f>
        <v>7.0000000000000007E-2</v>
      </c>
      <c r="AL62" s="2074">
        <f>S62</f>
        <v>0.12</v>
      </c>
      <c r="AM62" s="2074">
        <f t="shared" ref="AM62:AM85" si="4">AC62</f>
        <v>0.27</v>
      </c>
      <c r="AN62" s="1954">
        <f>AH62</f>
        <v>0.2</v>
      </c>
      <c r="AO62" s="1883">
        <v>0</v>
      </c>
      <c r="AP62" s="1871">
        <v>1</v>
      </c>
      <c r="AQ62" s="1979">
        <v>0.24</v>
      </c>
      <c r="AR62" s="1983"/>
    </row>
    <row r="63" spans="1:44">
      <c r="A63" s="1927"/>
      <c r="B63" s="1883">
        <v>1</v>
      </c>
      <c r="C63" s="1871">
        <v>2</v>
      </c>
      <c r="D63" s="1926">
        <v>0.12</v>
      </c>
      <c r="E63" s="1913">
        <v>0.17</v>
      </c>
      <c r="F63" s="1927"/>
      <c r="G63" s="1883">
        <v>1</v>
      </c>
      <c r="H63" s="1871">
        <v>2</v>
      </c>
      <c r="I63" s="1926">
        <v>0.17</v>
      </c>
      <c r="J63" s="1913">
        <v>0.34</v>
      </c>
      <c r="K63" s="1927"/>
      <c r="L63" s="1883">
        <v>1</v>
      </c>
      <c r="M63" s="1871">
        <v>2</v>
      </c>
      <c r="N63" s="1926">
        <v>0.09</v>
      </c>
      <c r="O63" s="1913">
        <v>0.12</v>
      </c>
      <c r="P63" s="1927"/>
      <c r="Q63" s="1883">
        <v>1</v>
      </c>
      <c r="R63" s="1871">
        <v>2</v>
      </c>
      <c r="S63" s="1926">
        <v>0.08</v>
      </c>
      <c r="T63" s="1913">
        <v>0.12</v>
      </c>
      <c r="U63" s="1927"/>
      <c r="V63" s="1883"/>
      <c r="W63" s="1871"/>
      <c r="X63" s="1926"/>
      <c r="Y63" s="1913"/>
      <c r="Z63" s="1927"/>
      <c r="AA63" s="1883">
        <v>1</v>
      </c>
      <c r="AB63" s="1871">
        <v>2</v>
      </c>
      <c r="AC63" s="1926">
        <v>0.31</v>
      </c>
      <c r="AD63" s="1913">
        <v>0.48</v>
      </c>
      <c r="AF63" s="1883">
        <v>1</v>
      </c>
      <c r="AG63" s="1871">
        <v>2</v>
      </c>
      <c r="AH63" s="1926">
        <v>0.21</v>
      </c>
      <c r="AI63" s="1913">
        <v>0.36</v>
      </c>
      <c r="AK63" s="2075">
        <f t="shared" ref="AK63:AK85" si="5">N63</f>
        <v>0.09</v>
      </c>
      <c r="AL63" s="2076">
        <f t="shared" ref="AL63:AL85" si="6">S63</f>
        <v>0.08</v>
      </c>
      <c r="AM63" s="2076">
        <f t="shared" si="4"/>
        <v>0.31</v>
      </c>
      <c r="AN63" s="1956">
        <f t="shared" ref="AN63:AN85" si="7">AH63</f>
        <v>0.21</v>
      </c>
      <c r="AO63" s="1883">
        <v>1</v>
      </c>
      <c r="AP63" s="1871">
        <v>2</v>
      </c>
      <c r="AQ63" s="1979">
        <v>0.14000000000000001</v>
      </c>
      <c r="AR63" s="1983"/>
    </row>
    <row r="64" spans="1:44">
      <c r="A64" s="1927"/>
      <c r="B64" s="1883">
        <v>2</v>
      </c>
      <c r="C64" s="1871">
        <v>3</v>
      </c>
      <c r="D64" s="1926">
        <v>0.06</v>
      </c>
      <c r="E64" s="1913">
        <v>0.09</v>
      </c>
      <c r="F64" s="1927"/>
      <c r="G64" s="1883">
        <v>2</v>
      </c>
      <c r="H64" s="1871">
        <v>3</v>
      </c>
      <c r="I64" s="1926">
        <v>0.17</v>
      </c>
      <c r="J64" s="1913">
        <v>0.35</v>
      </c>
      <c r="K64" s="1927"/>
      <c r="L64" s="1883">
        <v>2</v>
      </c>
      <c r="M64" s="1871">
        <v>3</v>
      </c>
      <c r="N64" s="1926">
        <v>0.13</v>
      </c>
      <c r="O64" s="1913">
        <v>0.18</v>
      </c>
      <c r="P64" s="1927"/>
      <c r="Q64" s="1883">
        <v>2</v>
      </c>
      <c r="R64" s="1871">
        <v>3</v>
      </c>
      <c r="S64" s="1926">
        <v>0.15</v>
      </c>
      <c r="T64" s="1913">
        <v>0.22</v>
      </c>
      <c r="U64" s="1927"/>
      <c r="V64" s="1883"/>
      <c r="W64" s="1871"/>
      <c r="X64" s="1926"/>
      <c r="Y64" s="1913"/>
      <c r="Z64" s="1927"/>
      <c r="AA64" s="1883">
        <v>2</v>
      </c>
      <c r="AB64" s="1871">
        <v>3</v>
      </c>
      <c r="AC64" s="1926">
        <v>0.27</v>
      </c>
      <c r="AD64" s="1913">
        <v>0.42</v>
      </c>
      <c r="AF64" s="1883">
        <v>2</v>
      </c>
      <c r="AG64" s="1871">
        <v>3</v>
      </c>
      <c r="AH64" s="1926">
        <v>0.1</v>
      </c>
      <c r="AI64" s="1913">
        <v>0.17</v>
      </c>
      <c r="AK64" s="2075">
        <f t="shared" si="5"/>
        <v>0.13</v>
      </c>
      <c r="AL64" s="2076">
        <f t="shared" si="6"/>
        <v>0.15</v>
      </c>
      <c r="AM64" s="2076">
        <f t="shared" si="4"/>
        <v>0.27</v>
      </c>
      <c r="AN64" s="1956">
        <f t="shared" si="7"/>
        <v>0.1</v>
      </c>
      <c r="AO64" s="1883">
        <v>2</v>
      </c>
      <c r="AP64" s="1871">
        <v>3</v>
      </c>
      <c r="AQ64" s="1979">
        <v>0.24</v>
      </c>
      <c r="AR64" s="1983"/>
    </row>
    <row r="65" spans="1:44">
      <c r="A65" s="1927"/>
      <c r="B65" s="1883">
        <v>3</v>
      </c>
      <c r="C65" s="1871">
        <v>4</v>
      </c>
      <c r="D65" s="1926">
        <v>0.1</v>
      </c>
      <c r="E65" s="1913">
        <v>0.15</v>
      </c>
      <c r="F65" s="1927"/>
      <c r="G65" s="1883">
        <v>3</v>
      </c>
      <c r="H65" s="1871">
        <v>4</v>
      </c>
      <c r="I65" s="1926">
        <v>0.11</v>
      </c>
      <c r="J65" s="1913">
        <v>0.23</v>
      </c>
      <c r="K65" s="1927"/>
      <c r="L65" s="1883">
        <v>3</v>
      </c>
      <c r="M65" s="1871">
        <v>4</v>
      </c>
      <c r="N65" s="1926">
        <v>0.1</v>
      </c>
      <c r="O65" s="1913">
        <v>0.14000000000000001</v>
      </c>
      <c r="P65" s="1927"/>
      <c r="Q65" s="1883">
        <v>3</v>
      </c>
      <c r="R65" s="1871">
        <v>4</v>
      </c>
      <c r="S65" s="1926">
        <v>0.14000000000000001</v>
      </c>
      <c r="T65" s="1913">
        <v>0.2</v>
      </c>
      <c r="U65" s="1927"/>
      <c r="V65" s="1883"/>
      <c r="W65" s="1871"/>
      <c r="X65" s="1926"/>
      <c r="Y65" s="1913"/>
      <c r="Z65" s="1927"/>
      <c r="AA65" s="1883">
        <v>3</v>
      </c>
      <c r="AB65" s="1871">
        <v>4</v>
      </c>
      <c r="AC65" s="1926">
        <v>0.23</v>
      </c>
      <c r="AD65" s="1913">
        <v>0.35</v>
      </c>
      <c r="AF65" s="1883">
        <v>3</v>
      </c>
      <c r="AG65" s="1871">
        <v>4</v>
      </c>
      <c r="AH65" s="1926">
        <v>0.21</v>
      </c>
      <c r="AI65" s="1913">
        <v>0.35</v>
      </c>
      <c r="AK65" s="2075">
        <f t="shared" si="5"/>
        <v>0.1</v>
      </c>
      <c r="AL65" s="2076">
        <f t="shared" si="6"/>
        <v>0.14000000000000001</v>
      </c>
      <c r="AM65" s="2076">
        <f t="shared" si="4"/>
        <v>0.23</v>
      </c>
      <c r="AN65" s="1956">
        <f t="shared" si="7"/>
        <v>0.21</v>
      </c>
      <c r="AO65" s="1883">
        <v>3</v>
      </c>
      <c r="AP65" s="1871">
        <v>4</v>
      </c>
      <c r="AQ65" s="1979">
        <v>0.17</v>
      </c>
      <c r="AR65" s="1983"/>
    </row>
    <row r="66" spans="1:44">
      <c r="A66" s="1927"/>
      <c r="B66" s="1883">
        <v>4</v>
      </c>
      <c r="C66" s="1871">
        <v>5</v>
      </c>
      <c r="D66" s="1926">
        <v>0.12</v>
      </c>
      <c r="E66" s="1913">
        <v>0.2</v>
      </c>
      <c r="F66" s="1927"/>
      <c r="G66" s="1883">
        <v>4</v>
      </c>
      <c r="H66" s="1871">
        <v>5</v>
      </c>
      <c r="I66" s="1926">
        <v>0.21</v>
      </c>
      <c r="J66" s="1913">
        <v>0.43</v>
      </c>
      <c r="K66" s="1927"/>
      <c r="L66" s="1883">
        <v>4</v>
      </c>
      <c r="M66" s="1871">
        <v>5</v>
      </c>
      <c r="N66" s="1926">
        <v>0.11</v>
      </c>
      <c r="O66" s="1913">
        <v>0.15</v>
      </c>
      <c r="P66" s="1927"/>
      <c r="Q66" s="1883">
        <v>4</v>
      </c>
      <c r="R66" s="1871">
        <v>5</v>
      </c>
      <c r="S66" s="1926">
        <v>0.1</v>
      </c>
      <c r="T66" s="1913">
        <v>0.14000000000000001</v>
      </c>
      <c r="U66" s="1927"/>
      <c r="V66" s="1883"/>
      <c r="W66" s="1871"/>
      <c r="X66" s="1926"/>
      <c r="Y66" s="1913"/>
      <c r="Z66" s="1927"/>
      <c r="AA66" s="1883">
        <v>4</v>
      </c>
      <c r="AB66" s="1871">
        <v>5</v>
      </c>
      <c r="AC66" s="1926">
        <v>0.28000000000000003</v>
      </c>
      <c r="AD66" s="1913">
        <v>0.44</v>
      </c>
      <c r="AF66" s="1883">
        <v>4</v>
      </c>
      <c r="AG66" s="1871">
        <v>5</v>
      </c>
      <c r="AH66" s="1926">
        <v>0.15</v>
      </c>
      <c r="AI66" s="1913">
        <v>0.25</v>
      </c>
      <c r="AK66" s="2075">
        <f t="shared" si="5"/>
        <v>0.11</v>
      </c>
      <c r="AL66" s="2076">
        <f t="shared" si="6"/>
        <v>0.1</v>
      </c>
      <c r="AM66" s="2076">
        <f t="shared" si="4"/>
        <v>0.28000000000000003</v>
      </c>
      <c r="AN66" s="1956">
        <f t="shared" si="7"/>
        <v>0.15</v>
      </c>
      <c r="AO66" s="1883">
        <v>4</v>
      </c>
      <c r="AP66" s="1871">
        <v>5</v>
      </c>
      <c r="AQ66" s="1979">
        <v>0.24</v>
      </c>
      <c r="AR66" s="1983"/>
    </row>
    <row r="67" spans="1:44">
      <c r="A67" s="1927"/>
      <c r="B67" s="1883">
        <v>5</v>
      </c>
      <c r="C67" s="1871">
        <v>6</v>
      </c>
      <c r="D67" s="1926">
        <v>0.09</v>
      </c>
      <c r="E67" s="1913">
        <v>0.15</v>
      </c>
      <c r="F67" s="1927"/>
      <c r="G67" s="1883">
        <v>5</v>
      </c>
      <c r="H67" s="1871">
        <v>6</v>
      </c>
      <c r="I67" s="1926">
        <v>0.19</v>
      </c>
      <c r="J67" s="1913">
        <v>0.4</v>
      </c>
      <c r="K67" s="1927"/>
      <c r="L67" s="1883">
        <v>5</v>
      </c>
      <c r="M67" s="1871">
        <v>6</v>
      </c>
      <c r="N67" s="1926">
        <v>0.1</v>
      </c>
      <c r="O67" s="1913">
        <v>0.14000000000000001</v>
      </c>
      <c r="P67" s="1927"/>
      <c r="Q67" s="1883">
        <v>5</v>
      </c>
      <c r="R67" s="1871">
        <v>6</v>
      </c>
      <c r="S67" s="1926">
        <v>0.11</v>
      </c>
      <c r="T67" s="1913">
        <v>0.17</v>
      </c>
      <c r="U67" s="1927"/>
      <c r="V67" s="1883"/>
      <c r="W67" s="1871"/>
      <c r="X67" s="1926"/>
      <c r="Y67" s="1913"/>
      <c r="Z67" s="1927"/>
      <c r="AA67" s="1883">
        <v>5</v>
      </c>
      <c r="AB67" s="1871">
        <v>6</v>
      </c>
      <c r="AC67" s="1926">
        <v>0.37</v>
      </c>
      <c r="AD67" s="1913">
        <v>0.61</v>
      </c>
      <c r="AF67" s="1883">
        <v>5</v>
      </c>
      <c r="AG67" s="1871">
        <v>6</v>
      </c>
      <c r="AH67" s="1926">
        <v>0.2</v>
      </c>
      <c r="AI67" s="1913">
        <v>0.34</v>
      </c>
      <c r="AK67" s="2075">
        <f t="shared" si="5"/>
        <v>0.1</v>
      </c>
      <c r="AL67" s="2076">
        <f t="shared" si="6"/>
        <v>0.11</v>
      </c>
      <c r="AM67" s="2076">
        <f t="shared" si="4"/>
        <v>0.37</v>
      </c>
      <c r="AN67" s="1956">
        <f t="shared" si="7"/>
        <v>0.2</v>
      </c>
      <c r="AO67" s="1883">
        <v>5</v>
      </c>
      <c r="AP67" s="1871">
        <v>6</v>
      </c>
      <c r="AQ67" s="1979">
        <v>0.17</v>
      </c>
      <c r="AR67" s="1983"/>
    </row>
    <row r="68" spans="1:44">
      <c r="A68" s="1927"/>
      <c r="B68" s="1883">
        <v>6</v>
      </c>
      <c r="C68" s="1871">
        <v>7</v>
      </c>
      <c r="D68" s="1926">
        <v>0.06</v>
      </c>
      <c r="E68" s="1913">
        <v>0.11</v>
      </c>
      <c r="F68" s="1927"/>
      <c r="G68" s="1883">
        <v>6</v>
      </c>
      <c r="H68" s="1871">
        <v>7</v>
      </c>
      <c r="I68" s="1926">
        <v>0.28000000000000003</v>
      </c>
      <c r="J68" s="1913">
        <v>0.66</v>
      </c>
      <c r="K68" s="1927"/>
      <c r="L68" s="1883">
        <v>6</v>
      </c>
      <c r="M68" s="1871">
        <v>7</v>
      </c>
      <c r="N68" s="1926">
        <v>0.25</v>
      </c>
      <c r="O68" s="1913">
        <v>0.34</v>
      </c>
      <c r="P68" s="1927"/>
      <c r="Q68" s="1883">
        <v>6</v>
      </c>
      <c r="R68" s="1871">
        <v>7</v>
      </c>
      <c r="S68" s="1926">
        <v>0.1</v>
      </c>
      <c r="T68" s="1913">
        <v>0.17</v>
      </c>
      <c r="U68" s="1927"/>
      <c r="V68" s="1883"/>
      <c r="W68" s="1871"/>
      <c r="X68" s="1926"/>
      <c r="Y68" s="1913"/>
      <c r="Z68" s="1927"/>
      <c r="AA68" s="1883">
        <v>6</v>
      </c>
      <c r="AB68" s="1871">
        <v>7</v>
      </c>
      <c r="AC68" s="1926">
        <v>0.43</v>
      </c>
      <c r="AD68" s="1913">
        <v>0.89</v>
      </c>
      <c r="AF68" s="1883">
        <v>6</v>
      </c>
      <c r="AG68" s="1871">
        <v>7</v>
      </c>
      <c r="AH68" s="1926">
        <v>0.2</v>
      </c>
      <c r="AI68" s="1913">
        <v>0.34</v>
      </c>
      <c r="AK68" s="2075">
        <f t="shared" si="5"/>
        <v>0.25</v>
      </c>
      <c r="AL68" s="2076">
        <f t="shared" si="6"/>
        <v>0.1</v>
      </c>
      <c r="AM68" s="2076">
        <f t="shared" si="4"/>
        <v>0.43</v>
      </c>
      <c r="AN68" s="1956">
        <f t="shared" si="7"/>
        <v>0.2</v>
      </c>
      <c r="AO68" s="1883">
        <v>6</v>
      </c>
      <c r="AP68" s="1871">
        <v>7</v>
      </c>
      <c r="AQ68" s="1979"/>
      <c r="AR68" s="1983"/>
    </row>
    <row r="69" spans="1:44">
      <c r="A69" s="1927"/>
      <c r="B69" s="1908">
        <v>7</v>
      </c>
      <c r="C69" s="1909">
        <v>8</v>
      </c>
      <c r="D69" s="1928">
        <v>0.24</v>
      </c>
      <c r="E69" s="1917">
        <v>0.51</v>
      </c>
      <c r="F69" s="1927"/>
      <c r="G69" s="1908">
        <v>7</v>
      </c>
      <c r="H69" s="1909">
        <v>8</v>
      </c>
      <c r="I69" s="1928">
        <v>0.3</v>
      </c>
      <c r="J69" s="1917">
        <v>0.75</v>
      </c>
      <c r="K69" s="1927"/>
      <c r="L69" s="1908">
        <v>7</v>
      </c>
      <c r="M69" s="1909">
        <v>8</v>
      </c>
      <c r="N69" s="1928">
        <v>0.21</v>
      </c>
      <c r="O69" s="1917">
        <v>0.31</v>
      </c>
      <c r="P69" s="1927"/>
      <c r="Q69" s="1908">
        <v>7</v>
      </c>
      <c r="R69" s="1909">
        <v>8</v>
      </c>
      <c r="S69" s="1928">
        <v>0.09</v>
      </c>
      <c r="T69" s="1917">
        <v>0.17</v>
      </c>
      <c r="U69" s="1927"/>
      <c r="V69" s="1908"/>
      <c r="W69" s="1909"/>
      <c r="X69" s="1928"/>
      <c r="Y69" s="1917"/>
      <c r="Z69" s="1927"/>
      <c r="AA69" s="1908">
        <v>7</v>
      </c>
      <c r="AB69" s="1909">
        <v>8</v>
      </c>
      <c r="AC69" s="1928">
        <v>0.5</v>
      </c>
      <c r="AD69" s="1917">
        <v>0.99</v>
      </c>
      <c r="AF69" s="1908">
        <v>7</v>
      </c>
      <c r="AG69" s="1909">
        <v>8</v>
      </c>
      <c r="AH69" s="1928">
        <v>0.41</v>
      </c>
      <c r="AI69" s="1917">
        <v>0.69</v>
      </c>
      <c r="AK69" s="2077">
        <f t="shared" si="5"/>
        <v>0.21</v>
      </c>
      <c r="AL69" s="2078">
        <f t="shared" si="6"/>
        <v>0.09</v>
      </c>
      <c r="AM69" s="2078">
        <f t="shared" si="4"/>
        <v>0.5</v>
      </c>
      <c r="AN69" s="1959">
        <f t="shared" si="7"/>
        <v>0.41</v>
      </c>
      <c r="AO69" s="1908">
        <v>7</v>
      </c>
      <c r="AP69" s="1909">
        <v>8</v>
      </c>
      <c r="AQ69" s="1979">
        <v>0.49</v>
      </c>
      <c r="AR69" s="1983"/>
    </row>
    <row r="70" spans="1:44">
      <c r="A70" s="1930"/>
      <c r="B70" s="1890">
        <v>8</v>
      </c>
      <c r="C70" s="1891">
        <v>9</v>
      </c>
      <c r="D70" s="1929">
        <v>0.16</v>
      </c>
      <c r="E70" s="1914">
        <v>0.38</v>
      </c>
      <c r="F70" s="1930"/>
      <c r="G70" s="1890">
        <v>8</v>
      </c>
      <c r="H70" s="1891">
        <v>9</v>
      </c>
      <c r="I70" s="1929">
        <v>0.34</v>
      </c>
      <c r="J70" s="1914">
        <v>0.84</v>
      </c>
      <c r="K70" s="1930"/>
      <c r="L70" s="1890">
        <v>8</v>
      </c>
      <c r="M70" s="1891">
        <v>9</v>
      </c>
      <c r="N70" s="1929">
        <v>0.28000000000000003</v>
      </c>
      <c r="O70" s="1914">
        <v>0.43</v>
      </c>
      <c r="P70" s="1930"/>
      <c r="Q70" s="1890">
        <v>8</v>
      </c>
      <c r="R70" s="1891">
        <v>9</v>
      </c>
      <c r="S70" s="1929">
        <v>0.42</v>
      </c>
      <c r="T70" s="1914">
        <v>0.82</v>
      </c>
      <c r="U70" s="1930"/>
      <c r="V70" s="1890"/>
      <c r="W70" s="1891"/>
      <c r="X70" s="1929"/>
      <c r="Y70" s="1914"/>
      <c r="Z70" s="1930"/>
      <c r="AA70" s="1890">
        <v>8</v>
      </c>
      <c r="AB70" s="1891">
        <v>9</v>
      </c>
      <c r="AC70" s="1929">
        <v>0.5</v>
      </c>
      <c r="AD70" s="1914">
        <v>0.86</v>
      </c>
      <c r="AF70" s="1890">
        <v>8</v>
      </c>
      <c r="AG70" s="1891">
        <v>9</v>
      </c>
      <c r="AH70" s="1929">
        <v>0.38</v>
      </c>
      <c r="AI70" s="1914">
        <v>0.63</v>
      </c>
      <c r="AK70" s="2073">
        <f t="shared" si="5"/>
        <v>0.28000000000000003</v>
      </c>
      <c r="AL70" s="2074">
        <f t="shared" si="6"/>
        <v>0.42</v>
      </c>
      <c r="AM70" s="2074">
        <f t="shared" si="4"/>
        <v>0.5</v>
      </c>
      <c r="AN70" s="1954">
        <f t="shared" si="7"/>
        <v>0.38</v>
      </c>
      <c r="AO70" s="1890">
        <v>8</v>
      </c>
      <c r="AP70" s="1891">
        <v>9</v>
      </c>
      <c r="AQ70" s="1979">
        <v>0.27</v>
      </c>
      <c r="AR70" s="1983"/>
    </row>
    <row r="71" spans="1:44">
      <c r="A71" s="1930"/>
      <c r="B71" s="1893">
        <v>9</v>
      </c>
      <c r="C71" s="1872">
        <v>11</v>
      </c>
      <c r="D71" s="1931">
        <v>0.2</v>
      </c>
      <c r="E71" s="1915">
        <v>0.5</v>
      </c>
      <c r="F71" s="1930"/>
      <c r="G71" s="1893">
        <v>9</v>
      </c>
      <c r="H71" s="1872">
        <v>11</v>
      </c>
      <c r="I71" s="1931">
        <v>0.37</v>
      </c>
      <c r="J71" s="1915">
        <v>0.79</v>
      </c>
      <c r="K71" s="1930"/>
      <c r="L71" s="1893">
        <v>9</v>
      </c>
      <c r="M71" s="1872">
        <v>11</v>
      </c>
      <c r="N71" s="1931">
        <v>0.33</v>
      </c>
      <c r="O71" s="1915">
        <v>0.47</v>
      </c>
      <c r="P71" s="1930"/>
      <c r="Q71" s="1893">
        <v>9</v>
      </c>
      <c r="R71" s="1872">
        <v>10</v>
      </c>
      <c r="S71" s="1931">
        <v>0.36</v>
      </c>
      <c r="T71" s="1915">
        <v>0.66</v>
      </c>
      <c r="U71" s="1930"/>
      <c r="V71" s="1893"/>
      <c r="W71" s="1872"/>
      <c r="X71" s="1931"/>
      <c r="Y71" s="1915"/>
      <c r="Z71" s="1930"/>
      <c r="AA71" s="1893">
        <v>9</v>
      </c>
      <c r="AB71" s="1872">
        <v>11</v>
      </c>
      <c r="AC71" s="1931">
        <v>0.43</v>
      </c>
      <c r="AD71" s="1915">
        <v>0.69</v>
      </c>
      <c r="AF71" s="1893">
        <v>9</v>
      </c>
      <c r="AG71" s="1872">
        <v>11</v>
      </c>
      <c r="AH71" s="1931">
        <v>0.39</v>
      </c>
      <c r="AI71" s="1915">
        <v>0.6</v>
      </c>
      <c r="AK71" s="2075">
        <f t="shared" si="5"/>
        <v>0.33</v>
      </c>
      <c r="AL71" s="2076">
        <f t="shared" si="6"/>
        <v>0.36</v>
      </c>
      <c r="AM71" s="2076">
        <f t="shared" si="4"/>
        <v>0.43</v>
      </c>
      <c r="AN71" s="1956">
        <f t="shared" si="7"/>
        <v>0.39</v>
      </c>
      <c r="AO71" s="1893">
        <v>9</v>
      </c>
      <c r="AP71" s="1872">
        <v>10</v>
      </c>
      <c r="AQ71" s="1979">
        <v>0.42</v>
      </c>
      <c r="AR71" s="1983"/>
    </row>
    <row r="72" spans="1:44">
      <c r="A72" s="1930"/>
      <c r="B72" s="1893">
        <v>10</v>
      </c>
      <c r="C72" s="1872">
        <v>12</v>
      </c>
      <c r="D72" s="1931">
        <v>0.18</v>
      </c>
      <c r="E72" s="1915">
        <v>0.43</v>
      </c>
      <c r="F72" s="1930"/>
      <c r="G72" s="1893">
        <v>10</v>
      </c>
      <c r="H72" s="1872">
        <v>12</v>
      </c>
      <c r="I72" s="1931">
        <v>0.26</v>
      </c>
      <c r="J72" s="1915">
        <v>0.51</v>
      </c>
      <c r="K72" s="1930"/>
      <c r="L72" s="1893">
        <v>10</v>
      </c>
      <c r="M72" s="1872">
        <v>12</v>
      </c>
      <c r="N72" s="1931">
        <v>0.34</v>
      </c>
      <c r="O72" s="1915">
        <v>0.44</v>
      </c>
      <c r="P72" s="1930"/>
      <c r="Q72" s="1893">
        <v>10</v>
      </c>
      <c r="R72" s="1872">
        <v>11</v>
      </c>
      <c r="S72" s="1931">
        <v>0.7</v>
      </c>
      <c r="T72" s="1915">
        <v>1.24</v>
      </c>
      <c r="U72" s="1930"/>
      <c r="V72" s="1893"/>
      <c r="W72" s="1872"/>
      <c r="X72" s="1931"/>
      <c r="Y72" s="1915"/>
      <c r="Z72" s="1930"/>
      <c r="AA72" s="1893">
        <v>10</v>
      </c>
      <c r="AB72" s="1872">
        <v>12</v>
      </c>
      <c r="AC72" s="1931">
        <v>0.73</v>
      </c>
      <c r="AD72" s="1915">
        <v>1.0900000000000001</v>
      </c>
      <c r="AF72" s="1893">
        <v>10</v>
      </c>
      <c r="AG72" s="1872">
        <v>12</v>
      </c>
      <c r="AH72" s="1931">
        <v>0.41</v>
      </c>
      <c r="AI72" s="1915">
        <v>0.55000000000000004</v>
      </c>
      <c r="AK72" s="2075">
        <f t="shared" si="5"/>
        <v>0.34</v>
      </c>
      <c r="AL72" s="2076">
        <f t="shared" si="6"/>
        <v>0.7</v>
      </c>
      <c r="AM72" s="2076">
        <f t="shared" si="4"/>
        <v>0.73</v>
      </c>
      <c r="AN72" s="1956">
        <f t="shared" si="7"/>
        <v>0.41</v>
      </c>
      <c r="AO72" s="1893">
        <v>10</v>
      </c>
      <c r="AP72" s="1872">
        <v>11</v>
      </c>
      <c r="AQ72" s="1979">
        <f>SUM(AQ73:AQ97)</f>
        <v>20.189999999999998</v>
      </c>
      <c r="AR72" s="1983">
        <f>SUM(AR73:AR97)</f>
        <v>0</v>
      </c>
    </row>
    <row r="73" spans="1:44">
      <c r="A73" s="1930"/>
      <c r="B73" s="1893">
        <v>11</v>
      </c>
      <c r="C73" s="1872">
        <v>12</v>
      </c>
      <c r="D73" s="1931">
        <v>0.19</v>
      </c>
      <c r="E73" s="1915">
        <v>0.45</v>
      </c>
      <c r="F73" s="1930"/>
      <c r="G73" s="1893">
        <v>11</v>
      </c>
      <c r="H73" s="1872">
        <v>12</v>
      </c>
      <c r="I73" s="1931">
        <v>0.32</v>
      </c>
      <c r="J73" s="1915">
        <v>0.61</v>
      </c>
      <c r="K73" s="1930"/>
      <c r="L73" s="1893">
        <v>11</v>
      </c>
      <c r="M73" s="1872">
        <v>12</v>
      </c>
      <c r="N73" s="1931">
        <v>0.33</v>
      </c>
      <c r="O73" s="1915">
        <v>0.43</v>
      </c>
      <c r="P73" s="1930"/>
      <c r="Q73" s="1893">
        <v>11</v>
      </c>
      <c r="R73" s="1872">
        <v>12</v>
      </c>
      <c r="S73" s="1931">
        <v>0.36</v>
      </c>
      <c r="T73" s="1915">
        <v>0.61</v>
      </c>
      <c r="U73" s="1930"/>
      <c r="V73" s="1893"/>
      <c r="W73" s="1872"/>
      <c r="X73" s="1931"/>
      <c r="Y73" s="1915"/>
      <c r="Z73" s="1930"/>
      <c r="AA73" s="1893">
        <v>11</v>
      </c>
      <c r="AB73" s="1872">
        <v>12</v>
      </c>
      <c r="AC73" s="1931">
        <v>0.67</v>
      </c>
      <c r="AD73" s="1915">
        <v>0.94</v>
      </c>
      <c r="AF73" s="1893">
        <v>11</v>
      </c>
      <c r="AG73" s="1872">
        <v>12</v>
      </c>
      <c r="AH73" s="1931">
        <v>0.48</v>
      </c>
      <c r="AI73" s="1915">
        <v>0.37</v>
      </c>
      <c r="AK73" s="2075">
        <f t="shared" si="5"/>
        <v>0.33</v>
      </c>
      <c r="AL73" s="2076">
        <f t="shared" si="6"/>
        <v>0.36</v>
      </c>
      <c r="AM73" s="2076">
        <f t="shared" si="4"/>
        <v>0.67</v>
      </c>
      <c r="AN73" s="1956">
        <f t="shared" si="7"/>
        <v>0.48</v>
      </c>
      <c r="AO73" s="1893">
        <v>11</v>
      </c>
      <c r="AP73" s="1872">
        <v>12</v>
      </c>
      <c r="AQ73" s="1979">
        <v>0.31</v>
      </c>
      <c r="AR73" s="1983"/>
    </row>
    <row r="74" spans="1:44">
      <c r="A74" s="1930"/>
      <c r="B74" s="1893">
        <v>12</v>
      </c>
      <c r="C74" s="1872">
        <v>13</v>
      </c>
      <c r="D74" s="1931">
        <v>0.18</v>
      </c>
      <c r="E74" s="1915">
        <v>0.41</v>
      </c>
      <c r="F74" s="1930"/>
      <c r="G74" s="1893">
        <v>12</v>
      </c>
      <c r="H74" s="1872">
        <v>13</v>
      </c>
      <c r="I74" s="1931">
        <v>0.28000000000000003</v>
      </c>
      <c r="J74" s="1915">
        <v>0.53</v>
      </c>
      <c r="K74" s="1930"/>
      <c r="L74" s="1893">
        <v>12</v>
      </c>
      <c r="M74" s="1872">
        <v>13</v>
      </c>
      <c r="N74" s="1931">
        <v>0.28999999999999998</v>
      </c>
      <c r="O74" s="1915">
        <v>0.35</v>
      </c>
      <c r="P74" s="1930"/>
      <c r="Q74" s="1893">
        <v>12</v>
      </c>
      <c r="R74" s="1872">
        <v>13</v>
      </c>
      <c r="S74" s="1931">
        <v>0.28999999999999998</v>
      </c>
      <c r="T74" s="1915">
        <v>0.47</v>
      </c>
      <c r="U74" s="1930"/>
      <c r="V74" s="1893"/>
      <c r="W74" s="1872"/>
      <c r="X74" s="1931"/>
      <c r="Y74" s="1915"/>
      <c r="Z74" s="1930"/>
      <c r="AA74" s="1893">
        <v>12</v>
      </c>
      <c r="AB74" s="1872">
        <v>13</v>
      </c>
      <c r="AC74" s="1931">
        <v>0.56000000000000005</v>
      </c>
      <c r="AD74" s="1915">
        <v>0.75</v>
      </c>
      <c r="AF74" s="1893">
        <v>12</v>
      </c>
      <c r="AG74" s="1872">
        <v>13</v>
      </c>
      <c r="AH74" s="1931">
        <v>0.34</v>
      </c>
      <c r="AI74" s="1915">
        <v>0.04</v>
      </c>
      <c r="AK74" s="2075">
        <f t="shared" si="5"/>
        <v>0.28999999999999998</v>
      </c>
      <c r="AL74" s="2076">
        <f t="shared" si="6"/>
        <v>0.28999999999999998</v>
      </c>
      <c r="AM74" s="2076">
        <f t="shared" si="4"/>
        <v>0.56000000000000005</v>
      </c>
      <c r="AN74" s="1956">
        <f t="shared" si="7"/>
        <v>0.34</v>
      </c>
      <c r="AO74" s="1893">
        <v>12</v>
      </c>
      <c r="AP74" s="1872">
        <v>13</v>
      </c>
      <c r="AQ74" s="1979">
        <v>0.39</v>
      </c>
      <c r="AR74" s="1983"/>
    </row>
    <row r="75" spans="1:44">
      <c r="A75" s="1930"/>
      <c r="B75" s="1893">
        <v>13</v>
      </c>
      <c r="C75" s="1872">
        <v>14</v>
      </c>
      <c r="D75" s="1931">
        <v>0.22</v>
      </c>
      <c r="E75" s="1915">
        <v>0.49</v>
      </c>
      <c r="F75" s="1930"/>
      <c r="G75" s="1893">
        <v>13</v>
      </c>
      <c r="H75" s="1872">
        <v>14</v>
      </c>
      <c r="I75" s="1931">
        <v>0.38</v>
      </c>
      <c r="J75" s="1915">
        <v>0.71</v>
      </c>
      <c r="K75" s="1930"/>
      <c r="L75" s="1893">
        <v>13</v>
      </c>
      <c r="M75" s="1872">
        <v>14</v>
      </c>
      <c r="N75" s="1931">
        <v>0.26</v>
      </c>
      <c r="O75" s="1915">
        <v>0.28000000000000003</v>
      </c>
      <c r="P75" s="1930"/>
      <c r="Q75" s="1893">
        <v>13</v>
      </c>
      <c r="R75" s="1872">
        <v>14</v>
      </c>
      <c r="S75" s="1931">
        <v>0.25</v>
      </c>
      <c r="T75" s="1915">
        <v>0.39</v>
      </c>
      <c r="U75" s="1930"/>
      <c r="V75" s="1893"/>
      <c r="W75" s="1872"/>
      <c r="X75" s="1931"/>
      <c r="Y75" s="1915"/>
      <c r="Z75" s="1930"/>
      <c r="AA75" s="1893">
        <v>13</v>
      </c>
      <c r="AB75" s="1872">
        <v>14</v>
      </c>
      <c r="AC75" s="1931">
        <v>0.47</v>
      </c>
      <c r="AD75" s="1915">
        <v>0.56999999999999995</v>
      </c>
      <c r="AF75" s="1893">
        <v>13</v>
      </c>
      <c r="AG75" s="1872">
        <v>14</v>
      </c>
      <c r="AH75" s="1931">
        <v>0.88</v>
      </c>
      <c r="AI75" s="1915">
        <v>-0.71</v>
      </c>
      <c r="AK75" s="2075">
        <f t="shared" si="5"/>
        <v>0.26</v>
      </c>
      <c r="AL75" s="2076">
        <f t="shared" si="6"/>
        <v>0.25</v>
      </c>
      <c r="AM75" s="2076">
        <f t="shared" si="4"/>
        <v>0.47</v>
      </c>
      <c r="AN75" s="1956">
        <f t="shared" si="7"/>
        <v>0.88</v>
      </c>
      <c r="AO75" s="1893">
        <v>13</v>
      </c>
      <c r="AP75" s="1872">
        <v>14</v>
      </c>
      <c r="AQ75" s="1979">
        <v>0.52</v>
      </c>
      <c r="AR75" s="1983"/>
    </row>
    <row r="76" spans="1:44">
      <c r="A76" s="1930"/>
      <c r="B76" s="1893">
        <v>14</v>
      </c>
      <c r="C76" s="1872">
        <v>15</v>
      </c>
      <c r="D76" s="1931">
        <v>0.18</v>
      </c>
      <c r="E76" s="1915">
        <v>0.42</v>
      </c>
      <c r="F76" s="1930"/>
      <c r="G76" s="1893">
        <v>14</v>
      </c>
      <c r="H76" s="1872">
        <v>15</v>
      </c>
      <c r="I76" s="1931">
        <v>0.37</v>
      </c>
      <c r="J76" s="1915">
        <v>0.71</v>
      </c>
      <c r="K76" s="1930"/>
      <c r="L76" s="1893">
        <v>14</v>
      </c>
      <c r="M76" s="1872">
        <v>15</v>
      </c>
      <c r="N76" s="1931">
        <v>0.5</v>
      </c>
      <c r="O76" s="1915">
        <v>0.48</v>
      </c>
      <c r="P76" s="1930"/>
      <c r="Q76" s="1893">
        <v>14</v>
      </c>
      <c r="R76" s="1872">
        <v>15</v>
      </c>
      <c r="S76" s="1931">
        <v>0.12</v>
      </c>
      <c r="T76" s="1915">
        <v>0.18</v>
      </c>
      <c r="U76" s="1930"/>
      <c r="V76" s="1893"/>
      <c r="W76" s="1872"/>
      <c r="X76" s="1931"/>
      <c r="Y76" s="1915"/>
      <c r="Z76" s="1930"/>
      <c r="AA76" s="1893">
        <v>14</v>
      </c>
      <c r="AB76" s="1872">
        <v>15</v>
      </c>
      <c r="AC76" s="1931">
        <v>0.61</v>
      </c>
      <c r="AD76" s="1915">
        <v>0.71</v>
      </c>
      <c r="AF76" s="1893">
        <v>14</v>
      </c>
      <c r="AG76" s="1872">
        <v>15</v>
      </c>
      <c r="AH76" s="1931">
        <v>0.77</v>
      </c>
      <c r="AI76" s="1915">
        <v>-1.86</v>
      </c>
      <c r="AK76" s="2075">
        <f t="shared" si="5"/>
        <v>0.5</v>
      </c>
      <c r="AL76" s="2076">
        <f t="shared" si="6"/>
        <v>0.12</v>
      </c>
      <c r="AM76" s="2076">
        <f t="shared" si="4"/>
        <v>0.61</v>
      </c>
      <c r="AN76" s="1956">
        <f t="shared" si="7"/>
        <v>0.77</v>
      </c>
      <c r="AO76" s="1893">
        <v>14</v>
      </c>
      <c r="AP76" s="1872">
        <v>15</v>
      </c>
      <c r="AQ76" s="1979">
        <v>0.68</v>
      </c>
      <c r="AR76" s="1983"/>
    </row>
    <row r="77" spans="1:44">
      <c r="A77" s="1930"/>
      <c r="B77" s="1893">
        <v>15</v>
      </c>
      <c r="C77" s="1872">
        <v>16</v>
      </c>
      <c r="D77" s="1931">
        <v>0.06</v>
      </c>
      <c r="E77" s="1915">
        <v>0.14000000000000001</v>
      </c>
      <c r="F77" s="1930"/>
      <c r="G77" s="1893">
        <v>15</v>
      </c>
      <c r="H77" s="1872">
        <v>16</v>
      </c>
      <c r="I77" s="1931">
        <v>0.34</v>
      </c>
      <c r="J77" s="1915">
        <v>0.69</v>
      </c>
      <c r="K77" s="1930"/>
      <c r="L77" s="1893">
        <v>15</v>
      </c>
      <c r="M77" s="1872">
        <v>16</v>
      </c>
      <c r="N77" s="1931">
        <v>0.41</v>
      </c>
      <c r="O77" s="1915">
        <v>0.39</v>
      </c>
      <c r="P77" s="1930"/>
      <c r="Q77" s="1893">
        <v>15</v>
      </c>
      <c r="R77" s="1872">
        <v>16</v>
      </c>
      <c r="S77" s="1931">
        <v>0.3</v>
      </c>
      <c r="T77" s="1915">
        <v>0.43</v>
      </c>
      <c r="U77" s="1930"/>
      <c r="V77" s="1893"/>
      <c r="W77" s="1872"/>
      <c r="X77" s="1931"/>
      <c r="Y77" s="1915"/>
      <c r="Z77" s="1930"/>
      <c r="AA77" s="1893">
        <v>15</v>
      </c>
      <c r="AB77" s="1872">
        <v>16</v>
      </c>
      <c r="AC77" s="1931">
        <v>0.55000000000000004</v>
      </c>
      <c r="AD77" s="1915">
        <v>0.68</v>
      </c>
      <c r="AF77" s="1893">
        <v>15</v>
      </c>
      <c r="AG77" s="1872">
        <v>16</v>
      </c>
      <c r="AH77" s="1931">
        <v>1.57</v>
      </c>
      <c r="AI77" s="1915">
        <v>-3.2</v>
      </c>
      <c r="AK77" s="2075">
        <f t="shared" si="5"/>
        <v>0.41</v>
      </c>
      <c r="AL77" s="2076">
        <f t="shared" si="6"/>
        <v>0.3</v>
      </c>
      <c r="AM77" s="2076">
        <f t="shared" si="4"/>
        <v>0.55000000000000004</v>
      </c>
      <c r="AN77" s="1956">
        <f t="shared" si="7"/>
        <v>1.57</v>
      </c>
      <c r="AO77" s="1893">
        <v>15</v>
      </c>
      <c r="AP77" s="1872">
        <v>16</v>
      </c>
      <c r="AQ77" s="1979">
        <v>0.59</v>
      </c>
      <c r="AR77" s="1983"/>
    </row>
    <row r="78" spans="1:44">
      <c r="A78" s="1930"/>
      <c r="B78" s="1893">
        <v>16</v>
      </c>
      <c r="C78" s="1872">
        <v>17</v>
      </c>
      <c r="D78" s="1931">
        <v>0.59</v>
      </c>
      <c r="E78" s="1915">
        <v>1.4</v>
      </c>
      <c r="F78" s="1930"/>
      <c r="G78" s="1893">
        <v>16</v>
      </c>
      <c r="H78" s="1872">
        <v>17</v>
      </c>
      <c r="I78" s="1931">
        <v>0.28000000000000003</v>
      </c>
      <c r="J78" s="1915">
        <v>0.63</v>
      </c>
      <c r="K78" s="1930"/>
      <c r="L78" s="1893">
        <v>16</v>
      </c>
      <c r="M78" s="1872">
        <v>17</v>
      </c>
      <c r="N78" s="1931">
        <v>0.27</v>
      </c>
      <c r="O78" s="1915">
        <v>0.3</v>
      </c>
      <c r="P78" s="1930"/>
      <c r="Q78" s="1893">
        <v>16</v>
      </c>
      <c r="R78" s="1872">
        <v>17</v>
      </c>
      <c r="S78" s="1931">
        <v>0.25</v>
      </c>
      <c r="T78" s="1915">
        <v>0.37</v>
      </c>
      <c r="U78" s="1930"/>
      <c r="V78" s="1893"/>
      <c r="W78" s="1872"/>
      <c r="X78" s="1931"/>
      <c r="Y78" s="1915"/>
      <c r="Z78" s="1930"/>
      <c r="AA78" s="1893">
        <v>16</v>
      </c>
      <c r="AB78" s="1872">
        <v>17</v>
      </c>
      <c r="AC78" s="1931">
        <v>0.55000000000000004</v>
      </c>
      <c r="AD78" s="1915">
        <v>0.75</v>
      </c>
      <c r="AF78" s="1893">
        <v>16</v>
      </c>
      <c r="AG78" s="1872">
        <v>17</v>
      </c>
      <c r="AH78" s="1931">
        <v>0.37</v>
      </c>
      <c r="AI78" s="1915">
        <v>0.19</v>
      </c>
      <c r="AK78" s="2075">
        <f t="shared" si="5"/>
        <v>0.27</v>
      </c>
      <c r="AL78" s="2076">
        <f t="shared" si="6"/>
        <v>0.25</v>
      </c>
      <c r="AM78" s="2076">
        <f t="shared" si="4"/>
        <v>0.55000000000000004</v>
      </c>
      <c r="AN78" s="1956">
        <f t="shared" si="7"/>
        <v>0.37</v>
      </c>
      <c r="AO78" s="1893">
        <v>16</v>
      </c>
      <c r="AP78" s="1872">
        <v>17</v>
      </c>
      <c r="AQ78" s="1979">
        <v>0.52</v>
      </c>
      <c r="AR78" s="1983"/>
    </row>
    <row r="79" spans="1:44">
      <c r="A79" s="1930"/>
      <c r="B79" s="1894">
        <v>17</v>
      </c>
      <c r="C79" s="1895">
        <v>18</v>
      </c>
      <c r="D79" s="1932">
        <v>0.45</v>
      </c>
      <c r="E79" s="1916">
        <v>1.47</v>
      </c>
      <c r="F79" s="1930"/>
      <c r="G79" s="1894">
        <v>17</v>
      </c>
      <c r="H79" s="1895">
        <v>18</v>
      </c>
      <c r="I79" s="1932">
        <v>0.77</v>
      </c>
      <c r="J79" s="1916">
        <v>2.4300000000000002</v>
      </c>
      <c r="K79" s="1930"/>
      <c r="L79" s="1894">
        <v>17</v>
      </c>
      <c r="M79" s="1895">
        <v>18</v>
      </c>
      <c r="N79" s="1932">
        <v>1.5</v>
      </c>
      <c r="O79" s="1916">
        <v>1.82</v>
      </c>
      <c r="P79" s="1930"/>
      <c r="Q79" s="1894">
        <v>17</v>
      </c>
      <c r="R79" s="1895">
        <v>18</v>
      </c>
      <c r="S79" s="1932">
        <v>0.67</v>
      </c>
      <c r="T79" s="1916">
        <v>1.05</v>
      </c>
      <c r="U79" s="1930"/>
      <c r="V79" s="1894"/>
      <c r="W79" s="1895"/>
      <c r="X79" s="1932"/>
      <c r="Y79" s="1916"/>
      <c r="Z79" s="1930"/>
      <c r="AA79" s="1894">
        <v>17</v>
      </c>
      <c r="AB79" s="1895">
        <v>18</v>
      </c>
      <c r="AC79" s="1932">
        <v>0.56000000000000005</v>
      </c>
      <c r="AD79" s="1916">
        <v>0.86</v>
      </c>
      <c r="AF79" s="1894">
        <v>17</v>
      </c>
      <c r="AG79" s="1895">
        <v>18</v>
      </c>
      <c r="AH79" s="1932">
        <v>0.84</v>
      </c>
      <c r="AI79" s="1916">
        <v>1.1299999999999999</v>
      </c>
      <c r="AK79" s="2077">
        <f t="shared" si="5"/>
        <v>1.5</v>
      </c>
      <c r="AL79" s="2078">
        <f t="shared" si="6"/>
        <v>0.67</v>
      </c>
      <c r="AM79" s="2078">
        <f t="shared" si="4"/>
        <v>0.56000000000000005</v>
      </c>
      <c r="AN79" s="1959">
        <f t="shared" si="7"/>
        <v>0.84</v>
      </c>
      <c r="AO79" s="1894">
        <v>17</v>
      </c>
      <c r="AP79" s="1895">
        <v>18</v>
      </c>
      <c r="AQ79" s="1979">
        <v>0.28999999999999998</v>
      </c>
      <c r="AR79" s="1983"/>
    </row>
    <row r="80" spans="1:44">
      <c r="A80" s="1934"/>
      <c r="B80" s="1910">
        <v>18</v>
      </c>
      <c r="C80" s="1889">
        <v>19</v>
      </c>
      <c r="D80" s="1933">
        <v>0.71</v>
      </c>
      <c r="E80" s="1911">
        <v>2.35</v>
      </c>
      <c r="F80" s="1934"/>
      <c r="G80" s="1910">
        <v>18</v>
      </c>
      <c r="H80" s="1889">
        <v>19</v>
      </c>
      <c r="I80" s="1933">
        <v>0.39</v>
      </c>
      <c r="J80" s="1911">
        <v>1.3</v>
      </c>
      <c r="K80" s="1934"/>
      <c r="L80" s="1910">
        <v>18</v>
      </c>
      <c r="M80" s="1889">
        <v>19</v>
      </c>
      <c r="N80" s="1933">
        <v>0.39</v>
      </c>
      <c r="O80" s="1911">
        <v>0.69</v>
      </c>
      <c r="P80" s="1934"/>
      <c r="Q80" s="1910">
        <v>18</v>
      </c>
      <c r="R80" s="1889">
        <v>19</v>
      </c>
      <c r="S80" s="1933">
        <v>0.99</v>
      </c>
      <c r="T80" s="1911">
        <v>1.77</v>
      </c>
      <c r="U80" s="1934"/>
      <c r="V80" s="1910"/>
      <c r="W80" s="1889"/>
      <c r="X80" s="1933"/>
      <c r="Y80" s="1911"/>
      <c r="Z80" s="1934"/>
      <c r="AA80" s="1910">
        <v>18</v>
      </c>
      <c r="AB80" s="1889">
        <v>19</v>
      </c>
      <c r="AC80" s="1933">
        <v>0.89</v>
      </c>
      <c r="AD80" s="1911">
        <v>1.44</v>
      </c>
      <c r="AF80" s="1910">
        <v>18</v>
      </c>
      <c r="AG80" s="1889">
        <v>19</v>
      </c>
      <c r="AH80" s="1933">
        <v>0.43</v>
      </c>
      <c r="AI80" s="1911">
        <v>0.7</v>
      </c>
      <c r="AK80" s="2073">
        <f t="shared" si="5"/>
        <v>0.39</v>
      </c>
      <c r="AL80" s="2074">
        <f t="shared" si="6"/>
        <v>0.99</v>
      </c>
      <c r="AM80" s="2074">
        <f t="shared" si="4"/>
        <v>0.89</v>
      </c>
      <c r="AN80" s="1954">
        <f t="shared" si="7"/>
        <v>0.43</v>
      </c>
      <c r="AO80" s="1910">
        <v>18</v>
      </c>
      <c r="AP80" s="1889">
        <v>19</v>
      </c>
      <c r="AQ80" s="1979">
        <v>0.42</v>
      </c>
      <c r="AR80" s="1983"/>
    </row>
    <row r="81" spans="1:44">
      <c r="A81" s="1934"/>
      <c r="B81" s="1902">
        <v>19</v>
      </c>
      <c r="C81" s="1873">
        <v>20</v>
      </c>
      <c r="D81" s="1935">
        <v>0.53</v>
      </c>
      <c r="E81" s="1912">
        <v>1.7</v>
      </c>
      <c r="F81" s="1934"/>
      <c r="G81" s="1902">
        <v>19</v>
      </c>
      <c r="H81" s="1873">
        <v>20</v>
      </c>
      <c r="I81" s="1935">
        <v>0.38</v>
      </c>
      <c r="J81" s="1912">
        <v>1.17</v>
      </c>
      <c r="K81" s="1934"/>
      <c r="L81" s="1902">
        <v>19</v>
      </c>
      <c r="M81" s="1873">
        <v>20</v>
      </c>
      <c r="N81" s="1935">
        <v>0.32</v>
      </c>
      <c r="O81" s="1912">
        <v>0.65</v>
      </c>
      <c r="P81" s="1934"/>
      <c r="Q81" s="1902">
        <v>19</v>
      </c>
      <c r="R81" s="1873">
        <v>20</v>
      </c>
      <c r="S81" s="1935">
        <v>0.32</v>
      </c>
      <c r="T81" s="1912">
        <v>0.61</v>
      </c>
      <c r="U81" s="1934"/>
      <c r="V81" s="1902"/>
      <c r="W81" s="1873"/>
      <c r="X81" s="1935"/>
      <c r="Y81" s="1912"/>
      <c r="Z81" s="1934"/>
      <c r="AA81" s="1902">
        <v>19</v>
      </c>
      <c r="AB81" s="1873">
        <v>20</v>
      </c>
      <c r="AC81" s="1935">
        <v>0.56999999999999995</v>
      </c>
      <c r="AD81" s="1912">
        <v>1</v>
      </c>
      <c r="AF81" s="1902">
        <v>19</v>
      </c>
      <c r="AG81" s="1873">
        <v>20</v>
      </c>
      <c r="AH81" s="1935">
        <v>0.43</v>
      </c>
      <c r="AI81" s="1912">
        <v>0.74</v>
      </c>
      <c r="AK81" s="2075">
        <f t="shared" si="5"/>
        <v>0.32</v>
      </c>
      <c r="AL81" s="2076">
        <f t="shared" si="6"/>
        <v>0.32</v>
      </c>
      <c r="AM81" s="2076">
        <f t="shared" si="4"/>
        <v>0.56999999999999995</v>
      </c>
      <c r="AN81" s="1956">
        <f t="shared" si="7"/>
        <v>0.43</v>
      </c>
      <c r="AO81" s="1902">
        <v>19</v>
      </c>
      <c r="AP81" s="1873">
        <v>20</v>
      </c>
      <c r="AQ81" s="1979">
        <v>0.95</v>
      </c>
      <c r="AR81" s="1983"/>
    </row>
    <row r="82" spans="1:44">
      <c r="A82" s="1934"/>
      <c r="B82" s="1902">
        <v>20</v>
      </c>
      <c r="C82" s="1873">
        <v>21</v>
      </c>
      <c r="D82" s="1935">
        <v>0.4</v>
      </c>
      <c r="E82" s="1912">
        <v>0.86</v>
      </c>
      <c r="F82" s="1934"/>
      <c r="G82" s="1902">
        <v>20</v>
      </c>
      <c r="H82" s="1873">
        <v>21</v>
      </c>
      <c r="I82" s="1935">
        <v>0.28000000000000003</v>
      </c>
      <c r="J82" s="1912">
        <v>0.63</v>
      </c>
      <c r="K82" s="1934"/>
      <c r="L82" s="1902">
        <v>20</v>
      </c>
      <c r="M82" s="1873">
        <v>21</v>
      </c>
      <c r="N82" s="1935">
        <v>0.54</v>
      </c>
      <c r="O82" s="1912">
        <v>1.1100000000000001</v>
      </c>
      <c r="P82" s="1934"/>
      <c r="Q82" s="1902">
        <v>20</v>
      </c>
      <c r="R82" s="1873">
        <v>21</v>
      </c>
      <c r="S82" s="1935">
        <v>0.32</v>
      </c>
      <c r="T82" s="1912">
        <v>0.65</v>
      </c>
      <c r="U82" s="1934"/>
      <c r="V82" s="1902"/>
      <c r="W82" s="1873"/>
      <c r="X82" s="1935"/>
      <c r="Y82" s="1912"/>
      <c r="Z82" s="1934"/>
      <c r="AA82" s="1902">
        <v>20</v>
      </c>
      <c r="AB82" s="1873">
        <v>21</v>
      </c>
      <c r="AC82" s="1935">
        <v>0.5</v>
      </c>
      <c r="AD82" s="1912">
        <v>0.92</v>
      </c>
      <c r="AF82" s="1902">
        <v>20</v>
      </c>
      <c r="AG82" s="1873">
        <v>21</v>
      </c>
      <c r="AH82" s="1935">
        <v>0.37</v>
      </c>
      <c r="AI82" s="1912">
        <v>0.72</v>
      </c>
      <c r="AK82" s="2075">
        <f t="shared" si="5"/>
        <v>0.54</v>
      </c>
      <c r="AL82" s="2076">
        <f t="shared" si="6"/>
        <v>0.32</v>
      </c>
      <c r="AM82" s="2076">
        <f t="shared" si="4"/>
        <v>0.5</v>
      </c>
      <c r="AN82" s="1956">
        <f t="shared" si="7"/>
        <v>0.37</v>
      </c>
      <c r="AO82" s="1902">
        <v>20</v>
      </c>
      <c r="AP82" s="1873">
        <v>21</v>
      </c>
      <c r="AQ82" s="1979">
        <v>0.37</v>
      </c>
      <c r="AR82" s="1983"/>
    </row>
    <row r="83" spans="1:44">
      <c r="A83" s="1934"/>
      <c r="B83" s="1902">
        <v>21</v>
      </c>
      <c r="C83" s="1873">
        <v>22</v>
      </c>
      <c r="D83" s="1935">
        <v>0.27</v>
      </c>
      <c r="E83" s="1912">
        <v>0.57999999999999996</v>
      </c>
      <c r="F83" s="1934"/>
      <c r="G83" s="1902">
        <v>21</v>
      </c>
      <c r="H83" s="1873">
        <v>22</v>
      </c>
      <c r="I83" s="1935">
        <v>0.2</v>
      </c>
      <c r="J83" s="1912">
        <v>0.46</v>
      </c>
      <c r="K83" s="1934"/>
      <c r="L83" s="1902">
        <v>21</v>
      </c>
      <c r="M83" s="1873">
        <v>22</v>
      </c>
      <c r="N83" s="1935">
        <v>0.42</v>
      </c>
      <c r="O83" s="1912">
        <v>0.82</v>
      </c>
      <c r="P83" s="1934"/>
      <c r="Q83" s="1902">
        <v>21</v>
      </c>
      <c r="R83" s="1873">
        <v>22</v>
      </c>
      <c r="S83" s="1935">
        <v>0.25</v>
      </c>
      <c r="T83" s="1912">
        <v>0.48</v>
      </c>
      <c r="U83" s="1934"/>
      <c r="V83" s="1902"/>
      <c r="W83" s="1873"/>
      <c r="X83" s="1935"/>
      <c r="Y83" s="1912"/>
      <c r="Z83" s="1934"/>
      <c r="AA83" s="1902">
        <v>21</v>
      </c>
      <c r="AB83" s="1873">
        <v>22</v>
      </c>
      <c r="AC83" s="1935">
        <v>0.38</v>
      </c>
      <c r="AD83" s="1912">
        <v>0.67</v>
      </c>
      <c r="AF83" s="1902">
        <v>21</v>
      </c>
      <c r="AG83" s="1873">
        <v>22</v>
      </c>
      <c r="AH83" s="1935">
        <v>0.42</v>
      </c>
      <c r="AI83" s="1912">
        <v>0.81</v>
      </c>
      <c r="AK83" s="2075">
        <f t="shared" si="5"/>
        <v>0.42</v>
      </c>
      <c r="AL83" s="2076">
        <f t="shared" si="6"/>
        <v>0.25</v>
      </c>
      <c r="AM83" s="2076">
        <f t="shared" si="4"/>
        <v>0.38</v>
      </c>
      <c r="AN83" s="1956">
        <f t="shared" si="7"/>
        <v>0.42</v>
      </c>
      <c r="AO83" s="1902">
        <v>21</v>
      </c>
      <c r="AP83" s="1873">
        <v>22</v>
      </c>
      <c r="AQ83" s="1979">
        <v>0.49</v>
      </c>
      <c r="AR83" s="1983"/>
    </row>
    <row r="84" spans="1:44">
      <c r="A84" s="1934"/>
      <c r="B84" s="1902">
        <v>22</v>
      </c>
      <c r="C84" s="1873">
        <v>23</v>
      </c>
      <c r="D84" s="1935">
        <v>0.18</v>
      </c>
      <c r="E84" s="1912">
        <v>0.37</v>
      </c>
      <c r="F84" s="1934"/>
      <c r="G84" s="1902">
        <v>22</v>
      </c>
      <c r="H84" s="1873">
        <v>23</v>
      </c>
      <c r="I84" s="1935">
        <v>0.25</v>
      </c>
      <c r="J84" s="1912">
        <v>0.54</v>
      </c>
      <c r="K84" s="1934"/>
      <c r="L84" s="1902">
        <v>22</v>
      </c>
      <c r="M84" s="1873">
        <v>23</v>
      </c>
      <c r="N84" s="1935">
        <v>0.21</v>
      </c>
      <c r="O84" s="1912">
        <v>0.39</v>
      </c>
      <c r="P84" s="1934"/>
      <c r="Q84" s="1902">
        <v>22</v>
      </c>
      <c r="R84" s="1873">
        <v>23</v>
      </c>
      <c r="S84" s="1935">
        <v>0.14000000000000001</v>
      </c>
      <c r="T84" s="1912">
        <v>0.26</v>
      </c>
      <c r="U84" s="1934"/>
      <c r="V84" s="1902"/>
      <c r="W84" s="1873"/>
      <c r="X84" s="1935"/>
      <c r="Y84" s="1912"/>
      <c r="Z84" s="1934"/>
      <c r="AA84" s="1902">
        <v>22</v>
      </c>
      <c r="AB84" s="1873">
        <v>23</v>
      </c>
      <c r="AC84" s="1935">
        <v>0.36</v>
      </c>
      <c r="AD84" s="1912">
        <v>0.6</v>
      </c>
      <c r="AF84" s="1902">
        <v>22</v>
      </c>
      <c r="AG84" s="1873">
        <v>23</v>
      </c>
      <c r="AH84" s="1935">
        <v>0.39</v>
      </c>
      <c r="AI84" s="1912">
        <v>0.73</v>
      </c>
      <c r="AK84" s="2075">
        <f t="shared" si="5"/>
        <v>0.21</v>
      </c>
      <c r="AL84" s="2076">
        <f t="shared" si="6"/>
        <v>0.14000000000000001</v>
      </c>
      <c r="AM84" s="2076">
        <f t="shared" si="4"/>
        <v>0.36</v>
      </c>
      <c r="AN84" s="1956">
        <f t="shared" si="7"/>
        <v>0.39</v>
      </c>
      <c r="AO84" s="1902">
        <v>22</v>
      </c>
      <c r="AP84" s="1873">
        <v>23</v>
      </c>
      <c r="AQ84" s="1979">
        <v>0.44</v>
      </c>
      <c r="AR84" s="1983"/>
    </row>
    <row r="85" spans="1:44" ht="15" thickBot="1">
      <c r="A85" s="1934"/>
      <c r="B85" s="1902">
        <v>23</v>
      </c>
      <c r="C85" s="1873">
        <v>24</v>
      </c>
      <c r="D85" s="1935">
        <v>0.18</v>
      </c>
      <c r="E85" s="1912">
        <v>0.32</v>
      </c>
      <c r="F85" s="1934"/>
      <c r="G85" s="1902">
        <v>23</v>
      </c>
      <c r="H85" s="1873">
        <v>24</v>
      </c>
      <c r="I85" s="1935">
        <v>0.12</v>
      </c>
      <c r="J85" s="1912">
        <v>0.25</v>
      </c>
      <c r="K85" s="1934"/>
      <c r="L85" s="1902">
        <v>23</v>
      </c>
      <c r="M85" s="1873">
        <v>24</v>
      </c>
      <c r="N85" s="1935">
        <v>0.17</v>
      </c>
      <c r="O85" s="1912">
        <v>0.31</v>
      </c>
      <c r="P85" s="1934"/>
      <c r="Q85" s="1902">
        <v>23</v>
      </c>
      <c r="R85" s="1873">
        <v>24</v>
      </c>
      <c r="S85" s="1935">
        <v>0.15</v>
      </c>
      <c r="T85" s="1912">
        <v>0.26</v>
      </c>
      <c r="U85" s="1934"/>
      <c r="V85" s="1902"/>
      <c r="W85" s="1873"/>
      <c r="X85" s="1935"/>
      <c r="Y85" s="1912"/>
      <c r="Z85" s="1934"/>
      <c r="AA85" s="1902">
        <v>23</v>
      </c>
      <c r="AB85" s="1873">
        <v>24</v>
      </c>
      <c r="AC85" s="1935">
        <v>0.24</v>
      </c>
      <c r="AD85" s="1912">
        <v>0.39</v>
      </c>
      <c r="AF85" s="1902">
        <v>23</v>
      </c>
      <c r="AG85" s="1873">
        <v>24</v>
      </c>
      <c r="AH85" s="1935">
        <v>0.2</v>
      </c>
      <c r="AI85" s="1912">
        <v>0.37</v>
      </c>
      <c r="AK85" s="2077">
        <f t="shared" si="5"/>
        <v>0.17</v>
      </c>
      <c r="AL85" s="2078">
        <f t="shared" si="6"/>
        <v>0.15</v>
      </c>
      <c r="AM85" s="2078">
        <f t="shared" si="4"/>
        <v>0.24</v>
      </c>
      <c r="AN85" s="1959">
        <f t="shared" si="7"/>
        <v>0.2</v>
      </c>
      <c r="AO85" s="1902">
        <v>23</v>
      </c>
      <c r="AP85" s="1873">
        <v>24</v>
      </c>
      <c r="AQ85" s="1979">
        <v>0.44</v>
      </c>
      <c r="AR85" s="1983"/>
    </row>
    <row r="86" spans="1:44">
      <c r="B86" s="2765">
        <v>44960</v>
      </c>
      <c r="C86" s="2765"/>
      <c r="D86" s="1922">
        <f>SUM(D87:D110)</f>
        <v>5.07</v>
      </c>
      <c r="E86" s="1923">
        <f>SUM(E87:E110)</f>
        <v>9.9299999999999979</v>
      </c>
      <c r="G86" s="2773">
        <v>44988</v>
      </c>
      <c r="H86" s="2773"/>
      <c r="I86" s="1922">
        <f>SUM(I87:I110)</f>
        <v>7.24</v>
      </c>
      <c r="J86" s="1923">
        <f>SUM(J87:J110)</f>
        <v>15.019999999999998</v>
      </c>
      <c r="L86" s="2773">
        <v>45019</v>
      </c>
      <c r="M86" s="2773"/>
      <c r="N86" s="1936">
        <f>SUM(N87:N110)</f>
        <v>7.3999999999999995</v>
      </c>
      <c r="O86" s="1937">
        <f>SUM(O87:O110)</f>
        <v>41.53</v>
      </c>
      <c r="Q86" s="2765">
        <v>45049</v>
      </c>
      <c r="R86" s="2765"/>
      <c r="S86" s="1936">
        <f>SUM(S87:S110)</f>
        <v>7.8900000000000015</v>
      </c>
      <c r="T86" s="1937">
        <f>SUM(T87:T110)</f>
        <v>13.120000000000001</v>
      </c>
      <c r="V86" s="2766">
        <v>45049</v>
      </c>
      <c r="W86" s="2766"/>
      <c r="X86" s="1924"/>
      <c r="Y86" s="1925"/>
      <c r="AA86" s="2766">
        <v>45080</v>
      </c>
      <c r="AB86" s="2766"/>
      <c r="AC86" s="1936">
        <f>SUM(AC87:AC110)</f>
        <v>11.4</v>
      </c>
      <c r="AD86" s="1937">
        <f>SUM(AD87:AD110)</f>
        <v>14.979999999999999</v>
      </c>
      <c r="AF86" s="2766">
        <v>45110</v>
      </c>
      <c r="AG86" s="2766"/>
      <c r="AH86" s="1936">
        <f>SUM(AH87:AH110)</f>
        <v>8.17</v>
      </c>
      <c r="AI86" s="1937">
        <f>SUM(AI87:AI110)</f>
        <v>16.079999999999998</v>
      </c>
      <c r="AO86" s="2765">
        <v>45172</v>
      </c>
      <c r="AP86" s="2765"/>
      <c r="AQ86" s="1922">
        <f>SUM(AQ87:AQ110)</f>
        <v>10.729999999999999</v>
      </c>
      <c r="AR86" s="1923">
        <f>SUM(AR87:AR110)</f>
        <v>0</v>
      </c>
    </row>
    <row r="87" spans="1:44">
      <c r="A87" s="1927"/>
      <c r="B87" s="1883">
        <v>0</v>
      </c>
      <c r="C87" s="1871">
        <v>1</v>
      </c>
      <c r="D87" s="1926">
        <v>0.14000000000000001</v>
      </c>
      <c r="E87" s="1913">
        <v>0.26</v>
      </c>
      <c r="F87" s="1927"/>
      <c r="G87" s="1883">
        <v>0</v>
      </c>
      <c r="H87" s="1871">
        <v>1</v>
      </c>
      <c r="I87" s="1926">
        <v>0.08</v>
      </c>
      <c r="J87" s="1913">
        <v>0.17</v>
      </c>
      <c r="K87" s="1927"/>
      <c r="L87" s="1883">
        <v>0</v>
      </c>
      <c r="M87" s="1871">
        <v>1</v>
      </c>
      <c r="N87" s="1926">
        <v>0.14000000000000001</v>
      </c>
      <c r="O87" s="1913">
        <v>0.26</v>
      </c>
      <c r="P87" s="1927"/>
      <c r="Q87" s="1883">
        <v>0</v>
      </c>
      <c r="R87" s="1871">
        <v>1</v>
      </c>
      <c r="S87" s="1926">
        <v>0.14000000000000001</v>
      </c>
      <c r="T87" s="1913">
        <v>0.24</v>
      </c>
      <c r="U87" s="1927"/>
      <c r="V87" s="1883"/>
      <c r="W87" s="1871"/>
      <c r="X87" s="1926"/>
      <c r="Y87" s="1913"/>
      <c r="Z87" s="1927"/>
      <c r="AA87" s="1883">
        <v>0</v>
      </c>
      <c r="AB87" s="1871">
        <v>1</v>
      </c>
      <c r="AC87" s="1926">
        <v>0.3</v>
      </c>
      <c r="AD87" s="1913">
        <v>0.48</v>
      </c>
      <c r="AF87" s="1883">
        <v>0</v>
      </c>
      <c r="AG87" s="1871">
        <v>1</v>
      </c>
      <c r="AH87" s="1926">
        <v>0.13</v>
      </c>
      <c r="AI87" s="1913">
        <v>0.24</v>
      </c>
      <c r="AK87" s="2073">
        <f>N87</f>
        <v>0.14000000000000001</v>
      </c>
      <c r="AL87" s="2074">
        <f>S87</f>
        <v>0.14000000000000001</v>
      </c>
      <c r="AM87" s="2074">
        <f t="shared" ref="AM87:AM110" si="8">AC87</f>
        <v>0.3</v>
      </c>
      <c r="AN87" s="1954">
        <f>AH87</f>
        <v>0.13</v>
      </c>
      <c r="AO87" s="1883">
        <v>0</v>
      </c>
      <c r="AP87" s="1871">
        <v>1</v>
      </c>
      <c r="AQ87" s="1979">
        <v>0.26</v>
      </c>
      <c r="AR87" s="1983"/>
    </row>
    <row r="88" spans="1:44">
      <c r="A88" s="1927"/>
      <c r="B88" s="1883">
        <v>1</v>
      </c>
      <c r="C88" s="1871">
        <v>2</v>
      </c>
      <c r="D88" s="1926">
        <v>0.12</v>
      </c>
      <c r="E88" s="1913">
        <v>0.21</v>
      </c>
      <c r="F88" s="1927"/>
      <c r="G88" s="1883">
        <v>1</v>
      </c>
      <c r="H88" s="1871">
        <v>2</v>
      </c>
      <c r="I88" s="1926">
        <v>0.12</v>
      </c>
      <c r="J88" s="1913">
        <v>0.24</v>
      </c>
      <c r="K88" s="1927"/>
      <c r="L88" s="1883">
        <v>1</v>
      </c>
      <c r="M88" s="1871">
        <v>2</v>
      </c>
      <c r="N88" s="1926">
        <v>0.14000000000000001</v>
      </c>
      <c r="O88" s="1913">
        <v>0.26</v>
      </c>
      <c r="P88" s="1927"/>
      <c r="Q88" s="1883">
        <v>1</v>
      </c>
      <c r="R88" s="1871">
        <v>2</v>
      </c>
      <c r="S88" s="1926">
        <v>7.0000000000000007E-2</v>
      </c>
      <c r="T88" s="1913">
        <v>0.12</v>
      </c>
      <c r="U88" s="1927"/>
      <c r="V88" s="1883"/>
      <c r="W88" s="1871"/>
      <c r="X88" s="1926"/>
      <c r="Y88" s="1913"/>
      <c r="Z88" s="1927"/>
      <c r="AA88" s="1883">
        <v>1</v>
      </c>
      <c r="AB88" s="1871">
        <v>2</v>
      </c>
      <c r="AC88" s="1926">
        <v>0.26</v>
      </c>
      <c r="AD88" s="1913">
        <v>0.41</v>
      </c>
      <c r="AF88" s="1883">
        <v>1</v>
      </c>
      <c r="AG88" s="1871">
        <v>2</v>
      </c>
      <c r="AH88" s="1926">
        <v>0.18</v>
      </c>
      <c r="AI88" s="1913">
        <v>0.24</v>
      </c>
      <c r="AK88" s="2075">
        <f t="shared" ref="AK88:AK110" si="9">N88</f>
        <v>0.14000000000000001</v>
      </c>
      <c r="AL88" s="2076">
        <f t="shared" ref="AL88:AL110" si="10">S88</f>
        <v>7.0000000000000007E-2</v>
      </c>
      <c r="AM88" s="2076">
        <f t="shared" si="8"/>
        <v>0.26</v>
      </c>
      <c r="AN88" s="1956">
        <f t="shared" ref="AN88:AN110" si="11">AH88</f>
        <v>0.18</v>
      </c>
      <c r="AO88" s="1883">
        <v>1</v>
      </c>
      <c r="AP88" s="1871">
        <v>2</v>
      </c>
      <c r="AQ88" s="1979">
        <v>0.25</v>
      </c>
      <c r="AR88" s="1983"/>
    </row>
    <row r="89" spans="1:44">
      <c r="A89" s="1927"/>
      <c r="B89" s="1883">
        <v>2</v>
      </c>
      <c r="C89" s="1871">
        <v>3</v>
      </c>
      <c r="D89" s="1926">
        <v>0.12</v>
      </c>
      <c r="E89" s="1913">
        <v>0.2</v>
      </c>
      <c r="F89" s="1927"/>
      <c r="G89" s="1883">
        <v>2</v>
      </c>
      <c r="H89" s="1871">
        <v>3</v>
      </c>
      <c r="I89" s="1926">
        <v>0.13</v>
      </c>
      <c r="J89" s="1913">
        <v>0.26</v>
      </c>
      <c r="K89" s="1927"/>
      <c r="L89" s="1883">
        <v>2</v>
      </c>
      <c r="M89" s="1871">
        <v>3</v>
      </c>
      <c r="N89" s="1926">
        <v>0.13</v>
      </c>
      <c r="O89" s="1913">
        <v>0.24</v>
      </c>
      <c r="P89" s="1927"/>
      <c r="Q89" s="1883">
        <v>2</v>
      </c>
      <c r="R89" s="1871">
        <v>3</v>
      </c>
      <c r="S89" s="1926">
        <v>0.1</v>
      </c>
      <c r="T89" s="1913">
        <v>0.16</v>
      </c>
      <c r="U89" s="1927"/>
      <c r="V89" s="1883"/>
      <c r="W89" s="1871"/>
      <c r="X89" s="1926"/>
      <c r="Y89" s="1913"/>
      <c r="Z89" s="1927"/>
      <c r="AA89" s="1883">
        <v>2</v>
      </c>
      <c r="AB89" s="1871">
        <v>3</v>
      </c>
      <c r="AC89" s="1926">
        <v>0.31</v>
      </c>
      <c r="AD89" s="1913">
        <v>0.48</v>
      </c>
      <c r="AF89" s="1883">
        <v>2</v>
      </c>
      <c r="AG89" s="1871">
        <v>3</v>
      </c>
      <c r="AH89" s="1926">
        <v>0.15</v>
      </c>
      <c r="AI89" s="1913">
        <v>0.28000000000000003</v>
      </c>
      <c r="AK89" s="2075">
        <f t="shared" si="9"/>
        <v>0.13</v>
      </c>
      <c r="AL89" s="2076">
        <f t="shared" si="10"/>
        <v>0.1</v>
      </c>
      <c r="AM89" s="2076">
        <f t="shared" si="8"/>
        <v>0.31</v>
      </c>
      <c r="AN89" s="1956">
        <f t="shared" si="11"/>
        <v>0.15</v>
      </c>
      <c r="AO89" s="1883">
        <v>2</v>
      </c>
      <c r="AP89" s="1871">
        <v>3</v>
      </c>
      <c r="AQ89" s="1979">
        <v>0.28000000000000003</v>
      </c>
      <c r="AR89" s="1983"/>
    </row>
    <row r="90" spans="1:44">
      <c r="A90" s="1927"/>
      <c r="B90" s="1883">
        <v>3</v>
      </c>
      <c r="C90" s="1871">
        <v>4</v>
      </c>
      <c r="D90" s="1926">
        <v>0.1</v>
      </c>
      <c r="E90" s="1913">
        <v>0.16</v>
      </c>
      <c r="F90" s="1927"/>
      <c r="G90" s="1883">
        <v>3</v>
      </c>
      <c r="H90" s="1871">
        <v>4</v>
      </c>
      <c r="I90" s="1926">
        <v>0.13</v>
      </c>
      <c r="J90" s="1913">
        <v>0.26</v>
      </c>
      <c r="K90" s="1927"/>
      <c r="L90" s="1883">
        <v>3</v>
      </c>
      <c r="M90" s="1871">
        <v>4</v>
      </c>
      <c r="N90" s="1926">
        <v>0.11</v>
      </c>
      <c r="O90" s="1913">
        <v>0.2</v>
      </c>
      <c r="P90" s="1927"/>
      <c r="Q90" s="1883">
        <v>3</v>
      </c>
      <c r="R90" s="1871">
        <v>4</v>
      </c>
      <c r="S90" s="1926">
        <v>0.14000000000000001</v>
      </c>
      <c r="T90" s="1913">
        <v>0.22</v>
      </c>
      <c r="U90" s="1927"/>
      <c r="V90" s="1883"/>
      <c r="W90" s="1871"/>
      <c r="X90" s="1926"/>
      <c r="Y90" s="1913"/>
      <c r="Z90" s="1927"/>
      <c r="AA90" s="1883">
        <v>3</v>
      </c>
      <c r="AB90" s="1871">
        <v>4</v>
      </c>
      <c r="AC90" s="1926">
        <v>0.23</v>
      </c>
      <c r="AD90" s="1913">
        <v>0.35</v>
      </c>
      <c r="AF90" s="1883">
        <v>3</v>
      </c>
      <c r="AG90" s="1871">
        <v>4</v>
      </c>
      <c r="AH90" s="1926">
        <v>0.21</v>
      </c>
      <c r="AI90" s="1913">
        <v>0.37</v>
      </c>
      <c r="AK90" s="2075">
        <f t="shared" si="9"/>
        <v>0.11</v>
      </c>
      <c r="AL90" s="2076">
        <f t="shared" si="10"/>
        <v>0.14000000000000001</v>
      </c>
      <c r="AM90" s="2076">
        <f t="shared" si="8"/>
        <v>0.23</v>
      </c>
      <c r="AN90" s="1956">
        <f t="shared" si="11"/>
        <v>0.21</v>
      </c>
      <c r="AO90" s="1883">
        <v>3</v>
      </c>
      <c r="AP90" s="1871">
        <v>4</v>
      </c>
      <c r="AQ90" s="1979">
        <v>0.24</v>
      </c>
      <c r="AR90" s="1983"/>
    </row>
    <row r="91" spans="1:44">
      <c r="A91" s="1927"/>
      <c r="B91" s="1883">
        <v>4</v>
      </c>
      <c r="C91" s="1871">
        <v>5</v>
      </c>
      <c r="D91" s="1926">
        <v>0.08</v>
      </c>
      <c r="E91" s="1913">
        <v>0.13</v>
      </c>
      <c r="F91" s="1927"/>
      <c r="G91" s="1883">
        <v>4</v>
      </c>
      <c r="H91" s="1871">
        <v>5</v>
      </c>
      <c r="I91" s="1926">
        <v>0.09</v>
      </c>
      <c r="J91" s="1913">
        <v>0.18</v>
      </c>
      <c r="K91" s="1927"/>
      <c r="L91" s="1883">
        <v>4</v>
      </c>
      <c r="M91" s="1871">
        <v>5</v>
      </c>
      <c r="N91" s="1926">
        <v>0.09</v>
      </c>
      <c r="O91" s="1913">
        <v>0.16</v>
      </c>
      <c r="P91" s="1927"/>
      <c r="Q91" s="1883">
        <v>4</v>
      </c>
      <c r="R91" s="1871">
        <v>5</v>
      </c>
      <c r="S91" s="1926">
        <v>0.28000000000000003</v>
      </c>
      <c r="T91" s="1913">
        <v>0.45</v>
      </c>
      <c r="U91" s="1927"/>
      <c r="V91" s="1883"/>
      <c r="W91" s="1871"/>
      <c r="X91" s="1926"/>
      <c r="Y91" s="1913"/>
      <c r="Z91" s="1927"/>
      <c r="AA91" s="1883">
        <v>4</v>
      </c>
      <c r="AB91" s="1871">
        <v>5</v>
      </c>
      <c r="AC91" s="1926">
        <v>0.23</v>
      </c>
      <c r="AD91" s="1913">
        <v>0.36</v>
      </c>
      <c r="AF91" s="1883">
        <v>4</v>
      </c>
      <c r="AG91" s="1871">
        <v>5</v>
      </c>
      <c r="AH91" s="1926">
        <v>0.12</v>
      </c>
      <c r="AI91" s="1913">
        <v>0.21</v>
      </c>
      <c r="AK91" s="2075">
        <f t="shared" si="9"/>
        <v>0.09</v>
      </c>
      <c r="AL91" s="2076">
        <f t="shared" si="10"/>
        <v>0.28000000000000003</v>
      </c>
      <c r="AM91" s="2076">
        <f t="shared" si="8"/>
        <v>0.23</v>
      </c>
      <c r="AN91" s="1956">
        <f t="shared" si="11"/>
        <v>0.12</v>
      </c>
      <c r="AO91" s="1883">
        <v>4</v>
      </c>
      <c r="AP91" s="1871">
        <v>5</v>
      </c>
      <c r="AQ91" s="1979">
        <v>0.26</v>
      </c>
      <c r="AR91" s="1983"/>
    </row>
    <row r="92" spans="1:44">
      <c r="A92" s="1927"/>
      <c r="B92" s="1883">
        <v>5</v>
      </c>
      <c r="C92" s="1871">
        <v>6</v>
      </c>
      <c r="D92" s="1926">
        <v>0.12</v>
      </c>
      <c r="E92" s="1913">
        <v>0.2</v>
      </c>
      <c r="F92" s="1927"/>
      <c r="G92" s="1883">
        <v>5</v>
      </c>
      <c r="H92" s="1871">
        <v>6</v>
      </c>
      <c r="I92" s="1926">
        <v>0.09</v>
      </c>
      <c r="J92" s="1913">
        <v>0.19</v>
      </c>
      <c r="K92" s="1927"/>
      <c r="L92" s="1883">
        <v>5</v>
      </c>
      <c r="M92" s="1871">
        <v>6</v>
      </c>
      <c r="N92" s="1926">
        <v>7.0000000000000007E-2</v>
      </c>
      <c r="O92" s="1913">
        <v>0.13</v>
      </c>
      <c r="P92" s="1927"/>
      <c r="Q92" s="1883">
        <v>5</v>
      </c>
      <c r="R92" s="1871">
        <v>6</v>
      </c>
      <c r="S92" s="1926">
        <v>0.34</v>
      </c>
      <c r="T92" s="1913">
        <v>0.57999999999999996</v>
      </c>
      <c r="U92" s="1927"/>
      <c r="V92" s="1883"/>
      <c r="W92" s="1871"/>
      <c r="X92" s="1926"/>
      <c r="Y92" s="1913"/>
      <c r="Z92" s="1927"/>
      <c r="AA92" s="1883">
        <v>5</v>
      </c>
      <c r="AB92" s="1871">
        <v>6</v>
      </c>
      <c r="AC92" s="1926">
        <v>0.44</v>
      </c>
      <c r="AD92" s="1913">
        <v>0.68</v>
      </c>
      <c r="AF92" s="1883">
        <v>5</v>
      </c>
      <c r="AG92" s="1871">
        <v>6</v>
      </c>
      <c r="AH92" s="1926">
        <v>0.17</v>
      </c>
      <c r="AI92" s="1913">
        <v>0.31</v>
      </c>
      <c r="AK92" s="2075">
        <f t="shared" si="9"/>
        <v>7.0000000000000007E-2</v>
      </c>
      <c r="AL92" s="2076">
        <f t="shared" si="10"/>
        <v>0.34</v>
      </c>
      <c r="AM92" s="2076">
        <f t="shared" si="8"/>
        <v>0.44</v>
      </c>
      <c r="AN92" s="1956">
        <f t="shared" si="11"/>
        <v>0.17</v>
      </c>
      <c r="AO92" s="1883">
        <v>5</v>
      </c>
      <c r="AP92" s="1871">
        <v>6</v>
      </c>
      <c r="AQ92" s="1979">
        <v>0.22</v>
      </c>
      <c r="AR92" s="1983"/>
    </row>
    <row r="93" spans="1:44">
      <c r="A93" s="1927"/>
      <c r="B93" s="1883">
        <v>6</v>
      </c>
      <c r="C93" s="1871">
        <v>7</v>
      </c>
      <c r="D93" s="1926">
        <v>0.39</v>
      </c>
      <c r="E93" s="1913">
        <v>0.68</v>
      </c>
      <c r="F93" s="1927"/>
      <c r="G93" s="1883">
        <v>6</v>
      </c>
      <c r="H93" s="1871">
        <v>7</v>
      </c>
      <c r="I93" s="1926">
        <v>0.16</v>
      </c>
      <c r="J93" s="1913">
        <v>0.37</v>
      </c>
      <c r="K93" s="1927"/>
      <c r="L93" s="1883">
        <v>6</v>
      </c>
      <c r="M93" s="1871">
        <v>7</v>
      </c>
      <c r="N93" s="1926">
        <v>0.13</v>
      </c>
      <c r="O93" s="1913">
        <v>28</v>
      </c>
      <c r="P93" s="1927"/>
      <c r="Q93" s="1883">
        <v>6</v>
      </c>
      <c r="R93" s="1871">
        <v>7</v>
      </c>
      <c r="S93" s="1926">
        <v>0.28999999999999998</v>
      </c>
      <c r="T93" s="1913">
        <v>0.53</v>
      </c>
      <c r="U93" s="1927"/>
      <c r="V93" s="1883"/>
      <c r="W93" s="1871"/>
      <c r="X93" s="1926"/>
      <c r="Y93" s="1913"/>
      <c r="Z93" s="1927"/>
      <c r="AA93" s="1883">
        <v>6</v>
      </c>
      <c r="AB93" s="1871">
        <v>7</v>
      </c>
      <c r="AC93" s="1926">
        <v>0.6</v>
      </c>
      <c r="AD93" s="1913">
        <v>0.92</v>
      </c>
      <c r="AF93" s="1883">
        <v>6</v>
      </c>
      <c r="AG93" s="1871">
        <v>7</v>
      </c>
      <c r="AH93" s="1926">
        <v>0.22</v>
      </c>
      <c r="AI93" s="1913">
        <v>0.47</v>
      </c>
      <c r="AK93" s="2075">
        <f t="shared" si="9"/>
        <v>0.13</v>
      </c>
      <c r="AL93" s="2076">
        <f t="shared" si="10"/>
        <v>0.28999999999999998</v>
      </c>
      <c r="AM93" s="2076">
        <f t="shared" si="8"/>
        <v>0.6</v>
      </c>
      <c r="AN93" s="1956">
        <f t="shared" si="11"/>
        <v>0.22</v>
      </c>
      <c r="AO93" s="1883">
        <v>6</v>
      </c>
      <c r="AP93" s="1871">
        <v>7</v>
      </c>
      <c r="AQ93" s="1979">
        <v>0.28999999999999998</v>
      </c>
      <c r="AR93" s="1983"/>
    </row>
    <row r="94" spans="1:44">
      <c r="A94" s="1927"/>
      <c r="B94" s="1908">
        <v>7</v>
      </c>
      <c r="C94" s="1909">
        <v>8</v>
      </c>
      <c r="D94" s="1928">
        <v>0.32</v>
      </c>
      <c r="E94" s="1917">
        <v>0.57999999999999996</v>
      </c>
      <c r="F94" s="1927"/>
      <c r="G94" s="1908">
        <v>7</v>
      </c>
      <c r="H94" s="1909">
        <v>8</v>
      </c>
      <c r="I94" s="1928">
        <v>0.23</v>
      </c>
      <c r="J94" s="1917">
        <v>0.59</v>
      </c>
      <c r="K94" s="1927"/>
      <c r="L94" s="1908">
        <v>7</v>
      </c>
      <c r="M94" s="1909">
        <v>8</v>
      </c>
      <c r="N94" s="1928">
        <v>0.17</v>
      </c>
      <c r="O94" s="1917">
        <v>0.41</v>
      </c>
      <c r="P94" s="1927"/>
      <c r="Q94" s="1908">
        <v>7</v>
      </c>
      <c r="R94" s="1909">
        <v>8</v>
      </c>
      <c r="S94" s="1928">
        <v>0.09</v>
      </c>
      <c r="T94" s="1917">
        <v>0.17</v>
      </c>
      <c r="U94" s="1927"/>
      <c r="V94" s="1908"/>
      <c r="W94" s="1909"/>
      <c r="X94" s="1928"/>
      <c r="Y94" s="1917"/>
      <c r="Z94" s="1927"/>
      <c r="AA94" s="1908">
        <v>7</v>
      </c>
      <c r="AB94" s="1909">
        <v>8</v>
      </c>
      <c r="AC94" s="1928">
        <v>0.51</v>
      </c>
      <c r="AD94" s="1917">
        <v>0.77</v>
      </c>
      <c r="AF94" s="1908">
        <v>7</v>
      </c>
      <c r="AG94" s="1909">
        <v>8</v>
      </c>
      <c r="AH94" s="1928">
        <v>0.69</v>
      </c>
      <c r="AI94" s="1917">
        <v>1.51</v>
      </c>
      <c r="AK94" s="2077">
        <f t="shared" si="9"/>
        <v>0.17</v>
      </c>
      <c r="AL94" s="2078">
        <f t="shared" si="10"/>
        <v>0.09</v>
      </c>
      <c r="AM94" s="2078">
        <f t="shared" si="8"/>
        <v>0.51</v>
      </c>
      <c r="AN94" s="1959">
        <f t="shared" si="11"/>
        <v>0.69</v>
      </c>
      <c r="AO94" s="1908">
        <v>7</v>
      </c>
      <c r="AP94" s="1909">
        <v>8</v>
      </c>
      <c r="AQ94" s="1979">
        <v>0.36</v>
      </c>
      <c r="AR94" s="1983"/>
    </row>
    <row r="95" spans="1:44">
      <c r="A95" s="1930"/>
      <c r="B95" s="1890">
        <v>8</v>
      </c>
      <c r="C95" s="1891">
        <v>9</v>
      </c>
      <c r="D95" s="1929">
        <v>0.19</v>
      </c>
      <c r="E95" s="1914">
        <v>0.35</v>
      </c>
      <c r="F95" s="1930"/>
      <c r="G95" s="1890">
        <v>8</v>
      </c>
      <c r="H95" s="1891">
        <v>9</v>
      </c>
      <c r="I95" s="1929">
        <v>0.3</v>
      </c>
      <c r="J95" s="1914">
        <v>0.79</v>
      </c>
      <c r="K95" s="1930"/>
      <c r="L95" s="1890">
        <v>8</v>
      </c>
      <c r="M95" s="1891">
        <v>9</v>
      </c>
      <c r="N95" s="1929">
        <v>0.26</v>
      </c>
      <c r="O95" s="1914">
        <v>0.61</v>
      </c>
      <c r="P95" s="1930"/>
      <c r="Q95" s="1890">
        <v>8</v>
      </c>
      <c r="R95" s="1891">
        <v>9</v>
      </c>
      <c r="S95" s="1929">
        <v>0.15</v>
      </c>
      <c r="T95" s="1914">
        <v>0.28000000000000003</v>
      </c>
      <c r="U95" s="1930"/>
      <c r="V95" s="1890"/>
      <c r="W95" s="1891"/>
      <c r="X95" s="1929"/>
      <c r="Y95" s="1914"/>
      <c r="Z95" s="1930"/>
      <c r="AA95" s="1890">
        <v>8</v>
      </c>
      <c r="AB95" s="1891">
        <v>9</v>
      </c>
      <c r="AC95" s="1929">
        <v>0.52</v>
      </c>
      <c r="AD95" s="1914">
        <v>0.76</v>
      </c>
      <c r="AF95" s="1890">
        <v>8</v>
      </c>
      <c r="AG95" s="1891">
        <v>9</v>
      </c>
      <c r="AH95" s="1929">
        <v>0.34</v>
      </c>
      <c r="AI95" s="1914">
        <v>0.75</v>
      </c>
      <c r="AK95" s="2073">
        <f t="shared" si="9"/>
        <v>0.26</v>
      </c>
      <c r="AL95" s="2074">
        <f t="shared" si="10"/>
        <v>0.15</v>
      </c>
      <c r="AM95" s="2074">
        <f t="shared" si="8"/>
        <v>0.52</v>
      </c>
      <c r="AN95" s="1954">
        <f t="shared" si="11"/>
        <v>0.34</v>
      </c>
      <c r="AO95" s="1890">
        <v>8</v>
      </c>
      <c r="AP95" s="1891">
        <v>9</v>
      </c>
      <c r="AQ95" s="1979">
        <v>0.25</v>
      </c>
      <c r="AR95" s="1983"/>
    </row>
    <row r="96" spans="1:44">
      <c r="A96" s="1930"/>
      <c r="B96" s="1893">
        <v>9</v>
      </c>
      <c r="C96" s="1872">
        <v>10</v>
      </c>
      <c r="D96" s="1931">
        <v>0.2</v>
      </c>
      <c r="E96" s="1915">
        <v>0.36</v>
      </c>
      <c r="F96" s="1930"/>
      <c r="G96" s="1893">
        <v>9</v>
      </c>
      <c r="H96" s="1872">
        <v>10</v>
      </c>
      <c r="I96" s="1931">
        <v>0.34</v>
      </c>
      <c r="J96" s="1915">
        <v>0.81</v>
      </c>
      <c r="K96" s="1930"/>
      <c r="L96" s="1893">
        <v>9</v>
      </c>
      <c r="M96" s="1872">
        <v>10</v>
      </c>
      <c r="N96" s="1931">
        <v>0.17</v>
      </c>
      <c r="O96" s="1915">
        <v>0.34</v>
      </c>
      <c r="P96" s="1930"/>
      <c r="Q96" s="1893">
        <v>9</v>
      </c>
      <c r="R96" s="1872">
        <v>10</v>
      </c>
      <c r="S96" s="1931">
        <v>0.91</v>
      </c>
      <c r="T96" s="1915">
        <v>1.56</v>
      </c>
      <c r="U96" s="1930"/>
      <c r="V96" s="1893"/>
      <c r="W96" s="1872"/>
      <c r="X96" s="1931"/>
      <c r="Y96" s="1915"/>
      <c r="Z96" s="1930"/>
      <c r="AA96" s="1893">
        <v>9</v>
      </c>
      <c r="AB96" s="1872">
        <v>10</v>
      </c>
      <c r="AC96" s="1931">
        <v>0.56000000000000005</v>
      </c>
      <c r="AD96" s="1915">
        <v>0.77</v>
      </c>
      <c r="AF96" s="1893">
        <v>9</v>
      </c>
      <c r="AG96" s="1872">
        <v>10</v>
      </c>
      <c r="AH96" s="1931">
        <v>0.33</v>
      </c>
      <c r="AI96" s="1915">
        <v>0.73</v>
      </c>
      <c r="AK96" s="2075">
        <f t="shared" si="9"/>
        <v>0.17</v>
      </c>
      <c r="AL96" s="2076">
        <f t="shared" si="10"/>
        <v>0.91</v>
      </c>
      <c r="AM96" s="2076">
        <f t="shared" si="8"/>
        <v>0.56000000000000005</v>
      </c>
      <c r="AN96" s="1956">
        <f t="shared" si="11"/>
        <v>0.33</v>
      </c>
      <c r="AO96" s="1893">
        <v>9</v>
      </c>
      <c r="AP96" s="1872">
        <v>10</v>
      </c>
      <c r="AQ96" s="1979">
        <v>0.24</v>
      </c>
      <c r="AR96" s="1983"/>
    </row>
    <row r="97" spans="1:44">
      <c r="A97" s="1930"/>
      <c r="B97" s="1893">
        <v>10</v>
      </c>
      <c r="C97" s="1872">
        <v>11</v>
      </c>
      <c r="D97" s="1931">
        <v>0.32</v>
      </c>
      <c r="E97" s="1915">
        <v>0.55000000000000004</v>
      </c>
      <c r="F97" s="1930"/>
      <c r="G97" s="1893">
        <v>10</v>
      </c>
      <c r="H97" s="1872">
        <v>11</v>
      </c>
      <c r="I97" s="1931">
        <v>0.49</v>
      </c>
      <c r="J97" s="1915">
        <v>1</v>
      </c>
      <c r="K97" s="1930"/>
      <c r="L97" s="1893">
        <v>10</v>
      </c>
      <c r="M97" s="1872">
        <v>11</v>
      </c>
      <c r="N97" s="1931">
        <v>0.37</v>
      </c>
      <c r="O97" s="1915">
        <v>0.66</v>
      </c>
      <c r="P97" s="1930"/>
      <c r="Q97" s="1893">
        <v>10</v>
      </c>
      <c r="R97" s="1872">
        <v>11</v>
      </c>
      <c r="S97" s="1931">
        <v>0.79</v>
      </c>
      <c r="T97" s="1915">
        <v>1.22</v>
      </c>
      <c r="U97" s="1930"/>
      <c r="V97" s="1893"/>
      <c r="W97" s="1872"/>
      <c r="X97" s="1931"/>
      <c r="Y97" s="1915"/>
      <c r="Z97" s="1930"/>
      <c r="AA97" s="1893">
        <v>10</v>
      </c>
      <c r="AB97" s="1872">
        <v>11</v>
      </c>
      <c r="AC97" s="1931">
        <v>0.55000000000000004</v>
      </c>
      <c r="AD97" s="1915">
        <v>0.59</v>
      </c>
      <c r="AF97" s="1893">
        <v>10</v>
      </c>
      <c r="AG97" s="1872">
        <v>11</v>
      </c>
      <c r="AH97" s="1931">
        <v>0.24</v>
      </c>
      <c r="AI97" s="1915">
        <v>0.4</v>
      </c>
      <c r="AK97" s="2075">
        <f t="shared" si="9"/>
        <v>0.37</v>
      </c>
      <c r="AL97" s="2076">
        <f t="shared" si="10"/>
        <v>0.79</v>
      </c>
      <c r="AM97" s="2076">
        <f t="shared" si="8"/>
        <v>0.55000000000000004</v>
      </c>
      <c r="AN97" s="1956">
        <f t="shared" si="11"/>
        <v>0.24</v>
      </c>
      <c r="AO97" s="1893">
        <v>10</v>
      </c>
      <c r="AP97" s="1872">
        <v>11</v>
      </c>
      <c r="AQ97" s="1979">
        <v>0.4</v>
      </c>
      <c r="AR97" s="1983"/>
    </row>
    <row r="98" spans="1:44">
      <c r="A98" s="1930"/>
      <c r="B98" s="1893">
        <v>11</v>
      </c>
      <c r="C98" s="1872">
        <v>12</v>
      </c>
      <c r="D98" s="1931">
        <v>0.17</v>
      </c>
      <c r="E98" s="1915">
        <v>0.3</v>
      </c>
      <c r="F98" s="1930"/>
      <c r="G98" s="1893">
        <v>11</v>
      </c>
      <c r="H98" s="1872">
        <v>12</v>
      </c>
      <c r="I98" s="1931">
        <v>0.8</v>
      </c>
      <c r="J98" s="1915">
        <v>1.57</v>
      </c>
      <c r="K98" s="1930"/>
      <c r="L98" s="1893">
        <v>11</v>
      </c>
      <c r="M98" s="1872">
        <v>12</v>
      </c>
      <c r="N98" s="1931">
        <v>0.28999999999999998</v>
      </c>
      <c r="O98" s="1915">
        <v>0.48</v>
      </c>
      <c r="P98" s="1930"/>
      <c r="Q98" s="1893">
        <v>11</v>
      </c>
      <c r="R98" s="1872">
        <v>12</v>
      </c>
      <c r="S98" s="1931">
        <v>0.33</v>
      </c>
      <c r="T98" s="1915">
        <v>0.49</v>
      </c>
      <c r="U98" s="1930"/>
      <c r="V98" s="1893"/>
      <c r="W98" s="1872"/>
      <c r="X98" s="1931"/>
      <c r="Y98" s="1915"/>
      <c r="Z98" s="1930"/>
      <c r="AA98" s="1893">
        <v>11</v>
      </c>
      <c r="AB98" s="1872">
        <v>12</v>
      </c>
      <c r="AC98" s="1931">
        <v>0.68</v>
      </c>
      <c r="AD98" s="1915">
        <v>0.59</v>
      </c>
      <c r="AF98" s="1893">
        <v>11</v>
      </c>
      <c r="AG98" s="1872">
        <v>12</v>
      </c>
      <c r="AH98" s="1931">
        <v>0.42</v>
      </c>
      <c r="AI98" s="1915">
        <v>0.7</v>
      </c>
      <c r="AK98" s="2075">
        <f t="shared" si="9"/>
        <v>0.28999999999999998</v>
      </c>
      <c r="AL98" s="2076">
        <f t="shared" si="10"/>
        <v>0.33</v>
      </c>
      <c r="AM98" s="2076">
        <f t="shared" si="8"/>
        <v>0.68</v>
      </c>
      <c r="AN98" s="1956">
        <f t="shared" si="11"/>
        <v>0.42</v>
      </c>
      <c r="AO98" s="1893">
        <v>11</v>
      </c>
      <c r="AP98" s="1872">
        <v>12</v>
      </c>
      <c r="AQ98" s="1979">
        <v>0.51</v>
      </c>
      <c r="AR98" s="1983"/>
    </row>
    <row r="99" spans="1:44">
      <c r="A99" s="1930"/>
      <c r="B99" s="1893">
        <v>12</v>
      </c>
      <c r="C99" s="1872">
        <v>13</v>
      </c>
      <c r="D99" s="1931">
        <v>0.09</v>
      </c>
      <c r="E99" s="1915">
        <v>0.16</v>
      </c>
      <c r="F99" s="1930"/>
      <c r="G99" s="1893">
        <v>12</v>
      </c>
      <c r="H99" s="1872">
        <v>13</v>
      </c>
      <c r="I99" s="1931">
        <v>0.37</v>
      </c>
      <c r="J99" s="1915">
        <v>0.69</v>
      </c>
      <c r="K99" s="1930"/>
      <c r="L99" s="1893">
        <v>12</v>
      </c>
      <c r="M99" s="1872">
        <v>13</v>
      </c>
      <c r="N99" s="1931">
        <v>0.82</v>
      </c>
      <c r="O99" s="1915">
        <v>1.29</v>
      </c>
      <c r="P99" s="1930"/>
      <c r="Q99" s="1893">
        <v>12</v>
      </c>
      <c r="R99" s="1872">
        <v>13</v>
      </c>
      <c r="S99" s="1931">
        <v>0.22</v>
      </c>
      <c r="T99" s="1915">
        <v>0.31</v>
      </c>
      <c r="U99" s="1930"/>
      <c r="V99" s="1893"/>
      <c r="W99" s="1872"/>
      <c r="X99" s="1931"/>
      <c r="Y99" s="1915"/>
      <c r="Z99" s="1930"/>
      <c r="AA99" s="1893">
        <v>12</v>
      </c>
      <c r="AB99" s="1872">
        <v>13</v>
      </c>
      <c r="AC99" s="1931">
        <v>0.57999999999999996</v>
      </c>
      <c r="AD99" s="1915">
        <v>0.47</v>
      </c>
      <c r="AF99" s="1893">
        <v>12</v>
      </c>
      <c r="AG99" s="1872">
        <v>13</v>
      </c>
      <c r="AH99" s="1931">
        <v>0.42</v>
      </c>
      <c r="AI99" s="1915">
        <v>0.69</v>
      </c>
      <c r="AK99" s="2075">
        <f t="shared" si="9"/>
        <v>0.82</v>
      </c>
      <c r="AL99" s="2076">
        <f t="shared" si="10"/>
        <v>0.22</v>
      </c>
      <c r="AM99" s="2076">
        <f t="shared" si="8"/>
        <v>0.57999999999999996</v>
      </c>
      <c r="AN99" s="1956">
        <f t="shared" si="11"/>
        <v>0.42</v>
      </c>
      <c r="AO99" s="1893">
        <v>12</v>
      </c>
      <c r="AP99" s="1872">
        <v>13</v>
      </c>
      <c r="AQ99" s="1979">
        <v>0.48</v>
      </c>
      <c r="AR99" s="1983"/>
    </row>
    <row r="100" spans="1:44">
      <c r="A100" s="1930"/>
      <c r="B100" s="1893">
        <v>13</v>
      </c>
      <c r="C100" s="1872">
        <v>14</v>
      </c>
      <c r="D100" s="1931">
        <v>0.08</v>
      </c>
      <c r="E100" s="1915">
        <v>0.14000000000000001</v>
      </c>
      <c r="F100" s="1930"/>
      <c r="G100" s="1893">
        <v>13</v>
      </c>
      <c r="H100" s="1872">
        <v>14</v>
      </c>
      <c r="I100" s="1931">
        <v>0.25</v>
      </c>
      <c r="J100" s="1915">
        <v>0.45</v>
      </c>
      <c r="K100" s="1930"/>
      <c r="L100" s="1893">
        <v>13</v>
      </c>
      <c r="M100" s="1872">
        <v>14</v>
      </c>
      <c r="N100" s="1931">
        <v>0.54</v>
      </c>
      <c r="O100" s="1915">
        <v>0.82</v>
      </c>
      <c r="P100" s="1930"/>
      <c r="Q100" s="1893">
        <v>13</v>
      </c>
      <c r="R100" s="1872">
        <v>14</v>
      </c>
      <c r="S100" s="1931">
        <v>0.32</v>
      </c>
      <c r="T100" s="1915">
        <v>0.46</v>
      </c>
      <c r="U100" s="1930"/>
      <c r="V100" s="1893"/>
      <c r="W100" s="1872"/>
      <c r="X100" s="1931"/>
      <c r="Y100" s="1915"/>
      <c r="Z100" s="1930"/>
      <c r="AA100" s="1893">
        <v>13</v>
      </c>
      <c r="AB100" s="1872">
        <v>14</v>
      </c>
      <c r="AC100" s="1931">
        <v>0.48</v>
      </c>
      <c r="AD100" s="1915">
        <v>0.37</v>
      </c>
      <c r="AF100" s="1893">
        <v>13</v>
      </c>
      <c r="AG100" s="1872">
        <v>14</v>
      </c>
      <c r="AH100" s="1931">
        <v>0.35</v>
      </c>
      <c r="AI100" s="1915">
        <v>0.56999999999999995</v>
      </c>
      <c r="AK100" s="2075">
        <f t="shared" si="9"/>
        <v>0.54</v>
      </c>
      <c r="AL100" s="2076">
        <f t="shared" si="10"/>
        <v>0.32</v>
      </c>
      <c r="AM100" s="2076">
        <f t="shared" si="8"/>
        <v>0.48</v>
      </c>
      <c r="AN100" s="1956">
        <f t="shared" si="11"/>
        <v>0.35</v>
      </c>
      <c r="AO100" s="1893">
        <v>13</v>
      </c>
      <c r="AP100" s="1872">
        <v>14</v>
      </c>
      <c r="AQ100" s="1979">
        <v>0.32</v>
      </c>
      <c r="AR100" s="1983"/>
    </row>
    <row r="101" spans="1:44">
      <c r="A101" s="1930"/>
      <c r="B101" s="1893">
        <v>14</v>
      </c>
      <c r="C101" s="1872">
        <v>15</v>
      </c>
      <c r="D101" s="1931">
        <v>0.2</v>
      </c>
      <c r="E101" s="1915">
        <v>0.36</v>
      </c>
      <c r="F101" s="1930"/>
      <c r="G101" s="1893">
        <v>14</v>
      </c>
      <c r="H101" s="1872">
        <v>15</v>
      </c>
      <c r="I101" s="1931">
        <v>0.37</v>
      </c>
      <c r="J101" s="1915">
        <v>0.63</v>
      </c>
      <c r="K101" s="1930"/>
      <c r="L101" s="1893">
        <v>14</v>
      </c>
      <c r="M101" s="1872">
        <v>15</v>
      </c>
      <c r="N101" s="1931">
        <v>0.13</v>
      </c>
      <c r="O101" s="1915">
        <v>0.19</v>
      </c>
      <c r="P101" s="1930"/>
      <c r="Q101" s="1893">
        <v>14</v>
      </c>
      <c r="R101" s="1872">
        <v>15</v>
      </c>
      <c r="S101" s="1931">
        <v>0.21</v>
      </c>
      <c r="T101" s="1915">
        <v>0.28999999999999998</v>
      </c>
      <c r="U101" s="1930"/>
      <c r="V101" s="1893"/>
      <c r="W101" s="1872"/>
      <c r="X101" s="1931"/>
      <c r="Y101" s="1915"/>
      <c r="Z101" s="1930"/>
      <c r="AA101" s="1893">
        <v>14</v>
      </c>
      <c r="AB101" s="1872">
        <v>15</v>
      </c>
      <c r="AC101" s="1931">
        <v>0.48</v>
      </c>
      <c r="AD101" s="1915">
        <v>0.38</v>
      </c>
      <c r="AF101" s="1893">
        <v>14</v>
      </c>
      <c r="AG101" s="1872">
        <v>15</v>
      </c>
      <c r="AH101" s="1931">
        <v>0.42</v>
      </c>
      <c r="AI101" s="1915">
        <v>0.68</v>
      </c>
      <c r="AK101" s="2075">
        <f t="shared" si="9"/>
        <v>0.13</v>
      </c>
      <c r="AL101" s="2076">
        <f t="shared" si="10"/>
        <v>0.21</v>
      </c>
      <c r="AM101" s="2076">
        <f t="shared" si="8"/>
        <v>0.48</v>
      </c>
      <c r="AN101" s="1956">
        <f t="shared" si="11"/>
        <v>0.42</v>
      </c>
      <c r="AO101" s="1893">
        <v>14</v>
      </c>
      <c r="AP101" s="1872">
        <v>15</v>
      </c>
      <c r="AQ101" s="1979">
        <v>0.57999999999999996</v>
      </c>
      <c r="AR101" s="1983"/>
    </row>
    <row r="102" spans="1:44">
      <c r="A102" s="1930"/>
      <c r="B102" s="1893">
        <v>15</v>
      </c>
      <c r="C102" s="1872">
        <v>16</v>
      </c>
      <c r="D102" s="1931">
        <v>0.28999999999999998</v>
      </c>
      <c r="E102" s="1915">
        <v>0.51</v>
      </c>
      <c r="F102" s="1930"/>
      <c r="G102" s="1893">
        <v>15</v>
      </c>
      <c r="H102" s="1872">
        <v>16</v>
      </c>
      <c r="I102" s="1931">
        <v>0.37</v>
      </c>
      <c r="J102" s="1915">
        <v>0.62</v>
      </c>
      <c r="K102" s="1930"/>
      <c r="L102" s="1893">
        <v>15</v>
      </c>
      <c r="M102" s="1872">
        <v>16</v>
      </c>
      <c r="N102" s="1931">
        <v>0.19</v>
      </c>
      <c r="O102" s="1915">
        <v>0.3</v>
      </c>
      <c r="P102" s="1930"/>
      <c r="Q102" s="1893">
        <v>15</v>
      </c>
      <c r="R102" s="1872">
        <v>16</v>
      </c>
      <c r="S102" s="1931">
        <v>0.3</v>
      </c>
      <c r="T102" s="1915">
        <v>0.41</v>
      </c>
      <c r="U102" s="1930"/>
      <c r="V102" s="1893"/>
      <c r="W102" s="1872"/>
      <c r="X102" s="1931"/>
      <c r="Y102" s="1915"/>
      <c r="Z102" s="1930"/>
      <c r="AA102" s="1893">
        <v>15</v>
      </c>
      <c r="AB102" s="1872">
        <v>16</v>
      </c>
      <c r="AC102" s="1931">
        <v>0.45</v>
      </c>
      <c r="AD102" s="1915">
        <v>0.37</v>
      </c>
      <c r="AF102" s="1893">
        <v>15</v>
      </c>
      <c r="AG102" s="1872">
        <v>16</v>
      </c>
      <c r="AH102" s="1931">
        <v>0.38</v>
      </c>
      <c r="AI102" s="1915">
        <v>0.93</v>
      </c>
      <c r="AK102" s="2075">
        <f t="shared" si="9"/>
        <v>0.19</v>
      </c>
      <c r="AL102" s="2076">
        <f t="shared" si="10"/>
        <v>0.3</v>
      </c>
      <c r="AM102" s="2076">
        <f t="shared" si="8"/>
        <v>0.45</v>
      </c>
      <c r="AN102" s="1956">
        <f t="shared" si="11"/>
        <v>0.38</v>
      </c>
      <c r="AO102" s="1893">
        <v>15</v>
      </c>
      <c r="AP102" s="1872">
        <v>16</v>
      </c>
      <c r="AQ102" s="1979">
        <v>0.52</v>
      </c>
      <c r="AR102" s="1983"/>
    </row>
    <row r="103" spans="1:44">
      <c r="A103" s="1930"/>
      <c r="B103" s="1893">
        <v>16</v>
      </c>
      <c r="C103" s="1872">
        <v>17</v>
      </c>
      <c r="D103" s="1931">
        <v>0.25</v>
      </c>
      <c r="E103" s="1915">
        <v>0.46</v>
      </c>
      <c r="F103" s="1930"/>
      <c r="G103" s="1893">
        <v>16</v>
      </c>
      <c r="H103" s="1872">
        <v>17</v>
      </c>
      <c r="I103" s="1931">
        <v>0.41</v>
      </c>
      <c r="J103" s="1915">
        <v>0.69</v>
      </c>
      <c r="K103" s="1930"/>
      <c r="L103" s="1893">
        <v>16</v>
      </c>
      <c r="M103" s="1872">
        <v>17</v>
      </c>
      <c r="N103" s="1931">
        <v>0.44</v>
      </c>
      <c r="O103" s="1915">
        <v>0.7</v>
      </c>
      <c r="P103" s="1930"/>
      <c r="Q103" s="1893">
        <v>16</v>
      </c>
      <c r="R103" s="1872">
        <v>17</v>
      </c>
      <c r="S103" s="1931">
        <v>0.43</v>
      </c>
      <c r="T103" s="1915">
        <v>0.63</v>
      </c>
      <c r="U103" s="1930"/>
      <c r="V103" s="1893"/>
      <c r="W103" s="1872"/>
      <c r="X103" s="1931"/>
      <c r="Y103" s="1915"/>
      <c r="Z103" s="1930"/>
      <c r="AA103" s="1893">
        <v>16</v>
      </c>
      <c r="AB103" s="1872">
        <v>17</v>
      </c>
      <c r="AC103" s="1931">
        <v>0.51</v>
      </c>
      <c r="AD103" s="1915">
        <v>0.44</v>
      </c>
      <c r="AF103" s="1893">
        <v>16</v>
      </c>
      <c r="AG103" s="1872">
        <v>17</v>
      </c>
      <c r="AH103" s="1931">
        <v>0.76</v>
      </c>
      <c r="AI103" s="1915">
        <v>1.27</v>
      </c>
      <c r="AK103" s="2075">
        <f t="shared" si="9"/>
        <v>0.44</v>
      </c>
      <c r="AL103" s="2076">
        <f t="shared" si="10"/>
        <v>0.43</v>
      </c>
      <c r="AM103" s="2076">
        <f t="shared" si="8"/>
        <v>0.51</v>
      </c>
      <c r="AN103" s="1956">
        <f t="shared" si="11"/>
        <v>0.76</v>
      </c>
      <c r="AO103" s="1893">
        <v>16</v>
      </c>
      <c r="AP103" s="1872">
        <v>17</v>
      </c>
      <c r="AQ103" s="1979">
        <v>0.3</v>
      </c>
      <c r="AR103" s="1983"/>
    </row>
    <row r="104" spans="1:44">
      <c r="A104" s="1930"/>
      <c r="B104" s="1894">
        <v>17</v>
      </c>
      <c r="C104" s="1895">
        <v>18</v>
      </c>
      <c r="D104" s="1932">
        <v>0.28999999999999998</v>
      </c>
      <c r="E104" s="1916">
        <v>0.77</v>
      </c>
      <c r="F104" s="1930"/>
      <c r="G104" s="1894">
        <v>17</v>
      </c>
      <c r="H104" s="1895">
        <v>18</v>
      </c>
      <c r="I104" s="1932">
        <v>0.99</v>
      </c>
      <c r="J104" s="1916">
        <v>2.46</v>
      </c>
      <c r="K104" s="1930"/>
      <c r="L104" s="1894">
        <v>17</v>
      </c>
      <c r="M104" s="1895">
        <v>18</v>
      </c>
      <c r="N104" s="1932">
        <v>1.03</v>
      </c>
      <c r="O104" s="1916">
        <v>1.81</v>
      </c>
      <c r="P104" s="1930"/>
      <c r="Q104" s="1894">
        <v>17</v>
      </c>
      <c r="R104" s="1895">
        <v>18</v>
      </c>
      <c r="S104" s="1932">
        <v>1.1399999999999999</v>
      </c>
      <c r="T104" s="1916">
        <v>1.82</v>
      </c>
      <c r="U104" s="1930"/>
      <c r="V104" s="1894"/>
      <c r="W104" s="1895"/>
      <c r="X104" s="1932"/>
      <c r="Y104" s="1916"/>
      <c r="Z104" s="1930"/>
      <c r="AA104" s="1894">
        <v>17</v>
      </c>
      <c r="AB104" s="1895">
        <v>18</v>
      </c>
      <c r="AC104" s="1932">
        <v>0.54</v>
      </c>
      <c r="AD104" s="1916">
        <v>0.67</v>
      </c>
      <c r="AF104" s="1894">
        <v>17</v>
      </c>
      <c r="AG104" s="1895">
        <v>18</v>
      </c>
      <c r="AH104" s="1932">
        <v>0.48</v>
      </c>
      <c r="AI104" s="1916">
        <v>0.89</v>
      </c>
      <c r="AK104" s="2077">
        <f t="shared" si="9"/>
        <v>1.03</v>
      </c>
      <c r="AL104" s="2078">
        <f t="shared" si="10"/>
        <v>1.1399999999999999</v>
      </c>
      <c r="AM104" s="2078">
        <f t="shared" si="8"/>
        <v>0.54</v>
      </c>
      <c r="AN104" s="1959">
        <f t="shared" si="11"/>
        <v>0.48</v>
      </c>
      <c r="AO104" s="1894">
        <v>17</v>
      </c>
      <c r="AP104" s="1895">
        <v>18</v>
      </c>
      <c r="AQ104" s="1979">
        <v>0.51</v>
      </c>
      <c r="AR104" s="1983"/>
    </row>
    <row r="105" spans="1:44">
      <c r="A105" s="1934"/>
      <c r="B105" s="1910">
        <v>18</v>
      </c>
      <c r="C105" s="1889">
        <v>19</v>
      </c>
      <c r="D105" s="1933">
        <v>0.42</v>
      </c>
      <c r="E105" s="1911">
        <v>1.1200000000000001</v>
      </c>
      <c r="F105" s="1934"/>
      <c r="G105" s="1910">
        <v>18</v>
      </c>
      <c r="H105" s="1889">
        <v>19</v>
      </c>
      <c r="I105" s="1933">
        <v>0.43</v>
      </c>
      <c r="J105" s="1911">
        <v>1.07</v>
      </c>
      <c r="K105" s="1934"/>
      <c r="L105" s="1910">
        <v>18</v>
      </c>
      <c r="M105" s="1889">
        <v>19</v>
      </c>
      <c r="N105" s="1933">
        <v>0.73</v>
      </c>
      <c r="O105" s="1911">
        <v>1.51</v>
      </c>
      <c r="P105" s="1934"/>
      <c r="Q105" s="1910">
        <v>18</v>
      </c>
      <c r="R105" s="1889">
        <v>19</v>
      </c>
      <c r="S105" s="1933">
        <v>0.37</v>
      </c>
      <c r="T105" s="1911">
        <v>0.67</v>
      </c>
      <c r="U105" s="1934"/>
      <c r="V105" s="1910"/>
      <c r="W105" s="1889"/>
      <c r="X105" s="1933"/>
      <c r="Y105" s="1911"/>
      <c r="Z105" s="1934"/>
      <c r="AA105" s="1910">
        <v>18</v>
      </c>
      <c r="AB105" s="1889">
        <v>19</v>
      </c>
      <c r="AC105" s="1933">
        <v>0.65</v>
      </c>
      <c r="AD105" s="1911">
        <v>0.98</v>
      </c>
      <c r="AF105" s="1910">
        <v>18</v>
      </c>
      <c r="AG105" s="1889">
        <v>19</v>
      </c>
      <c r="AH105" s="1933">
        <v>0.43</v>
      </c>
      <c r="AI105" s="1911">
        <v>0.93</v>
      </c>
      <c r="AK105" s="2073">
        <f t="shared" si="9"/>
        <v>0.73</v>
      </c>
      <c r="AL105" s="2074">
        <f t="shared" si="10"/>
        <v>0.37</v>
      </c>
      <c r="AM105" s="2074">
        <f t="shared" si="8"/>
        <v>0.65</v>
      </c>
      <c r="AN105" s="1954">
        <f t="shared" si="11"/>
        <v>0.43</v>
      </c>
      <c r="AO105" s="1910">
        <v>18</v>
      </c>
      <c r="AP105" s="1889">
        <v>19</v>
      </c>
      <c r="AQ105" s="1979">
        <v>0.49</v>
      </c>
      <c r="AR105" s="1983"/>
    </row>
    <row r="106" spans="1:44">
      <c r="A106" s="1934"/>
      <c r="B106" s="1902">
        <v>19</v>
      </c>
      <c r="C106" s="1873">
        <v>20</v>
      </c>
      <c r="D106" s="1935">
        <v>0.4</v>
      </c>
      <c r="E106" s="1912">
        <v>1.04</v>
      </c>
      <c r="F106" s="1934"/>
      <c r="G106" s="1902">
        <v>19</v>
      </c>
      <c r="H106" s="1873">
        <v>20</v>
      </c>
      <c r="I106" s="1935">
        <v>0.33</v>
      </c>
      <c r="J106" s="1912">
        <v>0.82</v>
      </c>
      <c r="K106" s="1934"/>
      <c r="L106" s="1902">
        <v>19</v>
      </c>
      <c r="M106" s="1873">
        <v>20</v>
      </c>
      <c r="N106" s="1935">
        <v>0.37</v>
      </c>
      <c r="O106" s="1912">
        <v>0.85</v>
      </c>
      <c r="P106" s="1934"/>
      <c r="Q106" s="1902">
        <v>19</v>
      </c>
      <c r="R106" s="1873">
        <v>20</v>
      </c>
      <c r="S106" s="1935">
        <v>0.42</v>
      </c>
      <c r="T106" s="1912">
        <v>0.84</v>
      </c>
      <c r="U106" s="1934"/>
      <c r="V106" s="1902"/>
      <c r="W106" s="1873"/>
      <c r="X106" s="1935"/>
      <c r="Y106" s="1912"/>
      <c r="Z106" s="1934"/>
      <c r="AA106" s="1902">
        <v>19</v>
      </c>
      <c r="AB106" s="1873">
        <v>20</v>
      </c>
      <c r="AC106" s="1935">
        <v>0.66</v>
      </c>
      <c r="AD106" s="1912">
        <v>1.06</v>
      </c>
      <c r="AF106" s="1902">
        <v>19</v>
      </c>
      <c r="AG106" s="1873">
        <v>20</v>
      </c>
      <c r="AH106" s="1935">
        <v>0.46</v>
      </c>
      <c r="AI106" s="1912">
        <v>1.01</v>
      </c>
      <c r="AK106" s="2075">
        <f t="shared" si="9"/>
        <v>0.37</v>
      </c>
      <c r="AL106" s="2076">
        <f t="shared" si="10"/>
        <v>0.42</v>
      </c>
      <c r="AM106" s="2076">
        <f t="shared" si="8"/>
        <v>0.66</v>
      </c>
      <c r="AN106" s="1956">
        <f t="shared" si="11"/>
        <v>0.46</v>
      </c>
      <c r="AO106" s="1902">
        <v>19</v>
      </c>
      <c r="AP106" s="1873">
        <v>20</v>
      </c>
      <c r="AQ106" s="1979">
        <v>0.95</v>
      </c>
      <c r="AR106" s="1983"/>
    </row>
    <row r="107" spans="1:44">
      <c r="A107" s="1934"/>
      <c r="B107" s="1902">
        <v>20</v>
      </c>
      <c r="C107" s="1873">
        <v>21</v>
      </c>
      <c r="D107" s="1935">
        <v>0.36</v>
      </c>
      <c r="E107" s="1912">
        <v>0.64</v>
      </c>
      <c r="F107" s="1934"/>
      <c r="G107" s="1902">
        <v>20</v>
      </c>
      <c r="H107" s="1873">
        <v>21</v>
      </c>
      <c r="I107" s="1935">
        <v>0.35</v>
      </c>
      <c r="J107" s="1912">
        <v>0.53</v>
      </c>
      <c r="K107" s="1934"/>
      <c r="L107" s="1902">
        <v>20</v>
      </c>
      <c r="M107" s="1873">
        <v>21</v>
      </c>
      <c r="N107" s="1935">
        <v>0.34</v>
      </c>
      <c r="O107" s="1912">
        <v>0.77</v>
      </c>
      <c r="P107" s="1934"/>
      <c r="Q107" s="1902">
        <v>20</v>
      </c>
      <c r="R107" s="1873">
        <v>21</v>
      </c>
      <c r="S107" s="1935">
        <v>0.27</v>
      </c>
      <c r="T107" s="1912">
        <v>0.62</v>
      </c>
      <c r="U107" s="1934"/>
      <c r="V107" s="1902"/>
      <c r="W107" s="1873"/>
      <c r="X107" s="1935"/>
      <c r="Y107" s="1912"/>
      <c r="Z107" s="1934"/>
      <c r="AA107" s="1902">
        <v>20</v>
      </c>
      <c r="AB107" s="1873">
        <v>21</v>
      </c>
      <c r="AC107" s="1935">
        <v>0.52</v>
      </c>
      <c r="AD107" s="1912">
        <v>0.88</v>
      </c>
      <c r="AF107" s="1902">
        <v>20</v>
      </c>
      <c r="AG107" s="1873">
        <v>21</v>
      </c>
      <c r="AH107" s="1935">
        <v>0.42</v>
      </c>
      <c r="AI107" s="1912">
        <v>0.95</v>
      </c>
      <c r="AK107" s="2075">
        <f t="shared" si="9"/>
        <v>0.34</v>
      </c>
      <c r="AL107" s="2076">
        <f t="shared" si="10"/>
        <v>0.27</v>
      </c>
      <c r="AM107" s="2076">
        <f t="shared" si="8"/>
        <v>0.52</v>
      </c>
      <c r="AN107" s="1956">
        <f t="shared" si="11"/>
        <v>0.42</v>
      </c>
      <c r="AO107" s="1902">
        <v>20</v>
      </c>
      <c r="AP107" s="1873">
        <v>21</v>
      </c>
      <c r="AQ107" s="1979">
        <v>1.04</v>
      </c>
      <c r="AR107" s="1983"/>
    </row>
    <row r="108" spans="1:44">
      <c r="A108" s="1934"/>
      <c r="B108" s="1902">
        <v>21</v>
      </c>
      <c r="C108" s="1873">
        <v>22</v>
      </c>
      <c r="D108" s="1935">
        <v>0.25</v>
      </c>
      <c r="E108" s="1912">
        <v>0.44</v>
      </c>
      <c r="F108" s="1934"/>
      <c r="G108" s="1902">
        <v>21</v>
      </c>
      <c r="H108" s="1873">
        <v>22</v>
      </c>
      <c r="I108" s="1935">
        <v>0.17</v>
      </c>
      <c r="J108" s="1912">
        <v>0.26</v>
      </c>
      <c r="K108" s="1934"/>
      <c r="L108" s="1902">
        <v>21</v>
      </c>
      <c r="M108" s="1873">
        <v>22</v>
      </c>
      <c r="N108" s="1935">
        <v>0.38</v>
      </c>
      <c r="O108" s="1912">
        <v>0.82</v>
      </c>
      <c r="P108" s="1934"/>
      <c r="Q108" s="1902">
        <v>21</v>
      </c>
      <c r="R108" s="1873">
        <v>22</v>
      </c>
      <c r="S108" s="1935">
        <v>0.2</v>
      </c>
      <c r="T108" s="1912">
        <v>0.38</v>
      </c>
      <c r="U108" s="1934"/>
      <c r="V108" s="1902"/>
      <c r="W108" s="1873"/>
      <c r="X108" s="1935"/>
      <c r="Y108" s="1912"/>
      <c r="Z108" s="1934"/>
      <c r="AA108" s="1902">
        <v>21</v>
      </c>
      <c r="AB108" s="1873">
        <v>22</v>
      </c>
      <c r="AC108" s="1935">
        <v>0.5</v>
      </c>
      <c r="AD108" s="1912">
        <v>0.85</v>
      </c>
      <c r="AF108" s="1902">
        <v>21</v>
      </c>
      <c r="AG108" s="1873">
        <v>22</v>
      </c>
      <c r="AH108" s="1935">
        <v>0.37</v>
      </c>
      <c r="AI108" s="1912">
        <v>0.84</v>
      </c>
      <c r="AK108" s="2075">
        <f t="shared" si="9"/>
        <v>0.38</v>
      </c>
      <c r="AL108" s="2076">
        <f t="shared" si="10"/>
        <v>0.2</v>
      </c>
      <c r="AM108" s="2076">
        <f t="shared" si="8"/>
        <v>0.5</v>
      </c>
      <c r="AN108" s="1956">
        <f t="shared" si="11"/>
        <v>0.37</v>
      </c>
      <c r="AO108" s="1902">
        <v>21</v>
      </c>
      <c r="AP108" s="1873">
        <v>22</v>
      </c>
      <c r="AQ108" s="1979">
        <v>1.04</v>
      </c>
      <c r="AR108" s="1983"/>
    </row>
    <row r="109" spans="1:44">
      <c r="A109" s="1934"/>
      <c r="B109" s="1902">
        <v>22</v>
      </c>
      <c r="C109" s="1873">
        <v>23</v>
      </c>
      <c r="D109" s="1935">
        <v>0.06</v>
      </c>
      <c r="E109" s="1912">
        <v>0.11</v>
      </c>
      <c r="F109" s="1934"/>
      <c r="G109" s="1902">
        <v>22</v>
      </c>
      <c r="H109" s="1873">
        <v>23</v>
      </c>
      <c r="I109" s="1935">
        <v>0.12</v>
      </c>
      <c r="J109" s="1912">
        <v>0.18</v>
      </c>
      <c r="K109" s="1934"/>
      <c r="L109" s="1902">
        <v>22</v>
      </c>
      <c r="M109" s="1873">
        <v>23</v>
      </c>
      <c r="N109" s="1935">
        <v>0.24</v>
      </c>
      <c r="O109" s="1912">
        <v>0.49</v>
      </c>
      <c r="P109" s="1934"/>
      <c r="Q109" s="1902">
        <v>22</v>
      </c>
      <c r="R109" s="1873">
        <v>23</v>
      </c>
      <c r="S109" s="1935">
        <v>0.15</v>
      </c>
      <c r="T109" s="1912">
        <v>0.27</v>
      </c>
      <c r="U109" s="1934"/>
      <c r="V109" s="1902"/>
      <c r="W109" s="1873"/>
      <c r="X109" s="1935"/>
      <c r="Y109" s="1912"/>
      <c r="Z109" s="1934"/>
      <c r="AA109" s="1902">
        <v>22</v>
      </c>
      <c r="AB109" s="1873">
        <v>23</v>
      </c>
      <c r="AC109" s="1935">
        <v>0.5</v>
      </c>
      <c r="AD109" s="1912">
        <v>0.82</v>
      </c>
      <c r="AF109" s="1902">
        <v>22</v>
      </c>
      <c r="AG109" s="1873">
        <v>23</v>
      </c>
      <c r="AH109" s="1935">
        <v>0.27</v>
      </c>
      <c r="AI109" s="1912">
        <v>0.63</v>
      </c>
      <c r="AK109" s="2075">
        <f t="shared" si="9"/>
        <v>0.24</v>
      </c>
      <c r="AL109" s="2076">
        <f t="shared" si="10"/>
        <v>0.15</v>
      </c>
      <c r="AM109" s="2076">
        <f t="shared" si="8"/>
        <v>0.5</v>
      </c>
      <c r="AN109" s="1956">
        <f t="shared" si="11"/>
        <v>0.27</v>
      </c>
      <c r="AO109" s="1902">
        <v>22</v>
      </c>
      <c r="AP109" s="1873">
        <v>23</v>
      </c>
      <c r="AQ109" s="1979">
        <v>0.49</v>
      </c>
      <c r="AR109" s="1983"/>
    </row>
    <row r="110" spans="1:44" ht="15" thickBot="1">
      <c r="A110" s="1934"/>
      <c r="B110" s="1902">
        <v>23</v>
      </c>
      <c r="C110" s="1873">
        <v>24</v>
      </c>
      <c r="D110" s="1935">
        <v>0.11</v>
      </c>
      <c r="E110" s="1912">
        <v>0.2</v>
      </c>
      <c r="F110" s="1934"/>
      <c r="G110" s="1902">
        <v>23</v>
      </c>
      <c r="H110" s="1873">
        <v>24</v>
      </c>
      <c r="I110" s="1935">
        <v>0.12</v>
      </c>
      <c r="J110" s="1912">
        <v>0.19</v>
      </c>
      <c r="K110" s="1934"/>
      <c r="L110" s="1902">
        <v>23</v>
      </c>
      <c r="M110" s="1873">
        <v>24</v>
      </c>
      <c r="N110" s="1935">
        <v>0.12</v>
      </c>
      <c r="O110" s="1912">
        <v>0.23</v>
      </c>
      <c r="P110" s="1934"/>
      <c r="Q110" s="1902">
        <v>23</v>
      </c>
      <c r="R110" s="1873">
        <v>24</v>
      </c>
      <c r="S110" s="1935">
        <v>0.23</v>
      </c>
      <c r="T110" s="1912">
        <v>0.4</v>
      </c>
      <c r="U110" s="1934"/>
      <c r="V110" s="1902"/>
      <c r="W110" s="1873"/>
      <c r="X110" s="1935"/>
      <c r="Y110" s="1912"/>
      <c r="Z110" s="1934"/>
      <c r="AA110" s="1902">
        <v>23</v>
      </c>
      <c r="AB110" s="1873">
        <v>24</v>
      </c>
      <c r="AC110" s="1935">
        <v>0.34</v>
      </c>
      <c r="AD110" s="1912">
        <v>0.53</v>
      </c>
      <c r="AF110" s="1902">
        <v>23</v>
      </c>
      <c r="AG110" s="1873">
        <v>24</v>
      </c>
      <c r="AH110" s="1935">
        <v>0.21</v>
      </c>
      <c r="AI110" s="1912">
        <v>0.48</v>
      </c>
      <c r="AK110" s="2077">
        <f t="shared" si="9"/>
        <v>0.12</v>
      </c>
      <c r="AL110" s="2078">
        <f t="shared" si="10"/>
        <v>0.23</v>
      </c>
      <c r="AM110" s="2078">
        <f t="shared" si="8"/>
        <v>0.34</v>
      </c>
      <c r="AN110" s="1959">
        <f t="shared" si="11"/>
        <v>0.21</v>
      </c>
      <c r="AO110" s="1902">
        <v>23</v>
      </c>
      <c r="AP110" s="1873">
        <v>24</v>
      </c>
      <c r="AQ110" s="1979">
        <v>0.45</v>
      </c>
      <c r="AR110" s="1983"/>
    </row>
    <row r="111" spans="1:44">
      <c r="B111" s="2774">
        <v>44961</v>
      </c>
      <c r="C111" s="2774"/>
      <c r="D111" s="1922">
        <f>SUM(D112:D135)</f>
        <v>5.160000000000001</v>
      </c>
      <c r="E111" s="1923">
        <f>SUM(E112:E135)</f>
        <v>12.479999999999999</v>
      </c>
      <c r="G111" s="2774">
        <v>44989</v>
      </c>
      <c r="H111" s="2774"/>
      <c r="I111" s="1922">
        <f>SUM(I112:I135)</f>
        <v>6.5</v>
      </c>
      <c r="J111" s="1923">
        <f>SUM(J112:J135)</f>
        <v>12.809999999999997</v>
      </c>
      <c r="L111" s="2774">
        <v>45020</v>
      </c>
      <c r="M111" s="2774"/>
      <c r="N111" s="1936">
        <f>SUM(N112:N135)</f>
        <v>5.77</v>
      </c>
      <c r="O111" s="1937">
        <f>SUM(O112:O135)</f>
        <v>11.919999999999998</v>
      </c>
      <c r="Q111" s="2774">
        <v>45050</v>
      </c>
      <c r="R111" s="2774"/>
      <c r="S111" s="1936">
        <f>SUM(S112:S135)</f>
        <v>8.1</v>
      </c>
      <c r="T111" s="1937">
        <f>SUM(T112:T135)</f>
        <v>12.75</v>
      </c>
      <c r="V111" s="2766">
        <v>45050</v>
      </c>
      <c r="W111" s="2766"/>
      <c r="X111" s="1924"/>
      <c r="Y111" s="1925"/>
      <c r="AA111" s="2774">
        <v>45081</v>
      </c>
      <c r="AB111" s="2774"/>
      <c r="AC111" s="1936">
        <f>SUM(AC112:AC135)</f>
        <v>9.8200000000000021</v>
      </c>
      <c r="AD111" s="1937">
        <f>SUM(AD112:AD135)</f>
        <v>11.68</v>
      </c>
      <c r="AF111" s="2774">
        <v>45111</v>
      </c>
      <c r="AG111" s="2774"/>
      <c r="AH111" s="1936">
        <f>SUM(AH112:AH135)</f>
        <v>7.4700000000000006</v>
      </c>
      <c r="AI111" s="1937">
        <f>SUM(AI112:AI135)</f>
        <v>16.73</v>
      </c>
      <c r="AO111" s="2765">
        <v>45173</v>
      </c>
      <c r="AP111" s="2765"/>
      <c r="AQ111" s="1922">
        <f>SUM(AQ112:AQ135)</f>
        <v>9.6399999999999988</v>
      </c>
      <c r="AR111" s="1923">
        <f>SUM(AR112:AR135)</f>
        <v>0</v>
      </c>
    </row>
    <row r="112" spans="1:44">
      <c r="A112" s="1927"/>
      <c r="B112" s="1883">
        <v>0</v>
      </c>
      <c r="C112" s="1871">
        <v>1</v>
      </c>
      <c r="D112" s="1926">
        <v>0.2</v>
      </c>
      <c r="E112" s="1913">
        <v>0.35</v>
      </c>
      <c r="F112" s="1927"/>
      <c r="G112" s="1883">
        <v>0</v>
      </c>
      <c r="H112" s="1871">
        <v>1</v>
      </c>
      <c r="I112" s="1926">
        <v>0.23</v>
      </c>
      <c r="J112" s="1913">
        <v>0.39</v>
      </c>
      <c r="K112" s="1927"/>
      <c r="L112" s="1883">
        <v>0</v>
      </c>
      <c r="M112" s="1871">
        <v>1</v>
      </c>
      <c r="N112" s="1926">
        <v>0.11</v>
      </c>
      <c r="O112" s="1913">
        <v>0.2</v>
      </c>
      <c r="P112" s="1927"/>
      <c r="Q112" s="1883">
        <v>0</v>
      </c>
      <c r="R112" s="1871">
        <v>1</v>
      </c>
      <c r="S112" s="1926">
        <v>0.16</v>
      </c>
      <c r="T112" s="1913">
        <v>0.26</v>
      </c>
      <c r="U112" s="1927"/>
      <c r="V112" s="1883"/>
      <c r="W112" s="1871"/>
      <c r="X112" s="1926"/>
      <c r="Y112" s="1913"/>
      <c r="Z112" s="1927"/>
      <c r="AA112" s="1883">
        <v>0</v>
      </c>
      <c r="AB112" s="1871">
        <v>1</v>
      </c>
      <c r="AC112" s="1926">
        <v>0.28000000000000003</v>
      </c>
      <c r="AD112" s="1913">
        <v>0.44</v>
      </c>
      <c r="AF112" s="1883">
        <v>0</v>
      </c>
      <c r="AG112" s="1871">
        <v>1</v>
      </c>
      <c r="AH112" s="1926">
        <v>0.23</v>
      </c>
      <c r="AI112" s="1913">
        <v>0.59</v>
      </c>
      <c r="AK112" s="2073">
        <f>N112</f>
        <v>0.11</v>
      </c>
      <c r="AL112" s="2074">
        <f>S112</f>
        <v>0.16</v>
      </c>
      <c r="AM112" s="2074">
        <f t="shared" ref="AM112:AM135" si="12">AC112</f>
        <v>0.28000000000000003</v>
      </c>
      <c r="AN112" s="1954">
        <f>AH112</f>
        <v>0.23</v>
      </c>
      <c r="AO112" s="1883">
        <v>0</v>
      </c>
      <c r="AP112" s="1871">
        <v>1</v>
      </c>
      <c r="AQ112" s="1979">
        <v>0.39</v>
      </c>
      <c r="AR112" s="1983"/>
    </row>
    <row r="113" spans="1:44">
      <c r="A113" s="1927"/>
      <c r="B113" s="1883">
        <v>1</v>
      </c>
      <c r="C113" s="1871">
        <v>2</v>
      </c>
      <c r="D113" s="1926">
        <v>0.12</v>
      </c>
      <c r="E113" s="1913">
        <v>0.22</v>
      </c>
      <c r="F113" s="1927"/>
      <c r="G113" s="1883">
        <v>1</v>
      </c>
      <c r="H113" s="1871">
        <v>2</v>
      </c>
      <c r="I113" s="1926">
        <v>0.09</v>
      </c>
      <c r="J113" s="1913">
        <v>0.15</v>
      </c>
      <c r="K113" s="1927"/>
      <c r="L113" s="1883">
        <v>1</v>
      </c>
      <c r="M113" s="1871">
        <v>2</v>
      </c>
      <c r="N113" s="1926">
        <v>0.11</v>
      </c>
      <c r="O113" s="1913">
        <v>0.2</v>
      </c>
      <c r="P113" s="1927"/>
      <c r="Q113" s="1883">
        <v>1</v>
      </c>
      <c r="R113" s="1871">
        <v>2</v>
      </c>
      <c r="S113" s="1926">
        <v>0.21</v>
      </c>
      <c r="T113" s="1913">
        <v>0.33</v>
      </c>
      <c r="U113" s="1927"/>
      <c r="V113" s="1883"/>
      <c r="W113" s="1871"/>
      <c r="X113" s="1926"/>
      <c r="Y113" s="1913"/>
      <c r="Z113" s="1927"/>
      <c r="AA113" s="1883">
        <v>1</v>
      </c>
      <c r="AB113" s="1871">
        <v>2</v>
      </c>
      <c r="AC113" s="1926">
        <v>0.38</v>
      </c>
      <c r="AD113" s="1913">
        <v>0.56999999999999995</v>
      </c>
      <c r="AF113" s="1883">
        <v>1</v>
      </c>
      <c r="AG113" s="1871">
        <v>2</v>
      </c>
      <c r="AH113" s="1926">
        <v>0.16</v>
      </c>
      <c r="AI113" s="1913">
        <v>0.38</v>
      </c>
      <c r="AK113" s="2075">
        <f t="shared" ref="AK113:AK135" si="13">N113</f>
        <v>0.11</v>
      </c>
      <c r="AL113" s="2076">
        <f t="shared" ref="AL113:AL135" si="14">S113</f>
        <v>0.21</v>
      </c>
      <c r="AM113" s="2076">
        <f t="shared" si="12"/>
        <v>0.38</v>
      </c>
      <c r="AN113" s="1956">
        <f t="shared" ref="AN113:AN135" si="15">AH113</f>
        <v>0.16</v>
      </c>
      <c r="AO113" s="1883">
        <v>1</v>
      </c>
      <c r="AP113" s="1871">
        <v>2</v>
      </c>
      <c r="AQ113" s="1979">
        <v>0.28000000000000003</v>
      </c>
      <c r="AR113" s="1983"/>
    </row>
    <row r="114" spans="1:44">
      <c r="A114" s="1927"/>
      <c r="B114" s="1883">
        <v>2</v>
      </c>
      <c r="C114" s="1871">
        <v>3</v>
      </c>
      <c r="D114" s="1926">
        <v>0.09</v>
      </c>
      <c r="E114" s="1913">
        <v>0.17</v>
      </c>
      <c r="F114" s="1927"/>
      <c r="G114" s="1883">
        <v>2</v>
      </c>
      <c r="H114" s="1871">
        <v>3</v>
      </c>
      <c r="I114" s="1926">
        <v>0.11</v>
      </c>
      <c r="J114" s="1913">
        <v>0.18</v>
      </c>
      <c r="K114" s="1927"/>
      <c r="L114" s="1883">
        <v>2</v>
      </c>
      <c r="M114" s="1871">
        <v>3</v>
      </c>
      <c r="N114" s="1926">
        <v>0.13</v>
      </c>
      <c r="O114" s="1913">
        <v>0.24</v>
      </c>
      <c r="P114" s="1927"/>
      <c r="Q114" s="1883">
        <v>2</v>
      </c>
      <c r="R114" s="1871">
        <v>3</v>
      </c>
      <c r="S114" s="1926">
        <v>0.22</v>
      </c>
      <c r="T114" s="1913">
        <v>0.34</v>
      </c>
      <c r="U114" s="1927"/>
      <c r="V114" s="1883"/>
      <c r="W114" s="1871"/>
      <c r="X114" s="1926"/>
      <c r="Y114" s="1913"/>
      <c r="Z114" s="1927"/>
      <c r="AA114" s="1883">
        <v>2</v>
      </c>
      <c r="AB114" s="1871">
        <v>3</v>
      </c>
      <c r="AC114" s="1926">
        <v>0.33</v>
      </c>
      <c r="AD114" s="1913">
        <v>0.49</v>
      </c>
      <c r="AF114" s="1883">
        <v>2</v>
      </c>
      <c r="AG114" s="1871">
        <v>3</v>
      </c>
      <c r="AH114" s="1926">
        <v>0.2</v>
      </c>
      <c r="AI114" s="1913">
        <v>0.46</v>
      </c>
      <c r="AK114" s="2075">
        <f t="shared" si="13"/>
        <v>0.13</v>
      </c>
      <c r="AL114" s="2076">
        <f t="shared" si="14"/>
        <v>0.22</v>
      </c>
      <c r="AM114" s="2076">
        <f t="shared" si="12"/>
        <v>0.33</v>
      </c>
      <c r="AN114" s="1956">
        <f t="shared" si="15"/>
        <v>0.2</v>
      </c>
      <c r="AO114" s="1883">
        <v>2</v>
      </c>
      <c r="AP114" s="1871">
        <v>3</v>
      </c>
      <c r="AQ114" s="1979">
        <v>0.25</v>
      </c>
      <c r="AR114" s="1983"/>
    </row>
    <row r="115" spans="1:44">
      <c r="A115" s="1927"/>
      <c r="B115" s="1883">
        <v>3</v>
      </c>
      <c r="C115" s="1871">
        <v>4</v>
      </c>
      <c r="D115" s="1926">
        <v>7.0000000000000007E-2</v>
      </c>
      <c r="E115" s="1913">
        <v>0.14000000000000001</v>
      </c>
      <c r="F115" s="1927"/>
      <c r="G115" s="1883">
        <v>3</v>
      </c>
      <c r="H115" s="1871">
        <v>4</v>
      </c>
      <c r="I115" s="1926">
        <v>0.12</v>
      </c>
      <c r="J115" s="1913">
        <v>0.2</v>
      </c>
      <c r="K115" s="1927"/>
      <c r="L115" s="1883">
        <v>3</v>
      </c>
      <c r="M115" s="1871">
        <v>4</v>
      </c>
      <c r="N115" s="1926">
        <v>0.08</v>
      </c>
      <c r="O115" s="1913">
        <v>0.15</v>
      </c>
      <c r="P115" s="1927"/>
      <c r="Q115" s="1883">
        <v>3</v>
      </c>
      <c r="R115" s="1871">
        <v>4</v>
      </c>
      <c r="S115" s="1926">
        <v>0.23</v>
      </c>
      <c r="T115" s="1913">
        <v>0.36</v>
      </c>
      <c r="U115" s="1927"/>
      <c r="V115" s="1883"/>
      <c r="W115" s="1871"/>
      <c r="X115" s="1926"/>
      <c r="Y115" s="1913"/>
      <c r="Z115" s="1927"/>
      <c r="AA115" s="1883">
        <v>3</v>
      </c>
      <c r="AB115" s="1871">
        <v>4</v>
      </c>
      <c r="AC115" s="1926">
        <v>0.25</v>
      </c>
      <c r="AD115" s="1913">
        <v>0.37</v>
      </c>
      <c r="AF115" s="1883">
        <v>3</v>
      </c>
      <c r="AG115" s="1871">
        <v>4</v>
      </c>
      <c r="AH115" s="1926">
        <v>0.14000000000000001</v>
      </c>
      <c r="AI115" s="1913">
        <v>0.31</v>
      </c>
      <c r="AK115" s="2075">
        <f t="shared" si="13"/>
        <v>0.08</v>
      </c>
      <c r="AL115" s="2076">
        <f t="shared" si="14"/>
        <v>0.23</v>
      </c>
      <c r="AM115" s="2076">
        <f t="shared" si="12"/>
        <v>0.25</v>
      </c>
      <c r="AN115" s="1956">
        <f t="shared" si="15"/>
        <v>0.14000000000000001</v>
      </c>
      <c r="AO115" s="1883">
        <v>3</v>
      </c>
      <c r="AP115" s="1871">
        <v>4</v>
      </c>
      <c r="AQ115" s="1979">
        <v>0.24</v>
      </c>
      <c r="AR115" s="1983"/>
    </row>
    <row r="116" spans="1:44">
      <c r="A116" s="1927"/>
      <c r="B116" s="1883">
        <v>4</v>
      </c>
      <c r="C116" s="1871">
        <v>5</v>
      </c>
      <c r="D116" s="1926">
        <v>0.1</v>
      </c>
      <c r="E116" s="1913">
        <v>0.2</v>
      </c>
      <c r="F116" s="1927"/>
      <c r="G116" s="1883">
        <v>4</v>
      </c>
      <c r="H116" s="1871">
        <v>5</v>
      </c>
      <c r="I116" s="1926">
        <v>0.26</v>
      </c>
      <c r="J116" s="1913">
        <v>0.45</v>
      </c>
      <c r="K116" s="1927"/>
      <c r="L116" s="1883">
        <v>4</v>
      </c>
      <c r="M116" s="1871">
        <v>5</v>
      </c>
      <c r="N116" s="1926">
        <v>0.11</v>
      </c>
      <c r="O116" s="1913">
        <v>0.21</v>
      </c>
      <c r="P116" s="1927"/>
      <c r="Q116" s="1883">
        <v>4</v>
      </c>
      <c r="R116" s="1871">
        <v>5</v>
      </c>
      <c r="S116" s="1926">
        <v>0.3</v>
      </c>
      <c r="T116" s="1913">
        <v>0.48</v>
      </c>
      <c r="U116" s="1927"/>
      <c r="V116" s="1883"/>
      <c r="W116" s="1871"/>
      <c r="X116" s="1926"/>
      <c r="Y116" s="1913"/>
      <c r="Z116" s="1927"/>
      <c r="AA116" s="1883">
        <v>4</v>
      </c>
      <c r="AB116" s="1871">
        <v>5</v>
      </c>
      <c r="AC116" s="1926">
        <v>0.38</v>
      </c>
      <c r="AD116" s="1913">
        <v>0.56999999999999995</v>
      </c>
      <c r="AF116" s="1883">
        <v>4</v>
      </c>
      <c r="AG116" s="1871">
        <v>5</v>
      </c>
      <c r="AH116" s="1926">
        <v>0.17</v>
      </c>
      <c r="AI116" s="1913">
        <v>0.39</v>
      </c>
      <c r="AK116" s="2075">
        <f t="shared" si="13"/>
        <v>0.11</v>
      </c>
      <c r="AL116" s="2076">
        <f t="shared" si="14"/>
        <v>0.3</v>
      </c>
      <c r="AM116" s="2076">
        <f t="shared" si="12"/>
        <v>0.38</v>
      </c>
      <c r="AN116" s="1956">
        <f t="shared" si="15"/>
        <v>0.17</v>
      </c>
      <c r="AO116" s="1883">
        <v>4</v>
      </c>
      <c r="AP116" s="1871">
        <v>5</v>
      </c>
      <c r="AQ116" s="1979">
        <v>0.31</v>
      </c>
      <c r="AR116" s="1983"/>
    </row>
    <row r="117" spans="1:44">
      <c r="A117" s="1927"/>
      <c r="B117" s="1883">
        <v>5</v>
      </c>
      <c r="C117" s="1871">
        <v>6</v>
      </c>
      <c r="D117" s="1926">
        <v>0.11</v>
      </c>
      <c r="E117" s="1913">
        <v>0.22</v>
      </c>
      <c r="F117" s="1927"/>
      <c r="G117" s="1883">
        <v>5</v>
      </c>
      <c r="H117" s="1871">
        <v>6</v>
      </c>
      <c r="I117" s="1926">
        <v>0.23</v>
      </c>
      <c r="J117" s="1913">
        <v>0.4</v>
      </c>
      <c r="K117" s="1927"/>
      <c r="L117" s="1883">
        <v>5</v>
      </c>
      <c r="M117" s="1871">
        <v>6</v>
      </c>
      <c r="N117" s="1926">
        <v>0.12</v>
      </c>
      <c r="O117" s="1913">
        <v>0.23</v>
      </c>
      <c r="P117" s="1927"/>
      <c r="Q117" s="1883">
        <v>5</v>
      </c>
      <c r="R117" s="1871">
        <v>6</v>
      </c>
      <c r="S117" s="1926">
        <v>0.12</v>
      </c>
      <c r="T117" s="1913">
        <v>0.2</v>
      </c>
      <c r="U117" s="1927"/>
      <c r="V117" s="1883"/>
      <c r="W117" s="1871"/>
      <c r="X117" s="1926"/>
      <c r="Y117" s="1913"/>
      <c r="Z117" s="1927"/>
      <c r="AA117" s="1883">
        <v>5</v>
      </c>
      <c r="AB117" s="1871">
        <v>6</v>
      </c>
      <c r="AC117" s="1926">
        <v>0.33</v>
      </c>
      <c r="AD117" s="1913">
        <v>0.49</v>
      </c>
      <c r="AF117" s="1883">
        <v>5</v>
      </c>
      <c r="AG117" s="1871">
        <v>6</v>
      </c>
      <c r="AH117" s="1926">
        <v>0.08</v>
      </c>
      <c r="AI117" s="1913">
        <v>0.19</v>
      </c>
      <c r="AK117" s="2075">
        <f t="shared" si="13"/>
        <v>0.12</v>
      </c>
      <c r="AL117" s="2076">
        <f t="shared" si="14"/>
        <v>0.12</v>
      </c>
      <c r="AM117" s="2076">
        <f t="shared" si="12"/>
        <v>0.33</v>
      </c>
      <c r="AN117" s="1956">
        <f t="shared" si="15"/>
        <v>0.08</v>
      </c>
      <c r="AO117" s="1883">
        <v>5</v>
      </c>
      <c r="AP117" s="1871">
        <v>6</v>
      </c>
      <c r="AQ117" s="1979">
        <v>0.24</v>
      </c>
      <c r="AR117" s="1983"/>
    </row>
    <row r="118" spans="1:44">
      <c r="A118" s="1927"/>
      <c r="B118" s="1883">
        <v>6</v>
      </c>
      <c r="C118" s="1871">
        <v>7</v>
      </c>
      <c r="D118" s="1926">
        <v>0.11</v>
      </c>
      <c r="E118" s="1913">
        <v>0.23</v>
      </c>
      <c r="F118" s="1927"/>
      <c r="G118" s="1883">
        <v>6</v>
      </c>
      <c r="H118" s="1871">
        <v>7</v>
      </c>
      <c r="I118" s="1926">
        <v>0.21</v>
      </c>
      <c r="J118" s="1913">
        <v>0.36</v>
      </c>
      <c r="K118" s="1927"/>
      <c r="L118" s="1883">
        <v>6</v>
      </c>
      <c r="M118" s="1871">
        <v>7</v>
      </c>
      <c r="N118" s="1926">
        <v>0.14000000000000001</v>
      </c>
      <c r="O118" s="1913">
        <v>0.3</v>
      </c>
      <c r="P118" s="1927"/>
      <c r="Q118" s="1883">
        <v>6</v>
      </c>
      <c r="R118" s="1871">
        <v>7</v>
      </c>
      <c r="S118" s="1926">
        <v>0.15</v>
      </c>
      <c r="T118" s="1913">
        <v>0.28000000000000003</v>
      </c>
      <c r="U118" s="1927"/>
      <c r="V118" s="1883"/>
      <c r="W118" s="1871"/>
      <c r="X118" s="1926"/>
      <c r="Y118" s="1913"/>
      <c r="Z118" s="1927"/>
      <c r="AA118" s="1883">
        <v>6</v>
      </c>
      <c r="AB118" s="1871">
        <v>7</v>
      </c>
      <c r="AC118" s="1926">
        <v>0.35</v>
      </c>
      <c r="AD118" s="1913">
        <v>0.51</v>
      </c>
      <c r="AF118" s="1883">
        <v>6</v>
      </c>
      <c r="AG118" s="1871">
        <v>7</v>
      </c>
      <c r="AH118" s="1926">
        <v>0.2</v>
      </c>
      <c r="AI118" s="1913">
        <v>0.46</v>
      </c>
      <c r="AK118" s="2075">
        <f t="shared" si="13"/>
        <v>0.14000000000000001</v>
      </c>
      <c r="AL118" s="2076">
        <f t="shared" si="14"/>
        <v>0.15</v>
      </c>
      <c r="AM118" s="2076">
        <f t="shared" si="12"/>
        <v>0.35</v>
      </c>
      <c r="AN118" s="1956">
        <f t="shared" si="15"/>
        <v>0.2</v>
      </c>
      <c r="AO118" s="1883">
        <v>6</v>
      </c>
      <c r="AP118" s="1871">
        <v>7</v>
      </c>
      <c r="AQ118" s="1979">
        <v>0.26</v>
      </c>
      <c r="AR118" s="1983"/>
    </row>
    <row r="119" spans="1:44">
      <c r="A119" s="1927"/>
      <c r="B119" s="1908">
        <v>7</v>
      </c>
      <c r="C119" s="1909">
        <v>8</v>
      </c>
      <c r="D119" s="1928">
        <v>0.31</v>
      </c>
      <c r="E119" s="1917">
        <v>0.71</v>
      </c>
      <c r="F119" s="1927"/>
      <c r="G119" s="1908">
        <v>7</v>
      </c>
      <c r="H119" s="1909">
        <v>8</v>
      </c>
      <c r="I119" s="1928">
        <v>0.54</v>
      </c>
      <c r="J119" s="1917">
        <v>0.94</v>
      </c>
      <c r="K119" s="1927"/>
      <c r="L119" s="1908">
        <v>7</v>
      </c>
      <c r="M119" s="1909">
        <v>8</v>
      </c>
      <c r="N119" s="1928">
        <v>7.0000000000000007E-2</v>
      </c>
      <c r="O119" s="1917">
        <v>0.18</v>
      </c>
      <c r="P119" s="1927"/>
      <c r="Q119" s="1908">
        <v>7</v>
      </c>
      <c r="R119" s="1909">
        <v>8</v>
      </c>
      <c r="S119" s="1928">
        <v>0.12</v>
      </c>
      <c r="T119" s="1917">
        <v>0.23</v>
      </c>
      <c r="U119" s="1927"/>
      <c r="V119" s="1908"/>
      <c r="W119" s="1909"/>
      <c r="X119" s="1928"/>
      <c r="Y119" s="1917"/>
      <c r="Z119" s="1927"/>
      <c r="AA119" s="1908">
        <v>7</v>
      </c>
      <c r="AB119" s="1909">
        <v>8</v>
      </c>
      <c r="AC119" s="1928">
        <v>0.47</v>
      </c>
      <c r="AD119" s="1917">
        <v>0.67</v>
      </c>
      <c r="AF119" s="1908">
        <v>7</v>
      </c>
      <c r="AG119" s="1909">
        <v>8</v>
      </c>
      <c r="AH119" s="1928">
        <v>0.18</v>
      </c>
      <c r="AI119" s="1917">
        <v>0.41</v>
      </c>
      <c r="AK119" s="2077">
        <f t="shared" si="13"/>
        <v>7.0000000000000007E-2</v>
      </c>
      <c r="AL119" s="2078">
        <f t="shared" si="14"/>
        <v>0.12</v>
      </c>
      <c r="AM119" s="2078">
        <f t="shared" si="12"/>
        <v>0.47</v>
      </c>
      <c r="AN119" s="1959">
        <f t="shared" si="15"/>
        <v>0.18</v>
      </c>
      <c r="AO119" s="1908">
        <v>7</v>
      </c>
      <c r="AP119" s="1909">
        <v>8</v>
      </c>
      <c r="AQ119" s="1979">
        <v>0.24</v>
      </c>
      <c r="AR119" s="1983"/>
    </row>
    <row r="120" spans="1:44">
      <c r="A120" s="1930"/>
      <c r="B120" s="1890">
        <v>8</v>
      </c>
      <c r="C120" s="1891">
        <v>9</v>
      </c>
      <c r="D120" s="1929">
        <v>0.23</v>
      </c>
      <c r="E120" s="1914">
        <v>0.54</v>
      </c>
      <c r="F120" s="1930"/>
      <c r="G120" s="1890">
        <v>8</v>
      </c>
      <c r="H120" s="1891">
        <v>9</v>
      </c>
      <c r="I120" s="1929">
        <v>0.33</v>
      </c>
      <c r="J120" s="1914">
        <v>0.57999999999999996</v>
      </c>
      <c r="K120" s="1930"/>
      <c r="L120" s="1890">
        <v>8</v>
      </c>
      <c r="M120" s="1891">
        <v>9</v>
      </c>
      <c r="N120" s="1929">
        <v>0.14000000000000001</v>
      </c>
      <c r="O120" s="1914">
        <v>0.35</v>
      </c>
      <c r="P120" s="1930"/>
      <c r="Q120" s="1890">
        <v>8</v>
      </c>
      <c r="R120" s="1891">
        <v>9</v>
      </c>
      <c r="S120" s="1929">
        <v>0.32</v>
      </c>
      <c r="T120" s="1914">
        <v>0.57999999999999996</v>
      </c>
      <c r="U120" s="1930"/>
      <c r="V120" s="1890"/>
      <c r="W120" s="1891"/>
      <c r="X120" s="1929"/>
      <c r="Y120" s="1914"/>
      <c r="Z120" s="1930"/>
      <c r="AA120" s="1890">
        <v>8</v>
      </c>
      <c r="AB120" s="1891">
        <v>9</v>
      </c>
      <c r="AC120" s="1929">
        <v>0.63</v>
      </c>
      <c r="AD120" s="1914">
        <v>0.81</v>
      </c>
      <c r="AF120" s="1890">
        <v>8</v>
      </c>
      <c r="AG120" s="1891">
        <v>9</v>
      </c>
      <c r="AH120" s="1929">
        <v>0.33</v>
      </c>
      <c r="AI120" s="1914">
        <v>0.75</v>
      </c>
      <c r="AK120" s="2073">
        <f t="shared" si="13"/>
        <v>0.14000000000000001</v>
      </c>
      <c r="AL120" s="2074">
        <f t="shared" si="14"/>
        <v>0.32</v>
      </c>
      <c r="AM120" s="2074">
        <f t="shared" si="12"/>
        <v>0.63</v>
      </c>
      <c r="AN120" s="1954">
        <f t="shared" si="15"/>
        <v>0.33</v>
      </c>
      <c r="AO120" s="1890">
        <v>8</v>
      </c>
      <c r="AP120" s="1891">
        <v>9</v>
      </c>
      <c r="AQ120" s="1979">
        <v>0.37</v>
      </c>
      <c r="AR120" s="1983"/>
    </row>
    <row r="121" spans="1:44">
      <c r="A121" s="1930"/>
      <c r="B121" s="1893">
        <v>9</v>
      </c>
      <c r="C121" s="1872">
        <v>10</v>
      </c>
      <c r="D121" s="1931">
        <v>0.27</v>
      </c>
      <c r="E121" s="1915">
        <v>0.65</v>
      </c>
      <c r="F121" s="1930"/>
      <c r="G121" s="1893">
        <v>9</v>
      </c>
      <c r="H121" s="1872">
        <v>10</v>
      </c>
      <c r="I121" s="1931">
        <v>0.33</v>
      </c>
      <c r="J121" s="1915">
        <v>0.56999999999999995</v>
      </c>
      <c r="K121" s="1930"/>
      <c r="L121" s="1893">
        <v>9</v>
      </c>
      <c r="M121" s="1872">
        <v>10</v>
      </c>
      <c r="N121" s="1931">
        <v>0.37</v>
      </c>
      <c r="O121" s="1915">
        <v>0.81</v>
      </c>
      <c r="P121" s="1930"/>
      <c r="Q121" s="1893">
        <v>9</v>
      </c>
      <c r="R121" s="1872">
        <v>10</v>
      </c>
      <c r="S121" s="1931">
        <v>0.32</v>
      </c>
      <c r="T121" s="1915">
        <v>0.53</v>
      </c>
      <c r="U121" s="1930"/>
      <c r="V121" s="1893"/>
      <c r="W121" s="1872"/>
      <c r="X121" s="1931"/>
      <c r="Y121" s="1915"/>
      <c r="Z121" s="1930"/>
      <c r="AA121" s="1893">
        <v>9</v>
      </c>
      <c r="AB121" s="1872">
        <v>10</v>
      </c>
      <c r="AC121" s="1931">
        <v>0.63</v>
      </c>
      <c r="AD121" s="1915">
        <v>0.64</v>
      </c>
      <c r="AF121" s="1893">
        <v>9</v>
      </c>
      <c r="AG121" s="1872">
        <v>10</v>
      </c>
      <c r="AH121" s="1931">
        <v>0.42</v>
      </c>
      <c r="AI121" s="1915">
        <v>0.96</v>
      </c>
      <c r="AK121" s="2075">
        <f t="shared" si="13"/>
        <v>0.37</v>
      </c>
      <c r="AL121" s="2076">
        <f t="shared" si="14"/>
        <v>0.32</v>
      </c>
      <c r="AM121" s="2076">
        <f t="shared" si="12"/>
        <v>0.63</v>
      </c>
      <c r="AN121" s="1956">
        <f t="shared" si="15"/>
        <v>0.42</v>
      </c>
      <c r="AO121" s="1893">
        <v>9</v>
      </c>
      <c r="AP121" s="1872">
        <v>10</v>
      </c>
      <c r="AQ121" s="1979">
        <v>0.44</v>
      </c>
      <c r="AR121" s="1983"/>
    </row>
    <row r="122" spans="1:44">
      <c r="A122" s="1930"/>
      <c r="B122" s="1893">
        <v>10</v>
      </c>
      <c r="C122" s="1872">
        <v>11</v>
      </c>
      <c r="D122" s="1931">
        <v>0.32</v>
      </c>
      <c r="E122" s="1915">
        <v>0.75</v>
      </c>
      <c r="F122" s="1930"/>
      <c r="G122" s="1893">
        <v>10</v>
      </c>
      <c r="H122" s="1872">
        <v>11</v>
      </c>
      <c r="I122" s="1931">
        <v>0.25</v>
      </c>
      <c r="J122" s="1915">
        <v>0.43</v>
      </c>
      <c r="K122" s="1930"/>
      <c r="L122" s="1893">
        <v>10</v>
      </c>
      <c r="M122" s="1872">
        <v>11</v>
      </c>
      <c r="N122" s="1931">
        <v>0.23</v>
      </c>
      <c r="O122" s="1915">
        <v>0.44</v>
      </c>
      <c r="P122" s="1930"/>
      <c r="Q122" s="1893">
        <v>10</v>
      </c>
      <c r="R122" s="1872">
        <v>11</v>
      </c>
      <c r="S122" s="1931">
        <v>0.86</v>
      </c>
      <c r="T122" s="1915">
        <v>1.31</v>
      </c>
      <c r="U122" s="1930"/>
      <c r="V122" s="1893"/>
      <c r="W122" s="1872"/>
      <c r="X122" s="1931"/>
      <c r="Y122" s="1915"/>
      <c r="Z122" s="1930"/>
      <c r="AA122" s="1893">
        <v>10</v>
      </c>
      <c r="AB122" s="1872">
        <v>11</v>
      </c>
      <c r="AC122" s="1931">
        <v>0.59</v>
      </c>
      <c r="AD122" s="1915">
        <v>0.51</v>
      </c>
      <c r="AF122" s="1893">
        <v>10</v>
      </c>
      <c r="AG122" s="1872">
        <v>11</v>
      </c>
      <c r="AH122" s="1931">
        <v>0.34</v>
      </c>
      <c r="AI122" s="1915">
        <v>0.68</v>
      </c>
      <c r="AK122" s="2075">
        <f t="shared" si="13"/>
        <v>0.23</v>
      </c>
      <c r="AL122" s="2076">
        <f t="shared" si="14"/>
        <v>0.86</v>
      </c>
      <c r="AM122" s="2076">
        <f t="shared" si="12"/>
        <v>0.59</v>
      </c>
      <c r="AN122" s="1956">
        <f t="shared" si="15"/>
        <v>0.34</v>
      </c>
      <c r="AO122" s="1893">
        <v>10</v>
      </c>
      <c r="AP122" s="1872">
        <v>11</v>
      </c>
      <c r="AQ122" s="1979">
        <v>0.49</v>
      </c>
      <c r="AR122" s="1983"/>
    </row>
    <row r="123" spans="1:44">
      <c r="A123" s="1930"/>
      <c r="B123" s="1893">
        <v>11</v>
      </c>
      <c r="C123" s="1872">
        <v>12</v>
      </c>
      <c r="D123" s="1931">
        <v>0.21</v>
      </c>
      <c r="E123" s="1915">
        <v>0.48</v>
      </c>
      <c r="F123" s="1930"/>
      <c r="G123" s="1893">
        <v>11</v>
      </c>
      <c r="H123" s="1872">
        <v>12</v>
      </c>
      <c r="I123" s="1931">
        <v>0.24</v>
      </c>
      <c r="J123" s="1915">
        <v>0.41</v>
      </c>
      <c r="K123" s="1930"/>
      <c r="L123" s="1893">
        <v>11</v>
      </c>
      <c r="M123" s="1872">
        <v>12</v>
      </c>
      <c r="N123" s="1931">
        <v>0.12</v>
      </c>
      <c r="O123" s="1915">
        <v>0.22</v>
      </c>
      <c r="P123" s="1930"/>
      <c r="Q123" s="1893">
        <v>11</v>
      </c>
      <c r="R123" s="1872">
        <v>12</v>
      </c>
      <c r="S123" s="1931">
        <v>0.34</v>
      </c>
      <c r="T123" s="1915">
        <v>0.49</v>
      </c>
      <c r="U123" s="1930"/>
      <c r="V123" s="1893"/>
      <c r="W123" s="1872"/>
      <c r="X123" s="1931"/>
      <c r="Y123" s="1915"/>
      <c r="Z123" s="1930"/>
      <c r="AA123" s="1893">
        <v>11</v>
      </c>
      <c r="AB123" s="1872">
        <v>12</v>
      </c>
      <c r="AC123" s="1931">
        <v>0.55000000000000004</v>
      </c>
      <c r="AD123" s="1915">
        <v>0.45</v>
      </c>
      <c r="AF123" s="1893">
        <v>11</v>
      </c>
      <c r="AG123" s="1872">
        <v>12</v>
      </c>
      <c r="AH123" s="1931">
        <v>0.32</v>
      </c>
      <c r="AI123" s="1915">
        <v>0.56999999999999995</v>
      </c>
      <c r="AK123" s="2075">
        <f t="shared" si="13"/>
        <v>0.12</v>
      </c>
      <c r="AL123" s="2076">
        <f t="shared" si="14"/>
        <v>0.34</v>
      </c>
      <c r="AM123" s="2076">
        <f t="shared" si="12"/>
        <v>0.55000000000000004</v>
      </c>
      <c r="AN123" s="1956">
        <f t="shared" si="15"/>
        <v>0.32</v>
      </c>
      <c r="AO123" s="1893">
        <v>11</v>
      </c>
      <c r="AP123" s="1872">
        <v>12</v>
      </c>
      <c r="AQ123" s="1979">
        <v>0.45</v>
      </c>
      <c r="AR123" s="1983"/>
    </row>
    <row r="124" spans="1:44">
      <c r="A124" s="1930"/>
      <c r="B124" s="1893">
        <v>12</v>
      </c>
      <c r="C124" s="1872">
        <v>13</v>
      </c>
      <c r="D124" s="1931">
        <v>0.23</v>
      </c>
      <c r="E124" s="1915">
        <v>0.51</v>
      </c>
      <c r="F124" s="1930"/>
      <c r="G124" s="1893">
        <v>12</v>
      </c>
      <c r="H124" s="1872">
        <v>13</v>
      </c>
      <c r="I124" s="1931">
        <v>0.21</v>
      </c>
      <c r="J124" s="1915">
        <v>0.35</v>
      </c>
      <c r="K124" s="1930"/>
      <c r="L124" s="1893">
        <v>12</v>
      </c>
      <c r="M124" s="1872">
        <v>13</v>
      </c>
      <c r="N124" s="1931">
        <v>0.24</v>
      </c>
      <c r="O124" s="1915">
        <v>0.44</v>
      </c>
      <c r="P124" s="1930"/>
      <c r="Q124" s="1893">
        <v>12</v>
      </c>
      <c r="R124" s="1872">
        <v>13</v>
      </c>
      <c r="S124" s="1931">
        <v>0.87</v>
      </c>
      <c r="T124" s="1915">
        <v>1.17</v>
      </c>
      <c r="U124" s="1930"/>
      <c r="V124" s="1893"/>
      <c r="W124" s="1872"/>
      <c r="X124" s="1931"/>
      <c r="Y124" s="1915"/>
      <c r="Z124" s="1930"/>
      <c r="AA124" s="1893">
        <v>12</v>
      </c>
      <c r="AB124" s="1872">
        <v>13</v>
      </c>
      <c r="AC124" s="1931">
        <v>0.56000000000000005</v>
      </c>
      <c r="AD124" s="1915">
        <v>0.43</v>
      </c>
      <c r="AF124" s="1893">
        <v>12</v>
      </c>
      <c r="AG124" s="1872">
        <v>13</v>
      </c>
      <c r="AH124" s="1931">
        <v>0.44</v>
      </c>
      <c r="AI124" s="1915">
        <v>0.74</v>
      </c>
      <c r="AK124" s="2075">
        <f t="shared" si="13"/>
        <v>0.24</v>
      </c>
      <c r="AL124" s="2076">
        <f t="shared" si="14"/>
        <v>0.87</v>
      </c>
      <c r="AM124" s="2076">
        <f t="shared" si="12"/>
        <v>0.56000000000000005</v>
      </c>
      <c r="AN124" s="1956">
        <f t="shared" si="15"/>
        <v>0.44</v>
      </c>
      <c r="AO124" s="1893">
        <v>12</v>
      </c>
      <c r="AP124" s="1872">
        <v>13</v>
      </c>
      <c r="AQ124" s="1979">
        <v>0.44</v>
      </c>
      <c r="AR124" s="1983"/>
    </row>
    <row r="125" spans="1:44">
      <c r="A125" s="1930"/>
      <c r="B125" s="1893">
        <v>13</v>
      </c>
      <c r="C125" s="1872">
        <v>14</v>
      </c>
      <c r="D125" s="1931">
        <v>7.0000000000000007E-2</v>
      </c>
      <c r="E125" s="1915">
        <v>0.14000000000000001</v>
      </c>
      <c r="F125" s="1930"/>
      <c r="G125" s="1893">
        <v>13</v>
      </c>
      <c r="H125" s="1872">
        <v>14</v>
      </c>
      <c r="I125" s="1931">
        <v>0.24</v>
      </c>
      <c r="J125" s="1915">
        <v>0.4</v>
      </c>
      <c r="K125" s="1930"/>
      <c r="L125" s="1893">
        <v>13</v>
      </c>
      <c r="M125" s="1872">
        <v>14</v>
      </c>
      <c r="N125" s="1931">
        <v>0.24</v>
      </c>
      <c r="O125" s="1915">
        <v>0.44</v>
      </c>
      <c r="P125" s="1930"/>
      <c r="Q125" s="1893">
        <v>13</v>
      </c>
      <c r="R125" s="1872">
        <v>14</v>
      </c>
      <c r="S125" s="1931">
        <v>0.32</v>
      </c>
      <c r="T125" s="1915">
        <v>0.4</v>
      </c>
      <c r="U125" s="1930"/>
      <c r="V125" s="1893"/>
      <c r="W125" s="1872"/>
      <c r="X125" s="1931"/>
      <c r="Y125" s="1915"/>
      <c r="Z125" s="1930"/>
      <c r="AA125" s="1893">
        <v>13</v>
      </c>
      <c r="AB125" s="1872">
        <v>14</v>
      </c>
      <c r="AC125" s="1931">
        <v>0.91</v>
      </c>
      <c r="AD125" s="1915">
        <v>0.49</v>
      </c>
      <c r="AF125" s="1893">
        <v>13</v>
      </c>
      <c r="AG125" s="1872">
        <v>14</v>
      </c>
      <c r="AH125" s="1931">
        <v>0.33</v>
      </c>
      <c r="AI125" s="1915">
        <v>0.55000000000000004</v>
      </c>
      <c r="AK125" s="2075">
        <f t="shared" si="13"/>
        <v>0.24</v>
      </c>
      <c r="AL125" s="2076">
        <f t="shared" si="14"/>
        <v>0.32</v>
      </c>
      <c r="AM125" s="2076">
        <f t="shared" si="12"/>
        <v>0.91</v>
      </c>
      <c r="AN125" s="1956">
        <f t="shared" si="15"/>
        <v>0.33</v>
      </c>
      <c r="AO125" s="1893">
        <v>13</v>
      </c>
      <c r="AP125" s="1872">
        <v>14</v>
      </c>
      <c r="AQ125" s="1979">
        <v>0.38</v>
      </c>
      <c r="AR125" s="1983"/>
    </row>
    <row r="126" spans="1:44">
      <c r="A126" s="1930"/>
      <c r="B126" s="1893">
        <v>14</v>
      </c>
      <c r="C126" s="1872">
        <v>15</v>
      </c>
      <c r="D126" s="1931">
        <v>0.22</v>
      </c>
      <c r="E126" s="1915">
        <v>0.46</v>
      </c>
      <c r="F126" s="1930"/>
      <c r="G126" s="1893">
        <v>14</v>
      </c>
      <c r="H126" s="1872">
        <v>15</v>
      </c>
      <c r="I126" s="1931">
        <v>0.41</v>
      </c>
      <c r="J126" s="1915">
        <v>0.7</v>
      </c>
      <c r="K126" s="1930"/>
      <c r="L126" s="1893">
        <v>14</v>
      </c>
      <c r="M126" s="1872">
        <v>15</v>
      </c>
      <c r="N126" s="1931">
        <v>0.3</v>
      </c>
      <c r="O126" s="1915">
        <v>0.55000000000000004</v>
      </c>
      <c r="P126" s="1930"/>
      <c r="Q126" s="1893">
        <v>14</v>
      </c>
      <c r="R126" s="1872">
        <v>15</v>
      </c>
      <c r="S126" s="1931">
        <v>0.14000000000000001</v>
      </c>
      <c r="T126" s="1915">
        <v>0.17</v>
      </c>
      <c r="U126" s="1930"/>
      <c r="V126" s="1893"/>
      <c r="W126" s="1872"/>
      <c r="X126" s="1931"/>
      <c r="Y126" s="1915"/>
      <c r="Z126" s="1930"/>
      <c r="AA126" s="1893">
        <v>14</v>
      </c>
      <c r="AB126" s="1872">
        <v>15</v>
      </c>
      <c r="AC126" s="1931">
        <v>0.37</v>
      </c>
      <c r="AD126" s="1915">
        <v>0.18</v>
      </c>
      <c r="AF126" s="1893">
        <v>14</v>
      </c>
      <c r="AG126" s="1872">
        <v>15</v>
      </c>
      <c r="AH126" s="1931">
        <v>0.35</v>
      </c>
      <c r="AI126" s="1915">
        <v>0.62</v>
      </c>
      <c r="AK126" s="2075">
        <f t="shared" si="13"/>
        <v>0.3</v>
      </c>
      <c r="AL126" s="2076">
        <f t="shared" si="14"/>
        <v>0.14000000000000001</v>
      </c>
      <c r="AM126" s="2076">
        <f t="shared" si="12"/>
        <v>0.37</v>
      </c>
      <c r="AN126" s="1956">
        <f t="shared" si="15"/>
        <v>0.35</v>
      </c>
      <c r="AO126" s="1893">
        <v>14</v>
      </c>
      <c r="AP126" s="1872">
        <v>15</v>
      </c>
      <c r="AQ126" s="1979">
        <v>0.39</v>
      </c>
      <c r="AR126" s="1983"/>
    </row>
    <row r="127" spans="1:44">
      <c r="A127" s="1930"/>
      <c r="B127" s="1893">
        <v>15</v>
      </c>
      <c r="C127" s="1872">
        <v>16</v>
      </c>
      <c r="D127" s="1931">
        <v>0.17</v>
      </c>
      <c r="E127" s="1915">
        <v>0.36</v>
      </c>
      <c r="F127" s="1930"/>
      <c r="G127" s="1893">
        <v>15</v>
      </c>
      <c r="H127" s="1872">
        <v>16</v>
      </c>
      <c r="I127" s="1931">
        <v>0.36</v>
      </c>
      <c r="J127" s="1915">
        <v>0.64</v>
      </c>
      <c r="K127" s="1930"/>
      <c r="L127" s="1893">
        <v>15</v>
      </c>
      <c r="M127" s="1872">
        <v>16</v>
      </c>
      <c r="N127" s="1931">
        <v>0.28000000000000003</v>
      </c>
      <c r="O127" s="1915">
        <v>0.51</v>
      </c>
      <c r="P127" s="1930"/>
      <c r="Q127" s="1893">
        <v>15</v>
      </c>
      <c r="R127" s="1872">
        <v>16</v>
      </c>
      <c r="S127" s="1931">
        <v>0.23</v>
      </c>
      <c r="T127" s="1915">
        <v>0.3</v>
      </c>
      <c r="U127" s="1930"/>
      <c r="V127" s="1893"/>
      <c r="W127" s="1872"/>
      <c r="X127" s="1931"/>
      <c r="Y127" s="1915"/>
      <c r="Z127" s="1930"/>
      <c r="AA127" s="1893">
        <v>15</v>
      </c>
      <c r="AB127" s="1872">
        <v>16</v>
      </c>
      <c r="AC127" s="1931">
        <v>0.36</v>
      </c>
      <c r="AD127" s="1915">
        <v>0.28000000000000003</v>
      </c>
      <c r="AF127" s="1893">
        <v>15</v>
      </c>
      <c r="AG127" s="1872">
        <v>16</v>
      </c>
      <c r="AH127" s="1931">
        <v>0.28000000000000003</v>
      </c>
      <c r="AI127" s="1915">
        <v>0.56999999999999995</v>
      </c>
      <c r="AK127" s="2075">
        <f t="shared" si="13"/>
        <v>0.28000000000000003</v>
      </c>
      <c r="AL127" s="2076">
        <f t="shared" si="14"/>
        <v>0.23</v>
      </c>
      <c r="AM127" s="2076">
        <f t="shared" si="12"/>
        <v>0.36</v>
      </c>
      <c r="AN127" s="1956">
        <f t="shared" si="15"/>
        <v>0.28000000000000003</v>
      </c>
      <c r="AO127" s="1893">
        <v>15</v>
      </c>
      <c r="AP127" s="1872">
        <v>16</v>
      </c>
      <c r="AQ127" s="1979">
        <v>0.6</v>
      </c>
      <c r="AR127" s="1983"/>
    </row>
    <row r="128" spans="1:44">
      <c r="A128" s="1930"/>
      <c r="B128" s="1893">
        <v>16</v>
      </c>
      <c r="C128" s="1872">
        <v>17</v>
      </c>
      <c r="D128" s="1931">
        <v>0.21</v>
      </c>
      <c r="E128" s="1915">
        <v>0.48</v>
      </c>
      <c r="F128" s="1930"/>
      <c r="G128" s="1893">
        <v>16</v>
      </c>
      <c r="H128" s="1872">
        <v>17</v>
      </c>
      <c r="I128" s="1931">
        <v>0.34</v>
      </c>
      <c r="J128" s="1915">
        <v>0.62</v>
      </c>
      <c r="K128" s="1930"/>
      <c r="L128" s="1893">
        <v>16</v>
      </c>
      <c r="M128" s="1872">
        <v>17</v>
      </c>
      <c r="N128" s="1931">
        <v>0.3</v>
      </c>
      <c r="O128" s="1915">
        <v>0.56000000000000005</v>
      </c>
      <c r="P128" s="1930"/>
      <c r="Q128" s="1893">
        <v>16</v>
      </c>
      <c r="R128" s="1872">
        <v>17</v>
      </c>
      <c r="S128" s="1931">
        <v>0.32</v>
      </c>
      <c r="T128" s="1915">
        <v>0.46</v>
      </c>
      <c r="U128" s="1930"/>
      <c r="V128" s="1893"/>
      <c r="W128" s="1872"/>
      <c r="X128" s="1931"/>
      <c r="Y128" s="1915"/>
      <c r="Z128" s="1930"/>
      <c r="AA128" s="1893">
        <v>16</v>
      </c>
      <c r="AB128" s="1872">
        <v>17</v>
      </c>
      <c r="AC128" s="1931">
        <v>0.25</v>
      </c>
      <c r="AD128" s="1915">
        <v>0.2</v>
      </c>
      <c r="AF128" s="1893">
        <v>16</v>
      </c>
      <c r="AG128" s="1872">
        <v>17</v>
      </c>
      <c r="AH128" s="1931">
        <v>0.34</v>
      </c>
      <c r="AI128" s="1915">
        <v>0.73</v>
      </c>
      <c r="AK128" s="2075">
        <f t="shared" si="13"/>
        <v>0.3</v>
      </c>
      <c r="AL128" s="2076">
        <f t="shared" si="14"/>
        <v>0.32</v>
      </c>
      <c r="AM128" s="2076">
        <f t="shared" si="12"/>
        <v>0.25</v>
      </c>
      <c r="AN128" s="1956">
        <f t="shared" si="15"/>
        <v>0.34</v>
      </c>
      <c r="AO128" s="1893">
        <v>16</v>
      </c>
      <c r="AP128" s="1872">
        <v>17</v>
      </c>
      <c r="AQ128" s="1979">
        <v>0.32</v>
      </c>
      <c r="AR128" s="1983"/>
    </row>
    <row r="129" spans="1:44">
      <c r="A129" s="1930"/>
      <c r="B129" s="1894">
        <v>17</v>
      </c>
      <c r="C129" s="1895">
        <v>18</v>
      </c>
      <c r="D129" s="1932">
        <v>0.35</v>
      </c>
      <c r="E129" s="1916">
        <v>1.1200000000000001</v>
      </c>
      <c r="F129" s="1930"/>
      <c r="G129" s="1894">
        <v>17</v>
      </c>
      <c r="H129" s="1895">
        <v>18</v>
      </c>
      <c r="I129" s="1932">
        <v>0.35</v>
      </c>
      <c r="J129" s="1916">
        <v>1.02</v>
      </c>
      <c r="K129" s="1930"/>
      <c r="L129" s="1894">
        <v>17</v>
      </c>
      <c r="M129" s="1895">
        <v>18</v>
      </c>
      <c r="N129" s="1932">
        <v>0.66</v>
      </c>
      <c r="O129" s="1916">
        <v>1.29</v>
      </c>
      <c r="P129" s="1930"/>
      <c r="Q129" s="1894">
        <v>17</v>
      </c>
      <c r="R129" s="1895">
        <v>18</v>
      </c>
      <c r="S129" s="1932">
        <v>1.19</v>
      </c>
      <c r="T129" s="1916">
        <v>1.93</v>
      </c>
      <c r="U129" s="1930"/>
      <c r="V129" s="1894"/>
      <c r="W129" s="1895"/>
      <c r="X129" s="1932"/>
      <c r="Y129" s="1916"/>
      <c r="Z129" s="1930"/>
      <c r="AA129" s="1894">
        <v>17</v>
      </c>
      <c r="AB129" s="1895">
        <v>18</v>
      </c>
      <c r="AC129" s="1932">
        <v>0.32</v>
      </c>
      <c r="AD129" s="1916">
        <v>0.36</v>
      </c>
      <c r="AF129" s="1894">
        <v>17</v>
      </c>
      <c r="AG129" s="1895">
        <v>18</v>
      </c>
      <c r="AH129" s="1932">
        <v>0.78</v>
      </c>
      <c r="AI129" s="1916">
        <v>1.7</v>
      </c>
      <c r="AK129" s="2077">
        <f t="shared" si="13"/>
        <v>0.66</v>
      </c>
      <c r="AL129" s="2078">
        <f t="shared" si="14"/>
        <v>1.19</v>
      </c>
      <c r="AM129" s="2078">
        <f t="shared" si="12"/>
        <v>0.32</v>
      </c>
      <c r="AN129" s="1959">
        <f t="shared" si="15"/>
        <v>0.78</v>
      </c>
      <c r="AO129" s="1894">
        <v>17</v>
      </c>
      <c r="AP129" s="1895">
        <v>18</v>
      </c>
      <c r="AQ129" s="1979">
        <v>0.36</v>
      </c>
      <c r="AR129" s="1983"/>
    </row>
    <row r="130" spans="1:44">
      <c r="A130" s="1934"/>
      <c r="B130" s="1910">
        <v>18</v>
      </c>
      <c r="C130" s="1889">
        <v>19</v>
      </c>
      <c r="D130" s="1933">
        <v>0.25</v>
      </c>
      <c r="E130" s="1911">
        <v>0.83</v>
      </c>
      <c r="F130" s="1934"/>
      <c r="G130" s="1910">
        <v>18</v>
      </c>
      <c r="H130" s="1889">
        <v>19</v>
      </c>
      <c r="I130" s="1933">
        <v>0.54</v>
      </c>
      <c r="J130" s="1911">
        <v>1.63</v>
      </c>
      <c r="K130" s="1934"/>
      <c r="L130" s="1910">
        <v>18</v>
      </c>
      <c r="M130" s="1889">
        <v>19</v>
      </c>
      <c r="N130" s="1933">
        <v>0.51</v>
      </c>
      <c r="O130" s="1911">
        <v>1.1200000000000001</v>
      </c>
      <c r="P130" s="1934"/>
      <c r="Q130" s="1910">
        <v>18</v>
      </c>
      <c r="R130" s="1889">
        <v>19</v>
      </c>
      <c r="S130" s="1933">
        <v>0.38</v>
      </c>
      <c r="T130" s="1911">
        <v>0.66</v>
      </c>
      <c r="U130" s="1934"/>
      <c r="V130" s="1910"/>
      <c r="W130" s="1889"/>
      <c r="X130" s="1933"/>
      <c r="Y130" s="1911"/>
      <c r="Z130" s="1934"/>
      <c r="AA130" s="1910">
        <v>18</v>
      </c>
      <c r="AB130" s="1889">
        <v>19</v>
      </c>
      <c r="AC130" s="1933">
        <v>0.32</v>
      </c>
      <c r="AD130" s="1911">
        <v>0.49</v>
      </c>
      <c r="AF130" s="1910">
        <v>18</v>
      </c>
      <c r="AG130" s="1889">
        <v>19</v>
      </c>
      <c r="AH130" s="1933">
        <v>0.52</v>
      </c>
      <c r="AI130" s="1911">
        <v>1.1200000000000001</v>
      </c>
      <c r="AK130" s="2073">
        <f t="shared" si="13"/>
        <v>0.51</v>
      </c>
      <c r="AL130" s="2074">
        <f t="shared" si="14"/>
        <v>0.38</v>
      </c>
      <c r="AM130" s="2074">
        <f t="shared" si="12"/>
        <v>0.32</v>
      </c>
      <c r="AN130" s="1954">
        <f t="shared" si="15"/>
        <v>0.52</v>
      </c>
      <c r="AO130" s="1910">
        <v>18</v>
      </c>
      <c r="AP130" s="1889">
        <v>19</v>
      </c>
      <c r="AQ130" s="1979">
        <v>0.76</v>
      </c>
      <c r="AR130" s="1983"/>
    </row>
    <row r="131" spans="1:44">
      <c r="A131" s="1934"/>
      <c r="B131" s="1902">
        <v>19</v>
      </c>
      <c r="C131" s="1873">
        <v>20</v>
      </c>
      <c r="D131" s="1935">
        <v>0.46</v>
      </c>
      <c r="E131" s="1912">
        <v>1.51</v>
      </c>
      <c r="F131" s="1934"/>
      <c r="G131" s="1902">
        <v>19</v>
      </c>
      <c r="H131" s="1873">
        <v>20</v>
      </c>
      <c r="I131" s="1935">
        <v>0.27</v>
      </c>
      <c r="J131" s="1912">
        <v>0.79</v>
      </c>
      <c r="K131" s="1934"/>
      <c r="L131" s="1902">
        <v>19</v>
      </c>
      <c r="M131" s="1873">
        <v>20</v>
      </c>
      <c r="N131" s="1935">
        <v>0.32</v>
      </c>
      <c r="O131" s="1912">
        <v>0.8</v>
      </c>
      <c r="P131" s="1934"/>
      <c r="Q131" s="1902">
        <v>19</v>
      </c>
      <c r="R131" s="1873">
        <v>20</v>
      </c>
      <c r="S131" s="1935">
        <v>0.27</v>
      </c>
      <c r="T131" s="1912">
        <v>0.48</v>
      </c>
      <c r="U131" s="1934"/>
      <c r="V131" s="1902"/>
      <c r="W131" s="1873"/>
      <c r="X131" s="1935"/>
      <c r="Y131" s="1912"/>
      <c r="Z131" s="1934"/>
      <c r="AA131" s="1902">
        <v>19</v>
      </c>
      <c r="AB131" s="1873">
        <v>20</v>
      </c>
      <c r="AC131" s="1935">
        <v>0.34</v>
      </c>
      <c r="AD131" s="1912">
        <v>0.59</v>
      </c>
      <c r="AF131" s="1902">
        <v>19</v>
      </c>
      <c r="AG131" s="1873">
        <v>20</v>
      </c>
      <c r="AH131" s="1935">
        <v>0.45</v>
      </c>
      <c r="AI131" s="1912">
        <v>1.03</v>
      </c>
      <c r="AK131" s="2075">
        <f t="shared" si="13"/>
        <v>0.32</v>
      </c>
      <c r="AL131" s="2076">
        <f t="shared" si="14"/>
        <v>0.27</v>
      </c>
      <c r="AM131" s="2076">
        <f t="shared" si="12"/>
        <v>0.34</v>
      </c>
      <c r="AN131" s="1956">
        <f t="shared" si="15"/>
        <v>0.45</v>
      </c>
      <c r="AO131" s="1902">
        <v>19</v>
      </c>
      <c r="AP131" s="1873">
        <v>20</v>
      </c>
      <c r="AQ131" s="1979">
        <v>0.56000000000000005</v>
      </c>
      <c r="AR131" s="1983"/>
    </row>
    <row r="132" spans="1:44">
      <c r="A132" s="1934"/>
      <c r="B132" s="1902">
        <v>20</v>
      </c>
      <c r="C132" s="1873">
        <v>21</v>
      </c>
      <c r="D132" s="1935">
        <v>0.52</v>
      </c>
      <c r="E132" s="1912">
        <v>1.24</v>
      </c>
      <c r="F132" s="1934"/>
      <c r="G132" s="1902">
        <v>20</v>
      </c>
      <c r="H132" s="1873">
        <v>21</v>
      </c>
      <c r="I132" s="1935">
        <v>0.32</v>
      </c>
      <c r="J132" s="1912">
        <v>0.63</v>
      </c>
      <c r="K132" s="1934"/>
      <c r="L132" s="1902">
        <v>20</v>
      </c>
      <c r="M132" s="1873">
        <v>21</v>
      </c>
      <c r="N132" s="1935">
        <v>0.39</v>
      </c>
      <c r="O132" s="1912">
        <v>0.96</v>
      </c>
      <c r="P132" s="1934"/>
      <c r="Q132" s="1902">
        <v>20</v>
      </c>
      <c r="R132" s="1873">
        <v>21</v>
      </c>
      <c r="S132" s="1935">
        <v>0.34</v>
      </c>
      <c r="T132" s="1912">
        <v>0.62</v>
      </c>
      <c r="U132" s="1934"/>
      <c r="V132" s="1902"/>
      <c r="W132" s="1873"/>
      <c r="X132" s="1935"/>
      <c r="Y132" s="1912"/>
      <c r="Z132" s="1934"/>
      <c r="AA132" s="1902">
        <v>20</v>
      </c>
      <c r="AB132" s="1873">
        <v>21</v>
      </c>
      <c r="AC132" s="1935">
        <v>0.32</v>
      </c>
      <c r="AD132" s="1912">
        <v>0.59</v>
      </c>
      <c r="AF132" s="1902">
        <v>20</v>
      </c>
      <c r="AG132" s="1873">
        <v>21</v>
      </c>
      <c r="AH132" s="1935">
        <v>0.4</v>
      </c>
      <c r="AI132" s="1912">
        <v>1.0900000000000001</v>
      </c>
      <c r="AK132" s="2075">
        <f t="shared" si="13"/>
        <v>0.39</v>
      </c>
      <c r="AL132" s="2076">
        <f t="shared" si="14"/>
        <v>0.34</v>
      </c>
      <c r="AM132" s="2076">
        <f t="shared" si="12"/>
        <v>0.32</v>
      </c>
      <c r="AN132" s="1956">
        <f t="shared" si="15"/>
        <v>0.4</v>
      </c>
      <c r="AO132" s="1902">
        <v>20</v>
      </c>
      <c r="AP132" s="1873">
        <v>21</v>
      </c>
      <c r="AQ132" s="1979">
        <v>0.47</v>
      </c>
      <c r="AR132" s="1983"/>
    </row>
    <row r="133" spans="1:44">
      <c r="A133" s="1934"/>
      <c r="B133" s="1902">
        <v>21</v>
      </c>
      <c r="C133" s="1873">
        <v>22</v>
      </c>
      <c r="D133" s="1935">
        <v>0.3</v>
      </c>
      <c r="E133" s="1912">
        <v>0.69</v>
      </c>
      <c r="F133" s="1934"/>
      <c r="G133" s="1902">
        <v>21</v>
      </c>
      <c r="H133" s="1873">
        <v>22</v>
      </c>
      <c r="I133" s="1935">
        <v>0.28000000000000003</v>
      </c>
      <c r="J133" s="1912">
        <v>0.53</v>
      </c>
      <c r="K133" s="1934"/>
      <c r="L133" s="1902">
        <v>21</v>
      </c>
      <c r="M133" s="1873">
        <v>22</v>
      </c>
      <c r="N133" s="1935">
        <v>0.28999999999999998</v>
      </c>
      <c r="O133" s="1912">
        <v>0.66</v>
      </c>
      <c r="P133" s="1934"/>
      <c r="Q133" s="1902">
        <v>21</v>
      </c>
      <c r="R133" s="1873">
        <v>22</v>
      </c>
      <c r="S133" s="1935">
        <v>0.33</v>
      </c>
      <c r="T133" s="1912">
        <v>0.57999999999999996</v>
      </c>
      <c r="U133" s="1934"/>
      <c r="V133" s="1902"/>
      <c r="W133" s="1873"/>
      <c r="X133" s="1935"/>
      <c r="Y133" s="1912"/>
      <c r="Z133" s="1934"/>
      <c r="AA133" s="1902">
        <v>21</v>
      </c>
      <c r="AB133" s="1873">
        <v>22</v>
      </c>
      <c r="AC133" s="1935">
        <v>0.28000000000000003</v>
      </c>
      <c r="AD133" s="1912">
        <v>0.5</v>
      </c>
      <c r="AF133" s="1902">
        <v>21</v>
      </c>
      <c r="AG133" s="1873">
        <v>22</v>
      </c>
      <c r="AH133" s="1935">
        <v>0.42</v>
      </c>
      <c r="AI133" s="1912">
        <v>1.29</v>
      </c>
      <c r="AK133" s="2075">
        <f t="shared" si="13"/>
        <v>0.28999999999999998</v>
      </c>
      <c r="AL133" s="2076">
        <f t="shared" si="14"/>
        <v>0.33</v>
      </c>
      <c r="AM133" s="2076">
        <f t="shared" si="12"/>
        <v>0.28000000000000003</v>
      </c>
      <c r="AN133" s="1956">
        <f t="shared" si="15"/>
        <v>0.42</v>
      </c>
      <c r="AO133" s="1902">
        <v>21</v>
      </c>
      <c r="AP133" s="1873">
        <v>22</v>
      </c>
      <c r="AQ133" s="1979">
        <v>0.45</v>
      </c>
      <c r="AR133" s="1983"/>
    </row>
    <row r="134" spans="1:44">
      <c r="A134" s="1934"/>
      <c r="B134" s="1902">
        <v>22</v>
      </c>
      <c r="C134" s="1873">
        <v>23</v>
      </c>
      <c r="D134" s="1935">
        <v>0.17</v>
      </c>
      <c r="E134" s="1912">
        <v>0.35</v>
      </c>
      <c r="F134" s="1934"/>
      <c r="G134" s="1902">
        <v>22</v>
      </c>
      <c r="H134" s="1873">
        <v>23</v>
      </c>
      <c r="I134" s="1935">
        <v>0.14000000000000001</v>
      </c>
      <c r="J134" s="1912">
        <v>0.26</v>
      </c>
      <c r="K134" s="1934"/>
      <c r="L134" s="1902">
        <v>22</v>
      </c>
      <c r="M134" s="1873">
        <v>23</v>
      </c>
      <c r="N134" s="1935">
        <v>0.21</v>
      </c>
      <c r="O134" s="1912">
        <v>0.45</v>
      </c>
      <c r="P134" s="1934"/>
      <c r="Q134" s="1902">
        <v>22</v>
      </c>
      <c r="R134" s="1873">
        <v>23</v>
      </c>
      <c r="S134" s="1935">
        <v>0.24</v>
      </c>
      <c r="T134" s="1912">
        <v>0.4</v>
      </c>
      <c r="U134" s="1934"/>
      <c r="V134" s="1902"/>
      <c r="W134" s="1873"/>
      <c r="X134" s="1935"/>
      <c r="Y134" s="1912"/>
      <c r="Z134" s="1934"/>
      <c r="AA134" s="1902">
        <v>22</v>
      </c>
      <c r="AB134" s="1873">
        <v>23</v>
      </c>
      <c r="AC134" s="1935">
        <v>0.32</v>
      </c>
      <c r="AD134" s="1912">
        <v>0.56000000000000005</v>
      </c>
      <c r="AF134" s="1902">
        <v>22</v>
      </c>
      <c r="AG134" s="1873">
        <v>23</v>
      </c>
      <c r="AH134" s="1935">
        <v>0.21</v>
      </c>
      <c r="AI134" s="1912">
        <v>0.63</v>
      </c>
      <c r="AK134" s="2075">
        <f t="shared" si="13"/>
        <v>0.21</v>
      </c>
      <c r="AL134" s="2076">
        <f t="shared" si="14"/>
        <v>0.24</v>
      </c>
      <c r="AM134" s="2076">
        <f t="shared" si="12"/>
        <v>0.32</v>
      </c>
      <c r="AN134" s="1956">
        <f t="shared" si="15"/>
        <v>0.21</v>
      </c>
      <c r="AO134" s="1902">
        <v>22</v>
      </c>
      <c r="AP134" s="1873">
        <v>23</v>
      </c>
      <c r="AQ134" s="1979">
        <v>0.5</v>
      </c>
      <c r="AR134" s="1983"/>
    </row>
    <row r="135" spans="1:44" ht="15" thickBot="1">
      <c r="A135" s="1934"/>
      <c r="B135" s="1902">
        <v>23</v>
      </c>
      <c r="C135" s="1873">
        <v>24</v>
      </c>
      <c r="D135" s="1935">
        <v>7.0000000000000007E-2</v>
      </c>
      <c r="E135" s="1912">
        <v>0.13</v>
      </c>
      <c r="F135" s="1934"/>
      <c r="G135" s="1902">
        <v>23</v>
      </c>
      <c r="H135" s="1873">
        <v>24</v>
      </c>
      <c r="I135" s="1935">
        <v>0.1</v>
      </c>
      <c r="J135" s="1912">
        <v>0.18</v>
      </c>
      <c r="K135" s="1934"/>
      <c r="L135" s="1902">
        <v>23</v>
      </c>
      <c r="M135" s="1873">
        <v>24</v>
      </c>
      <c r="N135" s="1935">
        <v>0.3</v>
      </c>
      <c r="O135" s="1912">
        <v>0.61</v>
      </c>
      <c r="P135" s="1934"/>
      <c r="Q135" s="1902">
        <v>23</v>
      </c>
      <c r="R135" s="1873">
        <v>24</v>
      </c>
      <c r="S135" s="1935">
        <v>0.12</v>
      </c>
      <c r="T135" s="1912">
        <v>0.19</v>
      </c>
      <c r="U135" s="1934"/>
      <c r="V135" s="1902"/>
      <c r="W135" s="1873"/>
      <c r="X135" s="1935"/>
      <c r="Y135" s="1912"/>
      <c r="Z135" s="1934"/>
      <c r="AA135" s="1902">
        <v>23</v>
      </c>
      <c r="AB135" s="1873">
        <v>24</v>
      </c>
      <c r="AC135" s="1935">
        <v>0.3</v>
      </c>
      <c r="AD135" s="1912">
        <v>0.49</v>
      </c>
      <c r="AF135" s="1902">
        <v>23</v>
      </c>
      <c r="AG135" s="1873">
        <v>24</v>
      </c>
      <c r="AH135" s="1935">
        <v>0.18</v>
      </c>
      <c r="AI135" s="1912">
        <v>0.51</v>
      </c>
      <c r="AK135" s="2077">
        <f t="shared" si="13"/>
        <v>0.3</v>
      </c>
      <c r="AL135" s="2078">
        <f t="shared" si="14"/>
        <v>0.12</v>
      </c>
      <c r="AM135" s="2078">
        <f t="shared" si="12"/>
        <v>0.3</v>
      </c>
      <c r="AN135" s="1959">
        <f t="shared" si="15"/>
        <v>0.18</v>
      </c>
      <c r="AO135" s="1902">
        <v>23</v>
      </c>
      <c r="AP135" s="1873">
        <v>24</v>
      </c>
      <c r="AQ135" s="1979">
        <v>0.45</v>
      </c>
      <c r="AR135" s="1983"/>
    </row>
    <row r="136" spans="1:44">
      <c r="B136" s="2766">
        <v>44962</v>
      </c>
      <c r="C136" s="2766"/>
      <c r="D136" s="1922">
        <f>SUM(D137:D160)</f>
        <v>6.0400000000000009</v>
      </c>
      <c r="E136" s="1923">
        <f>SUM(E137:E160)</f>
        <v>12.420000000000002</v>
      </c>
      <c r="G136" s="2773">
        <v>44990</v>
      </c>
      <c r="H136" s="2773"/>
      <c r="I136" s="1922">
        <f>SUM(I137:I160)</f>
        <v>7.3499999999999988</v>
      </c>
      <c r="J136" s="1923">
        <f>SUM(J137:J160)</f>
        <v>16.149999999999999</v>
      </c>
      <c r="L136" s="2773">
        <v>45021</v>
      </c>
      <c r="M136" s="2773"/>
      <c r="N136" s="1936">
        <f>SUM(N137:N160)</f>
        <v>7.07</v>
      </c>
      <c r="O136" s="1937">
        <f>SUM(O137:O160)</f>
        <v>15.31</v>
      </c>
      <c r="Q136" s="2766">
        <v>45051</v>
      </c>
      <c r="R136" s="2766"/>
      <c r="S136" s="1936">
        <f>SUM(S137:S160)</f>
        <v>6.82</v>
      </c>
      <c r="T136" s="1937">
        <f>SUM(T137:T160)</f>
        <v>8.77</v>
      </c>
      <c r="V136" s="2766">
        <v>45051</v>
      </c>
      <c r="W136" s="2766"/>
      <c r="X136" s="1936">
        <f>SUM(X137:X160)</f>
        <v>0.62</v>
      </c>
      <c r="Y136" s="1937">
        <f>SUM(Y137:Y160)</f>
        <v>0.7400000000000001</v>
      </c>
      <c r="AA136" s="2766">
        <v>45082</v>
      </c>
      <c r="AB136" s="2766"/>
      <c r="AC136" s="1936">
        <f>SUM(AC137:AC160)</f>
        <v>7.78</v>
      </c>
      <c r="AD136" s="1937">
        <f>SUM(AD137:AD160)</f>
        <v>13.17</v>
      </c>
      <c r="AF136" s="2766">
        <v>45112</v>
      </c>
      <c r="AG136" s="2766"/>
      <c r="AH136" s="1936">
        <f>SUM(AH137:AH160)</f>
        <v>10.99</v>
      </c>
      <c r="AI136" s="1937">
        <f>SUM(AI137:AI160)</f>
        <v>23.849999999999998</v>
      </c>
      <c r="AO136" s="2765">
        <v>45174</v>
      </c>
      <c r="AP136" s="2765"/>
      <c r="AQ136" s="1922">
        <f>SUM(AQ137:AQ160)</f>
        <v>10.54</v>
      </c>
      <c r="AR136" s="1923">
        <f>SUM(AR137:AR160)</f>
        <v>0</v>
      </c>
    </row>
    <row r="137" spans="1:44">
      <c r="A137" s="1927"/>
      <c r="B137" s="1883">
        <v>0</v>
      </c>
      <c r="C137" s="1871">
        <v>1</v>
      </c>
      <c r="D137" s="1926">
        <v>0.12</v>
      </c>
      <c r="E137" s="1913">
        <v>0.22</v>
      </c>
      <c r="F137" s="1927"/>
      <c r="G137" s="1883">
        <v>0</v>
      </c>
      <c r="H137" s="1871">
        <v>1</v>
      </c>
      <c r="I137" s="1926">
        <v>0.11</v>
      </c>
      <c r="J137" s="1913">
        <v>0.2</v>
      </c>
      <c r="K137" s="1927"/>
      <c r="L137" s="1883">
        <v>0</v>
      </c>
      <c r="M137" s="1871">
        <v>1</v>
      </c>
      <c r="N137" s="1926">
        <v>0.15</v>
      </c>
      <c r="O137" s="1913">
        <v>0.3</v>
      </c>
      <c r="P137" s="1927"/>
      <c r="Q137" s="1883">
        <v>0</v>
      </c>
      <c r="R137" s="1871">
        <v>1</v>
      </c>
      <c r="S137" s="1926">
        <v>0.1</v>
      </c>
      <c r="T137" s="1913">
        <v>0.15</v>
      </c>
      <c r="U137" s="1927"/>
      <c r="V137" s="1883">
        <v>0</v>
      </c>
      <c r="W137" s="1871">
        <v>1</v>
      </c>
      <c r="X137" s="1926">
        <v>0</v>
      </c>
      <c r="Y137" s="1913">
        <v>0</v>
      </c>
      <c r="Z137" s="1927"/>
      <c r="AA137" s="1883">
        <v>0</v>
      </c>
      <c r="AB137" s="1871">
        <v>1</v>
      </c>
      <c r="AC137" s="1926">
        <v>0.3</v>
      </c>
      <c r="AD137" s="1913">
        <v>0.46</v>
      </c>
      <c r="AF137" s="1883">
        <v>0</v>
      </c>
      <c r="AG137" s="1871">
        <v>1</v>
      </c>
      <c r="AH137" s="1926">
        <v>0.13</v>
      </c>
      <c r="AI137" s="1913">
        <v>0.37</v>
      </c>
      <c r="AK137" s="1952">
        <f>N137</f>
        <v>0.15</v>
      </c>
      <c r="AL137" s="2074">
        <f>S137</f>
        <v>0.1</v>
      </c>
      <c r="AM137" s="1953">
        <f t="shared" ref="AM137:AM160" si="16">AC137</f>
        <v>0.3</v>
      </c>
      <c r="AN137" s="1954">
        <f>AH137</f>
        <v>0.13</v>
      </c>
      <c r="AO137" s="1883">
        <v>0</v>
      </c>
      <c r="AP137" s="1871">
        <v>1</v>
      </c>
      <c r="AQ137" s="1979">
        <v>0.39</v>
      </c>
      <c r="AR137" s="1983"/>
    </row>
    <row r="138" spans="1:44">
      <c r="A138" s="1927"/>
      <c r="B138" s="1883">
        <v>1</v>
      </c>
      <c r="C138" s="1871">
        <v>2</v>
      </c>
      <c r="D138" s="1926">
        <v>0.12</v>
      </c>
      <c r="E138" s="1913">
        <v>0.22</v>
      </c>
      <c r="F138" s="1927"/>
      <c r="G138" s="1883">
        <v>1</v>
      </c>
      <c r="H138" s="1871">
        <v>2</v>
      </c>
      <c r="I138" s="1926">
        <v>0.12</v>
      </c>
      <c r="J138" s="1913">
        <v>0.22</v>
      </c>
      <c r="K138" s="1927"/>
      <c r="L138" s="1883">
        <v>1</v>
      </c>
      <c r="M138" s="1871">
        <v>2</v>
      </c>
      <c r="N138" s="1926">
        <v>0.05</v>
      </c>
      <c r="O138" s="1913">
        <v>0.3</v>
      </c>
      <c r="P138" s="1927"/>
      <c r="Q138" s="1883">
        <v>1</v>
      </c>
      <c r="R138" s="1871">
        <v>2</v>
      </c>
      <c r="S138" s="1926">
        <v>0.13</v>
      </c>
      <c r="T138" s="1913">
        <v>0.18</v>
      </c>
      <c r="U138" s="1927"/>
      <c r="V138" s="1883">
        <v>1</v>
      </c>
      <c r="W138" s="1871">
        <v>2</v>
      </c>
      <c r="X138" s="1926">
        <v>0</v>
      </c>
      <c r="Y138" s="1913">
        <v>0</v>
      </c>
      <c r="Z138" s="1927"/>
      <c r="AA138" s="1883">
        <v>1</v>
      </c>
      <c r="AB138" s="1871">
        <v>2</v>
      </c>
      <c r="AC138" s="1926">
        <v>0.24</v>
      </c>
      <c r="AD138" s="1913">
        <v>0.35</v>
      </c>
      <c r="AF138" s="1883">
        <v>1</v>
      </c>
      <c r="AG138" s="1871">
        <v>2</v>
      </c>
      <c r="AH138" s="1926">
        <v>0.12</v>
      </c>
      <c r="AI138" s="1913">
        <v>0.32</v>
      </c>
      <c r="AK138" s="1955">
        <f t="shared" ref="AK138:AK160" si="17">N138</f>
        <v>0.05</v>
      </c>
      <c r="AL138" s="2076">
        <f t="shared" ref="AL138:AL160" si="18">S138</f>
        <v>0.13</v>
      </c>
      <c r="AM138" s="1926">
        <f t="shared" si="16"/>
        <v>0.24</v>
      </c>
      <c r="AN138" s="1956">
        <f t="shared" ref="AN138:AN160" si="19">AH138</f>
        <v>0.12</v>
      </c>
      <c r="AO138" s="1883">
        <v>1</v>
      </c>
      <c r="AP138" s="1871">
        <v>2</v>
      </c>
      <c r="AQ138" s="1979">
        <v>0.33</v>
      </c>
      <c r="AR138" s="1983"/>
    </row>
    <row r="139" spans="1:44">
      <c r="A139" s="1927"/>
      <c r="B139" s="1883">
        <v>2</v>
      </c>
      <c r="C139" s="1871">
        <v>3</v>
      </c>
      <c r="D139" s="1926">
        <v>0.12</v>
      </c>
      <c r="E139" s="1913">
        <v>0.21</v>
      </c>
      <c r="F139" s="1927"/>
      <c r="G139" s="1883">
        <v>2</v>
      </c>
      <c r="H139" s="1871">
        <v>3</v>
      </c>
      <c r="I139" s="1926">
        <v>0.11</v>
      </c>
      <c r="J139" s="1913">
        <v>0.2</v>
      </c>
      <c r="K139" s="1927"/>
      <c r="L139" s="1883">
        <v>2</v>
      </c>
      <c r="M139" s="1871">
        <v>3</v>
      </c>
      <c r="N139" s="1926">
        <v>0.13</v>
      </c>
      <c r="O139" s="1913">
        <v>0.25</v>
      </c>
      <c r="P139" s="1927"/>
      <c r="Q139" s="1883">
        <v>2</v>
      </c>
      <c r="R139" s="1871">
        <v>3</v>
      </c>
      <c r="S139" s="1926">
        <v>0.1</v>
      </c>
      <c r="T139" s="1913">
        <v>0.14000000000000001</v>
      </c>
      <c r="U139" s="1927"/>
      <c r="V139" s="1883">
        <v>2</v>
      </c>
      <c r="W139" s="1871">
        <v>3</v>
      </c>
      <c r="X139" s="1926">
        <v>0</v>
      </c>
      <c r="Y139" s="1913">
        <v>0</v>
      </c>
      <c r="Z139" s="1927"/>
      <c r="AA139" s="1883">
        <v>2</v>
      </c>
      <c r="AB139" s="1871">
        <v>3</v>
      </c>
      <c r="AC139" s="1926">
        <v>0.35</v>
      </c>
      <c r="AD139" s="1913">
        <v>0.51</v>
      </c>
      <c r="AF139" s="1883">
        <v>2</v>
      </c>
      <c r="AG139" s="1871">
        <v>3</v>
      </c>
      <c r="AH139" s="1926">
        <v>0.17</v>
      </c>
      <c r="AI139" s="1913">
        <v>0.43</v>
      </c>
      <c r="AK139" s="1955">
        <f t="shared" si="17"/>
        <v>0.13</v>
      </c>
      <c r="AL139" s="2076">
        <f t="shared" si="18"/>
        <v>0.1</v>
      </c>
      <c r="AM139" s="1926">
        <f t="shared" si="16"/>
        <v>0.35</v>
      </c>
      <c r="AN139" s="1956">
        <f t="shared" si="19"/>
        <v>0.17</v>
      </c>
      <c r="AO139" s="1883">
        <v>2</v>
      </c>
      <c r="AP139" s="1871">
        <v>3</v>
      </c>
      <c r="AQ139" s="1979">
        <v>0.24</v>
      </c>
      <c r="AR139" s="1983"/>
    </row>
    <row r="140" spans="1:44">
      <c r="A140" s="1927"/>
      <c r="B140" s="1883">
        <v>3</v>
      </c>
      <c r="C140" s="1871">
        <v>4</v>
      </c>
      <c r="D140" s="1926">
        <v>0.1</v>
      </c>
      <c r="E140" s="1913">
        <v>0.18</v>
      </c>
      <c r="F140" s="1927"/>
      <c r="G140" s="1883">
        <v>3</v>
      </c>
      <c r="H140" s="1871">
        <v>4</v>
      </c>
      <c r="I140" s="1926">
        <v>0.09</v>
      </c>
      <c r="J140" s="1913">
        <v>0.16</v>
      </c>
      <c r="K140" s="1927"/>
      <c r="L140" s="1883">
        <v>3</v>
      </c>
      <c r="M140" s="1871">
        <v>4</v>
      </c>
      <c r="N140" s="1926">
        <v>0.12</v>
      </c>
      <c r="O140" s="1913">
        <v>0.23</v>
      </c>
      <c r="P140" s="1927"/>
      <c r="Q140" s="1883">
        <v>3</v>
      </c>
      <c r="R140" s="1871">
        <v>4</v>
      </c>
      <c r="S140" s="1926">
        <v>0.14000000000000001</v>
      </c>
      <c r="T140" s="1913">
        <v>0.2</v>
      </c>
      <c r="U140" s="1927"/>
      <c r="V140" s="1883">
        <v>3</v>
      </c>
      <c r="W140" s="1871">
        <v>4</v>
      </c>
      <c r="X140" s="1926">
        <v>0</v>
      </c>
      <c r="Y140" s="1913">
        <v>0</v>
      </c>
      <c r="Z140" s="1927"/>
      <c r="AA140" s="1883">
        <v>3</v>
      </c>
      <c r="AB140" s="1871">
        <v>4</v>
      </c>
      <c r="AC140" s="1926">
        <v>0.25</v>
      </c>
      <c r="AD140" s="1913">
        <v>0.37</v>
      </c>
      <c r="AF140" s="1883">
        <v>3</v>
      </c>
      <c r="AG140" s="1871">
        <v>4</v>
      </c>
      <c r="AH140" s="1926">
        <v>0.15</v>
      </c>
      <c r="AI140" s="1913">
        <v>0.37</v>
      </c>
      <c r="AK140" s="1955">
        <f t="shared" si="17"/>
        <v>0.12</v>
      </c>
      <c r="AL140" s="2076">
        <f t="shared" si="18"/>
        <v>0.14000000000000001</v>
      </c>
      <c r="AM140" s="1926">
        <f t="shared" si="16"/>
        <v>0.25</v>
      </c>
      <c r="AN140" s="1956">
        <f t="shared" si="19"/>
        <v>0.15</v>
      </c>
      <c r="AO140" s="1883">
        <v>3</v>
      </c>
      <c r="AP140" s="1871">
        <v>4</v>
      </c>
      <c r="AQ140" s="1979">
        <v>0.3</v>
      </c>
      <c r="AR140" s="1983"/>
    </row>
    <row r="141" spans="1:44">
      <c r="A141" s="1927"/>
      <c r="B141" s="1883">
        <v>4</v>
      </c>
      <c r="C141" s="1871">
        <v>5</v>
      </c>
      <c r="D141" s="1926">
        <v>7.0000000000000007E-2</v>
      </c>
      <c r="E141" s="1913">
        <v>0.12</v>
      </c>
      <c r="F141" s="1927"/>
      <c r="G141" s="1883">
        <v>4</v>
      </c>
      <c r="H141" s="1871">
        <v>5</v>
      </c>
      <c r="I141" s="1926">
        <v>0.12</v>
      </c>
      <c r="J141" s="1913">
        <v>0.22</v>
      </c>
      <c r="K141" s="1927"/>
      <c r="L141" s="1883">
        <v>4</v>
      </c>
      <c r="M141" s="1871">
        <v>5</v>
      </c>
      <c r="N141" s="1926">
        <v>0.1</v>
      </c>
      <c r="O141" s="1913">
        <v>0.2</v>
      </c>
      <c r="P141" s="1927"/>
      <c r="Q141" s="1883">
        <v>4</v>
      </c>
      <c r="R141" s="1871">
        <v>5</v>
      </c>
      <c r="S141" s="1926">
        <v>0.13</v>
      </c>
      <c r="T141" s="1913">
        <v>0.18</v>
      </c>
      <c r="U141" s="1927"/>
      <c r="V141" s="1883">
        <v>4</v>
      </c>
      <c r="W141" s="1871">
        <v>5</v>
      </c>
      <c r="X141" s="1926">
        <v>0</v>
      </c>
      <c r="Y141" s="1913">
        <v>0</v>
      </c>
      <c r="Z141" s="1927"/>
      <c r="AA141" s="1883">
        <v>4</v>
      </c>
      <c r="AB141" s="1871">
        <v>5</v>
      </c>
      <c r="AC141" s="1926">
        <v>0.24</v>
      </c>
      <c r="AD141" s="1913">
        <v>0.36</v>
      </c>
      <c r="AF141" s="1883">
        <v>4</v>
      </c>
      <c r="AG141" s="1871">
        <v>5</v>
      </c>
      <c r="AH141" s="1926">
        <v>0.19</v>
      </c>
      <c r="AI141" s="1913">
        <v>0.44</v>
      </c>
      <c r="AK141" s="1955">
        <f t="shared" si="17"/>
        <v>0.1</v>
      </c>
      <c r="AL141" s="2076">
        <f t="shared" si="18"/>
        <v>0.13</v>
      </c>
      <c r="AM141" s="1926">
        <f t="shared" si="16"/>
        <v>0.24</v>
      </c>
      <c r="AN141" s="1956">
        <f t="shared" si="19"/>
        <v>0.19</v>
      </c>
      <c r="AO141" s="1883">
        <v>4</v>
      </c>
      <c r="AP141" s="1871">
        <v>5</v>
      </c>
      <c r="AQ141" s="1979">
        <v>0.2</v>
      </c>
      <c r="AR141" s="1983"/>
    </row>
    <row r="142" spans="1:44">
      <c r="A142" s="1927"/>
      <c r="B142" s="1883">
        <v>5</v>
      </c>
      <c r="C142" s="1871">
        <v>6</v>
      </c>
      <c r="D142" s="1926">
        <v>0.12</v>
      </c>
      <c r="E142" s="1913">
        <v>0.21</v>
      </c>
      <c r="F142" s="1927"/>
      <c r="G142" s="1883">
        <v>5</v>
      </c>
      <c r="H142" s="1871">
        <v>6</v>
      </c>
      <c r="I142" s="1926">
        <v>0.11</v>
      </c>
      <c r="J142" s="1913">
        <v>0.2</v>
      </c>
      <c r="K142" s="1927"/>
      <c r="L142" s="1883">
        <v>5</v>
      </c>
      <c r="M142" s="1871">
        <v>6</v>
      </c>
      <c r="N142" s="1926">
        <v>0.1</v>
      </c>
      <c r="O142" s="1913">
        <v>0.21</v>
      </c>
      <c r="P142" s="1927"/>
      <c r="Q142" s="1883">
        <v>5</v>
      </c>
      <c r="R142" s="1871">
        <v>6</v>
      </c>
      <c r="S142" s="1926">
        <v>0.19</v>
      </c>
      <c r="T142" s="1913">
        <v>0.28000000000000003</v>
      </c>
      <c r="U142" s="1927"/>
      <c r="V142" s="1883">
        <v>5</v>
      </c>
      <c r="W142" s="1871">
        <v>6</v>
      </c>
      <c r="X142" s="1926">
        <v>0</v>
      </c>
      <c r="Y142" s="1913">
        <v>0</v>
      </c>
      <c r="Z142" s="1927"/>
      <c r="AA142" s="1883">
        <v>5</v>
      </c>
      <c r="AB142" s="1871">
        <v>6</v>
      </c>
      <c r="AC142" s="1926">
        <v>0.31</v>
      </c>
      <c r="AD142" s="1913">
        <v>0.51</v>
      </c>
      <c r="AF142" s="1883">
        <v>5</v>
      </c>
      <c r="AG142" s="1871">
        <v>6</v>
      </c>
      <c r="AH142" s="1926">
        <v>0.32</v>
      </c>
      <c r="AI142" s="1913">
        <v>0.74</v>
      </c>
      <c r="AK142" s="1955">
        <f t="shared" si="17"/>
        <v>0.1</v>
      </c>
      <c r="AL142" s="2076">
        <f t="shared" si="18"/>
        <v>0.19</v>
      </c>
      <c r="AM142" s="1926">
        <f t="shared" si="16"/>
        <v>0.31</v>
      </c>
      <c r="AN142" s="1956">
        <f t="shared" si="19"/>
        <v>0.32</v>
      </c>
      <c r="AO142" s="1883">
        <v>5</v>
      </c>
      <c r="AP142" s="1871">
        <v>6</v>
      </c>
      <c r="AQ142" s="1979">
        <v>0.3</v>
      </c>
      <c r="AR142" s="1983"/>
    </row>
    <row r="143" spans="1:44">
      <c r="A143" s="1927"/>
      <c r="B143" s="1883">
        <v>6</v>
      </c>
      <c r="C143" s="1871">
        <v>7</v>
      </c>
      <c r="D143" s="1926">
        <v>0.18</v>
      </c>
      <c r="E143" s="1913">
        <v>0.32</v>
      </c>
      <c r="F143" s="1927"/>
      <c r="G143" s="1883">
        <v>6</v>
      </c>
      <c r="H143" s="1871">
        <v>7</v>
      </c>
      <c r="I143" s="1926">
        <v>0.15</v>
      </c>
      <c r="J143" s="1913">
        <v>0.27</v>
      </c>
      <c r="K143" s="1927"/>
      <c r="L143" s="1883">
        <v>6</v>
      </c>
      <c r="M143" s="1871">
        <v>7</v>
      </c>
      <c r="N143" s="1926">
        <v>0.23</v>
      </c>
      <c r="O143" s="1913">
        <v>0.54</v>
      </c>
      <c r="P143" s="1927"/>
      <c r="Q143" s="1883">
        <v>6</v>
      </c>
      <c r="R143" s="1871">
        <v>7</v>
      </c>
      <c r="S143" s="1926">
        <v>0.21</v>
      </c>
      <c r="T143" s="1913">
        <v>0.33</v>
      </c>
      <c r="U143" s="1927"/>
      <c r="V143" s="1883">
        <v>6</v>
      </c>
      <c r="W143" s="1871">
        <v>7</v>
      </c>
      <c r="X143" s="1926">
        <v>0</v>
      </c>
      <c r="Y143" s="1913">
        <v>0</v>
      </c>
      <c r="Z143" s="1927"/>
      <c r="AA143" s="1883">
        <v>6</v>
      </c>
      <c r="AB143" s="1871">
        <v>7</v>
      </c>
      <c r="AC143" s="1926">
        <v>0.28000000000000003</v>
      </c>
      <c r="AD143" s="1913">
        <v>0.55000000000000004</v>
      </c>
      <c r="AF143" s="1883">
        <v>6</v>
      </c>
      <c r="AG143" s="1871">
        <v>7</v>
      </c>
      <c r="AH143" s="1926">
        <v>0.45</v>
      </c>
      <c r="AI143" s="1913">
        <v>1.08</v>
      </c>
      <c r="AK143" s="1955">
        <f t="shared" si="17"/>
        <v>0.23</v>
      </c>
      <c r="AL143" s="2076">
        <f t="shared" si="18"/>
        <v>0.21</v>
      </c>
      <c r="AM143" s="1926">
        <f t="shared" si="16"/>
        <v>0.28000000000000003</v>
      </c>
      <c r="AN143" s="1956">
        <f t="shared" si="19"/>
        <v>0.45</v>
      </c>
      <c r="AO143" s="1883">
        <v>6</v>
      </c>
      <c r="AP143" s="1871">
        <v>7</v>
      </c>
      <c r="AQ143" s="1979">
        <v>0.24</v>
      </c>
      <c r="AR143" s="1983"/>
    </row>
    <row r="144" spans="1:44">
      <c r="A144" s="1927"/>
      <c r="B144" s="1908">
        <v>7</v>
      </c>
      <c r="C144" s="1909">
        <v>8</v>
      </c>
      <c r="D144" s="1928">
        <v>0.17</v>
      </c>
      <c r="E144" s="1917">
        <v>0.31</v>
      </c>
      <c r="F144" s="1927"/>
      <c r="G144" s="1908">
        <v>7</v>
      </c>
      <c r="H144" s="1909">
        <v>8</v>
      </c>
      <c r="I144" s="1928">
        <v>0.47</v>
      </c>
      <c r="J144" s="1917">
        <v>0.86</v>
      </c>
      <c r="K144" s="1927"/>
      <c r="L144" s="1908">
        <v>7</v>
      </c>
      <c r="M144" s="1909">
        <v>8</v>
      </c>
      <c r="N144" s="1928">
        <v>0.33</v>
      </c>
      <c r="O144" s="1917">
        <v>0.91</v>
      </c>
      <c r="P144" s="1927"/>
      <c r="Q144" s="1908">
        <v>7</v>
      </c>
      <c r="R144" s="1909">
        <v>8</v>
      </c>
      <c r="S144" s="1928">
        <v>0.4</v>
      </c>
      <c r="T144" s="1917">
        <v>0.66</v>
      </c>
      <c r="U144" s="1927"/>
      <c r="V144" s="1908">
        <v>7</v>
      </c>
      <c r="W144" s="1909">
        <v>8</v>
      </c>
      <c r="X144" s="1928">
        <v>0</v>
      </c>
      <c r="Y144" s="1917">
        <v>0</v>
      </c>
      <c r="Z144" s="1927"/>
      <c r="AA144" s="1908">
        <v>7</v>
      </c>
      <c r="AB144" s="1909">
        <v>8</v>
      </c>
      <c r="AC144" s="1928">
        <v>0.24</v>
      </c>
      <c r="AD144" s="1917">
        <v>0.45</v>
      </c>
      <c r="AF144" s="1908">
        <v>7</v>
      </c>
      <c r="AG144" s="1909">
        <v>8</v>
      </c>
      <c r="AH144" s="1928">
        <v>0.35</v>
      </c>
      <c r="AI144" s="1917">
        <v>0.89</v>
      </c>
      <c r="AK144" s="1957">
        <f t="shared" si="17"/>
        <v>0.33</v>
      </c>
      <c r="AL144" s="2078">
        <f t="shared" si="18"/>
        <v>0.4</v>
      </c>
      <c r="AM144" s="1958">
        <f t="shared" si="16"/>
        <v>0.24</v>
      </c>
      <c r="AN144" s="1959">
        <f t="shared" si="19"/>
        <v>0.35</v>
      </c>
      <c r="AO144" s="1908">
        <v>7</v>
      </c>
      <c r="AP144" s="1909">
        <v>8</v>
      </c>
      <c r="AQ144" s="1979">
        <v>0.31</v>
      </c>
      <c r="AR144" s="1983"/>
    </row>
    <row r="145" spans="1:44">
      <c r="A145" s="1930"/>
      <c r="B145" s="1890">
        <v>8</v>
      </c>
      <c r="C145" s="1891">
        <v>9</v>
      </c>
      <c r="D145" s="1929">
        <v>0.37</v>
      </c>
      <c r="E145" s="1914">
        <v>0.67</v>
      </c>
      <c r="F145" s="1930"/>
      <c r="G145" s="1890">
        <v>8</v>
      </c>
      <c r="H145" s="1891">
        <v>9</v>
      </c>
      <c r="I145" s="1929">
        <v>0.4</v>
      </c>
      <c r="J145" s="1914">
        <v>0.73</v>
      </c>
      <c r="K145" s="1930"/>
      <c r="L145" s="1890">
        <v>8</v>
      </c>
      <c r="M145" s="1891">
        <v>9</v>
      </c>
      <c r="N145" s="1929">
        <v>0.32</v>
      </c>
      <c r="O145" s="1914">
        <v>0.8</v>
      </c>
      <c r="P145" s="1930"/>
      <c r="Q145" s="1890">
        <v>8</v>
      </c>
      <c r="R145" s="1891">
        <v>9</v>
      </c>
      <c r="S145" s="1929">
        <v>0.72</v>
      </c>
      <c r="T145" s="1914">
        <v>1.06</v>
      </c>
      <c r="U145" s="1930"/>
      <c r="V145" s="1890">
        <v>8</v>
      </c>
      <c r="W145" s="1891">
        <v>9</v>
      </c>
      <c r="X145" s="1929">
        <v>0</v>
      </c>
      <c r="Y145" s="1914">
        <v>0</v>
      </c>
      <c r="Z145" s="1930"/>
      <c r="AA145" s="1890">
        <v>8</v>
      </c>
      <c r="AB145" s="1891">
        <v>9</v>
      </c>
      <c r="AC145" s="1929">
        <v>0.28999999999999998</v>
      </c>
      <c r="AD145" s="1914">
        <v>0.51</v>
      </c>
      <c r="AF145" s="1890">
        <v>8</v>
      </c>
      <c r="AG145" s="1891">
        <v>9</v>
      </c>
      <c r="AH145" s="1929">
        <v>0.28000000000000003</v>
      </c>
      <c r="AI145" s="1914">
        <v>0.73</v>
      </c>
      <c r="AK145" s="1952">
        <f t="shared" si="17"/>
        <v>0.32</v>
      </c>
      <c r="AL145" s="2074">
        <f t="shared" si="18"/>
        <v>0.72</v>
      </c>
      <c r="AM145" s="1953">
        <f t="shared" si="16"/>
        <v>0.28999999999999998</v>
      </c>
      <c r="AN145" s="1954">
        <f t="shared" si="19"/>
        <v>0.28000000000000003</v>
      </c>
      <c r="AO145" s="1890">
        <v>8</v>
      </c>
      <c r="AP145" s="1891">
        <v>9</v>
      </c>
      <c r="AQ145" s="1979">
        <v>0.2</v>
      </c>
      <c r="AR145" s="1983"/>
    </row>
    <row r="146" spans="1:44">
      <c r="A146" s="1930"/>
      <c r="B146" s="1893">
        <v>9</v>
      </c>
      <c r="C146" s="1872">
        <v>11</v>
      </c>
      <c r="D146" s="1931">
        <v>0.24</v>
      </c>
      <c r="E146" s="1915">
        <v>0.44</v>
      </c>
      <c r="F146" s="1930"/>
      <c r="G146" s="1893">
        <v>9</v>
      </c>
      <c r="H146" s="1872">
        <v>11</v>
      </c>
      <c r="I146" s="1931">
        <v>0.31</v>
      </c>
      <c r="J146" s="1915">
        <v>0.56999999999999995</v>
      </c>
      <c r="K146" s="1930"/>
      <c r="L146" s="1893">
        <v>9</v>
      </c>
      <c r="M146" s="1872">
        <v>11</v>
      </c>
      <c r="N146" s="1931">
        <v>0.28000000000000003</v>
      </c>
      <c r="O146" s="1915">
        <v>0.6</v>
      </c>
      <c r="P146" s="1930"/>
      <c r="Q146" s="1893">
        <v>9</v>
      </c>
      <c r="R146" s="1872">
        <v>10</v>
      </c>
      <c r="S146" s="1931">
        <v>0.31</v>
      </c>
      <c r="T146" s="1915">
        <v>0.4</v>
      </c>
      <c r="U146" s="1930"/>
      <c r="V146" s="1893">
        <v>9</v>
      </c>
      <c r="W146" s="1872">
        <v>10</v>
      </c>
      <c r="X146" s="1931">
        <v>0</v>
      </c>
      <c r="Y146" s="1915">
        <v>0</v>
      </c>
      <c r="Z146" s="1930"/>
      <c r="AA146" s="1893">
        <v>9</v>
      </c>
      <c r="AB146" s="1872">
        <v>11</v>
      </c>
      <c r="AC146" s="1931">
        <v>0.3</v>
      </c>
      <c r="AD146" s="1915">
        <v>0.49</v>
      </c>
      <c r="AF146" s="1893">
        <v>9</v>
      </c>
      <c r="AG146" s="1872">
        <v>11</v>
      </c>
      <c r="AH146" s="1931">
        <v>0.89</v>
      </c>
      <c r="AI146" s="1915">
        <v>2.1800000000000002</v>
      </c>
      <c r="AK146" s="1955">
        <f t="shared" si="17"/>
        <v>0.28000000000000003</v>
      </c>
      <c r="AL146" s="2076">
        <f t="shared" si="18"/>
        <v>0.31</v>
      </c>
      <c r="AM146" s="1926">
        <f t="shared" si="16"/>
        <v>0.3</v>
      </c>
      <c r="AN146" s="1956">
        <f t="shared" si="19"/>
        <v>0.89</v>
      </c>
      <c r="AO146" s="1893">
        <v>9</v>
      </c>
      <c r="AP146" s="1872">
        <v>10</v>
      </c>
      <c r="AQ146" s="1979">
        <v>0.4</v>
      </c>
      <c r="AR146" s="1983"/>
    </row>
    <row r="147" spans="1:44">
      <c r="A147" s="1930"/>
      <c r="B147" s="1893">
        <v>10</v>
      </c>
      <c r="C147" s="1872">
        <v>12</v>
      </c>
      <c r="D147" s="1931">
        <v>0.31</v>
      </c>
      <c r="E147" s="1915">
        <v>0.56999999999999995</v>
      </c>
      <c r="F147" s="1930"/>
      <c r="G147" s="1893">
        <v>10</v>
      </c>
      <c r="H147" s="1872">
        <v>12</v>
      </c>
      <c r="I147" s="1931">
        <v>0.36</v>
      </c>
      <c r="J147" s="1915">
        <v>0.65</v>
      </c>
      <c r="K147" s="1930"/>
      <c r="L147" s="1893">
        <v>10</v>
      </c>
      <c r="M147" s="1872">
        <v>12</v>
      </c>
      <c r="N147" s="1931">
        <v>0.35</v>
      </c>
      <c r="O147" s="1915">
        <v>0.68</v>
      </c>
      <c r="P147" s="1930"/>
      <c r="Q147" s="1893">
        <v>10</v>
      </c>
      <c r="R147" s="1872">
        <v>11</v>
      </c>
      <c r="S147" s="1931">
        <v>0.47</v>
      </c>
      <c r="T147" s="1915">
        <v>0.49</v>
      </c>
      <c r="U147" s="1930"/>
      <c r="V147" s="1893">
        <v>10</v>
      </c>
      <c r="W147" s="1872">
        <v>11</v>
      </c>
      <c r="X147" s="1931">
        <v>0.01</v>
      </c>
      <c r="Y147" s="1915">
        <v>0.01</v>
      </c>
      <c r="Z147" s="1930"/>
      <c r="AA147" s="1893">
        <v>10</v>
      </c>
      <c r="AB147" s="1872">
        <v>12</v>
      </c>
      <c r="AC147" s="1931">
        <v>0.3</v>
      </c>
      <c r="AD147" s="1915">
        <v>0.45</v>
      </c>
      <c r="AF147" s="1893">
        <v>10</v>
      </c>
      <c r="AG147" s="1872">
        <v>12</v>
      </c>
      <c r="AH147" s="1931">
        <v>1.1100000000000001</v>
      </c>
      <c r="AI147" s="1915">
        <v>2.62</v>
      </c>
      <c r="AK147" s="1955">
        <f t="shared" si="17"/>
        <v>0.35</v>
      </c>
      <c r="AL147" s="2076">
        <f t="shared" si="18"/>
        <v>0.47</v>
      </c>
      <c r="AM147" s="1926">
        <f t="shared" si="16"/>
        <v>0.3</v>
      </c>
      <c r="AN147" s="1956">
        <f t="shared" si="19"/>
        <v>1.1100000000000001</v>
      </c>
      <c r="AO147" s="1893">
        <v>10</v>
      </c>
      <c r="AP147" s="1872">
        <v>11</v>
      </c>
      <c r="AQ147" s="1979">
        <v>0.3</v>
      </c>
      <c r="AR147" s="1983"/>
    </row>
    <row r="148" spans="1:44">
      <c r="A148" s="1930"/>
      <c r="B148" s="1893">
        <v>11</v>
      </c>
      <c r="C148" s="1872">
        <v>12</v>
      </c>
      <c r="D148" s="1931">
        <v>0.33</v>
      </c>
      <c r="E148" s="1915">
        <v>0.6</v>
      </c>
      <c r="F148" s="1930"/>
      <c r="G148" s="1893">
        <v>11</v>
      </c>
      <c r="H148" s="1872">
        <v>12</v>
      </c>
      <c r="I148" s="1931">
        <v>0.26</v>
      </c>
      <c r="J148" s="1915">
        <v>0.47</v>
      </c>
      <c r="K148" s="1930"/>
      <c r="L148" s="1893">
        <v>11</v>
      </c>
      <c r="M148" s="1872">
        <v>12</v>
      </c>
      <c r="N148" s="1931">
        <v>0.85</v>
      </c>
      <c r="O148" s="1915">
        <v>1.61</v>
      </c>
      <c r="P148" s="1930"/>
      <c r="Q148" s="1893">
        <v>11</v>
      </c>
      <c r="R148" s="1872">
        <v>12</v>
      </c>
      <c r="S148" s="1931">
        <v>0.27</v>
      </c>
      <c r="T148" s="1915">
        <v>0.22</v>
      </c>
      <c r="U148" s="1930"/>
      <c r="V148" s="1893">
        <v>11</v>
      </c>
      <c r="W148" s="1872">
        <v>12</v>
      </c>
      <c r="X148" s="1931">
        <v>0</v>
      </c>
      <c r="Y148" s="1915">
        <v>0</v>
      </c>
      <c r="Z148" s="1930"/>
      <c r="AA148" s="1893">
        <v>11</v>
      </c>
      <c r="AB148" s="1872">
        <v>12</v>
      </c>
      <c r="AC148" s="1931">
        <v>0.24</v>
      </c>
      <c r="AD148" s="1915">
        <v>0.35</v>
      </c>
      <c r="AF148" s="1893">
        <v>11</v>
      </c>
      <c r="AG148" s="1872">
        <v>12</v>
      </c>
      <c r="AH148" s="1931">
        <v>1.64</v>
      </c>
      <c r="AI148" s="1915">
        <v>3.33</v>
      </c>
      <c r="AK148" s="1955">
        <f t="shared" si="17"/>
        <v>0.85</v>
      </c>
      <c r="AL148" s="2076">
        <f t="shared" si="18"/>
        <v>0.27</v>
      </c>
      <c r="AM148" s="1926">
        <f t="shared" si="16"/>
        <v>0.24</v>
      </c>
      <c r="AN148" s="1956">
        <f t="shared" si="19"/>
        <v>1.64</v>
      </c>
      <c r="AO148" s="1893">
        <v>11</v>
      </c>
      <c r="AP148" s="1872">
        <v>12</v>
      </c>
      <c r="AQ148" s="1979">
        <v>0.36</v>
      </c>
      <c r="AR148" s="1983"/>
    </row>
    <row r="149" spans="1:44">
      <c r="A149" s="1930"/>
      <c r="B149" s="1893">
        <v>12</v>
      </c>
      <c r="C149" s="1872">
        <v>13</v>
      </c>
      <c r="D149" s="1931">
        <v>0.36</v>
      </c>
      <c r="E149" s="1915">
        <v>0.64</v>
      </c>
      <c r="F149" s="1930"/>
      <c r="G149" s="1893">
        <v>12</v>
      </c>
      <c r="H149" s="1872">
        <v>13</v>
      </c>
      <c r="I149" s="1931">
        <v>0.32</v>
      </c>
      <c r="J149" s="1915">
        <v>0.57999999999999996</v>
      </c>
      <c r="K149" s="1930"/>
      <c r="L149" s="1893">
        <v>12</v>
      </c>
      <c r="M149" s="1872">
        <v>13</v>
      </c>
      <c r="N149" s="1931">
        <v>0.35</v>
      </c>
      <c r="O149" s="1915">
        <v>0.66</v>
      </c>
      <c r="P149" s="1930"/>
      <c r="Q149" s="1893">
        <v>12</v>
      </c>
      <c r="R149" s="1872">
        <v>13</v>
      </c>
      <c r="S149" s="1931">
        <v>0.16</v>
      </c>
      <c r="T149" s="1915">
        <v>0.12</v>
      </c>
      <c r="U149" s="1930"/>
      <c r="V149" s="1893">
        <v>12</v>
      </c>
      <c r="W149" s="1872">
        <v>13</v>
      </c>
      <c r="X149" s="1931">
        <v>0</v>
      </c>
      <c r="Y149" s="1915">
        <v>0</v>
      </c>
      <c r="Z149" s="1930"/>
      <c r="AA149" s="1893">
        <v>12</v>
      </c>
      <c r="AB149" s="1872">
        <v>13</v>
      </c>
      <c r="AC149" s="1931">
        <v>0.39</v>
      </c>
      <c r="AD149" s="1915">
        <v>0.56999999999999995</v>
      </c>
      <c r="AF149" s="1893">
        <v>12</v>
      </c>
      <c r="AG149" s="1872">
        <v>13</v>
      </c>
      <c r="AH149" s="1931">
        <v>0.78</v>
      </c>
      <c r="AI149" s="1915">
        <v>1.32</v>
      </c>
      <c r="AK149" s="1955">
        <f t="shared" si="17"/>
        <v>0.35</v>
      </c>
      <c r="AL149" s="2076">
        <f t="shared" si="18"/>
        <v>0.16</v>
      </c>
      <c r="AM149" s="1926">
        <f t="shared" si="16"/>
        <v>0.39</v>
      </c>
      <c r="AN149" s="1956">
        <f t="shared" si="19"/>
        <v>0.78</v>
      </c>
      <c r="AO149" s="1893">
        <v>12</v>
      </c>
      <c r="AP149" s="1872">
        <v>13</v>
      </c>
      <c r="AQ149" s="1979">
        <v>1.1499999999999999</v>
      </c>
      <c r="AR149" s="1983"/>
    </row>
    <row r="150" spans="1:44">
      <c r="A150" s="1930"/>
      <c r="B150" s="1893">
        <v>13</v>
      </c>
      <c r="C150" s="1872">
        <v>14</v>
      </c>
      <c r="D150" s="1931">
        <v>0.25</v>
      </c>
      <c r="E150" s="1915">
        <v>0.44</v>
      </c>
      <c r="F150" s="1930"/>
      <c r="G150" s="1893">
        <v>13</v>
      </c>
      <c r="H150" s="1872">
        <v>14</v>
      </c>
      <c r="I150" s="1931">
        <v>0.32</v>
      </c>
      <c r="J150" s="1915">
        <v>0.57999999999999996</v>
      </c>
      <c r="K150" s="1930"/>
      <c r="L150" s="1893">
        <v>13</v>
      </c>
      <c r="M150" s="1872">
        <v>14</v>
      </c>
      <c r="N150" s="1931">
        <v>0.28000000000000003</v>
      </c>
      <c r="O150" s="1915">
        <v>0.53</v>
      </c>
      <c r="P150" s="1930"/>
      <c r="Q150" s="1893">
        <v>13</v>
      </c>
      <c r="R150" s="1872">
        <v>14</v>
      </c>
      <c r="S150" s="1931">
        <v>0.24</v>
      </c>
      <c r="T150" s="1915">
        <v>0.18</v>
      </c>
      <c r="U150" s="1930"/>
      <c r="V150" s="1893">
        <v>13</v>
      </c>
      <c r="W150" s="1872">
        <v>14</v>
      </c>
      <c r="X150" s="1931">
        <v>0.08</v>
      </c>
      <c r="Y150" s="1915">
        <v>7.0000000000000007E-2</v>
      </c>
      <c r="Z150" s="1930"/>
      <c r="AA150" s="1893">
        <v>13</v>
      </c>
      <c r="AB150" s="1872">
        <v>14</v>
      </c>
      <c r="AC150" s="1931">
        <v>0.28000000000000003</v>
      </c>
      <c r="AD150" s="1915">
        <v>0.41</v>
      </c>
      <c r="AF150" s="1893">
        <v>13</v>
      </c>
      <c r="AG150" s="1872">
        <v>14</v>
      </c>
      <c r="AH150" s="1931">
        <v>0.37</v>
      </c>
      <c r="AI150" s="1915">
        <v>0.62</v>
      </c>
      <c r="AK150" s="1955">
        <f t="shared" si="17"/>
        <v>0.28000000000000003</v>
      </c>
      <c r="AL150" s="2076">
        <f t="shared" si="18"/>
        <v>0.24</v>
      </c>
      <c r="AM150" s="1926">
        <f t="shared" si="16"/>
        <v>0.28000000000000003</v>
      </c>
      <c r="AN150" s="1956">
        <f t="shared" si="19"/>
        <v>0.37</v>
      </c>
      <c r="AO150" s="1893">
        <v>13</v>
      </c>
      <c r="AP150" s="1872">
        <v>14</v>
      </c>
      <c r="AQ150" s="1979">
        <v>0.73</v>
      </c>
      <c r="AR150" s="1983"/>
    </row>
    <row r="151" spans="1:44">
      <c r="A151" s="1930"/>
      <c r="B151" s="1893">
        <v>14</v>
      </c>
      <c r="C151" s="1872">
        <v>15</v>
      </c>
      <c r="D151" s="1931">
        <v>0.37</v>
      </c>
      <c r="E151" s="1915">
        <v>0.67</v>
      </c>
      <c r="F151" s="1930"/>
      <c r="G151" s="1893">
        <v>14</v>
      </c>
      <c r="H151" s="1872">
        <v>15</v>
      </c>
      <c r="I151" s="1931">
        <v>0.38</v>
      </c>
      <c r="J151" s="1915">
        <v>0.69</v>
      </c>
      <c r="K151" s="1930"/>
      <c r="L151" s="1893">
        <v>14</v>
      </c>
      <c r="M151" s="1872">
        <v>15</v>
      </c>
      <c r="N151" s="1931">
        <v>0.32</v>
      </c>
      <c r="O151" s="1915">
        <v>0.6</v>
      </c>
      <c r="P151" s="1930"/>
      <c r="Q151" s="1893">
        <v>14</v>
      </c>
      <c r="R151" s="1872">
        <v>15</v>
      </c>
      <c r="S151" s="1931">
        <v>0.2</v>
      </c>
      <c r="T151" s="1915">
        <v>0.15</v>
      </c>
      <c r="U151" s="1930"/>
      <c r="V151" s="1893">
        <v>14</v>
      </c>
      <c r="W151" s="1872">
        <v>15</v>
      </c>
      <c r="X151" s="1931">
        <v>0.09</v>
      </c>
      <c r="Y151" s="1915">
        <v>0.08</v>
      </c>
      <c r="Z151" s="1930"/>
      <c r="AA151" s="1893">
        <v>14</v>
      </c>
      <c r="AB151" s="1872">
        <v>15</v>
      </c>
      <c r="AC151" s="1931">
        <v>0.32</v>
      </c>
      <c r="AD151" s="1915">
        <v>0.46</v>
      </c>
      <c r="AF151" s="1893">
        <v>14</v>
      </c>
      <c r="AG151" s="1872">
        <v>15</v>
      </c>
      <c r="AH151" s="1931">
        <v>0.51</v>
      </c>
      <c r="AI151" s="1915">
        <v>0.85</v>
      </c>
      <c r="AK151" s="1955">
        <f t="shared" si="17"/>
        <v>0.32</v>
      </c>
      <c r="AL151" s="2076">
        <f t="shared" si="18"/>
        <v>0.2</v>
      </c>
      <c r="AM151" s="1926">
        <f t="shared" si="16"/>
        <v>0.32</v>
      </c>
      <c r="AN151" s="1956">
        <f t="shared" si="19"/>
        <v>0.51</v>
      </c>
      <c r="AO151" s="1893">
        <v>14</v>
      </c>
      <c r="AP151" s="1872">
        <v>15</v>
      </c>
      <c r="AQ151" s="1979">
        <v>0.69</v>
      </c>
      <c r="AR151" s="1983"/>
    </row>
    <row r="152" spans="1:44">
      <c r="A152" s="1930"/>
      <c r="B152" s="1893">
        <v>15</v>
      </c>
      <c r="C152" s="1872">
        <v>16</v>
      </c>
      <c r="D152" s="1931">
        <v>0.36</v>
      </c>
      <c r="E152" s="1915">
        <v>0.67</v>
      </c>
      <c r="F152" s="1930"/>
      <c r="G152" s="1893">
        <v>15</v>
      </c>
      <c r="H152" s="1872">
        <v>16</v>
      </c>
      <c r="I152" s="1931">
        <v>0.36</v>
      </c>
      <c r="J152" s="1915">
        <v>0.67</v>
      </c>
      <c r="K152" s="1930"/>
      <c r="L152" s="1893">
        <v>15</v>
      </c>
      <c r="M152" s="1872">
        <v>16</v>
      </c>
      <c r="N152" s="1931">
        <v>0.19</v>
      </c>
      <c r="O152" s="1915">
        <v>0.36</v>
      </c>
      <c r="P152" s="1930"/>
      <c r="Q152" s="1893">
        <v>15</v>
      </c>
      <c r="R152" s="1872">
        <v>16</v>
      </c>
      <c r="S152" s="1931">
        <v>0.21</v>
      </c>
      <c r="T152" s="1915">
        <v>0.16</v>
      </c>
      <c r="U152" s="1930"/>
      <c r="V152" s="1893">
        <v>15</v>
      </c>
      <c r="W152" s="1872">
        <v>16</v>
      </c>
      <c r="X152" s="1931">
        <v>0.08</v>
      </c>
      <c r="Y152" s="1915">
        <v>7.0000000000000007E-2</v>
      </c>
      <c r="Z152" s="1930"/>
      <c r="AA152" s="1893">
        <v>15</v>
      </c>
      <c r="AB152" s="1872">
        <v>16</v>
      </c>
      <c r="AC152" s="1931">
        <v>0.27</v>
      </c>
      <c r="AD152" s="1915">
        <v>0.39</v>
      </c>
      <c r="AF152" s="1893">
        <v>15</v>
      </c>
      <c r="AG152" s="1872">
        <v>16</v>
      </c>
      <c r="AH152" s="1931">
        <v>0.36</v>
      </c>
      <c r="AI152" s="1915">
        <v>0.6</v>
      </c>
      <c r="AK152" s="1955">
        <f t="shared" si="17"/>
        <v>0.19</v>
      </c>
      <c r="AL152" s="2076">
        <f t="shared" si="18"/>
        <v>0.21</v>
      </c>
      <c r="AM152" s="1926">
        <f t="shared" si="16"/>
        <v>0.27</v>
      </c>
      <c r="AN152" s="1956">
        <f t="shared" si="19"/>
        <v>0.36</v>
      </c>
      <c r="AO152" s="1893">
        <v>15</v>
      </c>
      <c r="AP152" s="1872">
        <v>16</v>
      </c>
      <c r="AQ152" s="1979">
        <v>0.47</v>
      </c>
      <c r="AR152" s="1983"/>
    </row>
    <row r="153" spans="1:44">
      <c r="A153" s="1930"/>
      <c r="B153" s="1893">
        <v>16</v>
      </c>
      <c r="C153" s="1872">
        <v>17</v>
      </c>
      <c r="D153" s="1931">
        <v>0.22</v>
      </c>
      <c r="E153" s="1915">
        <v>0.43</v>
      </c>
      <c r="F153" s="1930"/>
      <c r="G153" s="1893">
        <v>16</v>
      </c>
      <c r="H153" s="1872">
        <v>17</v>
      </c>
      <c r="I153" s="1931">
        <v>0.61</v>
      </c>
      <c r="J153" s="1915">
        <v>1.18</v>
      </c>
      <c r="K153" s="1930"/>
      <c r="L153" s="1893">
        <v>16</v>
      </c>
      <c r="M153" s="1872">
        <v>17</v>
      </c>
      <c r="N153" s="1931">
        <v>0.28999999999999998</v>
      </c>
      <c r="O153" s="1915">
        <v>0.55000000000000004</v>
      </c>
      <c r="P153" s="1930"/>
      <c r="Q153" s="1893">
        <v>16</v>
      </c>
      <c r="R153" s="1872">
        <v>17</v>
      </c>
      <c r="S153" s="1931">
        <v>0.31</v>
      </c>
      <c r="T153" s="1915">
        <v>0.28000000000000003</v>
      </c>
      <c r="U153" s="1930"/>
      <c r="V153" s="1893">
        <v>16</v>
      </c>
      <c r="W153" s="1872">
        <v>17</v>
      </c>
      <c r="X153" s="1931">
        <v>7.0000000000000007E-2</v>
      </c>
      <c r="Y153" s="1915">
        <v>7.0000000000000007E-2</v>
      </c>
      <c r="Z153" s="1930"/>
      <c r="AA153" s="1893">
        <v>16</v>
      </c>
      <c r="AB153" s="1872">
        <v>17</v>
      </c>
      <c r="AC153" s="1931">
        <v>0.36</v>
      </c>
      <c r="AD153" s="1915">
        <v>0.55000000000000004</v>
      </c>
      <c r="AF153" s="1893">
        <v>16</v>
      </c>
      <c r="AG153" s="1872">
        <v>17</v>
      </c>
      <c r="AH153" s="1931">
        <v>0.56000000000000005</v>
      </c>
      <c r="AI153" s="1915">
        <v>0.97</v>
      </c>
      <c r="AK153" s="1955">
        <f t="shared" si="17"/>
        <v>0.28999999999999998</v>
      </c>
      <c r="AL153" s="2076">
        <f t="shared" si="18"/>
        <v>0.31</v>
      </c>
      <c r="AM153" s="1926">
        <f t="shared" si="16"/>
        <v>0.36</v>
      </c>
      <c r="AN153" s="1956">
        <f t="shared" si="19"/>
        <v>0.56000000000000005</v>
      </c>
      <c r="AO153" s="1893">
        <v>16</v>
      </c>
      <c r="AP153" s="1872">
        <v>17</v>
      </c>
      <c r="AQ153" s="1979">
        <v>0.28000000000000003</v>
      </c>
      <c r="AR153" s="1983"/>
    </row>
    <row r="154" spans="1:44">
      <c r="A154" s="1930"/>
      <c r="B154" s="1894">
        <v>17</v>
      </c>
      <c r="C154" s="1895">
        <v>18</v>
      </c>
      <c r="D154" s="1932">
        <v>0.22</v>
      </c>
      <c r="E154" s="1916">
        <v>0.63</v>
      </c>
      <c r="F154" s="1930"/>
      <c r="G154" s="1894">
        <v>17</v>
      </c>
      <c r="H154" s="1895">
        <v>18</v>
      </c>
      <c r="I154" s="1932">
        <v>1.06</v>
      </c>
      <c r="J154" s="1916">
        <v>3.13</v>
      </c>
      <c r="K154" s="1930"/>
      <c r="L154" s="1894">
        <v>17</v>
      </c>
      <c r="M154" s="1895">
        <v>18</v>
      </c>
      <c r="N154" s="1932">
        <v>1.1000000000000001</v>
      </c>
      <c r="O154" s="1916">
        <v>2.29</v>
      </c>
      <c r="P154" s="1930"/>
      <c r="Q154" s="1894">
        <v>17</v>
      </c>
      <c r="R154" s="1895">
        <v>18</v>
      </c>
      <c r="S154" s="1932">
        <v>0.75</v>
      </c>
      <c r="T154" s="1916">
        <v>1.06</v>
      </c>
      <c r="U154" s="1930"/>
      <c r="V154" s="1894">
        <v>17</v>
      </c>
      <c r="W154" s="1895">
        <v>18</v>
      </c>
      <c r="X154" s="1932">
        <v>0.01</v>
      </c>
      <c r="Y154" s="1916">
        <v>0.02</v>
      </c>
      <c r="Z154" s="1930"/>
      <c r="AA154" s="1894">
        <v>17</v>
      </c>
      <c r="AB154" s="1895">
        <v>18</v>
      </c>
      <c r="AC154" s="1932">
        <v>0.32</v>
      </c>
      <c r="AD154" s="1916">
        <v>0.53</v>
      </c>
      <c r="AF154" s="1894">
        <v>17</v>
      </c>
      <c r="AG154" s="1895">
        <v>18</v>
      </c>
      <c r="AH154" s="1932">
        <v>0.56999999999999995</v>
      </c>
      <c r="AI154" s="1916">
        <v>1.08</v>
      </c>
      <c r="AK154" s="1957">
        <f t="shared" si="17"/>
        <v>1.1000000000000001</v>
      </c>
      <c r="AL154" s="2078">
        <f t="shared" si="18"/>
        <v>0.75</v>
      </c>
      <c r="AM154" s="1958">
        <f t="shared" si="16"/>
        <v>0.32</v>
      </c>
      <c r="AN154" s="1959">
        <f t="shared" si="19"/>
        <v>0.56999999999999995</v>
      </c>
      <c r="AO154" s="1894">
        <v>17</v>
      </c>
      <c r="AP154" s="1895">
        <v>18</v>
      </c>
      <c r="AQ154" s="1979">
        <v>0.31</v>
      </c>
      <c r="AR154" s="1983"/>
    </row>
    <row r="155" spans="1:44">
      <c r="A155" s="1934"/>
      <c r="B155" s="1910">
        <v>18</v>
      </c>
      <c r="C155" s="1889">
        <v>19</v>
      </c>
      <c r="D155" s="1933">
        <v>0.65</v>
      </c>
      <c r="E155" s="1911">
        <v>1.85</v>
      </c>
      <c r="F155" s="1934"/>
      <c r="G155" s="1910">
        <v>18</v>
      </c>
      <c r="H155" s="1889">
        <v>19</v>
      </c>
      <c r="I155" s="1933">
        <v>0.65</v>
      </c>
      <c r="J155" s="1911">
        <v>2.0499999999999998</v>
      </c>
      <c r="K155" s="1934"/>
      <c r="L155" s="1910">
        <v>18</v>
      </c>
      <c r="M155" s="1889">
        <v>19</v>
      </c>
      <c r="N155" s="1933">
        <v>0.33</v>
      </c>
      <c r="O155" s="1911">
        <v>0.75</v>
      </c>
      <c r="P155" s="1934"/>
      <c r="Q155" s="1910">
        <v>18</v>
      </c>
      <c r="R155" s="1889">
        <v>19</v>
      </c>
      <c r="S155" s="1933">
        <v>0.3</v>
      </c>
      <c r="T155" s="1911">
        <v>0.43</v>
      </c>
      <c r="U155" s="1934"/>
      <c r="V155" s="1910">
        <v>18</v>
      </c>
      <c r="W155" s="1889">
        <v>19</v>
      </c>
      <c r="X155" s="1933">
        <v>0.04</v>
      </c>
      <c r="Y155" s="1911">
        <v>0.06</v>
      </c>
      <c r="Z155" s="1934"/>
      <c r="AA155" s="1910">
        <v>18</v>
      </c>
      <c r="AB155" s="1889">
        <v>19</v>
      </c>
      <c r="AC155" s="1933">
        <v>0.39</v>
      </c>
      <c r="AD155" s="1911">
        <v>0.68</v>
      </c>
      <c r="AF155" s="1910">
        <v>18</v>
      </c>
      <c r="AG155" s="1889">
        <v>19</v>
      </c>
      <c r="AH155" s="1933">
        <v>0.42</v>
      </c>
      <c r="AI155" s="1911">
        <v>1.03</v>
      </c>
      <c r="AK155" s="1952">
        <f t="shared" si="17"/>
        <v>0.33</v>
      </c>
      <c r="AL155" s="2074">
        <f t="shared" si="18"/>
        <v>0.3</v>
      </c>
      <c r="AM155" s="1953">
        <f t="shared" si="16"/>
        <v>0.39</v>
      </c>
      <c r="AN155" s="1954">
        <f t="shared" si="19"/>
        <v>0.42</v>
      </c>
      <c r="AO155" s="1910">
        <v>18</v>
      </c>
      <c r="AP155" s="1889">
        <v>19</v>
      </c>
      <c r="AQ155" s="1979">
        <v>0.4</v>
      </c>
      <c r="AR155" s="1983"/>
    </row>
    <row r="156" spans="1:44">
      <c r="A156" s="1934"/>
      <c r="B156" s="1902">
        <v>19</v>
      </c>
      <c r="C156" s="1873">
        <v>20</v>
      </c>
      <c r="D156" s="1935">
        <v>0.4</v>
      </c>
      <c r="E156" s="1912">
        <v>1.1299999999999999</v>
      </c>
      <c r="F156" s="1934"/>
      <c r="G156" s="1902">
        <v>19</v>
      </c>
      <c r="H156" s="1873">
        <v>20</v>
      </c>
      <c r="I156" s="1935">
        <v>0.32</v>
      </c>
      <c r="J156" s="1912">
        <v>1.02</v>
      </c>
      <c r="K156" s="1934"/>
      <c r="L156" s="1902">
        <v>19</v>
      </c>
      <c r="M156" s="1873">
        <v>20</v>
      </c>
      <c r="N156" s="1935">
        <v>0.27</v>
      </c>
      <c r="O156" s="1912">
        <v>0.72</v>
      </c>
      <c r="P156" s="1934"/>
      <c r="Q156" s="1902">
        <v>19</v>
      </c>
      <c r="R156" s="1873">
        <v>20</v>
      </c>
      <c r="S156" s="1935">
        <v>0.25</v>
      </c>
      <c r="T156" s="1912">
        <v>0.36</v>
      </c>
      <c r="U156" s="1934"/>
      <c r="V156" s="1902">
        <v>19</v>
      </c>
      <c r="W156" s="1873">
        <v>20</v>
      </c>
      <c r="X156" s="1935">
        <v>0.08</v>
      </c>
      <c r="Y156" s="1912">
        <v>0.12</v>
      </c>
      <c r="Z156" s="1934"/>
      <c r="AA156" s="1902">
        <v>19</v>
      </c>
      <c r="AB156" s="1873">
        <v>20</v>
      </c>
      <c r="AC156" s="1935">
        <v>0.41</v>
      </c>
      <c r="AD156" s="1912">
        <v>0.85</v>
      </c>
      <c r="AF156" s="1902">
        <v>19</v>
      </c>
      <c r="AG156" s="1873">
        <v>20</v>
      </c>
      <c r="AH156" s="1935">
        <v>0.45</v>
      </c>
      <c r="AI156" s="1912">
        <v>1.07</v>
      </c>
      <c r="AK156" s="1955">
        <f t="shared" si="17"/>
        <v>0.27</v>
      </c>
      <c r="AL156" s="2076">
        <f t="shared" si="18"/>
        <v>0.25</v>
      </c>
      <c r="AM156" s="1926">
        <f t="shared" si="16"/>
        <v>0.41</v>
      </c>
      <c r="AN156" s="1956">
        <f t="shared" si="19"/>
        <v>0.45</v>
      </c>
      <c r="AO156" s="1902">
        <v>19</v>
      </c>
      <c r="AP156" s="1873">
        <v>20</v>
      </c>
      <c r="AQ156" s="1979">
        <v>1.1000000000000001</v>
      </c>
      <c r="AR156" s="1983"/>
    </row>
    <row r="157" spans="1:44">
      <c r="A157" s="1934"/>
      <c r="B157" s="1902">
        <v>20</v>
      </c>
      <c r="C157" s="1873">
        <v>21</v>
      </c>
      <c r="D157" s="1935">
        <v>0.34</v>
      </c>
      <c r="E157" s="1912">
        <v>0.67</v>
      </c>
      <c r="F157" s="1934"/>
      <c r="G157" s="1902">
        <v>20</v>
      </c>
      <c r="H157" s="1873">
        <v>21</v>
      </c>
      <c r="I157" s="1935">
        <v>0.26</v>
      </c>
      <c r="J157" s="1912">
        <v>0.59</v>
      </c>
      <c r="K157" s="1934"/>
      <c r="L157" s="1902">
        <v>20</v>
      </c>
      <c r="M157" s="1873">
        <v>21</v>
      </c>
      <c r="N157" s="1935">
        <v>0.3</v>
      </c>
      <c r="O157" s="1912">
        <v>0.78</v>
      </c>
      <c r="P157" s="1934"/>
      <c r="Q157" s="1902">
        <v>20</v>
      </c>
      <c r="R157" s="1873">
        <v>21</v>
      </c>
      <c r="S157" s="1935">
        <v>0.35</v>
      </c>
      <c r="T157" s="1912">
        <v>0.5</v>
      </c>
      <c r="U157" s="1934"/>
      <c r="V157" s="1902">
        <v>20</v>
      </c>
      <c r="W157" s="1873">
        <v>21</v>
      </c>
      <c r="X157" s="1935">
        <v>0.02</v>
      </c>
      <c r="Y157" s="1912">
        <v>0.03</v>
      </c>
      <c r="Z157" s="1934"/>
      <c r="AA157" s="1902">
        <v>20</v>
      </c>
      <c r="AB157" s="1873">
        <v>21</v>
      </c>
      <c r="AC157" s="1935">
        <v>0.61</v>
      </c>
      <c r="AD157" s="1912">
        <v>1.39</v>
      </c>
      <c r="AF157" s="1902">
        <v>20</v>
      </c>
      <c r="AG157" s="1873">
        <v>21</v>
      </c>
      <c r="AH157" s="1935">
        <v>0.44</v>
      </c>
      <c r="AI157" s="1912">
        <v>1.06</v>
      </c>
      <c r="AK157" s="1955">
        <f t="shared" si="17"/>
        <v>0.3</v>
      </c>
      <c r="AL157" s="2076">
        <f t="shared" si="18"/>
        <v>0.35</v>
      </c>
      <c r="AM157" s="1926">
        <f t="shared" si="16"/>
        <v>0.61</v>
      </c>
      <c r="AN157" s="1956">
        <f t="shared" si="19"/>
        <v>0.44</v>
      </c>
      <c r="AO157" s="1902">
        <v>20</v>
      </c>
      <c r="AP157" s="1873">
        <v>21</v>
      </c>
      <c r="AQ157" s="1979">
        <v>0.5</v>
      </c>
      <c r="AR157" s="1983"/>
    </row>
    <row r="158" spans="1:44">
      <c r="A158" s="1934"/>
      <c r="B158" s="1902">
        <v>21</v>
      </c>
      <c r="C158" s="1873">
        <v>22</v>
      </c>
      <c r="D158" s="1935">
        <v>0.38</v>
      </c>
      <c r="E158" s="1912">
        <v>0.74</v>
      </c>
      <c r="F158" s="1934"/>
      <c r="G158" s="1902">
        <v>21</v>
      </c>
      <c r="H158" s="1873">
        <v>22</v>
      </c>
      <c r="I158" s="1935">
        <v>0.21</v>
      </c>
      <c r="J158" s="1912">
        <v>0.47</v>
      </c>
      <c r="K158" s="1934"/>
      <c r="L158" s="1902">
        <v>21</v>
      </c>
      <c r="M158" s="1873">
        <v>22</v>
      </c>
      <c r="N158" s="1935">
        <v>0.3</v>
      </c>
      <c r="O158" s="1912">
        <v>0.71</v>
      </c>
      <c r="P158" s="1934"/>
      <c r="Q158" s="1902">
        <v>21</v>
      </c>
      <c r="R158" s="1873">
        <v>22</v>
      </c>
      <c r="S158" s="1935">
        <v>0.32</v>
      </c>
      <c r="T158" s="1912">
        <v>0.46</v>
      </c>
      <c r="U158" s="1934"/>
      <c r="V158" s="1902">
        <v>21</v>
      </c>
      <c r="W158" s="1873">
        <v>22</v>
      </c>
      <c r="X158" s="1935">
        <v>0.03</v>
      </c>
      <c r="Y158" s="1912">
        <v>0.05</v>
      </c>
      <c r="Z158" s="1934"/>
      <c r="AA158" s="1902">
        <v>21</v>
      </c>
      <c r="AB158" s="1873">
        <v>22</v>
      </c>
      <c r="AC158" s="1935">
        <v>0.41</v>
      </c>
      <c r="AD158" s="1912">
        <v>0.82</v>
      </c>
      <c r="AF158" s="1902">
        <v>21</v>
      </c>
      <c r="AG158" s="1873">
        <v>22</v>
      </c>
      <c r="AH158" s="1935">
        <v>0.38</v>
      </c>
      <c r="AI158" s="1912">
        <v>0.91</v>
      </c>
      <c r="AK158" s="1955">
        <f t="shared" si="17"/>
        <v>0.3</v>
      </c>
      <c r="AL158" s="2076">
        <f t="shared" si="18"/>
        <v>0.32</v>
      </c>
      <c r="AM158" s="1926">
        <f t="shared" si="16"/>
        <v>0.41</v>
      </c>
      <c r="AN158" s="1956">
        <f t="shared" si="19"/>
        <v>0.38</v>
      </c>
      <c r="AO158" s="1902">
        <v>21</v>
      </c>
      <c r="AP158" s="1873">
        <v>22</v>
      </c>
      <c r="AQ158" s="1979">
        <v>0.41</v>
      </c>
      <c r="AR158" s="1983"/>
    </row>
    <row r="159" spans="1:44">
      <c r="A159" s="1934"/>
      <c r="B159" s="1902">
        <v>22</v>
      </c>
      <c r="C159" s="1873">
        <v>23</v>
      </c>
      <c r="D159" s="1935">
        <v>0.13</v>
      </c>
      <c r="E159" s="1912">
        <v>0.26</v>
      </c>
      <c r="F159" s="1934"/>
      <c r="G159" s="1902">
        <v>22</v>
      </c>
      <c r="H159" s="1873">
        <v>23</v>
      </c>
      <c r="I159" s="1935">
        <v>0.13</v>
      </c>
      <c r="J159" s="1912">
        <v>0.2</v>
      </c>
      <c r="K159" s="1934"/>
      <c r="L159" s="1902">
        <v>22</v>
      </c>
      <c r="M159" s="1873">
        <v>23</v>
      </c>
      <c r="N159" s="1935">
        <v>0.2</v>
      </c>
      <c r="O159" s="1912">
        <v>0.45</v>
      </c>
      <c r="P159" s="1934"/>
      <c r="Q159" s="1902">
        <v>22</v>
      </c>
      <c r="R159" s="1873">
        <v>23</v>
      </c>
      <c r="S159" s="1935">
        <v>0.37</v>
      </c>
      <c r="T159" s="1912">
        <v>0.52</v>
      </c>
      <c r="U159" s="1934"/>
      <c r="V159" s="1902">
        <v>22</v>
      </c>
      <c r="W159" s="1873">
        <v>23</v>
      </c>
      <c r="X159" s="1935">
        <v>0.08</v>
      </c>
      <c r="Y159" s="1912">
        <v>0.12</v>
      </c>
      <c r="Z159" s="1934"/>
      <c r="AA159" s="1902">
        <v>22</v>
      </c>
      <c r="AB159" s="1873">
        <v>23</v>
      </c>
      <c r="AC159" s="1935">
        <v>0.39</v>
      </c>
      <c r="AD159" s="1912">
        <v>0.68</v>
      </c>
      <c r="AF159" s="1902">
        <v>22</v>
      </c>
      <c r="AG159" s="1873">
        <v>23</v>
      </c>
      <c r="AH159" s="1935">
        <v>0.17</v>
      </c>
      <c r="AI159" s="1912">
        <v>0.41</v>
      </c>
      <c r="AK159" s="1955">
        <f t="shared" si="17"/>
        <v>0.2</v>
      </c>
      <c r="AL159" s="2076">
        <f t="shared" si="18"/>
        <v>0.37</v>
      </c>
      <c r="AM159" s="1926">
        <f t="shared" si="16"/>
        <v>0.39</v>
      </c>
      <c r="AN159" s="1956">
        <f t="shared" si="19"/>
        <v>0.17</v>
      </c>
      <c r="AO159" s="1902">
        <v>22</v>
      </c>
      <c r="AP159" s="1873">
        <v>23</v>
      </c>
      <c r="AQ159" s="1979">
        <v>0.5</v>
      </c>
      <c r="AR159" s="1983"/>
    </row>
    <row r="160" spans="1:44" ht="15" thickBot="1">
      <c r="A160" s="1934"/>
      <c r="B160" s="1902">
        <v>23</v>
      </c>
      <c r="C160" s="1873">
        <v>24</v>
      </c>
      <c r="D160" s="1935">
        <v>0.11</v>
      </c>
      <c r="E160" s="1912">
        <v>0.22</v>
      </c>
      <c r="F160" s="1934"/>
      <c r="G160" s="1902">
        <v>23</v>
      </c>
      <c r="H160" s="1873">
        <v>24</v>
      </c>
      <c r="I160" s="1935">
        <v>0.12</v>
      </c>
      <c r="J160" s="1912">
        <v>0.24</v>
      </c>
      <c r="K160" s="1934"/>
      <c r="L160" s="1902">
        <v>23</v>
      </c>
      <c r="M160" s="1873">
        <v>24</v>
      </c>
      <c r="N160" s="1935">
        <v>0.13</v>
      </c>
      <c r="O160" s="1912">
        <v>0.28000000000000003</v>
      </c>
      <c r="P160" s="1934"/>
      <c r="Q160" s="1902">
        <v>23</v>
      </c>
      <c r="R160" s="1873">
        <v>24</v>
      </c>
      <c r="S160" s="1935">
        <v>0.19</v>
      </c>
      <c r="T160" s="1912">
        <v>0.26</v>
      </c>
      <c r="U160" s="1934"/>
      <c r="V160" s="1902">
        <v>23</v>
      </c>
      <c r="W160" s="1873">
        <v>24</v>
      </c>
      <c r="X160" s="1935">
        <v>0.03</v>
      </c>
      <c r="Y160" s="1912">
        <v>0.04</v>
      </c>
      <c r="Z160" s="1934"/>
      <c r="AA160" s="1902">
        <v>23</v>
      </c>
      <c r="AB160" s="1873">
        <v>24</v>
      </c>
      <c r="AC160" s="1935">
        <v>0.28999999999999998</v>
      </c>
      <c r="AD160" s="1912">
        <v>0.48</v>
      </c>
      <c r="AF160" s="1902">
        <v>23</v>
      </c>
      <c r="AG160" s="1873">
        <v>24</v>
      </c>
      <c r="AH160" s="1935">
        <v>0.18</v>
      </c>
      <c r="AI160" s="1912">
        <v>0.43</v>
      </c>
      <c r="AK160" s="1957">
        <f t="shared" si="17"/>
        <v>0.13</v>
      </c>
      <c r="AL160" s="2078">
        <f t="shared" si="18"/>
        <v>0.19</v>
      </c>
      <c r="AM160" s="1958">
        <f t="shared" si="16"/>
        <v>0.28999999999999998</v>
      </c>
      <c r="AN160" s="1959">
        <f t="shared" si="19"/>
        <v>0.18</v>
      </c>
      <c r="AO160" s="1902">
        <v>23</v>
      </c>
      <c r="AP160" s="1873">
        <v>24</v>
      </c>
      <c r="AQ160" s="1979">
        <v>0.43</v>
      </c>
      <c r="AR160" s="1983"/>
    </row>
    <row r="161" spans="1:44">
      <c r="B161" s="2766">
        <v>44963</v>
      </c>
      <c r="C161" s="2766"/>
      <c r="D161" s="1922">
        <f>SUM(D162:D185)</f>
        <v>5.86</v>
      </c>
      <c r="E161" s="1923">
        <f>SUM(E162:E185)</f>
        <v>16.240000000000002</v>
      </c>
      <c r="G161" s="2773">
        <v>44991</v>
      </c>
      <c r="H161" s="2773"/>
      <c r="I161" s="1922">
        <f>SUM(I162:I185)</f>
        <v>6.5300000000000011</v>
      </c>
      <c r="J161" s="1923">
        <f>SUM(J162:J185)</f>
        <v>16.11</v>
      </c>
      <c r="L161" s="2773">
        <v>45022</v>
      </c>
      <c r="M161" s="2773"/>
      <c r="N161" s="1936">
        <f>SUM(N162:N185)</f>
        <v>7.9400000000000013</v>
      </c>
      <c r="O161" s="1937">
        <f>SUM(O162:O185)</f>
        <v>18.09</v>
      </c>
      <c r="Q161" s="2766">
        <v>45052</v>
      </c>
      <c r="R161" s="2766"/>
      <c r="S161" s="1936">
        <f>SUM(S162:S185)</f>
        <v>6.3099999999999987</v>
      </c>
      <c r="T161" s="1937">
        <f>SUM(T162:T185)</f>
        <v>8.6800000000000015</v>
      </c>
      <c r="V161" s="2766">
        <v>45052</v>
      </c>
      <c r="W161" s="2766"/>
      <c r="X161" s="1936">
        <f>SUM(X162:X185)</f>
        <v>2.06</v>
      </c>
      <c r="Y161" s="1937">
        <f>SUM(Y162:Y185)</f>
        <v>3.2</v>
      </c>
      <c r="AA161" s="2766">
        <v>45083</v>
      </c>
      <c r="AB161" s="2766"/>
      <c r="AC161" s="1936">
        <f>SUM(AC162:AC185)</f>
        <v>10.879999999999999</v>
      </c>
      <c r="AD161" s="1937">
        <f>SUM(AD162:AD185)</f>
        <v>18.649999999999995</v>
      </c>
      <c r="AF161" s="2766">
        <v>45113</v>
      </c>
      <c r="AG161" s="2766"/>
      <c r="AH161" s="1936">
        <f>SUM(AH162:AH185)</f>
        <v>9.5299999999999994</v>
      </c>
      <c r="AI161" s="1937">
        <f>SUM(AI162:AI185)</f>
        <v>23.88</v>
      </c>
      <c r="AK161" s="2082"/>
      <c r="AL161" s="2082"/>
      <c r="AM161" s="2083"/>
      <c r="AN161" s="2082"/>
      <c r="AO161" s="2765">
        <v>45175</v>
      </c>
      <c r="AP161" s="2765"/>
      <c r="AQ161" s="1922">
        <f>SUM(AQ162:AQ185)</f>
        <v>8.56</v>
      </c>
      <c r="AR161" s="1923">
        <f>SUM(AR162:AR185)</f>
        <v>0</v>
      </c>
    </row>
    <row r="162" spans="1:44">
      <c r="A162" s="1927"/>
      <c r="B162" s="1883">
        <v>0</v>
      </c>
      <c r="C162" s="1871">
        <v>1</v>
      </c>
      <c r="D162" s="1926">
        <v>0.08</v>
      </c>
      <c r="E162" s="1913">
        <v>0.17</v>
      </c>
      <c r="F162" s="1927"/>
      <c r="G162" s="1883">
        <v>0</v>
      </c>
      <c r="H162" s="1871">
        <v>1</v>
      </c>
      <c r="I162" s="1926">
        <v>0.08</v>
      </c>
      <c r="J162" s="1913">
        <v>0.17</v>
      </c>
      <c r="K162" s="1927"/>
      <c r="L162" s="1883">
        <v>0</v>
      </c>
      <c r="M162" s="1871">
        <v>1</v>
      </c>
      <c r="N162" s="1926">
        <v>0.08</v>
      </c>
      <c r="O162" s="1913">
        <v>0.17</v>
      </c>
      <c r="P162" s="1927"/>
      <c r="Q162" s="1883">
        <v>0</v>
      </c>
      <c r="R162" s="1871">
        <v>1</v>
      </c>
      <c r="S162" s="1926">
        <v>0.13</v>
      </c>
      <c r="T162" s="1913">
        <v>0.19</v>
      </c>
      <c r="U162" s="1927"/>
      <c r="V162" s="1883">
        <v>0</v>
      </c>
      <c r="W162" s="1871">
        <v>1</v>
      </c>
      <c r="X162" s="1926">
        <v>0.02</v>
      </c>
      <c r="Y162" s="1913">
        <v>0.03</v>
      </c>
      <c r="Z162" s="1927"/>
      <c r="AA162" s="1883">
        <v>0</v>
      </c>
      <c r="AB162" s="1871">
        <v>1</v>
      </c>
      <c r="AC162" s="1926">
        <v>0.32</v>
      </c>
      <c r="AD162" s="1913">
        <v>0.5</v>
      </c>
      <c r="AF162" s="1883">
        <v>0</v>
      </c>
      <c r="AG162" s="1871">
        <v>1</v>
      </c>
      <c r="AH162" s="1926">
        <v>0.15</v>
      </c>
      <c r="AI162" s="1913">
        <v>0.36</v>
      </c>
      <c r="AK162" s="1952">
        <f>N162</f>
        <v>0.08</v>
      </c>
      <c r="AL162" s="2074">
        <f>S162</f>
        <v>0.13</v>
      </c>
      <c r="AM162" s="1953">
        <f t="shared" ref="AM162:AM185" si="20">AC162</f>
        <v>0.32</v>
      </c>
      <c r="AN162" s="1954">
        <f>AH162</f>
        <v>0.15</v>
      </c>
      <c r="AO162" s="1883">
        <v>0</v>
      </c>
      <c r="AP162" s="1871">
        <v>1</v>
      </c>
      <c r="AQ162" s="1979">
        <v>0.31</v>
      </c>
      <c r="AR162" s="1983"/>
    </row>
    <row r="163" spans="1:44">
      <c r="A163" s="1927"/>
      <c r="B163" s="1883">
        <v>1</v>
      </c>
      <c r="C163" s="1871">
        <v>2</v>
      </c>
      <c r="D163" s="1926">
        <v>0.11</v>
      </c>
      <c r="E163" s="1913">
        <v>0.24</v>
      </c>
      <c r="F163" s="1927"/>
      <c r="G163" s="1883">
        <v>1</v>
      </c>
      <c r="H163" s="1871">
        <v>2</v>
      </c>
      <c r="I163" s="1926">
        <v>0.1</v>
      </c>
      <c r="J163" s="1913">
        <v>0.2</v>
      </c>
      <c r="K163" s="1927"/>
      <c r="L163" s="1883">
        <v>1</v>
      </c>
      <c r="M163" s="1871">
        <v>2</v>
      </c>
      <c r="N163" s="1926">
        <v>0.13</v>
      </c>
      <c r="O163" s="1913">
        <v>0.26</v>
      </c>
      <c r="P163" s="1927"/>
      <c r="Q163" s="1883">
        <v>1</v>
      </c>
      <c r="R163" s="1871">
        <v>2</v>
      </c>
      <c r="S163" s="1926">
        <v>0.06</v>
      </c>
      <c r="T163" s="1913">
        <v>0.08</v>
      </c>
      <c r="U163" s="1927"/>
      <c r="V163" s="1883">
        <v>1</v>
      </c>
      <c r="W163" s="1871">
        <v>2</v>
      </c>
      <c r="X163" s="1926">
        <v>0.08</v>
      </c>
      <c r="Y163" s="1913">
        <v>0.12</v>
      </c>
      <c r="Z163" s="1927"/>
      <c r="AA163" s="1883">
        <v>1</v>
      </c>
      <c r="AB163" s="1871">
        <v>2</v>
      </c>
      <c r="AC163" s="1926">
        <v>0.28999999999999998</v>
      </c>
      <c r="AD163" s="1913">
        <v>0.45</v>
      </c>
      <c r="AF163" s="1883">
        <v>1</v>
      </c>
      <c r="AG163" s="1871">
        <v>2</v>
      </c>
      <c r="AH163" s="1926">
        <v>0.17</v>
      </c>
      <c r="AI163" s="1913">
        <v>0.4</v>
      </c>
      <c r="AK163" s="1955">
        <f t="shared" ref="AK163:AK185" si="21">N163</f>
        <v>0.13</v>
      </c>
      <c r="AL163" s="2076">
        <f t="shared" ref="AL163:AL185" si="22">S163</f>
        <v>0.06</v>
      </c>
      <c r="AM163" s="1926">
        <f t="shared" si="20"/>
        <v>0.28999999999999998</v>
      </c>
      <c r="AN163" s="1956">
        <f t="shared" ref="AN163:AN185" si="23">AH163</f>
        <v>0.17</v>
      </c>
      <c r="AO163" s="1883">
        <v>1</v>
      </c>
      <c r="AP163" s="1871">
        <v>2</v>
      </c>
      <c r="AQ163" s="1979">
        <v>0.26</v>
      </c>
      <c r="AR163" s="1983"/>
    </row>
    <row r="164" spans="1:44">
      <c r="A164" s="1927"/>
      <c r="B164" s="1883">
        <v>2</v>
      </c>
      <c r="C164" s="1871">
        <v>3</v>
      </c>
      <c r="D164" s="1926">
        <v>0.12</v>
      </c>
      <c r="E164" s="1913">
        <v>0.26</v>
      </c>
      <c r="F164" s="1927"/>
      <c r="G164" s="1883">
        <v>2</v>
      </c>
      <c r="H164" s="1871">
        <v>3</v>
      </c>
      <c r="I164" s="1926">
        <v>0.13</v>
      </c>
      <c r="J164" s="1913">
        <v>0.25</v>
      </c>
      <c r="K164" s="1927"/>
      <c r="L164" s="1883">
        <v>2</v>
      </c>
      <c r="M164" s="1871">
        <v>3</v>
      </c>
      <c r="N164" s="1926">
        <v>0.12</v>
      </c>
      <c r="O164" s="1913">
        <v>0.23</v>
      </c>
      <c r="P164" s="1927"/>
      <c r="Q164" s="1883">
        <v>2</v>
      </c>
      <c r="R164" s="1871">
        <v>3</v>
      </c>
      <c r="S164" s="1926">
        <v>0.1</v>
      </c>
      <c r="T164" s="1913">
        <v>0.14000000000000001</v>
      </c>
      <c r="U164" s="1927"/>
      <c r="V164" s="1883">
        <v>2</v>
      </c>
      <c r="W164" s="1871">
        <v>3</v>
      </c>
      <c r="X164" s="1926">
        <v>0.03</v>
      </c>
      <c r="Y164" s="1913">
        <v>0.05</v>
      </c>
      <c r="Z164" s="1927"/>
      <c r="AA164" s="1883">
        <v>2</v>
      </c>
      <c r="AB164" s="1871">
        <v>3</v>
      </c>
      <c r="AC164" s="1926">
        <v>0.22</v>
      </c>
      <c r="AD164" s="1913">
        <v>0.34</v>
      </c>
      <c r="AF164" s="1883">
        <v>2</v>
      </c>
      <c r="AG164" s="1871">
        <v>3</v>
      </c>
      <c r="AH164" s="1926">
        <v>0.09</v>
      </c>
      <c r="AI164" s="1913">
        <v>0.2</v>
      </c>
      <c r="AK164" s="1955">
        <f t="shared" si="21"/>
        <v>0.12</v>
      </c>
      <c r="AL164" s="2076">
        <f t="shared" si="22"/>
        <v>0.1</v>
      </c>
      <c r="AM164" s="1926">
        <f t="shared" si="20"/>
        <v>0.22</v>
      </c>
      <c r="AN164" s="1956">
        <f t="shared" si="23"/>
        <v>0.09</v>
      </c>
      <c r="AO164" s="1883">
        <v>2</v>
      </c>
      <c r="AP164" s="1871">
        <v>3</v>
      </c>
      <c r="AQ164" s="1979">
        <v>0.24</v>
      </c>
      <c r="AR164" s="1983"/>
    </row>
    <row r="165" spans="1:44">
      <c r="A165" s="1927"/>
      <c r="B165" s="1883">
        <v>3</v>
      </c>
      <c r="C165" s="1871">
        <v>4</v>
      </c>
      <c r="D165" s="1926">
        <v>0.12</v>
      </c>
      <c r="E165" s="1913">
        <v>0.26</v>
      </c>
      <c r="F165" s="1927"/>
      <c r="G165" s="1883">
        <v>3</v>
      </c>
      <c r="H165" s="1871">
        <v>4</v>
      </c>
      <c r="I165" s="1926">
        <v>0.13</v>
      </c>
      <c r="J165" s="1913">
        <v>0.25</v>
      </c>
      <c r="K165" s="1927"/>
      <c r="L165" s="1883">
        <v>3</v>
      </c>
      <c r="M165" s="1871">
        <v>4</v>
      </c>
      <c r="N165" s="1926">
        <v>0.08</v>
      </c>
      <c r="O165" s="1913">
        <v>0.15</v>
      </c>
      <c r="P165" s="1927"/>
      <c r="Q165" s="1883">
        <v>3</v>
      </c>
      <c r="R165" s="1871">
        <v>4</v>
      </c>
      <c r="S165" s="1926">
        <v>0.14000000000000001</v>
      </c>
      <c r="T165" s="1913">
        <v>0.2</v>
      </c>
      <c r="U165" s="1927"/>
      <c r="V165" s="1883">
        <v>3</v>
      </c>
      <c r="W165" s="1871">
        <v>4</v>
      </c>
      <c r="X165" s="1926">
        <v>0.02</v>
      </c>
      <c r="Y165" s="1913">
        <v>0.03</v>
      </c>
      <c r="Z165" s="1927"/>
      <c r="AA165" s="1883">
        <v>3</v>
      </c>
      <c r="AB165" s="1871">
        <v>4</v>
      </c>
      <c r="AC165" s="1926">
        <v>0.35</v>
      </c>
      <c r="AD165" s="1913">
        <v>0.55000000000000004</v>
      </c>
      <c r="AF165" s="1883">
        <v>3</v>
      </c>
      <c r="AG165" s="1871">
        <v>4</v>
      </c>
      <c r="AH165" s="1926">
        <v>0.19</v>
      </c>
      <c r="AI165" s="1913">
        <v>0.39</v>
      </c>
      <c r="AK165" s="1955">
        <f t="shared" si="21"/>
        <v>0.08</v>
      </c>
      <c r="AL165" s="2076">
        <f t="shared" si="22"/>
        <v>0.14000000000000001</v>
      </c>
      <c r="AM165" s="1926">
        <f t="shared" si="20"/>
        <v>0.35</v>
      </c>
      <c r="AN165" s="1956">
        <f t="shared" si="23"/>
        <v>0.19</v>
      </c>
      <c r="AO165" s="1883">
        <v>3</v>
      </c>
      <c r="AP165" s="1871">
        <v>4</v>
      </c>
      <c r="AQ165" s="1979">
        <v>0.27</v>
      </c>
      <c r="AR165" s="1983"/>
    </row>
    <row r="166" spans="1:44">
      <c r="A166" s="1927"/>
      <c r="B166" s="1883">
        <v>4</v>
      </c>
      <c r="C166" s="1871">
        <v>5</v>
      </c>
      <c r="D166" s="1926">
        <v>0.12</v>
      </c>
      <c r="E166" s="1913">
        <v>0.26</v>
      </c>
      <c r="F166" s="1927"/>
      <c r="G166" s="1883">
        <v>4</v>
      </c>
      <c r="H166" s="1871">
        <v>5</v>
      </c>
      <c r="I166" s="1926">
        <v>0.1</v>
      </c>
      <c r="J166" s="1913">
        <v>0.2</v>
      </c>
      <c r="K166" s="1927"/>
      <c r="L166" s="1883">
        <v>4</v>
      </c>
      <c r="M166" s="1871">
        <v>5</v>
      </c>
      <c r="N166" s="1926">
        <v>0.09</v>
      </c>
      <c r="O166" s="1913">
        <v>0.17</v>
      </c>
      <c r="P166" s="1927"/>
      <c r="Q166" s="1883">
        <v>4</v>
      </c>
      <c r="R166" s="1871">
        <v>5</v>
      </c>
      <c r="S166" s="1926">
        <v>0.1</v>
      </c>
      <c r="T166" s="1913">
        <v>0.14000000000000001</v>
      </c>
      <c r="U166" s="1927"/>
      <c r="V166" s="1883">
        <v>4</v>
      </c>
      <c r="W166" s="1871">
        <v>5</v>
      </c>
      <c r="X166" s="1926">
        <v>0.08</v>
      </c>
      <c r="Y166" s="1913">
        <v>0.13</v>
      </c>
      <c r="Z166" s="1927"/>
      <c r="AA166" s="1883">
        <v>4</v>
      </c>
      <c r="AB166" s="1871">
        <v>5</v>
      </c>
      <c r="AC166" s="1926">
        <v>0.2</v>
      </c>
      <c r="AD166" s="1913">
        <v>0.32</v>
      </c>
      <c r="AF166" s="1883">
        <v>4</v>
      </c>
      <c r="AG166" s="1871">
        <v>5</v>
      </c>
      <c r="AH166" s="1926">
        <v>0.13</v>
      </c>
      <c r="AI166" s="1913">
        <v>0.28000000000000003</v>
      </c>
      <c r="AK166" s="1955">
        <f t="shared" si="21"/>
        <v>0.09</v>
      </c>
      <c r="AL166" s="2076">
        <f t="shared" si="22"/>
        <v>0.1</v>
      </c>
      <c r="AM166" s="1926">
        <f t="shared" si="20"/>
        <v>0.2</v>
      </c>
      <c r="AN166" s="1956">
        <f t="shared" si="23"/>
        <v>0.13</v>
      </c>
      <c r="AO166" s="1883">
        <v>4</v>
      </c>
      <c r="AP166" s="1871">
        <v>5</v>
      </c>
      <c r="AQ166" s="1979">
        <v>0.27</v>
      </c>
      <c r="AR166" s="1983"/>
    </row>
    <row r="167" spans="1:44">
      <c r="A167" s="1927"/>
      <c r="B167" s="1883">
        <v>5</v>
      </c>
      <c r="C167" s="1871">
        <v>6</v>
      </c>
      <c r="D167" s="1926">
        <v>7.0000000000000007E-2</v>
      </c>
      <c r="E167" s="1913">
        <v>0.15</v>
      </c>
      <c r="F167" s="1927"/>
      <c r="G167" s="1883">
        <v>5</v>
      </c>
      <c r="H167" s="1871">
        <v>6</v>
      </c>
      <c r="I167" s="1926">
        <v>0.08</v>
      </c>
      <c r="J167" s="1913">
        <v>0.17</v>
      </c>
      <c r="K167" s="1927"/>
      <c r="L167" s="1883">
        <v>5</v>
      </c>
      <c r="M167" s="1871">
        <v>6</v>
      </c>
      <c r="N167" s="1926">
        <v>0.12</v>
      </c>
      <c r="O167" s="1913">
        <v>0.24</v>
      </c>
      <c r="P167" s="1927"/>
      <c r="Q167" s="1883">
        <v>5</v>
      </c>
      <c r="R167" s="1871">
        <v>6</v>
      </c>
      <c r="S167" s="1926">
        <v>0.12</v>
      </c>
      <c r="T167" s="1913">
        <v>0.17</v>
      </c>
      <c r="U167" s="1927"/>
      <c r="V167" s="1883">
        <v>5</v>
      </c>
      <c r="W167" s="1871">
        <v>6</v>
      </c>
      <c r="X167" s="1926">
        <v>0.04</v>
      </c>
      <c r="Y167" s="1913">
        <v>0.06</v>
      </c>
      <c r="Z167" s="1927"/>
      <c r="AA167" s="1883">
        <v>5</v>
      </c>
      <c r="AB167" s="1871">
        <v>6</v>
      </c>
      <c r="AC167" s="1926">
        <v>0.28000000000000003</v>
      </c>
      <c r="AD167" s="1913">
        <v>0.46</v>
      </c>
      <c r="AF167" s="1883">
        <v>5</v>
      </c>
      <c r="AG167" s="1871">
        <v>6</v>
      </c>
      <c r="AH167" s="1926">
        <v>0.2</v>
      </c>
      <c r="AI167" s="1913">
        <v>0.72</v>
      </c>
      <c r="AK167" s="1955">
        <f t="shared" si="21"/>
        <v>0.12</v>
      </c>
      <c r="AL167" s="2076">
        <f t="shared" si="22"/>
        <v>0.12</v>
      </c>
      <c r="AM167" s="1926">
        <f t="shared" si="20"/>
        <v>0.28000000000000003</v>
      </c>
      <c r="AN167" s="1956">
        <f t="shared" si="23"/>
        <v>0.2</v>
      </c>
      <c r="AO167" s="1883">
        <v>5</v>
      </c>
      <c r="AP167" s="1871">
        <v>6</v>
      </c>
      <c r="AQ167" s="1979">
        <v>0.28000000000000003</v>
      </c>
      <c r="AR167" s="1983"/>
    </row>
    <row r="168" spans="1:44">
      <c r="A168" s="1927"/>
      <c r="B168" s="1883">
        <v>6</v>
      </c>
      <c r="C168" s="1871">
        <v>7</v>
      </c>
      <c r="D168" s="1926">
        <v>0.44</v>
      </c>
      <c r="E168" s="1913">
        <v>1.08</v>
      </c>
      <c r="F168" s="1927"/>
      <c r="G168" s="1883">
        <v>6</v>
      </c>
      <c r="H168" s="1871">
        <v>7</v>
      </c>
      <c r="I168" s="1926">
        <v>0.33</v>
      </c>
      <c r="J168" s="1913">
        <v>0.76</v>
      </c>
      <c r="K168" s="1927"/>
      <c r="L168" s="1883">
        <v>6</v>
      </c>
      <c r="M168" s="1871">
        <v>7</v>
      </c>
      <c r="N168" s="1926">
        <v>0.11</v>
      </c>
      <c r="O168" s="1913">
        <v>0.24</v>
      </c>
      <c r="P168" s="1927"/>
      <c r="Q168" s="1883">
        <v>6</v>
      </c>
      <c r="R168" s="1871">
        <v>7</v>
      </c>
      <c r="S168" s="1926">
        <v>0.09</v>
      </c>
      <c r="T168" s="1913">
        <v>0.13</v>
      </c>
      <c r="U168" s="1927"/>
      <c r="V168" s="1883">
        <v>6</v>
      </c>
      <c r="W168" s="1871">
        <v>7</v>
      </c>
      <c r="X168" s="1926">
        <v>0.01</v>
      </c>
      <c r="Y168" s="1913">
        <v>0.02</v>
      </c>
      <c r="Z168" s="1927"/>
      <c r="AA168" s="1883">
        <v>6</v>
      </c>
      <c r="AB168" s="1871">
        <v>7</v>
      </c>
      <c r="AC168" s="1926">
        <v>0.31</v>
      </c>
      <c r="AD168" s="1913">
        <v>0.68</v>
      </c>
      <c r="AF168" s="1883">
        <v>6</v>
      </c>
      <c r="AG168" s="1871">
        <v>7</v>
      </c>
      <c r="AH168" s="1926">
        <v>0.15</v>
      </c>
      <c r="AI168" s="1913">
        <v>0.35</v>
      </c>
      <c r="AK168" s="1955">
        <f t="shared" si="21"/>
        <v>0.11</v>
      </c>
      <c r="AL168" s="2076">
        <f t="shared" si="22"/>
        <v>0.09</v>
      </c>
      <c r="AM168" s="1926">
        <f t="shared" si="20"/>
        <v>0.31</v>
      </c>
      <c r="AN168" s="1956">
        <f t="shared" si="23"/>
        <v>0.15</v>
      </c>
      <c r="AO168" s="1883">
        <v>6</v>
      </c>
      <c r="AP168" s="1871">
        <v>7</v>
      </c>
      <c r="AQ168" s="1979">
        <v>0.22</v>
      </c>
      <c r="AR168" s="1983"/>
    </row>
    <row r="169" spans="1:44">
      <c r="A169" s="1927"/>
      <c r="B169" s="1908">
        <v>7</v>
      </c>
      <c r="C169" s="1909">
        <v>8</v>
      </c>
      <c r="D169" s="1928">
        <v>0.24</v>
      </c>
      <c r="E169" s="1917">
        <v>0.65</v>
      </c>
      <c r="F169" s="1927"/>
      <c r="G169" s="1908">
        <v>7</v>
      </c>
      <c r="H169" s="1909">
        <v>8</v>
      </c>
      <c r="I169" s="1928">
        <v>0.45</v>
      </c>
      <c r="J169" s="1917">
        <v>1.1399999999999999</v>
      </c>
      <c r="K169" s="1927"/>
      <c r="L169" s="1908">
        <v>7</v>
      </c>
      <c r="M169" s="1909">
        <v>8</v>
      </c>
      <c r="N169" s="1928">
        <v>0.14000000000000001</v>
      </c>
      <c r="O169" s="1917">
        <v>0.33</v>
      </c>
      <c r="P169" s="1927"/>
      <c r="Q169" s="1908">
        <v>7</v>
      </c>
      <c r="R169" s="1909">
        <v>8</v>
      </c>
      <c r="S169" s="1928">
        <v>0.2</v>
      </c>
      <c r="T169" s="1917">
        <v>0.3</v>
      </c>
      <c r="U169" s="1927"/>
      <c r="V169" s="1908">
        <v>7</v>
      </c>
      <c r="W169" s="1909">
        <v>8</v>
      </c>
      <c r="X169" s="1928">
        <v>0.08</v>
      </c>
      <c r="Y169" s="1917">
        <v>0.13</v>
      </c>
      <c r="Z169" s="1927"/>
      <c r="AA169" s="1908">
        <v>7</v>
      </c>
      <c r="AB169" s="1909">
        <v>8</v>
      </c>
      <c r="AC169" s="1928">
        <v>0.41</v>
      </c>
      <c r="AD169" s="1917">
        <v>0.92</v>
      </c>
      <c r="AF169" s="1908">
        <v>7</v>
      </c>
      <c r="AG169" s="1909">
        <v>8</v>
      </c>
      <c r="AH169" s="1928">
        <v>0.34</v>
      </c>
      <c r="AI169" s="1917">
        <v>0.81</v>
      </c>
      <c r="AK169" s="1957">
        <f t="shared" si="21"/>
        <v>0.14000000000000001</v>
      </c>
      <c r="AL169" s="2078">
        <f t="shared" si="22"/>
        <v>0.2</v>
      </c>
      <c r="AM169" s="1958">
        <f t="shared" si="20"/>
        <v>0.41</v>
      </c>
      <c r="AN169" s="1959">
        <f t="shared" si="23"/>
        <v>0.34</v>
      </c>
      <c r="AO169" s="1908">
        <v>7</v>
      </c>
      <c r="AP169" s="1909">
        <v>8</v>
      </c>
      <c r="AQ169" s="1979">
        <v>0.27</v>
      </c>
      <c r="AR169" s="1983"/>
    </row>
    <row r="170" spans="1:44">
      <c r="A170" s="1930"/>
      <c r="B170" s="1890">
        <v>8</v>
      </c>
      <c r="C170" s="1891">
        <v>9</v>
      </c>
      <c r="D170" s="1929">
        <v>0.51</v>
      </c>
      <c r="E170" s="1914">
        <v>1.43</v>
      </c>
      <c r="F170" s="1930"/>
      <c r="G170" s="1890">
        <v>8</v>
      </c>
      <c r="H170" s="1891">
        <v>9</v>
      </c>
      <c r="I170" s="1929">
        <v>0.38</v>
      </c>
      <c r="J170" s="1914">
        <v>1.08</v>
      </c>
      <c r="K170" s="1930"/>
      <c r="L170" s="1890">
        <v>8</v>
      </c>
      <c r="M170" s="1891">
        <v>9</v>
      </c>
      <c r="N170" s="1929">
        <v>0.15</v>
      </c>
      <c r="O170" s="1914">
        <v>0.34</v>
      </c>
      <c r="P170" s="1930"/>
      <c r="Q170" s="1890">
        <v>8</v>
      </c>
      <c r="R170" s="1891">
        <v>9</v>
      </c>
      <c r="S170" s="1929">
        <v>0.24</v>
      </c>
      <c r="T170" s="1914">
        <v>0.35</v>
      </c>
      <c r="U170" s="1930"/>
      <c r="V170" s="1890">
        <v>8</v>
      </c>
      <c r="W170" s="1891">
        <v>9</v>
      </c>
      <c r="X170" s="1929">
        <v>0.04</v>
      </c>
      <c r="Y170" s="1914">
        <v>0.06</v>
      </c>
      <c r="Z170" s="1930"/>
      <c r="AA170" s="1890">
        <v>8</v>
      </c>
      <c r="AB170" s="1891">
        <v>9</v>
      </c>
      <c r="AC170" s="1929">
        <v>0.41</v>
      </c>
      <c r="AD170" s="1914">
        <v>0.8</v>
      </c>
      <c r="AF170" s="1890">
        <v>8</v>
      </c>
      <c r="AG170" s="1891">
        <v>9</v>
      </c>
      <c r="AH170" s="1929">
        <v>0.48</v>
      </c>
      <c r="AI170" s="1914">
        <v>1.1499999999999999</v>
      </c>
      <c r="AK170" s="1952">
        <f t="shared" si="21"/>
        <v>0.15</v>
      </c>
      <c r="AL170" s="2074">
        <f t="shared" si="22"/>
        <v>0.24</v>
      </c>
      <c r="AM170" s="1953">
        <f t="shared" si="20"/>
        <v>0.41</v>
      </c>
      <c r="AN170" s="1954">
        <f t="shared" si="23"/>
        <v>0.48</v>
      </c>
      <c r="AO170" s="1890">
        <v>8</v>
      </c>
      <c r="AP170" s="1891">
        <v>9</v>
      </c>
      <c r="AQ170" s="1979">
        <v>0.3</v>
      </c>
      <c r="AR170" s="1983"/>
    </row>
    <row r="171" spans="1:44">
      <c r="A171" s="1930"/>
      <c r="B171" s="1893">
        <v>9</v>
      </c>
      <c r="C171" s="1872">
        <v>10</v>
      </c>
      <c r="D171" s="1931">
        <v>0.27</v>
      </c>
      <c r="E171" s="1915">
        <v>0.73</v>
      </c>
      <c r="F171" s="1930"/>
      <c r="G171" s="1893">
        <v>9</v>
      </c>
      <c r="H171" s="1872">
        <v>10</v>
      </c>
      <c r="I171" s="1931">
        <v>0.26</v>
      </c>
      <c r="J171" s="1915">
        <v>0.67</v>
      </c>
      <c r="K171" s="1930"/>
      <c r="L171" s="1893">
        <v>9</v>
      </c>
      <c r="M171" s="1872">
        <v>10</v>
      </c>
      <c r="N171" s="1931">
        <v>0.74</v>
      </c>
      <c r="O171" s="1915">
        <v>1.5</v>
      </c>
      <c r="P171" s="1930"/>
      <c r="Q171" s="1893">
        <v>9</v>
      </c>
      <c r="R171" s="1872">
        <v>10</v>
      </c>
      <c r="S171" s="1931">
        <v>0.31</v>
      </c>
      <c r="T171" s="1915">
        <v>0.46</v>
      </c>
      <c r="U171" s="1930"/>
      <c r="V171" s="1893">
        <v>9</v>
      </c>
      <c r="W171" s="1872">
        <v>10</v>
      </c>
      <c r="X171" s="1931">
        <v>0.01</v>
      </c>
      <c r="Y171" s="1915">
        <v>0.02</v>
      </c>
      <c r="Z171" s="1930"/>
      <c r="AA171" s="1893">
        <v>9</v>
      </c>
      <c r="AB171" s="1872">
        <v>10</v>
      </c>
      <c r="AC171" s="1931">
        <v>0.37</v>
      </c>
      <c r="AD171" s="1915">
        <v>0.63</v>
      </c>
      <c r="AF171" s="1893">
        <v>9</v>
      </c>
      <c r="AG171" s="1872">
        <v>10</v>
      </c>
      <c r="AH171" s="1931">
        <v>0.42</v>
      </c>
      <c r="AI171" s="1915">
        <v>1</v>
      </c>
      <c r="AK171" s="1955">
        <f t="shared" si="21"/>
        <v>0.74</v>
      </c>
      <c r="AL171" s="2076">
        <f t="shared" si="22"/>
        <v>0.31</v>
      </c>
      <c r="AM171" s="1926">
        <f t="shared" si="20"/>
        <v>0.37</v>
      </c>
      <c r="AN171" s="1956">
        <f t="shared" si="23"/>
        <v>0.42</v>
      </c>
      <c r="AO171" s="1893">
        <v>9</v>
      </c>
      <c r="AP171" s="1872">
        <v>10</v>
      </c>
      <c r="AQ171" s="1979">
        <v>0.36</v>
      </c>
      <c r="AR171" s="1983"/>
    </row>
    <row r="172" spans="1:44">
      <c r="A172" s="1930"/>
      <c r="B172" s="1893">
        <v>10</v>
      </c>
      <c r="C172" s="1872">
        <v>11</v>
      </c>
      <c r="D172" s="1931">
        <v>0.12</v>
      </c>
      <c r="E172" s="1915">
        <v>0.31</v>
      </c>
      <c r="F172" s="1930"/>
      <c r="G172" s="1893">
        <v>10</v>
      </c>
      <c r="H172" s="1872">
        <v>11</v>
      </c>
      <c r="I172" s="1931">
        <v>0.31</v>
      </c>
      <c r="J172" s="1915">
        <v>0.75</v>
      </c>
      <c r="K172" s="1930"/>
      <c r="L172" s="1893">
        <v>10</v>
      </c>
      <c r="M172" s="1872">
        <v>11</v>
      </c>
      <c r="N172" s="1931">
        <v>1.21</v>
      </c>
      <c r="O172" s="1915">
        <v>2.29</v>
      </c>
      <c r="P172" s="1930"/>
      <c r="Q172" s="1893">
        <v>10</v>
      </c>
      <c r="R172" s="1872">
        <v>11</v>
      </c>
      <c r="S172" s="1931">
        <v>0.37</v>
      </c>
      <c r="T172" s="1915">
        <v>0.53</v>
      </c>
      <c r="U172" s="1930"/>
      <c r="V172" s="1893">
        <v>10</v>
      </c>
      <c r="W172" s="1872">
        <v>11</v>
      </c>
      <c r="X172" s="1931">
        <v>7.0000000000000007E-2</v>
      </c>
      <c r="Y172" s="1915">
        <v>0.11</v>
      </c>
      <c r="Z172" s="1930"/>
      <c r="AA172" s="1893">
        <v>10</v>
      </c>
      <c r="AB172" s="1872">
        <v>11</v>
      </c>
      <c r="AC172" s="1931">
        <v>0.47</v>
      </c>
      <c r="AD172" s="1915">
        <v>0.76</v>
      </c>
      <c r="AF172" s="1893">
        <v>10</v>
      </c>
      <c r="AG172" s="1872">
        <v>11</v>
      </c>
      <c r="AH172" s="1931">
        <v>0.4</v>
      </c>
      <c r="AI172" s="1915">
        <v>0.93</v>
      </c>
      <c r="AK172" s="1955">
        <f t="shared" si="21"/>
        <v>1.21</v>
      </c>
      <c r="AL172" s="2076">
        <f t="shared" si="22"/>
        <v>0.37</v>
      </c>
      <c r="AM172" s="1926">
        <f t="shared" si="20"/>
        <v>0.47</v>
      </c>
      <c r="AN172" s="1956">
        <f t="shared" si="23"/>
        <v>0.4</v>
      </c>
      <c r="AO172" s="1893">
        <v>10</v>
      </c>
      <c r="AP172" s="1872">
        <v>11</v>
      </c>
      <c r="AQ172" s="1979">
        <v>0.61</v>
      </c>
      <c r="AR172" s="1983"/>
    </row>
    <row r="173" spans="1:44">
      <c r="A173" s="1930"/>
      <c r="B173" s="1893">
        <v>11</v>
      </c>
      <c r="C173" s="1872">
        <v>12</v>
      </c>
      <c r="D173" s="1931">
        <v>0.28999999999999998</v>
      </c>
      <c r="E173" s="1915">
        <v>0.72</v>
      </c>
      <c r="F173" s="1930"/>
      <c r="G173" s="1893">
        <v>11</v>
      </c>
      <c r="H173" s="1872">
        <v>12</v>
      </c>
      <c r="I173" s="1931">
        <v>0.18</v>
      </c>
      <c r="J173" s="1915">
        <v>0.42</v>
      </c>
      <c r="K173" s="1930"/>
      <c r="L173" s="1893">
        <v>11</v>
      </c>
      <c r="M173" s="1872">
        <v>12</v>
      </c>
      <c r="N173" s="1931">
        <v>0.21</v>
      </c>
      <c r="O173" s="1915">
        <v>0.38</v>
      </c>
      <c r="P173" s="1930"/>
      <c r="Q173" s="1893">
        <v>11</v>
      </c>
      <c r="R173" s="1872">
        <v>12</v>
      </c>
      <c r="S173" s="1931">
        <v>0.17</v>
      </c>
      <c r="T173" s="1915">
        <v>0.23</v>
      </c>
      <c r="U173" s="1930"/>
      <c r="V173" s="1893">
        <v>11</v>
      </c>
      <c r="W173" s="1872">
        <v>12</v>
      </c>
      <c r="X173" s="1931">
        <v>0.05</v>
      </c>
      <c r="Y173" s="1915">
        <v>7.0000000000000007E-2</v>
      </c>
      <c r="Z173" s="1930"/>
      <c r="AA173" s="1893">
        <v>11</v>
      </c>
      <c r="AB173" s="1872">
        <v>12</v>
      </c>
      <c r="AC173" s="1931">
        <v>0.3</v>
      </c>
      <c r="AD173" s="1915">
        <v>0.47</v>
      </c>
      <c r="AF173" s="1893">
        <v>11</v>
      </c>
      <c r="AG173" s="1872">
        <v>12</v>
      </c>
      <c r="AH173" s="1931">
        <v>0.39</v>
      </c>
      <c r="AI173" s="1915">
        <v>0.87</v>
      </c>
      <c r="AK173" s="1955">
        <f t="shared" si="21"/>
        <v>0.21</v>
      </c>
      <c r="AL173" s="2076">
        <f t="shared" si="22"/>
        <v>0.17</v>
      </c>
      <c r="AM173" s="1926">
        <f t="shared" si="20"/>
        <v>0.3</v>
      </c>
      <c r="AN173" s="1956">
        <f t="shared" si="23"/>
        <v>0.39</v>
      </c>
      <c r="AO173" s="1893">
        <v>11</v>
      </c>
      <c r="AP173" s="1872">
        <v>12</v>
      </c>
      <c r="AQ173" s="1979">
        <v>0.31</v>
      </c>
      <c r="AR173" s="1983"/>
    </row>
    <row r="174" spans="1:44">
      <c r="A174" s="1930"/>
      <c r="B174" s="1893">
        <v>12</v>
      </c>
      <c r="C174" s="1872">
        <v>13</v>
      </c>
      <c r="D174" s="1931">
        <v>0.25</v>
      </c>
      <c r="E174" s="1915">
        <v>0.6</v>
      </c>
      <c r="F174" s="1930"/>
      <c r="G174" s="1893">
        <v>12</v>
      </c>
      <c r="H174" s="1872">
        <v>13</v>
      </c>
      <c r="I174" s="1931">
        <v>0.3</v>
      </c>
      <c r="J174" s="1915">
        <v>0.67</v>
      </c>
      <c r="K174" s="1930"/>
      <c r="L174" s="1893">
        <v>12</v>
      </c>
      <c r="M174" s="1872">
        <v>13</v>
      </c>
      <c r="N174" s="1931">
        <v>0.33</v>
      </c>
      <c r="O174" s="1915">
        <v>0.59</v>
      </c>
      <c r="P174" s="1930"/>
      <c r="Q174" s="1893">
        <v>12</v>
      </c>
      <c r="R174" s="1872">
        <v>13</v>
      </c>
      <c r="S174" s="1931">
        <v>0.14000000000000001</v>
      </c>
      <c r="T174" s="1915">
        <v>0.19</v>
      </c>
      <c r="U174" s="1930"/>
      <c r="V174" s="1893">
        <v>12</v>
      </c>
      <c r="W174" s="1872">
        <v>13</v>
      </c>
      <c r="X174" s="1931">
        <v>0.1</v>
      </c>
      <c r="Y174" s="1915">
        <v>0.15</v>
      </c>
      <c r="Z174" s="1930"/>
      <c r="AA174" s="1893">
        <v>12</v>
      </c>
      <c r="AB174" s="1872">
        <v>13</v>
      </c>
      <c r="AC174" s="1931">
        <v>0.41</v>
      </c>
      <c r="AD174" s="1915">
        <v>0.62</v>
      </c>
      <c r="AF174" s="1893">
        <v>12</v>
      </c>
      <c r="AG174" s="1872">
        <v>13</v>
      </c>
      <c r="AH174" s="1931">
        <v>0.35</v>
      </c>
      <c r="AI174" s="1915">
        <v>0.77</v>
      </c>
      <c r="AK174" s="1955">
        <f t="shared" si="21"/>
        <v>0.33</v>
      </c>
      <c r="AL174" s="2076">
        <f t="shared" si="22"/>
        <v>0.14000000000000001</v>
      </c>
      <c r="AM174" s="1926">
        <f t="shared" si="20"/>
        <v>0.41</v>
      </c>
      <c r="AN174" s="1956">
        <f t="shared" si="23"/>
        <v>0.35</v>
      </c>
      <c r="AO174" s="1893">
        <v>12</v>
      </c>
      <c r="AP174" s="1872">
        <v>13</v>
      </c>
      <c r="AQ174" s="1979">
        <v>0.51</v>
      </c>
      <c r="AR174" s="1983"/>
    </row>
    <row r="175" spans="1:44">
      <c r="A175" s="1930"/>
      <c r="B175" s="1893">
        <v>13</v>
      </c>
      <c r="C175" s="1872">
        <v>14</v>
      </c>
      <c r="D175" s="1931">
        <v>0.17</v>
      </c>
      <c r="E175" s="1915">
        <v>0.39</v>
      </c>
      <c r="F175" s="1930"/>
      <c r="G175" s="1893">
        <v>13</v>
      </c>
      <c r="H175" s="1872">
        <v>14</v>
      </c>
      <c r="I175" s="1931">
        <v>0.28999999999999998</v>
      </c>
      <c r="J175" s="1915">
        <v>0.63</v>
      </c>
      <c r="K175" s="1930"/>
      <c r="L175" s="1893">
        <v>13</v>
      </c>
      <c r="M175" s="1872">
        <v>14</v>
      </c>
      <c r="N175" s="1931">
        <v>0.14000000000000001</v>
      </c>
      <c r="O175" s="1915">
        <v>0.25</v>
      </c>
      <c r="P175" s="1930"/>
      <c r="Q175" s="1893">
        <v>13</v>
      </c>
      <c r="R175" s="1872">
        <v>14</v>
      </c>
      <c r="S175" s="1931">
        <v>0.83</v>
      </c>
      <c r="T175" s="1915">
        <v>1</v>
      </c>
      <c r="U175" s="1930"/>
      <c r="V175" s="1893">
        <v>13</v>
      </c>
      <c r="W175" s="1872">
        <v>14</v>
      </c>
      <c r="X175" s="1931">
        <v>0.16</v>
      </c>
      <c r="Y175" s="1915">
        <v>0.21</v>
      </c>
      <c r="Z175" s="1930"/>
      <c r="AA175" s="1893">
        <v>13</v>
      </c>
      <c r="AB175" s="1872">
        <v>14</v>
      </c>
      <c r="AC175" s="1931">
        <v>0.54</v>
      </c>
      <c r="AD175" s="1915">
        <v>0.81</v>
      </c>
      <c r="AF175" s="1893">
        <v>13</v>
      </c>
      <c r="AG175" s="1872">
        <v>14</v>
      </c>
      <c r="AH175" s="1931">
        <v>0.36</v>
      </c>
      <c r="AI175" s="1915">
        <v>0.79</v>
      </c>
      <c r="AK175" s="1955">
        <f t="shared" si="21"/>
        <v>0.14000000000000001</v>
      </c>
      <c r="AL175" s="2076">
        <f t="shared" si="22"/>
        <v>0.83</v>
      </c>
      <c r="AM175" s="1926">
        <f t="shared" si="20"/>
        <v>0.54</v>
      </c>
      <c r="AN175" s="1956">
        <f t="shared" si="23"/>
        <v>0.36</v>
      </c>
      <c r="AO175" s="1893">
        <v>13</v>
      </c>
      <c r="AP175" s="1872">
        <v>14</v>
      </c>
      <c r="AQ175" s="1979">
        <v>0.34</v>
      </c>
      <c r="AR175" s="1983"/>
    </row>
    <row r="176" spans="1:44">
      <c r="A176" s="1930"/>
      <c r="B176" s="1893">
        <v>14</v>
      </c>
      <c r="C176" s="1872">
        <v>15</v>
      </c>
      <c r="D176" s="1931">
        <v>0.16</v>
      </c>
      <c r="E176" s="1915">
        <v>0.38</v>
      </c>
      <c r="F176" s="1930"/>
      <c r="G176" s="1893">
        <v>14</v>
      </c>
      <c r="H176" s="1872">
        <v>15</v>
      </c>
      <c r="I176" s="1931">
        <v>0.3</v>
      </c>
      <c r="J176" s="1915">
        <v>0.65</v>
      </c>
      <c r="K176" s="1930"/>
      <c r="L176" s="1893">
        <v>14</v>
      </c>
      <c r="M176" s="1872">
        <v>15</v>
      </c>
      <c r="N176" s="1931">
        <v>0.36</v>
      </c>
      <c r="O176" s="1915">
        <v>0.65</v>
      </c>
      <c r="P176" s="1930"/>
      <c r="Q176" s="1893">
        <v>14</v>
      </c>
      <c r="R176" s="1872">
        <v>15</v>
      </c>
      <c r="S176" s="1931">
        <v>0.9</v>
      </c>
      <c r="T176" s="1915">
        <v>1.04</v>
      </c>
      <c r="U176" s="1930"/>
      <c r="V176" s="1893">
        <v>14</v>
      </c>
      <c r="W176" s="1872">
        <v>15</v>
      </c>
      <c r="X176" s="1931">
        <v>0.14000000000000001</v>
      </c>
      <c r="Y176" s="1915">
        <v>0.18</v>
      </c>
      <c r="Z176" s="1930"/>
      <c r="AA176" s="1893">
        <v>14</v>
      </c>
      <c r="AB176" s="1872">
        <v>15</v>
      </c>
      <c r="AC176" s="1931">
        <v>0.56000000000000005</v>
      </c>
      <c r="AD176" s="1915">
        <v>0.82</v>
      </c>
      <c r="AF176" s="1893">
        <v>14</v>
      </c>
      <c r="AG176" s="1872">
        <v>15</v>
      </c>
      <c r="AH176" s="1931">
        <v>0.43</v>
      </c>
      <c r="AI176" s="1915">
        <v>0.94</v>
      </c>
      <c r="AK176" s="1955">
        <f t="shared" si="21"/>
        <v>0.36</v>
      </c>
      <c r="AL176" s="2076">
        <f t="shared" si="22"/>
        <v>0.9</v>
      </c>
      <c r="AM176" s="1926">
        <f t="shared" si="20"/>
        <v>0.56000000000000005</v>
      </c>
      <c r="AN176" s="1956">
        <f t="shared" si="23"/>
        <v>0.43</v>
      </c>
      <c r="AO176" s="1893">
        <v>14</v>
      </c>
      <c r="AP176" s="1872">
        <v>15</v>
      </c>
      <c r="AQ176" s="1979">
        <v>0.44</v>
      </c>
      <c r="AR176" s="1983"/>
    </row>
    <row r="177" spans="1:44">
      <c r="A177" s="1930"/>
      <c r="B177" s="1893">
        <v>15</v>
      </c>
      <c r="C177" s="1872">
        <v>16</v>
      </c>
      <c r="D177" s="1931">
        <v>0.09</v>
      </c>
      <c r="E177" s="1915">
        <v>0.22</v>
      </c>
      <c r="F177" s="1930"/>
      <c r="G177" s="1893">
        <v>15</v>
      </c>
      <c r="H177" s="1872">
        <v>16</v>
      </c>
      <c r="I177" s="1931">
        <v>0.26</v>
      </c>
      <c r="J177" s="1915">
        <v>0.56999999999999995</v>
      </c>
      <c r="K177" s="1930"/>
      <c r="L177" s="1893">
        <v>15</v>
      </c>
      <c r="M177" s="1872">
        <v>16</v>
      </c>
      <c r="N177" s="1931">
        <v>0.32</v>
      </c>
      <c r="O177" s="1915">
        <v>0.57999999999999996</v>
      </c>
      <c r="P177" s="1930"/>
      <c r="Q177" s="1893">
        <v>15</v>
      </c>
      <c r="R177" s="1872">
        <v>16</v>
      </c>
      <c r="S177" s="1931">
        <v>0.26</v>
      </c>
      <c r="T177" s="1915">
        <v>0.33</v>
      </c>
      <c r="U177" s="1930"/>
      <c r="V177" s="1893">
        <v>15</v>
      </c>
      <c r="W177" s="1872">
        <v>16</v>
      </c>
      <c r="X177" s="1931">
        <v>0.1</v>
      </c>
      <c r="Y177" s="1915">
        <v>0.14000000000000001</v>
      </c>
      <c r="Z177" s="1930"/>
      <c r="AA177" s="1893">
        <v>15</v>
      </c>
      <c r="AB177" s="1872">
        <v>16</v>
      </c>
      <c r="AC177" s="1931">
        <v>0.54</v>
      </c>
      <c r="AD177" s="1915">
        <v>0.77</v>
      </c>
      <c r="AF177" s="1893">
        <v>15</v>
      </c>
      <c r="AG177" s="1872">
        <v>16</v>
      </c>
      <c r="AH177" s="1931">
        <v>0.33</v>
      </c>
      <c r="AI177" s="1915">
        <v>0.72</v>
      </c>
      <c r="AK177" s="1955">
        <f t="shared" si="21"/>
        <v>0.32</v>
      </c>
      <c r="AL177" s="2076">
        <f t="shared" si="22"/>
        <v>0.26</v>
      </c>
      <c r="AM177" s="1926">
        <f t="shared" si="20"/>
        <v>0.54</v>
      </c>
      <c r="AN177" s="1956">
        <f t="shared" si="23"/>
        <v>0.33</v>
      </c>
      <c r="AO177" s="1893">
        <v>15</v>
      </c>
      <c r="AP177" s="1872">
        <v>16</v>
      </c>
      <c r="AQ177" s="1979">
        <v>0.18</v>
      </c>
      <c r="AR177" s="1983"/>
    </row>
    <row r="178" spans="1:44">
      <c r="A178" s="1930"/>
      <c r="B178" s="1893">
        <v>16</v>
      </c>
      <c r="C178" s="1872">
        <v>17</v>
      </c>
      <c r="D178" s="1931">
        <v>0.24</v>
      </c>
      <c r="E178" s="1915">
        <v>0.6</v>
      </c>
      <c r="F178" s="1930"/>
      <c r="G178" s="1893">
        <v>16</v>
      </c>
      <c r="H178" s="1872">
        <v>17</v>
      </c>
      <c r="I178" s="1931">
        <v>0.36</v>
      </c>
      <c r="J178" s="1915">
        <v>0.81</v>
      </c>
      <c r="K178" s="1930"/>
      <c r="L178" s="1893">
        <v>16</v>
      </c>
      <c r="M178" s="1872">
        <v>17</v>
      </c>
      <c r="N178" s="1931">
        <v>0.34</v>
      </c>
      <c r="O178" s="1915">
        <v>0.62</v>
      </c>
      <c r="P178" s="1930"/>
      <c r="Q178" s="1893">
        <v>16</v>
      </c>
      <c r="R178" s="1872">
        <v>17</v>
      </c>
      <c r="S178" s="1931">
        <v>0.3</v>
      </c>
      <c r="T178" s="1915">
        <v>0.41</v>
      </c>
      <c r="U178" s="1930"/>
      <c r="V178" s="1893">
        <v>16</v>
      </c>
      <c r="W178" s="1872">
        <v>17</v>
      </c>
      <c r="X178" s="1931">
        <v>0.14000000000000001</v>
      </c>
      <c r="Y178" s="1915">
        <v>0.21</v>
      </c>
      <c r="Z178" s="1930"/>
      <c r="AA178" s="1893">
        <v>16</v>
      </c>
      <c r="AB178" s="1872">
        <v>17</v>
      </c>
      <c r="AC178" s="1931">
        <v>0.49</v>
      </c>
      <c r="AD178" s="1915">
        <v>0.76</v>
      </c>
      <c r="AF178" s="1893">
        <v>16</v>
      </c>
      <c r="AG178" s="1872">
        <v>17</v>
      </c>
      <c r="AH178" s="1931">
        <v>0.79</v>
      </c>
      <c r="AI178" s="1915">
        <v>1.65</v>
      </c>
      <c r="AK178" s="1955">
        <f t="shared" si="21"/>
        <v>0.34</v>
      </c>
      <c r="AL178" s="2076">
        <f t="shared" si="22"/>
        <v>0.3</v>
      </c>
      <c r="AM178" s="1926">
        <f t="shared" si="20"/>
        <v>0.49</v>
      </c>
      <c r="AN178" s="1956">
        <f t="shared" si="23"/>
        <v>0.79</v>
      </c>
      <c r="AO178" s="1893">
        <v>16</v>
      </c>
      <c r="AP178" s="1872">
        <v>17</v>
      </c>
      <c r="AQ178" s="1979">
        <v>0.33</v>
      </c>
      <c r="AR178" s="1983"/>
    </row>
    <row r="179" spans="1:44">
      <c r="A179" s="1930"/>
      <c r="B179" s="1894">
        <v>17</v>
      </c>
      <c r="C179" s="1895">
        <v>18</v>
      </c>
      <c r="D179" s="1932">
        <v>0.82</v>
      </c>
      <c r="E179" s="1916">
        <v>2.83</v>
      </c>
      <c r="F179" s="1930"/>
      <c r="G179" s="1894">
        <v>17</v>
      </c>
      <c r="H179" s="1895">
        <v>18</v>
      </c>
      <c r="I179" s="1932">
        <v>0.97</v>
      </c>
      <c r="J179" s="1916">
        <v>3.02</v>
      </c>
      <c r="K179" s="1930"/>
      <c r="L179" s="1894">
        <v>17</v>
      </c>
      <c r="M179" s="1895">
        <v>18</v>
      </c>
      <c r="N179" s="1932">
        <v>1.32</v>
      </c>
      <c r="O179" s="1916">
        <v>5.46</v>
      </c>
      <c r="P179" s="1930"/>
      <c r="Q179" s="1894">
        <v>17</v>
      </c>
      <c r="R179" s="1895">
        <v>18</v>
      </c>
      <c r="S179" s="1932">
        <v>0.22</v>
      </c>
      <c r="T179" s="1916">
        <v>0.32</v>
      </c>
      <c r="U179" s="1930"/>
      <c r="V179" s="1894">
        <v>17</v>
      </c>
      <c r="W179" s="1895">
        <v>18</v>
      </c>
      <c r="X179" s="1932">
        <v>0.15</v>
      </c>
      <c r="Y179" s="1916">
        <v>0.24</v>
      </c>
      <c r="Z179" s="1930"/>
      <c r="AA179" s="1894">
        <v>17</v>
      </c>
      <c r="AB179" s="1895">
        <v>18</v>
      </c>
      <c r="AC179" s="1932">
        <v>1.64</v>
      </c>
      <c r="AD179" s="1916">
        <v>2.68</v>
      </c>
      <c r="AF179" s="1894">
        <v>17</v>
      </c>
      <c r="AG179" s="1895">
        <v>18</v>
      </c>
      <c r="AH179" s="1932">
        <v>1.24</v>
      </c>
      <c r="AI179" s="1916">
        <v>2.88</v>
      </c>
      <c r="AK179" s="1957">
        <f t="shared" si="21"/>
        <v>1.32</v>
      </c>
      <c r="AL179" s="2078">
        <f t="shared" si="22"/>
        <v>0.22</v>
      </c>
      <c r="AM179" s="1958">
        <f t="shared" si="20"/>
        <v>1.64</v>
      </c>
      <c r="AN179" s="1959">
        <f t="shared" si="23"/>
        <v>1.24</v>
      </c>
      <c r="AO179" s="1894">
        <v>17</v>
      </c>
      <c r="AP179" s="1895">
        <v>18</v>
      </c>
      <c r="AQ179" s="1979">
        <v>0.27</v>
      </c>
      <c r="AR179" s="1983"/>
    </row>
    <row r="180" spans="1:44">
      <c r="A180" s="1934"/>
      <c r="B180" s="1910">
        <v>18</v>
      </c>
      <c r="C180" s="1889">
        <v>19</v>
      </c>
      <c r="D180" s="1933">
        <v>0.51</v>
      </c>
      <c r="E180" s="1911">
        <v>1.83</v>
      </c>
      <c r="F180" s="1934"/>
      <c r="G180" s="1910">
        <v>18</v>
      </c>
      <c r="H180" s="1889">
        <v>19</v>
      </c>
      <c r="I180" s="1933">
        <v>0.23</v>
      </c>
      <c r="J180" s="1911">
        <v>0.76</v>
      </c>
      <c r="K180" s="1934"/>
      <c r="L180" s="1910">
        <v>18</v>
      </c>
      <c r="M180" s="1889">
        <v>19</v>
      </c>
      <c r="N180" s="1933">
        <v>0.28999999999999998</v>
      </c>
      <c r="O180" s="1911">
        <v>0.52</v>
      </c>
      <c r="P180" s="1934"/>
      <c r="Q180" s="1910">
        <v>18</v>
      </c>
      <c r="R180" s="1889">
        <v>19</v>
      </c>
      <c r="S180" s="1933">
        <v>0.3</v>
      </c>
      <c r="T180" s="1911">
        <v>0.45</v>
      </c>
      <c r="U180" s="1934"/>
      <c r="V180" s="1910">
        <v>18</v>
      </c>
      <c r="W180" s="1889">
        <v>19</v>
      </c>
      <c r="X180" s="1933">
        <v>0.11</v>
      </c>
      <c r="Y180" s="1911">
        <v>0.18</v>
      </c>
      <c r="Z180" s="1934"/>
      <c r="AA180" s="1910">
        <v>18</v>
      </c>
      <c r="AB180" s="1889">
        <v>19</v>
      </c>
      <c r="AC180" s="1933">
        <v>0.63</v>
      </c>
      <c r="AD180" s="1911">
        <v>1.0900000000000001</v>
      </c>
      <c r="AF180" s="1910">
        <v>18</v>
      </c>
      <c r="AG180" s="1889">
        <v>19</v>
      </c>
      <c r="AH180" s="1933">
        <v>0.79</v>
      </c>
      <c r="AI180" s="1911">
        <v>2.08</v>
      </c>
      <c r="AK180" s="1952">
        <f t="shared" si="21"/>
        <v>0.28999999999999998</v>
      </c>
      <c r="AL180" s="2074">
        <f t="shared" si="22"/>
        <v>0.3</v>
      </c>
      <c r="AM180" s="1953">
        <f t="shared" si="20"/>
        <v>0.63</v>
      </c>
      <c r="AN180" s="1954">
        <f t="shared" si="23"/>
        <v>0.79</v>
      </c>
      <c r="AO180" s="1910">
        <v>18</v>
      </c>
      <c r="AP180" s="1889">
        <v>19</v>
      </c>
      <c r="AQ180" s="1979">
        <v>0.37</v>
      </c>
      <c r="AR180" s="1983"/>
    </row>
    <row r="181" spans="1:44">
      <c r="A181" s="1934"/>
      <c r="B181" s="1902">
        <v>19</v>
      </c>
      <c r="C181" s="1873">
        <v>20</v>
      </c>
      <c r="D181" s="1935">
        <v>0.39</v>
      </c>
      <c r="E181" s="1912">
        <v>1.37</v>
      </c>
      <c r="F181" s="1934"/>
      <c r="G181" s="1902">
        <v>19</v>
      </c>
      <c r="H181" s="1873">
        <v>20</v>
      </c>
      <c r="I181" s="1935">
        <v>0.28000000000000003</v>
      </c>
      <c r="J181" s="1912">
        <v>0.9</v>
      </c>
      <c r="K181" s="1934"/>
      <c r="L181" s="1902">
        <v>19</v>
      </c>
      <c r="M181" s="1873">
        <v>20</v>
      </c>
      <c r="N181" s="1935">
        <v>0.33</v>
      </c>
      <c r="O181" s="1912">
        <v>0.63</v>
      </c>
      <c r="P181" s="1934"/>
      <c r="Q181" s="1902">
        <v>19</v>
      </c>
      <c r="R181" s="1873">
        <v>20</v>
      </c>
      <c r="S181" s="1935">
        <v>0.54</v>
      </c>
      <c r="T181" s="1912">
        <v>0.82</v>
      </c>
      <c r="U181" s="1934"/>
      <c r="V181" s="1902">
        <v>19</v>
      </c>
      <c r="W181" s="1873">
        <v>20</v>
      </c>
      <c r="X181" s="1935">
        <v>0.1</v>
      </c>
      <c r="Y181" s="1912">
        <v>0.16</v>
      </c>
      <c r="Z181" s="1934"/>
      <c r="AA181" s="1902">
        <v>19</v>
      </c>
      <c r="AB181" s="1873">
        <v>20</v>
      </c>
      <c r="AC181" s="1935">
        <v>0.48</v>
      </c>
      <c r="AD181" s="1912">
        <v>0.99</v>
      </c>
      <c r="AF181" s="1902">
        <v>19</v>
      </c>
      <c r="AG181" s="1873">
        <v>20</v>
      </c>
      <c r="AH181" s="1935">
        <v>0.44</v>
      </c>
      <c r="AI181" s="1912">
        <v>1.23</v>
      </c>
      <c r="AK181" s="1955">
        <f t="shared" si="21"/>
        <v>0.33</v>
      </c>
      <c r="AL181" s="2076">
        <f t="shared" si="22"/>
        <v>0.54</v>
      </c>
      <c r="AM181" s="1926">
        <f t="shared" si="20"/>
        <v>0.48</v>
      </c>
      <c r="AN181" s="1956">
        <f t="shared" si="23"/>
        <v>0.44</v>
      </c>
      <c r="AO181" s="1902">
        <v>19</v>
      </c>
      <c r="AP181" s="1873">
        <v>20</v>
      </c>
      <c r="AQ181" s="1979">
        <v>0.4</v>
      </c>
      <c r="AR181" s="1983"/>
    </row>
    <row r="182" spans="1:44">
      <c r="A182" s="1934"/>
      <c r="B182" s="1902">
        <v>20</v>
      </c>
      <c r="C182" s="1873">
        <v>21</v>
      </c>
      <c r="D182" s="1935">
        <v>0.27</v>
      </c>
      <c r="E182" s="1912">
        <v>0.69</v>
      </c>
      <c r="F182" s="1934"/>
      <c r="G182" s="1902">
        <v>20</v>
      </c>
      <c r="H182" s="1873">
        <v>21</v>
      </c>
      <c r="I182" s="1935">
        <v>0.24</v>
      </c>
      <c r="J182" s="1912">
        <v>0.53</v>
      </c>
      <c r="K182" s="1934"/>
      <c r="L182" s="1902">
        <v>20</v>
      </c>
      <c r="M182" s="1873">
        <v>21</v>
      </c>
      <c r="N182" s="1935">
        <v>0.32</v>
      </c>
      <c r="O182" s="1912">
        <v>0.62</v>
      </c>
      <c r="P182" s="1934"/>
      <c r="Q182" s="1902">
        <v>20</v>
      </c>
      <c r="R182" s="1873">
        <v>21</v>
      </c>
      <c r="S182" s="1935">
        <v>0.31</v>
      </c>
      <c r="T182" s="1912">
        <v>0.45</v>
      </c>
      <c r="U182" s="1934"/>
      <c r="V182" s="1902">
        <v>20</v>
      </c>
      <c r="W182" s="1873">
        <v>21</v>
      </c>
      <c r="X182" s="1935">
        <v>0.17</v>
      </c>
      <c r="Y182" s="1912">
        <v>0.28999999999999998</v>
      </c>
      <c r="Z182" s="1934"/>
      <c r="AA182" s="1902">
        <v>20</v>
      </c>
      <c r="AB182" s="1873">
        <v>21</v>
      </c>
      <c r="AC182" s="1935">
        <v>0.44</v>
      </c>
      <c r="AD182" s="1912">
        <v>0.98</v>
      </c>
      <c r="AF182" s="1902">
        <v>20</v>
      </c>
      <c r="AG182" s="1873">
        <v>21</v>
      </c>
      <c r="AH182" s="1935">
        <v>0.47</v>
      </c>
      <c r="AI182" s="1912">
        <v>1.56</v>
      </c>
      <c r="AK182" s="1955">
        <f t="shared" si="21"/>
        <v>0.32</v>
      </c>
      <c r="AL182" s="2076">
        <f t="shared" si="22"/>
        <v>0.31</v>
      </c>
      <c r="AM182" s="1926">
        <f t="shared" si="20"/>
        <v>0.44</v>
      </c>
      <c r="AN182" s="1956">
        <f t="shared" si="23"/>
        <v>0.47</v>
      </c>
      <c r="AO182" s="1902">
        <v>20</v>
      </c>
      <c r="AP182" s="1873">
        <v>21</v>
      </c>
      <c r="AQ182" s="1979">
        <v>0.5</v>
      </c>
      <c r="AR182" s="1983"/>
    </row>
    <row r="183" spans="1:44">
      <c r="A183" s="1934"/>
      <c r="B183" s="1902">
        <v>21</v>
      </c>
      <c r="C183" s="1873">
        <v>22</v>
      </c>
      <c r="D183" s="1935">
        <v>0.2</v>
      </c>
      <c r="E183" s="1912">
        <v>0.47</v>
      </c>
      <c r="F183" s="1934"/>
      <c r="G183" s="1902">
        <v>21</v>
      </c>
      <c r="H183" s="1873">
        <v>22</v>
      </c>
      <c r="I183" s="1935">
        <v>0.37</v>
      </c>
      <c r="J183" s="1912">
        <v>0.75</v>
      </c>
      <c r="K183" s="1934"/>
      <c r="L183" s="1902">
        <v>21</v>
      </c>
      <c r="M183" s="1873">
        <v>22</v>
      </c>
      <c r="N183" s="1935">
        <v>0.4</v>
      </c>
      <c r="O183" s="1912">
        <v>0.75</v>
      </c>
      <c r="P183" s="1934"/>
      <c r="Q183" s="1902">
        <v>21</v>
      </c>
      <c r="R183" s="1873">
        <v>22</v>
      </c>
      <c r="S183" s="1935">
        <v>0.16</v>
      </c>
      <c r="T183" s="1912">
        <v>0.26</v>
      </c>
      <c r="U183" s="1934"/>
      <c r="V183" s="1902">
        <v>21</v>
      </c>
      <c r="W183" s="1873">
        <v>22</v>
      </c>
      <c r="X183" s="1935">
        <v>0.14000000000000001</v>
      </c>
      <c r="Y183" s="1912">
        <v>0.24</v>
      </c>
      <c r="Z183" s="1934"/>
      <c r="AA183" s="1902">
        <v>21</v>
      </c>
      <c r="AB183" s="1873">
        <v>22</v>
      </c>
      <c r="AC183" s="1935">
        <v>0.54</v>
      </c>
      <c r="AD183" s="1912">
        <v>1.08</v>
      </c>
      <c r="AF183" s="1902">
        <v>21</v>
      </c>
      <c r="AG183" s="1873">
        <v>22</v>
      </c>
      <c r="AH183" s="1935">
        <v>0.69</v>
      </c>
      <c r="AI183" s="1912">
        <v>2.2799999999999998</v>
      </c>
      <c r="AK183" s="1955">
        <f t="shared" si="21"/>
        <v>0.4</v>
      </c>
      <c r="AL183" s="2076">
        <f t="shared" si="22"/>
        <v>0.16</v>
      </c>
      <c r="AM183" s="1926">
        <f t="shared" si="20"/>
        <v>0.54</v>
      </c>
      <c r="AN183" s="1956">
        <f t="shared" si="23"/>
        <v>0.69</v>
      </c>
      <c r="AO183" s="1902">
        <v>21</v>
      </c>
      <c r="AP183" s="1873">
        <v>22</v>
      </c>
      <c r="AQ183" s="1979">
        <v>0.59</v>
      </c>
      <c r="AR183" s="1983"/>
    </row>
    <row r="184" spans="1:44">
      <c r="A184" s="1934"/>
      <c r="B184" s="1902">
        <v>22</v>
      </c>
      <c r="C184" s="1873">
        <v>23</v>
      </c>
      <c r="D184" s="1935">
        <v>0.14000000000000001</v>
      </c>
      <c r="E184" s="1912">
        <v>0.31</v>
      </c>
      <c r="F184" s="1934"/>
      <c r="G184" s="1902">
        <v>22</v>
      </c>
      <c r="H184" s="1873">
        <v>23</v>
      </c>
      <c r="I184" s="1935">
        <v>0.23</v>
      </c>
      <c r="J184" s="1912">
        <v>0.45</v>
      </c>
      <c r="K184" s="1934"/>
      <c r="L184" s="1902">
        <v>22</v>
      </c>
      <c r="M184" s="1873">
        <v>23</v>
      </c>
      <c r="N184" s="1935">
        <v>0.37</v>
      </c>
      <c r="O184" s="1912">
        <v>0.68</v>
      </c>
      <c r="P184" s="1934"/>
      <c r="Q184" s="1902">
        <v>22</v>
      </c>
      <c r="R184" s="1873">
        <v>23</v>
      </c>
      <c r="S184" s="1935">
        <v>0.14000000000000001</v>
      </c>
      <c r="T184" s="1912">
        <v>0.22</v>
      </c>
      <c r="U184" s="1934"/>
      <c r="V184" s="1902">
        <v>22</v>
      </c>
      <c r="W184" s="1873">
        <v>23</v>
      </c>
      <c r="X184" s="1935">
        <v>0.1</v>
      </c>
      <c r="Y184" s="1912">
        <v>0.17</v>
      </c>
      <c r="Z184" s="1934"/>
      <c r="AA184" s="1902">
        <v>22</v>
      </c>
      <c r="AB184" s="1873">
        <v>23</v>
      </c>
      <c r="AC184" s="1935">
        <v>0.42</v>
      </c>
      <c r="AD184" s="1912">
        <v>0.74</v>
      </c>
      <c r="AF184" s="1902">
        <v>22</v>
      </c>
      <c r="AG184" s="1873">
        <v>23</v>
      </c>
      <c r="AH184" s="1935">
        <v>0.27</v>
      </c>
      <c r="AI184" s="1912">
        <v>0.8</v>
      </c>
      <c r="AK184" s="1955">
        <f t="shared" si="21"/>
        <v>0.37</v>
      </c>
      <c r="AL184" s="2076">
        <f t="shared" si="22"/>
        <v>0.14000000000000001</v>
      </c>
      <c r="AM184" s="1926">
        <f t="shared" si="20"/>
        <v>0.42</v>
      </c>
      <c r="AN184" s="1956">
        <f t="shared" si="23"/>
        <v>0.27</v>
      </c>
      <c r="AO184" s="1902">
        <v>22</v>
      </c>
      <c r="AP184" s="1873">
        <v>23</v>
      </c>
      <c r="AQ184" s="1979">
        <v>0.55000000000000004</v>
      </c>
      <c r="AR184" s="1983"/>
    </row>
    <row r="185" spans="1:44" ht="15" thickBot="1">
      <c r="A185" s="1934"/>
      <c r="B185" s="1902">
        <v>23</v>
      </c>
      <c r="C185" s="1873">
        <v>24</v>
      </c>
      <c r="D185" s="1935">
        <v>0.13</v>
      </c>
      <c r="E185" s="1912">
        <v>0.28999999999999998</v>
      </c>
      <c r="F185" s="1934"/>
      <c r="G185" s="1902">
        <v>23</v>
      </c>
      <c r="H185" s="1873">
        <v>24</v>
      </c>
      <c r="I185" s="1935">
        <v>0.17</v>
      </c>
      <c r="J185" s="1912">
        <v>0.31</v>
      </c>
      <c r="K185" s="1934"/>
      <c r="L185" s="1902">
        <v>23</v>
      </c>
      <c r="M185" s="1873">
        <v>24</v>
      </c>
      <c r="N185" s="1935">
        <v>0.24</v>
      </c>
      <c r="O185" s="1912">
        <v>0.44</v>
      </c>
      <c r="P185" s="1934"/>
      <c r="Q185" s="1902">
        <v>23</v>
      </c>
      <c r="R185" s="1873">
        <v>24</v>
      </c>
      <c r="S185" s="1935">
        <v>0.18</v>
      </c>
      <c r="T185" s="1912">
        <v>0.27</v>
      </c>
      <c r="U185" s="1934"/>
      <c r="V185" s="1902">
        <v>23</v>
      </c>
      <c r="W185" s="1873">
        <v>24</v>
      </c>
      <c r="X185" s="1935">
        <v>0.12</v>
      </c>
      <c r="Y185" s="1912">
        <v>0.2</v>
      </c>
      <c r="Z185" s="1934"/>
      <c r="AA185" s="1902">
        <v>23</v>
      </c>
      <c r="AB185" s="1873">
        <v>24</v>
      </c>
      <c r="AC185" s="1935">
        <v>0.26</v>
      </c>
      <c r="AD185" s="1912">
        <v>0.43</v>
      </c>
      <c r="AF185" s="1902">
        <v>23</v>
      </c>
      <c r="AG185" s="1873">
        <v>24</v>
      </c>
      <c r="AH185" s="1935">
        <v>0.26</v>
      </c>
      <c r="AI185" s="1912">
        <v>0.72</v>
      </c>
      <c r="AK185" s="1957">
        <f t="shared" si="21"/>
        <v>0.24</v>
      </c>
      <c r="AL185" s="2078">
        <f t="shared" si="22"/>
        <v>0.18</v>
      </c>
      <c r="AM185" s="1958">
        <f t="shared" si="20"/>
        <v>0.26</v>
      </c>
      <c r="AN185" s="1959">
        <f t="shared" si="23"/>
        <v>0.26</v>
      </c>
      <c r="AO185" s="1902">
        <v>23</v>
      </c>
      <c r="AP185" s="1873">
        <v>24</v>
      </c>
      <c r="AQ185" s="1979">
        <v>0.38</v>
      </c>
      <c r="AR185" s="1983"/>
    </row>
    <row r="186" spans="1:44">
      <c r="B186" s="2766">
        <v>44964</v>
      </c>
      <c r="C186" s="2766"/>
      <c r="D186" s="1922">
        <f>SUM(D187:D210)</f>
        <v>7.6300000000000017</v>
      </c>
      <c r="E186" s="1923">
        <f>SUM(E187:E210)</f>
        <v>20.450000000000003</v>
      </c>
      <c r="G186" s="2773">
        <v>44992</v>
      </c>
      <c r="H186" s="2773"/>
      <c r="I186" s="1922">
        <f>SUM(I187:I210)</f>
        <v>7.93</v>
      </c>
      <c r="J186" s="1923">
        <f>SUM(J187:J210)</f>
        <v>16.540000000000003</v>
      </c>
      <c r="L186" s="2773">
        <v>45023</v>
      </c>
      <c r="M186" s="2773"/>
      <c r="N186" s="1936">
        <f>SUM(N187:N210)</f>
        <v>6.8600000000000012</v>
      </c>
      <c r="O186" s="1937">
        <f>SUM(O187:O210)</f>
        <v>13.010000000000002</v>
      </c>
      <c r="Q186" s="2766">
        <v>45053</v>
      </c>
      <c r="R186" s="2766"/>
      <c r="S186" s="1936">
        <f>SUM(S187:S210)</f>
        <v>5</v>
      </c>
      <c r="T186" s="1937">
        <f>SUM(T187:T210)</f>
        <v>6.62</v>
      </c>
      <c r="V186" s="2766">
        <v>45053</v>
      </c>
      <c r="W186" s="2766"/>
      <c r="X186" s="1936">
        <f>SUM(X187:X210)</f>
        <v>2.9299999999999997</v>
      </c>
      <c r="Y186" s="1937">
        <f>SUM(Y187:Y210)</f>
        <v>4.26</v>
      </c>
      <c r="AA186" s="2766">
        <v>45084</v>
      </c>
      <c r="AB186" s="2766"/>
      <c r="AC186" s="1936">
        <f>SUM(AC187:AC210)</f>
        <v>11.03</v>
      </c>
      <c r="AD186" s="1937">
        <f>SUM(AD187:AD210)</f>
        <v>19.28</v>
      </c>
      <c r="AF186" s="2766">
        <v>45114</v>
      </c>
      <c r="AG186" s="2766"/>
      <c r="AH186" s="1936">
        <f>SUM(AH187:AH210)</f>
        <v>7.7100000000000009</v>
      </c>
      <c r="AI186" s="1937">
        <f>SUM(AI187:AI210)</f>
        <v>19.93</v>
      </c>
      <c r="AK186" s="2082"/>
      <c r="AL186" s="2082"/>
      <c r="AM186" s="2083"/>
      <c r="AN186" s="2082"/>
      <c r="AO186" s="2766">
        <v>45176</v>
      </c>
      <c r="AP186" s="2766"/>
      <c r="AQ186" s="1922">
        <f>SUM(AQ187:AQ210)</f>
        <v>9.9700000000000024</v>
      </c>
      <c r="AR186" s="1923">
        <f>SUM(AR187:AR210)</f>
        <v>0</v>
      </c>
    </row>
    <row r="187" spans="1:44">
      <c r="A187" s="1927"/>
      <c r="B187" s="1883">
        <v>0</v>
      </c>
      <c r="C187" s="1871">
        <v>1</v>
      </c>
      <c r="D187" s="1926">
        <v>0.1</v>
      </c>
      <c r="E187" s="1913">
        <v>0.22</v>
      </c>
      <c r="F187" s="1927"/>
      <c r="G187" s="1883">
        <v>0</v>
      </c>
      <c r="H187" s="1871">
        <v>1</v>
      </c>
      <c r="I187" s="1926">
        <v>0.12</v>
      </c>
      <c r="J187" s="1913">
        <v>0.19</v>
      </c>
      <c r="K187" s="1927"/>
      <c r="L187" s="1883">
        <v>0</v>
      </c>
      <c r="M187" s="1871">
        <v>1</v>
      </c>
      <c r="N187" s="1926">
        <v>0.09</v>
      </c>
      <c r="O187" s="1913">
        <v>0.36</v>
      </c>
      <c r="P187" s="1927"/>
      <c r="Q187" s="1883">
        <v>0</v>
      </c>
      <c r="R187" s="1871">
        <v>1</v>
      </c>
      <c r="S187" s="1926">
        <v>0.13</v>
      </c>
      <c r="T187" s="1913">
        <v>0.2</v>
      </c>
      <c r="U187" s="1927"/>
      <c r="V187" s="1883">
        <v>0</v>
      </c>
      <c r="W187" s="1871">
        <v>1</v>
      </c>
      <c r="X187" s="1926">
        <v>0.16</v>
      </c>
      <c r="Y187" s="1913">
        <v>0.26</v>
      </c>
      <c r="Z187" s="1927"/>
      <c r="AA187" s="1883">
        <v>0</v>
      </c>
      <c r="AB187" s="1871">
        <v>1</v>
      </c>
      <c r="AC187" s="1926">
        <v>0.3</v>
      </c>
      <c r="AD187" s="1913">
        <v>0.51</v>
      </c>
      <c r="AF187" s="1883">
        <v>0</v>
      </c>
      <c r="AG187" s="1871">
        <v>1</v>
      </c>
      <c r="AH187" s="1926">
        <v>0.26</v>
      </c>
      <c r="AI187" s="1913">
        <v>0.71</v>
      </c>
      <c r="AK187" s="1952">
        <f>N187</f>
        <v>0.09</v>
      </c>
      <c r="AL187" s="2074">
        <f>S187</f>
        <v>0.13</v>
      </c>
      <c r="AM187" s="1953">
        <f t="shared" ref="AM187:AM210" si="24">AC187</f>
        <v>0.3</v>
      </c>
      <c r="AN187" s="1954">
        <f>AH187</f>
        <v>0.26</v>
      </c>
      <c r="AO187" s="1883">
        <v>0</v>
      </c>
      <c r="AP187" s="1871">
        <v>1</v>
      </c>
      <c r="AQ187" s="1926">
        <v>0.34</v>
      </c>
      <c r="AR187" s="1913"/>
    </row>
    <row r="188" spans="1:44">
      <c r="A188" s="1927"/>
      <c r="B188" s="1883">
        <v>1</v>
      </c>
      <c r="C188" s="1871">
        <v>2</v>
      </c>
      <c r="D188" s="1926">
        <v>0.1</v>
      </c>
      <c r="E188" s="1913">
        <v>0.21</v>
      </c>
      <c r="F188" s="1927"/>
      <c r="G188" s="1883">
        <v>1</v>
      </c>
      <c r="H188" s="1871">
        <v>2</v>
      </c>
      <c r="I188" s="1926">
        <v>0.11</v>
      </c>
      <c r="J188" s="1913">
        <v>0.19</v>
      </c>
      <c r="K188" s="1927"/>
      <c r="L188" s="1883">
        <v>1</v>
      </c>
      <c r="M188" s="1871">
        <v>2</v>
      </c>
      <c r="N188" s="1926">
        <v>0.08</v>
      </c>
      <c r="O188" s="1913">
        <v>0.12</v>
      </c>
      <c r="P188" s="1927"/>
      <c r="Q188" s="1883">
        <v>1</v>
      </c>
      <c r="R188" s="1871">
        <v>2</v>
      </c>
      <c r="S188" s="1926">
        <v>0.14000000000000001</v>
      </c>
      <c r="T188" s="1913">
        <v>0.21</v>
      </c>
      <c r="U188" s="1927"/>
      <c r="V188" s="1883">
        <v>1</v>
      </c>
      <c r="W188" s="1871">
        <v>2</v>
      </c>
      <c r="X188" s="1926">
        <v>0.13</v>
      </c>
      <c r="Y188" s="1913">
        <v>0.21</v>
      </c>
      <c r="Z188" s="1927"/>
      <c r="AA188" s="1883">
        <v>1</v>
      </c>
      <c r="AB188" s="1871">
        <v>2</v>
      </c>
      <c r="AC188" s="1926">
        <v>0.23</v>
      </c>
      <c r="AD188" s="1913">
        <v>0.38</v>
      </c>
      <c r="AF188" s="1883">
        <v>1</v>
      </c>
      <c r="AG188" s="1871">
        <v>2</v>
      </c>
      <c r="AH188" s="1926">
        <v>0.24</v>
      </c>
      <c r="AI188" s="1913">
        <v>0.63</v>
      </c>
      <c r="AK188" s="1955">
        <f t="shared" ref="AK188:AK210" si="25">N188</f>
        <v>0.08</v>
      </c>
      <c r="AL188" s="2076">
        <f t="shared" ref="AL188:AL210" si="26">S188</f>
        <v>0.14000000000000001</v>
      </c>
      <c r="AM188" s="1926">
        <f t="shared" si="24"/>
        <v>0.23</v>
      </c>
      <c r="AN188" s="1956">
        <f t="shared" ref="AN188:AN210" si="27">AH188</f>
        <v>0.24</v>
      </c>
      <c r="AO188" s="1883">
        <v>1</v>
      </c>
      <c r="AP188" s="1871">
        <v>2</v>
      </c>
      <c r="AQ188" s="1926">
        <v>0.36</v>
      </c>
      <c r="AR188" s="1913"/>
    </row>
    <row r="189" spans="1:44">
      <c r="A189" s="1927"/>
      <c r="B189" s="1883">
        <v>2</v>
      </c>
      <c r="C189" s="1871">
        <v>3</v>
      </c>
      <c r="D189" s="1926">
        <v>0.12</v>
      </c>
      <c r="E189" s="1913">
        <v>0.26</v>
      </c>
      <c r="F189" s="1927"/>
      <c r="G189" s="1883">
        <v>2</v>
      </c>
      <c r="H189" s="1871">
        <v>3</v>
      </c>
      <c r="I189" s="1926">
        <v>0.11</v>
      </c>
      <c r="J189" s="1913">
        <v>0.18</v>
      </c>
      <c r="K189" s="1927"/>
      <c r="L189" s="1883">
        <v>2</v>
      </c>
      <c r="M189" s="1871">
        <v>3</v>
      </c>
      <c r="N189" s="1926">
        <v>0.12</v>
      </c>
      <c r="O189" s="1913">
        <v>0.21</v>
      </c>
      <c r="P189" s="1927"/>
      <c r="Q189" s="1883">
        <v>2</v>
      </c>
      <c r="R189" s="1871">
        <v>3</v>
      </c>
      <c r="S189" s="1926">
        <v>0.04</v>
      </c>
      <c r="T189" s="1913">
        <v>0.06</v>
      </c>
      <c r="U189" s="1927"/>
      <c r="V189" s="1883">
        <v>2</v>
      </c>
      <c r="W189" s="1871">
        <v>3</v>
      </c>
      <c r="X189" s="1926">
        <v>0.09</v>
      </c>
      <c r="Y189" s="1913">
        <v>0.14000000000000001</v>
      </c>
      <c r="Z189" s="1927"/>
      <c r="AA189" s="1883">
        <v>2</v>
      </c>
      <c r="AB189" s="1871">
        <v>3</v>
      </c>
      <c r="AC189" s="1926">
        <v>0.27</v>
      </c>
      <c r="AD189" s="1913">
        <v>0.45</v>
      </c>
      <c r="AF189" s="1883">
        <v>2</v>
      </c>
      <c r="AG189" s="1871">
        <v>3</v>
      </c>
      <c r="AH189" s="1926">
        <v>0.13</v>
      </c>
      <c r="AI189" s="1913">
        <v>0.34</v>
      </c>
      <c r="AK189" s="1955">
        <f t="shared" si="25"/>
        <v>0.12</v>
      </c>
      <c r="AL189" s="2076">
        <f t="shared" si="26"/>
        <v>0.04</v>
      </c>
      <c r="AM189" s="1926">
        <f t="shared" si="24"/>
        <v>0.27</v>
      </c>
      <c r="AN189" s="1956">
        <f t="shared" si="27"/>
        <v>0.13</v>
      </c>
      <c r="AO189" s="1883">
        <v>2</v>
      </c>
      <c r="AP189" s="1871">
        <v>3</v>
      </c>
      <c r="AQ189" s="1926">
        <v>0.31</v>
      </c>
      <c r="AR189" s="1913"/>
    </row>
    <row r="190" spans="1:44">
      <c r="A190" s="1927"/>
      <c r="B190" s="1883">
        <v>3</v>
      </c>
      <c r="C190" s="1871">
        <v>4</v>
      </c>
      <c r="D190" s="1926">
        <v>0.12</v>
      </c>
      <c r="E190" s="1913">
        <v>0.25</v>
      </c>
      <c r="F190" s="1927"/>
      <c r="G190" s="1883">
        <v>3</v>
      </c>
      <c r="H190" s="1871">
        <v>4</v>
      </c>
      <c r="I190" s="1926">
        <v>0.1</v>
      </c>
      <c r="J190" s="1913">
        <v>0.16</v>
      </c>
      <c r="K190" s="1927"/>
      <c r="L190" s="1883">
        <v>3</v>
      </c>
      <c r="M190" s="1871">
        <v>4</v>
      </c>
      <c r="N190" s="1926">
        <v>0.12</v>
      </c>
      <c r="O190" s="1913">
        <v>0.21</v>
      </c>
      <c r="P190" s="1927"/>
      <c r="Q190" s="1883">
        <v>3</v>
      </c>
      <c r="R190" s="1871">
        <v>4</v>
      </c>
      <c r="S190" s="1926">
        <v>0.11</v>
      </c>
      <c r="T190" s="1913">
        <v>0.16</v>
      </c>
      <c r="U190" s="1927"/>
      <c r="V190" s="1883">
        <v>3</v>
      </c>
      <c r="W190" s="1871">
        <v>4</v>
      </c>
      <c r="X190" s="1926">
        <v>0.15</v>
      </c>
      <c r="Y190" s="1913">
        <v>0.24</v>
      </c>
      <c r="Z190" s="1927"/>
      <c r="AA190" s="1883">
        <v>3</v>
      </c>
      <c r="AB190" s="1871">
        <v>4</v>
      </c>
      <c r="AC190" s="1926">
        <v>0.22</v>
      </c>
      <c r="AD190" s="1913">
        <v>0.36</v>
      </c>
      <c r="AF190" s="1883">
        <v>3</v>
      </c>
      <c r="AG190" s="1871">
        <v>4</v>
      </c>
      <c r="AH190" s="1926">
        <v>0.16</v>
      </c>
      <c r="AI190" s="1913">
        <v>0.4</v>
      </c>
      <c r="AK190" s="1955">
        <f t="shared" si="25"/>
        <v>0.12</v>
      </c>
      <c r="AL190" s="2076">
        <f t="shared" si="26"/>
        <v>0.11</v>
      </c>
      <c r="AM190" s="1926">
        <f t="shared" si="24"/>
        <v>0.22</v>
      </c>
      <c r="AN190" s="1956">
        <f t="shared" si="27"/>
        <v>0.16</v>
      </c>
      <c r="AO190" s="1883">
        <v>3</v>
      </c>
      <c r="AP190" s="1871">
        <v>4</v>
      </c>
      <c r="AQ190" s="1926">
        <v>0.24</v>
      </c>
      <c r="AR190" s="1913"/>
    </row>
    <row r="191" spans="1:44">
      <c r="A191" s="1927"/>
      <c r="B191" s="1883">
        <v>4</v>
      </c>
      <c r="C191" s="1871">
        <v>5</v>
      </c>
      <c r="D191" s="1926">
        <v>0.13</v>
      </c>
      <c r="E191" s="1913">
        <v>0.28000000000000003</v>
      </c>
      <c r="F191" s="1927"/>
      <c r="G191" s="1883">
        <v>4</v>
      </c>
      <c r="H191" s="1871">
        <v>5</v>
      </c>
      <c r="I191" s="1926">
        <v>0.11</v>
      </c>
      <c r="J191" s="1913">
        <v>0.17</v>
      </c>
      <c r="K191" s="1927"/>
      <c r="L191" s="1883">
        <v>4</v>
      </c>
      <c r="M191" s="1871">
        <v>5</v>
      </c>
      <c r="N191" s="1926">
        <v>0.1</v>
      </c>
      <c r="O191" s="1913">
        <v>0.18</v>
      </c>
      <c r="P191" s="1927"/>
      <c r="Q191" s="1883">
        <v>4</v>
      </c>
      <c r="R191" s="1871">
        <v>5</v>
      </c>
      <c r="S191" s="1926">
        <v>0.09</v>
      </c>
      <c r="T191" s="1913">
        <v>0.13</v>
      </c>
      <c r="U191" s="1927"/>
      <c r="V191" s="1883">
        <v>4</v>
      </c>
      <c r="W191" s="1871">
        <v>5</v>
      </c>
      <c r="X191" s="1926">
        <v>0.15</v>
      </c>
      <c r="Y191" s="1913">
        <v>0.24</v>
      </c>
      <c r="Z191" s="1927"/>
      <c r="AA191" s="1883">
        <v>4</v>
      </c>
      <c r="AB191" s="1871">
        <v>5</v>
      </c>
      <c r="AC191" s="1926">
        <v>0.25</v>
      </c>
      <c r="AD191" s="1913">
        <v>0.42</v>
      </c>
      <c r="AF191" s="1883">
        <v>4</v>
      </c>
      <c r="AG191" s="1871">
        <v>5</v>
      </c>
      <c r="AH191" s="1926">
        <v>0.11</v>
      </c>
      <c r="AI191" s="1913">
        <v>0.27</v>
      </c>
      <c r="AK191" s="1955">
        <f t="shared" si="25"/>
        <v>0.1</v>
      </c>
      <c r="AL191" s="2076">
        <f t="shared" si="26"/>
        <v>0.09</v>
      </c>
      <c r="AM191" s="1926">
        <f t="shared" si="24"/>
        <v>0.25</v>
      </c>
      <c r="AN191" s="1956">
        <f t="shared" si="27"/>
        <v>0.11</v>
      </c>
      <c r="AO191" s="1883">
        <v>4</v>
      </c>
      <c r="AP191" s="1871">
        <v>5</v>
      </c>
      <c r="AQ191" s="1926">
        <v>0.25</v>
      </c>
      <c r="AR191" s="1913"/>
    </row>
    <row r="192" spans="1:44">
      <c r="A192" s="1927"/>
      <c r="B192" s="1883">
        <v>5</v>
      </c>
      <c r="C192" s="1871">
        <v>6</v>
      </c>
      <c r="D192" s="1926">
        <v>0.48</v>
      </c>
      <c r="E192" s="1913">
        <v>1.04</v>
      </c>
      <c r="F192" s="1927"/>
      <c r="G192" s="1883">
        <v>5</v>
      </c>
      <c r="H192" s="1871">
        <v>6</v>
      </c>
      <c r="I192" s="1926">
        <v>0.23</v>
      </c>
      <c r="J192" s="1913">
        <v>0.37</v>
      </c>
      <c r="K192" s="1927"/>
      <c r="L192" s="1883">
        <v>5</v>
      </c>
      <c r="M192" s="1871">
        <v>6</v>
      </c>
      <c r="N192" s="1926">
        <v>0.2</v>
      </c>
      <c r="O192" s="1913">
        <v>0.36</v>
      </c>
      <c r="P192" s="1927"/>
      <c r="Q192" s="1883">
        <v>5</v>
      </c>
      <c r="R192" s="1871">
        <v>6</v>
      </c>
      <c r="S192" s="1926">
        <v>0.22</v>
      </c>
      <c r="T192" s="1913">
        <v>0.32</v>
      </c>
      <c r="U192" s="1927"/>
      <c r="V192" s="1883">
        <v>5</v>
      </c>
      <c r="W192" s="1871">
        <v>6</v>
      </c>
      <c r="X192" s="1926">
        <v>0.11</v>
      </c>
      <c r="Y192" s="1913">
        <v>0.18</v>
      </c>
      <c r="Z192" s="1927"/>
      <c r="AA192" s="1883">
        <v>5</v>
      </c>
      <c r="AB192" s="1871">
        <v>6</v>
      </c>
      <c r="AC192" s="1926">
        <v>0.26</v>
      </c>
      <c r="AD192" s="1913">
        <v>0.45</v>
      </c>
      <c r="AF192" s="1883">
        <v>5</v>
      </c>
      <c r="AG192" s="1871">
        <v>6</v>
      </c>
      <c r="AH192" s="1926">
        <v>0.22</v>
      </c>
      <c r="AI192" s="1913">
        <v>0.56000000000000005</v>
      </c>
      <c r="AK192" s="1955">
        <f t="shared" si="25"/>
        <v>0.2</v>
      </c>
      <c r="AL192" s="2076">
        <f t="shared" si="26"/>
        <v>0.22</v>
      </c>
      <c r="AM192" s="1926">
        <f t="shared" si="24"/>
        <v>0.26</v>
      </c>
      <c r="AN192" s="1956">
        <f t="shared" si="27"/>
        <v>0.22</v>
      </c>
      <c r="AO192" s="1883">
        <v>5</v>
      </c>
      <c r="AP192" s="1871">
        <v>6</v>
      </c>
      <c r="AQ192" s="1926">
        <v>0.28999999999999998</v>
      </c>
      <c r="AR192" s="1913"/>
    </row>
    <row r="193" spans="1:44">
      <c r="A193" s="1927"/>
      <c r="B193" s="1883">
        <v>6</v>
      </c>
      <c r="C193" s="1871">
        <v>7</v>
      </c>
      <c r="D193" s="1926">
        <v>0.4</v>
      </c>
      <c r="E193" s="1913">
        <v>0.96</v>
      </c>
      <c r="F193" s="1927"/>
      <c r="G193" s="1883">
        <v>6</v>
      </c>
      <c r="H193" s="1871">
        <v>7</v>
      </c>
      <c r="I193" s="1926">
        <v>0.25</v>
      </c>
      <c r="J193" s="1913">
        <v>0.44</v>
      </c>
      <c r="K193" s="1927"/>
      <c r="L193" s="1883">
        <v>6</v>
      </c>
      <c r="M193" s="1871">
        <v>7</v>
      </c>
      <c r="N193" s="1926">
        <v>0.27</v>
      </c>
      <c r="O193" s="1913">
        <v>0.48</v>
      </c>
      <c r="P193" s="1927"/>
      <c r="Q193" s="1883">
        <v>6</v>
      </c>
      <c r="R193" s="1871">
        <v>7</v>
      </c>
      <c r="S193" s="1926">
        <v>0.23</v>
      </c>
      <c r="T193" s="1913">
        <v>0.34</v>
      </c>
      <c r="U193" s="1927"/>
      <c r="V193" s="1883">
        <v>6</v>
      </c>
      <c r="W193" s="1871">
        <v>7</v>
      </c>
      <c r="X193" s="1926">
        <v>0.1</v>
      </c>
      <c r="Y193" s="1913">
        <v>0.16</v>
      </c>
      <c r="Z193" s="1927"/>
      <c r="AA193" s="1883">
        <v>6</v>
      </c>
      <c r="AB193" s="1871">
        <v>7</v>
      </c>
      <c r="AC193" s="1926">
        <v>0.25</v>
      </c>
      <c r="AD193" s="1913">
        <v>0.5</v>
      </c>
      <c r="AF193" s="1883">
        <v>6</v>
      </c>
      <c r="AG193" s="1871">
        <v>7</v>
      </c>
      <c r="AH193" s="1926">
        <v>0.13</v>
      </c>
      <c r="AI193" s="1913">
        <v>0.33</v>
      </c>
      <c r="AK193" s="1955">
        <f t="shared" si="25"/>
        <v>0.27</v>
      </c>
      <c r="AL193" s="2076">
        <f t="shared" si="26"/>
        <v>0.23</v>
      </c>
      <c r="AM193" s="1926">
        <f t="shared" si="24"/>
        <v>0.25</v>
      </c>
      <c r="AN193" s="1956">
        <f t="shared" si="27"/>
        <v>0.13</v>
      </c>
      <c r="AO193" s="1883">
        <v>6</v>
      </c>
      <c r="AP193" s="1871">
        <v>7</v>
      </c>
      <c r="AQ193" s="1926">
        <v>0.27</v>
      </c>
      <c r="AR193" s="1913"/>
    </row>
    <row r="194" spans="1:44">
      <c r="A194" s="1927"/>
      <c r="B194" s="1908">
        <v>7</v>
      </c>
      <c r="C194" s="1909">
        <v>8</v>
      </c>
      <c r="D194" s="1928">
        <v>0.24</v>
      </c>
      <c r="E194" s="1917">
        <v>0.64</v>
      </c>
      <c r="F194" s="1927"/>
      <c r="G194" s="1908">
        <v>7</v>
      </c>
      <c r="H194" s="1909">
        <v>8</v>
      </c>
      <c r="I194" s="1928">
        <v>0.37</v>
      </c>
      <c r="J194" s="1917">
        <v>0.65</v>
      </c>
      <c r="K194" s="1927"/>
      <c r="L194" s="1908">
        <v>7</v>
      </c>
      <c r="M194" s="1909">
        <v>8</v>
      </c>
      <c r="N194" s="1928">
        <v>0.26</v>
      </c>
      <c r="O194" s="1917">
        <v>0.47</v>
      </c>
      <c r="P194" s="1927"/>
      <c r="Q194" s="1908">
        <v>7</v>
      </c>
      <c r="R194" s="1909">
        <v>8</v>
      </c>
      <c r="S194" s="1928">
        <v>0.32</v>
      </c>
      <c r="T194" s="1917">
        <v>0.46</v>
      </c>
      <c r="U194" s="1927"/>
      <c r="V194" s="1908">
        <v>7</v>
      </c>
      <c r="W194" s="1909">
        <v>8</v>
      </c>
      <c r="X194" s="1928">
        <v>0.16</v>
      </c>
      <c r="Y194" s="1917">
        <v>0.25</v>
      </c>
      <c r="Z194" s="1927"/>
      <c r="AA194" s="1908">
        <v>7</v>
      </c>
      <c r="AB194" s="1909">
        <v>8</v>
      </c>
      <c r="AC194" s="1928">
        <v>0.56000000000000005</v>
      </c>
      <c r="AD194" s="1917">
        <v>1.22</v>
      </c>
      <c r="AF194" s="1908">
        <v>7</v>
      </c>
      <c r="AG194" s="1909">
        <v>8</v>
      </c>
      <c r="AH194" s="1928">
        <v>0.26</v>
      </c>
      <c r="AI194" s="1917">
        <v>0.7</v>
      </c>
      <c r="AK194" s="1957">
        <f t="shared" si="25"/>
        <v>0.26</v>
      </c>
      <c r="AL194" s="2078">
        <f t="shared" si="26"/>
        <v>0.32</v>
      </c>
      <c r="AM194" s="1958">
        <f t="shared" si="24"/>
        <v>0.56000000000000005</v>
      </c>
      <c r="AN194" s="1959">
        <f t="shared" si="27"/>
        <v>0.26</v>
      </c>
      <c r="AO194" s="1908">
        <v>7</v>
      </c>
      <c r="AP194" s="1909">
        <v>8</v>
      </c>
      <c r="AQ194" s="1928">
        <v>0.26</v>
      </c>
      <c r="AR194" s="1917"/>
    </row>
    <row r="195" spans="1:44">
      <c r="A195" s="1930"/>
      <c r="B195" s="1890">
        <v>8</v>
      </c>
      <c r="C195" s="1891">
        <v>9</v>
      </c>
      <c r="D195" s="1929">
        <v>0.16</v>
      </c>
      <c r="E195" s="1914">
        <v>0.45</v>
      </c>
      <c r="F195" s="1930"/>
      <c r="G195" s="1890">
        <v>8</v>
      </c>
      <c r="H195" s="1891">
        <v>9</v>
      </c>
      <c r="I195" s="1929">
        <v>0.32</v>
      </c>
      <c r="J195" s="1914">
        <v>0.57999999999999996</v>
      </c>
      <c r="K195" s="1930"/>
      <c r="L195" s="1890">
        <v>8</v>
      </c>
      <c r="M195" s="1891">
        <v>9</v>
      </c>
      <c r="N195" s="1929">
        <v>0.33</v>
      </c>
      <c r="O195" s="1914">
        <v>0.61</v>
      </c>
      <c r="P195" s="1930"/>
      <c r="Q195" s="1890">
        <v>8</v>
      </c>
      <c r="R195" s="1891">
        <v>9</v>
      </c>
      <c r="S195" s="1929">
        <v>0.31</v>
      </c>
      <c r="T195" s="1914">
        <v>0.43</v>
      </c>
      <c r="U195" s="1930"/>
      <c r="V195" s="1890">
        <v>8</v>
      </c>
      <c r="W195" s="1891">
        <v>9</v>
      </c>
      <c r="X195" s="1929">
        <v>0.15</v>
      </c>
      <c r="Y195" s="1914">
        <v>0.23</v>
      </c>
      <c r="Z195" s="1930"/>
      <c r="AA195" s="1890">
        <v>8</v>
      </c>
      <c r="AB195" s="1891">
        <v>9</v>
      </c>
      <c r="AC195" s="1929">
        <v>0.44</v>
      </c>
      <c r="AD195" s="1914">
        <v>0.83</v>
      </c>
      <c r="AF195" s="1890">
        <v>8</v>
      </c>
      <c r="AG195" s="1891">
        <v>9</v>
      </c>
      <c r="AH195" s="1929">
        <v>0.28000000000000003</v>
      </c>
      <c r="AI195" s="1914">
        <v>0.75</v>
      </c>
      <c r="AK195" s="1952">
        <f t="shared" si="25"/>
        <v>0.33</v>
      </c>
      <c r="AL195" s="2074">
        <f t="shared" si="26"/>
        <v>0.31</v>
      </c>
      <c r="AM195" s="1953">
        <f t="shared" si="24"/>
        <v>0.44</v>
      </c>
      <c r="AN195" s="1954">
        <f t="shared" si="27"/>
        <v>0.28000000000000003</v>
      </c>
      <c r="AO195" s="1890">
        <v>8</v>
      </c>
      <c r="AP195" s="1891">
        <v>9</v>
      </c>
      <c r="AQ195" s="1929">
        <v>0.28999999999999998</v>
      </c>
      <c r="AR195" s="1914"/>
    </row>
    <row r="196" spans="1:44">
      <c r="A196" s="1930"/>
      <c r="B196" s="1893">
        <v>9</v>
      </c>
      <c r="C196" s="1872">
        <v>10</v>
      </c>
      <c r="D196" s="1931">
        <v>0.36</v>
      </c>
      <c r="E196" s="1915">
        <v>0.94</v>
      </c>
      <c r="F196" s="1930"/>
      <c r="G196" s="1893">
        <v>9</v>
      </c>
      <c r="H196" s="1872">
        <v>10</v>
      </c>
      <c r="I196" s="1931">
        <v>0.39</v>
      </c>
      <c r="J196" s="1915">
        <v>0.65</v>
      </c>
      <c r="K196" s="1930"/>
      <c r="L196" s="1893">
        <v>9</v>
      </c>
      <c r="M196" s="1872">
        <v>10</v>
      </c>
      <c r="N196" s="1931">
        <v>0.22</v>
      </c>
      <c r="O196" s="1915">
        <v>0.39</v>
      </c>
      <c r="P196" s="1930"/>
      <c r="Q196" s="1893">
        <v>9</v>
      </c>
      <c r="R196" s="1872">
        <v>10</v>
      </c>
      <c r="S196" s="1931">
        <v>0.26</v>
      </c>
      <c r="T196" s="1915">
        <v>0.34</v>
      </c>
      <c r="U196" s="1930"/>
      <c r="V196" s="1893">
        <v>9</v>
      </c>
      <c r="W196" s="1872">
        <v>10</v>
      </c>
      <c r="X196" s="1931">
        <v>0.09</v>
      </c>
      <c r="Y196" s="1915">
        <v>0.13</v>
      </c>
      <c r="Z196" s="1930"/>
      <c r="AA196" s="1893">
        <v>9</v>
      </c>
      <c r="AB196" s="1872">
        <v>10</v>
      </c>
      <c r="AC196" s="1931">
        <v>0.62</v>
      </c>
      <c r="AD196" s="1915">
        <v>1.07</v>
      </c>
      <c r="AF196" s="1893">
        <v>9</v>
      </c>
      <c r="AG196" s="1872">
        <v>10</v>
      </c>
      <c r="AH196" s="1931">
        <v>0.43</v>
      </c>
      <c r="AI196" s="1915">
        <v>1.0900000000000001</v>
      </c>
      <c r="AK196" s="1955">
        <f t="shared" si="25"/>
        <v>0.22</v>
      </c>
      <c r="AL196" s="2076">
        <f t="shared" si="26"/>
        <v>0.26</v>
      </c>
      <c r="AM196" s="1926">
        <f t="shared" si="24"/>
        <v>0.62</v>
      </c>
      <c r="AN196" s="1956">
        <f t="shared" si="27"/>
        <v>0.43</v>
      </c>
      <c r="AO196" s="1893">
        <v>9</v>
      </c>
      <c r="AP196" s="1872">
        <v>10</v>
      </c>
      <c r="AQ196" s="1931">
        <v>0.42</v>
      </c>
      <c r="AR196" s="1915"/>
    </row>
    <row r="197" spans="1:44">
      <c r="A197" s="1930"/>
      <c r="B197" s="1893">
        <v>10</v>
      </c>
      <c r="C197" s="1872">
        <v>11</v>
      </c>
      <c r="D197" s="1931">
        <v>0.37</v>
      </c>
      <c r="E197" s="1915">
        <v>0.88</v>
      </c>
      <c r="F197" s="1930"/>
      <c r="G197" s="1893">
        <v>10</v>
      </c>
      <c r="H197" s="1872">
        <v>11</v>
      </c>
      <c r="I197" s="1931">
        <v>0.28000000000000003</v>
      </c>
      <c r="J197" s="1915">
        <v>0.47</v>
      </c>
      <c r="K197" s="1930"/>
      <c r="L197" s="1893">
        <v>10</v>
      </c>
      <c r="M197" s="1872">
        <v>11</v>
      </c>
      <c r="N197" s="1931">
        <v>0.67</v>
      </c>
      <c r="O197" s="1915">
        <v>1.19</v>
      </c>
      <c r="P197" s="1930"/>
      <c r="Q197" s="1893">
        <v>10</v>
      </c>
      <c r="R197" s="1872">
        <v>11</v>
      </c>
      <c r="S197" s="1931">
        <v>0.27</v>
      </c>
      <c r="T197" s="1915">
        <v>0.27</v>
      </c>
      <c r="U197" s="1930"/>
      <c r="V197" s="1893">
        <v>10</v>
      </c>
      <c r="W197" s="1872">
        <v>11</v>
      </c>
      <c r="X197" s="1931">
        <v>0.12</v>
      </c>
      <c r="Y197" s="1915">
        <v>0.14000000000000001</v>
      </c>
      <c r="Z197" s="1930"/>
      <c r="AA197" s="1893">
        <v>10</v>
      </c>
      <c r="AB197" s="1872">
        <v>11</v>
      </c>
      <c r="AC197" s="1931">
        <v>0.55000000000000004</v>
      </c>
      <c r="AD197" s="1915">
        <v>0.93</v>
      </c>
      <c r="AF197" s="1893">
        <v>10</v>
      </c>
      <c r="AG197" s="1872">
        <v>11</v>
      </c>
      <c r="AH197" s="1931">
        <v>0.52</v>
      </c>
      <c r="AI197" s="1915">
        <v>1.28</v>
      </c>
      <c r="AK197" s="1955">
        <f t="shared" si="25"/>
        <v>0.67</v>
      </c>
      <c r="AL197" s="2076">
        <f t="shared" si="26"/>
        <v>0.27</v>
      </c>
      <c r="AM197" s="1926">
        <f t="shared" si="24"/>
        <v>0.55000000000000004</v>
      </c>
      <c r="AN197" s="1956">
        <f t="shared" si="27"/>
        <v>0.52</v>
      </c>
      <c r="AO197" s="1893">
        <v>10</v>
      </c>
      <c r="AP197" s="1872">
        <v>11</v>
      </c>
      <c r="AQ197" s="1931">
        <v>0.48</v>
      </c>
      <c r="AR197" s="1915"/>
    </row>
    <row r="198" spans="1:44">
      <c r="A198" s="1930"/>
      <c r="B198" s="1893">
        <v>11</v>
      </c>
      <c r="C198" s="1872">
        <v>12</v>
      </c>
      <c r="D198" s="1931">
        <v>0.42</v>
      </c>
      <c r="E198" s="1915">
        <v>0.84</v>
      </c>
      <c r="F198" s="1930"/>
      <c r="G198" s="1893">
        <v>11</v>
      </c>
      <c r="H198" s="1872">
        <v>12</v>
      </c>
      <c r="I198" s="1931">
        <v>0.35</v>
      </c>
      <c r="J198" s="1915">
        <v>0.59</v>
      </c>
      <c r="K198" s="1930"/>
      <c r="L198" s="1893">
        <v>11</v>
      </c>
      <c r="M198" s="1872">
        <v>12</v>
      </c>
      <c r="N198" s="1931">
        <v>0.64</v>
      </c>
      <c r="O198" s="1915">
        <v>1.33</v>
      </c>
      <c r="P198" s="1930"/>
      <c r="Q198" s="1893">
        <v>11</v>
      </c>
      <c r="R198" s="1872">
        <v>12</v>
      </c>
      <c r="S198" s="1931">
        <v>0.4</v>
      </c>
      <c r="T198" s="1915">
        <v>0.3</v>
      </c>
      <c r="U198" s="1930"/>
      <c r="V198" s="1893">
        <v>11</v>
      </c>
      <c r="W198" s="1872">
        <v>12</v>
      </c>
      <c r="X198" s="1931">
        <v>0.16</v>
      </c>
      <c r="Y198" s="1915">
        <v>0.14000000000000001</v>
      </c>
      <c r="Z198" s="1930"/>
      <c r="AA198" s="1893">
        <v>11</v>
      </c>
      <c r="AB198" s="1872">
        <v>12</v>
      </c>
      <c r="AC198" s="1931">
        <v>0.49</v>
      </c>
      <c r="AD198" s="1915">
        <v>0.79</v>
      </c>
      <c r="AF198" s="1893">
        <v>11</v>
      </c>
      <c r="AG198" s="1872">
        <v>12</v>
      </c>
      <c r="AH198" s="1931">
        <v>0.46</v>
      </c>
      <c r="AI198" s="1915">
        <v>1.1100000000000001</v>
      </c>
      <c r="AK198" s="1955">
        <f t="shared" si="25"/>
        <v>0.64</v>
      </c>
      <c r="AL198" s="2076">
        <f t="shared" si="26"/>
        <v>0.4</v>
      </c>
      <c r="AM198" s="1926">
        <f t="shared" si="24"/>
        <v>0.49</v>
      </c>
      <c r="AN198" s="1956">
        <f t="shared" si="27"/>
        <v>0.46</v>
      </c>
      <c r="AO198" s="1893">
        <v>11</v>
      </c>
      <c r="AP198" s="1872">
        <v>12</v>
      </c>
      <c r="AQ198" s="1931">
        <v>0.48</v>
      </c>
      <c r="AR198" s="1915"/>
    </row>
    <row r="199" spans="1:44">
      <c r="A199" s="1930"/>
      <c r="B199" s="1893">
        <v>12</v>
      </c>
      <c r="C199" s="1872">
        <v>13</v>
      </c>
      <c r="D199" s="1931">
        <v>0.32</v>
      </c>
      <c r="E199" s="1915">
        <v>0.63</v>
      </c>
      <c r="F199" s="1930"/>
      <c r="G199" s="1893">
        <v>12</v>
      </c>
      <c r="H199" s="1872">
        <v>13</v>
      </c>
      <c r="I199" s="1931">
        <v>0.28000000000000003</v>
      </c>
      <c r="J199" s="1915">
        <v>0.46</v>
      </c>
      <c r="K199" s="1930"/>
      <c r="L199" s="1893">
        <v>12</v>
      </c>
      <c r="M199" s="1872">
        <v>13</v>
      </c>
      <c r="N199" s="1931">
        <v>0.24</v>
      </c>
      <c r="O199" s="1915">
        <v>0.4</v>
      </c>
      <c r="P199" s="1930"/>
      <c r="Q199" s="1893">
        <v>12</v>
      </c>
      <c r="R199" s="1872">
        <v>13</v>
      </c>
      <c r="S199" s="1931">
        <v>0.18</v>
      </c>
      <c r="T199" s="1915">
        <v>0.12</v>
      </c>
      <c r="U199" s="1930"/>
      <c r="V199" s="1893">
        <v>12</v>
      </c>
      <c r="W199" s="1872">
        <v>13</v>
      </c>
      <c r="X199" s="1931">
        <v>0.14000000000000001</v>
      </c>
      <c r="Y199" s="1915">
        <v>0.11</v>
      </c>
      <c r="Z199" s="1930"/>
      <c r="AA199" s="1893">
        <v>12</v>
      </c>
      <c r="AB199" s="1872">
        <v>13</v>
      </c>
      <c r="AC199" s="1931">
        <v>0.62</v>
      </c>
      <c r="AD199" s="1915">
        <v>0.97</v>
      </c>
      <c r="AF199" s="1893">
        <v>12</v>
      </c>
      <c r="AG199" s="1872">
        <v>13</v>
      </c>
      <c r="AH199" s="1931">
        <v>0.28999999999999998</v>
      </c>
      <c r="AI199" s="1915">
        <v>0.69</v>
      </c>
      <c r="AK199" s="1955">
        <f t="shared" si="25"/>
        <v>0.24</v>
      </c>
      <c r="AL199" s="2076">
        <f t="shared" si="26"/>
        <v>0.18</v>
      </c>
      <c r="AM199" s="1926">
        <f t="shared" si="24"/>
        <v>0.62</v>
      </c>
      <c r="AN199" s="1956">
        <f t="shared" si="27"/>
        <v>0.28999999999999998</v>
      </c>
      <c r="AO199" s="1893">
        <v>12</v>
      </c>
      <c r="AP199" s="1872">
        <v>13</v>
      </c>
      <c r="AQ199" s="1931">
        <v>0.53</v>
      </c>
      <c r="AR199" s="1915"/>
    </row>
    <row r="200" spans="1:44">
      <c r="A200" s="1930"/>
      <c r="B200" s="1893">
        <v>13</v>
      </c>
      <c r="C200" s="1872">
        <v>14</v>
      </c>
      <c r="D200" s="1931">
        <v>0.27</v>
      </c>
      <c r="E200" s="1915">
        <v>0.54</v>
      </c>
      <c r="F200" s="1930"/>
      <c r="G200" s="1893">
        <v>13</v>
      </c>
      <c r="H200" s="1872">
        <v>14</v>
      </c>
      <c r="I200" s="1931">
        <v>0.41</v>
      </c>
      <c r="J200" s="1915">
        <v>0.7</v>
      </c>
      <c r="K200" s="1930"/>
      <c r="L200" s="1893">
        <v>13</v>
      </c>
      <c r="M200" s="1872">
        <v>14</v>
      </c>
      <c r="N200" s="1931">
        <v>0.16</v>
      </c>
      <c r="O200" s="1915">
        <v>0.26</v>
      </c>
      <c r="P200" s="1930"/>
      <c r="Q200" s="1893">
        <v>13</v>
      </c>
      <c r="R200" s="1872">
        <v>14</v>
      </c>
      <c r="S200" s="1931">
        <v>0.24</v>
      </c>
      <c r="T200" s="1915">
        <v>0.16</v>
      </c>
      <c r="U200" s="1930"/>
      <c r="V200" s="1893">
        <v>13</v>
      </c>
      <c r="W200" s="1872">
        <v>14</v>
      </c>
      <c r="X200" s="1931">
        <v>0.1</v>
      </c>
      <c r="Y200" s="1915">
        <v>0.08</v>
      </c>
      <c r="Z200" s="1930"/>
      <c r="AA200" s="1893">
        <v>13</v>
      </c>
      <c r="AB200" s="1872">
        <v>14</v>
      </c>
      <c r="AC200" s="1931">
        <v>0.49</v>
      </c>
      <c r="AD200" s="1915">
        <v>0.76</v>
      </c>
      <c r="AF200" s="1893">
        <v>13</v>
      </c>
      <c r="AG200" s="1872">
        <v>14</v>
      </c>
      <c r="AH200" s="1931">
        <v>0.26</v>
      </c>
      <c r="AI200" s="1915">
        <v>0.6</v>
      </c>
      <c r="AK200" s="1955">
        <f t="shared" si="25"/>
        <v>0.16</v>
      </c>
      <c r="AL200" s="2076">
        <f t="shared" si="26"/>
        <v>0.24</v>
      </c>
      <c r="AM200" s="1926">
        <f t="shared" si="24"/>
        <v>0.49</v>
      </c>
      <c r="AN200" s="1956">
        <f t="shared" si="27"/>
        <v>0.26</v>
      </c>
      <c r="AO200" s="1893">
        <v>13</v>
      </c>
      <c r="AP200" s="1872">
        <v>14</v>
      </c>
      <c r="AQ200" s="1931">
        <v>0.72</v>
      </c>
      <c r="AR200" s="1915"/>
    </row>
    <row r="201" spans="1:44">
      <c r="A201" s="1930"/>
      <c r="B201" s="1893">
        <v>14</v>
      </c>
      <c r="C201" s="1872">
        <v>15</v>
      </c>
      <c r="D201" s="1931">
        <v>0.22</v>
      </c>
      <c r="E201" s="1915">
        <v>0.47</v>
      </c>
      <c r="F201" s="1930"/>
      <c r="G201" s="1893">
        <v>14</v>
      </c>
      <c r="H201" s="1872">
        <v>15</v>
      </c>
      <c r="I201" s="1931">
        <v>0.49</v>
      </c>
      <c r="J201" s="1915">
        <v>0.84</v>
      </c>
      <c r="K201" s="1930"/>
      <c r="L201" s="1893">
        <v>14</v>
      </c>
      <c r="M201" s="1872">
        <v>15</v>
      </c>
      <c r="N201" s="1931">
        <v>0.19</v>
      </c>
      <c r="O201" s="1915">
        <v>0.33</v>
      </c>
      <c r="P201" s="1930"/>
      <c r="Q201" s="1893">
        <v>14</v>
      </c>
      <c r="R201" s="1872">
        <v>15</v>
      </c>
      <c r="S201" s="1931">
        <v>0.16</v>
      </c>
      <c r="T201" s="1915">
        <v>0.11</v>
      </c>
      <c r="U201" s="1930"/>
      <c r="V201" s="1893">
        <v>14</v>
      </c>
      <c r="W201" s="1872">
        <v>15</v>
      </c>
      <c r="X201" s="1931">
        <v>0.11</v>
      </c>
      <c r="Y201" s="1915">
        <v>0.09</v>
      </c>
      <c r="Z201" s="1930"/>
      <c r="AA201" s="1893">
        <v>14</v>
      </c>
      <c r="AB201" s="1872">
        <v>15</v>
      </c>
      <c r="AC201" s="1931">
        <v>0.5</v>
      </c>
      <c r="AD201" s="1915">
        <v>0.76</v>
      </c>
      <c r="AF201" s="1893">
        <v>14</v>
      </c>
      <c r="AG201" s="1872">
        <v>15</v>
      </c>
      <c r="AH201" s="1931">
        <v>0.37</v>
      </c>
      <c r="AI201" s="1915">
        <v>0.84</v>
      </c>
      <c r="AK201" s="1955">
        <f t="shared" si="25"/>
        <v>0.19</v>
      </c>
      <c r="AL201" s="2076">
        <f t="shared" si="26"/>
        <v>0.16</v>
      </c>
      <c r="AM201" s="1926">
        <f t="shared" si="24"/>
        <v>0.5</v>
      </c>
      <c r="AN201" s="1956">
        <f t="shared" si="27"/>
        <v>0.37</v>
      </c>
      <c r="AO201" s="1893">
        <v>14</v>
      </c>
      <c r="AP201" s="1872">
        <v>15</v>
      </c>
      <c r="AQ201" s="1931">
        <v>0.69</v>
      </c>
      <c r="AR201" s="1915"/>
    </row>
    <row r="202" spans="1:44">
      <c r="A202" s="1930"/>
      <c r="B202" s="1893">
        <v>15</v>
      </c>
      <c r="C202" s="1872">
        <v>16</v>
      </c>
      <c r="D202" s="1931">
        <v>0.3</v>
      </c>
      <c r="E202" s="1915">
        <v>0.73</v>
      </c>
      <c r="F202" s="1930"/>
      <c r="G202" s="1893">
        <v>15</v>
      </c>
      <c r="H202" s="1872">
        <v>16</v>
      </c>
      <c r="I202" s="1931">
        <v>0.35</v>
      </c>
      <c r="J202" s="1915">
        <v>0.61</v>
      </c>
      <c r="K202" s="1930"/>
      <c r="L202" s="1893">
        <v>15</v>
      </c>
      <c r="M202" s="1872">
        <v>16</v>
      </c>
      <c r="N202" s="1931">
        <v>0.27</v>
      </c>
      <c r="O202" s="1915">
        <v>0.45</v>
      </c>
      <c r="P202" s="1930"/>
      <c r="Q202" s="1893">
        <v>15</v>
      </c>
      <c r="R202" s="1872">
        <v>16</v>
      </c>
      <c r="S202" s="1931">
        <v>0.11</v>
      </c>
      <c r="T202" s="1915">
        <v>0.28999999999999998</v>
      </c>
      <c r="U202" s="1930"/>
      <c r="V202" s="1893">
        <v>15</v>
      </c>
      <c r="W202" s="1872">
        <v>16</v>
      </c>
      <c r="X202" s="1931">
        <v>0.12</v>
      </c>
      <c r="Y202" s="1915">
        <v>0.12</v>
      </c>
      <c r="Z202" s="1930"/>
      <c r="AA202" s="1893">
        <v>15</v>
      </c>
      <c r="AB202" s="1872">
        <v>16</v>
      </c>
      <c r="AC202" s="1931">
        <v>0.56999999999999995</v>
      </c>
      <c r="AD202" s="1915">
        <v>0.88</v>
      </c>
      <c r="AF202" s="1893">
        <v>15</v>
      </c>
      <c r="AG202" s="1872">
        <v>16</v>
      </c>
      <c r="AH202" s="1931">
        <v>0.52</v>
      </c>
      <c r="AI202" s="1915">
        <v>1.19</v>
      </c>
      <c r="AK202" s="1955">
        <f t="shared" si="25"/>
        <v>0.27</v>
      </c>
      <c r="AL202" s="2076">
        <f t="shared" si="26"/>
        <v>0.11</v>
      </c>
      <c r="AM202" s="1926">
        <f t="shared" si="24"/>
        <v>0.56999999999999995</v>
      </c>
      <c r="AN202" s="1956">
        <f t="shared" si="27"/>
        <v>0.52</v>
      </c>
      <c r="AO202" s="1893">
        <v>15</v>
      </c>
      <c r="AP202" s="1872">
        <v>16</v>
      </c>
      <c r="AQ202" s="1931">
        <v>0.38</v>
      </c>
      <c r="AR202" s="1915"/>
    </row>
    <row r="203" spans="1:44">
      <c r="A203" s="1930"/>
      <c r="B203" s="1893">
        <v>16</v>
      </c>
      <c r="C203" s="1872">
        <v>17</v>
      </c>
      <c r="D203" s="1931">
        <v>0.46</v>
      </c>
      <c r="E203" s="1915">
        <v>1.19</v>
      </c>
      <c r="F203" s="1930"/>
      <c r="G203" s="1893">
        <v>16</v>
      </c>
      <c r="H203" s="1872">
        <v>17</v>
      </c>
      <c r="I203" s="1931">
        <v>0.32</v>
      </c>
      <c r="J203" s="1915">
        <v>0.57999999999999996</v>
      </c>
      <c r="K203" s="1930"/>
      <c r="L203" s="1893">
        <v>16</v>
      </c>
      <c r="M203" s="1872">
        <v>17</v>
      </c>
      <c r="N203" s="1931">
        <v>0.27</v>
      </c>
      <c r="O203" s="1915">
        <v>0.48</v>
      </c>
      <c r="P203" s="1930"/>
      <c r="Q203" s="1893">
        <v>16</v>
      </c>
      <c r="R203" s="1872">
        <v>17</v>
      </c>
      <c r="S203" s="1931">
        <v>0.25</v>
      </c>
      <c r="T203" s="1915">
        <v>0.3</v>
      </c>
      <c r="U203" s="1930"/>
      <c r="V203" s="1893">
        <v>16</v>
      </c>
      <c r="W203" s="1872">
        <v>17</v>
      </c>
      <c r="X203" s="1931">
        <v>0.13</v>
      </c>
      <c r="Y203" s="1915">
        <v>0.17</v>
      </c>
      <c r="Z203" s="1930"/>
      <c r="AA203" s="1893">
        <v>16</v>
      </c>
      <c r="AB203" s="1872">
        <v>17</v>
      </c>
      <c r="AC203" s="1931">
        <v>1.1100000000000001</v>
      </c>
      <c r="AD203" s="1915">
        <v>1.73</v>
      </c>
      <c r="AF203" s="1893">
        <v>16</v>
      </c>
      <c r="AG203" s="1872">
        <v>17</v>
      </c>
      <c r="AH203" s="1931">
        <v>0.41</v>
      </c>
      <c r="AI203" s="1915">
        <v>0.99</v>
      </c>
      <c r="AK203" s="1955">
        <f t="shared" si="25"/>
        <v>0.27</v>
      </c>
      <c r="AL203" s="2076">
        <f t="shared" si="26"/>
        <v>0.25</v>
      </c>
      <c r="AM203" s="1926">
        <f t="shared" si="24"/>
        <v>1.1100000000000001</v>
      </c>
      <c r="AN203" s="1956">
        <f t="shared" si="27"/>
        <v>0.41</v>
      </c>
      <c r="AO203" s="1893">
        <v>16</v>
      </c>
      <c r="AP203" s="1872">
        <v>17</v>
      </c>
      <c r="AQ203" s="1931">
        <v>0.23</v>
      </c>
      <c r="AR203" s="1915"/>
    </row>
    <row r="204" spans="1:44">
      <c r="A204" s="1930"/>
      <c r="B204" s="1894">
        <v>17</v>
      </c>
      <c r="C204" s="1895">
        <v>18</v>
      </c>
      <c r="D204" s="1932">
        <v>0.85</v>
      </c>
      <c r="E204" s="1916">
        <v>3.12</v>
      </c>
      <c r="F204" s="1930"/>
      <c r="G204" s="1894">
        <v>17</v>
      </c>
      <c r="H204" s="1895">
        <v>18</v>
      </c>
      <c r="I204" s="1932">
        <v>0.87</v>
      </c>
      <c r="J204" s="1916">
        <v>2.39</v>
      </c>
      <c r="K204" s="1930"/>
      <c r="L204" s="1894">
        <v>17</v>
      </c>
      <c r="M204" s="1895">
        <v>18</v>
      </c>
      <c r="N204" s="1932">
        <v>1.04</v>
      </c>
      <c r="O204" s="1916">
        <v>1.9</v>
      </c>
      <c r="P204" s="1930"/>
      <c r="Q204" s="1894">
        <v>17</v>
      </c>
      <c r="R204" s="1895">
        <v>18</v>
      </c>
      <c r="S204" s="1932">
        <v>0.17</v>
      </c>
      <c r="T204" s="1916">
        <v>0.24</v>
      </c>
      <c r="U204" s="1930"/>
      <c r="V204" s="1894">
        <v>17</v>
      </c>
      <c r="W204" s="1895">
        <v>18</v>
      </c>
      <c r="X204" s="1932">
        <v>0.12</v>
      </c>
      <c r="Y204" s="1916">
        <v>0.18</v>
      </c>
      <c r="Z204" s="1930"/>
      <c r="AA204" s="1894">
        <v>17</v>
      </c>
      <c r="AB204" s="1895">
        <v>18</v>
      </c>
      <c r="AC204" s="1932">
        <v>0.96</v>
      </c>
      <c r="AD204" s="1916">
        <v>1.63</v>
      </c>
      <c r="AF204" s="1894">
        <v>17</v>
      </c>
      <c r="AG204" s="1895">
        <v>18</v>
      </c>
      <c r="AH204" s="1932">
        <v>0.78</v>
      </c>
      <c r="AI204" s="1916">
        <v>1.96</v>
      </c>
      <c r="AK204" s="1957">
        <f t="shared" si="25"/>
        <v>1.04</v>
      </c>
      <c r="AL204" s="2078">
        <f t="shared" si="26"/>
        <v>0.17</v>
      </c>
      <c r="AM204" s="1958">
        <f t="shared" si="24"/>
        <v>0.96</v>
      </c>
      <c r="AN204" s="1959">
        <f t="shared" si="27"/>
        <v>0.78</v>
      </c>
      <c r="AO204" s="1894">
        <v>17</v>
      </c>
      <c r="AP204" s="1895">
        <v>18</v>
      </c>
      <c r="AQ204" s="1932">
        <v>0.41</v>
      </c>
      <c r="AR204" s="1916"/>
    </row>
    <row r="205" spans="1:44">
      <c r="A205" s="1934"/>
      <c r="B205" s="1910">
        <v>18</v>
      </c>
      <c r="C205" s="1889">
        <v>19</v>
      </c>
      <c r="D205" s="1933">
        <v>0.49</v>
      </c>
      <c r="E205" s="1911">
        <v>1.9</v>
      </c>
      <c r="F205" s="1934"/>
      <c r="G205" s="1910">
        <v>18</v>
      </c>
      <c r="H205" s="1889">
        <v>19</v>
      </c>
      <c r="I205" s="1933">
        <v>1.1499999999999999</v>
      </c>
      <c r="J205" s="1911">
        <v>3.44</v>
      </c>
      <c r="K205" s="1934"/>
      <c r="L205" s="1910">
        <v>18</v>
      </c>
      <c r="M205" s="1889">
        <v>19</v>
      </c>
      <c r="N205" s="1933">
        <v>0.28000000000000003</v>
      </c>
      <c r="O205" s="1911">
        <v>0.56000000000000005</v>
      </c>
      <c r="P205" s="1934"/>
      <c r="Q205" s="1910">
        <v>18</v>
      </c>
      <c r="R205" s="1889">
        <v>19</v>
      </c>
      <c r="S205" s="1933">
        <v>0.22</v>
      </c>
      <c r="T205" s="1911">
        <v>0.35</v>
      </c>
      <c r="U205" s="1934"/>
      <c r="V205" s="1910">
        <v>18</v>
      </c>
      <c r="W205" s="1889">
        <v>19</v>
      </c>
      <c r="X205" s="1933">
        <v>0.12</v>
      </c>
      <c r="Y205" s="1911">
        <v>0.2</v>
      </c>
      <c r="Z205" s="1934"/>
      <c r="AA205" s="1910">
        <v>18</v>
      </c>
      <c r="AB205" s="1889">
        <v>19</v>
      </c>
      <c r="AC205" s="1933">
        <v>0.61</v>
      </c>
      <c r="AD205" s="1911">
        <v>1.07</v>
      </c>
      <c r="AF205" s="1910">
        <v>18</v>
      </c>
      <c r="AG205" s="1889">
        <v>19</v>
      </c>
      <c r="AH205" s="1933">
        <v>0.43</v>
      </c>
      <c r="AI205" s="1911">
        <v>1.1200000000000001</v>
      </c>
      <c r="AK205" s="1952">
        <f t="shared" si="25"/>
        <v>0.28000000000000003</v>
      </c>
      <c r="AL205" s="2074">
        <f t="shared" si="26"/>
        <v>0.22</v>
      </c>
      <c r="AM205" s="1953">
        <f t="shared" si="24"/>
        <v>0.61</v>
      </c>
      <c r="AN205" s="1954">
        <f t="shared" si="27"/>
        <v>0.43</v>
      </c>
      <c r="AO205" s="1910">
        <v>18</v>
      </c>
      <c r="AP205" s="1889">
        <v>19</v>
      </c>
      <c r="AQ205" s="1933">
        <v>0.32</v>
      </c>
      <c r="AR205" s="1911"/>
    </row>
    <row r="206" spans="1:44">
      <c r="A206" s="1934"/>
      <c r="B206" s="1902">
        <v>19</v>
      </c>
      <c r="C206" s="1873">
        <v>20</v>
      </c>
      <c r="D206" s="1935">
        <v>0.44</v>
      </c>
      <c r="E206" s="1912">
        <v>1.64</v>
      </c>
      <c r="F206" s="1934"/>
      <c r="G206" s="1902">
        <v>19</v>
      </c>
      <c r="H206" s="1873">
        <v>20</v>
      </c>
      <c r="I206" s="1935">
        <v>0.39</v>
      </c>
      <c r="J206" s="1912">
        <v>1.1100000000000001</v>
      </c>
      <c r="K206" s="1934"/>
      <c r="L206" s="1902">
        <v>19</v>
      </c>
      <c r="M206" s="1873">
        <v>20</v>
      </c>
      <c r="N206" s="1935">
        <v>0.28999999999999998</v>
      </c>
      <c r="O206" s="1912">
        <v>0.61</v>
      </c>
      <c r="P206" s="1934"/>
      <c r="Q206" s="1902">
        <v>19</v>
      </c>
      <c r="R206" s="1873">
        <v>20</v>
      </c>
      <c r="S206" s="1935">
        <v>0.26</v>
      </c>
      <c r="T206" s="1912">
        <v>0.42</v>
      </c>
      <c r="U206" s="1934"/>
      <c r="V206" s="1902">
        <v>19</v>
      </c>
      <c r="W206" s="1873">
        <v>20</v>
      </c>
      <c r="X206" s="1935">
        <v>0.12</v>
      </c>
      <c r="Y206" s="1912">
        <v>0.21</v>
      </c>
      <c r="Z206" s="1934"/>
      <c r="AA206" s="1902">
        <v>19</v>
      </c>
      <c r="AB206" s="1873">
        <v>20</v>
      </c>
      <c r="AC206" s="1935">
        <v>0.37</v>
      </c>
      <c r="AD206" s="1912">
        <v>0.78</v>
      </c>
      <c r="AF206" s="1902">
        <v>19</v>
      </c>
      <c r="AG206" s="1873">
        <v>20</v>
      </c>
      <c r="AH206" s="1935">
        <v>0.41</v>
      </c>
      <c r="AI206" s="1912">
        <v>1.25</v>
      </c>
      <c r="AK206" s="1955">
        <f t="shared" si="25"/>
        <v>0.28999999999999998</v>
      </c>
      <c r="AL206" s="2076">
        <f t="shared" si="26"/>
        <v>0.26</v>
      </c>
      <c r="AM206" s="1926">
        <f t="shared" si="24"/>
        <v>0.37</v>
      </c>
      <c r="AN206" s="1956">
        <f t="shared" si="27"/>
        <v>0.41</v>
      </c>
      <c r="AO206" s="1902">
        <v>19</v>
      </c>
      <c r="AP206" s="1873">
        <v>20</v>
      </c>
      <c r="AQ206" s="1935">
        <v>0.76</v>
      </c>
      <c r="AR206" s="1912"/>
    </row>
    <row r="207" spans="1:44">
      <c r="A207" s="1934"/>
      <c r="B207" s="1902">
        <v>20</v>
      </c>
      <c r="C207" s="1873">
        <v>21</v>
      </c>
      <c r="D207" s="1935">
        <v>0.4</v>
      </c>
      <c r="E207" s="1912">
        <v>1.07</v>
      </c>
      <c r="F207" s="1934"/>
      <c r="G207" s="1902">
        <v>20</v>
      </c>
      <c r="H207" s="1873">
        <v>21</v>
      </c>
      <c r="I207" s="1935">
        <v>0.38</v>
      </c>
      <c r="J207" s="1912">
        <v>0.73</v>
      </c>
      <c r="K207" s="1934"/>
      <c r="L207" s="1902">
        <v>20</v>
      </c>
      <c r="M207" s="1873">
        <v>21</v>
      </c>
      <c r="N207" s="1935">
        <v>0.31</v>
      </c>
      <c r="O207" s="1912">
        <v>0.64</v>
      </c>
      <c r="P207" s="1934"/>
      <c r="Q207" s="1902">
        <v>20</v>
      </c>
      <c r="R207" s="1873">
        <v>21</v>
      </c>
      <c r="S207" s="1935">
        <v>0.37</v>
      </c>
      <c r="T207" s="1912">
        <v>0.59</v>
      </c>
      <c r="U207" s="1934"/>
      <c r="V207" s="1902">
        <v>20</v>
      </c>
      <c r="W207" s="1873">
        <v>21</v>
      </c>
      <c r="X207" s="1935">
        <v>7.0000000000000007E-2</v>
      </c>
      <c r="Y207" s="1912">
        <v>0.22</v>
      </c>
      <c r="Z207" s="1934"/>
      <c r="AA207" s="1902">
        <v>20</v>
      </c>
      <c r="AB207" s="1873">
        <v>21</v>
      </c>
      <c r="AC207" s="1935">
        <v>0.44</v>
      </c>
      <c r="AD207" s="1912">
        <v>0.96</v>
      </c>
      <c r="AF207" s="1902">
        <v>20</v>
      </c>
      <c r="AG207" s="1873">
        <v>21</v>
      </c>
      <c r="AH207" s="1935">
        <v>0.38</v>
      </c>
      <c r="AI207" s="1912">
        <v>1.25</v>
      </c>
      <c r="AK207" s="1955">
        <f t="shared" si="25"/>
        <v>0.31</v>
      </c>
      <c r="AL207" s="2076">
        <f t="shared" si="26"/>
        <v>0.37</v>
      </c>
      <c r="AM207" s="1926">
        <f t="shared" si="24"/>
        <v>0.44</v>
      </c>
      <c r="AN207" s="1956">
        <f t="shared" si="27"/>
        <v>0.38</v>
      </c>
      <c r="AO207" s="1902">
        <v>20</v>
      </c>
      <c r="AP207" s="1873">
        <v>21</v>
      </c>
      <c r="AQ207" s="1935">
        <v>0.56999999999999995</v>
      </c>
      <c r="AR207" s="1912"/>
    </row>
    <row r="208" spans="1:44">
      <c r="A208" s="1934"/>
      <c r="B208" s="1902">
        <v>21</v>
      </c>
      <c r="C208" s="1873">
        <v>22</v>
      </c>
      <c r="D208" s="1935">
        <v>0.49</v>
      </c>
      <c r="E208" s="1912">
        <v>1.26</v>
      </c>
      <c r="F208" s="1934"/>
      <c r="G208" s="1902">
        <v>21</v>
      </c>
      <c r="H208" s="1873">
        <v>22</v>
      </c>
      <c r="I208" s="1935">
        <v>0.25</v>
      </c>
      <c r="J208" s="1912">
        <v>0.47</v>
      </c>
      <c r="K208" s="1934"/>
      <c r="L208" s="1902">
        <v>21</v>
      </c>
      <c r="M208" s="1873">
        <v>22</v>
      </c>
      <c r="N208" s="1935">
        <v>0.37</v>
      </c>
      <c r="O208" s="1912">
        <v>0.77</v>
      </c>
      <c r="P208" s="1934"/>
      <c r="Q208" s="1902">
        <v>21</v>
      </c>
      <c r="R208" s="1873">
        <v>22</v>
      </c>
      <c r="S208" s="1935">
        <v>0.27</v>
      </c>
      <c r="T208" s="1912">
        <v>0.43</v>
      </c>
      <c r="U208" s="1934"/>
      <c r="V208" s="1902">
        <v>21</v>
      </c>
      <c r="W208" s="1873">
        <v>22</v>
      </c>
      <c r="X208" s="1935">
        <v>7.0000000000000007E-2</v>
      </c>
      <c r="Y208" s="1912">
        <v>0.12</v>
      </c>
      <c r="Z208" s="1934"/>
      <c r="AA208" s="1902">
        <v>21</v>
      </c>
      <c r="AB208" s="1873">
        <v>22</v>
      </c>
      <c r="AC208" s="1935">
        <v>0.43</v>
      </c>
      <c r="AD208" s="1912">
        <v>0.86</v>
      </c>
      <c r="AF208" s="1902">
        <v>21</v>
      </c>
      <c r="AG208" s="1873">
        <v>22</v>
      </c>
      <c r="AH208" s="1935">
        <v>0.32</v>
      </c>
      <c r="AI208" s="1912">
        <v>0.95</v>
      </c>
      <c r="AK208" s="1955">
        <f t="shared" si="25"/>
        <v>0.37</v>
      </c>
      <c r="AL208" s="2076">
        <f t="shared" si="26"/>
        <v>0.27</v>
      </c>
      <c r="AM208" s="1926">
        <f t="shared" si="24"/>
        <v>0.43</v>
      </c>
      <c r="AN208" s="1956">
        <f t="shared" si="27"/>
        <v>0.32</v>
      </c>
      <c r="AO208" s="1902">
        <v>21</v>
      </c>
      <c r="AP208" s="1873">
        <v>22</v>
      </c>
      <c r="AQ208" s="1935">
        <v>0.47</v>
      </c>
      <c r="AR208" s="1912"/>
    </row>
    <row r="209" spans="1:44">
      <c r="A209" s="1934"/>
      <c r="B209" s="1902">
        <v>22</v>
      </c>
      <c r="C209" s="1873">
        <v>23</v>
      </c>
      <c r="D209" s="1935">
        <v>0.23</v>
      </c>
      <c r="E209" s="1912">
        <v>0.56000000000000005</v>
      </c>
      <c r="F209" s="1934"/>
      <c r="G209" s="1902">
        <v>22</v>
      </c>
      <c r="H209" s="1873">
        <v>23</v>
      </c>
      <c r="I209" s="1935">
        <v>0.19</v>
      </c>
      <c r="J209" s="1912">
        <v>0.36</v>
      </c>
      <c r="K209" s="1934"/>
      <c r="L209" s="1902">
        <v>22</v>
      </c>
      <c r="M209" s="1873">
        <v>23</v>
      </c>
      <c r="N209" s="1935">
        <v>0.27</v>
      </c>
      <c r="O209" s="1912">
        <v>0.56000000000000005</v>
      </c>
      <c r="P209" s="1934"/>
      <c r="Q209" s="1902">
        <v>22</v>
      </c>
      <c r="R209" s="1873">
        <v>23</v>
      </c>
      <c r="S209" s="1935">
        <v>0.12</v>
      </c>
      <c r="T209" s="1912">
        <v>0.19</v>
      </c>
      <c r="U209" s="1934"/>
      <c r="V209" s="1902">
        <v>22</v>
      </c>
      <c r="W209" s="1873">
        <v>23</v>
      </c>
      <c r="X209" s="1935">
        <v>0.13</v>
      </c>
      <c r="Y209" s="1912">
        <v>0.22</v>
      </c>
      <c r="Z209" s="1934"/>
      <c r="AA209" s="1902">
        <v>22</v>
      </c>
      <c r="AB209" s="1873">
        <v>23</v>
      </c>
      <c r="AC209" s="1935">
        <v>0.32</v>
      </c>
      <c r="AD209" s="1912">
        <v>0.68</v>
      </c>
      <c r="AF209" s="1902">
        <v>22</v>
      </c>
      <c r="AG209" s="1873">
        <v>23</v>
      </c>
      <c r="AH209" s="1935">
        <v>0.2</v>
      </c>
      <c r="AI209" s="1912">
        <v>0.55000000000000004</v>
      </c>
      <c r="AK209" s="1955">
        <f t="shared" si="25"/>
        <v>0.27</v>
      </c>
      <c r="AL209" s="2076">
        <f t="shared" si="26"/>
        <v>0.12</v>
      </c>
      <c r="AM209" s="1926">
        <f t="shared" si="24"/>
        <v>0.32</v>
      </c>
      <c r="AN209" s="1956">
        <f t="shared" si="27"/>
        <v>0.2</v>
      </c>
      <c r="AO209" s="1902">
        <v>22</v>
      </c>
      <c r="AP209" s="1873">
        <v>23</v>
      </c>
      <c r="AQ209" s="1935">
        <v>0.44</v>
      </c>
      <c r="AR209" s="1912"/>
    </row>
    <row r="210" spans="1:44" ht="15" thickBot="1">
      <c r="A210" s="1934"/>
      <c r="B210" s="1902">
        <v>23</v>
      </c>
      <c r="C210" s="1873">
        <v>24</v>
      </c>
      <c r="D210" s="1935">
        <v>0.16</v>
      </c>
      <c r="E210" s="1912">
        <v>0.37</v>
      </c>
      <c r="F210" s="1934"/>
      <c r="G210" s="1902">
        <v>23</v>
      </c>
      <c r="H210" s="1873">
        <v>24</v>
      </c>
      <c r="I210" s="1935">
        <v>0.11</v>
      </c>
      <c r="J210" s="1912">
        <v>0.21</v>
      </c>
      <c r="K210" s="1934"/>
      <c r="L210" s="1902">
        <v>23</v>
      </c>
      <c r="M210" s="1873">
        <v>24</v>
      </c>
      <c r="N210" s="1935">
        <v>7.0000000000000007E-2</v>
      </c>
      <c r="O210" s="1912">
        <v>0.14000000000000001</v>
      </c>
      <c r="P210" s="1934"/>
      <c r="Q210" s="1902">
        <v>23</v>
      </c>
      <c r="R210" s="1873">
        <v>24</v>
      </c>
      <c r="S210" s="1935">
        <v>0.13</v>
      </c>
      <c r="T210" s="1912">
        <v>0.2</v>
      </c>
      <c r="U210" s="1934"/>
      <c r="V210" s="1902">
        <v>23</v>
      </c>
      <c r="W210" s="1873">
        <v>24</v>
      </c>
      <c r="X210" s="1935">
        <v>0.13</v>
      </c>
      <c r="Y210" s="1912">
        <v>0.22</v>
      </c>
      <c r="Z210" s="1934"/>
      <c r="AA210" s="1902">
        <v>23</v>
      </c>
      <c r="AB210" s="1873">
        <v>24</v>
      </c>
      <c r="AC210" s="1935">
        <v>0.17</v>
      </c>
      <c r="AD210" s="1912">
        <v>0.28999999999999998</v>
      </c>
      <c r="AF210" s="1902">
        <v>23</v>
      </c>
      <c r="AG210" s="1873">
        <v>24</v>
      </c>
      <c r="AH210" s="1935">
        <v>0.14000000000000001</v>
      </c>
      <c r="AI210" s="1912">
        <v>0.37</v>
      </c>
      <c r="AK210" s="1957">
        <f t="shared" si="25"/>
        <v>7.0000000000000007E-2</v>
      </c>
      <c r="AL210" s="2078">
        <f t="shared" si="26"/>
        <v>0.13</v>
      </c>
      <c r="AM210" s="1958">
        <f t="shared" si="24"/>
        <v>0.17</v>
      </c>
      <c r="AN210" s="1959">
        <f t="shared" si="27"/>
        <v>0.14000000000000001</v>
      </c>
      <c r="AO210" s="1902">
        <v>23</v>
      </c>
      <c r="AP210" s="1873">
        <v>24</v>
      </c>
      <c r="AQ210" s="1935">
        <v>0.46</v>
      </c>
      <c r="AR210" s="1912"/>
    </row>
    <row r="211" spans="1:44">
      <c r="B211" s="2766">
        <v>44965</v>
      </c>
      <c r="C211" s="2766"/>
      <c r="D211" s="1922">
        <f>SUM(D212:D235)</f>
        <v>8.48</v>
      </c>
      <c r="E211" s="1923">
        <f>SUM(E212:E235)</f>
        <v>18.680000000000003</v>
      </c>
      <c r="G211" s="2773">
        <v>44993</v>
      </c>
      <c r="H211" s="2773"/>
      <c r="I211" s="1922">
        <f>SUM(I212:I235)</f>
        <v>5.3000000000000007</v>
      </c>
      <c r="J211" s="1923">
        <f>SUM(J212:J235)</f>
        <v>11.860000000000001</v>
      </c>
      <c r="L211" s="2773">
        <v>45024</v>
      </c>
      <c r="M211" s="2773"/>
      <c r="N211" s="1936">
        <f>SUM(N212:N235)</f>
        <v>6.2900000000000009</v>
      </c>
      <c r="O211" s="1937">
        <f>SUM(O212:O235)</f>
        <v>12.039999999999997</v>
      </c>
      <c r="Q211" s="2766">
        <v>45054</v>
      </c>
      <c r="R211" s="2766"/>
      <c r="S211" s="1936">
        <f>SUM(S212:S235)</f>
        <v>4.9499999999999993</v>
      </c>
      <c r="T211" s="1937">
        <f>SUM(T212:T235)</f>
        <v>7.549999999999998</v>
      </c>
      <c r="V211" s="2766">
        <v>45054</v>
      </c>
      <c r="W211" s="2766"/>
      <c r="X211" s="1936">
        <f>SUM(X212:X235)</f>
        <v>2.5099999999999998</v>
      </c>
      <c r="Y211" s="1937">
        <f>SUM(Y212:Y235)</f>
        <v>4.3100000000000005</v>
      </c>
      <c r="AA211" s="2766">
        <v>45085</v>
      </c>
      <c r="AB211" s="2766"/>
      <c r="AC211" s="1936">
        <f>SUM(AC212:AC235)</f>
        <v>10.75</v>
      </c>
      <c r="AD211" s="1937">
        <f>SUM(AD212:AD235)</f>
        <v>17.53</v>
      </c>
      <c r="AF211" s="2766">
        <v>45115</v>
      </c>
      <c r="AG211" s="2766"/>
      <c r="AH211" s="1936">
        <f>SUM(AH212:AH235)</f>
        <v>8.3800000000000008</v>
      </c>
      <c r="AI211" s="1937">
        <f>SUM(AI212:AI235)</f>
        <v>20.18</v>
      </c>
      <c r="AK211" s="2082"/>
      <c r="AL211" s="2082"/>
      <c r="AM211" s="2083"/>
      <c r="AN211" s="2082"/>
      <c r="AO211" s="2766">
        <v>45177</v>
      </c>
      <c r="AP211" s="2766"/>
      <c r="AQ211" s="1936">
        <f>SUM(AQ212:AQ235)</f>
        <v>0.64</v>
      </c>
      <c r="AR211" s="1937">
        <f>SUM(AR212:AR235)</f>
        <v>0</v>
      </c>
    </row>
    <row r="212" spans="1:44">
      <c r="A212" s="1927"/>
      <c r="B212" s="1883">
        <v>0</v>
      </c>
      <c r="C212" s="1871">
        <v>1</v>
      </c>
      <c r="D212" s="1926">
        <v>0.15</v>
      </c>
      <c r="E212" s="1913">
        <v>0.35</v>
      </c>
      <c r="F212" s="1927"/>
      <c r="G212" s="1883">
        <v>0</v>
      </c>
      <c r="H212" s="1871">
        <v>1</v>
      </c>
      <c r="I212" s="1926">
        <v>0.09</v>
      </c>
      <c r="J212" s="1913">
        <v>0.17</v>
      </c>
      <c r="K212" s="1927"/>
      <c r="L212" s="1883">
        <v>0</v>
      </c>
      <c r="M212" s="1871">
        <v>1</v>
      </c>
      <c r="N212" s="1926">
        <v>0.09</v>
      </c>
      <c r="O212" s="1913">
        <v>0.17</v>
      </c>
      <c r="P212" s="1927"/>
      <c r="Q212" s="1883">
        <v>0</v>
      </c>
      <c r="R212" s="1871">
        <v>1</v>
      </c>
      <c r="S212" s="1926">
        <v>0.22</v>
      </c>
      <c r="T212" s="1913">
        <v>0.33</v>
      </c>
      <c r="U212" s="1927"/>
      <c r="V212" s="1883">
        <v>0</v>
      </c>
      <c r="W212" s="1871">
        <v>1</v>
      </c>
      <c r="X212" s="1926">
        <v>0.12</v>
      </c>
      <c r="Y212" s="1913">
        <v>0.28999999999999998</v>
      </c>
      <c r="Z212" s="1927"/>
      <c r="AA212" s="1883">
        <v>0</v>
      </c>
      <c r="AB212" s="1871">
        <v>1</v>
      </c>
      <c r="AC212" s="1926">
        <v>0.32</v>
      </c>
      <c r="AD212" s="1913">
        <v>0.54</v>
      </c>
      <c r="AF212" s="1883">
        <v>0</v>
      </c>
      <c r="AG212" s="1871">
        <v>1</v>
      </c>
      <c r="AH212" s="1926">
        <v>0.12</v>
      </c>
      <c r="AI212" s="1913">
        <v>0.31</v>
      </c>
      <c r="AK212" s="1952">
        <f>N212</f>
        <v>0.09</v>
      </c>
      <c r="AL212" s="2074">
        <f>S212</f>
        <v>0.22</v>
      </c>
      <c r="AM212" s="1953">
        <f t="shared" ref="AM212:AM235" si="28">AC212</f>
        <v>0.32</v>
      </c>
      <c r="AN212" s="1954">
        <f>AH212</f>
        <v>0.12</v>
      </c>
      <c r="AO212" s="1883">
        <v>0</v>
      </c>
      <c r="AP212" s="1871">
        <v>1</v>
      </c>
      <c r="AQ212" s="1979">
        <v>0.42</v>
      </c>
      <c r="AR212" s="1983"/>
    </row>
    <row r="213" spans="1:44">
      <c r="A213" s="1927"/>
      <c r="B213" s="1883">
        <v>1</v>
      </c>
      <c r="C213" s="1871">
        <v>2</v>
      </c>
      <c r="D213" s="1926">
        <v>0.17</v>
      </c>
      <c r="E213" s="1913">
        <v>0.39</v>
      </c>
      <c r="F213" s="1927"/>
      <c r="G213" s="1883">
        <v>1</v>
      </c>
      <c r="H213" s="1871">
        <v>2</v>
      </c>
      <c r="I213" s="1926">
        <v>0.08</v>
      </c>
      <c r="J213" s="1913">
        <v>0.15</v>
      </c>
      <c r="K213" s="1927"/>
      <c r="L213" s="1883">
        <v>1</v>
      </c>
      <c r="M213" s="1871">
        <v>2</v>
      </c>
      <c r="N213" s="1926">
        <v>0.13</v>
      </c>
      <c r="O213" s="1913">
        <v>0.24</v>
      </c>
      <c r="P213" s="1927"/>
      <c r="Q213" s="1883">
        <v>1</v>
      </c>
      <c r="R213" s="1871">
        <v>2</v>
      </c>
      <c r="S213" s="1926">
        <v>0.19</v>
      </c>
      <c r="T213" s="1913">
        <v>0.28000000000000003</v>
      </c>
      <c r="U213" s="1927"/>
      <c r="V213" s="1883">
        <v>1</v>
      </c>
      <c r="W213" s="1871">
        <v>2</v>
      </c>
      <c r="X213" s="1926">
        <v>0.08</v>
      </c>
      <c r="Y213" s="1913">
        <v>0.13</v>
      </c>
      <c r="Z213" s="1927"/>
      <c r="AA213" s="1883">
        <v>1</v>
      </c>
      <c r="AB213" s="1871">
        <v>2</v>
      </c>
      <c r="AC213" s="1926">
        <v>0.24</v>
      </c>
      <c r="AD213" s="1913">
        <v>0.4</v>
      </c>
      <c r="AF213" s="1883">
        <v>1</v>
      </c>
      <c r="AG213" s="1871">
        <v>2</v>
      </c>
      <c r="AH213" s="1926">
        <v>0.2</v>
      </c>
      <c r="AI213" s="1913">
        <v>0.51</v>
      </c>
      <c r="AK213" s="1955">
        <f t="shared" ref="AK213:AK235" si="29">N213</f>
        <v>0.13</v>
      </c>
      <c r="AL213" s="2076">
        <f t="shared" ref="AL213:AL235" si="30">S213</f>
        <v>0.19</v>
      </c>
      <c r="AM213" s="1926">
        <f t="shared" si="28"/>
        <v>0.24</v>
      </c>
      <c r="AN213" s="1956">
        <f t="shared" ref="AN213:AN235" si="31">AH213</f>
        <v>0.2</v>
      </c>
      <c r="AO213" s="1883">
        <v>1</v>
      </c>
      <c r="AP213" s="1871">
        <v>2</v>
      </c>
      <c r="AQ213" s="1979">
        <v>0.22</v>
      </c>
      <c r="AR213" s="1983"/>
    </row>
    <row r="214" spans="1:44">
      <c r="A214" s="1927"/>
      <c r="B214" s="1883">
        <v>2</v>
      </c>
      <c r="C214" s="1871">
        <v>3</v>
      </c>
      <c r="D214" s="1926">
        <v>0.15</v>
      </c>
      <c r="E214" s="1913">
        <v>0.33</v>
      </c>
      <c r="F214" s="1927"/>
      <c r="G214" s="1883">
        <v>2</v>
      </c>
      <c r="H214" s="1871">
        <v>3</v>
      </c>
      <c r="I214" s="1926">
        <v>0.1</v>
      </c>
      <c r="J214" s="1913">
        <v>0.19</v>
      </c>
      <c r="K214" s="1927"/>
      <c r="L214" s="1883">
        <v>2</v>
      </c>
      <c r="M214" s="1871">
        <v>3</v>
      </c>
      <c r="N214" s="1926">
        <v>0.1</v>
      </c>
      <c r="O214" s="1913">
        <v>0.19</v>
      </c>
      <c r="P214" s="1927"/>
      <c r="Q214" s="1883">
        <v>2</v>
      </c>
      <c r="R214" s="1871">
        <v>3</v>
      </c>
      <c r="S214" s="1926">
        <v>0.13</v>
      </c>
      <c r="T214" s="1913">
        <v>0.19</v>
      </c>
      <c r="U214" s="1927"/>
      <c r="V214" s="1883">
        <v>2</v>
      </c>
      <c r="W214" s="1871">
        <v>3</v>
      </c>
      <c r="X214" s="1926">
        <v>0.06</v>
      </c>
      <c r="Y214" s="1913">
        <v>0.1</v>
      </c>
      <c r="Z214" s="1927"/>
      <c r="AA214" s="1883">
        <v>2</v>
      </c>
      <c r="AB214" s="1871">
        <v>3</v>
      </c>
      <c r="AC214" s="1926">
        <v>0.19</v>
      </c>
      <c r="AD214" s="1913">
        <v>0.3</v>
      </c>
      <c r="AF214" s="1883">
        <v>2</v>
      </c>
      <c r="AG214" s="1871">
        <v>3</v>
      </c>
      <c r="AH214" s="1926">
        <v>0.14000000000000001</v>
      </c>
      <c r="AI214" s="1913">
        <v>0.35</v>
      </c>
      <c r="AK214" s="1955">
        <f t="shared" si="29"/>
        <v>0.1</v>
      </c>
      <c r="AL214" s="2076">
        <f t="shared" si="30"/>
        <v>0.13</v>
      </c>
      <c r="AM214" s="1926">
        <f t="shared" si="28"/>
        <v>0.19</v>
      </c>
      <c r="AN214" s="1956">
        <f t="shared" si="31"/>
        <v>0.14000000000000001</v>
      </c>
      <c r="AO214" s="1883">
        <v>2</v>
      </c>
      <c r="AP214" s="1871">
        <v>3</v>
      </c>
      <c r="AQ214" s="1979"/>
      <c r="AR214" s="1983"/>
    </row>
    <row r="215" spans="1:44">
      <c r="A215" s="1927"/>
      <c r="B215" s="1883">
        <v>3</v>
      </c>
      <c r="C215" s="1871">
        <v>4</v>
      </c>
      <c r="D215" s="1926">
        <v>0.12</v>
      </c>
      <c r="E215" s="1913">
        <v>0.26</v>
      </c>
      <c r="F215" s="1927"/>
      <c r="G215" s="1883">
        <v>3</v>
      </c>
      <c r="H215" s="1871">
        <v>4</v>
      </c>
      <c r="I215" s="1926">
        <v>0.31</v>
      </c>
      <c r="J215" s="1913">
        <v>0.57999999999999996</v>
      </c>
      <c r="K215" s="1927"/>
      <c r="L215" s="1883">
        <v>3</v>
      </c>
      <c r="M215" s="1871">
        <v>4</v>
      </c>
      <c r="N215" s="1926">
        <v>0.12</v>
      </c>
      <c r="O215" s="1913">
        <v>0.22</v>
      </c>
      <c r="P215" s="1927"/>
      <c r="Q215" s="1883">
        <v>3</v>
      </c>
      <c r="R215" s="1871">
        <v>4</v>
      </c>
      <c r="S215" s="1926">
        <v>0.06</v>
      </c>
      <c r="T215" s="1913">
        <v>0.09</v>
      </c>
      <c r="U215" s="1927"/>
      <c r="V215" s="1883">
        <v>3</v>
      </c>
      <c r="W215" s="1871">
        <v>4</v>
      </c>
      <c r="X215" s="1926">
        <v>0.13</v>
      </c>
      <c r="Y215" s="1913">
        <v>0.21</v>
      </c>
      <c r="Z215" s="1927"/>
      <c r="AA215" s="1883">
        <v>3</v>
      </c>
      <c r="AB215" s="1871">
        <v>4</v>
      </c>
      <c r="AC215" s="1926">
        <v>0.2</v>
      </c>
      <c r="AD215" s="1913">
        <v>0.31</v>
      </c>
      <c r="AF215" s="1883">
        <v>3</v>
      </c>
      <c r="AG215" s="1871">
        <v>4</v>
      </c>
      <c r="AH215" s="1926">
        <v>0.18</v>
      </c>
      <c r="AI215" s="1913">
        <v>0.45</v>
      </c>
      <c r="AK215" s="1955">
        <f t="shared" si="29"/>
        <v>0.12</v>
      </c>
      <c r="AL215" s="2076">
        <f t="shared" si="30"/>
        <v>0.06</v>
      </c>
      <c r="AM215" s="1926">
        <f t="shared" si="28"/>
        <v>0.2</v>
      </c>
      <c r="AN215" s="1956">
        <f t="shared" si="31"/>
        <v>0.18</v>
      </c>
      <c r="AO215" s="1883">
        <v>3</v>
      </c>
      <c r="AP215" s="1871">
        <v>4</v>
      </c>
      <c r="AQ215" s="1979"/>
      <c r="AR215" s="1983"/>
    </row>
    <row r="216" spans="1:44">
      <c r="A216" s="1927"/>
      <c r="B216" s="1883">
        <v>4</v>
      </c>
      <c r="C216" s="1871">
        <v>5</v>
      </c>
      <c r="D216" s="1926">
        <v>0.17</v>
      </c>
      <c r="E216" s="1913">
        <v>0.37</v>
      </c>
      <c r="F216" s="1927"/>
      <c r="G216" s="1883">
        <v>4</v>
      </c>
      <c r="H216" s="1871">
        <v>5</v>
      </c>
      <c r="I216" s="1926">
        <v>0.23</v>
      </c>
      <c r="J216" s="1913">
        <v>0.43</v>
      </c>
      <c r="K216" s="1927"/>
      <c r="L216" s="1883">
        <v>4</v>
      </c>
      <c r="M216" s="1871">
        <v>5</v>
      </c>
      <c r="N216" s="1926">
        <v>0.08</v>
      </c>
      <c r="O216" s="1913">
        <v>0.15</v>
      </c>
      <c r="P216" s="1927"/>
      <c r="Q216" s="1883">
        <v>4</v>
      </c>
      <c r="R216" s="1871">
        <v>5</v>
      </c>
      <c r="S216" s="1926">
        <v>0.1</v>
      </c>
      <c r="T216" s="1913">
        <v>0.15</v>
      </c>
      <c r="U216" s="1927"/>
      <c r="V216" s="1883">
        <v>4</v>
      </c>
      <c r="W216" s="1871">
        <v>5</v>
      </c>
      <c r="X216" s="1926">
        <v>0.12</v>
      </c>
      <c r="Y216" s="1913">
        <v>0.19</v>
      </c>
      <c r="Z216" s="1927"/>
      <c r="AA216" s="1883">
        <v>4</v>
      </c>
      <c r="AB216" s="1871">
        <v>5</v>
      </c>
      <c r="AC216" s="1926">
        <v>0.18</v>
      </c>
      <c r="AD216" s="1913">
        <v>0.28000000000000003</v>
      </c>
      <c r="AF216" s="1883">
        <v>4</v>
      </c>
      <c r="AG216" s="1871">
        <v>5</v>
      </c>
      <c r="AH216" s="1926">
        <v>0.1</v>
      </c>
      <c r="AI216" s="1913">
        <v>0.25</v>
      </c>
      <c r="AK216" s="1955">
        <f t="shared" si="29"/>
        <v>0.08</v>
      </c>
      <c r="AL216" s="2076">
        <f t="shared" si="30"/>
        <v>0.1</v>
      </c>
      <c r="AM216" s="1926">
        <f t="shared" si="28"/>
        <v>0.18</v>
      </c>
      <c r="AN216" s="1956">
        <f t="shared" si="31"/>
        <v>0.1</v>
      </c>
      <c r="AO216" s="1883">
        <v>4</v>
      </c>
      <c r="AP216" s="1871">
        <v>5</v>
      </c>
      <c r="AQ216" s="1979"/>
      <c r="AR216" s="1983"/>
    </row>
    <row r="217" spans="1:44">
      <c r="A217" s="1927"/>
      <c r="B217" s="1883">
        <v>5</v>
      </c>
      <c r="C217" s="1871">
        <v>6</v>
      </c>
      <c r="D217" s="1926">
        <v>0.17</v>
      </c>
      <c r="E217" s="1913">
        <v>0.38</v>
      </c>
      <c r="F217" s="1927"/>
      <c r="G217" s="1883">
        <v>5</v>
      </c>
      <c r="H217" s="1871">
        <v>6</v>
      </c>
      <c r="I217" s="1926">
        <v>0.44</v>
      </c>
      <c r="J217" s="1913">
        <v>0.85</v>
      </c>
      <c r="K217" s="1927"/>
      <c r="L217" s="1883">
        <v>5</v>
      </c>
      <c r="M217" s="1871">
        <v>6</v>
      </c>
      <c r="N217" s="1926">
        <v>0.08</v>
      </c>
      <c r="O217" s="1913">
        <v>0.15</v>
      </c>
      <c r="P217" s="1927"/>
      <c r="Q217" s="1883">
        <v>5</v>
      </c>
      <c r="R217" s="1871">
        <v>6</v>
      </c>
      <c r="S217" s="1926">
        <v>0.14000000000000001</v>
      </c>
      <c r="T217" s="1913">
        <v>0.21</v>
      </c>
      <c r="U217" s="1927"/>
      <c r="V217" s="1883">
        <v>5</v>
      </c>
      <c r="W217" s="1871">
        <v>6</v>
      </c>
      <c r="X217" s="1926">
        <v>0.12</v>
      </c>
      <c r="Y217" s="1913">
        <v>0.2</v>
      </c>
      <c r="Z217" s="1927"/>
      <c r="AA217" s="1883">
        <v>5</v>
      </c>
      <c r="AB217" s="1871">
        <v>6</v>
      </c>
      <c r="AC217" s="1926">
        <v>0.34</v>
      </c>
      <c r="AD217" s="1913">
        <v>0.56000000000000005</v>
      </c>
      <c r="AF217" s="1883">
        <v>5</v>
      </c>
      <c r="AG217" s="1871">
        <v>6</v>
      </c>
      <c r="AH217" s="1926">
        <v>0.18</v>
      </c>
      <c r="AI217" s="1913">
        <v>0.45</v>
      </c>
      <c r="AK217" s="1955">
        <f t="shared" si="29"/>
        <v>0.08</v>
      </c>
      <c r="AL217" s="2076">
        <f t="shared" si="30"/>
        <v>0.14000000000000001</v>
      </c>
      <c r="AM217" s="1926">
        <f t="shared" si="28"/>
        <v>0.34</v>
      </c>
      <c r="AN217" s="1956">
        <f t="shared" si="31"/>
        <v>0.18</v>
      </c>
      <c r="AO217" s="1883">
        <v>5</v>
      </c>
      <c r="AP217" s="1871">
        <v>6</v>
      </c>
      <c r="AQ217" s="1979"/>
      <c r="AR217" s="1983"/>
    </row>
    <row r="218" spans="1:44">
      <c r="A218" s="1927"/>
      <c r="B218" s="1883">
        <v>6</v>
      </c>
      <c r="C218" s="1871">
        <v>7</v>
      </c>
      <c r="D218" s="1926">
        <v>0.26</v>
      </c>
      <c r="E218" s="1913">
        <v>0.64</v>
      </c>
      <c r="F218" s="1927"/>
      <c r="G218" s="1883">
        <v>6</v>
      </c>
      <c r="H218" s="1871">
        <v>7</v>
      </c>
      <c r="I218" s="1926">
        <v>0.28999999999999998</v>
      </c>
      <c r="J218" s="1913">
        <v>0.62</v>
      </c>
      <c r="K218" s="1927"/>
      <c r="L218" s="1883">
        <v>6</v>
      </c>
      <c r="M218" s="1871">
        <v>7</v>
      </c>
      <c r="N218" s="1926">
        <v>0.13</v>
      </c>
      <c r="O218" s="1913">
        <v>0.24</v>
      </c>
      <c r="P218" s="1927"/>
      <c r="Q218" s="1883">
        <v>6</v>
      </c>
      <c r="R218" s="1871">
        <v>7</v>
      </c>
      <c r="S218" s="1926">
        <v>0.2</v>
      </c>
      <c r="T218" s="1913">
        <v>0.33</v>
      </c>
      <c r="U218" s="1927"/>
      <c r="V218" s="1883">
        <v>6</v>
      </c>
      <c r="W218" s="1871">
        <v>7</v>
      </c>
      <c r="X218" s="1926">
        <v>0.06</v>
      </c>
      <c r="Y218" s="1913">
        <v>0.21</v>
      </c>
      <c r="Z218" s="1927"/>
      <c r="AA218" s="1883">
        <v>6</v>
      </c>
      <c r="AB218" s="1871">
        <v>7</v>
      </c>
      <c r="AC218" s="1926">
        <v>0.32</v>
      </c>
      <c r="AD218" s="1913">
        <v>0.64</v>
      </c>
      <c r="AF218" s="1883">
        <v>6</v>
      </c>
      <c r="AG218" s="1871">
        <v>7</v>
      </c>
      <c r="AH218" s="1926">
        <v>0.54</v>
      </c>
      <c r="AI218" s="1913">
        <v>1.33</v>
      </c>
      <c r="AK218" s="1955">
        <f t="shared" si="29"/>
        <v>0.13</v>
      </c>
      <c r="AL218" s="2076">
        <f t="shared" si="30"/>
        <v>0.2</v>
      </c>
      <c r="AM218" s="1926">
        <f t="shared" si="28"/>
        <v>0.32</v>
      </c>
      <c r="AN218" s="1956">
        <f t="shared" si="31"/>
        <v>0.54</v>
      </c>
      <c r="AO218" s="1883">
        <v>6</v>
      </c>
      <c r="AP218" s="1871">
        <v>7</v>
      </c>
      <c r="AQ218" s="1979"/>
      <c r="AR218" s="1983"/>
    </row>
    <row r="219" spans="1:44">
      <c r="A219" s="1927"/>
      <c r="B219" s="1908">
        <v>7</v>
      </c>
      <c r="C219" s="1909">
        <v>8</v>
      </c>
      <c r="D219" s="1928">
        <v>0.56999999999999995</v>
      </c>
      <c r="E219" s="1917">
        <v>1.51</v>
      </c>
      <c r="F219" s="1927"/>
      <c r="G219" s="1908">
        <v>7</v>
      </c>
      <c r="H219" s="1909">
        <v>8</v>
      </c>
      <c r="I219" s="1928">
        <v>0.21</v>
      </c>
      <c r="J219" s="1917">
        <v>0.48</v>
      </c>
      <c r="K219" s="1927"/>
      <c r="L219" s="1908">
        <v>7</v>
      </c>
      <c r="M219" s="1909">
        <v>8</v>
      </c>
      <c r="N219" s="1928">
        <v>0.2</v>
      </c>
      <c r="O219" s="1917">
        <v>0.41</v>
      </c>
      <c r="P219" s="1927"/>
      <c r="Q219" s="1908">
        <v>7</v>
      </c>
      <c r="R219" s="1909">
        <v>8</v>
      </c>
      <c r="S219" s="1928">
        <v>0.36</v>
      </c>
      <c r="T219" s="1917">
        <v>0.64</v>
      </c>
      <c r="U219" s="1927"/>
      <c r="V219" s="1908">
        <v>7</v>
      </c>
      <c r="W219" s="1909">
        <v>8</v>
      </c>
      <c r="X219" s="1928">
        <v>0.08</v>
      </c>
      <c r="Y219" s="1917">
        <v>0.15</v>
      </c>
      <c r="Z219" s="1927"/>
      <c r="AA219" s="1908">
        <v>7</v>
      </c>
      <c r="AB219" s="1909">
        <v>8</v>
      </c>
      <c r="AC219" s="1928">
        <v>0.9</v>
      </c>
      <c r="AD219" s="1917">
        <v>1.62</v>
      </c>
      <c r="AF219" s="1908">
        <v>7</v>
      </c>
      <c r="AG219" s="1909">
        <v>8</v>
      </c>
      <c r="AH219" s="1928">
        <v>0.47</v>
      </c>
      <c r="AI219" s="1917">
        <v>1.1599999999999999</v>
      </c>
      <c r="AK219" s="1957">
        <f t="shared" si="29"/>
        <v>0.2</v>
      </c>
      <c r="AL219" s="2078">
        <f t="shared" si="30"/>
        <v>0.36</v>
      </c>
      <c r="AM219" s="1958">
        <f t="shared" si="28"/>
        <v>0.9</v>
      </c>
      <c r="AN219" s="1959">
        <f t="shared" si="31"/>
        <v>0.47</v>
      </c>
      <c r="AO219" s="1908">
        <v>7</v>
      </c>
      <c r="AP219" s="1909">
        <v>8</v>
      </c>
      <c r="AQ219" s="1979"/>
      <c r="AR219" s="1983"/>
    </row>
    <row r="220" spans="1:44">
      <c r="A220" s="1930"/>
      <c r="B220" s="1890">
        <v>8</v>
      </c>
      <c r="C220" s="1891">
        <v>9</v>
      </c>
      <c r="D220" s="1929">
        <v>0.4</v>
      </c>
      <c r="E220" s="1914">
        <v>1.1299999999999999</v>
      </c>
      <c r="F220" s="1930"/>
      <c r="G220" s="1890">
        <v>8</v>
      </c>
      <c r="H220" s="1891">
        <v>9</v>
      </c>
      <c r="I220" s="1929">
        <v>0.13</v>
      </c>
      <c r="J220" s="1914">
        <v>0.32</v>
      </c>
      <c r="K220" s="1930"/>
      <c r="L220" s="1890">
        <v>8</v>
      </c>
      <c r="M220" s="1891">
        <v>9</v>
      </c>
      <c r="N220" s="1929">
        <v>0.26</v>
      </c>
      <c r="O220" s="1914">
        <v>0.53</v>
      </c>
      <c r="P220" s="1930"/>
      <c r="Q220" s="1890">
        <v>8</v>
      </c>
      <c r="R220" s="1891">
        <v>9</v>
      </c>
      <c r="S220" s="1929">
        <v>0.22</v>
      </c>
      <c r="T220" s="1914">
        <v>0.38</v>
      </c>
      <c r="U220" s="1930"/>
      <c r="V220" s="1890">
        <v>8</v>
      </c>
      <c r="W220" s="1891">
        <v>9</v>
      </c>
      <c r="X220" s="1929">
        <v>0.13</v>
      </c>
      <c r="Y220" s="1914">
        <v>0.24</v>
      </c>
      <c r="Z220" s="1930"/>
      <c r="AA220" s="1890">
        <v>8</v>
      </c>
      <c r="AB220" s="1891">
        <v>9</v>
      </c>
      <c r="AC220" s="1929">
        <v>0.44</v>
      </c>
      <c r="AD220" s="1914">
        <v>0.73</v>
      </c>
      <c r="AF220" s="1890">
        <v>8</v>
      </c>
      <c r="AG220" s="1891">
        <v>9</v>
      </c>
      <c r="AH220" s="1929">
        <v>0.48</v>
      </c>
      <c r="AI220" s="1914">
        <v>1.18</v>
      </c>
      <c r="AK220" s="1952">
        <f t="shared" si="29"/>
        <v>0.26</v>
      </c>
      <c r="AL220" s="2074">
        <f t="shared" si="30"/>
        <v>0.22</v>
      </c>
      <c r="AM220" s="1953">
        <f t="shared" si="28"/>
        <v>0.44</v>
      </c>
      <c r="AN220" s="1954">
        <f t="shared" si="31"/>
        <v>0.48</v>
      </c>
      <c r="AO220" s="1890">
        <v>8</v>
      </c>
      <c r="AP220" s="1891">
        <v>9</v>
      </c>
      <c r="AQ220" s="1979"/>
      <c r="AR220" s="1983"/>
    </row>
    <row r="221" spans="1:44">
      <c r="A221" s="1930"/>
      <c r="B221" s="1893">
        <v>9</v>
      </c>
      <c r="C221" s="1872">
        <v>11</v>
      </c>
      <c r="D221" s="1931">
        <v>0.28000000000000003</v>
      </c>
      <c r="E221" s="1915">
        <v>0.69</v>
      </c>
      <c r="F221" s="1930"/>
      <c r="G221" s="1893">
        <v>9</v>
      </c>
      <c r="H221" s="1872">
        <v>11</v>
      </c>
      <c r="I221" s="1931">
        <v>0.18</v>
      </c>
      <c r="J221" s="1915">
        <v>0.42</v>
      </c>
      <c r="K221" s="1930"/>
      <c r="L221" s="1893">
        <v>9</v>
      </c>
      <c r="M221" s="1872">
        <v>11</v>
      </c>
      <c r="N221" s="1931">
        <v>0.27</v>
      </c>
      <c r="O221" s="1915">
        <v>0.54</v>
      </c>
      <c r="P221" s="1930"/>
      <c r="Q221" s="1893">
        <v>9</v>
      </c>
      <c r="R221" s="1872">
        <v>10</v>
      </c>
      <c r="S221" s="1931">
        <v>0.33</v>
      </c>
      <c r="T221" s="1915">
        <v>0.53</v>
      </c>
      <c r="U221" s="1930"/>
      <c r="V221" s="1893">
        <v>9</v>
      </c>
      <c r="W221" s="1872">
        <v>10</v>
      </c>
      <c r="X221" s="1931">
        <v>0.12</v>
      </c>
      <c r="Y221" s="1915">
        <v>0.21</v>
      </c>
      <c r="Z221" s="1930"/>
      <c r="AA221" s="1893">
        <v>9</v>
      </c>
      <c r="AB221" s="1872">
        <v>11</v>
      </c>
      <c r="AC221" s="1931">
        <v>0.32</v>
      </c>
      <c r="AD221" s="1915">
        <v>0.51</v>
      </c>
      <c r="AF221" s="1893">
        <v>9</v>
      </c>
      <c r="AG221" s="1872">
        <v>11</v>
      </c>
      <c r="AH221" s="1931">
        <v>0.67</v>
      </c>
      <c r="AI221" s="1915">
        <v>1.6</v>
      </c>
      <c r="AK221" s="1955">
        <f t="shared" si="29"/>
        <v>0.27</v>
      </c>
      <c r="AL221" s="2076">
        <f t="shared" si="30"/>
        <v>0.33</v>
      </c>
      <c r="AM221" s="1926">
        <f t="shared" si="28"/>
        <v>0.32</v>
      </c>
      <c r="AN221" s="1956">
        <f t="shared" si="31"/>
        <v>0.67</v>
      </c>
      <c r="AO221" s="1893">
        <v>9</v>
      </c>
      <c r="AP221" s="1872">
        <v>10</v>
      </c>
      <c r="AQ221" s="1979"/>
      <c r="AR221" s="1983"/>
    </row>
    <row r="222" spans="1:44">
      <c r="A222" s="1930"/>
      <c r="B222" s="1893">
        <v>10</v>
      </c>
      <c r="C222" s="1872">
        <v>12</v>
      </c>
      <c r="D222" s="1931">
        <v>0.41</v>
      </c>
      <c r="E222" s="1915">
        <v>0.83</v>
      </c>
      <c r="F222" s="1930"/>
      <c r="G222" s="1893">
        <v>10</v>
      </c>
      <c r="H222" s="1872">
        <v>12</v>
      </c>
      <c r="I222" s="1931">
        <v>0.26</v>
      </c>
      <c r="J222" s="1915">
        <v>0.57999999999999996</v>
      </c>
      <c r="K222" s="1930"/>
      <c r="L222" s="1893">
        <v>10</v>
      </c>
      <c r="M222" s="1872">
        <v>12</v>
      </c>
      <c r="N222" s="1931">
        <v>0.34</v>
      </c>
      <c r="O222" s="1915">
        <v>0.62</v>
      </c>
      <c r="P222" s="1930"/>
      <c r="Q222" s="1893">
        <v>10</v>
      </c>
      <c r="R222" s="1872">
        <v>11</v>
      </c>
      <c r="S222" s="1931">
        <v>0.31</v>
      </c>
      <c r="T222" s="1915">
        <v>0.47</v>
      </c>
      <c r="U222" s="1930"/>
      <c r="V222" s="1893">
        <v>10</v>
      </c>
      <c r="W222" s="1872">
        <v>11</v>
      </c>
      <c r="X222" s="1931">
        <v>0.1</v>
      </c>
      <c r="Y222" s="1915">
        <v>0.17</v>
      </c>
      <c r="Z222" s="1930"/>
      <c r="AA222" s="1893">
        <v>10</v>
      </c>
      <c r="AB222" s="1872">
        <v>12</v>
      </c>
      <c r="AC222" s="1931">
        <v>0.45</v>
      </c>
      <c r="AD222" s="1915">
        <v>0.68</v>
      </c>
      <c r="AF222" s="1893">
        <v>10</v>
      </c>
      <c r="AG222" s="1872">
        <v>12</v>
      </c>
      <c r="AH222" s="1931">
        <v>0.66</v>
      </c>
      <c r="AI222" s="1915">
        <v>1.48</v>
      </c>
      <c r="AK222" s="1955">
        <f t="shared" si="29"/>
        <v>0.34</v>
      </c>
      <c r="AL222" s="2076">
        <f t="shared" si="30"/>
        <v>0.31</v>
      </c>
      <c r="AM222" s="1926">
        <f t="shared" si="28"/>
        <v>0.45</v>
      </c>
      <c r="AN222" s="1956">
        <f t="shared" si="31"/>
        <v>0.66</v>
      </c>
      <c r="AO222" s="1893">
        <v>10</v>
      </c>
      <c r="AP222" s="1872">
        <v>11</v>
      </c>
      <c r="AQ222" s="1979"/>
      <c r="AR222" s="1983"/>
    </row>
    <row r="223" spans="1:44">
      <c r="A223" s="1930"/>
      <c r="B223" s="1893">
        <v>11</v>
      </c>
      <c r="C223" s="1872">
        <v>12</v>
      </c>
      <c r="D223" s="1931">
        <v>0.31</v>
      </c>
      <c r="E223" s="1915">
        <v>0.6</v>
      </c>
      <c r="F223" s="1930"/>
      <c r="G223" s="1893">
        <v>11</v>
      </c>
      <c r="H223" s="1872">
        <v>12</v>
      </c>
      <c r="I223" s="1931">
        <v>0.37</v>
      </c>
      <c r="J223" s="1915">
        <v>0.8</v>
      </c>
      <c r="K223" s="1930"/>
      <c r="L223" s="1893">
        <v>11</v>
      </c>
      <c r="M223" s="1872">
        <v>12</v>
      </c>
      <c r="N223" s="1931">
        <v>0.4</v>
      </c>
      <c r="O223" s="1915">
        <v>0.72</v>
      </c>
      <c r="P223" s="1930"/>
      <c r="Q223" s="1893">
        <v>11</v>
      </c>
      <c r="R223" s="1872">
        <v>12</v>
      </c>
      <c r="S223" s="1931">
        <v>0.25</v>
      </c>
      <c r="T223" s="1915">
        <v>0.36</v>
      </c>
      <c r="U223" s="1930"/>
      <c r="V223" s="1893">
        <v>11</v>
      </c>
      <c r="W223" s="1872">
        <v>12</v>
      </c>
      <c r="X223" s="1931">
        <v>7.0000000000000007E-2</v>
      </c>
      <c r="Y223" s="1915">
        <v>0.11</v>
      </c>
      <c r="Z223" s="1930"/>
      <c r="AA223" s="1893">
        <v>11</v>
      </c>
      <c r="AB223" s="1872">
        <v>12</v>
      </c>
      <c r="AC223" s="1931">
        <v>0.47</v>
      </c>
      <c r="AD223" s="1915">
        <v>0.68</v>
      </c>
      <c r="AF223" s="1893">
        <v>11</v>
      </c>
      <c r="AG223" s="1872">
        <v>12</v>
      </c>
      <c r="AH223" s="1931">
        <v>0.38</v>
      </c>
      <c r="AI223" s="1915">
        <v>0.8</v>
      </c>
      <c r="AK223" s="1955">
        <f t="shared" si="29"/>
        <v>0.4</v>
      </c>
      <c r="AL223" s="2076">
        <f t="shared" si="30"/>
        <v>0.25</v>
      </c>
      <c r="AM223" s="1926">
        <f t="shared" si="28"/>
        <v>0.47</v>
      </c>
      <c r="AN223" s="1956">
        <f t="shared" si="31"/>
        <v>0.38</v>
      </c>
      <c r="AO223" s="1893">
        <v>11</v>
      </c>
      <c r="AP223" s="1872">
        <v>12</v>
      </c>
      <c r="AQ223" s="1979"/>
      <c r="AR223" s="1983"/>
    </row>
    <row r="224" spans="1:44">
      <c r="A224" s="1930"/>
      <c r="B224" s="1893">
        <v>12</v>
      </c>
      <c r="C224" s="1872">
        <v>13</v>
      </c>
      <c r="D224" s="1931">
        <v>0.38</v>
      </c>
      <c r="E224" s="1915">
        <v>0.72</v>
      </c>
      <c r="F224" s="1930"/>
      <c r="G224" s="1893">
        <v>12</v>
      </c>
      <c r="H224" s="1872">
        <v>13</v>
      </c>
      <c r="I224" s="1931">
        <v>0.39</v>
      </c>
      <c r="J224" s="1915">
        <v>0.82</v>
      </c>
      <c r="K224" s="1930"/>
      <c r="L224" s="1893">
        <v>12</v>
      </c>
      <c r="M224" s="1872">
        <v>13</v>
      </c>
      <c r="N224" s="1931">
        <v>0.45</v>
      </c>
      <c r="O224" s="1915">
        <v>0.78</v>
      </c>
      <c r="P224" s="1930"/>
      <c r="Q224" s="1893">
        <v>12</v>
      </c>
      <c r="R224" s="1872">
        <v>13</v>
      </c>
      <c r="S224" s="1931">
        <v>0.21</v>
      </c>
      <c r="T224" s="1915">
        <v>0.28999999999999998</v>
      </c>
      <c r="U224" s="1930"/>
      <c r="V224" s="1893">
        <v>12</v>
      </c>
      <c r="W224" s="1872">
        <v>13</v>
      </c>
      <c r="X224" s="1931">
        <v>0.12</v>
      </c>
      <c r="Y224" s="1915">
        <v>0.18</v>
      </c>
      <c r="Z224" s="1930"/>
      <c r="AA224" s="1893">
        <v>12</v>
      </c>
      <c r="AB224" s="1872">
        <v>13</v>
      </c>
      <c r="AC224" s="1931">
        <v>0.44</v>
      </c>
      <c r="AD224" s="1915">
        <v>0.62</v>
      </c>
      <c r="AF224" s="1893">
        <v>12</v>
      </c>
      <c r="AG224" s="1872">
        <v>13</v>
      </c>
      <c r="AH224" s="1931">
        <v>0.44</v>
      </c>
      <c r="AI224" s="1915">
        <v>0.88</v>
      </c>
      <c r="AK224" s="1955">
        <f t="shared" si="29"/>
        <v>0.45</v>
      </c>
      <c r="AL224" s="2076">
        <f t="shared" si="30"/>
        <v>0.21</v>
      </c>
      <c r="AM224" s="1926">
        <f t="shared" si="28"/>
        <v>0.44</v>
      </c>
      <c r="AN224" s="1956">
        <f t="shared" si="31"/>
        <v>0.44</v>
      </c>
      <c r="AO224" s="1893">
        <v>12</v>
      </c>
      <c r="AP224" s="1872">
        <v>13</v>
      </c>
      <c r="AQ224" s="1979"/>
      <c r="AR224" s="1983"/>
    </row>
    <row r="225" spans="1:44">
      <c r="A225" s="1930"/>
      <c r="B225" s="1893">
        <v>13</v>
      </c>
      <c r="C225" s="1872">
        <v>14</v>
      </c>
      <c r="D225" s="1931">
        <v>0.28999999999999998</v>
      </c>
      <c r="E225" s="1915">
        <v>0.55000000000000004</v>
      </c>
      <c r="F225" s="1930"/>
      <c r="G225" s="1893">
        <v>13</v>
      </c>
      <c r="H225" s="1872">
        <v>14</v>
      </c>
      <c r="I225" s="1931">
        <v>0.22</v>
      </c>
      <c r="J225" s="1915">
        <v>0.46</v>
      </c>
      <c r="K225" s="1930"/>
      <c r="L225" s="1893">
        <v>13</v>
      </c>
      <c r="M225" s="1872">
        <v>14</v>
      </c>
      <c r="N225" s="1931">
        <v>0.35</v>
      </c>
      <c r="O225" s="1915">
        <v>0.6</v>
      </c>
      <c r="P225" s="1930"/>
      <c r="Q225" s="1893">
        <v>13</v>
      </c>
      <c r="R225" s="1872">
        <v>14</v>
      </c>
      <c r="S225" s="1931">
        <v>0.09</v>
      </c>
      <c r="T225" s="1915">
        <v>0.12</v>
      </c>
      <c r="U225" s="1930"/>
      <c r="V225" s="1893">
        <v>13</v>
      </c>
      <c r="W225" s="1872">
        <v>14</v>
      </c>
      <c r="X225" s="1931">
        <v>0.13</v>
      </c>
      <c r="Y225" s="1915">
        <v>0.19</v>
      </c>
      <c r="Z225" s="1930"/>
      <c r="AA225" s="1893">
        <v>13</v>
      </c>
      <c r="AB225" s="1872">
        <v>14</v>
      </c>
      <c r="AC225" s="1931">
        <v>0.46</v>
      </c>
      <c r="AD225" s="1915">
        <v>0.65</v>
      </c>
      <c r="AF225" s="1893">
        <v>13</v>
      </c>
      <c r="AG225" s="1872">
        <v>14</v>
      </c>
      <c r="AH225" s="1931">
        <v>0.49</v>
      </c>
      <c r="AI225" s="1915">
        <v>0.9</v>
      </c>
      <c r="AK225" s="1955">
        <f t="shared" si="29"/>
        <v>0.35</v>
      </c>
      <c r="AL225" s="2076">
        <f t="shared" si="30"/>
        <v>0.09</v>
      </c>
      <c r="AM225" s="1926">
        <f t="shared" si="28"/>
        <v>0.46</v>
      </c>
      <c r="AN225" s="1956">
        <f t="shared" si="31"/>
        <v>0.49</v>
      </c>
      <c r="AO225" s="1893">
        <v>13</v>
      </c>
      <c r="AP225" s="1872">
        <v>14</v>
      </c>
      <c r="AQ225" s="1979"/>
      <c r="AR225" s="1983"/>
    </row>
    <row r="226" spans="1:44">
      <c r="A226" s="1930"/>
      <c r="B226" s="1893">
        <v>14</v>
      </c>
      <c r="C226" s="1872">
        <v>15</v>
      </c>
      <c r="D226" s="1931">
        <v>0.27</v>
      </c>
      <c r="E226" s="1915">
        <v>0.51</v>
      </c>
      <c r="F226" s="1930"/>
      <c r="G226" s="1893">
        <v>14</v>
      </c>
      <c r="H226" s="1872">
        <v>15</v>
      </c>
      <c r="I226" s="1931">
        <v>0.18</v>
      </c>
      <c r="J226" s="1915">
        <v>0.38</v>
      </c>
      <c r="K226" s="1930"/>
      <c r="L226" s="1893">
        <v>14</v>
      </c>
      <c r="M226" s="1872">
        <v>15</v>
      </c>
      <c r="N226" s="1931">
        <v>0.22</v>
      </c>
      <c r="O226" s="1915">
        <v>0.37</v>
      </c>
      <c r="P226" s="1930"/>
      <c r="Q226" s="1893">
        <v>14</v>
      </c>
      <c r="R226" s="1872">
        <v>15</v>
      </c>
      <c r="S226" s="1931">
        <v>0.14000000000000001</v>
      </c>
      <c r="T226" s="1915">
        <v>0.18</v>
      </c>
      <c r="U226" s="1930"/>
      <c r="V226" s="1893">
        <v>14</v>
      </c>
      <c r="W226" s="1872">
        <v>15</v>
      </c>
      <c r="X226" s="1931">
        <v>0.13</v>
      </c>
      <c r="Y226" s="1915">
        <v>0.18</v>
      </c>
      <c r="Z226" s="1930"/>
      <c r="AA226" s="1893">
        <v>14</v>
      </c>
      <c r="AB226" s="1872">
        <v>15</v>
      </c>
      <c r="AC226" s="1931">
        <v>0.45</v>
      </c>
      <c r="AD226" s="1915">
        <v>0.64</v>
      </c>
      <c r="AF226" s="1893">
        <v>14</v>
      </c>
      <c r="AG226" s="1872">
        <v>15</v>
      </c>
      <c r="AH226" s="1931">
        <v>0.13</v>
      </c>
      <c r="AI226" s="1915">
        <v>0.24</v>
      </c>
      <c r="AK226" s="1955">
        <f t="shared" si="29"/>
        <v>0.22</v>
      </c>
      <c r="AL226" s="2076">
        <f t="shared" si="30"/>
        <v>0.14000000000000001</v>
      </c>
      <c r="AM226" s="1926">
        <f t="shared" si="28"/>
        <v>0.45</v>
      </c>
      <c r="AN226" s="1956">
        <f t="shared" si="31"/>
        <v>0.13</v>
      </c>
      <c r="AO226" s="1893">
        <v>14</v>
      </c>
      <c r="AP226" s="1872">
        <v>15</v>
      </c>
      <c r="AQ226" s="1979"/>
      <c r="AR226" s="1983"/>
    </row>
    <row r="227" spans="1:44">
      <c r="A227" s="1930"/>
      <c r="B227" s="1893">
        <v>15</v>
      </c>
      <c r="C227" s="1872">
        <v>16</v>
      </c>
      <c r="D227" s="1931">
        <v>0.43</v>
      </c>
      <c r="E227" s="1915">
        <v>0.86</v>
      </c>
      <c r="F227" s="1930"/>
      <c r="G227" s="1893">
        <v>15</v>
      </c>
      <c r="H227" s="1872">
        <v>16</v>
      </c>
      <c r="I227" s="1931">
        <v>0.13</v>
      </c>
      <c r="J227" s="1915">
        <v>0.28000000000000003</v>
      </c>
      <c r="K227" s="1930"/>
      <c r="L227" s="1893">
        <v>15</v>
      </c>
      <c r="M227" s="1872">
        <v>16</v>
      </c>
      <c r="N227" s="1931">
        <v>0.35</v>
      </c>
      <c r="O227" s="1915">
        <v>0.59</v>
      </c>
      <c r="P227" s="1930"/>
      <c r="Q227" s="1893">
        <v>15</v>
      </c>
      <c r="R227" s="1872">
        <v>16</v>
      </c>
      <c r="S227" s="1931">
        <v>0.26</v>
      </c>
      <c r="T227" s="1915">
        <v>0.33</v>
      </c>
      <c r="U227" s="1930"/>
      <c r="V227" s="1893">
        <v>15</v>
      </c>
      <c r="W227" s="1872">
        <v>16</v>
      </c>
      <c r="X227" s="1931">
        <v>7.0000000000000007E-2</v>
      </c>
      <c r="Y227" s="1915">
        <v>0.1</v>
      </c>
      <c r="Z227" s="1930"/>
      <c r="AA227" s="1893">
        <v>15</v>
      </c>
      <c r="AB227" s="1872">
        <v>16</v>
      </c>
      <c r="AC227" s="1931">
        <v>0.48</v>
      </c>
      <c r="AD227" s="1915">
        <v>0.7</v>
      </c>
      <c r="AF227" s="1893">
        <v>15</v>
      </c>
      <c r="AG227" s="1872">
        <v>16</v>
      </c>
      <c r="AH227" s="1931">
        <v>0.45</v>
      </c>
      <c r="AI227" s="1915">
        <v>0.92</v>
      </c>
      <c r="AK227" s="1955">
        <f t="shared" si="29"/>
        <v>0.35</v>
      </c>
      <c r="AL227" s="2076">
        <f t="shared" si="30"/>
        <v>0.26</v>
      </c>
      <c r="AM227" s="1926">
        <f t="shared" si="28"/>
        <v>0.48</v>
      </c>
      <c r="AN227" s="1956">
        <f t="shared" si="31"/>
        <v>0.45</v>
      </c>
      <c r="AO227" s="1893">
        <v>15</v>
      </c>
      <c r="AP227" s="1872">
        <v>16</v>
      </c>
      <c r="AQ227" s="1979"/>
      <c r="AR227" s="1983"/>
    </row>
    <row r="228" spans="1:44">
      <c r="A228" s="1930"/>
      <c r="B228" s="1893">
        <v>16</v>
      </c>
      <c r="C228" s="1872">
        <v>17</v>
      </c>
      <c r="D228" s="1931">
        <v>0.32</v>
      </c>
      <c r="E228" s="1915">
        <v>0.64</v>
      </c>
      <c r="F228" s="1930"/>
      <c r="G228" s="1893">
        <v>16</v>
      </c>
      <c r="H228" s="1872">
        <v>17</v>
      </c>
      <c r="I228" s="1931">
        <v>0.25</v>
      </c>
      <c r="J228" s="1915">
        <v>0.54</v>
      </c>
      <c r="K228" s="1930"/>
      <c r="L228" s="1893">
        <v>16</v>
      </c>
      <c r="M228" s="1872">
        <v>17</v>
      </c>
      <c r="N228" s="1931">
        <v>0.46</v>
      </c>
      <c r="O228" s="1915">
        <v>0.79</v>
      </c>
      <c r="P228" s="1930"/>
      <c r="Q228" s="1893">
        <v>16</v>
      </c>
      <c r="R228" s="1872">
        <v>17</v>
      </c>
      <c r="S228" s="1931">
        <v>0.26</v>
      </c>
      <c r="T228" s="1915">
        <v>0.36</v>
      </c>
      <c r="U228" s="1930"/>
      <c r="V228" s="1893">
        <v>16</v>
      </c>
      <c r="W228" s="1872">
        <v>17</v>
      </c>
      <c r="X228" s="1931">
        <v>0.08</v>
      </c>
      <c r="Y228" s="1915">
        <v>0.12</v>
      </c>
      <c r="Z228" s="1930"/>
      <c r="AA228" s="1893">
        <v>16</v>
      </c>
      <c r="AB228" s="1872">
        <v>17</v>
      </c>
      <c r="AC228" s="1931">
        <v>0.5</v>
      </c>
      <c r="AD228" s="1915">
        <v>0.74</v>
      </c>
      <c r="AF228" s="1893">
        <v>16</v>
      </c>
      <c r="AG228" s="1872">
        <v>17</v>
      </c>
      <c r="AH228" s="1931">
        <v>0.34</v>
      </c>
      <c r="AI228" s="1915">
        <v>0.76</v>
      </c>
      <c r="AK228" s="1955">
        <f t="shared" si="29"/>
        <v>0.46</v>
      </c>
      <c r="AL228" s="2076">
        <f t="shared" si="30"/>
        <v>0.26</v>
      </c>
      <c r="AM228" s="1926">
        <f t="shared" si="28"/>
        <v>0.5</v>
      </c>
      <c r="AN228" s="1956">
        <f t="shared" si="31"/>
        <v>0.34</v>
      </c>
      <c r="AO228" s="1893">
        <v>16</v>
      </c>
      <c r="AP228" s="1872">
        <v>17</v>
      </c>
      <c r="AQ228" s="1979"/>
      <c r="AR228" s="1983"/>
    </row>
    <row r="229" spans="1:44">
      <c r="A229" s="1930"/>
      <c r="B229" s="1894">
        <v>17</v>
      </c>
      <c r="C229" s="1895">
        <v>18</v>
      </c>
      <c r="D229" s="1932">
        <v>0.46</v>
      </c>
      <c r="E229" s="1916">
        <v>1.28</v>
      </c>
      <c r="F229" s="1930"/>
      <c r="G229" s="1894">
        <v>17</v>
      </c>
      <c r="H229" s="1895">
        <v>18</v>
      </c>
      <c r="I229" s="1932">
        <v>0.37</v>
      </c>
      <c r="J229" s="1916">
        <v>1.1200000000000001</v>
      </c>
      <c r="K229" s="1930"/>
      <c r="L229" s="1894">
        <v>17</v>
      </c>
      <c r="M229" s="1895">
        <v>18</v>
      </c>
      <c r="N229" s="1932">
        <v>0.41</v>
      </c>
      <c r="O229" s="1916">
        <v>0.74</v>
      </c>
      <c r="P229" s="1930"/>
      <c r="Q229" s="1894">
        <v>17</v>
      </c>
      <c r="R229" s="1895">
        <v>18</v>
      </c>
      <c r="S229" s="1932">
        <v>0.33</v>
      </c>
      <c r="T229" s="1916">
        <v>0.5</v>
      </c>
      <c r="U229" s="1930"/>
      <c r="V229" s="1894">
        <v>17</v>
      </c>
      <c r="W229" s="1895">
        <v>18</v>
      </c>
      <c r="X229" s="1932">
        <v>0.13</v>
      </c>
      <c r="Y229" s="1916">
        <v>0.21</v>
      </c>
      <c r="Z229" s="1930"/>
      <c r="AA229" s="1894">
        <v>17</v>
      </c>
      <c r="AB229" s="1895">
        <v>18</v>
      </c>
      <c r="AC229" s="1932">
        <v>1.08</v>
      </c>
      <c r="AD229" s="1916">
        <v>1.65</v>
      </c>
      <c r="AF229" s="1894">
        <v>17</v>
      </c>
      <c r="AG229" s="1895">
        <v>18</v>
      </c>
      <c r="AH229" s="1932">
        <v>0.49</v>
      </c>
      <c r="AI229" s="1916">
        <v>1.2</v>
      </c>
      <c r="AK229" s="1957">
        <f t="shared" si="29"/>
        <v>0.41</v>
      </c>
      <c r="AL229" s="2078">
        <f t="shared" si="30"/>
        <v>0.33</v>
      </c>
      <c r="AM229" s="1958">
        <f t="shared" si="28"/>
        <v>1.08</v>
      </c>
      <c r="AN229" s="1959">
        <f t="shared" si="31"/>
        <v>0.49</v>
      </c>
      <c r="AO229" s="1894">
        <v>17</v>
      </c>
      <c r="AP229" s="1895">
        <v>18</v>
      </c>
      <c r="AQ229" s="1979"/>
      <c r="AR229" s="1983"/>
    </row>
    <row r="230" spans="1:44">
      <c r="A230" s="1934"/>
      <c r="B230" s="1910">
        <v>18</v>
      </c>
      <c r="C230" s="1889">
        <v>19</v>
      </c>
      <c r="D230" s="1933">
        <v>0.62</v>
      </c>
      <c r="E230" s="1911">
        <v>1.59</v>
      </c>
      <c r="F230" s="1934"/>
      <c r="G230" s="1910">
        <v>18</v>
      </c>
      <c r="H230" s="1889">
        <v>19</v>
      </c>
      <c r="I230" s="1933">
        <v>0.21</v>
      </c>
      <c r="J230" s="1911">
        <v>0.66</v>
      </c>
      <c r="K230" s="1934"/>
      <c r="L230" s="1910">
        <v>18</v>
      </c>
      <c r="M230" s="1889">
        <v>19</v>
      </c>
      <c r="N230" s="1933">
        <v>0.5</v>
      </c>
      <c r="O230" s="1911">
        <v>0.96</v>
      </c>
      <c r="P230" s="1934"/>
      <c r="Q230" s="1910">
        <v>18</v>
      </c>
      <c r="R230" s="1889">
        <v>19</v>
      </c>
      <c r="S230" s="1933">
        <v>0.33</v>
      </c>
      <c r="T230" s="1911">
        <v>0.51</v>
      </c>
      <c r="U230" s="1934"/>
      <c r="V230" s="1910">
        <v>18</v>
      </c>
      <c r="W230" s="1889">
        <v>19</v>
      </c>
      <c r="X230" s="1933">
        <v>0.13</v>
      </c>
      <c r="Y230" s="1911">
        <v>0.22</v>
      </c>
      <c r="Z230" s="1934"/>
      <c r="AA230" s="1910">
        <v>18</v>
      </c>
      <c r="AB230" s="1889">
        <v>19</v>
      </c>
      <c r="AC230" s="1933">
        <v>0.69</v>
      </c>
      <c r="AD230" s="1911">
        <v>1.1399999999999999</v>
      </c>
      <c r="AF230" s="1910">
        <v>18</v>
      </c>
      <c r="AG230" s="1889">
        <v>19</v>
      </c>
      <c r="AH230" s="1933">
        <v>0.42</v>
      </c>
      <c r="AI230" s="1911">
        <v>1.1200000000000001</v>
      </c>
      <c r="AK230" s="1952">
        <f t="shared" si="29"/>
        <v>0.5</v>
      </c>
      <c r="AL230" s="2074">
        <f t="shared" si="30"/>
        <v>0.33</v>
      </c>
      <c r="AM230" s="1953">
        <f t="shared" si="28"/>
        <v>0.69</v>
      </c>
      <c r="AN230" s="1954">
        <f t="shared" si="31"/>
        <v>0.42</v>
      </c>
      <c r="AO230" s="1910">
        <v>18</v>
      </c>
      <c r="AP230" s="1889">
        <v>19</v>
      </c>
      <c r="AQ230" s="1979"/>
      <c r="AR230" s="1983"/>
    </row>
    <row r="231" spans="1:44">
      <c r="A231" s="1934"/>
      <c r="B231" s="1902">
        <v>19</v>
      </c>
      <c r="C231" s="1873">
        <v>20</v>
      </c>
      <c r="D231" s="1935">
        <v>0.98</v>
      </c>
      <c r="E231" s="1912">
        <v>2.4500000000000002</v>
      </c>
      <c r="F231" s="1934"/>
      <c r="G231" s="1902">
        <v>19</v>
      </c>
      <c r="H231" s="1873">
        <v>20</v>
      </c>
      <c r="I231" s="1935">
        <v>0.2</v>
      </c>
      <c r="J231" s="1912">
        <v>0.64</v>
      </c>
      <c r="K231" s="1934"/>
      <c r="L231" s="1902">
        <v>19</v>
      </c>
      <c r="M231" s="1873">
        <v>20</v>
      </c>
      <c r="N231" s="1935">
        <v>0.44</v>
      </c>
      <c r="O231" s="1912">
        <v>0.92</v>
      </c>
      <c r="P231" s="1934"/>
      <c r="Q231" s="1902">
        <v>19</v>
      </c>
      <c r="R231" s="1873">
        <v>20</v>
      </c>
      <c r="S231" s="1935">
        <v>0.38</v>
      </c>
      <c r="T231" s="1912">
        <v>0.6</v>
      </c>
      <c r="U231" s="1934"/>
      <c r="V231" s="1902">
        <v>19</v>
      </c>
      <c r="W231" s="1873">
        <v>20</v>
      </c>
      <c r="X231" s="1935">
        <v>0.11</v>
      </c>
      <c r="Y231" s="1912">
        <v>0.19</v>
      </c>
      <c r="Z231" s="1934"/>
      <c r="AA231" s="1902">
        <v>19</v>
      </c>
      <c r="AB231" s="1873">
        <v>20</v>
      </c>
      <c r="AC231" s="1935">
        <v>0.53</v>
      </c>
      <c r="AD231" s="1912">
        <v>0.94</v>
      </c>
      <c r="AF231" s="1902">
        <v>19</v>
      </c>
      <c r="AG231" s="1873">
        <v>20</v>
      </c>
      <c r="AH231" s="1935">
        <v>0.37</v>
      </c>
      <c r="AI231" s="1912">
        <v>1.04</v>
      </c>
      <c r="AK231" s="1955">
        <f t="shared" si="29"/>
        <v>0.44</v>
      </c>
      <c r="AL231" s="2076">
        <f t="shared" si="30"/>
        <v>0.38</v>
      </c>
      <c r="AM231" s="1926">
        <f t="shared" si="28"/>
        <v>0.53</v>
      </c>
      <c r="AN231" s="1956">
        <f t="shared" si="31"/>
        <v>0.37</v>
      </c>
      <c r="AO231" s="1902">
        <v>19</v>
      </c>
      <c r="AP231" s="1873">
        <v>20</v>
      </c>
      <c r="AQ231" s="1979"/>
      <c r="AR231" s="1983"/>
    </row>
    <row r="232" spans="1:44">
      <c r="A232" s="1934"/>
      <c r="B232" s="1902">
        <v>20</v>
      </c>
      <c r="C232" s="1873">
        <v>21</v>
      </c>
      <c r="D232" s="1935">
        <v>0.62</v>
      </c>
      <c r="E232" s="1912">
        <v>1.05</v>
      </c>
      <c r="F232" s="1934"/>
      <c r="G232" s="1902">
        <v>20</v>
      </c>
      <c r="H232" s="1873">
        <v>21</v>
      </c>
      <c r="I232" s="1935">
        <v>0.2</v>
      </c>
      <c r="J232" s="1912">
        <v>0.45</v>
      </c>
      <c r="K232" s="1934"/>
      <c r="L232" s="1902">
        <v>20</v>
      </c>
      <c r="M232" s="1873">
        <v>21</v>
      </c>
      <c r="N232" s="1935">
        <v>0.3</v>
      </c>
      <c r="O232" s="1912">
        <v>0.64</v>
      </c>
      <c r="P232" s="1934"/>
      <c r="Q232" s="1902">
        <v>20</v>
      </c>
      <c r="R232" s="1873">
        <v>21</v>
      </c>
      <c r="S232" s="1935">
        <v>0.24</v>
      </c>
      <c r="T232" s="1912">
        <v>0.39</v>
      </c>
      <c r="U232" s="1934"/>
      <c r="V232" s="1902">
        <v>20</v>
      </c>
      <c r="W232" s="1873">
        <v>21</v>
      </c>
      <c r="X232" s="1935">
        <v>0.06</v>
      </c>
      <c r="Y232" s="1912">
        <v>0.11</v>
      </c>
      <c r="Z232" s="1934"/>
      <c r="AA232" s="1902">
        <v>20</v>
      </c>
      <c r="AB232" s="1873">
        <v>21</v>
      </c>
      <c r="AC232" s="1935">
        <v>0.45</v>
      </c>
      <c r="AD232" s="1912">
        <v>0.84</v>
      </c>
      <c r="AF232" s="1902">
        <v>20</v>
      </c>
      <c r="AG232" s="1873">
        <v>21</v>
      </c>
      <c r="AH232" s="1935">
        <v>0.38</v>
      </c>
      <c r="AI232" s="1912">
        <v>1.0900000000000001</v>
      </c>
      <c r="AK232" s="1955">
        <f t="shared" si="29"/>
        <v>0.3</v>
      </c>
      <c r="AL232" s="2076">
        <f t="shared" si="30"/>
        <v>0.24</v>
      </c>
      <c r="AM232" s="1926">
        <f t="shared" si="28"/>
        <v>0.45</v>
      </c>
      <c r="AN232" s="1956">
        <f t="shared" si="31"/>
        <v>0.38</v>
      </c>
      <c r="AO232" s="1902">
        <v>20</v>
      </c>
      <c r="AP232" s="1873">
        <v>21</v>
      </c>
      <c r="AQ232" s="1979"/>
      <c r="AR232" s="1983"/>
    </row>
    <row r="233" spans="1:44">
      <c r="A233" s="1934"/>
      <c r="B233" s="1902">
        <v>21</v>
      </c>
      <c r="C233" s="1873">
        <v>22</v>
      </c>
      <c r="D233" s="1935">
        <v>0.42</v>
      </c>
      <c r="E233" s="1912">
        <v>0.69</v>
      </c>
      <c r="F233" s="1934"/>
      <c r="G233" s="1902">
        <v>21</v>
      </c>
      <c r="H233" s="1873">
        <v>22</v>
      </c>
      <c r="I233" s="1935">
        <v>0.15</v>
      </c>
      <c r="J233" s="1912">
        <v>0.31</v>
      </c>
      <c r="K233" s="1934"/>
      <c r="L233" s="1902">
        <v>21</v>
      </c>
      <c r="M233" s="1873">
        <v>22</v>
      </c>
      <c r="N233" s="1935">
        <v>0.35</v>
      </c>
      <c r="O233" s="1912">
        <v>0.74</v>
      </c>
      <c r="P233" s="1934"/>
      <c r="Q233" s="1902">
        <v>21</v>
      </c>
      <c r="R233" s="1873">
        <v>22</v>
      </c>
      <c r="S233" s="1935">
        <v>0.13</v>
      </c>
      <c r="T233" s="1912">
        <v>0.21</v>
      </c>
      <c r="U233" s="1934"/>
      <c r="V233" s="1902">
        <v>21</v>
      </c>
      <c r="W233" s="1873">
        <v>22</v>
      </c>
      <c r="X233" s="1935">
        <v>0.11</v>
      </c>
      <c r="Y233" s="1912">
        <v>0.19</v>
      </c>
      <c r="Z233" s="1934"/>
      <c r="AA233" s="1902">
        <v>21</v>
      </c>
      <c r="AB233" s="1873">
        <v>22</v>
      </c>
      <c r="AC233" s="1935">
        <v>0.55000000000000004</v>
      </c>
      <c r="AD233" s="1912">
        <v>0.99</v>
      </c>
      <c r="AF233" s="1902">
        <v>21</v>
      </c>
      <c r="AG233" s="1873">
        <v>22</v>
      </c>
      <c r="AH233" s="1935">
        <v>0.35</v>
      </c>
      <c r="AI233" s="1912">
        <v>1.02</v>
      </c>
      <c r="AK233" s="1955">
        <f t="shared" si="29"/>
        <v>0.35</v>
      </c>
      <c r="AL233" s="2076">
        <f t="shared" si="30"/>
        <v>0.13</v>
      </c>
      <c r="AM233" s="1926">
        <f t="shared" si="28"/>
        <v>0.55000000000000004</v>
      </c>
      <c r="AN233" s="1956">
        <f t="shared" si="31"/>
        <v>0.35</v>
      </c>
      <c r="AO233" s="1902">
        <v>21</v>
      </c>
      <c r="AP233" s="1873">
        <v>22</v>
      </c>
      <c r="AQ233" s="1979"/>
      <c r="AR233" s="1983"/>
    </row>
    <row r="234" spans="1:44" ht="15" thickBot="1">
      <c r="A234" s="1934"/>
      <c r="B234" s="1902">
        <v>22</v>
      </c>
      <c r="C234" s="1873">
        <v>23</v>
      </c>
      <c r="D234" s="1935">
        <v>0.28000000000000003</v>
      </c>
      <c r="E234" s="1912">
        <v>0.46</v>
      </c>
      <c r="F234" s="1934"/>
      <c r="G234" s="1902">
        <v>22</v>
      </c>
      <c r="H234" s="1873">
        <v>23</v>
      </c>
      <c r="I234" s="1935">
        <v>0.21</v>
      </c>
      <c r="J234" s="1912">
        <v>0.42</v>
      </c>
      <c r="K234" s="1934"/>
      <c r="L234" s="1902">
        <v>22</v>
      </c>
      <c r="M234" s="1873">
        <v>23</v>
      </c>
      <c r="N234" s="1935">
        <v>0.18</v>
      </c>
      <c r="O234" s="1912">
        <v>0.37</v>
      </c>
      <c r="P234" s="1934"/>
      <c r="Q234" s="1902">
        <v>22</v>
      </c>
      <c r="R234" s="1873">
        <v>23</v>
      </c>
      <c r="S234" s="1935">
        <v>0.06</v>
      </c>
      <c r="T234" s="1912">
        <v>0.09</v>
      </c>
      <c r="U234" s="1934"/>
      <c r="V234" s="1902">
        <v>22</v>
      </c>
      <c r="W234" s="1873">
        <v>23</v>
      </c>
      <c r="X234" s="1935">
        <v>0.13</v>
      </c>
      <c r="Y234" s="1912">
        <v>0.22</v>
      </c>
      <c r="Z234" s="1934"/>
      <c r="AA234" s="1902">
        <v>22</v>
      </c>
      <c r="AB234" s="1873">
        <v>23</v>
      </c>
      <c r="AC234" s="1935">
        <v>0.45</v>
      </c>
      <c r="AD234" s="1912">
        <v>0.77</v>
      </c>
      <c r="AF234" s="1902">
        <v>22</v>
      </c>
      <c r="AG234" s="1873">
        <v>23</v>
      </c>
      <c r="AH234" s="1935">
        <v>0.27</v>
      </c>
      <c r="AI234" s="1912">
        <v>0.78</v>
      </c>
      <c r="AK234" s="1955">
        <f t="shared" si="29"/>
        <v>0.18</v>
      </c>
      <c r="AL234" s="2076">
        <f t="shared" si="30"/>
        <v>0.06</v>
      </c>
      <c r="AM234" s="1926">
        <f t="shared" si="28"/>
        <v>0.45</v>
      </c>
      <c r="AN234" s="1956">
        <f t="shared" si="31"/>
        <v>0.27</v>
      </c>
      <c r="AO234" s="1902">
        <v>22</v>
      </c>
      <c r="AP234" s="1873">
        <v>23</v>
      </c>
      <c r="AQ234" s="1979"/>
      <c r="AR234" s="1983"/>
    </row>
    <row r="235" spans="1:44" ht="15" thickBot="1">
      <c r="A235" s="1934"/>
      <c r="B235" s="1902">
        <v>23</v>
      </c>
      <c r="C235" s="1873">
        <v>24</v>
      </c>
      <c r="D235" s="1935">
        <v>0.25</v>
      </c>
      <c r="E235" s="1912">
        <v>0.4</v>
      </c>
      <c r="F235" s="1934"/>
      <c r="G235" s="1902">
        <v>23</v>
      </c>
      <c r="H235" s="1873">
        <v>24</v>
      </c>
      <c r="I235" s="1935">
        <v>0.1</v>
      </c>
      <c r="J235" s="1912">
        <v>0.19</v>
      </c>
      <c r="K235" s="1934"/>
      <c r="L235" s="1902">
        <v>23</v>
      </c>
      <c r="M235" s="1873">
        <v>24</v>
      </c>
      <c r="N235" s="1935">
        <v>0.08</v>
      </c>
      <c r="O235" s="1912">
        <v>0.36</v>
      </c>
      <c r="P235" s="1934"/>
      <c r="Q235" s="1902">
        <v>23</v>
      </c>
      <c r="R235" s="1873">
        <v>24</v>
      </c>
      <c r="S235" s="1935">
        <v>0.01</v>
      </c>
      <c r="T235" s="1912">
        <v>0.01</v>
      </c>
      <c r="U235" s="1934"/>
      <c r="V235" s="1902">
        <v>23</v>
      </c>
      <c r="W235" s="1873">
        <v>24</v>
      </c>
      <c r="X235" s="1935">
        <v>0.12</v>
      </c>
      <c r="Y235" s="1912">
        <v>0.19</v>
      </c>
      <c r="Z235" s="1934"/>
      <c r="AA235" s="1902">
        <v>23</v>
      </c>
      <c r="AB235" s="1873">
        <v>24</v>
      </c>
      <c r="AC235" s="1935">
        <v>0.3</v>
      </c>
      <c r="AD235" s="1912">
        <v>0.6</v>
      </c>
      <c r="AF235" s="1902">
        <v>23</v>
      </c>
      <c r="AG235" s="1873">
        <v>24</v>
      </c>
      <c r="AH235" s="1935">
        <v>0.13</v>
      </c>
      <c r="AI235" s="1912">
        <v>0.36</v>
      </c>
      <c r="AK235" s="1957">
        <f t="shared" si="29"/>
        <v>0.08</v>
      </c>
      <c r="AL235" s="2078">
        <f t="shared" si="30"/>
        <v>0.01</v>
      </c>
      <c r="AM235" s="1958">
        <f t="shared" si="28"/>
        <v>0.3</v>
      </c>
      <c r="AN235" s="1959">
        <f t="shared" si="31"/>
        <v>0.13</v>
      </c>
      <c r="AO235" s="1902">
        <v>23</v>
      </c>
      <c r="AP235" s="1873">
        <v>24</v>
      </c>
      <c r="AQ235" s="1922"/>
      <c r="AR235" s="1923"/>
    </row>
    <row r="236" spans="1:44">
      <c r="B236" s="2766">
        <v>44966</v>
      </c>
      <c r="C236" s="2766"/>
      <c r="D236" s="1922">
        <f>SUM(D237:D260)</f>
        <v>8.7300000000000022</v>
      </c>
      <c r="E236" s="1923">
        <f>SUM(E237:E260)</f>
        <v>15.929999999999998</v>
      </c>
      <c r="G236" s="2773">
        <v>44994</v>
      </c>
      <c r="H236" s="2773"/>
      <c r="I236" s="1922">
        <f>SUM(I237:I260)</f>
        <v>7.65</v>
      </c>
      <c r="J236" s="1923">
        <f>SUM(J237:J260)</f>
        <v>17.499999999999996</v>
      </c>
      <c r="L236" s="2773">
        <v>45025</v>
      </c>
      <c r="M236" s="2773"/>
      <c r="N236" s="1936">
        <f>SUM(N237:N260)</f>
        <v>8.36</v>
      </c>
      <c r="O236" s="1937">
        <f>SUM(O237:O260)</f>
        <v>14.610000000000001</v>
      </c>
      <c r="Q236" s="2766">
        <v>45055</v>
      </c>
      <c r="R236" s="2766"/>
      <c r="S236" s="1936">
        <f>SUM(S237:S260)</f>
        <v>1.5600000000000005</v>
      </c>
      <c r="T236" s="1937">
        <f>SUM(T237:T260)</f>
        <v>2.3200000000000003</v>
      </c>
      <c r="V236" s="2766">
        <v>45055</v>
      </c>
      <c r="W236" s="2766"/>
      <c r="X236" s="1936">
        <f>SUM(X237:X260)</f>
        <v>5.03</v>
      </c>
      <c r="Y236" s="1937">
        <f>SUM(Y237:Y260)</f>
        <v>7.910000000000001</v>
      </c>
      <c r="AA236" s="2766">
        <v>45086</v>
      </c>
      <c r="AB236" s="2766"/>
      <c r="AC236" s="1936">
        <f>SUM(AC237:AC260)</f>
        <v>12.450000000000001</v>
      </c>
      <c r="AD236" s="1937">
        <f>SUM(AD237:AD260)</f>
        <v>20.29</v>
      </c>
      <c r="AF236" s="2766">
        <v>45116</v>
      </c>
      <c r="AG236" s="2766"/>
      <c r="AH236" s="1936">
        <f>SUM(AH237:AH260)</f>
        <v>7.1300000000000017</v>
      </c>
      <c r="AI236" s="1937">
        <f>SUM(AI237:AI260)</f>
        <v>18.029999999999998</v>
      </c>
      <c r="AO236" s="1893"/>
      <c r="AP236" s="1872"/>
      <c r="AQ236" s="1926"/>
      <c r="AR236" s="1913"/>
    </row>
    <row r="237" spans="1:44">
      <c r="A237" s="1927"/>
      <c r="B237" s="1883">
        <v>0</v>
      </c>
      <c r="C237" s="1871">
        <v>1</v>
      </c>
      <c r="D237" s="1926">
        <v>0.23</v>
      </c>
      <c r="E237" s="1913">
        <v>0.37</v>
      </c>
      <c r="F237" s="1927"/>
      <c r="G237" s="1883">
        <v>0</v>
      </c>
      <c r="H237" s="1871">
        <v>1</v>
      </c>
      <c r="I237" s="1926">
        <v>0.14000000000000001</v>
      </c>
      <c r="J237" s="1913">
        <v>0.26</v>
      </c>
      <c r="K237" s="1927"/>
      <c r="L237" s="1883">
        <v>0</v>
      </c>
      <c r="M237" s="1871">
        <v>1</v>
      </c>
      <c r="N237" s="1926">
        <v>0.22</v>
      </c>
      <c r="O237" s="1913">
        <v>0.44</v>
      </c>
      <c r="P237" s="1927"/>
      <c r="Q237" s="1883">
        <v>0</v>
      </c>
      <c r="R237" s="1871">
        <v>1</v>
      </c>
      <c r="S237" s="1926">
        <v>0.04</v>
      </c>
      <c r="T237" s="1913">
        <v>0.06</v>
      </c>
      <c r="U237" s="1927"/>
      <c r="V237" s="1883">
        <v>0</v>
      </c>
      <c r="W237" s="1871">
        <v>1</v>
      </c>
      <c r="X237" s="1926">
        <v>7.0000000000000007E-2</v>
      </c>
      <c r="Y237" s="1913">
        <v>0.11</v>
      </c>
      <c r="Z237" s="1927"/>
      <c r="AA237" s="1883">
        <v>0</v>
      </c>
      <c r="AB237" s="1871">
        <v>1</v>
      </c>
      <c r="AC237" s="1926">
        <v>0.23</v>
      </c>
      <c r="AD237" s="1913">
        <v>0.39</v>
      </c>
      <c r="AF237" s="1883">
        <v>0</v>
      </c>
      <c r="AG237" s="1871">
        <v>1</v>
      </c>
      <c r="AH237" s="1926">
        <v>0.17</v>
      </c>
      <c r="AI237" s="1913">
        <v>0.46</v>
      </c>
      <c r="AK237" s="1952">
        <f>N237</f>
        <v>0.22</v>
      </c>
      <c r="AL237" s="1953">
        <f>X237</f>
        <v>7.0000000000000007E-2</v>
      </c>
      <c r="AM237" s="1953">
        <f t="shared" ref="AM237:AM260" si="32">AC237</f>
        <v>0.23</v>
      </c>
      <c r="AN237" s="1954">
        <f>AH237</f>
        <v>0.17</v>
      </c>
      <c r="AO237" s="1893">
        <v>13</v>
      </c>
      <c r="AP237" s="1872">
        <v>14</v>
      </c>
      <c r="AQ237" s="1926"/>
      <c r="AR237" s="1913"/>
    </row>
    <row r="238" spans="1:44">
      <c r="A238" s="1927"/>
      <c r="B238" s="1883">
        <v>1</v>
      </c>
      <c r="C238" s="1871">
        <v>2</v>
      </c>
      <c r="D238" s="1926">
        <v>0.22</v>
      </c>
      <c r="E238" s="1913">
        <v>0.34</v>
      </c>
      <c r="F238" s="1927"/>
      <c r="G238" s="1883">
        <v>1</v>
      </c>
      <c r="H238" s="1871">
        <v>2</v>
      </c>
      <c r="I238" s="1926">
        <v>0.14000000000000001</v>
      </c>
      <c r="J238" s="1913">
        <v>0.26</v>
      </c>
      <c r="K238" s="1927"/>
      <c r="L238" s="1883">
        <v>1</v>
      </c>
      <c r="M238" s="1871">
        <v>2</v>
      </c>
      <c r="N238" s="1926">
        <v>0.19</v>
      </c>
      <c r="O238" s="1913">
        <v>0.36</v>
      </c>
      <c r="P238" s="1927"/>
      <c r="Q238" s="1883">
        <v>1</v>
      </c>
      <c r="R238" s="1871">
        <v>2</v>
      </c>
      <c r="S238" s="1926">
        <v>0.06</v>
      </c>
      <c r="T238" s="1913">
        <v>0.09</v>
      </c>
      <c r="U238" s="1927"/>
      <c r="V238" s="1883">
        <v>1</v>
      </c>
      <c r="W238" s="1871">
        <v>2</v>
      </c>
      <c r="X238" s="1926">
        <v>0.08</v>
      </c>
      <c r="Y238" s="1913">
        <v>0.12</v>
      </c>
      <c r="Z238" s="1927"/>
      <c r="AA238" s="1883">
        <v>1</v>
      </c>
      <c r="AB238" s="1871">
        <v>2</v>
      </c>
      <c r="AC238" s="1926">
        <v>0.18</v>
      </c>
      <c r="AD238" s="1913">
        <v>0.3</v>
      </c>
      <c r="AF238" s="1883">
        <v>1</v>
      </c>
      <c r="AG238" s="1871">
        <v>2</v>
      </c>
      <c r="AH238" s="1926">
        <v>0.12</v>
      </c>
      <c r="AI238" s="1913">
        <v>0.31</v>
      </c>
      <c r="AK238" s="1955">
        <f t="shared" ref="AK238:AK260" si="33">N238</f>
        <v>0.19</v>
      </c>
      <c r="AL238" s="1926">
        <f t="shared" ref="AL238:AL260" si="34">X238</f>
        <v>0.08</v>
      </c>
      <c r="AM238" s="1926">
        <f t="shared" si="32"/>
        <v>0.18</v>
      </c>
      <c r="AN238" s="1956">
        <f t="shared" ref="AN238:AN260" si="35">AH238</f>
        <v>0.12</v>
      </c>
      <c r="AO238" s="1893">
        <v>14</v>
      </c>
      <c r="AP238" s="1872">
        <v>15</v>
      </c>
      <c r="AQ238" s="1928"/>
      <c r="AR238" s="1917"/>
    </row>
    <row r="239" spans="1:44">
      <c r="A239" s="1927"/>
      <c r="B239" s="1883">
        <v>2</v>
      </c>
      <c r="C239" s="1871">
        <v>3</v>
      </c>
      <c r="D239" s="1926">
        <v>0.19</v>
      </c>
      <c r="E239" s="1913">
        <v>0.28999999999999998</v>
      </c>
      <c r="F239" s="1927"/>
      <c r="G239" s="1883">
        <v>2</v>
      </c>
      <c r="H239" s="1871">
        <v>3</v>
      </c>
      <c r="I239" s="1926">
        <v>0.13</v>
      </c>
      <c r="J239" s="1913">
        <v>0.24</v>
      </c>
      <c r="K239" s="1927"/>
      <c r="L239" s="1883">
        <v>2</v>
      </c>
      <c r="M239" s="1871">
        <v>3</v>
      </c>
      <c r="N239" s="1926">
        <v>0.14000000000000001</v>
      </c>
      <c r="O239" s="1913">
        <v>0.27</v>
      </c>
      <c r="P239" s="1927"/>
      <c r="Q239" s="1883">
        <v>2</v>
      </c>
      <c r="R239" s="1871">
        <v>3</v>
      </c>
      <c r="S239" s="1926">
        <v>0.06</v>
      </c>
      <c r="T239" s="1913">
        <v>0.09</v>
      </c>
      <c r="U239" s="1927"/>
      <c r="V239" s="1883">
        <v>2</v>
      </c>
      <c r="W239" s="1871">
        <v>3</v>
      </c>
      <c r="X239" s="1926">
        <v>0.13</v>
      </c>
      <c r="Y239" s="1913">
        <v>0.2</v>
      </c>
      <c r="Z239" s="1927"/>
      <c r="AA239" s="1883">
        <v>2</v>
      </c>
      <c r="AB239" s="1871">
        <v>3</v>
      </c>
      <c r="AC239" s="1926">
        <v>0.22</v>
      </c>
      <c r="AD239" s="1913">
        <v>0.34</v>
      </c>
      <c r="AF239" s="1883">
        <v>2</v>
      </c>
      <c r="AG239" s="1871">
        <v>3</v>
      </c>
      <c r="AH239" s="1926">
        <v>0.19</v>
      </c>
      <c r="AI239" s="1913">
        <v>0.5</v>
      </c>
      <c r="AK239" s="1955">
        <f t="shared" si="33"/>
        <v>0.14000000000000001</v>
      </c>
      <c r="AL239" s="1926">
        <f t="shared" si="34"/>
        <v>0.13</v>
      </c>
      <c r="AM239" s="1926">
        <f t="shared" si="32"/>
        <v>0.22</v>
      </c>
      <c r="AN239" s="1956">
        <f t="shared" si="35"/>
        <v>0.19</v>
      </c>
      <c r="AO239" s="1893">
        <v>15</v>
      </c>
      <c r="AP239" s="1872">
        <v>16</v>
      </c>
      <c r="AQ239" s="1929"/>
      <c r="AR239" s="1914"/>
    </row>
    <row r="240" spans="1:44">
      <c r="A240" s="1927"/>
      <c r="B240" s="1883">
        <v>3</v>
      </c>
      <c r="C240" s="1871">
        <v>4</v>
      </c>
      <c r="D240" s="1926">
        <v>0.23</v>
      </c>
      <c r="E240" s="1913">
        <v>0.36</v>
      </c>
      <c r="F240" s="1927"/>
      <c r="G240" s="1883">
        <v>3</v>
      </c>
      <c r="H240" s="1871">
        <v>4</v>
      </c>
      <c r="I240" s="1926">
        <v>7.0000000000000007E-2</v>
      </c>
      <c r="J240" s="1913">
        <v>0.13</v>
      </c>
      <c r="K240" s="1927"/>
      <c r="L240" s="1883">
        <v>3</v>
      </c>
      <c r="M240" s="1871">
        <v>4</v>
      </c>
      <c r="N240" s="1926">
        <v>7.0000000000000007E-2</v>
      </c>
      <c r="O240" s="1913">
        <v>0.13</v>
      </c>
      <c r="P240" s="1927"/>
      <c r="Q240" s="1883">
        <v>3</v>
      </c>
      <c r="R240" s="1871">
        <v>4</v>
      </c>
      <c r="S240" s="1926">
        <v>0.05</v>
      </c>
      <c r="T240" s="1913">
        <v>7.0000000000000007E-2</v>
      </c>
      <c r="U240" s="1927"/>
      <c r="V240" s="1883">
        <v>3</v>
      </c>
      <c r="W240" s="1871">
        <v>4</v>
      </c>
      <c r="X240" s="1926">
        <v>0.12</v>
      </c>
      <c r="Y240" s="1913">
        <v>0.19</v>
      </c>
      <c r="Z240" s="1927"/>
      <c r="AA240" s="1883">
        <v>3</v>
      </c>
      <c r="AB240" s="1871">
        <v>4</v>
      </c>
      <c r="AC240" s="1926">
        <v>0.18</v>
      </c>
      <c r="AD240" s="1913">
        <v>0.27</v>
      </c>
      <c r="AF240" s="1883">
        <v>3</v>
      </c>
      <c r="AG240" s="1871">
        <v>4</v>
      </c>
      <c r="AH240" s="1926">
        <v>0.17</v>
      </c>
      <c r="AI240" s="1913">
        <v>0.44</v>
      </c>
      <c r="AK240" s="1955">
        <f t="shared" si="33"/>
        <v>7.0000000000000007E-2</v>
      </c>
      <c r="AL240" s="1926">
        <f t="shared" si="34"/>
        <v>0.12</v>
      </c>
      <c r="AM240" s="1926">
        <f t="shared" si="32"/>
        <v>0.18</v>
      </c>
      <c r="AN240" s="1956">
        <f t="shared" si="35"/>
        <v>0.17</v>
      </c>
      <c r="AO240" s="1893">
        <v>16</v>
      </c>
      <c r="AP240" s="1872">
        <v>17</v>
      </c>
      <c r="AQ240" s="1931"/>
      <c r="AR240" s="1915"/>
    </row>
    <row r="241" spans="1:44">
      <c r="A241" s="1927"/>
      <c r="B241" s="1883">
        <v>4</v>
      </c>
      <c r="C241" s="1871">
        <v>5</v>
      </c>
      <c r="D241" s="1926">
        <v>0.23</v>
      </c>
      <c r="E241" s="1913">
        <v>0.36</v>
      </c>
      <c r="F241" s="1927"/>
      <c r="G241" s="1883">
        <v>4</v>
      </c>
      <c r="H241" s="1871">
        <v>5</v>
      </c>
      <c r="I241" s="1926">
        <v>0.08</v>
      </c>
      <c r="J241" s="1913">
        <v>0.15</v>
      </c>
      <c r="K241" s="1927"/>
      <c r="L241" s="1883">
        <v>4</v>
      </c>
      <c r="M241" s="1871">
        <v>5</v>
      </c>
      <c r="N241" s="1926">
        <v>0.11</v>
      </c>
      <c r="O241" s="1913">
        <v>0.21</v>
      </c>
      <c r="P241" s="1927"/>
      <c r="Q241" s="1883">
        <v>4</v>
      </c>
      <c r="R241" s="1871">
        <v>5</v>
      </c>
      <c r="S241" s="1926">
        <v>0.02</v>
      </c>
      <c r="T241" s="1913">
        <v>0.03</v>
      </c>
      <c r="U241" s="1927"/>
      <c r="V241" s="1883">
        <v>4</v>
      </c>
      <c r="W241" s="1871">
        <v>5</v>
      </c>
      <c r="X241" s="1926">
        <v>0.09</v>
      </c>
      <c r="Y241" s="1913">
        <v>0.14000000000000001</v>
      </c>
      <c r="Z241" s="1927"/>
      <c r="AA241" s="1883">
        <v>4</v>
      </c>
      <c r="AB241" s="1871">
        <v>5</v>
      </c>
      <c r="AC241" s="1926">
        <v>0.22</v>
      </c>
      <c r="AD241" s="1913">
        <v>0.34</v>
      </c>
      <c r="AF241" s="1883">
        <v>4</v>
      </c>
      <c r="AG241" s="1871">
        <v>5</v>
      </c>
      <c r="AH241" s="1926">
        <v>0.17</v>
      </c>
      <c r="AI241" s="1913">
        <v>0.44</v>
      </c>
      <c r="AK241" s="1955">
        <f t="shared" si="33"/>
        <v>0.11</v>
      </c>
      <c r="AL241" s="1926">
        <f t="shared" si="34"/>
        <v>0.09</v>
      </c>
      <c r="AM241" s="1926">
        <f t="shared" si="32"/>
        <v>0.22</v>
      </c>
      <c r="AN241" s="1956">
        <f t="shared" si="35"/>
        <v>0.17</v>
      </c>
      <c r="AO241" s="1894">
        <v>17</v>
      </c>
      <c r="AP241" s="1895">
        <v>18</v>
      </c>
      <c r="AQ241" s="1931"/>
      <c r="AR241" s="1915"/>
    </row>
    <row r="242" spans="1:44">
      <c r="A242" s="1927"/>
      <c r="B242" s="1883">
        <v>5</v>
      </c>
      <c r="C242" s="1871">
        <v>6</v>
      </c>
      <c r="D242" s="1926">
        <v>0.23</v>
      </c>
      <c r="E242" s="1913">
        <v>0.37</v>
      </c>
      <c r="F242" s="1927"/>
      <c r="G242" s="1883">
        <v>5</v>
      </c>
      <c r="H242" s="1871">
        <v>6</v>
      </c>
      <c r="I242" s="1926">
        <v>0.11</v>
      </c>
      <c r="J242" s="1913">
        <v>0.21</v>
      </c>
      <c r="K242" s="1927"/>
      <c r="L242" s="1883">
        <v>5</v>
      </c>
      <c r="M242" s="1871">
        <v>6</v>
      </c>
      <c r="N242" s="1926">
        <v>0.2</v>
      </c>
      <c r="O242" s="1913">
        <v>0.38</v>
      </c>
      <c r="P242" s="1927"/>
      <c r="Q242" s="1883">
        <v>5</v>
      </c>
      <c r="R242" s="1871">
        <v>6</v>
      </c>
      <c r="S242" s="1926">
        <v>0.16</v>
      </c>
      <c r="T242" s="1913">
        <v>0.24</v>
      </c>
      <c r="U242" s="1927"/>
      <c r="V242" s="1883">
        <v>5</v>
      </c>
      <c r="W242" s="1871">
        <v>6</v>
      </c>
      <c r="X242" s="1926">
        <v>7.0000000000000007E-2</v>
      </c>
      <c r="Y242" s="1913">
        <v>0.11</v>
      </c>
      <c r="Z242" s="1927"/>
      <c r="AA242" s="1883">
        <v>5</v>
      </c>
      <c r="AB242" s="1871">
        <v>6</v>
      </c>
      <c r="AC242" s="1926">
        <v>0.21</v>
      </c>
      <c r="AD242" s="1913">
        <v>0.35</v>
      </c>
      <c r="AF242" s="1883">
        <v>5</v>
      </c>
      <c r="AG242" s="1871">
        <v>6</v>
      </c>
      <c r="AH242" s="1926">
        <v>0.13</v>
      </c>
      <c r="AI242" s="1913">
        <v>0.34</v>
      </c>
      <c r="AK242" s="1955">
        <f t="shared" si="33"/>
        <v>0.2</v>
      </c>
      <c r="AL242" s="1926">
        <f t="shared" si="34"/>
        <v>7.0000000000000007E-2</v>
      </c>
      <c r="AM242" s="1926">
        <f t="shared" si="32"/>
        <v>0.21</v>
      </c>
      <c r="AN242" s="1956">
        <f t="shared" si="35"/>
        <v>0.13</v>
      </c>
      <c r="AO242" s="1910">
        <v>18</v>
      </c>
      <c r="AP242" s="1889">
        <v>19</v>
      </c>
      <c r="AQ242" s="1931"/>
      <c r="AR242" s="1915"/>
    </row>
    <row r="243" spans="1:44">
      <c r="A243" s="1927"/>
      <c r="B243" s="1883">
        <v>6</v>
      </c>
      <c r="C243" s="1871">
        <v>7</v>
      </c>
      <c r="D243" s="1926">
        <v>0.22</v>
      </c>
      <c r="E243" s="1913">
        <v>0.35</v>
      </c>
      <c r="F243" s="1927"/>
      <c r="G243" s="1883">
        <v>6</v>
      </c>
      <c r="H243" s="1871">
        <v>7</v>
      </c>
      <c r="I243" s="1926">
        <v>0.19</v>
      </c>
      <c r="J243" s="1913">
        <v>0.4</v>
      </c>
      <c r="K243" s="1927"/>
      <c r="L243" s="1883">
        <v>6</v>
      </c>
      <c r="M243" s="1871">
        <v>7</v>
      </c>
      <c r="N243" s="1926">
        <v>0.27</v>
      </c>
      <c r="O243" s="1913">
        <v>0.52</v>
      </c>
      <c r="P243" s="1927"/>
      <c r="Q243" s="1883">
        <v>6</v>
      </c>
      <c r="R243" s="1871">
        <v>7</v>
      </c>
      <c r="S243" s="1926">
        <v>0.17</v>
      </c>
      <c r="T243" s="1913">
        <v>0.27</v>
      </c>
      <c r="U243" s="1927"/>
      <c r="V243" s="1883">
        <v>6</v>
      </c>
      <c r="W243" s="1871">
        <v>7</v>
      </c>
      <c r="X243" s="1926">
        <v>0.12</v>
      </c>
      <c r="Y243" s="1913">
        <v>0.2</v>
      </c>
      <c r="Z243" s="1927"/>
      <c r="AA243" s="1883">
        <v>6</v>
      </c>
      <c r="AB243" s="1871">
        <v>7</v>
      </c>
      <c r="AC243" s="1926">
        <v>0.17</v>
      </c>
      <c r="AD243" s="1913">
        <v>0.3</v>
      </c>
      <c r="AF243" s="1883">
        <v>6</v>
      </c>
      <c r="AG243" s="1871">
        <v>7</v>
      </c>
      <c r="AH243" s="1926">
        <v>0.24</v>
      </c>
      <c r="AI243" s="1913">
        <v>0.61</v>
      </c>
      <c r="AK243" s="1955">
        <f t="shared" si="33"/>
        <v>0.27</v>
      </c>
      <c r="AL243" s="1926">
        <f t="shared" si="34"/>
        <v>0.12</v>
      </c>
      <c r="AM243" s="1926">
        <f t="shared" si="32"/>
        <v>0.17</v>
      </c>
      <c r="AN243" s="1956">
        <f t="shared" si="35"/>
        <v>0.24</v>
      </c>
      <c r="AO243" s="1902">
        <v>19</v>
      </c>
      <c r="AP243" s="1873">
        <v>20</v>
      </c>
      <c r="AQ243" s="1931"/>
      <c r="AR243" s="1915"/>
    </row>
    <row r="244" spans="1:44">
      <c r="A244" s="1927"/>
      <c r="B244" s="1908">
        <v>7</v>
      </c>
      <c r="C244" s="1909">
        <v>8</v>
      </c>
      <c r="D244" s="1928">
        <v>0.53</v>
      </c>
      <c r="E244" s="1917">
        <v>0.89</v>
      </c>
      <c r="F244" s="1927"/>
      <c r="G244" s="1908">
        <v>7</v>
      </c>
      <c r="H244" s="1909">
        <v>8</v>
      </c>
      <c r="I244" s="1928">
        <v>0.27</v>
      </c>
      <c r="J244" s="1917">
        <v>0.6</v>
      </c>
      <c r="K244" s="1927"/>
      <c r="L244" s="1908">
        <v>7</v>
      </c>
      <c r="M244" s="1909">
        <v>8</v>
      </c>
      <c r="N244" s="1928">
        <v>0.25</v>
      </c>
      <c r="O244" s="1917">
        <v>0.45</v>
      </c>
      <c r="P244" s="1927"/>
      <c r="Q244" s="1908">
        <v>7</v>
      </c>
      <c r="R244" s="1909">
        <v>8</v>
      </c>
      <c r="S244" s="1928">
        <v>0.16</v>
      </c>
      <c r="T244" s="1917">
        <v>0.25</v>
      </c>
      <c r="U244" s="1927"/>
      <c r="V244" s="1908">
        <v>7</v>
      </c>
      <c r="W244" s="1909">
        <v>8</v>
      </c>
      <c r="X244" s="1928">
        <v>0.12</v>
      </c>
      <c r="Y244" s="1917">
        <v>0.2</v>
      </c>
      <c r="Z244" s="1927"/>
      <c r="AA244" s="1908">
        <v>7</v>
      </c>
      <c r="AB244" s="1909">
        <v>8</v>
      </c>
      <c r="AC244" s="1928">
        <v>0.4</v>
      </c>
      <c r="AD244" s="1917">
        <v>0.71</v>
      </c>
      <c r="AF244" s="1908">
        <v>7</v>
      </c>
      <c r="AG244" s="1909">
        <v>8</v>
      </c>
      <c r="AH244" s="1928">
        <v>0.5</v>
      </c>
      <c r="AI244" s="1917">
        <v>1.26</v>
      </c>
      <c r="AK244" s="1957">
        <f t="shared" si="33"/>
        <v>0.25</v>
      </c>
      <c r="AL244" s="1958">
        <f t="shared" si="34"/>
        <v>0.12</v>
      </c>
      <c r="AM244" s="1958">
        <f t="shared" si="32"/>
        <v>0.4</v>
      </c>
      <c r="AN244" s="1959">
        <f t="shared" si="35"/>
        <v>0.5</v>
      </c>
      <c r="AO244" s="1902">
        <v>20</v>
      </c>
      <c r="AP244" s="1873">
        <v>21</v>
      </c>
      <c r="AQ244" s="1931"/>
      <c r="AR244" s="1915"/>
    </row>
    <row r="245" spans="1:44">
      <c r="A245" s="1930"/>
      <c r="B245" s="1890">
        <v>8</v>
      </c>
      <c r="C245" s="1891">
        <v>9</v>
      </c>
      <c r="D245" s="1929">
        <v>0.38</v>
      </c>
      <c r="E245" s="1914">
        <v>0.68</v>
      </c>
      <c r="F245" s="1930"/>
      <c r="G245" s="1890">
        <v>8</v>
      </c>
      <c r="H245" s="1891">
        <v>9</v>
      </c>
      <c r="I245" s="1929">
        <v>0.43</v>
      </c>
      <c r="J245" s="1914">
        <v>0.99</v>
      </c>
      <c r="K245" s="1930"/>
      <c r="L245" s="1890">
        <v>8</v>
      </c>
      <c r="M245" s="1891">
        <v>9</v>
      </c>
      <c r="N245" s="1929">
        <v>0.22</v>
      </c>
      <c r="O245" s="1914">
        <v>0.43</v>
      </c>
      <c r="P245" s="1930"/>
      <c r="Q245" s="1890">
        <v>8</v>
      </c>
      <c r="R245" s="1891">
        <v>9</v>
      </c>
      <c r="S245" s="1929">
        <v>0.12</v>
      </c>
      <c r="T245" s="1914">
        <v>0.19</v>
      </c>
      <c r="U245" s="1930"/>
      <c r="V245" s="1890">
        <v>8</v>
      </c>
      <c r="W245" s="1891">
        <v>9</v>
      </c>
      <c r="X245" s="1929">
        <v>0.11</v>
      </c>
      <c r="Y245" s="1914">
        <v>0.19</v>
      </c>
      <c r="Z245" s="1930"/>
      <c r="AA245" s="1890">
        <v>8</v>
      </c>
      <c r="AB245" s="1891">
        <v>9</v>
      </c>
      <c r="AC245" s="1929">
        <v>0.68</v>
      </c>
      <c r="AD245" s="1914">
        <v>1.21</v>
      </c>
      <c r="AF245" s="1890">
        <v>8</v>
      </c>
      <c r="AG245" s="1891">
        <v>9</v>
      </c>
      <c r="AH245" s="1929">
        <v>0.46</v>
      </c>
      <c r="AI245" s="1914">
        <v>1.1399999999999999</v>
      </c>
      <c r="AK245" s="1952">
        <f t="shared" si="33"/>
        <v>0.22</v>
      </c>
      <c r="AL245" s="1953">
        <f t="shared" si="34"/>
        <v>0.11</v>
      </c>
      <c r="AM245" s="1953">
        <f t="shared" si="32"/>
        <v>0.68</v>
      </c>
      <c r="AN245" s="1954">
        <f t="shared" si="35"/>
        <v>0.46</v>
      </c>
      <c r="AO245" s="1902">
        <v>21</v>
      </c>
      <c r="AP245" s="1873">
        <v>22</v>
      </c>
      <c r="AQ245" s="1931"/>
      <c r="AR245" s="1915"/>
    </row>
    <row r="246" spans="1:44">
      <c r="A246" s="1930"/>
      <c r="B246" s="1893">
        <v>9</v>
      </c>
      <c r="C246" s="1872">
        <v>11</v>
      </c>
      <c r="D246" s="1931">
        <v>0.67</v>
      </c>
      <c r="E246" s="1915">
        <v>1.22</v>
      </c>
      <c r="F246" s="1930"/>
      <c r="G246" s="1893">
        <v>9</v>
      </c>
      <c r="H246" s="1872">
        <v>11</v>
      </c>
      <c r="I246" s="1931">
        <v>0.16</v>
      </c>
      <c r="J246" s="1915">
        <v>0.36</v>
      </c>
      <c r="K246" s="1930"/>
      <c r="L246" s="1893">
        <v>9</v>
      </c>
      <c r="M246" s="1872">
        <v>11</v>
      </c>
      <c r="N246" s="1931">
        <v>0.98</v>
      </c>
      <c r="O246" s="1915">
        <v>1.83</v>
      </c>
      <c r="P246" s="1930"/>
      <c r="Q246" s="1893">
        <v>9</v>
      </c>
      <c r="R246" s="1872">
        <v>10</v>
      </c>
      <c r="S246" s="1931">
        <v>0.01</v>
      </c>
      <c r="T246" s="1915">
        <v>0.02</v>
      </c>
      <c r="U246" s="1930"/>
      <c r="V246" s="1893">
        <v>9</v>
      </c>
      <c r="W246" s="1872">
        <v>10</v>
      </c>
      <c r="X246" s="1931">
        <v>0.06</v>
      </c>
      <c r="Y246" s="1915">
        <v>0.1</v>
      </c>
      <c r="Z246" s="1930"/>
      <c r="AA246" s="1893">
        <v>9</v>
      </c>
      <c r="AB246" s="1872">
        <v>11</v>
      </c>
      <c r="AC246" s="1931">
        <v>1.72</v>
      </c>
      <c r="AD246" s="1915">
        <v>2.87</v>
      </c>
      <c r="AF246" s="1893">
        <v>9</v>
      </c>
      <c r="AG246" s="1872">
        <v>11</v>
      </c>
      <c r="AH246" s="1931">
        <v>0.35</v>
      </c>
      <c r="AI246" s="1915">
        <v>0.84</v>
      </c>
      <c r="AK246" s="1955">
        <f t="shared" si="33"/>
        <v>0.98</v>
      </c>
      <c r="AL246" s="1926">
        <f t="shared" si="34"/>
        <v>0.06</v>
      </c>
      <c r="AM246" s="1926">
        <f t="shared" si="32"/>
        <v>1.72</v>
      </c>
      <c r="AN246" s="1956">
        <f t="shared" si="35"/>
        <v>0.35</v>
      </c>
      <c r="AO246" s="1902">
        <v>22</v>
      </c>
      <c r="AP246" s="1873">
        <v>23</v>
      </c>
      <c r="AQ246" s="1931"/>
      <c r="AR246" s="1915"/>
    </row>
    <row r="247" spans="1:44">
      <c r="A247" s="1930"/>
      <c r="B247" s="1893">
        <v>10</v>
      </c>
      <c r="C247" s="1872">
        <v>12</v>
      </c>
      <c r="D247" s="1931">
        <v>0.56000000000000005</v>
      </c>
      <c r="E247" s="1915">
        <v>1.01</v>
      </c>
      <c r="F247" s="1930"/>
      <c r="G247" s="1893">
        <v>10</v>
      </c>
      <c r="H247" s="1872">
        <v>12</v>
      </c>
      <c r="I247" s="1931">
        <v>0.4</v>
      </c>
      <c r="J247" s="1915">
        <v>0.86</v>
      </c>
      <c r="K247" s="1930"/>
      <c r="L247" s="1893">
        <v>10</v>
      </c>
      <c r="M247" s="1872">
        <v>12</v>
      </c>
      <c r="N247" s="1931">
        <v>0.34</v>
      </c>
      <c r="O247" s="1915">
        <v>0.6</v>
      </c>
      <c r="P247" s="1930"/>
      <c r="Q247" s="1893">
        <v>10</v>
      </c>
      <c r="R247" s="1872">
        <v>11</v>
      </c>
      <c r="S247" s="1931">
        <v>0.02</v>
      </c>
      <c r="T247" s="1915">
        <v>0.03</v>
      </c>
      <c r="U247" s="1930"/>
      <c r="V247" s="1893">
        <v>10</v>
      </c>
      <c r="W247" s="1872">
        <v>11</v>
      </c>
      <c r="X247" s="1931">
        <v>0.16</v>
      </c>
      <c r="Y247" s="1915">
        <v>0.26</v>
      </c>
      <c r="Z247" s="1930"/>
      <c r="AA247" s="1893">
        <v>10</v>
      </c>
      <c r="AB247" s="1872">
        <v>12</v>
      </c>
      <c r="AC247" s="1931">
        <v>0.49</v>
      </c>
      <c r="AD247" s="1915">
        <v>0.78</v>
      </c>
      <c r="AF247" s="1893">
        <v>10</v>
      </c>
      <c r="AG247" s="1872">
        <v>12</v>
      </c>
      <c r="AH247" s="1931">
        <v>0.24</v>
      </c>
      <c r="AI247" s="1915">
        <v>0.54</v>
      </c>
      <c r="AK247" s="1955">
        <f t="shared" si="33"/>
        <v>0.34</v>
      </c>
      <c r="AL247" s="1926">
        <f t="shared" si="34"/>
        <v>0.16</v>
      </c>
      <c r="AM247" s="1926">
        <f t="shared" si="32"/>
        <v>0.49</v>
      </c>
      <c r="AN247" s="1956">
        <f t="shared" si="35"/>
        <v>0.24</v>
      </c>
      <c r="AO247" s="1902">
        <v>23</v>
      </c>
      <c r="AP247" s="1873">
        <v>24</v>
      </c>
      <c r="AQ247" s="1931"/>
      <c r="AR247" s="1915"/>
    </row>
    <row r="248" spans="1:44">
      <c r="A248" s="1930"/>
      <c r="B248" s="1893">
        <v>11</v>
      </c>
      <c r="C248" s="1872">
        <v>12</v>
      </c>
      <c r="D248" s="1931">
        <v>0.25</v>
      </c>
      <c r="E248" s="1915">
        <v>0.43</v>
      </c>
      <c r="F248" s="1930"/>
      <c r="G248" s="1893">
        <v>11</v>
      </c>
      <c r="H248" s="1872">
        <v>12</v>
      </c>
      <c r="I248" s="1931">
        <v>0.36</v>
      </c>
      <c r="J248" s="1915">
        <v>0.74</v>
      </c>
      <c r="K248" s="1930"/>
      <c r="L248" s="1893">
        <v>11</v>
      </c>
      <c r="M248" s="1872">
        <v>12</v>
      </c>
      <c r="N248" s="1931">
        <v>0.97</v>
      </c>
      <c r="O248" s="1915">
        <v>1.58</v>
      </c>
      <c r="P248" s="1930"/>
      <c r="Q248" s="1893">
        <v>11</v>
      </c>
      <c r="R248" s="1872">
        <v>12</v>
      </c>
      <c r="S248" s="1931">
        <v>0.05</v>
      </c>
      <c r="T248" s="1915">
        <v>7.0000000000000007E-2</v>
      </c>
      <c r="U248" s="1930"/>
      <c r="V248" s="1893">
        <v>11</v>
      </c>
      <c r="W248" s="1872">
        <v>12</v>
      </c>
      <c r="X248" s="1931">
        <v>0.23</v>
      </c>
      <c r="Y248" s="1915">
        <v>0.34</v>
      </c>
      <c r="Z248" s="1930"/>
      <c r="AA248" s="1893">
        <v>11</v>
      </c>
      <c r="AB248" s="1872">
        <v>12</v>
      </c>
      <c r="AC248" s="1931">
        <v>0.38</v>
      </c>
      <c r="AD248" s="1915">
        <v>0.57999999999999996</v>
      </c>
      <c r="AF248" s="1893">
        <v>11</v>
      </c>
      <c r="AG248" s="1872">
        <v>12</v>
      </c>
      <c r="AH248" s="1931">
        <v>0.34</v>
      </c>
      <c r="AI248" s="1915">
        <v>0.73</v>
      </c>
      <c r="AK248" s="1955">
        <f t="shared" si="33"/>
        <v>0.97</v>
      </c>
      <c r="AL248" s="1926">
        <f t="shared" si="34"/>
        <v>0.23</v>
      </c>
      <c r="AM248" s="1926">
        <f t="shared" si="32"/>
        <v>0.38</v>
      </c>
      <c r="AN248" s="1956">
        <f t="shared" si="35"/>
        <v>0.34</v>
      </c>
      <c r="AO248" s="1883">
        <v>0</v>
      </c>
      <c r="AP248" s="1871">
        <v>1</v>
      </c>
      <c r="AQ248" s="1933"/>
      <c r="AR248" s="1911"/>
    </row>
    <row r="249" spans="1:44">
      <c r="A249" s="1930"/>
      <c r="B249" s="1893">
        <v>12</v>
      </c>
      <c r="C249" s="1872">
        <v>13</v>
      </c>
      <c r="D249" s="1931">
        <v>0.23</v>
      </c>
      <c r="E249" s="1915">
        <v>0.39</v>
      </c>
      <c r="F249" s="1930"/>
      <c r="G249" s="1893">
        <v>12</v>
      </c>
      <c r="H249" s="1872">
        <v>13</v>
      </c>
      <c r="I249" s="1931">
        <v>0.37</v>
      </c>
      <c r="J249" s="1915">
        <v>0.72</v>
      </c>
      <c r="K249" s="1930"/>
      <c r="L249" s="1893">
        <v>12</v>
      </c>
      <c r="M249" s="1872">
        <v>13</v>
      </c>
      <c r="N249" s="1931">
        <v>0.43</v>
      </c>
      <c r="O249" s="1915">
        <v>0.68</v>
      </c>
      <c r="P249" s="1930"/>
      <c r="Q249" s="1893">
        <v>12</v>
      </c>
      <c r="R249" s="1872">
        <v>13</v>
      </c>
      <c r="S249" s="1931">
        <v>0.16</v>
      </c>
      <c r="T249" s="1915">
        <v>0.21</v>
      </c>
      <c r="U249" s="1930"/>
      <c r="V249" s="1893">
        <v>12</v>
      </c>
      <c r="W249" s="1872">
        <v>13</v>
      </c>
      <c r="X249" s="1931">
        <v>0.2</v>
      </c>
      <c r="Y249" s="1915">
        <v>0.28999999999999998</v>
      </c>
      <c r="Z249" s="1930"/>
      <c r="AA249" s="1893">
        <v>12</v>
      </c>
      <c r="AB249" s="1872">
        <v>13</v>
      </c>
      <c r="AC249" s="1931">
        <v>0.68</v>
      </c>
      <c r="AD249" s="1915">
        <v>1</v>
      </c>
      <c r="AF249" s="1893">
        <v>12</v>
      </c>
      <c r="AG249" s="1872">
        <v>13</v>
      </c>
      <c r="AH249" s="1931">
        <v>0.56999999999999995</v>
      </c>
      <c r="AI249" s="1915">
        <v>1.2</v>
      </c>
      <c r="AK249" s="1955">
        <f t="shared" si="33"/>
        <v>0.43</v>
      </c>
      <c r="AL249" s="1926">
        <f t="shared" si="34"/>
        <v>0.2</v>
      </c>
      <c r="AM249" s="1926">
        <f t="shared" si="32"/>
        <v>0.68</v>
      </c>
      <c r="AN249" s="1956">
        <f t="shared" si="35"/>
        <v>0.56999999999999995</v>
      </c>
      <c r="AO249" s="1883">
        <v>1</v>
      </c>
      <c r="AP249" s="1871">
        <v>2</v>
      </c>
      <c r="AQ249" s="1935"/>
      <c r="AR249" s="1912"/>
    </row>
    <row r="250" spans="1:44">
      <c r="A250" s="1930"/>
      <c r="B250" s="1893">
        <v>13</v>
      </c>
      <c r="C250" s="1872">
        <v>14</v>
      </c>
      <c r="D250" s="1931">
        <v>0.65</v>
      </c>
      <c r="E250" s="1915">
        <v>1.0900000000000001</v>
      </c>
      <c r="F250" s="1930"/>
      <c r="G250" s="1893">
        <v>13</v>
      </c>
      <c r="H250" s="1872">
        <v>14</v>
      </c>
      <c r="I250" s="1931">
        <v>0.43</v>
      </c>
      <c r="J250" s="1915">
        <v>0.82</v>
      </c>
      <c r="K250" s="1930"/>
      <c r="L250" s="1893">
        <v>13</v>
      </c>
      <c r="M250" s="1872">
        <v>14</v>
      </c>
      <c r="N250" s="1931">
        <v>0.32</v>
      </c>
      <c r="O250" s="1915">
        <v>0.44</v>
      </c>
      <c r="P250" s="1930"/>
      <c r="Q250" s="1893">
        <v>13</v>
      </c>
      <c r="R250" s="1872">
        <v>14</v>
      </c>
      <c r="S250" s="1931">
        <v>0.05</v>
      </c>
      <c r="T250" s="1915">
        <v>0.06</v>
      </c>
      <c r="U250" s="1930"/>
      <c r="V250" s="1893">
        <v>13</v>
      </c>
      <c r="W250" s="1872">
        <v>14</v>
      </c>
      <c r="X250" s="1931">
        <v>0.19</v>
      </c>
      <c r="Y250" s="1915">
        <v>0.26</v>
      </c>
      <c r="Z250" s="1930"/>
      <c r="AA250" s="1893">
        <v>13</v>
      </c>
      <c r="AB250" s="1872">
        <v>14</v>
      </c>
      <c r="AC250" s="1931">
        <v>0.44</v>
      </c>
      <c r="AD250" s="1915">
        <v>0.61</v>
      </c>
      <c r="AF250" s="1893">
        <v>13</v>
      </c>
      <c r="AG250" s="1872">
        <v>14</v>
      </c>
      <c r="AH250" s="1931">
        <v>0.34</v>
      </c>
      <c r="AI250" s="1915">
        <v>0.69</v>
      </c>
      <c r="AK250" s="1955">
        <f t="shared" si="33"/>
        <v>0.32</v>
      </c>
      <c r="AL250" s="1926">
        <f t="shared" si="34"/>
        <v>0.19</v>
      </c>
      <c r="AM250" s="1926">
        <f t="shared" si="32"/>
        <v>0.44</v>
      </c>
      <c r="AN250" s="1956">
        <f t="shared" si="35"/>
        <v>0.34</v>
      </c>
      <c r="AO250" s="1883">
        <v>2</v>
      </c>
      <c r="AP250" s="1871">
        <v>3</v>
      </c>
      <c r="AQ250" s="1935"/>
      <c r="AR250" s="1912"/>
    </row>
    <row r="251" spans="1:44">
      <c r="A251" s="1930"/>
      <c r="B251" s="1893">
        <v>14</v>
      </c>
      <c r="C251" s="1872">
        <v>15</v>
      </c>
      <c r="D251" s="1931">
        <v>0.27</v>
      </c>
      <c r="E251" s="1915">
        <v>0.44</v>
      </c>
      <c r="F251" s="1930"/>
      <c r="G251" s="1893">
        <v>14</v>
      </c>
      <c r="H251" s="1872">
        <v>15</v>
      </c>
      <c r="I251" s="1931">
        <v>0.37</v>
      </c>
      <c r="J251" s="1915">
        <v>0.7</v>
      </c>
      <c r="K251" s="1930"/>
      <c r="L251" s="1893">
        <v>14</v>
      </c>
      <c r="M251" s="1872">
        <v>15</v>
      </c>
      <c r="N251" s="1931">
        <v>0.72</v>
      </c>
      <c r="O251" s="1915">
        <v>0.96</v>
      </c>
      <c r="P251" s="1930"/>
      <c r="Q251" s="1893">
        <v>14</v>
      </c>
      <c r="R251" s="1872">
        <v>15</v>
      </c>
      <c r="S251" s="1931">
        <v>0.01</v>
      </c>
      <c r="T251" s="1915">
        <v>0.01</v>
      </c>
      <c r="U251" s="1930"/>
      <c r="V251" s="1893">
        <v>14</v>
      </c>
      <c r="W251" s="1872">
        <v>15</v>
      </c>
      <c r="X251" s="1931">
        <v>0.65</v>
      </c>
      <c r="Y251" s="1915">
        <v>0.94</v>
      </c>
      <c r="Z251" s="1930"/>
      <c r="AA251" s="1893">
        <v>14</v>
      </c>
      <c r="AB251" s="1872">
        <v>15</v>
      </c>
      <c r="AC251" s="1931">
        <v>0.31</v>
      </c>
      <c r="AD251" s="1915">
        <v>0.44</v>
      </c>
      <c r="AF251" s="1893">
        <v>14</v>
      </c>
      <c r="AG251" s="1872">
        <v>15</v>
      </c>
      <c r="AH251" s="1931">
        <v>0.22</v>
      </c>
      <c r="AI251" s="1915">
        <v>0.46</v>
      </c>
      <c r="AK251" s="1955">
        <f t="shared" si="33"/>
        <v>0.72</v>
      </c>
      <c r="AL251" s="1926">
        <f t="shared" si="34"/>
        <v>0.65</v>
      </c>
      <c r="AM251" s="1926">
        <f t="shared" si="32"/>
        <v>0.31</v>
      </c>
      <c r="AN251" s="1956">
        <f t="shared" si="35"/>
        <v>0.22</v>
      </c>
      <c r="AO251" s="1883">
        <v>3</v>
      </c>
      <c r="AP251" s="1871">
        <v>4</v>
      </c>
      <c r="AQ251" s="1935"/>
      <c r="AR251" s="1912"/>
    </row>
    <row r="252" spans="1:44">
      <c r="A252" s="1930"/>
      <c r="B252" s="1893">
        <v>15</v>
      </c>
      <c r="C252" s="1872">
        <v>16</v>
      </c>
      <c r="D252" s="1931">
        <v>0.2</v>
      </c>
      <c r="E252" s="1915">
        <v>0.33</v>
      </c>
      <c r="F252" s="1930"/>
      <c r="G252" s="1893">
        <v>15</v>
      </c>
      <c r="H252" s="1872">
        <v>16</v>
      </c>
      <c r="I252" s="1931">
        <v>0.43</v>
      </c>
      <c r="J252" s="1915">
        <v>0.82</v>
      </c>
      <c r="K252" s="1930"/>
      <c r="L252" s="1893">
        <v>15</v>
      </c>
      <c r="M252" s="1872">
        <v>16</v>
      </c>
      <c r="N252" s="1931">
        <v>0.36</v>
      </c>
      <c r="O252" s="1915">
        <v>0.48</v>
      </c>
      <c r="P252" s="1930"/>
      <c r="Q252" s="1893">
        <v>15</v>
      </c>
      <c r="R252" s="1872">
        <v>16</v>
      </c>
      <c r="S252" s="1931">
        <v>0.03</v>
      </c>
      <c r="T252" s="1915">
        <v>0.04</v>
      </c>
      <c r="U252" s="1930"/>
      <c r="V252" s="1893">
        <v>15</v>
      </c>
      <c r="W252" s="1872">
        <v>16</v>
      </c>
      <c r="X252" s="1931">
        <v>0.57999999999999996</v>
      </c>
      <c r="Y252" s="1915">
        <v>0.88</v>
      </c>
      <c r="Z252" s="1930"/>
      <c r="AA252" s="1893">
        <v>15</v>
      </c>
      <c r="AB252" s="1872">
        <v>16</v>
      </c>
      <c r="AC252" s="1931">
        <v>0.55000000000000004</v>
      </c>
      <c r="AD252" s="1915">
        <v>0.8</v>
      </c>
      <c r="AF252" s="1893">
        <v>15</v>
      </c>
      <c r="AG252" s="1872">
        <v>16</v>
      </c>
      <c r="AH252" s="1931">
        <v>0.23</v>
      </c>
      <c r="AI252" s="1915">
        <v>0.5</v>
      </c>
      <c r="AK252" s="1955">
        <f t="shared" si="33"/>
        <v>0.36</v>
      </c>
      <c r="AL252" s="1926">
        <f t="shared" si="34"/>
        <v>0.57999999999999996</v>
      </c>
      <c r="AM252" s="1926">
        <f t="shared" si="32"/>
        <v>0.55000000000000004</v>
      </c>
      <c r="AN252" s="1956">
        <f t="shared" si="35"/>
        <v>0.23</v>
      </c>
      <c r="AO252" s="1883">
        <v>4</v>
      </c>
      <c r="AP252" s="1871">
        <v>5</v>
      </c>
      <c r="AQ252" s="1935"/>
      <c r="AR252" s="1912"/>
    </row>
    <row r="253" spans="1:44">
      <c r="A253" s="1930"/>
      <c r="B253" s="1893">
        <v>16</v>
      </c>
      <c r="C253" s="1872">
        <v>17</v>
      </c>
      <c r="D253" s="1931">
        <v>0.19</v>
      </c>
      <c r="E253" s="1915">
        <v>0.31</v>
      </c>
      <c r="F253" s="1930"/>
      <c r="G253" s="1893">
        <v>16</v>
      </c>
      <c r="H253" s="1872">
        <v>17</v>
      </c>
      <c r="I253" s="1931">
        <v>0.37</v>
      </c>
      <c r="J253" s="1915">
        <v>0.71</v>
      </c>
      <c r="K253" s="1930"/>
      <c r="L253" s="1893">
        <v>16</v>
      </c>
      <c r="M253" s="1872">
        <v>17</v>
      </c>
      <c r="N253" s="1931">
        <v>0.2</v>
      </c>
      <c r="O253" s="1915">
        <v>0.3</v>
      </c>
      <c r="P253" s="1930"/>
      <c r="Q253" s="1893">
        <v>16</v>
      </c>
      <c r="R253" s="1872">
        <v>17</v>
      </c>
      <c r="S253" s="1931">
        <v>0.06</v>
      </c>
      <c r="T253" s="1915">
        <v>0.08</v>
      </c>
      <c r="U253" s="1930"/>
      <c r="V253" s="1893">
        <v>16</v>
      </c>
      <c r="W253" s="1872">
        <v>17</v>
      </c>
      <c r="X253" s="1931">
        <v>0.26</v>
      </c>
      <c r="Y253" s="1915">
        <v>0.4</v>
      </c>
      <c r="Z253" s="1930"/>
      <c r="AA253" s="1893">
        <v>16</v>
      </c>
      <c r="AB253" s="1872">
        <v>17</v>
      </c>
      <c r="AC253" s="1931">
        <v>0.4</v>
      </c>
      <c r="AD253" s="1915">
        <v>0.6</v>
      </c>
      <c r="AF253" s="1893">
        <v>16</v>
      </c>
      <c r="AG253" s="1872">
        <v>17</v>
      </c>
      <c r="AH253" s="1931">
        <v>0.28000000000000003</v>
      </c>
      <c r="AI253" s="1915">
        <v>0.99</v>
      </c>
      <c r="AK253" s="1955">
        <f t="shared" si="33"/>
        <v>0.2</v>
      </c>
      <c r="AL253" s="1926">
        <f t="shared" si="34"/>
        <v>0.26</v>
      </c>
      <c r="AM253" s="1926">
        <f t="shared" si="32"/>
        <v>0.4</v>
      </c>
      <c r="AN253" s="1956">
        <f t="shared" si="35"/>
        <v>0.28000000000000003</v>
      </c>
      <c r="AO253" s="1883">
        <v>5</v>
      </c>
      <c r="AP253" s="1871">
        <v>6</v>
      </c>
      <c r="AQ253" s="1935"/>
      <c r="AR253" s="1912"/>
    </row>
    <row r="254" spans="1:44">
      <c r="A254" s="1930"/>
      <c r="B254" s="1894">
        <v>17</v>
      </c>
      <c r="C254" s="1895">
        <v>18</v>
      </c>
      <c r="D254" s="1932">
        <v>0.8</v>
      </c>
      <c r="E254" s="1916">
        <v>1.93</v>
      </c>
      <c r="F254" s="1930"/>
      <c r="G254" s="1894">
        <v>17</v>
      </c>
      <c r="H254" s="1895">
        <v>18</v>
      </c>
      <c r="I254" s="1932">
        <v>1.29</v>
      </c>
      <c r="J254" s="1916">
        <v>3.7</v>
      </c>
      <c r="K254" s="1930"/>
      <c r="L254" s="1894">
        <v>17</v>
      </c>
      <c r="M254" s="1895">
        <v>18</v>
      </c>
      <c r="N254" s="1932">
        <v>0.15</v>
      </c>
      <c r="O254" s="1916">
        <v>0.24</v>
      </c>
      <c r="P254" s="1930"/>
      <c r="Q254" s="1894">
        <v>17</v>
      </c>
      <c r="R254" s="1895">
        <v>18</v>
      </c>
      <c r="S254" s="1932">
        <v>0.06</v>
      </c>
      <c r="T254" s="1916">
        <v>0.09</v>
      </c>
      <c r="U254" s="1930"/>
      <c r="V254" s="1894">
        <v>17</v>
      </c>
      <c r="W254" s="1895">
        <v>18</v>
      </c>
      <c r="X254" s="1932">
        <v>0.43</v>
      </c>
      <c r="Y254" s="1916">
        <v>0.72</v>
      </c>
      <c r="Z254" s="1930"/>
      <c r="AA254" s="1894">
        <v>17</v>
      </c>
      <c r="AB254" s="1895">
        <v>18</v>
      </c>
      <c r="AC254" s="1932">
        <v>1.51</v>
      </c>
      <c r="AD254" s="1916">
        <v>2.37</v>
      </c>
      <c r="AF254" s="1894">
        <v>17</v>
      </c>
      <c r="AG254" s="1895">
        <v>18</v>
      </c>
      <c r="AH254" s="1932">
        <v>0.49</v>
      </c>
      <c r="AI254" s="1916">
        <v>1.2</v>
      </c>
      <c r="AK254" s="1957">
        <f t="shared" si="33"/>
        <v>0.15</v>
      </c>
      <c r="AL254" s="1958">
        <f t="shared" si="34"/>
        <v>0.43</v>
      </c>
      <c r="AM254" s="1958">
        <f t="shared" si="32"/>
        <v>1.51</v>
      </c>
      <c r="AN254" s="1959">
        <f t="shared" si="35"/>
        <v>0.49</v>
      </c>
      <c r="AO254" s="1883">
        <v>6</v>
      </c>
      <c r="AP254" s="1871">
        <v>7</v>
      </c>
      <c r="AQ254" s="1936"/>
      <c r="AR254" s="1937"/>
    </row>
    <row r="255" spans="1:44">
      <c r="A255" s="1934"/>
      <c r="B255" s="1910">
        <v>18</v>
      </c>
      <c r="C255" s="1889">
        <v>19</v>
      </c>
      <c r="D255" s="1933">
        <v>0.38</v>
      </c>
      <c r="E255" s="1911">
        <v>0.92</v>
      </c>
      <c r="F255" s="1934"/>
      <c r="G255" s="1910">
        <v>18</v>
      </c>
      <c r="H255" s="1889">
        <v>19</v>
      </c>
      <c r="I255" s="1933">
        <v>0.7</v>
      </c>
      <c r="J255" s="1911">
        <v>2.08</v>
      </c>
      <c r="K255" s="1934"/>
      <c r="L255" s="1910">
        <v>18</v>
      </c>
      <c r="M255" s="1889">
        <v>19</v>
      </c>
      <c r="N255" s="1933">
        <v>0.94</v>
      </c>
      <c r="O255" s="1911">
        <v>1.78</v>
      </c>
      <c r="P255" s="1934"/>
      <c r="Q255" s="1910">
        <v>18</v>
      </c>
      <c r="R255" s="1889">
        <v>19</v>
      </c>
      <c r="S255" s="1933">
        <v>0.05</v>
      </c>
      <c r="T255" s="1911">
        <v>0.08</v>
      </c>
      <c r="U255" s="1934"/>
      <c r="V255" s="1910">
        <v>18</v>
      </c>
      <c r="W255" s="1889">
        <v>19</v>
      </c>
      <c r="X255" s="1933">
        <v>0.27</v>
      </c>
      <c r="Y255" s="1911">
        <v>0.45</v>
      </c>
      <c r="Z255" s="1934"/>
      <c r="AA255" s="1910">
        <v>18</v>
      </c>
      <c r="AB255" s="1889">
        <v>19</v>
      </c>
      <c r="AC255" s="1933">
        <v>1.1200000000000001</v>
      </c>
      <c r="AD255" s="1911">
        <v>1.9</v>
      </c>
      <c r="AF255" s="1910">
        <v>18</v>
      </c>
      <c r="AG255" s="1889">
        <v>19</v>
      </c>
      <c r="AH255" s="1933">
        <v>0.61</v>
      </c>
      <c r="AI255" s="1911">
        <v>1.62</v>
      </c>
      <c r="AK255" s="1952">
        <f t="shared" si="33"/>
        <v>0.94</v>
      </c>
      <c r="AL255" s="1953">
        <f t="shared" si="34"/>
        <v>0.27</v>
      </c>
      <c r="AM255" s="1953">
        <f t="shared" si="32"/>
        <v>1.1200000000000001</v>
      </c>
      <c r="AN255" s="1954">
        <f t="shared" si="35"/>
        <v>0.61</v>
      </c>
      <c r="AO255" s="1908">
        <v>7</v>
      </c>
      <c r="AP255" s="1909">
        <v>8</v>
      </c>
      <c r="AQ255" s="1926"/>
      <c r="AR255" s="1913"/>
    </row>
    <row r="256" spans="1:44">
      <c r="A256" s="1934"/>
      <c r="B256" s="1902">
        <v>19</v>
      </c>
      <c r="C256" s="1873">
        <v>20</v>
      </c>
      <c r="D256" s="1935">
        <v>0.66</v>
      </c>
      <c r="E256" s="1912">
        <v>1.58</v>
      </c>
      <c r="F256" s="1934"/>
      <c r="G256" s="1902">
        <v>19</v>
      </c>
      <c r="H256" s="1873">
        <v>20</v>
      </c>
      <c r="I256" s="1935">
        <v>0.34</v>
      </c>
      <c r="J256" s="1912">
        <v>1</v>
      </c>
      <c r="K256" s="1934"/>
      <c r="L256" s="1902">
        <v>19</v>
      </c>
      <c r="M256" s="1873">
        <v>20</v>
      </c>
      <c r="N256" s="1935">
        <v>0.27</v>
      </c>
      <c r="O256" s="1912">
        <v>0.55000000000000004</v>
      </c>
      <c r="P256" s="1934"/>
      <c r="Q256" s="1902">
        <v>19</v>
      </c>
      <c r="R256" s="1873">
        <v>20</v>
      </c>
      <c r="S256" s="1935">
        <v>0.01</v>
      </c>
      <c r="T256" s="1912">
        <v>0.02</v>
      </c>
      <c r="U256" s="1934"/>
      <c r="V256" s="1902">
        <v>19</v>
      </c>
      <c r="W256" s="1873">
        <v>20</v>
      </c>
      <c r="X256" s="1935">
        <v>0.26</v>
      </c>
      <c r="Y256" s="1912">
        <v>0.44</v>
      </c>
      <c r="Z256" s="1934"/>
      <c r="AA256" s="1902">
        <v>19</v>
      </c>
      <c r="AB256" s="1873">
        <v>20</v>
      </c>
      <c r="AC256" s="1935">
        <v>0.71</v>
      </c>
      <c r="AD256" s="1912">
        <v>1.27</v>
      </c>
      <c r="AF256" s="1902">
        <v>19</v>
      </c>
      <c r="AG256" s="1873">
        <v>20</v>
      </c>
      <c r="AH256" s="1935">
        <v>0.4</v>
      </c>
      <c r="AI256" s="1912">
        <v>1.1299999999999999</v>
      </c>
      <c r="AK256" s="1955">
        <f t="shared" si="33"/>
        <v>0.27</v>
      </c>
      <c r="AL256" s="1926">
        <f t="shared" si="34"/>
        <v>0.26</v>
      </c>
      <c r="AM256" s="1926">
        <f t="shared" si="32"/>
        <v>0.71</v>
      </c>
      <c r="AN256" s="1956">
        <f t="shared" si="35"/>
        <v>0.4</v>
      </c>
      <c r="AO256" s="1890">
        <v>8</v>
      </c>
      <c r="AP256" s="1891">
        <v>9</v>
      </c>
      <c r="AQ256" s="1926"/>
      <c r="AR256" s="1913"/>
    </row>
    <row r="257" spans="1:44">
      <c r="A257" s="1934"/>
      <c r="B257" s="1902">
        <v>20</v>
      </c>
      <c r="C257" s="1873">
        <v>21</v>
      </c>
      <c r="D257" s="1935">
        <v>0.66</v>
      </c>
      <c r="E257" s="1912">
        <v>1.06</v>
      </c>
      <c r="F257" s="1934"/>
      <c r="G257" s="1902">
        <v>20</v>
      </c>
      <c r="H257" s="1873">
        <v>21</v>
      </c>
      <c r="I257" s="1935">
        <v>0.32</v>
      </c>
      <c r="J257" s="1912">
        <v>0.67</v>
      </c>
      <c r="K257" s="1934"/>
      <c r="L257" s="1902">
        <v>20</v>
      </c>
      <c r="M257" s="1873">
        <v>21</v>
      </c>
      <c r="N257" s="1935">
        <v>0.28999999999999998</v>
      </c>
      <c r="O257" s="1912">
        <v>0.6</v>
      </c>
      <c r="P257" s="1934"/>
      <c r="Q257" s="1902">
        <v>20</v>
      </c>
      <c r="R257" s="1873">
        <v>21</v>
      </c>
      <c r="S257" s="1935">
        <v>0.04</v>
      </c>
      <c r="T257" s="1912">
        <v>0.06</v>
      </c>
      <c r="U257" s="1934"/>
      <c r="V257" s="1902">
        <v>20</v>
      </c>
      <c r="W257" s="1873">
        <v>21</v>
      </c>
      <c r="X257" s="1935">
        <v>0.23</v>
      </c>
      <c r="Y257" s="1912">
        <v>0.39</v>
      </c>
      <c r="Z257" s="1934"/>
      <c r="AA257" s="1902">
        <v>20</v>
      </c>
      <c r="AB257" s="1873">
        <v>21</v>
      </c>
      <c r="AC257" s="1935">
        <v>0.38</v>
      </c>
      <c r="AD257" s="1912">
        <v>0.69</v>
      </c>
      <c r="AF257" s="1902">
        <v>20</v>
      </c>
      <c r="AG257" s="1873">
        <v>21</v>
      </c>
      <c r="AH257" s="1935">
        <v>0.18</v>
      </c>
      <c r="AI257" s="1912">
        <v>0.52</v>
      </c>
      <c r="AK257" s="1955">
        <f t="shared" si="33"/>
        <v>0.28999999999999998</v>
      </c>
      <c r="AL257" s="1926">
        <f t="shared" si="34"/>
        <v>0.23</v>
      </c>
      <c r="AM257" s="1926">
        <f t="shared" si="32"/>
        <v>0.38</v>
      </c>
      <c r="AN257" s="1956">
        <f t="shared" si="35"/>
        <v>0.18</v>
      </c>
      <c r="AO257" s="1893">
        <v>9</v>
      </c>
      <c r="AP257" s="1872">
        <v>10</v>
      </c>
      <c r="AQ257" s="1926"/>
      <c r="AR257" s="1913"/>
    </row>
    <row r="258" spans="1:44">
      <c r="A258" s="1934"/>
      <c r="B258" s="1902">
        <v>21</v>
      </c>
      <c r="C258" s="1873">
        <v>22</v>
      </c>
      <c r="D258" s="1935">
        <v>0.38</v>
      </c>
      <c r="E258" s="1912">
        <v>0.61</v>
      </c>
      <c r="F258" s="1934"/>
      <c r="G258" s="1902">
        <v>21</v>
      </c>
      <c r="H258" s="1873">
        <v>22</v>
      </c>
      <c r="I258" s="1935">
        <v>0.28999999999999998</v>
      </c>
      <c r="J258" s="1912">
        <v>0.57999999999999996</v>
      </c>
      <c r="K258" s="1934"/>
      <c r="L258" s="1902">
        <v>21</v>
      </c>
      <c r="M258" s="1873">
        <v>22</v>
      </c>
      <c r="N258" s="1935">
        <v>0.26</v>
      </c>
      <c r="O258" s="1912">
        <v>0.52</v>
      </c>
      <c r="P258" s="1934"/>
      <c r="Q258" s="1902">
        <v>21</v>
      </c>
      <c r="R258" s="1873">
        <v>22</v>
      </c>
      <c r="S258" s="1935">
        <v>0.05</v>
      </c>
      <c r="T258" s="1912">
        <v>0.08</v>
      </c>
      <c r="U258" s="1934"/>
      <c r="V258" s="1902">
        <v>21</v>
      </c>
      <c r="W258" s="1873">
        <v>22</v>
      </c>
      <c r="X258" s="1935">
        <v>0.25</v>
      </c>
      <c r="Y258" s="1912">
        <v>0.42</v>
      </c>
      <c r="Z258" s="1934"/>
      <c r="AA258" s="1902">
        <v>21</v>
      </c>
      <c r="AB258" s="1873">
        <v>22</v>
      </c>
      <c r="AC258" s="1935">
        <v>0.32</v>
      </c>
      <c r="AD258" s="1912">
        <v>0.56999999999999995</v>
      </c>
      <c r="AF258" s="1902">
        <v>21</v>
      </c>
      <c r="AG258" s="1873">
        <v>22</v>
      </c>
      <c r="AH258" s="1935">
        <v>0.28000000000000003</v>
      </c>
      <c r="AI258" s="1912">
        <v>0.82</v>
      </c>
      <c r="AK258" s="1955">
        <f t="shared" si="33"/>
        <v>0.26</v>
      </c>
      <c r="AL258" s="1926">
        <f t="shared" si="34"/>
        <v>0.25</v>
      </c>
      <c r="AM258" s="1926">
        <f t="shared" si="32"/>
        <v>0.32</v>
      </c>
      <c r="AN258" s="1956">
        <f t="shared" si="35"/>
        <v>0.28000000000000003</v>
      </c>
      <c r="AO258" s="1893">
        <v>10</v>
      </c>
      <c r="AP258" s="1872">
        <v>11</v>
      </c>
      <c r="AQ258" s="1926"/>
      <c r="AR258" s="1913"/>
    </row>
    <row r="259" spans="1:44">
      <c r="A259" s="1934"/>
      <c r="B259" s="1902">
        <v>22</v>
      </c>
      <c r="C259" s="1873">
        <v>23</v>
      </c>
      <c r="D259" s="1935">
        <v>0.21</v>
      </c>
      <c r="E259" s="1912">
        <v>0.34</v>
      </c>
      <c r="F259" s="1934"/>
      <c r="G259" s="1902">
        <v>22</v>
      </c>
      <c r="H259" s="1873">
        <v>23</v>
      </c>
      <c r="I259" s="1935">
        <v>0.14000000000000001</v>
      </c>
      <c r="J259" s="1912">
        <v>0.28000000000000003</v>
      </c>
      <c r="K259" s="1934"/>
      <c r="L259" s="1902">
        <v>22</v>
      </c>
      <c r="M259" s="1873">
        <v>23</v>
      </c>
      <c r="N259" s="1935">
        <v>0.3</v>
      </c>
      <c r="O259" s="1912">
        <v>0.56999999999999995</v>
      </c>
      <c r="P259" s="1934"/>
      <c r="Q259" s="1902">
        <v>22</v>
      </c>
      <c r="R259" s="1873">
        <v>23</v>
      </c>
      <c r="S259" s="1935">
        <v>0.06</v>
      </c>
      <c r="T259" s="1912">
        <v>0.09</v>
      </c>
      <c r="U259" s="1934"/>
      <c r="V259" s="1902">
        <v>22</v>
      </c>
      <c r="W259" s="1873">
        <v>23</v>
      </c>
      <c r="X259" s="1935">
        <v>0.17</v>
      </c>
      <c r="Y259" s="1912">
        <v>0.28000000000000003</v>
      </c>
      <c r="Z259" s="1934"/>
      <c r="AA259" s="1902">
        <v>22</v>
      </c>
      <c r="AB259" s="1873">
        <v>23</v>
      </c>
      <c r="AC259" s="1935">
        <v>0.57999999999999996</v>
      </c>
      <c r="AD259" s="1912">
        <v>1</v>
      </c>
      <c r="AF259" s="1902">
        <v>22</v>
      </c>
      <c r="AG259" s="1873">
        <v>23</v>
      </c>
      <c r="AH259" s="1935">
        <v>0.24</v>
      </c>
      <c r="AI259" s="1912">
        <v>0.7</v>
      </c>
      <c r="AK259" s="1955">
        <f t="shared" si="33"/>
        <v>0.3</v>
      </c>
      <c r="AL259" s="1926">
        <f t="shared" si="34"/>
        <v>0.17</v>
      </c>
      <c r="AM259" s="1926">
        <f t="shared" si="32"/>
        <v>0.57999999999999996</v>
      </c>
      <c r="AN259" s="1956">
        <f t="shared" si="35"/>
        <v>0.24</v>
      </c>
      <c r="AO259" s="1893">
        <v>11</v>
      </c>
      <c r="AP259" s="1872">
        <v>12</v>
      </c>
      <c r="AQ259" s="1926"/>
      <c r="AR259" s="1913"/>
    </row>
    <row r="260" spans="1:44" ht="15" thickBot="1">
      <c r="A260" s="1934"/>
      <c r="B260" s="1902">
        <v>23</v>
      </c>
      <c r="C260" s="1873">
        <v>24</v>
      </c>
      <c r="D260" s="1935">
        <v>0.16</v>
      </c>
      <c r="E260" s="1912">
        <v>0.26</v>
      </c>
      <c r="F260" s="1934"/>
      <c r="G260" s="1902">
        <v>23</v>
      </c>
      <c r="H260" s="1873">
        <v>24</v>
      </c>
      <c r="I260" s="1935">
        <v>0.12</v>
      </c>
      <c r="J260" s="1912">
        <v>0.22</v>
      </c>
      <c r="K260" s="1934"/>
      <c r="L260" s="1902">
        <v>23</v>
      </c>
      <c r="M260" s="1873">
        <v>24</v>
      </c>
      <c r="N260" s="1935">
        <v>0.16</v>
      </c>
      <c r="O260" s="1912">
        <v>0.28999999999999998</v>
      </c>
      <c r="P260" s="1934"/>
      <c r="Q260" s="1902">
        <v>23</v>
      </c>
      <c r="R260" s="1873">
        <v>24</v>
      </c>
      <c r="S260" s="1935">
        <v>0.06</v>
      </c>
      <c r="T260" s="1912">
        <v>0.09</v>
      </c>
      <c r="U260" s="1934"/>
      <c r="V260" s="1902">
        <v>23</v>
      </c>
      <c r="W260" s="1873">
        <v>24</v>
      </c>
      <c r="X260" s="1935">
        <v>0.18</v>
      </c>
      <c r="Y260" s="1912">
        <v>0.28000000000000003</v>
      </c>
      <c r="Z260" s="1934"/>
      <c r="AA260" s="1902">
        <v>23</v>
      </c>
      <c r="AB260" s="1873">
        <v>24</v>
      </c>
      <c r="AC260" s="1935">
        <v>0.37</v>
      </c>
      <c r="AD260" s="1912">
        <v>0.6</v>
      </c>
      <c r="AF260" s="1902">
        <v>23</v>
      </c>
      <c r="AG260" s="1873">
        <v>24</v>
      </c>
      <c r="AH260" s="1935">
        <v>0.21</v>
      </c>
      <c r="AI260" s="1912">
        <v>0.59</v>
      </c>
      <c r="AK260" s="1957">
        <f t="shared" si="33"/>
        <v>0.16</v>
      </c>
      <c r="AL260" s="1958">
        <f t="shared" si="34"/>
        <v>0.18</v>
      </c>
      <c r="AM260" s="1958">
        <f t="shared" si="32"/>
        <v>0.37</v>
      </c>
      <c r="AN260" s="1959">
        <f t="shared" si="35"/>
        <v>0.21</v>
      </c>
      <c r="AO260" s="1893">
        <v>12</v>
      </c>
      <c r="AP260" s="1872">
        <v>13</v>
      </c>
      <c r="AQ260" s="1926"/>
      <c r="AR260" s="1913"/>
    </row>
    <row r="261" spans="1:44">
      <c r="B261" s="2766">
        <v>44967</v>
      </c>
      <c r="C261" s="2766"/>
      <c r="D261" s="1922">
        <f>SUM(D262:D285)</f>
        <v>8.5500000000000007</v>
      </c>
      <c r="E261" s="1923">
        <f>SUM(E262:E285)</f>
        <v>16.640000000000004</v>
      </c>
      <c r="G261" s="2773">
        <v>44995</v>
      </c>
      <c r="H261" s="2773"/>
      <c r="I261" s="1922">
        <f>SUM(I262:I285)</f>
        <v>6.0600000000000005</v>
      </c>
      <c r="J261" s="1923">
        <f>SUM(J262:J285)</f>
        <v>12.410000000000002</v>
      </c>
      <c r="L261" s="2773">
        <v>45026</v>
      </c>
      <c r="M261" s="2773"/>
      <c r="N261" s="1936">
        <f>SUM(N262:N285)</f>
        <v>7.9399999999999995</v>
      </c>
      <c r="O261" s="1937">
        <f>SUM(O262:O285)</f>
        <v>9.1899999999999977</v>
      </c>
      <c r="Q261" s="2766">
        <v>45056</v>
      </c>
      <c r="R261" s="2766"/>
      <c r="S261" s="1936"/>
      <c r="T261" s="1937"/>
      <c r="V261" s="2766">
        <v>45056</v>
      </c>
      <c r="W261" s="2766"/>
      <c r="X261" s="1936">
        <f>SUM(X262:X285)</f>
        <v>6.14</v>
      </c>
      <c r="Y261" s="1937">
        <f>SUM(Y262:Y285)</f>
        <v>10.530000000000003</v>
      </c>
      <c r="AA261" s="2766">
        <v>45087</v>
      </c>
      <c r="AB261" s="2766"/>
      <c r="AC261" s="1936">
        <f>SUM(AC262:AC285)</f>
        <v>10.16</v>
      </c>
      <c r="AD261" s="1937">
        <f>SUM(AD262:AD285)</f>
        <v>12.68</v>
      </c>
      <c r="AF261" s="2766">
        <v>45117</v>
      </c>
      <c r="AG261" s="2766"/>
      <c r="AH261" s="1936">
        <f>SUM(AH262:AH285)</f>
        <v>9.7899999999999991</v>
      </c>
      <c r="AI261" s="1937">
        <f>SUM(AI262:AI285)</f>
        <v>26.059999999999995</v>
      </c>
      <c r="AO261" s="1893"/>
      <c r="AP261" s="1872"/>
      <c r="AQ261" s="1926"/>
      <c r="AR261" s="1913"/>
    </row>
    <row r="262" spans="1:44">
      <c r="A262" s="1927"/>
      <c r="B262" s="1883">
        <v>0</v>
      </c>
      <c r="C262" s="1871">
        <v>1</v>
      </c>
      <c r="D262" s="1926">
        <v>0.17</v>
      </c>
      <c r="E262" s="1913">
        <v>0.25</v>
      </c>
      <c r="F262" s="1927"/>
      <c r="G262" s="1883">
        <v>0</v>
      </c>
      <c r="H262" s="1871">
        <v>1</v>
      </c>
      <c r="I262" s="1926">
        <v>0.12</v>
      </c>
      <c r="J262" s="1913">
        <v>0.21</v>
      </c>
      <c r="K262" s="1927"/>
      <c r="L262" s="1883">
        <v>0</v>
      </c>
      <c r="M262" s="1871">
        <v>1</v>
      </c>
      <c r="N262" s="1926">
        <v>0.11</v>
      </c>
      <c r="O262" s="1913">
        <v>0.19</v>
      </c>
      <c r="P262" s="1927"/>
      <c r="Q262" s="1883"/>
      <c r="R262" s="1871"/>
      <c r="S262" s="1926"/>
      <c r="T262" s="1913"/>
      <c r="U262" s="1927"/>
      <c r="V262" s="1883">
        <v>0</v>
      </c>
      <c r="W262" s="1871">
        <v>1</v>
      </c>
      <c r="X262" s="1926">
        <v>0.19</v>
      </c>
      <c r="Y262" s="1913">
        <v>0.28000000000000003</v>
      </c>
      <c r="Z262" s="1927"/>
      <c r="AA262" s="1883">
        <v>0</v>
      </c>
      <c r="AB262" s="1871">
        <v>1</v>
      </c>
      <c r="AC262" s="1926">
        <v>0.37</v>
      </c>
      <c r="AD262" s="1913">
        <v>0.68</v>
      </c>
      <c r="AF262" s="1883">
        <v>0</v>
      </c>
      <c r="AG262" s="1871">
        <v>1</v>
      </c>
      <c r="AH262" s="1926">
        <v>0.15</v>
      </c>
      <c r="AI262" s="1913">
        <v>0.41</v>
      </c>
      <c r="AK262" s="1952">
        <f>N262</f>
        <v>0.11</v>
      </c>
      <c r="AL262" s="1953">
        <f>X262</f>
        <v>0.19</v>
      </c>
      <c r="AM262" s="1953">
        <f t="shared" ref="AM262:AM285" si="36">AC262</f>
        <v>0.37</v>
      </c>
      <c r="AN262" s="1954">
        <f>AH262</f>
        <v>0.15</v>
      </c>
      <c r="AO262" s="1893">
        <v>13</v>
      </c>
      <c r="AP262" s="1872">
        <v>14</v>
      </c>
      <c r="AQ262" s="1928"/>
      <c r="AR262" s="1917"/>
    </row>
    <row r="263" spans="1:44">
      <c r="A263" s="1927"/>
      <c r="B263" s="1883">
        <v>1</v>
      </c>
      <c r="C263" s="1871">
        <v>2</v>
      </c>
      <c r="D263" s="1926">
        <v>0.17</v>
      </c>
      <c r="E263" s="1913">
        <v>0.27</v>
      </c>
      <c r="F263" s="1927"/>
      <c r="G263" s="1883">
        <v>1</v>
      </c>
      <c r="H263" s="1871">
        <v>2</v>
      </c>
      <c r="I263" s="1926">
        <v>0.1</v>
      </c>
      <c r="J263" s="1913">
        <v>0.18</v>
      </c>
      <c r="K263" s="1927"/>
      <c r="L263" s="1883">
        <v>1</v>
      </c>
      <c r="M263" s="1871">
        <v>2</v>
      </c>
      <c r="N263" s="1926">
        <v>0.12</v>
      </c>
      <c r="O263" s="1913">
        <v>0.19</v>
      </c>
      <c r="P263" s="1927"/>
      <c r="Q263" s="1883"/>
      <c r="R263" s="1871"/>
      <c r="S263" s="1926"/>
      <c r="T263" s="1913"/>
      <c r="U263" s="1927"/>
      <c r="V263" s="1883">
        <v>1</v>
      </c>
      <c r="W263" s="1871">
        <v>2</v>
      </c>
      <c r="X263" s="1926">
        <v>0.16</v>
      </c>
      <c r="Y263" s="1913">
        <v>0.23</v>
      </c>
      <c r="Z263" s="1927"/>
      <c r="AA263" s="1883">
        <v>1</v>
      </c>
      <c r="AB263" s="1871">
        <v>2</v>
      </c>
      <c r="AC263" s="1926">
        <v>0.3</v>
      </c>
      <c r="AD263" s="1913">
        <v>0.46</v>
      </c>
      <c r="AF263" s="1883">
        <v>1</v>
      </c>
      <c r="AG263" s="1871">
        <v>2</v>
      </c>
      <c r="AH263" s="1926">
        <v>0.12</v>
      </c>
      <c r="AI263" s="1913">
        <v>0.32</v>
      </c>
      <c r="AK263" s="1955">
        <f t="shared" ref="AK263:AK285" si="37">N263</f>
        <v>0.12</v>
      </c>
      <c r="AL263" s="1926">
        <f t="shared" ref="AL263:AL285" si="38">X263</f>
        <v>0.16</v>
      </c>
      <c r="AM263" s="1926">
        <f t="shared" si="36"/>
        <v>0.3</v>
      </c>
      <c r="AN263" s="1956">
        <f t="shared" ref="AN263:AN285" si="39">AH263</f>
        <v>0.12</v>
      </c>
      <c r="AO263" s="1893">
        <v>14</v>
      </c>
      <c r="AP263" s="1872">
        <v>15</v>
      </c>
      <c r="AQ263" s="1929"/>
      <c r="AR263" s="1914"/>
    </row>
    <row r="264" spans="1:44">
      <c r="A264" s="1927"/>
      <c r="B264" s="1883">
        <v>2</v>
      </c>
      <c r="C264" s="1871">
        <v>3</v>
      </c>
      <c r="D264" s="1926">
        <v>0.12</v>
      </c>
      <c r="E264" s="1913">
        <v>0.19</v>
      </c>
      <c r="F264" s="1927"/>
      <c r="G264" s="1883">
        <v>2</v>
      </c>
      <c r="H264" s="1871">
        <v>3</v>
      </c>
      <c r="I264" s="1926">
        <v>0.1</v>
      </c>
      <c r="J264" s="1913">
        <v>0.17</v>
      </c>
      <c r="K264" s="1927"/>
      <c r="L264" s="1883">
        <v>2</v>
      </c>
      <c r="M264" s="1871">
        <v>3</v>
      </c>
      <c r="N264" s="1926">
        <v>0.06</v>
      </c>
      <c r="O264" s="1913">
        <v>0.09</v>
      </c>
      <c r="P264" s="1927"/>
      <c r="Q264" s="1883"/>
      <c r="R264" s="1871"/>
      <c r="S264" s="1926"/>
      <c r="T264" s="1913"/>
      <c r="U264" s="1927"/>
      <c r="V264" s="1883">
        <v>2</v>
      </c>
      <c r="W264" s="1871">
        <v>3</v>
      </c>
      <c r="X264" s="1926">
        <v>0.17</v>
      </c>
      <c r="Y264" s="1913">
        <v>0.24</v>
      </c>
      <c r="Z264" s="1927"/>
      <c r="AA264" s="1883">
        <v>2</v>
      </c>
      <c r="AB264" s="1871">
        <v>3</v>
      </c>
      <c r="AC264" s="1926">
        <v>0.31</v>
      </c>
      <c r="AD264" s="1913">
        <v>0.47</v>
      </c>
      <c r="AF264" s="1883">
        <v>2</v>
      </c>
      <c r="AG264" s="1871">
        <v>3</v>
      </c>
      <c r="AH264" s="1926">
        <v>0.18</v>
      </c>
      <c r="AI264" s="1913">
        <v>0.46</v>
      </c>
      <c r="AK264" s="1955">
        <f t="shared" si="37"/>
        <v>0.06</v>
      </c>
      <c r="AL264" s="1926">
        <f t="shared" si="38"/>
        <v>0.17</v>
      </c>
      <c r="AM264" s="1926">
        <f t="shared" si="36"/>
        <v>0.31</v>
      </c>
      <c r="AN264" s="1956">
        <f t="shared" si="39"/>
        <v>0.18</v>
      </c>
      <c r="AO264" s="1893">
        <v>15</v>
      </c>
      <c r="AP264" s="1872">
        <v>16</v>
      </c>
      <c r="AQ264" s="1931"/>
      <c r="AR264" s="1915"/>
    </row>
    <row r="265" spans="1:44">
      <c r="A265" s="1927"/>
      <c r="B265" s="1883">
        <v>3</v>
      </c>
      <c r="C265" s="1871">
        <v>4</v>
      </c>
      <c r="D265" s="1926">
        <v>0.11</v>
      </c>
      <c r="E265" s="1913">
        <v>0.18</v>
      </c>
      <c r="F265" s="1927"/>
      <c r="G265" s="1883">
        <v>3</v>
      </c>
      <c r="H265" s="1871">
        <v>4</v>
      </c>
      <c r="I265" s="1926">
        <v>0.12</v>
      </c>
      <c r="J265" s="1913">
        <v>0.21</v>
      </c>
      <c r="K265" s="1927"/>
      <c r="L265" s="1883">
        <v>3</v>
      </c>
      <c r="M265" s="1871">
        <v>4</v>
      </c>
      <c r="N265" s="1926">
        <v>0.14000000000000001</v>
      </c>
      <c r="O265" s="1913">
        <v>0.21</v>
      </c>
      <c r="P265" s="1927"/>
      <c r="Q265" s="1883"/>
      <c r="R265" s="1871"/>
      <c r="S265" s="1926"/>
      <c r="T265" s="1913"/>
      <c r="U265" s="1927"/>
      <c r="V265" s="1883">
        <v>3</v>
      </c>
      <c r="W265" s="1871">
        <v>4</v>
      </c>
      <c r="X265" s="1926">
        <v>0.12</v>
      </c>
      <c r="Y265" s="1913">
        <v>0.17</v>
      </c>
      <c r="Z265" s="1927"/>
      <c r="AA265" s="1883">
        <v>3</v>
      </c>
      <c r="AB265" s="1871">
        <v>4</v>
      </c>
      <c r="AC265" s="1926">
        <v>0.26</v>
      </c>
      <c r="AD265" s="1913">
        <v>0.4</v>
      </c>
      <c r="AF265" s="1883">
        <v>3</v>
      </c>
      <c r="AG265" s="1871">
        <v>4</v>
      </c>
      <c r="AH265" s="1926">
        <v>0.17</v>
      </c>
      <c r="AI265" s="1913">
        <v>0.43</v>
      </c>
      <c r="AK265" s="1955">
        <f t="shared" si="37"/>
        <v>0.14000000000000001</v>
      </c>
      <c r="AL265" s="1926">
        <f t="shared" si="38"/>
        <v>0.12</v>
      </c>
      <c r="AM265" s="1926">
        <f t="shared" si="36"/>
        <v>0.26</v>
      </c>
      <c r="AN265" s="1956">
        <f t="shared" si="39"/>
        <v>0.17</v>
      </c>
      <c r="AO265" s="1893">
        <v>16</v>
      </c>
      <c r="AP265" s="1872">
        <v>17</v>
      </c>
      <c r="AQ265" s="1931"/>
      <c r="AR265" s="1915"/>
    </row>
    <row r="266" spans="1:44">
      <c r="A266" s="1927"/>
      <c r="B266" s="1883">
        <v>4</v>
      </c>
      <c r="C266" s="1871">
        <v>5</v>
      </c>
      <c r="D266" s="1926">
        <v>0.17</v>
      </c>
      <c r="E266" s="1913">
        <v>0.28000000000000003</v>
      </c>
      <c r="F266" s="1927"/>
      <c r="G266" s="1883">
        <v>4</v>
      </c>
      <c r="H266" s="1871">
        <v>5</v>
      </c>
      <c r="I266" s="1926">
        <v>0.23</v>
      </c>
      <c r="J266" s="1913">
        <v>0.4</v>
      </c>
      <c r="K266" s="1927"/>
      <c r="L266" s="1883">
        <v>4</v>
      </c>
      <c r="M266" s="1871">
        <v>5</v>
      </c>
      <c r="N266" s="1926">
        <v>0.1</v>
      </c>
      <c r="O266" s="1913">
        <v>0.15</v>
      </c>
      <c r="P266" s="1927"/>
      <c r="Q266" s="1883"/>
      <c r="R266" s="1871"/>
      <c r="S266" s="1926"/>
      <c r="T266" s="1913"/>
      <c r="U266" s="1927"/>
      <c r="V266" s="1883">
        <v>4</v>
      </c>
      <c r="W266" s="1871">
        <v>5</v>
      </c>
      <c r="X266" s="1926">
        <v>0.12</v>
      </c>
      <c r="Y266" s="1913">
        <v>0.17</v>
      </c>
      <c r="Z266" s="1927"/>
      <c r="AA266" s="1883">
        <v>4</v>
      </c>
      <c r="AB266" s="1871">
        <v>5</v>
      </c>
      <c r="AC266" s="1926">
        <v>0.33</v>
      </c>
      <c r="AD266" s="1913">
        <v>0.51</v>
      </c>
      <c r="AF266" s="1883">
        <v>4</v>
      </c>
      <c r="AG266" s="1871">
        <v>5</v>
      </c>
      <c r="AH266" s="1926">
        <v>0.2</v>
      </c>
      <c r="AI266" s="1913">
        <v>0.51</v>
      </c>
      <c r="AK266" s="1955">
        <f t="shared" si="37"/>
        <v>0.1</v>
      </c>
      <c r="AL266" s="1926">
        <f t="shared" si="38"/>
        <v>0.12</v>
      </c>
      <c r="AM266" s="1926">
        <f t="shared" si="36"/>
        <v>0.33</v>
      </c>
      <c r="AN266" s="1956">
        <f t="shared" si="39"/>
        <v>0.2</v>
      </c>
      <c r="AO266" s="1894">
        <v>17</v>
      </c>
      <c r="AP266" s="1895">
        <v>18</v>
      </c>
      <c r="AQ266" s="1931"/>
      <c r="AR266" s="1915"/>
    </row>
    <row r="267" spans="1:44">
      <c r="A267" s="1927"/>
      <c r="B267" s="1883">
        <v>5</v>
      </c>
      <c r="C267" s="1871">
        <v>6</v>
      </c>
      <c r="D267" s="1926">
        <v>0.17</v>
      </c>
      <c r="E267" s="1913">
        <v>0.28999999999999998</v>
      </c>
      <c r="F267" s="1927"/>
      <c r="G267" s="1883">
        <v>5</v>
      </c>
      <c r="H267" s="1871">
        <v>6</v>
      </c>
      <c r="I267" s="1926">
        <v>0.2</v>
      </c>
      <c r="J267" s="1913">
        <v>0.36</v>
      </c>
      <c r="K267" s="1927"/>
      <c r="L267" s="1883">
        <v>5</v>
      </c>
      <c r="M267" s="1871">
        <v>6</v>
      </c>
      <c r="N267" s="1926">
        <v>0.15</v>
      </c>
      <c r="O267" s="1913">
        <v>0.23</v>
      </c>
      <c r="P267" s="1927"/>
      <c r="Q267" s="1883"/>
      <c r="R267" s="1871"/>
      <c r="S267" s="1926"/>
      <c r="T267" s="1913"/>
      <c r="U267" s="1927"/>
      <c r="V267" s="1883">
        <v>5</v>
      </c>
      <c r="W267" s="1871">
        <v>6</v>
      </c>
      <c r="X267" s="1926">
        <v>0.18</v>
      </c>
      <c r="Y267" s="1913">
        <v>0.26</v>
      </c>
      <c r="Z267" s="1927"/>
      <c r="AA267" s="1883">
        <v>5</v>
      </c>
      <c r="AB267" s="1871">
        <v>6</v>
      </c>
      <c r="AC267" s="1926">
        <v>0.25</v>
      </c>
      <c r="AD267" s="1913">
        <v>0.38</v>
      </c>
      <c r="AF267" s="1883">
        <v>5</v>
      </c>
      <c r="AG267" s="1871">
        <v>6</v>
      </c>
      <c r="AH267" s="1926">
        <v>0.11</v>
      </c>
      <c r="AI267" s="1913">
        <v>0.28999999999999998</v>
      </c>
      <c r="AK267" s="1955">
        <f t="shared" si="37"/>
        <v>0.15</v>
      </c>
      <c r="AL267" s="1926">
        <f t="shared" si="38"/>
        <v>0.18</v>
      </c>
      <c r="AM267" s="1926">
        <f t="shared" si="36"/>
        <v>0.25</v>
      </c>
      <c r="AN267" s="1956">
        <f t="shared" si="39"/>
        <v>0.11</v>
      </c>
      <c r="AO267" s="1910">
        <v>18</v>
      </c>
      <c r="AP267" s="1889">
        <v>19</v>
      </c>
      <c r="AQ267" s="1931"/>
      <c r="AR267" s="1915"/>
    </row>
    <row r="268" spans="1:44">
      <c r="A268" s="1927"/>
      <c r="B268" s="1883">
        <v>6</v>
      </c>
      <c r="C268" s="1871">
        <v>7</v>
      </c>
      <c r="D268" s="1926">
        <v>0.16</v>
      </c>
      <c r="E268" s="1913">
        <v>0.28999999999999998</v>
      </c>
      <c r="F268" s="1927"/>
      <c r="G268" s="1883">
        <v>6</v>
      </c>
      <c r="H268" s="1871">
        <v>7</v>
      </c>
      <c r="I268" s="1926">
        <v>0.24</v>
      </c>
      <c r="J268" s="1913">
        <v>0.46</v>
      </c>
      <c r="K268" s="1927"/>
      <c r="L268" s="1883">
        <v>6</v>
      </c>
      <c r="M268" s="1871">
        <v>7</v>
      </c>
      <c r="N268" s="1926">
        <v>0.06</v>
      </c>
      <c r="O268" s="1913">
        <v>0.09</v>
      </c>
      <c r="P268" s="1927"/>
      <c r="Q268" s="1883"/>
      <c r="R268" s="1871"/>
      <c r="S268" s="1926"/>
      <c r="T268" s="1913"/>
      <c r="U268" s="1927"/>
      <c r="V268" s="1883">
        <v>6</v>
      </c>
      <c r="W268" s="1871">
        <v>7</v>
      </c>
      <c r="X268" s="1926">
        <v>0.16</v>
      </c>
      <c r="Y268" s="1913">
        <v>0.25</v>
      </c>
      <c r="Z268" s="1927"/>
      <c r="AA268" s="1883">
        <v>6</v>
      </c>
      <c r="AB268" s="1871">
        <v>7</v>
      </c>
      <c r="AC268" s="1926">
        <v>0.3</v>
      </c>
      <c r="AD268" s="1913">
        <v>0.46</v>
      </c>
      <c r="AF268" s="1883">
        <v>6</v>
      </c>
      <c r="AG268" s="1871">
        <v>7</v>
      </c>
      <c r="AH268" s="1926">
        <v>0.22</v>
      </c>
      <c r="AI268" s="1913">
        <v>0.62</v>
      </c>
      <c r="AK268" s="1955">
        <f t="shared" si="37"/>
        <v>0.06</v>
      </c>
      <c r="AL268" s="1926">
        <f t="shared" si="38"/>
        <v>0.16</v>
      </c>
      <c r="AM268" s="1926">
        <f t="shared" si="36"/>
        <v>0.3</v>
      </c>
      <c r="AN268" s="1956">
        <f t="shared" si="39"/>
        <v>0.22</v>
      </c>
      <c r="AO268" s="1902">
        <v>19</v>
      </c>
      <c r="AP268" s="1873">
        <v>20</v>
      </c>
      <c r="AQ268" s="1931"/>
      <c r="AR268" s="1915"/>
    </row>
    <row r="269" spans="1:44">
      <c r="A269" s="1927"/>
      <c r="B269" s="1908">
        <v>7</v>
      </c>
      <c r="C269" s="1909">
        <v>8</v>
      </c>
      <c r="D269" s="1928">
        <v>1.25</v>
      </c>
      <c r="E269" s="1917">
        <v>2.96</v>
      </c>
      <c r="F269" s="1927"/>
      <c r="G269" s="1908">
        <v>7</v>
      </c>
      <c r="H269" s="1909">
        <v>8</v>
      </c>
      <c r="I269" s="1928">
        <v>0.31</v>
      </c>
      <c r="J269" s="1917">
        <v>0.65</v>
      </c>
      <c r="K269" s="1927"/>
      <c r="L269" s="1908">
        <v>7</v>
      </c>
      <c r="M269" s="1909">
        <v>8</v>
      </c>
      <c r="N269" s="1928">
        <v>0.11</v>
      </c>
      <c r="O269" s="1917">
        <v>0.17</v>
      </c>
      <c r="P269" s="1927"/>
      <c r="Q269" s="1908"/>
      <c r="R269" s="1909"/>
      <c r="S269" s="1928"/>
      <c r="T269" s="1917"/>
      <c r="U269" s="1927"/>
      <c r="V269" s="1908">
        <v>7</v>
      </c>
      <c r="W269" s="1909">
        <v>8</v>
      </c>
      <c r="X269" s="1928">
        <v>0.16</v>
      </c>
      <c r="Y269" s="1917">
        <v>0.26</v>
      </c>
      <c r="Z269" s="1927"/>
      <c r="AA269" s="1908">
        <v>7</v>
      </c>
      <c r="AB269" s="1909">
        <v>8</v>
      </c>
      <c r="AC269" s="1928">
        <v>0.33</v>
      </c>
      <c r="AD269" s="1917">
        <v>0.5</v>
      </c>
      <c r="AF269" s="1908">
        <v>7</v>
      </c>
      <c r="AG269" s="1909">
        <v>8</v>
      </c>
      <c r="AH269" s="1928">
        <v>0.28999999999999998</v>
      </c>
      <c r="AI269" s="1917">
        <v>0.84</v>
      </c>
      <c r="AK269" s="1957">
        <f t="shared" si="37"/>
        <v>0.11</v>
      </c>
      <c r="AL269" s="1958">
        <f t="shared" si="38"/>
        <v>0.16</v>
      </c>
      <c r="AM269" s="1958">
        <f t="shared" si="36"/>
        <v>0.33</v>
      </c>
      <c r="AN269" s="1959">
        <f t="shared" si="39"/>
        <v>0.28999999999999998</v>
      </c>
      <c r="AO269" s="1902">
        <v>20</v>
      </c>
      <c r="AP269" s="1873">
        <v>21</v>
      </c>
      <c r="AQ269" s="1931"/>
      <c r="AR269" s="1915"/>
    </row>
    <row r="270" spans="1:44">
      <c r="A270" s="1930"/>
      <c r="B270" s="1890">
        <v>8</v>
      </c>
      <c r="C270" s="1891">
        <v>9</v>
      </c>
      <c r="D270" s="1929">
        <v>0.28000000000000003</v>
      </c>
      <c r="E270" s="1914">
        <v>0.69</v>
      </c>
      <c r="F270" s="1930"/>
      <c r="G270" s="1890">
        <v>8</v>
      </c>
      <c r="H270" s="1891">
        <v>9</v>
      </c>
      <c r="I270" s="1929">
        <v>0.54</v>
      </c>
      <c r="J270" s="1914">
        <v>1.1499999999999999</v>
      </c>
      <c r="K270" s="1930"/>
      <c r="L270" s="1890">
        <v>8</v>
      </c>
      <c r="M270" s="1891">
        <v>9</v>
      </c>
      <c r="N270" s="1929">
        <v>0.17</v>
      </c>
      <c r="O270" s="1914">
        <v>0.25</v>
      </c>
      <c r="P270" s="1930"/>
      <c r="Q270" s="1890"/>
      <c r="R270" s="1891"/>
      <c r="S270" s="1929"/>
      <c r="T270" s="1914"/>
      <c r="U270" s="1930"/>
      <c r="V270" s="1890">
        <v>8</v>
      </c>
      <c r="W270" s="1891">
        <v>9</v>
      </c>
      <c r="X270" s="1929">
        <v>0.3</v>
      </c>
      <c r="Y270" s="1914">
        <v>0.48</v>
      </c>
      <c r="Z270" s="1930"/>
      <c r="AA270" s="1890">
        <v>8</v>
      </c>
      <c r="AB270" s="1891">
        <v>9</v>
      </c>
      <c r="AC270" s="1929">
        <v>0.44</v>
      </c>
      <c r="AD270" s="1914">
        <v>0.64</v>
      </c>
      <c r="AF270" s="1890">
        <v>8</v>
      </c>
      <c r="AG270" s="1891">
        <v>9</v>
      </c>
      <c r="AH270" s="1929">
        <v>0.49</v>
      </c>
      <c r="AI270" s="1914">
        <v>1.43</v>
      </c>
      <c r="AK270" s="1952">
        <f t="shared" si="37"/>
        <v>0.17</v>
      </c>
      <c r="AL270" s="1953">
        <f t="shared" si="38"/>
        <v>0.3</v>
      </c>
      <c r="AM270" s="1953">
        <f t="shared" si="36"/>
        <v>0.44</v>
      </c>
      <c r="AN270" s="1954">
        <f t="shared" si="39"/>
        <v>0.49</v>
      </c>
      <c r="AO270" s="1902">
        <v>21</v>
      </c>
      <c r="AP270" s="1873">
        <v>22</v>
      </c>
      <c r="AQ270" s="1931"/>
      <c r="AR270" s="1915"/>
    </row>
    <row r="271" spans="1:44">
      <c r="A271" s="1930"/>
      <c r="B271" s="1893">
        <v>9</v>
      </c>
      <c r="C271" s="1872">
        <v>11</v>
      </c>
      <c r="D271" s="1931">
        <v>0.34</v>
      </c>
      <c r="E271" s="1915">
        <v>0.74</v>
      </c>
      <c r="F271" s="1930"/>
      <c r="G271" s="1893">
        <v>9</v>
      </c>
      <c r="H271" s="1872">
        <v>11</v>
      </c>
      <c r="I271" s="1931">
        <v>0.24</v>
      </c>
      <c r="J271" s="1915">
        <v>0.5</v>
      </c>
      <c r="K271" s="1930"/>
      <c r="L271" s="1893">
        <v>9</v>
      </c>
      <c r="M271" s="1872">
        <v>11</v>
      </c>
      <c r="N271" s="1931">
        <v>0.25</v>
      </c>
      <c r="O271" s="1915">
        <v>0.33</v>
      </c>
      <c r="P271" s="1930"/>
      <c r="Q271" s="1893"/>
      <c r="R271" s="1872"/>
      <c r="S271" s="1931"/>
      <c r="T271" s="1915"/>
      <c r="U271" s="1930"/>
      <c r="V271" s="1893">
        <v>9</v>
      </c>
      <c r="W271" s="1872">
        <v>10</v>
      </c>
      <c r="X271" s="1931">
        <v>0.16</v>
      </c>
      <c r="Y271" s="1915">
        <v>0.25</v>
      </c>
      <c r="Z271" s="1930"/>
      <c r="AA271" s="1893">
        <v>9</v>
      </c>
      <c r="AB271" s="1872">
        <v>11</v>
      </c>
      <c r="AC271" s="1931">
        <v>0.34</v>
      </c>
      <c r="AD271" s="1915">
        <v>0.47</v>
      </c>
      <c r="AF271" s="1893">
        <v>9</v>
      </c>
      <c r="AG271" s="1872">
        <v>11</v>
      </c>
      <c r="AH271" s="1931">
        <v>0.38</v>
      </c>
      <c r="AI271" s="1915">
        <v>1.05</v>
      </c>
      <c r="AK271" s="1955">
        <f t="shared" si="37"/>
        <v>0.25</v>
      </c>
      <c r="AL271" s="1926">
        <f t="shared" si="38"/>
        <v>0.16</v>
      </c>
      <c r="AM271" s="1926">
        <f t="shared" si="36"/>
        <v>0.34</v>
      </c>
      <c r="AN271" s="1956">
        <f t="shared" si="39"/>
        <v>0.38</v>
      </c>
      <c r="AO271" s="1902">
        <v>22</v>
      </c>
      <c r="AP271" s="1873">
        <v>23</v>
      </c>
      <c r="AQ271" s="1931"/>
      <c r="AR271" s="1915"/>
    </row>
    <row r="272" spans="1:44">
      <c r="A272" s="1930"/>
      <c r="B272" s="1893">
        <v>10</v>
      </c>
      <c r="C272" s="1872">
        <v>12</v>
      </c>
      <c r="D272" s="1931">
        <v>1.08</v>
      </c>
      <c r="E272" s="1915">
        <v>2.0299999999999998</v>
      </c>
      <c r="F272" s="1930"/>
      <c r="G272" s="1893">
        <v>10</v>
      </c>
      <c r="H272" s="1872">
        <v>12</v>
      </c>
      <c r="I272" s="1931">
        <v>0.26</v>
      </c>
      <c r="J272" s="1915">
        <v>0.53</v>
      </c>
      <c r="K272" s="1930"/>
      <c r="L272" s="1893">
        <v>10</v>
      </c>
      <c r="M272" s="1872">
        <v>12</v>
      </c>
      <c r="N272" s="1931">
        <v>0.27</v>
      </c>
      <c r="O272" s="1915">
        <v>0.28000000000000003</v>
      </c>
      <c r="P272" s="1930"/>
      <c r="Q272" s="1893"/>
      <c r="R272" s="1872"/>
      <c r="S272" s="1931"/>
      <c r="T272" s="1915"/>
      <c r="U272" s="1930"/>
      <c r="V272" s="1893">
        <v>10</v>
      </c>
      <c r="W272" s="1872">
        <v>11</v>
      </c>
      <c r="X272" s="1931">
        <v>0.27</v>
      </c>
      <c r="Y272" s="1915">
        <v>0.42</v>
      </c>
      <c r="Z272" s="1930"/>
      <c r="AA272" s="1893">
        <v>10</v>
      </c>
      <c r="AB272" s="1872">
        <v>12</v>
      </c>
      <c r="AC272" s="1931">
        <v>0.37</v>
      </c>
      <c r="AD272" s="1915">
        <v>0.39</v>
      </c>
      <c r="AF272" s="1893">
        <v>10</v>
      </c>
      <c r="AG272" s="1872">
        <v>12</v>
      </c>
      <c r="AH272" s="1931">
        <v>0.47</v>
      </c>
      <c r="AI272" s="1915">
        <v>1.25</v>
      </c>
      <c r="AK272" s="1955">
        <f t="shared" si="37"/>
        <v>0.27</v>
      </c>
      <c r="AL272" s="1926">
        <f t="shared" si="38"/>
        <v>0.27</v>
      </c>
      <c r="AM272" s="1926">
        <f t="shared" si="36"/>
        <v>0.37</v>
      </c>
      <c r="AN272" s="1956">
        <f t="shared" si="39"/>
        <v>0.47</v>
      </c>
      <c r="AO272" s="1902">
        <v>23</v>
      </c>
      <c r="AP272" s="1873">
        <v>24</v>
      </c>
      <c r="AQ272" s="1933"/>
      <c r="AR272" s="1911"/>
    </row>
    <row r="273" spans="1:47">
      <c r="A273" s="1930"/>
      <c r="B273" s="1893">
        <v>11</v>
      </c>
      <c r="C273" s="1872">
        <v>12</v>
      </c>
      <c r="D273" s="1931">
        <v>0.46</v>
      </c>
      <c r="E273" s="1915">
        <v>0.8</v>
      </c>
      <c r="F273" s="1930"/>
      <c r="G273" s="1893">
        <v>11</v>
      </c>
      <c r="H273" s="1872">
        <v>12</v>
      </c>
      <c r="I273" s="1931">
        <v>0.31</v>
      </c>
      <c r="J273" s="1915">
        <v>0.62</v>
      </c>
      <c r="K273" s="1930"/>
      <c r="L273" s="1893">
        <v>11</v>
      </c>
      <c r="M273" s="1872">
        <v>12</v>
      </c>
      <c r="N273" s="1931">
        <v>0.36</v>
      </c>
      <c r="O273" s="1915">
        <v>0.3</v>
      </c>
      <c r="P273" s="1930"/>
      <c r="Q273" s="1893"/>
      <c r="R273" s="1872"/>
      <c r="S273" s="1931"/>
      <c r="T273" s="1915"/>
      <c r="U273" s="1930"/>
      <c r="V273" s="1893">
        <v>11</v>
      </c>
      <c r="W273" s="1872">
        <v>12</v>
      </c>
      <c r="X273" s="1931">
        <v>0.31</v>
      </c>
      <c r="Y273" s="1915">
        <v>0.48</v>
      </c>
      <c r="Z273" s="1930"/>
      <c r="AA273" s="1893">
        <v>11</v>
      </c>
      <c r="AB273" s="1872">
        <v>12</v>
      </c>
      <c r="AC273" s="1931">
        <v>0.46</v>
      </c>
      <c r="AD273" s="1915">
        <v>0.43</v>
      </c>
      <c r="AF273" s="1893">
        <v>11</v>
      </c>
      <c r="AG273" s="1872">
        <v>12</v>
      </c>
      <c r="AH273" s="1931">
        <v>0.37</v>
      </c>
      <c r="AI273" s="1915">
        <v>0.95</v>
      </c>
      <c r="AK273" s="1955">
        <f t="shared" si="37"/>
        <v>0.36</v>
      </c>
      <c r="AL273" s="1926">
        <f t="shared" si="38"/>
        <v>0.31</v>
      </c>
      <c r="AM273" s="1926">
        <f t="shared" si="36"/>
        <v>0.46</v>
      </c>
      <c r="AN273" s="1956">
        <f t="shared" si="39"/>
        <v>0.37</v>
      </c>
      <c r="AO273" s="1883">
        <v>0</v>
      </c>
      <c r="AP273" s="1871">
        <v>1</v>
      </c>
      <c r="AQ273" s="1935"/>
      <c r="AR273" s="1912"/>
    </row>
    <row r="274" spans="1:47">
      <c r="A274" s="1930"/>
      <c r="B274" s="1893">
        <v>12</v>
      </c>
      <c r="C274" s="1872">
        <v>13</v>
      </c>
      <c r="D274" s="1931">
        <v>0.13</v>
      </c>
      <c r="E274" s="1915">
        <v>0.22</v>
      </c>
      <c r="F274" s="1930"/>
      <c r="G274" s="1893">
        <v>12</v>
      </c>
      <c r="H274" s="1872">
        <v>13</v>
      </c>
      <c r="I274" s="1931">
        <v>0.4</v>
      </c>
      <c r="J274" s="1915">
        <v>0.76</v>
      </c>
      <c r="K274" s="1930"/>
      <c r="L274" s="1893">
        <v>12</v>
      </c>
      <c r="M274" s="1872">
        <v>13</v>
      </c>
      <c r="N274" s="1931">
        <v>0.32</v>
      </c>
      <c r="O274" s="1915">
        <v>0.26</v>
      </c>
      <c r="P274" s="1930"/>
      <c r="Q274" s="1893"/>
      <c r="R274" s="1872"/>
      <c r="S274" s="1931"/>
      <c r="T274" s="1915"/>
      <c r="U274" s="1930"/>
      <c r="V274" s="1893">
        <v>12</v>
      </c>
      <c r="W274" s="1872">
        <v>13</v>
      </c>
      <c r="X274" s="1931">
        <v>0.3</v>
      </c>
      <c r="Y274" s="1915">
        <v>0.46</v>
      </c>
      <c r="Z274" s="1930"/>
      <c r="AA274" s="1893">
        <v>12</v>
      </c>
      <c r="AB274" s="1872">
        <v>13</v>
      </c>
      <c r="AC274" s="1931">
        <v>0.51</v>
      </c>
      <c r="AD274" s="1915">
        <v>0.42</v>
      </c>
      <c r="AF274" s="1893">
        <v>12</v>
      </c>
      <c r="AG274" s="1872">
        <v>13</v>
      </c>
      <c r="AH274" s="1931">
        <v>0.57999999999999996</v>
      </c>
      <c r="AI274" s="1915">
        <v>1.45</v>
      </c>
      <c r="AK274" s="1955">
        <f t="shared" si="37"/>
        <v>0.32</v>
      </c>
      <c r="AL274" s="1926">
        <f t="shared" si="38"/>
        <v>0.3</v>
      </c>
      <c r="AM274" s="1926">
        <f t="shared" si="36"/>
        <v>0.51</v>
      </c>
      <c r="AN274" s="1956">
        <f t="shared" si="39"/>
        <v>0.57999999999999996</v>
      </c>
      <c r="AO274" s="1883">
        <v>1</v>
      </c>
      <c r="AP274" s="1871">
        <v>2</v>
      </c>
      <c r="AQ274" s="1935"/>
      <c r="AR274" s="1912"/>
    </row>
    <row r="275" spans="1:47">
      <c r="A275" s="1930"/>
      <c r="B275" s="1893">
        <v>13</v>
      </c>
      <c r="C275" s="1872">
        <v>14</v>
      </c>
      <c r="D275" s="1931">
        <v>0.28000000000000003</v>
      </c>
      <c r="E275" s="1915">
        <v>0.47</v>
      </c>
      <c r="F275" s="1930"/>
      <c r="G275" s="1893">
        <v>13</v>
      </c>
      <c r="H275" s="1872">
        <v>14</v>
      </c>
      <c r="I275" s="1931">
        <v>0.35</v>
      </c>
      <c r="J275" s="1915">
        <v>0.66</v>
      </c>
      <c r="K275" s="1930"/>
      <c r="L275" s="1893">
        <v>13</v>
      </c>
      <c r="M275" s="1872">
        <v>14</v>
      </c>
      <c r="N275" s="1931">
        <v>0.32</v>
      </c>
      <c r="O275" s="1915">
        <v>0.24</v>
      </c>
      <c r="P275" s="1930"/>
      <c r="Q275" s="1893"/>
      <c r="R275" s="1872"/>
      <c r="S275" s="1931"/>
      <c r="T275" s="1915"/>
      <c r="U275" s="1930"/>
      <c r="V275" s="1893">
        <v>13</v>
      </c>
      <c r="W275" s="1872">
        <v>14</v>
      </c>
      <c r="X275" s="1931">
        <v>0.25</v>
      </c>
      <c r="Y275" s="1915">
        <v>0.39</v>
      </c>
      <c r="Z275" s="1930"/>
      <c r="AA275" s="1893">
        <v>13</v>
      </c>
      <c r="AB275" s="1872">
        <v>14</v>
      </c>
      <c r="AC275" s="1931">
        <v>0.51</v>
      </c>
      <c r="AD275" s="1915">
        <v>0.32</v>
      </c>
      <c r="AF275" s="1893">
        <v>13</v>
      </c>
      <c r="AG275" s="1872">
        <v>14</v>
      </c>
      <c r="AH275" s="1931">
        <v>0.45</v>
      </c>
      <c r="AI275" s="1915">
        <v>1.0900000000000001</v>
      </c>
      <c r="AK275" s="1955">
        <f t="shared" si="37"/>
        <v>0.32</v>
      </c>
      <c r="AL275" s="1926">
        <f t="shared" si="38"/>
        <v>0.25</v>
      </c>
      <c r="AM275" s="1926">
        <f t="shared" si="36"/>
        <v>0.51</v>
      </c>
      <c r="AN275" s="1956">
        <f t="shared" si="39"/>
        <v>0.45</v>
      </c>
      <c r="AO275" s="1883">
        <v>2</v>
      </c>
      <c r="AP275" s="1871">
        <v>3</v>
      </c>
      <c r="AQ275" s="1935"/>
      <c r="AR275" s="1912"/>
    </row>
    <row r="276" spans="1:47">
      <c r="A276" s="1930"/>
      <c r="B276" s="1893">
        <v>14</v>
      </c>
      <c r="C276" s="1872">
        <v>15</v>
      </c>
      <c r="D276" s="1931">
        <v>0.28000000000000003</v>
      </c>
      <c r="E276" s="1915">
        <v>0.45</v>
      </c>
      <c r="F276" s="1930"/>
      <c r="G276" s="1893">
        <v>14</v>
      </c>
      <c r="H276" s="1872">
        <v>15</v>
      </c>
      <c r="I276" s="1931">
        <v>0.36</v>
      </c>
      <c r="J276" s="1915">
        <v>0.68</v>
      </c>
      <c r="K276" s="1930"/>
      <c r="L276" s="1893">
        <v>14</v>
      </c>
      <c r="M276" s="1872">
        <v>15</v>
      </c>
      <c r="N276" s="1931">
        <v>0.28000000000000003</v>
      </c>
      <c r="O276" s="1915">
        <v>0.21</v>
      </c>
      <c r="P276" s="1930"/>
      <c r="Q276" s="1893"/>
      <c r="R276" s="1872"/>
      <c r="S276" s="1931"/>
      <c r="T276" s="1915"/>
      <c r="U276" s="1930"/>
      <c r="V276" s="1893">
        <v>14</v>
      </c>
      <c r="W276" s="1872">
        <v>15</v>
      </c>
      <c r="X276" s="1931">
        <v>0.26</v>
      </c>
      <c r="Y276" s="1915">
        <v>0.41</v>
      </c>
      <c r="Z276" s="1930"/>
      <c r="AA276" s="1893">
        <v>14</v>
      </c>
      <c r="AB276" s="1872">
        <v>15</v>
      </c>
      <c r="AC276" s="1931">
        <v>0.4</v>
      </c>
      <c r="AD276" s="1915">
        <v>0.25</v>
      </c>
      <c r="AF276" s="1893">
        <v>14</v>
      </c>
      <c r="AG276" s="1872">
        <v>15</v>
      </c>
      <c r="AH276" s="1931">
        <v>0.46</v>
      </c>
      <c r="AI276" s="1915">
        <v>1.05</v>
      </c>
      <c r="AK276" s="1955">
        <f t="shared" si="37"/>
        <v>0.28000000000000003</v>
      </c>
      <c r="AL276" s="1926">
        <f t="shared" si="38"/>
        <v>0.26</v>
      </c>
      <c r="AM276" s="1926">
        <f t="shared" si="36"/>
        <v>0.4</v>
      </c>
      <c r="AN276" s="1956">
        <f t="shared" si="39"/>
        <v>0.46</v>
      </c>
      <c r="AO276" s="1883">
        <v>3</v>
      </c>
      <c r="AP276" s="1871">
        <v>4</v>
      </c>
      <c r="AQ276" s="1935"/>
      <c r="AR276" s="1912"/>
    </row>
    <row r="277" spans="1:47">
      <c r="A277" s="1930"/>
      <c r="B277" s="1893">
        <v>15</v>
      </c>
      <c r="C277" s="1872">
        <v>16</v>
      </c>
      <c r="D277" s="1931">
        <v>0.25</v>
      </c>
      <c r="E277" s="1915">
        <v>0.4</v>
      </c>
      <c r="F277" s="1930"/>
      <c r="G277" s="1893">
        <v>15</v>
      </c>
      <c r="H277" s="1872">
        <v>16</v>
      </c>
      <c r="I277" s="1931">
        <v>0.25</v>
      </c>
      <c r="J277" s="1915">
        <v>0.47</v>
      </c>
      <c r="K277" s="1930"/>
      <c r="L277" s="1893">
        <v>15</v>
      </c>
      <c r="M277" s="1872">
        <v>16</v>
      </c>
      <c r="N277" s="1931">
        <v>0.33</v>
      </c>
      <c r="O277" s="1915">
        <v>0.26</v>
      </c>
      <c r="P277" s="1930"/>
      <c r="Q277" s="1893"/>
      <c r="R277" s="1872"/>
      <c r="S277" s="1931"/>
      <c r="T277" s="1915"/>
      <c r="U277" s="1930"/>
      <c r="V277" s="1893">
        <v>15</v>
      </c>
      <c r="W277" s="1872">
        <v>16</v>
      </c>
      <c r="X277" s="1931">
        <v>0.34</v>
      </c>
      <c r="Y277" s="1915">
        <v>0.54</v>
      </c>
      <c r="Z277" s="1930"/>
      <c r="AA277" s="1893">
        <v>15</v>
      </c>
      <c r="AB277" s="1872">
        <v>16</v>
      </c>
      <c r="AC277" s="1931">
        <v>0.66</v>
      </c>
      <c r="AD277" s="1915">
        <v>0.51</v>
      </c>
      <c r="AF277" s="1893">
        <v>15</v>
      </c>
      <c r="AG277" s="1872">
        <v>16</v>
      </c>
      <c r="AH277" s="1931">
        <v>0.56999999999999995</v>
      </c>
      <c r="AI277" s="1915">
        <v>1.28</v>
      </c>
      <c r="AK277" s="1955">
        <f t="shared" si="37"/>
        <v>0.33</v>
      </c>
      <c r="AL277" s="1926">
        <f t="shared" si="38"/>
        <v>0.34</v>
      </c>
      <c r="AM277" s="1926">
        <f t="shared" si="36"/>
        <v>0.66</v>
      </c>
      <c r="AN277" s="1956">
        <f t="shared" si="39"/>
        <v>0.56999999999999995</v>
      </c>
      <c r="AO277" s="1883">
        <v>4</v>
      </c>
      <c r="AP277" s="1871">
        <v>5</v>
      </c>
      <c r="AQ277" s="1935"/>
      <c r="AR277" s="1912"/>
    </row>
    <row r="278" spans="1:47">
      <c r="A278" s="1930"/>
      <c r="B278" s="1893">
        <v>16</v>
      </c>
      <c r="C278" s="1872">
        <v>17</v>
      </c>
      <c r="D278" s="1931">
        <v>0.25</v>
      </c>
      <c r="E278" s="1915">
        <v>0.39</v>
      </c>
      <c r="F278" s="1930"/>
      <c r="G278" s="1893">
        <v>16</v>
      </c>
      <c r="H278" s="1872">
        <v>17</v>
      </c>
      <c r="I278" s="1931">
        <v>0.27</v>
      </c>
      <c r="J278" s="1915">
        <v>0.5</v>
      </c>
      <c r="K278" s="1930"/>
      <c r="L278" s="1893">
        <v>16</v>
      </c>
      <c r="M278" s="1872">
        <v>17</v>
      </c>
      <c r="N278" s="1931">
        <v>0.28999999999999998</v>
      </c>
      <c r="O278" s="1915">
        <v>0.24</v>
      </c>
      <c r="P278" s="1930"/>
      <c r="Q278" s="1893"/>
      <c r="R278" s="1872"/>
      <c r="S278" s="1931"/>
      <c r="T278" s="1915"/>
      <c r="U278" s="1930"/>
      <c r="V278" s="1893">
        <v>16</v>
      </c>
      <c r="W278" s="1872">
        <v>17</v>
      </c>
      <c r="X278" s="1931">
        <v>0.26</v>
      </c>
      <c r="Y278" s="1915">
        <v>0.4</v>
      </c>
      <c r="Z278" s="1930"/>
      <c r="AA278" s="1893">
        <v>16</v>
      </c>
      <c r="AB278" s="1872">
        <v>17</v>
      </c>
      <c r="AC278" s="1931">
        <v>0.39</v>
      </c>
      <c r="AD278" s="1915">
        <v>0.33</v>
      </c>
      <c r="AF278" s="1893">
        <v>16</v>
      </c>
      <c r="AG278" s="1872">
        <v>17</v>
      </c>
      <c r="AH278" s="1931">
        <v>0.35</v>
      </c>
      <c r="AI278" s="1915">
        <v>0.79</v>
      </c>
      <c r="AK278" s="1955">
        <f t="shared" si="37"/>
        <v>0.28999999999999998</v>
      </c>
      <c r="AL278" s="1926">
        <f t="shared" si="38"/>
        <v>0.26</v>
      </c>
      <c r="AM278" s="1926">
        <f t="shared" si="36"/>
        <v>0.39</v>
      </c>
      <c r="AN278" s="1956">
        <f t="shared" si="39"/>
        <v>0.35</v>
      </c>
      <c r="AO278" s="1883">
        <v>5</v>
      </c>
      <c r="AP278" s="1871">
        <v>6</v>
      </c>
      <c r="AQ278" s="1936"/>
      <c r="AR278" s="1937"/>
    </row>
    <row r="279" spans="1:47">
      <c r="A279" s="1930"/>
      <c r="B279" s="1894">
        <v>17</v>
      </c>
      <c r="C279" s="1895">
        <v>18</v>
      </c>
      <c r="D279" s="1932">
        <v>0.42</v>
      </c>
      <c r="E279" s="1916">
        <v>0.99</v>
      </c>
      <c r="F279" s="1930"/>
      <c r="G279" s="1894">
        <v>17</v>
      </c>
      <c r="H279" s="1895">
        <v>18</v>
      </c>
      <c r="I279" s="1932">
        <v>0.28999999999999998</v>
      </c>
      <c r="J279" s="1916">
        <v>0.81</v>
      </c>
      <c r="K279" s="1930"/>
      <c r="L279" s="1894">
        <v>17</v>
      </c>
      <c r="M279" s="1895">
        <v>18</v>
      </c>
      <c r="N279" s="1932">
        <v>0.35</v>
      </c>
      <c r="O279" s="1916">
        <v>0.35</v>
      </c>
      <c r="P279" s="1930"/>
      <c r="Q279" s="1894"/>
      <c r="R279" s="1895"/>
      <c r="S279" s="1932"/>
      <c r="T279" s="1916"/>
      <c r="U279" s="1930"/>
      <c r="V279" s="1894">
        <v>17</v>
      </c>
      <c r="W279" s="1895">
        <v>18</v>
      </c>
      <c r="X279" s="1932">
        <v>0.28999999999999998</v>
      </c>
      <c r="Y279" s="1916">
        <v>0.51</v>
      </c>
      <c r="Z279" s="1930"/>
      <c r="AA279" s="1894">
        <v>17</v>
      </c>
      <c r="AB279" s="1895">
        <v>18</v>
      </c>
      <c r="AC279" s="1932">
        <v>1.01</v>
      </c>
      <c r="AD279" s="1916">
        <v>1.24</v>
      </c>
      <c r="AF279" s="1894">
        <v>17</v>
      </c>
      <c r="AG279" s="1895">
        <v>18</v>
      </c>
      <c r="AH279" s="1932">
        <v>1.96</v>
      </c>
      <c r="AI279" s="1916">
        <v>4.75</v>
      </c>
      <c r="AK279" s="1957">
        <f t="shared" si="37"/>
        <v>0.35</v>
      </c>
      <c r="AL279" s="1958">
        <f t="shared" si="38"/>
        <v>0.28999999999999998</v>
      </c>
      <c r="AM279" s="1958">
        <f t="shared" si="36"/>
        <v>1.01</v>
      </c>
      <c r="AN279" s="1959">
        <f t="shared" si="39"/>
        <v>1.96</v>
      </c>
      <c r="AO279" s="1883">
        <v>6</v>
      </c>
      <c r="AP279" s="1871">
        <v>7</v>
      </c>
      <c r="AQ279" s="1926"/>
      <c r="AR279" s="1913"/>
    </row>
    <row r="280" spans="1:47">
      <c r="A280" s="1934"/>
      <c r="B280" s="1910">
        <v>18</v>
      </c>
      <c r="C280" s="1889">
        <v>19</v>
      </c>
      <c r="D280" s="1933">
        <v>0.84</v>
      </c>
      <c r="E280" s="1911">
        <v>1.97</v>
      </c>
      <c r="F280" s="1934"/>
      <c r="G280" s="1910">
        <v>18</v>
      </c>
      <c r="H280" s="1889">
        <v>19</v>
      </c>
      <c r="I280" s="1933">
        <v>0.28000000000000003</v>
      </c>
      <c r="J280" s="1911">
        <v>0.8</v>
      </c>
      <c r="K280" s="1934"/>
      <c r="L280" s="1910">
        <v>18</v>
      </c>
      <c r="M280" s="1889">
        <v>19</v>
      </c>
      <c r="N280" s="1933">
        <v>1.4</v>
      </c>
      <c r="O280" s="1911">
        <v>1.73</v>
      </c>
      <c r="P280" s="1934"/>
      <c r="Q280" s="1910"/>
      <c r="R280" s="1889"/>
      <c r="S280" s="1933"/>
      <c r="T280" s="1911"/>
      <c r="U280" s="1934"/>
      <c r="V280" s="1910">
        <v>18</v>
      </c>
      <c r="W280" s="1889">
        <v>19</v>
      </c>
      <c r="X280" s="1933">
        <v>0.34</v>
      </c>
      <c r="Y280" s="1911">
        <v>0.66</v>
      </c>
      <c r="Z280" s="1934"/>
      <c r="AA280" s="1910">
        <v>18</v>
      </c>
      <c r="AB280" s="1889">
        <v>19</v>
      </c>
      <c r="AC280" s="1933">
        <v>0.56999999999999995</v>
      </c>
      <c r="AD280" s="1911">
        <v>0.8</v>
      </c>
      <c r="AF280" s="1910">
        <v>18</v>
      </c>
      <c r="AG280" s="1889">
        <v>19</v>
      </c>
      <c r="AH280" s="1933">
        <v>0.56000000000000005</v>
      </c>
      <c r="AI280" s="1911">
        <v>1.58</v>
      </c>
      <c r="AK280" s="1952">
        <f t="shared" si="37"/>
        <v>1.4</v>
      </c>
      <c r="AL280" s="1953">
        <f t="shared" si="38"/>
        <v>0.34</v>
      </c>
      <c r="AM280" s="1953">
        <f t="shared" si="36"/>
        <v>0.56999999999999995</v>
      </c>
      <c r="AN280" s="1954">
        <f t="shared" si="39"/>
        <v>0.56000000000000005</v>
      </c>
      <c r="AO280" s="1908">
        <v>7</v>
      </c>
      <c r="AP280" s="1909">
        <v>8</v>
      </c>
      <c r="AQ280" s="1926"/>
      <c r="AR280" s="1913"/>
    </row>
    <row r="281" spans="1:47">
      <c r="A281" s="1934"/>
      <c r="B281" s="1902">
        <v>19</v>
      </c>
      <c r="C281" s="1873">
        <v>20</v>
      </c>
      <c r="D281" s="1935">
        <v>0.49</v>
      </c>
      <c r="E281" s="1912">
        <v>1.1399999999999999</v>
      </c>
      <c r="F281" s="1934"/>
      <c r="G281" s="1902">
        <v>19</v>
      </c>
      <c r="H281" s="1873">
        <v>20</v>
      </c>
      <c r="I281" s="1935">
        <v>0.31</v>
      </c>
      <c r="J281" s="1912">
        <v>0.88</v>
      </c>
      <c r="K281" s="1934"/>
      <c r="L281" s="1902">
        <v>19</v>
      </c>
      <c r="M281" s="1873">
        <v>20</v>
      </c>
      <c r="N281" s="1935">
        <v>1.31</v>
      </c>
      <c r="O281" s="1912">
        <v>1.88</v>
      </c>
      <c r="P281" s="1934"/>
      <c r="Q281" s="1902"/>
      <c r="R281" s="1873"/>
      <c r="S281" s="1935"/>
      <c r="T281" s="1912"/>
      <c r="U281" s="1934"/>
      <c r="V281" s="1902">
        <v>19</v>
      </c>
      <c r="W281" s="1873">
        <v>20</v>
      </c>
      <c r="X281" s="1935">
        <v>0.37</v>
      </c>
      <c r="Y281" s="1912">
        <v>0.77</v>
      </c>
      <c r="Z281" s="1934"/>
      <c r="AA281" s="1902">
        <v>19</v>
      </c>
      <c r="AB281" s="1873">
        <v>20</v>
      </c>
      <c r="AC281" s="1935">
        <v>0.53</v>
      </c>
      <c r="AD281" s="1912">
        <v>0.79</v>
      </c>
      <c r="AF281" s="1902">
        <v>19</v>
      </c>
      <c r="AG281" s="1873">
        <v>20</v>
      </c>
      <c r="AH281" s="1935">
        <v>0.34</v>
      </c>
      <c r="AI281" s="1912">
        <v>1.0900000000000001</v>
      </c>
      <c r="AK281" s="1955">
        <f t="shared" si="37"/>
        <v>1.31</v>
      </c>
      <c r="AL281" s="1926">
        <f t="shared" si="38"/>
        <v>0.37</v>
      </c>
      <c r="AM281" s="1926">
        <f t="shared" si="36"/>
        <v>0.53</v>
      </c>
      <c r="AN281" s="1956">
        <f t="shared" si="39"/>
        <v>0.34</v>
      </c>
      <c r="AO281" s="1890">
        <v>8</v>
      </c>
      <c r="AP281" s="1891">
        <v>9</v>
      </c>
      <c r="AQ281" s="1926"/>
      <c r="AR281" s="1913"/>
    </row>
    <row r="282" spans="1:47">
      <c r="A282" s="1934"/>
      <c r="B282" s="1902">
        <v>20</v>
      </c>
      <c r="C282" s="1873">
        <v>21</v>
      </c>
      <c r="D282" s="1935">
        <v>0.46</v>
      </c>
      <c r="E282" s="1912">
        <v>0.69</v>
      </c>
      <c r="F282" s="1934"/>
      <c r="G282" s="1902">
        <v>20</v>
      </c>
      <c r="H282" s="1873">
        <v>21</v>
      </c>
      <c r="I282" s="1935">
        <v>0.27</v>
      </c>
      <c r="J282" s="1912">
        <v>0.51</v>
      </c>
      <c r="K282" s="1934"/>
      <c r="L282" s="1902">
        <v>20</v>
      </c>
      <c r="M282" s="1873">
        <v>21</v>
      </c>
      <c r="N282" s="1935">
        <v>0.69</v>
      </c>
      <c r="O282" s="1912">
        <v>0.83</v>
      </c>
      <c r="P282" s="1934"/>
      <c r="Q282" s="1902"/>
      <c r="R282" s="1873"/>
      <c r="S282" s="1935"/>
      <c r="T282" s="1912"/>
      <c r="U282" s="1934"/>
      <c r="V282" s="1902">
        <v>20</v>
      </c>
      <c r="W282" s="1873">
        <v>21</v>
      </c>
      <c r="X282" s="1935">
        <v>0.36</v>
      </c>
      <c r="Y282" s="1912">
        <v>0.79</v>
      </c>
      <c r="Z282" s="1934"/>
      <c r="AA282" s="1902">
        <v>20</v>
      </c>
      <c r="AB282" s="1873">
        <v>21</v>
      </c>
      <c r="AC282" s="1935">
        <v>0.37</v>
      </c>
      <c r="AD282" s="1912">
        <v>0.55000000000000004</v>
      </c>
      <c r="AF282" s="1902">
        <v>20</v>
      </c>
      <c r="AG282" s="1873">
        <v>21</v>
      </c>
      <c r="AH282" s="1935">
        <v>0.37</v>
      </c>
      <c r="AI282" s="1912">
        <v>1.23</v>
      </c>
      <c r="AK282" s="1955">
        <f t="shared" si="37"/>
        <v>0.69</v>
      </c>
      <c r="AL282" s="1926">
        <f t="shared" si="38"/>
        <v>0.36</v>
      </c>
      <c r="AM282" s="1926">
        <f t="shared" si="36"/>
        <v>0.37</v>
      </c>
      <c r="AN282" s="1956">
        <f t="shared" si="39"/>
        <v>0.37</v>
      </c>
      <c r="AO282" s="1893">
        <v>9</v>
      </c>
      <c r="AP282" s="1872">
        <v>10</v>
      </c>
      <c r="AQ282" s="1926"/>
      <c r="AR282" s="1913"/>
    </row>
    <row r="283" spans="1:47">
      <c r="A283" s="1934"/>
      <c r="B283" s="1902">
        <v>21</v>
      </c>
      <c r="C283" s="1873">
        <v>22</v>
      </c>
      <c r="D283" s="1935">
        <v>0.33</v>
      </c>
      <c r="E283" s="1912">
        <v>0.49</v>
      </c>
      <c r="F283" s="1934"/>
      <c r="G283" s="1902">
        <v>21</v>
      </c>
      <c r="H283" s="1873">
        <v>22</v>
      </c>
      <c r="I283" s="1935">
        <v>0.23</v>
      </c>
      <c r="J283" s="1912">
        <v>0.42</v>
      </c>
      <c r="K283" s="1934"/>
      <c r="L283" s="1902">
        <v>21</v>
      </c>
      <c r="M283" s="1873">
        <v>22</v>
      </c>
      <c r="N283" s="1935">
        <v>0.3</v>
      </c>
      <c r="O283" s="1912">
        <v>0.31</v>
      </c>
      <c r="P283" s="1934"/>
      <c r="Q283" s="1902"/>
      <c r="R283" s="1873"/>
      <c r="S283" s="1935"/>
      <c r="T283" s="1912"/>
      <c r="U283" s="1934"/>
      <c r="V283" s="1902">
        <v>21</v>
      </c>
      <c r="W283" s="1873">
        <v>22</v>
      </c>
      <c r="X283" s="1935">
        <v>0.54</v>
      </c>
      <c r="Y283" s="1912">
        <v>1.1200000000000001</v>
      </c>
      <c r="Z283" s="1934"/>
      <c r="AA283" s="1902">
        <v>21</v>
      </c>
      <c r="AB283" s="1873">
        <v>22</v>
      </c>
      <c r="AC283" s="1935">
        <v>0.47</v>
      </c>
      <c r="AD283" s="1912">
        <v>0.7</v>
      </c>
      <c r="AF283" s="1902">
        <v>21</v>
      </c>
      <c r="AG283" s="1873">
        <v>22</v>
      </c>
      <c r="AH283" s="1935">
        <v>0.39</v>
      </c>
      <c r="AI283" s="1912">
        <v>1.31</v>
      </c>
      <c r="AK283" s="1955">
        <f t="shared" si="37"/>
        <v>0.3</v>
      </c>
      <c r="AL283" s="1926">
        <f t="shared" si="38"/>
        <v>0.54</v>
      </c>
      <c r="AM283" s="1926">
        <f t="shared" si="36"/>
        <v>0.47</v>
      </c>
      <c r="AN283" s="1956">
        <f t="shared" si="39"/>
        <v>0.39</v>
      </c>
      <c r="AO283" s="1893">
        <v>10</v>
      </c>
      <c r="AP283" s="1872">
        <v>11</v>
      </c>
      <c r="AQ283" s="1926"/>
      <c r="AR283" s="1913"/>
    </row>
    <row r="284" spans="1:47">
      <c r="A284" s="1934"/>
      <c r="B284" s="1902">
        <v>22</v>
      </c>
      <c r="C284" s="1873">
        <v>23</v>
      </c>
      <c r="D284" s="1935">
        <v>0.17</v>
      </c>
      <c r="E284" s="1912">
        <v>0.25</v>
      </c>
      <c r="F284" s="1934"/>
      <c r="G284" s="1902">
        <v>22</v>
      </c>
      <c r="H284" s="1873">
        <v>23</v>
      </c>
      <c r="I284" s="1935">
        <v>0.18</v>
      </c>
      <c r="J284" s="1912">
        <v>0.32</v>
      </c>
      <c r="K284" s="1934"/>
      <c r="L284" s="1902">
        <v>22</v>
      </c>
      <c r="M284" s="1873">
        <v>23</v>
      </c>
      <c r="N284" s="1935">
        <v>0.3</v>
      </c>
      <c r="O284" s="1912">
        <v>0.28000000000000003</v>
      </c>
      <c r="P284" s="1934"/>
      <c r="Q284" s="1902"/>
      <c r="R284" s="1873"/>
      <c r="S284" s="1935"/>
      <c r="T284" s="1912"/>
      <c r="U284" s="1934"/>
      <c r="V284" s="1902">
        <v>22</v>
      </c>
      <c r="W284" s="1873">
        <v>23</v>
      </c>
      <c r="X284" s="1935">
        <v>0.3</v>
      </c>
      <c r="Y284" s="1912">
        <v>0.56999999999999995</v>
      </c>
      <c r="Z284" s="1934"/>
      <c r="AA284" s="1902">
        <v>22</v>
      </c>
      <c r="AB284" s="1873">
        <v>23</v>
      </c>
      <c r="AC284" s="1935">
        <v>0.38</v>
      </c>
      <c r="AD284" s="1912">
        <v>0.55000000000000004</v>
      </c>
      <c r="AF284" s="1902">
        <v>22</v>
      </c>
      <c r="AG284" s="1873">
        <v>23</v>
      </c>
      <c r="AH284" s="1935">
        <v>0.34</v>
      </c>
      <c r="AI284" s="1912">
        <v>1.0900000000000001</v>
      </c>
      <c r="AK284" s="1955">
        <f t="shared" si="37"/>
        <v>0.3</v>
      </c>
      <c r="AL284" s="1926">
        <f t="shared" si="38"/>
        <v>0.3</v>
      </c>
      <c r="AM284" s="1926">
        <f t="shared" si="36"/>
        <v>0.38</v>
      </c>
      <c r="AN284" s="1956">
        <f t="shared" si="39"/>
        <v>0.34</v>
      </c>
      <c r="AO284" s="1893">
        <v>11</v>
      </c>
      <c r="AP284" s="1872">
        <v>12</v>
      </c>
      <c r="AQ284" s="1926"/>
      <c r="AR284" s="1913"/>
    </row>
    <row r="285" spans="1:47" ht="15" thickBot="1">
      <c r="A285" s="1934"/>
      <c r="B285" s="1902">
        <v>23</v>
      </c>
      <c r="C285" s="1873">
        <v>24</v>
      </c>
      <c r="D285" s="1935">
        <v>0.17</v>
      </c>
      <c r="E285" s="1912">
        <v>0.21</v>
      </c>
      <c r="F285" s="1934"/>
      <c r="G285" s="1902">
        <v>23</v>
      </c>
      <c r="H285" s="1873">
        <v>24</v>
      </c>
      <c r="I285" s="1935">
        <v>0.1</v>
      </c>
      <c r="J285" s="1912">
        <v>0.16</v>
      </c>
      <c r="K285" s="1934"/>
      <c r="L285" s="1902">
        <v>23</v>
      </c>
      <c r="M285" s="1873">
        <v>24</v>
      </c>
      <c r="N285" s="1935">
        <v>0.15</v>
      </c>
      <c r="O285" s="1912">
        <v>0.12</v>
      </c>
      <c r="P285" s="1934"/>
      <c r="Q285" s="1902"/>
      <c r="R285" s="1873"/>
      <c r="S285" s="1935"/>
      <c r="T285" s="1912"/>
      <c r="U285" s="1934"/>
      <c r="V285" s="1902">
        <v>23</v>
      </c>
      <c r="W285" s="1873">
        <v>24</v>
      </c>
      <c r="X285" s="1935">
        <v>0.23</v>
      </c>
      <c r="Y285" s="1912">
        <v>0.42</v>
      </c>
      <c r="Z285" s="1934"/>
      <c r="AA285" s="1902">
        <v>23</v>
      </c>
      <c r="AB285" s="1873">
        <v>24</v>
      </c>
      <c r="AC285" s="1935">
        <v>0.3</v>
      </c>
      <c r="AD285" s="1912">
        <v>0.43</v>
      </c>
      <c r="AF285" s="1902">
        <v>23</v>
      </c>
      <c r="AG285" s="1873">
        <v>24</v>
      </c>
      <c r="AH285" s="1935">
        <v>0.27</v>
      </c>
      <c r="AI285" s="1912">
        <v>0.79</v>
      </c>
      <c r="AK285" s="1957">
        <f t="shared" si="37"/>
        <v>0.15</v>
      </c>
      <c r="AL285" s="1958">
        <f t="shared" si="38"/>
        <v>0.23</v>
      </c>
      <c r="AM285" s="1958">
        <f t="shared" si="36"/>
        <v>0.3</v>
      </c>
      <c r="AN285" s="1959">
        <f t="shared" si="39"/>
        <v>0.27</v>
      </c>
      <c r="AO285" s="1893">
        <v>12</v>
      </c>
      <c r="AP285" s="1872">
        <v>13</v>
      </c>
      <c r="AQ285" s="1926"/>
      <c r="AR285" s="1913"/>
    </row>
    <row r="286" spans="1:47">
      <c r="B286" s="2766">
        <v>44968</v>
      </c>
      <c r="C286" s="2766"/>
      <c r="D286" s="1922">
        <f>SUM(D287:D310)</f>
        <v>8.1199999999999992</v>
      </c>
      <c r="E286" s="1923">
        <f>SUM(E287:E310)</f>
        <v>14.7</v>
      </c>
      <c r="G286" s="2773">
        <v>44996</v>
      </c>
      <c r="H286" s="2773"/>
      <c r="I286" s="1922">
        <f>SUM(I287:I310)</f>
        <v>10.16</v>
      </c>
      <c r="J286" s="1923">
        <f>SUM(J287:J310)</f>
        <v>18.740000000000002</v>
      </c>
      <c r="L286" s="2773">
        <v>45027</v>
      </c>
      <c r="M286" s="2773"/>
      <c r="N286" s="1936">
        <f>SUM(N287:N310)</f>
        <v>6.02</v>
      </c>
      <c r="O286" s="1937">
        <f>SUM(O287:O310)</f>
        <v>8.61</v>
      </c>
      <c r="Q286" s="2766">
        <v>45057</v>
      </c>
      <c r="R286" s="2766"/>
      <c r="S286" s="1936"/>
      <c r="T286" s="1937"/>
      <c r="V286" s="2766">
        <v>45057</v>
      </c>
      <c r="W286" s="2766"/>
      <c r="X286" s="1936">
        <f>SUM(X287:X310)</f>
        <v>7.08</v>
      </c>
      <c r="Y286" s="1937">
        <f>SUM(Y287:Y310)</f>
        <v>13.71</v>
      </c>
      <c r="AA286" s="2766">
        <v>45088</v>
      </c>
      <c r="AB286" s="2766"/>
      <c r="AC286" s="1936">
        <f>SUM(AC287:AC310)</f>
        <v>9.77</v>
      </c>
      <c r="AD286" s="1937">
        <f>SUM(AD287:AD310)</f>
        <v>10.790000000000001</v>
      </c>
      <c r="AF286" s="2766">
        <v>45118</v>
      </c>
      <c r="AG286" s="2766"/>
      <c r="AH286" s="1936">
        <f>SUM(AH287:AH310)</f>
        <v>9.4700000000000006</v>
      </c>
      <c r="AI286" s="1937">
        <f>SUM(AI287:AI310)</f>
        <v>24.679999999999993</v>
      </c>
      <c r="AO286" s="1893">
        <v>13</v>
      </c>
      <c r="AP286" s="1872">
        <v>14</v>
      </c>
      <c r="AQ286" s="1928"/>
      <c r="AR286" s="1917"/>
    </row>
    <row r="287" spans="1:47">
      <c r="A287" s="1927"/>
      <c r="B287" s="1883">
        <v>0</v>
      </c>
      <c r="C287" s="1871">
        <v>1</v>
      </c>
      <c r="D287" s="1926">
        <v>0.15</v>
      </c>
      <c r="E287" s="1913">
        <v>0.25</v>
      </c>
      <c r="F287" s="1927"/>
      <c r="G287" s="1883">
        <v>0</v>
      </c>
      <c r="H287" s="1871">
        <v>1</v>
      </c>
      <c r="I287" s="1926">
        <v>0.1</v>
      </c>
      <c r="J287" s="1913">
        <v>0.15</v>
      </c>
      <c r="K287" s="1927"/>
      <c r="L287" s="1883">
        <v>0</v>
      </c>
      <c r="M287" s="1871">
        <v>1</v>
      </c>
      <c r="N287" s="1926">
        <v>0.14000000000000001</v>
      </c>
      <c r="O287" s="1913">
        <v>0.12</v>
      </c>
      <c r="P287" s="1927"/>
      <c r="Q287" s="1883"/>
      <c r="R287" s="1871"/>
      <c r="S287" s="1926"/>
      <c r="T287" s="1913"/>
      <c r="U287" s="1927"/>
      <c r="V287" s="1883">
        <v>0</v>
      </c>
      <c r="W287" s="1871">
        <v>1</v>
      </c>
      <c r="X287" s="1926">
        <v>0.17</v>
      </c>
      <c r="Y287" s="1913">
        <v>0.3</v>
      </c>
      <c r="Z287" s="1927"/>
      <c r="AA287" s="1883">
        <v>0</v>
      </c>
      <c r="AB287" s="1871">
        <v>1</v>
      </c>
      <c r="AC287" s="1926">
        <v>0.21</v>
      </c>
      <c r="AD287" s="1913">
        <v>0.28999999999999998</v>
      </c>
      <c r="AF287" s="1883">
        <v>0</v>
      </c>
      <c r="AG287" s="1871">
        <v>1</v>
      </c>
      <c r="AH287" s="1926">
        <v>0.1</v>
      </c>
      <c r="AI287" s="1913">
        <v>0.28000000000000003</v>
      </c>
      <c r="AK287" s="1952">
        <f>N287</f>
        <v>0.14000000000000001</v>
      </c>
      <c r="AL287" s="1953">
        <f>X287</f>
        <v>0.17</v>
      </c>
      <c r="AM287" s="1953">
        <f t="shared" ref="AM287:AM310" si="40">AC287</f>
        <v>0.21</v>
      </c>
      <c r="AN287" s="1954">
        <f>AH287</f>
        <v>0.1</v>
      </c>
      <c r="AO287" s="1893">
        <v>14</v>
      </c>
      <c r="AP287" s="1872">
        <v>15</v>
      </c>
      <c r="AQ287" s="1929"/>
      <c r="AR287" s="1914"/>
      <c r="AS287" s="1961"/>
      <c r="AT287" s="1961"/>
      <c r="AU287" s="1961"/>
    </row>
    <row r="288" spans="1:47">
      <c r="A288" s="1927"/>
      <c r="B288" s="1883">
        <v>1</v>
      </c>
      <c r="C288" s="1871">
        <v>2</v>
      </c>
      <c r="D288" s="1926">
        <v>0.16</v>
      </c>
      <c r="E288" s="1913">
        <v>0.25</v>
      </c>
      <c r="F288" s="1927"/>
      <c r="G288" s="1883">
        <v>1</v>
      </c>
      <c r="H288" s="1871">
        <v>2</v>
      </c>
      <c r="I288" s="1926">
        <v>0.13</v>
      </c>
      <c r="J288" s="1913">
        <v>0.19</v>
      </c>
      <c r="K288" s="1927"/>
      <c r="L288" s="1883">
        <v>1</v>
      </c>
      <c r="M288" s="1871">
        <v>2</v>
      </c>
      <c r="N288" s="1926">
        <v>0.06</v>
      </c>
      <c r="O288" s="1913">
        <v>0.05</v>
      </c>
      <c r="P288" s="1927"/>
      <c r="Q288" s="1883"/>
      <c r="R288" s="1871"/>
      <c r="S288" s="1926"/>
      <c r="T288" s="1913"/>
      <c r="U288" s="1927"/>
      <c r="V288" s="1883">
        <v>1</v>
      </c>
      <c r="W288" s="1871">
        <v>2</v>
      </c>
      <c r="X288" s="1926">
        <v>0.21</v>
      </c>
      <c r="Y288" s="1913">
        <v>0.36</v>
      </c>
      <c r="Z288" s="1927"/>
      <c r="AA288" s="1883">
        <v>1</v>
      </c>
      <c r="AB288" s="1871">
        <v>2</v>
      </c>
      <c r="AC288" s="1926">
        <v>0.26</v>
      </c>
      <c r="AD288" s="1913">
        <v>0.35</v>
      </c>
      <c r="AF288" s="1883">
        <v>1</v>
      </c>
      <c r="AG288" s="1871">
        <v>2</v>
      </c>
      <c r="AH288" s="1926">
        <v>0.19</v>
      </c>
      <c r="AI288" s="1913">
        <v>0.52</v>
      </c>
      <c r="AK288" s="1955">
        <f t="shared" ref="AK288:AK310" si="41">N288</f>
        <v>0.06</v>
      </c>
      <c r="AL288" s="1926">
        <f t="shared" ref="AL288:AL310" si="42">X288</f>
        <v>0.21</v>
      </c>
      <c r="AM288" s="1926">
        <f t="shared" si="40"/>
        <v>0.26</v>
      </c>
      <c r="AN288" s="1956">
        <f t="shared" ref="AN288:AN310" si="43">AH288</f>
        <v>0.19</v>
      </c>
      <c r="AO288" s="1893">
        <v>15</v>
      </c>
      <c r="AP288" s="1872">
        <v>16</v>
      </c>
      <c r="AQ288" s="1931"/>
      <c r="AR288" s="1915"/>
      <c r="AS288" s="1961"/>
      <c r="AT288" s="1961"/>
      <c r="AU288" s="1961"/>
    </row>
    <row r="289" spans="1:47">
      <c r="A289" s="1927"/>
      <c r="B289" s="1883">
        <v>2</v>
      </c>
      <c r="C289" s="1871">
        <v>3</v>
      </c>
      <c r="D289" s="1926">
        <v>0.14000000000000001</v>
      </c>
      <c r="E289" s="1913">
        <v>0.22</v>
      </c>
      <c r="F289" s="1927"/>
      <c r="G289" s="1883">
        <v>2</v>
      </c>
      <c r="H289" s="1871">
        <v>3</v>
      </c>
      <c r="I289" s="1926">
        <v>0.11</v>
      </c>
      <c r="J289" s="1913">
        <v>0.17</v>
      </c>
      <c r="K289" s="1927"/>
      <c r="L289" s="1883">
        <v>2</v>
      </c>
      <c r="M289" s="1871">
        <v>3</v>
      </c>
      <c r="N289" s="1926">
        <v>0.12</v>
      </c>
      <c r="O289" s="1913">
        <v>0.1</v>
      </c>
      <c r="P289" s="1927"/>
      <c r="Q289" s="1883"/>
      <c r="R289" s="1871"/>
      <c r="S289" s="1926"/>
      <c r="T289" s="1913"/>
      <c r="U289" s="1927"/>
      <c r="V289" s="1883">
        <v>2</v>
      </c>
      <c r="W289" s="1871">
        <v>3</v>
      </c>
      <c r="X289" s="1926">
        <v>0.15</v>
      </c>
      <c r="Y289" s="1913">
        <v>0.26</v>
      </c>
      <c r="Z289" s="1927"/>
      <c r="AA289" s="1883">
        <v>2</v>
      </c>
      <c r="AB289" s="1871">
        <v>3</v>
      </c>
      <c r="AC289" s="1926">
        <v>0.14000000000000001</v>
      </c>
      <c r="AD289" s="1913">
        <v>0.18</v>
      </c>
      <c r="AF289" s="1883">
        <v>2</v>
      </c>
      <c r="AG289" s="1871">
        <v>3</v>
      </c>
      <c r="AH289" s="1926">
        <v>0.14000000000000001</v>
      </c>
      <c r="AI289" s="1913">
        <v>0.37</v>
      </c>
      <c r="AK289" s="1955">
        <f t="shared" si="41"/>
        <v>0.12</v>
      </c>
      <c r="AL289" s="1926">
        <f t="shared" si="42"/>
        <v>0.15</v>
      </c>
      <c r="AM289" s="1926">
        <f t="shared" si="40"/>
        <v>0.14000000000000001</v>
      </c>
      <c r="AN289" s="1956">
        <f t="shared" si="43"/>
        <v>0.14000000000000001</v>
      </c>
      <c r="AO289" s="1893">
        <v>16</v>
      </c>
      <c r="AP289" s="1872">
        <v>17</v>
      </c>
      <c r="AQ289" s="1931"/>
      <c r="AR289" s="1915"/>
      <c r="AS289" s="1961"/>
      <c r="AT289" s="1961"/>
      <c r="AU289" s="1961"/>
    </row>
    <row r="290" spans="1:47">
      <c r="A290" s="1927"/>
      <c r="B290" s="1883">
        <v>3</v>
      </c>
      <c r="C290" s="1871">
        <v>4</v>
      </c>
      <c r="D290" s="1926">
        <v>0.13</v>
      </c>
      <c r="E290" s="1913">
        <v>0.2</v>
      </c>
      <c r="F290" s="1927"/>
      <c r="G290" s="1883">
        <v>3</v>
      </c>
      <c r="H290" s="1871">
        <v>4</v>
      </c>
      <c r="I290" s="1926">
        <v>0.1</v>
      </c>
      <c r="J290" s="1913">
        <v>0.16</v>
      </c>
      <c r="K290" s="1927"/>
      <c r="L290" s="1883">
        <v>3</v>
      </c>
      <c r="M290" s="1871">
        <v>4</v>
      </c>
      <c r="N290" s="1926">
        <v>0.14000000000000001</v>
      </c>
      <c r="O290" s="1913">
        <v>0.12</v>
      </c>
      <c r="P290" s="1927"/>
      <c r="Q290" s="1883"/>
      <c r="R290" s="1871"/>
      <c r="S290" s="1926"/>
      <c r="T290" s="1913"/>
      <c r="U290" s="1927"/>
      <c r="V290" s="1883">
        <v>3</v>
      </c>
      <c r="W290" s="1871">
        <v>4</v>
      </c>
      <c r="X290" s="1926">
        <v>0.19</v>
      </c>
      <c r="Y290" s="1913">
        <v>0.33</v>
      </c>
      <c r="Z290" s="1927"/>
      <c r="AA290" s="1883">
        <v>3</v>
      </c>
      <c r="AB290" s="1871">
        <v>4</v>
      </c>
      <c r="AC290" s="1926">
        <v>0.23</v>
      </c>
      <c r="AD290" s="1913">
        <v>0.28999999999999998</v>
      </c>
      <c r="AF290" s="1883">
        <v>3</v>
      </c>
      <c r="AG290" s="1871">
        <v>4</v>
      </c>
      <c r="AH290" s="1926">
        <v>0.18</v>
      </c>
      <c r="AI290" s="1913">
        <v>0.47</v>
      </c>
      <c r="AK290" s="1955">
        <f t="shared" si="41"/>
        <v>0.14000000000000001</v>
      </c>
      <c r="AL290" s="1926">
        <f t="shared" si="42"/>
        <v>0.19</v>
      </c>
      <c r="AM290" s="1926">
        <f t="shared" si="40"/>
        <v>0.23</v>
      </c>
      <c r="AN290" s="1956">
        <f t="shared" si="43"/>
        <v>0.18</v>
      </c>
      <c r="AO290" s="1894">
        <v>17</v>
      </c>
      <c r="AP290" s="1895">
        <v>18</v>
      </c>
      <c r="AQ290" s="1931"/>
      <c r="AR290" s="1915"/>
      <c r="AS290" s="1961"/>
      <c r="AT290" s="1961"/>
      <c r="AU290" s="1961"/>
    </row>
    <row r="291" spans="1:47">
      <c r="A291" s="1927"/>
      <c r="B291" s="1883">
        <v>4</v>
      </c>
      <c r="C291" s="1871">
        <v>5</v>
      </c>
      <c r="D291" s="1926">
        <v>0.15</v>
      </c>
      <c r="E291" s="1913">
        <v>0.23</v>
      </c>
      <c r="F291" s="1927"/>
      <c r="G291" s="1883">
        <v>4</v>
      </c>
      <c r="H291" s="1871">
        <v>5</v>
      </c>
      <c r="I291" s="1926">
        <v>7.0000000000000007E-2</v>
      </c>
      <c r="J291" s="1913">
        <v>0.11</v>
      </c>
      <c r="K291" s="1927"/>
      <c r="L291" s="1883">
        <v>4</v>
      </c>
      <c r="M291" s="1871">
        <v>5</v>
      </c>
      <c r="N291" s="1926">
        <v>0.1</v>
      </c>
      <c r="O291" s="1913">
        <v>0.09</v>
      </c>
      <c r="P291" s="1927"/>
      <c r="Q291" s="1883"/>
      <c r="R291" s="1871"/>
      <c r="S291" s="1926"/>
      <c r="T291" s="1913"/>
      <c r="U291" s="1927"/>
      <c r="V291" s="1883">
        <v>4</v>
      </c>
      <c r="W291" s="1871">
        <v>5</v>
      </c>
      <c r="X291" s="1926">
        <v>0.17</v>
      </c>
      <c r="Y291" s="1913">
        <v>0.28999999999999998</v>
      </c>
      <c r="Z291" s="1927"/>
      <c r="AA291" s="1883">
        <v>4</v>
      </c>
      <c r="AB291" s="1871">
        <v>5</v>
      </c>
      <c r="AC291" s="1926">
        <v>0.14000000000000001</v>
      </c>
      <c r="AD291" s="1913">
        <v>0.18</v>
      </c>
      <c r="AF291" s="1883">
        <v>4</v>
      </c>
      <c r="AG291" s="1871">
        <v>5</v>
      </c>
      <c r="AH291" s="1926">
        <v>0.17</v>
      </c>
      <c r="AI291" s="1913">
        <v>0.44</v>
      </c>
      <c r="AK291" s="1955">
        <f t="shared" si="41"/>
        <v>0.1</v>
      </c>
      <c r="AL291" s="1926">
        <f t="shared" si="42"/>
        <v>0.17</v>
      </c>
      <c r="AM291" s="1926">
        <f t="shared" si="40"/>
        <v>0.14000000000000001</v>
      </c>
      <c r="AN291" s="1956">
        <f t="shared" si="43"/>
        <v>0.17</v>
      </c>
      <c r="AO291" s="1910">
        <v>18</v>
      </c>
      <c r="AP291" s="1889">
        <v>19</v>
      </c>
      <c r="AQ291" s="1931"/>
      <c r="AR291" s="1915"/>
      <c r="AS291" s="1961"/>
      <c r="AT291" s="1961"/>
      <c r="AU291" s="1961"/>
    </row>
    <row r="292" spans="1:47">
      <c r="A292" s="1927"/>
      <c r="B292" s="1883">
        <v>5</v>
      </c>
      <c r="C292" s="1871">
        <v>6</v>
      </c>
      <c r="D292" s="1926">
        <v>0.32</v>
      </c>
      <c r="E292" s="1913">
        <v>0.49</v>
      </c>
      <c r="F292" s="1927"/>
      <c r="G292" s="1883">
        <v>5</v>
      </c>
      <c r="H292" s="1871">
        <v>6</v>
      </c>
      <c r="I292" s="1926">
        <v>0.14000000000000001</v>
      </c>
      <c r="J292" s="1913">
        <v>0.24</v>
      </c>
      <c r="K292" s="1927"/>
      <c r="L292" s="1883">
        <v>5</v>
      </c>
      <c r="M292" s="1871">
        <v>6</v>
      </c>
      <c r="N292" s="1926">
        <v>0.13</v>
      </c>
      <c r="O292" s="1913">
        <v>0.15</v>
      </c>
      <c r="P292" s="1927"/>
      <c r="Q292" s="1883"/>
      <c r="R292" s="1871"/>
      <c r="S292" s="1926"/>
      <c r="T292" s="1913"/>
      <c r="U292" s="1927"/>
      <c r="V292" s="1883">
        <v>5</v>
      </c>
      <c r="W292" s="1871">
        <v>6</v>
      </c>
      <c r="X292" s="1926">
        <v>0.19</v>
      </c>
      <c r="Y292" s="1913">
        <v>0.34</v>
      </c>
      <c r="Z292" s="1927"/>
      <c r="AA292" s="1883">
        <v>5</v>
      </c>
      <c r="AB292" s="1871">
        <v>6</v>
      </c>
      <c r="AC292" s="1926">
        <v>0.31</v>
      </c>
      <c r="AD292" s="1913">
        <v>0.39</v>
      </c>
      <c r="AF292" s="1883">
        <v>5</v>
      </c>
      <c r="AG292" s="1871">
        <v>6</v>
      </c>
      <c r="AH292" s="1926">
        <v>0.1</v>
      </c>
      <c r="AI292" s="1913">
        <v>0.27</v>
      </c>
      <c r="AK292" s="1955">
        <f t="shared" si="41"/>
        <v>0.13</v>
      </c>
      <c r="AL292" s="1926">
        <f t="shared" si="42"/>
        <v>0.19</v>
      </c>
      <c r="AM292" s="1926">
        <f t="shared" si="40"/>
        <v>0.31</v>
      </c>
      <c r="AN292" s="1956">
        <f t="shared" si="43"/>
        <v>0.1</v>
      </c>
      <c r="AO292" s="1902">
        <v>19</v>
      </c>
      <c r="AP292" s="1873">
        <v>20</v>
      </c>
      <c r="AQ292" s="1931"/>
      <c r="AR292" s="1915"/>
      <c r="AS292" s="1961"/>
      <c r="AT292" s="1961"/>
      <c r="AU292" s="1961"/>
    </row>
    <row r="293" spans="1:47">
      <c r="A293" s="1927"/>
      <c r="B293" s="1883">
        <v>6</v>
      </c>
      <c r="C293" s="1871">
        <v>7</v>
      </c>
      <c r="D293" s="1926">
        <v>0.22</v>
      </c>
      <c r="E293" s="1913">
        <v>0.34</v>
      </c>
      <c r="F293" s="1927"/>
      <c r="G293" s="1883">
        <v>6</v>
      </c>
      <c r="H293" s="1871">
        <v>7</v>
      </c>
      <c r="I293" s="1926">
        <v>0.22</v>
      </c>
      <c r="J293" s="1913">
        <v>0.39</v>
      </c>
      <c r="K293" s="1927"/>
      <c r="L293" s="1883">
        <v>6</v>
      </c>
      <c r="M293" s="1871">
        <v>7</v>
      </c>
      <c r="N293" s="1926">
        <v>0.23</v>
      </c>
      <c r="O293" s="1913">
        <v>0.39</v>
      </c>
      <c r="P293" s="1927"/>
      <c r="Q293" s="1883"/>
      <c r="R293" s="1871"/>
      <c r="S293" s="1926"/>
      <c r="T293" s="1913"/>
      <c r="U293" s="1927"/>
      <c r="V293" s="1883">
        <v>6</v>
      </c>
      <c r="W293" s="1871">
        <v>7</v>
      </c>
      <c r="X293" s="1926">
        <v>0.25</v>
      </c>
      <c r="Y293" s="1913">
        <v>0.49</v>
      </c>
      <c r="Z293" s="1927"/>
      <c r="AA293" s="1883">
        <v>6</v>
      </c>
      <c r="AB293" s="1871">
        <v>7</v>
      </c>
      <c r="AC293" s="1926">
        <v>0.54</v>
      </c>
      <c r="AD293" s="1913">
        <v>0.69</v>
      </c>
      <c r="AF293" s="1883">
        <v>6</v>
      </c>
      <c r="AG293" s="1871">
        <v>7</v>
      </c>
      <c r="AH293" s="1926">
        <v>0.31</v>
      </c>
      <c r="AI293" s="1913">
        <v>0.88</v>
      </c>
      <c r="AK293" s="1955">
        <f t="shared" si="41"/>
        <v>0.23</v>
      </c>
      <c r="AL293" s="1926">
        <f t="shared" si="42"/>
        <v>0.25</v>
      </c>
      <c r="AM293" s="1926">
        <f t="shared" si="40"/>
        <v>0.54</v>
      </c>
      <c r="AN293" s="1956">
        <f t="shared" si="43"/>
        <v>0.31</v>
      </c>
      <c r="AO293" s="1902">
        <v>20</v>
      </c>
      <c r="AP293" s="1873">
        <v>21</v>
      </c>
      <c r="AQ293" s="1931"/>
      <c r="AR293" s="1915"/>
      <c r="AS293" s="1961"/>
      <c r="AT293" s="1962" t="s">
        <v>1479</v>
      </c>
      <c r="AU293" s="1961"/>
    </row>
    <row r="294" spans="1:47">
      <c r="A294" s="1927"/>
      <c r="B294" s="1908">
        <v>7</v>
      </c>
      <c r="C294" s="1909">
        <v>8</v>
      </c>
      <c r="D294" s="1928">
        <v>0.26</v>
      </c>
      <c r="E294" s="1917">
        <v>0.4</v>
      </c>
      <c r="F294" s="1927"/>
      <c r="G294" s="1908">
        <v>7</v>
      </c>
      <c r="H294" s="1909">
        <v>8</v>
      </c>
      <c r="I294" s="1928">
        <v>0.36</v>
      </c>
      <c r="J294" s="1917">
        <v>0.66</v>
      </c>
      <c r="K294" s="1927"/>
      <c r="L294" s="1908">
        <v>7</v>
      </c>
      <c r="M294" s="1909">
        <v>8</v>
      </c>
      <c r="N294" s="1928">
        <v>0.22</v>
      </c>
      <c r="O294" s="1917">
        <v>0.4</v>
      </c>
      <c r="P294" s="1927"/>
      <c r="Q294" s="1908"/>
      <c r="R294" s="1909"/>
      <c r="S294" s="1928"/>
      <c r="T294" s="1917"/>
      <c r="U294" s="1927"/>
      <c r="V294" s="1908">
        <v>7</v>
      </c>
      <c r="W294" s="1909">
        <v>8</v>
      </c>
      <c r="X294" s="1928">
        <v>0.31</v>
      </c>
      <c r="Y294" s="1917">
        <v>0.68</v>
      </c>
      <c r="Z294" s="1927"/>
      <c r="AA294" s="1908">
        <v>7</v>
      </c>
      <c r="AB294" s="1909">
        <v>8</v>
      </c>
      <c r="AC294" s="1928">
        <v>0.52</v>
      </c>
      <c r="AD294" s="1917">
        <v>0.65</v>
      </c>
      <c r="AF294" s="1908">
        <v>7</v>
      </c>
      <c r="AG294" s="1909">
        <v>8</v>
      </c>
      <c r="AH294" s="1928">
        <v>0.28999999999999998</v>
      </c>
      <c r="AI294" s="1917">
        <v>0.82</v>
      </c>
      <c r="AK294" s="1957">
        <f t="shared" si="41"/>
        <v>0.22</v>
      </c>
      <c r="AL294" s="1958">
        <f t="shared" si="42"/>
        <v>0.31</v>
      </c>
      <c r="AM294" s="1958">
        <f t="shared" si="40"/>
        <v>0.52</v>
      </c>
      <c r="AN294" s="1959">
        <f t="shared" si="43"/>
        <v>0.28999999999999998</v>
      </c>
      <c r="AO294" s="1902">
        <v>21</v>
      </c>
      <c r="AP294" s="1873">
        <v>22</v>
      </c>
      <c r="AQ294" s="1931"/>
      <c r="AR294" s="1915"/>
      <c r="AS294" s="1963">
        <f>$AK55</f>
        <v>0.6</v>
      </c>
      <c r="AT294" s="1964">
        <f>$AL55</f>
        <v>0.28999999999999998</v>
      </c>
      <c r="AU294" s="1965">
        <f>$AM55</f>
        <v>1.0900000000000001</v>
      </c>
    </row>
    <row r="295" spans="1:47">
      <c r="A295" s="1930"/>
      <c r="B295" s="1890">
        <v>8</v>
      </c>
      <c r="C295" s="1891">
        <v>9</v>
      </c>
      <c r="D295" s="1929">
        <v>0.42</v>
      </c>
      <c r="E295" s="1914">
        <v>0.66</v>
      </c>
      <c r="F295" s="1930"/>
      <c r="G295" s="1890">
        <v>8</v>
      </c>
      <c r="H295" s="1891">
        <v>9</v>
      </c>
      <c r="I295" s="1929">
        <v>0.4</v>
      </c>
      <c r="J295" s="1914">
        <v>0.75</v>
      </c>
      <c r="K295" s="1930"/>
      <c r="L295" s="1890">
        <v>8</v>
      </c>
      <c r="M295" s="1891">
        <v>9</v>
      </c>
      <c r="N295" s="1929">
        <v>0.27</v>
      </c>
      <c r="O295" s="1914">
        <v>0.49</v>
      </c>
      <c r="P295" s="1930"/>
      <c r="Q295" s="1890"/>
      <c r="R295" s="1891"/>
      <c r="S295" s="1929"/>
      <c r="T295" s="1914"/>
      <c r="U295" s="1930"/>
      <c r="V295" s="1890">
        <v>8</v>
      </c>
      <c r="W295" s="1891">
        <v>9</v>
      </c>
      <c r="X295" s="1929">
        <v>0.28000000000000003</v>
      </c>
      <c r="Y295" s="1914">
        <v>0.67</v>
      </c>
      <c r="Z295" s="1930"/>
      <c r="AA295" s="1890">
        <v>8</v>
      </c>
      <c r="AB295" s="1891">
        <v>9</v>
      </c>
      <c r="AC295" s="1929">
        <v>0.49</v>
      </c>
      <c r="AD295" s="1914">
        <v>0.53</v>
      </c>
      <c r="AF295" s="1890">
        <v>8</v>
      </c>
      <c r="AG295" s="1891">
        <v>9</v>
      </c>
      <c r="AH295" s="1929">
        <v>1.38</v>
      </c>
      <c r="AI295" s="1914">
        <v>3.87</v>
      </c>
      <c r="AK295" s="1952">
        <f t="shared" si="41"/>
        <v>0.27</v>
      </c>
      <c r="AL295" s="1953">
        <f t="shared" si="42"/>
        <v>0.28000000000000003</v>
      </c>
      <c r="AM295" s="1953">
        <f t="shared" si="40"/>
        <v>0.49</v>
      </c>
      <c r="AN295" s="1954">
        <f t="shared" si="43"/>
        <v>1.38</v>
      </c>
      <c r="AO295" s="1902">
        <v>22</v>
      </c>
      <c r="AP295" s="1873">
        <v>23</v>
      </c>
      <c r="AQ295" s="1931"/>
      <c r="AR295" s="1915"/>
      <c r="AS295" s="1966">
        <f>$AK80</f>
        <v>0.39</v>
      </c>
      <c r="AT295" s="1967">
        <f>$AL80</f>
        <v>0.99</v>
      </c>
      <c r="AU295" s="1968">
        <f>$AM80</f>
        <v>0.89</v>
      </c>
    </row>
    <row r="296" spans="1:47">
      <c r="A296" s="1930"/>
      <c r="B296" s="1893">
        <v>9</v>
      </c>
      <c r="C296" s="1872">
        <v>10</v>
      </c>
      <c r="D296" s="1931">
        <v>0.43</v>
      </c>
      <c r="E296" s="1915">
        <v>0.68</v>
      </c>
      <c r="F296" s="1930"/>
      <c r="G296" s="1893">
        <v>9</v>
      </c>
      <c r="H296" s="1872">
        <v>10</v>
      </c>
      <c r="I296" s="1931">
        <v>0.32</v>
      </c>
      <c r="J296" s="1915">
        <v>0.57999999999999996</v>
      </c>
      <c r="K296" s="1930"/>
      <c r="L296" s="1893">
        <v>9</v>
      </c>
      <c r="M296" s="1872">
        <v>10</v>
      </c>
      <c r="N296" s="1931">
        <v>0.21</v>
      </c>
      <c r="O296" s="1915">
        <v>0.36</v>
      </c>
      <c r="P296" s="1930"/>
      <c r="Q296" s="1893"/>
      <c r="R296" s="1872"/>
      <c r="S296" s="1931"/>
      <c r="T296" s="1915"/>
      <c r="U296" s="1930"/>
      <c r="V296" s="1893">
        <v>9</v>
      </c>
      <c r="W296" s="1872">
        <v>10</v>
      </c>
      <c r="X296" s="1931">
        <v>0.31</v>
      </c>
      <c r="Y296" s="1915">
        <v>0.64</v>
      </c>
      <c r="Z296" s="1930"/>
      <c r="AA296" s="1893">
        <v>9</v>
      </c>
      <c r="AB296" s="1872">
        <v>10</v>
      </c>
      <c r="AC296" s="1931">
        <v>0.38</v>
      </c>
      <c r="AD296" s="1915">
        <v>0.37</v>
      </c>
      <c r="AF296" s="1893">
        <v>9</v>
      </c>
      <c r="AG296" s="1872">
        <v>10</v>
      </c>
      <c r="AH296" s="1931">
        <v>0.96</v>
      </c>
      <c r="AI296" s="1915">
        <v>2.5499999999999998</v>
      </c>
      <c r="AK296" s="1955">
        <f t="shared" si="41"/>
        <v>0.21</v>
      </c>
      <c r="AL296" s="1926">
        <f t="shared" si="42"/>
        <v>0.31</v>
      </c>
      <c r="AM296" s="1926">
        <f t="shared" si="40"/>
        <v>0.38</v>
      </c>
      <c r="AN296" s="1956">
        <f t="shared" si="43"/>
        <v>0.96</v>
      </c>
      <c r="AO296" s="1902">
        <v>23</v>
      </c>
      <c r="AP296" s="1873">
        <v>24</v>
      </c>
      <c r="AQ296" s="1932"/>
      <c r="AR296" s="1916"/>
      <c r="AS296" s="1966">
        <f>$AK105</f>
        <v>0.73</v>
      </c>
      <c r="AT296" s="1967">
        <f>$AL105</f>
        <v>0.37</v>
      </c>
      <c r="AU296" s="1968">
        <f>$AM105</f>
        <v>0.65</v>
      </c>
    </row>
    <row r="297" spans="1:47">
      <c r="A297" s="1930"/>
      <c r="B297" s="1893">
        <v>10</v>
      </c>
      <c r="C297" s="1872">
        <v>11</v>
      </c>
      <c r="D297" s="1931">
        <v>0.46</v>
      </c>
      <c r="E297" s="1915">
        <v>0.73</v>
      </c>
      <c r="F297" s="1930"/>
      <c r="G297" s="1893">
        <v>10</v>
      </c>
      <c r="H297" s="1872">
        <v>11</v>
      </c>
      <c r="I297" s="1931">
        <v>0.28999999999999998</v>
      </c>
      <c r="J297" s="1915">
        <v>0.49</v>
      </c>
      <c r="K297" s="1930"/>
      <c r="L297" s="1893">
        <v>10</v>
      </c>
      <c r="M297" s="1872">
        <v>11</v>
      </c>
      <c r="N297" s="1931">
        <v>0.35</v>
      </c>
      <c r="O297" s="1915">
        <v>0.46</v>
      </c>
      <c r="P297" s="1930"/>
      <c r="Q297" s="1893"/>
      <c r="R297" s="1872"/>
      <c r="S297" s="1931"/>
      <c r="T297" s="1915"/>
      <c r="U297" s="1930"/>
      <c r="V297" s="1893">
        <v>10</v>
      </c>
      <c r="W297" s="1872">
        <v>11</v>
      </c>
      <c r="X297" s="1931">
        <v>0.22</v>
      </c>
      <c r="Y297" s="1915">
        <v>0.44</v>
      </c>
      <c r="Z297" s="1930"/>
      <c r="AA297" s="1893">
        <v>10</v>
      </c>
      <c r="AB297" s="1872">
        <v>11</v>
      </c>
      <c r="AC297" s="1931">
        <v>0.38</v>
      </c>
      <c r="AD297" s="1915">
        <v>0.31</v>
      </c>
      <c r="AF297" s="1893">
        <v>10</v>
      </c>
      <c r="AG297" s="1872">
        <v>11</v>
      </c>
      <c r="AH297" s="1931">
        <v>0.34</v>
      </c>
      <c r="AI297" s="1915">
        <v>0.86</v>
      </c>
      <c r="AK297" s="1955">
        <f t="shared" si="41"/>
        <v>0.35</v>
      </c>
      <c r="AL297" s="1926">
        <f t="shared" si="42"/>
        <v>0.22</v>
      </c>
      <c r="AM297" s="1926">
        <f t="shared" si="40"/>
        <v>0.38</v>
      </c>
      <c r="AN297" s="1956">
        <f t="shared" si="43"/>
        <v>0.34</v>
      </c>
      <c r="AO297" s="1894"/>
      <c r="AP297" s="1895"/>
      <c r="AQ297" s="1933"/>
      <c r="AR297" s="1911"/>
      <c r="AS297" s="1966">
        <f>$AK130</f>
        <v>0.51</v>
      </c>
      <c r="AT297" s="1967">
        <f>$AL130</f>
        <v>0.38</v>
      </c>
      <c r="AU297" s="1968">
        <f>$AM130</f>
        <v>0.32</v>
      </c>
    </row>
    <row r="298" spans="1:47">
      <c r="A298" s="1930"/>
      <c r="B298" s="1893">
        <v>11</v>
      </c>
      <c r="C298" s="1872">
        <v>12</v>
      </c>
      <c r="D298" s="1931">
        <v>0.32</v>
      </c>
      <c r="E298" s="1915">
        <v>0.51</v>
      </c>
      <c r="F298" s="1930"/>
      <c r="G298" s="1893">
        <v>11</v>
      </c>
      <c r="H298" s="1872">
        <v>12</v>
      </c>
      <c r="I298" s="1931">
        <v>0.95</v>
      </c>
      <c r="J298" s="1915">
        <v>1.51</v>
      </c>
      <c r="K298" s="1930"/>
      <c r="L298" s="1893">
        <v>11</v>
      </c>
      <c r="M298" s="1872">
        <v>12</v>
      </c>
      <c r="N298" s="1931">
        <v>0.2</v>
      </c>
      <c r="O298" s="1915">
        <v>0.18</v>
      </c>
      <c r="P298" s="1930"/>
      <c r="Q298" s="1893"/>
      <c r="R298" s="1872"/>
      <c r="S298" s="1931"/>
      <c r="T298" s="1915"/>
      <c r="U298" s="1930"/>
      <c r="V298" s="1893">
        <v>11</v>
      </c>
      <c r="W298" s="1872">
        <v>12</v>
      </c>
      <c r="X298" s="1931">
        <v>0.23</v>
      </c>
      <c r="Y298" s="1915">
        <v>0.44</v>
      </c>
      <c r="Z298" s="1930"/>
      <c r="AA298" s="1893">
        <v>11</v>
      </c>
      <c r="AB298" s="1872">
        <v>12</v>
      </c>
      <c r="AC298" s="1931">
        <v>0.62</v>
      </c>
      <c r="AD298" s="1915">
        <v>0.5</v>
      </c>
      <c r="AF298" s="1893">
        <v>11</v>
      </c>
      <c r="AG298" s="1872">
        <v>12</v>
      </c>
      <c r="AH298" s="1931">
        <v>0.46</v>
      </c>
      <c r="AI298" s="1915">
        <v>1.02</v>
      </c>
      <c r="AK298" s="1955">
        <f t="shared" si="41"/>
        <v>0.2</v>
      </c>
      <c r="AL298" s="1926">
        <f t="shared" si="42"/>
        <v>0.23</v>
      </c>
      <c r="AM298" s="1926">
        <f t="shared" si="40"/>
        <v>0.62</v>
      </c>
      <c r="AN298" s="1956">
        <f t="shared" si="43"/>
        <v>0.46</v>
      </c>
      <c r="AO298" s="1883">
        <v>0</v>
      </c>
      <c r="AP298" s="1871">
        <v>1</v>
      </c>
      <c r="AQ298" s="1935"/>
      <c r="AR298" s="1912"/>
      <c r="AS298" s="1966">
        <f>$AK155</f>
        <v>0.33</v>
      </c>
      <c r="AT298" s="1967">
        <f>$AL155</f>
        <v>0.3</v>
      </c>
      <c r="AU298" s="1968">
        <f>$AM155</f>
        <v>0.39</v>
      </c>
    </row>
    <row r="299" spans="1:47">
      <c r="A299" s="1930"/>
      <c r="B299" s="1893">
        <v>12</v>
      </c>
      <c r="C299" s="1872">
        <v>13</v>
      </c>
      <c r="D299" s="1931">
        <v>0.44</v>
      </c>
      <c r="E299" s="1915">
        <v>0.69</v>
      </c>
      <c r="F299" s="1930"/>
      <c r="G299" s="1893">
        <v>12</v>
      </c>
      <c r="H299" s="1872">
        <v>13</v>
      </c>
      <c r="I299" s="1931">
        <v>0.47</v>
      </c>
      <c r="J299" s="1915">
        <v>0.73</v>
      </c>
      <c r="K299" s="1930"/>
      <c r="L299" s="1893">
        <v>12</v>
      </c>
      <c r="M299" s="1872">
        <v>13</v>
      </c>
      <c r="N299" s="1931">
        <v>0.33</v>
      </c>
      <c r="O299" s="1915">
        <v>0.27</v>
      </c>
      <c r="P299" s="1930"/>
      <c r="Q299" s="1893"/>
      <c r="R299" s="1872"/>
      <c r="S299" s="1931"/>
      <c r="T299" s="1915"/>
      <c r="U299" s="1930"/>
      <c r="V299" s="1893">
        <v>12</v>
      </c>
      <c r="W299" s="1872">
        <v>13</v>
      </c>
      <c r="X299" s="1931">
        <v>0.24</v>
      </c>
      <c r="Y299" s="1915">
        <v>0.43</v>
      </c>
      <c r="Z299" s="1930"/>
      <c r="AA299" s="1893">
        <v>12</v>
      </c>
      <c r="AB299" s="1872">
        <v>13</v>
      </c>
      <c r="AC299" s="1931">
        <v>0.39</v>
      </c>
      <c r="AD299" s="1915">
        <v>0.25</v>
      </c>
      <c r="AF299" s="1893">
        <v>12</v>
      </c>
      <c r="AG299" s="1872">
        <v>13</v>
      </c>
      <c r="AH299" s="1931">
        <v>0.36</v>
      </c>
      <c r="AI299" s="1915">
        <v>0.79</v>
      </c>
      <c r="AK299" s="1955">
        <f t="shared" si="41"/>
        <v>0.33</v>
      </c>
      <c r="AL299" s="1926">
        <f t="shared" si="42"/>
        <v>0.24</v>
      </c>
      <c r="AM299" s="1926">
        <f t="shared" si="40"/>
        <v>0.39</v>
      </c>
      <c r="AN299" s="1956">
        <f t="shared" si="43"/>
        <v>0.36</v>
      </c>
      <c r="AO299" s="1883">
        <v>1</v>
      </c>
      <c r="AP299" s="1871">
        <v>2</v>
      </c>
      <c r="AQ299" s="1935"/>
      <c r="AR299" s="1912"/>
      <c r="AS299" s="1966">
        <f>$AK180</f>
        <v>0.28999999999999998</v>
      </c>
      <c r="AT299" s="1967">
        <f>$AL180</f>
        <v>0.3</v>
      </c>
      <c r="AU299" s="1968">
        <f>$AM180</f>
        <v>0.63</v>
      </c>
    </row>
    <row r="300" spans="1:47">
      <c r="A300" s="1930"/>
      <c r="B300" s="1893">
        <v>13</v>
      </c>
      <c r="C300" s="1872">
        <v>14</v>
      </c>
      <c r="D300" s="1931">
        <v>0.37</v>
      </c>
      <c r="E300" s="1915">
        <v>0.57999999999999996</v>
      </c>
      <c r="F300" s="1930"/>
      <c r="G300" s="1893">
        <v>13</v>
      </c>
      <c r="H300" s="1872">
        <v>14</v>
      </c>
      <c r="I300" s="1931">
        <v>1.32</v>
      </c>
      <c r="J300" s="1915">
        <v>1.82</v>
      </c>
      <c r="K300" s="1930"/>
      <c r="L300" s="1893">
        <v>13</v>
      </c>
      <c r="M300" s="1872">
        <v>14</v>
      </c>
      <c r="N300" s="1931">
        <v>0.27</v>
      </c>
      <c r="O300" s="1915">
        <v>0.22</v>
      </c>
      <c r="P300" s="1930"/>
      <c r="Q300" s="1893"/>
      <c r="R300" s="1872"/>
      <c r="S300" s="1931"/>
      <c r="T300" s="1915"/>
      <c r="U300" s="1930"/>
      <c r="V300" s="1893">
        <v>13</v>
      </c>
      <c r="W300" s="1872">
        <v>14</v>
      </c>
      <c r="X300" s="1931">
        <v>0.18</v>
      </c>
      <c r="Y300" s="1915">
        <v>0.31</v>
      </c>
      <c r="Z300" s="1930"/>
      <c r="AA300" s="1893">
        <v>13</v>
      </c>
      <c r="AB300" s="1872">
        <v>14</v>
      </c>
      <c r="AC300" s="1931">
        <v>0.35</v>
      </c>
      <c r="AD300" s="1915">
        <v>0.17</v>
      </c>
      <c r="AF300" s="1893">
        <v>13</v>
      </c>
      <c r="AG300" s="1872">
        <v>14</v>
      </c>
      <c r="AH300" s="1931">
        <v>0.56000000000000005</v>
      </c>
      <c r="AI300" s="1915">
        <v>1.18</v>
      </c>
      <c r="AK300" s="1955">
        <f t="shared" si="41"/>
        <v>0.27</v>
      </c>
      <c r="AL300" s="1926">
        <f t="shared" si="42"/>
        <v>0.18</v>
      </c>
      <c r="AM300" s="1926">
        <f t="shared" si="40"/>
        <v>0.35</v>
      </c>
      <c r="AN300" s="1956">
        <f t="shared" si="43"/>
        <v>0.56000000000000005</v>
      </c>
      <c r="AO300" s="1883">
        <v>2</v>
      </c>
      <c r="AP300" s="1871">
        <v>3</v>
      </c>
      <c r="AQ300" s="1935"/>
      <c r="AR300" s="1912"/>
      <c r="AS300" s="1966">
        <f>$AK205</f>
        <v>0.28000000000000003</v>
      </c>
      <c r="AT300" s="1967">
        <f>$AL205</f>
        <v>0.22</v>
      </c>
      <c r="AU300" s="1968">
        <f>$AM205</f>
        <v>0.61</v>
      </c>
    </row>
    <row r="301" spans="1:47">
      <c r="A301" s="1930"/>
      <c r="B301" s="1893">
        <v>14</v>
      </c>
      <c r="C301" s="1872">
        <v>15</v>
      </c>
      <c r="D301" s="1931">
        <v>0.54</v>
      </c>
      <c r="E301" s="1915">
        <v>0.86</v>
      </c>
      <c r="F301" s="1930"/>
      <c r="G301" s="1893">
        <v>14</v>
      </c>
      <c r="H301" s="1872">
        <v>15</v>
      </c>
      <c r="I301" s="1931">
        <v>0.7</v>
      </c>
      <c r="J301" s="1915">
        <v>0.97</v>
      </c>
      <c r="K301" s="1930"/>
      <c r="L301" s="1893">
        <v>14</v>
      </c>
      <c r="M301" s="1872">
        <v>15</v>
      </c>
      <c r="N301" s="1931">
        <v>0.23</v>
      </c>
      <c r="O301" s="1915">
        <v>0.19</v>
      </c>
      <c r="P301" s="1930"/>
      <c r="Q301" s="1893"/>
      <c r="R301" s="1872"/>
      <c r="S301" s="1931"/>
      <c r="T301" s="1915"/>
      <c r="U301" s="1930"/>
      <c r="V301" s="1893">
        <v>14</v>
      </c>
      <c r="W301" s="1872">
        <v>15</v>
      </c>
      <c r="X301" s="1931">
        <v>0.15</v>
      </c>
      <c r="Y301" s="1915">
        <v>0.26</v>
      </c>
      <c r="Z301" s="1930"/>
      <c r="AA301" s="1893">
        <v>14</v>
      </c>
      <c r="AB301" s="1872">
        <v>15</v>
      </c>
      <c r="AC301" s="1931">
        <v>0.53</v>
      </c>
      <c r="AD301" s="1915">
        <v>0.26</v>
      </c>
      <c r="AF301" s="1893">
        <v>14</v>
      </c>
      <c r="AG301" s="1872">
        <v>15</v>
      </c>
      <c r="AH301" s="1931">
        <v>0.3</v>
      </c>
      <c r="AI301" s="1915">
        <v>0.64</v>
      </c>
      <c r="AK301" s="1955">
        <f t="shared" si="41"/>
        <v>0.23</v>
      </c>
      <c r="AL301" s="1926">
        <f t="shared" si="42"/>
        <v>0.15</v>
      </c>
      <c r="AM301" s="1926">
        <f t="shared" si="40"/>
        <v>0.53</v>
      </c>
      <c r="AN301" s="1956">
        <f t="shared" si="43"/>
        <v>0.3</v>
      </c>
      <c r="AO301" s="1883">
        <v>3</v>
      </c>
      <c r="AP301" s="1871">
        <v>4</v>
      </c>
      <c r="AQ301" s="1935"/>
      <c r="AR301" s="1912"/>
      <c r="AS301" s="1966">
        <f>$AK230</f>
        <v>0.5</v>
      </c>
      <c r="AT301" s="1967">
        <f>$AL230</f>
        <v>0.33</v>
      </c>
      <c r="AU301" s="1968">
        <f>$AM230</f>
        <v>0.69</v>
      </c>
    </row>
    <row r="302" spans="1:47">
      <c r="A302" s="1930"/>
      <c r="B302" s="1893">
        <v>15</v>
      </c>
      <c r="C302" s="1872">
        <v>16</v>
      </c>
      <c r="D302" s="1931">
        <v>0.56999999999999995</v>
      </c>
      <c r="E302" s="1915">
        <v>0.9</v>
      </c>
      <c r="F302" s="1930"/>
      <c r="G302" s="1893">
        <v>15</v>
      </c>
      <c r="H302" s="1872">
        <v>16</v>
      </c>
      <c r="I302" s="1931">
        <v>0.55000000000000004</v>
      </c>
      <c r="J302" s="1915">
        <v>0.87</v>
      </c>
      <c r="K302" s="1930"/>
      <c r="L302" s="1893">
        <v>15</v>
      </c>
      <c r="M302" s="1872">
        <v>16</v>
      </c>
      <c r="N302" s="1931">
        <v>0.25</v>
      </c>
      <c r="O302" s="1915">
        <v>0.21</v>
      </c>
      <c r="P302" s="1930"/>
      <c r="Q302" s="1893"/>
      <c r="R302" s="1872"/>
      <c r="S302" s="1931"/>
      <c r="T302" s="1915"/>
      <c r="U302" s="1930"/>
      <c r="V302" s="1893">
        <v>15</v>
      </c>
      <c r="W302" s="1872">
        <v>16</v>
      </c>
      <c r="X302" s="1931">
        <v>0.32</v>
      </c>
      <c r="Y302" s="1915">
        <v>0.59</v>
      </c>
      <c r="Z302" s="1930"/>
      <c r="AA302" s="1893">
        <v>15</v>
      </c>
      <c r="AB302" s="1872">
        <v>16</v>
      </c>
      <c r="AC302" s="1931">
        <v>0.5</v>
      </c>
      <c r="AD302" s="1915">
        <v>0.36</v>
      </c>
      <c r="AF302" s="1893">
        <v>15</v>
      </c>
      <c r="AG302" s="1872">
        <v>16</v>
      </c>
      <c r="AH302" s="1931">
        <v>0.42</v>
      </c>
      <c r="AI302" s="1915">
        <v>0.93</v>
      </c>
      <c r="AK302" s="1955">
        <f t="shared" si="41"/>
        <v>0.25</v>
      </c>
      <c r="AL302" s="1926">
        <f t="shared" si="42"/>
        <v>0.32</v>
      </c>
      <c r="AM302" s="1926">
        <f t="shared" si="40"/>
        <v>0.5</v>
      </c>
      <c r="AN302" s="1956">
        <f t="shared" si="43"/>
        <v>0.42</v>
      </c>
      <c r="AO302" s="1883">
        <v>4</v>
      </c>
      <c r="AP302" s="1871">
        <v>5</v>
      </c>
      <c r="AQ302" s="1935"/>
      <c r="AR302" s="1912"/>
      <c r="AS302" s="1966">
        <f>$AK255</f>
        <v>0.94</v>
      </c>
      <c r="AT302" s="1967">
        <f>$AL255</f>
        <v>0.27</v>
      </c>
      <c r="AU302" s="1968">
        <f>$AM255</f>
        <v>1.1200000000000001</v>
      </c>
    </row>
    <row r="303" spans="1:47">
      <c r="A303" s="1930"/>
      <c r="B303" s="1893">
        <v>16</v>
      </c>
      <c r="C303" s="1872">
        <v>17</v>
      </c>
      <c r="D303" s="1931">
        <v>0.27</v>
      </c>
      <c r="E303" s="1915">
        <v>0.44</v>
      </c>
      <c r="F303" s="1930"/>
      <c r="G303" s="1893">
        <v>16</v>
      </c>
      <c r="H303" s="1872">
        <v>17</v>
      </c>
      <c r="I303" s="1931">
        <v>0.27</v>
      </c>
      <c r="J303" s="1915">
        <v>0.47</v>
      </c>
      <c r="K303" s="1930"/>
      <c r="L303" s="1893">
        <v>16</v>
      </c>
      <c r="M303" s="1872">
        <v>17</v>
      </c>
      <c r="N303" s="1931">
        <v>0.35</v>
      </c>
      <c r="O303" s="1915">
        <v>0.31</v>
      </c>
      <c r="P303" s="1930"/>
      <c r="Q303" s="1893"/>
      <c r="R303" s="1872"/>
      <c r="S303" s="1931"/>
      <c r="T303" s="1915"/>
      <c r="U303" s="1930"/>
      <c r="V303" s="1893">
        <v>16</v>
      </c>
      <c r="W303" s="1872">
        <v>17</v>
      </c>
      <c r="X303" s="1931">
        <v>0.4</v>
      </c>
      <c r="Y303" s="1915">
        <v>0.75</v>
      </c>
      <c r="Z303" s="1930"/>
      <c r="AA303" s="1893">
        <v>16</v>
      </c>
      <c r="AB303" s="1872">
        <v>17</v>
      </c>
      <c r="AC303" s="1931">
        <v>0.74</v>
      </c>
      <c r="AD303" s="1915">
        <v>0.6</v>
      </c>
      <c r="AF303" s="1893">
        <v>16</v>
      </c>
      <c r="AG303" s="1872">
        <v>17</v>
      </c>
      <c r="AH303" s="1931">
        <v>0.38</v>
      </c>
      <c r="AI303" s="1915">
        <v>0.88</v>
      </c>
      <c r="AK303" s="1955">
        <f t="shared" si="41"/>
        <v>0.35</v>
      </c>
      <c r="AL303" s="1926">
        <f t="shared" si="42"/>
        <v>0.4</v>
      </c>
      <c r="AM303" s="1926">
        <f t="shared" si="40"/>
        <v>0.74</v>
      </c>
      <c r="AN303" s="1956">
        <f t="shared" si="43"/>
        <v>0.38</v>
      </c>
      <c r="AO303" s="1883">
        <v>5</v>
      </c>
      <c r="AP303" s="1871">
        <v>6</v>
      </c>
      <c r="AQ303" s="1936"/>
      <c r="AR303" s="1937"/>
      <c r="AS303" s="1966">
        <f>$AK280</f>
        <v>1.4</v>
      </c>
      <c r="AT303" s="1967">
        <f>$AL280</f>
        <v>0.34</v>
      </c>
      <c r="AU303" s="1968">
        <f>$AM280</f>
        <v>0.56999999999999995</v>
      </c>
    </row>
    <row r="304" spans="1:47">
      <c r="A304" s="1930"/>
      <c r="B304" s="1894">
        <v>17</v>
      </c>
      <c r="C304" s="1895">
        <v>18</v>
      </c>
      <c r="D304" s="1932">
        <v>0.97</v>
      </c>
      <c r="E304" s="1916">
        <v>2.46</v>
      </c>
      <c r="F304" s="1930"/>
      <c r="G304" s="1894">
        <v>17</v>
      </c>
      <c r="H304" s="1895">
        <v>18</v>
      </c>
      <c r="I304" s="1932">
        <v>0.23</v>
      </c>
      <c r="J304" s="1916">
        <v>0.6</v>
      </c>
      <c r="K304" s="1930"/>
      <c r="L304" s="1894">
        <v>17</v>
      </c>
      <c r="M304" s="1895">
        <v>18</v>
      </c>
      <c r="N304" s="1932">
        <v>1.24</v>
      </c>
      <c r="O304" s="1916">
        <v>1.97</v>
      </c>
      <c r="P304" s="1930"/>
      <c r="Q304" s="1894"/>
      <c r="R304" s="1895"/>
      <c r="S304" s="1932"/>
      <c r="T304" s="1916"/>
      <c r="U304" s="1930"/>
      <c r="V304" s="1894">
        <v>17</v>
      </c>
      <c r="W304" s="1895">
        <v>18</v>
      </c>
      <c r="X304" s="1932">
        <v>0.32</v>
      </c>
      <c r="Y304" s="1916">
        <v>0.6</v>
      </c>
      <c r="Z304" s="1930"/>
      <c r="AA304" s="1894">
        <v>17</v>
      </c>
      <c r="AB304" s="1895">
        <v>18</v>
      </c>
      <c r="AC304" s="1932">
        <v>0.77</v>
      </c>
      <c r="AD304" s="1916">
        <v>0.83</v>
      </c>
      <c r="AF304" s="1894">
        <v>17</v>
      </c>
      <c r="AG304" s="1895">
        <v>18</v>
      </c>
      <c r="AH304" s="1932">
        <v>0.9</v>
      </c>
      <c r="AI304" s="1916">
        <v>2.29</v>
      </c>
      <c r="AK304" s="1957">
        <f t="shared" si="41"/>
        <v>1.24</v>
      </c>
      <c r="AL304" s="1958">
        <f t="shared" si="42"/>
        <v>0.32</v>
      </c>
      <c r="AM304" s="1958">
        <f t="shared" si="40"/>
        <v>0.77</v>
      </c>
      <c r="AN304" s="1959">
        <f t="shared" si="43"/>
        <v>0.9</v>
      </c>
      <c r="AO304" s="1883">
        <v>6</v>
      </c>
      <c r="AP304" s="1871">
        <v>7</v>
      </c>
      <c r="AQ304" s="1926"/>
      <c r="AR304" s="1913"/>
      <c r="AS304" s="1966">
        <f>$AK305</f>
        <v>0.31</v>
      </c>
      <c r="AT304" s="1967">
        <f>$AL305</f>
        <v>0.88</v>
      </c>
      <c r="AU304" s="1968">
        <f>$AM305</f>
        <v>0.43</v>
      </c>
    </row>
    <row r="305" spans="1:47">
      <c r="A305" s="1934"/>
      <c r="B305" s="1910">
        <v>18</v>
      </c>
      <c r="C305" s="1889">
        <v>19</v>
      </c>
      <c r="D305" s="1933">
        <v>0.38</v>
      </c>
      <c r="E305" s="1911">
        <v>1</v>
      </c>
      <c r="F305" s="1934"/>
      <c r="G305" s="1910">
        <v>18</v>
      </c>
      <c r="H305" s="1889">
        <v>19</v>
      </c>
      <c r="I305" s="1933">
        <v>0.95</v>
      </c>
      <c r="J305" s="1911">
        <v>2.5299999999999998</v>
      </c>
      <c r="K305" s="1934"/>
      <c r="L305" s="1910">
        <v>18</v>
      </c>
      <c r="M305" s="1889">
        <v>19</v>
      </c>
      <c r="N305" s="1933">
        <v>0.31</v>
      </c>
      <c r="O305" s="1911">
        <v>0.63</v>
      </c>
      <c r="P305" s="1934"/>
      <c r="Q305" s="1910"/>
      <c r="R305" s="1889"/>
      <c r="S305" s="1933"/>
      <c r="T305" s="1911"/>
      <c r="U305" s="1934"/>
      <c r="V305" s="1910">
        <v>18</v>
      </c>
      <c r="W305" s="1889">
        <v>19</v>
      </c>
      <c r="X305" s="1933">
        <v>0.88</v>
      </c>
      <c r="Y305" s="1911">
        <v>1.73</v>
      </c>
      <c r="Z305" s="1934"/>
      <c r="AA305" s="1910">
        <v>18</v>
      </c>
      <c r="AB305" s="1889">
        <v>19</v>
      </c>
      <c r="AC305" s="1933">
        <v>0.43</v>
      </c>
      <c r="AD305" s="1911">
        <v>0.68</v>
      </c>
      <c r="AF305" s="1910">
        <v>18</v>
      </c>
      <c r="AG305" s="1889">
        <v>19</v>
      </c>
      <c r="AH305" s="1933">
        <v>0.36</v>
      </c>
      <c r="AI305" s="1911">
        <v>0.99</v>
      </c>
      <c r="AK305" s="1952">
        <f t="shared" si="41"/>
        <v>0.31</v>
      </c>
      <c r="AL305" s="1953">
        <f t="shared" si="42"/>
        <v>0.88</v>
      </c>
      <c r="AM305" s="1953">
        <f t="shared" si="40"/>
        <v>0.43</v>
      </c>
      <c r="AN305" s="1954">
        <f t="shared" si="43"/>
        <v>0.36</v>
      </c>
      <c r="AO305" s="1908">
        <v>7</v>
      </c>
      <c r="AP305" s="1909">
        <v>8</v>
      </c>
      <c r="AQ305" s="1926"/>
      <c r="AR305" s="1913"/>
      <c r="AS305" s="1966">
        <f>$AK330</f>
        <v>0.31</v>
      </c>
      <c r="AT305" s="1967">
        <f>$AL330</f>
        <v>0.64</v>
      </c>
      <c r="AU305" s="1968">
        <f>$AM330</f>
        <v>0.5</v>
      </c>
    </row>
    <row r="306" spans="1:47">
      <c r="A306" s="1934"/>
      <c r="B306" s="1902">
        <v>19</v>
      </c>
      <c r="C306" s="1873">
        <v>20</v>
      </c>
      <c r="D306" s="1935">
        <v>0.41</v>
      </c>
      <c r="E306" s="1912">
        <v>1.07</v>
      </c>
      <c r="F306" s="1934"/>
      <c r="G306" s="1902">
        <v>19</v>
      </c>
      <c r="H306" s="1873">
        <v>20</v>
      </c>
      <c r="I306" s="1935">
        <v>1.08</v>
      </c>
      <c r="J306" s="1912">
        <v>2.84</v>
      </c>
      <c r="K306" s="1934"/>
      <c r="L306" s="1902">
        <v>19</v>
      </c>
      <c r="M306" s="1873">
        <v>20</v>
      </c>
      <c r="N306" s="1935">
        <v>0.25</v>
      </c>
      <c r="O306" s="1912">
        <v>0.57999999999999996</v>
      </c>
      <c r="P306" s="1934"/>
      <c r="Q306" s="1902"/>
      <c r="R306" s="1873"/>
      <c r="S306" s="1935"/>
      <c r="T306" s="1912"/>
      <c r="U306" s="1934"/>
      <c r="V306" s="1902">
        <v>19</v>
      </c>
      <c r="W306" s="1873">
        <v>20</v>
      </c>
      <c r="X306" s="1935">
        <v>0.56999999999999995</v>
      </c>
      <c r="Y306" s="1912">
        <v>1.24</v>
      </c>
      <c r="Z306" s="1934"/>
      <c r="AA306" s="1902">
        <v>19</v>
      </c>
      <c r="AB306" s="1873">
        <v>20</v>
      </c>
      <c r="AC306" s="1935">
        <v>0.42</v>
      </c>
      <c r="AD306" s="1912">
        <v>0.63</v>
      </c>
      <c r="AF306" s="1902">
        <v>19</v>
      </c>
      <c r="AG306" s="1873">
        <v>20</v>
      </c>
      <c r="AH306" s="1935">
        <v>0.39</v>
      </c>
      <c r="AI306" s="1912">
        <v>1.17</v>
      </c>
      <c r="AK306" s="1955">
        <f t="shared" si="41"/>
        <v>0.25</v>
      </c>
      <c r="AL306" s="1926">
        <f t="shared" si="42"/>
        <v>0.56999999999999995</v>
      </c>
      <c r="AM306" s="1926">
        <f t="shared" si="40"/>
        <v>0.42</v>
      </c>
      <c r="AN306" s="1956">
        <f t="shared" si="43"/>
        <v>0.39</v>
      </c>
      <c r="AO306" s="1890">
        <v>8</v>
      </c>
      <c r="AP306" s="1891">
        <v>9</v>
      </c>
      <c r="AQ306" s="1926"/>
      <c r="AR306" s="1913"/>
      <c r="AS306" s="1966">
        <f>$AK355</f>
        <v>0.92</v>
      </c>
      <c r="AT306" s="1967">
        <f>$AL355</f>
        <v>0.37</v>
      </c>
      <c r="AU306" s="1968">
        <f>$AM355</f>
        <v>0.72</v>
      </c>
    </row>
    <row r="307" spans="1:47">
      <c r="A307" s="1934"/>
      <c r="B307" s="1902">
        <v>20</v>
      </c>
      <c r="C307" s="1873">
        <v>21</v>
      </c>
      <c r="D307" s="1935">
        <v>0.33</v>
      </c>
      <c r="E307" s="1912">
        <v>0.57999999999999996</v>
      </c>
      <c r="F307" s="1934"/>
      <c r="G307" s="1902">
        <v>20</v>
      </c>
      <c r="H307" s="1873">
        <v>21</v>
      </c>
      <c r="I307" s="1935">
        <v>1.02</v>
      </c>
      <c r="J307" s="1912">
        <v>1.84</v>
      </c>
      <c r="K307" s="1934"/>
      <c r="L307" s="1902">
        <v>20</v>
      </c>
      <c r="M307" s="1873">
        <v>21</v>
      </c>
      <c r="N307" s="1935">
        <v>0.18</v>
      </c>
      <c r="O307" s="1912">
        <v>0.43</v>
      </c>
      <c r="P307" s="1934"/>
      <c r="Q307" s="1902"/>
      <c r="R307" s="1873"/>
      <c r="S307" s="1935"/>
      <c r="T307" s="1912"/>
      <c r="U307" s="1934"/>
      <c r="V307" s="1902">
        <v>20</v>
      </c>
      <c r="W307" s="1873">
        <v>21</v>
      </c>
      <c r="X307" s="1935">
        <v>0.34</v>
      </c>
      <c r="Y307" s="1912">
        <v>0.7</v>
      </c>
      <c r="Z307" s="1934"/>
      <c r="AA307" s="1902">
        <v>20</v>
      </c>
      <c r="AB307" s="1873">
        <v>21</v>
      </c>
      <c r="AC307" s="1935">
        <v>0.39</v>
      </c>
      <c r="AD307" s="1912">
        <v>0.64</v>
      </c>
      <c r="AF307" s="1902">
        <v>20</v>
      </c>
      <c r="AG307" s="1873">
        <v>21</v>
      </c>
      <c r="AH307" s="1935">
        <v>0.37</v>
      </c>
      <c r="AI307" s="1912">
        <v>1.17</v>
      </c>
      <c r="AK307" s="1955">
        <f t="shared" si="41"/>
        <v>0.18</v>
      </c>
      <c r="AL307" s="1926">
        <f t="shared" si="42"/>
        <v>0.34</v>
      </c>
      <c r="AM307" s="1926">
        <f t="shared" si="40"/>
        <v>0.39</v>
      </c>
      <c r="AN307" s="1956">
        <f t="shared" si="43"/>
        <v>0.37</v>
      </c>
      <c r="AO307" s="1893">
        <v>9</v>
      </c>
      <c r="AP307" s="1872">
        <v>10</v>
      </c>
      <c r="AQ307" s="1926"/>
      <c r="AR307" s="1913"/>
      <c r="AS307" s="1966">
        <f>$AK380</f>
        <v>0.38</v>
      </c>
      <c r="AT307" s="1967">
        <f>$AL380</f>
        <v>0.59</v>
      </c>
      <c r="AU307" s="1968">
        <f>$AM380</f>
        <v>0.52</v>
      </c>
    </row>
    <row r="308" spans="1:47">
      <c r="A308" s="1934"/>
      <c r="B308" s="1902">
        <v>21</v>
      </c>
      <c r="C308" s="1873">
        <v>22</v>
      </c>
      <c r="D308" s="1935">
        <v>0.34</v>
      </c>
      <c r="E308" s="1912">
        <v>0.59</v>
      </c>
      <c r="F308" s="1934"/>
      <c r="G308" s="1902">
        <v>21</v>
      </c>
      <c r="H308" s="1873">
        <v>22</v>
      </c>
      <c r="I308" s="1935">
        <v>0.19</v>
      </c>
      <c r="J308" s="1912">
        <v>0.34</v>
      </c>
      <c r="K308" s="1934"/>
      <c r="L308" s="1902">
        <v>21</v>
      </c>
      <c r="M308" s="1873">
        <v>22</v>
      </c>
      <c r="N308" s="1935">
        <v>0.17</v>
      </c>
      <c r="O308" s="1912">
        <v>0.36</v>
      </c>
      <c r="P308" s="1934"/>
      <c r="Q308" s="1902"/>
      <c r="R308" s="1873"/>
      <c r="S308" s="1935"/>
      <c r="T308" s="1912"/>
      <c r="U308" s="1934"/>
      <c r="V308" s="1902">
        <v>21</v>
      </c>
      <c r="W308" s="1873">
        <v>22</v>
      </c>
      <c r="X308" s="1935">
        <v>0.42</v>
      </c>
      <c r="Y308" s="1912">
        <v>0.81</v>
      </c>
      <c r="Z308" s="1934"/>
      <c r="AA308" s="1902">
        <v>21</v>
      </c>
      <c r="AB308" s="1873">
        <v>22</v>
      </c>
      <c r="AC308" s="1935">
        <v>0.42</v>
      </c>
      <c r="AD308" s="1912">
        <v>0.69</v>
      </c>
      <c r="AF308" s="1902">
        <v>21</v>
      </c>
      <c r="AG308" s="1873">
        <v>22</v>
      </c>
      <c r="AH308" s="1935">
        <v>0.41</v>
      </c>
      <c r="AI308" s="1912">
        <v>1.2</v>
      </c>
      <c r="AK308" s="1955">
        <f t="shared" si="41"/>
        <v>0.17</v>
      </c>
      <c r="AL308" s="1926">
        <f t="shared" si="42"/>
        <v>0.42</v>
      </c>
      <c r="AM308" s="1926">
        <f t="shared" si="40"/>
        <v>0.42</v>
      </c>
      <c r="AN308" s="1956">
        <f t="shared" si="43"/>
        <v>0.41</v>
      </c>
      <c r="AO308" s="1893">
        <v>10</v>
      </c>
      <c r="AP308" s="1872">
        <v>11</v>
      </c>
      <c r="AQ308" s="1926"/>
      <c r="AR308" s="1913"/>
      <c r="AS308" s="1966">
        <f>$AK405</f>
        <v>1.41</v>
      </c>
      <c r="AT308" s="1967">
        <f>$AL405</f>
        <v>0.68</v>
      </c>
      <c r="AU308" s="1968">
        <f>$AM405</f>
        <v>0.5</v>
      </c>
    </row>
    <row r="309" spans="1:47">
      <c r="A309" s="1934"/>
      <c r="B309" s="1902">
        <v>22</v>
      </c>
      <c r="C309" s="1873">
        <v>23</v>
      </c>
      <c r="D309" s="1935">
        <v>0.22</v>
      </c>
      <c r="E309" s="1912">
        <v>0.37</v>
      </c>
      <c r="F309" s="1934"/>
      <c r="G309" s="1902">
        <v>22</v>
      </c>
      <c r="H309" s="1873">
        <v>23</v>
      </c>
      <c r="I309" s="1935">
        <v>0.08</v>
      </c>
      <c r="J309" s="1912">
        <v>0.14000000000000001</v>
      </c>
      <c r="K309" s="1934"/>
      <c r="L309" s="1902">
        <v>22</v>
      </c>
      <c r="M309" s="1873">
        <v>23</v>
      </c>
      <c r="N309" s="1935">
        <v>0.14000000000000001</v>
      </c>
      <c r="O309" s="1912">
        <v>0.28999999999999998</v>
      </c>
      <c r="P309" s="1934"/>
      <c r="Q309" s="1902"/>
      <c r="R309" s="1873"/>
      <c r="S309" s="1935"/>
      <c r="T309" s="1912"/>
      <c r="U309" s="1934"/>
      <c r="V309" s="1902">
        <v>22</v>
      </c>
      <c r="W309" s="1873">
        <v>23</v>
      </c>
      <c r="X309" s="1935">
        <v>0.26</v>
      </c>
      <c r="Y309" s="1912">
        <v>0.49</v>
      </c>
      <c r="Z309" s="1934"/>
      <c r="AA309" s="1902">
        <v>22</v>
      </c>
      <c r="AB309" s="1873">
        <v>23</v>
      </c>
      <c r="AC309" s="1935">
        <v>0.36</v>
      </c>
      <c r="AD309" s="1912">
        <v>0.56999999999999995</v>
      </c>
      <c r="AF309" s="1902">
        <v>22</v>
      </c>
      <c r="AG309" s="1873">
        <v>23</v>
      </c>
      <c r="AH309" s="1935">
        <v>0.27</v>
      </c>
      <c r="AI309" s="1912">
        <v>0.75</v>
      </c>
      <c r="AK309" s="1955">
        <f t="shared" si="41"/>
        <v>0.14000000000000001</v>
      </c>
      <c r="AL309" s="1926">
        <f t="shared" si="42"/>
        <v>0.26</v>
      </c>
      <c r="AM309" s="1926">
        <f t="shared" si="40"/>
        <v>0.36</v>
      </c>
      <c r="AN309" s="1956">
        <f t="shared" si="43"/>
        <v>0.27</v>
      </c>
      <c r="AO309" s="1893">
        <v>11</v>
      </c>
      <c r="AP309" s="1872">
        <v>12</v>
      </c>
      <c r="AQ309" s="1926"/>
      <c r="AR309" s="1913"/>
      <c r="AS309" s="1966">
        <f>$AK430</f>
        <v>0.69</v>
      </c>
      <c r="AT309" s="1967">
        <f>$AL430</f>
        <v>0.47</v>
      </c>
      <c r="AU309" s="1968">
        <f>$AM430</f>
        <v>0.53</v>
      </c>
    </row>
    <row r="310" spans="1:47" ht="15" thickBot="1">
      <c r="A310" s="1934"/>
      <c r="B310" s="1902">
        <v>23</v>
      </c>
      <c r="C310" s="1873">
        <v>24</v>
      </c>
      <c r="D310" s="1935">
        <v>0.12</v>
      </c>
      <c r="E310" s="1912">
        <v>0.2</v>
      </c>
      <c r="F310" s="1934"/>
      <c r="G310" s="1902">
        <v>23</v>
      </c>
      <c r="H310" s="1873">
        <v>24</v>
      </c>
      <c r="I310" s="1935">
        <v>0.11</v>
      </c>
      <c r="J310" s="1912">
        <v>0.19</v>
      </c>
      <c r="K310" s="1934"/>
      <c r="L310" s="1902">
        <v>23</v>
      </c>
      <c r="M310" s="1873">
        <v>24</v>
      </c>
      <c r="N310" s="1935">
        <v>0.13</v>
      </c>
      <c r="O310" s="1912">
        <v>0.24</v>
      </c>
      <c r="P310" s="1934"/>
      <c r="Q310" s="1902"/>
      <c r="R310" s="1873"/>
      <c r="S310" s="1935"/>
      <c r="T310" s="1912"/>
      <c r="U310" s="1934"/>
      <c r="V310" s="1902">
        <v>23</v>
      </c>
      <c r="W310" s="1873">
        <v>24</v>
      </c>
      <c r="X310" s="1935">
        <v>0.32</v>
      </c>
      <c r="Y310" s="1912">
        <v>0.56000000000000005</v>
      </c>
      <c r="Z310" s="1934"/>
      <c r="AA310" s="1902">
        <v>23</v>
      </c>
      <c r="AB310" s="1873">
        <v>24</v>
      </c>
      <c r="AC310" s="1935">
        <v>0.25</v>
      </c>
      <c r="AD310" s="1912">
        <v>0.38</v>
      </c>
      <c r="AF310" s="1902">
        <v>23</v>
      </c>
      <c r="AG310" s="1873">
        <v>24</v>
      </c>
      <c r="AH310" s="1935">
        <v>0.13</v>
      </c>
      <c r="AI310" s="1912">
        <v>0.34</v>
      </c>
      <c r="AK310" s="1957">
        <f t="shared" si="41"/>
        <v>0.13</v>
      </c>
      <c r="AL310" s="1958">
        <f t="shared" si="42"/>
        <v>0.32</v>
      </c>
      <c r="AM310" s="1958">
        <f t="shared" si="40"/>
        <v>0.25</v>
      </c>
      <c r="AN310" s="1959">
        <f t="shared" si="43"/>
        <v>0.13</v>
      </c>
      <c r="AO310" s="1893">
        <v>12</v>
      </c>
      <c r="AP310" s="1872">
        <v>13</v>
      </c>
      <c r="AQ310" s="1926"/>
      <c r="AR310" s="1913"/>
      <c r="AS310" s="1966">
        <f>$AK455</f>
        <v>0.31</v>
      </c>
      <c r="AT310" s="1967">
        <f>$AL455</f>
        <v>1.26</v>
      </c>
      <c r="AU310" s="1968">
        <f>$AM455</f>
        <v>0.64</v>
      </c>
    </row>
    <row r="311" spans="1:47">
      <c r="B311" s="2766">
        <v>44969</v>
      </c>
      <c r="C311" s="2766"/>
      <c r="D311" s="1922">
        <f>SUM(D312:D335)</f>
        <v>6.28</v>
      </c>
      <c r="E311" s="1923">
        <f>SUM(E312:E335)</f>
        <v>14.129999999999999</v>
      </c>
      <c r="G311" s="2773">
        <v>44997</v>
      </c>
      <c r="H311" s="2773"/>
      <c r="I311" s="1922">
        <f>SUM(I312:I335)</f>
        <v>5.1300000000000008</v>
      </c>
      <c r="J311" s="1923">
        <f>SUM(J312:J335)</f>
        <v>9.3299999999999983</v>
      </c>
      <c r="L311" s="2773">
        <v>45028</v>
      </c>
      <c r="M311" s="2773"/>
      <c r="N311" s="1936">
        <f>SUM(N312:N335)</f>
        <v>6.87</v>
      </c>
      <c r="O311" s="1937">
        <f>SUM(O312:O335)</f>
        <v>12.15</v>
      </c>
      <c r="Q311" s="2766">
        <v>45058</v>
      </c>
      <c r="R311" s="2766"/>
      <c r="S311" s="1936"/>
      <c r="T311" s="1937"/>
      <c r="V311" s="2766">
        <v>45058</v>
      </c>
      <c r="W311" s="2766"/>
      <c r="X311" s="1936">
        <f>SUM(X312:X335)</f>
        <v>7.35</v>
      </c>
      <c r="Y311" s="1937">
        <f>SUM(Y312:Y335)</f>
        <v>12.81</v>
      </c>
      <c r="AA311" s="2766">
        <v>45089</v>
      </c>
      <c r="AB311" s="2766"/>
      <c r="AC311" s="1936">
        <f>SUM(AC312:AC335)</f>
        <v>10.160000000000002</v>
      </c>
      <c r="AD311" s="1937">
        <f>SUM(AD312:AD335)</f>
        <v>17.240000000000002</v>
      </c>
      <c r="AF311" s="2766">
        <v>45119</v>
      </c>
      <c r="AG311" s="2766"/>
      <c r="AH311" s="1936">
        <f>SUM(AH312:AH335)</f>
        <v>6.8</v>
      </c>
      <c r="AI311" s="1937">
        <f>SUM(AI312:AI335)</f>
        <v>16.309999999999995</v>
      </c>
      <c r="AO311" s="1893">
        <v>13</v>
      </c>
      <c r="AP311" s="1872">
        <v>14</v>
      </c>
      <c r="AQ311" s="1928"/>
      <c r="AR311" s="1917"/>
      <c r="AS311" s="1966">
        <f>$AK480</f>
        <v>0.32</v>
      </c>
      <c r="AT311" s="1967">
        <f>$AL480</f>
        <v>0.64</v>
      </c>
      <c r="AU311" s="1968">
        <f>$AM480</f>
        <v>1.24</v>
      </c>
    </row>
    <row r="312" spans="1:47">
      <c r="A312" s="1927"/>
      <c r="B312" s="1883">
        <v>0</v>
      </c>
      <c r="C312" s="1871">
        <v>1</v>
      </c>
      <c r="D312" s="1926">
        <v>0.1</v>
      </c>
      <c r="E312" s="1913">
        <v>0.2</v>
      </c>
      <c r="F312" s="1927"/>
      <c r="G312" s="1883">
        <v>0</v>
      </c>
      <c r="H312" s="1871">
        <v>1</v>
      </c>
      <c r="I312" s="1926">
        <v>0.13</v>
      </c>
      <c r="J312" s="1913">
        <v>0.24</v>
      </c>
      <c r="K312" s="1927"/>
      <c r="L312" s="1883">
        <v>0</v>
      </c>
      <c r="M312" s="1871">
        <v>1</v>
      </c>
      <c r="N312" s="1926">
        <v>0.08</v>
      </c>
      <c r="O312" s="1913">
        <v>0.14000000000000001</v>
      </c>
      <c r="P312" s="1927"/>
      <c r="Q312" s="1883"/>
      <c r="R312" s="1871"/>
      <c r="S312" s="1926"/>
      <c r="T312" s="1913"/>
      <c r="U312" s="1927"/>
      <c r="V312" s="1883">
        <v>0</v>
      </c>
      <c r="W312" s="1871">
        <v>1</v>
      </c>
      <c r="X312" s="1926">
        <v>0.17</v>
      </c>
      <c r="Y312" s="1913">
        <v>0.28999999999999998</v>
      </c>
      <c r="Z312" s="1927"/>
      <c r="AA312" s="1883">
        <v>0</v>
      </c>
      <c r="AB312" s="1871">
        <v>1</v>
      </c>
      <c r="AC312" s="1926">
        <v>0.24</v>
      </c>
      <c r="AD312" s="1913">
        <v>0.37</v>
      </c>
      <c r="AF312" s="1883">
        <v>0</v>
      </c>
      <c r="AG312" s="1871">
        <v>1</v>
      </c>
      <c r="AH312" s="1926">
        <v>0.23</v>
      </c>
      <c r="AI312" s="1913">
        <v>0.6</v>
      </c>
      <c r="AK312" s="1952">
        <f>N312</f>
        <v>0.08</v>
      </c>
      <c r="AL312" s="1953">
        <f>X312</f>
        <v>0.17</v>
      </c>
      <c r="AM312" s="1953">
        <f t="shared" ref="AM312:AM335" si="44">AC312</f>
        <v>0.24</v>
      </c>
      <c r="AN312" s="1954">
        <f>AH312</f>
        <v>0.23</v>
      </c>
      <c r="AO312" s="1893">
        <v>14</v>
      </c>
      <c r="AP312" s="1872">
        <v>15</v>
      </c>
      <c r="AQ312" s="1929"/>
      <c r="AR312" s="1914"/>
      <c r="AS312" s="1966">
        <f>$AK505</f>
        <v>0.35</v>
      </c>
      <c r="AT312" s="1967">
        <f>$AL505</f>
        <v>0.87</v>
      </c>
      <c r="AU312" s="1968">
        <f>$AM505</f>
        <v>1.1000000000000001</v>
      </c>
    </row>
    <row r="313" spans="1:47">
      <c r="A313" s="1927"/>
      <c r="B313" s="1883">
        <v>1</v>
      </c>
      <c r="C313" s="1871">
        <v>2</v>
      </c>
      <c r="D313" s="1926">
        <v>0.1</v>
      </c>
      <c r="E313" s="1913">
        <v>0.2</v>
      </c>
      <c r="F313" s="1927"/>
      <c r="G313" s="1883">
        <v>1</v>
      </c>
      <c r="H313" s="1871">
        <v>2</v>
      </c>
      <c r="I313" s="1926">
        <v>0.13</v>
      </c>
      <c r="J313" s="1913">
        <v>0.23</v>
      </c>
      <c r="K313" s="1927"/>
      <c r="L313" s="1883">
        <v>1</v>
      </c>
      <c r="M313" s="1871">
        <v>2</v>
      </c>
      <c r="N313" s="1926">
        <v>0.13</v>
      </c>
      <c r="O313" s="1913">
        <v>0.21</v>
      </c>
      <c r="P313" s="1927"/>
      <c r="Q313" s="1883"/>
      <c r="R313" s="1871"/>
      <c r="S313" s="1926"/>
      <c r="T313" s="1913"/>
      <c r="U313" s="1927"/>
      <c r="V313" s="1883">
        <v>1</v>
      </c>
      <c r="W313" s="1871">
        <v>2</v>
      </c>
      <c r="X313" s="1926">
        <v>0.24</v>
      </c>
      <c r="Y313" s="1913">
        <v>0.4</v>
      </c>
      <c r="Z313" s="1927"/>
      <c r="AA313" s="1883">
        <v>1</v>
      </c>
      <c r="AB313" s="1871">
        <v>2</v>
      </c>
      <c r="AC313" s="1926">
        <v>0.19</v>
      </c>
      <c r="AD313" s="1913">
        <v>0.28999999999999998</v>
      </c>
      <c r="AF313" s="1883">
        <v>1</v>
      </c>
      <c r="AG313" s="1871">
        <v>2</v>
      </c>
      <c r="AH313" s="1926">
        <v>0.14000000000000001</v>
      </c>
      <c r="AI313" s="1913">
        <v>0.35</v>
      </c>
      <c r="AK313" s="1955">
        <f t="shared" ref="AK313:AK335" si="45">N313</f>
        <v>0.13</v>
      </c>
      <c r="AL313" s="1926">
        <f t="shared" ref="AL313:AL335" si="46">X313</f>
        <v>0.24</v>
      </c>
      <c r="AM313" s="1926">
        <f t="shared" si="44"/>
        <v>0.19</v>
      </c>
      <c r="AN313" s="1956">
        <f t="shared" ref="AN313:AN335" si="47">AH313</f>
        <v>0.14000000000000001</v>
      </c>
      <c r="AO313" s="1893">
        <v>15</v>
      </c>
      <c r="AP313" s="1872">
        <v>16</v>
      </c>
      <c r="AQ313" s="1931"/>
      <c r="AR313" s="1915"/>
      <c r="AS313" s="1966">
        <f>$AK530</f>
        <v>0.45</v>
      </c>
      <c r="AT313" s="1967">
        <f>$AL530</f>
        <v>0.82</v>
      </c>
      <c r="AU313" s="1968">
        <f>$AM530</f>
        <v>0.47</v>
      </c>
    </row>
    <row r="314" spans="1:47">
      <c r="A314" s="1927"/>
      <c r="B314" s="1883">
        <v>2</v>
      </c>
      <c r="C314" s="1871">
        <v>3</v>
      </c>
      <c r="D314" s="1926">
        <v>0.12</v>
      </c>
      <c r="E314" s="1913">
        <v>0.25</v>
      </c>
      <c r="F314" s="1927"/>
      <c r="G314" s="1883">
        <v>2</v>
      </c>
      <c r="H314" s="1871">
        <v>3</v>
      </c>
      <c r="I314" s="1926">
        <v>0.08</v>
      </c>
      <c r="J314" s="1913">
        <v>0.14000000000000001</v>
      </c>
      <c r="K314" s="1927"/>
      <c r="L314" s="1883">
        <v>2</v>
      </c>
      <c r="M314" s="1871">
        <v>3</v>
      </c>
      <c r="N314" s="1926">
        <v>0.16</v>
      </c>
      <c r="O314" s="1913">
        <v>0.25</v>
      </c>
      <c r="P314" s="1927"/>
      <c r="Q314" s="1883"/>
      <c r="R314" s="1871"/>
      <c r="S314" s="1926"/>
      <c r="T314" s="1913"/>
      <c r="U314" s="1927"/>
      <c r="V314" s="1883">
        <v>2</v>
      </c>
      <c r="W314" s="1871">
        <v>3</v>
      </c>
      <c r="X314" s="1926">
        <v>0.23</v>
      </c>
      <c r="Y314" s="1913">
        <v>0.38</v>
      </c>
      <c r="Z314" s="1927"/>
      <c r="AA314" s="1883">
        <v>2</v>
      </c>
      <c r="AB314" s="1871">
        <v>3</v>
      </c>
      <c r="AC314" s="1926">
        <v>0.23</v>
      </c>
      <c r="AD314" s="1913">
        <v>0.36</v>
      </c>
      <c r="AF314" s="1883">
        <v>2</v>
      </c>
      <c r="AG314" s="1871">
        <v>3</v>
      </c>
      <c r="AH314" s="1926">
        <v>0.16</v>
      </c>
      <c r="AI314" s="1913">
        <v>0.4</v>
      </c>
      <c r="AK314" s="1955">
        <f t="shared" si="45"/>
        <v>0.16</v>
      </c>
      <c r="AL314" s="1926">
        <f t="shared" si="46"/>
        <v>0.23</v>
      </c>
      <c r="AM314" s="1926">
        <f t="shared" si="44"/>
        <v>0.23</v>
      </c>
      <c r="AN314" s="1956">
        <f t="shared" si="47"/>
        <v>0.16</v>
      </c>
      <c r="AO314" s="1893">
        <v>16</v>
      </c>
      <c r="AP314" s="1872">
        <v>17</v>
      </c>
      <c r="AQ314" s="1931"/>
      <c r="AR314" s="1915"/>
      <c r="AS314" s="1966">
        <f>$AK555</f>
        <v>0.32</v>
      </c>
      <c r="AT314" s="1967">
        <f>$AL555</f>
        <v>0.48</v>
      </c>
      <c r="AU314" s="1968">
        <f>$AM555</f>
        <v>0.7</v>
      </c>
    </row>
    <row r="315" spans="1:47">
      <c r="A315" s="1927"/>
      <c r="B315" s="1883">
        <v>3</v>
      </c>
      <c r="C315" s="1871">
        <v>4</v>
      </c>
      <c r="D315" s="1926">
        <v>0.11</v>
      </c>
      <c r="E315" s="1913">
        <v>0.22</v>
      </c>
      <c r="F315" s="1927"/>
      <c r="G315" s="1883">
        <v>3</v>
      </c>
      <c r="H315" s="1871">
        <v>4</v>
      </c>
      <c r="I315" s="1926">
        <v>0.1</v>
      </c>
      <c r="J315" s="1913">
        <v>0.17</v>
      </c>
      <c r="K315" s="1927"/>
      <c r="L315" s="1883">
        <v>3</v>
      </c>
      <c r="M315" s="1871">
        <v>4</v>
      </c>
      <c r="N315" s="1926">
        <v>0.14000000000000001</v>
      </c>
      <c r="O315" s="1913">
        <v>0.22</v>
      </c>
      <c r="P315" s="1927"/>
      <c r="Q315" s="1883"/>
      <c r="R315" s="1871"/>
      <c r="S315" s="1926"/>
      <c r="T315" s="1913"/>
      <c r="U315" s="1927"/>
      <c r="V315" s="1883">
        <v>3</v>
      </c>
      <c r="W315" s="1871">
        <v>4</v>
      </c>
      <c r="X315" s="1926">
        <v>0.24</v>
      </c>
      <c r="Y315" s="1913">
        <v>0.4</v>
      </c>
      <c r="Z315" s="1927"/>
      <c r="AA315" s="1883">
        <v>3</v>
      </c>
      <c r="AB315" s="1871">
        <v>4</v>
      </c>
      <c r="AC315" s="1926">
        <v>0.25</v>
      </c>
      <c r="AD315" s="1913">
        <v>0.39</v>
      </c>
      <c r="AF315" s="1883">
        <v>3</v>
      </c>
      <c r="AG315" s="1871">
        <v>4</v>
      </c>
      <c r="AH315" s="1926">
        <v>0.18</v>
      </c>
      <c r="AI315" s="1913">
        <v>0.44</v>
      </c>
      <c r="AK315" s="1955">
        <f t="shared" si="45"/>
        <v>0.14000000000000001</v>
      </c>
      <c r="AL315" s="1926">
        <f t="shared" si="46"/>
        <v>0.24</v>
      </c>
      <c r="AM315" s="1926">
        <f t="shared" si="44"/>
        <v>0.25</v>
      </c>
      <c r="AN315" s="1956">
        <f t="shared" si="47"/>
        <v>0.18</v>
      </c>
      <c r="AO315" s="1894">
        <v>17</v>
      </c>
      <c r="AP315" s="1895">
        <v>18</v>
      </c>
      <c r="AQ315" s="1931"/>
      <c r="AR315" s="1915"/>
      <c r="AS315" s="1966">
        <f>$AK580</f>
        <v>0.36</v>
      </c>
      <c r="AT315" s="1967">
        <f>$AL580</f>
        <v>0.48</v>
      </c>
      <c r="AU315" s="1968">
        <f>$AM580</f>
        <v>0.49</v>
      </c>
    </row>
    <row r="316" spans="1:47">
      <c r="A316" s="1927"/>
      <c r="B316" s="1883">
        <v>4</v>
      </c>
      <c r="C316" s="1871">
        <v>5</v>
      </c>
      <c r="D316" s="1926">
        <v>0.15</v>
      </c>
      <c r="E316" s="1913">
        <v>0.28999999999999998</v>
      </c>
      <c r="F316" s="1927"/>
      <c r="G316" s="1883">
        <v>4</v>
      </c>
      <c r="H316" s="1871">
        <v>5</v>
      </c>
      <c r="I316" s="1926">
        <v>0.23</v>
      </c>
      <c r="J316" s="1913">
        <v>0.39</v>
      </c>
      <c r="K316" s="1927"/>
      <c r="L316" s="1883">
        <v>4</v>
      </c>
      <c r="M316" s="1871">
        <v>5</v>
      </c>
      <c r="N316" s="1926">
        <v>0.11</v>
      </c>
      <c r="O316" s="1913">
        <v>0.17</v>
      </c>
      <c r="P316" s="1927"/>
      <c r="Q316" s="1883"/>
      <c r="R316" s="1871"/>
      <c r="S316" s="1926"/>
      <c r="T316" s="1913"/>
      <c r="U316" s="1927"/>
      <c r="V316" s="1883">
        <v>4</v>
      </c>
      <c r="W316" s="1871">
        <v>5</v>
      </c>
      <c r="X316" s="1926">
        <v>0.18</v>
      </c>
      <c r="Y316" s="1913">
        <v>0.3</v>
      </c>
      <c r="Z316" s="1927"/>
      <c r="AA316" s="1883">
        <v>4</v>
      </c>
      <c r="AB316" s="1871">
        <v>5</v>
      </c>
      <c r="AC316" s="1926">
        <v>0.24</v>
      </c>
      <c r="AD316" s="1913">
        <v>0.38</v>
      </c>
      <c r="AF316" s="1883">
        <v>4</v>
      </c>
      <c r="AG316" s="1871">
        <v>5</v>
      </c>
      <c r="AH316" s="1926">
        <v>0.12</v>
      </c>
      <c r="AI316" s="1913">
        <v>0.28999999999999998</v>
      </c>
      <c r="AK316" s="1955">
        <f t="shared" si="45"/>
        <v>0.11</v>
      </c>
      <c r="AL316" s="1926">
        <f t="shared" si="46"/>
        <v>0.18</v>
      </c>
      <c r="AM316" s="1926">
        <f t="shared" si="44"/>
        <v>0.24</v>
      </c>
      <c r="AN316" s="1956">
        <f t="shared" si="47"/>
        <v>0.12</v>
      </c>
      <c r="AO316" s="1910">
        <v>18</v>
      </c>
      <c r="AP316" s="1889">
        <v>19</v>
      </c>
      <c r="AQ316" s="1931"/>
      <c r="AR316" s="1915"/>
      <c r="AS316" s="1966">
        <f>$AK605</f>
        <v>0.37</v>
      </c>
      <c r="AT316" s="1967">
        <f>$AL605</f>
        <v>0.4</v>
      </c>
      <c r="AU316" s="1968">
        <f>$AM605</f>
        <v>0.53</v>
      </c>
    </row>
    <row r="317" spans="1:47">
      <c r="A317" s="1927"/>
      <c r="B317" s="1883">
        <v>5</v>
      </c>
      <c r="C317" s="1871">
        <v>6</v>
      </c>
      <c r="D317" s="1926">
        <v>0.08</v>
      </c>
      <c r="E317" s="1913">
        <v>0.15</v>
      </c>
      <c r="F317" s="1927"/>
      <c r="G317" s="1883">
        <v>5</v>
      </c>
      <c r="H317" s="1871">
        <v>6</v>
      </c>
      <c r="I317" s="1926">
        <v>0.19</v>
      </c>
      <c r="J317" s="1913">
        <v>0.32</v>
      </c>
      <c r="K317" s="1927"/>
      <c r="L317" s="1883">
        <v>5</v>
      </c>
      <c r="M317" s="1871">
        <v>6</v>
      </c>
      <c r="N317" s="1926">
        <v>0.08</v>
      </c>
      <c r="O317" s="1913">
        <v>0.13</v>
      </c>
      <c r="P317" s="1927"/>
      <c r="Q317" s="1883"/>
      <c r="R317" s="1871"/>
      <c r="S317" s="1926"/>
      <c r="T317" s="1913"/>
      <c r="U317" s="1927"/>
      <c r="V317" s="1883">
        <v>5</v>
      </c>
      <c r="W317" s="1871">
        <v>6</v>
      </c>
      <c r="X317" s="1926">
        <v>0.16</v>
      </c>
      <c r="Y317" s="1913">
        <v>0.28000000000000003</v>
      </c>
      <c r="Z317" s="1927"/>
      <c r="AA317" s="1883">
        <v>5</v>
      </c>
      <c r="AB317" s="1871">
        <v>6</v>
      </c>
      <c r="AC317" s="1926">
        <v>0.38</v>
      </c>
      <c r="AD317" s="1913">
        <v>0.65</v>
      </c>
      <c r="AF317" s="1883">
        <v>5</v>
      </c>
      <c r="AG317" s="1871">
        <v>6</v>
      </c>
      <c r="AH317" s="1926">
        <v>0.23</v>
      </c>
      <c r="AI317" s="1913">
        <v>0.55000000000000004</v>
      </c>
      <c r="AK317" s="1955">
        <f t="shared" si="45"/>
        <v>0.08</v>
      </c>
      <c r="AL317" s="1926">
        <f t="shared" si="46"/>
        <v>0.16</v>
      </c>
      <c r="AM317" s="1926">
        <f t="shared" si="44"/>
        <v>0.38</v>
      </c>
      <c r="AN317" s="1956">
        <f t="shared" si="47"/>
        <v>0.23</v>
      </c>
      <c r="AO317" s="1902">
        <v>19</v>
      </c>
      <c r="AP317" s="1873">
        <v>20</v>
      </c>
      <c r="AQ317" s="1931"/>
      <c r="AR317" s="1915"/>
      <c r="AS317" s="1966">
        <f>$AK630</f>
        <v>0.39</v>
      </c>
      <c r="AT317" s="1967">
        <f>$AL630</f>
        <v>0.69</v>
      </c>
      <c r="AU317" s="1968">
        <f>$AM630</f>
        <v>0.64</v>
      </c>
    </row>
    <row r="318" spans="1:47">
      <c r="A318" s="1927"/>
      <c r="B318" s="1883">
        <v>6</v>
      </c>
      <c r="C318" s="1871">
        <v>7</v>
      </c>
      <c r="D318" s="1926">
        <v>0.08</v>
      </c>
      <c r="E318" s="1913">
        <v>0.15</v>
      </c>
      <c r="F318" s="1927"/>
      <c r="G318" s="1883">
        <v>6</v>
      </c>
      <c r="H318" s="1871">
        <v>7</v>
      </c>
      <c r="I318" s="1926">
        <v>0.31</v>
      </c>
      <c r="J318" s="1913">
        <v>0.52</v>
      </c>
      <c r="K318" s="1927"/>
      <c r="L318" s="1883">
        <v>6</v>
      </c>
      <c r="M318" s="1871">
        <v>7</v>
      </c>
      <c r="N318" s="1926">
        <v>0.18</v>
      </c>
      <c r="O318" s="1913">
        <v>0.32</v>
      </c>
      <c r="P318" s="1927"/>
      <c r="Q318" s="1883"/>
      <c r="R318" s="1871"/>
      <c r="S318" s="1926"/>
      <c r="T318" s="1913"/>
      <c r="U318" s="1927"/>
      <c r="V318" s="1883">
        <v>6</v>
      </c>
      <c r="W318" s="1871">
        <v>7</v>
      </c>
      <c r="X318" s="1926">
        <v>0.18</v>
      </c>
      <c r="Y318" s="1913">
        <v>0.34</v>
      </c>
      <c r="Z318" s="1927"/>
      <c r="AA318" s="1883">
        <v>6</v>
      </c>
      <c r="AB318" s="1871">
        <v>7</v>
      </c>
      <c r="AC318" s="1926">
        <v>0.4</v>
      </c>
      <c r="AD318" s="1913">
        <v>0.73</v>
      </c>
      <c r="AF318" s="1883">
        <v>6</v>
      </c>
      <c r="AG318" s="1871">
        <v>7</v>
      </c>
      <c r="AH318" s="1926">
        <v>0.24</v>
      </c>
      <c r="AI318" s="1913">
        <v>0.6</v>
      </c>
      <c r="AK318" s="1955">
        <f t="shared" si="45"/>
        <v>0.18</v>
      </c>
      <c r="AL318" s="1926">
        <f t="shared" si="46"/>
        <v>0.18</v>
      </c>
      <c r="AM318" s="1926">
        <f t="shared" si="44"/>
        <v>0.4</v>
      </c>
      <c r="AN318" s="1956">
        <f t="shared" si="47"/>
        <v>0.24</v>
      </c>
      <c r="AO318" s="1902">
        <v>20</v>
      </c>
      <c r="AP318" s="1873">
        <v>21</v>
      </c>
      <c r="AQ318" s="1931"/>
      <c r="AR318" s="1915"/>
      <c r="AS318" s="1966">
        <f>$AK655</f>
        <v>0.51</v>
      </c>
      <c r="AT318" s="1967">
        <f>$AL655</f>
        <v>0.51</v>
      </c>
      <c r="AU318" s="1968">
        <f>$AM655</f>
        <v>1.27</v>
      </c>
    </row>
    <row r="319" spans="1:47">
      <c r="A319" s="1927"/>
      <c r="B319" s="1908">
        <v>7</v>
      </c>
      <c r="C319" s="1909">
        <v>8</v>
      </c>
      <c r="D319" s="1928">
        <v>0.14000000000000001</v>
      </c>
      <c r="E319" s="1917">
        <v>0.27</v>
      </c>
      <c r="F319" s="1927"/>
      <c r="G319" s="1908">
        <v>7</v>
      </c>
      <c r="H319" s="1909">
        <v>8</v>
      </c>
      <c r="I319" s="1928">
        <v>0.51</v>
      </c>
      <c r="J319" s="1917">
        <v>0.84</v>
      </c>
      <c r="K319" s="1927"/>
      <c r="L319" s="1908">
        <v>7</v>
      </c>
      <c r="M319" s="1909">
        <v>8</v>
      </c>
      <c r="N319" s="1928">
        <v>0.24</v>
      </c>
      <c r="O319" s="1917">
        <v>0.47</v>
      </c>
      <c r="P319" s="1927"/>
      <c r="Q319" s="1908"/>
      <c r="R319" s="1909"/>
      <c r="S319" s="1928"/>
      <c r="T319" s="1917"/>
      <c r="U319" s="1927"/>
      <c r="V319" s="1908">
        <v>7</v>
      </c>
      <c r="W319" s="1909">
        <v>8</v>
      </c>
      <c r="X319" s="1928">
        <v>0.25</v>
      </c>
      <c r="Y319" s="1917">
        <v>0.51</v>
      </c>
      <c r="Z319" s="1927"/>
      <c r="AA319" s="1908">
        <v>7</v>
      </c>
      <c r="AB319" s="1909">
        <v>8</v>
      </c>
      <c r="AC319" s="1928">
        <v>0.37</v>
      </c>
      <c r="AD319" s="1917">
        <v>0.74</v>
      </c>
      <c r="AF319" s="1908">
        <v>7</v>
      </c>
      <c r="AG319" s="1909">
        <v>8</v>
      </c>
      <c r="AH319" s="1928">
        <v>0.28999999999999998</v>
      </c>
      <c r="AI319" s="1917">
        <v>0.8</v>
      </c>
      <c r="AK319" s="1957">
        <f t="shared" si="45"/>
        <v>0.24</v>
      </c>
      <c r="AL319" s="1958">
        <f t="shared" si="46"/>
        <v>0.25</v>
      </c>
      <c r="AM319" s="1958">
        <f t="shared" si="44"/>
        <v>0.37</v>
      </c>
      <c r="AN319" s="1959">
        <f t="shared" si="47"/>
        <v>0.28999999999999998</v>
      </c>
      <c r="AO319" s="1902">
        <v>21</v>
      </c>
      <c r="AP319" s="1873">
        <v>22</v>
      </c>
      <c r="AQ319" s="1931"/>
      <c r="AR319" s="1915"/>
      <c r="AS319" s="1966">
        <f>$AK680</f>
        <v>0.95</v>
      </c>
      <c r="AT319" s="1967">
        <f>$AL680</f>
        <v>0.63</v>
      </c>
      <c r="AU319" s="1968">
        <f>$AM680</f>
        <v>0.59</v>
      </c>
    </row>
    <row r="320" spans="1:47">
      <c r="A320" s="1930"/>
      <c r="B320" s="1890">
        <v>8</v>
      </c>
      <c r="C320" s="1891">
        <v>9</v>
      </c>
      <c r="D320" s="1929">
        <v>0.13</v>
      </c>
      <c r="E320" s="1914">
        <v>0.28000000000000003</v>
      </c>
      <c r="F320" s="1930"/>
      <c r="G320" s="1890">
        <v>8</v>
      </c>
      <c r="H320" s="1891">
        <v>9</v>
      </c>
      <c r="I320" s="1929">
        <v>0.33</v>
      </c>
      <c r="J320" s="1914">
        <v>0.55000000000000004</v>
      </c>
      <c r="K320" s="1930"/>
      <c r="L320" s="1890">
        <v>8</v>
      </c>
      <c r="M320" s="1891">
        <v>9</v>
      </c>
      <c r="N320" s="1929">
        <v>0.21</v>
      </c>
      <c r="O320" s="1914">
        <v>0.38</v>
      </c>
      <c r="P320" s="1930"/>
      <c r="Q320" s="1890"/>
      <c r="R320" s="1891"/>
      <c r="S320" s="1929"/>
      <c r="T320" s="1914"/>
      <c r="U320" s="1930"/>
      <c r="V320" s="1890">
        <v>8</v>
      </c>
      <c r="W320" s="1891">
        <v>9</v>
      </c>
      <c r="X320" s="1929">
        <v>0.24</v>
      </c>
      <c r="Y320" s="1914">
        <v>0.5</v>
      </c>
      <c r="Z320" s="1930"/>
      <c r="AA320" s="1890">
        <v>8</v>
      </c>
      <c r="AB320" s="1891">
        <v>9</v>
      </c>
      <c r="AC320" s="1929">
        <v>0.31</v>
      </c>
      <c r="AD320" s="1914">
        <v>0.61</v>
      </c>
      <c r="AF320" s="1890">
        <v>8</v>
      </c>
      <c r="AG320" s="1891">
        <v>9</v>
      </c>
      <c r="AH320" s="1929">
        <v>0.46</v>
      </c>
      <c r="AI320" s="1914">
        <v>1.29</v>
      </c>
      <c r="AK320" s="1952">
        <f t="shared" si="45"/>
        <v>0.21</v>
      </c>
      <c r="AL320" s="1953">
        <f t="shared" si="46"/>
        <v>0.24</v>
      </c>
      <c r="AM320" s="1953">
        <f t="shared" si="44"/>
        <v>0.31</v>
      </c>
      <c r="AN320" s="1954">
        <f t="shared" si="47"/>
        <v>0.46</v>
      </c>
      <c r="AO320" s="1902">
        <v>22</v>
      </c>
      <c r="AP320" s="1873">
        <v>23</v>
      </c>
      <c r="AQ320" s="1931"/>
      <c r="AR320" s="1915"/>
      <c r="AS320" s="1966">
        <f>$AK705</f>
        <v>0.35</v>
      </c>
      <c r="AT320" s="1967">
        <f>$AL705</f>
        <v>0.51</v>
      </c>
      <c r="AU320" s="1968">
        <f>$AM705</f>
        <v>0.43</v>
      </c>
    </row>
    <row r="321" spans="1:47">
      <c r="A321" s="1930"/>
      <c r="B321" s="1893">
        <v>9</v>
      </c>
      <c r="C321" s="1872">
        <v>10</v>
      </c>
      <c r="D321" s="1931">
        <v>0.15</v>
      </c>
      <c r="E321" s="1915">
        <v>0.31</v>
      </c>
      <c r="F321" s="1930"/>
      <c r="G321" s="1893">
        <v>9</v>
      </c>
      <c r="H321" s="1872">
        <v>10</v>
      </c>
      <c r="I321" s="1931">
        <v>0.23</v>
      </c>
      <c r="J321" s="1915">
        <v>0.39</v>
      </c>
      <c r="K321" s="1930"/>
      <c r="L321" s="1893">
        <v>9</v>
      </c>
      <c r="M321" s="1872">
        <v>10</v>
      </c>
      <c r="N321" s="1931">
        <v>0.26</v>
      </c>
      <c r="O321" s="1915">
        <v>0.47</v>
      </c>
      <c r="P321" s="1930"/>
      <c r="Q321" s="1893"/>
      <c r="R321" s="1872"/>
      <c r="S321" s="1931"/>
      <c r="T321" s="1915"/>
      <c r="U321" s="1930"/>
      <c r="V321" s="1893">
        <v>9</v>
      </c>
      <c r="W321" s="1872">
        <v>10</v>
      </c>
      <c r="X321" s="1931">
        <v>0.34</v>
      </c>
      <c r="Y321" s="1915">
        <v>0.64</v>
      </c>
      <c r="Z321" s="1930"/>
      <c r="AA321" s="1893">
        <v>9</v>
      </c>
      <c r="AB321" s="1872">
        <v>10</v>
      </c>
      <c r="AC321" s="1931">
        <v>0.55000000000000004</v>
      </c>
      <c r="AD321" s="1915">
        <v>0.99</v>
      </c>
      <c r="AF321" s="1893">
        <v>9</v>
      </c>
      <c r="AG321" s="1872">
        <v>10</v>
      </c>
      <c r="AH321" s="1931">
        <v>0.56000000000000005</v>
      </c>
      <c r="AI321" s="1915">
        <v>1.47</v>
      </c>
      <c r="AK321" s="1955">
        <f t="shared" si="45"/>
        <v>0.26</v>
      </c>
      <c r="AL321" s="1926">
        <f t="shared" si="46"/>
        <v>0.34</v>
      </c>
      <c r="AM321" s="1926">
        <f t="shared" si="44"/>
        <v>0.55000000000000004</v>
      </c>
      <c r="AN321" s="1956">
        <f t="shared" si="47"/>
        <v>0.56000000000000005</v>
      </c>
      <c r="AO321" s="1902">
        <v>23</v>
      </c>
      <c r="AP321" s="1873">
        <v>24</v>
      </c>
      <c r="AQ321" s="1932"/>
      <c r="AR321" s="1916"/>
      <c r="AS321" s="1966">
        <f>$AK730</f>
        <v>0.28000000000000003</v>
      </c>
      <c r="AT321" s="1967">
        <f>$AL730</f>
        <v>1.38</v>
      </c>
      <c r="AU321" s="1968">
        <f>$AM730</f>
        <v>0.52</v>
      </c>
    </row>
    <row r="322" spans="1:47">
      <c r="A322" s="1930"/>
      <c r="B322" s="1893">
        <v>10</v>
      </c>
      <c r="C322" s="1872">
        <v>11</v>
      </c>
      <c r="D322" s="1931">
        <v>0.69</v>
      </c>
      <c r="E322" s="1915">
        <v>1.43</v>
      </c>
      <c r="F322" s="1930"/>
      <c r="G322" s="1893">
        <v>10</v>
      </c>
      <c r="H322" s="1872">
        <v>11</v>
      </c>
      <c r="I322" s="1931">
        <v>0.28999999999999998</v>
      </c>
      <c r="J322" s="1915">
        <v>0.49</v>
      </c>
      <c r="K322" s="1930"/>
      <c r="L322" s="1893">
        <v>10</v>
      </c>
      <c r="M322" s="1872">
        <v>11</v>
      </c>
      <c r="N322" s="1931">
        <v>0.15</v>
      </c>
      <c r="O322" s="1915">
        <v>0.27</v>
      </c>
      <c r="P322" s="1930"/>
      <c r="Q322" s="1893"/>
      <c r="R322" s="1872"/>
      <c r="S322" s="1931"/>
      <c r="T322" s="1915"/>
      <c r="U322" s="1930"/>
      <c r="V322" s="1893">
        <v>10</v>
      </c>
      <c r="W322" s="1872">
        <v>11</v>
      </c>
      <c r="X322" s="1931">
        <v>0.22</v>
      </c>
      <c r="Y322" s="1915">
        <v>0.39</v>
      </c>
      <c r="Z322" s="1930"/>
      <c r="AA322" s="1893">
        <v>10</v>
      </c>
      <c r="AB322" s="1872">
        <v>11</v>
      </c>
      <c r="AC322" s="1931">
        <v>0.37</v>
      </c>
      <c r="AD322" s="1915">
        <v>0.6</v>
      </c>
      <c r="AF322" s="1893">
        <v>10</v>
      </c>
      <c r="AG322" s="1872">
        <v>11</v>
      </c>
      <c r="AH322" s="1931">
        <v>0.38</v>
      </c>
      <c r="AI322" s="1915">
        <v>0.93</v>
      </c>
      <c r="AK322" s="1955">
        <f t="shared" si="45"/>
        <v>0.15</v>
      </c>
      <c r="AL322" s="1926">
        <f t="shared" si="46"/>
        <v>0.22</v>
      </c>
      <c r="AM322" s="1926">
        <f t="shared" si="44"/>
        <v>0.37</v>
      </c>
      <c r="AN322" s="1956">
        <f t="shared" si="47"/>
        <v>0.38</v>
      </c>
      <c r="AO322" s="1894"/>
      <c r="AP322" s="1895"/>
      <c r="AQ322" s="1933"/>
      <c r="AR322" s="1911"/>
      <c r="AS322" s="1966">
        <f>$AK755</f>
        <v>0.25</v>
      </c>
      <c r="AT322" s="1967">
        <f>$AL755</f>
        <v>1.02</v>
      </c>
      <c r="AU322" s="1968">
        <f>$AM755</f>
        <v>0.67</v>
      </c>
    </row>
    <row r="323" spans="1:47">
      <c r="A323" s="1930"/>
      <c r="B323" s="1893">
        <v>11</v>
      </c>
      <c r="C323" s="1872">
        <v>12</v>
      </c>
      <c r="D323" s="1931">
        <v>0.26</v>
      </c>
      <c r="E323" s="1915">
        <v>0.51</v>
      </c>
      <c r="F323" s="1930"/>
      <c r="G323" s="1893">
        <v>11</v>
      </c>
      <c r="H323" s="1872">
        <v>12</v>
      </c>
      <c r="I323" s="1931">
        <v>0.24</v>
      </c>
      <c r="J323" s="1915">
        <v>0.39</v>
      </c>
      <c r="K323" s="1930"/>
      <c r="L323" s="1893">
        <v>11</v>
      </c>
      <c r="M323" s="1872">
        <v>12</v>
      </c>
      <c r="N323" s="1931">
        <v>0.28999999999999998</v>
      </c>
      <c r="O323" s="1915">
        <v>0.51</v>
      </c>
      <c r="P323" s="1930"/>
      <c r="Q323" s="1893"/>
      <c r="R323" s="1872"/>
      <c r="S323" s="1931"/>
      <c r="T323" s="1915"/>
      <c r="U323" s="1930"/>
      <c r="V323" s="1893">
        <v>11</v>
      </c>
      <c r="W323" s="1872">
        <v>12</v>
      </c>
      <c r="X323" s="1931">
        <v>0.36</v>
      </c>
      <c r="Y323" s="1915">
        <v>0.62</v>
      </c>
      <c r="Z323" s="1930"/>
      <c r="AA323" s="1893">
        <v>11</v>
      </c>
      <c r="AB323" s="1872">
        <v>12</v>
      </c>
      <c r="AC323" s="1931">
        <v>0.49</v>
      </c>
      <c r="AD323" s="1915">
        <v>0.69</v>
      </c>
      <c r="AF323" s="1893">
        <v>11</v>
      </c>
      <c r="AG323" s="1872">
        <v>12</v>
      </c>
      <c r="AH323" s="1931">
        <v>0.45</v>
      </c>
      <c r="AI323" s="1915">
        <v>0.97</v>
      </c>
      <c r="AK323" s="1955">
        <f t="shared" si="45"/>
        <v>0.28999999999999998</v>
      </c>
      <c r="AL323" s="1926">
        <f t="shared" si="46"/>
        <v>0.36</v>
      </c>
      <c r="AM323" s="1926">
        <f t="shared" si="44"/>
        <v>0.49</v>
      </c>
      <c r="AN323" s="1956">
        <f t="shared" si="47"/>
        <v>0.45</v>
      </c>
      <c r="AO323" s="1883">
        <v>0</v>
      </c>
      <c r="AP323" s="1871">
        <v>1</v>
      </c>
      <c r="AQ323" s="1935"/>
      <c r="AR323" s="1912"/>
      <c r="AS323" s="1966">
        <f>$AK780</f>
        <v>0.25</v>
      </c>
      <c r="AT323" s="1967">
        <f>$AL780</f>
        <v>0.61</v>
      </c>
      <c r="AU323" s="1968">
        <f>$AM780</f>
        <v>0.18</v>
      </c>
    </row>
    <row r="324" spans="1:47">
      <c r="A324" s="1930"/>
      <c r="B324" s="1893">
        <v>12</v>
      </c>
      <c r="C324" s="1872">
        <v>13</v>
      </c>
      <c r="D324" s="1931">
        <v>0.26</v>
      </c>
      <c r="E324" s="1915">
        <v>0.47</v>
      </c>
      <c r="F324" s="1930"/>
      <c r="G324" s="1893">
        <v>12</v>
      </c>
      <c r="H324" s="1872">
        <v>13</v>
      </c>
      <c r="I324" s="1931">
        <v>0.37</v>
      </c>
      <c r="J324" s="1915">
        <v>0.57999999999999996</v>
      </c>
      <c r="K324" s="1930"/>
      <c r="L324" s="1893">
        <v>12</v>
      </c>
      <c r="M324" s="1872">
        <v>13</v>
      </c>
      <c r="N324" s="1931">
        <v>0.3</v>
      </c>
      <c r="O324" s="1915">
        <v>0.52</v>
      </c>
      <c r="P324" s="1930"/>
      <c r="Q324" s="1893"/>
      <c r="R324" s="1872"/>
      <c r="S324" s="1931"/>
      <c r="T324" s="1915"/>
      <c r="U324" s="1930"/>
      <c r="V324" s="1893">
        <v>12</v>
      </c>
      <c r="W324" s="1872">
        <v>13</v>
      </c>
      <c r="X324" s="1931">
        <v>0.39</v>
      </c>
      <c r="Y324" s="1915">
        <v>0.59</v>
      </c>
      <c r="Z324" s="1930"/>
      <c r="AA324" s="1893">
        <v>12</v>
      </c>
      <c r="AB324" s="1872">
        <v>13</v>
      </c>
      <c r="AC324" s="1931">
        <v>0.44</v>
      </c>
      <c r="AD324" s="1915">
        <v>0.62</v>
      </c>
      <c r="AF324" s="1893">
        <v>12</v>
      </c>
      <c r="AG324" s="1872">
        <v>13</v>
      </c>
      <c r="AH324" s="1931">
        <v>0.43</v>
      </c>
      <c r="AI324" s="1915">
        <v>0.78</v>
      </c>
      <c r="AK324" s="1955">
        <f t="shared" si="45"/>
        <v>0.3</v>
      </c>
      <c r="AL324" s="1926">
        <f t="shared" si="46"/>
        <v>0.39</v>
      </c>
      <c r="AM324" s="1926">
        <f t="shared" si="44"/>
        <v>0.44</v>
      </c>
      <c r="AN324" s="1956">
        <f t="shared" si="47"/>
        <v>0.43</v>
      </c>
      <c r="AO324" s="1883">
        <v>1</v>
      </c>
      <c r="AP324" s="1871">
        <v>2</v>
      </c>
      <c r="AQ324" s="1935"/>
      <c r="AR324" s="1912"/>
      <c r="AS324" s="1969">
        <f>$AK805</f>
        <v>0</v>
      </c>
      <c r="AT324" s="1970">
        <f>$AL805</f>
        <v>0.73</v>
      </c>
      <c r="AU324" s="1971">
        <f>$AM805</f>
        <v>0</v>
      </c>
    </row>
    <row r="325" spans="1:47">
      <c r="A325" s="1930"/>
      <c r="B325" s="1893">
        <v>13</v>
      </c>
      <c r="C325" s="1872">
        <v>14</v>
      </c>
      <c r="D325" s="1931">
        <v>0.33</v>
      </c>
      <c r="E325" s="1915">
        <v>0.57999999999999996</v>
      </c>
      <c r="F325" s="1930"/>
      <c r="G325" s="1893">
        <v>13</v>
      </c>
      <c r="H325" s="1872">
        <v>14</v>
      </c>
      <c r="I325" s="1931">
        <v>0.14000000000000001</v>
      </c>
      <c r="J325" s="1915">
        <v>0.2</v>
      </c>
      <c r="K325" s="1930"/>
      <c r="L325" s="1893">
        <v>13</v>
      </c>
      <c r="M325" s="1872">
        <v>14</v>
      </c>
      <c r="N325" s="1931">
        <v>0.44</v>
      </c>
      <c r="O325" s="1915">
        <v>0.75</v>
      </c>
      <c r="P325" s="1930"/>
      <c r="Q325" s="1893"/>
      <c r="R325" s="1872"/>
      <c r="S325" s="1931"/>
      <c r="T325" s="1915"/>
      <c r="U325" s="1930"/>
      <c r="V325" s="1893">
        <v>13</v>
      </c>
      <c r="W325" s="1872">
        <v>14</v>
      </c>
      <c r="X325" s="1931">
        <v>0.28000000000000003</v>
      </c>
      <c r="Y325" s="1915">
        <v>0.4</v>
      </c>
      <c r="Z325" s="1930"/>
      <c r="AA325" s="1893">
        <v>13</v>
      </c>
      <c r="AB325" s="1872">
        <v>14</v>
      </c>
      <c r="AC325" s="1931">
        <v>0.56000000000000005</v>
      </c>
      <c r="AD325" s="1915">
        <v>0.78</v>
      </c>
      <c r="AF325" s="1893">
        <v>13</v>
      </c>
      <c r="AG325" s="1872">
        <v>14</v>
      </c>
      <c r="AH325" s="1931">
        <v>0.32</v>
      </c>
      <c r="AI325" s="1915">
        <v>0.57999999999999996</v>
      </c>
      <c r="AK325" s="1955">
        <f t="shared" si="45"/>
        <v>0.44</v>
      </c>
      <c r="AL325" s="1926">
        <f t="shared" si="46"/>
        <v>0.28000000000000003</v>
      </c>
      <c r="AM325" s="1926">
        <f t="shared" si="44"/>
        <v>0.56000000000000005</v>
      </c>
      <c r="AN325" s="1956">
        <f t="shared" si="47"/>
        <v>0.32</v>
      </c>
      <c r="AO325" s="1883">
        <v>2</v>
      </c>
      <c r="AP325" s="1871">
        <v>3</v>
      </c>
      <c r="AQ325" s="1935"/>
      <c r="AR325" s="1912"/>
    </row>
    <row r="326" spans="1:47">
      <c r="A326" s="1930"/>
      <c r="B326" s="1893">
        <v>14</v>
      </c>
      <c r="C326" s="1872">
        <v>15</v>
      </c>
      <c r="D326" s="1931">
        <v>0.33</v>
      </c>
      <c r="E326" s="1915">
        <v>0.57999999999999996</v>
      </c>
      <c r="F326" s="1930"/>
      <c r="G326" s="1893">
        <v>14</v>
      </c>
      <c r="H326" s="1872">
        <v>15</v>
      </c>
      <c r="I326" s="1931">
        <v>0.11</v>
      </c>
      <c r="J326" s="1915">
        <v>0.16</v>
      </c>
      <c r="K326" s="1930"/>
      <c r="L326" s="1893">
        <v>14</v>
      </c>
      <c r="M326" s="1872">
        <v>15</v>
      </c>
      <c r="N326" s="1931">
        <v>0.39</v>
      </c>
      <c r="O326" s="1915">
        <v>0.66</v>
      </c>
      <c r="P326" s="1930"/>
      <c r="Q326" s="1893"/>
      <c r="R326" s="1872"/>
      <c r="S326" s="1931"/>
      <c r="T326" s="1915"/>
      <c r="U326" s="1930"/>
      <c r="V326" s="1893">
        <v>14</v>
      </c>
      <c r="W326" s="1872">
        <v>15</v>
      </c>
      <c r="X326" s="1931">
        <v>0.36</v>
      </c>
      <c r="Y326" s="1915">
        <v>0.5</v>
      </c>
      <c r="Z326" s="1930"/>
      <c r="AA326" s="1893">
        <v>14</v>
      </c>
      <c r="AB326" s="1872">
        <v>15</v>
      </c>
      <c r="AC326" s="1931">
        <v>0.59</v>
      </c>
      <c r="AD326" s="1915">
        <v>0.83</v>
      </c>
      <c r="AF326" s="1893">
        <v>14</v>
      </c>
      <c r="AG326" s="1872">
        <v>15</v>
      </c>
      <c r="AH326" s="1931">
        <v>0.23</v>
      </c>
      <c r="AI326" s="1915">
        <v>0.43</v>
      </c>
      <c r="AK326" s="1955">
        <f t="shared" si="45"/>
        <v>0.39</v>
      </c>
      <c r="AL326" s="1926">
        <f t="shared" si="46"/>
        <v>0.36</v>
      </c>
      <c r="AM326" s="1926">
        <f t="shared" si="44"/>
        <v>0.59</v>
      </c>
      <c r="AN326" s="1956">
        <f t="shared" si="47"/>
        <v>0.23</v>
      </c>
      <c r="AO326" s="1883">
        <v>3</v>
      </c>
      <c r="AP326" s="1871">
        <v>4</v>
      </c>
      <c r="AQ326" s="1935"/>
      <c r="AR326" s="1912"/>
    </row>
    <row r="327" spans="1:47">
      <c r="A327" s="1930"/>
      <c r="B327" s="1893">
        <v>15</v>
      </c>
      <c r="C327" s="1872">
        <v>16</v>
      </c>
      <c r="D327" s="1931">
        <v>0.14000000000000001</v>
      </c>
      <c r="E327" s="1915">
        <v>0.24</v>
      </c>
      <c r="F327" s="1930"/>
      <c r="G327" s="1893">
        <v>15</v>
      </c>
      <c r="H327" s="1872">
        <v>16</v>
      </c>
      <c r="I327" s="1931">
        <v>0.08</v>
      </c>
      <c r="J327" s="1915">
        <v>0.12</v>
      </c>
      <c r="K327" s="1930"/>
      <c r="L327" s="1893">
        <v>15</v>
      </c>
      <c r="M327" s="1872">
        <v>16</v>
      </c>
      <c r="N327" s="1931">
        <v>0.35</v>
      </c>
      <c r="O327" s="1915">
        <v>0.59</v>
      </c>
      <c r="P327" s="1930"/>
      <c r="Q327" s="1893"/>
      <c r="R327" s="1872"/>
      <c r="S327" s="1931"/>
      <c r="T327" s="1915"/>
      <c r="U327" s="1930"/>
      <c r="V327" s="1893">
        <v>15</v>
      </c>
      <c r="W327" s="1872">
        <v>16</v>
      </c>
      <c r="X327" s="1931">
        <v>0.27</v>
      </c>
      <c r="Y327" s="1915">
        <v>0.4</v>
      </c>
      <c r="Z327" s="1930"/>
      <c r="AA327" s="1893">
        <v>15</v>
      </c>
      <c r="AB327" s="1872">
        <v>16</v>
      </c>
      <c r="AC327" s="1931">
        <v>0.48</v>
      </c>
      <c r="AD327" s="1915">
        <v>0.72</v>
      </c>
      <c r="AF327" s="1893">
        <v>15</v>
      </c>
      <c r="AG327" s="1872">
        <v>16</v>
      </c>
      <c r="AH327" s="1931">
        <v>0.15</v>
      </c>
      <c r="AI327" s="1915">
        <v>0.28999999999999998</v>
      </c>
      <c r="AK327" s="1955">
        <f t="shared" si="45"/>
        <v>0.35</v>
      </c>
      <c r="AL327" s="1926">
        <f t="shared" si="46"/>
        <v>0.27</v>
      </c>
      <c r="AM327" s="1926">
        <f t="shared" si="44"/>
        <v>0.48</v>
      </c>
      <c r="AN327" s="1956">
        <f t="shared" si="47"/>
        <v>0.15</v>
      </c>
      <c r="AO327" s="1883">
        <v>4</v>
      </c>
      <c r="AP327" s="1871">
        <v>5</v>
      </c>
      <c r="AQ327" s="1935"/>
      <c r="AR327" s="1912"/>
    </row>
    <row r="328" spans="1:47">
      <c r="A328" s="1930"/>
      <c r="B328" s="1893">
        <v>16</v>
      </c>
      <c r="C328" s="1872">
        <v>17</v>
      </c>
      <c r="D328" s="1931">
        <v>0.2</v>
      </c>
      <c r="E328" s="1915">
        <v>0.38</v>
      </c>
      <c r="F328" s="1930"/>
      <c r="G328" s="1893">
        <v>16</v>
      </c>
      <c r="H328" s="1872">
        <v>17</v>
      </c>
      <c r="I328" s="1931">
        <v>0.13</v>
      </c>
      <c r="J328" s="1915">
        <v>0.21</v>
      </c>
      <c r="K328" s="1930"/>
      <c r="L328" s="1893">
        <v>16</v>
      </c>
      <c r="M328" s="1872">
        <v>17</v>
      </c>
      <c r="N328" s="1931">
        <v>0.94</v>
      </c>
      <c r="O328" s="1915">
        <v>1.65</v>
      </c>
      <c r="P328" s="1930"/>
      <c r="Q328" s="1893"/>
      <c r="R328" s="1872"/>
      <c r="S328" s="1931"/>
      <c r="T328" s="1915"/>
      <c r="U328" s="1930"/>
      <c r="V328" s="1893">
        <v>16</v>
      </c>
      <c r="W328" s="1872">
        <v>17</v>
      </c>
      <c r="X328" s="1931">
        <v>0.25</v>
      </c>
      <c r="Y328" s="1915">
        <v>0.39</v>
      </c>
      <c r="Z328" s="1930"/>
      <c r="AA328" s="1893">
        <v>16</v>
      </c>
      <c r="AB328" s="1872">
        <v>17</v>
      </c>
      <c r="AC328" s="1931">
        <v>0.66</v>
      </c>
      <c r="AD328" s="1915">
        <v>1.06</v>
      </c>
      <c r="AF328" s="1893">
        <v>16</v>
      </c>
      <c r="AG328" s="1872">
        <v>17</v>
      </c>
      <c r="AH328" s="1931">
        <v>0.12</v>
      </c>
      <c r="AI328" s="1915">
        <v>0.23</v>
      </c>
      <c r="AK328" s="1955">
        <f t="shared" si="45"/>
        <v>0.94</v>
      </c>
      <c r="AL328" s="1926">
        <f t="shared" si="46"/>
        <v>0.25</v>
      </c>
      <c r="AM328" s="1926">
        <f t="shared" si="44"/>
        <v>0.66</v>
      </c>
      <c r="AN328" s="1956">
        <f t="shared" si="47"/>
        <v>0.12</v>
      </c>
      <c r="AO328" s="1883">
        <v>5</v>
      </c>
      <c r="AP328" s="1871">
        <v>6</v>
      </c>
      <c r="AQ328" s="1936"/>
      <c r="AR328" s="1937"/>
    </row>
    <row r="329" spans="1:47">
      <c r="A329" s="1930"/>
      <c r="B329" s="1894">
        <v>17</v>
      </c>
      <c r="C329" s="1895">
        <v>18</v>
      </c>
      <c r="D329" s="1932">
        <v>0.56999999999999995</v>
      </c>
      <c r="E329" s="1916">
        <v>1.71</v>
      </c>
      <c r="F329" s="1930"/>
      <c r="G329" s="1894">
        <v>17</v>
      </c>
      <c r="H329" s="1895">
        <v>18</v>
      </c>
      <c r="I329" s="1932">
        <v>0.15</v>
      </c>
      <c r="J329" s="1916">
        <v>0.38</v>
      </c>
      <c r="K329" s="1930"/>
      <c r="L329" s="1894">
        <v>17</v>
      </c>
      <c r="M329" s="1895">
        <v>18</v>
      </c>
      <c r="N329" s="1932">
        <v>0.86</v>
      </c>
      <c r="O329" s="1916">
        <v>1.58</v>
      </c>
      <c r="P329" s="1930"/>
      <c r="Q329" s="1894"/>
      <c r="R329" s="1895"/>
      <c r="S329" s="1932"/>
      <c r="T329" s="1916"/>
      <c r="U329" s="1930"/>
      <c r="V329" s="1894">
        <v>17</v>
      </c>
      <c r="W329" s="1895">
        <v>18</v>
      </c>
      <c r="X329" s="1932">
        <v>0.4</v>
      </c>
      <c r="Y329" s="1916">
        <v>0.68</v>
      </c>
      <c r="Z329" s="1930"/>
      <c r="AA329" s="1894">
        <v>17</v>
      </c>
      <c r="AB329" s="1895">
        <v>18</v>
      </c>
      <c r="AC329" s="1932">
        <v>0.87</v>
      </c>
      <c r="AD329" s="1916">
        <v>1.5</v>
      </c>
      <c r="AF329" s="1894">
        <v>17</v>
      </c>
      <c r="AG329" s="1895">
        <v>18</v>
      </c>
      <c r="AH329" s="1932">
        <v>0.34</v>
      </c>
      <c r="AI329" s="1916">
        <v>0.71</v>
      </c>
      <c r="AK329" s="1957">
        <f t="shared" si="45"/>
        <v>0.86</v>
      </c>
      <c r="AL329" s="1958">
        <f t="shared" si="46"/>
        <v>0.4</v>
      </c>
      <c r="AM329" s="1958">
        <f t="shared" si="44"/>
        <v>0.87</v>
      </c>
      <c r="AN329" s="1959">
        <f t="shared" si="47"/>
        <v>0.34</v>
      </c>
      <c r="AO329" s="1883">
        <v>6</v>
      </c>
      <c r="AP329" s="1871">
        <v>7</v>
      </c>
      <c r="AQ329" s="1926"/>
      <c r="AR329" s="1913"/>
    </row>
    <row r="330" spans="1:47">
      <c r="A330" s="1934"/>
      <c r="B330" s="1910">
        <v>18</v>
      </c>
      <c r="C330" s="1889">
        <v>19</v>
      </c>
      <c r="D330" s="1933">
        <v>0.65</v>
      </c>
      <c r="E330" s="1911">
        <v>2.06</v>
      </c>
      <c r="F330" s="1934"/>
      <c r="G330" s="1910">
        <v>18</v>
      </c>
      <c r="H330" s="1889">
        <v>19</v>
      </c>
      <c r="I330" s="1933">
        <v>0.34</v>
      </c>
      <c r="J330" s="1911">
        <v>0.92</v>
      </c>
      <c r="K330" s="1934"/>
      <c r="L330" s="1910">
        <v>18</v>
      </c>
      <c r="M330" s="1889">
        <v>19</v>
      </c>
      <c r="N330" s="1933">
        <v>0.31</v>
      </c>
      <c r="O330" s="1911">
        <v>0.56000000000000005</v>
      </c>
      <c r="P330" s="1934"/>
      <c r="Q330" s="1910"/>
      <c r="R330" s="1889"/>
      <c r="S330" s="1933"/>
      <c r="T330" s="1911"/>
      <c r="U330" s="1934"/>
      <c r="V330" s="1910">
        <v>18</v>
      </c>
      <c r="W330" s="1889">
        <v>19</v>
      </c>
      <c r="X330" s="1933">
        <v>0.64</v>
      </c>
      <c r="Y330" s="1911">
        <v>1.1599999999999999</v>
      </c>
      <c r="Z330" s="1934"/>
      <c r="AA330" s="1910">
        <v>18</v>
      </c>
      <c r="AB330" s="1889">
        <v>19</v>
      </c>
      <c r="AC330" s="1933">
        <v>0.5</v>
      </c>
      <c r="AD330" s="1911">
        <v>0.92</v>
      </c>
      <c r="AF330" s="1910">
        <v>18</v>
      </c>
      <c r="AG330" s="1889">
        <v>19</v>
      </c>
      <c r="AH330" s="1933">
        <v>0.39</v>
      </c>
      <c r="AI330" s="1911">
        <v>0.84</v>
      </c>
      <c r="AK330" s="1952">
        <f t="shared" si="45"/>
        <v>0.31</v>
      </c>
      <c r="AL330" s="1953">
        <f t="shared" si="46"/>
        <v>0.64</v>
      </c>
      <c r="AM330" s="1953">
        <f t="shared" si="44"/>
        <v>0.5</v>
      </c>
      <c r="AN330" s="1954">
        <f t="shared" si="47"/>
        <v>0.39</v>
      </c>
      <c r="AO330" s="1908">
        <v>7</v>
      </c>
      <c r="AP330" s="1909">
        <v>8</v>
      </c>
      <c r="AQ330" s="1926"/>
      <c r="AR330" s="1913"/>
    </row>
    <row r="331" spans="1:47">
      <c r="A331" s="1934"/>
      <c r="B331" s="1902">
        <v>19</v>
      </c>
      <c r="C331" s="1873">
        <v>20</v>
      </c>
      <c r="D331" s="1935">
        <v>0.67</v>
      </c>
      <c r="E331" s="1912">
        <v>1.91</v>
      </c>
      <c r="F331" s="1934"/>
      <c r="G331" s="1902">
        <v>19</v>
      </c>
      <c r="H331" s="1873">
        <v>20</v>
      </c>
      <c r="I331" s="1935">
        <v>0.28000000000000003</v>
      </c>
      <c r="J331" s="1912">
        <v>0.76</v>
      </c>
      <c r="K331" s="1934"/>
      <c r="L331" s="1902">
        <v>19</v>
      </c>
      <c r="M331" s="1873">
        <v>20</v>
      </c>
      <c r="N331" s="1935">
        <v>0.28999999999999998</v>
      </c>
      <c r="O331" s="1912">
        <v>0.54</v>
      </c>
      <c r="P331" s="1934"/>
      <c r="Q331" s="1902"/>
      <c r="R331" s="1873"/>
      <c r="S331" s="1935"/>
      <c r="T331" s="1912"/>
      <c r="U331" s="1934"/>
      <c r="V331" s="1902">
        <v>19</v>
      </c>
      <c r="W331" s="1873">
        <v>20</v>
      </c>
      <c r="X331" s="1935">
        <v>0.51</v>
      </c>
      <c r="Y331" s="1912">
        <v>0.98</v>
      </c>
      <c r="Z331" s="1934"/>
      <c r="AA331" s="1902">
        <v>19</v>
      </c>
      <c r="AB331" s="1873">
        <v>20</v>
      </c>
      <c r="AC331" s="1935">
        <v>0.45</v>
      </c>
      <c r="AD331" s="1912">
        <v>0.92</v>
      </c>
      <c r="AF331" s="1902">
        <v>19</v>
      </c>
      <c r="AG331" s="1873">
        <v>20</v>
      </c>
      <c r="AH331" s="1935">
        <v>0.43</v>
      </c>
      <c r="AI331" s="1912">
        <v>1.04</v>
      </c>
      <c r="AK331" s="1955">
        <f t="shared" si="45"/>
        <v>0.28999999999999998</v>
      </c>
      <c r="AL331" s="1926">
        <f t="shared" si="46"/>
        <v>0.51</v>
      </c>
      <c r="AM331" s="1926">
        <f t="shared" si="44"/>
        <v>0.45</v>
      </c>
      <c r="AN331" s="1956">
        <f t="shared" si="47"/>
        <v>0.43</v>
      </c>
      <c r="AO331" s="1890">
        <v>8</v>
      </c>
      <c r="AP331" s="1891">
        <v>9</v>
      </c>
      <c r="AQ331" s="1926"/>
      <c r="AR331" s="1913"/>
    </row>
    <row r="332" spans="1:47">
      <c r="A332" s="1934"/>
      <c r="B332" s="1902">
        <v>20</v>
      </c>
      <c r="C332" s="1873">
        <v>21</v>
      </c>
      <c r="D332" s="1935">
        <v>0.41</v>
      </c>
      <c r="E332" s="1912">
        <v>0.85</v>
      </c>
      <c r="F332" s="1934"/>
      <c r="G332" s="1902">
        <v>20</v>
      </c>
      <c r="H332" s="1873">
        <v>21</v>
      </c>
      <c r="I332" s="1935">
        <v>0.31</v>
      </c>
      <c r="J332" s="1912">
        <v>0.56000000000000005</v>
      </c>
      <c r="K332" s="1934"/>
      <c r="L332" s="1902">
        <v>20</v>
      </c>
      <c r="M332" s="1873">
        <v>21</v>
      </c>
      <c r="N332" s="1935">
        <v>0.26</v>
      </c>
      <c r="O332" s="1912">
        <v>0.48</v>
      </c>
      <c r="P332" s="1934"/>
      <c r="Q332" s="1902"/>
      <c r="R332" s="1873"/>
      <c r="S332" s="1935"/>
      <c r="T332" s="1912"/>
      <c r="U332" s="1934"/>
      <c r="V332" s="1902">
        <v>20</v>
      </c>
      <c r="W332" s="1873">
        <v>21</v>
      </c>
      <c r="X332" s="1935">
        <v>0.42</v>
      </c>
      <c r="Y332" s="1912">
        <v>0.82</v>
      </c>
      <c r="Z332" s="1934"/>
      <c r="AA332" s="1902">
        <v>20</v>
      </c>
      <c r="AB332" s="1873">
        <v>21</v>
      </c>
      <c r="AC332" s="1935">
        <v>0.55000000000000004</v>
      </c>
      <c r="AD332" s="1912">
        <v>1.18</v>
      </c>
      <c r="AF332" s="1902">
        <v>20</v>
      </c>
      <c r="AG332" s="1873">
        <v>21</v>
      </c>
      <c r="AH332" s="1935">
        <v>0.26</v>
      </c>
      <c r="AI332" s="1912">
        <v>0.77</v>
      </c>
      <c r="AK332" s="1955">
        <f t="shared" si="45"/>
        <v>0.26</v>
      </c>
      <c r="AL332" s="1926">
        <f t="shared" si="46"/>
        <v>0.42</v>
      </c>
      <c r="AM332" s="1926">
        <f t="shared" si="44"/>
        <v>0.55000000000000004</v>
      </c>
      <c r="AN332" s="1956">
        <f t="shared" si="47"/>
        <v>0.26</v>
      </c>
      <c r="AO332" s="1893">
        <v>9</v>
      </c>
      <c r="AP332" s="1872">
        <v>10</v>
      </c>
      <c r="AQ332" s="1926"/>
      <c r="AR332" s="1913"/>
    </row>
    <row r="333" spans="1:47">
      <c r="A333" s="1934"/>
      <c r="B333" s="1902">
        <v>21</v>
      </c>
      <c r="C333" s="1873">
        <v>22</v>
      </c>
      <c r="D333" s="1935">
        <v>0.32</v>
      </c>
      <c r="E333" s="1912">
        <v>0.57999999999999996</v>
      </c>
      <c r="F333" s="1934"/>
      <c r="G333" s="1902">
        <v>21</v>
      </c>
      <c r="H333" s="1873">
        <v>22</v>
      </c>
      <c r="I333" s="1935">
        <v>0.25</v>
      </c>
      <c r="J333" s="1912">
        <v>0.44</v>
      </c>
      <c r="K333" s="1934"/>
      <c r="L333" s="1902">
        <v>21</v>
      </c>
      <c r="M333" s="1873">
        <v>22</v>
      </c>
      <c r="N333" s="1935">
        <v>0.32</v>
      </c>
      <c r="O333" s="1912">
        <v>0.59</v>
      </c>
      <c r="P333" s="1934"/>
      <c r="Q333" s="1902"/>
      <c r="R333" s="1873"/>
      <c r="S333" s="1935"/>
      <c r="T333" s="1912"/>
      <c r="U333" s="1934"/>
      <c r="V333" s="1902">
        <v>21</v>
      </c>
      <c r="W333" s="1873">
        <v>22</v>
      </c>
      <c r="X333" s="1935">
        <v>0.43</v>
      </c>
      <c r="Y333" s="1912">
        <v>0.81</v>
      </c>
      <c r="Z333" s="1934"/>
      <c r="AA333" s="1902">
        <v>21</v>
      </c>
      <c r="AB333" s="1873">
        <v>22</v>
      </c>
      <c r="AC333" s="1935">
        <v>0.42</v>
      </c>
      <c r="AD333" s="1912">
        <v>0.8</v>
      </c>
      <c r="AF333" s="1902">
        <v>21</v>
      </c>
      <c r="AG333" s="1873">
        <v>22</v>
      </c>
      <c r="AH333" s="1935">
        <v>0.35</v>
      </c>
      <c r="AI333" s="1912">
        <v>1</v>
      </c>
      <c r="AK333" s="1955">
        <f t="shared" si="45"/>
        <v>0.32</v>
      </c>
      <c r="AL333" s="1926">
        <f t="shared" si="46"/>
        <v>0.43</v>
      </c>
      <c r="AM333" s="1926">
        <f t="shared" si="44"/>
        <v>0.42</v>
      </c>
      <c r="AN333" s="1956">
        <f t="shared" si="47"/>
        <v>0.35</v>
      </c>
      <c r="AO333" s="1893">
        <v>10</v>
      </c>
      <c r="AP333" s="1872">
        <v>11</v>
      </c>
      <c r="AQ333" s="1926"/>
      <c r="AR333" s="1913"/>
    </row>
    <row r="334" spans="1:47">
      <c r="A334" s="1934"/>
      <c r="B334" s="1902">
        <v>22</v>
      </c>
      <c r="C334" s="1873">
        <v>23</v>
      </c>
      <c r="D334" s="1935">
        <v>0.19</v>
      </c>
      <c r="E334" s="1912">
        <v>0.34</v>
      </c>
      <c r="F334" s="1934"/>
      <c r="G334" s="1902">
        <v>22</v>
      </c>
      <c r="H334" s="1873">
        <v>23</v>
      </c>
      <c r="I334" s="1935">
        <v>0.12</v>
      </c>
      <c r="J334" s="1912">
        <v>0.2</v>
      </c>
      <c r="K334" s="1934"/>
      <c r="L334" s="1902">
        <v>22</v>
      </c>
      <c r="M334" s="1873">
        <v>23</v>
      </c>
      <c r="N334" s="1935">
        <v>0.27</v>
      </c>
      <c r="O334" s="1912">
        <v>0.5</v>
      </c>
      <c r="P334" s="1934"/>
      <c r="Q334" s="1902"/>
      <c r="R334" s="1873"/>
      <c r="S334" s="1935"/>
      <c r="T334" s="1912"/>
      <c r="U334" s="1934"/>
      <c r="V334" s="1902">
        <v>22</v>
      </c>
      <c r="W334" s="1873">
        <v>23</v>
      </c>
      <c r="X334" s="1935">
        <v>0.34</v>
      </c>
      <c r="Y334" s="1912">
        <v>0.6</v>
      </c>
      <c r="Z334" s="1934"/>
      <c r="AA334" s="1902">
        <v>22</v>
      </c>
      <c r="AB334" s="1873">
        <v>23</v>
      </c>
      <c r="AC334" s="1935">
        <v>0.39</v>
      </c>
      <c r="AD334" s="1912">
        <v>0.71</v>
      </c>
      <c r="AF334" s="1902">
        <v>22</v>
      </c>
      <c r="AG334" s="1873">
        <v>23</v>
      </c>
      <c r="AH334" s="1935">
        <v>0.18</v>
      </c>
      <c r="AI334" s="1912">
        <v>0.51</v>
      </c>
      <c r="AK334" s="1955">
        <f t="shared" si="45"/>
        <v>0.27</v>
      </c>
      <c r="AL334" s="1926">
        <f t="shared" si="46"/>
        <v>0.34</v>
      </c>
      <c r="AM334" s="1926">
        <f t="shared" si="44"/>
        <v>0.39</v>
      </c>
      <c r="AN334" s="1956">
        <f t="shared" si="47"/>
        <v>0.18</v>
      </c>
      <c r="AO334" s="1893">
        <v>11</v>
      </c>
      <c r="AP334" s="1872">
        <v>12</v>
      </c>
      <c r="AQ334" s="1926"/>
      <c r="AR334" s="1913"/>
    </row>
    <row r="335" spans="1:47" ht="15" thickBot="1">
      <c r="A335" s="1934"/>
      <c r="B335" s="1902">
        <v>23</v>
      </c>
      <c r="C335" s="1873">
        <v>24</v>
      </c>
      <c r="D335" s="1935">
        <v>0.1</v>
      </c>
      <c r="E335" s="1912">
        <v>0.17</v>
      </c>
      <c r="F335" s="1934"/>
      <c r="G335" s="1902">
        <v>23</v>
      </c>
      <c r="H335" s="1873">
        <v>24</v>
      </c>
      <c r="I335" s="1935">
        <v>0.08</v>
      </c>
      <c r="J335" s="1912">
        <v>0.13</v>
      </c>
      <c r="K335" s="1934"/>
      <c r="L335" s="1902">
        <v>23</v>
      </c>
      <c r="M335" s="1873">
        <v>24</v>
      </c>
      <c r="N335" s="1935">
        <v>0.11</v>
      </c>
      <c r="O335" s="1912">
        <v>0.19</v>
      </c>
      <c r="P335" s="1934"/>
      <c r="Q335" s="1902"/>
      <c r="R335" s="1873"/>
      <c r="S335" s="1935"/>
      <c r="T335" s="1912"/>
      <c r="U335" s="1934"/>
      <c r="V335" s="1902">
        <v>23</v>
      </c>
      <c r="W335" s="1873">
        <v>24</v>
      </c>
      <c r="X335" s="1935">
        <v>0.25</v>
      </c>
      <c r="Y335" s="1912">
        <v>0.43</v>
      </c>
      <c r="Z335" s="1934"/>
      <c r="AA335" s="1902">
        <v>23</v>
      </c>
      <c r="AB335" s="1873">
        <v>24</v>
      </c>
      <c r="AC335" s="1935">
        <v>0.23</v>
      </c>
      <c r="AD335" s="1912">
        <v>0.4</v>
      </c>
      <c r="AF335" s="1902">
        <v>23</v>
      </c>
      <c r="AG335" s="1873">
        <v>24</v>
      </c>
      <c r="AH335" s="1935">
        <v>0.16</v>
      </c>
      <c r="AI335" s="1912">
        <v>0.44</v>
      </c>
      <c r="AK335" s="1957">
        <f t="shared" si="45"/>
        <v>0.11</v>
      </c>
      <c r="AL335" s="1958">
        <f t="shared" si="46"/>
        <v>0.25</v>
      </c>
      <c r="AM335" s="1958">
        <f t="shared" si="44"/>
        <v>0.23</v>
      </c>
      <c r="AN335" s="1959">
        <f t="shared" si="47"/>
        <v>0.16</v>
      </c>
      <c r="AO335" s="1893">
        <v>12</v>
      </c>
      <c r="AP335" s="1872">
        <v>13</v>
      </c>
      <c r="AQ335" s="1926" t="s">
        <v>1478</v>
      </c>
      <c r="AR335" s="1913"/>
    </row>
    <row r="336" spans="1:47">
      <c r="B336" s="2766">
        <v>44970</v>
      </c>
      <c r="C336" s="2766"/>
      <c r="D336" s="1922">
        <f>SUM(D337:D360)</f>
        <v>5.47</v>
      </c>
      <c r="E336" s="1923">
        <f>SUM(E337:E360)</f>
        <v>13.520000000000001</v>
      </c>
      <c r="G336" s="2773">
        <v>44998</v>
      </c>
      <c r="H336" s="2773"/>
      <c r="I336" s="1922">
        <f>SUM(I337:I360)</f>
        <v>5.6800000000000006</v>
      </c>
      <c r="J336" s="1923">
        <f>SUM(J337:J360)</f>
        <v>7.4400000000000022</v>
      </c>
      <c r="L336" s="2773">
        <v>45029</v>
      </c>
      <c r="M336" s="2773"/>
      <c r="N336" s="1936">
        <f>SUM(N337:N360)</f>
        <v>7.1399999999999988</v>
      </c>
      <c r="O336" s="1937">
        <f>SUM(O337:O360)</f>
        <v>12.14</v>
      </c>
      <c r="Q336" s="2766">
        <v>45059</v>
      </c>
      <c r="R336" s="2766"/>
      <c r="S336" s="1936"/>
      <c r="T336" s="1937"/>
      <c r="V336" s="2766">
        <v>45059</v>
      </c>
      <c r="W336" s="2766"/>
      <c r="X336" s="1936">
        <f>SUM(X337:X360)</f>
        <v>7.58</v>
      </c>
      <c r="Y336" s="1937">
        <f>SUM(Y337:Y360)</f>
        <v>11.260000000000002</v>
      </c>
      <c r="AA336" s="2766">
        <v>45090</v>
      </c>
      <c r="AB336" s="2766"/>
      <c r="AC336" s="1936">
        <f>SUM(AC337:AC360)</f>
        <v>9.43</v>
      </c>
      <c r="AD336" s="1937">
        <f>SUM(AD337:AD360)</f>
        <v>15.729999999999999</v>
      </c>
      <c r="AF336" s="2766">
        <v>45120</v>
      </c>
      <c r="AG336" s="2766"/>
      <c r="AH336" s="1936">
        <f>SUM(AH337:AH360)</f>
        <v>7.5999999999999988</v>
      </c>
      <c r="AI336" s="1937">
        <f>SUM(AI337:AI360)</f>
        <v>18.309999999999999</v>
      </c>
      <c r="AO336" s="1893">
        <v>13</v>
      </c>
      <c r="AP336" s="1872">
        <v>14</v>
      </c>
      <c r="AQ336" s="1928">
        <f>$AL54</f>
        <v>0.51</v>
      </c>
      <c r="AR336" s="1917">
        <f>$AM54</f>
        <v>0.6</v>
      </c>
    </row>
    <row r="337" spans="1:44">
      <c r="A337" s="1927"/>
      <c r="B337" s="1883">
        <v>0</v>
      </c>
      <c r="C337" s="1871">
        <v>1</v>
      </c>
      <c r="D337" s="1926">
        <v>0.11</v>
      </c>
      <c r="E337" s="1913">
        <v>0.2</v>
      </c>
      <c r="F337" s="1927"/>
      <c r="G337" s="1883">
        <v>0</v>
      </c>
      <c r="H337" s="1871">
        <v>1</v>
      </c>
      <c r="I337" s="1926">
        <v>0.09</v>
      </c>
      <c r="J337" s="1913">
        <v>0.11</v>
      </c>
      <c r="K337" s="1927"/>
      <c r="L337" s="1883">
        <v>0</v>
      </c>
      <c r="M337" s="1871">
        <v>1</v>
      </c>
      <c r="N337" s="1926">
        <v>0.09</v>
      </c>
      <c r="O337" s="1913">
        <v>0.16</v>
      </c>
      <c r="P337" s="1927"/>
      <c r="Q337" s="1883"/>
      <c r="R337" s="1871"/>
      <c r="S337" s="1926"/>
      <c r="T337" s="1913"/>
      <c r="U337" s="1927"/>
      <c r="V337" s="1883">
        <v>0</v>
      </c>
      <c r="W337" s="1871">
        <v>1</v>
      </c>
      <c r="X337" s="1926">
        <v>0.22</v>
      </c>
      <c r="Y337" s="1913">
        <v>0.39</v>
      </c>
      <c r="Z337" s="1927"/>
      <c r="AA337" s="1883">
        <v>0</v>
      </c>
      <c r="AB337" s="1871">
        <v>1</v>
      </c>
      <c r="AC337" s="1926">
        <v>0.28000000000000003</v>
      </c>
      <c r="AD337" s="1913">
        <v>0.46</v>
      </c>
      <c r="AF337" s="1883">
        <v>0</v>
      </c>
      <c r="AG337" s="1871">
        <v>1</v>
      </c>
      <c r="AH337" s="1926">
        <v>0.19</v>
      </c>
      <c r="AI337" s="1913">
        <v>0.5</v>
      </c>
      <c r="AK337" s="1952">
        <f>N337</f>
        <v>0.09</v>
      </c>
      <c r="AL337" s="1953">
        <f>X337</f>
        <v>0.22</v>
      </c>
      <c r="AM337" s="1953">
        <f t="shared" ref="AM337:AM360" si="48">AC337</f>
        <v>0.28000000000000003</v>
      </c>
      <c r="AN337" s="1954">
        <f>AH337</f>
        <v>0.19</v>
      </c>
      <c r="AO337" s="1893">
        <v>14</v>
      </c>
      <c r="AP337" s="1872">
        <v>15</v>
      </c>
      <c r="AQ337" s="1929">
        <f>$AL79</f>
        <v>0.67</v>
      </c>
      <c r="AR337" s="1914">
        <f>$AM79</f>
        <v>0.56000000000000005</v>
      </c>
    </row>
    <row r="338" spans="1:44">
      <c r="A338" s="1927"/>
      <c r="B338" s="1883">
        <v>1</v>
      </c>
      <c r="C338" s="1871">
        <v>2</v>
      </c>
      <c r="D338" s="1926">
        <v>0.11</v>
      </c>
      <c r="E338" s="1913">
        <v>0.19</v>
      </c>
      <c r="F338" s="1927"/>
      <c r="G338" s="1883">
        <v>1</v>
      </c>
      <c r="H338" s="1871">
        <v>2</v>
      </c>
      <c r="I338" s="1926">
        <v>0.13</v>
      </c>
      <c r="J338" s="1913">
        <v>0.15</v>
      </c>
      <c r="K338" s="1927"/>
      <c r="L338" s="1883">
        <v>1</v>
      </c>
      <c r="M338" s="1871">
        <v>2</v>
      </c>
      <c r="N338" s="1926">
        <v>0.1</v>
      </c>
      <c r="O338" s="1913">
        <v>0.16</v>
      </c>
      <c r="P338" s="1927"/>
      <c r="Q338" s="1883"/>
      <c r="R338" s="1871"/>
      <c r="S338" s="1926"/>
      <c r="T338" s="1913"/>
      <c r="U338" s="1927"/>
      <c r="V338" s="1883">
        <v>1</v>
      </c>
      <c r="W338" s="1871">
        <v>2</v>
      </c>
      <c r="X338" s="1926">
        <v>0.22</v>
      </c>
      <c r="Y338" s="1913">
        <v>0.38</v>
      </c>
      <c r="Z338" s="1927"/>
      <c r="AA338" s="1883">
        <v>1</v>
      </c>
      <c r="AB338" s="1871">
        <v>2</v>
      </c>
      <c r="AC338" s="1926">
        <v>0.2</v>
      </c>
      <c r="AD338" s="1913">
        <v>0.32</v>
      </c>
      <c r="AF338" s="1883">
        <v>1</v>
      </c>
      <c r="AG338" s="1871">
        <v>2</v>
      </c>
      <c r="AH338" s="1926">
        <v>0.09</v>
      </c>
      <c r="AI338" s="1913">
        <v>0.22</v>
      </c>
      <c r="AK338" s="1955">
        <f t="shared" ref="AK338:AK360" si="49">N338</f>
        <v>0.1</v>
      </c>
      <c r="AL338" s="1926">
        <f t="shared" ref="AL338:AL360" si="50">X338</f>
        <v>0.22</v>
      </c>
      <c r="AM338" s="1926">
        <f t="shared" si="48"/>
        <v>0.2</v>
      </c>
      <c r="AN338" s="1956">
        <f t="shared" ref="AN338:AN360" si="51">AH338</f>
        <v>0.09</v>
      </c>
      <c r="AO338" s="1893">
        <v>15</v>
      </c>
      <c r="AP338" s="1872">
        <v>16</v>
      </c>
      <c r="AQ338" s="1931">
        <f>$AL104</f>
        <v>1.1399999999999999</v>
      </c>
      <c r="AR338" s="1915">
        <f>$AM104</f>
        <v>0.54</v>
      </c>
    </row>
    <row r="339" spans="1:44">
      <c r="A339" s="1927"/>
      <c r="B339" s="1883">
        <v>2</v>
      </c>
      <c r="C339" s="1871">
        <v>3</v>
      </c>
      <c r="D339" s="1926">
        <v>0.13</v>
      </c>
      <c r="E339" s="1913">
        <v>0.23</v>
      </c>
      <c r="F339" s="1927"/>
      <c r="G339" s="1883">
        <v>2</v>
      </c>
      <c r="H339" s="1871">
        <v>3</v>
      </c>
      <c r="I339" s="1926">
        <v>0.13</v>
      </c>
      <c r="J339" s="1913">
        <v>0.15</v>
      </c>
      <c r="K339" s="1927"/>
      <c r="L339" s="1883">
        <v>2</v>
      </c>
      <c r="M339" s="1871">
        <v>3</v>
      </c>
      <c r="N339" s="1926">
        <v>0.1</v>
      </c>
      <c r="O339" s="1913">
        <v>0.16</v>
      </c>
      <c r="P339" s="1927"/>
      <c r="Q339" s="1883"/>
      <c r="R339" s="1871"/>
      <c r="S339" s="1926"/>
      <c r="T339" s="1913"/>
      <c r="U339" s="1927"/>
      <c r="V339" s="1883">
        <v>2</v>
      </c>
      <c r="W339" s="1871">
        <v>3</v>
      </c>
      <c r="X339" s="1926">
        <v>0.14000000000000001</v>
      </c>
      <c r="Y339" s="1913">
        <v>0.24</v>
      </c>
      <c r="Z339" s="1927"/>
      <c r="AA339" s="1883">
        <v>2</v>
      </c>
      <c r="AB339" s="1871">
        <v>3</v>
      </c>
      <c r="AC339" s="1926">
        <v>0.28000000000000003</v>
      </c>
      <c r="AD339" s="1913">
        <v>0.45</v>
      </c>
      <c r="AF339" s="1883">
        <v>2</v>
      </c>
      <c r="AG339" s="1871">
        <v>3</v>
      </c>
      <c r="AH339" s="1926">
        <v>0.19</v>
      </c>
      <c r="AI339" s="1913">
        <v>0.46</v>
      </c>
      <c r="AK339" s="1955">
        <f t="shared" si="49"/>
        <v>0.1</v>
      </c>
      <c r="AL339" s="1926">
        <f t="shared" si="50"/>
        <v>0.14000000000000001</v>
      </c>
      <c r="AM339" s="1926">
        <f t="shared" si="48"/>
        <v>0.28000000000000003</v>
      </c>
      <c r="AN339" s="1956">
        <f t="shared" si="51"/>
        <v>0.19</v>
      </c>
      <c r="AO339" s="1893">
        <v>16</v>
      </c>
      <c r="AP339" s="1872">
        <v>17</v>
      </c>
      <c r="AQ339" s="1931">
        <f>$AL129</f>
        <v>1.19</v>
      </c>
      <c r="AR339" s="1915">
        <f>$AM129</f>
        <v>0.32</v>
      </c>
    </row>
    <row r="340" spans="1:44">
      <c r="A340" s="1927"/>
      <c r="B340" s="1883">
        <v>3</v>
      </c>
      <c r="C340" s="1871">
        <v>4</v>
      </c>
      <c r="D340" s="1926">
        <v>0.12</v>
      </c>
      <c r="E340" s="1913">
        <v>0.21</v>
      </c>
      <c r="F340" s="1927"/>
      <c r="G340" s="1883">
        <v>3</v>
      </c>
      <c r="H340" s="1871">
        <v>4</v>
      </c>
      <c r="I340" s="1926">
        <v>0.09</v>
      </c>
      <c r="J340" s="1913">
        <v>0.09</v>
      </c>
      <c r="K340" s="1927"/>
      <c r="L340" s="1883">
        <v>3</v>
      </c>
      <c r="M340" s="1871">
        <v>4</v>
      </c>
      <c r="N340" s="1926">
        <v>0.15</v>
      </c>
      <c r="O340" s="1913">
        <v>0.23</v>
      </c>
      <c r="P340" s="1927"/>
      <c r="Q340" s="1883"/>
      <c r="R340" s="1871"/>
      <c r="S340" s="1926"/>
      <c r="T340" s="1913"/>
      <c r="U340" s="1927"/>
      <c r="V340" s="1883">
        <v>3</v>
      </c>
      <c r="W340" s="1871">
        <v>4</v>
      </c>
      <c r="X340" s="1926">
        <v>0.18</v>
      </c>
      <c r="Y340" s="1913">
        <v>0.31</v>
      </c>
      <c r="Z340" s="1927"/>
      <c r="AA340" s="1883">
        <v>3</v>
      </c>
      <c r="AB340" s="1871">
        <v>4</v>
      </c>
      <c r="AC340" s="1926">
        <v>0.21</v>
      </c>
      <c r="AD340" s="1913">
        <v>0.33</v>
      </c>
      <c r="AF340" s="1883">
        <v>3</v>
      </c>
      <c r="AG340" s="1871">
        <v>4</v>
      </c>
      <c r="AH340" s="1926">
        <v>0.16</v>
      </c>
      <c r="AI340" s="1913">
        <v>0.38</v>
      </c>
      <c r="AK340" s="1955">
        <f t="shared" si="49"/>
        <v>0.15</v>
      </c>
      <c r="AL340" s="1926">
        <f t="shared" si="50"/>
        <v>0.18</v>
      </c>
      <c r="AM340" s="1926">
        <f t="shared" si="48"/>
        <v>0.21</v>
      </c>
      <c r="AN340" s="1956">
        <f t="shared" si="51"/>
        <v>0.16</v>
      </c>
      <c r="AO340" s="1894">
        <v>17</v>
      </c>
      <c r="AP340" s="1895">
        <v>18</v>
      </c>
      <c r="AQ340" s="1931">
        <f>$AL154</f>
        <v>0.75</v>
      </c>
      <c r="AR340" s="1915">
        <f>$AM154</f>
        <v>0.32</v>
      </c>
    </row>
    <row r="341" spans="1:44">
      <c r="A341" s="1927"/>
      <c r="B341" s="1883">
        <v>4</v>
      </c>
      <c r="C341" s="1871">
        <v>5</v>
      </c>
      <c r="D341" s="1926">
        <v>7.0000000000000007E-2</v>
      </c>
      <c r="E341" s="1913">
        <v>0.13</v>
      </c>
      <c r="F341" s="1927"/>
      <c r="G341" s="1883">
        <v>4</v>
      </c>
      <c r="H341" s="1871">
        <v>5</v>
      </c>
      <c r="I341" s="1926">
        <v>7.0000000000000007E-2</v>
      </c>
      <c r="J341" s="1913">
        <v>0.06</v>
      </c>
      <c r="K341" s="1927"/>
      <c r="L341" s="1883">
        <v>4</v>
      </c>
      <c r="M341" s="1871">
        <v>5</v>
      </c>
      <c r="N341" s="1926">
        <v>0.14000000000000001</v>
      </c>
      <c r="O341" s="1913">
        <v>0.21</v>
      </c>
      <c r="P341" s="1927"/>
      <c r="Q341" s="1883"/>
      <c r="R341" s="1871"/>
      <c r="S341" s="1926"/>
      <c r="T341" s="1913"/>
      <c r="U341" s="1927"/>
      <c r="V341" s="1883">
        <v>4</v>
      </c>
      <c r="W341" s="1871">
        <v>5</v>
      </c>
      <c r="X341" s="1926">
        <v>0.2</v>
      </c>
      <c r="Y341" s="1913">
        <v>0.34</v>
      </c>
      <c r="Z341" s="1927"/>
      <c r="AA341" s="1883">
        <v>4</v>
      </c>
      <c r="AB341" s="1871">
        <v>5</v>
      </c>
      <c r="AC341" s="1926">
        <v>0.28999999999999998</v>
      </c>
      <c r="AD341" s="1913">
        <v>0.47</v>
      </c>
      <c r="AF341" s="1883">
        <v>4</v>
      </c>
      <c r="AG341" s="1871">
        <v>5</v>
      </c>
      <c r="AH341" s="1926">
        <v>0.15</v>
      </c>
      <c r="AI341" s="1913">
        <v>0.36</v>
      </c>
      <c r="AK341" s="1955">
        <f t="shared" si="49"/>
        <v>0.14000000000000001</v>
      </c>
      <c r="AL341" s="1926">
        <f t="shared" si="50"/>
        <v>0.2</v>
      </c>
      <c r="AM341" s="1926">
        <f t="shared" si="48"/>
        <v>0.28999999999999998</v>
      </c>
      <c r="AN341" s="1956">
        <f t="shared" si="51"/>
        <v>0.15</v>
      </c>
      <c r="AO341" s="1910">
        <v>18</v>
      </c>
      <c r="AP341" s="1889">
        <v>19</v>
      </c>
      <c r="AQ341" s="1931">
        <f>$AL179</f>
        <v>0.22</v>
      </c>
      <c r="AR341" s="1915">
        <f>$AM179</f>
        <v>1.64</v>
      </c>
    </row>
    <row r="342" spans="1:44">
      <c r="A342" s="1927"/>
      <c r="B342" s="1883">
        <v>5</v>
      </c>
      <c r="C342" s="1871">
        <v>6</v>
      </c>
      <c r="D342" s="1926">
        <v>0.11</v>
      </c>
      <c r="E342" s="1913">
        <v>0.2</v>
      </c>
      <c r="F342" s="1927"/>
      <c r="G342" s="1883">
        <v>5</v>
      </c>
      <c r="H342" s="1871">
        <v>6</v>
      </c>
      <c r="I342" s="1926">
        <v>0.14000000000000001</v>
      </c>
      <c r="J342" s="1913">
        <v>0.14000000000000001</v>
      </c>
      <c r="K342" s="1927"/>
      <c r="L342" s="1883">
        <v>5</v>
      </c>
      <c r="M342" s="1871">
        <v>6</v>
      </c>
      <c r="N342" s="1926">
        <v>0.06</v>
      </c>
      <c r="O342" s="1913">
        <v>0.1</v>
      </c>
      <c r="P342" s="1927"/>
      <c r="Q342" s="1883"/>
      <c r="R342" s="1871"/>
      <c r="S342" s="1926"/>
      <c r="T342" s="1913"/>
      <c r="U342" s="1927"/>
      <c r="V342" s="1883">
        <v>5</v>
      </c>
      <c r="W342" s="1871">
        <v>6</v>
      </c>
      <c r="X342" s="1926">
        <v>0.18</v>
      </c>
      <c r="Y342" s="1913">
        <v>0.31</v>
      </c>
      <c r="Z342" s="1927"/>
      <c r="AA342" s="1883">
        <v>5</v>
      </c>
      <c r="AB342" s="1871">
        <v>6</v>
      </c>
      <c r="AC342" s="1926">
        <v>0.19</v>
      </c>
      <c r="AD342" s="1913">
        <v>0.31</v>
      </c>
      <c r="AF342" s="1883">
        <v>5</v>
      </c>
      <c r="AG342" s="1871">
        <v>6</v>
      </c>
      <c r="AH342" s="1926">
        <v>0.28999999999999998</v>
      </c>
      <c r="AI342" s="1913">
        <v>0.73</v>
      </c>
      <c r="AK342" s="1955">
        <f t="shared" si="49"/>
        <v>0.06</v>
      </c>
      <c r="AL342" s="1926">
        <f t="shared" si="50"/>
        <v>0.18</v>
      </c>
      <c r="AM342" s="1926">
        <f t="shared" si="48"/>
        <v>0.19</v>
      </c>
      <c r="AN342" s="1956">
        <f t="shared" si="51"/>
        <v>0.28999999999999998</v>
      </c>
      <c r="AO342" s="1902">
        <v>19</v>
      </c>
      <c r="AP342" s="1873">
        <v>20</v>
      </c>
      <c r="AQ342" s="1931">
        <f>$AL204</f>
        <v>0.17</v>
      </c>
      <c r="AR342" s="1915">
        <f>$AM204</f>
        <v>0.96</v>
      </c>
    </row>
    <row r="343" spans="1:44">
      <c r="A343" s="1927"/>
      <c r="B343" s="1883">
        <v>6</v>
      </c>
      <c r="C343" s="1871">
        <v>7</v>
      </c>
      <c r="D343" s="1926">
        <v>0.3</v>
      </c>
      <c r="E343" s="1913">
        <v>0.69</v>
      </c>
      <c r="F343" s="1927"/>
      <c r="G343" s="1883">
        <v>6</v>
      </c>
      <c r="H343" s="1871">
        <v>7</v>
      </c>
      <c r="I343" s="1926">
        <v>0.12</v>
      </c>
      <c r="J343" s="1913">
        <v>0.14000000000000001</v>
      </c>
      <c r="K343" s="1927"/>
      <c r="L343" s="1883">
        <v>6</v>
      </c>
      <c r="M343" s="1871">
        <v>7</v>
      </c>
      <c r="N343" s="1926">
        <v>0.11</v>
      </c>
      <c r="O343" s="1913">
        <v>0.2</v>
      </c>
      <c r="P343" s="1927"/>
      <c r="Q343" s="1883"/>
      <c r="R343" s="1871"/>
      <c r="S343" s="1926"/>
      <c r="T343" s="1913"/>
      <c r="U343" s="1927"/>
      <c r="V343" s="1883">
        <v>6</v>
      </c>
      <c r="W343" s="1871">
        <v>7</v>
      </c>
      <c r="X343" s="1926">
        <v>0.18</v>
      </c>
      <c r="Y343" s="1913">
        <v>0.31</v>
      </c>
      <c r="Z343" s="1927"/>
      <c r="AA343" s="1883">
        <v>6</v>
      </c>
      <c r="AB343" s="1871">
        <v>7</v>
      </c>
      <c r="AC343" s="1926">
        <v>0.33</v>
      </c>
      <c r="AD343" s="1913">
        <v>0.62</v>
      </c>
      <c r="AF343" s="1883">
        <v>6</v>
      </c>
      <c r="AG343" s="1871">
        <v>7</v>
      </c>
      <c r="AH343" s="1926">
        <v>0.23</v>
      </c>
      <c r="AI343" s="1913">
        <v>0.6</v>
      </c>
      <c r="AK343" s="1955">
        <f t="shared" si="49"/>
        <v>0.11</v>
      </c>
      <c r="AL343" s="1926">
        <f t="shared" si="50"/>
        <v>0.18</v>
      </c>
      <c r="AM343" s="1926">
        <f t="shared" si="48"/>
        <v>0.33</v>
      </c>
      <c r="AN343" s="1956">
        <f t="shared" si="51"/>
        <v>0.23</v>
      </c>
      <c r="AO343" s="1902">
        <v>20</v>
      </c>
      <c r="AP343" s="1873">
        <v>21</v>
      </c>
      <c r="AQ343" s="1931">
        <f>$AL229</f>
        <v>0.33</v>
      </c>
      <c r="AR343" s="1915">
        <f>$AM229</f>
        <v>1.08</v>
      </c>
    </row>
    <row r="344" spans="1:44">
      <c r="A344" s="1927"/>
      <c r="B344" s="1908">
        <v>7</v>
      </c>
      <c r="C344" s="1909">
        <v>8</v>
      </c>
      <c r="D344" s="1928">
        <v>0.54</v>
      </c>
      <c r="E344" s="1917">
        <v>1.43</v>
      </c>
      <c r="F344" s="1927"/>
      <c r="G344" s="1908">
        <v>7</v>
      </c>
      <c r="H344" s="1909">
        <v>8</v>
      </c>
      <c r="I344" s="1928">
        <v>0.1</v>
      </c>
      <c r="J344" s="1917">
        <v>0.15</v>
      </c>
      <c r="K344" s="1927"/>
      <c r="L344" s="1908">
        <v>7</v>
      </c>
      <c r="M344" s="1909">
        <v>8</v>
      </c>
      <c r="N344" s="1928">
        <v>0.23</v>
      </c>
      <c r="O344" s="1917">
        <v>0.44</v>
      </c>
      <c r="P344" s="1927"/>
      <c r="Q344" s="1908"/>
      <c r="R344" s="1909"/>
      <c r="S344" s="1928"/>
      <c r="T344" s="1917"/>
      <c r="U344" s="1927"/>
      <c r="V344" s="1908">
        <v>7</v>
      </c>
      <c r="W344" s="1909">
        <v>8</v>
      </c>
      <c r="X344" s="1928">
        <v>0.19</v>
      </c>
      <c r="Y344" s="1917">
        <v>0.32</v>
      </c>
      <c r="Z344" s="1927"/>
      <c r="AA344" s="1908">
        <v>7</v>
      </c>
      <c r="AB344" s="1909">
        <v>8</v>
      </c>
      <c r="AC344" s="1928">
        <v>0.48</v>
      </c>
      <c r="AD344" s="1917">
        <v>0.93</v>
      </c>
      <c r="AF344" s="1908">
        <v>7</v>
      </c>
      <c r="AG344" s="1909">
        <v>8</v>
      </c>
      <c r="AH344" s="1928">
        <v>0.25</v>
      </c>
      <c r="AI344" s="1917">
        <v>0.68</v>
      </c>
      <c r="AK344" s="1957">
        <f t="shared" si="49"/>
        <v>0.23</v>
      </c>
      <c r="AL344" s="1958">
        <f t="shared" si="50"/>
        <v>0.19</v>
      </c>
      <c r="AM344" s="1958">
        <f t="shared" si="48"/>
        <v>0.48</v>
      </c>
      <c r="AN344" s="1959">
        <f t="shared" si="51"/>
        <v>0.25</v>
      </c>
      <c r="AO344" s="1902">
        <v>21</v>
      </c>
      <c r="AP344" s="1873">
        <v>22</v>
      </c>
      <c r="AQ344" s="1931">
        <f>$AL254</f>
        <v>0.43</v>
      </c>
      <c r="AR344" s="1915">
        <f>$AM254</f>
        <v>1.51</v>
      </c>
    </row>
    <row r="345" spans="1:44">
      <c r="A345" s="1930"/>
      <c r="B345" s="1890">
        <v>8</v>
      </c>
      <c r="C345" s="1891">
        <v>9</v>
      </c>
      <c r="D345" s="1929">
        <v>0.32</v>
      </c>
      <c r="E345" s="1914">
        <v>0.87</v>
      </c>
      <c r="F345" s="1930"/>
      <c r="G345" s="1890">
        <v>8</v>
      </c>
      <c r="H345" s="1891">
        <v>9</v>
      </c>
      <c r="I345" s="1929">
        <v>0.15</v>
      </c>
      <c r="J345" s="1914">
        <v>0.23</v>
      </c>
      <c r="K345" s="1930"/>
      <c r="L345" s="1890">
        <v>8</v>
      </c>
      <c r="M345" s="1891">
        <v>9</v>
      </c>
      <c r="N345" s="1929">
        <v>0.23</v>
      </c>
      <c r="O345" s="1914">
        <v>0.44</v>
      </c>
      <c r="P345" s="1930"/>
      <c r="Q345" s="1890"/>
      <c r="R345" s="1891"/>
      <c r="S345" s="1929"/>
      <c r="T345" s="1914"/>
      <c r="U345" s="1930"/>
      <c r="V345" s="1890">
        <v>8</v>
      </c>
      <c r="W345" s="1891">
        <v>9</v>
      </c>
      <c r="X345" s="1929">
        <v>0.34</v>
      </c>
      <c r="Y345" s="1914">
        <v>0.57999999999999996</v>
      </c>
      <c r="Z345" s="1930"/>
      <c r="AA345" s="1890">
        <v>8</v>
      </c>
      <c r="AB345" s="1891">
        <v>9</v>
      </c>
      <c r="AC345" s="1929">
        <v>0.45</v>
      </c>
      <c r="AD345" s="1914">
        <v>0.87</v>
      </c>
      <c r="AF345" s="1890">
        <v>8</v>
      </c>
      <c r="AG345" s="1891">
        <v>9</v>
      </c>
      <c r="AH345" s="1929">
        <v>0.45</v>
      </c>
      <c r="AI345" s="1914">
        <v>1.26</v>
      </c>
      <c r="AK345" s="1952">
        <f t="shared" si="49"/>
        <v>0.23</v>
      </c>
      <c r="AL345" s="1953">
        <f t="shared" si="50"/>
        <v>0.34</v>
      </c>
      <c r="AM345" s="1953">
        <f t="shared" si="48"/>
        <v>0.45</v>
      </c>
      <c r="AN345" s="1954">
        <f t="shared" si="51"/>
        <v>0.45</v>
      </c>
      <c r="AO345" s="1902">
        <v>22</v>
      </c>
      <c r="AP345" s="1873">
        <v>23</v>
      </c>
      <c r="AQ345" s="1931">
        <f>$AL279</f>
        <v>0.28999999999999998</v>
      </c>
      <c r="AR345" s="1915">
        <f>$AM279</f>
        <v>1.01</v>
      </c>
    </row>
    <row r="346" spans="1:44">
      <c r="A346" s="1930"/>
      <c r="B346" s="1893">
        <v>9</v>
      </c>
      <c r="C346" s="1872">
        <v>10</v>
      </c>
      <c r="D346" s="1931">
        <v>0.18</v>
      </c>
      <c r="E346" s="1915">
        <v>0.48</v>
      </c>
      <c r="F346" s="1930"/>
      <c r="G346" s="1893">
        <v>9</v>
      </c>
      <c r="H346" s="1872">
        <v>10</v>
      </c>
      <c r="I346" s="1931">
        <v>0.25</v>
      </c>
      <c r="J346" s="1915">
        <v>0.3</v>
      </c>
      <c r="K346" s="1930"/>
      <c r="L346" s="1893">
        <v>9</v>
      </c>
      <c r="M346" s="1872">
        <v>10</v>
      </c>
      <c r="N346" s="1931">
        <v>0.37</v>
      </c>
      <c r="O346" s="1915">
        <v>0.66</v>
      </c>
      <c r="P346" s="1930"/>
      <c r="Q346" s="1893"/>
      <c r="R346" s="1872"/>
      <c r="S346" s="1931"/>
      <c r="T346" s="1915"/>
      <c r="U346" s="1930"/>
      <c r="V346" s="1893">
        <v>9</v>
      </c>
      <c r="W346" s="1872">
        <v>10</v>
      </c>
      <c r="X346" s="1931">
        <v>0.37</v>
      </c>
      <c r="Y346" s="1915">
        <v>0.61</v>
      </c>
      <c r="Z346" s="1930"/>
      <c r="AA346" s="1893">
        <v>9</v>
      </c>
      <c r="AB346" s="1872">
        <v>10</v>
      </c>
      <c r="AC346" s="1931">
        <v>0.54</v>
      </c>
      <c r="AD346" s="1915">
        <v>0.96</v>
      </c>
      <c r="AF346" s="1893">
        <v>9</v>
      </c>
      <c r="AG346" s="1872">
        <v>10</v>
      </c>
      <c r="AH346" s="1931">
        <v>0.43</v>
      </c>
      <c r="AI346" s="1915">
        <v>1.07</v>
      </c>
      <c r="AK346" s="1955">
        <f t="shared" si="49"/>
        <v>0.37</v>
      </c>
      <c r="AL346" s="1926">
        <f t="shared" si="50"/>
        <v>0.37</v>
      </c>
      <c r="AM346" s="1926">
        <f t="shared" si="48"/>
        <v>0.54</v>
      </c>
      <c r="AN346" s="1956">
        <f t="shared" si="51"/>
        <v>0.43</v>
      </c>
      <c r="AO346" s="1902">
        <v>23</v>
      </c>
      <c r="AP346" s="1873">
        <v>24</v>
      </c>
      <c r="AQ346" s="1932">
        <f>$AL304</f>
        <v>0.32</v>
      </c>
      <c r="AR346" s="1916">
        <f>$AM304</f>
        <v>0.77</v>
      </c>
    </row>
    <row r="347" spans="1:44">
      <c r="A347" s="1930"/>
      <c r="B347" s="1893">
        <v>10</v>
      </c>
      <c r="C347" s="1872">
        <v>11</v>
      </c>
      <c r="D347" s="1931">
        <v>0.13</v>
      </c>
      <c r="E347" s="1915">
        <v>0.32</v>
      </c>
      <c r="F347" s="1930"/>
      <c r="G347" s="1893">
        <v>10</v>
      </c>
      <c r="H347" s="1872">
        <v>11</v>
      </c>
      <c r="I347" s="1931">
        <v>0.52</v>
      </c>
      <c r="J347" s="1915">
        <v>0.57999999999999996</v>
      </c>
      <c r="K347" s="1930"/>
      <c r="L347" s="1893">
        <v>10</v>
      </c>
      <c r="M347" s="1872">
        <v>11</v>
      </c>
      <c r="N347" s="1931">
        <v>0.28000000000000003</v>
      </c>
      <c r="O347" s="1915">
        <v>0.45</v>
      </c>
      <c r="P347" s="1930"/>
      <c r="Q347" s="1893"/>
      <c r="R347" s="1872"/>
      <c r="S347" s="1931"/>
      <c r="T347" s="1915"/>
      <c r="U347" s="1930"/>
      <c r="V347" s="1893">
        <v>10</v>
      </c>
      <c r="W347" s="1872">
        <v>11</v>
      </c>
      <c r="X347" s="1931">
        <v>0.36</v>
      </c>
      <c r="Y347" s="1915">
        <v>0.53</v>
      </c>
      <c r="Z347" s="1930"/>
      <c r="AA347" s="1893">
        <v>10</v>
      </c>
      <c r="AB347" s="1872">
        <v>11</v>
      </c>
      <c r="AC347" s="1931">
        <v>0.39</v>
      </c>
      <c r="AD347" s="1915">
        <v>0.63</v>
      </c>
      <c r="AF347" s="1893">
        <v>10</v>
      </c>
      <c r="AG347" s="1872">
        <v>11</v>
      </c>
      <c r="AH347" s="1931">
        <v>0.46</v>
      </c>
      <c r="AI347" s="1915">
        <v>0.98</v>
      </c>
      <c r="AK347" s="1955">
        <f t="shared" si="49"/>
        <v>0.28000000000000003</v>
      </c>
      <c r="AL347" s="1926">
        <f t="shared" si="50"/>
        <v>0.36</v>
      </c>
      <c r="AM347" s="1926">
        <f t="shared" si="48"/>
        <v>0.39</v>
      </c>
      <c r="AN347" s="1956">
        <f t="shared" si="51"/>
        <v>0.46</v>
      </c>
      <c r="AO347" s="1894">
        <v>11</v>
      </c>
      <c r="AP347" s="1895">
        <f>$AK304</f>
        <v>1.24</v>
      </c>
      <c r="AQ347" s="1933">
        <f>$AL329</f>
        <v>0.4</v>
      </c>
      <c r="AR347" s="1911">
        <f>$AM329</f>
        <v>0.87</v>
      </c>
    </row>
    <row r="348" spans="1:44">
      <c r="A348" s="1930"/>
      <c r="B348" s="1893">
        <v>11</v>
      </c>
      <c r="C348" s="1872">
        <v>12</v>
      </c>
      <c r="D348" s="1931">
        <v>0.17</v>
      </c>
      <c r="E348" s="1915">
        <v>0.36</v>
      </c>
      <c r="F348" s="1930"/>
      <c r="G348" s="1893">
        <v>11</v>
      </c>
      <c r="H348" s="1872">
        <v>12</v>
      </c>
      <c r="I348" s="1931">
        <v>0.38</v>
      </c>
      <c r="J348" s="1915">
        <v>0.39</v>
      </c>
      <c r="K348" s="1930"/>
      <c r="L348" s="1893">
        <v>11</v>
      </c>
      <c r="M348" s="1872">
        <v>12</v>
      </c>
      <c r="N348" s="1931">
        <v>0.31</v>
      </c>
      <c r="O348" s="1915">
        <v>0.48</v>
      </c>
      <c r="P348" s="1930"/>
      <c r="Q348" s="1893"/>
      <c r="R348" s="1872"/>
      <c r="S348" s="1931"/>
      <c r="T348" s="1915"/>
      <c r="U348" s="1930"/>
      <c r="V348" s="1893">
        <v>11</v>
      </c>
      <c r="W348" s="1872">
        <v>12</v>
      </c>
      <c r="X348" s="1931">
        <v>0.41</v>
      </c>
      <c r="Y348" s="1915">
        <v>0.45</v>
      </c>
      <c r="Z348" s="1930"/>
      <c r="AA348" s="1893">
        <v>11</v>
      </c>
      <c r="AB348" s="1872">
        <v>12</v>
      </c>
      <c r="AC348" s="1931">
        <v>0.5</v>
      </c>
      <c r="AD348" s="1915">
        <v>0.77</v>
      </c>
      <c r="AF348" s="1893">
        <v>11</v>
      </c>
      <c r="AG348" s="1872">
        <v>12</v>
      </c>
      <c r="AH348" s="1931">
        <v>0.23</v>
      </c>
      <c r="AI348" s="1915">
        <v>0.49</v>
      </c>
      <c r="AK348" s="1955">
        <f t="shared" si="49"/>
        <v>0.31</v>
      </c>
      <c r="AL348" s="1926">
        <f t="shared" si="50"/>
        <v>0.41</v>
      </c>
      <c r="AM348" s="1926">
        <f t="shared" si="48"/>
        <v>0.5</v>
      </c>
      <c r="AN348" s="1956">
        <f t="shared" si="51"/>
        <v>0.23</v>
      </c>
      <c r="AO348" s="1910">
        <v>12</v>
      </c>
      <c r="AP348" s="1889">
        <f>$AK329</f>
        <v>0.86</v>
      </c>
      <c r="AQ348" s="1935">
        <f>$AL354</f>
        <v>0.3</v>
      </c>
      <c r="AR348" s="1912">
        <f>$AM354</f>
        <v>0.19</v>
      </c>
    </row>
    <row r="349" spans="1:44">
      <c r="A349" s="1930"/>
      <c r="B349" s="1893">
        <v>12</v>
      </c>
      <c r="C349" s="1872">
        <v>13</v>
      </c>
      <c r="D349" s="1931">
        <v>0.34</v>
      </c>
      <c r="E349" s="1915">
        <v>0.67</v>
      </c>
      <c r="F349" s="1930"/>
      <c r="G349" s="1893">
        <v>12</v>
      </c>
      <c r="H349" s="1872">
        <v>13</v>
      </c>
      <c r="I349" s="1931">
        <v>0.26</v>
      </c>
      <c r="J349" s="1915">
        <v>0.22</v>
      </c>
      <c r="K349" s="1930"/>
      <c r="L349" s="1893">
        <v>12</v>
      </c>
      <c r="M349" s="1872">
        <v>13</v>
      </c>
      <c r="N349" s="1931">
        <v>0.42</v>
      </c>
      <c r="O349" s="1915">
        <v>0.65</v>
      </c>
      <c r="P349" s="1930"/>
      <c r="Q349" s="1893"/>
      <c r="R349" s="1872"/>
      <c r="S349" s="1931"/>
      <c r="T349" s="1915"/>
      <c r="U349" s="1930"/>
      <c r="V349" s="1893">
        <v>12</v>
      </c>
      <c r="W349" s="1872">
        <v>13</v>
      </c>
      <c r="X349" s="1931">
        <v>0.38</v>
      </c>
      <c r="Y349" s="1915">
        <v>0.36</v>
      </c>
      <c r="Z349" s="1930"/>
      <c r="AA349" s="1893">
        <v>12</v>
      </c>
      <c r="AB349" s="1872">
        <v>13</v>
      </c>
      <c r="AC349" s="1931">
        <v>0.54</v>
      </c>
      <c r="AD349" s="1915">
        <v>0.72</v>
      </c>
      <c r="AF349" s="1893">
        <v>12</v>
      </c>
      <c r="AG349" s="1872">
        <v>13</v>
      </c>
      <c r="AH349" s="1931">
        <v>0.23</v>
      </c>
      <c r="AI349" s="1915">
        <v>0.49</v>
      </c>
      <c r="AK349" s="1955">
        <f t="shared" si="49"/>
        <v>0.42</v>
      </c>
      <c r="AL349" s="1926">
        <f t="shared" si="50"/>
        <v>0.38</v>
      </c>
      <c r="AM349" s="1926">
        <f t="shared" si="48"/>
        <v>0.54</v>
      </c>
      <c r="AN349" s="1956">
        <f t="shared" si="51"/>
        <v>0.23</v>
      </c>
      <c r="AO349" s="1902">
        <v>13</v>
      </c>
      <c r="AP349" s="1873">
        <f>$AK354</f>
        <v>0.83</v>
      </c>
      <c r="AQ349" s="1935">
        <f>$AL379</f>
        <v>0.45</v>
      </c>
      <c r="AR349" s="1912">
        <f>$AM379</f>
        <v>1.05</v>
      </c>
    </row>
    <row r="350" spans="1:44">
      <c r="A350" s="1930"/>
      <c r="B350" s="1893">
        <v>13</v>
      </c>
      <c r="C350" s="1872">
        <v>14</v>
      </c>
      <c r="D350" s="1931">
        <v>0.31</v>
      </c>
      <c r="E350" s="1915">
        <v>0.6</v>
      </c>
      <c r="F350" s="1930"/>
      <c r="G350" s="1893">
        <v>13</v>
      </c>
      <c r="H350" s="1872">
        <v>14</v>
      </c>
      <c r="I350" s="1931">
        <v>0.09</v>
      </c>
      <c r="J350" s="1915">
        <v>7.0000000000000007E-2</v>
      </c>
      <c r="K350" s="1930"/>
      <c r="L350" s="1893">
        <v>13</v>
      </c>
      <c r="M350" s="1872">
        <v>14</v>
      </c>
      <c r="N350" s="1931">
        <v>0.33</v>
      </c>
      <c r="O350" s="1915">
        <v>0.44</v>
      </c>
      <c r="P350" s="1930"/>
      <c r="Q350" s="1893"/>
      <c r="R350" s="1872"/>
      <c r="S350" s="1931"/>
      <c r="T350" s="1915"/>
      <c r="U350" s="1930"/>
      <c r="V350" s="1893">
        <v>13</v>
      </c>
      <c r="W350" s="1872">
        <v>14</v>
      </c>
      <c r="X350" s="1931">
        <v>0.48</v>
      </c>
      <c r="Y350" s="1915">
        <v>0.42</v>
      </c>
      <c r="Z350" s="1930"/>
      <c r="AA350" s="1893">
        <v>13</v>
      </c>
      <c r="AB350" s="1872">
        <v>14</v>
      </c>
      <c r="AC350" s="1931">
        <v>0.39</v>
      </c>
      <c r="AD350" s="1915">
        <v>0.5</v>
      </c>
      <c r="AF350" s="1893">
        <v>13</v>
      </c>
      <c r="AG350" s="1872">
        <v>14</v>
      </c>
      <c r="AH350" s="1931">
        <v>0.44</v>
      </c>
      <c r="AI350" s="1915">
        <v>0.83</v>
      </c>
      <c r="AK350" s="1955">
        <f t="shared" si="49"/>
        <v>0.33</v>
      </c>
      <c r="AL350" s="1926">
        <f t="shared" si="50"/>
        <v>0.48</v>
      </c>
      <c r="AM350" s="1926">
        <f t="shared" si="48"/>
        <v>0.39</v>
      </c>
      <c r="AN350" s="1956">
        <f t="shared" si="51"/>
        <v>0.44</v>
      </c>
      <c r="AO350" s="1902">
        <v>14</v>
      </c>
      <c r="AP350" s="1873">
        <f>$AK379</f>
        <v>0.36</v>
      </c>
      <c r="AQ350" s="1935">
        <f>$AL404</f>
        <v>0.38</v>
      </c>
      <c r="AR350" s="1912">
        <f>$AM404</f>
        <v>0.34</v>
      </c>
    </row>
    <row r="351" spans="1:44">
      <c r="A351" s="1930"/>
      <c r="B351" s="1893">
        <v>14</v>
      </c>
      <c r="C351" s="1872">
        <v>15</v>
      </c>
      <c r="D351" s="1931">
        <v>0.27</v>
      </c>
      <c r="E351" s="1915">
        <v>0.52</v>
      </c>
      <c r="F351" s="1930"/>
      <c r="G351" s="1893">
        <v>14</v>
      </c>
      <c r="H351" s="1872">
        <v>15</v>
      </c>
      <c r="I351" s="1931">
        <v>0.15</v>
      </c>
      <c r="J351" s="1915">
        <v>0.12</v>
      </c>
      <c r="K351" s="1930"/>
      <c r="L351" s="1893">
        <v>14</v>
      </c>
      <c r="M351" s="1872">
        <v>15</v>
      </c>
      <c r="N351" s="1931">
        <v>0.5</v>
      </c>
      <c r="O351" s="1915">
        <v>0.66</v>
      </c>
      <c r="P351" s="1930"/>
      <c r="Q351" s="1893"/>
      <c r="R351" s="1872"/>
      <c r="S351" s="1931"/>
      <c r="T351" s="1915"/>
      <c r="U351" s="1930"/>
      <c r="V351" s="1893">
        <v>14</v>
      </c>
      <c r="W351" s="1872">
        <v>15</v>
      </c>
      <c r="X351" s="1931">
        <v>0.38</v>
      </c>
      <c r="Y351" s="1915">
        <v>0.33</v>
      </c>
      <c r="Z351" s="1930"/>
      <c r="AA351" s="1893">
        <v>14</v>
      </c>
      <c r="AB351" s="1872">
        <v>15</v>
      </c>
      <c r="AC351" s="1931">
        <v>0.46</v>
      </c>
      <c r="AD351" s="1915">
        <v>0.57999999999999996</v>
      </c>
      <c r="AF351" s="1893">
        <v>14</v>
      </c>
      <c r="AG351" s="1872">
        <v>15</v>
      </c>
      <c r="AH351" s="1931">
        <v>0.3</v>
      </c>
      <c r="AI351" s="1915">
        <v>0.63</v>
      </c>
      <c r="AK351" s="1955">
        <f t="shared" si="49"/>
        <v>0.5</v>
      </c>
      <c r="AL351" s="1926">
        <f t="shared" si="50"/>
        <v>0.38</v>
      </c>
      <c r="AM351" s="1926">
        <f t="shared" si="48"/>
        <v>0.46</v>
      </c>
      <c r="AN351" s="1956">
        <f t="shared" si="51"/>
        <v>0.3</v>
      </c>
      <c r="AO351" s="1902">
        <v>15</v>
      </c>
      <c r="AP351" s="1873">
        <f>$AK404</f>
        <v>0.32</v>
      </c>
      <c r="AQ351" s="1935">
        <f>$AL429</f>
        <v>0.93</v>
      </c>
      <c r="AR351" s="1912">
        <f>$AM429</f>
        <v>0.96</v>
      </c>
    </row>
    <row r="352" spans="1:44">
      <c r="A352" s="1930"/>
      <c r="B352" s="1893">
        <v>15</v>
      </c>
      <c r="C352" s="1872">
        <v>16</v>
      </c>
      <c r="D352" s="1931">
        <v>0.21</v>
      </c>
      <c r="E352" s="1915">
        <v>0.41</v>
      </c>
      <c r="F352" s="1930"/>
      <c r="G352" s="1893">
        <v>15</v>
      </c>
      <c r="H352" s="1872">
        <v>16</v>
      </c>
      <c r="I352" s="1931">
        <v>0.72</v>
      </c>
      <c r="J352" s="1915">
        <v>0.59</v>
      </c>
      <c r="K352" s="1930"/>
      <c r="L352" s="1893">
        <v>15</v>
      </c>
      <c r="M352" s="1872">
        <v>16</v>
      </c>
      <c r="N352" s="1931">
        <v>0.38</v>
      </c>
      <c r="O352" s="1915">
        <v>0.46</v>
      </c>
      <c r="P352" s="1930"/>
      <c r="Q352" s="1893"/>
      <c r="R352" s="1872"/>
      <c r="S352" s="1931"/>
      <c r="T352" s="1915"/>
      <c r="U352" s="1930"/>
      <c r="V352" s="1893">
        <v>15</v>
      </c>
      <c r="W352" s="1872">
        <v>16</v>
      </c>
      <c r="X352" s="1931">
        <v>0.33</v>
      </c>
      <c r="Y352" s="1915">
        <v>0.28999999999999998</v>
      </c>
      <c r="Z352" s="1930"/>
      <c r="AA352" s="1893">
        <v>15</v>
      </c>
      <c r="AB352" s="1872">
        <v>16</v>
      </c>
      <c r="AC352" s="1931">
        <v>0.44</v>
      </c>
      <c r="AD352" s="1915">
        <v>0.62</v>
      </c>
      <c r="AF352" s="1893">
        <v>15</v>
      </c>
      <c r="AG352" s="1872">
        <v>16</v>
      </c>
      <c r="AH352" s="1931">
        <v>0.17</v>
      </c>
      <c r="AI352" s="1915">
        <v>0.36</v>
      </c>
      <c r="AK352" s="1955">
        <f t="shared" si="49"/>
        <v>0.38</v>
      </c>
      <c r="AL352" s="1926">
        <f t="shared" si="50"/>
        <v>0.33</v>
      </c>
      <c r="AM352" s="1926">
        <f t="shared" si="48"/>
        <v>0.44</v>
      </c>
      <c r="AN352" s="1956">
        <f t="shared" si="51"/>
        <v>0.17</v>
      </c>
      <c r="AO352" s="1902">
        <v>16</v>
      </c>
      <c r="AP352" s="1873">
        <f>$AK429</f>
        <v>1.0900000000000001</v>
      </c>
      <c r="AQ352" s="1935">
        <f>$AL454</f>
        <v>0.86</v>
      </c>
      <c r="AR352" s="1912">
        <f>$AM454</f>
        <v>1.03</v>
      </c>
    </row>
    <row r="353" spans="1:44">
      <c r="A353" s="1930"/>
      <c r="B353" s="1893">
        <v>16</v>
      </c>
      <c r="C353" s="1872">
        <v>17</v>
      </c>
      <c r="D353" s="1931">
        <v>0.25</v>
      </c>
      <c r="E353" s="1915">
        <v>0.56000000000000005</v>
      </c>
      <c r="F353" s="1930"/>
      <c r="G353" s="1893">
        <v>16</v>
      </c>
      <c r="H353" s="1872">
        <v>17</v>
      </c>
      <c r="I353" s="1931">
        <v>0.43</v>
      </c>
      <c r="J353" s="1915">
        <v>0.39</v>
      </c>
      <c r="K353" s="1930"/>
      <c r="L353" s="1893">
        <v>16</v>
      </c>
      <c r="M353" s="1872">
        <v>17</v>
      </c>
      <c r="N353" s="1931">
        <v>0.35</v>
      </c>
      <c r="O353" s="1915">
        <v>0.37</v>
      </c>
      <c r="P353" s="1930"/>
      <c r="Q353" s="1893"/>
      <c r="R353" s="1872"/>
      <c r="S353" s="1931"/>
      <c r="T353" s="1915"/>
      <c r="U353" s="1930"/>
      <c r="V353" s="1893">
        <v>16</v>
      </c>
      <c r="W353" s="1872">
        <v>17</v>
      </c>
      <c r="X353" s="1931">
        <v>0.42</v>
      </c>
      <c r="Y353" s="1915">
        <v>0.45</v>
      </c>
      <c r="Z353" s="1930"/>
      <c r="AA353" s="1893">
        <v>16</v>
      </c>
      <c r="AB353" s="1872">
        <v>17</v>
      </c>
      <c r="AC353" s="1931">
        <v>0.3</v>
      </c>
      <c r="AD353" s="1915">
        <v>0.45</v>
      </c>
      <c r="AF353" s="1893">
        <v>16</v>
      </c>
      <c r="AG353" s="1872">
        <v>17</v>
      </c>
      <c r="AH353" s="1931">
        <v>0.43</v>
      </c>
      <c r="AI353" s="1915">
        <v>0.9</v>
      </c>
      <c r="AK353" s="1955">
        <f t="shared" si="49"/>
        <v>0.35</v>
      </c>
      <c r="AL353" s="1926">
        <f t="shared" si="50"/>
        <v>0.42</v>
      </c>
      <c r="AM353" s="1926">
        <f t="shared" si="48"/>
        <v>0.3</v>
      </c>
      <c r="AN353" s="1956">
        <f t="shared" si="51"/>
        <v>0.43</v>
      </c>
      <c r="AO353" s="1902">
        <v>17</v>
      </c>
      <c r="AP353" s="1873">
        <f>$AK454</f>
        <v>1.47</v>
      </c>
      <c r="AQ353" s="1936">
        <f>$AL479</f>
        <v>0.49</v>
      </c>
      <c r="AR353" s="1937">
        <f>$AM479</f>
        <v>0.39</v>
      </c>
    </row>
    <row r="354" spans="1:44">
      <c r="A354" s="1930"/>
      <c r="B354" s="1894">
        <v>17</v>
      </c>
      <c r="C354" s="1895">
        <v>18</v>
      </c>
      <c r="D354" s="1932">
        <v>0.31</v>
      </c>
      <c r="E354" s="1916">
        <v>1.04</v>
      </c>
      <c r="F354" s="1930"/>
      <c r="G354" s="1894">
        <v>17</v>
      </c>
      <c r="H354" s="1895">
        <v>18</v>
      </c>
      <c r="I354" s="1932">
        <v>0.36</v>
      </c>
      <c r="J354" s="1916">
        <v>0.76</v>
      </c>
      <c r="K354" s="1930"/>
      <c r="L354" s="1894">
        <v>17</v>
      </c>
      <c r="M354" s="1895">
        <v>18</v>
      </c>
      <c r="N354" s="1932">
        <v>0.83</v>
      </c>
      <c r="O354" s="1916">
        <v>1.33</v>
      </c>
      <c r="P354" s="1930"/>
      <c r="Q354" s="1894"/>
      <c r="R354" s="1895"/>
      <c r="S354" s="1932"/>
      <c r="T354" s="1916"/>
      <c r="U354" s="1930"/>
      <c r="V354" s="1894">
        <v>17</v>
      </c>
      <c r="W354" s="1895">
        <v>18</v>
      </c>
      <c r="X354" s="1932">
        <v>0.3</v>
      </c>
      <c r="Y354" s="1916">
        <v>0.46</v>
      </c>
      <c r="Z354" s="1930"/>
      <c r="AA354" s="1894">
        <v>17</v>
      </c>
      <c r="AB354" s="1895">
        <v>18</v>
      </c>
      <c r="AC354" s="1932">
        <v>0.19</v>
      </c>
      <c r="AD354" s="1916">
        <v>0.3</v>
      </c>
      <c r="AF354" s="1894">
        <v>17</v>
      </c>
      <c r="AG354" s="1895">
        <v>18</v>
      </c>
      <c r="AH354" s="1932">
        <v>0.52</v>
      </c>
      <c r="AI354" s="1916">
        <v>1.1000000000000001</v>
      </c>
      <c r="AK354" s="1957">
        <f t="shared" si="49"/>
        <v>0.83</v>
      </c>
      <c r="AL354" s="1958">
        <f t="shared" si="50"/>
        <v>0.3</v>
      </c>
      <c r="AM354" s="1958">
        <f t="shared" si="48"/>
        <v>0.19</v>
      </c>
      <c r="AN354" s="1959">
        <f t="shared" si="51"/>
        <v>0.52</v>
      </c>
      <c r="AO354" s="2766">
        <v>18</v>
      </c>
      <c r="AP354" s="2766">
        <f>$AK479</f>
        <v>0.47</v>
      </c>
      <c r="AQ354" s="1926">
        <f>$AL504</f>
        <v>0.43</v>
      </c>
      <c r="AR354" s="1913">
        <f>$AM504</f>
        <v>1.05</v>
      </c>
    </row>
    <row r="355" spans="1:44">
      <c r="A355" s="1934"/>
      <c r="B355" s="1910">
        <v>18</v>
      </c>
      <c r="C355" s="1889">
        <v>19</v>
      </c>
      <c r="D355" s="1933">
        <v>0.36</v>
      </c>
      <c r="E355" s="1911">
        <v>1.32</v>
      </c>
      <c r="F355" s="1934"/>
      <c r="G355" s="1910">
        <v>18</v>
      </c>
      <c r="H355" s="1889">
        <v>19</v>
      </c>
      <c r="I355" s="1933">
        <v>0.3</v>
      </c>
      <c r="J355" s="1911">
        <v>0.73</v>
      </c>
      <c r="K355" s="1934"/>
      <c r="L355" s="1910">
        <v>18</v>
      </c>
      <c r="M355" s="1889">
        <v>19</v>
      </c>
      <c r="N355" s="1933">
        <v>0.92</v>
      </c>
      <c r="O355" s="1911">
        <v>1.85</v>
      </c>
      <c r="P355" s="1934"/>
      <c r="Q355" s="1910"/>
      <c r="R355" s="1889"/>
      <c r="S355" s="1933"/>
      <c r="T355" s="1911"/>
      <c r="U355" s="1934"/>
      <c r="V355" s="1910">
        <v>18</v>
      </c>
      <c r="W355" s="1889">
        <v>19</v>
      </c>
      <c r="X355" s="1933">
        <v>0.37</v>
      </c>
      <c r="Y355" s="1911">
        <v>0.59</v>
      </c>
      <c r="Z355" s="1934"/>
      <c r="AA355" s="1910">
        <v>18</v>
      </c>
      <c r="AB355" s="1889">
        <v>19</v>
      </c>
      <c r="AC355" s="1933">
        <v>0.72</v>
      </c>
      <c r="AD355" s="1911">
        <v>1.27</v>
      </c>
      <c r="AF355" s="1910">
        <v>18</v>
      </c>
      <c r="AG355" s="1889">
        <v>19</v>
      </c>
      <c r="AH355" s="1933">
        <v>0.84</v>
      </c>
      <c r="AI355" s="1911">
        <v>1.84</v>
      </c>
      <c r="AK355" s="1952">
        <f t="shared" si="49"/>
        <v>0.92</v>
      </c>
      <c r="AL355" s="1953">
        <f t="shared" si="50"/>
        <v>0.37</v>
      </c>
      <c r="AM355" s="1953">
        <f t="shared" si="48"/>
        <v>0.72</v>
      </c>
      <c r="AN355" s="1954">
        <f t="shared" si="51"/>
        <v>0.84</v>
      </c>
      <c r="AO355" s="1883">
        <v>19</v>
      </c>
      <c r="AP355" s="1871">
        <f>$AK504</f>
        <v>0.34</v>
      </c>
      <c r="AQ355" s="1926">
        <f>$AL529</f>
        <v>0.87</v>
      </c>
      <c r="AR355" s="1913">
        <f>$AM529</f>
        <v>0.71</v>
      </c>
    </row>
    <row r="356" spans="1:44">
      <c r="A356" s="1934"/>
      <c r="B356" s="1902">
        <v>19</v>
      </c>
      <c r="C356" s="1873">
        <v>20</v>
      </c>
      <c r="D356" s="1935">
        <v>0.33</v>
      </c>
      <c r="E356" s="1912">
        <v>1.1599999999999999</v>
      </c>
      <c r="F356" s="1934"/>
      <c r="G356" s="1902">
        <v>19</v>
      </c>
      <c r="H356" s="1873">
        <v>20</v>
      </c>
      <c r="I356" s="1935">
        <v>0.44</v>
      </c>
      <c r="J356" s="1912">
        <v>1.08</v>
      </c>
      <c r="K356" s="1934"/>
      <c r="L356" s="1902">
        <v>19</v>
      </c>
      <c r="M356" s="1873">
        <v>20</v>
      </c>
      <c r="N356" s="1935">
        <v>0.31</v>
      </c>
      <c r="O356" s="1912">
        <v>0.69</v>
      </c>
      <c r="P356" s="1934"/>
      <c r="Q356" s="1902"/>
      <c r="R356" s="1873"/>
      <c r="S356" s="1935"/>
      <c r="T356" s="1912"/>
      <c r="U356" s="1934"/>
      <c r="V356" s="1902">
        <v>19</v>
      </c>
      <c r="W356" s="1873">
        <v>20</v>
      </c>
      <c r="X356" s="1935">
        <v>0.38</v>
      </c>
      <c r="Y356" s="1912">
        <v>0.69</v>
      </c>
      <c r="Z356" s="1934"/>
      <c r="AA356" s="1902">
        <v>19</v>
      </c>
      <c r="AB356" s="1873">
        <v>20</v>
      </c>
      <c r="AC356" s="1935">
        <v>0.65</v>
      </c>
      <c r="AD356" s="1912">
        <v>1.21</v>
      </c>
      <c r="AF356" s="1902">
        <v>19</v>
      </c>
      <c r="AG356" s="1873">
        <v>20</v>
      </c>
      <c r="AH356" s="1935">
        <v>0.49</v>
      </c>
      <c r="AI356" s="1912">
        <v>1.36</v>
      </c>
      <c r="AK356" s="1955">
        <f t="shared" si="49"/>
        <v>0.31</v>
      </c>
      <c r="AL356" s="1926">
        <f t="shared" si="50"/>
        <v>0.38</v>
      </c>
      <c r="AM356" s="1926">
        <f t="shared" si="48"/>
        <v>0.65</v>
      </c>
      <c r="AN356" s="1956">
        <f t="shared" si="51"/>
        <v>0.49</v>
      </c>
      <c r="AO356" s="1883">
        <v>20</v>
      </c>
      <c r="AP356" s="1871">
        <f>$AK529</f>
        <v>0.56000000000000005</v>
      </c>
      <c r="AQ356" s="1926">
        <f>$AL554</f>
        <v>0.41</v>
      </c>
      <c r="AR356" s="1913">
        <f>$AM554</f>
        <v>0.76</v>
      </c>
    </row>
    <row r="357" spans="1:44">
      <c r="A357" s="1934"/>
      <c r="B357" s="1902">
        <v>20</v>
      </c>
      <c r="C357" s="1873">
        <v>21</v>
      </c>
      <c r="D357" s="1935">
        <v>0.28999999999999998</v>
      </c>
      <c r="E357" s="1912">
        <v>0.75</v>
      </c>
      <c r="F357" s="1934"/>
      <c r="G357" s="1902">
        <v>20</v>
      </c>
      <c r="H357" s="1873">
        <v>21</v>
      </c>
      <c r="I357" s="1935">
        <v>0.26</v>
      </c>
      <c r="J357" s="1912">
        <v>0.4</v>
      </c>
      <c r="K357" s="1934"/>
      <c r="L357" s="1902">
        <v>20</v>
      </c>
      <c r="M357" s="1873">
        <v>21</v>
      </c>
      <c r="N357" s="1935">
        <v>0.26</v>
      </c>
      <c r="O357" s="1912">
        <v>0.59</v>
      </c>
      <c r="P357" s="1934"/>
      <c r="Q357" s="1902"/>
      <c r="R357" s="1873"/>
      <c r="S357" s="1935"/>
      <c r="T357" s="1912"/>
      <c r="U357" s="1934"/>
      <c r="V357" s="1902">
        <v>20</v>
      </c>
      <c r="W357" s="1873">
        <v>21</v>
      </c>
      <c r="X357" s="1935">
        <v>0.61</v>
      </c>
      <c r="Y357" s="1912">
        <v>1.17</v>
      </c>
      <c r="Z357" s="1934"/>
      <c r="AA357" s="1902">
        <v>20</v>
      </c>
      <c r="AB357" s="1873">
        <v>21</v>
      </c>
      <c r="AC357" s="1935">
        <v>0.44</v>
      </c>
      <c r="AD357" s="1912">
        <v>0.85</v>
      </c>
      <c r="AF357" s="1902">
        <v>20</v>
      </c>
      <c r="AG357" s="1873">
        <v>21</v>
      </c>
      <c r="AH357" s="1935">
        <v>0.3</v>
      </c>
      <c r="AI357" s="1912">
        <v>0.87</v>
      </c>
      <c r="AK357" s="1955">
        <f t="shared" si="49"/>
        <v>0.26</v>
      </c>
      <c r="AL357" s="1926">
        <f t="shared" si="50"/>
        <v>0.61</v>
      </c>
      <c r="AM357" s="1926">
        <f t="shared" si="48"/>
        <v>0.44</v>
      </c>
      <c r="AN357" s="1956">
        <f t="shared" si="51"/>
        <v>0.3</v>
      </c>
      <c r="AO357" s="1883">
        <v>21</v>
      </c>
      <c r="AP357" s="1871">
        <f>$AK554</f>
        <v>0.43</v>
      </c>
      <c r="AQ357" s="1926">
        <f>$AL579</f>
        <v>0.48</v>
      </c>
      <c r="AR357" s="1913">
        <f>$AM579</f>
        <v>0.94</v>
      </c>
    </row>
    <row r="358" spans="1:44">
      <c r="A358" s="1934"/>
      <c r="B358" s="1902">
        <v>21</v>
      </c>
      <c r="C358" s="1873">
        <v>22</v>
      </c>
      <c r="D358" s="1935">
        <v>0.17</v>
      </c>
      <c r="E358" s="1912">
        <v>0.41</v>
      </c>
      <c r="F358" s="1934"/>
      <c r="G358" s="1902">
        <v>21</v>
      </c>
      <c r="H358" s="1873">
        <v>22</v>
      </c>
      <c r="I358" s="1935">
        <v>0.16</v>
      </c>
      <c r="J358" s="1912">
        <v>0.21</v>
      </c>
      <c r="K358" s="1934"/>
      <c r="L358" s="1902">
        <v>21</v>
      </c>
      <c r="M358" s="1873">
        <v>22</v>
      </c>
      <c r="N358" s="1935">
        <v>0.3</v>
      </c>
      <c r="O358" s="1912">
        <v>0.67</v>
      </c>
      <c r="P358" s="1934"/>
      <c r="Q358" s="1902"/>
      <c r="R358" s="1873"/>
      <c r="S358" s="1935"/>
      <c r="T358" s="1912"/>
      <c r="U358" s="1934"/>
      <c r="V358" s="1902">
        <v>21</v>
      </c>
      <c r="W358" s="1873">
        <v>22</v>
      </c>
      <c r="X358" s="1935">
        <v>0.35</v>
      </c>
      <c r="Y358" s="1912">
        <v>0.66</v>
      </c>
      <c r="Z358" s="1934"/>
      <c r="AA358" s="1902">
        <v>21</v>
      </c>
      <c r="AB358" s="1873">
        <v>22</v>
      </c>
      <c r="AC358" s="1935">
        <v>0.53</v>
      </c>
      <c r="AD358" s="1912">
        <v>1</v>
      </c>
      <c r="AF358" s="1902">
        <v>21</v>
      </c>
      <c r="AG358" s="1873">
        <v>22</v>
      </c>
      <c r="AH358" s="1935">
        <v>0.34</v>
      </c>
      <c r="AI358" s="1912">
        <v>1.01</v>
      </c>
      <c r="AK358" s="1955">
        <f t="shared" si="49"/>
        <v>0.3</v>
      </c>
      <c r="AL358" s="1926">
        <f t="shared" si="50"/>
        <v>0.35</v>
      </c>
      <c r="AM358" s="1926">
        <f t="shared" si="48"/>
        <v>0.53</v>
      </c>
      <c r="AN358" s="1956">
        <f t="shared" si="51"/>
        <v>0.34</v>
      </c>
      <c r="AO358" s="1883">
        <v>22</v>
      </c>
      <c r="AP358" s="1871">
        <f>$AK579</f>
        <v>0.24</v>
      </c>
      <c r="AQ358" s="1926">
        <f>$AL604</f>
        <v>0.67</v>
      </c>
      <c r="AR358" s="1913">
        <f>$AM604</f>
        <v>0.96</v>
      </c>
    </row>
    <row r="359" spans="1:44">
      <c r="A359" s="1934"/>
      <c r="B359" s="1902">
        <v>22</v>
      </c>
      <c r="C359" s="1873">
        <v>23</v>
      </c>
      <c r="D359" s="1935">
        <v>0.13</v>
      </c>
      <c r="E359" s="1912">
        <v>0.3</v>
      </c>
      <c r="F359" s="1934"/>
      <c r="G359" s="1902">
        <v>22</v>
      </c>
      <c r="H359" s="1873">
        <v>23</v>
      </c>
      <c r="I359" s="1935">
        <v>0.23</v>
      </c>
      <c r="J359" s="1912">
        <v>0.27</v>
      </c>
      <c r="K359" s="1934"/>
      <c r="L359" s="1902">
        <v>22</v>
      </c>
      <c r="M359" s="1873">
        <v>23</v>
      </c>
      <c r="N359" s="1935">
        <v>0.21</v>
      </c>
      <c r="O359" s="1912">
        <v>0.43</v>
      </c>
      <c r="P359" s="1934"/>
      <c r="Q359" s="1902"/>
      <c r="R359" s="1873"/>
      <c r="S359" s="1935"/>
      <c r="T359" s="1912"/>
      <c r="U359" s="1934"/>
      <c r="V359" s="1902">
        <v>22</v>
      </c>
      <c r="W359" s="1873">
        <v>23</v>
      </c>
      <c r="X359" s="1935">
        <v>0.36</v>
      </c>
      <c r="Y359" s="1912">
        <v>0.66</v>
      </c>
      <c r="Z359" s="1934"/>
      <c r="AA359" s="1902">
        <v>22</v>
      </c>
      <c r="AB359" s="1873">
        <v>23</v>
      </c>
      <c r="AC359" s="1935">
        <v>0.34</v>
      </c>
      <c r="AD359" s="1912">
        <v>0.61</v>
      </c>
      <c r="AF359" s="1902">
        <v>22</v>
      </c>
      <c r="AG359" s="1873">
        <v>23</v>
      </c>
      <c r="AH359" s="1935">
        <v>0.25</v>
      </c>
      <c r="AI359" s="1912">
        <v>0.72</v>
      </c>
      <c r="AK359" s="1955">
        <f t="shared" si="49"/>
        <v>0.21</v>
      </c>
      <c r="AL359" s="1926">
        <f t="shared" si="50"/>
        <v>0.36</v>
      </c>
      <c r="AM359" s="1926">
        <f t="shared" si="48"/>
        <v>0.34</v>
      </c>
      <c r="AN359" s="1956">
        <f t="shared" si="51"/>
        <v>0.25</v>
      </c>
      <c r="AO359" s="1883">
        <v>23</v>
      </c>
      <c r="AP359" s="1871">
        <f>$AK604</f>
        <v>0.45</v>
      </c>
      <c r="AQ359" s="1926">
        <f>$AL629</f>
        <v>0.71</v>
      </c>
      <c r="AR359" s="1913">
        <f>$AM629</f>
        <v>1.03</v>
      </c>
    </row>
    <row r="360" spans="1:44" ht="15" thickBot="1">
      <c r="A360" s="1934"/>
      <c r="B360" s="1902">
        <v>23</v>
      </c>
      <c r="C360" s="1873">
        <v>24</v>
      </c>
      <c r="D360" s="1935">
        <v>0.21</v>
      </c>
      <c r="E360" s="1912">
        <v>0.47</v>
      </c>
      <c r="F360" s="1934"/>
      <c r="G360" s="1902">
        <v>23</v>
      </c>
      <c r="H360" s="1873">
        <v>24</v>
      </c>
      <c r="I360" s="1935">
        <v>0.11</v>
      </c>
      <c r="J360" s="1912">
        <v>0.11</v>
      </c>
      <c r="K360" s="1934"/>
      <c r="L360" s="1902">
        <v>23</v>
      </c>
      <c r="M360" s="1873">
        <v>24</v>
      </c>
      <c r="N360" s="1935">
        <v>0.16</v>
      </c>
      <c r="O360" s="1912">
        <v>0.31</v>
      </c>
      <c r="P360" s="1934"/>
      <c r="Q360" s="1902"/>
      <c r="R360" s="1873"/>
      <c r="S360" s="1935"/>
      <c r="T360" s="1912"/>
      <c r="U360" s="1934"/>
      <c r="V360" s="1902">
        <v>23</v>
      </c>
      <c r="W360" s="1873">
        <v>24</v>
      </c>
      <c r="X360" s="1935">
        <v>0.23</v>
      </c>
      <c r="Y360" s="1912">
        <v>0.41</v>
      </c>
      <c r="Z360" s="1934"/>
      <c r="AA360" s="1902">
        <v>23</v>
      </c>
      <c r="AB360" s="1873">
        <v>24</v>
      </c>
      <c r="AC360" s="1935">
        <v>0.28999999999999998</v>
      </c>
      <c r="AD360" s="1912">
        <v>0.5</v>
      </c>
      <c r="AF360" s="1902">
        <v>23</v>
      </c>
      <c r="AG360" s="1873">
        <v>24</v>
      </c>
      <c r="AH360" s="1935">
        <v>0.17</v>
      </c>
      <c r="AI360" s="1912">
        <v>0.47</v>
      </c>
      <c r="AK360" s="1957">
        <f t="shared" si="49"/>
        <v>0.16</v>
      </c>
      <c r="AL360" s="1958">
        <f t="shared" si="50"/>
        <v>0.23</v>
      </c>
      <c r="AM360" s="1958">
        <f t="shared" si="48"/>
        <v>0.28999999999999998</v>
      </c>
      <c r="AN360" s="1959">
        <f t="shared" si="51"/>
        <v>0.17</v>
      </c>
      <c r="AO360" s="1883">
        <v>24</v>
      </c>
      <c r="AP360" s="1871">
        <f>$AK629</f>
        <v>0.35</v>
      </c>
      <c r="AQ360" s="1926">
        <f>$AL654</f>
        <v>0.98</v>
      </c>
      <c r="AR360" s="1913">
        <f>$AM654</f>
        <v>0.46</v>
      </c>
    </row>
    <row r="361" spans="1:44">
      <c r="B361" s="2766">
        <v>44971</v>
      </c>
      <c r="C361" s="2766"/>
      <c r="D361" s="1922">
        <f>SUM(D362:D385)</f>
        <v>9.26</v>
      </c>
      <c r="E361" s="1923">
        <f>SUM(E362:E385)</f>
        <v>22.94</v>
      </c>
      <c r="G361" s="2773">
        <v>44999</v>
      </c>
      <c r="H361" s="2773"/>
      <c r="I361" s="1922">
        <f>SUM(I362:I385)</f>
        <v>6.12</v>
      </c>
      <c r="J361" s="1923">
        <f>SUM(J362:J385)</f>
        <v>9.9699999999999971</v>
      </c>
      <c r="L361" s="2773">
        <v>45030</v>
      </c>
      <c r="M361" s="2773"/>
      <c r="N361" s="1936">
        <f>SUM(N362:N385)</f>
        <v>8.9</v>
      </c>
      <c r="O361" s="1937">
        <f>SUM(O362:O385)</f>
        <v>17.61</v>
      </c>
      <c r="Q361" s="2766">
        <v>45060</v>
      </c>
      <c r="R361" s="2766"/>
      <c r="S361" s="1936"/>
      <c r="T361" s="1937"/>
      <c r="V361" s="2766">
        <v>45060</v>
      </c>
      <c r="W361" s="2766"/>
      <c r="X361" s="1936">
        <f>SUM(X362:X385)</f>
        <v>7.6999999999999993</v>
      </c>
      <c r="Y361" s="1937">
        <f>SUM(Y362:Y385)</f>
        <v>11.119999999999997</v>
      </c>
      <c r="AA361" s="2766">
        <v>45091</v>
      </c>
      <c r="AB361" s="2766"/>
      <c r="AC361" s="1936">
        <f>SUM(AC362:AC385)</f>
        <v>10.95</v>
      </c>
      <c r="AD361" s="1937">
        <f>SUM(AD362:AD385)</f>
        <v>19.329999999999998</v>
      </c>
      <c r="AF361" s="2766">
        <v>45121</v>
      </c>
      <c r="AG361" s="2766"/>
      <c r="AH361" s="1936">
        <f>SUM(AH362:AH385)</f>
        <v>7.870000000000001</v>
      </c>
      <c r="AI361" s="1937">
        <f>SUM(AI362:AI385)</f>
        <v>20.2</v>
      </c>
      <c r="AO361" s="1883">
        <v>25</v>
      </c>
      <c r="AP361" s="1871">
        <f>$AK654</f>
        <v>1.1299999999999999</v>
      </c>
      <c r="AQ361" s="1928">
        <f>$AL679</f>
        <v>1.27</v>
      </c>
      <c r="AR361" s="1917">
        <f>$AM679</f>
        <v>0.9</v>
      </c>
    </row>
    <row r="362" spans="1:44">
      <c r="A362" s="1927"/>
      <c r="B362" s="1883">
        <v>0</v>
      </c>
      <c r="C362" s="1871">
        <v>1</v>
      </c>
      <c r="D362" s="1926">
        <v>0.14000000000000001</v>
      </c>
      <c r="E362" s="1913">
        <v>0.28999999999999998</v>
      </c>
      <c r="F362" s="1927"/>
      <c r="G362" s="1883">
        <v>0</v>
      </c>
      <c r="H362" s="1871">
        <v>1</v>
      </c>
      <c r="I362" s="1926">
        <v>0.12</v>
      </c>
      <c r="J362" s="1913">
        <v>0.11</v>
      </c>
      <c r="K362" s="1927"/>
      <c r="L362" s="1883">
        <v>0</v>
      </c>
      <c r="M362" s="1871">
        <v>1</v>
      </c>
      <c r="N362" s="1926">
        <v>0.15</v>
      </c>
      <c r="O362" s="1913">
        <v>0.28999999999999998</v>
      </c>
      <c r="P362" s="1927"/>
      <c r="Q362" s="1883"/>
      <c r="R362" s="1871"/>
      <c r="S362" s="1926"/>
      <c r="T362" s="1913"/>
      <c r="U362" s="1927"/>
      <c r="V362" s="1883">
        <v>0</v>
      </c>
      <c r="W362" s="1871">
        <v>1</v>
      </c>
      <c r="X362" s="1926">
        <v>0.15</v>
      </c>
      <c r="Y362" s="1913">
        <v>0.27</v>
      </c>
      <c r="Z362" s="1927"/>
      <c r="AA362" s="1883">
        <v>0</v>
      </c>
      <c r="AB362" s="1871">
        <v>1</v>
      </c>
      <c r="AC362" s="1926">
        <v>0.23</v>
      </c>
      <c r="AD362" s="1913">
        <v>0.39</v>
      </c>
      <c r="AF362" s="1883">
        <v>0</v>
      </c>
      <c r="AG362" s="1871">
        <v>1</v>
      </c>
      <c r="AH362" s="1926">
        <v>0.17</v>
      </c>
      <c r="AI362" s="1913">
        <v>0.45</v>
      </c>
      <c r="AK362" s="1952">
        <f>N362</f>
        <v>0.15</v>
      </c>
      <c r="AL362" s="1953">
        <f>X362</f>
        <v>0.15</v>
      </c>
      <c r="AM362" s="1953">
        <f t="shared" ref="AM362:AM385" si="52">AC362</f>
        <v>0.23</v>
      </c>
      <c r="AN362" s="1954">
        <f>AH362</f>
        <v>0.17</v>
      </c>
      <c r="AO362" s="1908">
        <v>26</v>
      </c>
      <c r="AP362" s="1909">
        <f>$AK679</f>
        <v>1.23</v>
      </c>
      <c r="AQ362" s="1929">
        <f>$AL704</f>
        <v>0.99</v>
      </c>
      <c r="AR362" s="1914">
        <f>$AM704</f>
        <v>0.68</v>
      </c>
    </row>
    <row r="363" spans="1:44">
      <c r="A363" s="1927"/>
      <c r="B363" s="1883">
        <v>1</v>
      </c>
      <c r="C363" s="1871">
        <v>2</v>
      </c>
      <c r="D363" s="1926">
        <v>0.15</v>
      </c>
      <c r="E363" s="1913">
        <v>0.31</v>
      </c>
      <c r="F363" s="1927"/>
      <c r="G363" s="1883">
        <v>1</v>
      </c>
      <c r="H363" s="1871">
        <v>2</v>
      </c>
      <c r="I363" s="1926">
        <v>0.11</v>
      </c>
      <c r="J363" s="1913">
        <v>0.1</v>
      </c>
      <c r="K363" s="1927"/>
      <c r="L363" s="1883">
        <v>1</v>
      </c>
      <c r="M363" s="1871">
        <v>2</v>
      </c>
      <c r="N363" s="1926">
        <v>0.05</v>
      </c>
      <c r="O363" s="1913">
        <v>0.09</v>
      </c>
      <c r="P363" s="1927"/>
      <c r="Q363" s="1883"/>
      <c r="R363" s="1871"/>
      <c r="S363" s="1926"/>
      <c r="T363" s="1913"/>
      <c r="U363" s="1927"/>
      <c r="V363" s="1883">
        <v>1</v>
      </c>
      <c r="W363" s="1871">
        <v>2</v>
      </c>
      <c r="X363" s="1926">
        <v>0.21</v>
      </c>
      <c r="Y363" s="1913">
        <v>0.36</v>
      </c>
      <c r="Z363" s="1927"/>
      <c r="AA363" s="1883">
        <v>1</v>
      </c>
      <c r="AB363" s="1871">
        <v>2</v>
      </c>
      <c r="AC363" s="1926">
        <v>0.23</v>
      </c>
      <c r="AD363" s="1913">
        <v>0.38</v>
      </c>
      <c r="AF363" s="1883">
        <v>1</v>
      </c>
      <c r="AG363" s="1871">
        <v>2</v>
      </c>
      <c r="AH363" s="1926">
        <v>0.11</v>
      </c>
      <c r="AI363" s="1913">
        <v>0.28000000000000003</v>
      </c>
      <c r="AK363" s="1955">
        <f t="shared" ref="AK363:AK385" si="53">N363</f>
        <v>0.05</v>
      </c>
      <c r="AL363" s="1926">
        <f t="shared" ref="AL363:AL385" si="54">X363</f>
        <v>0.21</v>
      </c>
      <c r="AM363" s="1926">
        <f t="shared" si="52"/>
        <v>0.23</v>
      </c>
      <c r="AN363" s="1956">
        <f t="shared" ref="AN363:AN385" si="55">AH363</f>
        <v>0.11</v>
      </c>
      <c r="AO363" s="1890">
        <v>27</v>
      </c>
      <c r="AP363" s="1891">
        <f>$AK704</f>
        <v>1.55</v>
      </c>
      <c r="AQ363" s="1931">
        <f>$AL729</f>
        <v>1.18</v>
      </c>
      <c r="AR363" s="1915">
        <f>$AM729</f>
        <v>0.41</v>
      </c>
    </row>
    <row r="364" spans="1:44">
      <c r="A364" s="1927"/>
      <c r="B364" s="1883">
        <v>2</v>
      </c>
      <c r="C364" s="1871">
        <v>3</v>
      </c>
      <c r="D364" s="1926">
        <v>0.12</v>
      </c>
      <c r="E364" s="1913">
        <v>0.25</v>
      </c>
      <c r="F364" s="1927"/>
      <c r="G364" s="1883">
        <v>2</v>
      </c>
      <c r="H364" s="1871">
        <v>3</v>
      </c>
      <c r="I364" s="1926">
        <v>0.09</v>
      </c>
      <c r="J364" s="1913">
        <v>0.08</v>
      </c>
      <c r="K364" s="1927"/>
      <c r="L364" s="1883">
        <v>2</v>
      </c>
      <c r="M364" s="1871">
        <v>3</v>
      </c>
      <c r="N364" s="1926">
        <v>0.11</v>
      </c>
      <c r="O364" s="1913">
        <v>0.21</v>
      </c>
      <c r="P364" s="1927"/>
      <c r="Q364" s="1883"/>
      <c r="R364" s="1871"/>
      <c r="S364" s="1926"/>
      <c r="T364" s="1913"/>
      <c r="U364" s="1927"/>
      <c r="V364" s="1883">
        <v>2</v>
      </c>
      <c r="W364" s="1871">
        <v>3</v>
      </c>
      <c r="X364" s="1926">
        <v>0.17</v>
      </c>
      <c r="Y364" s="1913">
        <v>0.28999999999999998</v>
      </c>
      <c r="Z364" s="1927"/>
      <c r="AA364" s="1883">
        <v>2</v>
      </c>
      <c r="AB364" s="1871">
        <v>3</v>
      </c>
      <c r="AC364" s="1926">
        <v>0.18</v>
      </c>
      <c r="AD364" s="1913">
        <v>0.28999999999999998</v>
      </c>
      <c r="AF364" s="1883">
        <v>2</v>
      </c>
      <c r="AG364" s="1871">
        <v>3</v>
      </c>
      <c r="AH364" s="1926">
        <v>0.17</v>
      </c>
      <c r="AI364" s="1913">
        <v>0.42</v>
      </c>
      <c r="AK364" s="1955">
        <f t="shared" si="53"/>
        <v>0.11</v>
      </c>
      <c r="AL364" s="1926">
        <f t="shared" si="54"/>
        <v>0.17</v>
      </c>
      <c r="AM364" s="1926">
        <f t="shared" si="52"/>
        <v>0.18</v>
      </c>
      <c r="AN364" s="1956">
        <f t="shared" si="55"/>
        <v>0.17</v>
      </c>
      <c r="AO364" s="1893">
        <v>28</v>
      </c>
      <c r="AP364" s="1872">
        <f>$AK729</f>
        <v>0.36</v>
      </c>
      <c r="AQ364" s="1931">
        <f>$AL754</f>
        <v>0.48</v>
      </c>
      <c r="AR364" s="1915">
        <f>$AM754</f>
        <v>0.82</v>
      </c>
    </row>
    <row r="365" spans="1:44">
      <c r="A365" s="1927"/>
      <c r="B365" s="1883">
        <v>3</v>
      </c>
      <c r="C365" s="1871">
        <v>4</v>
      </c>
      <c r="D365" s="1926">
        <v>0.09</v>
      </c>
      <c r="E365" s="1913">
        <v>0.18</v>
      </c>
      <c r="F365" s="1927"/>
      <c r="G365" s="1883">
        <v>3</v>
      </c>
      <c r="H365" s="1871">
        <v>4</v>
      </c>
      <c r="I365" s="1926">
        <v>0.14000000000000001</v>
      </c>
      <c r="J365" s="1913">
        <v>0.12</v>
      </c>
      <c r="K365" s="1927"/>
      <c r="L365" s="1883">
        <v>3</v>
      </c>
      <c r="M365" s="1871">
        <v>4</v>
      </c>
      <c r="N365" s="1926">
        <v>0.1</v>
      </c>
      <c r="O365" s="1913">
        <v>0.19</v>
      </c>
      <c r="P365" s="1927"/>
      <c r="Q365" s="1883"/>
      <c r="R365" s="1871"/>
      <c r="S365" s="1926"/>
      <c r="T365" s="1913"/>
      <c r="U365" s="1927"/>
      <c r="V365" s="1883">
        <v>3</v>
      </c>
      <c r="W365" s="1871">
        <v>4</v>
      </c>
      <c r="X365" s="1926">
        <v>0.19</v>
      </c>
      <c r="Y365" s="1913">
        <v>0.31</v>
      </c>
      <c r="Z365" s="1927"/>
      <c r="AA365" s="1883">
        <v>3</v>
      </c>
      <c r="AB365" s="1871">
        <v>4</v>
      </c>
      <c r="AC365" s="1926">
        <v>0.22</v>
      </c>
      <c r="AD365" s="1913">
        <v>0.36</v>
      </c>
      <c r="AF365" s="1883">
        <v>3</v>
      </c>
      <c r="AG365" s="1871">
        <v>4</v>
      </c>
      <c r="AH365" s="1926">
        <v>0.14000000000000001</v>
      </c>
      <c r="AI365" s="1913">
        <v>0.34</v>
      </c>
      <c r="AK365" s="1955">
        <f t="shared" si="53"/>
        <v>0.1</v>
      </c>
      <c r="AL365" s="1926">
        <f t="shared" si="54"/>
        <v>0.19</v>
      </c>
      <c r="AM365" s="1926">
        <f t="shared" si="52"/>
        <v>0.22</v>
      </c>
      <c r="AN365" s="1956">
        <f t="shared" si="55"/>
        <v>0.14000000000000001</v>
      </c>
      <c r="AO365" s="1893">
        <v>29</v>
      </c>
      <c r="AP365" s="1872">
        <f>$AK754</f>
        <v>0.32</v>
      </c>
      <c r="AQ365" s="1931">
        <f>$AL779</f>
        <v>0.5</v>
      </c>
      <c r="AR365" s="1915">
        <f>$AM779</f>
        <v>0.21</v>
      </c>
    </row>
    <row r="366" spans="1:44">
      <c r="A366" s="1927"/>
      <c r="B366" s="1883">
        <v>4</v>
      </c>
      <c r="C366" s="1871">
        <v>5</v>
      </c>
      <c r="D366" s="1926">
        <v>0.11</v>
      </c>
      <c r="E366" s="1913">
        <v>0.23</v>
      </c>
      <c r="F366" s="1927"/>
      <c r="G366" s="1883">
        <v>4</v>
      </c>
      <c r="H366" s="1871">
        <v>5</v>
      </c>
      <c r="I366" s="1926">
        <v>0.12</v>
      </c>
      <c r="J366" s="1913">
        <v>0.1</v>
      </c>
      <c r="K366" s="1927"/>
      <c r="L366" s="1883">
        <v>4</v>
      </c>
      <c r="M366" s="1871">
        <v>5</v>
      </c>
      <c r="N366" s="1926">
        <v>0.14000000000000001</v>
      </c>
      <c r="O366" s="1913">
        <v>0.26</v>
      </c>
      <c r="P366" s="1927"/>
      <c r="Q366" s="1883"/>
      <c r="R366" s="1871"/>
      <c r="S366" s="1926"/>
      <c r="T366" s="1913"/>
      <c r="U366" s="1927"/>
      <c r="V366" s="1883">
        <v>4</v>
      </c>
      <c r="W366" s="1871">
        <v>5</v>
      </c>
      <c r="X366" s="1926">
        <v>0.21</v>
      </c>
      <c r="Y366" s="1913">
        <v>0.34</v>
      </c>
      <c r="Z366" s="1927"/>
      <c r="AA366" s="1883">
        <v>4</v>
      </c>
      <c r="AB366" s="1871">
        <v>5</v>
      </c>
      <c r="AC366" s="1926">
        <v>0.18</v>
      </c>
      <c r="AD366" s="1913">
        <v>0.28999999999999998</v>
      </c>
      <c r="AF366" s="1883">
        <v>4</v>
      </c>
      <c r="AG366" s="1871">
        <v>5</v>
      </c>
      <c r="AH366" s="1926">
        <v>0.2</v>
      </c>
      <c r="AI366" s="1913">
        <v>0.51</v>
      </c>
      <c r="AK366" s="1955">
        <f t="shared" si="53"/>
        <v>0.14000000000000001</v>
      </c>
      <c r="AL366" s="1926">
        <f t="shared" si="54"/>
        <v>0.21</v>
      </c>
      <c r="AM366" s="1926">
        <f t="shared" si="52"/>
        <v>0.18</v>
      </c>
      <c r="AN366" s="1956">
        <f t="shared" si="55"/>
        <v>0.2</v>
      </c>
      <c r="AO366" s="1893">
        <v>30</v>
      </c>
      <c r="AP366" s="1872">
        <f>$AK779</f>
        <v>0.27</v>
      </c>
      <c r="AQ366" s="1931">
        <f>$AL804</f>
        <v>0.51</v>
      </c>
      <c r="AR366" s="1915">
        <f>$AM804</f>
        <v>0</v>
      </c>
    </row>
    <row r="367" spans="1:44">
      <c r="A367" s="1927"/>
      <c r="B367" s="1883">
        <v>5</v>
      </c>
      <c r="C367" s="1871">
        <v>6</v>
      </c>
      <c r="D367" s="1926">
        <v>0.13</v>
      </c>
      <c r="E367" s="1913">
        <v>0.28000000000000003</v>
      </c>
      <c r="F367" s="1927"/>
      <c r="G367" s="1883">
        <v>5</v>
      </c>
      <c r="H367" s="1871">
        <v>6</v>
      </c>
      <c r="I367" s="1926">
        <v>0.39</v>
      </c>
      <c r="J367" s="1913">
        <v>0.36</v>
      </c>
      <c r="K367" s="1927"/>
      <c r="L367" s="1883">
        <v>5</v>
      </c>
      <c r="M367" s="1871">
        <v>6</v>
      </c>
      <c r="N367" s="1926">
        <v>0.19</v>
      </c>
      <c r="O367" s="1913">
        <v>0.38</v>
      </c>
      <c r="P367" s="1927"/>
      <c r="Q367" s="1883"/>
      <c r="R367" s="1871"/>
      <c r="S367" s="1926"/>
      <c r="T367" s="1913"/>
      <c r="U367" s="1927"/>
      <c r="V367" s="1883">
        <v>5</v>
      </c>
      <c r="W367" s="1871">
        <v>6</v>
      </c>
      <c r="X367" s="1926">
        <v>0.14000000000000001</v>
      </c>
      <c r="Y367" s="1913">
        <v>0.24</v>
      </c>
      <c r="Z367" s="1927"/>
      <c r="AA367" s="1883">
        <v>5</v>
      </c>
      <c r="AB367" s="1871">
        <v>6</v>
      </c>
      <c r="AC367" s="1926">
        <v>0.21</v>
      </c>
      <c r="AD367" s="1913">
        <v>0.36</v>
      </c>
      <c r="AF367" s="1883">
        <v>5</v>
      </c>
      <c r="AG367" s="1871">
        <v>6</v>
      </c>
      <c r="AH367" s="1926">
        <v>0.13</v>
      </c>
      <c r="AI367" s="1913">
        <v>0.34</v>
      </c>
      <c r="AK367" s="1955">
        <f t="shared" si="53"/>
        <v>0.19</v>
      </c>
      <c r="AL367" s="1926">
        <f t="shared" si="54"/>
        <v>0.14000000000000001</v>
      </c>
      <c r="AM367" s="1926">
        <f t="shared" si="52"/>
        <v>0.21</v>
      </c>
      <c r="AN367" s="1956">
        <f t="shared" si="55"/>
        <v>0.13</v>
      </c>
      <c r="AO367" s="1893">
        <v>31</v>
      </c>
      <c r="AP367" s="1872">
        <f>$AK804</f>
        <v>0</v>
      </c>
      <c r="AQ367" s="1931"/>
      <c r="AR367" s="1915"/>
    </row>
    <row r="368" spans="1:44">
      <c r="A368" s="1927"/>
      <c r="B368" s="1883">
        <v>6</v>
      </c>
      <c r="C368" s="1871">
        <v>7</v>
      </c>
      <c r="D368" s="1926">
        <v>0.24</v>
      </c>
      <c r="E368" s="1913">
        <v>0.56999999999999995</v>
      </c>
      <c r="F368" s="1927"/>
      <c r="G368" s="1883">
        <v>6</v>
      </c>
      <c r="H368" s="1871">
        <v>7</v>
      </c>
      <c r="I368" s="1926">
        <v>0.36</v>
      </c>
      <c r="J368" s="1913">
        <v>0.44</v>
      </c>
      <c r="K368" s="1927"/>
      <c r="L368" s="1883">
        <v>6</v>
      </c>
      <c r="M368" s="1871">
        <v>7</v>
      </c>
      <c r="N368" s="1926">
        <v>0.23</v>
      </c>
      <c r="O368" s="1913">
        <v>0.5</v>
      </c>
      <c r="P368" s="1927"/>
      <c r="Q368" s="1883"/>
      <c r="R368" s="1871"/>
      <c r="S368" s="1926"/>
      <c r="T368" s="1913"/>
      <c r="U368" s="1927"/>
      <c r="V368" s="1883">
        <v>6</v>
      </c>
      <c r="W368" s="1871">
        <v>7</v>
      </c>
      <c r="X368" s="1926">
        <v>0.17</v>
      </c>
      <c r="Y368" s="1913">
        <v>0.27</v>
      </c>
      <c r="Z368" s="1927"/>
      <c r="AA368" s="1883">
        <v>6</v>
      </c>
      <c r="AB368" s="1871">
        <v>7</v>
      </c>
      <c r="AC368" s="1926">
        <v>0.56999999999999995</v>
      </c>
      <c r="AD368" s="1913">
        <v>1.1399999999999999</v>
      </c>
      <c r="AF368" s="1883">
        <v>6</v>
      </c>
      <c r="AG368" s="1871">
        <v>7</v>
      </c>
      <c r="AH368" s="1926">
        <v>0.15</v>
      </c>
      <c r="AI368" s="1913">
        <v>0.41</v>
      </c>
      <c r="AK368" s="1955">
        <f t="shared" si="53"/>
        <v>0.23</v>
      </c>
      <c r="AL368" s="1926">
        <f t="shared" si="54"/>
        <v>0.17</v>
      </c>
      <c r="AM368" s="1926">
        <f t="shared" si="52"/>
        <v>0.56999999999999995</v>
      </c>
      <c r="AN368" s="1956">
        <f t="shared" si="55"/>
        <v>0.15</v>
      </c>
      <c r="AO368" s="1893"/>
      <c r="AP368" s="1872"/>
      <c r="AQ368" s="1931"/>
      <c r="AR368" s="1915"/>
    </row>
    <row r="369" spans="1:44">
      <c r="A369" s="1927"/>
      <c r="B369" s="1908">
        <v>7</v>
      </c>
      <c r="C369" s="1909">
        <v>8</v>
      </c>
      <c r="D369" s="1928">
        <v>0.68</v>
      </c>
      <c r="E369" s="1917">
        <v>1.83</v>
      </c>
      <c r="F369" s="1927"/>
      <c r="G369" s="1908">
        <v>7</v>
      </c>
      <c r="H369" s="1909">
        <v>8</v>
      </c>
      <c r="I369" s="1928">
        <v>0.24</v>
      </c>
      <c r="J369" s="1917">
        <v>0.4</v>
      </c>
      <c r="K369" s="1927"/>
      <c r="L369" s="1908">
        <v>7</v>
      </c>
      <c r="M369" s="1909">
        <v>8</v>
      </c>
      <c r="N369" s="1928">
        <v>0.3</v>
      </c>
      <c r="O369" s="1917">
        <v>0.73</v>
      </c>
      <c r="P369" s="1927"/>
      <c r="Q369" s="1908"/>
      <c r="R369" s="1909"/>
      <c r="S369" s="1928"/>
      <c r="T369" s="1917"/>
      <c r="U369" s="1927"/>
      <c r="V369" s="1908">
        <v>7</v>
      </c>
      <c r="W369" s="1909">
        <v>8</v>
      </c>
      <c r="X369" s="1928">
        <v>0.47</v>
      </c>
      <c r="Y369" s="1917">
        <v>0.71</v>
      </c>
      <c r="Z369" s="1927"/>
      <c r="AA369" s="1908">
        <v>7</v>
      </c>
      <c r="AB369" s="1909">
        <v>8</v>
      </c>
      <c r="AC369" s="1928">
        <v>0.36</v>
      </c>
      <c r="AD369" s="1917">
        <v>0.75</v>
      </c>
      <c r="AF369" s="1908">
        <v>7</v>
      </c>
      <c r="AG369" s="1909">
        <v>8</v>
      </c>
      <c r="AH369" s="1928">
        <v>0.43</v>
      </c>
      <c r="AI369" s="1917">
        <v>1.18</v>
      </c>
      <c r="AK369" s="1957">
        <f t="shared" si="53"/>
        <v>0.3</v>
      </c>
      <c r="AL369" s="1958">
        <f t="shared" si="54"/>
        <v>0.47</v>
      </c>
      <c r="AM369" s="1958">
        <f t="shared" si="52"/>
        <v>0.36</v>
      </c>
      <c r="AN369" s="1959">
        <f t="shared" si="55"/>
        <v>0.43</v>
      </c>
      <c r="AO369" s="1893"/>
      <c r="AP369" s="1872"/>
      <c r="AQ369" s="1931"/>
      <c r="AR369" s="1915"/>
    </row>
    <row r="370" spans="1:44">
      <c r="A370" s="1930"/>
      <c r="B370" s="1890">
        <v>8</v>
      </c>
      <c r="C370" s="1891">
        <v>9</v>
      </c>
      <c r="D370" s="1929">
        <v>0.33</v>
      </c>
      <c r="E370" s="1914">
        <v>0.91</v>
      </c>
      <c r="F370" s="1930"/>
      <c r="G370" s="1890">
        <v>8</v>
      </c>
      <c r="H370" s="1891">
        <v>9</v>
      </c>
      <c r="I370" s="1929">
        <v>0.3</v>
      </c>
      <c r="J370" s="1914">
        <v>0.51</v>
      </c>
      <c r="K370" s="1930"/>
      <c r="L370" s="1890">
        <v>8</v>
      </c>
      <c r="M370" s="1891">
        <v>9</v>
      </c>
      <c r="N370" s="1929">
        <v>0.24</v>
      </c>
      <c r="O370" s="1914">
        <v>0.59</v>
      </c>
      <c r="P370" s="1930"/>
      <c r="Q370" s="1890"/>
      <c r="R370" s="1891"/>
      <c r="S370" s="1929"/>
      <c r="T370" s="1914"/>
      <c r="U370" s="1930"/>
      <c r="V370" s="1890">
        <v>8</v>
      </c>
      <c r="W370" s="1891">
        <v>9</v>
      </c>
      <c r="X370" s="1929">
        <v>0.4</v>
      </c>
      <c r="Y370" s="1914">
        <v>0.61</v>
      </c>
      <c r="Z370" s="1930"/>
      <c r="AA370" s="1890">
        <v>8</v>
      </c>
      <c r="AB370" s="1891">
        <v>9</v>
      </c>
      <c r="AC370" s="1929">
        <v>0.44</v>
      </c>
      <c r="AD370" s="1914">
        <v>0.88</v>
      </c>
      <c r="AF370" s="1890">
        <v>8</v>
      </c>
      <c r="AG370" s="1891">
        <v>9</v>
      </c>
      <c r="AH370" s="1929">
        <v>0.44</v>
      </c>
      <c r="AI370" s="1914">
        <v>1.1599999999999999</v>
      </c>
      <c r="AK370" s="1952">
        <f t="shared" si="53"/>
        <v>0.24</v>
      </c>
      <c r="AL370" s="1953">
        <f t="shared" si="54"/>
        <v>0.4</v>
      </c>
      <c r="AM370" s="1953">
        <f t="shared" si="52"/>
        <v>0.44</v>
      </c>
      <c r="AN370" s="1954">
        <f t="shared" si="55"/>
        <v>0.44</v>
      </c>
      <c r="AO370" s="1893"/>
      <c r="AP370" s="1872"/>
      <c r="AQ370" s="1931"/>
      <c r="AR370" s="1915"/>
    </row>
    <row r="371" spans="1:44">
      <c r="A371" s="1930"/>
      <c r="B371" s="1893">
        <v>9</v>
      </c>
      <c r="C371" s="1872">
        <v>10</v>
      </c>
      <c r="D371" s="1931">
        <v>0.28000000000000003</v>
      </c>
      <c r="E371" s="1915">
        <v>0.7</v>
      </c>
      <c r="F371" s="1930"/>
      <c r="G371" s="1893">
        <v>9</v>
      </c>
      <c r="H371" s="1872">
        <v>10</v>
      </c>
      <c r="I371" s="1931">
        <v>0.36</v>
      </c>
      <c r="J371" s="1915">
        <v>0.59</v>
      </c>
      <c r="K371" s="1930"/>
      <c r="L371" s="1893">
        <v>9</v>
      </c>
      <c r="M371" s="1872">
        <v>10</v>
      </c>
      <c r="N371" s="1931">
        <v>0.27</v>
      </c>
      <c r="O371" s="1915">
        <v>0.6</v>
      </c>
      <c r="P371" s="1930"/>
      <c r="Q371" s="1893"/>
      <c r="R371" s="1872"/>
      <c r="S371" s="1931"/>
      <c r="T371" s="1915"/>
      <c r="U371" s="1930"/>
      <c r="V371" s="1893">
        <v>9</v>
      </c>
      <c r="W371" s="1872">
        <v>10</v>
      </c>
      <c r="X371" s="1931">
        <v>0.32</v>
      </c>
      <c r="Y371" s="1915">
        <v>0.42</v>
      </c>
      <c r="Z371" s="1930"/>
      <c r="AA371" s="1893">
        <v>9</v>
      </c>
      <c r="AB371" s="1872">
        <v>10</v>
      </c>
      <c r="AC371" s="1931">
        <v>0.4</v>
      </c>
      <c r="AD371" s="1915">
        <v>0.71</v>
      </c>
      <c r="AF371" s="1893">
        <v>9</v>
      </c>
      <c r="AG371" s="1872">
        <v>10</v>
      </c>
      <c r="AH371" s="1931">
        <v>0.39</v>
      </c>
      <c r="AI371" s="1915">
        <v>0.96</v>
      </c>
      <c r="AK371" s="1955">
        <f t="shared" si="53"/>
        <v>0.27</v>
      </c>
      <c r="AL371" s="1926">
        <f t="shared" si="54"/>
        <v>0.32</v>
      </c>
      <c r="AM371" s="1926">
        <f t="shared" si="52"/>
        <v>0.4</v>
      </c>
      <c r="AN371" s="1956">
        <f t="shared" si="55"/>
        <v>0.39</v>
      </c>
      <c r="AO371" s="1893"/>
      <c r="AP371" s="1872"/>
      <c r="AQ371" s="1932"/>
      <c r="AR371" s="1916"/>
    </row>
    <row r="372" spans="1:44">
      <c r="A372" s="1930"/>
      <c r="B372" s="1893">
        <v>10</v>
      </c>
      <c r="C372" s="1872">
        <v>11</v>
      </c>
      <c r="D372" s="1931">
        <v>0.21</v>
      </c>
      <c r="E372" s="1915">
        <v>0.44</v>
      </c>
      <c r="F372" s="1930"/>
      <c r="G372" s="1893">
        <v>10</v>
      </c>
      <c r="H372" s="1872">
        <v>11</v>
      </c>
      <c r="I372" s="1931">
        <v>0.19</v>
      </c>
      <c r="J372" s="1915">
        <v>0.28999999999999998</v>
      </c>
      <c r="K372" s="1930"/>
      <c r="L372" s="1893">
        <v>10</v>
      </c>
      <c r="M372" s="1872">
        <v>11</v>
      </c>
      <c r="N372" s="1931">
        <v>0.21</v>
      </c>
      <c r="O372" s="1915">
        <v>0.43</v>
      </c>
      <c r="P372" s="1930"/>
      <c r="Q372" s="1893"/>
      <c r="R372" s="1872"/>
      <c r="S372" s="1931"/>
      <c r="T372" s="1915"/>
      <c r="U372" s="1930"/>
      <c r="V372" s="1893">
        <v>10</v>
      </c>
      <c r="W372" s="1872">
        <v>11</v>
      </c>
      <c r="X372" s="1931">
        <v>0.28000000000000003</v>
      </c>
      <c r="Y372" s="1915">
        <v>0.28999999999999998</v>
      </c>
      <c r="Z372" s="1930"/>
      <c r="AA372" s="1893">
        <v>10</v>
      </c>
      <c r="AB372" s="1872">
        <v>11</v>
      </c>
      <c r="AC372" s="1931">
        <v>0.55000000000000004</v>
      </c>
      <c r="AD372" s="1915">
        <v>0.9</v>
      </c>
      <c r="AF372" s="1893">
        <v>10</v>
      </c>
      <c r="AG372" s="1872">
        <v>11</v>
      </c>
      <c r="AH372" s="1931">
        <v>0.39</v>
      </c>
      <c r="AI372" s="1915">
        <v>0.94</v>
      </c>
      <c r="AK372" s="1955">
        <f t="shared" si="53"/>
        <v>0.21</v>
      </c>
      <c r="AL372" s="1926">
        <f t="shared" si="54"/>
        <v>0.28000000000000003</v>
      </c>
      <c r="AM372" s="1926">
        <f t="shared" si="52"/>
        <v>0.55000000000000004</v>
      </c>
      <c r="AN372" s="1956">
        <f t="shared" si="55"/>
        <v>0.39</v>
      </c>
      <c r="AO372" s="1894"/>
      <c r="AP372" s="1895"/>
      <c r="AQ372" s="1933"/>
      <c r="AR372" s="1911"/>
    </row>
    <row r="373" spans="1:44">
      <c r="A373" s="1930"/>
      <c r="B373" s="1893">
        <v>11</v>
      </c>
      <c r="C373" s="1872">
        <v>12</v>
      </c>
      <c r="D373" s="1931">
        <v>0.36</v>
      </c>
      <c r="E373" s="1915">
        <v>0.76</v>
      </c>
      <c r="F373" s="1930"/>
      <c r="G373" s="1893">
        <v>11</v>
      </c>
      <c r="H373" s="1872">
        <v>12</v>
      </c>
      <c r="I373" s="1931">
        <v>0.26</v>
      </c>
      <c r="J373" s="1915">
        <v>0.36</v>
      </c>
      <c r="K373" s="1930"/>
      <c r="L373" s="1893">
        <v>11</v>
      </c>
      <c r="M373" s="1872">
        <v>12</v>
      </c>
      <c r="N373" s="1931">
        <v>0.35</v>
      </c>
      <c r="O373" s="1915">
        <v>0.67</v>
      </c>
      <c r="P373" s="1930"/>
      <c r="Q373" s="1893"/>
      <c r="R373" s="1872"/>
      <c r="S373" s="1931"/>
      <c r="T373" s="1915"/>
      <c r="U373" s="1930"/>
      <c r="V373" s="1893">
        <v>11</v>
      </c>
      <c r="W373" s="1872">
        <v>12</v>
      </c>
      <c r="X373" s="1931">
        <v>0.72</v>
      </c>
      <c r="Y373" s="1915">
        <v>0.68</v>
      </c>
      <c r="Z373" s="1930"/>
      <c r="AA373" s="1893">
        <v>11</v>
      </c>
      <c r="AB373" s="1872">
        <v>12</v>
      </c>
      <c r="AC373" s="1931">
        <v>0.78</v>
      </c>
      <c r="AD373" s="1915">
        <v>1.21</v>
      </c>
      <c r="AF373" s="1893">
        <v>11</v>
      </c>
      <c r="AG373" s="1872">
        <v>12</v>
      </c>
      <c r="AH373" s="1931">
        <v>0.59</v>
      </c>
      <c r="AI373" s="1915">
        <v>1.41</v>
      </c>
      <c r="AK373" s="1955">
        <f t="shared" si="53"/>
        <v>0.35</v>
      </c>
      <c r="AL373" s="1926">
        <f t="shared" si="54"/>
        <v>0.72</v>
      </c>
      <c r="AM373" s="1926">
        <f t="shared" si="52"/>
        <v>0.78</v>
      </c>
      <c r="AN373" s="1956">
        <f t="shared" si="55"/>
        <v>0.59</v>
      </c>
      <c r="AO373" s="1910"/>
      <c r="AP373" s="1889"/>
      <c r="AQ373" s="1935"/>
      <c r="AR373" s="1912"/>
    </row>
    <row r="374" spans="1:44">
      <c r="A374" s="1930"/>
      <c r="B374" s="1893">
        <v>12</v>
      </c>
      <c r="C374" s="1872">
        <v>13</v>
      </c>
      <c r="D374" s="1931">
        <v>0.36</v>
      </c>
      <c r="E374" s="1915">
        <v>0.73</v>
      </c>
      <c r="F374" s="1930"/>
      <c r="G374" s="1893">
        <v>12</v>
      </c>
      <c r="H374" s="1872">
        <v>13</v>
      </c>
      <c r="I374" s="1931">
        <v>0.14000000000000001</v>
      </c>
      <c r="J374" s="1915">
        <v>0.18</v>
      </c>
      <c r="K374" s="1930"/>
      <c r="L374" s="1893">
        <v>12</v>
      </c>
      <c r="M374" s="1872">
        <v>13</v>
      </c>
      <c r="N374" s="1931">
        <v>0.72</v>
      </c>
      <c r="O374" s="1915">
        <v>1.31</v>
      </c>
      <c r="P374" s="1930"/>
      <c r="Q374" s="1893"/>
      <c r="R374" s="1872"/>
      <c r="S374" s="1931"/>
      <c r="T374" s="1915"/>
      <c r="U374" s="1930"/>
      <c r="V374" s="1893">
        <v>12</v>
      </c>
      <c r="W374" s="1872">
        <v>13</v>
      </c>
      <c r="X374" s="1931">
        <v>0.37</v>
      </c>
      <c r="Y374" s="1915">
        <v>0.34</v>
      </c>
      <c r="Z374" s="1930"/>
      <c r="AA374" s="1893">
        <v>12</v>
      </c>
      <c r="AB374" s="1872">
        <v>13</v>
      </c>
      <c r="AC374" s="1931">
        <v>0.92</v>
      </c>
      <c r="AD374" s="1915">
        <v>1.39</v>
      </c>
      <c r="AF374" s="1893">
        <v>12</v>
      </c>
      <c r="AG374" s="1872">
        <v>13</v>
      </c>
      <c r="AH374" s="1931">
        <v>0.54</v>
      </c>
      <c r="AI374" s="1915">
        <v>1.28</v>
      </c>
      <c r="AK374" s="1955">
        <f t="shared" si="53"/>
        <v>0.72</v>
      </c>
      <c r="AL374" s="1926">
        <f t="shared" si="54"/>
        <v>0.37</v>
      </c>
      <c r="AM374" s="1926">
        <f t="shared" si="52"/>
        <v>0.92</v>
      </c>
      <c r="AN374" s="1956">
        <f t="shared" si="55"/>
        <v>0.54</v>
      </c>
      <c r="AO374" s="1902"/>
      <c r="AP374" s="1873"/>
      <c r="AQ374" s="1935"/>
      <c r="AR374" s="1912"/>
    </row>
    <row r="375" spans="1:44">
      <c r="A375" s="1930"/>
      <c r="B375" s="1893">
        <v>13</v>
      </c>
      <c r="C375" s="1872">
        <v>14</v>
      </c>
      <c r="D375" s="1931">
        <v>0.62</v>
      </c>
      <c r="E375" s="1915">
        <v>1.23</v>
      </c>
      <c r="F375" s="1930"/>
      <c r="G375" s="1893">
        <v>13</v>
      </c>
      <c r="H375" s="1872">
        <v>14</v>
      </c>
      <c r="I375" s="1931">
        <v>0.12</v>
      </c>
      <c r="J375" s="1915">
        <v>0.17</v>
      </c>
      <c r="K375" s="1930"/>
      <c r="L375" s="1893">
        <v>13</v>
      </c>
      <c r="M375" s="1872">
        <v>14</v>
      </c>
      <c r="N375" s="1931">
        <v>0.26</v>
      </c>
      <c r="O375" s="1915">
        <v>0.47</v>
      </c>
      <c r="P375" s="1930"/>
      <c r="Q375" s="1893"/>
      <c r="R375" s="1872"/>
      <c r="S375" s="1931"/>
      <c r="T375" s="1915"/>
      <c r="U375" s="1930"/>
      <c r="V375" s="1893">
        <v>13</v>
      </c>
      <c r="W375" s="1872">
        <v>14</v>
      </c>
      <c r="X375" s="1931">
        <v>0.38</v>
      </c>
      <c r="Y375" s="1915">
        <v>0.32</v>
      </c>
      <c r="Z375" s="1930"/>
      <c r="AA375" s="1893">
        <v>13</v>
      </c>
      <c r="AB375" s="1872">
        <v>14</v>
      </c>
      <c r="AC375" s="1931">
        <v>0.46</v>
      </c>
      <c r="AD375" s="1915">
        <v>0.7</v>
      </c>
      <c r="AF375" s="1893">
        <v>13</v>
      </c>
      <c r="AG375" s="1872">
        <v>14</v>
      </c>
      <c r="AH375" s="1931">
        <v>0.39</v>
      </c>
      <c r="AI375" s="1915">
        <v>0.91</v>
      </c>
      <c r="AK375" s="1955">
        <f t="shared" si="53"/>
        <v>0.26</v>
      </c>
      <c r="AL375" s="1926">
        <f t="shared" si="54"/>
        <v>0.38</v>
      </c>
      <c r="AM375" s="1926">
        <f t="shared" si="52"/>
        <v>0.46</v>
      </c>
      <c r="AN375" s="1956">
        <f t="shared" si="55"/>
        <v>0.39</v>
      </c>
      <c r="AO375" s="1902"/>
      <c r="AP375" s="1873"/>
      <c r="AQ375" s="1935"/>
      <c r="AR375" s="1912"/>
    </row>
    <row r="376" spans="1:44">
      <c r="A376" s="1930"/>
      <c r="B376" s="1893">
        <v>14</v>
      </c>
      <c r="C376" s="1872">
        <v>15</v>
      </c>
      <c r="D376" s="1931">
        <v>1.65</v>
      </c>
      <c r="E376" s="1915">
        <v>3.31</v>
      </c>
      <c r="F376" s="1930"/>
      <c r="G376" s="1893">
        <v>14</v>
      </c>
      <c r="H376" s="1872">
        <v>15</v>
      </c>
      <c r="I376" s="1931">
        <v>0.51</v>
      </c>
      <c r="J376" s="1915">
        <v>0.73</v>
      </c>
      <c r="K376" s="1930"/>
      <c r="L376" s="1893">
        <v>14</v>
      </c>
      <c r="M376" s="1872">
        <v>15</v>
      </c>
      <c r="N376" s="1931">
        <v>1.59</v>
      </c>
      <c r="O376" s="1915">
        <v>2.88</v>
      </c>
      <c r="P376" s="1930"/>
      <c r="Q376" s="1893"/>
      <c r="R376" s="1872"/>
      <c r="S376" s="1931"/>
      <c r="T376" s="1915"/>
      <c r="U376" s="1930"/>
      <c r="V376" s="1893">
        <v>14</v>
      </c>
      <c r="W376" s="1872">
        <v>15</v>
      </c>
      <c r="X376" s="1931">
        <v>0.32</v>
      </c>
      <c r="Y376" s="1915">
        <v>0.26</v>
      </c>
      <c r="Z376" s="1930"/>
      <c r="AA376" s="1893">
        <v>14</v>
      </c>
      <c r="AB376" s="1872">
        <v>15</v>
      </c>
      <c r="AC376" s="1931">
        <v>0.41</v>
      </c>
      <c r="AD376" s="1915">
        <v>0.63</v>
      </c>
      <c r="AF376" s="1893">
        <v>14</v>
      </c>
      <c r="AG376" s="1872">
        <v>15</v>
      </c>
      <c r="AH376" s="1931">
        <v>0.27</v>
      </c>
      <c r="AI376" s="1915">
        <v>0.64</v>
      </c>
      <c r="AK376" s="1955">
        <f t="shared" si="53"/>
        <v>1.59</v>
      </c>
      <c r="AL376" s="1926">
        <f t="shared" si="54"/>
        <v>0.32</v>
      </c>
      <c r="AM376" s="1926">
        <f t="shared" si="52"/>
        <v>0.41</v>
      </c>
      <c r="AN376" s="1956">
        <f t="shared" si="55"/>
        <v>0.27</v>
      </c>
      <c r="AO376" s="1902"/>
      <c r="AP376" s="1873"/>
      <c r="AQ376" s="1935"/>
      <c r="AR376" s="1912"/>
    </row>
    <row r="377" spans="1:44">
      <c r="A377" s="1930"/>
      <c r="B377" s="1893">
        <v>15</v>
      </c>
      <c r="C377" s="1872">
        <v>16</v>
      </c>
      <c r="D377" s="1931">
        <v>0.36</v>
      </c>
      <c r="E377" s="1915">
        <v>0.74</v>
      </c>
      <c r="F377" s="1930"/>
      <c r="G377" s="1893">
        <v>15</v>
      </c>
      <c r="H377" s="1872">
        <v>16</v>
      </c>
      <c r="I377" s="1931">
        <v>0.36</v>
      </c>
      <c r="J377" s="1915">
        <v>0.5</v>
      </c>
      <c r="K377" s="1930"/>
      <c r="L377" s="1893">
        <v>15</v>
      </c>
      <c r="M377" s="1872">
        <v>16</v>
      </c>
      <c r="N377" s="1931">
        <v>1.27</v>
      </c>
      <c r="O377" s="1915">
        <v>2.34</v>
      </c>
      <c r="P377" s="1930"/>
      <c r="Q377" s="1893"/>
      <c r="R377" s="1872"/>
      <c r="S377" s="1931"/>
      <c r="T377" s="1915"/>
      <c r="U377" s="1930"/>
      <c r="V377" s="1893">
        <v>15</v>
      </c>
      <c r="W377" s="1872">
        <v>16</v>
      </c>
      <c r="X377" s="1931">
        <v>0.3</v>
      </c>
      <c r="Y377" s="1915">
        <v>0.25</v>
      </c>
      <c r="Z377" s="1930"/>
      <c r="AA377" s="1893">
        <v>15</v>
      </c>
      <c r="AB377" s="1872">
        <v>16</v>
      </c>
      <c r="AC377" s="1931">
        <v>0.61</v>
      </c>
      <c r="AD377" s="1915">
        <v>0.94</v>
      </c>
      <c r="AF377" s="1893">
        <v>15</v>
      </c>
      <c r="AG377" s="1872">
        <v>16</v>
      </c>
      <c r="AH377" s="1931">
        <v>0.46</v>
      </c>
      <c r="AI377" s="1915">
        <v>1.1000000000000001</v>
      </c>
      <c r="AK377" s="1955">
        <f t="shared" si="53"/>
        <v>1.27</v>
      </c>
      <c r="AL377" s="1926">
        <f t="shared" si="54"/>
        <v>0.3</v>
      </c>
      <c r="AM377" s="1926">
        <f t="shared" si="52"/>
        <v>0.61</v>
      </c>
      <c r="AN377" s="1956">
        <f t="shared" si="55"/>
        <v>0.46</v>
      </c>
      <c r="AO377" s="1902"/>
      <c r="AP377" s="1873"/>
      <c r="AQ377" s="1935"/>
      <c r="AR377" s="1912"/>
    </row>
    <row r="378" spans="1:44">
      <c r="A378" s="1930"/>
      <c r="B378" s="1893">
        <v>16</v>
      </c>
      <c r="C378" s="1872">
        <v>17</v>
      </c>
      <c r="D378" s="1931">
        <v>0.35</v>
      </c>
      <c r="E378" s="1915">
        <v>0.79</v>
      </c>
      <c r="F378" s="1930"/>
      <c r="G378" s="1893">
        <v>16</v>
      </c>
      <c r="H378" s="1872">
        <v>17</v>
      </c>
      <c r="I378" s="1931">
        <v>0.36</v>
      </c>
      <c r="J378" s="1915">
        <v>0.56000000000000005</v>
      </c>
      <c r="K378" s="1930"/>
      <c r="L378" s="1893">
        <v>16</v>
      </c>
      <c r="M378" s="1872">
        <v>17</v>
      </c>
      <c r="N378" s="1931">
        <v>0.27</v>
      </c>
      <c r="O378" s="1915">
        <v>0.49</v>
      </c>
      <c r="P378" s="1930"/>
      <c r="Q378" s="1893"/>
      <c r="R378" s="1872"/>
      <c r="S378" s="1931"/>
      <c r="T378" s="1915"/>
      <c r="U378" s="1930"/>
      <c r="V378" s="1893">
        <v>16</v>
      </c>
      <c r="W378" s="1872">
        <v>17</v>
      </c>
      <c r="X378" s="1931">
        <v>0.31</v>
      </c>
      <c r="Y378" s="1915">
        <v>0.35</v>
      </c>
      <c r="Z378" s="1930"/>
      <c r="AA378" s="1893">
        <v>16</v>
      </c>
      <c r="AB378" s="1872">
        <v>17</v>
      </c>
      <c r="AC378" s="1931">
        <v>0.48</v>
      </c>
      <c r="AD378" s="1915">
        <v>0.76</v>
      </c>
      <c r="AF378" s="1893">
        <v>16</v>
      </c>
      <c r="AG378" s="1872">
        <v>17</v>
      </c>
      <c r="AH378" s="1931">
        <v>0.27</v>
      </c>
      <c r="AI378" s="1915">
        <v>0.65</v>
      </c>
      <c r="AK378" s="1955">
        <f t="shared" si="53"/>
        <v>0.27</v>
      </c>
      <c r="AL378" s="1926">
        <f t="shared" si="54"/>
        <v>0.31</v>
      </c>
      <c r="AM378" s="1926">
        <f t="shared" si="52"/>
        <v>0.48</v>
      </c>
      <c r="AN378" s="1956">
        <f t="shared" si="55"/>
        <v>0.27</v>
      </c>
      <c r="AO378" s="1902"/>
      <c r="AP378" s="1873"/>
      <c r="AQ378" s="1936"/>
      <c r="AR378" s="1937"/>
    </row>
    <row r="379" spans="1:44">
      <c r="A379" s="1930"/>
      <c r="B379" s="1894">
        <v>17</v>
      </c>
      <c r="C379" s="1895">
        <v>18</v>
      </c>
      <c r="D379" s="1932">
        <v>1.31</v>
      </c>
      <c r="E379" s="1916">
        <v>4.3</v>
      </c>
      <c r="F379" s="1930"/>
      <c r="G379" s="1894">
        <v>17</v>
      </c>
      <c r="H379" s="1895">
        <v>18</v>
      </c>
      <c r="I379" s="1932">
        <v>0.35</v>
      </c>
      <c r="J379" s="1916">
        <v>0.89</v>
      </c>
      <c r="K379" s="1930"/>
      <c r="L379" s="1894">
        <v>17</v>
      </c>
      <c r="M379" s="1895">
        <v>18</v>
      </c>
      <c r="N379" s="1932">
        <v>0.36</v>
      </c>
      <c r="O379" s="1916">
        <v>0.69</v>
      </c>
      <c r="P379" s="1930"/>
      <c r="Q379" s="1894"/>
      <c r="R379" s="1895"/>
      <c r="S379" s="1932"/>
      <c r="T379" s="1916"/>
      <c r="U379" s="1930"/>
      <c r="V379" s="1894">
        <v>17</v>
      </c>
      <c r="W379" s="1895">
        <v>18</v>
      </c>
      <c r="X379" s="1932">
        <v>0.45</v>
      </c>
      <c r="Y379" s="1916">
        <v>0.75</v>
      </c>
      <c r="Z379" s="1930"/>
      <c r="AA379" s="1894">
        <v>17</v>
      </c>
      <c r="AB379" s="1895">
        <v>18</v>
      </c>
      <c r="AC379" s="1932">
        <v>1.05</v>
      </c>
      <c r="AD379" s="1916">
        <v>1.82</v>
      </c>
      <c r="AF379" s="1894">
        <v>17</v>
      </c>
      <c r="AG379" s="1895">
        <v>18</v>
      </c>
      <c r="AH379" s="1932">
        <v>0.73</v>
      </c>
      <c r="AI379" s="1916">
        <v>1.89</v>
      </c>
      <c r="AK379" s="1957">
        <f t="shared" si="53"/>
        <v>0.36</v>
      </c>
      <c r="AL379" s="1958">
        <f t="shared" si="54"/>
        <v>0.45</v>
      </c>
      <c r="AM379" s="1958">
        <f t="shared" si="52"/>
        <v>1.05</v>
      </c>
      <c r="AN379" s="1959">
        <f t="shared" si="55"/>
        <v>0.73</v>
      </c>
      <c r="AO379" s="2766"/>
      <c r="AP379" s="2766"/>
      <c r="AQ379" s="1926"/>
      <c r="AR379" s="1913"/>
    </row>
    <row r="380" spans="1:44">
      <c r="A380" s="1934"/>
      <c r="B380" s="1910">
        <v>18</v>
      </c>
      <c r="C380" s="1889">
        <v>19</v>
      </c>
      <c r="D380" s="1933">
        <v>0.52</v>
      </c>
      <c r="E380" s="1911">
        <v>1.8</v>
      </c>
      <c r="F380" s="1934"/>
      <c r="G380" s="1910">
        <v>18</v>
      </c>
      <c r="H380" s="1889">
        <v>19</v>
      </c>
      <c r="I380" s="1933">
        <v>0.51</v>
      </c>
      <c r="J380" s="1911">
        <v>1.31</v>
      </c>
      <c r="K380" s="1934"/>
      <c r="L380" s="1910">
        <v>18</v>
      </c>
      <c r="M380" s="1889">
        <v>19</v>
      </c>
      <c r="N380" s="1933">
        <v>0.38</v>
      </c>
      <c r="O380" s="1911">
        <v>0.8</v>
      </c>
      <c r="P380" s="1934"/>
      <c r="Q380" s="1910"/>
      <c r="R380" s="1889"/>
      <c r="S380" s="1933"/>
      <c r="T380" s="1911"/>
      <c r="U380" s="1934"/>
      <c r="V380" s="1910">
        <v>18</v>
      </c>
      <c r="W380" s="1889">
        <v>19</v>
      </c>
      <c r="X380" s="1933">
        <v>0.59</v>
      </c>
      <c r="Y380" s="1911">
        <v>1.06</v>
      </c>
      <c r="Z380" s="1934"/>
      <c r="AA380" s="1910">
        <v>18</v>
      </c>
      <c r="AB380" s="1889">
        <v>19</v>
      </c>
      <c r="AC380" s="1933">
        <v>0.52</v>
      </c>
      <c r="AD380" s="1911">
        <v>0.98</v>
      </c>
      <c r="AF380" s="1910">
        <v>18</v>
      </c>
      <c r="AG380" s="1889">
        <v>19</v>
      </c>
      <c r="AH380" s="1933">
        <v>0.41</v>
      </c>
      <c r="AI380" s="1911">
        <v>1.1299999999999999</v>
      </c>
      <c r="AK380" s="1952">
        <f t="shared" si="53"/>
        <v>0.38</v>
      </c>
      <c r="AL380" s="1953">
        <f t="shared" si="54"/>
        <v>0.59</v>
      </c>
      <c r="AM380" s="1953">
        <f t="shared" si="52"/>
        <v>0.52</v>
      </c>
      <c r="AN380" s="1954">
        <f t="shared" si="55"/>
        <v>0.41</v>
      </c>
      <c r="AO380" s="1883"/>
      <c r="AP380" s="1871"/>
      <c r="AQ380" s="1926"/>
      <c r="AR380" s="1913"/>
    </row>
    <row r="381" spans="1:44">
      <c r="A381" s="1934"/>
      <c r="B381" s="1902">
        <v>19</v>
      </c>
      <c r="C381" s="1873">
        <v>20</v>
      </c>
      <c r="D381" s="1935">
        <v>0.36</v>
      </c>
      <c r="E381" s="1912">
        <v>1.22</v>
      </c>
      <c r="F381" s="1934"/>
      <c r="G381" s="1902">
        <v>19</v>
      </c>
      <c r="H381" s="1873">
        <v>20</v>
      </c>
      <c r="I381" s="1935">
        <v>0.32</v>
      </c>
      <c r="J381" s="1912">
        <v>0.82</v>
      </c>
      <c r="K381" s="1934"/>
      <c r="L381" s="1902">
        <v>19</v>
      </c>
      <c r="M381" s="1873">
        <v>20</v>
      </c>
      <c r="N381" s="1935">
        <v>0.4</v>
      </c>
      <c r="O381" s="1912">
        <v>0.89</v>
      </c>
      <c r="P381" s="1934"/>
      <c r="Q381" s="1902"/>
      <c r="R381" s="1873"/>
      <c r="S381" s="1935"/>
      <c r="T381" s="1912"/>
      <c r="U381" s="1934"/>
      <c r="V381" s="1902">
        <v>19</v>
      </c>
      <c r="W381" s="1873">
        <v>20</v>
      </c>
      <c r="X381" s="1935">
        <v>0.48</v>
      </c>
      <c r="Y381" s="1912">
        <v>0.91</v>
      </c>
      <c r="Z381" s="1934"/>
      <c r="AA381" s="1902">
        <v>19</v>
      </c>
      <c r="AB381" s="1873">
        <v>20</v>
      </c>
      <c r="AC381" s="1935">
        <v>0.39</v>
      </c>
      <c r="AD381" s="1912">
        <v>0.83</v>
      </c>
      <c r="AF381" s="1902">
        <v>19</v>
      </c>
      <c r="AG381" s="1873">
        <v>20</v>
      </c>
      <c r="AH381" s="1935">
        <v>0.35</v>
      </c>
      <c r="AI381" s="1912">
        <v>1.04</v>
      </c>
      <c r="AK381" s="1955">
        <f t="shared" si="53"/>
        <v>0.4</v>
      </c>
      <c r="AL381" s="1926">
        <f t="shared" si="54"/>
        <v>0.48</v>
      </c>
      <c r="AM381" s="1926">
        <f t="shared" si="52"/>
        <v>0.39</v>
      </c>
      <c r="AN381" s="1956">
        <f t="shared" si="55"/>
        <v>0.35</v>
      </c>
      <c r="AO381" s="1883"/>
      <c r="AP381" s="1871"/>
      <c r="AQ381" s="1926"/>
      <c r="AR381" s="1913"/>
    </row>
    <row r="382" spans="1:44">
      <c r="A382" s="1934"/>
      <c r="B382" s="1902">
        <v>20</v>
      </c>
      <c r="C382" s="1873">
        <v>21</v>
      </c>
      <c r="D382" s="1935">
        <v>0.31</v>
      </c>
      <c r="E382" s="1912">
        <v>0.76</v>
      </c>
      <c r="F382" s="1934"/>
      <c r="G382" s="1902">
        <v>20</v>
      </c>
      <c r="H382" s="1873">
        <v>21</v>
      </c>
      <c r="I382" s="1935">
        <v>0.24</v>
      </c>
      <c r="J382" s="1912">
        <v>0.42</v>
      </c>
      <c r="K382" s="1934"/>
      <c r="L382" s="1902">
        <v>20</v>
      </c>
      <c r="M382" s="1873">
        <v>21</v>
      </c>
      <c r="N382" s="1935">
        <v>0.4</v>
      </c>
      <c r="O382" s="1912">
        <v>0.9</v>
      </c>
      <c r="P382" s="1934"/>
      <c r="Q382" s="1902"/>
      <c r="R382" s="1873"/>
      <c r="S382" s="1935"/>
      <c r="T382" s="1912"/>
      <c r="U382" s="1934"/>
      <c r="V382" s="1902">
        <v>20</v>
      </c>
      <c r="W382" s="1873">
        <v>21</v>
      </c>
      <c r="X382" s="1935">
        <v>0.39</v>
      </c>
      <c r="Y382" s="1912">
        <v>0.78</v>
      </c>
      <c r="Z382" s="1934"/>
      <c r="AA382" s="1902">
        <v>20</v>
      </c>
      <c r="AB382" s="1873">
        <v>21</v>
      </c>
      <c r="AC382" s="1935">
        <v>0.45</v>
      </c>
      <c r="AD382" s="1912">
        <v>1</v>
      </c>
      <c r="AF382" s="1902">
        <v>20</v>
      </c>
      <c r="AG382" s="1873">
        <v>21</v>
      </c>
      <c r="AH382" s="1935">
        <v>0.45</v>
      </c>
      <c r="AI382" s="1912">
        <v>1.34</v>
      </c>
      <c r="AK382" s="1955">
        <f t="shared" si="53"/>
        <v>0.4</v>
      </c>
      <c r="AL382" s="1926">
        <f t="shared" si="54"/>
        <v>0.39</v>
      </c>
      <c r="AM382" s="1926">
        <f t="shared" si="52"/>
        <v>0.45</v>
      </c>
      <c r="AN382" s="1956">
        <f t="shared" si="55"/>
        <v>0.45</v>
      </c>
      <c r="AO382" s="1883"/>
      <c r="AP382" s="1871"/>
      <c r="AQ382" s="1926"/>
      <c r="AR382" s="1913"/>
    </row>
    <row r="383" spans="1:44">
      <c r="A383" s="1934"/>
      <c r="B383" s="1902">
        <v>21</v>
      </c>
      <c r="C383" s="1873">
        <v>22</v>
      </c>
      <c r="D383" s="1935">
        <v>0.31</v>
      </c>
      <c r="E383" s="1912">
        <v>0.72</v>
      </c>
      <c r="F383" s="1934"/>
      <c r="G383" s="1902">
        <v>21</v>
      </c>
      <c r="H383" s="1873">
        <v>22</v>
      </c>
      <c r="I383" s="1935">
        <v>0.21</v>
      </c>
      <c r="J383" s="1912">
        <v>0.37</v>
      </c>
      <c r="K383" s="1934"/>
      <c r="L383" s="1902">
        <v>21</v>
      </c>
      <c r="M383" s="1873">
        <v>22</v>
      </c>
      <c r="N383" s="1935">
        <v>0.32</v>
      </c>
      <c r="O383" s="1912">
        <v>0.71</v>
      </c>
      <c r="P383" s="1934"/>
      <c r="Q383" s="1902"/>
      <c r="R383" s="1873"/>
      <c r="S383" s="1935"/>
      <c r="T383" s="1912"/>
      <c r="U383" s="1934"/>
      <c r="V383" s="1902">
        <v>21</v>
      </c>
      <c r="W383" s="1873">
        <v>22</v>
      </c>
      <c r="X383" s="1935">
        <v>0.28999999999999998</v>
      </c>
      <c r="Y383" s="1912">
        <v>0.57999999999999996</v>
      </c>
      <c r="Z383" s="1934"/>
      <c r="AA383" s="1902">
        <v>21</v>
      </c>
      <c r="AB383" s="1873">
        <v>22</v>
      </c>
      <c r="AC383" s="1935">
        <v>0.62</v>
      </c>
      <c r="AD383" s="1912">
        <v>1.31</v>
      </c>
      <c r="AF383" s="1902">
        <v>21</v>
      </c>
      <c r="AG383" s="1873">
        <v>22</v>
      </c>
      <c r="AH383" s="1935">
        <v>0.26</v>
      </c>
      <c r="AI383" s="1912">
        <v>0.74</v>
      </c>
      <c r="AK383" s="1955">
        <f t="shared" si="53"/>
        <v>0.32</v>
      </c>
      <c r="AL383" s="1926">
        <f t="shared" si="54"/>
        <v>0.28999999999999998</v>
      </c>
      <c r="AM383" s="1926">
        <f t="shared" si="52"/>
        <v>0.62</v>
      </c>
      <c r="AN383" s="1956">
        <f t="shared" si="55"/>
        <v>0.26</v>
      </c>
      <c r="AO383" s="1883"/>
      <c r="AP383" s="1871"/>
      <c r="AQ383" s="1926"/>
      <c r="AR383" s="1913"/>
    </row>
    <row r="384" spans="1:44">
      <c r="A384" s="1934"/>
      <c r="B384" s="1902">
        <v>22</v>
      </c>
      <c r="C384" s="1873">
        <v>23</v>
      </c>
      <c r="D384" s="1935">
        <v>0.15</v>
      </c>
      <c r="E384" s="1912">
        <v>0.33</v>
      </c>
      <c r="F384" s="1934"/>
      <c r="G384" s="1902">
        <v>22</v>
      </c>
      <c r="H384" s="1873">
        <v>23</v>
      </c>
      <c r="I384" s="1935">
        <v>0.21</v>
      </c>
      <c r="J384" s="1912">
        <v>0.37</v>
      </c>
      <c r="K384" s="1934"/>
      <c r="L384" s="1902">
        <v>22</v>
      </c>
      <c r="M384" s="1873">
        <v>23</v>
      </c>
      <c r="N384" s="1935">
        <v>0.34</v>
      </c>
      <c r="O384" s="1912">
        <v>0.7</v>
      </c>
      <c r="P384" s="1934"/>
      <c r="Q384" s="1902"/>
      <c r="R384" s="1873"/>
      <c r="S384" s="1935"/>
      <c r="T384" s="1912"/>
      <c r="U384" s="1934"/>
      <c r="V384" s="1902">
        <v>22</v>
      </c>
      <c r="W384" s="1873">
        <v>23</v>
      </c>
      <c r="X384" s="1935">
        <v>0.19</v>
      </c>
      <c r="Y384" s="1912">
        <v>0.37</v>
      </c>
      <c r="Z384" s="1934"/>
      <c r="AA384" s="1902">
        <v>22</v>
      </c>
      <c r="AB384" s="1873">
        <v>23</v>
      </c>
      <c r="AC384" s="1935">
        <v>0.43</v>
      </c>
      <c r="AD384" s="1912">
        <v>0.83</v>
      </c>
      <c r="AF384" s="1902">
        <v>22</v>
      </c>
      <c r="AG384" s="1873">
        <v>23</v>
      </c>
      <c r="AH384" s="1935">
        <v>0.27</v>
      </c>
      <c r="AI384" s="1912">
        <v>0.69</v>
      </c>
      <c r="AK384" s="1955">
        <f t="shared" si="53"/>
        <v>0.34</v>
      </c>
      <c r="AL384" s="1926">
        <f t="shared" si="54"/>
        <v>0.19</v>
      </c>
      <c r="AM384" s="1926">
        <f t="shared" si="52"/>
        <v>0.43</v>
      </c>
      <c r="AN384" s="1956">
        <f t="shared" si="55"/>
        <v>0.27</v>
      </c>
      <c r="AO384" s="1883"/>
      <c r="AP384" s="1871"/>
      <c r="AQ384" s="1926"/>
      <c r="AR384" s="1913"/>
    </row>
    <row r="385" spans="1:44" ht="15" thickBot="1">
      <c r="A385" s="1934"/>
      <c r="B385" s="1902">
        <v>23</v>
      </c>
      <c r="C385" s="1873">
        <v>24</v>
      </c>
      <c r="D385" s="1935">
        <v>0.12</v>
      </c>
      <c r="E385" s="1912">
        <v>0.26</v>
      </c>
      <c r="F385" s="1934"/>
      <c r="G385" s="1902">
        <v>23</v>
      </c>
      <c r="H385" s="1873">
        <v>24</v>
      </c>
      <c r="I385" s="1935">
        <v>0.11</v>
      </c>
      <c r="J385" s="1912">
        <v>0.19</v>
      </c>
      <c r="K385" s="1934"/>
      <c r="L385" s="1902">
        <v>23</v>
      </c>
      <c r="M385" s="1873">
        <v>24</v>
      </c>
      <c r="N385" s="1935">
        <v>0.25</v>
      </c>
      <c r="O385" s="1912">
        <v>0.49</v>
      </c>
      <c r="P385" s="1934"/>
      <c r="Q385" s="1902"/>
      <c r="R385" s="1873"/>
      <c r="S385" s="1935"/>
      <c r="T385" s="1912"/>
      <c r="U385" s="1934"/>
      <c r="V385" s="1902">
        <v>23</v>
      </c>
      <c r="W385" s="1873">
        <v>24</v>
      </c>
      <c r="X385" s="1935">
        <v>0.2</v>
      </c>
      <c r="Y385" s="1912">
        <v>0.36</v>
      </c>
      <c r="Z385" s="1934"/>
      <c r="AA385" s="1902">
        <v>23</v>
      </c>
      <c r="AB385" s="1873">
        <v>24</v>
      </c>
      <c r="AC385" s="1935">
        <v>0.26</v>
      </c>
      <c r="AD385" s="1912">
        <v>0.48</v>
      </c>
      <c r="AF385" s="1902">
        <v>23</v>
      </c>
      <c r="AG385" s="1873">
        <v>24</v>
      </c>
      <c r="AH385" s="1935">
        <v>0.16</v>
      </c>
      <c r="AI385" s="1912">
        <v>0.39</v>
      </c>
      <c r="AK385" s="1957">
        <f t="shared" si="53"/>
        <v>0.25</v>
      </c>
      <c r="AL385" s="1958">
        <f t="shared" si="54"/>
        <v>0.2</v>
      </c>
      <c r="AM385" s="1958">
        <f t="shared" si="52"/>
        <v>0.26</v>
      </c>
      <c r="AN385" s="1959">
        <f t="shared" si="55"/>
        <v>0.16</v>
      </c>
      <c r="AO385" s="1883"/>
      <c r="AP385" s="1871"/>
      <c r="AQ385" s="1926"/>
      <c r="AR385" s="1913"/>
    </row>
    <row r="386" spans="1:44">
      <c r="B386" s="2766">
        <v>44972</v>
      </c>
      <c r="C386" s="2766"/>
      <c r="D386" s="1922">
        <f>SUM(D387:D410)</f>
        <v>9.17</v>
      </c>
      <c r="E386" s="1923">
        <f>SUM(E387:E410)</f>
        <v>21.97</v>
      </c>
      <c r="G386" s="2773">
        <v>45000</v>
      </c>
      <c r="H386" s="2773"/>
      <c r="I386" s="1922">
        <f>SUM(I387:I410)</f>
        <v>5.9399999999999986</v>
      </c>
      <c r="J386" s="1923">
        <f>SUM(J387:J410)</f>
        <v>11.74</v>
      </c>
      <c r="L386" s="2773">
        <v>45031</v>
      </c>
      <c r="M386" s="2773"/>
      <c r="N386" s="1936">
        <f>SUM(N387:N410)</f>
        <v>7.73</v>
      </c>
      <c r="O386" s="1937">
        <f>SUM(O387:O410)</f>
        <v>13.83</v>
      </c>
      <c r="Q386" s="2766">
        <v>45061</v>
      </c>
      <c r="R386" s="2766"/>
      <c r="S386" s="1936"/>
      <c r="T386" s="1937"/>
      <c r="V386" s="2766">
        <v>45061</v>
      </c>
      <c r="W386" s="2766"/>
      <c r="X386" s="1936">
        <f>SUM(X387:X410)</f>
        <v>7.839999999999999</v>
      </c>
      <c r="Y386" s="1937">
        <f>SUM(Y387:Y410)</f>
        <v>14.7</v>
      </c>
      <c r="AA386" s="2766">
        <v>45092</v>
      </c>
      <c r="AB386" s="2766"/>
      <c r="AC386" s="1936">
        <f>SUM(AC387:AC410)</f>
        <v>8.6700000000000017</v>
      </c>
      <c r="AD386" s="1937">
        <f>SUM(AD387:AD410)</f>
        <v>16.990000000000002</v>
      </c>
      <c r="AF386" s="2766">
        <v>45122</v>
      </c>
      <c r="AG386" s="2766"/>
      <c r="AH386" s="1936">
        <f>SUM(AH387:AH410)</f>
        <v>7.47</v>
      </c>
      <c r="AI386" s="1937">
        <f>SUM(AI387:AI410)</f>
        <v>14.529999999999996</v>
      </c>
      <c r="AO386" s="1883"/>
      <c r="AP386" s="1871"/>
      <c r="AQ386" s="1928"/>
      <c r="AR386" s="1917"/>
    </row>
    <row r="387" spans="1:44">
      <c r="A387" s="1927"/>
      <c r="B387" s="1883">
        <v>0</v>
      </c>
      <c r="C387" s="1871">
        <v>1</v>
      </c>
      <c r="D387" s="1926">
        <v>0.13</v>
      </c>
      <c r="E387" s="1913">
        <v>0.27</v>
      </c>
      <c r="F387" s="1927"/>
      <c r="G387" s="1883">
        <v>0</v>
      </c>
      <c r="H387" s="1871">
        <v>1</v>
      </c>
      <c r="I387" s="1926">
        <v>0.12</v>
      </c>
      <c r="J387" s="1913">
        <v>0.22</v>
      </c>
      <c r="K387" s="1927"/>
      <c r="L387" s="1883">
        <v>0</v>
      </c>
      <c r="M387" s="1871">
        <v>1</v>
      </c>
      <c r="N387" s="1926">
        <v>0.19</v>
      </c>
      <c r="O387" s="1913">
        <v>0.38</v>
      </c>
      <c r="P387" s="1927"/>
      <c r="Q387" s="1883"/>
      <c r="R387" s="1871"/>
      <c r="S387" s="1926"/>
      <c r="T387" s="1913"/>
      <c r="U387" s="1927"/>
      <c r="V387" s="1883">
        <v>0</v>
      </c>
      <c r="W387" s="1871">
        <v>1</v>
      </c>
      <c r="X387" s="1926">
        <v>0.18</v>
      </c>
      <c r="Y387" s="1913">
        <v>0.35</v>
      </c>
      <c r="Z387" s="1927"/>
      <c r="AA387" s="1883">
        <v>0</v>
      </c>
      <c r="AB387" s="1871">
        <v>1</v>
      </c>
      <c r="AC387" s="1926">
        <v>0.16</v>
      </c>
      <c r="AD387" s="1913">
        <v>0.28999999999999998</v>
      </c>
      <c r="AF387" s="1883">
        <v>0</v>
      </c>
      <c r="AG387" s="1871">
        <v>1</v>
      </c>
      <c r="AH387" s="1926">
        <v>0.18</v>
      </c>
      <c r="AI387" s="1913">
        <v>0.42</v>
      </c>
      <c r="AK387" s="1952">
        <f>N387</f>
        <v>0.19</v>
      </c>
      <c r="AL387" s="1953">
        <f>X387</f>
        <v>0.18</v>
      </c>
      <c r="AM387" s="1953">
        <f t="shared" ref="AM387:AM410" si="56">AC387</f>
        <v>0.16</v>
      </c>
      <c r="AN387" s="1954">
        <f>AH387</f>
        <v>0.18</v>
      </c>
      <c r="AO387" s="1908"/>
      <c r="AP387" s="1909"/>
      <c r="AQ387" s="1929"/>
      <c r="AR387" s="1914"/>
    </row>
    <row r="388" spans="1:44">
      <c r="A388" s="1927"/>
      <c r="B388" s="1883">
        <v>1</v>
      </c>
      <c r="C388" s="1871">
        <v>2</v>
      </c>
      <c r="D388" s="1926">
        <v>0.1</v>
      </c>
      <c r="E388" s="1913">
        <v>0.2</v>
      </c>
      <c r="F388" s="1927"/>
      <c r="G388" s="1883">
        <v>1</v>
      </c>
      <c r="H388" s="1871">
        <v>2</v>
      </c>
      <c r="I388" s="1926">
        <v>0.13</v>
      </c>
      <c r="J388" s="1913">
        <v>0.23</v>
      </c>
      <c r="K388" s="1927"/>
      <c r="L388" s="1883">
        <v>1</v>
      </c>
      <c r="M388" s="1871">
        <v>2</v>
      </c>
      <c r="N388" s="1926">
        <v>0.15</v>
      </c>
      <c r="O388" s="1913">
        <v>0.28000000000000003</v>
      </c>
      <c r="P388" s="1927"/>
      <c r="Q388" s="1883"/>
      <c r="R388" s="1871"/>
      <c r="S388" s="1926"/>
      <c r="T388" s="1913"/>
      <c r="U388" s="1927"/>
      <c r="V388" s="1883">
        <v>1</v>
      </c>
      <c r="W388" s="1871">
        <v>2</v>
      </c>
      <c r="X388" s="1926">
        <v>0.23</v>
      </c>
      <c r="Y388" s="1913">
        <v>0.42</v>
      </c>
      <c r="Z388" s="1927"/>
      <c r="AA388" s="1883">
        <v>1</v>
      </c>
      <c r="AB388" s="1871">
        <v>2</v>
      </c>
      <c r="AC388" s="1926">
        <v>0.21</v>
      </c>
      <c r="AD388" s="1913">
        <v>0.37</v>
      </c>
      <c r="AF388" s="1883">
        <v>1</v>
      </c>
      <c r="AG388" s="1871">
        <v>2</v>
      </c>
      <c r="AH388" s="1926">
        <v>0.15</v>
      </c>
      <c r="AI388" s="1913">
        <v>0.32</v>
      </c>
      <c r="AK388" s="1955">
        <f t="shared" ref="AK388:AK410" si="57">N388</f>
        <v>0.15</v>
      </c>
      <c r="AL388" s="1926">
        <f t="shared" ref="AL388:AL410" si="58">X388</f>
        <v>0.23</v>
      </c>
      <c r="AM388" s="1926">
        <f t="shared" si="56"/>
        <v>0.21</v>
      </c>
      <c r="AN388" s="1956">
        <f t="shared" ref="AN388:AN410" si="59">AH388</f>
        <v>0.15</v>
      </c>
      <c r="AO388" s="1890"/>
      <c r="AP388" s="1891"/>
      <c r="AQ388" s="1931"/>
      <c r="AR388" s="1915"/>
    </row>
    <row r="389" spans="1:44">
      <c r="A389" s="1927"/>
      <c r="B389" s="1883">
        <v>2</v>
      </c>
      <c r="C389" s="1871">
        <v>3</v>
      </c>
      <c r="D389" s="1926">
        <v>0.11</v>
      </c>
      <c r="E389" s="1913">
        <v>0.22</v>
      </c>
      <c r="F389" s="1927"/>
      <c r="G389" s="1883">
        <v>2</v>
      </c>
      <c r="H389" s="1871">
        <v>3</v>
      </c>
      <c r="I389" s="1926">
        <v>0.13</v>
      </c>
      <c r="J389" s="1913">
        <v>0.23</v>
      </c>
      <c r="K389" s="1927"/>
      <c r="L389" s="1883">
        <v>2</v>
      </c>
      <c r="M389" s="1871">
        <v>3</v>
      </c>
      <c r="N389" s="1926">
        <v>0.14000000000000001</v>
      </c>
      <c r="O389" s="1913">
        <v>0.26</v>
      </c>
      <c r="P389" s="1927"/>
      <c r="Q389" s="1883"/>
      <c r="R389" s="1871"/>
      <c r="S389" s="1926"/>
      <c r="T389" s="1913"/>
      <c r="U389" s="1927"/>
      <c r="V389" s="1883">
        <v>2</v>
      </c>
      <c r="W389" s="1871">
        <v>3</v>
      </c>
      <c r="X389" s="1926">
        <v>0.11</v>
      </c>
      <c r="Y389" s="1913">
        <v>0.2</v>
      </c>
      <c r="Z389" s="1927"/>
      <c r="AA389" s="1883">
        <v>2</v>
      </c>
      <c r="AB389" s="1871">
        <v>3</v>
      </c>
      <c r="AC389" s="1926">
        <v>0.16</v>
      </c>
      <c r="AD389" s="1913">
        <v>0.28000000000000003</v>
      </c>
      <c r="AF389" s="1883">
        <v>2</v>
      </c>
      <c r="AG389" s="1871">
        <v>3</v>
      </c>
      <c r="AH389" s="1926">
        <v>0.19</v>
      </c>
      <c r="AI389" s="1913">
        <v>0.37</v>
      </c>
      <c r="AK389" s="1955">
        <f t="shared" si="57"/>
        <v>0.14000000000000001</v>
      </c>
      <c r="AL389" s="1926">
        <f t="shared" si="58"/>
        <v>0.11</v>
      </c>
      <c r="AM389" s="1926">
        <f t="shared" si="56"/>
        <v>0.16</v>
      </c>
      <c r="AN389" s="1956">
        <f t="shared" si="59"/>
        <v>0.19</v>
      </c>
      <c r="AO389" s="1893"/>
      <c r="AP389" s="1872"/>
      <c r="AQ389" s="1931"/>
      <c r="AR389" s="1915"/>
    </row>
    <row r="390" spans="1:44">
      <c r="A390" s="1927"/>
      <c r="B390" s="1883">
        <v>3</v>
      </c>
      <c r="C390" s="1871">
        <v>4</v>
      </c>
      <c r="D390" s="1926">
        <v>0.14000000000000001</v>
      </c>
      <c r="E390" s="1913">
        <v>0.28000000000000003</v>
      </c>
      <c r="F390" s="1927"/>
      <c r="G390" s="1883">
        <v>3</v>
      </c>
      <c r="H390" s="1871">
        <v>4</v>
      </c>
      <c r="I390" s="1926">
        <v>0.22</v>
      </c>
      <c r="J390" s="1913">
        <v>0.39</v>
      </c>
      <c r="K390" s="1927"/>
      <c r="L390" s="1883">
        <v>3</v>
      </c>
      <c r="M390" s="1871">
        <v>4</v>
      </c>
      <c r="N390" s="1926">
        <v>0.16</v>
      </c>
      <c r="O390" s="1913">
        <v>0.28999999999999998</v>
      </c>
      <c r="P390" s="1927"/>
      <c r="Q390" s="1883"/>
      <c r="R390" s="1871"/>
      <c r="S390" s="1926"/>
      <c r="T390" s="1913"/>
      <c r="U390" s="1927"/>
      <c r="V390" s="1883">
        <v>3</v>
      </c>
      <c r="W390" s="1871">
        <v>4</v>
      </c>
      <c r="X390" s="1926">
        <v>0.23</v>
      </c>
      <c r="Y390" s="1913">
        <v>0.42</v>
      </c>
      <c r="Z390" s="1927"/>
      <c r="AA390" s="1883">
        <v>3</v>
      </c>
      <c r="AB390" s="1871">
        <v>4</v>
      </c>
      <c r="AC390" s="1926">
        <v>0.22</v>
      </c>
      <c r="AD390" s="1913">
        <v>0.39</v>
      </c>
      <c r="AF390" s="1883">
        <v>3</v>
      </c>
      <c r="AG390" s="1871">
        <v>4</v>
      </c>
      <c r="AH390" s="1926">
        <v>0.17</v>
      </c>
      <c r="AI390" s="1913">
        <v>0.32</v>
      </c>
      <c r="AK390" s="1955">
        <f t="shared" si="57"/>
        <v>0.16</v>
      </c>
      <c r="AL390" s="1926">
        <f t="shared" si="58"/>
        <v>0.23</v>
      </c>
      <c r="AM390" s="1926">
        <f t="shared" si="56"/>
        <v>0.22</v>
      </c>
      <c r="AN390" s="1956">
        <f t="shared" si="59"/>
        <v>0.17</v>
      </c>
      <c r="AO390" s="1893"/>
      <c r="AP390" s="1872"/>
      <c r="AQ390" s="1931"/>
      <c r="AR390" s="1915"/>
    </row>
    <row r="391" spans="1:44">
      <c r="A391" s="1927"/>
      <c r="B391" s="1883">
        <v>4</v>
      </c>
      <c r="C391" s="1871">
        <v>5</v>
      </c>
      <c r="D391" s="1926">
        <v>0.1</v>
      </c>
      <c r="E391" s="1913">
        <v>0.2</v>
      </c>
      <c r="F391" s="1927"/>
      <c r="G391" s="1883">
        <v>4</v>
      </c>
      <c r="H391" s="1871">
        <v>5</v>
      </c>
      <c r="I391" s="1926">
        <v>0.26</v>
      </c>
      <c r="J391" s="1913">
        <v>0.47</v>
      </c>
      <c r="K391" s="1927"/>
      <c r="L391" s="1883">
        <v>4</v>
      </c>
      <c r="M391" s="1871">
        <v>5</v>
      </c>
      <c r="N391" s="1926">
        <v>0.18</v>
      </c>
      <c r="O391" s="1913">
        <v>0.32</v>
      </c>
      <c r="P391" s="1927"/>
      <c r="Q391" s="1883"/>
      <c r="R391" s="1871"/>
      <c r="S391" s="1926"/>
      <c r="T391" s="1913"/>
      <c r="U391" s="1927"/>
      <c r="V391" s="1883">
        <v>4</v>
      </c>
      <c r="W391" s="1871">
        <v>5</v>
      </c>
      <c r="X391" s="1926">
        <v>0.19</v>
      </c>
      <c r="Y391" s="1913">
        <v>0.35</v>
      </c>
      <c r="Z391" s="1927"/>
      <c r="AA391" s="1883">
        <v>4</v>
      </c>
      <c r="AB391" s="1871">
        <v>5</v>
      </c>
      <c r="AC391" s="1926">
        <v>0.14000000000000001</v>
      </c>
      <c r="AD391" s="1913">
        <v>0.25</v>
      </c>
      <c r="AF391" s="1883">
        <v>4</v>
      </c>
      <c r="AG391" s="1871">
        <v>5</v>
      </c>
      <c r="AH391" s="1926">
        <v>0.17</v>
      </c>
      <c r="AI391" s="1913">
        <v>0.31</v>
      </c>
      <c r="AK391" s="1955">
        <f t="shared" si="57"/>
        <v>0.18</v>
      </c>
      <c r="AL391" s="1926">
        <f t="shared" si="58"/>
        <v>0.19</v>
      </c>
      <c r="AM391" s="1926">
        <f t="shared" si="56"/>
        <v>0.14000000000000001</v>
      </c>
      <c r="AN391" s="1956">
        <f t="shared" si="59"/>
        <v>0.17</v>
      </c>
      <c r="AO391" s="1893"/>
      <c r="AP391" s="1872"/>
      <c r="AQ391" s="1931"/>
      <c r="AR391" s="1915"/>
    </row>
    <row r="392" spans="1:44">
      <c r="A392" s="1927"/>
      <c r="B392" s="1883">
        <v>5</v>
      </c>
      <c r="C392" s="1871">
        <v>6</v>
      </c>
      <c r="D392" s="1926">
        <v>0.09</v>
      </c>
      <c r="E392" s="1913">
        <v>0.19</v>
      </c>
      <c r="F392" s="1927"/>
      <c r="G392" s="1883">
        <v>5</v>
      </c>
      <c r="H392" s="1871">
        <v>6</v>
      </c>
      <c r="I392" s="1926">
        <v>0.27</v>
      </c>
      <c r="J392" s="1913">
        <v>0.49</v>
      </c>
      <c r="K392" s="1927"/>
      <c r="L392" s="1883">
        <v>5</v>
      </c>
      <c r="M392" s="1871">
        <v>6</v>
      </c>
      <c r="N392" s="1926">
        <v>0.16</v>
      </c>
      <c r="O392" s="1913">
        <v>0.28999999999999998</v>
      </c>
      <c r="P392" s="1927"/>
      <c r="Q392" s="1883"/>
      <c r="R392" s="1871"/>
      <c r="S392" s="1926"/>
      <c r="T392" s="1913"/>
      <c r="U392" s="1927"/>
      <c r="V392" s="1883">
        <v>5</v>
      </c>
      <c r="W392" s="1871">
        <v>6</v>
      </c>
      <c r="X392" s="1926">
        <v>0.18</v>
      </c>
      <c r="Y392" s="1913">
        <v>0.36</v>
      </c>
      <c r="Z392" s="1927"/>
      <c r="AA392" s="1883">
        <v>5</v>
      </c>
      <c r="AB392" s="1871">
        <v>6</v>
      </c>
      <c r="AC392" s="1926">
        <v>0.21</v>
      </c>
      <c r="AD392" s="1913">
        <v>0.39</v>
      </c>
      <c r="AF392" s="1883">
        <v>5</v>
      </c>
      <c r="AG392" s="1871">
        <v>6</v>
      </c>
      <c r="AH392" s="1926">
        <v>0.13</v>
      </c>
      <c r="AI392" s="1913">
        <v>0.23</v>
      </c>
      <c r="AK392" s="1955">
        <f t="shared" si="57"/>
        <v>0.16</v>
      </c>
      <c r="AL392" s="1926">
        <f t="shared" si="58"/>
        <v>0.18</v>
      </c>
      <c r="AM392" s="1926">
        <f t="shared" si="56"/>
        <v>0.21</v>
      </c>
      <c r="AN392" s="1956">
        <f t="shared" si="59"/>
        <v>0.13</v>
      </c>
      <c r="AO392" s="1893"/>
      <c r="AP392" s="1872"/>
      <c r="AQ392" s="1931"/>
      <c r="AR392" s="1915"/>
    </row>
    <row r="393" spans="1:44">
      <c r="A393" s="1927"/>
      <c r="B393" s="1883">
        <v>6</v>
      </c>
      <c r="C393" s="1871">
        <v>7</v>
      </c>
      <c r="D393" s="1926">
        <v>0.13</v>
      </c>
      <c r="E393" s="1913">
        <v>0.3</v>
      </c>
      <c r="F393" s="1927"/>
      <c r="G393" s="1883">
        <v>6</v>
      </c>
      <c r="H393" s="1871">
        <v>7</v>
      </c>
      <c r="I393" s="1926">
        <v>0.21</v>
      </c>
      <c r="J393" s="1913">
        <v>0.4</v>
      </c>
      <c r="K393" s="1927"/>
      <c r="L393" s="1883">
        <v>6</v>
      </c>
      <c r="M393" s="1871">
        <v>7</v>
      </c>
      <c r="N393" s="1926">
        <v>0.19</v>
      </c>
      <c r="O393" s="1913">
        <v>0.34</v>
      </c>
      <c r="P393" s="1927"/>
      <c r="Q393" s="1883"/>
      <c r="R393" s="1871"/>
      <c r="S393" s="1926"/>
      <c r="T393" s="1913"/>
      <c r="U393" s="1927"/>
      <c r="V393" s="1883">
        <v>6</v>
      </c>
      <c r="W393" s="1871">
        <v>7</v>
      </c>
      <c r="X393" s="1926">
        <v>0.15</v>
      </c>
      <c r="Y393" s="1913">
        <v>0.33</v>
      </c>
      <c r="Z393" s="1927"/>
      <c r="AA393" s="1883">
        <v>6</v>
      </c>
      <c r="AB393" s="1871">
        <v>7</v>
      </c>
      <c r="AC393" s="1926">
        <v>0.21</v>
      </c>
      <c r="AD393" s="1913">
        <v>0.49</v>
      </c>
      <c r="AF393" s="1883">
        <v>6</v>
      </c>
      <c r="AG393" s="1871">
        <v>7</v>
      </c>
      <c r="AH393" s="1926">
        <v>0.18</v>
      </c>
      <c r="AI393" s="1913">
        <v>0.34</v>
      </c>
      <c r="AK393" s="1955">
        <f t="shared" si="57"/>
        <v>0.19</v>
      </c>
      <c r="AL393" s="1926">
        <f t="shared" si="58"/>
        <v>0.15</v>
      </c>
      <c r="AM393" s="1926">
        <f t="shared" si="56"/>
        <v>0.21</v>
      </c>
      <c r="AN393" s="1956">
        <f t="shared" si="59"/>
        <v>0.18</v>
      </c>
      <c r="AO393" s="1893"/>
      <c r="AP393" s="1872"/>
      <c r="AQ393" s="1931"/>
      <c r="AR393" s="1915"/>
    </row>
    <row r="394" spans="1:44">
      <c r="A394" s="1927"/>
      <c r="B394" s="1908">
        <v>7</v>
      </c>
      <c r="C394" s="1909">
        <v>8</v>
      </c>
      <c r="D394" s="1928">
        <v>0.56000000000000005</v>
      </c>
      <c r="E394" s="1917">
        <v>1.43</v>
      </c>
      <c r="F394" s="1927"/>
      <c r="G394" s="1908">
        <v>7</v>
      </c>
      <c r="H394" s="1909">
        <v>8</v>
      </c>
      <c r="I394" s="1928">
        <v>0.56000000000000005</v>
      </c>
      <c r="J394" s="1917">
        <v>1.19</v>
      </c>
      <c r="K394" s="1927"/>
      <c r="L394" s="1908">
        <v>7</v>
      </c>
      <c r="M394" s="1909">
        <v>8</v>
      </c>
      <c r="N394" s="1928">
        <v>0.22</v>
      </c>
      <c r="O394" s="1917">
        <v>0.4</v>
      </c>
      <c r="P394" s="1927"/>
      <c r="Q394" s="1908"/>
      <c r="R394" s="1909"/>
      <c r="S394" s="1928"/>
      <c r="T394" s="1917"/>
      <c r="U394" s="1927"/>
      <c r="V394" s="1908">
        <v>7</v>
      </c>
      <c r="W394" s="1909">
        <v>8</v>
      </c>
      <c r="X394" s="1928">
        <v>0.28000000000000003</v>
      </c>
      <c r="Y394" s="1917">
        <v>0.67</v>
      </c>
      <c r="Z394" s="1927"/>
      <c r="AA394" s="1908">
        <v>7</v>
      </c>
      <c r="AB394" s="1909">
        <v>8</v>
      </c>
      <c r="AC394" s="1928">
        <v>0.34</v>
      </c>
      <c r="AD394" s="1917">
        <v>0.8</v>
      </c>
      <c r="AF394" s="1908">
        <v>7</v>
      </c>
      <c r="AG394" s="1909">
        <v>8</v>
      </c>
      <c r="AH394" s="1928">
        <v>0.42</v>
      </c>
      <c r="AI394" s="1917">
        <v>0.79</v>
      </c>
      <c r="AK394" s="1957">
        <f t="shared" si="57"/>
        <v>0.22</v>
      </c>
      <c r="AL394" s="1958">
        <f t="shared" si="58"/>
        <v>0.28000000000000003</v>
      </c>
      <c r="AM394" s="1958">
        <f t="shared" si="56"/>
        <v>0.34</v>
      </c>
      <c r="AN394" s="1959">
        <f t="shared" si="59"/>
        <v>0.42</v>
      </c>
      <c r="AO394" s="1893"/>
      <c r="AP394" s="1872"/>
      <c r="AQ394" s="1931"/>
      <c r="AR394" s="1915"/>
    </row>
    <row r="395" spans="1:44">
      <c r="A395" s="1930"/>
      <c r="B395" s="1890">
        <v>8</v>
      </c>
      <c r="C395" s="1891">
        <v>9</v>
      </c>
      <c r="D395" s="1929">
        <v>0.26</v>
      </c>
      <c r="E395" s="1914">
        <v>0.67</v>
      </c>
      <c r="F395" s="1930"/>
      <c r="G395" s="1890">
        <v>8</v>
      </c>
      <c r="H395" s="1891">
        <v>9</v>
      </c>
      <c r="I395" s="1929">
        <v>0.26</v>
      </c>
      <c r="J395" s="1914">
        <v>0.56999999999999995</v>
      </c>
      <c r="K395" s="1930"/>
      <c r="L395" s="1890">
        <v>8</v>
      </c>
      <c r="M395" s="1891">
        <v>9</v>
      </c>
      <c r="N395" s="1929">
        <v>0.24</v>
      </c>
      <c r="O395" s="1914">
        <v>0.43</v>
      </c>
      <c r="P395" s="1930"/>
      <c r="Q395" s="1890"/>
      <c r="R395" s="1891"/>
      <c r="S395" s="1929"/>
      <c r="T395" s="1914"/>
      <c r="U395" s="1930"/>
      <c r="V395" s="1890">
        <v>8</v>
      </c>
      <c r="W395" s="1891">
        <v>9</v>
      </c>
      <c r="X395" s="1929">
        <v>0.4</v>
      </c>
      <c r="Y395" s="1914">
        <v>0.88</v>
      </c>
      <c r="Z395" s="1930"/>
      <c r="AA395" s="1890">
        <v>8</v>
      </c>
      <c r="AB395" s="1891">
        <v>9</v>
      </c>
      <c r="AC395" s="1929">
        <v>0.6</v>
      </c>
      <c r="AD395" s="1914">
        <v>1.27</v>
      </c>
      <c r="AF395" s="1890">
        <v>8</v>
      </c>
      <c r="AG395" s="1891">
        <v>9</v>
      </c>
      <c r="AH395" s="1929">
        <v>0.47</v>
      </c>
      <c r="AI395" s="1914">
        <v>0.92</v>
      </c>
      <c r="AK395" s="1952">
        <f t="shared" si="57"/>
        <v>0.24</v>
      </c>
      <c r="AL395" s="1953">
        <f t="shared" si="58"/>
        <v>0.4</v>
      </c>
      <c r="AM395" s="1953">
        <f t="shared" si="56"/>
        <v>0.6</v>
      </c>
      <c r="AN395" s="1954">
        <f t="shared" si="59"/>
        <v>0.47</v>
      </c>
      <c r="AO395" s="1893"/>
      <c r="AP395" s="1872"/>
      <c r="AQ395" s="1931"/>
      <c r="AR395" s="1915"/>
    </row>
    <row r="396" spans="1:44">
      <c r="A396" s="1930"/>
      <c r="B396" s="1893">
        <v>9</v>
      </c>
      <c r="C396" s="1872">
        <v>10</v>
      </c>
      <c r="D396" s="1931">
        <v>0.51</v>
      </c>
      <c r="E396" s="1915">
        <v>1.23</v>
      </c>
      <c r="F396" s="1930"/>
      <c r="G396" s="1893">
        <v>9</v>
      </c>
      <c r="H396" s="1872">
        <v>10</v>
      </c>
      <c r="I396" s="1931">
        <v>0.32</v>
      </c>
      <c r="J396" s="1915">
        <v>0.6</v>
      </c>
      <c r="K396" s="1930"/>
      <c r="L396" s="1893">
        <v>9</v>
      </c>
      <c r="M396" s="1872">
        <v>10</v>
      </c>
      <c r="N396" s="1931">
        <v>0.31</v>
      </c>
      <c r="O396" s="1915">
        <v>0.55000000000000004</v>
      </c>
      <c r="P396" s="1930"/>
      <c r="Q396" s="1893"/>
      <c r="R396" s="1872"/>
      <c r="S396" s="1931"/>
      <c r="T396" s="1915"/>
      <c r="U396" s="1930"/>
      <c r="V396" s="1893">
        <v>9</v>
      </c>
      <c r="W396" s="1872">
        <v>10</v>
      </c>
      <c r="X396" s="1931">
        <v>0.39</v>
      </c>
      <c r="Y396" s="1915">
        <v>0.77</v>
      </c>
      <c r="Z396" s="1930"/>
      <c r="AA396" s="1893">
        <v>9</v>
      </c>
      <c r="AB396" s="1872">
        <v>10</v>
      </c>
      <c r="AC396" s="1931">
        <v>0.48</v>
      </c>
      <c r="AD396" s="1915">
        <v>0.91</v>
      </c>
      <c r="AF396" s="1893">
        <v>9</v>
      </c>
      <c r="AG396" s="1872">
        <v>10</v>
      </c>
      <c r="AH396" s="1931">
        <v>0.43</v>
      </c>
      <c r="AI396" s="1915">
        <v>0.79</v>
      </c>
      <c r="AK396" s="1955">
        <f t="shared" si="57"/>
        <v>0.31</v>
      </c>
      <c r="AL396" s="1926">
        <f t="shared" si="58"/>
        <v>0.39</v>
      </c>
      <c r="AM396" s="1926">
        <f t="shared" si="56"/>
        <v>0.48</v>
      </c>
      <c r="AN396" s="1956">
        <f t="shared" si="59"/>
        <v>0.43</v>
      </c>
      <c r="AO396" s="1893"/>
      <c r="AP396" s="1872"/>
      <c r="AQ396" s="1932"/>
      <c r="AR396" s="1916"/>
    </row>
    <row r="397" spans="1:44">
      <c r="A397" s="1930"/>
      <c r="B397" s="1893">
        <v>10</v>
      </c>
      <c r="C397" s="1872">
        <v>11</v>
      </c>
      <c r="D397" s="1931">
        <v>0.38</v>
      </c>
      <c r="E397" s="1915">
        <v>0.85</v>
      </c>
      <c r="F397" s="1930"/>
      <c r="G397" s="1893">
        <v>10</v>
      </c>
      <c r="H397" s="1872">
        <v>11</v>
      </c>
      <c r="I397" s="1931">
        <v>0.34</v>
      </c>
      <c r="J397" s="1915">
        <v>0.61</v>
      </c>
      <c r="K397" s="1930"/>
      <c r="L397" s="1893">
        <v>10</v>
      </c>
      <c r="M397" s="1872">
        <v>11</v>
      </c>
      <c r="N397" s="1931">
        <v>0.35</v>
      </c>
      <c r="O397" s="1915">
        <v>0.6</v>
      </c>
      <c r="P397" s="1930"/>
      <c r="Q397" s="1893"/>
      <c r="R397" s="1872"/>
      <c r="S397" s="1931"/>
      <c r="T397" s="1915"/>
      <c r="U397" s="1930"/>
      <c r="V397" s="1893">
        <v>10</v>
      </c>
      <c r="W397" s="1872">
        <v>11</v>
      </c>
      <c r="X397" s="1931">
        <v>0.47</v>
      </c>
      <c r="Y397" s="1915">
        <v>0.85</v>
      </c>
      <c r="Z397" s="1930"/>
      <c r="AA397" s="1893">
        <v>10</v>
      </c>
      <c r="AB397" s="1872">
        <v>11</v>
      </c>
      <c r="AC397" s="1931">
        <v>0.44</v>
      </c>
      <c r="AD397" s="1915">
        <v>0.78</v>
      </c>
      <c r="AF397" s="1893">
        <v>10</v>
      </c>
      <c r="AG397" s="1872">
        <v>11</v>
      </c>
      <c r="AH397" s="1931">
        <v>0.35</v>
      </c>
      <c r="AI397" s="1915">
        <v>0.6</v>
      </c>
      <c r="AK397" s="1955">
        <f t="shared" si="57"/>
        <v>0.35</v>
      </c>
      <c r="AL397" s="1926">
        <f t="shared" si="58"/>
        <v>0.47</v>
      </c>
      <c r="AM397" s="1926">
        <f t="shared" si="56"/>
        <v>0.44</v>
      </c>
      <c r="AN397" s="1956">
        <f t="shared" si="59"/>
        <v>0.35</v>
      </c>
      <c r="AO397" s="1894"/>
      <c r="AP397" s="1895"/>
      <c r="AQ397" s="1933"/>
      <c r="AR397" s="1911"/>
    </row>
    <row r="398" spans="1:44">
      <c r="A398" s="1930"/>
      <c r="B398" s="1893">
        <v>11</v>
      </c>
      <c r="C398" s="1872">
        <v>12</v>
      </c>
      <c r="D398" s="1931">
        <v>0.39</v>
      </c>
      <c r="E398" s="1915">
        <v>0.8</v>
      </c>
      <c r="F398" s="1930"/>
      <c r="G398" s="1893">
        <v>11</v>
      </c>
      <c r="H398" s="1872">
        <v>12</v>
      </c>
      <c r="I398" s="1931">
        <v>0.22</v>
      </c>
      <c r="J398" s="1915">
        <v>0.38</v>
      </c>
      <c r="K398" s="1930"/>
      <c r="L398" s="1893">
        <v>11</v>
      </c>
      <c r="M398" s="1872">
        <v>12</v>
      </c>
      <c r="N398" s="1931">
        <v>0.59</v>
      </c>
      <c r="O398" s="1915">
        <v>1</v>
      </c>
      <c r="P398" s="1930"/>
      <c r="Q398" s="1893"/>
      <c r="R398" s="1872"/>
      <c r="S398" s="1931"/>
      <c r="T398" s="1915"/>
      <c r="U398" s="1930"/>
      <c r="V398" s="1893">
        <v>11</v>
      </c>
      <c r="W398" s="1872">
        <v>12</v>
      </c>
      <c r="X398" s="1931">
        <v>0.3</v>
      </c>
      <c r="Y398" s="1915">
        <v>0.52</v>
      </c>
      <c r="Z398" s="1930"/>
      <c r="AA398" s="1893">
        <v>11</v>
      </c>
      <c r="AB398" s="1872">
        <v>12</v>
      </c>
      <c r="AC398" s="1931">
        <v>0.5</v>
      </c>
      <c r="AD398" s="1915">
        <v>0.86</v>
      </c>
      <c r="AF398" s="1893">
        <v>11</v>
      </c>
      <c r="AG398" s="1872">
        <v>12</v>
      </c>
      <c r="AH398" s="1931">
        <v>0.61</v>
      </c>
      <c r="AI398" s="1915">
        <v>1.02</v>
      </c>
      <c r="AK398" s="1955">
        <f t="shared" si="57"/>
        <v>0.59</v>
      </c>
      <c r="AL398" s="1926">
        <f t="shared" si="58"/>
        <v>0.3</v>
      </c>
      <c r="AM398" s="1926">
        <f t="shared" si="56"/>
        <v>0.5</v>
      </c>
      <c r="AN398" s="1956">
        <f t="shared" si="59"/>
        <v>0.61</v>
      </c>
      <c r="AO398" s="1910"/>
      <c r="AP398" s="1889"/>
      <c r="AQ398" s="1935"/>
      <c r="AR398" s="1912"/>
    </row>
    <row r="399" spans="1:44">
      <c r="A399" s="1930"/>
      <c r="B399" s="1893">
        <v>12</v>
      </c>
      <c r="C399" s="1872">
        <v>13</v>
      </c>
      <c r="D399" s="1931">
        <v>0.41</v>
      </c>
      <c r="E399" s="1915">
        <v>0.8</v>
      </c>
      <c r="F399" s="1930"/>
      <c r="G399" s="1893">
        <v>12</v>
      </c>
      <c r="H399" s="1872">
        <v>13</v>
      </c>
      <c r="I399" s="1931">
        <v>0.28999999999999998</v>
      </c>
      <c r="J399" s="1915">
        <v>0.48</v>
      </c>
      <c r="K399" s="1930"/>
      <c r="L399" s="1893">
        <v>12</v>
      </c>
      <c r="M399" s="1872">
        <v>13</v>
      </c>
      <c r="N399" s="1931">
        <v>0.37</v>
      </c>
      <c r="O399" s="1915">
        <v>0.59</v>
      </c>
      <c r="P399" s="1930"/>
      <c r="Q399" s="1893"/>
      <c r="R399" s="1872"/>
      <c r="S399" s="1931"/>
      <c r="T399" s="1915"/>
      <c r="U399" s="1930"/>
      <c r="V399" s="1893">
        <v>12</v>
      </c>
      <c r="W399" s="1872">
        <v>13</v>
      </c>
      <c r="X399" s="1931">
        <v>0.25</v>
      </c>
      <c r="Y399" s="1915">
        <v>0.42</v>
      </c>
      <c r="Z399" s="1930"/>
      <c r="AA399" s="1893">
        <v>12</v>
      </c>
      <c r="AB399" s="1872">
        <v>13</v>
      </c>
      <c r="AC399" s="1931">
        <v>0.44</v>
      </c>
      <c r="AD399" s="1915">
        <v>0.74</v>
      </c>
      <c r="AF399" s="1893">
        <v>12</v>
      </c>
      <c r="AG399" s="1872">
        <v>13</v>
      </c>
      <c r="AH399" s="1931">
        <v>0.36</v>
      </c>
      <c r="AI399" s="1915">
        <v>0.6</v>
      </c>
      <c r="AK399" s="1955">
        <f t="shared" si="57"/>
        <v>0.37</v>
      </c>
      <c r="AL399" s="1926">
        <f t="shared" si="58"/>
        <v>0.25</v>
      </c>
      <c r="AM399" s="1926">
        <f t="shared" si="56"/>
        <v>0.44</v>
      </c>
      <c r="AN399" s="1956">
        <f t="shared" si="59"/>
        <v>0.36</v>
      </c>
      <c r="AO399" s="1902"/>
      <c r="AP399" s="1873"/>
      <c r="AQ399" s="1935"/>
      <c r="AR399" s="1912"/>
    </row>
    <row r="400" spans="1:44">
      <c r="A400" s="1930"/>
      <c r="B400" s="1893">
        <v>13</v>
      </c>
      <c r="C400" s="1872">
        <v>14</v>
      </c>
      <c r="D400" s="1931">
        <v>0.27</v>
      </c>
      <c r="E400" s="1915">
        <v>0.53</v>
      </c>
      <c r="F400" s="1930"/>
      <c r="G400" s="1893">
        <v>13</v>
      </c>
      <c r="H400" s="1872">
        <v>14</v>
      </c>
      <c r="I400" s="1931">
        <v>0.2</v>
      </c>
      <c r="J400" s="1915">
        <v>0.33</v>
      </c>
      <c r="K400" s="1930"/>
      <c r="L400" s="1893">
        <v>13</v>
      </c>
      <c r="M400" s="1872">
        <v>14</v>
      </c>
      <c r="N400" s="1931">
        <v>0.32</v>
      </c>
      <c r="O400" s="1915">
        <v>0.51</v>
      </c>
      <c r="P400" s="1930"/>
      <c r="Q400" s="1893"/>
      <c r="R400" s="1872"/>
      <c r="S400" s="1931"/>
      <c r="T400" s="1915"/>
      <c r="U400" s="1930"/>
      <c r="V400" s="1893">
        <v>13</v>
      </c>
      <c r="W400" s="1872">
        <v>14</v>
      </c>
      <c r="X400" s="1931">
        <v>0.39</v>
      </c>
      <c r="Y400" s="1915">
        <v>0.65</v>
      </c>
      <c r="Z400" s="1930"/>
      <c r="AA400" s="1893">
        <v>13</v>
      </c>
      <c r="AB400" s="1872">
        <v>14</v>
      </c>
      <c r="AC400" s="1931">
        <v>0.42</v>
      </c>
      <c r="AD400" s="1915">
        <v>0.69</v>
      </c>
      <c r="AF400" s="1893">
        <v>13</v>
      </c>
      <c r="AG400" s="1872">
        <v>14</v>
      </c>
      <c r="AH400" s="1931">
        <v>0.27</v>
      </c>
      <c r="AI400" s="1915">
        <v>0.45</v>
      </c>
      <c r="AK400" s="1955">
        <f t="shared" si="57"/>
        <v>0.32</v>
      </c>
      <c r="AL400" s="1926">
        <f t="shared" si="58"/>
        <v>0.39</v>
      </c>
      <c r="AM400" s="1926">
        <f t="shared" si="56"/>
        <v>0.42</v>
      </c>
      <c r="AN400" s="1956">
        <f t="shared" si="59"/>
        <v>0.27</v>
      </c>
      <c r="AO400" s="1902"/>
      <c r="AP400" s="1873"/>
      <c r="AQ400" s="1935"/>
      <c r="AR400" s="1912"/>
    </row>
    <row r="401" spans="1:44">
      <c r="A401" s="1930"/>
      <c r="B401" s="1893">
        <v>14</v>
      </c>
      <c r="C401" s="1872">
        <v>15</v>
      </c>
      <c r="D401" s="1931">
        <v>0.28999999999999998</v>
      </c>
      <c r="E401" s="1915">
        <v>0.56999999999999995</v>
      </c>
      <c r="F401" s="1930"/>
      <c r="G401" s="1893">
        <v>14</v>
      </c>
      <c r="H401" s="1872">
        <v>15</v>
      </c>
      <c r="I401" s="1931">
        <v>0.15</v>
      </c>
      <c r="J401" s="1915">
        <v>0.25</v>
      </c>
      <c r="K401" s="1930"/>
      <c r="L401" s="1893">
        <v>14</v>
      </c>
      <c r="M401" s="1872">
        <v>15</v>
      </c>
      <c r="N401" s="1931">
        <v>0.41</v>
      </c>
      <c r="O401" s="1915">
        <v>0.65</v>
      </c>
      <c r="P401" s="1930"/>
      <c r="Q401" s="1893"/>
      <c r="R401" s="1872"/>
      <c r="S401" s="1931"/>
      <c r="T401" s="1915"/>
      <c r="U401" s="1930"/>
      <c r="V401" s="1893">
        <v>14</v>
      </c>
      <c r="W401" s="1872">
        <v>15</v>
      </c>
      <c r="X401" s="1931">
        <v>0.38</v>
      </c>
      <c r="Y401" s="1915">
        <v>0.63</v>
      </c>
      <c r="Z401" s="1930"/>
      <c r="AA401" s="1893">
        <v>14</v>
      </c>
      <c r="AB401" s="1872">
        <v>15</v>
      </c>
      <c r="AC401" s="1931">
        <v>0.39</v>
      </c>
      <c r="AD401" s="1915">
        <v>0.65</v>
      </c>
      <c r="AF401" s="1893">
        <v>14</v>
      </c>
      <c r="AG401" s="1872">
        <v>15</v>
      </c>
      <c r="AH401" s="1931">
        <v>0.26</v>
      </c>
      <c r="AI401" s="1915">
        <v>0.43</v>
      </c>
      <c r="AK401" s="1955">
        <f t="shared" si="57"/>
        <v>0.41</v>
      </c>
      <c r="AL401" s="1926">
        <f t="shared" si="58"/>
        <v>0.38</v>
      </c>
      <c r="AM401" s="1926">
        <f t="shared" si="56"/>
        <v>0.39</v>
      </c>
      <c r="AN401" s="1956">
        <f t="shared" si="59"/>
        <v>0.26</v>
      </c>
      <c r="AO401" s="1902"/>
      <c r="AP401" s="1873"/>
      <c r="AQ401" s="1935"/>
      <c r="AR401" s="1912"/>
    </row>
    <row r="402" spans="1:44">
      <c r="A402" s="1930"/>
      <c r="B402" s="1893">
        <v>15</v>
      </c>
      <c r="C402" s="1872">
        <v>16</v>
      </c>
      <c r="D402" s="1931">
        <v>0.34</v>
      </c>
      <c r="E402" s="1915">
        <v>0.69</v>
      </c>
      <c r="F402" s="1930"/>
      <c r="G402" s="1893">
        <v>15</v>
      </c>
      <c r="H402" s="1872">
        <v>16</v>
      </c>
      <c r="I402" s="1931">
        <v>0.09</v>
      </c>
      <c r="J402" s="1915">
        <v>0.15</v>
      </c>
      <c r="K402" s="1930"/>
      <c r="L402" s="1893">
        <v>15</v>
      </c>
      <c r="M402" s="1872">
        <v>16</v>
      </c>
      <c r="N402" s="1931">
        <v>0.44</v>
      </c>
      <c r="O402" s="1915">
        <v>0.7</v>
      </c>
      <c r="P402" s="1930"/>
      <c r="Q402" s="1893"/>
      <c r="R402" s="1872"/>
      <c r="S402" s="1931"/>
      <c r="T402" s="1915"/>
      <c r="U402" s="1930"/>
      <c r="V402" s="1893">
        <v>15</v>
      </c>
      <c r="W402" s="1872">
        <v>16</v>
      </c>
      <c r="X402" s="1931">
        <v>0.34</v>
      </c>
      <c r="Y402" s="1915">
        <v>0.56000000000000005</v>
      </c>
      <c r="Z402" s="1930"/>
      <c r="AA402" s="1893">
        <v>15</v>
      </c>
      <c r="AB402" s="1872">
        <v>16</v>
      </c>
      <c r="AC402" s="1931">
        <v>0.38</v>
      </c>
      <c r="AD402" s="1915">
        <v>0.64</v>
      </c>
      <c r="AF402" s="1893">
        <v>15</v>
      </c>
      <c r="AG402" s="1872">
        <v>16</v>
      </c>
      <c r="AH402" s="1931">
        <v>0.46</v>
      </c>
      <c r="AI402" s="1915">
        <v>0.77</v>
      </c>
      <c r="AK402" s="1955">
        <f t="shared" si="57"/>
        <v>0.44</v>
      </c>
      <c r="AL402" s="1926">
        <f t="shared" si="58"/>
        <v>0.34</v>
      </c>
      <c r="AM402" s="1926">
        <f t="shared" si="56"/>
        <v>0.38</v>
      </c>
      <c r="AN402" s="1956">
        <f t="shared" si="59"/>
        <v>0.46</v>
      </c>
      <c r="AO402" s="1902"/>
      <c r="AP402" s="1873"/>
      <c r="AQ402" s="1935"/>
      <c r="AR402" s="1912"/>
    </row>
    <row r="403" spans="1:44">
      <c r="A403" s="1930"/>
      <c r="B403" s="1893">
        <v>16</v>
      </c>
      <c r="C403" s="1872">
        <v>17</v>
      </c>
      <c r="D403" s="1931">
        <v>1.41</v>
      </c>
      <c r="E403" s="1915">
        <v>3.06</v>
      </c>
      <c r="F403" s="1930"/>
      <c r="G403" s="1893">
        <v>16</v>
      </c>
      <c r="H403" s="1872">
        <v>17</v>
      </c>
      <c r="I403" s="1931">
        <v>0.33</v>
      </c>
      <c r="J403" s="1915">
        <v>0.57999999999999996</v>
      </c>
      <c r="K403" s="1930"/>
      <c r="L403" s="1893">
        <v>16</v>
      </c>
      <c r="M403" s="1872">
        <v>17</v>
      </c>
      <c r="N403" s="1931">
        <v>0.38</v>
      </c>
      <c r="O403" s="1915">
        <v>0.62</v>
      </c>
      <c r="P403" s="1930"/>
      <c r="Q403" s="1893"/>
      <c r="R403" s="1872"/>
      <c r="S403" s="1931"/>
      <c r="T403" s="1915"/>
      <c r="U403" s="1930"/>
      <c r="V403" s="1893">
        <v>16</v>
      </c>
      <c r="W403" s="1872">
        <v>17</v>
      </c>
      <c r="X403" s="1931">
        <v>0.37</v>
      </c>
      <c r="Y403" s="1915">
        <v>0.6</v>
      </c>
      <c r="Z403" s="1930"/>
      <c r="AA403" s="1893">
        <v>16</v>
      </c>
      <c r="AB403" s="1872">
        <v>17</v>
      </c>
      <c r="AC403" s="1931">
        <v>0.41</v>
      </c>
      <c r="AD403" s="1915">
        <v>0.7</v>
      </c>
      <c r="AF403" s="1893">
        <v>16</v>
      </c>
      <c r="AG403" s="1872">
        <v>17</v>
      </c>
      <c r="AH403" s="1931">
        <v>0.37</v>
      </c>
      <c r="AI403" s="1915">
        <v>0.62</v>
      </c>
      <c r="AK403" s="1955">
        <f t="shared" si="57"/>
        <v>0.38</v>
      </c>
      <c r="AL403" s="1926">
        <f t="shared" si="58"/>
        <v>0.37</v>
      </c>
      <c r="AM403" s="1926">
        <f t="shared" si="56"/>
        <v>0.41</v>
      </c>
      <c r="AN403" s="1956">
        <f t="shared" si="59"/>
        <v>0.37</v>
      </c>
      <c r="AO403" s="1902"/>
      <c r="AP403" s="1873"/>
      <c r="AQ403" s="1936"/>
      <c r="AR403" s="1937"/>
    </row>
    <row r="404" spans="1:44">
      <c r="A404" s="1930"/>
      <c r="B404" s="1894">
        <v>17</v>
      </c>
      <c r="C404" s="1895">
        <v>18</v>
      </c>
      <c r="D404" s="1932">
        <v>1.61</v>
      </c>
      <c r="E404" s="1916">
        <v>4.96</v>
      </c>
      <c r="F404" s="1930"/>
      <c r="G404" s="1894">
        <v>17</v>
      </c>
      <c r="H404" s="1895">
        <v>18</v>
      </c>
      <c r="I404" s="1932">
        <v>0.38</v>
      </c>
      <c r="J404" s="1916">
        <v>1</v>
      </c>
      <c r="K404" s="1930"/>
      <c r="L404" s="1894">
        <v>17</v>
      </c>
      <c r="M404" s="1895">
        <v>18</v>
      </c>
      <c r="N404" s="1932">
        <v>0.32</v>
      </c>
      <c r="O404" s="1916">
        <v>0.56000000000000005</v>
      </c>
      <c r="P404" s="1930"/>
      <c r="Q404" s="1894"/>
      <c r="R404" s="1895"/>
      <c r="S404" s="1932"/>
      <c r="T404" s="1916"/>
      <c r="U404" s="1930"/>
      <c r="V404" s="1894">
        <v>17</v>
      </c>
      <c r="W404" s="1895">
        <v>18</v>
      </c>
      <c r="X404" s="1932">
        <v>0.38</v>
      </c>
      <c r="Y404" s="1916">
        <v>0.66</v>
      </c>
      <c r="Z404" s="1930"/>
      <c r="AA404" s="1894">
        <v>17</v>
      </c>
      <c r="AB404" s="1895">
        <v>18</v>
      </c>
      <c r="AC404" s="1932">
        <v>0.34</v>
      </c>
      <c r="AD404" s="1916">
        <v>0.61</v>
      </c>
      <c r="AF404" s="1894">
        <v>17</v>
      </c>
      <c r="AG404" s="1895">
        <v>18</v>
      </c>
      <c r="AH404" s="1932">
        <v>0.34</v>
      </c>
      <c r="AI404" s="1916">
        <v>0.62</v>
      </c>
      <c r="AK404" s="1957">
        <f t="shared" si="57"/>
        <v>0.32</v>
      </c>
      <c r="AL404" s="1958">
        <f t="shared" si="58"/>
        <v>0.38</v>
      </c>
      <c r="AM404" s="1958">
        <f t="shared" si="56"/>
        <v>0.34</v>
      </c>
      <c r="AN404" s="1959">
        <f t="shared" si="59"/>
        <v>0.34</v>
      </c>
      <c r="AO404" s="2766"/>
      <c r="AP404" s="2766"/>
      <c r="AQ404" s="1926"/>
      <c r="AR404" s="1913"/>
    </row>
    <row r="405" spans="1:44">
      <c r="A405" s="1934"/>
      <c r="B405" s="1910">
        <v>18</v>
      </c>
      <c r="C405" s="1889">
        <v>19</v>
      </c>
      <c r="D405" s="1933">
        <v>0.48</v>
      </c>
      <c r="E405" s="1911">
        <v>1.54</v>
      </c>
      <c r="F405" s="1934"/>
      <c r="G405" s="1910">
        <v>18</v>
      </c>
      <c r="H405" s="1889">
        <v>19</v>
      </c>
      <c r="I405" s="1933">
        <v>0.32</v>
      </c>
      <c r="J405" s="1911">
        <v>0.85</v>
      </c>
      <c r="K405" s="1934"/>
      <c r="L405" s="1910">
        <v>18</v>
      </c>
      <c r="M405" s="1889">
        <v>19</v>
      </c>
      <c r="N405" s="1933">
        <v>1.41</v>
      </c>
      <c r="O405" s="1911">
        <v>2.64</v>
      </c>
      <c r="P405" s="1934"/>
      <c r="Q405" s="1910"/>
      <c r="R405" s="1889"/>
      <c r="S405" s="1933"/>
      <c r="T405" s="1911"/>
      <c r="U405" s="1934"/>
      <c r="V405" s="1910">
        <v>18</v>
      </c>
      <c r="W405" s="1889">
        <v>19</v>
      </c>
      <c r="X405" s="1933">
        <v>0.68</v>
      </c>
      <c r="Y405" s="1911">
        <v>1.3</v>
      </c>
      <c r="Z405" s="1934"/>
      <c r="AA405" s="1910">
        <v>18</v>
      </c>
      <c r="AB405" s="1889">
        <v>19</v>
      </c>
      <c r="AC405" s="1933">
        <v>0.5</v>
      </c>
      <c r="AD405" s="1911">
        <v>0.99</v>
      </c>
      <c r="AF405" s="1910">
        <v>18</v>
      </c>
      <c r="AG405" s="1889">
        <v>19</v>
      </c>
      <c r="AH405" s="1933">
        <v>0.38</v>
      </c>
      <c r="AI405" s="1911">
        <v>0.85</v>
      </c>
      <c r="AK405" s="1952">
        <f t="shared" si="57"/>
        <v>1.41</v>
      </c>
      <c r="AL405" s="1953">
        <f t="shared" si="58"/>
        <v>0.68</v>
      </c>
      <c r="AM405" s="1953">
        <f t="shared" si="56"/>
        <v>0.5</v>
      </c>
      <c r="AN405" s="1954">
        <f t="shared" si="59"/>
        <v>0.38</v>
      </c>
      <c r="AO405" s="1883"/>
      <c r="AP405" s="1871"/>
      <c r="AQ405" s="1926"/>
      <c r="AR405" s="1913"/>
    </row>
    <row r="406" spans="1:44">
      <c r="A406" s="1934"/>
      <c r="B406" s="1902">
        <v>19</v>
      </c>
      <c r="C406" s="1873">
        <v>20</v>
      </c>
      <c r="D406" s="1935">
        <v>0.37</v>
      </c>
      <c r="E406" s="1912">
        <v>1.1399999999999999</v>
      </c>
      <c r="F406" s="1934"/>
      <c r="G406" s="1902">
        <v>19</v>
      </c>
      <c r="H406" s="1873">
        <v>20</v>
      </c>
      <c r="I406" s="1935">
        <v>0.26</v>
      </c>
      <c r="J406" s="1912">
        <v>0.69</v>
      </c>
      <c r="K406" s="1934"/>
      <c r="L406" s="1902">
        <v>19</v>
      </c>
      <c r="M406" s="1873">
        <v>20</v>
      </c>
      <c r="N406" s="1935">
        <v>0.31</v>
      </c>
      <c r="O406" s="1912">
        <v>0.63</v>
      </c>
      <c r="P406" s="1934"/>
      <c r="Q406" s="1902"/>
      <c r="R406" s="1873"/>
      <c r="S406" s="1935"/>
      <c r="T406" s="1912"/>
      <c r="U406" s="1934"/>
      <c r="V406" s="1902">
        <v>19</v>
      </c>
      <c r="W406" s="1873">
        <v>20</v>
      </c>
      <c r="X406" s="1935">
        <v>0.48</v>
      </c>
      <c r="Y406" s="1912">
        <v>0.95</v>
      </c>
      <c r="Z406" s="1934"/>
      <c r="AA406" s="1902">
        <v>19</v>
      </c>
      <c r="AB406" s="1873">
        <v>20</v>
      </c>
      <c r="AC406" s="1935">
        <v>0.65</v>
      </c>
      <c r="AD406" s="1912">
        <v>1.48</v>
      </c>
      <c r="AF406" s="1902">
        <v>19</v>
      </c>
      <c r="AG406" s="1873">
        <v>20</v>
      </c>
      <c r="AH406" s="1935">
        <v>0.41</v>
      </c>
      <c r="AI406" s="1912">
        <v>0.99</v>
      </c>
      <c r="AK406" s="1955">
        <f t="shared" si="57"/>
        <v>0.31</v>
      </c>
      <c r="AL406" s="1926">
        <f t="shared" si="58"/>
        <v>0.48</v>
      </c>
      <c r="AM406" s="1926">
        <f t="shared" si="56"/>
        <v>0.65</v>
      </c>
      <c r="AN406" s="1956">
        <f t="shared" si="59"/>
        <v>0.41</v>
      </c>
      <c r="AO406" s="1883"/>
      <c r="AP406" s="1871"/>
      <c r="AQ406" s="1926"/>
      <c r="AR406" s="1913"/>
    </row>
    <row r="407" spans="1:44">
      <c r="A407" s="1934"/>
      <c r="B407" s="1902">
        <v>20</v>
      </c>
      <c r="C407" s="1873">
        <v>21</v>
      </c>
      <c r="D407" s="1935">
        <v>0.36</v>
      </c>
      <c r="E407" s="1912">
        <v>0.7</v>
      </c>
      <c r="F407" s="1934"/>
      <c r="G407" s="1902">
        <v>20</v>
      </c>
      <c r="H407" s="1873">
        <v>21</v>
      </c>
      <c r="I407" s="1935">
        <v>0.31</v>
      </c>
      <c r="J407" s="1912">
        <v>0.56999999999999995</v>
      </c>
      <c r="K407" s="1934"/>
      <c r="L407" s="1902">
        <v>20</v>
      </c>
      <c r="M407" s="1873">
        <v>21</v>
      </c>
      <c r="N407" s="1935">
        <v>0.33</v>
      </c>
      <c r="O407" s="1912">
        <v>0.68</v>
      </c>
      <c r="P407" s="1934"/>
      <c r="Q407" s="1902"/>
      <c r="R407" s="1873"/>
      <c r="S407" s="1935"/>
      <c r="T407" s="1912"/>
      <c r="U407" s="1934"/>
      <c r="V407" s="1902">
        <v>20</v>
      </c>
      <c r="W407" s="1873">
        <v>21</v>
      </c>
      <c r="X407" s="1935">
        <v>0.49</v>
      </c>
      <c r="Y407" s="1912">
        <v>0.99</v>
      </c>
      <c r="Z407" s="1934"/>
      <c r="AA407" s="1902">
        <v>20</v>
      </c>
      <c r="AB407" s="1873">
        <v>21</v>
      </c>
      <c r="AC407" s="1935">
        <v>0.44</v>
      </c>
      <c r="AD407" s="1912">
        <v>1.0900000000000001</v>
      </c>
      <c r="AF407" s="1902">
        <v>20</v>
      </c>
      <c r="AG407" s="1873">
        <v>21</v>
      </c>
      <c r="AH407" s="1935">
        <v>0.39</v>
      </c>
      <c r="AI407" s="1912">
        <v>0.94</v>
      </c>
      <c r="AK407" s="1955">
        <f t="shared" si="57"/>
        <v>0.33</v>
      </c>
      <c r="AL407" s="1926">
        <f t="shared" si="58"/>
        <v>0.49</v>
      </c>
      <c r="AM407" s="1926">
        <f t="shared" si="56"/>
        <v>0.44</v>
      </c>
      <c r="AN407" s="1956">
        <f t="shared" si="59"/>
        <v>0.39</v>
      </c>
      <c r="AO407" s="1883"/>
      <c r="AP407" s="1871"/>
      <c r="AQ407" s="1926"/>
      <c r="AR407" s="1913"/>
    </row>
    <row r="408" spans="1:44">
      <c r="A408" s="1934"/>
      <c r="B408" s="1902">
        <v>21</v>
      </c>
      <c r="C408" s="1873">
        <v>22</v>
      </c>
      <c r="D408" s="1935">
        <v>0.32</v>
      </c>
      <c r="E408" s="1912">
        <v>0.6</v>
      </c>
      <c r="F408" s="1934"/>
      <c r="G408" s="1902">
        <v>21</v>
      </c>
      <c r="H408" s="1873">
        <v>22</v>
      </c>
      <c r="I408" s="1935">
        <v>0.26</v>
      </c>
      <c r="J408" s="1912">
        <v>0.48</v>
      </c>
      <c r="K408" s="1934"/>
      <c r="L408" s="1902">
        <v>21</v>
      </c>
      <c r="M408" s="1873">
        <v>22</v>
      </c>
      <c r="N408" s="1935">
        <v>0.24</v>
      </c>
      <c r="O408" s="1912">
        <v>0.48</v>
      </c>
      <c r="P408" s="1934"/>
      <c r="Q408" s="1902"/>
      <c r="R408" s="1873"/>
      <c r="S408" s="1935"/>
      <c r="T408" s="1912"/>
      <c r="U408" s="1934"/>
      <c r="V408" s="1902">
        <v>21</v>
      </c>
      <c r="W408" s="1873">
        <v>22</v>
      </c>
      <c r="X408" s="1935">
        <v>0.5</v>
      </c>
      <c r="Y408" s="1912">
        <v>0.98</v>
      </c>
      <c r="Z408" s="1934"/>
      <c r="AA408" s="1902">
        <v>21</v>
      </c>
      <c r="AB408" s="1873">
        <v>22</v>
      </c>
      <c r="AC408" s="1935">
        <v>0.41</v>
      </c>
      <c r="AD408" s="1912">
        <v>0.99</v>
      </c>
      <c r="AF408" s="1902">
        <v>21</v>
      </c>
      <c r="AG408" s="1873">
        <v>22</v>
      </c>
      <c r="AH408" s="1935">
        <v>0.33</v>
      </c>
      <c r="AI408" s="1912">
        <v>0.78</v>
      </c>
      <c r="AK408" s="1955">
        <f t="shared" si="57"/>
        <v>0.24</v>
      </c>
      <c r="AL408" s="1926">
        <f t="shared" si="58"/>
        <v>0.5</v>
      </c>
      <c r="AM408" s="1926">
        <f t="shared" si="56"/>
        <v>0.41</v>
      </c>
      <c r="AN408" s="1956">
        <f t="shared" si="59"/>
        <v>0.33</v>
      </c>
      <c r="AO408" s="1883"/>
      <c r="AP408" s="1871"/>
      <c r="AQ408" s="1926"/>
      <c r="AR408" s="1913"/>
    </row>
    <row r="409" spans="1:44">
      <c r="A409" s="1934"/>
      <c r="B409" s="1902">
        <v>22</v>
      </c>
      <c r="C409" s="1873">
        <v>23</v>
      </c>
      <c r="D409" s="1935">
        <v>0.28000000000000003</v>
      </c>
      <c r="E409" s="1912">
        <v>0.52</v>
      </c>
      <c r="F409" s="1934"/>
      <c r="G409" s="1902">
        <v>22</v>
      </c>
      <c r="H409" s="1873">
        <v>23</v>
      </c>
      <c r="I409" s="1935">
        <v>0.22</v>
      </c>
      <c r="J409" s="1912">
        <v>0.41</v>
      </c>
      <c r="K409" s="1934"/>
      <c r="L409" s="1902">
        <v>22</v>
      </c>
      <c r="M409" s="1873">
        <v>23</v>
      </c>
      <c r="N409" s="1935">
        <v>0.17</v>
      </c>
      <c r="O409" s="1912">
        <v>0.34</v>
      </c>
      <c r="P409" s="1934"/>
      <c r="Q409" s="1902"/>
      <c r="R409" s="1873"/>
      <c r="S409" s="1935"/>
      <c r="T409" s="1912"/>
      <c r="U409" s="1934"/>
      <c r="V409" s="1902">
        <v>22</v>
      </c>
      <c r="W409" s="1873">
        <v>23</v>
      </c>
      <c r="X409" s="1935">
        <v>0.27</v>
      </c>
      <c r="Y409" s="1912">
        <v>0.5</v>
      </c>
      <c r="Z409" s="1934"/>
      <c r="AA409" s="1902">
        <v>22</v>
      </c>
      <c r="AB409" s="1873">
        <v>23</v>
      </c>
      <c r="AC409" s="1935">
        <v>0.4</v>
      </c>
      <c r="AD409" s="1912">
        <v>0.89</v>
      </c>
      <c r="AF409" s="1902">
        <v>22</v>
      </c>
      <c r="AG409" s="1873">
        <v>23</v>
      </c>
      <c r="AH409" s="1935">
        <v>0.33</v>
      </c>
      <c r="AI409" s="1912">
        <v>0.77</v>
      </c>
      <c r="AK409" s="1955">
        <f t="shared" si="57"/>
        <v>0.17</v>
      </c>
      <c r="AL409" s="1926">
        <f t="shared" si="58"/>
        <v>0.27</v>
      </c>
      <c r="AM409" s="1926">
        <f t="shared" si="56"/>
        <v>0.4</v>
      </c>
      <c r="AN409" s="1956">
        <f t="shared" si="59"/>
        <v>0.33</v>
      </c>
      <c r="AO409" s="1883"/>
      <c r="AP409" s="1871"/>
      <c r="AQ409" s="1926"/>
      <c r="AR409" s="1913"/>
    </row>
    <row r="410" spans="1:44" ht="15" thickBot="1">
      <c r="A410" s="1934"/>
      <c r="B410" s="1902">
        <v>23</v>
      </c>
      <c r="C410" s="1873">
        <v>24</v>
      </c>
      <c r="D410" s="1935">
        <v>0.13</v>
      </c>
      <c r="E410" s="1912">
        <v>0.22</v>
      </c>
      <c r="F410" s="1934"/>
      <c r="G410" s="1902">
        <v>23</v>
      </c>
      <c r="H410" s="1873">
        <v>24</v>
      </c>
      <c r="I410" s="1935">
        <v>0.09</v>
      </c>
      <c r="J410" s="1912">
        <v>0.17</v>
      </c>
      <c r="K410" s="1934"/>
      <c r="L410" s="1902">
        <v>23</v>
      </c>
      <c r="M410" s="1873">
        <v>24</v>
      </c>
      <c r="N410" s="1935">
        <v>0.15</v>
      </c>
      <c r="O410" s="1912">
        <v>0.28999999999999998</v>
      </c>
      <c r="P410" s="1934"/>
      <c r="Q410" s="1902"/>
      <c r="R410" s="1873"/>
      <c r="S410" s="1935"/>
      <c r="T410" s="1912"/>
      <c r="U410" s="1934"/>
      <c r="V410" s="1902">
        <v>23</v>
      </c>
      <c r="W410" s="1873">
        <v>24</v>
      </c>
      <c r="X410" s="1935">
        <v>0.2</v>
      </c>
      <c r="Y410" s="1912">
        <v>0.34</v>
      </c>
      <c r="Z410" s="1934"/>
      <c r="AA410" s="1902">
        <v>23</v>
      </c>
      <c r="AB410" s="1873">
        <v>24</v>
      </c>
      <c r="AC410" s="1935">
        <v>0.22</v>
      </c>
      <c r="AD410" s="1912">
        <v>0.44</v>
      </c>
      <c r="AF410" s="1902">
        <v>23</v>
      </c>
      <c r="AG410" s="1873">
        <v>24</v>
      </c>
      <c r="AH410" s="1935">
        <v>0.12</v>
      </c>
      <c r="AI410" s="1912">
        <v>0.28000000000000003</v>
      </c>
      <c r="AK410" s="1957">
        <f t="shared" si="57"/>
        <v>0.15</v>
      </c>
      <c r="AL410" s="1958">
        <f t="shared" si="58"/>
        <v>0.2</v>
      </c>
      <c r="AM410" s="1958">
        <f t="shared" si="56"/>
        <v>0.22</v>
      </c>
      <c r="AN410" s="1959">
        <f t="shared" si="59"/>
        <v>0.12</v>
      </c>
      <c r="AO410" s="1883"/>
      <c r="AP410" s="1871"/>
      <c r="AQ410" s="1926"/>
      <c r="AR410" s="1913"/>
    </row>
    <row r="411" spans="1:44">
      <c r="B411" s="2766">
        <v>44973</v>
      </c>
      <c r="C411" s="2766"/>
      <c r="D411" s="1922">
        <f>SUM(D412:D435)</f>
        <v>6.22</v>
      </c>
      <c r="E411" s="1923">
        <f>SUM(E412:E435)</f>
        <v>14.299999999999997</v>
      </c>
      <c r="G411" s="2773">
        <v>45001</v>
      </c>
      <c r="H411" s="2773"/>
      <c r="I411" s="1922">
        <f>SUM(I412:I435)</f>
        <v>8.16</v>
      </c>
      <c r="J411" s="1923">
        <f>SUM(J412:J435)</f>
        <v>15.65</v>
      </c>
      <c r="L411" s="2773">
        <v>45032</v>
      </c>
      <c r="M411" s="2773"/>
      <c r="N411" s="1936">
        <f>SUM(N412:N435)</f>
        <v>8.76</v>
      </c>
      <c r="O411" s="1937">
        <f>SUM(O412:O435)</f>
        <v>16.12</v>
      </c>
      <c r="Q411" s="2766">
        <v>45062</v>
      </c>
      <c r="R411" s="2766"/>
      <c r="S411" s="1936"/>
      <c r="T411" s="1937"/>
      <c r="V411" s="2766">
        <v>45062</v>
      </c>
      <c r="W411" s="2766"/>
      <c r="X411" s="1936">
        <f>SUM(X412:X435)</f>
        <v>7.6</v>
      </c>
      <c r="Y411" s="1937">
        <f>SUM(Y412:Y435)</f>
        <v>10.160000000000002</v>
      </c>
      <c r="AA411" s="2766">
        <v>45093</v>
      </c>
      <c r="AB411" s="2766"/>
      <c r="AC411" s="1936">
        <f>SUM(AC412:AC435)</f>
        <v>9.6800000000000015</v>
      </c>
      <c r="AD411" s="1937">
        <f>SUM(AD412:AD435)</f>
        <v>19.34</v>
      </c>
      <c r="AF411" s="2766">
        <v>45123</v>
      </c>
      <c r="AG411" s="2766"/>
      <c r="AH411" s="1936">
        <f>SUM(AH412:AH435)</f>
        <v>9.860000000000003</v>
      </c>
      <c r="AI411" s="1937">
        <f>SUM(AI412:AI435)</f>
        <v>15.549999999999995</v>
      </c>
      <c r="AO411" s="1883"/>
      <c r="AP411" s="1871"/>
      <c r="AQ411" s="1928"/>
      <c r="AR411" s="1917"/>
    </row>
    <row r="412" spans="1:44">
      <c r="A412" s="1927"/>
      <c r="B412" s="1883">
        <v>0</v>
      </c>
      <c r="C412" s="1871">
        <v>1</v>
      </c>
      <c r="D412" s="1926">
        <v>0.11</v>
      </c>
      <c r="E412" s="1913">
        <v>0.18</v>
      </c>
      <c r="F412" s="1927"/>
      <c r="G412" s="1883">
        <v>0</v>
      </c>
      <c r="H412" s="1871">
        <v>1</v>
      </c>
      <c r="I412" s="1926">
        <v>0.1</v>
      </c>
      <c r="J412" s="1913">
        <v>0.18</v>
      </c>
      <c r="K412" s="1927"/>
      <c r="L412" s="1883">
        <v>0</v>
      </c>
      <c r="M412" s="1871">
        <v>1</v>
      </c>
      <c r="N412" s="1926">
        <v>0.15</v>
      </c>
      <c r="O412" s="1913">
        <v>0.28000000000000003</v>
      </c>
      <c r="P412" s="1927"/>
      <c r="Q412" s="1883"/>
      <c r="R412" s="1871"/>
      <c r="S412" s="1926"/>
      <c r="T412" s="1913"/>
      <c r="U412" s="1927"/>
      <c r="V412" s="1883">
        <v>0</v>
      </c>
      <c r="W412" s="1871">
        <v>1</v>
      </c>
      <c r="X412" s="1926">
        <v>0.23</v>
      </c>
      <c r="Y412" s="1913">
        <v>0.35</v>
      </c>
      <c r="Z412" s="1927"/>
      <c r="AA412" s="1883">
        <v>0</v>
      </c>
      <c r="AB412" s="1871">
        <v>1</v>
      </c>
      <c r="AC412" s="1926">
        <v>0.21</v>
      </c>
      <c r="AD412" s="1913">
        <v>0.42</v>
      </c>
      <c r="AF412" s="1883">
        <v>0</v>
      </c>
      <c r="AG412" s="1871">
        <v>1</v>
      </c>
      <c r="AH412" s="1926">
        <v>0.19</v>
      </c>
      <c r="AI412" s="1913">
        <v>0.42</v>
      </c>
      <c r="AK412" s="1952">
        <f>N412</f>
        <v>0.15</v>
      </c>
      <c r="AL412" s="1953">
        <f>X412</f>
        <v>0.23</v>
      </c>
      <c r="AM412" s="1953">
        <f t="shared" ref="AM412:AM435" si="60">AC412</f>
        <v>0.21</v>
      </c>
      <c r="AN412" s="1954">
        <f>AH412</f>
        <v>0.19</v>
      </c>
      <c r="AO412" s="1908"/>
      <c r="AP412" s="1909"/>
      <c r="AQ412" s="1929"/>
      <c r="AR412" s="1914"/>
    </row>
    <row r="413" spans="1:44">
      <c r="A413" s="1927"/>
      <c r="B413" s="1883">
        <v>1</v>
      </c>
      <c r="C413" s="1871">
        <v>2</v>
      </c>
      <c r="D413" s="1926">
        <v>0.1</v>
      </c>
      <c r="E413" s="1913">
        <v>0.17</v>
      </c>
      <c r="F413" s="1927"/>
      <c r="G413" s="1883">
        <v>1</v>
      </c>
      <c r="H413" s="1871">
        <v>2</v>
      </c>
      <c r="I413" s="1926">
        <v>0.14000000000000001</v>
      </c>
      <c r="J413" s="1913">
        <v>0.26</v>
      </c>
      <c r="K413" s="1927"/>
      <c r="L413" s="1883">
        <v>1</v>
      </c>
      <c r="M413" s="1871">
        <v>2</v>
      </c>
      <c r="N413" s="1926">
        <v>0.14000000000000001</v>
      </c>
      <c r="O413" s="1913">
        <v>0.25</v>
      </c>
      <c r="P413" s="1927"/>
      <c r="Q413" s="1883"/>
      <c r="R413" s="1871"/>
      <c r="S413" s="1926"/>
      <c r="T413" s="1913"/>
      <c r="U413" s="1927"/>
      <c r="V413" s="1883">
        <v>1</v>
      </c>
      <c r="W413" s="1871">
        <v>2</v>
      </c>
      <c r="X413" s="1926">
        <v>0.18</v>
      </c>
      <c r="Y413" s="1913">
        <v>0.27</v>
      </c>
      <c r="Z413" s="1927"/>
      <c r="AA413" s="1883">
        <v>1</v>
      </c>
      <c r="AB413" s="1871">
        <v>2</v>
      </c>
      <c r="AC413" s="1926">
        <v>0.18</v>
      </c>
      <c r="AD413" s="1913">
        <v>0.35</v>
      </c>
      <c r="AF413" s="1883">
        <v>1</v>
      </c>
      <c r="AG413" s="1871">
        <v>2</v>
      </c>
      <c r="AH413" s="1926">
        <v>0.14000000000000001</v>
      </c>
      <c r="AI413" s="1913">
        <v>0.26</v>
      </c>
      <c r="AK413" s="1955">
        <f t="shared" ref="AK413:AK435" si="61">N413</f>
        <v>0.14000000000000001</v>
      </c>
      <c r="AL413" s="1926">
        <f t="shared" ref="AL413:AL435" si="62">X413</f>
        <v>0.18</v>
      </c>
      <c r="AM413" s="1926">
        <f t="shared" si="60"/>
        <v>0.18</v>
      </c>
      <c r="AN413" s="1956">
        <f t="shared" ref="AN413:AN435" si="63">AH413</f>
        <v>0.14000000000000001</v>
      </c>
      <c r="AO413" s="1890"/>
      <c r="AP413" s="1891"/>
      <c r="AQ413" s="1931"/>
      <c r="AR413" s="1915"/>
    </row>
    <row r="414" spans="1:44">
      <c r="A414" s="1927"/>
      <c r="B414" s="1883">
        <v>2</v>
      </c>
      <c r="C414" s="1871">
        <v>3</v>
      </c>
      <c r="D414" s="1926">
        <v>0.12</v>
      </c>
      <c r="E414" s="1913">
        <v>0.21</v>
      </c>
      <c r="F414" s="1927"/>
      <c r="G414" s="1883">
        <v>2</v>
      </c>
      <c r="H414" s="1871">
        <v>3</v>
      </c>
      <c r="I414" s="1926">
        <v>0.13</v>
      </c>
      <c r="J414" s="1913">
        <v>0.23</v>
      </c>
      <c r="K414" s="1927"/>
      <c r="L414" s="1883">
        <v>2</v>
      </c>
      <c r="M414" s="1871">
        <v>3</v>
      </c>
      <c r="N414" s="1926">
        <v>0.13</v>
      </c>
      <c r="O414" s="1913">
        <v>0.23</v>
      </c>
      <c r="P414" s="1927"/>
      <c r="Q414" s="1883"/>
      <c r="R414" s="1871"/>
      <c r="S414" s="1926"/>
      <c r="T414" s="1913"/>
      <c r="U414" s="1927"/>
      <c r="V414" s="1883">
        <v>2</v>
      </c>
      <c r="W414" s="1871">
        <v>3</v>
      </c>
      <c r="X414" s="1926">
        <v>0.2</v>
      </c>
      <c r="Y414" s="1913">
        <v>0.28999999999999998</v>
      </c>
      <c r="Z414" s="1927"/>
      <c r="AA414" s="1883">
        <v>2</v>
      </c>
      <c r="AB414" s="1871">
        <v>3</v>
      </c>
      <c r="AC414" s="1926">
        <v>0.22</v>
      </c>
      <c r="AD414" s="1913">
        <v>0.42</v>
      </c>
      <c r="AF414" s="1883">
        <v>2</v>
      </c>
      <c r="AG414" s="1871">
        <v>3</v>
      </c>
      <c r="AH414" s="1926">
        <v>0.22</v>
      </c>
      <c r="AI414" s="1913">
        <v>0.37</v>
      </c>
      <c r="AK414" s="1955">
        <f t="shared" si="61"/>
        <v>0.13</v>
      </c>
      <c r="AL414" s="1926">
        <f t="shared" si="62"/>
        <v>0.2</v>
      </c>
      <c r="AM414" s="1926">
        <f t="shared" si="60"/>
        <v>0.22</v>
      </c>
      <c r="AN414" s="1956">
        <f t="shared" si="63"/>
        <v>0.22</v>
      </c>
      <c r="AO414" s="1893"/>
      <c r="AP414" s="1872"/>
      <c r="AQ414" s="1931"/>
      <c r="AR414" s="1915"/>
    </row>
    <row r="415" spans="1:44">
      <c r="A415" s="1927"/>
      <c r="B415" s="1883">
        <v>3</v>
      </c>
      <c r="C415" s="1871">
        <v>4</v>
      </c>
      <c r="D415" s="1926">
        <v>0.11</v>
      </c>
      <c r="E415" s="1913">
        <v>0.19</v>
      </c>
      <c r="F415" s="1927"/>
      <c r="G415" s="1883">
        <v>3</v>
      </c>
      <c r="H415" s="1871">
        <v>4</v>
      </c>
      <c r="I415" s="1926">
        <v>0.1</v>
      </c>
      <c r="J415" s="1913">
        <v>0.18</v>
      </c>
      <c r="K415" s="1927"/>
      <c r="L415" s="1883">
        <v>3</v>
      </c>
      <c r="M415" s="1871">
        <v>4</v>
      </c>
      <c r="N415" s="1926">
        <v>0.09</v>
      </c>
      <c r="O415" s="1913">
        <v>0.16</v>
      </c>
      <c r="P415" s="1927"/>
      <c r="Q415" s="1883"/>
      <c r="R415" s="1871"/>
      <c r="S415" s="1926"/>
      <c r="T415" s="1913"/>
      <c r="U415" s="1927"/>
      <c r="V415" s="1883">
        <v>3</v>
      </c>
      <c r="W415" s="1871">
        <v>4</v>
      </c>
      <c r="X415" s="1926">
        <v>0.19</v>
      </c>
      <c r="Y415" s="1913">
        <v>0.26</v>
      </c>
      <c r="Z415" s="1927"/>
      <c r="AA415" s="1883">
        <v>3</v>
      </c>
      <c r="AB415" s="1871">
        <v>4</v>
      </c>
      <c r="AC415" s="1926">
        <v>0.2</v>
      </c>
      <c r="AD415" s="1913">
        <v>0.37</v>
      </c>
      <c r="AF415" s="1883">
        <v>3</v>
      </c>
      <c r="AG415" s="1871">
        <v>4</v>
      </c>
      <c r="AH415" s="1926">
        <v>0.14000000000000001</v>
      </c>
      <c r="AI415" s="1913">
        <v>0.23</v>
      </c>
      <c r="AK415" s="1955">
        <f t="shared" si="61"/>
        <v>0.09</v>
      </c>
      <c r="AL415" s="1926">
        <f t="shared" si="62"/>
        <v>0.19</v>
      </c>
      <c r="AM415" s="1926">
        <f t="shared" si="60"/>
        <v>0.2</v>
      </c>
      <c r="AN415" s="1956">
        <f t="shared" si="63"/>
        <v>0.14000000000000001</v>
      </c>
      <c r="AO415" s="1893"/>
      <c r="AP415" s="1872"/>
      <c r="AQ415" s="1931"/>
      <c r="AR415" s="1915"/>
    </row>
    <row r="416" spans="1:44">
      <c r="A416" s="1927"/>
      <c r="B416" s="1883">
        <v>4</v>
      </c>
      <c r="C416" s="1871">
        <v>5</v>
      </c>
      <c r="D416" s="1926">
        <v>0.14000000000000001</v>
      </c>
      <c r="E416" s="1913">
        <v>0.25</v>
      </c>
      <c r="F416" s="1927"/>
      <c r="G416" s="1883">
        <v>4</v>
      </c>
      <c r="H416" s="1871">
        <v>5</v>
      </c>
      <c r="I416" s="1926">
        <v>0.09</v>
      </c>
      <c r="J416" s="1913">
        <v>0.16</v>
      </c>
      <c r="K416" s="1927"/>
      <c r="L416" s="1883">
        <v>4</v>
      </c>
      <c r="M416" s="1871">
        <v>5</v>
      </c>
      <c r="N416" s="1926">
        <v>0.13</v>
      </c>
      <c r="O416" s="1913">
        <v>0.23</v>
      </c>
      <c r="P416" s="1927"/>
      <c r="Q416" s="1883"/>
      <c r="R416" s="1871"/>
      <c r="S416" s="1926"/>
      <c r="T416" s="1913"/>
      <c r="U416" s="1927"/>
      <c r="V416" s="1883">
        <v>4</v>
      </c>
      <c r="W416" s="1871">
        <v>5</v>
      </c>
      <c r="X416" s="1926">
        <v>0.16</v>
      </c>
      <c r="Y416" s="1913">
        <v>0.23</v>
      </c>
      <c r="Z416" s="1927"/>
      <c r="AA416" s="1883">
        <v>4</v>
      </c>
      <c r="AB416" s="1871">
        <v>5</v>
      </c>
      <c r="AC416" s="1926">
        <v>0.19</v>
      </c>
      <c r="AD416" s="1913">
        <v>0.36</v>
      </c>
      <c r="AF416" s="1883">
        <v>4</v>
      </c>
      <c r="AG416" s="1871">
        <v>5</v>
      </c>
      <c r="AH416" s="1926">
        <v>0.17</v>
      </c>
      <c r="AI416" s="1913">
        <v>0.28999999999999998</v>
      </c>
      <c r="AK416" s="1955">
        <f t="shared" si="61"/>
        <v>0.13</v>
      </c>
      <c r="AL416" s="1926">
        <f t="shared" si="62"/>
        <v>0.16</v>
      </c>
      <c r="AM416" s="1926">
        <f t="shared" si="60"/>
        <v>0.19</v>
      </c>
      <c r="AN416" s="1956">
        <f t="shared" si="63"/>
        <v>0.17</v>
      </c>
      <c r="AO416" s="1893"/>
      <c r="AP416" s="1872"/>
      <c r="AQ416" s="1931"/>
      <c r="AR416" s="1915"/>
    </row>
    <row r="417" spans="1:44">
      <c r="A417" s="1927"/>
      <c r="B417" s="1883">
        <v>5</v>
      </c>
      <c r="C417" s="1871">
        <v>6</v>
      </c>
      <c r="D417" s="1926">
        <v>0.08</v>
      </c>
      <c r="E417" s="1913">
        <v>0.15</v>
      </c>
      <c r="F417" s="1927"/>
      <c r="G417" s="1883">
        <v>5</v>
      </c>
      <c r="H417" s="1871">
        <v>6</v>
      </c>
      <c r="I417" s="1926">
        <v>0.11</v>
      </c>
      <c r="J417" s="1913">
        <v>0.2</v>
      </c>
      <c r="K417" s="1927"/>
      <c r="L417" s="1883">
        <v>5</v>
      </c>
      <c r="M417" s="1871">
        <v>6</v>
      </c>
      <c r="N417" s="1926">
        <v>0.16</v>
      </c>
      <c r="O417" s="1913">
        <v>0.28999999999999998</v>
      </c>
      <c r="P417" s="1927"/>
      <c r="Q417" s="1883"/>
      <c r="R417" s="1871"/>
      <c r="S417" s="1926"/>
      <c r="T417" s="1913"/>
      <c r="U417" s="1927"/>
      <c r="V417" s="1883">
        <v>5</v>
      </c>
      <c r="W417" s="1871">
        <v>6</v>
      </c>
      <c r="X417" s="1926">
        <v>0.24</v>
      </c>
      <c r="Y417" s="1913">
        <v>0.35</v>
      </c>
      <c r="Z417" s="1927"/>
      <c r="AA417" s="1883">
        <v>5</v>
      </c>
      <c r="AB417" s="1871">
        <v>6</v>
      </c>
      <c r="AC417" s="1926">
        <v>0.18</v>
      </c>
      <c r="AD417" s="1913">
        <v>0.34</v>
      </c>
      <c r="AF417" s="1883">
        <v>5</v>
      </c>
      <c r="AG417" s="1871">
        <v>6</v>
      </c>
      <c r="AH417" s="1926">
        <v>0.12</v>
      </c>
      <c r="AI417" s="1913">
        <v>0.2</v>
      </c>
      <c r="AK417" s="1955">
        <f t="shared" si="61"/>
        <v>0.16</v>
      </c>
      <c r="AL417" s="1926">
        <f t="shared" si="62"/>
        <v>0.24</v>
      </c>
      <c r="AM417" s="1926">
        <f t="shared" si="60"/>
        <v>0.18</v>
      </c>
      <c r="AN417" s="1956">
        <f t="shared" si="63"/>
        <v>0.12</v>
      </c>
      <c r="AO417" s="1893"/>
      <c r="AP417" s="1872"/>
      <c r="AQ417" s="1931"/>
      <c r="AR417" s="1915"/>
    </row>
    <row r="418" spans="1:44">
      <c r="A418" s="1927"/>
      <c r="B418" s="1883">
        <v>6</v>
      </c>
      <c r="C418" s="1871">
        <v>7</v>
      </c>
      <c r="D418" s="1926">
        <v>0.34</v>
      </c>
      <c r="E418" s="1913">
        <v>0.73</v>
      </c>
      <c r="F418" s="1927"/>
      <c r="G418" s="1883">
        <v>6</v>
      </c>
      <c r="H418" s="1871">
        <v>7</v>
      </c>
      <c r="I418" s="1926">
        <v>0.19</v>
      </c>
      <c r="J418" s="1913">
        <v>0.39</v>
      </c>
      <c r="K418" s="1927"/>
      <c r="L418" s="1883">
        <v>6</v>
      </c>
      <c r="M418" s="1871">
        <v>7</v>
      </c>
      <c r="N418" s="1926">
        <v>0.22</v>
      </c>
      <c r="O418" s="1913">
        <v>0.39</v>
      </c>
      <c r="P418" s="1927"/>
      <c r="Q418" s="1883"/>
      <c r="R418" s="1871"/>
      <c r="S418" s="1926"/>
      <c r="T418" s="1913"/>
      <c r="U418" s="1927"/>
      <c r="V418" s="1883">
        <v>6</v>
      </c>
      <c r="W418" s="1871">
        <v>7</v>
      </c>
      <c r="X418" s="1926">
        <v>0.31</v>
      </c>
      <c r="Y418" s="1913">
        <v>0.51</v>
      </c>
      <c r="Z418" s="1927"/>
      <c r="AA418" s="1883">
        <v>6</v>
      </c>
      <c r="AB418" s="1871">
        <v>7</v>
      </c>
      <c r="AC418" s="1926">
        <v>0.39</v>
      </c>
      <c r="AD418" s="1913">
        <v>0.84</v>
      </c>
      <c r="AF418" s="1883">
        <v>6</v>
      </c>
      <c r="AG418" s="1871">
        <v>7</v>
      </c>
      <c r="AH418" s="1926">
        <v>0.2</v>
      </c>
      <c r="AI418" s="1913">
        <v>0.33</v>
      </c>
      <c r="AK418" s="1955">
        <f t="shared" si="61"/>
        <v>0.22</v>
      </c>
      <c r="AL418" s="1926">
        <f t="shared" si="62"/>
        <v>0.31</v>
      </c>
      <c r="AM418" s="1926">
        <f t="shared" si="60"/>
        <v>0.39</v>
      </c>
      <c r="AN418" s="1956">
        <f t="shared" si="63"/>
        <v>0.2</v>
      </c>
      <c r="AO418" s="1893"/>
      <c r="AP418" s="1872"/>
      <c r="AQ418" s="1931"/>
      <c r="AR418" s="1915"/>
    </row>
    <row r="419" spans="1:44">
      <c r="A419" s="1927"/>
      <c r="B419" s="1908">
        <v>7</v>
      </c>
      <c r="C419" s="1909">
        <v>8</v>
      </c>
      <c r="D419" s="1928">
        <v>0.34</v>
      </c>
      <c r="E419" s="1917">
        <v>0.81</v>
      </c>
      <c r="F419" s="1927"/>
      <c r="G419" s="1908">
        <v>7</v>
      </c>
      <c r="H419" s="1909">
        <v>8</v>
      </c>
      <c r="I419" s="1928">
        <v>0.26</v>
      </c>
      <c r="J419" s="1917">
        <v>0.56000000000000005</v>
      </c>
      <c r="K419" s="1927"/>
      <c r="L419" s="1908">
        <v>7</v>
      </c>
      <c r="M419" s="1909">
        <v>8</v>
      </c>
      <c r="N419" s="1928">
        <v>0.31</v>
      </c>
      <c r="O419" s="1917">
        <v>0.55000000000000004</v>
      </c>
      <c r="P419" s="1927"/>
      <c r="Q419" s="1908"/>
      <c r="R419" s="1909"/>
      <c r="S419" s="1928"/>
      <c r="T419" s="1917"/>
      <c r="U419" s="1927"/>
      <c r="V419" s="1908">
        <v>7</v>
      </c>
      <c r="W419" s="1909">
        <v>8</v>
      </c>
      <c r="X419" s="1928">
        <v>0.28999999999999998</v>
      </c>
      <c r="Y419" s="1917">
        <v>0.44</v>
      </c>
      <c r="Z419" s="1927"/>
      <c r="AA419" s="1908">
        <v>7</v>
      </c>
      <c r="AB419" s="1909">
        <v>8</v>
      </c>
      <c r="AC419" s="1928">
        <v>0.34</v>
      </c>
      <c r="AD419" s="1917">
        <v>0.76</v>
      </c>
      <c r="AF419" s="1908">
        <v>7</v>
      </c>
      <c r="AG419" s="1909">
        <v>8</v>
      </c>
      <c r="AH419" s="1928">
        <v>0.28999999999999998</v>
      </c>
      <c r="AI419" s="1917">
        <v>0.48</v>
      </c>
      <c r="AK419" s="1957">
        <f t="shared" si="61"/>
        <v>0.31</v>
      </c>
      <c r="AL419" s="1958">
        <f t="shared" si="62"/>
        <v>0.28999999999999998</v>
      </c>
      <c r="AM419" s="1958">
        <f t="shared" si="60"/>
        <v>0.34</v>
      </c>
      <c r="AN419" s="1959">
        <f t="shared" si="63"/>
        <v>0.28999999999999998</v>
      </c>
      <c r="AO419" s="1893"/>
      <c r="AP419" s="1872"/>
      <c r="AQ419" s="1931"/>
      <c r="AR419" s="1915"/>
    </row>
    <row r="420" spans="1:44">
      <c r="A420" s="1930"/>
      <c r="B420" s="1890">
        <v>8</v>
      </c>
      <c r="C420" s="1891">
        <v>9</v>
      </c>
      <c r="D420" s="1929">
        <v>0.3</v>
      </c>
      <c r="E420" s="1914">
        <v>0.74</v>
      </c>
      <c r="F420" s="1930"/>
      <c r="G420" s="1890">
        <v>8</v>
      </c>
      <c r="H420" s="1891">
        <v>9</v>
      </c>
      <c r="I420" s="1929">
        <v>1.1000000000000001</v>
      </c>
      <c r="J420" s="1914">
        <v>2.3199999999999998</v>
      </c>
      <c r="K420" s="1930"/>
      <c r="L420" s="1890">
        <v>8</v>
      </c>
      <c r="M420" s="1891">
        <v>9</v>
      </c>
      <c r="N420" s="1929">
        <v>0.15</v>
      </c>
      <c r="O420" s="1914">
        <v>0.28000000000000003</v>
      </c>
      <c r="P420" s="1930"/>
      <c r="Q420" s="1890"/>
      <c r="R420" s="1891"/>
      <c r="S420" s="1929"/>
      <c r="T420" s="1914"/>
      <c r="U420" s="1930"/>
      <c r="V420" s="1890">
        <v>8</v>
      </c>
      <c r="W420" s="1891">
        <v>9</v>
      </c>
      <c r="X420" s="1929">
        <v>0.24</v>
      </c>
      <c r="Y420" s="1914">
        <v>0.37</v>
      </c>
      <c r="Z420" s="1930"/>
      <c r="AA420" s="1890">
        <v>8</v>
      </c>
      <c r="AB420" s="1891">
        <v>9</v>
      </c>
      <c r="AC420" s="1929">
        <v>0.32</v>
      </c>
      <c r="AD420" s="1914">
        <v>0.69</v>
      </c>
      <c r="AF420" s="1890">
        <v>8</v>
      </c>
      <c r="AG420" s="1891">
        <v>9</v>
      </c>
      <c r="AH420" s="1929">
        <v>0.4</v>
      </c>
      <c r="AI420" s="1914">
        <v>0.66</v>
      </c>
      <c r="AK420" s="1952">
        <f t="shared" si="61"/>
        <v>0.15</v>
      </c>
      <c r="AL420" s="1953">
        <f t="shared" si="62"/>
        <v>0.24</v>
      </c>
      <c r="AM420" s="1953">
        <f t="shared" si="60"/>
        <v>0.32</v>
      </c>
      <c r="AN420" s="1954">
        <f t="shared" si="63"/>
        <v>0.4</v>
      </c>
      <c r="AO420" s="1893"/>
      <c r="AP420" s="1872"/>
      <c r="AQ420" s="1931"/>
      <c r="AR420" s="1915"/>
    </row>
    <row r="421" spans="1:44">
      <c r="A421" s="1930"/>
      <c r="B421" s="1893">
        <v>9</v>
      </c>
      <c r="C421" s="1872">
        <v>10</v>
      </c>
      <c r="D421" s="1931">
        <v>0.43</v>
      </c>
      <c r="E421" s="1915">
        <v>1.02</v>
      </c>
      <c r="F421" s="1930"/>
      <c r="G421" s="1893">
        <v>9</v>
      </c>
      <c r="H421" s="1872">
        <v>10</v>
      </c>
      <c r="I421" s="1931">
        <v>0.94</v>
      </c>
      <c r="J421" s="1915">
        <v>1.8</v>
      </c>
      <c r="K421" s="1930"/>
      <c r="L421" s="1893">
        <v>9</v>
      </c>
      <c r="M421" s="1872">
        <v>10</v>
      </c>
      <c r="N421" s="1931">
        <v>0.34</v>
      </c>
      <c r="O421" s="1915">
        <v>0.64</v>
      </c>
      <c r="P421" s="1930"/>
      <c r="Q421" s="1893"/>
      <c r="R421" s="1872"/>
      <c r="S421" s="1931"/>
      <c r="T421" s="1915"/>
      <c r="U421" s="1930"/>
      <c r="V421" s="1893">
        <v>9</v>
      </c>
      <c r="W421" s="1872">
        <v>10</v>
      </c>
      <c r="X421" s="1931">
        <v>0.35</v>
      </c>
      <c r="Y421" s="1915">
        <v>0.52</v>
      </c>
      <c r="Z421" s="1930"/>
      <c r="AA421" s="1893">
        <v>9</v>
      </c>
      <c r="AB421" s="1872">
        <v>10</v>
      </c>
      <c r="AC421" s="1931">
        <v>0.36</v>
      </c>
      <c r="AD421" s="1915">
        <v>0.71</v>
      </c>
      <c r="AF421" s="1893">
        <v>9</v>
      </c>
      <c r="AG421" s="1872">
        <v>10</v>
      </c>
      <c r="AH421" s="1931">
        <v>0.46</v>
      </c>
      <c r="AI421" s="1915">
        <v>0.73</v>
      </c>
      <c r="AK421" s="1955">
        <f t="shared" si="61"/>
        <v>0.34</v>
      </c>
      <c r="AL421" s="1926">
        <f t="shared" si="62"/>
        <v>0.35</v>
      </c>
      <c r="AM421" s="1926">
        <f t="shared" si="60"/>
        <v>0.36</v>
      </c>
      <c r="AN421" s="1956">
        <f t="shared" si="63"/>
        <v>0.46</v>
      </c>
      <c r="AO421" s="1893"/>
      <c r="AP421" s="1872"/>
      <c r="AQ421" s="1932"/>
      <c r="AR421" s="1916"/>
    </row>
    <row r="422" spans="1:44">
      <c r="A422" s="1930"/>
      <c r="B422" s="1893">
        <v>10</v>
      </c>
      <c r="C422" s="1872">
        <v>11</v>
      </c>
      <c r="D422" s="1931">
        <v>0.35</v>
      </c>
      <c r="E422" s="1915">
        <v>0.78</v>
      </c>
      <c r="F422" s="1930"/>
      <c r="G422" s="1893">
        <v>10</v>
      </c>
      <c r="H422" s="1872">
        <v>11</v>
      </c>
      <c r="I422" s="1931">
        <v>1.35</v>
      </c>
      <c r="J422" s="1915">
        <v>2.41</v>
      </c>
      <c r="K422" s="1930"/>
      <c r="L422" s="1893">
        <v>10</v>
      </c>
      <c r="M422" s="1872">
        <v>11</v>
      </c>
      <c r="N422" s="1931">
        <v>0.68</v>
      </c>
      <c r="O422" s="1915">
        <v>1.26</v>
      </c>
      <c r="P422" s="1930"/>
      <c r="Q422" s="1893"/>
      <c r="R422" s="1872"/>
      <c r="S422" s="1931"/>
      <c r="T422" s="1915"/>
      <c r="U422" s="1930"/>
      <c r="V422" s="1893">
        <v>10</v>
      </c>
      <c r="W422" s="1872">
        <v>11</v>
      </c>
      <c r="X422" s="1931">
        <v>0.32</v>
      </c>
      <c r="Y422" s="1915">
        <v>0.47</v>
      </c>
      <c r="Z422" s="1930"/>
      <c r="AA422" s="1893">
        <v>10</v>
      </c>
      <c r="AB422" s="1872">
        <v>11</v>
      </c>
      <c r="AC422" s="1931">
        <v>0.57999999999999996</v>
      </c>
      <c r="AD422" s="1915">
        <v>1.08</v>
      </c>
      <c r="AF422" s="1893">
        <v>10</v>
      </c>
      <c r="AG422" s="1872">
        <v>11</v>
      </c>
      <c r="AH422" s="1931">
        <v>0.32</v>
      </c>
      <c r="AI422" s="1915">
        <v>0.48</v>
      </c>
      <c r="AK422" s="1955">
        <f t="shared" si="61"/>
        <v>0.68</v>
      </c>
      <c r="AL422" s="1926">
        <f t="shared" si="62"/>
        <v>0.32</v>
      </c>
      <c r="AM422" s="1926">
        <f t="shared" si="60"/>
        <v>0.57999999999999996</v>
      </c>
      <c r="AN422" s="1956">
        <f t="shared" si="63"/>
        <v>0.32</v>
      </c>
      <c r="AO422" s="1894"/>
      <c r="AP422" s="1895"/>
      <c r="AQ422" s="1933"/>
      <c r="AR422" s="1911"/>
    </row>
    <row r="423" spans="1:44">
      <c r="A423" s="1930"/>
      <c r="B423" s="1893">
        <v>11</v>
      </c>
      <c r="C423" s="1872">
        <v>12</v>
      </c>
      <c r="D423" s="1931">
        <v>0.36</v>
      </c>
      <c r="E423" s="1915">
        <v>0.74</v>
      </c>
      <c r="F423" s="1930"/>
      <c r="G423" s="1893">
        <v>11</v>
      </c>
      <c r="H423" s="1872">
        <v>12</v>
      </c>
      <c r="I423" s="1931">
        <v>0.27</v>
      </c>
      <c r="J423" s="1915">
        <v>0.45</v>
      </c>
      <c r="K423" s="1930"/>
      <c r="L423" s="1893">
        <v>11</v>
      </c>
      <c r="M423" s="1872">
        <v>12</v>
      </c>
      <c r="N423" s="1931">
        <v>1.08</v>
      </c>
      <c r="O423" s="1915">
        <v>1.97</v>
      </c>
      <c r="P423" s="1930"/>
      <c r="Q423" s="1893"/>
      <c r="R423" s="1872"/>
      <c r="S423" s="1931"/>
      <c r="T423" s="1915"/>
      <c r="U423" s="1930"/>
      <c r="V423" s="1893">
        <v>11</v>
      </c>
      <c r="W423" s="1872">
        <v>12</v>
      </c>
      <c r="X423" s="1931">
        <v>0.28999999999999998</v>
      </c>
      <c r="Y423" s="1915">
        <v>0.4</v>
      </c>
      <c r="Z423" s="1930"/>
      <c r="AA423" s="1893">
        <v>11</v>
      </c>
      <c r="AB423" s="1872">
        <v>12</v>
      </c>
      <c r="AC423" s="1931">
        <v>0.5</v>
      </c>
      <c r="AD423" s="1915">
        <v>0.92</v>
      </c>
      <c r="AF423" s="1893">
        <v>11</v>
      </c>
      <c r="AG423" s="1872">
        <v>12</v>
      </c>
      <c r="AH423" s="1931">
        <v>0.71</v>
      </c>
      <c r="AI423" s="1915">
        <v>1.03</v>
      </c>
      <c r="AK423" s="1955">
        <f t="shared" si="61"/>
        <v>1.08</v>
      </c>
      <c r="AL423" s="1926">
        <f t="shared" si="62"/>
        <v>0.28999999999999998</v>
      </c>
      <c r="AM423" s="1926">
        <f t="shared" si="60"/>
        <v>0.5</v>
      </c>
      <c r="AN423" s="1956">
        <f t="shared" si="63"/>
        <v>0.71</v>
      </c>
      <c r="AO423" s="1910"/>
      <c r="AP423" s="1889"/>
      <c r="AQ423" s="1935"/>
      <c r="AR423" s="1912"/>
    </row>
    <row r="424" spans="1:44">
      <c r="A424" s="1930"/>
      <c r="B424" s="1893">
        <v>12</v>
      </c>
      <c r="C424" s="1872">
        <v>13</v>
      </c>
      <c r="D424" s="1931">
        <v>0.21</v>
      </c>
      <c r="E424" s="1915">
        <v>0.4</v>
      </c>
      <c r="F424" s="1930"/>
      <c r="G424" s="1893">
        <v>12</v>
      </c>
      <c r="H424" s="1872">
        <v>13</v>
      </c>
      <c r="I424" s="1931">
        <v>0.3</v>
      </c>
      <c r="J424" s="1915">
        <v>0.49</v>
      </c>
      <c r="K424" s="1930"/>
      <c r="L424" s="1893">
        <v>12</v>
      </c>
      <c r="M424" s="1872">
        <v>13</v>
      </c>
      <c r="N424" s="1931">
        <v>0.57999999999999996</v>
      </c>
      <c r="O424" s="1915">
        <v>1.04</v>
      </c>
      <c r="P424" s="1930"/>
      <c r="Q424" s="1893"/>
      <c r="R424" s="1872"/>
      <c r="S424" s="1931"/>
      <c r="T424" s="1915"/>
      <c r="U424" s="1930"/>
      <c r="V424" s="1893">
        <v>12</v>
      </c>
      <c r="W424" s="1872">
        <v>13</v>
      </c>
      <c r="X424" s="1931">
        <v>0.37</v>
      </c>
      <c r="Y424" s="1915">
        <v>0.47</v>
      </c>
      <c r="Z424" s="1930"/>
      <c r="AA424" s="1893">
        <v>12</v>
      </c>
      <c r="AB424" s="1872">
        <v>13</v>
      </c>
      <c r="AC424" s="1931">
        <v>0.44</v>
      </c>
      <c r="AD424" s="1915">
        <v>0.8</v>
      </c>
      <c r="AF424" s="1893">
        <v>12</v>
      </c>
      <c r="AG424" s="1872">
        <v>13</v>
      </c>
      <c r="AH424" s="1931">
        <v>1</v>
      </c>
      <c r="AI424" s="1915">
        <v>1.32</v>
      </c>
      <c r="AK424" s="1955">
        <f t="shared" si="61"/>
        <v>0.57999999999999996</v>
      </c>
      <c r="AL424" s="1926">
        <f t="shared" si="62"/>
        <v>0.37</v>
      </c>
      <c r="AM424" s="1926">
        <f t="shared" si="60"/>
        <v>0.44</v>
      </c>
      <c r="AN424" s="1956">
        <f t="shared" si="63"/>
        <v>1</v>
      </c>
      <c r="AO424" s="1902"/>
      <c r="AP424" s="1873"/>
      <c r="AQ424" s="1935"/>
      <c r="AR424" s="1912"/>
    </row>
    <row r="425" spans="1:44">
      <c r="A425" s="1930"/>
      <c r="B425" s="1893">
        <v>13</v>
      </c>
      <c r="C425" s="1872">
        <v>14</v>
      </c>
      <c r="D425" s="1931">
        <v>0.16</v>
      </c>
      <c r="E425" s="1915">
        <v>0.31</v>
      </c>
      <c r="F425" s="1930"/>
      <c r="G425" s="1893">
        <v>13</v>
      </c>
      <c r="H425" s="1872">
        <v>14</v>
      </c>
      <c r="I425" s="1931">
        <v>0.21</v>
      </c>
      <c r="J425" s="1915">
        <v>0.33</v>
      </c>
      <c r="K425" s="1930"/>
      <c r="L425" s="1893">
        <v>13</v>
      </c>
      <c r="M425" s="1872">
        <v>14</v>
      </c>
      <c r="N425" s="1931">
        <v>0.4</v>
      </c>
      <c r="O425" s="1915">
        <v>0.69</v>
      </c>
      <c r="P425" s="1930"/>
      <c r="Q425" s="1893"/>
      <c r="R425" s="1872"/>
      <c r="S425" s="1931"/>
      <c r="T425" s="1915"/>
      <c r="U425" s="1930"/>
      <c r="V425" s="1893">
        <v>13</v>
      </c>
      <c r="W425" s="1872">
        <v>14</v>
      </c>
      <c r="X425" s="1931">
        <v>0.3</v>
      </c>
      <c r="Y425" s="1915">
        <v>0.35</v>
      </c>
      <c r="Z425" s="1930"/>
      <c r="AA425" s="1893">
        <v>13</v>
      </c>
      <c r="AB425" s="1872">
        <v>14</v>
      </c>
      <c r="AC425" s="1931">
        <v>0.44</v>
      </c>
      <c r="AD425" s="1915">
        <v>0.77</v>
      </c>
      <c r="AF425" s="1893">
        <v>13</v>
      </c>
      <c r="AG425" s="1872">
        <v>14</v>
      </c>
      <c r="AH425" s="1931">
        <v>0.84</v>
      </c>
      <c r="AI425" s="1915">
        <v>1.02</v>
      </c>
      <c r="AK425" s="1955">
        <f t="shared" si="61"/>
        <v>0.4</v>
      </c>
      <c r="AL425" s="1926">
        <f t="shared" si="62"/>
        <v>0.3</v>
      </c>
      <c r="AM425" s="1926">
        <f t="shared" si="60"/>
        <v>0.44</v>
      </c>
      <c r="AN425" s="1956">
        <f t="shared" si="63"/>
        <v>0.84</v>
      </c>
      <c r="AO425" s="1902"/>
      <c r="AP425" s="1873"/>
      <c r="AQ425" s="1935"/>
      <c r="AR425" s="1912"/>
    </row>
    <row r="426" spans="1:44">
      <c r="A426" s="1930"/>
      <c r="B426" s="1893">
        <v>14</v>
      </c>
      <c r="C426" s="1872">
        <v>15</v>
      </c>
      <c r="D426" s="1931">
        <v>0.32</v>
      </c>
      <c r="E426" s="1915">
        <v>0.64</v>
      </c>
      <c r="F426" s="1930"/>
      <c r="G426" s="1893">
        <v>14</v>
      </c>
      <c r="H426" s="1872">
        <v>15</v>
      </c>
      <c r="I426" s="1931">
        <v>0.22</v>
      </c>
      <c r="J426" s="1915">
        <v>0.35</v>
      </c>
      <c r="K426" s="1930"/>
      <c r="L426" s="1893">
        <v>14</v>
      </c>
      <c r="M426" s="1872">
        <v>15</v>
      </c>
      <c r="N426" s="1931">
        <v>0.28999999999999998</v>
      </c>
      <c r="O426" s="1915">
        <v>0.49</v>
      </c>
      <c r="P426" s="1930"/>
      <c r="Q426" s="1893"/>
      <c r="R426" s="1872"/>
      <c r="S426" s="1931"/>
      <c r="T426" s="1915"/>
      <c r="U426" s="1930"/>
      <c r="V426" s="1893">
        <v>14</v>
      </c>
      <c r="W426" s="1872">
        <v>15</v>
      </c>
      <c r="X426" s="1931">
        <v>0.18</v>
      </c>
      <c r="Y426" s="1915">
        <v>0.18</v>
      </c>
      <c r="Z426" s="1930"/>
      <c r="AA426" s="1893">
        <v>14</v>
      </c>
      <c r="AB426" s="1872">
        <v>15</v>
      </c>
      <c r="AC426" s="1931">
        <v>0.56000000000000005</v>
      </c>
      <c r="AD426" s="1915">
        <v>0.97</v>
      </c>
      <c r="AF426" s="1893">
        <v>14</v>
      </c>
      <c r="AG426" s="1872">
        <v>15</v>
      </c>
      <c r="AH426" s="1931">
        <v>0.66</v>
      </c>
      <c r="AI426" s="1915">
        <v>0.74</v>
      </c>
      <c r="AK426" s="1955">
        <f t="shared" si="61"/>
        <v>0.28999999999999998</v>
      </c>
      <c r="AL426" s="1926">
        <f t="shared" si="62"/>
        <v>0.18</v>
      </c>
      <c r="AM426" s="1926">
        <f t="shared" si="60"/>
        <v>0.56000000000000005</v>
      </c>
      <c r="AN426" s="1956">
        <f t="shared" si="63"/>
        <v>0.66</v>
      </c>
      <c r="AO426" s="1902"/>
      <c r="AP426" s="1873"/>
      <c r="AQ426" s="1935"/>
      <c r="AR426" s="1912"/>
    </row>
    <row r="427" spans="1:44">
      <c r="A427" s="1930"/>
      <c r="B427" s="1893">
        <v>15</v>
      </c>
      <c r="C427" s="1872">
        <v>16</v>
      </c>
      <c r="D427" s="1931">
        <v>0.25</v>
      </c>
      <c r="E427" s="1915">
        <v>0.52</v>
      </c>
      <c r="F427" s="1930"/>
      <c r="G427" s="1893">
        <v>15</v>
      </c>
      <c r="H427" s="1872">
        <v>16</v>
      </c>
      <c r="I427" s="1931">
        <v>0.4</v>
      </c>
      <c r="J427" s="1915">
        <v>0.64</v>
      </c>
      <c r="K427" s="1930"/>
      <c r="L427" s="1893">
        <v>15</v>
      </c>
      <c r="M427" s="1872">
        <v>16</v>
      </c>
      <c r="N427" s="1931">
        <v>0.32</v>
      </c>
      <c r="O427" s="1915">
        <v>0.54</v>
      </c>
      <c r="P427" s="1930"/>
      <c r="Q427" s="1893"/>
      <c r="R427" s="1872"/>
      <c r="S427" s="1931"/>
      <c r="T427" s="1915"/>
      <c r="U427" s="1930"/>
      <c r="V427" s="1893">
        <v>15</v>
      </c>
      <c r="W427" s="1872">
        <v>16</v>
      </c>
      <c r="X427" s="1931">
        <v>0.36</v>
      </c>
      <c r="Y427" s="1915">
        <v>0.34</v>
      </c>
      <c r="Z427" s="1930"/>
      <c r="AA427" s="1893">
        <v>15</v>
      </c>
      <c r="AB427" s="1872">
        <v>16</v>
      </c>
      <c r="AC427" s="1931">
        <v>0.51</v>
      </c>
      <c r="AD427" s="1915">
        <v>0.9</v>
      </c>
      <c r="AF427" s="1893">
        <v>15</v>
      </c>
      <c r="AG427" s="1872">
        <v>16</v>
      </c>
      <c r="AH427" s="1931">
        <v>0.77</v>
      </c>
      <c r="AI427" s="1915">
        <v>0.94</v>
      </c>
      <c r="AK427" s="1955">
        <f t="shared" si="61"/>
        <v>0.32</v>
      </c>
      <c r="AL427" s="1926">
        <f t="shared" si="62"/>
        <v>0.36</v>
      </c>
      <c r="AM427" s="1926">
        <f t="shared" si="60"/>
        <v>0.51</v>
      </c>
      <c r="AN427" s="1956">
        <f t="shared" si="63"/>
        <v>0.77</v>
      </c>
      <c r="AO427" s="1902"/>
      <c r="AP427" s="1873"/>
      <c r="AQ427" s="1935"/>
      <c r="AR427" s="1912"/>
    </row>
    <row r="428" spans="1:44">
      <c r="A428" s="1930"/>
      <c r="B428" s="1893">
        <v>16</v>
      </c>
      <c r="C428" s="1872">
        <v>17</v>
      </c>
      <c r="D428" s="1931">
        <v>0.44</v>
      </c>
      <c r="E428" s="1915">
        <v>0.94</v>
      </c>
      <c r="F428" s="1930"/>
      <c r="G428" s="1893">
        <v>16</v>
      </c>
      <c r="H428" s="1872">
        <v>17</v>
      </c>
      <c r="I428" s="1931">
        <v>0.28000000000000003</v>
      </c>
      <c r="J428" s="1915">
        <v>0.47</v>
      </c>
      <c r="K428" s="1930"/>
      <c r="L428" s="1893">
        <v>16</v>
      </c>
      <c r="M428" s="1872">
        <v>17</v>
      </c>
      <c r="N428" s="1931">
        <v>0.42</v>
      </c>
      <c r="O428" s="1915">
        <v>0.72</v>
      </c>
      <c r="P428" s="1930"/>
      <c r="Q428" s="1893"/>
      <c r="R428" s="1872"/>
      <c r="S428" s="1931"/>
      <c r="T428" s="1915"/>
      <c r="U428" s="1930"/>
      <c r="V428" s="1893">
        <v>16</v>
      </c>
      <c r="W428" s="1872">
        <v>17</v>
      </c>
      <c r="X428" s="1931">
        <v>0.32</v>
      </c>
      <c r="Y428" s="1915">
        <v>0.38</v>
      </c>
      <c r="Z428" s="1930"/>
      <c r="AA428" s="1893">
        <v>16</v>
      </c>
      <c r="AB428" s="1872">
        <v>17</v>
      </c>
      <c r="AC428" s="1931">
        <v>0.5</v>
      </c>
      <c r="AD428" s="1915">
        <v>0.91</v>
      </c>
      <c r="AF428" s="1893">
        <v>16</v>
      </c>
      <c r="AG428" s="1872">
        <v>17</v>
      </c>
      <c r="AH428" s="1931">
        <v>0.36</v>
      </c>
      <c r="AI428" s="1915">
        <v>0.51</v>
      </c>
      <c r="AK428" s="1955">
        <f t="shared" si="61"/>
        <v>0.42</v>
      </c>
      <c r="AL428" s="1926">
        <f t="shared" si="62"/>
        <v>0.32</v>
      </c>
      <c r="AM428" s="1926">
        <f t="shared" si="60"/>
        <v>0.5</v>
      </c>
      <c r="AN428" s="1956">
        <f t="shared" si="63"/>
        <v>0.36</v>
      </c>
      <c r="AO428" s="1902"/>
      <c r="AP428" s="1873"/>
      <c r="AQ428" s="1936"/>
      <c r="AR428" s="1937"/>
    </row>
    <row r="429" spans="1:44">
      <c r="A429" s="1930"/>
      <c r="B429" s="1894">
        <v>17</v>
      </c>
      <c r="C429" s="1895">
        <v>18</v>
      </c>
      <c r="D429" s="1932">
        <v>0.38</v>
      </c>
      <c r="E429" s="1916">
        <v>1.2</v>
      </c>
      <c r="F429" s="1930"/>
      <c r="G429" s="1894">
        <v>17</v>
      </c>
      <c r="H429" s="1895">
        <v>18</v>
      </c>
      <c r="I429" s="1932">
        <v>0.61</v>
      </c>
      <c r="J429" s="1916">
        <v>1.53</v>
      </c>
      <c r="K429" s="1930"/>
      <c r="L429" s="1894">
        <v>17</v>
      </c>
      <c r="M429" s="1895">
        <v>18</v>
      </c>
      <c r="N429" s="1932">
        <v>1.0900000000000001</v>
      </c>
      <c r="O429" s="1916">
        <v>1.92</v>
      </c>
      <c r="P429" s="1930"/>
      <c r="Q429" s="1894"/>
      <c r="R429" s="1895"/>
      <c r="S429" s="1932"/>
      <c r="T429" s="1916"/>
      <c r="U429" s="1930"/>
      <c r="V429" s="1894">
        <v>17</v>
      </c>
      <c r="W429" s="1895">
        <v>18</v>
      </c>
      <c r="X429" s="1932">
        <v>0.93</v>
      </c>
      <c r="Y429" s="1916">
        <v>1.28</v>
      </c>
      <c r="Z429" s="1930"/>
      <c r="AA429" s="1894">
        <v>17</v>
      </c>
      <c r="AB429" s="1895">
        <v>18</v>
      </c>
      <c r="AC429" s="1932">
        <v>0.96</v>
      </c>
      <c r="AD429" s="1916">
        <v>1.81</v>
      </c>
      <c r="AF429" s="1894">
        <v>17</v>
      </c>
      <c r="AG429" s="1895">
        <v>18</v>
      </c>
      <c r="AH429" s="1932">
        <v>1.0900000000000001</v>
      </c>
      <c r="AI429" s="1916">
        <v>1.78</v>
      </c>
      <c r="AK429" s="1957">
        <f t="shared" si="61"/>
        <v>1.0900000000000001</v>
      </c>
      <c r="AL429" s="1958">
        <f t="shared" si="62"/>
        <v>0.93</v>
      </c>
      <c r="AM429" s="1958">
        <f t="shared" si="60"/>
        <v>0.96</v>
      </c>
      <c r="AN429" s="1959">
        <f t="shared" si="63"/>
        <v>1.0900000000000001</v>
      </c>
      <c r="AO429" s="2766"/>
      <c r="AP429" s="2766"/>
      <c r="AQ429" s="1926"/>
      <c r="AR429" s="1913"/>
    </row>
    <row r="430" spans="1:44">
      <c r="A430" s="1934"/>
      <c r="B430" s="1910">
        <v>18</v>
      </c>
      <c r="C430" s="1889">
        <v>19</v>
      </c>
      <c r="D430" s="1933">
        <v>0.43</v>
      </c>
      <c r="E430" s="1911">
        <v>1.36</v>
      </c>
      <c r="F430" s="1934"/>
      <c r="G430" s="1910">
        <v>18</v>
      </c>
      <c r="H430" s="1889">
        <v>19</v>
      </c>
      <c r="I430" s="1933">
        <v>0.32</v>
      </c>
      <c r="J430" s="1911">
        <v>0.81</v>
      </c>
      <c r="K430" s="1934"/>
      <c r="L430" s="1910">
        <v>18</v>
      </c>
      <c r="M430" s="1889">
        <v>19</v>
      </c>
      <c r="N430" s="1933">
        <v>0.69</v>
      </c>
      <c r="O430" s="1911">
        <v>1.31</v>
      </c>
      <c r="P430" s="1934"/>
      <c r="Q430" s="1910"/>
      <c r="R430" s="1889"/>
      <c r="S430" s="1933"/>
      <c r="T430" s="1911"/>
      <c r="U430" s="1934"/>
      <c r="V430" s="1910">
        <v>18</v>
      </c>
      <c r="W430" s="1889">
        <v>19</v>
      </c>
      <c r="X430" s="1933">
        <v>0.47</v>
      </c>
      <c r="Y430" s="1911">
        <v>0.64</v>
      </c>
      <c r="Z430" s="1934"/>
      <c r="AA430" s="1910">
        <v>18</v>
      </c>
      <c r="AB430" s="1889">
        <v>19</v>
      </c>
      <c r="AC430" s="1933">
        <v>0.53</v>
      </c>
      <c r="AD430" s="1911">
        <v>1.1000000000000001</v>
      </c>
      <c r="AF430" s="1910">
        <v>18</v>
      </c>
      <c r="AG430" s="1889">
        <v>19</v>
      </c>
      <c r="AH430" s="1933">
        <v>0.39</v>
      </c>
      <c r="AI430" s="1911">
        <v>0.7</v>
      </c>
      <c r="AK430" s="1952">
        <f t="shared" si="61"/>
        <v>0.69</v>
      </c>
      <c r="AL430" s="1953">
        <f t="shared" si="62"/>
        <v>0.47</v>
      </c>
      <c r="AM430" s="1953">
        <f t="shared" si="60"/>
        <v>0.53</v>
      </c>
      <c r="AN430" s="1954">
        <f t="shared" si="63"/>
        <v>0.39</v>
      </c>
      <c r="AO430" s="1883"/>
      <c r="AP430" s="1871"/>
      <c r="AQ430" s="1926"/>
      <c r="AR430" s="1913"/>
    </row>
    <row r="431" spans="1:44">
      <c r="A431" s="1934"/>
      <c r="B431" s="1902">
        <v>19</v>
      </c>
      <c r="C431" s="1873">
        <v>20</v>
      </c>
      <c r="D431" s="1935">
        <v>0.46</v>
      </c>
      <c r="E431" s="1912">
        <v>1.4</v>
      </c>
      <c r="F431" s="1934"/>
      <c r="G431" s="1902">
        <v>19</v>
      </c>
      <c r="H431" s="1873">
        <v>20</v>
      </c>
      <c r="I431" s="1935">
        <v>0.2</v>
      </c>
      <c r="J431" s="1912">
        <v>0.51</v>
      </c>
      <c r="K431" s="1934"/>
      <c r="L431" s="1902">
        <v>19</v>
      </c>
      <c r="M431" s="1873">
        <v>20</v>
      </c>
      <c r="N431" s="1935">
        <v>0.33</v>
      </c>
      <c r="O431" s="1912">
        <v>0.68</v>
      </c>
      <c r="P431" s="1934"/>
      <c r="Q431" s="1902"/>
      <c r="R431" s="1873"/>
      <c r="S431" s="1935"/>
      <c r="T431" s="1912"/>
      <c r="U431" s="1934"/>
      <c r="V431" s="1902">
        <v>19</v>
      </c>
      <c r="W431" s="1873">
        <v>20</v>
      </c>
      <c r="X431" s="1935">
        <v>0.5</v>
      </c>
      <c r="Y431" s="1912">
        <v>0.68</v>
      </c>
      <c r="Z431" s="1934"/>
      <c r="AA431" s="1902">
        <v>19</v>
      </c>
      <c r="AB431" s="1873">
        <v>20</v>
      </c>
      <c r="AC431" s="1935">
        <v>0.53</v>
      </c>
      <c r="AD431" s="1912">
        <v>1.23</v>
      </c>
      <c r="AF431" s="1902">
        <v>19</v>
      </c>
      <c r="AG431" s="1873">
        <v>20</v>
      </c>
      <c r="AH431" s="1935">
        <v>0.41</v>
      </c>
      <c r="AI431" s="1912">
        <v>0.79</v>
      </c>
      <c r="AK431" s="1955">
        <f t="shared" si="61"/>
        <v>0.33</v>
      </c>
      <c r="AL431" s="1926">
        <f t="shared" si="62"/>
        <v>0.5</v>
      </c>
      <c r="AM431" s="1926">
        <f t="shared" si="60"/>
        <v>0.53</v>
      </c>
      <c r="AN431" s="1956">
        <f t="shared" si="63"/>
        <v>0.41</v>
      </c>
      <c r="AO431" s="1883"/>
      <c r="AP431" s="1871"/>
      <c r="AQ431" s="1926"/>
      <c r="AR431" s="1913"/>
    </row>
    <row r="432" spans="1:44">
      <c r="A432" s="1934"/>
      <c r="B432" s="1902">
        <v>20</v>
      </c>
      <c r="C432" s="1873">
        <v>21</v>
      </c>
      <c r="D432" s="1935">
        <v>0.34</v>
      </c>
      <c r="E432" s="1912">
        <v>0.69</v>
      </c>
      <c r="F432" s="1934"/>
      <c r="G432" s="1902">
        <v>20</v>
      </c>
      <c r="H432" s="1873">
        <v>21</v>
      </c>
      <c r="I432" s="1935">
        <v>0.19</v>
      </c>
      <c r="J432" s="1912">
        <v>0.33</v>
      </c>
      <c r="K432" s="1934"/>
      <c r="L432" s="1902">
        <v>20</v>
      </c>
      <c r="M432" s="1873">
        <v>21</v>
      </c>
      <c r="N432" s="1935">
        <v>0.37</v>
      </c>
      <c r="O432" s="1912">
        <v>0.79</v>
      </c>
      <c r="P432" s="1934"/>
      <c r="Q432" s="1902"/>
      <c r="R432" s="1873"/>
      <c r="S432" s="1935"/>
      <c r="T432" s="1912"/>
      <c r="U432" s="1934"/>
      <c r="V432" s="1902">
        <v>20</v>
      </c>
      <c r="W432" s="1873">
        <v>21</v>
      </c>
      <c r="X432" s="1935">
        <v>0.28000000000000003</v>
      </c>
      <c r="Y432" s="1912">
        <v>0.38</v>
      </c>
      <c r="Z432" s="1934"/>
      <c r="AA432" s="1902">
        <v>20</v>
      </c>
      <c r="AB432" s="1873">
        <v>21</v>
      </c>
      <c r="AC432" s="1935">
        <v>0.47</v>
      </c>
      <c r="AD432" s="1912">
        <v>1.1499999999999999</v>
      </c>
      <c r="AF432" s="1902">
        <v>20</v>
      </c>
      <c r="AG432" s="1873">
        <v>21</v>
      </c>
      <c r="AH432" s="1935">
        <v>0.32</v>
      </c>
      <c r="AI432" s="1912">
        <v>0.78</v>
      </c>
      <c r="AK432" s="1955">
        <f t="shared" si="61"/>
        <v>0.37</v>
      </c>
      <c r="AL432" s="1926">
        <f t="shared" si="62"/>
        <v>0.28000000000000003</v>
      </c>
      <c r="AM432" s="1926">
        <f t="shared" si="60"/>
        <v>0.47</v>
      </c>
      <c r="AN432" s="1956">
        <f t="shared" si="63"/>
        <v>0.32</v>
      </c>
      <c r="AO432" s="1883"/>
      <c r="AP432" s="1871"/>
      <c r="AQ432" s="1926"/>
      <c r="AR432" s="1913"/>
    </row>
    <row r="433" spans="1:44">
      <c r="A433" s="1934"/>
      <c r="B433" s="1902">
        <v>21</v>
      </c>
      <c r="C433" s="1873">
        <v>22</v>
      </c>
      <c r="D433" s="1935">
        <v>0.21</v>
      </c>
      <c r="E433" s="1912">
        <v>0.43</v>
      </c>
      <c r="F433" s="1934"/>
      <c r="G433" s="1902">
        <v>21</v>
      </c>
      <c r="H433" s="1873">
        <v>22</v>
      </c>
      <c r="I433" s="1935">
        <v>0.33</v>
      </c>
      <c r="J433" s="1912">
        <v>0.54</v>
      </c>
      <c r="K433" s="1934"/>
      <c r="L433" s="1902">
        <v>21</v>
      </c>
      <c r="M433" s="1873">
        <v>22</v>
      </c>
      <c r="N433" s="1935">
        <v>0.27</v>
      </c>
      <c r="O433" s="1912">
        <v>0.56000000000000005</v>
      </c>
      <c r="P433" s="1934"/>
      <c r="Q433" s="1902"/>
      <c r="R433" s="1873"/>
      <c r="S433" s="1935"/>
      <c r="T433" s="1912"/>
      <c r="U433" s="1934"/>
      <c r="V433" s="1902">
        <v>21</v>
      </c>
      <c r="W433" s="1873">
        <v>22</v>
      </c>
      <c r="X433" s="1935">
        <v>0.38</v>
      </c>
      <c r="Y433" s="1912">
        <v>0.48</v>
      </c>
      <c r="Z433" s="1934"/>
      <c r="AA433" s="1902">
        <v>21</v>
      </c>
      <c r="AB433" s="1873">
        <v>22</v>
      </c>
      <c r="AC433" s="1935">
        <v>0.42</v>
      </c>
      <c r="AD433" s="1912">
        <v>1.01</v>
      </c>
      <c r="AF433" s="1902">
        <v>21</v>
      </c>
      <c r="AG433" s="1873">
        <v>22</v>
      </c>
      <c r="AH433" s="1935">
        <v>0.38</v>
      </c>
      <c r="AI433" s="1912">
        <v>0.86</v>
      </c>
      <c r="AK433" s="1955">
        <f t="shared" si="61"/>
        <v>0.27</v>
      </c>
      <c r="AL433" s="1926">
        <f t="shared" si="62"/>
        <v>0.38</v>
      </c>
      <c r="AM433" s="1926">
        <f t="shared" si="60"/>
        <v>0.42</v>
      </c>
      <c r="AN433" s="1956">
        <f t="shared" si="63"/>
        <v>0.38</v>
      </c>
      <c r="AO433" s="1883"/>
      <c r="AP433" s="1871"/>
      <c r="AQ433" s="1926"/>
      <c r="AR433" s="1913"/>
    </row>
    <row r="434" spans="1:44">
      <c r="A434" s="1934"/>
      <c r="B434" s="1902">
        <v>22</v>
      </c>
      <c r="C434" s="1873">
        <v>23</v>
      </c>
      <c r="D434" s="1935">
        <v>0.09</v>
      </c>
      <c r="E434" s="1912">
        <v>0.17</v>
      </c>
      <c r="F434" s="1934"/>
      <c r="G434" s="1902">
        <v>22</v>
      </c>
      <c r="H434" s="1873">
        <v>23</v>
      </c>
      <c r="I434" s="1935">
        <v>0.2</v>
      </c>
      <c r="J434" s="1912">
        <v>0.32</v>
      </c>
      <c r="K434" s="1934"/>
      <c r="L434" s="1902">
        <v>22</v>
      </c>
      <c r="M434" s="1873">
        <v>23</v>
      </c>
      <c r="N434" s="1935">
        <v>0.32</v>
      </c>
      <c r="O434" s="1912">
        <v>0.65</v>
      </c>
      <c r="P434" s="1934"/>
      <c r="Q434" s="1902"/>
      <c r="R434" s="1873"/>
      <c r="S434" s="1935"/>
      <c r="T434" s="1912"/>
      <c r="U434" s="1934"/>
      <c r="V434" s="1902">
        <v>22</v>
      </c>
      <c r="W434" s="1873">
        <v>23</v>
      </c>
      <c r="X434" s="1935">
        <v>0.28999999999999998</v>
      </c>
      <c r="Y434" s="1912">
        <v>0.31</v>
      </c>
      <c r="Z434" s="1934"/>
      <c r="AA434" s="1902">
        <v>22</v>
      </c>
      <c r="AB434" s="1873">
        <v>23</v>
      </c>
      <c r="AC434" s="1935">
        <v>0.47</v>
      </c>
      <c r="AD434" s="1912">
        <v>1.05</v>
      </c>
      <c r="AF434" s="1902">
        <v>22</v>
      </c>
      <c r="AG434" s="1873">
        <v>23</v>
      </c>
      <c r="AH434" s="1935">
        <v>0.15</v>
      </c>
      <c r="AI434" s="1912">
        <v>0.34</v>
      </c>
      <c r="AK434" s="1955">
        <f t="shared" si="61"/>
        <v>0.32</v>
      </c>
      <c r="AL434" s="1926">
        <f t="shared" si="62"/>
        <v>0.28999999999999998</v>
      </c>
      <c r="AM434" s="1926">
        <f t="shared" si="60"/>
        <v>0.47</v>
      </c>
      <c r="AN434" s="1956">
        <f t="shared" si="63"/>
        <v>0.15</v>
      </c>
      <c r="AO434" s="1883"/>
      <c r="AP434" s="1871"/>
      <c r="AQ434" s="1926"/>
      <c r="AR434" s="1913"/>
    </row>
    <row r="435" spans="1:44" ht="15" thickBot="1">
      <c r="A435" s="1934"/>
      <c r="B435" s="1902">
        <v>23</v>
      </c>
      <c r="C435" s="1873">
        <v>24</v>
      </c>
      <c r="D435" s="1935">
        <v>0.15</v>
      </c>
      <c r="E435" s="1912">
        <v>0.27</v>
      </c>
      <c r="F435" s="1934"/>
      <c r="G435" s="1902">
        <v>23</v>
      </c>
      <c r="H435" s="1873">
        <v>24</v>
      </c>
      <c r="I435" s="1935">
        <v>0.12</v>
      </c>
      <c r="J435" s="1912">
        <v>0.19</v>
      </c>
      <c r="K435" s="1934"/>
      <c r="L435" s="1902">
        <v>23</v>
      </c>
      <c r="M435" s="1873">
        <v>24</v>
      </c>
      <c r="N435" s="1935">
        <v>0.1</v>
      </c>
      <c r="O435" s="1912">
        <v>0.2</v>
      </c>
      <c r="P435" s="1934"/>
      <c r="Q435" s="1902"/>
      <c r="R435" s="1873"/>
      <c r="S435" s="1935"/>
      <c r="T435" s="1912"/>
      <c r="U435" s="1934"/>
      <c r="V435" s="1902">
        <v>23</v>
      </c>
      <c r="W435" s="1873">
        <v>24</v>
      </c>
      <c r="X435" s="1935">
        <v>0.22</v>
      </c>
      <c r="Y435" s="1912">
        <v>0.21</v>
      </c>
      <c r="Z435" s="1934"/>
      <c r="AA435" s="1902">
        <v>23</v>
      </c>
      <c r="AB435" s="1873">
        <v>24</v>
      </c>
      <c r="AC435" s="1935">
        <v>0.18</v>
      </c>
      <c r="AD435" s="1912">
        <v>0.38</v>
      </c>
      <c r="AF435" s="1902">
        <v>23</v>
      </c>
      <c r="AG435" s="1873">
        <v>24</v>
      </c>
      <c r="AH435" s="1935">
        <v>0.13</v>
      </c>
      <c r="AI435" s="1912">
        <v>0.28999999999999998</v>
      </c>
      <c r="AK435" s="1957">
        <f t="shared" si="61"/>
        <v>0.1</v>
      </c>
      <c r="AL435" s="1958">
        <f t="shared" si="62"/>
        <v>0.22</v>
      </c>
      <c r="AM435" s="1958">
        <f t="shared" si="60"/>
        <v>0.18</v>
      </c>
      <c r="AN435" s="1959">
        <f t="shared" si="63"/>
        <v>0.13</v>
      </c>
      <c r="AO435" s="1883"/>
      <c r="AP435" s="1871"/>
      <c r="AQ435" s="1926"/>
      <c r="AR435" s="1913"/>
    </row>
    <row r="436" spans="1:44">
      <c r="B436" s="2766">
        <v>44974</v>
      </c>
      <c r="C436" s="2766"/>
      <c r="D436" s="1922">
        <f>SUM(D437:D460)</f>
        <v>7.1000000000000005</v>
      </c>
      <c r="E436" s="1923">
        <f>SUM(E437:E460)</f>
        <v>11.430000000000001</v>
      </c>
      <c r="G436" s="2773">
        <v>45002</v>
      </c>
      <c r="H436" s="2773"/>
      <c r="I436" s="1922">
        <f>SUM(I437:I460)</f>
        <v>6.8699999999999992</v>
      </c>
      <c r="J436" s="1923">
        <f>SUM(J437:J460)</f>
        <v>12.940000000000001</v>
      </c>
      <c r="L436" s="2773">
        <v>45033</v>
      </c>
      <c r="M436" s="2773"/>
      <c r="N436" s="1936">
        <f>SUM(N437:N460)</f>
        <v>6.28</v>
      </c>
      <c r="O436" s="1937">
        <f>SUM(O437:O460)</f>
        <v>12.240000000000002</v>
      </c>
      <c r="Q436" s="2766">
        <v>45063</v>
      </c>
      <c r="R436" s="2766"/>
      <c r="S436" s="1936"/>
      <c r="T436" s="1937"/>
      <c r="V436" s="2766">
        <v>45063</v>
      </c>
      <c r="W436" s="2766"/>
      <c r="X436" s="1936">
        <f>SUM(X437:X460)</f>
        <v>8.14</v>
      </c>
      <c r="Y436" s="1937">
        <f>SUM(Y437:Y460)</f>
        <v>10.67</v>
      </c>
      <c r="AA436" s="2766">
        <v>45094</v>
      </c>
      <c r="AB436" s="2766"/>
      <c r="AC436" s="1936">
        <f>SUM(AC437:AC460)</f>
        <v>9.77</v>
      </c>
      <c r="AD436" s="1937">
        <f>SUM(AD437:AD460)</f>
        <v>17.109999999999996</v>
      </c>
      <c r="AF436" s="2766">
        <v>45124</v>
      </c>
      <c r="AG436" s="2766"/>
      <c r="AH436" s="1936">
        <f>SUM(AH437:AH460)</f>
        <v>7.629999999999999</v>
      </c>
      <c r="AI436" s="1937">
        <f>SUM(AI437:AI460)</f>
        <v>14.22</v>
      </c>
      <c r="AO436" s="1883"/>
      <c r="AP436" s="1871"/>
      <c r="AQ436" s="1928"/>
      <c r="AR436" s="1917"/>
    </row>
    <row r="437" spans="1:44">
      <c r="A437" s="1927"/>
      <c r="B437" s="1883">
        <v>0</v>
      </c>
      <c r="C437" s="1871">
        <v>1</v>
      </c>
      <c r="D437" s="1926">
        <v>0.13</v>
      </c>
      <c r="E437" s="1913">
        <v>0.23</v>
      </c>
      <c r="F437" s="1927"/>
      <c r="G437" s="1883">
        <v>0</v>
      </c>
      <c r="H437" s="1871">
        <v>1</v>
      </c>
      <c r="I437" s="1926">
        <v>0.12</v>
      </c>
      <c r="J437" s="1913">
        <v>0.15</v>
      </c>
      <c r="K437" s="1927"/>
      <c r="L437" s="1883">
        <v>0</v>
      </c>
      <c r="M437" s="1871">
        <v>1</v>
      </c>
      <c r="N437" s="1926">
        <v>0.11</v>
      </c>
      <c r="O437" s="1913">
        <v>0.21</v>
      </c>
      <c r="P437" s="1927"/>
      <c r="Q437" s="1883"/>
      <c r="R437" s="1871"/>
      <c r="S437" s="1926"/>
      <c r="T437" s="1913"/>
      <c r="U437" s="1927"/>
      <c r="V437" s="1883">
        <v>0</v>
      </c>
      <c r="W437" s="1871">
        <v>1</v>
      </c>
      <c r="X437" s="1926">
        <v>0.13</v>
      </c>
      <c r="Y437" s="1913">
        <v>0.13</v>
      </c>
      <c r="Z437" s="1927"/>
      <c r="AA437" s="1883">
        <v>0</v>
      </c>
      <c r="AB437" s="1871">
        <v>1</v>
      </c>
      <c r="AC437" s="1926">
        <v>0.21</v>
      </c>
      <c r="AD437" s="1913">
        <v>0.43</v>
      </c>
      <c r="AF437" s="1883">
        <v>0</v>
      </c>
      <c r="AG437" s="1871">
        <v>1</v>
      </c>
      <c r="AH437" s="1926">
        <v>0.18</v>
      </c>
      <c r="AI437" s="1913">
        <v>0.35</v>
      </c>
      <c r="AK437" s="1952">
        <f>N437</f>
        <v>0.11</v>
      </c>
      <c r="AL437" s="1953">
        <f>X437</f>
        <v>0.13</v>
      </c>
      <c r="AM437" s="1953">
        <f t="shared" ref="AM437:AM460" si="64">AC437</f>
        <v>0.21</v>
      </c>
      <c r="AN437" s="1954">
        <f>AH437</f>
        <v>0.18</v>
      </c>
      <c r="AO437" s="1908"/>
      <c r="AP437" s="1909"/>
      <c r="AQ437" s="1929"/>
      <c r="AR437" s="1914"/>
    </row>
    <row r="438" spans="1:44">
      <c r="A438" s="1927"/>
      <c r="B438" s="1883">
        <v>1</v>
      </c>
      <c r="C438" s="1871">
        <v>2</v>
      </c>
      <c r="D438" s="1926">
        <v>0.16</v>
      </c>
      <c r="E438" s="1913">
        <v>0.28000000000000003</v>
      </c>
      <c r="F438" s="1927"/>
      <c r="G438" s="1883">
        <v>1</v>
      </c>
      <c r="H438" s="1871">
        <v>2</v>
      </c>
      <c r="I438" s="1926">
        <v>0.09</v>
      </c>
      <c r="J438" s="1913">
        <v>0.12</v>
      </c>
      <c r="K438" s="1927"/>
      <c r="L438" s="1883">
        <v>1</v>
      </c>
      <c r="M438" s="1871">
        <v>2</v>
      </c>
      <c r="N438" s="1926">
        <v>0.12</v>
      </c>
      <c r="O438" s="1913">
        <v>0.22</v>
      </c>
      <c r="P438" s="1927"/>
      <c r="Q438" s="1883"/>
      <c r="R438" s="1871"/>
      <c r="S438" s="1926"/>
      <c r="T438" s="1913"/>
      <c r="U438" s="1927"/>
      <c r="V438" s="1883">
        <v>1</v>
      </c>
      <c r="W438" s="1871">
        <v>2</v>
      </c>
      <c r="X438" s="1926">
        <v>0.23</v>
      </c>
      <c r="Y438" s="1913">
        <v>0.25</v>
      </c>
      <c r="Z438" s="1927"/>
      <c r="AA438" s="1883">
        <v>1</v>
      </c>
      <c r="AB438" s="1871">
        <v>2</v>
      </c>
      <c r="AC438" s="1926">
        <v>0.17</v>
      </c>
      <c r="AD438" s="1913">
        <v>0.33</v>
      </c>
      <c r="AF438" s="1883">
        <v>1</v>
      </c>
      <c r="AG438" s="1871">
        <v>2</v>
      </c>
      <c r="AH438" s="1926">
        <v>0.16</v>
      </c>
      <c r="AI438" s="1913">
        <v>0.32</v>
      </c>
      <c r="AK438" s="1955">
        <f t="shared" ref="AK438:AK460" si="65">N438</f>
        <v>0.12</v>
      </c>
      <c r="AL438" s="1926">
        <f t="shared" ref="AL438:AL460" si="66">X438</f>
        <v>0.23</v>
      </c>
      <c r="AM438" s="1926">
        <f t="shared" si="64"/>
        <v>0.17</v>
      </c>
      <c r="AN438" s="1956">
        <f t="shared" ref="AN438:AN460" si="67">AH438</f>
        <v>0.16</v>
      </c>
      <c r="AO438" s="1890"/>
      <c r="AP438" s="1891"/>
      <c r="AQ438" s="1931"/>
      <c r="AR438" s="1915"/>
    </row>
    <row r="439" spans="1:44">
      <c r="A439" s="1927"/>
      <c r="B439" s="1883">
        <v>2</v>
      </c>
      <c r="C439" s="1871">
        <v>3</v>
      </c>
      <c r="D439" s="1926">
        <v>0.16</v>
      </c>
      <c r="E439" s="1913">
        <v>0.27</v>
      </c>
      <c r="F439" s="1927"/>
      <c r="G439" s="1883">
        <v>2</v>
      </c>
      <c r="H439" s="1871">
        <v>3</v>
      </c>
      <c r="I439" s="1926">
        <v>0.13</v>
      </c>
      <c r="J439" s="1913">
        <v>0.17</v>
      </c>
      <c r="K439" s="1927"/>
      <c r="L439" s="1883">
        <v>2</v>
      </c>
      <c r="M439" s="1871">
        <v>3</v>
      </c>
      <c r="N439" s="1926">
        <v>0.14000000000000001</v>
      </c>
      <c r="O439" s="1913">
        <v>0.26</v>
      </c>
      <c r="P439" s="1927"/>
      <c r="Q439" s="1883"/>
      <c r="R439" s="1871"/>
      <c r="S439" s="1926"/>
      <c r="T439" s="1913"/>
      <c r="U439" s="1927"/>
      <c r="V439" s="1883">
        <v>2</v>
      </c>
      <c r="W439" s="1871">
        <v>3</v>
      </c>
      <c r="X439" s="1926">
        <v>0.18</v>
      </c>
      <c r="Y439" s="1913">
        <v>0.2</v>
      </c>
      <c r="Z439" s="1927"/>
      <c r="AA439" s="1883">
        <v>2</v>
      </c>
      <c r="AB439" s="1871">
        <v>3</v>
      </c>
      <c r="AC439" s="1926">
        <v>0.24</v>
      </c>
      <c r="AD439" s="1913">
        <v>0.46</v>
      </c>
      <c r="AF439" s="1883">
        <v>2</v>
      </c>
      <c r="AG439" s="1871">
        <v>3</v>
      </c>
      <c r="AH439" s="1926">
        <v>0.18</v>
      </c>
      <c r="AI439" s="1913">
        <v>0.37</v>
      </c>
      <c r="AK439" s="1955">
        <f t="shared" si="65"/>
        <v>0.14000000000000001</v>
      </c>
      <c r="AL439" s="1926">
        <f t="shared" si="66"/>
        <v>0.18</v>
      </c>
      <c r="AM439" s="1926">
        <f t="shared" si="64"/>
        <v>0.24</v>
      </c>
      <c r="AN439" s="1956">
        <f t="shared" si="67"/>
        <v>0.18</v>
      </c>
      <c r="AO439" s="1893"/>
      <c r="AP439" s="1872"/>
      <c r="AQ439" s="1931"/>
      <c r="AR439" s="1915"/>
    </row>
    <row r="440" spans="1:44">
      <c r="A440" s="1927"/>
      <c r="B440" s="1883">
        <v>3</v>
      </c>
      <c r="C440" s="1871">
        <v>4</v>
      </c>
      <c r="D440" s="1926">
        <v>0.1</v>
      </c>
      <c r="E440" s="1913">
        <v>0.16</v>
      </c>
      <c r="F440" s="1927"/>
      <c r="G440" s="1883">
        <v>3</v>
      </c>
      <c r="H440" s="1871">
        <v>4</v>
      </c>
      <c r="I440" s="1926">
        <v>0.11</v>
      </c>
      <c r="J440" s="1913">
        <v>0.15</v>
      </c>
      <c r="K440" s="1927"/>
      <c r="L440" s="1883">
        <v>3</v>
      </c>
      <c r="M440" s="1871">
        <v>4</v>
      </c>
      <c r="N440" s="1926">
        <v>0.13</v>
      </c>
      <c r="O440" s="1913">
        <v>0.24</v>
      </c>
      <c r="P440" s="1927"/>
      <c r="Q440" s="1883"/>
      <c r="R440" s="1871"/>
      <c r="S440" s="1926"/>
      <c r="T440" s="1913"/>
      <c r="U440" s="1927"/>
      <c r="V440" s="1883">
        <v>3</v>
      </c>
      <c r="W440" s="1871">
        <v>4</v>
      </c>
      <c r="X440" s="1926">
        <v>0.17</v>
      </c>
      <c r="Y440" s="1913">
        <v>0.19</v>
      </c>
      <c r="Z440" s="1927"/>
      <c r="AA440" s="1883">
        <v>3</v>
      </c>
      <c r="AB440" s="1871">
        <v>4</v>
      </c>
      <c r="AC440" s="1926">
        <v>0.17</v>
      </c>
      <c r="AD440" s="1913">
        <v>0.32</v>
      </c>
      <c r="AF440" s="1883">
        <v>3</v>
      </c>
      <c r="AG440" s="1871">
        <v>4</v>
      </c>
      <c r="AH440" s="1926">
        <v>0.1</v>
      </c>
      <c r="AI440" s="1913">
        <v>0.2</v>
      </c>
      <c r="AK440" s="1955">
        <f t="shared" si="65"/>
        <v>0.13</v>
      </c>
      <c r="AL440" s="1926">
        <f t="shared" si="66"/>
        <v>0.17</v>
      </c>
      <c r="AM440" s="1926">
        <f t="shared" si="64"/>
        <v>0.17</v>
      </c>
      <c r="AN440" s="1956">
        <f t="shared" si="67"/>
        <v>0.1</v>
      </c>
      <c r="AO440" s="1893"/>
      <c r="AP440" s="1872"/>
      <c r="AQ440" s="1931"/>
      <c r="AR440" s="1915"/>
    </row>
    <row r="441" spans="1:44">
      <c r="A441" s="1927"/>
      <c r="B441" s="1883">
        <v>4</v>
      </c>
      <c r="C441" s="1871">
        <v>5</v>
      </c>
      <c r="D441" s="1926">
        <v>0.16</v>
      </c>
      <c r="E441" s="1913">
        <v>0.25</v>
      </c>
      <c r="F441" s="1927"/>
      <c r="G441" s="1883">
        <v>4</v>
      </c>
      <c r="H441" s="1871">
        <v>5</v>
      </c>
      <c r="I441" s="1926">
        <v>0.13</v>
      </c>
      <c r="J441" s="1913">
        <v>0.18</v>
      </c>
      <c r="K441" s="1927"/>
      <c r="L441" s="1883">
        <v>4</v>
      </c>
      <c r="M441" s="1871">
        <v>5</v>
      </c>
      <c r="N441" s="1926">
        <v>0.04</v>
      </c>
      <c r="O441" s="1913">
        <v>7.0000000000000007E-2</v>
      </c>
      <c r="P441" s="1927"/>
      <c r="Q441" s="1883"/>
      <c r="R441" s="1871"/>
      <c r="S441" s="1926"/>
      <c r="T441" s="1913"/>
      <c r="U441" s="1927"/>
      <c r="V441" s="1883">
        <v>4</v>
      </c>
      <c r="W441" s="1871">
        <v>5</v>
      </c>
      <c r="X441" s="1926">
        <v>0.18</v>
      </c>
      <c r="Y441" s="1913">
        <v>0.2</v>
      </c>
      <c r="Z441" s="1927"/>
      <c r="AA441" s="1883">
        <v>4</v>
      </c>
      <c r="AB441" s="1871">
        <v>5</v>
      </c>
      <c r="AC441" s="1926">
        <v>0.21</v>
      </c>
      <c r="AD441" s="1913">
        <v>0.39</v>
      </c>
      <c r="AF441" s="1883">
        <v>4</v>
      </c>
      <c r="AG441" s="1871">
        <v>5</v>
      </c>
      <c r="AH441" s="1926">
        <v>0.17</v>
      </c>
      <c r="AI441" s="1913">
        <v>0.33</v>
      </c>
      <c r="AK441" s="1955">
        <f t="shared" si="65"/>
        <v>0.04</v>
      </c>
      <c r="AL441" s="1926">
        <f t="shared" si="66"/>
        <v>0.18</v>
      </c>
      <c r="AM441" s="1926">
        <f t="shared" si="64"/>
        <v>0.21</v>
      </c>
      <c r="AN441" s="1956">
        <f t="shared" si="67"/>
        <v>0.17</v>
      </c>
      <c r="AO441" s="1893"/>
      <c r="AP441" s="1872"/>
      <c r="AQ441" s="1931"/>
      <c r="AR441" s="1915"/>
    </row>
    <row r="442" spans="1:44">
      <c r="A442" s="1927"/>
      <c r="B442" s="1883">
        <v>5</v>
      </c>
      <c r="C442" s="1871">
        <v>6</v>
      </c>
      <c r="D442" s="1926">
        <v>0.1</v>
      </c>
      <c r="E442" s="1913">
        <v>0.16</v>
      </c>
      <c r="F442" s="1927"/>
      <c r="G442" s="1883">
        <v>5</v>
      </c>
      <c r="H442" s="1871">
        <v>6</v>
      </c>
      <c r="I442" s="1926">
        <v>0.11</v>
      </c>
      <c r="J442" s="1913">
        <v>0.17</v>
      </c>
      <c r="K442" s="1927"/>
      <c r="L442" s="1883">
        <v>5</v>
      </c>
      <c r="M442" s="1871">
        <v>6</v>
      </c>
      <c r="N442" s="1926">
        <v>0.14000000000000001</v>
      </c>
      <c r="O442" s="1913">
        <v>0.27</v>
      </c>
      <c r="P442" s="1927"/>
      <c r="Q442" s="1883"/>
      <c r="R442" s="1871"/>
      <c r="S442" s="1926"/>
      <c r="T442" s="1913"/>
      <c r="U442" s="1927"/>
      <c r="V442" s="1883">
        <v>5</v>
      </c>
      <c r="W442" s="1871">
        <v>6</v>
      </c>
      <c r="X442" s="1926">
        <v>0.19</v>
      </c>
      <c r="Y442" s="1913">
        <v>0.22</v>
      </c>
      <c r="Z442" s="1927"/>
      <c r="AA442" s="1883">
        <v>5</v>
      </c>
      <c r="AB442" s="1871">
        <v>6</v>
      </c>
      <c r="AC442" s="1926">
        <v>0.16</v>
      </c>
      <c r="AD442" s="1913">
        <v>0.28999999999999998</v>
      </c>
      <c r="AF442" s="1883">
        <v>5</v>
      </c>
      <c r="AG442" s="1871">
        <v>6</v>
      </c>
      <c r="AH442" s="1926">
        <v>0.14000000000000001</v>
      </c>
      <c r="AI442" s="1913">
        <v>0.28000000000000003</v>
      </c>
      <c r="AK442" s="1955">
        <f t="shared" si="65"/>
        <v>0.14000000000000001</v>
      </c>
      <c r="AL442" s="1926">
        <f t="shared" si="66"/>
        <v>0.19</v>
      </c>
      <c r="AM442" s="1926">
        <f t="shared" si="64"/>
        <v>0.16</v>
      </c>
      <c r="AN442" s="1956">
        <f t="shared" si="67"/>
        <v>0.14000000000000001</v>
      </c>
      <c r="AO442" s="1893"/>
      <c r="AP442" s="1872"/>
      <c r="AQ442" s="1931"/>
      <c r="AR442" s="1915"/>
    </row>
    <row r="443" spans="1:44">
      <c r="A443" s="1927"/>
      <c r="B443" s="1883">
        <v>6</v>
      </c>
      <c r="C443" s="1871">
        <v>7</v>
      </c>
      <c r="D443" s="1926">
        <v>0.22</v>
      </c>
      <c r="E443" s="1913">
        <v>0.36</v>
      </c>
      <c r="F443" s="1927"/>
      <c r="G443" s="1883">
        <v>6</v>
      </c>
      <c r="H443" s="1871">
        <v>7</v>
      </c>
      <c r="I443" s="1926">
        <v>0.11</v>
      </c>
      <c r="J443" s="1913">
        <v>0.18</v>
      </c>
      <c r="K443" s="1927"/>
      <c r="L443" s="1883">
        <v>6</v>
      </c>
      <c r="M443" s="1871">
        <v>7</v>
      </c>
      <c r="N443" s="1926">
        <v>0.14000000000000001</v>
      </c>
      <c r="O443" s="1913">
        <v>0.3</v>
      </c>
      <c r="P443" s="1927"/>
      <c r="Q443" s="1883"/>
      <c r="R443" s="1871"/>
      <c r="S443" s="1926"/>
      <c r="T443" s="1913"/>
      <c r="U443" s="1927"/>
      <c r="V443" s="1883">
        <v>6</v>
      </c>
      <c r="W443" s="1871">
        <v>7</v>
      </c>
      <c r="X443" s="1926">
        <v>0.26</v>
      </c>
      <c r="Y443" s="1913">
        <v>0.32</v>
      </c>
      <c r="Z443" s="1927"/>
      <c r="AA443" s="1883">
        <v>6</v>
      </c>
      <c r="AB443" s="1871">
        <v>7</v>
      </c>
      <c r="AC443" s="1926">
        <v>0.23</v>
      </c>
      <c r="AD443" s="1913">
        <v>0.42</v>
      </c>
      <c r="AF443" s="1883">
        <v>6</v>
      </c>
      <c r="AG443" s="1871">
        <v>7</v>
      </c>
      <c r="AH443" s="1926">
        <v>0.23</v>
      </c>
      <c r="AI443" s="1913">
        <v>0.48</v>
      </c>
      <c r="AK443" s="1955">
        <f t="shared" si="65"/>
        <v>0.14000000000000001</v>
      </c>
      <c r="AL443" s="1926">
        <f t="shared" si="66"/>
        <v>0.26</v>
      </c>
      <c r="AM443" s="1926">
        <f t="shared" si="64"/>
        <v>0.23</v>
      </c>
      <c r="AN443" s="1956">
        <f t="shared" si="67"/>
        <v>0.23</v>
      </c>
      <c r="AO443" s="1893"/>
      <c r="AP443" s="1872"/>
      <c r="AQ443" s="1931"/>
      <c r="AR443" s="1915"/>
    </row>
    <row r="444" spans="1:44">
      <c r="A444" s="1927"/>
      <c r="B444" s="1908">
        <v>7</v>
      </c>
      <c r="C444" s="1909">
        <v>8</v>
      </c>
      <c r="D444" s="1928">
        <v>0.49</v>
      </c>
      <c r="E444" s="1917">
        <v>0.83</v>
      </c>
      <c r="F444" s="1927"/>
      <c r="G444" s="1908">
        <v>7</v>
      </c>
      <c r="H444" s="1909">
        <v>8</v>
      </c>
      <c r="I444" s="1928">
        <v>0.22</v>
      </c>
      <c r="J444" s="1917">
        <v>0.37</v>
      </c>
      <c r="K444" s="1927"/>
      <c r="L444" s="1908">
        <v>7</v>
      </c>
      <c r="M444" s="1909">
        <v>8</v>
      </c>
      <c r="N444" s="1928">
        <v>0.16</v>
      </c>
      <c r="O444" s="1917">
        <v>0.4</v>
      </c>
      <c r="P444" s="1927"/>
      <c r="Q444" s="1908"/>
      <c r="R444" s="1909"/>
      <c r="S444" s="1928"/>
      <c r="T444" s="1917"/>
      <c r="U444" s="1927"/>
      <c r="V444" s="1908">
        <v>7</v>
      </c>
      <c r="W444" s="1909">
        <v>8</v>
      </c>
      <c r="X444" s="1928">
        <v>0.44</v>
      </c>
      <c r="Y444" s="1917">
        <v>0.56999999999999995</v>
      </c>
      <c r="Z444" s="1927"/>
      <c r="AA444" s="1908">
        <v>7</v>
      </c>
      <c r="AB444" s="1909">
        <v>8</v>
      </c>
      <c r="AC444" s="1928">
        <v>0.28999999999999998</v>
      </c>
      <c r="AD444" s="1917">
        <v>0.53</v>
      </c>
      <c r="AF444" s="1908">
        <v>7</v>
      </c>
      <c r="AG444" s="1909">
        <v>8</v>
      </c>
      <c r="AH444" s="1928">
        <v>0.25</v>
      </c>
      <c r="AI444" s="1917">
        <v>0.5</v>
      </c>
      <c r="AK444" s="1957">
        <f t="shared" si="65"/>
        <v>0.16</v>
      </c>
      <c r="AL444" s="1958">
        <f t="shared" si="66"/>
        <v>0.44</v>
      </c>
      <c r="AM444" s="1958">
        <f t="shared" si="64"/>
        <v>0.28999999999999998</v>
      </c>
      <c r="AN444" s="1959">
        <f t="shared" si="67"/>
        <v>0.25</v>
      </c>
      <c r="AO444" s="1893"/>
      <c r="AP444" s="1872"/>
      <c r="AQ444" s="1931"/>
      <c r="AR444" s="1915"/>
    </row>
    <row r="445" spans="1:44">
      <c r="A445" s="1930"/>
      <c r="B445" s="1890">
        <v>8</v>
      </c>
      <c r="C445" s="1891">
        <v>9</v>
      </c>
      <c r="D445" s="1929">
        <v>0.39</v>
      </c>
      <c r="E445" s="1914">
        <v>0.66</v>
      </c>
      <c r="F445" s="1930"/>
      <c r="G445" s="1890">
        <v>8</v>
      </c>
      <c r="H445" s="1891">
        <v>9</v>
      </c>
      <c r="I445" s="1929">
        <v>0.23</v>
      </c>
      <c r="J445" s="1914">
        <v>0.4</v>
      </c>
      <c r="K445" s="1930"/>
      <c r="L445" s="1890">
        <v>8</v>
      </c>
      <c r="M445" s="1891">
        <v>9</v>
      </c>
      <c r="N445" s="1929">
        <v>0.35</v>
      </c>
      <c r="O445" s="1914">
        <v>0.94</v>
      </c>
      <c r="P445" s="1930"/>
      <c r="Q445" s="1890"/>
      <c r="R445" s="1891"/>
      <c r="S445" s="1929"/>
      <c r="T445" s="1914"/>
      <c r="U445" s="1930"/>
      <c r="V445" s="1890">
        <v>8</v>
      </c>
      <c r="W445" s="1891">
        <v>9</v>
      </c>
      <c r="X445" s="1929">
        <v>0.24</v>
      </c>
      <c r="Y445" s="1914">
        <v>0.32</v>
      </c>
      <c r="Z445" s="1930"/>
      <c r="AA445" s="1890">
        <v>8</v>
      </c>
      <c r="AB445" s="1891">
        <v>9</v>
      </c>
      <c r="AC445" s="1929">
        <v>0.67</v>
      </c>
      <c r="AD445" s="1914">
        <v>1.18</v>
      </c>
      <c r="AF445" s="1890">
        <v>8</v>
      </c>
      <c r="AG445" s="1891">
        <v>9</v>
      </c>
      <c r="AH445" s="1929">
        <v>0.2</v>
      </c>
      <c r="AI445" s="1914">
        <v>0.42</v>
      </c>
      <c r="AK445" s="1952">
        <f t="shared" si="65"/>
        <v>0.35</v>
      </c>
      <c r="AL445" s="1953">
        <f t="shared" si="66"/>
        <v>0.24</v>
      </c>
      <c r="AM445" s="1953">
        <f t="shared" si="64"/>
        <v>0.67</v>
      </c>
      <c r="AN445" s="1954">
        <f t="shared" si="67"/>
        <v>0.2</v>
      </c>
      <c r="AO445" s="1893"/>
      <c r="AP445" s="1872"/>
      <c r="AQ445" s="1931"/>
      <c r="AR445" s="1915"/>
    </row>
    <row r="446" spans="1:44">
      <c r="A446" s="1930"/>
      <c r="B446" s="1893">
        <v>9</v>
      </c>
      <c r="C446" s="1872">
        <v>10</v>
      </c>
      <c r="D446" s="1931">
        <v>0.25</v>
      </c>
      <c r="E446" s="1915">
        <v>0.41</v>
      </c>
      <c r="F446" s="1930"/>
      <c r="G446" s="1893">
        <v>9</v>
      </c>
      <c r="H446" s="1872">
        <v>10</v>
      </c>
      <c r="I446" s="1931">
        <v>0.4</v>
      </c>
      <c r="J446" s="1915">
        <v>0.67</v>
      </c>
      <c r="K446" s="1930"/>
      <c r="L446" s="1893">
        <v>9</v>
      </c>
      <c r="M446" s="1872">
        <v>10</v>
      </c>
      <c r="N446" s="1931">
        <v>0.2</v>
      </c>
      <c r="O446" s="1915">
        <v>0.47</v>
      </c>
      <c r="P446" s="1930"/>
      <c r="Q446" s="1893"/>
      <c r="R446" s="1872"/>
      <c r="S446" s="1931"/>
      <c r="T446" s="1915"/>
      <c r="U446" s="1930"/>
      <c r="V446" s="1893">
        <v>9</v>
      </c>
      <c r="W446" s="1872">
        <v>10</v>
      </c>
      <c r="X446" s="1931">
        <v>0.4</v>
      </c>
      <c r="Y446" s="1915">
        <v>0.51</v>
      </c>
      <c r="Z446" s="1930"/>
      <c r="AA446" s="1893">
        <v>9</v>
      </c>
      <c r="AB446" s="1872">
        <v>10</v>
      </c>
      <c r="AC446" s="1931">
        <v>0.47</v>
      </c>
      <c r="AD446" s="1915">
        <v>0.8</v>
      </c>
      <c r="AF446" s="1893">
        <v>9</v>
      </c>
      <c r="AG446" s="1872">
        <v>10</v>
      </c>
      <c r="AH446" s="1931">
        <v>0.24</v>
      </c>
      <c r="AI446" s="1915">
        <v>0.47</v>
      </c>
      <c r="AK446" s="1955">
        <f t="shared" si="65"/>
        <v>0.2</v>
      </c>
      <c r="AL446" s="1926">
        <f t="shared" si="66"/>
        <v>0.4</v>
      </c>
      <c r="AM446" s="1926">
        <f t="shared" si="64"/>
        <v>0.47</v>
      </c>
      <c r="AN446" s="1956">
        <f t="shared" si="67"/>
        <v>0.24</v>
      </c>
      <c r="AO446" s="1893"/>
      <c r="AP446" s="1872"/>
      <c r="AQ446" s="1932"/>
      <c r="AR446" s="1916"/>
    </row>
    <row r="447" spans="1:44">
      <c r="A447" s="1930"/>
      <c r="B447" s="1893">
        <v>10</v>
      </c>
      <c r="C447" s="1872">
        <v>11</v>
      </c>
      <c r="D447" s="1931">
        <v>0.37</v>
      </c>
      <c r="E447" s="1915">
        <v>0.61</v>
      </c>
      <c r="F447" s="1930"/>
      <c r="G447" s="1893">
        <v>10</v>
      </c>
      <c r="H447" s="1872">
        <v>11</v>
      </c>
      <c r="I447" s="1931">
        <v>0.36</v>
      </c>
      <c r="J447" s="1915">
        <v>0.57999999999999996</v>
      </c>
      <c r="K447" s="1930"/>
      <c r="L447" s="1893">
        <v>10</v>
      </c>
      <c r="M447" s="1872">
        <v>11</v>
      </c>
      <c r="N447" s="1931">
        <v>0.11</v>
      </c>
      <c r="O447" s="1915">
        <v>0.23</v>
      </c>
      <c r="P447" s="1930"/>
      <c r="Q447" s="1893"/>
      <c r="R447" s="1872"/>
      <c r="S447" s="1931"/>
      <c r="T447" s="1915"/>
      <c r="U447" s="1930"/>
      <c r="V447" s="1893">
        <v>10</v>
      </c>
      <c r="W447" s="1872">
        <v>11</v>
      </c>
      <c r="X447" s="1931">
        <v>0.3</v>
      </c>
      <c r="Y447" s="1915">
        <v>0.38</v>
      </c>
      <c r="Z447" s="1930"/>
      <c r="AA447" s="1893">
        <v>10</v>
      </c>
      <c r="AB447" s="1872">
        <v>11</v>
      </c>
      <c r="AC447" s="1931">
        <v>0.43</v>
      </c>
      <c r="AD447" s="1915">
        <v>0.69</v>
      </c>
      <c r="AF447" s="1893">
        <v>10</v>
      </c>
      <c r="AG447" s="1872">
        <v>11</v>
      </c>
      <c r="AH447" s="1931">
        <v>0.36</v>
      </c>
      <c r="AI447" s="1915">
        <v>0.71</v>
      </c>
      <c r="AK447" s="1955">
        <f t="shared" si="65"/>
        <v>0.11</v>
      </c>
      <c r="AL447" s="1926">
        <f t="shared" si="66"/>
        <v>0.3</v>
      </c>
      <c r="AM447" s="1926">
        <f t="shared" si="64"/>
        <v>0.43</v>
      </c>
      <c r="AN447" s="1956">
        <f t="shared" si="67"/>
        <v>0.36</v>
      </c>
      <c r="AO447" s="1894"/>
      <c r="AP447" s="1895"/>
      <c r="AQ447" s="1933"/>
      <c r="AR447" s="1911"/>
    </row>
    <row r="448" spans="1:44">
      <c r="A448" s="1930"/>
      <c r="B448" s="1893">
        <v>11</v>
      </c>
      <c r="C448" s="1872">
        <v>12</v>
      </c>
      <c r="D448" s="1931">
        <v>0.68</v>
      </c>
      <c r="E448" s="1915">
        <v>1.1000000000000001</v>
      </c>
      <c r="F448" s="1930"/>
      <c r="G448" s="1893">
        <v>11</v>
      </c>
      <c r="H448" s="1872">
        <v>12</v>
      </c>
      <c r="I448" s="1931">
        <v>0.3</v>
      </c>
      <c r="J448" s="1915">
        <v>0.47</v>
      </c>
      <c r="K448" s="1930"/>
      <c r="L448" s="1893">
        <v>11</v>
      </c>
      <c r="M448" s="1872">
        <v>12</v>
      </c>
      <c r="N448" s="1931">
        <v>0.28000000000000003</v>
      </c>
      <c r="O448" s="1915">
        <v>0.54</v>
      </c>
      <c r="P448" s="1930"/>
      <c r="Q448" s="1893"/>
      <c r="R448" s="1872"/>
      <c r="S448" s="1931"/>
      <c r="T448" s="1915"/>
      <c r="U448" s="1930"/>
      <c r="V448" s="1893">
        <v>11</v>
      </c>
      <c r="W448" s="1872">
        <v>12</v>
      </c>
      <c r="X448" s="1931">
        <v>0.28999999999999998</v>
      </c>
      <c r="Y448" s="1915">
        <v>0.33</v>
      </c>
      <c r="Z448" s="1930"/>
      <c r="AA448" s="1893">
        <v>11</v>
      </c>
      <c r="AB448" s="1872">
        <v>12</v>
      </c>
      <c r="AC448" s="1931">
        <v>0.41</v>
      </c>
      <c r="AD448" s="1915">
        <v>0.6</v>
      </c>
      <c r="AF448" s="1893">
        <v>11</v>
      </c>
      <c r="AG448" s="1872">
        <v>12</v>
      </c>
      <c r="AH448" s="1931">
        <v>0.47</v>
      </c>
      <c r="AI448" s="1915">
        <v>0.83</v>
      </c>
      <c r="AK448" s="1955">
        <f t="shared" si="65"/>
        <v>0.28000000000000003</v>
      </c>
      <c r="AL448" s="1926">
        <f t="shared" si="66"/>
        <v>0.28999999999999998</v>
      </c>
      <c r="AM448" s="1926">
        <f t="shared" si="64"/>
        <v>0.41</v>
      </c>
      <c r="AN448" s="1956">
        <f t="shared" si="67"/>
        <v>0.47</v>
      </c>
      <c r="AO448" s="1910"/>
      <c r="AP448" s="1889"/>
      <c r="AQ448" s="1935"/>
      <c r="AR448" s="1912"/>
    </row>
    <row r="449" spans="1:44">
      <c r="A449" s="1930"/>
      <c r="B449" s="1893">
        <v>12</v>
      </c>
      <c r="C449" s="1872">
        <v>13</v>
      </c>
      <c r="D449" s="1931">
        <v>0.31</v>
      </c>
      <c r="E449" s="1915">
        <v>0.5</v>
      </c>
      <c r="F449" s="1930"/>
      <c r="G449" s="1893">
        <v>12</v>
      </c>
      <c r="H449" s="1872">
        <v>13</v>
      </c>
      <c r="I449" s="1931">
        <v>0.34</v>
      </c>
      <c r="J449" s="1915">
        <v>0.52</v>
      </c>
      <c r="K449" s="1930"/>
      <c r="L449" s="1893">
        <v>12</v>
      </c>
      <c r="M449" s="1872">
        <v>13</v>
      </c>
      <c r="N449" s="1931">
        <v>0.32</v>
      </c>
      <c r="O449" s="1915">
        <v>0.57999999999999996</v>
      </c>
      <c r="P449" s="1930"/>
      <c r="Q449" s="1893"/>
      <c r="R449" s="1872"/>
      <c r="S449" s="1931"/>
      <c r="T449" s="1915"/>
      <c r="U449" s="1930"/>
      <c r="V449" s="1893">
        <v>12</v>
      </c>
      <c r="W449" s="1872">
        <v>13</v>
      </c>
      <c r="X449" s="1931">
        <v>0.35</v>
      </c>
      <c r="Y449" s="1915">
        <v>0.3</v>
      </c>
      <c r="Z449" s="1930"/>
      <c r="AA449" s="1893">
        <v>12</v>
      </c>
      <c r="AB449" s="1872">
        <v>13</v>
      </c>
      <c r="AC449" s="1931">
        <v>0.47</v>
      </c>
      <c r="AD449" s="1915">
        <v>0.64</v>
      </c>
      <c r="AF449" s="1893">
        <v>12</v>
      </c>
      <c r="AG449" s="1872">
        <v>13</v>
      </c>
      <c r="AH449" s="1931">
        <v>0.48</v>
      </c>
      <c r="AI449" s="1915">
        <v>0.81</v>
      </c>
      <c r="AK449" s="1955">
        <f t="shared" si="65"/>
        <v>0.32</v>
      </c>
      <c r="AL449" s="1926">
        <f t="shared" si="66"/>
        <v>0.35</v>
      </c>
      <c r="AM449" s="1926">
        <f t="shared" si="64"/>
        <v>0.47</v>
      </c>
      <c r="AN449" s="1956">
        <f t="shared" si="67"/>
        <v>0.48</v>
      </c>
      <c r="AO449" s="1902"/>
      <c r="AP449" s="1873"/>
      <c r="AQ449" s="1935"/>
      <c r="AR449" s="1912"/>
    </row>
    <row r="450" spans="1:44">
      <c r="A450" s="1930"/>
      <c r="B450" s="1893">
        <v>13</v>
      </c>
      <c r="C450" s="1872">
        <v>14</v>
      </c>
      <c r="D450" s="1931">
        <v>0.28999999999999998</v>
      </c>
      <c r="E450" s="1915">
        <v>0.42</v>
      </c>
      <c r="F450" s="1930"/>
      <c r="G450" s="1893">
        <v>13</v>
      </c>
      <c r="H450" s="1872">
        <v>14</v>
      </c>
      <c r="I450" s="1931">
        <v>0.46</v>
      </c>
      <c r="J450" s="1915">
        <v>0.7</v>
      </c>
      <c r="K450" s="1930"/>
      <c r="L450" s="1893">
        <v>13</v>
      </c>
      <c r="M450" s="1872">
        <v>14</v>
      </c>
      <c r="N450" s="1931">
        <v>0.28000000000000003</v>
      </c>
      <c r="O450" s="1915">
        <v>0.49</v>
      </c>
      <c r="P450" s="1930"/>
      <c r="Q450" s="1893"/>
      <c r="R450" s="1872"/>
      <c r="S450" s="1931"/>
      <c r="T450" s="1915"/>
      <c r="U450" s="1930"/>
      <c r="V450" s="1893">
        <v>13</v>
      </c>
      <c r="W450" s="1872">
        <v>14</v>
      </c>
      <c r="X450" s="1931">
        <v>0.25</v>
      </c>
      <c r="Y450" s="1915">
        <v>0.2</v>
      </c>
      <c r="Z450" s="1930"/>
      <c r="AA450" s="1893">
        <v>13</v>
      </c>
      <c r="AB450" s="1872">
        <v>14</v>
      </c>
      <c r="AC450" s="1931">
        <v>0.34</v>
      </c>
      <c r="AD450" s="1915">
        <v>0.43</v>
      </c>
      <c r="AF450" s="1893">
        <v>13</v>
      </c>
      <c r="AG450" s="1872">
        <v>14</v>
      </c>
      <c r="AH450" s="1931">
        <v>0.36</v>
      </c>
      <c r="AI450" s="1915">
        <v>0.61</v>
      </c>
      <c r="AK450" s="1955">
        <f t="shared" si="65"/>
        <v>0.28000000000000003</v>
      </c>
      <c r="AL450" s="1926">
        <f t="shared" si="66"/>
        <v>0.25</v>
      </c>
      <c r="AM450" s="1926">
        <f t="shared" si="64"/>
        <v>0.34</v>
      </c>
      <c r="AN450" s="1956">
        <f t="shared" si="67"/>
        <v>0.36</v>
      </c>
      <c r="AO450" s="1902"/>
      <c r="AP450" s="1873"/>
      <c r="AQ450" s="1935"/>
      <c r="AR450" s="1912"/>
    </row>
    <row r="451" spans="1:44">
      <c r="A451" s="1930"/>
      <c r="B451" s="1893">
        <v>14</v>
      </c>
      <c r="C451" s="1872">
        <v>15</v>
      </c>
      <c r="D451" s="1931">
        <v>0.38</v>
      </c>
      <c r="E451" s="1915">
        <v>0.44</v>
      </c>
      <c r="F451" s="1930"/>
      <c r="G451" s="1893">
        <v>14</v>
      </c>
      <c r="H451" s="1872">
        <v>15</v>
      </c>
      <c r="I451" s="1931">
        <v>0.35</v>
      </c>
      <c r="J451" s="1915">
        <v>0.56999999999999995</v>
      </c>
      <c r="K451" s="1930"/>
      <c r="L451" s="1893">
        <v>14</v>
      </c>
      <c r="M451" s="1872">
        <v>15</v>
      </c>
      <c r="N451" s="1931">
        <v>0.2</v>
      </c>
      <c r="O451" s="1915">
        <v>0.35</v>
      </c>
      <c r="P451" s="1930"/>
      <c r="Q451" s="1893"/>
      <c r="R451" s="1872"/>
      <c r="S451" s="1931"/>
      <c r="T451" s="1915"/>
      <c r="U451" s="1930"/>
      <c r="V451" s="1893">
        <v>14</v>
      </c>
      <c r="W451" s="1872">
        <v>15</v>
      </c>
      <c r="X451" s="1931">
        <v>0.25</v>
      </c>
      <c r="Y451" s="1915">
        <v>0.2</v>
      </c>
      <c r="Z451" s="1930"/>
      <c r="AA451" s="1893">
        <v>14</v>
      </c>
      <c r="AB451" s="1872">
        <v>15</v>
      </c>
      <c r="AC451" s="1931">
        <v>0.82</v>
      </c>
      <c r="AD451" s="1915">
        <v>0.97</v>
      </c>
      <c r="AF451" s="1893">
        <v>14</v>
      </c>
      <c r="AG451" s="1872">
        <v>15</v>
      </c>
      <c r="AH451" s="1931">
        <v>0.36</v>
      </c>
      <c r="AI451" s="1915">
        <v>0.6</v>
      </c>
      <c r="AK451" s="1955">
        <f t="shared" si="65"/>
        <v>0.2</v>
      </c>
      <c r="AL451" s="1926">
        <f t="shared" si="66"/>
        <v>0.25</v>
      </c>
      <c r="AM451" s="1926">
        <f t="shared" si="64"/>
        <v>0.82</v>
      </c>
      <c r="AN451" s="1956">
        <f t="shared" si="67"/>
        <v>0.36</v>
      </c>
      <c r="AO451" s="1902"/>
      <c r="AP451" s="1873"/>
      <c r="AQ451" s="1935"/>
      <c r="AR451" s="1912"/>
    </row>
    <row r="452" spans="1:44">
      <c r="A452" s="1930"/>
      <c r="B452" s="1893">
        <v>15</v>
      </c>
      <c r="C452" s="1872">
        <v>16</v>
      </c>
      <c r="D452" s="1931">
        <v>0.75</v>
      </c>
      <c r="E452" s="1915">
        <v>0.85</v>
      </c>
      <c r="F452" s="1930"/>
      <c r="G452" s="1893">
        <v>15</v>
      </c>
      <c r="H452" s="1872">
        <v>16</v>
      </c>
      <c r="I452" s="1931">
        <v>0.36</v>
      </c>
      <c r="J452" s="1915">
        <v>0.62</v>
      </c>
      <c r="K452" s="1930"/>
      <c r="L452" s="1893">
        <v>15</v>
      </c>
      <c r="M452" s="1872">
        <v>16</v>
      </c>
      <c r="N452" s="1931">
        <v>0.19</v>
      </c>
      <c r="O452" s="1915">
        <v>0.32</v>
      </c>
      <c r="P452" s="1930"/>
      <c r="Q452" s="1893"/>
      <c r="R452" s="1872"/>
      <c r="S452" s="1931"/>
      <c r="T452" s="1915"/>
      <c r="U452" s="1930"/>
      <c r="V452" s="1893">
        <v>15</v>
      </c>
      <c r="W452" s="1872">
        <v>16</v>
      </c>
      <c r="X452" s="1931">
        <v>0.2</v>
      </c>
      <c r="Y452" s="1915">
        <v>0.17</v>
      </c>
      <c r="Z452" s="1930"/>
      <c r="AA452" s="1893">
        <v>15</v>
      </c>
      <c r="AB452" s="1872">
        <v>16</v>
      </c>
      <c r="AC452" s="1931">
        <v>0.41</v>
      </c>
      <c r="AD452" s="1915">
        <v>0.55000000000000004</v>
      </c>
      <c r="AF452" s="1893">
        <v>15</v>
      </c>
      <c r="AG452" s="1872">
        <v>16</v>
      </c>
      <c r="AH452" s="1931">
        <v>0.37</v>
      </c>
      <c r="AI452" s="1915">
        <v>0.62</v>
      </c>
      <c r="AK452" s="1955">
        <f t="shared" si="65"/>
        <v>0.19</v>
      </c>
      <c r="AL452" s="1926">
        <f t="shared" si="66"/>
        <v>0.2</v>
      </c>
      <c r="AM452" s="1926">
        <f t="shared" si="64"/>
        <v>0.41</v>
      </c>
      <c r="AN452" s="1956">
        <f t="shared" si="67"/>
        <v>0.37</v>
      </c>
      <c r="AO452" s="1902"/>
      <c r="AP452" s="1873"/>
      <c r="AQ452" s="1935"/>
      <c r="AR452" s="1912"/>
    </row>
    <row r="453" spans="1:44">
      <c r="A453" s="1930"/>
      <c r="B453" s="1893">
        <v>16</v>
      </c>
      <c r="C453" s="1872">
        <v>17</v>
      </c>
      <c r="D453" s="1931">
        <v>0.28999999999999998</v>
      </c>
      <c r="E453" s="1915">
        <v>0.43</v>
      </c>
      <c r="F453" s="1930"/>
      <c r="G453" s="1893">
        <v>16</v>
      </c>
      <c r="H453" s="1872">
        <v>17</v>
      </c>
      <c r="I453" s="1931">
        <v>0.3</v>
      </c>
      <c r="J453" s="1915">
        <v>0.55000000000000004</v>
      </c>
      <c r="K453" s="1930"/>
      <c r="L453" s="1893">
        <v>16</v>
      </c>
      <c r="M453" s="1872">
        <v>17</v>
      </c>
      <c r="N453" s="1931">
        <v>0.32</v>
      </c>
      <c r="O453" s="1915">
        <v>0.55000000000000004</v>
      </c>
      <c r="P453" s="1930"/>
      <c r="Q453" s="1893"/>
      <c r="R453" s="1872"/>
      <c r="S453" s="1931"/>
      <c r="T453" s="1915"/>
      <c r="U453" s="1930"/>
      <c r="V453" s="1893">
        <v>16</v>
      </c>
      <c r="W453" s="1872">
        <v>17</v>
      </c>
      <c r="X453" s="1931">
        <v>0.27</v>
      </c>
      <c r="Y453" s="1915">
        <v>0.27</v>
      </c>
      <c r="Z453" s="1930"/>
      <c r="AA453" s="1893">
        <v>16</v>
      </c>
      <c r="AB453" s="1872">
        <v>17</v>
      </c>
      <c r="AC453" s="1931">
        <v>0.47</v>
      </c>
      <c r="AD453" s="1915">
        <v>0.79</v>
      </c>
      <c r="AF453" s="1893">
        <v>16</v>
      </c>
      <c r="AG453" s="1872">
        <v>17</v>
      </c>
      <c r="AH453" s="1931">
        <v>0.43</v>
      </c>
      <c r="AI453" s="1915">
        <v>0.73</v>
      </c>
      <c r="AK453" s="1955">
        <f t="shared" si="65"/>
        <v>0.32</v>
      </c>
      <c r="AL453" s="1926">
        <f t="shared" si="66"/>
        <v>0.27</v>
      </c>
      <c r="AM453" s="1926">
        <f t="shared" si="64"/>
        <v>0.47</v>
      </c>
      <c r="AN453" s="1956">
        <f t="shared" si="67"/>
        <v>0.43</v>
      </c>
      <c r="AO453" s="1902"/>
      <c r="AP453" s="1873"/>
      <c r="AQ453" s="1936"/>
      <c r="AR453" s="1937"/>
    </row>
    <row r="454" spans="1:44">
      <c r="A454" s="1930"/>
      <c r="B454" s="1894">
        <v>17</v>
      </c>
      <c r="C454" s="1895">
        <v>18</v>
      </c>
      <c r="D454" s="1932">
        <v>0.37</v>
      </c>
      <c r="E454" s="1916">
        <v>0.87</v>
      </c>
      <c r="F454" s="1930"/>
      <c r="G454" s="1894">
        <v>17</v>
      </c>
      <c r="H454" s="1895">
        <v>18</v>
      </c>
      <c r="I454" s="1932">
        <v>0.23</v>
      </c>
      <c r="J454" s="1916">
        <v>0.6</v>
      </c>
      <c r="K454" s="1930"/>
      <c r="L454" s="1894">
        <v>17</v>
      </c>
      <c r="M454" s="1895">
        <v>18</v>
      </c>
      <c r="N454" s="1932">
        <v>1.47</v>
      </c>
      <c r="O454" s="1916">
        <v>2.59</v>
      </c>
      <c r="P454" s="1930"/>
      <c r="Q454" s="1894"/>
      <c r="R454" s="1895"/>
      <c r="S454" s="1932"/>
      <c r="T454" s="1916"/>
      <c r="U454" s="1930"/>
      <c r="V454" s="1894">
        <v>17</v>
      </c>
      <c r="W454" s="1895">
        <v>18</v>
      </c>
      <c r="X454" s="1932">
        <v>0.86</v>
      </c>
      <c r="Y454" s="1916">
        <v>1.17</v>
      </c>
      <c r="Z454" s="1930"/>
      <c r="AA454" s="1894">
        <v>17</v>
      </c>
      <c r="AB454" s="1895">
        <v>18</v>
      </c>
      <c r="AC454" s="1932">
        <v>1.03</v>
      </c>
      <c r="AD454" s="1916">
        <v>1.81</v>
      </c>
      <c r="AF454" s="1894">
        <v>17</v>
      </c>
      <c r="AG454" s="1895">
        <v>18</v>
      </c>
      <c r="AH454" s="1932">
        <v>0.68</v>
      </c>
      <c r="AI454" s="1916">
        <v>1.22</v>
      </c>
      <c r="AK454" s="1957">
        <f t="shared" si="65"/>
        <v>1.47</v>
      </c>
      <c r="AL454" s="1958">
        <f t="shared" si="66"/>
        <v>0.86</v>
      </c>
      <c r="AM454" s="1958">
        <f t="shared" si="64"/>
        <v>1.03</v>
      </c>
      <c r="AN454" s="1959">
        <f t="shared" si="67"/>
        <v>0.68</v>
      </c>
      <c r="AO454" s="2766"/>
      <c r="AP454" s="2766"/>
      <c r="AQ454" s="1926"/>
      <c r="AR454" s="1913"/>
    </row>
    <row r="455" spans="1:44">
      <c r="A455" s="1934"/>
      <c r="B455" s="1910">
        <v>18</v>
      </c>
      <c r="C455" s="1889">
        <v>19</v>
      </c>
      <c r="D455" s="1933">
        <v>0.3</v>
      </c>
      <c r="E455" s="1911">
        <v>0.73</v>
      </c>
      <c r="F455" s="1934"/>
      <c r="G455" s="1910">
        <v>18</v>
      </c>
      <c r="H455" s="1889">
        <v>19</v>
      </c>
      <c r="I455" s="1933">
        <v>1.18</v>
      </c>
      <c r="J455" s="1911">
        <v>3.07</v>
      </c>
      <c r="K455" s="1934"/>
      <c r="L455" s="1910">
        <v>18</v>
      </c>
      <c r="M455" s="1889">
        <v>19</v>
      </c>
      <c r="N455" s="1933">
        <v>0.31</v>
      </c>
      <c r="O455" s="1911">
        <v>0.61</v>
      </c>
      <c r="P455" s="1934"/>
      <c r="Q455" s="1910"/>
      <c r="R455" s="1889"/>
      <c r="S455" s="1933"/>
      <c r="T455" s="1911"/>
      <c r="U455" s="1934"/>
      <c r="V455" s="1910">
        <v>18</v>
      </c>
      <c r="W455" s="1889">
        <v>19</v>
      </c>
      <c r="X455" s="1933">
        <v>1.26</v>
      </c>
      <c r="Y455" s="1911">
        <v>1.79</v>
      </c>
      <c r="Z455" s="1934"/>
      <c r="AA455" s="1910">
        <v>18</v>
      </c>
      <c r="AB455" s="1889">
        <v>19</v>
      </c>
      <c r="AC455" s="1933">
        <v>0.64</v>
      </c>
      <c r="AD455" s="1911">
        <v>1.21</v>
      </c>
      <c r="AF455" s="1910">
        <v>18</v>
      </c>
      <c r="AG455" s="1889">
        <v>19</v>
      </c>
      <c r="AH455" s="1933">
        <v>0.52</v>
      </c>
      <c r="AI455" s="1911">
        <v>0.95</v>
      </c>
      <c r="AK455" s="1952">
        <f t="shared" si="65"/>
        <v>0.31</v>
      </c>
      <c r="AL455" s="1953">
        <f t="shared" si="66"/>
        <v>1.26</v>
      </c>
      <c r="AM455" s="1953">
        <f t="shared" si="64"/>
        <v>0.64</v>
      </c>
      <c r="AN455" s="1954">
        <f t="shared" si="67"/>
        <v>0.52</v>
      </c>
      <c r="AO455" s="1883"/>
      <c r="AP455" s="1871"/>
      <c r="AQ455" s="1926"/>
      <c r="AR455" s="1913"/>
    </row>
    <row r="456" spans="1:44">
      <c r="A456" s="1934"/>
      <c r="B456" s="1902">
        <v>19</v>
      </c>
      <c r="C456" s="1873">
        <v>20</v>
      </c>
      <c r="D456" s="1935">
        <v>0.3</v>
      </c>
      <c r="E456" s="1912">
        <v>0.72</v>
      </c>
      <c r="F456" s="1934"/>
      <c r="G456" s="1902">
        <v>19</v>
      </c>
      <c r="H456" s="1873">
        <v>20</v>
      </c>
      <c r="I456" s="1935">
        <v>0.41</v>
      </c>
      <c r="J456" s="1912">
        <v>1.06</v>
      </c>
      <c r="K456" s="1934"/>
      <c r="L456" s="1902">
        <v>19</v>
      </c>
      <c r="M456" s="1873">
        <v>20</v>
      </c>
      <c r="N456" s="1935">
        <v>0.33</v>
      </c>
      <c r="O456" s="1912">
        <v>0.71</v>
      </c>
      <c r="P456" s="1934"/>
      <c r="Q456" s="1902"/>
      <c r="R456" s="1873"/>
      <c r="S456" s="1935"/>
      <c r="T456" s="1912"/>
      <c r="U456" s="1934"/>
      <c r="V456" s="1902">
        <v>19</v>
      </c>
      <c r="W456" s="1873">
        <v>20</v>
      </c>
      <c r="X456" s="1935">
        <v>0.55000000000000004</v>
      </c>
      <c r="Y456" s="1912">
        <v>0.81</v>
      </c>
      <c r="Z456" s="1934"/>
      <c r="AA456" s="1902">
        <v>19</v>
      </c>
      <c r="AB456" s="1873">
        <v>20</v>
      </c>
      <c r="AC456" s="1935">
        <v>0.56999999999999995</v>
      </c>
      <c r="AD456" s="1912">
        <v>1.2</v>
      </c>
      <c r="AF456" s="1902">
        <v>19</v>
      </c>
      <c r="AG456" s="1873">
        <v>20</v>
      </c>
      <c r="AH456" s="1935">
        <v>0.44</v>
      </c>
      <c r="AI456" s="1912">
        <v>0.83</v>
      </c>
      <c r="AK456" s="1955">
        <f t="shared" si="65"/>
        <v>0.33</v>
      </c>
      <c r="AL456" s="1926">
        <f t="shared" si="66"/>
        <v>0.55000000000000004</v>
      </c>
      <c r="AM456" s="1926">
        <f t="shared" si="64"/>
        <v>0.56999999999999995</v>
      </c>
      <c r="AN456" s="1956">
        <f t="shared" si="67"/>
        <v>0.44</v>
      </c>
      <c r="AO456" s="1883"/>
      <c r="AP456" s="1871"/>
      <c r="AQ456" s="1926"/>
      <c r="AR456" s="1913"/>
    </row>
    <row r="457" spans="1:44">
      <c r="A457" s="1934"/>
      <c r="B457" s="1902">
        <v>20</v>
      </c>
      <c r="C457" s="1873">
        <v>21</v>
      </c>
      <c r="D457" s="1935">
        <v>0.36</v>
      </c>
      <c r="E457" s="1912">
        <v>0.5</v>
      </c>
      <c r="F457" s="1934"/>
      <c r="G457" s="1902">
        <v>20</v>
      </c>
      <c r="H457" s="1873">
        <v>21</v>
      </c>
      <c r="I457" s="1935">
        <v>0.28000000000000003</v>
      </c>
      <c r="J457" s="1912">
        <v>0.5</v>
      </c>
      <c r="K457" s="1934"/>
      <c r="L457" s="1902">
        <v>20</v>
      </c>
      <c r="M457" s="1873">
        <v>21</v>
      </c>
      <c r="N457" s="1935">
        <v>0.28999999999999998</v>
      </c>
      <c r="O457" s="1912">
        <v>0.62</v>
      </c>
      <c r="P457" s="1934"/>
      <c r="Q457" s="1902"/>
      <c r="R457" s="1873"/>
      <c r="S457" s="1935"/>
      <c r="T457" s="1912"/>
      <c r="U457" s="1934"/>
      <c r="V457" s="1902">
        <v>20</v>
      </c>
      <c r="W457" s="1873">
        <v>21</v>
      </c>
      <c r="X457" s="1935">
        <v>0.45</v>
      </c>
      <c r="Y457" s="1912">
        <v>0.85</v>
      </c>
      <c r="Z457" s="1934"/>
      <c r="AA457" s="1902">
        <v>20</v>
      </c>
      <c r="AB457" s="1873">
        <v>21</v>
      </c>
      <c r="AC457" s="1935">
        <v>0.4</v>
      </c>
      <c r="AD457" s="1912">
        <v>0.87</v>
      </c>
      <c r="AF457" s="1902">
        <v>20</v>
      </c>
      <c r="AG457" s="1873">
        <v>21</v>
      </c>
      <c r="AH457" s="1935">
        <v>0.48</v>
      </c>
      <c r="AI457" s="1912">
        <v>0.93</v>
      </c>
      <c r="AK457" s="1955">
        <f t="shared" si="65"/>
        <v>0.28999999999999998</v>
      </c>
      <c r="AL457" s="1926">
        <f t="shared" si="66"/>
        <v>0.45</v>
      </c>
      <c r="AM457" s="1926">
        <f t="shared" si="64"/>
        <v>0.4</v>
      </c>
      <c r="AN457" s="1956">
        <f t="shared" si="67"/>
        <v>0.48</v>
      </c>
      <c r="AO457" s="1883"/>
      <c r="AP457" s="1871"/>
      <c r="AQ457" s="1926"/>
      <c r="AR457" s="1913"/>
    </row>
    <row r="458" spans="1:44">
      <c r="A458" s="1934"/>
      <c r="B458" s="1902">
        <v>21</v>
      </c>
      <c r="C458" s="1873">
        <v>22</v>
      </c>
      <c r="D458" s="1935">
        <v>0.3</v>
      </c>
      <c r="E458" s="1912">
        <v>0.38</v>
      </c>
      <c r="F458" s="1934"/>
      <c r="G458" s="1902">
        <v>21</v>
      </c>
      <c r="H458" s="1873">
        <v>22</v>
      </c>
      <c r="I458" s="1935">
        <v>0.28000000000000003</v>
      </c>
      <c r="J458" s="1912">
        <v>0.49</v>
      </c>
      <c r="K458" s="1934"/>
      <c r="L458" s="1902">
        <v>21</v>
      </c>
      <c r="M458" s="1873">
        <v>22</v>
      </c>
      <c r="N458" s="1935">
        <v>0.27</v>
      </c>
      <c r="O458" s="1912">
        <v>0.56000000000000005</v>
      </c>
      <c r="P458" s="1934"/>
      <c r="Q458" s="1902"/>
      <c r="R458" s="1873"/>
      <c r="S458" s="1935"/>
      <c r="T458" s="1912"/>
      <c r="U458" s="1934"/>
      <c r="V458" s="1902">
        <v>21</v>
      </c>
      <c r="W458" s="1873">
        <v>22</v>
      </c>
      <c r="X458" s="1935">
        <v>0.23</v>
      </c>
      <c r="Y458" s="1912">
        <v>0.46</v>
      </c>
      <c r="Z458" s="1934"/>
      <c r="AA458" s="1902">
        <v>21</v>
      </c>
      <c r="AB458" s="1873">
        <v>22</v>
      </c>
      <c r="AC458" s="1935">
        <v>0.41</v>
      </c>
      <c r="AD458" s="1912">
        <v>0.93</v>
      </c>
      <c r="AF458" s="1902">
        <v>21</v>
      </c>
      <c r="AG458" s="1873">
        <v>22</v>
      </c>
      <c r="AH458" s="1935">
        <v>0.41</v>
      </c>
      <c r="AI458" s="1912">
        <v>0.81</v>
      </c>
      <c r="AK458" s="1955">
        <f t="shared" si="65"/>
        <v>0.27</v>
      </c>
      <c r="AL458" s="1926">
        <f t="shared" si="66"/>
        <v>0.23</v>
      </c>
      <c r="AM458" s="1926">
        <f t="shared" si="64"/>
        <v>0.41</v>
      </c>
      <c r="AN458" s="1956">
        <f t="shared" si="67"/>
        <v>0.41</v>
      </c>
      <c r="AO458" s="1883"/>
      <c r="AP458" s="1871"/>
      <c r="AQ458" s="1926"/>
      <c r="AR458" s="1913"/>
    </row>
    <row r="459" spans="1:44">
      <c r="A459" s="1934"/>
      <c r="B459" s="1902">
        <v>22</v>
      </c>
      <c r="C459" s="1873">
        <v>23</v>
      </c>
      <c r="D459" s="1935">
        <v>0.15</v>
      </c>
      <c r="E459" s="1912">
        <v>0.18</v>
      </c>
      <c r="F459" s="1934"/>
      <c r="G459" s="1902">
        <v>22</v>
      </c>
      <c r="H459" s="1873">
        <v>23</v>
      </c>
      <c r="I459" s="1935">
        <v>0.27</v>
      </c>
      <c r="J459" s="1912">
        <v>0.47</v>
      </c>
      <c r="K459" s="1934"/>
      <c r="L459" s="1902">
        <v>22</v>
      </c>
      <c r="M459" s="1873">
        <v>23</v>
      </c>
      <c r="N459" s="1935">
        <v>0.16</v>
      </c>
      <c r="O459" s="1912">
        <v>0.31</v>
      </c>
      <c r="P459" s="1934"/>
      <c r="Q459" s="1902"/>
      <c r="R459" s="1873"/>
      <c r="S459" s="1935"/>
      <c r="T459" s="1912"/>
      <c r="U459" s="1934"/>
      <c r="V459" s="1902">
        <v>22</v>
      </c>
      <c r="W459" s="1873">
        <v>23</v>
      </c>
      <c r="X459" s="1935">
        <v>0.24</v>
      </c>
      <c r="Y459" s="1912">
        <v>0.44</v>
      </c>
      <c r="Z459" s="1934"/>
      <c r="AA459" s="1902">
        <v>22</v>
      </c>
      <c r="AB459" s="1873">
        <v>23</v>
      </c>
      <c r="AC459" s="1935">
        <v>0.27</v>
      </c>
      <c r="AD459" s="1912">
        <v>0.69</v>
      </c>
      <c r="AF459" s="1902">
        <v>22</v>
      </c>
      <c r="AG459" s="1873">
        <v>23</v>
      </c>
      <c r="AH459" s="1935">
        <v>0.28000000000000003</v>
      </c>
      <c r="AI459" s="1912">
        <v>0.56000000000000005</v>
      </c>
      <c r="AK459" s="1955">
        <f t="shared" si="65"/>
        <v>0.16</v>
      </c>
      <c r="AL459" s="1926">
        <f t="shared" si="66"/>
        <v>0.24</v>
      </c>
      <c r="AM459" s="1926">
        <f t="shared" si="64"/>
        <v>0.27</v>
      </c>
      <c r="AN459" s="1956">
        <f t="shared" si="67"/>
        <v>0.28000000000000003</v>
      </c>
      <c r="AO459" s="1883"/>
      <c r="AP459" s="1871"/>
      <c r="AQ459" s="1926"/>
      <c r="AR459" s="1913"/>
    </row>
    <row r="460" spans="1:44" ht="15" thickBot="1">
      <c r="A460" s="1934"/>
      <c r="B460" s="1902">
        <v>23</v>
      </c>
      <c r="C460" s="1873">
        <v>24</v>
      </c>
      <c r="D460" s="1935">
        <v>0.09</v>
      </c>
      <c r="E460" s="1912">
        <v>0.09</v>
      </c>
      <c r="F460" s="1934"/>
      <c r="G460" s="1902">
        <v>23</v>
      </c>
      <c r="H460" s="1873">
        <v>24</v>
      </c>
      <c r="I460" s="1935">
        <v>0.1</v>
      </c>
      <c r="J460" s="1912">
        <v>0.18</v>
      </c>
      <c r="K460" s="1934"/>
      <c r="L460" s="1902">
        <v>23</v>
      </c>
      <c r="M460" s="1873">
        <v>24</v>
      </c>
      <c r="N460" s="1935">
        <v>0.22</v>
      </c>
      <c r="O460" s="1912">
        <v>0.4</v>
      </c>
      <c r="P460" s="1934"/>
      <c r="Q460" s="1902"/>
      <c r="R460" s="1873"/>
      <c r="S460" s="1935"/>
      <c r="T460" s="1912"/>
      <c r="U460" s="1934"/>
      <c r="V460" s="1902">
        <v>23</v>
      </c>
      <c r="W460" s="1873">
        <v>24</v>
      </c>
      <c r="X460" s="1935">
        <v>0.22</v>
      </c>
      <c r="Y460" s="1912">
        <v>0.39</v>
      </c>
      <c r="Z460" s="1934"/>
      <c r="AA460" s="1902">
        <v>23</v>
      </c>
      <c r="AB460" s="1873">
        <v>24</v>
      </c>
      <c r="AC460" s="1935">
        <v>0.28000000000000003</v>
      </c>
      <c r="AD460" s="1912">
        <v>0.57999999999999996</v>
      </c>
      <c r="AF460" s="1902">
        <v>23</v>
      </c>
      <c r="AG460" s="1873">
        <v>24</v>
      </c>
      <c r="AH460" s="1935">
        <v>0.14000000000000001</v>
      </c>
      <c r="AI460" s="1912">
        <v>0.28999999999999998</v>
      </c>
      <c r="AK460" s="1957">
        <f t="shared" si="65"/>
        <v>0.22</v>
      </c>
      <c r="AL460" s="1958">
        <f t="shared" si="66"/>
        <v>0.22</v>
      </c>
      <c r="AM460" s="1958">
        <f t="shared" si="64"/>
        <v>0.28000000000000003</v>
      </c>
      <c r="AN460" s="1959">
        <f t="shared" si="67"/>
        <v>0.14000000000000001</v>
      </c>
      <c r="AO460" s="1883"/>
      <c r="AP460" s="1871"/>
      <c r="AQ460" s="1926"/>
      <c r="AR460" s="1913"/>
    </row>
    <row r="461" spans="1:44">
      <c r="B461" s="2766">
        <v>44975</v>
      </c>
      <c r="C461" s="2766"/>
      <c r="D461" s="1922">
        <f>SUM(D462:D485)</f>
        <v>7.88</v>
      </c>
      <c r="E461" s="1923">
        <f>SUM(E462:E485)</f>
        <v>15.520000000000003</v>
      </c>
      <c r="G461" s="2773">
        <v>45003</v>
      </c>
      <c r="H461" s="2773"/>
      <c r="I461" s="1922">
        <f>SUM(I462:I485)</f>
        <v>6.4300000000000015</v>
      </c>
      <c r="J461" s="1923">
        <f>SUM(J462:J485)</f>
        <v>12.62</v>
      </c>
      <c r="L461" s="2773">
        <v>45034</v>
      </c>
      <c r="M461" s="2773"/>
      <c r="N461" s="1936">
        <f>SUM(N462:N485)</f>
        <v>6.4299999999999988</v>
      </c>
      <c r="O461" s="1937">
        <f>SUM(O462:O485)</f>
        <v>11.530000000000001</v>
      </c>
      <c r="Q461" s="2766">
        <v>45064</v>
      </c>
      <c r="R461" s="2766"/>
      <c r="S461" s="1936"/>
      <c r="T461" s="1937"/>
      <c r="V461" s="2766">
        <v>45064</v>
      </c>
      <c r="W461" s="2766"/>
      <c r="X461" s="1936">
        <f>SUM(X462:X485)</f>
        <v>8.9899999999999984</v>
      </c>
      <c r="Y461" s="1937">
        <f>SUM(Y462:Y485)</f>
        <v>14.290000000000001</v>
      </c>
      <c r="AA461" s="2766">
        <v>45095</v>
      </c>
      <c r="AB461" s="2766"/>
      <c r="AC461" s="1936">
        <f>SUM(AC462:AC485)</f>
        <v>9.41</v>
      </c>
      <c r="AD461" s="1937">
        <f>SUM(AD462:AD485)</f>
        <v>15.789999999999997</v>
      </c>
      <c r="AF461" s="2766">
        <v>45125</v>
      </c>
      <c r="AG461" s="2766"/>
      <c r="AH461" s="1936">
        <f>SUM(AH462:AH485)</f>
        <v>7.48</v>
      </c>
      <c r="AI461" s="1937">
        <f>SUM(AI462:AI485)</f>
        <v>18.169999999999995</v>
      </c>
      <c r="AO461" s="1883"/>
      <c r="AP461" s="1871"/>
      <c r="AQ461" s="1928"/>
      <c r="AR461" s="1917"/>
    </row>
    <row r="462" spans="1:44">
      <c r="A462" s="1927"/>
      <c r="B462" s="1883">
        <v>0</v>
      </c>
      <c r="C462" s="1871">
        <v>1</v>
      </c>
      <c r="D462" s="1926">
        <v>0.11</v>
      </c>
      <c r="E462" s="1913">
        <v>0.12</v>
      </c>
      <c r="F462" s="1927"/>
      <c r="G462" s="1883">
        <v>0</v>
      </c>
      <c r="H462" s="1871">
        <v>1</v>
      </c>
      <c r="I462" s="1926">
        <v>0.14000000000000001</v>
      </c>
      <c r="J462" s="1913">
        <v>0.25</v>
      </c>
      <c r="K462" s="1927"/>
      <c r="L462" s="1883">
        <v>0</v>
      </c>
      <c r="M462" s="1871">
        <v>1</v>
      </c>
      <c r="N462" s="1926">
        <v>0.06</v>
      </c>
      <c r="O462" s="1913">
        <v>0.11</v>
      </c>
      <c r="P462" s="1927"/>
      <c r="Q462" s="1883"/>
      <c r="R462" s="1871"/>
      <c r="S462" s="1926"/>
      <c r="T462" s="1913"/>
      <c r="U462" s="1927"/>
      <c r="V462" s="1883">
        <v>0</v>
      </c>
      <c r="W462" s="1871">
        <v>1</v>
      </c>
      <c r="X462" s="1926">
        <v>0.17</v>
      </c>
      <c r="Y462" s="1913">
        <v>0.3</v>
      </c>
      <c r="Z462" s="1927"/>
      <c r="AA462" s="1883">
        <v>0</v>
      </c>
      <c r="AB462" s="1871">
        <v>1</v>
      </c>
      <c r="AC462" s="1926">
        <v>0.22</v>
      </c>
      <c r="AD462" s="1913">
        <v>0.44</v>
      </c>
      <c r="AF462" s="1883">
        <v>0</v>
      </c>
      <c r="AG462" s="1871">
        <v>1</v>
      </c>
      <c r="AH462" s="1926">
        <v>0.16</v>
      </c>
      <c r="AI462" s="1913">
        <v>0.31</v>
      </c>
      <c r="AK462" s="1952">
        <f>N462</f>
        <v>0.06</v>
      </c>
      <c r="AL462" s="1953">
        <f>X462</f>
        <v>0.17</v>
      </c>
      <c r="AM462" s="1953">
        <f t="shared" ref="AM462:AM485" si="68">AC462</f>
        <v>0.22</v>
      </c>
      <c r="AN462" s="1954">
        <f>AH462</f>
        <v>0.16</v>
      </c>
      <c r="AO462" s="1908"/>
      <c r="AP462" s="1909"/>
      <c r="AQ462" s="1929"/>
      <c r="AR462" s="1914"/>
    </row>
    <row r="463" spans="1:44">
      <c r="A463" s="1927"/>
      <c r="B463" s="1883">
        <v>1</v>
      </c>
      <c r="C463" s="1871">
        <v>2</v>
      </c>
      <c r="D463" s="1926">
        <v>0.15</v>
      </c>
      <c r="E463" s="1913">
        <v>0.17</v>
      </c>
      <c r="F463" s="1927"/>
      <c r="G463" s="1883">
        <v>1</v>
      </c>
      <c r="H463" s="1871">
        <v>2</v>
      </c>
      <c r="I463" s="1926">
        <v>0.15</v>
      </c>
      <c r="J463" s="1913">
        <v>0.26</v>
      </c>
      <c r="K463" s="1927"/>
      <c r="L463" s="1883">
        <v>1</v>
      </c>
      <c r="M463" s="1871">
        <v>2</v>
      </c>
      <c r="N463" s="1926">
        <v>0.12</v>
      </c>
      <c r="O463" s="1913">
        <v>0.21</v>
      </c>
      <c r="P463" s="1927"/>
      <c r="Q463" s="1883"/>
      <c r="R463" s="1871"/>
      <c r="S463" s="1926"/>
      <c r="T463" s="1913"/>
      <c r="U463" s="1927"/>
      <c r="V463" s="1883">
        <v>1</v>
      </c>
      <c r="W463" s="1871">
        <v>2</v>
      </c>
      <c r="X463" s="1926">
        <v>0.17</v>
      </c>
      <c r="Y463" s="1913">
        <v>0.28999999999999998</v>
      </c>
      <c r="Z463" s="1927"/>
      <c r="AA463" s="1883">
        <v>1</v>
      </c>
      <c r="AB463" s="1871">
        <v>2</v>
      </c>
      <c r="AC463" s="1926">
        <v>0.17</v>
      </c>
      <c r="AD463" s="1913">
        <v>0.33</v>
      </c>
      <c r="AF463" s="1883">
        <v>1</v>
      </c>
      <c r="AG463" s="1871">
        <v>2</v>
      </c>
      <c r="AH463" s="1926">
        <v>0.19</v>
      </c>
      <c r="AI463" s="1913">
        <v>0.37</v>
      </c>
      <c r="AK463" s="1955">
        <f t="shared" ref="AK463:AK485" si="69">N463</f>
        <v>0.12</v>
      </c>
      <c r="AL463" s="1926">
        <f t="shared" ref="AL463:AL485" si="70">X463</f>
        <v>0.17</v>
      </c>
      <c r="AM463" s="1926">
        <f t="shared" si="68"/>
        <v>0.17</v>
      </c>
      <c r="AN463" s="1956">
        <f t="shared" ref="AN463:AN485" si="71">AH463</f>
        <v>0.19</v>
      </c>
      <c r="AO463" s="1890"/>
      <c r="AP463" s="1891"/>
      <c r="AQ463" s="1931"/>
      <c r="AR463" s="1915"/>
    </row>
    <row r="464" spans="1:44">
      <c r="A464" s="1927"/>
      <c r="B464" s="1883">
        <v>2</v>
      </c>
      <c r="C464" s="1871">
        <v>3</v>
      </c>
      <c r="D464" s="1926">
        <v>0.11</v>
      </c>
      <c r="E464" s="1913">
        <v>0.13</v>
      </c>
      <c r="F464" s="1927"/>
      <c r="G464" s="1883">
        <v>2</v>
      </c>
      <c r="H464" s="1871">
        <v>3</v>
      </c>
      <c r="I464" s="1926">
        <v>0.12</v>
      </c>
      <c r="J464" s="1913">
        <v>0.21</v>
      </c>
      <c r="K464" s="1927"/>
      <c r="L464" s="1883">
        <v>2</v>
      </c>
      <c r="M464" s="1871">
        <v>3</v>
      </c>
      <c r="N464" s="1926">
        <v>0.14000000000000001</v>
      </c>
      <c r="O464" s="1913">
        <v>0.25</v>
      </c>
      <c r="P464" s="1927"/>
      <c r="Q464" s="1883"/>
      <c r="R464" s="1871"/>
      <c r="S464" s="1926"/>
      <c r="T464" s="1913"/>
      <c r="U464" s="1927"/>
      <c r="V464" s="1883">
        <v>2</v>
      </c>
      <c r="W464" s="1871">
        <v>3</v>
      </c>
      <c r="X464" s="1926">
        <v>0.25</v>
      </c>
      <c r="Y464" s="1913">
        <v>0.41</v>
      </c>
      <c r="Z464" s="1927"/>
      <c r="AA464" s="1883">
        <v>2</v>
      </c>
      <c r="AB464" s="1871">
        <v>3</v>
      </c>
      <c r="AC464" s="1926">
        <v>0.24</v>
      </c>
      <c r="AD464" s="1913">
        <v>0.44</v>
      </c>
      <c r="AF464" s="1883">
        <v>2</v>
      </c>
      <c r="AG464" s="1871">
        <v>3</v>
      </c>
      <c r="AH464" s="1926">
        <v>0.12</v>
      </c>
      <c r="AI464" s="1913">
        <v>0.23</v>
      </c>
      <c r="AK464" s="1955">
        <f t="shared" si="69"/>
        <v>0.14000000000000001</v>
      </c>
      <c r="AL464" s="1926">
        <f t="shared" si="70"/>
        <v>0.25</v>
      </c>
      <c r="AM464" s="1926">
        <f t="shared" si="68"/>
        <v>0.24</v>
      </c>
      <c r="AN464" s="1956">
        <f t="shared" si="71"/>
        <v>0.12</v>
      </c>
      <c r="AO464" s="1893"/>
      <c r="AP464" s="1872"/>
      <c r="AQ464" s="1931"/>
      <c r="AR464" s="1915"/>
    </row>
    <row r="465" spans="1:44">
      <c r="A465" s="1927"/>
      <c r="B465" s="1883">
        <v>3</v>
      </c>
      <c r="C465" s="1871">
        <v>4</v>
      </c>
      <c r="D465" s="1926">
        <v>0.08</v>
      </c>
      <c r="E465" s="1913">
        <v>0.1</v>
      </c>
      <c r="F465" s="1927"/>
      <c r="G465" s="1883">
        <v>3</v>
      </c>
      <c r="H465" s="1871">
        <v>4</v>
      </c>
      <c r="I465" s="1926">
        <v>0.09</v>
      </c>
      <c r="J465" s="1913">
        <v>0.15</v>
      </c>
      <c r="K465" s="1927"/>
      <c r="L465" s="1883">
        <v>3</v>
      </c>
      <c r="M465" s="1871">
        <v>4</v>
      </c>
      <c r="N465" s="1926">
        <v>0.12</v>
      </c>
      <c r="O465" s="1913">
        <v>0.21</v>
      </c>
      <c r="P465" s="1927"/>
      <c r="Q465" s="1883"/>
      <c r="R465" s="1871"/>
      <c r="S465" s="1926"/>
      <c r="T465" s="1913"/>
      <c r="U465" s="1927"/>
      <c r="V465" s="1883">
        <v>3</v>
      </c>
      <c r="W465" s="1871">
        <v>4</v>
      </c>
      <c r="X465" s="1926">
        <v>0.28000000000000003</v>
      </c>
      <c r="Y465" s="1913">
        <v>0.45</v>
      </c>
      <c r="Z465" s="1927"/>
      <c r="AA465" s="1883">
        <v>3</v>
      </c>
      <c r="AB465" s="1871">
        <v>4</v>
      </c>
      <c r="AC465" s="1926">
        <v>0.17</v>
      </c>
      <c r="AD465" s="1913">
        <v>0.31</v>
      </c>
      <c r="AF465" s="1883">
        <v>3</v>
      </c>
      <c r="AG465" s="1871">
        <v>4</v>
      </c>
      <c r="AH465" s="1926">
        <v>0.15</v>
      </c>
      <c r="AI465" s="1913">
        <v>0.3</v>
      </c>
      <c r="AK465" s="1955">
        <f t="shared" si="69"/>
        <v>0.12</v>
      </c>
      <c r="AL465" s="1926">
        <f t="shared" si="70"/>
        <v>0.28000000000000003</v>
      </c>
      <c r="AM465" s="1926">
        <f t="shared" si="68"/>
        <v>0.17</v>
      </c>
      <c r="AN465" s="1956">
        <f t="shared" si="71"/>
        <v>0.15</v>
      </c>
      <c r="AO465" s="1893"/>
      <c r="AP465" s="1872"/>
      <c r="AQ465" s="1931"/>
      <c r="AR465" s="1915"/>
    </row>
    <row r="466" spans="1:44">
      <c r="A466" s="1927"/>
      <c r="B466" s="1883">
        <v>4</v>
      </c>
      <c r="C466" s="1871">
        <v>5</v>
      </c>
      <c r="D466" s="1926">
        <v>0.14000000000000001</v>
      </c>
      <c r="E466" s="1913">
        <v>0.2</v>
      </c>
      <c r="F466" s="1927"/>
      <c r="G466" s="1883">
        <v>4</v>
      </c>
      <c r="H466" s="1871">
        <v>5</v>
      </c>
      <c r="I466" s="1926">
        <v>0.26</v>
      </c>
      <c r="J466" s="1913">
        <v>0.45</v>
      </c>
      <c r="K466" s="1927"/>
      <c r="L466" s="1883">
        <v>4</v>
      </c>
      <c r="M466" s="1871">
        <v>5</v>
      </c>
      <c r="N466" s="1926">
        <v>0.11</v>
      </c>
      <c r="O466" s="1913">
        <v>0.39</v>
      </c>
      <c r="P466" s="1927"/>
      <c r="Q466" s="1883"/>
      <c r="R466" s="1871"/>
      <c r="S466" s="1926"/>
      <c r="T466" s="1913"/>
      <c r="U466" s="1927"/>
      <c r="V466" s="1883">
        <v>4</v>
      </c>
      <c r="W466" s="1871">
        <v>5</v>
      </c>
      <c r="X466" s="1926">
        <v>0.25</v>
      </c>
      <c r="Y466" s="1913">
        <v>0.42</v>
      </c>
      <c r="Z466" s="1927"/>
      <c r="AA466" s="1883">
        <v>4</v>
      </c>
      <c r="AB466" s="1871">
        <v>5</v>
      </c>
      <c r="AC466" s="1926">
        <v>0.23</v>
      </c>
      <c r="AD466" s="1913">
        <v>0.41</v>
      </c>
      <c r="AF466" s="1883">
        <v>4</v>
      </c>
      <c r="AG466" s="1871">
        <v>5</v>
      </c>
      <c r="AH466" s="1926">
        <v>0.11</v>
      </c>
      <c r="AI466" s="1913">
        <v>0.21</v>
      </c>
      <c r="AK466" s="1955">
        <f t="shared" si="69"/>
        <v>0.11</v>
      </c>
      <c r="AL466" s="1926">
        <f t="shared" si="70"/>
        <v>0.25</v>
      </c>
      <c r="AM466" s="1926">
        <f t="shared" si="68"/>
        <v>0.23</v>
      </c>
      <c r="AN466" s="1956">
        <f t="shared" si="71"/>
        <v>0.11</v>
      </c>
      <c r="AO466" s="1893"/>
      <c r="AP466" s="1872"/>
      <c r="AQ466" s="1931"/>
      <c r="AR466" s="1915"/>
    </row>
    <row r="467" spans="1:44">
      <c r="A467" s="1927"/>
      <c r="B467" s="1883">
        <v>5</v>
      </c>
      <c r="C467" s="1871">
        <v>6</v>
      </c>
      <c r="D467" s="1926">
        <v>0.11</v>
      </c>
      <c r="E467" s="1913">
        <v>0.16</v>
      </c>
      <c r="F467" s="1927"/>
      <c r="G467" s="1883">
        <v>5</v>
      </c>
      <c r="H467" s="1871">
        <v>6</v>
      </c>
      <c r="I467" s="1926">
        <v>0.28000000000000003</v>
      </c>
      <c r="J467" s="1913">
        <v>0.49</v>
      </c>
      <c r="K467" s="1927"/>
      <c r="L467" s="1883">
        <v>5</v>
      </c>
      <c r="M467" s="1871">
        <v>6</v>
      </c>
      <c r="N467" s="1926">
        <v>0.18</v>
      </c>
      <c r="O467" s="1913">
        <v>0.32</v>
      </c>
      <c r="P467" s="1927"/>
      <c r="Q467" s="1883"/>
      <c r="R467" s="1871"/>
      <c r="S467" s="1926"/>
      <c r="T467" s="1913"/>
      <c r="U467" s="1927"/>
      <c r="V467" s="1883">
        <v>5</v>
      </c>
      <c r="W467" s="1871">
        <v>6</v>
      </c>
      <c r="X467" s="1926">
        <v>0.2</v>
      </c>
      <c r="Y467" s="1913">
        <v>0.35</v>
      </c>
      <c r="Z467" s="1927"/>
      <c r="AA467" s="1883">
        <v>5</v>
      </c>
      <c r="AB467" s="1871">
        <v>6</v>
      </c>
      <c r="AC467" s="1926">
        <v>0.14000000000000001</v>
      </c>
      <c r="AD467" s="1913">
        <v>0.25</v>
      </c>
      <c r="AF467" s="1883">
        <v>5</v>
      </c>
      <c r="AG467" s="1871">
        <v>6</v>
      </c>
      <c r="AH467" s="1926">
        <v>0.19</v>
      </c>
      <c r="AI467" s="1913">
        <v>0.43</v>
      </c>
      <c r="AK467" s="1955">
        <f t="shared" si="69"/>
        <v>0.18</v>
      </c>
      <c r="AL467" s="1926">
        <f t="shared" si="70"/>
        <v>0.2</v>
      </c>
      <c r="AM467" s="1926">
        <f t="shared" si="68"/>
        <v>0.14000000000000001</v>
      </c>
      <c r="AN467" s="1956">
        <f t="shared" si="71"/>
        <v>0.19</v>
      </c>
      <c r="AO467" s="1893"/>
      <c r="AP467" s="1872"/>
      <c r="AQ467" s="1931"/>
      <c r="AR467" s="1915"/>
    </row>
    <row r="468" spans="1:44">
      <c r="A468" s="1927"/>
      <c r="B468" s="1883">
        <v>6</v>
      </c>
      <c r="C468" s="1871">
        <v>7</v>
      </c>
      <c r="D468" s="1926">
        <v>0.18</v>
      </c>
      <c r="E468" s="1913">
        <v>0.28999999999999998</v>
      </c>
      <c r="F468" s="1927"/>
      <c r="G468" s="1883">
        <v>6</v>
      </c>
      <c r="H468" s="1871">
        <v>7</v>
      </c>
      <c r="I468" s="1926">
        <v>0.33</v>
      </c>
      <c r="J468" s="1913">
        <v>0.59</v>
      </c>
      <c r="K468" s="1927"/>
      <c r="L468" s="1883">
        <v>6</v>
      </c>
      <c r="M468" s="1871">
        <v>7</v>
      </c>
      <c r="N468" s="1926">
        <v>0.27</v>
      </c>
      <c r="O468" s="1913">
        <v>0.54</v>
      </c>
      <c r="P468" s="1927"/>
      <c r="Q468" s="1883"/>
      <c r="R468" s="1871"/>
      <c r="S468" s="1926"/>
      <c r="T468" s="1913"/>
      <c r="U468" s="1927"/>
      <c r="V468" s="1883">
        <v>6</v>
      </c>
      <c r="W468" s="1871">
        <v>7</v>
      </c>
      <c r="X468" s="1926">
        <v>0.24</v>
      </c>
      <c r="Y468" s="1913">
        <v>0.42</v>
      </c>
      <c r="Z468" s="1927"/>
      <c r="AA468" s="1883">
        <v>6</v>
      </c>
      <c r="AB468" s="1871">
        <v>7</v>
      </c>
      <c r="AC468" s="1926">
        <v>0.25</v>
      </c>
      <c r="AD468" s="1913">
        <v>0.43</v>
      </c>
      <c r="AF468" s="1883">
        <v>6</v>
      </c>
      <c r="AG468" s="1871">
        <v>7</v>
      </c>
      <c r="AH468" s="1926">
        <v>0.34</v>
      </c>
      <c r="AI468" s="1913">
        <v>0.85</v>
      </c>
      <c r="AK468" s="1955">
        <f t="shared" si="69"/>
        <v>0.27</v>
      </c>
      <c r="AL468" s="1926">
        <f t="shared" si="70"/>
        <v>0.24</v>
      </c>
      <c r="AM468" s="1926">
        <f t="shared" si="68"/>
        <v>0.25</v>
      </c>
      <c r="AN468" s="1956">
        <f t="shared" si="71"/>
        <v>0.34</v>
      </c>
      <c r="AO468" s="1893"/>
      <c r="AP468" s="1872"/>
      <c r="AQ468" s="1931"/>
      <c r="AR468" s="1915"/>
    </row>
    <row r="469" spans="1:44">
      <c r="A469" s="1927"/>
      <c r="B469" s="1908">
        <v>7</v>
      </c>
      <c r="C469" s="1909">
        <v>8</v>
      </c>
      <c r="D469" s="1928">
        <v>0.21</v>
      </c>
      <c r="E469" s="1917">
        <v>0.35</v>
      </c>
      <c r="F469" s="1927"/>
      <c r="G469" s="1908">
        <v>7</v>
      </c>
      <c r="H469" s="1909">
        <v>8</v>
      </c>
      <c r="I469" s="1928">
        <v>0.32</v>
      </c>
      <c r="J469" s="1917">
        <v>0.57999999999999996</v>
      </c>
      <c r="K469" s="1927"/>
      <c r="L469" s="1908">
        <v>7</v>
      </c>
      <c r="M469" s="1909">
        <v>8</v>
      </c>
      <c r="N469" s="1928">
        <v>0.35</v>
      </c>
      <c r="O469" s="1917">
        <v>0.75</v>
      </c>
      <c r="P469" s="1927"/>
      <c r="Q469" s="1908"/>
      <c r="R469" s="1909"/>
      <c r="S469" s="1928"/>
      <c r="T469" s="1917"/>
      <c r="U469" s="1927"/>
      <c r="V469" s="1908">
        <v>7</v>
      </c>
      <c r="W469" s="1909">
        <v>8</v>
      </c>
      <c r="X469" s="1928">
        <v>0.41</v>
      </c>
      <c r="Y469" s="1917">
        <v>0.7</v>
      </c>
      <c r="Z469" s="1927"/>
      <c r="AA469" s="1908">
        <v>7</v>
      </c>
      <c r="AB469" s="1909">
        <v>8</v>
      </c>
      <c r="AC469" s="1928">
        <v>0.28000000000000003</v>
      </c>
      <c r="AD469" s="1917">
        <v>0.47</v>
      </c>
      <c r="AF469" s="1908">
        <v>7</v>
      </c>
      <c r="AG469" s="1909">
        <v>8</v>
      </c>
      <c r="AH469" s="1928">
        <v>0.41</v>
      </c>
      <c r="AI469" s="1917">
        <v>1.07</v>
      </c>
      <c r="AK469" s="1957">
        <f t="shared" si="69"/>
        <v>0.35</v>
      </c>
      <c r="AL469" s="1958">
        <f t="shared" si="70"/>
        <v>0.41</v>
      </c>
      <c r="AM469" s="1958">
        <f t="shared" si="68"/>
        <v>0.28000000000000003</v>
      </c>
      <c r="AN469" s="1959">
        <f t="shared" si="71"/>
        <v>0.41</v>
      </c>
      <c r="AO469" s="1893"/>
      <c r="AP469" s="1872"/>
      <c r="AQ469" s="1931"/>
      <c r="AR469" s="1915"/>
    </row>
    <row r="470" spans="1:44">
      <c r="A470" s="1930"/>
      <c r="B470" s="1890">
        <v>8</v>
      </c>
      <c r="C470" s="1891">
        <v>9</v>
      </c>
      <c r="D470" s="1929">
        <v>0.22</v>
      </c>
      <c r="E470" s="1914">
        <v>0.38</v>
      </c>
      <c r="F470" s="1930"/>
      <c r="G470" s="1890">
        <v>8</v>
      </c>
      <c r="H470" s="1891">
        <v>9</v>
      </c>
      <c r="I470" s="1929">
        <v>0.22</v>
      </c>
      <c r="J470" s="1914">
        <v>0.39</v>
      </c>
      <c r="K470" s="1930"/>
      <c r="L470" s="1890">
        <v>8</v>
      </c>
      <c r="M470" s="1891">
        <v>9</v>
      </c>
      <c r="N470" s="1929">
        <v>0.26</v>
      </c>
      <c r="O470" s="1914">
        <v>0.59</v>
      </c>
      <c r="P470" s="1930"/>
      <c r="Q470" s="1890"/>
      <c r="R470" s="1891"/>
      <c r="S470" s="1929"/>
      <c r="T470" s="1914"/>
      <c r="U470" s="1930"/>
      <c r="V470" s="1890">
        <v>8</v>
      </c>
      <c r="W470" s="1891">
        <v>9</v>
      </c>
      <c r="X470" s="1929">
        <v>0.36</v>
      </c>
      <c r="Y470" s="1914">
        <v>0.6</v>
      </c>
      <c r="Z470" s="1930"/>
      <c r="AA470" s="1890">
        <v>8</v>
      </c>
      <c r="AB470" s="1891">
        <v>9</v>
      </c>
      <c r="AC470" s="1929">
        <v>0.42</v>
      </c>
      <c r="AD470" s="1914">
        <v>0.68</v>
      </c>
      <c r="AF470" s="1890">
        <v>8</v>
      </c>
      <c r="AG470" s="1891">
        <v>9</v>
      </c>
      <c r="AH470" s="1929">
        <v>0.28000000000000003</v>
      </c>
      <c r="AI470" s="1914">
        <v>0.68</v>
      </c>
      <c r="AK470" s="1952">
        <f t="shared" si="69"/>
        <v>0.26</v>
      </c>
      <c r="AL470" s="1953">
        <f t="shared" si="70"/>
        <v>0.36</v>
      </c>
      <c r="AM470" s="1953">
        <f t="shared" si="68"/>
        <v>0.42</v>
      </c>
      <c r="AN470" s="1954">
        <f t="shared" si="71"/>
        <v>0.28000000000000003</v>
      </c>
      <c r="AO470" s="1893"/>
      <c r="AP470" s="1872"/>
      <c r="AQ470" s="1931"/>
      <c r="AR470" s="1915"/>
    </row>
    <row r="471" spans="1:44">
      <c r="A471" s="1930"/>
      <c r="B471" s="1893">
        <v>9</v>
      </c>
      <c r="C471" s="1872">
        <v>10</v>
      </c>
      <c r="D471" s="1931">
        <v>0.16</v>
      </c>
      <c r="E471" s="1915">
        <v>0.28999999999999998</v>
      </c>
      <c r="F471" s="1930"/>
      <c r="G471" s="1893">
        <v>9</v>
      </c>
      <c r="H471" s="1872">
        <v>10</v>
      </c>
      <c r="I471" s="1931">
        <v>0.24</v>
      </c>
      <c r="J471" s="1915">
        <v>0.43</v>
      </c>
      <c r="K471" s="1930"/>
      <c r="L471" s="1893">
        <v>9</v>
      </c>
      <c r="M471" s="1872">
        <v>10</v>
      </c>
      <c r="N471" s="1931">
        <v>0.2</v>
      </c>
      <c r="O471" s="1915">
        <v>0.41</v>
      </c>
      <c r="P471" s="1930"/>
      <c r="Q471" s="1893"/>
      <c r="R471" s="1872"/>
      <c r="S471" s="1931"/>
      <c r="T471" s="1915"/>
      <c r="U471" s="1930"/>
      <c r="V471" s="1893">
        <v>9</v>
      </c>
      <c r="W471" s="1872">
        <v>10</v>
      </c>
      <c r="X471" s="1931">
        <v>0.36</v>
      </c>
      <c r="Y471" s="1915">
        <v>0.56000000000000005</v>
      </c>
      <c r="Z471" s="1930"/>
      <c r="AA471" s="1893">
        <v>9</v>
      </c>
      <c r="AB471" s="1872">
        <v>10</v>
      </c>
      <c r="AC471" s="1931">
        <v>0.55000000000000004</v>
      </c>
      <c r="AD471" s="1915">
        <v>0.85</v>
      </c>
      <c r="AF471" s="1893">
        <v>9</v>
      </c>
      <c r="AG471" s="1872">
        <v>10</v>
      </c>
      <c r="AH471" s="1931">
        <v>0.3</v>
      </c>
      <c r="AI471" s="1915">
        <v>0.56999999999999995</v>
      </c>
      <c r="AK471" s="1955">
        <f t="shared" si="69"/>
        <v>0.2</v>
      </c>
      <c r="AL471" s="1926">
        <f t="shared" si="70"/>
        <v>0.36</v>
      </c>
      <c r="AM471" s="1926">
        <f t="shared" si="68"/>
        <v>0.55000000000000004</v>
      </c>
      <c r="AN471" s="1956">
        <f t="shared" si="71"/>
        <v>0.3</v>
      </c>
      <c r="AO471" s="1893"/>
      <c r="AP471" s="1872"/>
      <c r="AQ471" s="1932"/>
      <c r="AR471" s="1916"/>
    </row>
    <row r="472" spans="1:44">
      <c r="A472" s="1930"/>
      <c r="B472" s="1893">
        <v>10</v>
      </c>
      <c r="C472" s="1872">
        <v>11</v>
      </c>
      <c r="D472" s="1931">
        <v>0.21</v>
      </c>
      <c r="E472" s="1915">
        <v>0.38</v>
      </c>
      <c r="F472" s="1930"/>
      <c r="G472" s="1893">
        <v>10</v>
      </c>
      <c r="H472" s="1872">
        <v>11</v>
      </c>
      <c r="I472" s="1931">
        <v>0.38</v>
      </c>
      <c r="J472" s="1915">
        <v>0.66</v>
      </c>
      <c r="K472" s="1930"/>
      <c r="L472" s="1893">
        <v>10</v>
      </c>
      <c r="M472" s="1872">
        <v>11</v>
      </c>
      <c r="N472" s="1931">
        <v>0.28999999999999998</v>
      </c>
      <c r="O472" s="1915">
        <v>0.52</v>
      </c>
      <c r="P472" s="1930"/>
      <c r="Q472" s="1893"/>
      <c r="R472" s="1872"/>
      <c r="S472" s="1931"/>
      <c r="T472" s="1915"/>
      <c r="U472" s="1930"/>
      <c r="V472" s="1893">
        <v>10</v>
      </c>
      <c r="W472" s="1872">
        <v>11</v>
      </c>
      <c r="X472" s="1931">
        <v>0.48</v>
      </c>
      <c r="Y472" s="1915">
        <v>0.71</v>
      </c>
      <c r="Z472" s="1930"/>
      <c r="AA472" s="1893">
        <v>10</v>
      </c>
      <c r="AB472" s="1872">
        <v>11</v>
      </c>
      <c r="AC472" s="1931">
        <v>0.4</v>
      </c>
      <c r="AD472" s="1915">
        <v>0.56000000000000005</v>
      </c>
      <c r="AF472" s="1893">
        <v>10</v>
      </c>
      <c r="AG472" s="1872">
        <v>11</v>
      </c>
      <c r="AH472" s="1931">
        <v>0.34</v>
      </c>
      <c r="AI472" s="1915">
        <v>0.69</v>
      </c>
      <c r="AK472" s="1955">
        <f t="shared" si="69"/>
        <v>0.28999999999999998</v>
      </c>
      <c r="AL472" s="1926">
        <f t="shared" si="70"/>
        <v>0.48</v>
      </c>
      <c r="AM472" s="1926">
        <f t="shared" si="68"/>
        <v>0.4</v>
      </c>
      <c r="AN472" s="1956">
        <f t="shared" si="71"/>
        <v>0.34</v>
      </c>
      <c r="AO472" s="1894"/>
      <c r="AP472" s="1895"/>
      <c r="AQ472" s="1933"/>
      <c r="AR472" s="1911"/>
    </row>
    <row r="473" spans="1:44">
      <c r="A473" s="1930"/>
      <c r="B473" s="1893">
        <v>11</v>
      </c>
      <c r="C473" s="1872">
        <v>12</v>
      </c>
      <c r="D473" s="1931">
        <v>0.27</v>
      </c>
      <c r="E473" s="1915">
        <v>0.48</v>
      </c>
      <c r="F473" s="1930"/>
      <c r="G473" s="1893">
        <v>11</v>
      </c>
      <c r="H473" s="1872">
        <v>12</v>
      </c>
      <c r="I473" s="1931">
        <v>0.41</v>
      </c>
      <c r="J473" s="1915">
        <v>0.68</v>
      </c>
      <c r="K473" s="1930"/>
      <c r="L473" s="1893">
        <v>11</v>
      </c>
      <c r="M473" s="1872">
        <v>12</v>
      </c>
      <c r="N473" s="1931">
        <v>0.25</v>
      </c>
      <c r="O473" s="1915">
        <v>0.44</v>
      </c>
      <c r="P473" s="1930"/>
      <c r="Q473" s="1893"/>
      <c r="R473" s="1872"/>
      <c r="S473" s="1931"/>
      <c r="T473" s="1915"/>
      <c r="U473" s="1930"/>
      <c r="V473" s="1893">
        <v>11</v>
      </c>
      <c r="W473" s="1872">
        <v>12</v>
      </c>
      <c r="X473" s="1931">
        <v>0.63</v>
      </c>
      <c r="Y473" s="1915">
        <v>0.9</v>
      </c>
      <c r="Z473" s="1930"/>
      <c r="AA473" s="1893">
        <v>11</v>
      </c>
      <c r="AB473" s="1872">
        <v>12</v>
      </c>
      <c r="AC473" s="1931">
        <v>0.53</v>
      </c>
      <c r="AD473" s="1915">
        <v>0.7</v>
      </c>
      <c r="AF473" s="1893">
        <v>11</v>
      </c>
      <c r="AG473" s="1872">
        <v>12</v>
      </c>
      <c r="AH473" s="1931">
        <v>0.26</v>
      </c>
      <c r="AI473" s="1915">
        <v>0.54</v>
      </c>
      <c r="AK473" s="1955">
        <f t="shared" si="69"/>
        <v>0.25</v>
      </c>
      <c r="AL473" s="1926">
        <f t="shared" si="70"/>
        <v>0.63</v>
      </c>
      <c r="AM473" s="1926">
        <f t="shared" si="68"/>
        <v>0.53</v>
      </c>
      <c r="AN473" s="1956">
        <f t="shared" si="71"/>
        <v>0.26</v>
      </c>
      <c r="AO473" s="1910"/>
      <c r="AP473" s="1889"/>
      <c r="AQ473" s="1935"/>
      <c r="AR473" s="1912"/>
    </row>
    <row r="474" spans="1:44">
      <c r="A474" s="1930"/>
      <c r="B474" s="1893">
        <v>12</v>
      </c>
      <c r="C474" s="1872">
        <v>13</v>
      </c>
      <c r="D474" s="1931">
        <v>0.26</v>
      </c>
      <c r="E474" s="1915">
        <v>0.44</v>
      </c>
      <c r="F474" s="1930"/>
      <c r="G474" s="1893">
        <v>12</v>
      </c>
      <c r="H474" s="1872">
        <v>13</v>
      </c>
      <c r="I474" s="1931">
        <v>0.22</v>
      </c>
      <c r="J474" s="1915">
        <v>0.35</v>
      </c>
      <c r="K474" s="1930"/>
      <c r="L474" s="1893">
        <v>12</v>
      </c>
      <c r="M474" s="1872">
        <v>13</v>
      </c>
      <c r="N474" s="1931">
        <v>0.39</v>
      </c>
      <c r="O474" s="1915">
        <v>0.65</v>
      </c>
      <c r="P474" s="1930"/>
      <c r="Q474" s="1893"/>
      <c r="R474" s="1872"/>
      <c r="S474" s="1931"/>
      <c r="T474" s="1915"/>
      <c r="U474" s="1930"/>
      <c r="V474" s="1893">
        <v>12</v>
      </c>
      <c r="W474" s="1872">
        <v>13</v>
      </c>
      <c r="X474" s="1931">
        <v>0.42</v>
      </c>
      <c r="Y474" s="1915">
        <v>0.59</v>
      </c>
      <c r="Z474" s="1930"/>
      <c r="AA474" s="1893">
        <v>12</v>
      </c>
      <c r="AB474" s="1872">
        <v>13</v>
      </c>
      <c r="AC474" s="1931">
        <v>0.35</v>
      </c>
      <c r="AD474" s="1915">
        <v>0.43</v>
      </c>
      <c r="AF474" s="1893">
        <v>12</v>
      </c>
      <c r="AG474" s="1872">
        <v>13</v>
      </c>
      <c r="AH474" s="1931">
        <v>0.5</v>
      </c>
      <c r="AI474" s="1915">
        <v>1.05</v>
      </c>
      <c r="AK474" s="1955">
        <f t="shared" si="69"/>
        <v>0.39</v>
      </c>
      <c r="AL474" s="1926">
        <f t="shared" si="70"/>
        <v>0.42</v>
      </c>
      <c r="AM474" s="1926">
        <f t="shared" si="68"/>
        <v>0.35</v>
      </c>
      <c r="AN474" s="1956">
        <f t="shared" si="71"/>
        <v>0.5</v>
      </c>
      <c r="AO474" s="1902"/>
      <c r="AP474" s="1873"/>
      <c r="AQ474" s="1935"/>
      <c r="AR474" s="1912"/>
    </row>
    <row r="475" spans="1:44">
      <c r="A475" s="1930"/>
      <c r="B475" s="1893">
        <v>13</v>
      </c>
      <c r="C475" s="1872">
        <v>14</v>
      </c>
      <c r="D475" s="1931">
        <v>0.7</v>
      </c>
      <c r="E475" s="1915">
        <v>1.1200000000000001</v>
      </c>
      <c r="F475" s="1930"/>
      <c r="G475" s="1893">
        <v>13</v>
      </c>
      <c r="H475" s="1872">
        <v>14</v>
      </c>
      <c r="I475" s="1931">
        <v>0.34</v>
      </c>
      <c r="J475" s="1915">
        <v>0.53</v>
      </c>
      <c r="K475" s="1930"/>
      <c r="L475" s="1893">
        <v>13</v>
      </c>
      <c r="M475" s="1872">
        <v>14</v>
      </c>
      <c r="N475" s="1931">
        <v>0.3</v>
      </c>
      <c r="O475" s="1915">
        <v>0.48</v>
      </c>
      <c r="P475" s="1930"/>
      <c r="Q475" s="1893"/>
      <c r="R475" s="1872"/>
      <c r="S475" s="1931"/>
      <c r="T475" s="1915"/>
      <c r="U475" s="1930"/>
      <c r="V475" s="1893">
        <v>13</v>
      </c>
      <c r="W475" s="1872">
        <v>14</v>
      </c>
      <c r="X475" s="1931">
        <v>0.43</v>
      </c>
      <c r="Y475" s="1915">
        <v>0.52</v>
      </c>
      <c r="Z475" s="1930"/>
      <c r="AA475" s="1893">
        <v>13</v>
      </c>
      <c r="AB475" s="1872">
        <v>14</v>
      </c>
      <c r="AC475" s="1931">
        <v>0.36</v>
      </c>
      <c r="AD475" s="1915">
        <v>0.39</v>
      </c>
      <c r="AF475" s="1893">
        <v>13</v>
      </c>
      <c r="AG475" s="1872">
        <v>14</v>
      </c>
      <c r="AH475" s="1931">
        <v>0.25</v>
      </c>
      <c r="AI475" s="1915">
        <v>0.53</v>
      </c>
      <c r="AK475" s="1955">
        <f t="shared" si="69"/>
        <v>0.3</v>
      </c>
      <c r="AL475" s="1926">
        <f t="shared" si="70"/>
        <v>0.43</v>
      </c>
      <c r="AM475" s="1926">
        <f t="shared" si="68"/>
        <v>0.36</v>
      </c>
      <c r="AN475" s="1956">
        <f t="shared" si="71"/>
        <v>0.25</v>
      </c>
      <c r="AO475" s="1902"/>
      <c r="AP475" s="1873"/>
      <c r="AQ475" s="1935"/>
      <c r="AR475" s="1912"/>
    </row>
    <row r="476" spans="1:44">
      <c r="A476" s="1930"/>
      <c r="B476" s="1893">
        <v>14</v>
      </c>
      <c r="C476" s="1872">
        <v>15</v>
      </c>
      <c r="D476" s="1931">
        <v>0.3</v>
      </c>
      <c r="E476" s="1915">
        <v>0.49</v>
      </c>
      <c r="F476" s="1930"/>
      <c r="G476" s="1893">
        <v>14</v>
      </c>
      <c r="H476" s="1872">
        <v>15</v>
      </c>
      <c r="I476" s="1931">
        <v>0.44</v>
      </c>
      <c r="J476" s="1915">
        <v>0.72</v>
      </c>
      <c r="K476" s="1930"/>
      <c r="L476" s="1893">
        <v>14</v>
      </c>
      <c r="M476" s="1872">
        <v>15</v>
      </c>
      <c r="N476" s="1931">
        <v>0.38</v>
      </c>
      <c r="O476" s="1915">
        <v>0.59</v>
      </c>
      <c r="P476" s="1930"/>
      <c r="Q476" s="1893"/>
      <c r="R476" s="1872"/>
      <c r="S476" s="1931"/>
      <c r="T476" s="1915"/>
      <c r="U476" s="1930"/>
      <c r="V476" s="1893">
        <v>14</v>
      </c>
      <c r="W476" s="1872">
        <v>15</v>
      </c>
      <c r="X476" s="1931">
        <v>0.47</v>
      </c>
      <c r="Y476" s="1915">
        <v>0.51</v>
      </c>
      <c r="Z476" s="1930"/>
      <c r="AA476" s="1893">
        <v>14</v>
      </c>
      <c r="AB476" s="1872">
        <v>15</v>
      </c>
      <c r="AC476" s="1931">
        <v>0.41</v>
      </c>
      <c r="AD476" s="1915">
        <v>0.43</v>
      </c>
      <c r="AF476" s="1893">
        <v>14</v>
      </c>
      <c r="AG476" s="1872">
        <v>15</v>
      </c>
      <c r="AH476" s="1931">
        <v>0.47</v>
      </c>
      <c r="AI476" s="1915">
        <v>0.93</v>
      </c>
      <c r="AK476" s="1955">
        <f t="shared" si="69"/>
        <v>0.38</v>
      </c>
      <c r="AL476" s="1926">
        <f t="shared" si="70"/>
        <v>0.47</v>
      </c>
      <c r="AM476" s="1926">
        <f t="shared" si="68"/>
        <v>0.41</v>
      </c>
      <c r="AN476" s="1956">
        <f t="shared" si="71"/>
        <v>0.47</v>
      </c>
      <c r="AO476" s="1902"/>
      <c r="AP476" s="1873"/>
      <c r="AQ476" s="1935"/>
      <c r="AR476" s="1912"/>
    </row>
    <row r="477" spans="1:44">
      <c r="A477" s="1930"/>
      <c r="B477" s="1893">
        <v>15</v>
      </c>
      <c r="C477" s="1872">
        <v>16</v>
      </c>
      <c r="D477" s="1931">
        <v>0.44</v>
      </c>
      <c r="E477" s="1915">
        <v>0.74</v>
      </c>
      <c r="F477" s="1930"/>
      <c r="G477" s="1893">
        <v>15</v>
      </c>
      <c r="H477" s="1872">
        <v>16</v>
      </c>
      <c r="I477" s="1931">
        <v>0.28999999999999998</v>
      </c>
      <c r="J477" s="1915">
        <v>0.49</v>
      </c>
      <c r="K477" s="1930"/>
      <c r="L477" s="1893">
        <v>15</v>
      </c>
      <c r="M477" s="1872">
        <v>16</v>
      </c>
      <c r="N477" s="1931">
        <v>0.67</v>
      </c>
      <c r="O477" s="1915">
        <v>1.04</v>
      </c>
      <c r="P477" s="1930"/>
      <c r="Q477" s="1893"/>
      <c r="R477" s="1872"/>
      <c r="S477" s="1931"/>
      <c r="T477" s="1915"/>
      <c r="U477" s="1930"/>
      <c r="V477" s="1893">
        <v>15</v>
      </c>
      <c r="W477" s="1872">
        <v>16</v>
      </c>
      <c r="X477" s="1931">
        <v>0.53</v>
      </c>
      <c r="Y477" s="1915">
        <v>0.64</v>
      </c>
      <c r="Z477" s="1930"/>
      <c r="AA477" s="1893">
        <v>15</v>
      </c>
      <c r="AB477" s="1872">
        <v>16</v>
      </c>
      <c r="AC477" s="1931">
        <v>0.48</v>
      </c>
      <c r="AD477" s="1915">
        <v>0.61</v>
      </c>
      <c r="AF477" s="1893">
        <v>15</v>
      </c>
      <c r="AG477" s="1872">
        <v>16</v>
      </c>
      <c r="AH477" s="1931">
        <v>0.32</v>
      </c>
      <c r="AI477" s="1915">
        <v>0.6</v>
      </c>
      <c r="AK477" s="1955">
        <f t="shared" si="69"/>
        <v>0.67</v>
      </c>
      <c r="AL477" s="1926">
        <f t="shared" si="70"/>
        <v>0.53</v>
      </c>
      <c r="AM477" s="1926">
        <f t="shared" si="68"/>
        <v>0.48</v>
      </c>
      <c r="AN477" s="1956">
        <f t="shared" si="71"/>
        <v>0.32</v>
      </c>
      <c r="AO477" s="1902"/>
      <c r="AP477" s="1873"/>
      <c r="AQ477" s="1935"/>
      <c r="AR477" s="1912"/>
    </row>
    <row r="478" spans="1:44">
      <c r="A478" s="1930"/>
      <c r="B478" s="1893">
        <v>16</v>
      </c>
      <c r="C478" s="1872">
        <v>17</v>
      </c>
      <c r="D478" s="1931">
        <v>0.35</v>
      </c>
      <c r="E478" s="1915">
        <v>0.61</v>
      </c>
      <c r="F478" s="1930"/>
      <c r="G478" s="1893">
        <v>16</v>
      </c>
      <c r="H478" s="1872">
        <v>17</v>
      </c>
      <c r="I478" s="1931">
        <v>0.24</v>
      </c>
      <c r="J478" s="1915">
        <v>0.43</v>
      </c>
      <c r="K478" s="1930"/>
      <c r="L478" s="1893">
        <v>16</v>
      </c>
      <c r="M478" s="1872">
        <v>17</v>
      </c>
      <c r="N478" s="1931">
        <v>0.27</v>
      </c>
      <c r="O478" s="1915">
        <v>0.42</v>
      </c>
      <c r="P478" s="1930"/>
      <c r="Q478" s="1893"/>
      <c r="R478" s="1872"/>
      <c r="S478" s="1931"/>
      <c r="T478" s="1915"/>
      <c r="U478" s="1930"/>
      <c r="V478" s="1893">
        <v>16</v>
      </c>
      <c r="W478" s="1872">
        <v>17</v>
      </c>
      <c r="X478" s="1931">
        <v>0.46</v>
      </c>
      <c r="Y478" s="1915">
        <v>0.68</v>
      </c>
      <c r="Z478" s="1930"/>
      <c r="AA478" s="1893">
        <v>16</v>
      </c>
      <c r="AB478" s="1872">
        <v>17</v>
      </c>
      <c r="AC478" s="1931">
        <v>0.49</v>
      </c>
      <c r="AD478" s="1915">
        <v>0.74</v>
      </c>
      <c r="AF478" s="1893">
        <v>16</v>
      </c>
      <c r="AG478" s="1872">
        <v>17</v>
      </c>
      <c r="AH478" s="1931">
        <v>0.43</v>
      </c>
      <c r="AI478" s="1915">
        <v>0.84</v>
      </c>
      <c r="AK478" s="1955">
        <f t="shared" si="69"/>
        <v>0.27</v>
      </c>
      <c r="AL478" s="1926">
        <f t="shared" si="70"/>
        <v>0.46</v>
      </c>
      <c r="AM478" s="1926">
        <f t="shared" si="68"/>
        <v>0.49</v>
      </c>
      <c r="AN478" s="1956">
        <f t="shared" si="71"/>
        <v>0.43</v>
      </c>
      <c r="AO478" s="1902"/>
      <c r="AP478" s="1873"/>
      <c r="AQ478" s="1936"/>
      <c r="AR478" s="1937"/>
    </row>
    <row r="479" spans="1:44">
      <c r="A479" s="1930"/>
      <c r="B479" s="1894">
        <v>17</v>
      </c>
      <c r="C479" s="1895">
        <v>18</v>
      </c>
      <c r="D479" s="1932">
        <v>0.72</v>
      </c>
      <c r="E479" s="1916">
        <v>1.86</v>
      </c>
      <c r="F479" s="1930"/>
      <c r="G479" s="1894">
        <v>17</v>
      </c>
      <c r="H479" s="1895">
        <v>18</v>
      </c>
      <c r="I479" s="1932">
        <v>0.33</v>
      </c>
      <c r="J479" s="1916">
        <v>0.93</v>
      </c>
      <c r="K479" s="1930"/>
      <c r="L479" s="1894">
        <v>17</v>
      </c>
      <c r="M479" s="1895">
        <v>18</v>
      </c>
      <c r="N479" s="1932">
        <v>0.47</v>
      </c>
      <c r="O479" s="1916">
        <v>0.79</v>
      </c>
      <c r="P479" s="1930"/>
      <c r="Q479" s="1894"/>
      <c r="R479" s="1895"/>
      <c r="S479" s="1932"/>
      <c r="T479" s="1916"/>
      <c r="U479" s="1930"/>
      <c r="V479" s="1894">
        <v>17</v>
      </c>
      <c r="W479" s="1895">
        <v>18</v>
      </c>
      <c r="X479" s="1932">
        <v>0.49</v>
      </c>
      <c r="Y479" s="1916">
        <v>0.79</v>
      </c>
      <c r="Z479" s="1930"/>
      <c r="AA479" s="1894">
        <v>17</v>
      </c>
      <c r="AB479" s="1895">
        <v>18</v>
      </c>
      <c r="AC479" s="1932">
        <v>0.39</v>
      </c>
      <c r="AD479" s="1916">
        <v>0.66</v>
      </c>
      <c r="AF479" s="1894">
        <v>17</v>
      </c>
      <c r="AG479" s="1895">
        <v>18</v>
      </c>
      <c r="AH479" s="1932">
        <v>0.49</v>
      </c>
      <c r="AI479" s="1916">
        <v>1.26</v>
      </c>
      <c r="AK479" s="1957">
        <f t="shared" si="69"/>
        <v>0.47</v>
      </c>
      <c r="AL479" s="1958">
        <f t="shared" si="70"/>
        <v>0.49</v>
      </c>
      <c r="AM479" s="1958">
        <f t="shared" si="68"/>
        <v>0.39</v>
      </c>
      <c r="AN479" s="1959">
        <f t="shared" si="71"/>
        <v>0.49</v>
      </c>
      <c r="AO479" s="2766"/>
      <c r="AP479" s="2766"/>
      <c r="AQ479" s="1926"/>
      <c r="AR479" s="1913"/>
    </row>
    <row r="480" spans="1:44">
      <c r="A480" s="1934"/>
      <c r="B480" s="1910">
        <v>18</v>
      </c>
      <c r="C480" s="1889">
        <v>19</v>
      </c>
      <c r="D480" s="1933">
        <v>0.88</v>
      </c>
      <c r="E480" s="1911">
        <v>2.29</v>
      </c>
      <c r="F480" s="1934"/>
      <c r="G480" s="1910">
        <v>18</v>
      </c>
      <c r="H480" s="1889">
        <v>19</v>
      </c>
      <c r="I480" s="1933">
        <v>0.38</v>
      </c>
      <c r="J480" s="1911">
        <v>1.1599999999999999</v>
      </c>
      <c r="K480" s="1934"/>
      <c r="L480" s="1910">
        <v>18</v>
      </c>
      <c r="M480" s="1889">
        <v>19</v>
      </c>
      <c r="N480" s="1933">
        <v>0.32</v>
      </c>
      <c r="O480" s="1911">
        <v>0.55000000000000004</v>
      </c>
      <c r="P480" s="1934"/>
      <c r="Q480" s="1910"/>
      <c r="R480" s="1889"/>
      <c r="S480" s="1933"/>
      <c r="T480" s="1911"/>
      <c r="U480" s="1934"/>
      <c r="V480" s="1910">
        <v>18</v>
      </c>
      <c r="W480" s="1889">
        <v>19</v>
      </c>
      <c r="X480" s="1933">
        <v>0.64</v>
      </c>
      <c r="Y480" s="1911">
        <v>1.1399999999999999</v>
      </c>
      <c r="Z480" s="1934"/>
      <c r="AA480" s="1910">
        <v>18</v>
      </c>
      <c r="AB480" s="1889">
        <v>19</v>
      </c>
      <c r="AC480" s="1933">
        <v>1.24</v>
      </c>
      <c r="AD480" s="1911">
        <v>2.25</v>
      </c>
      <c r="AF480" s="1910">
        <v>18</v>
      </c>
      <c r="AG480" s="1889">
        <v>19</v>
      </c>
      <c r="AH480" s="1933">
        <v>0.33</v>
      </c>
      <c r="AI480" s="1911">
        <v>0.93</v>
      </c>
      <c r="AK480" s="1952">
        <f t="shared" si="69"/>
        <v>0.32</v>
      </c>
      <c r="AL480" s="1953">
        <f t="shared" si="70"/>
        <v>0.64</v>
      </c>
      <c r="AM480" s="1953">
        <f t="shared" si="68"/>
        <v>1.24</v>
      </c>
      <c r="AN480" s="1954">
        <f t="shared" si="71"/>
        <v>0.33</v>
      </c>
      <c r="AO480" s="1883"/>
      <c r="AP480" s="1871"/>
      <c r="AQ480" s="1926"/>
      <c r="AR480" s="1913"/>
    </row>
    <row r="481" spans="1:44">
      <c r="A481" s="1934"/>
      <c r="B481" s="1902">
        <v>19</v>
      </c>
      <c r="C481" s="1873">
        <v>20</v>
      </c>
      <c r="D481" s="1935">
        <v>0.96</v>
      </c>
      <c r="E481" s="1912">
        <v>2.5</v>
      </c>
      <c r="F481" s="1934"/>
      <c r="G481" s="1902">
        <v>19</v>
      </c>
      <c r="H481" s="1873">
        <v>20</v>
      </c>
      <c r="I481" s="1935">
        <v>0.27</v>
      </c>
      <c r="J481" s="1912">
        <v>0.86</v>
      </c>
      <c r="K481" s="1934"/>
      <c r="L481" s="1902">
        <v>19</v>
      </c>
      <c r="M481" s="1873">
        <v>20</v>
      </c>
      <c r="N481" s="1935">
        <v>0.31</v>
      </c>
      <c r="O481" s="1912">
        <v>0.54</v>
      </c>
      <c r="P481" s="1934"/>
      <c r="Q481" s="1902"/>
      <c r="R481" s="1873"/>
      <c r="S481" s="1935"/>
      <c r="T481" s="1912"/>
      <c r="U481" s="1934"/>
      <c r="V481" s="1902">
        <v>19</v>
      </c>
      <c r="W481" s="1873">
        <v>20</v>
      </c>
      <c r="X481" s="1935">
        <v>0.43</v>
      </c>
      <c r="Y481" s="1912">
        <v>0.81</v>
      </c>
      <c r="Z481" s="1934"/>
      <c r="AA481" s="1902">
        <v>19</v>
      </c>
      <c r="AB481" s="1873">
        <v>20</v>
      </c>
      <c r="AC481" s="1935">
        <v>0.71</v>
      </c>
      <c r="AD481" s="1912">
        <v>1.45</v>
      </c>
      <c r="AF481" s="1902">
        <v>19</v>
      </c>
      <c r="AG481" s="1873">
        <v>20</v>
      </c>
      <c r="AH481" s="1935">
        <v>0.45</v>
      </c>
      <c r="AI481" s="1912">
        <v>1.46</v>
      </c>
      <c r="AK481" s="1955">
        <f t="shared" si="69"/>
        <v>0.31</v>
      </c>
      <c r="AL481" s="1926">
        <f t="shared" si="70"/>
        <v>0.43</v>
      </c>
      <c r="AM481" s="1926">
        <f t="shared" si="68"/>
        <v>0.71</v>
      </c>
      <c r="AN481" s="1956">
        <f t="shared" si="71"/>
        <v>0.45</v>
      </c>
      <c r="AO481" s="1883"/>
      <c r="AP481" s="1871"/>
      <c r="AQ481" s="1926"/>
      <c r="AR481" s="1913"/>
    </row>
    <row r="482" spans="1:44">
      <c r="A482" s="1934"/>
      <c r="B482" s="1902">
        <v>20</v>
      </c>
      <c r="C482" s="1873">
        <v>21</v>
      </c>
      <c r="D482" s="1935">
        <v>0.8</v>
      </c>
      <c r="E482" s="1912">
        <v>1.46</v>
      </c>
      <c r="F482" s="1934"/>
      <c r="G482" s="1902">
        <v>20</v>
      </c>
      <c r="H482" s="1873">
        <v>21</v>
      </c>
      <c r="I482" s="1935">
        <v>0.24</v>
      </c>
      <c r="J482" s="1912">
        <v>0.52</v>
      </c>
      <c r="K482" s="1934"/>
      <c r="L482" s="1902">
        <v>20</v>
      </c>
      <c r="M482" s="1873">
        <v>21</v>
      </c>
      <c r="N482" s="1935">
        <v>0.33</v>
      </c>
      <c r="O482" s="1912">
        <v>0.59</v>
      </c>
      <c r="P482" s="1934"/>
      <c r="Q482" s="1902"/>
      <c r="R482" s="1873"/>
      <c r="S482" s="1935"/>
      <c r="T482" s="1912"/>
      <c r="U482" s="1934"/>
      <c r="V482" s="1902">
        <v>20</v>
      </c>
      <c r="W482" s="1873">
        <v>21</v>
      </c>
      <c r="X482" s="1935">
        <v>0.46</v>
      </c>
      <c r="Y482" s="1912">
        <v>0.91</v>
      </c>
      <c r="Z482" s="1934"/>
      <c r="AA482" s="1902">
        <v>20</v>
      </c>
      <c r="AB482" s="1873">
        <v>21</v>
      </c>
      <c r="AC482" s="1935">
        <v>0.48</v>
      </c>
      <c r="AD482" s="1912">
        <v>1.02</v>
      </c>
      <c r="AF482" s="1902">
        <v>20</v>
      </c>
      <c r="AG482" s="1873">
        <v>21</v>
      </c>
      <c r="AH482" s="1935">
        <v>0.37</v>
      </c>
      <c r="AI482" s="1912">
        <v>1.27</v>
      </c>
      <c r="AK482" s="1955">
        <f t="shared" si="69"/>
        <v>0.33</v>
      </c>
      <c r="AL482" s="1926">
        <f t="shared" si="70"/>
        <v>0.46</v>
      </c>
      <c r="AM482" s="1926">
        <f t="shared" si="68"/>
        <v>0.48</v>
      </c>
      <c r="AN482" s="1956">
        <f t="shared" si="71"/>
        <v>0.37</v>
      </c>
      <c r="AO482" s="1883"/>
      <c r="AP482" s="1871"/>
      <c r="AQ482" s="1926"/>
      <c r="AR482" s="1913"/>
    </row>
    <row r="483" spans="1:44">
      <c r="A483" s="1934"/>
      <c r="B483" s="1902">
        <v>21</v>
      </c>
      <c r="C483" s="1873">
        <v>22</v>
      </c>
      <c r="D483" s="1935">
        <v>0.26</v>
      </c>
      <c r="E483" s="1912">
        <v>0.47</v>
      </c>
      <c r="F483" s="1934"/>
      <c r="G483" s="1902">
        <v>21</v>
      </c>
      <c r="H483" s="1873">
        <v>22</v>
      </c>
      <c r="I483" s="1935">
        <v>0.26</v>
      </c>
      <c r="J483" s="1912">
        <v>0.54</v>
      </c>
      <c r="K483" s="1934"/>
      <c r="L483" s="1902">
        <v>21</v>
      </c>
      <c r="M483" s="1873">
        <v>22</v>
      </c>
      <c r="N483" s="1935">
        <v>0.31</v>
      </c>
      <c r="O483" s="1912">
        <v>0.56000000000000005</v>
      </c>
      <c r="P483" s="1934"/>
      <c r="Q483" s="1902"/>
      <c r="R483" s="1873"/>
      <c r="S483" s="1935"/>
      <c r="T483" s="1912"/>
      <c r="U483" s="1934"/>
      <c r="V483" s="1902">
        <v>21</v>
      </c>
      <c r="W483" s="1873">
        <v>22</v>
      </c>
      <c r="X483" s="1935">
        <v>0.37</v>
      </c>
      <c r="Y483" s="1912">
        <v>0.71</v>
      </c>
      <c r="Z483" s="1934"/>
      <c r="AA483" s="1902">
        <v>21</v>
      </c>
      <c r="AB483" s="1873">
        <v>22</v>
      </c>
      <c r="AC483" s="1935">
        <v>0.42</v>
      </c>
      <c r="AD483" s="1912">
        <v>0.88</v>
      </c>
      <c r="AF483" s="1902">
        <v>21</v>
      </c>
      <c r="AG483" s="1873">
        <v>22</v>
      </c>
      <c r="AH483" s="1935">
        <v>0.33</v>
      </c>
      <c r="AI483" s="1912">
        <v>1.06</v>
      </c>
      <c r="AK483" s="1955">
        <f t="shared" si="69"/>
        <v>0.31</v>
      </c>
      <c r="AL483" s="1926">
        <f t="shared" si="70"/>
        <v>0.37</v>
      </c>
      <c r="AM483" s="1926">
        <f t="shared" si="68"/>
        <v>0.42</v>
      </c>
      <c r="AN483" s="1956">
        <f t="shared" si="71"/>
        <v>0.33</v>
      </c>
      <c r="AO483" s="1883"/>
      <c r="AP483" s="1871"/>
      <c r="AQ483" s="1926"/>
      <c r="AR483" s="1913"/>
    </row>
    <row r="484" spans="1:44">
      <c r="A484" s="1934"/>
      <c r="B484" s="1902">
        <v>22</v>
      </c>
      <c r="C484" s="1873">
        <v>23</v>
      </c>
      <c r="D484" s="1935">
        <v>0.15</v>
      </c>
      <c r="E484" s="1912">
        <v>0.28000000000000003</v>
      </c>
      <c r="F484" s="1934"/>
      <c r="G484" s="1902">
        <v>22</v>
      </c>
      <c r="H484" s="1873">
        <v>23</v>
      </c>
      <c r="I484" s="1935">
        <v>0.23</v>
      </c>
      <c r="J484" s="1912">
        <v>0.47</v>
      </c>
      <c r="K484" s="1934"/>
      <c r="L484" s="1902">
        <v>22</v>
      </c>
      <c r="M484" s="1873">
        <v>23</v>
      </c>
      <c r="N484" s="1935">
        <v>0.18</v>
      </c>
      <c r="O484" s="1912">
        <v>0.32</v>
      </c>
      <c r="P484" s="1934"/>
      <c r="Q484" s="1902"/>
      <c r="R484" s="1873"/>
      <c r="S484" s="1935"/>
      <c r="T484" s="1912"/>
      <c r="U484" s="1934"/>
      <c r="V484" s="1902">
        <v>22</v>
      </c>
      <c r="W484" s="1873">
        <v>23</v>
      </c>
      <c r="X484" s="1935">
        <v>0.25</v>
      </c>
      <c r="Y484" s="1912">
        <v>0.46</v>
      </c>
      <c r="Z484" s="1934"/>
      <c r="AA484" s="1902">
        <v>22</v>
      </c>
      <c r="AB484" s="1873">
        <v>23</v>
      </c>
      <c r="AC484" s="1935">
        <v>0.25</v>
      </c>
      <c r="AD484" s="1912">
        <v>0.62</v>
      </c>
      <c r="AF484" s="1902">
        <v>22</v>
      </c>
      <c r="AG484" s="1873">
        <v>23</v>
      </c>
      <c r="AH484" s="1935">
        <v>0.45</v>
      </c>
      <c r="AI484" s="1912">
        <v>1.34</v>
      </c>
      <c r="AK484" s="1955">
        <f t="shared" si="69"/>
        <v>0.18</v>
      </c>
      <c r="AL484" s="1926">
        <f t="shared" si="70"/>
        <v>0.25</v>
      </c>
      <c r="AM484" s="1926">
        <f t="shared" si="68"/>
        <v>0.25</v>
      </c>
      <c r="AN484" s="1956">
        <f t="shared" si="71"/>
        <v>0.45</v>
      </c>
      <c r="AO484" s="1883"/>
      <c r="AP484" s="1871"/>
      <c r="AQ484" s="1926"/>
      <c r="AR484" s="1913"/>
    </row>
    <row r="485" spans="1:44" ht="15" thickBot="1">
      <c r="A485" s="1934"/>
      <c r="B485" s="1902">
        <v>23</v>
      </c>
      <c r="C485" s="1873">
        <v>24</v>
      </c>
      <c r="D485" s="1935">
        <v>0.11</v>
      </c>
      <c r="E485" s="1912">
        <v>0.21</v>
      </c>
      <c r="F485" s="1934"/>
      <c r="G485" s="1902">
        <v>23</v>
      </c>
      <c r="H485" s="1873">
        <v>24</v>
      </c>
      <c r="I485" s="1935">
        <v>0.25</v>
      </c>
      <c r="J485" s="1912">
        <v>0.48</v>
      </c>
      <c r="K485" s="1934"/>
      <c r="L485" s="1902">
        <v>23</v>
      </c>
      <c r="M485" s="1873">
        <v>24</v>
      </c>
      <c r="N485" s="1935">
        <v>0.15</v>
      </c>
      <c r="O485" s="1912">
        <v>0.26</v>
      </c>
      <c r="P485" s="1934"/>
      <c r="Q485" s="1902"/>
      <c r="R485" s="1873"/>
      <c r="S485" s="1935"/>
      <c r="T485" s="1912"/>
      <c r="U485" s="1934"/>
      <c r="V485" s="1902">
        <v>23</v>
      </c>
      <c r="W485" s="1873">
        <v>24</v>
      </c>
      <c r="X485" s="1935">
        <v>0.24</v>
      </c>
      <c r="Y485" s="1912">
        <v>0.42</v>
      </c>
      <c r="Z485" s="1934"/>
      <c r="AA485" s="1902">
        <v>23</v>
      </c>
      <c r="AB485" s="1873">
        <v>24</v>
      </c>
      <c r="AC485" s="1935">
        <v>0.23</v>
      </c>
      <c r="AD485" s="1912">
        <v>0.44</v>
      </c>
      <c r="AF485" s="1902">
        <v>23</v>
      </c>
      <c r="AG485" s="1873">
        <v>24</v>
      </c>
      <c r="AH485" s="1935">
        <v>0.24</v>
      </c>
      <c r="AI485" s="1912">
        <v>0.65</v>
      </c>
      <c r="AK485" s="1957">
        <f t="shared" si="69"/>
        <v>0.15</v>
      </c>
      <c r="AL485" s="1958">
        <f t="shared" si="70"/>
        <v>0.24</v>
      </c>
      <c r="AM485" s="1958">
        <f t="shared" si="68"/>
        <v>0.23</v>
      </c>
      <c r="AN485" s="1959">
        <f t="shared" si="71"/>
        <v>0.24</v>
      </c>
      <c r="AO485" s="1883"/>
      <c r="AP485" s="1871"/>
      <c r="AQ485" s="1926"/>
      <c r="AR485" s="1913"/>
    </row>
    <row r="486" spans="1:44">
      <c r="B486" s="2766">
        <v>44976</v>
      </c>
      <c r="C486" s="2766"/>
      <c r="D486" s="1922">
        <f>SUM(D487:D510)</f>
        <v>8.2500000000000018</v>
      </c>
      <c r="E486" s="1923">
        <f>SUM(E487:E510)</f>
        <v>15.329999999999997</v>
      </c>
      <c r="G486" s="2773">
        <v>45004</v>
      </c>
      <c r="H486" s="2773"/>
      <c r="I486" s="1922">
        <f>SUM(I487:I510)</f>
        <v>7.19</v>
      </c>
      <c r="J486" s="1923">
        <f>SUM(J487:J510)</f>
        <v>15.370000000000003</v>
      </c>
      <c r="L486" s="2773">
        <v>45035</v>
      </c>
      <c r="M486" s="2773"/>
      <c r="N486" s="1936">
        <f>SUM(N487:N510)</f>
        <v>5.4699999999999989</v>
      </c>
      <c r="O486" s="1937">
        <f>SUM(O487:O510)</f>
        <v>8.5499999999999989</v>
      </c>
      <c r="Q486" s="2766">
        <v>45065</v>
      </c>
      <c r="R486" s="2766"/>
      <c r="S486" s="1936"/>
      <c r="T486" s="1937"/>
      <c r="V486" s="2766">
        <v>45065</v>
      </c>
      <c r="W486" s="2766"/>
      <c r="X486" s="1936">
        <f>SUM(X487:X510)</f>
        <v>9.4599999999999991</v>
      </c>
      <c r="Y486" s="1937">
        <f>SUM(Y487:Y510)</f>
        <v>15.2</v>
      </c>
      <c r="AA486" s="2766">
        <v>45096</v>
      </c>
      <c r="AB486" s="2766"/>
      <c r="AC486" s="1936">
        <f>SUM(AC487:AC510)</f>
        <v>10.8</v>
      </c>
      <c r="AD486" s="1937">
        <f>SUM(AD487:AD510)</f>
        <v>19.709999999999997</v>
      </c>
      <c r="AF486" s="2766">
        <v>45126</v>
      </c>
      <c r="AG486" s="2766"/>
      <c r="AH486" s="1936">
        <f>SUM(AH487:AH510)</f>
        <v>7.5199999999999987</v>
      </c>
      <c r="AI486" s="1937">
        <f>SUM(AI487:AI510)</f>
        <v>19.230000000000004</v>
      </c>
      <c r="AO486" s="1883"/>
      <c r="AP486" s="1871"/>
      <c r="AQ486" s="1928"/>
      <c r="AR486" s="1917"/>
    </row>
    <row r="487" spans="1:44">
      <c r="A487" s="1927"/>
      <c r="B487" s="1883">
        <v>0</v>
      </c>
      <c r="C487" s="1871">
        <v>1</v>
      </c>
      <c r="D487" s="1926">
        <v>0.13</v>
      </c>
      <c r="E487" s="1913">
        <v>0.24</v>
      </c>
      <c r="F487" s="1927"/>
      <c r="G487" s="1883">
        <v>0</v>
      </c>
      <c r="H487" s="1871">
        <v>1</v>
      </c>
      <c r="I487" s="1926">
        <v>0.12</v>
      </c>
      <c r="J487" s="1913">
        <v>0.22</v>
      </c>
      <c r="K487" s="1927"/>
      <c r="L487" s="1883">
        <v>0</v>
      </c>
      <c r="M487" s="1871">
        <v>1</v>
      </c>
      <c r="N487" s="1926">
        <v>0.14000000000000001</v>
      </c>
      <c r="O487" s="1913">
        <v>0.25</v>
      </c>
      <c r="P487" s="1927"/>
      <c r="Q487" s="1883"/>
      <c r="R487" s="1871"/>
      <c r="S487" s="1926"/>
      <c r="T487" s="1913"/>
      <c r="U487" s="1927"/>
      <c r="V487" s="1883">
        <v>0</v>
      </c>
      <c r="W487" s="1871">
        <v>1</v>
      </c>
      <c r="X487" s="1926">
        <v>0.25</v>
      </c>
      <c r="Y487" s="1913">
        <v>0.42</v>
      </c>
      <c r="Z487" s="1927"/>
      <c r="AA487" s="1883">
        <v>0</v>
      </c>
      <c r="AB487" s="1871">
        <v>1</v>
      </c>
      <c r="AC487" s="1926">
        <v>0.18</v>
      </c>
      <c r="AD487" s="1913">
        <v>0.31</v>
      </c>
      <c r="AF487" s="1883">
        <v>0</v>
      </c>
      <c r="AG487" s="1871">
        <v>1</v>
      </c>
      <c r="AH487" s="1883">
        <v>0.24</v>
      </c>
      <c r="AI487" s="1871">
        <v>0.64</v>
      </c>
      <c r="AK487" s="1952">
        <f>N487</f>
        <v>0.14000000000000001</v>
      </c>
      <c r="AL487" s="1953">
        <f>X487</f>
        <v>0.25</v>
      </c>
      <c r="AM487" s="1953">
        <f t="shared" ref="AM487:AM510" si="72">AC487</f>
        <v>0.18</v>
      </c>
      <c r="AN487" s="1954">
        <f>AH487</f>
        <v>0.24</v>
      </c>
      <c r="AO487" s="1908"/>
      <c r="AP487" s="1909"/>
      <c r="AQ487" s="1929"/>
      <c r="AR487" s="1914"/>
    </row>
    <row r="488" spans="1:44">
      <c r="A488" s="1927"/>
      <c r="B488" s="1883">
        <v>1</v>
      </c>
      <c r="C488" s="1871">
        <v>2</v>
      </c>
      <c r="D488" s="1926">
        <v>0.12</v>
      </c>
      <c r="E488" s="1913">
        <v>0.21</v>
      </c>
      <c r="F488" s="1927"/>
      <c r="G488" s="1883">
        <v>1</v>
      </c>
      <c r="H488" s="1871">
        <v>2</v>
      </c>
      <c r="I488" s="1926">
        <v>0.12</v>
      </c>
      <c r="J488" s="1913">
        <v>0.22</v>
      </c>
      <c r="K488" s="1927"/>
      <c r="L488" s="1883">
        <v>1</v>
      </c>
      <c r="M488" s="1871">
        <v>2</v>
      </c>
      <c r="N488" s="1926">
        <v>0.05</v>
      </c>
      <c r="O488" s="1913">
        <v>0.09</v>
      </c>
      <c r="P488" s="1927"/>
      <c r="Q488" s="1883"/>
      <c r="R488" s="1871"/>
      <c r="S488" s="1926"/>
      <c r="T488" s="1913"/>
      <c r="U488" s="1927"/>
      <c r="V488" s="1883">
        <v>1</v>
      </c>
      <c r="W488" s="1871">
        <v>2</v>
      </c>
      <c r="X488" s="1926">
        <v>0.2</v>
      </c>
      <c r="Y488" s="1913">
        <v>0.32</v>
      </c>
      <c r="Z488" s="1927"/>
      <c r="AA488" s="1883">
        <v>1</v>
      </c>
      <c r="AB488" s="1871">
        <v>2</v>
      </c>
      <c r="AC488" s="1926">
        <v>0.19</v>
      </c>
      <c r="AD488" s="1913">
        <v>0.32</v>
      </c>
      <c r="AF488" s="1883">
        <v>1</v>
      </c>
      <c r="AG488" s="1871">
        <v>2</v>
      </c>
      <c r="AH488" s="1883">
        <v>0.2</v>
      </c>
      <c r="AI488" s="1871">
        <v>0.52</v>
      </c>
      <c r="AK488" s="1955">
        <f t="shared" ref="AK488:AK510" si="73">N488</f>
        <v>0.05</v>
      </c>
      <c r="AL488" s="1926">
        <f t="shared" ref="AL488:AL510" si="74">X488</f>
        <v>0.2</v>
      </c>
      <c r="AM488" s="1926">
        <f t="shared" si="72"/>
        <v>0.19</v>
      </c>
      <c r="AN488" s="1956">
        <f t="shared" ref="AN488:AN510" si="75">AH488</f>
        <v>0.2</v>
      </c>
      <c r="AO488" s="1890"/>
      <c r="AP488" s="1891"/>
      <c r="AQ488" s="1931"/>
      <c r="AR488" s="1915"/>
    </row>
    <row r="489" spans="1:44">
      <c r="A489" s="1927"/>
      <c r="B489" s="1883">
        <v>2</v>
      </c>
      <c r="C489" s="1871">
        <v>3</v>
      </c>
      <c r="D489" s="1926">
        <v>0.12</v>
      </c>
      <c r="E489" s="1913">
        <v>0.21</v>
      </c>
      <c r="F489" s="1927"/>
      <c r="G489" s="1883">
        <v>2</v>
      </c>
      <c r="H489" s="1871">
        <v>3</v>
      </c>
      <c r="I489" s="1926">
        <v>0.17</v>
      </c>
      <c r="J489" s="1913">
        <v>0.3</v>
      </c>
      <c r="K489" s="1927"/>
      <c r="L489" s="1883">
        <v>2</v>
      </c>
      <c r="M489" s="1871">
        <v>3</v>
      </c>
      <c r="N489" s="1926">
        <v>0.12</v>
      </c>
      <c r="O489" s="1913">
        <v>0.21</v>
      </c>
      <c r="P489" s="1927"/>
      <c r="Q489" s="1883"/>
      <c r="R489" s="1871"/>
      <c r="S489" s="1926"/>
      <c r="T489" s="1913"/>
      <c r="U489" s="1927"/>
      <c r="V489" s="1883">
        <v>2</v>
      </c>
      <c r="W489" s="1871">
        <v>3</v>
      </c>
      <c r="X489" s="1926">
        <v>0.18</v>
      </c>
      <c r="Y489" s="1913">
        <v>0.28000000000000003</v>
      </c>
      <c r="Z489" s="1927"/>
      <c r="AA489" s="1883">
        <v>2</v>
      </c>
      <c r="AB489" s="1871">
        <v>3</v>
      </c>
      <c r="AC489" s="1926">
        <v>0.18</v>
      </c>
      <c r="AD489" s="1913">
        <v>0.3</v>
      </c>
      <c r="AF489" s="1883">
        <v>2</v>
      </c>
      <c r="AG489" s="1871">
        <v>3</v>
      </c>
      <c r="AH489" s="1883">
        <v>0.16</v>
      </c>
      <c r="AI489" s="1871">
        <v>0.41</v>
      </c>
      <c r="AK489" s="1955">
        <f t="shared" si="73"/>
        <v>0.12</v>
      </c>
      <c r="AL489" s="1926">
        <f t="shared" si="74"/>
        <v>0.18</v>
      </c>
      <c r="AM489" s="1926">
        <f t="shared" si="72"/>
        <v>0.18</v>
      </c>
      <c r="AN489" s="1956">
        <f t="shared" si="75"/>
        <v>0.16</v>
      </c>
      <c r="AO489" s="1893"/>
      <c r="AP489" s="1872"/>
      <c r="AQ489" s="1931"/>
      <c r="AR489" s="1915"/>
    </row>
    <row r="490" spans="1:44">
      <c r="A490" s="1927"/>
      <c r="B490" s="1883">
        <v>3</v>
      </c>
      <c r="C490" s="1871">
        <v>4</v>
      </c>
      <c r="D490" s="1926">
        <v>0.14000000000000001</v>
      </c>
      <c r="E490" s="1913">
        <v>0.24</v>
      </c>
      <c r="F490" s="1927"/>
      <c r="G490" s="1883">
        <v>3</v>
      </c>
      <c r="H490" s="1871">
        <v>4</v>
      </c>
      <c r="I490" s="1926">
        <v>0.13</v>
      </c>
      <c r="J490" s="1913">
        <v>0.23</v>
      </c>
      <c r="K490" s="1927"/>
      <c r="L490" s="1883">
        <v>3</v>
      </c>
      <c r="M490" s="1871">
        <v>4</v>
      </c>
      <c r="N490" s="1926">
        <v>0.14000000000000001</v>
      </c>
      <c r="O490" s="1913">
        <v>0.24</v>
      </c>
      <c r="P490" s="1927"/>
      <c r="Q490" s="1883"/>
      <c r="R490" s="1871"/>
      <c r="S490" s="1926"/>
      <c r="T490" s="1913"/>
      <c r="U490" s="1927"/>
      <c r="V490" s="1883">
        <v>3</v>
      </c>
      <c r="W490" s="1871">
        <v>4</v>
      </c>
      <c r="X490" s="1926">
        <v>0.25</v>
      </c>
      <c r="Y490" s="1913">
        <v>0.38</v>
      </c>
      <c r="Z490" s="1927"/>
      <c r="AA490" s="1883">
        <v>3</v>
      </c>
      <c r="AB490" s="1871">
        <v>4</v>
      </c>
      <c r="AC490" s="1926">
        <v>0.2</v>
      </c>
      <c r="AD490" s="1913">
        <v>0.33</v>
      </c>
      <c r="AF490" s="1883">
        <v>3</v>
      </c>
      <c r="AG490" s="1871">
        <v>4</v>
      </c>
      <c r="AH490" s="1883">
        <v>0.17</v>
      </c>
      <c r="AI490" s="1871">
        <v>0.44</v>
      </c>
      <c r="AK490" s="1955">
        <f t="shared" si="73"/>
        <v>0.14000000000000001</v>
      </c>
      <c r="AL490" s="1926">
        <f t="shared" si="74"/>
        <v>0.25</v>
      </c>
      <c r="AM490" s="1926">
        <f t="shared" si="72"/>
        <v>0.2</v>
      </c>
      <c r="AN490" s="1956">
        <f t="shared" si="75"/>
        <v>0.17</v>
      </c>
      <c r="AO490" s="1893"/>
      <c r="AP490" s="1872"/>
      <c r="AQ490" s="1931"/>
      <c r="AR490" s="1915"/>
    </row>
    <row r="491" spans="1:44">
      <c r="A491" s="1927"/>
      <c r="B491" s="1883">
        <v>4</v>
      </c>
      <c r="C491" s="1871">
        <v>5</v>
      </c>
      <c r="D491" s="1926">
        <v>0.1</v>
      </c>
      <c r="E491" s="1913">
        <v>0.17</v>
      </c>
      <c r="F491" s="1927"/>
      <c r="G491" s="1883">
        <v>4</v>
      </c>
      <c r="H491" s="1871">
        <v>5</v>
      </c>
      <c r="I491" s="1926">
        <v>0.13</v>
      </c>
      <c r="J491" s="1913">
        <v>0.23</v>
      </c>
      <c r="K491" s="1927"/>
      <c r="L491" s="1883">
        <v>4</v>
      </c>
      <c r="M491" s="1871">
        <v>5</v>
      </c>
      <c r="N491" s="1926">
        <v>0.1</v>
      </c>
      <c r="O491" s="1913">
        <v>0.18</v>
      </c>
      <c r="P491" s="1927"/>
      <c r="Q491" s="1883"/>
      <c r="R491" s="1871"/>
      <c r="S491" s="1926"/>
      <c r="T491" s="1913"/>
      <c r="U491" s="1927"/>
      <c r="V491" s="1883">
        <v>4</v>
      </c>
      <c r="W491" s="1871">
        <v>5</v>
      </c>
      <c r="X491" s="1926">
        <v>0.21</v>
      </c>
      <c r="Y491" s="1913">
        <v>0.34</v>
      </c>
      <c r="Z491" s="1927"/>
      <c r="AA491" s="1883">
        <v>4</v>
      </c>
      <c r="AB491" s="1871">
        <v>5</v>
      </c>
      <c r="AC491" s="1926">
        <v>0.2</v>
      </c>
      <c r="AD491" s="1913">
        <v>0.34</v>
      </c>
      <c r="AF491" s="1883">
        <v>4</v>
      </c>
      <c r="AG491" s="1871">
        <v>5</v>
      </c>
      <c r="AH491" s="1883">
        <v>0.1</v>
      </c>
      <c r="AI491" s="1871">
        <v>0.25</v>
      </c>
      <c r="AK491" s="1955">
        <f t="shared" si="73"/>
        <v>0.1</v>
      </c>
      <c r="AL491" s="1926">
        <f t="shared" si="74"/>
        <v>0.21</v>
      </c>
      <c r="AM491" s="1926">
        <f t="shared" si="72"/>
        <v>0.2</v>
      </c>
      <c r="AN491" s="1956">
        <f t="shared" si="75"/>
        <v>0.1</v>
      </c>
      <c r="AO491" s="1893"/>
      <c r="AP491" s="1872"/>
      <c r="AQ491" s="1931"/>
      <c r="AR491" s="1915"/>
    </row>
    <row r="492" spans="1:44">
      <c r="A492" s="1927"/>
      <c r="B492" s="1883">
        <v>5</v>
      </c>
      <c r="C492" s="1871">
        <v>6</v>
      </c>
      <c r="D492" s="1926">
        <v>0.8</v>
      </c>
      <c r="E492" s="1913">
        <v>1.39</v>
      </c>
      <c r="F492" s="1927"/>
      <c r="G492" s="1883">
        <v>5</v>
      </c>
      <c r="H492" s="1871">
        <v>6</v>
      </c>
      <c r="I492" s="1926">
        <v>0.3</v>
      </c>
      <c r="J492" s="1913">
        <v>0.54</v>
      </c>
      <c r="K492" s="1927"/>
      <c r="L492" s="1883">
        <v>5</v>
      </c>
      <c r="M492" s="1871">
        <v>6</v>
      </c>
      <c r="N492" s="1926">
        <v>0.14000000000000001</v>
      </c>
      <c r="O492" s="1913">
        <v>0.25</v>
      </c>
      <c r="P492" s="1927"/>
      <c r="Q492" s="1883"/>
      <c r="R492" s="1871"/>
      <c r="S492" s="1926"/>
      <c r="T492" s="1913"/>
      <c r="U492" s="1927"/>
      <c r="V492" s="1883">
        <v>5</v>
      </c>
      <c r="W492" s="1871">
        <v>6</v>
      </c>
      <c r="X492" s="1926">
        <v>0.19</v>
      </c>
      <c r="Y492" s="1913">
        <v>0.33</v>
      </c>
      <c r="Z492" s="1927"/>
      <c r="AA492" s="1883">
        <v>5</v>
      </c>
      <c r="AB492" s="1871">
        <v>6</v>
      </c>
      <c r="AC492" s="1926">
        <v>0.16</v>
      </c>
      <c r="AD492" s="1913">
        <v>0.27</v>
      </c>
      <c r="AF492" s="1883">
        <v>5</v>
      </c>
      <c r="AG492" s="1871">
        <v>6</v>
      </c>
      <c r="AH492" s="1883">
        <v>0.15</v>
      </c>
      <c r="AI492" s="1871">
        <v>0.4</v>
      </c>
      <c r="AK492" s="1955">
        <f t="shared" si="73"/>
        <v>0.14000000000000001</v>
      </c>
      <c r="AL492" s="1926">
        <f t="shared" si="74"/>
        <v>0.19</v>
      </c>
      <c r="AM492" s="1926">
        <f t="shared" si="72"/>
        <v>0.16</v>
      </c>
      <c r="AN492" s="1956">
        <f t="shared" si="75"/>
        <v>0.15</v>
      </c>
      <c r="AO492" s="1893"/>
      <c r="AP492" s="1872"/>
      <c r="AQ492" s="1931"/>
      <c r="AR492" s="1915"/>
    </row>
    <row r="493" spans="1:44">
      <c r="A493" s="1927"/>
      <c r="B493" s="1883">
        <v>6</v>
      </c>
      <c r="C493" s="1871">
        <v>7</v>
      </c>
      <c r="D493" s="1926">
        <v>0.66</v>
      </c>
      <c r="E493" s="1913">
        <v>1.1499999999999999</v>
      </c>
      <c r="F493" s="1927"/>
      <c r="G493" s="1883">
        <v>6</v>
      </c>
      <c r="H493" s="1871">
        <v>7</v>
      </c>
      <c r="I493" s="1926">
        <v>0.26</v>
      </c>
      <c r="J493" s="1913">
        <v>0.46</v>
      </c>
      <c r="K493" s="1927"/>
      <c r="L493" s="1883">
        <v>6</v>
      </c>
      <c r="M493" s="1871">
        <v>7</v>
      </c>
      <c r="N493" s="1926">
        <v>0.11</v>
      </c>
      <c r="O493" s="1913">
        <v>0.22</v>
      </c>
      <c r="P493" s="1927"/>
      <c r="Q493" s="1883"/>
      <c r="R493" s="1871"/>
      <c r="S493" s="1926"/>
      <c r="T493" s="1913"/>
      <c r="U493" s="1927"/>
      <c r="V493" s="1883">
        <v>6</v>
      </c>
      <c r="W493" s="1871">
        <v>7</v>
      </c>
      <c r="X493" s="1926">
        <v>0.21</v>
      </c>
      <c r="Y493" s="1913">
        <v>0.39</v>
      </c>
      <c r="Z493" s="1927"/>
      <c r="AA493" s="1883">
        <v>6</v>
      </c>
      <c r="AB493" s="1871">
        <v>7</v>
      </c>
      <c r="AC493" s="1926">
        <v>0.21</v>
      </c>
      <c r="AD493" s="1913">
        <v>0.4</v>
      </c>
      <c r="AF493" s="1883">
        <v>6</v>
      </c>
      <c r="AG493" s="1871">
        <v>7</v>
      </c>
      <c r="AH493" s="1883">
        <v>0.2</v>
      </c>
      <c r="AI493" s="1871">
        <v>0.56999999999999995</v>
      </c>
      <c r="AK493" s="1955">
        <f t="shared" si="73"/>
        <v>0.11</v>
      </c>
      <c r="AL493" s="1926">
        <f t="shared" si="74"/>
        <v>0.21</v>
      </c>
      <c r="AM493" s="1926">
        <f t="shared" si="72"/>
        <v>0.21</v>
      </c>
      <c r="AN493" s="1956">
        <f t="shared" si="75"/>
        <v>0.2</v>
      </c>
      <c r="AO493" s="1893"/>
      <c r="AP493" s="1872"/>
      <c r="AQ493" s="1931"/>
      <c r="AR493" s="1915"/>
    </row>
    <row r="494" spans="1:44">
      <c r="A494" s="1927"/>
      <c r="B494" s="1908">
        <v>7</v>
      </c>
      <c r="C494" s="1909">
        <v>8</v>
      </c>
      <c r="D494" s="1928">
        <v>0.34</v>
      </c>
      <c r="E494" s="1917">
        <v>0.62</v>
      </c>
      <c r="F494" s="1927"/>
      <c r="G494" s="1908">
        <v>7</v>
      </c>
      <c r="H494" s="1909">
        <v>8</v>
      </c>
      <c r="I494" s="1928">
        <v>0.25</v>
      </c>
      <c r="J494" s="1917">
        <v>0.44</v>
      </c>
      <c r="K494" s="1927"/>
      <c r="L494" s="1908">
        <v>7</v>
      </c>
      <c r="M494" s="1909">
        <v>8</v>
      </c>
      <c r="N494" s="1928">
        <v>0.19</v>
      </c>
      <c r="O494" s="1917">
        <v>0.4</v>
      </c>
      <c r="P494" s="1927"/>
      <c r="Q494" s="1908"/>
      <c r="R494" s="1909"/>
      <c r="S494" s="1928"/>
      <c r="T494" s="1917"/>
      <c r="U494" s="1927"/>
      <c r="V494" s="1908">
        <v>7</v>
      </c>
      <c r="W494" s="1909">
        <v>8</v>
      </c>
      <c r="X494" s="1928">
        <v>0.44</v>
      </c>
      <c r="Y494" s="1917">
        <v>0.81</v>
      </c>
      <c r="Z494" s="1927"/>
      <c r="AA494" s="1908">
        <v>7</v>
      </c>
      <c r="AB494" s="1909">
        <v>8</v>
      </c>
      <c r="AC494" s="1928">
        <v>0.45</v>
      </c>
      <c r="AD494" s="1917">
        <v>0.93</v>
      </c>
      <c r="AF494" s="1908">
        <v>7</v>
      </c>
      <c r="AG494" s="1909">
        <v>8</v>
      </c>
      <c r="AH494" s="1908">
        <v>0.49</v>
      </c>
      <c r="AI494" s="1909">
        <v>1.39</v>
      </c>
      <c r="AK494" s="1957">
        <f t="shared" si="73"/>
        <v>0.19</v>
      </c>
      <c r="AL494" s="1958">
        <f t="shared" si="74"/>
        <v>0.44</v>
      </c>
      <c r="AM494" s="1958">
        <f t="shared" si="72"/>
        <v>0.45</v>
      </c>
      <c r="AN494" s="1959">
        <f t="shared" si="75"/>
        <v>0.49</v>
      </c>
      <c r="AO494" s="1893"/>
      <c r="AP494" s="1872"/>
      <c r="AQ494" s="1931"/>
      <c r="AR494" s="1915"/>
    </row>
    <row r="495" spans="1:44">
      <c r="A495" s="1930"/>
      <c r="B495" s="1890">
        <v>8</v>
      </c>
      <c r="C495" s="1891">
        <v>9</v>
      </c>
      <c r="D495" s="1929">
        <v>1.22</v>
      </c>
      <c r="E495" s="1914">
        <v>2.2999999999999998</v>
      </c>
      <c r="F495" s="1930"/>
      <c r="G495" s="1890">
        <v>8</v>
      </c>
      <c r="H495" s="1891">
        <v>9</v>
      </c>
      <c r="I495" s="1929">
        <v>0.49</v>
      </c>
      <c r="J495" s="1914">
        <v>0.87</v>
      </c>
      <c r="K495" s="1930"/>
      <c r="L495" s="1890">
        <v>8</v>
      </c>
      <c r="M495" s="1891">
        <v>9</v>
      </c>
      <c r="N495" s="1929">
        <v>0.31</v>
      </c>
      <c r="O495" s="1914">
        <v>0.65</v>
      </c>
      <c r="P495" s="1930"/>
      <c r="Q495" s="1890"/>
      <c r="R495" s="1891"/>
      <c r="S495" s="1929"/>
      <c r="T495" s="1914"/>
      <c r="U495" s="1930"/>
      <c r="V495" s="1890">
        <v>8</v>
      </c>
      <c r="W495" s="1891">
        <v>9</v>
      </c>
      <c r="X495" s="1929">
        <v>0.83</v>
      </c>
      <c r="Y495" s="1914">
        <v>1.5</v>
      </c>
      <c r="Z495" s="1930"/>
      <c r="AA495" s="1890">
        <v>8</v>
      </c>
      <c r="AB495" s="1891">
        <v>9</v>
      </c>
      <c r="AC495" s="1929">
        <v>0.42</v>
      </c>
      <c r="AD495" s="1914">
        <v>0.86</v>
      </c>
      <c r="AF495" s="1890">
        <v>8</v>
      </c>
      <c r="AG495" s="1891">
        <v>9</v>
      </c>
      <c r="AH495" s="1890">
        <v>0.4</v>
      </c>
      <c r="AI495" s="1891">
        <v>1.1100000000000001</v>
      </c>
      <c r="AK495" s="1952">
        <f t="shared" si="73"/>
        <v>0.31</v>
      </c>
      <c r="AL495" s="1953">
        <f t="shared" si="74"/>
        <v>0.83</v>
      </c>
      <c r="AM495" s="1953">
        <f t="shared" si="72"/>
        <v>0.42</v>
      </c>
      <c r="AN495" s="1954">
        <f t="shared" si="75"/>
        <v>0.4</v>
      </c>
      <c r="AO495" s="1893"/>
      <c r="AP495" s="1872"/>
      <c r="AQ495" s="1931"/>
      <c r="AR495" s="1915"/>
    </row>
    <row r="496" spans="1:44">
      <c r="A496" s="1930"/>
      <c r="B496" s="1893">
        <v>9</v>
      </c>
      <c r="C496" s="1872">
        <v>10</v>
      </c>
      <c r="D496" s="1931">
        <v>0.81</v>
      </c>
      <c r="E496" s="1915">
        <v>1.56</v>
      </c>
      <c r="F496" s="1930"/>
      <c r="G496" s="1893">
        <v>9</v>
      </c>
      <c r="H496" s="1872">
        <v>10</v>
      </c>
      <c r="I496" s="1931">
        <v>0.28000000000000003</v>
      </c>
      <c r="J496" s="1915">
        <v>0.5</v>
      </c>
      <c r="K496" s="1930"/>
      <c r="L496" s="1893">
        <v>9</v>
      </c>
      <c r="M496" s="1872">
        <v>10</v>
      </c>
      <c r="N496" s="1931">
        <v>0.25</v>
      </c>
      <c r="O496" s="1915">
        <v>0.45</v>
      </c>
      <c r="P496" s="1930"/>
      <c r="Q496" s="1893"/>
      <c r="R496" s="1872"/>
      <c r="S496" s="1931"/>
      <c r="T496" s="1915"/>
      <c r="U496" s="1930"/>
      <c r="V496" s="1893">
        <v>9</v>
      </c>
      <c r="W496" s="1872">
        <v>10</v>
      </c>
      <c r="X496" s="1931">
        <v>0.4</v>
      </c>
      <c r="Y496" s="1915">
        <v>0.68</v>
      </c>
      <c r="Z496" s="1930"/>
      <c r="AA496" s="1893">
        <v>9</v>
      </c>
      <c r="AB496" s="1872">
        <v>10</v>
      </c>
      <c r="AC496" s="1931">
        <v>0.31</v>
      </c>
      <c r="AD496" s="1915">
        <v>0.59</v>
      </c>
      <c r="AF496" s="1893">
        <v>9</v>
      </c>
      <c r="AG496" s="1872">
        <v>10</v>
      </c>
      <c r="AH496" s="1893">
        <v>0.44</v>
      </c>
      <c r="AI496" s="1872">
        <v>1.1499999999999999</v>
      </c>
      <c r="AK496" s="1955">
        <f t="shared" si="73"/>
        <v>0.25</v>
      </c>
      <c r="AL496" s="1926">
        <f t="shared" si="74"/>
        <v>0.4</v>
      </c>
      <c r="AM496" s="1926">
        <f t="shared" si="72"/>
        <v>0.31</v>
      </c>
      <c r="AN496" s="1956">
        <f t="shared" si="75"/>
        <v>0.44</v>
      </c>
      <c r="AO496" s="1893"/>
      <c r="AP496" s="1872"/>
      <c r="AQ496" s="1932"/>
      <c r="AR496" s="1916"/>
    </row>
    <row r="497" spans="1:44">
      <c r="A497" s="1930"/>
      <c r="B497" s="1893">
        <v>10</v>
      </c>
      <c r="C497" s="1872">
        <v>11</v>
      </c>
      <c r="D497" s="1931">
        <v>0.28000000000000003</v>
      </c>
      <c r="E497" s="1915">
        <v>0.5</v>
      </c>
      <c r="F497" s="1930"/>
      <c r="G497" s="1893">
        <v>10</v>
      </c>
      <c r="H497" s="1872">
        <v>11</v>
      </c>
      <c r="I497" s="1931">
        <v>0.48</v>
      </c>
      <c r="J497" s="1915">
        <v>0.84</v>
      </c>
      <c r="K497" s="1930"/>
      <c r="L497" s="1893">
        <v>10</v>
      </c>
      <c r="M497" s="1872">
        <v>11</v>
      </c>
      <c r="N497" s="1931">
        <v>0.23</v>
      </c>
      <c r="O497" s="1915">
        <v>0.34</v>
      </c>
      <c r="P497" s="1930"/>
      <c r="Q497" s="1893"/>
      <c r="R497" s="1872"/>
      <c r="S497" s="1931"/>
      <c r="T497" s="1915"/>
      <c r="U497" s="1930"/>
      <c r="V497" s="1893">
        <v>10</v>
      </c>
      <c r="W497" s="1872">
        <v>11</v>
      </c>
      <c r="X497" s="1931">
        <v>0.78</v>
      </c>
      <c r="Y497" s="1915">
        <v>1.1499999999999999</v>
      </c>
      <c r="Z497" s="1930"/>
      <c r="AA497" s="1893">
        <v>10</v>
      </c>
      <c r="AB497" s="1872">
        <v>11</v>
      </c>
      <c r="AC497" s="1931">
        <v>0.39</v>
      </c>
      <c r="AD497" s="1915">
        <v>0.7</v>
      </c>
      <c r="AF497" s="1893">
        <v>10</v>
      </c>
      <c r="AG497" s="1872">
        <v>11</v>
      </c>
      <c r="AH497" s="1893">
        <v>0.48</v>
      </c>
      <c r="AI497" s="1872">
        <v>1.2</v>
      </c>
      <c r="AK497" s="1955">
        <f t="shared" si="73"/>
        <v>0.23</v>
      </c>
      <c r="AL497" s="1926">
        <f t="shared" si="74"/>
        <v>0.78</v>
      </c>
      <c r="AM497" s="1926">
        <f t="shared" si="72"/>
        <v>0.39</v>
      </c>
      <c r="AN497" s="1956">
        <f t="shared" si="75"/>
        <v>0.48</v>
      </c>
      <c r="AO497" s="1894"/>
      <c r="AP497" s="1895"/>
      <c r="AQ497" s="1933"/>
      <c r="AR497" s="1911"/>
    </row>
    <row r="498" spans="1:44">
      <c r="A498" s="1930"/>
      <c r="B498" s="1893">
        <v>11</v>
      </c>
      <c r="C498" s="1872">
        <v>12</v>
      </c>
      <c r="D498" s="1931">
        <v>0.33</v>
      </c>
      <c r="E498" s="1915">
        <v>0.57999999999999996</v>
      </c>
      <c r="F498" s="1930"/>
      <c r="G498" s="1893">
        <v>11</v>
      </c>
      <c r="H498" s="1872">
        <v>12</v>
      </c>
      <c r="I498" s="1931">
        <v>0.38</v>
      </c>
      <c r="J498" s="1915">
        <v>0.66</v>
      </c>
      <c r="K498" s="1930"/>
      <c r="L498" s="1893">
        <v>11</v>
      </c>
      <c r="M498" s="1872">
        <v>12</v>
      </c>
      <c r="N498" s="1931">
        <v>0.23</v>
      </c>
      <c r="O498" s="1915">
        <v>0.31</v>
      </c>
      <c r="P498" s="1930"/>
      <c r="Q498" s="1893"/>
      <c r="R498" s="1872"/>
      <c r="S498" s="1931"/>
      <c r="T498" s="1915"/>
      <c r="U498" s="1930"/>
      <c r="V498" s="1893">
        <v>11</v>
      </c>
      <c r="W498" s="1872">
        <v>12</v>
      </c>
      <c r="X498" s="1931">
        <v>0.4</v>
      </c>
      <c r="Y498" s="1915">
        <v>0.55000000000000004</v>
      </c>
      <c r="Z498" s="1930"/>
      <c r="AA498" s="1893">
        <v>11</v>
      </c>
      <c r="AB498" s="1872">
        <v>12</v>
      </c>
      <c r="AC498" s="1931">
        <v>0.71</v>
      </c>
      <c r="AD498" s="1915">
        <v>1.22</v>
      </c>
      <c r="AF498" s="1893">
        <v>11</v>
      </c>
      <c r="AG498" s="1872">
        <v>12</v>
      </c>
      <c r="AH498" s="1893">
        <v>0.39</v>
      </c>
      <c r="AI498" s="1872">
        <v>0.95</v>
      </c>
      <c r="AK498" s="1955">
        <f t="shared" si="73"/>
        <v>0.23</v>
      </c>
      <c r="AL498" s="1926">
        <f t="shared" si="74"/>
        <v>0.4</v>
      </c>
      <c r="AM498" s="1926">
        <f t="shared" si="72"/>
        <v>0.71</v>
      </c>
      <c r="AN498" s="1956">
        <f t="shared" si="75"/>
        <v>0.39</v>
      </c>
      <c r="AO498" s="1910"/>
      <c r="AP498" s="1889"/>
      <c r="AQ498" s="1935"/>
      <c r="AR498" s="1912"/>
    </row>
    <row r="499" spans="1:44">
      <c r="A499" s="1930"/>
      <c r="B499" s="1893">
        <v>12</v>
      </c>
      <c r="C499" s="1872">
        <v>13</v>
      </c>
      <c r="D499" s="1931">
        <v>0.5</v>
      </c>
      <c r="E499" s="1915">
        <v>0.86</v>
      </c>
      <c r="F499" s="1930"/>
      <c r="G499" s="1893">
        <v>12</v>
      </c>
      <c r="H499" s="1872">
        <v>13</v>
      </c>
      <c r="I499" s="1931">
        <v>0.33</v>
      </c>
      <c r="J499" s="1915">
        <v>0.56999999999999995</v>
      </c>
      <c r="K499" s="1930"/>
      <c r="L499" s="1893">
        <v>12</v>
      </c>
      <c r="M499" s="1872">
        <v>13</v>
      </c>
      <c r="N499" s="1931">
        <v>0.35</v>
      </c>
      <c r="O499" s="1915">
        <v>0.38</v>
      </c>
      <c r="P499" s="1930"/>
      <c r="Q499" s="1893"/>
      <c r="R499" s="1872"/>
      <c r="S499" s="1931"/>
      <c r="T499" s="1915"/>
      <c r="U499" s="1930"/>
      <c r="V499" s="1893">
        <v>12</v>
      </c>
      <c r="W499" s="1872">
        <v>13</v>
      </c>
      <c r="X499" s="1931">
        <v>0.31</v>
      </c>
      <c r="Y499" s="1915">
        <v>0.43</v>
      </c>
      <c r="Z499" s="1930"/>
      <c r="AA499" s="1893">
        <v>12</v>
      </c>
      <c r="AB499" s="1872">
        <v>13</v>
      </c>
      <c r="AC499" s="1931">
        <v>0.41</v>
      </c>
      <c r="AD499" s="1915">
        <v>0.69</v>
      </c>
      <c r="AF499" s="1893">
        <v>12</v>
      </c>
      <c r="AG499" s="1872">
        <v>13</v>
      </c>
      <c r="AH499" s="1893">
        <v>0.4</v>
      </c>
      <c r="AI499" s="1872">
        <v>0.96</v>
      </c>
      <c r="AK499" s="1955">
        <f t="shared" si="73"/>
        <v>0.35</v>
      </c>
      <c r="AL499" s="1926">
        <f t="shared" si="74"/>
        <v>0.31</v>
      </c>
      <c r="AM499" s="1926">
        <f t="shared" si="72"/>
        <v>0.41</v>
      </c>
      <c r="AN499" s="1956">
        <f t="shared" si="75"/>
        <v>0.4</v>
      </c>
      <c r="AO499" s="1902"/>
      <c r="AP499" s="1873"/>
      <c r="AQ499" s="1935"/>
      <c r="AR499" s="1912"/>
    </row>
    <row r="500" spans="1:44">
      <c r="A500" s="1930"/>
      <c r="B500" s="1893">
        <v>13</v>
      </c>
      <c r="C500" s="1872">
        <v>14</v>
      </c>
      <c r="D500" s="1931">
        <v>0.32</v>
      </c>
      <c r="E500" s="1915">
        <v>0.53</v>
      </c>
      <c r="F500" s="1930"/>
      <c r="G500" s="1893">
        <v>13</v>
      </c>
      <c r="H500" s="1872">
        <v>14</v>
      </c>
      <c r="I500" s="1931">
        <v>0.21</v>
      </c>
      <c r="J500" s="1915">
        <v>0.36</v>
      </c>
      <c r="K500" s="1930"/>
      <c r="L500" s="1893">
        <v>13</v>
      </c>
      <c r="M500" s="1872">
        <v>14</v>
      </c>
      <c r="N500" s="1931">
        <v>0.23</v>
      </c>
      <c r="O500" s="1915">
        <v>0.2</v>
      </c>
      <c r="P500" s="1930"/>
      <c r="Q500" s="1893"/>
      <c r="R500" s="1872"/>
      <c r="S500" s="1931"/>
      <c r="T500" s="1915"/>
      <c r="U500" s="1930"/>
      <c r="V500" s="1893">
        <v>13</v>
      </c>
      <c r="W500" s="1872">
        <v>14</v>
      </c>
      <c r="X500" s="1931">
        <v>0.49</v>
      </c>
      <c r="Y500" s="1915">
        <v>0.66</v>
      </c>
      <c r="Z500" s="1930"/>
      <c r="AA500" s="1893">
        <v>13</v>
      </c>
      <c r="AB500" s="1872">
        <v>14</v>
      </c>
      <c r="AC500" s="1931">
        <v>0.36</v>
      </c>
      <c r="AD500" s="1915">
        <v>0.6</v>
      </c>
      <c r="AF500" s="1893">
        <v>13</v>
      </c>
      <c r="AG500" s="1872">
        <v>14</v>
      </c>
      <c r="AH500" s="1893">
        <v>0.54</v>
      </c>
      <c r="AI500" s="1872">
        <v>1.25</v>
      </c>
      <c r="AK500" s="1955">
        <f t="shared" si="73"/>
        <v>0.23</v>
      </c>
      <c r="AL500" s="1926">
        <f t="shared" si="74"/>
        <v>0.49</v>
      </c>
      <c r="AM500" s="1926">
        <f t="shared" si="72"/>
        <v>0.36</v>
      </c>
      <c r="AN500" s="1956">
        <f t="shared" si="75"/>
        <v>0.54</v>
      </c>
      <c r="AO500" s="1902"/>
      <c r="AP500" s="1873"/>
      <c r="AQ500" s="1935"/>
      <c r="AR500" s="1912"/>
    </row>
    <row r="501" spans="1:44">
      <c r="A501" s="1930"/>
      <c r="B501" s="1893">
        <v>14</v>
      </c>
      <c r="C501" s="1872">
        <v>15</v>
      </c>
      <c r="D501" s="1931">
        <v>0.25</v>
      </c>
      <c r="E501" s="1915">
        <v>0.41</v>
      </c>
      <c r="F501" s="1930"/>
      <c r="G501" s="1893">
        <v>14</v>
      </c>
      <c r="H501" s="1872">
        <v>15</v>
      </c>
      <c r="I501" s="1931">
        <v>0.14000000000000001</v>
      </c>
      <c r="J501" s="1915">
        <v>0.24</v>
      </c>
      <c r="K501" s="1930"/>
      <c r="L501" s="1893">
        <v>14</v>
      </c>
      <c r="M501" s="1872">
        <v>15</v>
      </c>
      <c r="N501" s="1931">
        <v>0.24</v>
      </c>
      <c r="O501" s="1915">
        <v>0.2</v>
      </c>
      <c r="P501" s="1930"/>
      <c r="Q501" s="1893"/>
      <c r="R501" s="1872"/>
      <c r="S501" s="1931"/>
      <c r="T501" s="1915"/>
      <c r="U501" s="1930"/>
      <c r="V501" s="1893">
        <v>14</v>
      </c>
      <c r="W501" s="1872">
        <v>15</v>
      </c>
      <c r="X501" s="1931">
        <v>0.37</v>
      </c>
      <c r="Y501" s="1915">
        <v>0.5</v>
      </c>
      <c r="Z501" s="1930"/>
      <c r="AA501" s="1893">
        <v>14</v>
      </c>
      <c r="AB501" s="1872">
        <v>15</v>
      </c>
      <c r="AC501" s="1931">
        <v>0.47</v>
      </c>
      <c r="AD501" s="1915">
        <v>0.77</v>
      </c>
      <c r="AF501" s="1893">
        <v>14</v>
      </c>
      <c r="AG501" s="1872">
        <v>15</v>
      </c>
      <c r="AH501" s="1893">
        <v>0.34</v>
      </c>
      <c r="AI501" s="1872">
        <v>0.77</v>
      </c>
      <c r="AK501" s="1955">
        <f t="shared" si="73"/>
        <v>0.24</v>
      </c>
      <c r="AL501" s="1926">
        <f t="shared" si="74"/>
        <v>0.37</v>
      </c>
      <c r="AM501" s="1926">
        <f t="shared" si="72"/>
        <v>0.47</v>
      </c>
      <c r="AN501" s="1956">
        <f t="shared" si="75"/>
        <v>0.34</v>
      </c>
      <c r="AO501" s="1902"/>
      <c r="AP501" s="1873"/>
      <c r="AQ501" s="1935"/>
      <c r="AR501" s="1912"/>
    </row>
    <row r="502" spans="1:44">
      <c r="A502" s="1930"/>
      <c r="B502" s="1893">
        <v>15</v>
      </c>
      <c r="C502" s="1872">
        <v>16</v>
      </c>
      <c r="D502" s="1931">
        <v>0.15</v>
      </c>
      <c r="E502" s="1915">
        <v>0.25</v>
      </c>
      <c r="F502" s="1930"/>
      <c r="G502" s="1893">
        <v>15</v>
      </c>
      <c r="H502" s="1872">
        <v>16</v>
      </c>
      <c r="I502" s="1931">
        <v>0.27</v>
      </c>
      <c r="J502" s="1915">
        <v>0.47</v>
      </c>
      <c r="K502" s="1930"/>
      <c r="L502" s="1893">
        <v>15</v>
      </c>
      <c r="M502" s="1872">
        <v>16</v>
      </c>
      <c r="N502" s="1931">
        <v>0.25</v>
      </c>
      <c r="O502" s="1915">
        <v>0.21</v>
      </c>
      <c r="P502" s="1930"/>
      <c r="Q502" s="1893"/>
      <c r="R502" s="1872"/>
      <c r="S502" s="1931"/>
      <c r="T502" s="1915"/>
      <c r="U502" s="1930"/>
      <c r="V502" s="1893">
        <v>15</v>
      </c>
      <c r="W502" s="1872">
        <v>16</v>
      </c>
      <c r="X502" s="1931">
        <v>0.34</v>
      </c>
      <c r="Y502" s="1915">
        <v>0.48</v>
      </c>
      <c r="Z502" s="1930"/>
      <c r="AA502" s="1893">
        <v>15</v>
      </c>
      <c r="AB502" s="1872">
        <v>16</v>
      </c>
      <c r="AC502" s="1931">
        <v>0.39</v>
      </c>
      <c r="AD502" s="1915">
        <v>0.66</v>
      </c>
      <c r="AF502" s="1893">
        <v>15</v>
      </c>
      <c r="AG502" s="1872">
        <v>16</v>
      </c>
      <c r="AH502" s="1893">
        <v>0.45</v>
      </c>
      <c r="AI502" s="1872">
        <v>1.02</v>
      </c>
      <c r="AK502" s="1955">
        <f t="shared" si="73"/>
        <v>0.25</v>
      </c>
      <c r="AL502" s="1926">
        <f t="shared" si="74"/>
        <v>0.34</v>
      </c>
      <c r="AM502" s="1926">
        <f t="shared" si="72"/>
        <v>0.39</v>
      </c>
      <c r="AN502" s="1956">
        <f t="shared" si="75"/>
        <v>0.45</v>
      </c>
      <c r="AO502" s="1902"/>
      <c r="AP502" s="1873"/>
      <c r="AQ502" s="1935"/>
      <c r="AR502" s="1912"/>
    </row>
    <row r="503" spans="1:44">
      <c r="A503" s="1930"/>
      <c r="B503" s="1893">
        <v>16</v>
      </c>
      <c r="C503" s="1872">
        <v>17</v>
      </c>
      <c r="D503" s="1931">
        <v>0.21</v>
      </c>
      <c r="E503" s="1915">
        <v>0.36</v>
      </c>
      <c r="F503" s="1930"/>
      <c r="G503" s="1893">
        <v>16</v>
      </c>
      <c r="H503" s="1872">
        <v>17</v>
      </c>
      <c r="I503" s="1931">
        <v>0.27</v>
      </c>
      <c r="J503" s="1915">
        <v>0.49</v>
      </c>
      <c r="K503" s="1930"/>
      <c r="L503" s="1893">
        <v>16</v>
      </c>
      <c r="M503" s="1872">
        <v>17</v>
      </c>
      <c r="N503" s="1931">
        <v>0.3</v>
      </c>
      <c r="O503" s="1915">
        <v>0.31</v>
      </c>
      <c r="P503" s="1930"/>
      <c r="Q503" s="1893"/>
      <c r="R503" s="1872"/>
      <c r="S503" s="1931"/>
      <c r="T503" s="1915"/>
      <c r="U503" s="1930"/>
      <c r="V503" s="1893">
        <v>16</v>
      </c>
      <c r="W503" s="1872">
        <v>17</v>
      </c>
      <c r="X503" s="1931">
        <v>0.42</v>
      </c>
      <c r="Y503" s="1915">
        <v>0.62</v>
      </c>
      <c r="Z503" s="1930"/>
      <c r="AA503" s="1893">
        <v>16</v>
      </c>
      <c r="AB503" s="1872">
        <v>17</v>
      </c>
      <c r="AC503" s="1931">
        <v>0.39</v>
      </c>
      <c r="AD503" s="1915">
        <v>0.67</v>
      </c>
      <c r="AF503" s="1893">
        <v>16</v>
      </c>
      <c r="AG503" s="1872">
        <v>17</v>
      </c>
      <c r="AH503" s="1893">
        <v>0.28999999999999998</v>
      </c>
      <c r="AI503" s="1872">
        <v>0.68</v>
      </c>
      <c r="AK503" s="1955">
        <f t="shared" si="73"/>
        <v>0.3</v>
      </c>
      <c r="AL503" s="1926">
        <f t="shared" si="74"/>
        <v>0.42</v>
      </c>
      <c r="AM503" s="1926">
        <f t="shared" si="72"/>
        <v>0.39</v>
      </c>
      <c r="AN503" s="1956">
        <f t="shared" si="75"/>
        <v>0.28999999999999998</v>
      </c>
      <c r="AO503" s="1902"/>
      <c r="AP503" s="1873"/>
      <c r="AQ503" s="1936"/>
      <c r="AR503" s="1937"/>
    </row>
    <row r="504" spans="1:44">
      <c r="A504" s="1930"/>
      <c r="B504" s="1894">
        <v>17</v>
      </c>
      <c r="C504" s="1895">
        <v>18</v>
      </c>
      <c r="D504" s="1932">
        <v>0.27</v>
      </c>
      <c r="E504" s="1916">
        <v>0.7</v>
      </c>
      <c r="F504" s="1930"/>
      <c r="G504" s="1894">
        <v>17</v>
      </c>
      <c r="H504" s="1895">
        <v>18</v>
      </c>
      <c r="I504" s="1932">
        <v>1.1299999999999999</v>
      </c>
      <c r="J504" s="1916">
        <v>3.21</v>
      </c>
      <c r="K504" s="1930"/>
      <c r="L504" s="1894">
        <v>17</v>
      </c>
      <c r="M504" s="1895">
        <v>18</v>
      </c>
      <c r="N504" s="1932">
        <v>0.34</v>
      </c>
      <c r="O504" s="1916">
        <v>0.51</v>
      </c>
      <c r="P504" s="1930"/>
      <c r="Q504" s="1894"/>
      <c r="R504" s="1895"/>
      <c r="S504" s="1932"/>
      <c r="T504" s="1916"/>
      <c r="U504" s="1930"/>
      <c r="V504" s="1894">
        <v>17</v>
      </c>
      <c r="W504" s="1895">
        <v>18</v>
      </c>
      <c r="X504" s="1932">
        <v>0.43</v>
      </c>
      <c r="Y504" s="1916">
        <v>0.7</v>
      </c>
      <c r="Z504" s="1930"/>
      <c r="AA504" s="1894">
        <v>17</v>
      </c>
      <c r="AB504" s="1895">
        <v>18</v>
      </c>
      <c r="AC504" s="1932">
        <v>1.05</v>
      </c>
      <c r="AD504" s="1916">
        <v>1.03</v>
      </c>
      <c r="AF504" s="1894">
        <v>17</v>
      </c>
      <c r="AG504" s="1895">
        <v>18</v>
      </c>
      <c r="AH504" s="1894">
        <v>0.47</v>
      </c>
      <c r="AI504" s="1895">
        <v>1.1200000000000001</v>
      </c>
      <c r="AK504" s="1957">
        <f t="shared" si="73"/>
        <v>0.34</v>
      </c>
      <c r="AL504" s="1958">
        <f t="shared" si="74"/>
        <v>0.43</v>
      </c>
      <c r="AM504" s="1958">
        <f t="shared" si="72"/>
        <v>1.05</v>
      </c>
      <c r="AN504" s="1959">
        <f t="shared" si="75"/>
        <v>0.47</v>
      </c>
      <c r="AO504" s="2766"/>
      <c r="AP504" s="2766"/>
      <c r="AQ504" s="1926"/>
      <c r="AR504" s="1913"/>
    </row>
    <row r="505" spans="1:44">
      <c r="A505" s="1934"/>
      <c r="B505" s="1910">
        <v>18</v>
      </c>
      <c r="C505" s="1889">
        <v>19</v>
      </c>
      <c r="D505" s="1933">
        <v>0.36</v>
      </c>
      <c r="E505" s="1911">
        <v>0.93</v>
      </c>
      <c r="F505" s="1934"/>
      <c r="G505" s="1910">
        <v>18</v>
      </c>
      <c r="H505" s="1889">
        <v>19</v>
      </c>
      <c r="I505" s="1933">
        <v>0.62</v>
      </c>
      <c r="J505" s="1911">
        <v>1.83</v>
      </c>
      <c r="K505" s="1934"/>
      <c r="L505" s="1910">
        <v>18</v>
      </c>
      <c r="M505" s="1889">
        <v>19</v>
      </c>
      <c r="N505" s="1933">
        <v>0.35</v>
      </c>
      <c r="O505" s="1911">
        <v>0.59</v>
      </c>
      <c r="P505" s="1934"/>
      <c r="Q505" s="1910"/>
      <c r="R505" s="1889"/>
      <c r="S505" s="1933"/>
      <c r="T505" s="1911"/>
      <c r="U505" s="1934"/>
      <c r="V505" s="1910">
        <v>18</v>
      </c>
      <c r="W505" s="1889">
        <v>19</v>
      </c>
      <c r="X505" s="1933">
        <v>0.87</v>
      </c>
      <c r="Y505" s="1911">
        <v>1.55</v>
      </c>
      <c r="Z505" s="1934"/>
      <c r="AA505" s="1910">
        <v>18</v>
      </c>
      <c r="AB505" s="1889">
        <v>19</v>
      </c>
      <c r="AC505" s="1933">
        <v>1.1000000000000001</v>
      </c>
      <c r="AD505" s="1911">
        <v>2.2999999999999998</v>
      </c>
      <c r="AF505" s="1910">
        <v>18</v>
      </c>
      <c r="AG505" s="1889">
        <v>19</v>
      </c>
      <c r="AH505" s="1910">
        <v>0.35</v>
      </c>
      <c r="AI505" s="1889">
        <v>0.89</v>
      </c>
      <c r="AK505" s="1952">
        <f t="shared" si="73"/>
        <v>0.35</v>
      </c>
      <c r="AL505" s="1953">
        <f t="shared" si="74"/>
        <v>0.87</v>
      </c>
      <c r="AM505" s="1953">
        <f t="shared" si="72"/>
        <v>1.1000000000000001</v>
      </c>
      <c r="AN505" s="1954">
        <f t="shared" si="75"/>
        <v>0.35</v>
      </c>
      <c r="AO505" s="1883"/>
      <c r="AP505" s="1871"/>
      <c r="AQ505" s="1926"/>
      <c r="AR505" s="1913"/>
    </row>
    <row r="506" spans="1:44">
      <c r="A506" s="1934"/>
      <c r="B506" s="1902">
        <v>19</v>
      </c>
      <c r="C506" s="1873">
        <v>20</v>
      </c>
      <c r="D506" s="1935">
        <v>0.24</v>
      </c>
      <c r="E506" s="1912">
        <v>0.61</v>
      </c>
      <c r="F506" s="1934"/>
      <c r="G506" s="1902">
        <v>19</v>
      </c>
      <c r="H506" s="1873">
        <v>20</v>
      </c>
      <c r="I506" s="1935">
        <v>0.38</v>
      </c>
      <c r="J506" s="1912">
        <v>1.1499999999999999</v>
      </c>
      <c r="K506" s="1934"/>
      <c r="L506" s="1902">
        <v>19</v>
      </c>
      <c r="M506" s="1873">
        <v>20</v>
      </c>
      <c r="N506" s="1935">
        <v>0.31</v>
      </c>
      <c r="O506" s="1912">
        <v>0.56999999999999995</v>
      </c>
      <c r="P506" s="1934"/>
      <c r="Q506" s="1902"/>
      <c r="R506" s="1873"/>
      <c r="S506" s="1935"/>
      <c r="T506" s="1912"/>
      <c r="U506" s="1934"/>
      <c r="V506" s="1902">
        <v>19</v>
      </c>
      <c r="W506" s="1873">
        <v>20</v>
      </c>
      <c r="X506" s="1935">
        <v>0.41</v>
      </c>
      <c r="Y506" s="1912">
        <v>0.48</v>
      </c>
      <c r="Z506" s="1934"/>
      <c r="AA506" s="1902">
        <v>19</v>
      </c>
      <c r="AB506" s="1873">
        <v>20</v>
      </c>
      <c r="AC506" s="1935">
        <v>0.83</v>
      </c>
      <c r="AD506" s="1912">
        <v>1</v>
      </c>
      <c r="AF506" s="1902">
        <v>19</v>
      </c>
      <c r="AG506" s="1873">
        <v>20</v>
      </c>
      <c r="AH506" s="1902">
        <v>0.31</v>
      </c>
      <c r="AI506" s="1873">
        <v>0.85</v>
      </c>
      <c r="AK506" s="1955">
        <f t="shared" si="73"/>
        <v>0.31</v>
      </c>
      <c r="AL506" s="1926">
        <f t="shared" si="74"/>
        <v>0.41</v>
      </c>
      <c r="AM506" s="1926">
        <f t="shared" si="72"/>
        <v>0.83</v>
      </c>
      <c r="AN506" s="1956">
        <f t="shared" si="75"/>
        <v>0.31</v>
      </c>
      <c r="AO506" s="1883"/>
      <c r="AP506" s="1871"/>
      <c r="AQ506" s="1926"/>
      <c r="AR506" s="1913"/>
    </row>
    <row r="507" spans="1:44">
      <c r="A507" s="1934"/>
      <c r="B507" s="1902">
        <v>20</v>
      </c>
      <c r="C507" s="1873">
        <v>21</v>
      </c>
      <c r="D507" s="1935">
        <v>0.28999999999999998</v>
      </c>
      <c r="E507" s="1912">
        <v>0.5</v>
      </c>
      <c r="F507" s="1934"/>
      <c r="G507" s="1902">
        <v>20</v>
      </c>
      <c r="H507" s="1873">
        <v>21</v>
      </c>
      <c r="I507" s="1935">
        <v>0.28999999999999998</v>
      </c>
      <c r="J507" s="1912">
        <v>0.63</v>
      </c>
      <c r="K507" s="1934"/>
      <c r="L507" s="1902">
        <v>20</v>
      </c>
      <c r="M507" s="1873">
        <v>21</v>
      </c>
      <c r="N507" s="1935">
        <v>0.36</v>
      </c>
      <c r="O507" s="1912">
        <v>0.66</v>
      </c>
      <c r="P507" s="1934"/>
      <c r="Q507" s="1902"/>
      <c r="R507" s="1873"/>
      <c r="S507" s="1935"/>
      <c r="T507" s="1912"/>
      <c r="U507" s="1934"/>
      <c r="V507" s="1902">
        <v>20</v>
      </c>
      <c r="W507" s="1873">
        <v>21</v>
      </c>
      <c r="X507" s="1935">
        <v>0.47</v>
      </c>
      <c r="Y507" s="1912">
        <v>0.89</v>
      </c>
      <c r="Z507" s="1934"/>
      <c r="AA507" s="1902">
        <v>20</v>
      </c>
      <c r="AB507" s="1873">
        <v>21</v>
      </c>
      <c r="AC507" s="1935">
        <v>1</v>
      </c>
      <c r="AD507" s="1912">
        <v>2.66</v>
      </c>
      <c r="AF507" s="1902">
        <v>20</v>
      </c>
      <c r="AG507" s="1873">
        <v>21</v>
      </c>
      <c r="AH507" s="1902">
        <v>0.32</v>
      </c>
      <c r="AI507" s="1873">
        <v>0.92</v>
      </c>
      <c r="AK507" s="1955">
        <f t="shared" si="73"/>
        <v>0.36</v>
      </c>
      <c r="AL507" s="1926">
        <f t="shared" si="74"/>
        <v>0.47</v>
      </c>
      <c r="AM507" s="1926">
        <f t="shared" si="72"/>
        <v>1</v>
      </c>
      <c r="AN507" s="1956">
        <f t="shared" si="75"/>
        <v>0.32</v>
      </c>
      <c r="AO507" s="1883"/>
      <c r="AP507" s="1871"/>
      <c r="AQ507" s="1926"/>
      <c r="AR507" s="1913"/>
    </row>
    <row r="508" spans="1:44">
      <c r="A508" s="1934"/>
      <c r="B508" s="1902">
        <v>21</v>
      </c>
      <c r="C508" s="1873">
        <v>22</v>
      </c>
      <c r="D508" s="1935">
        <v>0.23</v>
      </c>
      <c r="E508" s="1912">
        <v>0.39</v>
      </c>
      <c r="F508" s="1934"/>
      <c r="G508" s="1902">
        <v>21</v>
      </c>
      <c r="H508" s="1873">
        <v>22</v>
      </c>
      <c r="I508" s="1935">
        <v>0.19</v>
      </c>
      <c r="J508" s="1912">
        <v>0.4</v>
      </c>
      <c r="K508" s="1934"/>
      <c r="L508" s="1902">
        <v>21</v>
      </c>
      <c r="M508" s="1873">
        <v>22</v>
      </c>
      <c r="N508" s="1935">
        <v>0.3</v>
      </c>
      <c r="O508" s="1912">
        <v>0.55000000000000004</v>
      </c>
      <c r="P508" s="1934"/>
      <c r="Q508" s="1902"/>
      <c r="R508" s="1873"/>
      <c r="S508" s="1935"/>
      <c r="T508" s="1912"/>
      <c r="U508" s="1934"/>
      <c r="V508" s="1902">
        <v>21</v>
      </c>
      <c r="W508" s="1873">
        <v>22</v>
      </c>
      <c r="X508" s="1935">
        <v>0.42</v>
      </c>
      <c r="Y508" s="1912">
        <v>0.75</v>
      </c>
      <c r="Z508" s="1934"/>
      <c r="AA508" s="1902">
        <v>21</v>
      </c>
      <c r="AB508" s="1873">
        <v>22</v>
      </c>
      <c r="AC508" s="1935">
        <v>0.5</v>
      </c>
      <c r="AD508" s="1912">
        <v>1.24</v>
      </c>
      <c r="AF508" s="1902">
        <v>21</v>
      </c>
      <c r="AG508" s="1873">
        <v>22</v>
      </c>
      <c r="AH508" s="1902">
        <v>0.3</v>
      </c>
      <c r="AI508" s="1873">
        <v>0.85</v>
      </c>
      <c r="AK508" s="1955">
        <f t="shared" si="73"/>
        <v>0.3</v>
      </c>
      <c r="AL508" s="1926">
        <f t="shared" si="74"/>
        <v>0.42</v>
      </c>
      <c r="AM508" s="1926">
        <f t="shared" si="72"/>
        <v>0.5</v>
      </c>
      <c r="AN508" s="1956">
        <f t="shared" si="75"/>
        <v>0.3</v>
      </c>
      <c r="AO508" s="1883"/>
      <c r="AP508" s="1871"/>
      <c r="AQ508" s="1926"/>
      <c r="AR508" s="1913"/>
    </row>
    <row r="509" spans="1:44">
      <c r="A509" s="1934"/>
      <c r="B509" s="1902">
        <v>22</v>
      </c>
      <c r="C509" s="1873">
        <v>23</v>
      </c>
      <c r="D509" s="1935">
        <v>0.22</v>
      </c>
      <c r="E509" s="1912">
        <v>0.36</v>
      </c>
      <c r="F509" s="1934"/>
      <c r="G509" s="1902">
        <v>22</v>
      </c>
      <c r="H509" s="1873">
        <v>23</v>
      </c>
      <c r="I509" s="1935">
        <v>0.12</v>
      </c>
      <c r="J509" s="1912">
        <v>0.25</v>
      </c>
      <c r="K509" s="1934"/>
      <c r="L509" s="1902">
        <v>22</v>
      </c>
      <c r="M509" s="1873">
        <v>23</v>
      </c>
      <c r="N509" s="1935">
        <v>0.28999999999999998</v>
      </c>
      <c r="O509" s="1912">
        <v>0.53</v>
      </c>
      <c r="P509" s="1934"/>
      <c r="Q509" s="1902"/>
      <c r="R509" s="1873"/>
      <c r="S509" s="1935"/>
      <c r="T509" s="1912"/>
      <c r="U509" s="1934"/>
      <c r="V509" s="1902">
        <v>22</v>
      </c>
      <c r="W509" s="1873">
        <v>23</v>
      </c>
      <c r="X509" s="1935">
        <v>0.34</v>
      </c>
      <c r="Y509" s="1912">
        <v>0.59</v>
      </c>
      <c r="Z509" s="1934"/>
      <c r="AA509" s="1902">
        <v>22</v>
      </c>
      <c r="AB509" s="1873">
        <v>23</v>
      </c>
      <c r="AC509" s="1935">
        <v>0.46</v>
      </c>
      <c r="AD509" s="1912">
        <v>1.02</v>
      </c>
      <c r="AF509" s="1902">
        <v>22</v>
      </c>
      <c r="AG509" s="1873">
        <v>23</v>
      </c>
      <c r="AH509" s="1902">
        <v>0.2</v>
      </c>
      <c r="AI509" s="1873">
        <v>0.55000000000000004</v>
      </c>
      <c r="AK509" s="1955">
        <f t="shared" si="73"/>
        <v>0.28999999999999998</v>
      </c>
      <c r="AL509" s="1926">
        <f t="shared" si="74"/>
        <v>0.34</v>
      </c>
      <c r="AM509" s="1926">
        <f t="shared" si="72"/>
        <v>0.46</v>
      </c>
      <c r="AN509" s="1956">
        <f t="shared" si="75"/>
        <v>0.2</v>
      </c>
      <c r="AO509" s="1883"/>
      <c r="AP509" s="1871"/>
      <c r="AQ509" s="1926"/>
      <c r="AR509" s="1913"/>
    </row>
    <row r="510" spans="1:44" ht="15" thickBot="1">
      <c r="A510" s="1934"/>
      <c r="B510" s="1902">
        <v>23</v>
      </c>
      <c r="C510" s="1873">
        <v>24</v>
      </c>
      <c r="D510" s="1935">
        <v>0.16</v>
      </c>
      <c r="E510" s="1912">
        <v>0.26</v>
      </c>
      <c r="F510" s="1934"/>
      <c r="G510" s="1902">
        <v>23</v>
      </c>
      <c r="H510" s="1873">
        <v>24</v>
      </c>
      <c r="I510" s="1935">
        <v>0.13</v>
      </c>
      <c r="J510" s="1912">
        <v>0.26</v>
      </c>
      <c r="K510" s="1934"/>
      <c r="L510" s="1902">
        <v>23</v>
      </c>
      <c r="M510" s="1873">
        <v>24</v>
      </c>
      <c r="N510" s="1935">
        <v>0.14000000000000001</v>
      </c>
      <c r="O510" s="1912">
        <v>0.25</v>
      </c>
      <c r="P510" s="1934"/>
      <c r="Q510" s="1902"/>
      <c r="R510" s="1873"/>
      <c r="S510" s="1935"/>
      <c r="T510" s="1912"/>
      <c r="U510" s="1934"/>
      <c r="V510" s="1902">
        <v>23</v>
      </c>
      <c r="W510" s="1873">
        <v>24</v>
      </c>
      <c r="X510" s="1935">
        <v>0.25</v>
      </c>
      <c r="Y510" s="1912">
        <v>0.4</v>
      </c>
      <c r="Z510" s="1934"/>
      <c r="AA510" s="1902">
        <v>23</v>
      </c>
      <c r="AB510" s="1873">
        <v>24</v>
      </c>
      <c r="AC510" s="1935">
        <v>0.24</v>
      </c>
      <c r="AD510" s="1912">
        <v>0.5</v>
      </c>
      <c r="AF510" s="1902">
        <v>23</v>
      </c>
      <c r="AG510" s="1873">
        <v>24</v>
      </c>
      <c r="AH510" s="1902">
        <v>0.13</v>
      </c>
      <c r="AI510" s="1873">
        <v>0.34</v>
      </c>
      <c r="AK510" s="1957">
        <f t="shared" si="73"/>
        <v>0.14000000000000001</v>
      </c>
      <c r="AL510" s="1958">
        <f t="shared" si="74"/>
        <v>0.25</v>
      </c>
      <c r="AM510" s="1958">
        <f t="shared" si="72"/>
        <v>0.24</v>
      </c>
      <c r="AN510" s="1959">
        <f t="shared" si="75"/>
        <v>0.13</v>
      </c>
      <c r="AO510" s="1883"/>
      <c r="AP510" s="1871"/>
      <c r="AQ510" s="1926"/>
      <c r="AR510" s="1913"/>
    </row>
    <row r="511" spans="1:44">
      <c r="B511" s="2766">
        <v>44977</v>
      </c>
      <c r="C511" s="2766"/>
      <c r="D511" s="1922">
        <f>SUM(D512:D535)</f>
        <v>7.59</v>
      </c>
      <c r="E511" s="1923">
        <f>SUM(E512:E535)</f>
        <v>12.709999999999999</v>
      </c>
      <c r="G511" s="2773">
        <v>45005</v>
      </c>
      <c r="H511" s="2773"/>
      <c r="I511" s="1922">
        <f>SUM(I512:I535)</f>
        <v>7.0200000000000005</v>
      </c>
      <c r="J511" s="1923">
        <f>SUM(J512:J535)</f>
        <v>14.569999999999999</v>
      </c>
      <c r="L511" s="2773">
        <v>45036</v>
      </c>
      <c r="M511" s="2773"/>
      <c r="N511" s="1936">
        <f>SUM(N512:N535)</f>
        <v>6.5500000000000007</v>
      </c>
      <c r="O511" s="1937">
        <f>SUM(O512:O535)</f>
        <v>10.500000000000002</v>
      </c>
      <c r="Q511" s="2766">
        <v>45066</v>
      </c>
      <c r="R511" s="2766"/>
      <c r="S511" s="1936"/>
      <c r="T511" s="1937"/>
      <c r="V511" s="2766">
        <v>45066</v>
      </c>
      <c r="W511" s="2766"/>
      <c r="X511" s="1936">
        <f>SUM(X512:X535)</f>
        <v>10.549999999999999</v>
      </c>
      <c r="Y511" s="1937">
        <f>SUM(Y512:Y535)</f>
        <v>13.100000000000001</v>
      </c>
      <c r="AA511" s="2766">
        <v>45097</v>
      </c>
      <c r="AB511" s="2766"/>
      <c r="AC511" s="1936">
        <f>SUM(AC512:AC535)</f>
        <v>8.35</v>
      </c>
      <c r="AD511" s="1937">
        <f>SUM(AD512:AD535)</f>
        <v>16.170000000000002</v>
      </c>
      <c r="AF511" s="2766">
        <v>45127</v>
      </c>
      <c r="AG511" s="2766"/>
      <c r="AH511" s="1936">
        <f>SUM(AH512:AH535)</f>
        <v>8.7199999999999989</v>
      </c>
      <c r="AI511" s="1937">
        <f>SUM(AI512:AI535)</f>
        <v>18.840000000000003</v>
      </c>
      <c r="AO511" s="1883"/>
      <c r="AP511" s="1871"/>
      <c r="AQ511" s="1928"/>
      <c r="AR511" s="1917"/>
    </row>
    <row r="512" spans="1:44">
      <c r="A512" s="1927"/>
      <c r="B512" s="1883">
        <v>0</v>
      </c>
      <c r="C512" s="1871">
        <v>1</v>
      </c>
      <c r="D512" s="1926">
        <v>0.15</v>
      </c>
      <c r="E512" s="1913">
        <v>0.23</v>
      </c>
      <c r="F512" s="1927"/>
      <c r="G512" s="1883">
        <v>0</v>
      </c>
      <c r="H512" s="1871">
        <v>1</v>
      </c>
      <c r="I512" s="1926">
        <v>0.26</v>
      </c>
      <c r="J512" s="1913">
        <v>0.51</v>
      </c>
      <c r="K512" s="1927"/>
      <c r="L512" s="1883">
        <v>0</v>
      </c>
      <c r="M512" s="1871">
        <v>1</v>
      </c>
      <c r="N512" s="1926">
        <v>0.11</v>
      </c>
      <c r="O512" s="1913">
        <v>0.19</v>
      </c>
      <c r="P512" s="1927"/>
      <c r="Q512" s="1883"/>
      <c r="R512" s="1871"/>
      <c r="S512" s="1926"/>
      <c r="T512" s="1913"/>
      <c r="U512" s="1927"/>
      <c r="V512" s="1883">
        <v>0</v>
      </c>
      <c r="W512" s="1871">
        <v>1</v>
      </c>
      <c r="X512" s="1926">
        <v>0.2</v>
      </c>
      <c r="Y512" s="1913">
        <v>0.31</v>
      </c>
      <c r="Z512" s="1927"/>
      <c r="AA512" s="1883">
        <v>0</v>
      </c>
      <c r="AB512" s="1871">
        <v>1</v>
      </c>
      <c r="AC512" s="1926">
        <v>0.22</v>
      </c>
      <c r="AD512" s="1913">
        <v>0.43</v>
      </c>
      <c r="AF512" s="1883">
        <v>0</v>
      </c>
      <c r="AG512" s="1871">
        <v>1</v>
      </c>
      <c r="AH512" s="1926">
        <v>0.14000000000000001</v>
      </c>
      <c r="AI512" s="1913">
        <v>0.36</v>
      </c>
      <c r="AK512" s="1952">
        <f>N512</f>
        <v>0.11</v>
      </c>
      <c r="AL512" s="1953">
        <f>X512</f>
        <v>0.2</v>
      </c>
      <c r="AM512" s="1953">
        <f t="shared" ref="AM512:AM535" si="76">AC512</f>
        <v>0.22</v>
      </c>
      <c r="AN512" s="1954">
        <f>AH512</f>
        <v>0.14000000000000001</v>
      </c>
      <c r="AO512" s="1908"/>
      <c r="AP512" s="1909"/>
      <c r="AQ512" s="1929"/>
      <c r="AR512" s="1914"/>
    </row>
    <row r="513" spans="1:44">
      <c r="A513" s="1927"/>
      <c r="B513" s="1883">
        <v>1</v>
      </c>
      <c r="C513" s="1871">
        <v>2</v>
      </c>
      <c r="D513" s="1926">
        <v>0.08</v>
      </c>
      <c r="E513" s="1913">
        <v>0.1</v>
      </c>
      <c r="F513" s="1927"/>
      <c r="G513" s="1883">
        <v>1</v>
      </c>
      <c r="H513" s="1871">
        <v>2</v>
      </c>
      <c r="I513" s="1926">
        <v>0.22</v>
      </c>
      <c r="J513" s="1913">
        <v>0.42</v>
      </c>
      <c r="K513" s="1927"/>
      <c r="L513" s="1883">
        <v>1</v>
      </c>
      <c r="M513" s="1871">
        <v>2</v>
      </c>
      <c r="N513" s="1926">
        <v>0.11</v>
      </c>
      <c r="O513" s="1913">
        <v>0.19</v>
      </c>
      <c r="P513" s="1927"/>
      <c r="Q513" s="1883"/>
      <c r="R513" s="1871"/>
      <c r="S513" s="1926"/>
      <c r="T513" s="1913"/>
      <c r="U513" s="1927"/>
      <c r="V513" s="1883">
        <v>1</v>
      </c>
      <c r="W513" s="1871">
        <v>2</v>
      </c>
      <c r="X513" s="1926">
        <v>0.21</v>
      </c>
      <c r="Y513" s="1913">
        <v>0.32</v>
      </c>
      <c r="Z513" s="1927"/>
      <c r="AA513" s="1883">
        <v>1</v>
      </c>
      <c r="AB513" s="1871">
        <v>2</v>
      </c>
      <c r="AC513" s="1926">
        <v>0.17</v>
      </c>
      <c r="AD513" s="1913">
        <v>0.31</v>
      </c>
      <c r="AF513" s="1883">
        <v>1</v>
      </c>
      <c r="AG513" s="1871">
        <v>2</v>
      </c>
      <c r="AH513" s="1926">
        <v>0.12</v>
      </c>
      <c r="AI513" s="1913">
        <v>0.31</v>
      </c>
      <c r="AK513" s="1955">
        <f t="shared" ref="AK513:AK535" si="77">N513</f>
        <v>0.11</v>
      </c>
      <c r="AL513" s="1926">
        <f t="shared" ref="AL513:AL535" si="78">X513</f>
        <v>0.21</v>
      </c>
      <c r="AM513" s="1926">
        <f t="shared" si="76"/>
        <v>0.17</v>
      </c>
      <c r="AN513" s="1956">
        <f t="shared" ref="AN513:AN535" si="79">AH513</f>
        <v>0.12</v>
      </c>
      <c r="AO513" s="1890"/>
      <c r="AP513" s="1891"/>
      <c r="AQ513" s="1931"/>
      <c r="AR513" s="1915"/>
    </row>
    <row r="514" spans="1:44">
      <c r="A514" s="1927"/>
      <c r="B514" s="1883">
        <v>2</v>
      </c>
      <c r="C514" s="1871">
        <v>3</v>
      </c>
      <c r="D514" s="1926">
        <v>0.11</v>
      </c>
      <c r="E514" s="1913">
        <v>0.14000000000000001</v>
      </c>
      <c r="F514" s="1927"/>
      <c r="G514" s="1883">
        <v>2</v>
      </c>
      <c r="H514" s="1871">
        <v>3</v>
      </c>
      <c r="I514" s="1926">
        <v>0.13</v>
      </c>
      <c r="J514" s="1913">
        <v>0.24</v>
      </c>
      <c r="K514" s="1927"/>
      <c r="L514" s="1883">
        <v>2</v>
      </c>
      <c r="M514" s="1871">
        <v>3</v>
      </c>
      <c r="N514" s="1926">
        <v>0.1</v>
      </c>
      <c r="O514" s="1913">
        <v>0.17</v>
      </c>
      <c r="P514" s="1927"/>
      <c r="Q514" s="1883"/>
      <c r="R514" s="1871"/>
      <c r="S514" s="1926"/>
      <c r="T514" s="1913"/>
      <c r="U514" s="1927"/>
      <c r="V514" s="1883">
        <v>2</v>
      </c>
      <c r="W514" s="1871">
        <v>3</v>
      </c>
      <c r="X514" s="1926">
        <v>0.21</v>
      </c>
      <c r="Y514" s="1913">
        <v>0.3</v>
      </c>
      <c r="Z514" s="1927"/>
      <c r="AA514" s="1883">
        <v>2</v>
      </c>
      <c r="AB514" s="1871">
        <v>3</v>
      </c>
      <c r="AC514" s="1926">
        <v>0.17</v>
      </c>
      <c r="AD514" s="1913">
        <v>0.3</v>
      </c>
      <c r="AF514" s="1883">
        <v>2</v>
      </c>
      <c r="AG514" s="1871">
        <v>3</v>
      </c>
      <c r="AH514" s="1926">
        <v>0.2</v>
      </c>
      <c r="AI514" s="1913">
        <v>0.49</v>
      </c>
      <c r="AK514" s="1955">
        <f t="shared" si="77"/>
        <v>0.1</v>
      </c>
      <c r="AL514" s="1926">
        <f t="shared" si="78"/>
        <v>0.21</v>
      </c>
      <c r="AM514" s="1926">
        <f t="shared" si="76"/>
        <v>0.17</v>
      </c>
      <c r="AN514" s="1956">
        <f t="shared" si="79"/>
        <v>0.2</v>
      </c>
      <c r="AO514" s="1893"/>
      <c r="AP514" s="1872"/>
      <c r="AQ514" s="1931"/>
      <c r="AR514" s="1915"/>
    </row>
    <row r="515" spans="1:44">
      <c r="A515" s="1927"/>
      <c r="B515" s="1883">
        <v>3</v>
      </c>
      <c r="C515" s="1871">
        <v>4</v>
      </c>
      <c r="D515" s="1926">
        <v>0.15</v>
      </c>
      <c r="E515" s="1913">
        <v>0.17</v>
      </c>
      <c r="F515" s="1927"/>
      <c r="G515" s="1883">
        <v>3</v>
      </c>
      <c r="H515" s="1871">
        <v>4</v>
      </c>
      <c r="I515" s="1926">
        <v>0.12</v>
      </c>
      <c r="J515" s="1913">
        <v>0.22</v>
      </c>
      <c r="K515" s="1927"/>
      <c r="L515" s="1883">
        <v>3</v>
      </c>
      <c r="M515" s="1871">
        <v>4</v>
      </c>
      <c r="N515" s="1926">
        <v>0.1</v>
      </c>
      <c r="O515" s="1913">
        <v>0.17</v>
      </c>
      <c r="P515" s="1927"/>
      <c r="Q515" s="1883"/>
      <c r="R515" s="1871"/>
      <c r="S515" s="1926"/>
      <c r="T515" s="1913"/>
      <c r="U515" s="1927"/>
      <c r="V515" s="1883">
        <v>3</v>
      </c>
      <c r="W515" s="1871">
        <v>4</v>
      </c>
      <c r="X515" s="1926">
        <v>0.18</v>
      </c>
      <c r="Y515" s="1913">
        <v>0.26</v>
      </c>
      <c r="Z515" s="1927"/>
      <c r="AA515" s="1883">
        <v>3</v>
      </c>
      <c r="AB515" s="1871">
        <v>4</v>
      </c>
      <c r="AC515" s="1926">
        <v>0.19</v>
      </c>
      <c r="AD515" s="1913">
        <v>0.33</v>
      </c>
      <c r="AF515" s="1883">
        <v>3</v>
      </c>
      <c r="AG515" s="1871">
        <v>4</v>
      </c>
      <c r="AH515" s="1926">
        <v>0.12</v>
      </c>
      <c r="AI515" s="1913">
        <v>0.28999999999999998</v>
      </c>
      <c r="AK515" s="1955">
        <f t="shared" si="77"/>
        <v>0.1</v>
      </c>
      <c r="AL515" s="1926">
        <f t="shared" si="78"/>
        <v>0.18</v>
      </c>
      <c r="AM515" s="1926">
        <f t="shared" si="76"/>
        <v>0.19</v>
      </c>
      <c r="AN515" s="1956">
        <f t="shared" si="79"/>
        <v>0.12</v>
      </c>
      <c r="AO515" s="1893"/>
      <c r="AP515" s="1872"/>
      <c r="AQ515" s="1931"/>
      <c r="AR515" s="1915"/>
    </row>
    <row r="516" spans="1:44">
      <c r="A516" s="1927"/>
      <c r="B516" s="1883">
        <v>4</v>
      </c>
      <c r="C516" s="1871">
        <v>5</v>
      </c>
      <c r="D516" s="1926">
        <v>0.11</v>
      </c>
      <c r="E516" s="1913">
        <v>0.12</v>
      </c>
      <c r="F516" s="1927"/>
      <c r="G516" s="1883">
        <v>4</v>
      </c>
      <c r="H516" s="1871">
        <v>5</v>
      </c>
      <c r="I516" s="1926">
        <v>0.25</v>
      </c>
      <c r="J516" s="1913">
        <v>0.45</v>
      </c>
      <c r="K516" s="1927"/>
      <c r="L516" s="1883">
        <v>4</v>
      </c>
      <c r="M516" s="1871">
        <v>5</v>
      </c>
      <c r="N516" s="1926">
        <v>0.14000000000000001</v>
      </c>
      <c r="O516" s="1913">
        <v>0.24</v>
      </c>
      <c r="P516" s="1927"/>
      <c r="Q516" s="1883"/>
      <c r="R516" s="1871"/>
      <c r="S516" s="1926"/>
      <c r="T516" s="1913"/>
      <c r="U516" s="1927"/>
      <c r="V516" s="1883">
        <v>4</v>
      </c>
      <c r="W516" s="1871">
        <v>5</v>
      </c>
      <c r="X516" s="1926">
        <v>0.21</v>
      </c>
      <c r="Y516" s="1913">
        <v>0.3</v>
      </c>
      <c r="Z516" s="1927"/>
      <c r="AA516" s="1883">
        <v>4</v>
      </c>
      <c r="AB516" s="1871">
        <v>5</v>
      </c>
      <c r="AC516" s="1926">
        <v>0.19</v>
      </c>
      <c r="AD516" s="1913">
        <v>0.33</v>
      </c>
      <c r="AF516" s="1883">
        <v>4</v>
      </c>
      <c r="AG516" s="1871">
        <v>5</v>
      </c>
      <c r="AH516" s="1926">
        <v>0.18</v>
      </c>
      <c r="AI516" s="1913">
        <v>0.42</v>
      </c>
      <c r="AK516" s="1955">
        <f t="shared" si="77"/>
        <v>0.14000000000000001</v>
      </c>
      <c r="AL516" s="1926">
        <f t="shared" si="78"/>
        <v>0.21</v>
      </c>
      <c r="AM516" s="1926">
        <f t="shared" si="76"/>
        <v>0.19</v>
      </c>
      <c r="AN516" s="1956">
        <f t="shared" si="79"/>
        <v>0.18</v>
      </c>
      <c r="AO516" s="1893"/>
      <c r="AP516" s="1872"/>
      <c r="AQ516" s="1931"/>
      <c r="AR516" s="1915"/>
    </row>
    <row r="517" spans="1:44">
      <c r="A517" s="1927"/>
      <c r="B517" s="1883">
        <v>5</v>
      </c>
      <c r="C517" s="1871">
        <v>6</v>
      </c>
      <c r="D517" s="1926">
        <v>0.11</v>
      </c>
      <c r="E517" s="1913">
        <v>0.13</v>
      </c>
      <c r="F517" s="1927"/>
      <c r="G517" s="1883">
        <v>5</v>
      </c>
      <c r="H517" s="1871">
        <v>6</v>
      </c>
      <c r="I517" s="1926">
        <v>0.2</v>
      </c>
      <c r="J517" s="1913">
        <v>0.38</v>
      </c>
      <c r="K517" s="1927"/>
      <c r="L517" s="1883">
        <v>5</v>
      </c>
      <c r="M517" s="1871">
        <v>6</v>
      </c>
      <c r="N517" s="1926">
        <v>0.27</v>
      </c>
      <c r="O517" s="1913">
        <v>0.48</v>
      </c>
      <c r="P517" s="1927"/>
      <c r="Q517" s="1883"/>
      <c r="R517" s="1871"/>
      <c r="S517" s="1926"/>
      <c r="T517" s="1913"/>
      <c r="U517" s="1927"/>
      <c r="V517" s="1883">
        <v>5</v>
      </c>
      <c r="W517" s="1871">
        <v>6</v>
      </c>
      <c r="X517" s="1926">
        <v>0.21</v>
      </c>
      <c r="Y517" s="1913">
        <v>0.3</v>
      </c>
      <c r="Z517" s="1927"/>
      <c r="AA517" s="1883">
        <v>5</v>
      </c>
      <c r="AB517" s="1871">
        <v>6</v>
      </c>
      <c r="AC517" s="1926">
        <v>0.19</v>
      </c>
      <c r="AD517" s="1913">
        <v>0.34</v>
      </c>
      <c r="AF517" s="1883">
        <v>5</v>
      </c>
      <c r="AG517" s="1871">
        <v>6</v>
      </c>
      <c r="AH517" s="1926">
        <v>0.08</v>
      </c>
      <c r="AI517" s="1913">
        <v>0.19</v>
      </c>
      <c r="AK517" s="1955">
        <f t="shared" si="77"/>
        <v>0.27</v>
      </c>
      <c r="AL517" s="1926">
        <f t="shared" si="78"/>
        <v>0.21</v>
      </c>
      <c r="AM517" s="1926">
        <f t="shared" si="76"/>
        <v>0.19</v>
      </c>
      <c r="AN517" s="1956">
        <f t="shared" si="79"/>
        <v>0.08</v>
      </c>
      <c r="AO517" s="1893"/>
      <c r="AP517" s="1872"/>
      <c r="AQ517" s="1931"/>
      <c r="AR517" s="1915"/>
    </row>
    <row r="518" spans="1:44">
      <c r="A518" s="1927"/>
      <c r="B518" s="1883">
        <v>6</v>
      </c>
      <c r="C518" s="1871">
        <v>7</v>
      </c>
      <c r="D518" s="1926">
        <v>0.11</v>
      </c>
      <c r="E518" s="1913">
        <v>0.16</v>
      </c>
      <c r="F518" s="1927"/>
      <c r="G518" s="1883">
        <v>6</v>
      </c>
      <c r="H518" s="1871">
        <v>7</v>
      </c>
      <c r="I518" s="1926">
        <v>0.33</v>
      </c>
      <c r="J518" s="1913">
        <v>0.68</v>
      </c>
      <c r="K518" s="1927"/>
      <c r="L518" s="1883">
        <v>6</v>
      </c>
      <c r="M518" s="1871">
        <v>7</v>
      </c>
      <c r="N518" s="1926">
        <v>0.23</v>
      </c>
      <c r="O518" s="1913">
        <v>0.41</v>
      </c>
      <c r="P518" s="1927"/>
      <c r="Q518" s="1883"/>
      <c r="R518" s="1871"/>
      <c r="S518" s="1926"/>
      <c r="T518" s="1913"/>
      <c r="U518" s="1927"/>
      <c r="V518" s="1883">
        <v>6</v>
      </c>
      <c r="W518" s="1871">
        <v>7</v>
      </c>
      <c r="X518" s="1926">
        <v>0.33</v>
      </c>
      <c r="Y518" s="1913">
        <v>0.46</v>
      </c>
      <c r="Z518" s="1927"/>
      <c r="AA518" s="1883">
        <v>6</v>
      </c>
      <c r="AB518" s="1871">
        <v>7</v>
      </c>
      <c r="AC518" s="1926">
        <v>0.14000000000000001</v>
      </c>
      <c r="AD518" s="1913">
        <v>0.28000000000000003</v>
      </c>
      <c r="AF518" s="1883">
        <v>6</v>
      </c>
      <c r="AG518" s="1871">
        <v>7</v>
      </c>
      <c r="AH518" s="1926">
        <v>0.26</v>
      </c>
      <c r="AI518" s="1913">
        <v>0.64</v>
      </c>
      <c r="AK518" s="1955">
        <f t="shared" si="77"/>
        <v>0.23</v>
      </c>
      <c r="AL518" s="1926">
        <f t="shared" si="78"/>
        <v>0.33</v>
      </c>
      <c r="AM518" s="1926">
        <f t="shared" si="76"/>
        <v>0.14000000000000001</v>
      </c>
      <c r="AN518" s="1956">
        <f t="shared" si="79"/>
        <v>0.26</v>
      </c>
      <c r="AO518" s="1893"/>
      <c r="AP518" s="1872"/>
      <c r="AQ518" s="1931"/>
      <c r="AR518" s="1915"/>
    </row>
    <row r="519" spans="1:44">
      <c r="A519" s="1927"/>
      <c r="B519" s="1908">
        <v>7</v>
      </c>
      <c r="C519" s="1909">
        <v>8</v>
      </c>
      <c r="D519" s="1928">
        <v>0.25</v>
      </c>
      <c r="E519" s="1917">
        <v>0.39</v>
      </c>
      <c r="F519" s="1927"/>
      <c r="G519" s="1908">
        <v>7</v>
      </c>
      <c r="H519" s="1909">
        <v>8</v>
      </c>
      <c r="I519" s="1928">
        <v>0.12</v>
      </c>
      <c r="J519" s="1917">
        <v>0.26</v>
      </c>
      <c r="K519" s="1927"/>
      <c r="L519" s="1908">
        <v>7</v>
      </c>
      <c r="M519" s="1909">
        <v>8</v>
      </c>
      <c r="N519" s="1928">
        <v>0.19</v>
      </c>
      <c r="O519" s="1917">
        <v>0.34</v>
      </c>
      <c r="P519" s="1927"/>
      <c r="Q519" s="1908"/>
      <c r="R519" s="1909"/>
      <c r="S519" s="1928"/>
      <c r="T519" s="1917"/>
      <c r="U519" s="1927"/>
      <c r="V519" s="1908">
        <v>7</v>
      </c>
      <c r="W519" s="1909">
        <v>8</v>
      </c>
      <c r="X519" s="1928">
        <v>0.33</v>
      </c>
      <c r="Y519" s="1917">
        <v>0.46</v>
      </c>
      <c r="Z519" s="1927"/>
      <c r="AA519" s="1908">
        <v>7</v>
      </c>
      <c r="AB519" s="1909">
        <v>8</v>
      </c>
      <c r="AC519" s="1928">
        <v>0.21</v>
      </c>
      <c r="AD519" s="1917">
        <v>0.45</v>
      </c>
      <c r="AF519" s="1908">
        <v>7</v>
      </c>
      <c r="AG519" s="1909">
        <v>8</v>
      </c>
      <c r="AH519" s="1928">
        <v>0.42</v>
      </c>
      <c r="AI519" s="1917">
        <v>1.1200000000000001</v>
      </c>
      <c r="AK519" s="1957">
        <f t="shared" si="77"/>
        <v>0.19</v>
      </c>
      <c r="AL519" s="1958">
        <f t="shared" si="78"/>
        <v>0.33</v>
      </c>
      <c r="AM519" s="1958">
        <f t="shared" si="76"/>
        <v>0.21</v>
      </c>
      <c r="AN519" s="1959">
        <f t="shared" si="79"/>
        <v>0.42</v>
      </c>
      <c r="AO519" s="1893"/>
      <c r="AP519" s="1872"/>
      <c r="AQ519" s="1931"/>
      <c r="AR519" s="1915"/>
    </row>
    <row r="520" spans="1:44">
      <c r="A520" s="1930"/>
      <c r="B520" s="1890">
        <v>8</v>
      </c>
      <c r="C520" s="1891">
        <v>9</v>
      </c>
      <c r="D520" s="1929">
        <v>0.3</v>
      </c>
      <c r="E520" s="1914">
        <v>0.46</v>
      </c>
      <c r="F520" s="1930"/>
      <c r="G520" s="1890">
        <v>8</v>
      </c>
      <c r="H520" s="1891">
        <v>9</v>
      </c>
      <c r="I520" s="1929">
        <v>0.16</v>
      </c>
      <c r="J520" s="1914">
        <v>0.35</v>
      </c>
      <c r="K520" s="1930"/>
      <c r="L520" s="1890">
        <v>8</v>
      </c>
      <c r="M520" s="1891">
        <v>9</v>
      </c>
      <c r="N520" s="1929">
        <v>0.34</v>
      </c>
      <c r="O520" s="1914">
        <v>0.61</v>
      </c>
      <c r="P520" s="1930"/>
      <c r="Q520" s="1890"/>
      <c r="R520" s="1891"/>
      <c r="S520" s="1929"/>
      <c r="T520" s="1914"/>
      <c r="U520" s="1930"/>
      <c r="V520" s="1890">
        <v>8</v>
      </c>
      <c r="W520" s="1891">
        <v>9</v>
      </c>
      <c r="X520" s="1929">
        <v>0.41</v>
      </c>
      <c r="Y520" s="1914">
        <v>0.56000000000000005</v>
      </c>
      <c r="Z520" s="1930"/>
      <c r="AA520" s="1890">
        <v>8</v>
      </c>
      <c r="AB520" s="1891">
        <v>9</v>
      </c>
      <c r="AC520" s="1929">
        <v>0.34</v>
      </c>
      <c r="AD520" s="1914">
        <v>0.74</v>
      </c>
      <c r="AF520" s="1890">
        <v>8</v>
      </c>
      <c r="AG520" s="1891">
        <v>9</v>
      </c>
      <c r="AH520" s="1929">
        <v>0.48</v>
      </c>
      <c r="AI520" s="1914">
        <v>1.04</v>
      </c>
      <c r="AK520" s="1952">
        <f t="shared" si="77"/>
        <v>0.34</v>
      </c>
      <c r="AL520" s="1953">
        <f t="shared" si="78"/>
        <v>0.41</v>
      </c>
      <c r="AM520" s="1953">
        <f t="shared" si="76"/>
        <v>0.34</v>
      </c>
      <c r="AN520" s="1954">
        <f t="shared" si="79"/>
        <v>0.48</v>
      </c>
      <c r="AO520" s="1893"/>
      <c r="AP520" s="1872"/>
      <c r="AQ520" s="1931"/>
      <c r="AR520" s="1915"/>
    </row>
    <row r="521" spans="1:44">
      <c r="A521" s="1930"/>
      <c r="B521" s="1893">
        <v>9</v>
      </c>
      <c r="C521" s="1872">
        <v>10</v>
      </c>
      <c r="D521" s="1931">
        <v>0.25</v>
      </c>
      <c r="E521" s="1915">
        <v>0.32</v>
      </c>
      <c r="F521" s="1930"/>
      <c r="G521" s="1893">
        <v>9</v>
      </c>
      <c r="H521" s="1872">
        <v>10</v>
      </c>
      <c r="I521" s="1931">
        <v>0.23</v>
      </c>
      <c r="J521" s="1915">
        <v>0.48</v>
      </c>
      <c r="K521" s="1930"/>
      <c r="L521" s="1893">
        <v>9</v>
      </c>
      <c r="M521" s="1872">
        <v>10</v>
      </c>
      <c r="N521" s="1931">
        <v>0.21</v>
      </c>
      <c r="O521" s="1915">
        <v>0.36</v>
      </c>
      <c r="P521" s="1930"/>
      <c r="Q521" s="1893"/>
      <c r="R521" s="1872"/>
      <c r="S521" s="1931"/>
      <c r="T521" s="1915"/>
      <c r="U521" s="1930"/>
      <c r="V521" s="1893">
        <v>9</v>
      </c>
      <c r="W521" s="1872">
        <v>10</v>
      </c>
      <c r="X521" s="1931">
        <v>0.56999999999999995</v>
      </c>
      <c r="Y521" s="1915">
        <v>0.68</v>
      </c>
      <c r="Z521" s="1930"/>
      <c r="AA521" s="1893">
        <v>9</v>
      </c>
      <c r="AB521" s="1872">
        <v>10</v>
      </c>
      <c r="AC521" s="1931">
        <v>0.49</v>
      </c>
      <c r="AD521" s="1915">
        <v>1</v>
      </c>
      <c r="AF521" s="1893">
        <v>9</v>
      </c>
      <c r="AG521" s="1872">
        <v>10</v>
      </c>
      <c r="AH521" s="1931">
        <v>0.38</v>
      </c>
      <c r="AI521" s="1915">
        <v>0.74</v>
      </c>
      <c r="AK521" s="1955">
        <f t="shared" si="77"/>
        <v>0.21</v>
      </c>
      <c r="AL521" s="1926">
        <f t="shared" si="78"/>
        <v>0.56999999999999995</v>
      </c>
      <c r="AM521" s="1926">
        <f t="shared" si="76"/>
        <v>0.49</v>
      </c>
      <c r="AN521" s="1956">
        <f t="shared" si="79"/>
        <v>0.38</v>
      </c>
      <c r="AO521" s="1893"/>
      <c r="AP521" s="1872"/>
      <c r="AQ521" s="1932"/>
      <c r="AR521" s="1916"/>
    </row>
    <row r="522" spans="1:44">
      <c r="A522" s="1930"/>
      <c r="B522" s="1893">
        <v>10</v>
      </c>
      <c r="C522" s="1872">
        <v>11</v>
      </c>
      <c r="D522" s="1931">
        <v>0.26</v>
      </c>
      <c r="E522" s="1915">
        <v>0.32</v>
      </c>
      <c r="F522" s="1930"/>
      <c r="G522" s="1893">
        <v>10</v>
      </c>
      <c r="H522" s="1872">
        <v>11</v>
      </c>
      <c r="I522" s="1931">
        <v>0.33</v>
      </c>
      <c r="J522" s="1915">
        <v>0.63</v>
      </c>
      <c r="K522" s="1930"/>
      <c r="L522" s="1893">
        <v>10</v>
      </c>
      <c r="M522" s="1872">
        <v>11</v>
      </c>
      <c r="N522" s="1931">
        <v>0.19</v>
      </c>
      <c r="O522" s="1915">
        <v>0.28000000000000003</v>
      </c>
      <c r="P522" s="1930"/>
      <c r="Q522" s="1893"/>
      <c r="R522" s="1872"/>
      <c r="S522" s="1931"/>
      <c r="T522" s="1915"/>
      <c r="U522" s="1930"/>
      <c r="V522" s="1893">
        <v>10</v>
      </c>
      <c r="W522" s="1872">
        <v>11</v>
      </c>
      <c r="X522" s="1931">
        <v>0.53</v>
      </c>
      <c r="Y522" s="1915">
        <v>0.45</v>
      </c>
      <c r="Z522" s="1930"/>
      <c r="AA522" s="1893">
        <v>10</v>
      </c>
      <c r="AB522" s="1872">
        <v>11</v>
      </c>
      <c r="AC522" s="1931">
        <v>0.41</v>
      </c>
      <c r="AD522" s="1915">
        <v>0.77</v>
      </c>
      <c r="AF522" s="1893">
        <v>10</v>
      </c>
      <c r="AG522" s="1872">
        <v>11</v>
      </c>
      <c r="AH522" s="1931">
        <v>0.46</v>
      </c>
      <c r="AI522" s="1915">
        <v>0.89</v>
      </c>
      <c r="AK522" s="1955">
        <f t="shared" si="77"/>
        <v>0.19</v>
      </c>
      <c r="AL522" s="1926">
        <f t="shared" si="78"/>
        <v>0.53</v>
      </c>
      <c r="AM522" s="1926">
        <f t="shared" si="76"/>
        <v>0.41</v>
      </c>
      <c r="AN522" s="1956">
        <f t="shared" si="79"/>
        <v>0.46</v>
      </c>
      <c r="AO522" s="1894"/>
      <c r="AP522" s="1895"/>
      <c r="AQ522" s="1933"/>
      <c r="AR522" s="1911"/>
    </row>
    <row r="523" spans="1:44">
      <c r="A523" s="1930"/>
      <c r="B523" s="1893">
        <v>11</v>
      </c>
      <c r="C523" s="1872">
        <v>12</v>
      </c>
      <c r="D523" s="1931">
        <v>0.28000000000000003</v>
      </c>
      <c r="E523" s="1915">
        <v>0.28999999999999998</v>
      </c>
      <c r="F523" s="1930"/>
      <c r="G523" s="1893">
        <v>11</v>
      </c>
      <c r="H523" s="1872">
        <v>12</v>
      </c>
      <c r="I523" s="1931">
        <v>0.32</v>
      </c>
      <c r="J523" s="1915">
        <v>0.56999999999999995</v>
      </c>
      <c r="K523" s="1930"/>
      <c r="L523" s="1893">
        <v>11</v>
      </c>
      <c r="M523" s="1872">
        <v>12</v>
      </c>
      <c r="N523" s="1931">
        <v>0.35</v>
      </c>
      <c r="O523" s="1915">
        <v>0.48</v>
      </c>
      <c r="P523" s="1930"/>
      <c r="Q523" s="1893"/>
      <c r="R523" s="1872"/>
      <c r="S523" s="1931"/>
      <c r="T523" s="1915"/>
      <c r="U523" s="1930"/>
      <c r="V523" s="1893">
        <v>11</v>
      </c>
      <c r="W523" s="1872">
        <v>12</v>
      </c>
      <c r="X523" s="1931">
        <v>0.38</v>
      </c>
      <c r="Y523" s="1915">
        <v>0.31</v>
      </c>
      <c r="Z523" s="1930"/>
      <c r="AA523" s="1893">
        <v>11</v>
      </c>
      <c r="AB523" s="1872">
        <v>12</v>
      </c>
      <c r="AC523" s="1931">
        <v>0.42</v>
      </c>
      <c r="AD523" s="1915">
        <v>0.76</v>
      </c>
      <c r="AF523" s="1893">
        <v>11</v>
      </c>
      <c r="AG523" s="1872">
        <v>12</v>
      </c>
      <c r="AH523" s="1931">
        <v>0.48</v>
      </c>
      <c r="AI523" s="1915">
        <v>0.93</v>
      </c>
      <c r="AK523" s="1955">
        <f t="shared" si="77"/>
        <v>0.35</v>
      </c>
      <c r="AL523" s="1926">
        <f t="shared" si="78"/>
        <v>0.38</v>
      </c>
      <c r="AM523" s="1926">
        <f t="shared" si="76"/>
        <v>0.42</v>
      </c>
      <c r="AN523" s="1956">
        <f t="shared" si="79"/>
        <v>0.48</v>
      </c>
      <c r="AO523" s="1910"/>
      <c r="AP523" s="1889"/>
      <c r="AQ523" s="1935"/>
      <c r="AR523" s="1912"/>
    </row>
    <row r="524" spans="1:44">
      <c r="A524" s="1930"/>
      <c r="B524" s="1893">
        <v>12</v>
      </c>
      <c r="C524" s="1872">
        <v>13</v>
      </c>
      <c r="D524" s="1931">
        <v>0.27</v>
      </c>
      <c r="E524" s="1915">
        <v>0.28000000000000003</v>
      </c>
      <c r="F524" s="1930"/>
      <c r="G524" s="1893">
        <v>12</v>
      </c>
      <c r="H524" s="1872">
        <v>13</v>
      </c>
      <c r="I524" s="1931">
        <v>0.25</v>
      </c>
      <c r="J524" s="1915">
        <v>0.44</v>
      </c>
      <c r="K524" s="1930"/>
      <c r="L524" s="1893">
        <v>12</v>
      </c>
      <c r="M524" s="1872">
        <v>13</v>
      </c>
      <c r="N524" s="1931">
        <v>0.28999999999999998</v>
      </c>
      <c r="O524" s="1915">
        <v>0.39</v>
      </c>
      <c r="P524" s="1930"/>
      <c r="Q524" s="1893"/>
      <c r="R524" s="1872"/>
      <c r="S524" s="1931"/>
      <c r="T524" s="1915"/>
      <c r="U524" s="1930"/>
      <c r="V524" s="1893">
        <v>12</v>
      </c>
      <c r="W524" s="1872">
        <v>13</v>
      </c>
      <c r="X524" s="1931">
        <v>0.38</v>
      </c>
      <c r="Y524" s="1915">
        <v>0.3</v>
      </c>
      <c r="Z524" s="1930"/>
      <c r="AA524" s="1893">
        <v>12</v>
      </c>
      <c r="AB524" s="1872">
        <v>13</v>
      </c>
      <c r="AC524" s="1931">
        <v>0.39</v>
      </c>
      <c r="AD524" s="1915">
        <v>0.68</v>
      </c>
      <c r="AF524" s="1893">
        <v>12</v>
      </c>
      <c r="AG524" s="1872">
        <v>13</v>
      </c>
      <c r="AH524" s="1931">
        <v>0.3</v>
      </c>
      <c r="AI524" s="1915">
        <v>0.57999999999999996</v>
      </c>
      <c r="AK524" s="1955">
        <f t="shared" si="77"/>
        <v>0.28999999999999998</v>
      </c>
      <c r="AL524" s="1926">
        <f t="shared" si="78"/>
        <v>0.38</v>
      </c>
      <c r="AM524" s="1926">
        <f t="shared" si="76"/>
        <v>0.39</v>
      </c>
      <c r="AN524" s="1956">
        <f t="shared" si="79"/>
        <v>0.3</v>
      </c>
      <c r="AO524" s="1902"/>
      <c r="AP524" s="1873"/>
      <c r="AQ524" s="1935"/>
      <c r="AR524" s="1912"/>
    </row>
    <row r="525" spans="1:44">
      <c r="A525" s="1930"/>
      <c r="B525" s="1893">
        <v>13</v>
      </c>
      <c r="C525" s="1872">
        <v>14</v>
      </c>
      <c r="D525" s="1931">
        <v>0.34</v>
      </c>
      <c r="E525" s="1915">
        <v>0.35</v>
      </c>
      <c r="F525" s="1930"/>
      <c r="G525" s="1893">
        <v>13</v>
      </c>
      <c r="H525" s="1872">
        <v>14</v>
      </c>
      <c r="I525" s="1931">
        <v>0.34</v>
      </c>
      <c r="J525" s="1915">
        <v>0.59</v>
      </c>
      <c r="K525" s="1930"/>
      <c r="L525" s="1893">
        <v>13</v>
      </c>
      <c r="M525" s="1872">
        <v>14</v>
      </c>
      <c r="N525" s="1931">
        <v>0.31</v>
      </c>
      <c r="O525" s="1915">
        <v>0.4</v>
      </c>
      <c r="P525" s="1930"/>
      <c r="Q525" s="1893"/>
      <c r="R525" s="1872"/>
      <c r="S525" s="1931"/>
      <c r="T525" s="1915"/>
      <c r="U525" s="1930"/>
      <c r="V525" s="1893">
        <v>13</v>
      </c>
      <c r="W525" s="1872">
        <v>14</v>
      </c>
      <c r="X525" s="1931">
        <v>0.5</v>
      </c>
      <c r="Y525" s="1915">
        <v>0.4</v>
      </c>
      <c r="Z525" s="1930"/>
      <c r="AA525" s="1893">
        <v>13</v>
      </c>
      <c r="AB525" s="1872">
        <v>14</v>
      </c>
      <c r="AC525" s="1931">
        <v>0.65</v>
      </c>
      <c r="AD525" s="1915">
        <v>1.1100000000000001</v>
      </c>
      <c r="AF525" s="1893">
        <v>13</v>
      </c>
      <c r="AG525" s="1872">
        <v>14</v>
      </c>
      <c r="AH525" s="1931">
        <v>0.47</v>
      </c>
      <c r="AI525" s="1915">
        <v>0.91</v>
      </c>
      <c r="AK525" s="1955">
        <f t="shared" si="77"/>
        <v>0.31</v>
      </c>
      <c r="AL525" s="1926">
        <f t="shared" si="78"/>
        <v>0.5</v>
      </c>
      <c r="AM525" s="1926">
        <f t="shared" si="76"/>
        <v>0.65</v>
      </c>
      <c r="AN525" s="1956">
        <f t="shared" si="79"/>
        <v>0.47</v>
      </c>
      <c r="AO525" s="1902"/>
      <c r="AP525" s="1873"/>
      <c r="AQ525" s="1935"/>
      <c r="AR525" s="1912"/>
    </row>
    <row r="526" spans="1:44">
      <c r="A526" s="1930"/>
      <c r="B526" s="1893">
        <v>14</v>
      </c>
      <c r="C526" s="1872">
        <v>15</v>
      </c>
      <c r="D526" s="1931">
        <v>0.22</v>
      </c>
      <c r="E526" s="1915">
        <v>0.27</v>
      </c>
      <c r="F526" s="1930"/>
      <c r="G526" s="1893">
        <v>14</v>
      </c>
      <c r="H526" s="1872">
        <v>15</v>
      </c>
      <c r="I526" s="1931">
        <v>0.34</v>
      </c>
      <c r="J526" s="1915">
        <v>0.59</v>
      </c>
      <c r="K526" s="1930"/>
      <c r="L526" s="1893">
        <v>14</v>
      </c>
      <c r="M526" s="1872">
        <v>15</v>
      </c>
      <c r="N526" s="1931">
        <v>0.22</v>
      </c>
      <c r="O526" s="1915">
        <v>0.28000000000000003</v>
      </c>
      <c r="P526" s="1930"/>
      <c r="Q526" s="1893"/>
      <c r="R526" s="1872"/>
      <c r="S526" s="1931"/>
      <c r="T526" s="1915"/>
      <c r="U526" s="1930"/>
      <c r="V526" s="1893">
        <v>14</v>
      </c>
      <c r="W526" s="1872">
        <v>15</v>
      </c>
      <c r="X526" s="1931">
        <v>0.34</v>
      </c>
      <c r="Y526" s="1915">
        <v>0.28000000000000003</v>
      </c>
      <c r="Z526" s="1930"/>
      <c r="AA526" s="1893">
        <v>14</v>
      </c>
      <c r="AB526" s="1872">
        <v>15</v>
      </c>
      <c r="AC526" s="1931">
        <v>0.48</v>
      </c>
      <c r="AD526" s="1915">
        <v>0.81</v>
      </c>
      <c r="AF526" s="1893">
        <v>14</v>
      </c>
      <c r="AG526" s="1872">
        <v>15</v>
      </c>
      <c r="AH526" s="1931">
        <v>0.48</v>
      </c>
      <c r="AI526" s="1915">
        <v>0.92</v>
      </c>
      <c r="AK526" s="1955">
        <f t="shared" si="77"/>
        <v>0.22</v>
      </c>
      <c r="AL526" s="1926">
        <f t="shared" si="78"/>
        <v>0.34</v>
      </c>
      <c r="AM526" s="1926">
        <f t="shared" si="76"/>
        <v>0.48</v>
      </c>
      <c r="AN526" s="1956">
        <f t="shared" si="79"/>
        <v>0.48</v>
      </c>
      <c r="AO526" s="1902"/>
      <c r="AP526" s="1873"/>
      <c r="AQ526" s="1935"/>
      <c r="AR526" s="1912"/>
    </row>
    <row r="527" spans="1:44">
      <c r="A527" s="1930"/>
      <c r="B527" s="1893">
        <v>15</v>
      </c>
      <c r="C527" s="1872">
        <v>16</v>
      </c>
      <c r="D527" s="1931">
        <v>0.28000000000000003</v>
      </c>
      <c r="E527" s="1915">
        <v>0.37</v>
      </c>
      <c r="F527" s="1930"/>
      <c r="G527" s="1893">
        <v>15</v>
      </c>
      <c r="H527" s="1872">
        <v>16</v>
      </c>
      <c r="I527" s="1931">
        <v>0.37</v>
      </c>
      <c r="J527" s="1915">
        <v>0.65</v>
      </c>
      <c r="K527" s="1930"/>
      <c r="L527" s="1893">
        <v>15</v>
      </c>
      <c r="M527" s="1872">
        <v>16</v>
      </c>
      <c r="N527" s="1931">
        <v>0.47</v>
      </c>
      <c r="O527" s="1915">
        <v>0.6</v>
      </c>
      <c r="P527" s="1930"/>
      <c r="Q527" s="1893"/>
      <c r="R527" s="1872"/>
      <c r="S527" s="1931"/>
      <c r="T527" s="1915"/>
      <c r="U527" s="1930"/>
      <c r="V527" s="1893">
        <v>15</v>
      </c>
      <c r="W527" s="1872">
        <v>16</v>
      </c>
      <c r="X527" s="1931">
        <v>0.39</v>
      </c>
      <c r="Y527" s="1915">
        <v>0.32</v>
      </c>
      <c r="Z527" s="1930"/>
      <c r="AA527" s="1893">
        <v>15</v>
      </c>
      <c r="AB527" s="1872">
        <v>16</v>
      </c>
      <c r="AC527" s="1931">
        <v>0.5</v>
      </c>
      <c r="AD527" s="1915">
        <v>0.88</v>
      </c>
      <c r="AF527" s="1893">
        <v>15</v>
      </c>
      <c r="AG527" s="1872">
        <v>16</v>
      </c>
      <c r="AH527" s="1931">
        <v>0.35</v>
      </c>
      <c r="AI527" s="1915">
        <v>0.67</v>
      </c>
      <c r="AK527" s="1955">
        <f t="shared" si="77"/>
        <v>0.47</v>
      </c>
      <c r="AL527" s="1926">
        <f t="shared" si="78"/>
        <v>0.39</v>
      </c>
      <c r="AM527" s="1926">
        <f t="shared" si="76"/>
        <v>0.5</v>
      </c>
      <c r="AN527" s="1956">
        <f t="shared" si="79"/>
        <v>0.35</v>
      </c>
      <c r="AO527" s="1902"/>
      <c r="AP527" s="1873"/>
      <c r="AQ527" s="1935"/>
      <c r="AR527" s="1912"/>
    </row>
    <row r="528" spans="1:44">
      <c r="A528" s="1930"/>
      <c r="B528" s="1893">
        <v>16</v>
      </c>
      <c r="C528" s="1872">
        <v>17</v>
      </c>
      <c r="D528" s="1931">
        <v>1.1200000000000001</v>
      </c>
      <c r="E528" s="1915">
        <v>1.52</v>
      </c>
      <c r="F528" s="1930"/>
      <c r="G528" s="1893">
        <v>16</v>
      </c>
      <c r="H528" s="1872">
        <v>17</v>
      </c>
      <c r="I528" s="1931">
        <v>0.86</v>
      </c>
      <c r="J528" s="1915">
        <v>1.53</v>
      </c>
      <c r="K528" s="1930"/>
      <c r="L528" s="1893">
        <v>16</v>
      </c>
      <c r="M528" s="1872">
        <v>17</v>
      </c>
      <c r="N528" s="1931">
        <v>0.55000000000000004</v>
      </c>
      <c r="O528" s="1915">
        <v>0.71</v>
      </c>
      <c r="P528" s="1930"/>
      <c r="Q528" s="1893"/>
      <c r="R528" s="1872"/>
      <c r="S528" s="1931"/>
      <c r="T528" s="1915"/>
      <c r="U528" s="1930"/>
      <c r="V528" s="1893">
        <v>16</v>
      </c>
      <c r="W528" s="1872">
        <v>17</v>
      </c>
      <c r="X528" s="1931">
        <v>0.46</v>
      </c>
      <c r="Y528" s="1915">
        <v>0.38</v>
      </c>
      <c r="Z528" s="1930"/>
      <c r="AA528" s="1893">
        <v>16</v>
      </c>
      <c r="AB528" s="1872">
        <v>17</v>
      </c>
      <c r="AC528" s="1931">
        <v>0.41</v>
      </c>
      <c r="AD528" s="1915">
        <v>0.74</v>
      </c>
      <c r="AF528" s="1893">
        <v>16</v>
      </c>
      <c r="AG528" s="1872">
        <v>17</v>
      </c>
      <c r="AH528" s="1931">
        <v>0.28999999999999998</v>
      </c>
      <c r="AI528" s="1915">
        <v>0.55000000000000004</v>
      </c>
      <c r="AK528" s="1955">
        <f t="shared" si="77"/>
        <v>0.55000000000000004</v>
      </c>
      <c r="AL528" s="1926">
        <f t="shared" si="78"/>
        <v>0.46</v>
      </c>
      <c r="AM528" s="1926">
        <f t="shared" si="76"/>
        <v>0.41</v>
      </c>
      <c r="AN528" s="1956">
        <f t="shared" si="79"/>
        <v>0.28999999999999998</v>
      </c>
      <c r="AO528" s="1902"/>
      <c r="AP528" s="1873"/>
      <c r="AQ528" s="1936"/>
      <c r="AR528" s="1937"/>
    </row>
    <row r="529" spans="1:44">
      <c r="A529" s="1930"/>
      <c r="B529" s="1894">
        <v>17</v>
      </c>
      <c r="C529" s="1895">
        <v>18</v>
      </c>
      <c r="D529" s="1932">
        <v>1.35</v>
      </c>
      <c r="E529" s="1916">
        <v>3.36</v>
      </c>
      <c r="F529" s="1930"/>
      <c r="G529" s="1894">
        <v>17</v>
      </c>
      <c r="H529" s="1895">
        <v>18</v>
      </c>
      <c r="I529" s="1932">
        <v>0.45</v>
      </c>
      <c r="J529" s="1916">
        <v>1.28</v>
      </c>
      <c r="K529" s="1930"/>
      <c r="L529" s="1894">
        <v>17</v>
      </c>
      <c r="M529" s="1895">
        <v>18</v>
      </c>
      <c r="N529" s="1932">
        <v>0.56000000000000005</v>
      </c>
      <c r="O529" s="1916">
        <v>0.96</v>
      </c>
      <c r="P529" s="1930"/>
      <c r="Q529" s="1894"/>
      <c r="R529" s="1895"/>
      <c r="S529" s="1932"/>
      <c r="T529" s="1916"/>
      <c r="U529" s="1930"/>
      <c r="V529" s="1894">
        <v>17</v>
      </c>
      <c r="W529" s="1895">
        <v>18</v>
      </c>
      <c r="X529" s="1932">
        <v>0.87</v>
      </c>
      <c r="Y529" s="1916">
        <v>0.92</v>
      </c>
      <c r="Z529" s="1930"/>
      <c r="AA529" s="1894">
        <v>17</v>
      </c>
      <c r="AB529" s="1895">
        <v>18</v>
      </c>
      <c r="AC529" s="1932">
        <v>0.71</v>
      </c>
      <c r="AD529" s="1916">
        <v>1.36</v>
      </c>
      <c r="AF529" s="1894">
        <v>17</v>
      </c>
      <c r="AG529" s="1895">
        <v>18</v>
      </c>
      <c r="AH529" s="1932">
        <v>1.26</v>
      </c>
      <c r="AI529" s="1916">
        <v>2.4300000000000002</v>
      </c>
      <c r="AK529" s="1957">
        <f t="shared" si="77"/>
        <v>0.56000000000000005</v>
      </c>
      <c r="AL529" s="1958">
        <f t="shared" si="78"/>
        <v>0.87</v>
      </c>
      <c r="AM529" s="1958">
        <f t="shared" si="76"/>
        <v>0.71</v>
      </c>
      <c r="AN529" s="1959">
        <f t="shared" si="79"/>
        <v>1.26</v>
      </c>
      <c r="AO529" s="2766"/>
      <c r="AP529" s="2766"/>
      <c r="AQ529" s="1883"/>
      <c r="AR529" s="1871"/>
    </row>
    <row r="530" spans="1:44">
      <c r="A530" s="1934"/>
      <c r="B530" s="1910">
        <v>18</v>
      </c>
      <c r="C530" s="1889">
        <v>19</v>
      </c>
      <c r="D530" s="1933">
        <v>0.62</v>
      </c>
      <c r="E530" s="1911">
        <v>1.51</v>
      </c>
      <c r="F530" s="1934"/>
      <c r="G530" s="1910">
        <v>18</v>
      </c>
      <c r="H530" s="1889">
        <v>19</v>
      </c>
      <c r="I530" s="1933">
        <v>0.37</v>
      </c>
      <c r="J530" s="1911">
        <v>1.1100000000000001</v>
      </c>
      <c r="K530" s="1934"/>
      <c r="L530" s="1910">
        <v>18</v>
      </c>
      <c r="M530" s="1889">
        <v>19</v>
      </c>
      <c r="N530" s="1933">
        <v>0.45</v>
      </c>
      <c r="O530" s="1911">
        <v>0.79</v>
      </c>
      <c r="P530" s="1934"/>
      <c r="Q530" s="1910"/>
      <c r="R530" s="1889"/>
      <c r="S530" s="1933"/>
      <c r="T530" s="1911"/>
      <c r="U530" s="1934"/>
      <c r="V530" s="1910">
        <v>18</v>
      </c>
      <c r="W530" s="1889">
        <v>19</v>
      </c>
      <c r="X530" s="1933">
        <v>0.82</v>
      </c>
      <c r="Y530" s="1911">
        <v>1.08</v>
      </c>
      <c r="Z530" s="1934"/>
      <c r="AA530" s="1910">
        <v>18</v>
      </c>
      <c r="AB530" s="1889">
        <v>19</v>
      </c>
      <c r="AC530" s="1933">
        <v>0.47</v>
      </c>
      <c r="AD530" s="1911">
        <v>1</v>
      </c>
      <c r="AF530" s="1910">
        <v>18</v>
      </c>
      <c r="AG530" s="1889">
        <v>19</v>
      </c>
      <c r="AH530" s="1933">
        <v>0.59</v>
      </c>
      <c r="AI530" s="1911">
        <v>1.1499999999999999</v>
      </c>
      <c r="AK530" s="1952">
        <f t="shared" si="77"/>
        <v>0.45</v>
      </c>
      <c r="AL530" s="1953">
        <f t="shared" si="78"/>
        <v>0.82</v>
      </c>
      <c r="AM530" s="1953">
        <f t="shared" si="76"/>
        <v>0.47</v>
      </c>
      <c r="AN530" s="1954">
        <f t="shared" si="79"/>
        <v>0.59</v>
      </c>
      <c r="AO530" s="1883"/>
      <c r="AP530" s="1871"/>
      <c r="AQ530" s="1883"/>
      <c r="AR530" s="1871"/>
    </row>
    <row r="531" spans="1:44">
      <c r="A531" s="1934"/>
      <c r="B531" s="1902">
        <v>19</v>
      </c>
      <c r="C531" s="1873">
        <v>20</v>
      </c>
      <c r="D531" s="1935">
        <v>0.31</v>
      </c>
      <c r="E531" s="1912">
        <v>0.75</v>
      </c>
      <c r="F531" s="1934"/>
      <c r="G531" s="1902">
        <v>19</v>
      </c>
      <c r="H531" s="1873">
        <v>20</v>
      </c>
      <c r="I531" s="1935">
        <v>0.32</v>
      </c>
      <c r="J531" s="1912">
        <v>1.01</v>
      </c>
      <c r="K531" s="1934"/>
      <c r="L531" s="1902">
        <v>19</v>
      </c>
      <c r="M531" s="1873">
        <v>20</v>
      </c>
      <c r="N531" s="1935">
        <v>0.37</v>
      </c>
      <c r="O531" s="1912">
        <v>0.66</v>
      </c>
      <c r="P531" s="1934"/>
      <c r="Q531" s="1902"/>
      <c r="R531" s="1873"/>
      <c r="S531" s="1935"/>
      <c r="T531" s="1912"/>
      <c r="U531" s="1934"/>
      <c r="V531" s="1902">
        <v>19</v>
      </c>
      <c r="W531" s="1873">
        <v>20</v>
      </c>
      <c r="X531" s="1935">
        <v>1.66</v>
      </c>
      <c r="Y531" s="1912">
        <v>2.57</v>
      </c>
      <c r="Z531" s="1934"/>
      <c r="AA531" s="1902">
        <v>19</v>
      </c>
      <c r="AB531" s="1873">
        <v>20</v>
      </c>
      <c r="AC531" s="1935">
        <v>0.33</v>
      </c>
      <c r="AD531" s="1912">
        <v>0.76</v>
      </c>
      <c r="AF531" s="1902">
        <v>19</v>
      </c>
      <c r="AG531" s="1873">
        <v>20</v>
      </c>
      <c r="AH531" s="1935">
        <v>0.48</v>
      </c>
      <c r="AI531" s="1912">
        <v>0.95</v>
      </c>
      <c r="AK531" s="1955">
        <f t="shared" si="77"/>
        <v>0.37</v>
      </c>
      <c r="AL531" s="1926">
        <f t="shared" si="78"/>
        <v>1.66</v>
      </c>
      <c r="AM531" s="1926">
        <f t="shared" si="76"/>
        <v>0.33</v>
      </c>
      <c r="AN531" s="1956">
        <f t="shared" si="79"/>
        <v>0.48</v>
      </c>
      <c r="AO531" s="1883"/>
      <c r="AP531" s="1871"/>
      <c r="AQ531" s="1883"/>
      <c r="AR531" s="1871"/>
    </row>
    <row r="532" spans="1:44">
      <c r="A532" s="1934"/>
      <c r="B532" s="1902">
        <v>20</v>
      </c>
      <c r="C532" s="1873">
        <v>21</v>
      </c>
      <c r="D532" s="1935">
        <v>0.39</v>
      </c>
      <c r="E532" s="1912">
        <v>0.63</v>
      </c>
      <c r="F532" s="1934"/>
      <c r="G532" s="1902">
        <v>20</v>
      </c>
      <c r="H532" s="1873">
        <v>21</v>
      </c>
      <c r="I532" s="1935">
        <v>0.28999999999999998</v>
      </c>
      <c r="J532" s="1912">
        <v>0.65</v>
      </c>
      <c r="K532" s="1934"/>
      <c r="L532" s="1902">
        <v>20</v>
      </c>
      <c r="M532" s="1873">
        <v>21</v>
      </c>
      <c r="N532" s="1935">
        <v>0.28000000000000003</v>
      </c>
      <c r="O532" s="1912">
        <v>0.51</v>
      </c>
      <c r="P532" s="1934"/>
      <c r="Q532" s="1902"/>
      <c r="R532" s="1873"/>
      <c r="S532" s="1935"/>
      <c r="T532" s="1912"/>
      <c r="U532" s="1934"/>
      <c r="V532" s="1902">
        <v>20</v>
      </c>
      <c r="W532" s="1873">
        <v>21</v>
      </c>
      <c r="X532" s="1935">
        <v>0.43</v>
      </c>
      <c r="Y532" s="1912">
        <v>0.7</v>
      </c>
      <c r="Z532" s="1934"/>
      <c r="AA532" s="1902">
        <v>20</v>
      </c>
      <c r="AB532" s="1873">
        <v>21</v>
      </c>
      <c r="AC532" s="1935">
        <v>0.39</v>
      </c>
      <c r="AD532" s="1912">
        <v>0.92</v>
      </c>
      <c r="AF532" s="1902">
        <v>20</v>
      </c>
      <c r="AG532" s="1873">
        <v>21</v>
      </c>
      <c r="AH532" s="1935">
        <v>0.35</v>
      </c>
      <c r="AI532" s="1912">
        <v>0.95</v>
      </c>
      <c r="AK532" s="1955">
        <f t="shared" si="77"/>
        <v>0.28000000000000003</v>
      </c>
      <c r="AL532" s="1926">
        <f t="shared" si="78"/>
        <v>0.43</v>
      </c>
      <c r="AM532" s="1926">
        <f t="shared" si="76"/>
        <v>0.39</v>
      </c>
      <c r="AN532" s="1956">
        <f t="shared" si="79"/>
        <v>0.35</v>
      </c>
      <c r="AO532" s="1883"/>
      <c r="AP532" s="1871"/>
      <c r="AQ532" s="1883"/>
      <c r="AR532" s="1871"/>
    </row>
    <row r="533" spans="1:44">
      <c r="A533" s="1934"/>
      <c r="B533" s="1902">
        <v>21</v>
      </c>
      <c r="C533" s="1873">
        <v>22</v>
      </c>
      <c r="D533" s="1935">
        <v>0.28000000000000003</v>
      </c>
      <c r="E533" s="1912">
        <v>0.45</v>
      </c>
      <c r="F533" s="1934"/>
      <c r="G533" s="1902">
        <v>21</v>
      </c>
      <c r="H533" s="1873">
        <v>22</v>
      </c>
      <c r="I533" s="1935">
        <v>0.3</v>
      </c>
      <c r="J533" s="1912">
        <v>0.62</v>
      </c>
      <c r="K533" s="1934"/>
      <c r="L533" s="1902">
        <v>21</v>
      </c>
      <c r="M533" s="1873">
        <v>22</v>
      </c>
      <c r="N533" s="1935">
        <v>0.32</v>
      </c>
      <c r="O533" s="1912">
        <v>0.57999999999999996</v>
      </c>
      <c r="P533" s="1934"/>
      <c r="Q533" s="1902"/>
      <c r="R533" s="1873"/>
      <c r="S533" s="1935"/>
      <c r="T533" s="1912"/>
      <c r="U533" s="1934"/>
      <c r="V533" s="1902">
        <v>21</v>
      </c>
      <c r="W533" s="1873">
        <v>22</v>
      </c>
      <c r="X533" s="1935">
        <v>0.45</v>
      </c>
      <c r="Y533" s="1912">
        <v>0.71</v>
      </c>
      <c r="Z533" s="1934"/>
      <c r="AA533" s="1902">
        <v>21</v>
      </c>
      <c r="AB533" s="1873">
        <v>22</v>
      </c>
      <c r="AC533" s="1935">
        <v>0.36</v>
      </c>
      <c r="AD533" s="1912">
        <v>0.8</v>
      </c>
      <c r="AF533" s="1902">
        <v>21</v>
      </c>
      <c r="AG533" s="1873">
        <v>22</v>
      </c>
      <c r="AH533" s="1935">
        <v>0.41</v>
      </c>
      <c r="AI533" s="1912">
        <v>1.17</v>
      </c>
      <c r="AK533" s="1955">
        <f t="shared" si="77"/>
        <v>0.32</v>
      </c>
      <c r="AL533" s="1926">
        <f t="shared" si="78"/>
        <v>0.45</v>
      </c>
      <c r="AM533" s="1926">
        <f t="shared" si="76"/>
        <v>0.36</v>
      </c>
      <c r="AN533" s="1956">
        <f t="shared" si="79"/>
        <v>0.41</v>
      </c>
      <c r="AO533" s="1883"/>
      <c r="AP533" s="1871"/>
      <c r="AQ533" s="1883"/>
      <c r="AR533" s="1871"/>
    </row>
    <row r="534" spans="1:44">
      <c r="A534" s="1934"/>
      <c r="B534" s="1902">
        <v>22</v>
      </c>
      <c r="C534" s="1873">
        <v>23</v>
      </c>
      <c r="D534" s="1935">
        <v>0.15</v>
      </c>
      <c r="E534" s="1912">
        <v>0.24</v>
      </c>
      <c r="F534" s="1934"/>
      <c r="G534" s="1902">
        <v>22</v>
      </c>
      <c r="H534" s="1873">
        <v>23</v>
      </c>
      <c r="I534" s="1935">
        <v>0.32</v>
      </c>
      <c r="J534" s="1912">
        <v>0.64</v>
      </c>
      <c r="K534" s="1934"/>
      <c r="L534" s="1902">
        <v>22</v>
      </c>
      <c r="M534" s="1873">
        <v>23</v>
      </c>
      <c r="N534" s="1935">
        <v>0.21</v>
      </c>
      <c r="O534" s="1912">
        <v>0.38</v>
      </c>
      <c r="P534" s="1934"/>
      <c r="Q534" s="1902"/>
      <c r="R534" s="1873"/>
      <c r="S534" s="1935"/>
      <c r="T534" s="1912"/>
      <c r="U534" s="1934"/>
      <c r="V534" s="1902">
        <v>22</v>
      </c>
      <c r="W534" s="1873">
        <v>23</v>
      </c>
      <c r="X534" s="1935">
        <v>0.26</v>
      </c>
      <c r="Y534" s="1912">
        <v>0.4</v>
      </c>
      <c r="Z534" s="1934"/>
      <c r="AA534" s="1902">
        <v>22</v>
      </c>
      <c r="AB534" s="1873">
        <v>23</v>
      </c>
      <c r="AC534" s="1935">
        <v>0.35</v>
      </c>
      <c r="AD534" s="1912">
        <v>0.74</v>
      </c>
      <c r="AF534" s="1902">
        <v>22</v>
      </c>
      <c r="AG534" s="1873">
        <v>23</v>
      </c>
      <c r="AH534" s="1935">
        <v>0.2</v>
      </c>
      <c r="AI534" s="1912">
        <v>0.55000000000000004</v>
      </c>
      <c r="AK534" s="1955">
        <f t="shared" si="77"/>
        <v>0.21</v>
      </c>
      <c r="AL534" s="1926">
        <f t="shared" si="78"/>
        <v>0.26</v>
      </c>
      <c r="AM534" s="1926">
        <f t="shared" si="76"/>
        <v>0.35</v>
      </c>
      <c r="AN534" s="1956">
        <f t="shared" si="79"/>
        <v>0.2</v>
      </c>
      <c r="AO534" s="1883"/>
      <c r="AP534" s="1871"/>
      <c r="AQ534" s="1883"/>
      <c r="AR534" s="1871"/>
    </row>
    <row r="535" spans="1:44" ht="15" thickBot="1">
      <c r="A535" s="1934"/>
      <c r="B535" s="1902">
        <v>23</v>
      </c>
      <c r="C535" s="1873">
        <v>24</v>
      </c>
      <c r="D535" s="1935">
        <v>0.1</v>
      </c>
      <c r="E535" s="1912">
        <v>0.15</v>
      </c>
      <c r="F535" s="1934"/>
      <c r="G535" s="1902">
        <v>23</v>
      </c>
      <c r="H535" s="1873">
        <v>24</v>
      </c>
      <c r="I535" s="1935">
        <v>0.14000000000000001</v>
      </c>
      <c r="J535" s="1912">
        <v>0.27</v>
      </c>
      <c r="K535" s="1934"/>
      <c r="L535" s="1902">
        <v>23</v>
      </c>
      <c r="M535" s="1873">
        <v>24</v>
      </c>
      <c r="N535" s="1935">
        <v>0.18</v>
      </c>
      <c r="O535" s="1912">
        <v>0.32</v>
      </c>
      <c r="P535" s="1934"/>
      <c r="Q535" s="1902"/>
      <c r="R535" s="1873"/>
      <c r="S535" s="1935"/>
      <c r="T535" s="1912"/>
      <c r="U535" s="1934"/>
      <c r="V535" s="1902">
        <v>23</v>
      </c>
      <c r="W535" s="1873">
        <v>24</v>
      </c>
      <c r="X535" s="1935">
        <v>0.22</v>
      </c>
      <c r="Y535" s="1912">
        <v>0.33</v>
      </c>
      <c r="Z535" s="1934"/>
      <c r="AA535" s="1902">
        <v>23</v>
      </c>
      <c r="AB535" s="1873">
        <v>24</v>
      </c>
      <c r="AC535" s="1935">
        <v>0.17</v>
      </c>
      <c r="AD535" s="1912">
        <v>0.33</v>
      </c>
      <c r="AF535" s="1902">
        <v>23</v>
      </c>
      <c r="AG535" s="1873">
        <v>24</v>
      </c>
      <c r="AH535" s="1935">
        <v>0.22</v>
      </c>
      <c r="AI535" s="1912">
        <v>0.59</v>
      </c>
      <c r="AK535" s="1957">
        <f t="shared" si="77"/>
        <v>0.18</v>
      </c>
      <c r="AL535" s="1958">
        <f t="shared" si="78"/>
        <v>0.22</v>
      </c>
      <c r="AM535" s="1958">
        <f t="shared" si="76"/>
        <v>0.17</v>
      </c>
      <c r="AN535" s="1959">
        <f t="shared" si="79"/>
        <v>0.22</v>
      </c>
      <c r="AO535" s="1883"/>
      <c r="AP535" s="1871"/>
      <c r="AQ535" s="1883"/>
      <c r="AR535" s="1871"/>
    </row>
    <row r="536" spans="1:44">
      <c r="B536" s="2766">
        <v>44978</v>
      </c>
      <c r="C536" s="2766"/>
      <c r="D536" s="1922">
        <f>SUM(D537:D560)</f>
        <v>7.03</v>
      </c>
      <c r="E536" s="1923">
        <f>SUM(E537:E560)</f>
        <v>15.66</v>
      </c>
      <c r="G536" s="2773">
        <v>45006</v>
      </c>
      <c r="H536" s="2773"/>
      <c r="I536" s="1922">
        <f>SUM(I537:I560)</f>
        <v>7.7700000000000014</v>
      </c>
      <c r="J536" s="1923">
        <f>SUM(J537:J560)</f>
        <v>14.730000000000002</v>
      </c>
      <c r="L536" s="2773">
        <v>45037</v>
      </c>
      <c r="M536" s="2773"/>
      <c r="N536" s="1936">
        <f>SUM(N537:N560)</f>
        <v>6.2100000000000009</v>
      </c>
      <c r="O536" s="1937">
        <f>SUM(O537:O560)</f>
        <v>10.450000000000003</v>
      </c>
      <c r="Q536" s="2766">
        <v>45067</v>
      </c>
      <c r="R536" s="2766"/>
      <c r="S536" s="1936"/>
      <c r="T536" s="1937"/>
      <c r="V536" s="2766">
        <v>45067</v>
      </c>
      <c r="W536" s="2766"/>
      <c r="X536" s="1936">
        <f>SUM(X537:X560)</f>
        <v>8.48</v>
      </c>
      <c r="Y536" s="1937">
        <f>SUM(Y537:Y560)</f>
        <v>8.8800000000000008</v>
      </c>
      <c r="AA536" s="2766">
        <v>45098</v>
      </c>
      <c r="AB536" s="2766"/>
      <c r="AC536" s="1936">
        <f>SUM(AC537:AC560)</f>
        <v>9.84</v>
      </c>
      <c r="AD536" s="1937">
        <f>SUM(AD537:AD560)</f>
        <v>19.360000000000003</v>
      </c>
      <c r="AF536" s="2766">
        <v>45128</v>
      </c>
      <c r="AG536" s="2766"/>
      <c r="AH536" s="1936">
        <f>SUM(AH537:AH560)</f>
        <v>7.38</v>
      </c>
      <c r="AI536" s="1937">
        <f>SUM(AI537:AI560)</f>
        <v>18.95</v>
      </c>
      <c r="AO536" s="1883"/>
      <c r="AP536" s="1871"/>
      <c r="AQ536" s="1908"/>
      <c r="AR536" s="1909"/>
    </row>
    <row r="537" spans="1:44">
      <c r="A537" s="1927"/>
      <c r="B537" s="1883">
        <v>0</v>
      </c>
      <c r="C537" s="1871">
        <v>1</v>
      </c>
      <c r="D537" s="1926">
        <v>0.12</v>
      </c>
      <c r="E537" s="1913">
        <v>0.16</v>
      </c>
      <c r="F537" s="1927"/>
      <c r="G537" s="1883">
        <v>0</v>
      </c>
      <c r="H537" s="1871">
        <v>1</v>
      </c>
      <c r="I537" s="1926">
        <v>0.1</v>
      </c>
      <c r="J537" s="1913">
        <v>0.19</v>
      </c>
      <c r="K537" s="1927"/>
      <c r="L537" s="1883">
        <v>0</v>
      </c>
      <c r="M537" s="1871">
        <v>1</v>
      </c>
      <c r="N537" s="1926">
        <v>0.1</v>
      </c>
      <c r="O537" s="1913">
        <v>0.17</v>
      </c>
      <c r="P537" s="1927"/>
      <c r="Q537" s="1883"/>
      <c r="R537" s="1871"/>
      <c r="S537" s="1926"/>
      <c r="T537" s="1913"/>
      <c r="U537" s="1927"/>
      <c r="V537" s="1883">
        <v>0</v>
      </c>
      <c r="W537" s="1871">
        <v>1</v>
      </c>
      <c r="X537" s="1926">
        <v>0.22</v>
      </c>
      <c r="Y537" s="1913">
        <v>0.28999999999999998</v>
      </c>
      <c r="Z537" s="1927"/>
      <c r="AA537" s="1883">
        <v>0</v>
      </c>
      <c r="AB537" s="1871">
        <v>1</v>
      </c>
      <c r="AC537" s="1926">
        <v>0.2</v>
      </c>
      <c r="AD537" s="1913">
        <v>0.39</v>
      </c>
      <c r="AF537" s="1883">
        <v>0</v>
      </c>
      <c r="AG537" s="1871">
        <v>1</v>
      </c>
      <c r="AH537" s="1926">
        <v>0.15</v>
      </c>
      <c r="AI537" s="1913">
        <v>0.39</v>
      </c>
      <c r="AK537" s="1952">
        <f>N537</f>
        <v>0.1</v>
      </c>
      <c r="AL537" s="1953">
        <f>X537</f>
        <v>0.22</v>
      </c>
      <c r="AM537" s="1953">
        <f t="shared" ref="AM537:AM560" si="80">AC537</f>
        <v>0.2</v>
      </c>
      <c r="AN537" s="1954">
        <f>AH537</f>
        <v>0.15</v>
      </c>
      <c r="AO537" s="1908"/>
      <c r="AP537" s="1909"/>
      <c r="AQ537" s="1890"/>
      <c r="AR537" s="1891"/>
    </row>
    <row r="538" spans="1:44">
      <c r="A538" s="1927"/>
      <c r="B538" s="1883">
        <v>1</v>
      </c>
      <c r="C538" s="1871">
        <v>2</v>
      </c>
      <c r="D538" s="1926">
        <v>0.11</v>
      </c>
      <c r="E538" s="1913">
        <v>0.14000000000000001</v>
      </c>
      <c r="F538" s="1927"/>
      <c r="G538" s="1883">
        <v>1</v>
      </c>
      <c r="H538" s="1871">
        <v>2</v>
      </c>
      <c r="I538" s="1926">
        <v>0.31</v>
      </c>
      <c r="J538" s="1913">
        <v>0.57999999999999996</v>
      </c>
      <c r="K538" s="1927"/>
      <c r="L538" s="1883">
        <v>1</v>
      </c>
      <c r="M538" s="1871">
        <v>2</v>
      </c>
      <c r="N538" s="1926">
        <v>0.16</v>
      </c>
      <c r="O538" s="1913">
        <v>0.27</v>
      </c>
      <c r="P538" s="1927"/>
      <c r="Q538" s="1883"/>
      <c r="R538" s="1871"/>
      <c r="S538" s="1926"/>
      <c r="T538" s="1913"/>
      <c r="U538" s="1927"/>
      <c r="V538" s="1883">
        <v>1</v>
      </c>
      <c r="W538" s="1871">
        <v>2</v>
      </c>
      <c r="X538" s="1926">
        <v>0.21</v>
      </c>
      <c r="Y538" s="1913">
        <v>0.25</v>
      </c>
      <c r="Z538" s="1927"/>
      <c r="AA538" s="1883">
        <v>1</v>
      </c>
      <c r="AB538" s="1871">
        <v>2</v>
      </c>
      <c r="AC538" s="1926">
        <v>0.18</v>
      </c>
      <c r="AD538" s="1913">
        <v>0.33</v>
      </c>
      <c r="AF538" s="1883">
        <v>1</v>
      </c>
      <c r="AG538" s="1871">
        <v>2</v>
      </c>
      <c r="AH538" s="1926">
        <v>0.11</v>
      </c>
      <c r="AI538" s="1913">
        <v>0.28000000000000003</v>
      </c>
      <c r="AK538" s="1955">
        <f t="shared" ref="AK538:AK560" si="81">N538</f>
        <v>0.16</v>
      </c>
      <c r="AL538" s="1926">
        <f t="shared" ref="AL538:AL560" si="82">X538</f>
        <v>0.21</v>
      </c>
      <c r="AM538" s="1926">
        <f t="shared" si="80"/>
        <v>0.18</v>
      </c>
      <c r="AN538" s="1956">
        <f t="shared" ref="AN538:AN560" si="83">AH538</f>
        <v>0.11</v>
      </c>
      <c r="AO538" s="1890"/>
      <c r="AP538" s="1891"/>
      <c r="AQ538" s="1893"/>
      <c r="AR538" s="1872"/>
    </row>
    <row r="539" spans="1:44">
      <c r="A539" s="1927"/>
      <c r="B539" s="1883">
        <v>2</v>
      </c>
      <c r="C539" s="1871">
        <v>3</v>
      </c>
      <c r="D539" s="1926">
        <v>0.13</v>
      </c>
      <c r="E539" s="1913">
        <v>0.16</v>
      </c>
      <c r="F539" s="1927"/>
      <c r="G539" s="1883">
        <v>2</v>
      </c>
      <c r="H539" s="1871">
        <v>3</v>
      </c>
      <c r="I539" s="1926">
        <v>0.2</v>
      </c>
      <c r="J539" s="1913">
        <v>0.37</v>
      </c>
      <c r="K539" s="1927"/>
      <c r="L539" s="1883">
        <v>2</v>
      </c>
      <c r="M539" s="1871">
        <v>3</v>
      </c>
      <c r="N539" s="1926">
        <v>0.12</v>
      </c>
      <c r="O539" s="1913">
        <v>0.2</v>
      </c>
      <c r="P539" s="1927"/>
      <c r="Q539" s="1883"/>
      <c r="R539" s="1871"/>
      <c r="S539" s="1926"/>
      <c r="T539" s="1913"/>
      <c r="U539" s="1927"/>
      <c r="V539" s="1883">
        <v>2</v>
      </c>
      <c r="W539" s="1871">
        <v>3</v>
      </c>
      <c r="X539" s="1926">
        <v>0.23</v>
      </c>
      <c r="Y539" s="1913">
        <v>0.26</v>
      </c>
      <c r="Z539" s="1927"/>
      <c r="AA539" s="1883">
        <v>2</v>
      </c>
      <c r="AB539" s="1871">
        <v>3</v>
      </c>
      <c r="AC539" s="1926">
        <v>0.19</v>
      </c>
      <c r="AD539" s="1913">
        <v>0.34</v>
      </c>
      <c r="AF539" s="1883">
        <v>2</v>
      </c>
      <c r="AG539" s="1871">
        <v>3</v>
      </c>
      <c r="AH539" s="1926">
        <v>0.16</v>
      </c>
      <c r="AI539" s="1913">
        <v>0.41</v>
      </c>
      <c r="AK539" s="1955">
        <f t="shared" si="81"/>
        <v>0.12</v>
      </c>
      <c r="AL539" s="1926">
        <f t="shared" si="82"/>
        <v>0.23</v>
      </c>
      <c r="AM539" s="1926">
        <f t="shared" si="80"/>
        <v>0.19</v>
      </c>
      <c r="AN539" s="1956">
        <f t="shared" si="83"/>
        <v>0.16</v>
      </c>
      <c r="AO539" s="1893"/>
      <c r="AP539" s="1872"/>
      <c r="AQ539" s="1893"/>
      <c r="AR539" s="1872"/>
    </row>
    <row r="540" spans="1:44">
      <c r="A540" s="1927"/>
      <c r="B540" s="1883">
        <v>3</v>
      </c>
      <c r="C540" s="1871">
        <v>4</v>
      </c>
      <c r="D540" s="1926">
        <v>7.0000000000000007E-2</v>
      </c>
      <c r="E540" s="1913">
        <v>0.09</v>
      </c>
      <c r="F540" s="1927"/>
      <c r="G540" s="1883">
        <v>3</v>
      </c>
      <c r="H540" s="1871">
        <v>4</v>
      </c>
      <c r="I540" s="1926">
        <v>0.15</v>
      </c>
      <c r="J540" s="1913">
        <v>0.28000000000000003</v>
      </c>
      <c r="K540" s="1927"/>
      <c r="L540" s="1883">
        <v>3</v>
      </c>
      <c r="M540" s="1871">
        <v>4</v>
      </c>
      <c r="N540" s="1926">
        <v>0.1</v>
      </c>
      <c r="O540" s="1913">
        <v>0.37</v>
      </c>
      <c r="P540" s="1927"/>
      <c r="Q540" s="1883"/>
      <c r="R540" s="1871"/>
      <c r="S540" s="1926"/>
      <c r="T540" s="1913"/>
      <c r="U540" s="1927"/>
      <c r="V540" s="1883">
        <v>3</v>
      </c>
      <c r="W540" s="1871">
        <v>4</v>
      </c>
      <c r="X540" s="1926">
        <v>0.15</v>
      </c>
      <c r="Y540" s="1913">
        <v>0.16</v>
      </c>
      <c r="Z540" s="1927"/>
      <c r="AA540" s="1883">
        <v>3</v>
      </c>
      <c r="AB540" s="1871">
        <v>4</v>
      </c>
      <c r="AC540" s="1926">
        <v>0.14000000000000001</v>
      </c>
      <c r="AD540" s="1913">
        <v>0.25</v>
      </c>
      <c r="AF540" s="1883">
        <v>3</v>
      </c>
      <c r="AG540" s="1871">
        <v>4</v>
      </c>
      <c r="AH540" s="1926">
        <v>0.14000000000000001</v>
      </c>
      <c r="AI540" s="1913">
        <v>0.35</v>
      </c>
      <c r="AK540" s="1955">
        <f t="shared" si="81"/>
        <v>0.1</v>
      </c>
      <c r="AL540" s="1926">
        <f t="shared" si="82"/>
        <v>0.15</v>
      </c>
      <c r="AM540" s="1926">
        <f t="shared" si="80"/>
        <v>0.14000000000000001</v>
      </c>
      <c r="AN540" s="1956">
        <f t="shared" si="83"/>
        <v>0.14000000000000001</v>
      </c>
      <c r="AO540" s="1893"/>
      <c r="AP540" s="1872"/>
      <c r="AQ540" s="1893"/>
      <c r="AR540" s="1872"/>
    </row>
    <row r="541" spans="1:44">
      <c r="A541" s="1927"/>
      <c r="B541" s="1883">
        <v>4</v>
      </c>
      <c r="C541" s="1871">
        <v>5</v>
      </c>
      <c r="D541" s="1926">
        <v>0.11</v>
      </c>
      <c r="E541" s="1913">
        <v>0.16</v>
      </c>
      <c r="F541" s="1927"/>
      <c r="G541" s="1883">
        <v>4</v>
      </c>
      <c r="H541" s="1871">
        <v>5</v>
      </c>
      <c r="I541" s="1926">
        <v>0.1</v>
      </c>
      <c r="J541" s="1913">
        <v>0.18</v>
      </c>
      <c r="K541" s="1927"/>
      <c r="L541" s="1883">
        <v>4</v>
      </c>
      <c r="M541" s="1871">
        <v>5</v>
      </c>
      <c r="N541" s="1926">
        <v>0.1</v>
      </c>
      <c r="O541" s="1913">
        <v>0.17</v>
      </c>
      <c r="P541" s="1927"/>
      <c r="Q541" s="1883"/>
      <c r="R541" s="1871"/>
      <c r="S541" s="1926"/>
      <c r="T541" s="1913"/>
      <c r="U541" s="1927"/>
      <c r="V541" s="1883">
        <v>4</v>
      </c>
      <c r="W541" s="1871">
        <v>5</v>
      </c>
      <c r="X541" s="1926">
        <v>0.22</v>
      </c>
      <c r="Y541" s="1913">
        <v>0.24</v>
      </c>
      <c r="Z541" s="1927"/>
      <c r="AA541" s="1883">
        <v>4</v>
      </c>
      <c r="AB541" s="1871">
        <v>5</v>
      </c>
      <c r="AC541" s="1926">
        <v>0.18</v>
      </c>
      <c r="AD541" s="1913">
        <v>0.32</v>
      </c>
      <c r="AF541" s="1883">
        <v>4</v>
      </c>
      <c r="AG541" s="1871">
        <v>5</v>
      </c>
      <c r="AH541" s="1926">
        <v>0.19</v>
      </c>
      <c r="AI541" s="1913">
        <v>0.48</v>
      </c>
      <c r="AK541" s="1955">
        <f t="shared" si="81"/>
        <v>0.1</v>
      </c>
      <c r="AL541" s="1926">
        <f t="shared" si="82"/>
        <v>0.22</v>
      </c>
      <c r="AM541" s="1926">
        <f t="shared" si="80"/>
        <v>0.18</v>
      </c>
      <c r="AN541" s="1956">
        <f t="shared" si="83"/>
        <v>0.19</v>
      </c>
      <c r="AO541" s="1893"/>
      <c r="AP541" s="1872"/>
      <c r="AQ541" s="1893"/>
      <c r="AR541" s="1872"/>
    </row>
    <row r="542" spans="1:44">
      <c r="A542" s="1927"/>
      <c r="B542" s="1883">
        <v>5</v>
      </c>
      <c r="C542" s="1871">
        <v>6</v>
      </c>
      <c r="D542" s="1926">
        <v>0.12</v>
      </c>
      <c r="E542" s="1913">
        <v>0.19</v>
      </c>
      <c r="F542" s="1927"/>
      <c r="G542" s="1883">
        <v>5</v>
      </c>
      <c r="H542" s="1871">
        <v>6</v>
      </c>
      <c r="I542" s="1926">
        <v>0.15</v>
      </c>
      <c r="J542" s="1913">
        <v>0.28999999999999998</v>
      </c>
      <c r="K542" s="1927"/>
      <c r="L542" s="1883">
        <v>5</v>
      </c>
      <c r="M542" s="1871">
        <v>6</v>
      </c>
      <c r="N542" s="1926">
        <v>0.14000000000000001</v>
      </c>
      <c r="O542" s="1913">
        <v>0.24</v>
      </c>
      <c r="P542" s="1927"/>
      <c r="Q542" s="1883"/>
      <c r="R542" s="1871"/>
      <c r="S542" s="1926"/>
      <c r="T542" s="1913"/>
      <c r="U542" s="1927"/>
      <c r="V542" s="1883">
        <v>5</v>
      </c>
      <c r="W542" s="1871">
        <v>6</v>
      </c>
      <c r="X542" s="1926">
        <v>0.21</v>
      </c>
      <c r="Y542" s="1913">
        <v>0.23</v>
      </c>
      <c r="Z542" s="1927"/>
      <c r="AA542" s="1883">
        <v>5</v>
      </c>
      <c r="AB542" s="1871">
        <v>6</v>
      </c>
      <c r="AC542" s="1926">
        <v>0.19</v>
      </c>
      <c r="AD542" s="1913">
        <v>0.34</v>
      </c>
      <c r="AF542" s="1883">
        <v>5</v>
      </c>
      <c r="AG542" s="1871">
        <v>6</v>
      </c>
      <c r="AH542" s="1926">
        <v>0.12</v>
      </c>
      <c r="AI542" s="1913">
        <v>0.31</v>
      </c>
      <c r="AK542" s="1955">
        <f t="shared" si="81"/>
        <v>0.14000000000000001</v>
      </c>
      <c r="AL542" s="1926">
        <f t="shared" si="82"/>
        <v>0.21</v>
      </c>
      <c r="AM542" s="1926">
        <f t="shared" si="80"/>
        <v>0.19</v>
      </c>
      <c r="AN542" s="1956">
        <f t="shared" si="83"/>
        <v>0.12</v>
      </c>
      <c r="AO542" s="1893"/>
      <c r="AP542" s="1872"/>
      <c r="AQ542" s="1893"/>
      <c r="AR542" s="1872"/>
    </row>
    <row r="543" spans="1:44">
      <c r="A543" s="1927"/>
      <c r="B543" s="1883">
        <v>6</v>
      </c>
      <c r="C543" s="1871">
        <v>7</v>
      </c>
      <c r="D543" s="1926">
        <v>0.28999999999999998</v>
      </c>
      <c r="E543" s="1913">
        <v>0.48</v>
      </c>
      <c r="F543" s="1927"/>
      <c r="G543" s="1883">
        <v>6</v>
      </c>
      <c r="H543" s="1871">
        <v>7</v>
      </c>
      <c r="I543" s="1926">
        <v>0.13</v>
      </c>
      <c r="J543" s="1913">
        <v>0.26</v>
      </c>
      <c r="K543" s="1927"/>
      <c r="L543" s="1883">
        <v>6</v>
      </c>
      <c r="M543" s="1871">
        <v>7</v>
      </c>
      <c r="N543" s="1926">
        <v>0.16</v>
      </c>
      <c r="O543" s="1913">
        <v>0.3</v>
      </c>
      <c r="P543" s="1927"/>
      <c r="Q543" s="1883"/>
      <c r="R543" s="1871"/>
      <c r="S543" s="1926"/>
      <c r="T543" s="1913"/>
      <c r="U543" s="1927"/>
      <c r="V543" s="1883">
        <v>6</v>
      </c>
      <c r="W543" s="1871">
        <v>7</v>
      </c>
      <c r="X543" s="1926">
        <v>0.27</v>
      </c>
      <c r="Y543" s="1913">
        <v>0.3</v>
      </c>
      <c r="Z543" s="1927"/>
      <c r="AA543" s="1883">
        <v>6</v>
      </c>
      <c r="AB543" s="1871">
        <v>7</v>
      </c>
      <c r="AC543" s="1926">
        <v>0.19</v>
      </c>
      <c r="AD543" s="1913">
        <v>0.38</v>
      </c>
      <c r="AF543" s="1883">
        <v>6</v>
      </c>
      <c r="AG543" s="1871">
        <v>7</v>
      </c>
      <c r="AH543" s="1926">
        <v>0.21</v>
      </c>
      <c r="AI543" s="1913">
        <v>0.52</v>
      </c>
      <c r="AK543" s="1955">
        <f t="shared" si="81"/>
        <v>0.16</v>
      </c>
      <c r="AL543" s="1926">
        <f t="shared" si="82"/>
        <v>0.27</v>
      </c>
      <c r="AM543" s="1926">
        <f t="shared" si="80"/>
        <v>0.19</v>
      </c>
      <c r="AN543" s="1956">
        <f t="shared" si="83"/>
        <v>0.21</v>
      </c>
      <c r="AO543" s="1893"/>
      <c r="AP543" s="1872"/>
      <c r="AQ543" s="1893"/>
      <c r="AR543" s="1872"/>
    </row>
    <row r="544" spans="1:44">
      <c r="A544" s="1927"/>
      <c r="B544" s="1908">
        <v>7</v>
      </c>
      <c r="C544" s="1909">
        <v>8</v>
      </c>
      <c r="D544" s="1928">
        <v>0.33</v>
      </c>
      <c r="E544" s="1917">
        <v>0.56999999999999995</v>
      </c>
      <c r="F544" s="1927"/>
      <c r="G544" s="1908">
        <v>7</v>
      </c>
      <c r="H544" s="1909">
        <v>8</v>
      </c>
      <c r="I544" s="1928">
        <v>0.14000000000000001</v>
      </c>
      <c r="J544" s="1917">
        <v>0.3</v>
      </c>
      <c r="K544" s="1927"/>
      <c r="L544" s="1908">
        <v>7</v>
      </c>
      <c r="M544" s="1909">
        <v>8</v>
      </c>
      <c r="N544" s="1928">
        <v>0.18</v>
      </c>
      <c r="O544" s="1917">
        <v>0.37</v>
      </c>
      <c r="P544" s="1927"/>
      <c r="Q544" s="1908"/>
      <c r="R544" s="1909"/>
      <c r="S544" s="1928"/>
      <c r="T544" s="1917"/>
      <c r="U544" s="1927"/>
      <c r="V544" s="1908">
        <v>7</v>
      </c>
      <c r="W544" s="1909">
        <v>8</v>
      </c>
      <c r="X544" s="1928">
        <v>0.27</v>
      </c>
      <c r="Y544" s="1917">
        <v>0.28999999999999998</v>
      </c>
      <c r="Z544" s="1927"/>
      <c r="AA544" s="1908">
        <v>7</v>
      </c>
      <c r="AB544" s="1909">
        <v>8</v>
      </c>
      <c r="AC544" s="1928">
        <v>0.31</v>
      </c>
      <c r="AD544" s="1917">
        <v>0.65</v>
      </c>
      <c r="AF544" s="1908">
        <v>7</v>
      </c>
      <c r="AG544" s="1909">
        <v>8</v>
      </c>
      <c r="AH544" s="1928">
        <v>0.34</v>
      </c>
      <c r="AI544" s="1917">
        <v>0.87</v>
      </c>
      <c r="AK544" s="1957">
        <f t="shared" si="81"/>
        <v>0.18</v>
      </c>
      <c r="AL544" s="1958">
        <f t="shared" si="82"/>
        <v>0.27</v>
      </c>
      <c r="AM544" s="1958">
        <f t="shared" si="80"/>
        <v>0.31</v>
      </c>
      <c r="AN544" s="1959">
        <f t="shared" si="83"/>
        <v>0.34</v>
      </c>
      <c r="AO544" s="1893"/>
      <c r="AP544" s="1872"/>
      <c r="AQ544" s="1893"/>
      <c r="AR544" s="1872"/>
    </row>
    <row r="545" spans="1:44">
      <c r="A545" s="1930"/>
      <c r="B545" s="1890">
        <v>8</v>
      </c>
      <c r="C545" s="1891">
        <v>9</v>
      </c>
      <c r="D545" s="1929">
        <v>0.56000000000000005</v>
      </c>
      <c r="E545" s="1914">
        <v>0.99</v>
      </c>
      <c r="F545" s="1930"/>
      <c r="G545" s="1890">
        <v>8</v>
      </c>
      <c r="H545" s="1891">
        <v>9</v>
      </c>
      <c r="I545" s="1929">
        <v>0.12</v>
      </c>
      <c r="J545" s="1914">
        <v>0.26</v>
      </c>
      <c r="K545" s="1930"/>
      <c r="L545" s="1890">
        <v>8</v>
      </c>
      <c r="M545" s="1891">
        <v>9</v>
      </c>
      <c r="N545" s="1929">
        <v>0.2</v>
      </c>
      <c r="O545" s="1914">
        <v>0.42</v>
      </c>
      <c r="P545" s="1930"/>
      <c r="Q545" s="1890"/>
      <c r="R545" s="1891"/>
      <c r="S545" s="1929"/>
      <c r="T545" s="1914"/>
      <c r="U545" s="1930"/>
      <c r="V545" s="1890">
        <v>8</v>
      </c>
      <c r="W545" s="1891">
        <v>9</v>
      </c>
      <c r="X545" s="1929">
        <v>0.4</v>
      </c>
      <c r="Y545" s="1914">
        <v>0.4</v>
      </c>
      <c r="Z545" s="1930"/>
      <c r="AA545" s="1890">
        <v>8</v>
      </c>
      <c r="AB545" s="1891">
        <v>9</v>
      </c>
      <c r="AC545" s="1929">
        <v>0.55000000000000004</v>
      </c>
      <c r="AD545" s="1914">
        <v>1.19</v>
      </c>
      <c r="AF545" s="1890">
        <v>8</v>
      </c>
      <c r="AG545" s="1891">
        <v>9</v>
      </c>
      <c r="AH545" s="1929">
        <v>0.37</v>
      </c>
      <c r="AI545" s="1914">
        <v>1</v>
      </c>
      <c r="AK545" s="1952">
        <f t="shared" si="81"/>
        <v>0.2</v>
      </c>
      <c r="AL545" s="1953">
        <f t="shared" si="82"/>
        <v>0.4</v>
      </c>
      <c r="AM545" s="1953">
        <f t="shared" si="80"/>
        <v>0.55000000000000004</v>
      </c>
      <c r="AN545" s="1954">
        <f t="shared" si="83"/>
        <v>0.37</v>
      </c>
      <c r="AO545" s="1893"/>
      <c r="AP545" s="1872"/>
      <c r="AQ545" s="1893"/>
      <c r="AR545" s="1872"/>
    </row>
    <row r="546" spans="1:44">
      <c r="A546" s="1930"/>
      <c r="B546" s="1893">
        <v>9</v>
      </c>
      <c r="C546" s="1872">
        <v>10</v>
      </c>
      <c r="D546" s="1931">
        <v>0.43</v>
      </c>
      <c r="E546" s="1915">
        <v>0.76</v>
      </c>
      <c r="F546" s="1930"/>
      <c r="G546" s="1893">
        <v>9</v>
      </c>
      <c r="H546" s="1872">
        <v>10</v>
      </c>
      <c r="I546" s="1931">
        <v>0.37</v>
      </c>
      <c r="J546" s="1915">
        <v>0.75</v>
      </c>
      <c r="K546" s="1930"/>
      <c r="L546" s="1893">
        <v>9</v>
      </c>
      <c r="M546" s="1872">
        <v>10</v>
      </c>
      <c r="N546" s="1931">
        <v>0.3</v>
      </c>
      <c r="O546" s="1915">
        <v>0.54</v>
      </c>
      <c r="P546" s="1930"/>
      <c r="Q546" s="1893"/>
      <c r="R546" s="1872"/>
      <c r="S546" s="1931"/>
      <c r="T546" s="1915"/>
      <c r="U546" s="1930"/>
      <c r="V546" s="1893">
        <v>9</v>
      </c>
      <c r="W546" s="1872">
        <v>10</v>
      </c>
      <c r="X546" s="1931">
        <v>0.28000000000000003</v>
      </c>
      <c r="Y546" s="1915">
        <v>0.23</v>
      </c>
      <c r="Z546" s="1930"/>
      <c r="AA546" s="1893">
        <v>9</v>
      </c>
      <c r="AB546" s="1872">
        <v>10</v>
      </c>
      <c r="AC546" s="1931">
        <v>0.49</v>
      </c>
      <c r="AD546" s="1915">
        <v>0.98</v>
      </c>
      <c r="AF546" s="1893">
        <v>9</v>
      </c>
      <c r="AG546" s="1872">
        <v>10</v>
      </c>
      <c r="AH546" s="1931">
        <v>0.35</v>
      </c>
      <c r="AI546" s="1915">
        <v>0.92</v>
      </c>
      <c r="AK546" s="1955">
        <f t="shared" si="81"/>
        <v>0.3</v>
      </c>
      <c r="AL546" s="1926">
        <f t="shared" si="82"/>
        <v>0.28000000000000003</v>
      </c>
      <c r="AM546" s="1926">
        <f t="shared" si="80"/>
        <v>0.49</v>
      </c>
      <c r="AN546" s="1956">
        <f t="shared" si="83"/>
        <v>0.35</v>
      </c>
      <c r="AO546" s="1893"/>
      <c r="AP546" s="1872"/>
      <c r="AQ546" s="1894"/>
      <c r="AR546" s="1895"/>
    </row>
    <row r="547" spans="1:44">
      <c r="A547" s="1930"/>
      <c r="B547" s="1893">
        <v>10</v>
      </c>
      <c r="C547" s="1872">
        <v>11</v>
      </c>
      <c r="D547" s="1931">
        <v>0.26</v>
      </c>
      <c r="E547" s="1915">
        <v>0.46</v>
      </c>
      <c r="F547" s="1930"/>
      <c r="G547" s="1893">
        <v>10</v>
      </c>
      <c r="H547" s="1872">
        <v>11</v>
      </c>
      <c r="I547" s="1931">
        <v>0.32</v>
      </c>
      <c r="J547" s="1915">
        <v>0.61</v>
      </c>
      <c r="K547" s="1930"/>
      <c r="L547" s="1893">
        <v>10</v>
      </c>
      <c r="M547" s="1872">
        <v>11</v>
      </c>
      <c r="N547" s="1931">
        <v>0.39</v>
      </c>
      <c r="O547" s="1915">
        <v>0.65</v>
      </c>
      <c r="P547" s="1930"/>
      <c r="Q547" s="1893"/>
      <c r="R547" s="1872"/>
      <c r="S547" s="1931"/>
      <c r="T547" s="1915"/>
      <c r="U547" s="1930"/>
      <c r="V547" s="1893">
        <v>10</v>
      </c>
      <c r="W547" s="1872">
        <v>11</v>
      </c>
      <c r="X547" s="1931">
        <v>0.46</v>
      </c>
      <c r="Y547" s="1915">
        <v>0.38</v>
      </c>
      <c r="Z547" s="1930"/>
      <c r="AA547" s="1893">
        <v>10</v>
      </c>
      <c r="AB547" s="1872">
        <v>11</v>
      </c>
      <c r="AC547" s="1931">
        <v>0.72</v>
      </c>
      <c r="AD547" s="1915">
        <v>1.32</v>
      </c>
      <c r="AF547" s="1893">
        <v>10</v>
      </c>
      <c r="AG547" s="1872">
        <v>11</v>
      </c>
      <c r="AH547" s="1931">
        <v>0.33</v>
      </c>
      <c r="AI547" s="1915">
        <v>0.82</v>
      </c>
      <c r="AK547" s="1955">
        <f t="shared" si="81"/>
        <v>0.39</v>
      </c>
      <c r="AL547" s="1926">
        <f t="shared" si="82"/>
        <v>0.46</v>
      </c>
      <c r="AM547" s="1926">
        <f t="shared" si="80"/>
        <v>0.72</v>
      </c>
      <c r="AN547" s="1956">
        <f t="shared" si="83"/>
        <v>0.33</v>
      </c>
      <c r="AO547" s="1894"/>
      <c r="AP547" s="1895"/>
      <c r="AQ547" s="1910"/>
      <c r="AR547" s="1889"/>
    </row>
    <row r="548" spans="1:44">
      <c r="A548" s="1930"/>
      <c r="B548" s="1893">
        <v>11</v>
      </c>
      <c r="C548" s="1872">
        <v>12</v>
      </c>
      <c r="D548" s="1931">
        <v>0.3</v>
      </c>
      <c r="E548" s="1915">
        <v>0.53</v>
      </c>
      <c r="F548" s="1930"/>
      <c r="G548" s="1893">
        <v>11</v>
      </c>
      <c r="H548" s="1872">
        <v>12</v>
      </c>
      <c r="I548" s="1931">
        <v>0.18</v>
      </c>
      <c r="J548" s="1915">
        <v>0.33</v>
      </c>
      <c r="K548" s="1930"/>
      <c r="L548" s="1893">
        <v>11</v>
      </c>
      <c r="M548" s="1872">
        <v>12</v>
      </c>
      <c r="N548" s="1931">
        <v>0.45</v>
      </c>
      <c r="O548" s="1915">
        <v>0.69</v>
      </c>
      <c r="P548" s="1930"/>
      <c r="Q548" s="1893"/>
      <c r="R548" s="1872"/>
      <c r="S548" s="1931"/>
      <c r="T548" s="1915"/>
      <c r="U548" s="1930"/>
      <c r="V548" s="1893">
        <v>11</v>
      </c>
      <c r="W548" s="1872">
        <v>12</v>
      </c>
      <c r="X548" s="1931">
        <v>0.52</v>
      </c>
      <c r="Y548" s="1915">
        <v>0.42</v>
      </c>
      <c r="Z548" s="1930"/>
      <c r="AA548" s="1893">
        <v>11</v>
      </c>
      <c r="AB548" s="1872">
        <v>12</v>
      </c>
      <c r="AC548" s="1931">
        <v>0.71</v>
      </c>
      <c r="AD548" s="1915">
        <v>1.26</v>
      </c>
      <c r="AF548" s="1893">
        <v>11</v>
      </c>
      <c r="AG548" s="1872">
        <v>12</v>
      </c>
      <c r="AH548" s="1931">
        <v>0.39</v>
      </c>
      <c r="AI548" s="1915">
        <v>0.98</v>
      </c>
      <c r="AK548" s="1955">
        <f t="shared" si="81"/>
        <v>0.45</v>
      </c>
      <c r="AL548" s="1926">
        <f t="shared" si="82"/>
        <v>0.52</v>
      </c>
      <c r="AM548" s="1926">
        <f t="shared" si="80"/>
        <v>0.71</v>
      </c>
      <c r="AN548" s="1956">
        <f t="shared" si="83"/>
        <v>0.39</v>
      </c>
      <c r="AO548" s="1910"/>
      <c r="AP548" s="1889"/>
      <c r="AQ548" s="1902"/>
      <c r="AR548" s="1873"/>
    </row>
    <row r="549" spans="1:44">
      <c r="A549" s="1930"/>
      <c r="B549" s="1893">
        <v>12</v>
      </c>
      <c r="C549" s="1872">
        <v>13</v>
      </c>
      <c r="D549" s="1931">
        <v>0.23</v>
      </c>
      <c r="E549" s="1915">
        <v>0.41</v>
      </c>
      <c r="F549" s="1930"/>
      <c r="G549" s="1893">
        <v>12</v>
      </c>
      <c r="H549" s="1872">
        <v>13</v>
      </c>
      <c r="I549" s="1931">
        <v>1.21</v>
      </c>
      <c r="J549" s="1915">
        <v>2.14</v>
      </c>
      <c r="K549" s="1930"/>
      <c r="L549" s="1893">
        <v>12</v>
      </c>
      <c r="M549" s="1872">
        <v>13</v>
      </c>
      <c r="N549" s="1931">
        <v>0.22</v>
      </c>
      <c r="O549" s="1915">
        <v>0.24</v>
      </c>
      <c r="P549" s="1930"/>
      <c r="Q549" s="1893"/>
      <c r="R549" s="1872"/>
      <c r="S549" s="1931"/>
      <c r="T549" s="1915"/>
      <c r="U549" s="1930"/>
      <c r="V549" s="1893">
        <v>12</v>
      </c>
      <c r="W549" s="1872">
        <v>13</v>
      </c>
      <c r="X549" s="1931">
        <v>0.4</v>
      </c>
      <c r="Y549" s="1915">
        <v>0.3</v>
      </c>
      <c r="Z549" s="1930"/>
      <c r="AA549" s="1893">
        <v>12</v>
      </c>
      <c r="AB549" s="1872">
        <v>13</v>
      </c>
      <c r="AC549" s="1931">
        <v>0.69</v>
      </c>
      <c r="AD549" s="1915">
        <v>1.1599999999999999</v>
      </c>
      <c r="AF549" s="1893">
        <v>12</v>
      </c>
      <c r="AG549" s="1872">
        <v>13</v>
      </c>
      <c r="AH549" s="1931">
        <v>0.44</v>
      </c>
      <c r="AI549" s="1915">
        <v>1.07</v>
      </c>
      <c r="AK549" s="1955">
        <f t="shared" si="81"/>
        <v>0.22</v>
      </c>
      <c r="AL549" s="1926">
        <f t="shared" si="82"/>
        <v>0.4</v>
      </c>
      <c r="AM549" s="1926">
        <f t="shared" si="80"/>
        <v>0.69</v>
      </c>
      <c r="AN549" s="1956">
        <f t="shared" si="83"/>
        <v>0.44</v>
      </c>
      <c r="AO549" s="1902"/>
      <c r="AP549" s="1873"/>
      <c r="AQ549" s="1902"/>
      <c r="AR549" s="1873"/>
    </row>
    <row r="550" spans="1:44">
      <c r="A550" s="1930"/>
      <c r="B550" s="1893">
        <v>13</v>
      </c>
      <c r="C550" s="1872">
        <v>14</v>
      </c>
      <c r="D550" s="1931">
        <v>0.27</v>
      </c>
      <c r="E550" s="1915">
        <v>0.48</v>
      </c>
      <c r="F550" s="1930"/>
      <c r="G550" s="1893">
        <v>13</v>
      </c>
      <c r="H550" s="1872">
        <v>14</v>
      </c>
      <c r="I550" s="1931">
        <v>0.9</v>
      </c>
      <c r="J550" s="1915">
        <v>1.57</v>
      </c>
      <c r="K550" s="1930"/>
      <c r="L550" s="1893">
        <v>13</v>
      </c>
      <c r="M550" s="1872">
        <v>14</v>
      </c>
      <c r="N550" s="1931">
        <v>0.31</v>
      </c>
      <c r="O550" s="1915">
        <v>0.26</v>
      </c>
      <c r="P550" s="1930"/>
      <c r="Q550" s="1893"/>
      <c r="R550" s="1872"/>
      <c r="S550" s="1931"/>
      <c r="T550" s="1915"/>
      <c r="U550" s="1930"/>
      <c r="V550" s="1893">
        <v>13</v>
      </c>
      <c r="W550" s="1872">
        <v>14</v>
      </c>
      <c r="X550" s="1931">
        <v>0.47</v>
      </c>
      <c r="Y550" s="1915">
        <v>0.27</v>
      </c>
      <c r="Z550" s="1930"/>
      <c r="AA550" s="1893">
        <v>13</v>
      </c>
      <c r="AB550" s="1872">
        <v>14</v>
      </c>
      <c r="AC550" s="1931">
        <v>0.34</v>
      </c>
      <c r="AD550" s="1915">
        <v>0.55000000000000004</v>
      </c>
      <c r="AF550" s="1893">
        <v>13</v>
      </c>
      <c r="AG550" s="1872">
        <v>14</v>
      </c>
      <c r="AH550" s="1931">
        <v>0.37</v>
      </c>
      <c r="AI550" s="1915">
        <v>0.89</v>
      </c>
      <c r="AK550" s="1955">
        <f t="shared" si="81"/>
        <v>0.31</v>
      </c>
      <c r="AL550" s="1926">
        <f t="shared" si="82"/>
        <v>0.47</v>
      </c>
      <c r="AM550" s="1926">
        <f t="shared" si="80"/>
        <v>0.34</v>
      </c>
      <c r="AN550" s="1956">
        <f t="shared" si="83"/>
        <v>0.37</v>
      </c>
      <c r="AO550" s="1902"/>
      <c r="AP550" s="1873"/>
      <c r="AQ550" s="1902"/>
      <c r="AR550" s="1873"/>
    </row>
    <row r="551" spans="1:44">
      <c r="A551" s="1930"/>
      <c r="B551" s="1893">
        <v>14</v>
      </c>
      <c r="C551" s="1872">
        <v>15</v>
      </c>
      <c r="D551" s="1931">
        <v>0.2</v>
      </c>
      <c r="E551" s="1915">
        <v>0.37</v>
      </c>
      <c r="F551" s="1930"/>
      <c r="G551" s="1893">
        <v>14</v>
      </c>
      <c r="H551" s="1872">
        <v>15</v>
      </c>
      <c r="I551" s="1931">
        <v>0.31</v>
      </c>
      <c r="J551" s="1915">
        <v>0.53</v>
      </c>
      <c r="K551" s="1930"/>
      <c r="L551" s="1893">
        <v>14</v>
      </c>
      <c r="M551" s="1872">
        <v>15</v>
      </c>
      <c r="N551" s="1931">
        <v>0.25</v>
      </c>
      <c r="O551" s="1915">
        <v>0.21</v>
      </c>
      <c r="P551" s="1930"/>
      <c r="Q551" s="1893"/>
      <c r="R551" s="1872"/>
      <c r="S551" s="1931"/>
      <c r="T551" s="1915"/>
      <c r="U551" s="1930"/>
      <c r="V551" s="1893">
        <v>14</v>
      </c>
      <c r="W551" s="1872">
        <v>15</v>
      </c>
      <c r="X551" s="1931">
        <v>0.49</v>
      </c>
      <c r="Y551" s="1915">
        <v>0.21</v>
      </c>
      <c r="Z551" s="1930"/>
      <c r="AA551" s="1893">
        <v>14</v>
      </c>
      <c r="AB551" s="1872">
        <v>15</v>
      </c>
      <c r="AC551" s="1931">
        <v>0.48</v>
      </c>
      <c r="AD551" s="1915">
        <v>0.78</v>
      </c>
      <c r="AF551" s="1893">
        <v>14</v>
      </c>
      <c r="AG551" s="1872">
        <v>15</v>
      </c>
      <c r="AH551" s="1931">
        <v>0.32</v>
      </c>
      <c r="AI551" s="1915">
        <v>0.76</v>
      </c>
      <c r="AK551" s="1955">
        <f t="shared" si="81"/>
        <v>0.25</v>
      </c>
      <c r="AL551" s="1926">
        <f t="shared" si="82"/>
        <v>0.49</v>
      </c>
      <c r="AM551" s="1926">
        <f t="shared" si="80"/>
        <v>0.48</v>
      </c>
      <c r="AN551" s="1956">
        <f t="shared" si="83"/>
        <v>0.32</v>
      </c>
      <c r="AO551" s="1902"/>
      <c r="AP551" s="1873"/>
      <c r="AQ551" s="1902"/>
      <c r="AR551" s="1873"/>
    </row>
    <row r="552" spans="1:44">
      <c r="A552" s="1930"/>
      <c r="B552" s="1893">
        <v>15</v>
      </c>
      <c r="C552" s="1872">
        <v>16</v>
      </c>
      <c r="D552" s="1931">
        <v>0.27</v>
      </c>
      <c r="E552" s="1915">
        <v>0.55000000000000004</v>
      </c>
      <c r="F552" s="1930"/>
      <c r="G552" s="1893">
        <v>15</v>
      </c>
      <c r="H552" s="1872">
        <v>16</v>
      </c>
      <c r="I552" s="1931">
        <v>0.37</v>
      </c>
      <c r="J552" s="1915">
        <v>0.63</v>
      </c>
      <c r="K552" s="1930"/>
      <c r="L552" s="1893">
        <v>15</v>
      </c>
      <c r="M552" s="1872">
        <v>16</v>
      </c>
      <c r="N552" s="1931">
        <v>0.31</v>
      </c>
      <c r="O552" s="1915">
        <v>0.27</v>
      </c>
      <c r="P552" s="1930"/>
      <c r="Q552" s="1893"/>
      <c r="R552" s="1872"/>
      <c r="S552" s="1931"/>
      <c r="T552" s="1915"/>
      <c r="U552" s="1930"/>
      <c r="V552" s="1893">
        <v>15</v>
      </c>
      <c r="W552" s="1872">
        <v>16</v>
      </c>
      <c r="X552" s="1931">
        <v>0.45</v>
      </c>
      <c r="Y552" s="1915">
        <v>0.28000000000000003</v>
      </c>
      <c r="Z552" s="1930"/>
      <c r="AA552" s="1893">
        <v>15</v>
      </c>
      <c r="AB552" s="1872">
        <v>16</v>
      </c>
      <c r="AC552" s="1931">
        <v>0.43</v>
      </c>
      <c r="AD552" s="1915">
        <v>0.73</v>
      </c>
      <c r="AF552" s="1893">
        <v>15</v>
      </c>
      <c r="AG552" s="1872">
        <v>16</v>
      </c>
      <c r="AH552" s="1931">
        <v>0.45</v>
      </c>
      <c r="AI552" s="1915">
        <v>1.06</v>
      </c>
      <c r="AK552" s="1955">
        <f t="shared" si="81"/>
        <v>0.31</v>
      </c>
      <c r="AL552" s="1926">
        <f t="shared" si="82"/>
        <v>0.45</v>
      </c>
      <c r="AM552" s="1926">
        <f t="shared" si="80"/>
        <v>0.43</v>
      </c>
      <c r="AN552" s="1956">
        <f t="shared" si="83"/>
        <v>0.45</v>
      </c>
      <c r="AO552" s="1902"/>
      <c r="AP552" s="1873"/>
      <c r="AQ552" s="1902"/>
      <c r="AR552" s="1873"/>
    </row>
    <row r="553" spans="1:44">
      <c r="A553" s="1930"/>
      <c r="B553" s="1893">
        <v>16</v>
      </c>
      <c r="C553" s="1872">
        <v>17</v>
      </c>
      <c r="D553" s="1931">
        <v>0.31</v>
      </c>
      <c r="E553" s="1915">
        <v>0.68</v>
      </c>
      <c r="F553" s="1930"/>
      <c r="G553" s="1893">
        <v>16</v>
      </c>
      <c r="H553" s="1872">
        <v>17</v>
      </c>
      <c r="I553" s="1931">
        <v>0.22</v>
      </c>
      <c r="J553" s="1915">
        <v>0.38</v>
      </c>
      <c r="K553" s="1930"/>
      <c r="L553" s="1893">
        <v>16</v>
      </c>
      <c r="M553" s="1872">
        <v>17</v>
      </c>
      <c r="N553" s="1931">
        <v>0.27</v>
      </c>
      <c r="O553" s="1915">
        <v>0.37</v>
      </c>
      <c r="P553" s="1930"/>
      <c r="Q553" s="1893"/>
      <c r="R553" s="1872"/>
      <c r="S553" s="1931"/>
      <c r="T553" s="1915"/>
      <c r="U553" s="1930"/>
      <c r="V553" s="1893">
        <v>16</v>
      </c>
      <c r="W553" s="1872">
        <v>17</v>
      </c>
      <c r="X553" s="1931">
        <v>0.44</v>
      </c>
      <c r="Y553" s="1915">
        <v>0.36</v>
      </c>
      <c r="Z553" s="1930"/>
      <c r="AA553" s="1893">
        <v>16</v>
      </c>
      <c r="AB553" s="1872">
        <v>17</v>
      </c>
      <c r="AC553" s="1931">
        <v>0.39</v>
      </c>
      <c r="AD553" s="1915">
        <v>0.68</v>
      </c>
      <c r="AF553" s="1893">
        <v>16</v>
      </c>
      <c r="AG553" s="1872">
        <v>17</v>
      </c>
      <c r="AH553" s="1931">
        <v>0.3</v>
      </c>
      <c r="AI553" s="1915">
        <v>0.71</v>
      </c>
      <c r="AK553" s="1955">
        <f t="shared" si="81"/>
        <v>0.27</v>
      </c>
      <c r="AL553" s="1926">
        <f t="shared" si="82"/>
        <v>0.44</v>
      </c>
      <c r="AM553" s="1926">
        <f t="shared" si="80"/>
        <v>0.39</v>
      </c>
      <c r="AN553" s="1956">
        <f t="shared" si="83"/>
        <v>0.3</v>
      </c>
      <c r="AO553" s="1902"/>
      <c r="AP553" s="1873"/>
      <c r="AQ553" s="1936"/>
      <c r="AR553" s="1937"/>
    </row>
    <row r="554" spans="1:44">
      <c r="A554" s="1930"/>
      <c r="B554" s="1894">
        <v>17</v>
      </c>
      <c r="C554" s="1895">
        <v>18</v>
      </c>
      <c r="D554" s="1932">
        <v>1.23</v>
      </c>
      <c r="E554" s="1916">
        <v>3.86</v>
      </c>
      <c r="F554" s="1930"/>
      <c r="G554" s="1894">
        <v>17</v>
      </c>
      <c r="H554" s="1895">
        <v>18</v>
      </c>
      <c r="I554" s="1932">
        <v>0.23</v>
      </c>
      <c r="J554" s="1916">
        <v>0.59</v>
      </c>
      <c r="K554" s="1930"/>
      <c r="L554" s="1894">
        <v>17</v>
      </c>
      <c r="M554" s="1895">
        <v>18</v>
      </c>
      <c r="N554" s="1932">
        <v>0.43</v>
      </c>
      <c r="O554" s="1916">
        <v>0.71</v>
      </c>
      <c r="P554" s="1930"/>
      <c r="Q554" s="1894"/>
      <c r="R554" s="1895"/>
      <c r="S554" s="1932"/>
      <c r="T554" s="1916"/>
      <c r="U554" s="1930"/>
      <c r="V554" s="1894">
        <v>17</v>
      </c>
      <c r="W554" s="1895">
        <v>18</v>
      </c>
      <c r="X554" s="1932">
        <v>0.41</v>
      </c>
      <c r="Y554" s="1916">
        <v>0.34</v>
      </c>
      <c r="Z554" s="1930"/>
      <c r="AA554" s="1894">
        <v>17</v>
      </c>
      <c r="AB554" s="1895">
        <v>18</v>
      </c>
      <c r="AC554" s="1932">
        <v>0.76</v>
      </c>
      <c r="AD554" s="1916">
        <v>1.42</v>
      </c>
      <c r="AF554" s="1894">
        <v>17</v>
      </c>
      <c r="AG554" s="1895">
        <v>18</v>
      </c>
      <c r="AH554" s="1932">
        <v>0.37</v>
      </c>
      <c r="AI554" s="1916">
        <v>0.92</v>
      </c>
      <c r="AK554" s="1957">
        <f t="shared" si="81"/>
        <v>0.43</v>
      </c>
      <c r="AL554" s="1958">
        <f t="shared" si="82"/>
        <v>0.41</v>
      </c>
      <c r="AM554" s="1958">
        <f t="shared" si="80"/>
        <v>0.76</v>
      </c>
      <c r="AN554" s="1959">
        <f t="shared" si="83"/>
        <v>0.37</v>
      </c>
      <c r="AO554" s="2766"/>
      <c r="AP554" s="2766"/>
      <c r="AQ554" s="1926"/>
      <c r="AR554" s="1913"/>
    </row>
    <row r="555" spans="1:44">
      <c r="A555" s="1934"/>
      <c r="B555" s="1910">
        <v>18</v>
      </c>
      <c r="C555" s="1889">
        <v>19</v>
      </c>
      <c r="D555" s="1933">
        <v>0.4</v>
      </c>
      <c r="E555" s="1911">
        <v>1.3</v>
      </c>
      <c r="F555" s="1934"/>
      <c r="G555" s="1910">
        <v>18</v>
      </c>
      <c r="H555" s="1889">
        <v>19</v>
      </c>
      <c r="I555" s="1933">
        <v>0.41</v>
      </c>
      <c r="J555" s="1911">
        <v>1.06</v>
      </c>
      <c r="K555" s="1934"/>
      <c r="L555" s="1910">
        <v>18</v>
      </c>
      <c r="M555" s="1889">
        <v>19</v>
      </c>
      <c r="N555" s="1933">
        <v>0.32</v>
      </c>
      <c r="O555" s="1911">
        <v>0.63</v>
      </c>
      <c r="P555" s="1934"/>
      <c r="Q555" s="1910"/>
      <c r="R555" s="1889"/>
      <c r="S555" s="1933"/>
      <c r="T555" s="1911"/>
      <c r="U555" s="1934"/>
      <c r="V555" s="1910">
        <v>18</v>
      </c>
      <c r="W555" s="1889">
        <v>19</v>
      </c>
      <c r="X555" s="1933">
        <v>0.48</v>
      </c>
      <c r="Y555" s="1911">
        <v>0.57999999999999996</v>
      </c>
      <c r="Z555" s="1934"/>
      <c r="AA555" s="1910">
        <v>18</v>
      </c>
      <c r="AB555" s="1889">
        <v>19</v>
      </c>
      <c r="AC555" s="1933">
        <v>0.7</v>
      </c>
      <c r="AD555" s="1911">
        <v>1.47</v>
      </c>
      <c r="AF555" s="1910">
        <v>18</v>
      </c>
      <c r="AG555" s="1889">
        <v>19</v>
      </c>
      <c r="AH555" s="1933">
        <v>0.48</v>
      </c>
      <c r="AI555" s="1911">
        <v>1.18</v>
      </c>
      <c r="AK555" s="1952">
        <f t="shared" si="81"/>
        <v>0.32</v>
      </c>
      <c r="AL555" s="1953">
        <f t="shared" si="82"/>
        <v>0.48</v>
      </c>
      <c r="AM555" s="1953">
        <f t="shared" si="80"/>
        <v>0.7</v>
      </c>
      <c r="AN555" s="1954">
        <f t="shared" si="83"/>
        <v>0.48</v>
      </c>
      <c r="AO555" s="1883"/>
      <c r="AP555" s="1871"/>
      <c r="AQ555" s="1926"/>
      <c r="AR555" s="1913"/>
    </row>
    <row r="556" spans="1:44">
      <c r="A556" s="1934"/>
      <c r="B556" s="1902">
        <v>19</v>
      </c>
      <c r="C556" s="1873">
        <v>20</v>
      </c>
      <c r="D556" s="1935">
        <v>0.38</v>
      </c>
      <c r="E556" s="1912">
        <v>1.24</v>
      </c>
      <c r="F556" s="1934"/>
      <c r="G556" s="1902">
        <v>19</v>
      </c>
      <c r="H556" s="1873">
        <v>20</v>
      </c>
      <c r="I556" s="1935">
        <v>0.4</v>
      </c>
      <c r="J556" s="1912">
        <v>1</v>
      </c>
      <c r="K556" s="1934"/>
      <c r="L556" s="1902">
        <v>19</v>
      </c>
      <c r="M556" s="1873">
        <v>20</v>
      </c>
      <c r="N556" s="1935">
        <v>0.32</v>
      </c>
      <c r="O556" s="1912">
        <v>0.68</v>
      </c>
      <c r="P556" s="1934"/>
      <c r="Q556" s="1902"/>
      <c r="R556" s="1873"/>
      <c r="S556" s="1935"/>
      <c r="T556" s="1912"/>
      <c r="U556" s="1934"/>
      <c r="V556" s="1902">
        <v>19</v>
      </c>
      <c r="W556" s="1873">
        <v>20</v>
      </c>
      <c r="X556" s="1935">
        <v>0.43</v>
      </c>
      <c r="Y556" s="1912">
        <v>0.69</v>
      </c>
      <c r="Z556" s="1934"/>
      <c r="AA556" s="1902">
        <v>19</v>
      </c>
      <c r="AB556" s="1873">
        <v>20</v>
      </c>
      <c r="AC556" s="1935">
        <v>0.57999999999999996</v>
      </c>
      <c r="AD556" s="1912">
        <v>1.38</v>
      </c>
      <c r="AF556" s="1902">
        <v>19</v>
      </c>
      <c r="AG556" s="1873">
        <v>20</v>
      </c>
      <c r="AH556" s="1935">
        <v>0.5</v>
      </c>
      <c r="AI556" s="1912">
        <v>1.42</v>
      </c>
      <c r="AK556" s="1955">
        <f t="shared" si="81"/>
        <v>0.32</v>
      </c>
      <c r="AL556" s="1926">
        <f t="shared" si="82"/>
        <v>0.43</v>
      </c>
      <c r="AM556" s="1926">
        <f t="shared" si="80"/>
        <v>0.57999999999999996</v>
      </c>
      <c r="AN556" s="1956">
        <f t="shared" si="83"/>
        <v>0.5</v>
      </c>
      <c r="AO556" s="1883"/>
      <c r="AP556" s="1871"/>
      <c r="AQ556" s="1926"/>
      <c r="AR556" s="1913"/>
    </row>
    <row r="557" spans="1:44">
      <c r="A557" s="1934"/>
      <c r="B557" s="1902">
        <v>20</v>
      </c>
      <c r="C557" s="1873">
        <v>21</v>
      </c>
      <c r="D557" s="1935">
        <v>0.28000000000000003</v>
      </c>
      <c r="E557" s="1912">
        <v>0.67</v>
      </c>
      <c r="F557" s="1934"/>
      <c r="G557" s="1902">
        <v>20</v>
      </c>
      <c r="H557" s="1873">
        <v>21</v>
      </c>
      <c r="I557" s="1935">
        <v>0.46</v>
      </c>
      <c r="J557" s="1912">
        <v>0.78</v>
      </c>
      <c r="K557" s="1934"/>
      <c r="L557" s="1902">
        <v>20</v>
      </c>
      <c r="M557" s="1873">
        <v>21</v>
      </c>
      <c r="N557" s="1935">
        <v>0.35</v>
      </c>
      <c r="O557" s="1912">
        <v>0.76</v>
      </c>
      <c r="P557" s="1934"/>
      <c r="Q557" s="1902"/>
      <c r="R557" s="1873"/>
      <c r="S557" s="1935"/>
      <c r="T557" s="1912"/>
      <c r="U557" s="1934"/>
      <c r="V557" s="1902">
        <v>20</v>
      </c>
      <c r="W557" s="1873">
        <v>21</v>
      </c>
      <c r="X557" s="1935">
        <v>0.53</v>
      </c>
      <c r="Y557" s="1912">
        <v>0.88</v>
      </c>
      <c r="Z557" s="1934"/>
      <c r="AA557" s="1902">
        <v>20</v>
      </c>
      <c r="AB557" s="1873">
        <v>21</v>
      </c>
      <c r="AC557" s="1935">
        <v>0.43</v>
      </c>
      <c r="AD557" s="1912">
        <v>1.1100000000000001</v>
      </c>
      <c r="AF557" s="1902">
        <v>20</v>
      </c>
      <c r="AG557" s="1873">
        <v>21</v>
      </c>
      <c r="AH557" s="1935">
        <v>0.46</v>
      </c>
      <c r="AI557" s="1912">
        <v>1.34</v>
      </c>
      <c r="AK557" s="1955">
        <f t="shared" si="81"/>
        <v>0.35</v>
      </c>
      <c r="AL557" s="1926">
        <f t="shared" si="82"/>
        <v>0.53</v>
      </c>
      <c r="AM557" s="1926">
        <f t="shared" si="80"/>
        <v>0.43</v>
      </c>
      <c r="AN557" s="1956">
        <f t="shared" si="83"/>
        <v>0.46</v>
      </c>
      <c r="AO557" s="1883"/>
      <c r="AP557" s="1871"/>
      <c r="AQ557" s="1926"/>
      <c r="AR557" s="1913"/>
    </row>
    <row r="558" spans="1:44">
      <c r="A558" s="1934"/>
      <c r="B558" s="1902">
        <v>21</v>
      </c>
      <c r="C558" s="1873">
        <v>22</v>
      </c>
      <c r="D558" s="1935">
        <v>0.27</v>
      </c>
      <c r="E558" s="1912">
        <v>0.62</v>
      </c>
      <c r="F558" s="1934"/>
      <c r="G558" s="1902">
        <v>21</v>
      </c>
      <c r="H558" s="1873">
        <v>22</v>
      </c>
      <c r="I558" s="1935">
        <v>0.42</v>
      </c>
      <c r="J558" s="1912">
        <v>0.71</v>
      </c>
      <c r="K558" s="1934"/>
      <c r="L558" s="1902">
        <v>21</v>
      </c>
      <c r="M558" s="1873">
        <v>22</v>
      </c>
      <c r="N558" s="1935">
        <v>0.44</v>
      </c>
      <c r="O558" s="1912">
        <v>0.88</v>
      </c>
      <c r="P558" s="1934"/>
      <c r="Q558" s="1902"/>
      <c r="R558" s="1873"/>
      <c r="S558" s="1935"/>
      <c r="T558" s="1912"/>
      <c r="U558" s="1934"/>
      <c r="V558" s="1902">
        <v>21</v>
      </c>
      <c r="W558" s="1873">
        <v>22</v>
      </c>
      <c r="X558" s="1935">
        <v>0.42</v>
      </c>
      <c r="Y558" s="1912">
        <v>0.69</v>
      </c>
      <c r="Z558" s="1934"/>
      <c r="AA558" s="1902">
        <v>21</v>
      </c>
      <c r="AB558" s="1873">
        <v>22</v>
      </c>
      <c r="AC558" s="1935">
        <v>0.49</v>
      </c>
      <c r="AD558" s="1912">
        <v>1.23</v>
      </c>
      <c r="AF558" s="1902">
        <v>21</v>
      </c>
      <c r="AG558" s="1873">
        <v>22</v>
      </c>
      <c r="AH558" s="1935">
        <v>0.34</v>
      </c>
      <c r="AI558" s="1912">
        <v>0.97</v>
      </c>
      <c r="AK558" s="1955">
        <f t="shared" si="81"/>
        <v>0.44</v>
      </c>
      <c r="AL558" s="1926">
        <f t="shared" si="82"/>
        <v>0.42</v>
      </c>
      <c r="AM558" s="1926">
        <f t="shared" si="80"/>
        <v>0.49</v>
      </c>
      <c r="AN558" s="1956">
        <f t="shared" si="83"/>
        <v>0.34</v>
      </c>
      <c r="AO558" s="1883"/>
      <c r="AP558" s="1871"/>
      <c r="AQ558" s="1926"/>
      <c r="AR558" s="1913"/>
    </row>
    <row r="559" spans="1:44">
      <c r="A559" s="1934"/>
      <c r="B559" s="1902">
        <v>22</v>
      </c>
      <c r="C559" s="1873">
        <v>23</v>
      </c>
      <c r="D559" s="1935">
        <v>0.17</v>
      </c>
      <c r="E559" s="1912">
        <v>0.38</v>
      </c>
      <c r="F559" s="1934"/>
      <c r="G559" s="1902">
        <v>22</v>
      </c>
      <c r="H559" s="1873">
        <v>23</v>
      </c>
      <c r="I559" s="1935">
        <v>0.32</v>
      </c>
      <c r="J559" s="1912">
        <v>0.53</v>
      </c>
      <c r="K559" s="1934"/>
      <c r="L559" s="1902">
        <v>22</v>
      </c>
      <c r="M559" s="1873">
        <v>23</v>
      </c>
      <c r="N559" s="1935">
        <v>0.35</v>
      </c>
      <c r="O559" s="1912">
        <v>0.63</v>
      </c>
      <c r="P559" s="1934"/>
      <c r="Q559" s="1902"/>
      <c r="R559" s="1873"/>
      <c r="S559" s="1935"/>
      <c r="T559" s="1912"/>
      <c r="U559" s="1934"/>
      <c r="V559" s="1902">
        <v>22</v>
      </c>
      <c r="W559" s="1873">
        <v>23</v>
      </c>
      <c r="X559" s="1935">
        <v>0.3</v>
      </c>
      <c r="Y559" s="1912">
        <v>0.49</v>
      </c>
      <c r="Z559" s="1934"/>
      <c r="AA559" s="1902">
        <v>22</v>
      </c>
      <c r="AB559" s="1873">
        <v>23</v>
      </c>
      <c r="AC559" s="1935">
        <v>0.28999999999999998</v>
      </c>
      <c r="AD559" s="1912">
        <v>0.66</v>
      </c>
      <c r="AF559" s="1902">
        <v>22</v>
      </c>
      <c r="AG559" s="1873">
        <v>23</v>
      </c>
      <c r="AH559" s="1935">
        <v>0.28000000000000003</v>
      </c>
      <c r="AI559" s="1912">
        <v>0.76</v>
      </c>
      <c r="AK559" s="1955">
        <f t="shared" si="81"/>
        <v>0.35</v>
      </c>
      <c r="AL559" s="1926">
        <f t="shared" si="82"/>
        <v>0.3</v>
      </c>
      <c r="AM559" s="1926">
        <f t="shared" si="80"/>
        <v>0.28999999999999998</v>
      </c>
      <c r="AN559" s="1956">
        <f t="shared" si="83"/>
        <v>0.28000000000000003</v>
      </c>
      <c r="AO559" s="1883"/>
      <c r="AP559" s="1871"/>
      <c r="AQ559" s="1926"/>
      <c r="AR559" s="1913"/>
    </row>
    <row r="560" spans="1:44" ht="15" thickBot="1">
      <c r="A560" s="1934"/>
      <c r="B560" s="1902">
        <v>23</v>
      </c>
      <c r="C560" s="1873">
        <v>24</v>
      </c>
      <c r="D560" s="1935">
        <v>0.19</v>
      </c>
      <c r="E560" s="1912">
        <v>0.41</v>
      </c>
      <c r="F560" s="1934"/>
      <c r="G560" s="1902">
        <v>23</v>
      </c>
      <c r="H560" s="1873">
        <v>24</v>
      </c>
      <c r="I560" s="1935">
        <v>0.25</v>
      </c>
      <c r="J560" s="1912">
        <v>0.41</v>
      </c>
      <c r="K560" s="1934"/>
      <c r="L560" s="1902">
        <v>23</v>
      </c>
      <c r="M560" s="1873">
        <v>24</v>
      </c>
      <c r="N560" s="1935">
        <v>0.24</v>
      </c>
      <c r="O560" s="1912">
        <v>0.42</v>
      </c>
      <c r="P560" s="1934"/>
      <c r="Q560" s="1902"/>
      <c r="R560" s="1873"/>
      <c r="S560" s="1935"/>
      <c r="T560" s="1912"/>
      <c r="U560" s="1934"/>
      <c r="V560" s="1902">
        <v>23</v>
      </c>
      <c r="W560" s="1873">
        <v>24</v>
      </c>
      <c r="X560" s="1935">
        <v>0.22</v>
      </c>
      <c r="Y560" s="1912">
        <v>0.34</v>
      </c>
      <c r="Z560" s="1934"/>
      <c r="AA560" s="1902">
        <v>23</v>
      </c>
      <c r="AB560" s="1873">
        <v>24</v>
      </c>
      <c r="AC560" s="1935">
        <v>0.21</v>
      </c>
      <c r="AD560" s="1912">
        <v>0.44</v>
      </c>
      <c r="AF560" s="1902">
        <v>23</v>
      </c>
      <c r="AG560" s="1873">
        <v>24</v>
      </c>
      <c r="AH560" s="1935">
        <v>0.21</v>
      </c>
      <c r="AI560" s="1912">
        <v>0.54</v>
      </c>
      <c r="AK560" s="1957">
        <f t="shared" si="81"/>
        <v>0.24</v>
      </c>
      <c r="AL560" s="1958">
        <f t="shared" si="82"/>
        <v>0.22</v>
      </c>
      <c r="AM560" s="1958">
        <f t="shared" si="80"/>
        <v>0.21</v>
      </c>
      <c r="AN560" s="1959">
        <f t="shared" si="83"/>
        <v>0.21</v>
      </c>
      <c r="AO560" s="1883"/>
      <c r="AP560" s="1871"/>
      <c r="AQ560" s="1926"/>
      <c r="AR560" s="1913"/>
    </row>
    <row r="561" spans="1:44">
      <c r="B561" s="2766">
        <v>44979</v>
      </c>
      <c r="C561" s="2766"/>
      <c r="D561" s="1922">
        <f>SUM(D562:D585)</f>
        <v>7.16</v>
      </c>
      <c r="E561" s="1923">
        <f>SUM(E562:E585)</f>
        <v>17.07</v>
      </c>
      <c r="G561" s="2773">
        <v>45007</v>
      </c>
      <c r="H561" s="2773"/>
      <c r="I561" s="1922">
        <f>SUM(I562:I585)</f>
        <v>5.84</v>
      </c>
      <c r="J561" s="1923">
        <f>SUM(J562:J585)</f>
        <v>9.42</v>
      </c>
      <c r="L561" s="2773">
        <v>45038</v>
      </c>
      <c r="M561" s="2773"/>
      <c r="N561" s="1936">
        <f>SUM(N562:N585)</f>
        <v>8.240000000000002</v>
      </c>
      <c r="O561" s="1937">
        <f>SUM(O562:O585)</f>
        <v>12.8</v>
      </c>
      <c r="Q561" s="2766">
        <v>45068</v>
      </c>
      <c r="R561" s="2766"/>
      <c r="S561" s="1936"/>
      <c r="T561" s="1937"/>
      <c r="V561" s="2766">
        <v>45068</v>
      </c>
      <c r="W561" s="2766"/>
      <c r="X561" s="1936">
        <f>SUM(X562:X585)</f>
        <v>7.9000000000000012</v>
      </c>
      <c r="Y561" s="1937">
        <f>SUM(Y562:Y585)</f>
        <v>12.780000000000001</v>
      </c>
      <c r="AA561" s="2766">
        <v>45099</v>
      </c>
      <c r="AB561" s="2766"/>
      <c r="AC561" s="1936">
        <f>SUM(AC562:AC585)</f>
        <v>9.4400000000000013</v>
      </c>
      <c r="AD561" s="1937">
        <f>SUM(AD562:AD585)</f>
        <v>18.189999999999998</v>
      </c>
      <c r="AF561" s="2766">
        <v>45129</v>
      </c>
      <c r="AG561" s="2766"/>
      <c r="AH561" s="1936">
        <f>SUM(AH562:AH585)</f>
        <v>0</v>
      </c>
      <c r="AI561" s="1937">
        <f>SUM(AI562:AI585)</f>
        <v>0</v>
      </c>
      <c r="AO561" s="1883"/>
      <c r="AP561" s="1871"/>
      <c r="AQ561" s="1928"/>
      <c r="AR561" s="1917"/>
    </row>
    <row r="562" spans="1:44">
      <c r="A562" s="1927"/>
      <c r="B562" s="1883">
        <v>0</v>
      </c>
      <c r="C562" s="1871">
        <v>1</v>
      </c>
      <c r="D562" s="1926">
        <v>0.11</v>
      </c>
      <c r="E562" s="1913">
        <v>0.23</v>
      </c>
      <c r="F562" s="1927"/>
      <c r="G562" s="1883">
        <v>0</v>
      </c>
      <c r="H562" s="1871">
        <v>1</v>
      </c>
      <c r="I562" s="1926">
        <v>0.11</v>
      </c>
      <c r="J562" s="1913">
        <v>0.17</v>
      </c>
      <c r="K562" s="1927"/>
      <c r="L562" s="1883">
        <v>0</v>
      </c>
      <c r="M562" s="1871">
        <v>1</v>
      </c>
      <c r="N562" s="1926">
        <v>0.22</v>
      </c>
      <c r="O562" s="1913">
        <v>0.38</v>
      </c>
      <c r="P562" s="1927"/>
      <c r="Q562" s="1883"/>
      <c r="R562" s="1871"/>
      <c r="S562" s="1926"/>
      <c r="T562" s="1913"/>
      <c r="U562" s="1927"/>
      <c r="V562" s="1883">
        <v>0</v>
      </c>
      <c r="W562" s="1871">
        <v>1</v>
      </c>
      <c r="X562" s="1926">
        <v>0.24</v>
      </c>
      <c r="Y562" s="1913">
        <v>0.36</v>
      </c>
      <c r="Z562" s="1927"/>
      <c r="AA562" s="1883">
        <v>0</v>
      </c>
      <c r="AB562" s="1871">
        <v>1</v>
      </c>
      <c r="AC562" s="1926">
        <v>0.18</v>
      </c>
      <c r="AD562" s="1913">
        <v>0.37</v>
      </c>
      <c r="AF562" s="1883">
        <v>0</v>
      </c>
      <c r="AG562" s="1871">
        <v>1</v>
      </c>
      <c r="AH562" s="1926"/>
      <c r="AI562" s="1913"/>
      <c r="AK562" s="1952">
        <f>N562</f>
        <v>0.22</v>
      </c>
      <c r="AL562" s="1953">
        <f>X562</f>
        <v>0.24</v>
      </c>
      <c r="AM562" s="1953">
        <f t="shared" ref="AM562:AM585" si="84">AC562</f>
        <v>0.18</v>
      </c>
      <c r="AN562" s="1954">
        <f>AH562</f>
        <v>0</v>
      </c>
      <c r="AO562" s="1908"/>
      <c r="AP562" s="1909"/>
      <c r="AQ562" s="1929"/>
      <c r="AR562" s="1914"/>
    </row>
    <row r="563" spans="1:44">
      <c r="A563" s="1927"/>
      <c r="B563" s="1883">
        <v>1</v>
      </c>
      <c r="C563" s="1871">
        <v>2</v>
      </c>
      <c r="D563" s="1926">
        <v>0.1</v>
      </c>
      <c r="E563" s="1913">
        <v>0.2</v>
      </c>
      <c r="F563" s="1927"/>
      <c r="G563" s="1883">
        <v>1</v>
      </c>
      <c r="H563" s="1871">
        <v>2</v>
      </c>
      <c r="I563" s="1926">
        <v>0.12</v>
      </c>
      <c r="J563" s="1913">
        <v>0.18</v>
      </c>
      <c r="K563" s="1927"/>
      <c r="L563" s="1883">
        <v>1</v>
      </c>
      <c r="M563" s="1871">
        <v>2</v>
      </c>
      <c r="N563" s="1926">
        <v>0.22</v>
      </c>
      <c r="O563" s="1913">
        <v>0.38</v>
      </c>
      <c r="P563" s="1927"/>
      <c r="Q563" s="1883"/>
      <c r="R563" s="1871"/>
      <c r="S563" s="1926"/>
      <c r="T563" s="1913"/>
      <c r="U563" s="1927"/>
      <c r="V563" s="1883">
        <v>1</v>
      </c>
      <c r="W563" s="1871">
        <v>2</v>
      </c>
      <c r="X563" s="1926">
        <v>0.22</v>
      </c>
      <c r="Y563" s="1913">
        <v>0.33</v>
      </c>
      <c r="Z563" s="1927"/>
      <c r="AA563" s="1883">
        <v>1</v>
      </c>
      <c r="AB563" s="1871">
        <v>2</v>
      </c>
      <c r="AC563" s="1926">
        <v>0.17</v>
      </c>
      <c r="AD563" s="1913">
        <v>0.33</v>
      </c>
      <c r="AF563" s="1883">
        <v>1</v>
      </c>
      <c r="AG563" s="1871">
        <v>2</v>
      </c>
      <c r="AH563" s="1926"/>
      <c r="AI563" s="1913"/>
      <c r="AK563" s="1955">
        <f t="shared" ref="AK563:AK585" si="85">N563</f>
        <v>0.22</v>
      </c>
      <c r="AL563" s="1926">
        <f t="shared" ref="AL563:AL585" si="86">X563</f>
        <v>0.22</v>
      </c>
      <c r="AM563" s="1926">
        <f t="shared" si="84"/>
        <v>0.17</v>
      </c>
      <c r="AN563" s="1956">
        <f t="shared" ref="AN563:AN585" si="87">AH563</f>
        <v>0</v>
      </c>
      <c r="AO563" s="1890"/>
      <c r="AP563" s="1891"/>
      <c r="AQ563" s="1931"/>
      <c r="AR563" s="1915"/>
    </row>
    <row r="564" spans="1:44">
      <c r="A564" s="1927"/>
      <c r="B564" s="1883">
        <v>2</v>
      </c>
      <c r="C564" s="1871">
        <v>3</v>
      </c>
      <c r="D564" s="1926">
        <v>0.12</v>
      </c>
      <c r="E564" s="1913">
        <v>0.24</v>
      </c>
      <c r="F564" s="1927"/>
      <c r="G564" s="1883">
        <v>2</v>
      </c>
      <c r="H564" s="1871">
        <v>3</v>
      </c>
      <c r="I564" s="1926">
        <v>0.12</v>
      </c>
      <c r="J564" s="1913">
        <v>0.18</v>
      </c>
      <c r="K564" s="1927"/>
      <c r="L564" s="1883">
        <v>2</v>
      </c>
      <c r="M564" s="1871">
        <v>3</v>
      </c>
      <c r="N564" s="1926">
        <v>0.21</v>
      </c>
      <c r="O564" s="1913">
        <v>0.35</v>
      </c>
      <c r="P564" s="1927"/>
      <c r="Q564" s="1883"/>
      <c r="R564" s="1871"/>
      <c r="S564" s="1926"/>
      <c r="T564" s="1913"/>
      <c r="U564" s="1927"/>
      <c r="V564" s="1883">
        <v>2</v>
      </c>
      <c r="W564" s="1871">
        <v>3</v>
      </c>
      <c r="X564" s="1926">
        <v>0.25</v>
      </c>
      <c r="Y564" s="1913">
        <v>0.37</v>
      </c>
      <c r="Z564" s="1927"/>
      <c r="AA564" s="1883">
        <v>2</v>
      </c>
      <c r="AB564" s="1871">
        <v>3</v>
      </c>
      <c r="AC564" s="1926">
        <v>0.14000000000000001</v>
      </c>
      <c r="AD564" s="1913">
        <v>0.26</v>
      </c>
      <c r="AF564" s="1883">
        <v>2</v>
      </c>
      <c r="AG564" s="1871">
        <v>3</v>
      </c>
      <c r="AH564" s="1926"/>
      <c r="AI564" s="1913"/>
      <c r="AK564" s="1955">
        <f t="shared" si="85"/>
        <v>0.21</v>
      </c>
      <c r="AL564" s="1926">
        <f t="shared" si="86"/>
        <v>0.25</v>
      </c>
      <c r="AM564" s="1926">
        <f t="shared" si="84"/>
        <v>0.14000000000000001</v>
      </c>
      <c r="AN564" s="1956">
        <f t="shared" si="87"/>
        <v>0</v>
      </c>
      <c r="AO564" s="1893"/>
      <c r="AP564" s="1872"/>
      <c r="AQ564" s="1931"/>
      <c r="AR564" s="1915"/>
    </row>
    <row r="565" spans="1:44">
      <c r="A565" s="1927"/>
      <c r="B565" s="1883">
        <v>3</v>
      </c>
      <c r="C565" s="1871">
        <v>4</v>
      </c>
      <c r="D565" s="1926">
        <v>0.11</v>
      </c>
      <c r="E565" s="1913">
        <v>0.22</v>
      </c>
      <c r="F565" s="1927"/>
      <c r="G565" s="1883">
        <v>3</v>
      </c>
      <c r="H565" s="1871">
        <v>4</v>
      </c>
      <c r="I565" s="1926">
        <v>0.28000000000000003</v>
      </c>
      <c r="J565" s="1913">
        <v>0.41</v>
      </c>
      <c r="K565" s="1927"/>
      <c r="L565" s="1883">
        <v>3</v>
      </c>
      <c r="M565" s="1871">
        <v>4</v>
      </c>
      <c r="N565" s="1926">
        <v>0.15</v>
      </c>
      <c r="O565" s="1913">
        <v>0.25</v>
      </c>
      <c r="P565" s="1927"/>
      <c r="Q565" s="1883"/>
      <c r="R565" s="1871"/>
      <c r="S565" s="1926"/>
      <c r="T565" s="1913"/>
      <c r="U565" s="1927"/>
      <c r="V565" s="1883">
        <v>3</v>
      </c>
      <c r="W565" s="1871">
        <v>4</v>
      </c>
      <c r="X565" s="1926">
        <v>0.19</v>
      </c>
      <c r="Y565" s="1913">
        <v>0.28000000000000003</v>
      </c>
      <c r="Z565" s="1927"/>
      <c r="AA565" s="1883">
        <v>3</v>
      </c>
      <c r="AB565" s="1871">
        <v>4</v>
      </c>
      <c r="AC565" s="1926">
        <v>0.34</v>
      </c>
      <c r="AD565" s="1913">
        <v>0.63</v>
      </c>
      <c r="AF565" s="1883">
        <v>3</v>
      </c>
      <c r="AG565" s="1871">
        <v>4</v>
      </c>
      <c r="AH565" s="1926"/>
      <c r="AI565" s="1913"/>
      <c r="AK565" s="1955">
        <f t="shared" si="85"/>
        <v>0.15</v>
      </c>
      <c r="AL565" s="1926">
        <f t="shared" si="86"/>
        <v>0.19</v>
      </c>
      <c r="AM565" s="1926">
        <f t="shared" si="84"/>
        <v>0.34</v>
      </c>
      <c r="AN565" s="1956">
        <f t="shared" si="87"/>
        <v>0</v>
      </c>
      <c r="AO565" s="1893"/>
      <c r="AP565" s="1872"/>
      <c r="AQ565" s="1931"/>
      <c r="AR565" s="1915"/>
    </row>
    <row r="566" spans="1:44">
      <c r="A566" s="1927"/>
      <c r="B566" s="1883">
        <v>4</v>
      </c>
      <c r="C566" s="1871">
        <v>5</v>
      </c>
      <c r="D566" s="1926">
        <v>0.13</v>
      </c>
      <c r="E566" s="1913">
        <v>0.25</v>
      </c>
      <c r="F566" s="1927"/>
      <c r="G566" s="1883">
        <v>4</v>
      </c>
      <c r="H566" s="1871">
        <v>5</v>
      </c>
      <c r="I566" s="1926">
        <v>0.2</v>
      </c>
      <c r="J566" s="1913">
        <v>0.28999999999999998</v>
      </c>
      <c r="K566" s="1927"/>
      <c r="L566" s="1883">
        <v>4</v>
      </c>
      <c r="M566" s="1871">
        <v>5</v>
      </c>
      <c r="N566" s="1926">
        <v>0.16</v>
      </c>
      <c r="O566" s="1913">
        <v>0.27</v>
      </c>
      <c r="P566" s="1927"/>
      <c r="Q566" s="1883"/>
      <c r="R566" s="1871"/>
      <c r="S566" s="1926"/>
      <c r="T566" s="1913"/>
      <c r="U566" s="1927"/>
      <c r="V566" s="1883">
        <v>4</v>
      </c>
      <c r="W566" s="1871">
        <v>5</v>
      </c>
      <c r="X566" s="1926">
        <v>0.22</v>
      </c>
      <c r="Y566" s="1913">
        <v>0.33</v>
      </c>
      <c r="Z566" s="1927"/>
      <c r="AA566" s="1883">
        <v>4</v>
      </c>
      <c r="AB566" s="1871">
        <v>5</v>
      </c>
      <c r="AC566" s="1926">
        <v>0.32</v>
      </c>
      <c r="AD566" s="1913">
        <v>0.57999999999999996</v>
      </c>
      <c r="AF566" s="1883">
        <v>4</v>
      </c>
      <c r="AG566" s="1871">
        <v>5</v>
      </c>
      <c r="AH566" s="1926"/>
      <c r="AI566" s="1913"/>
      <c r="AK566" s="1955">
        <f t="shared" si="85"/>
        <v>0.16</v>
      </c>
      <c r="AL566" s="1926">
        <f t="shared" si="86"/>
        <v>0.22</v>
      </c>
      <c r="AM566" s="1926">
        <f t="shared" si="84"/>
        <v>0.32</v>
      </c>
      <c r="AN566" s="1956">
        <f t="shared" si="87"/>
        <v>0</v>
      </c>
      <c r="AO566" s="1893"/>
      <c r="AP566" s="1872"/>
      <c r="AQ566" s="1931"/>
      <c r="AR566" s="1915"/>
    </row>
    <row r="567" spans="1:44">
      <c r="A567" s="1927"/>
      <c r="B567" s="1883">
        <v>5</v>
      </c>
      <c r="C567" s="1871">
        <v>6</v>
      </c>
      <c r="D567" s="1926">
        <v>0.08</v>
      </c>
      <c r="E567" s="1913">
        <v>0.17</v>
      </c>
      <c r="F567" s="1927"/>
      <c r="G567" s="1883">
        <v>5</v>
      </c>
      <c r="H567" s="1871">
        <v>6</v>
      </c>
      <c r="I567" s="1926">
        <v>0.17</v>
      </c>
      <c r="J567" s="1913">
        <v>0.25</v>
      </c>
      <c r="K567" s="1927"/>
      <c r="L567" s="1883">
        <v>5</v>
      </c>
      <c r="M567" s="1871">
        <v>6</v>
      </c>
      <c r="N567" s="1926">
        <v>0.28999999999999998</v>
      </c>
      <c r="O567" s="1913">
        <v>0.5</v>
      </c>
      <c r="P567" s="1927"/>
      <c r="Q567" s="1883"/>
      <c r="R567" s="1871"/>
      <c r="S567" s="1926"/>
      <c r="T567" s="1913"/>
      <c r="U567" s="1927"/>
      <c r="V567" s="1883">
        <v>5</v>
      </c>
      <c r="W567" s="1871">
        <v>6</v>
      </c>
      <c r="X567" s="1926">
        <v>0.23</v>
      </c>
      <c r="Y567" s="1913">
        <v>0.37</v>
      </c>
      <c r="Z567" s="1927"/>
      <c r="AA567" s="1883">
        <v>5</v>
      </c>
      <c r="AB567" s="1871">
        <v>6</v>
      </c>
      <c r="AC567" s="1926">
        <v>0.26</v>
      </c>
      <c r="AD567" s="1913">
        <v>0.49</v>
      </c>
      <c r="AF567" s="1883">
        <v>5</v>
      </c>
      <c r="AG567" s="1871">
        <v>6</v>
      </c>
      <c r="AH567" s="1926"/>
      <c r="AI567" s="1913"/>
      <c r="AK567" s="1955">
        <f t="shared" si="85"/>
        <v>0.28999999999999998</v>
      </c>
      <c r="AL567" s="1926">
        <f t="shared" si="86"/>
        <v>0.23</v>
      </c>
      <c r="AM567" s="1926">
        <f t="shared" si="84"/>
        <v>0.26</v>
      </c>
      <c r="AN567" s="1956">
        <f t="shared" si="87"/>
        <v>0</v>
      </c>
      <c r="AO567" s="1893"/>
      <c r="AP567" s="1872"/>
      <c r="AQ567" s="1931"/>
      <c r="AR567" s="1915"/>
    </row>
    <row r="568" spans="1:44">
      <c r="A568" s="1927"/>
      <c r="B568" s="1883">
        <v>6</v>
      </c>
      <c r="C568" s="1871">
        <v>7</v>
      </c>
      <c r="D568" s="1926">
        <v>0.12</v>
      </c>
      <c r="E568" s="1913">
        <v>0.27</v>
      </c>
      <c r="F568" s="1927"/>
      <c r="G568" s="1883">
        <v>6</v>
      </c>
      <c r="H568" s="1871">
        <v>7</v>
      </c>
      <c r="I568" s="1926">
        <v>0.23</v>
      </c>
      <c r="J568" s="1913">
        <v>0.37</v>
      </c>
      <c r="K568" s="1927"/>
      <c r="L568" s="1883">
        <v>6</v>
      </c>
      <c r="M568" s="1871">
        <v>7</v>
      </c>
      <c r="N568" s="1926">
        <v>0.36</v>
      </c>
      <c r="O568" s="1913">
        <v>0.63</v>
      </c>
      <c r="P568" s="1927"/>
      <c r="Q568" s="1883"/>
      <c r="R568" s="1871"/>
      <c r="S568" s="1926"/>
      <c r="T568" s="1913"/>
      <c r="U568" s="1927"/>
      <c r="V568" s="1883">
        <v>6</v>
      </c>
      <c r="W568" s="1871">
        <v>7</v>
      </c>
      <c r="X568" s="1926">
        <v>0.49</v>
      </c>
      <c r="Y568" s="1913">
        <v>0.9</v>
      </c>
      <c r="Z568" s="1927"/>
      <c r="AA568" s="1883">
        <v>6</v>
      </c>
      <c r="AB568" s="1871">
        <v>7</v>
      </c>
      <c r="AC568" s="1926">
        <v>0.18</v>
      </c>
      <c r="AD568" s="1913">
        <v>0.38</v>
      </c>
      <c r="AF568" s="1883">
        <v>6</v>
      </c>
      <c r="AG568" s="1871">
        <v>7</v>
      </c>
      <c r="AH568" s="1926"/>
      <c r="AI568" s="1913"/>
      <c r="AK568" s="1955">
        <f t="shared" si="85"/>
        <v>0.36</v>
      </c>
      <c r="AL568" s="1926">
        <f t="shared" si="86"/>
        <v>0.49</v>
      </c>
      <c r="AM568" s="1926">
        <f t="shared" si="84"/>
        <v>0.18</v>
      </c>
      <c r="AN568" s="1956">
        <f t="shared" si="87"/>
        <v>0</v>
      </c>
      <c r="AO568" s="1893"/>
      <c r="AP568" s="1872"/>
      <c r="AQ568" s="1931"/>
      <c r="AR568" s="1915"/>
    </row>
    <row r="569" spans="1:44">
      <c r="A569" s="1927"/>
      <c r="B569" s="1908">
        <v>7</v>
      </c>
      <c r="C569" s="1909">
        <v>8</v>
      </c>
      <c r="D569" s="1928">
        <v>0.64</v>
      </c>
      <c r="E569" s="1917">
        <v>1.56</v>
      </c>
      <c r="F569" s="1927"/>
      <c r="G569" s="1908">
        <v>7</v>
      </c>
      <c r="H569" s="1909">
        <v>8</v>
      </c>
      <c r="I569" s="1928">
        <v>0.15</v>
      </c>
      <c r="J569" s="1917">
        <v>0.25</v>
      </c>
      <c r="K569" s="1927"/>
      <c r="L569" s="1908">
        <v>7</v>
      </c>
      <c r="M569" s="1909">
        <v>8</v>
      </c>
      <c r="N569" s="1928">
        <v>0.28999999999999998</v>
      </c>
      <c r="O569" s="1917">
        <v>0.52</v>
      </c>
      <c r="P569" s="1927"/>
      <c r="Q569" s="1908"/>
      <c r="R569" s="1909"/>
      <c r="S569" s="1928"/>
      <c r="T569" s="1917"/>
      <c r="U569" s="1927"/>
      <c r="V569" s="1908">
        <v>7</v>
      </c>
      <c r="W569" s="1909">
        <v>8</v>
      </c>
      <c r="X569" s="1928">
        <v>0.41</v>
      </c>
      <c r="Y569" s="1917">
        <v>0.79</v>
      </c>
      <c r="Z569" s="1927"/>
      <c r="AA569" s="1908">
        <v>7</v>
      </c>
      <c r="AB569" s="1909">
        <v>8</v>
      </c>
      <c r="AC569" s="1928">
        <v>0.26</v>
      </c>
      <c r="AD569" s="1917">
        <v>0.57999999999999996</v>
      </c>
      <c r="AF569" s="1908">
        <v>7</v>
      </c>
      <c r="AG569" s="1909">
        <v>8</v>
      </c>
      <c r="AH569" s="1928"/>
      <c r="AI569" s="1917"/>
      <c r="AK569" s="1957">
        <f t="shared" si="85"/>
        <v>0.28999999999999998</v>
      </c>
      <c r="AL569" s="1958">
        <f t="shared" si="86"/>
        <v>0.41</v>
      </c>
      <c r="AM569" s="1958">
        <f t="shared" si="84"/>
        <v>0.26</v>
      </c>
      <c r="AN569" s="1959">
        <f t="shared" si="87"/>
        <v>0</v>
      </c>
      <c r="AO569" s="1893"/>
      <c r="AP569" s="1872"/>
      <c r="AQ569" s="1931"/>
      <c r="AR569" s="1915"/>
    </row>
    <row r="570" spans="1:44">
      <c r="A570" s="1930"/>
      <c r="B570" s="1890">
        <v>8</v>
      </c>
      <c r="C570" s="1891">
        <v>9</v>
      </c>
      <c r="D570" s="1929">
        <v>0.43</v>
      </c>
      <c r="E570" s="1914">
        <v>1.06</v>
      </c>
      <c r="F570" s="1930"/>
      <c r="G570" s="1890">
        <v>8</v>
      </c>
      <c r="H570" s="1891">
        <v>9</v>
      </c>
      <c r="I570" s="1929">
        <v>0.15</v>
      </c>
      <c r="J570" s="1914">
        <v>0.25</v>
      </c>
      <c r="K570" s="1930"/>
      <c r="L570" s="1890">
        <v>8</v>
      </c>
      <c r="M570" s="1891">
        <v>9</v>
      </c>
      <c r="N570" s="1929">
        <v>0.39</v>
      </c>
      <c r="O570" s="1914">
        <v>0.68</v>
      </c>
      <c r="P570" s="1930"/>
      <c r="Q570" s="1890"/>
      <c r="R570" s="1891"/>
      <c r="S570" s="1929"/>
      <c r="T570" s="1914"/>
      <c r="U570" s="1930"/>
      <c r="V570" s="1890">
        <v>8</v>
      </c>
      <c r="W570" s="1891">
        <v>9</v>
      </c>
      <c r="X570" s="1929">
        <v>0.35</v>
      </c>
      <c r="Y570" s="1914">
        <v>0.66</v>
      </c>
      <c r="Z570" s="1930"/>
      <c r="AA570" s="1890">
        <v>8</v>
      </c>
      <c r="AB570" s="1891">
        <v>9</v>
      </c>
      <c r="AC570" s="1929">
        <v>0.25</v>
      </c>
      <c r="AD570" s="1914">
        <v>0.56000000000000005</v>
      </c>
      <c r="AF570" s="1890">
        <v>8</v>
      </c>
      <c r="AG570" s="1891">
        <v>9</v>
      </c>
      <c r="AH570" s="1929"/>
      <c r="AI570" s="1914"/>
      <c r="AK570" s="1952">
        <f t="shared" si="85"/>
        <v>0.39</v>
      </c>
      <c r="AL570" s="1953">
        <f t="shared" si="86"/>
        <v>0.35</v>
      </c>
      <c r="AM570" s="1953">
        <f t="shared" si="84"/>
        <v>0.25</v>
      </c>
      <c r="AN570" s="1954">
        <f t="shared" si="87"/>
        <v>0</v>
      </c>
      <c r="AO570" s="1893"/>
      <c r="AP570" s="1872"/>
      <c r="AQ570" s="1931"/>
      <c r="AR570" s="1915"/>
    </row>
    <row r="571" spans="1:44">
      <c r="A571" s="1930"/>
      <c r="B571" s="1893">
        <v>9</v>
      </c>
      <c r="C571" s="1872">
        <v>10</v>
      </c>
      <c r="D571" s="1931">
        <v>0.24</v>
      </c>
      <c r="E571" s="1915">
        <v>0.56000000000000005</v>
      </c>
      <c r="F571" s="1930"/>
      <c r="G571" s="1893">
        <v>9</v>
      </c>
      <c r="H571" s="1872">
        <v>10</v>
      </c>
      <c r="I571" s="1931">
        <v>0.23</v>
      </c>
      <c r="J571" s="1915">
        <v>0.37</v>
      </c>
      <c r="K571" s="1930"/>
      <c r="L571" s="1893">
        <v>9</v>
      </c>
      <c r="M571" s="1872">
        <v>10</v>
      </c>
      <c r="N571" s="1931">
        <v>0.88</v>
      </c>
      <c r="O571" s="1915">
        <v>1.43</v>
      </c>
      <c r="P571" s="1930"/>
      <c r="Q571" s="1893"/>
      <c r="R571" s="1872"/>
      <c r="S571" s="1931"/>
      <c r="T571" s="1915"/>
      <c r="U571" s="1930"/>
      <c r="V571" s="1893">
        <v>9</v>
      </c>
      <c r="W571" s="1872">
        <v>10</v>
      </c>
      <c r="X571" s="1931">
        <v>0.28999999999999998</v>
      </c>
      <c r="Y571" s="1915">
        <v>0.61</v>
      </c>
      <c r="Z571" s="1930"/>
      <c r="AA571" s="1893">
        <v>9</v>
      </c>
      <c r="AB571" s="1872">
        <v>10</v>
      </c>
      <c r="AC571" s="1931">
        <v>0.44</v>
      </c>
      <c r="AD571" s="1915">
        <v>0.89</v>
      </c>
      <c r="AF571" s="1893">
        <v>9</v>
      </c>
      <c r="AG571" s="1872">
        <v>10</v>
      </c>
      <c r="AH571" s="1931"/>
      <c r="AI571" s="1915"/>
      <c r="AK571" s="1955">
        <f t="shared" si="85"/>
        <v>0.88</v>
      </c>
      <c r="AL571" s="1926">
        <f t="shared" si="86"/>
        <v>0.28999999999999998</v>
      </c>
      <c r="AM571" s="1926">
        <f t="shared" si="84"/>
        <v>0.44</v>
      </c>
      <c r="AN571" s="1956">
        <f t="shared" si="87"/>
        <v>0</v>
      </c>
      <c r="AO571" s="1893"/>
      <c r="AP571" s="1872"/>
      <c r="AQ571" s="1932"/>
      <c r="AR571" s="1916"/>
    </row>
    <row r="572" spans="1:44">
      <c r="A572" s="1930"/>
      <c r="B572" s="1893">
        <v>10</v>
      </c>
      <c r="C572" s="1872">
        <v>11</v>
      </c>
      <c r="D572" s="1931">
        <v>0.32</v>
      </c>
      <c r="E572" s="1915">
        <v>0.72</v>
      </c>
      <c r="F572" s="1930"/>
      <c r="G572" s="1893">
        <v>10</v>
      </c>
      <c r="H572" s="1872">
        <v>11</v>
      </c>
      <c r="I572" s="1931">
        <v>0.28000000000000003</v>
      </c>
      <c r="J572" s="1915">
        <v>0.38</v>
      </c>
      <c r="K572" s="1930"/>
      <c r="L572" s="1893">
        <v>10</v>
      </c>
      <c r="M572" s="1872">
        <v>11</v>
      </c>
      <c r="N572" s="1931">
        <v>1.06</v>
      </c>
      <c r="O572" s="1915">
        <v>1.61</v>
      </c>
      <c r="P572" s="1930"/>
      <c r="Q572" s="1893"/>
      <c r="R572" s="1872"/>
      <c r="S572" s="1931"/>
      <c r="T572" s="1915"/>
      <c r="U572" s="1930"/>
      <c r="V572" s="1893">
        <v>10</v>
      </c>
      <c r="W572" s="1872">
        <v>11</v>
      </c>
      <c r="X572" s="1931">
        <v>0.36</v>
      </c>
      <c r="Y572" s="1915">
        <v>0.59</v>
      </c>
      <c r="Z572" s="1930"/>
      <c r="AA572" s="1893">
        <v>10</v>
      </c>
      <c r="AB572" s="1872">
        <v>11</v>
      </c>
      <c r="AC572" s="1931">
        <v>0.3</v>
      </c>
      <c r="AD572" s="1915">
        <v>0.56999999999999995</v>
      </c>
      <c r="AF572" s="1893">
        <v>10</v>
      </c>
      <c r="AG572" s="1872">
        <v>11</v>
      </c>
      <c r="AH572" s="1931"/>
      <c r="AI572" s="1915"/>
      <c r="AK572" s="1955">
        <f t="shared" si="85"/>
        <v>1.06</v>
      </c>
      <c r="AL572" s="1926">
        <f t="shared" si="86"/>
        <v>0.36</v>
      </c>
      <c r="AM572" s="1926">
        <f t="shared" si="84"/>
        <v>0.3</v>
      </c>
      <c r="AN572" s="1956">
        <f t="shared" si="87"/>
        <v>0</v>
      </c>
      <c r="AO572" s="1894"/>
      <c r="AP572" s="1895"/>
      <c r="AQ572" s="1933"/>
      <c r="AR572" s="1911"/>
    </row>
    <row r="573" spans="1:44">
      <c r="A573" s="1930"/>
      <c r="B573" s="1893">
        <v>11</v>
      </c>
      <c r="C573" s="1872">
        <v>12</v>
      </c>
      <c r="D573" s="1931">
        <v>0.32</v>
      </c>
      <c r="E573" s="1915">
        <v>0.67</v>
      </c>
      <c r="F573" s="1930"/>
      <c r="G573" s="1893">
        <v>11</v>
      </c>
      <c r="H573" s="1872">
        <v>12</v>
      </c>
      <c r="I573" s="1931">
        <v>0.38</v>
      </c>
      <c r="J573" s="1915">
        <v>0.41</v>
      </c>
      <c r="K573" s="1930"/>
      <c r="L573" s="1893">
        <v>11</v>
      </c>
      <c r="M573" s="1872">
        <v>12</v>
      </c>
      <c r="N573" s="1931">
        <v>0.37</v>
      </c>
      <c r="O573" s="1915">
        <v>0.46</v>
      </c>
      <c r="P573" s="1930"/>
      <c r="Q573" s="1893"/>
      <c r="R573" s="1872"/>
      <c r="S573" s="1931"/>
      <c r="T573" s="1915"/>
      <c r="U573" s="1930"/>
      <c r="V573" s="1893">
        <v>11</v>
      </c>
      <c r="W573" s="1872">
        <v>12</v>
      </c>
      <c r="X573" s="1931">
        <v>0.23</v>
      </c>
      <c r="Y573" s="1915">
        <v>0.34</v>
      </c>
      <c r="Z573" s="1930"/>
      <c r="AA573" s="1893">
        <v>11</v>
      </c>
      <c r="AB573" s="1872">
        <v>12</v>
      </c>
      <c r="AC573" s="1931">
        <v>0.4</v>
      </c>
      <c r="AD573" s="1915">
        <v>0.72</v>
      </c>
      <c r="AF573" s="1893">
        <v>11</v>
      </c>
      <c r="AG573" s="1872">
        <v>12</v>
      </c>
      <c r="AH573" s="1931"/>
      <c r="AI573" s="1915"/>
      <c r="AK573" s="1955">
        <f t="shared" si="85"/>
        <v>0.37</v>
      </c>
      <c r="AL573" s="1926">
        <f t="shared" si="86"/>
        <v>0.23</v>
      </c>
      <c r="AM573" s="1926">
        <f t="shared" si="84"/>
        <v>0.4</v>
      </c>
      <c r="AN573" s="1956">
        <f t="shared" si="87"/>
        <v>0</v>
      </c>
      <c r="AO573" s="1910"/>
      <c r="AP573" s="1889"/>
      <c r="AQ573" s="1935"/>
      <c r="AR573" s="1912"/>
    </row>
    <row r="574" spans="1:44">
      <c r="A574" s="1930"/>
      <c r="B574" s="1893">
        <v>12</v>
      </c>
      <c r="C574" s="1872">
        <v>13</v>
      </c>
      <c r="D574" s="1931">
        <v>0.27</v>
      </c>
      <c r="E574" s="1915">
        <v>0.54</v>
      </c>
      <c r="F574" s="1930"/>
      <c r="G574" s="1893">
        <v>12</v>
      </c>
      <c r="H574" s="1872">
        <v>13</v>
      </c>
      <c r="I574" s="1931">
        <v>0.23</v>
      </c>
      <c r="J574" s="1915">
        <v>0.24</v>
      </c>
      <c r="K574" s="1930"/>
      <c r="L574" s="1893">
        <v>12</v>
      </c>
      <c r="M574" s="1872">
        <v>13</v>
      </c>
      <c r="N574" s="1931">
        <v>0.4</v>
      </c>
      <c r="O574" s="1915">
        <v>0.43</v>
      </c>
      <c r="P574" s="1930"/>
      <c r="Q574" s="1893"/>
      <c r="R574" s="1872"/>
      <c r="S574" s="1931"/>
      <c r="T574" s="1915"/>
      <c r="U574" s="1930"/>
      <c r="V574" s="1893">
        <v>12</v>
      </c>
      <c r="W574" s="1872">
        <v>13</v>
      </c>
      <c r="X574" s="1931">
        <v>0.33</v>
      </c>
      <c r="Y574" s="1915">
        <v>0.46</v>
      </c>
      <c r="Z574" s="1930"/>
      <c r="AA574" s="1893">
        <v>12</v>
      </c>
      <c r="AB574" s="1872">
        <v>13</v>
      </c>
      <c r="AC574" s="1931">
        <v>0.34</v>
      </c>
      <c r="AD574" s="1915">
        <v>0.61</v>
      </c>
      <c r="AF574" s="1893">
        <v>12</v>
      </c>
      <c r="AG574" s="1872">
        <v>13</v>
      </c>
      <c r="AH574" s="1931"/>
      <c r="AI574" s="1915"/>
      <c r="AK574" s="1955">
        <f t="shared" si="85"/>
        <v>0.4</v>
      </c>
      <c r="AL574" s="1926">
        <f t="shared" si="86"/>
        <v>0.33</v>
      </c>
      <c r="AM574" s="1926">
        <f t="shared" si="84"/>
        <v>0.34</v>
      </c>
      <c r="AN574" s="1956">
        <f t="shared" si="87"/>
        <v>0</v>
      </c>
      <c r="AO574" s="1902"/>
      <c r="AP574" s="1873"/>
      <c r="AQ574" s="1935"/>
      <c r="AR574" s="1912"/>
    </row>
    <row r="575" spans="1:44">
      <c r="A575" s="1930"/>
      <c r="B575" s="1893">
        <v>13</v>
      </c>
      <c r="C575" s="1872">
        <v>14</v>
      </c>
      <c r="D575" s="1931">
        <v>0.19</v>
      </c>
      <c r="E575" s="1915">
        <v>0.38</v>
      </c>
      <c r="F575" s="1930"/>
      <c r="G575" s="1893">
        <v>13</v>
      </c>
      <c r="H575" s="1872">
        <v>14</v>
      </c>
      <c r="I575" s="1931">
        <v>0.24</v>
      </c>
      <c r="J575" s="1915">
        <v>0.24</v>
      </c>
      <c r="K575" s="1930"/>
      <c r="L575" s="1893">
        <v>13</v>
      </c>
      <c r="M575" s="1872">
        <v>14</v>
      </c>
      <c r="N575" s="1931">
        <v>0.36</v>
      </c>
      <c r="O575" s="1915">
        <v>0.33</v>
      </c>
      <c r="P575" s="1930"/>
      <c r="Q575" s="1893"/>
      <c r="R575" s="1872"/>
      <c r="S575" s="1931"/>
      <c r="T575" s="1915"/>
      <c r="U575" s="1930"/>
      <c r="V575" s="1893">
        <v>13</v>
      </c>
      <c r="W575" s="1872">
        <v>14</v>
      </c>
      <c r="X575" s="1931">
        <v>0.27</v>
      </c>
      <c r="Y575" s="1915">
        <v>0.38</v>
      </c>
      <c r="Z575" s="1930"/>
      <c r="AA575" s="1893">
        <v>13</v>
      </c>
      <c r="AB575" s="1872">
        <v>14</v>
      </c>
      <c r="AC575" s="1931">
        <v>0.62</v>
      </c>
      <c r="AD575" s="1915">
        <v>1.1200000000000001</v>
      </c>
      <c r="AF575" s="1893">
        <v>13</v>
      </c>
      <c r="AG575" s="1872">
        <v>14</v>
      </c>
      <c r="AH575" s="1931"/>
      <c r="AI575" s="1915"/>
      <c r="AK575" s="1955">
        <f t="shared" si="85"/>
        <v>0.36</v>
      </c>
      <c r="AL575" s="1926">
        <f t="shared" si="86"/>
        <v>0.27</v>
      </c>
      <c r="AM575" s="1926">
        <f t="shared" si="84"/>
        <v>0.62</v>
      </c>
      <c r="AN575" s="1956">
        <f t="shared" si="87"/>
        <v>0</v>
      </c>
      <c r="AO575" s="1902"/>
      <c r="AP575" s="1873"/>
      <c r="AQ575" s="1935"/>
      <c r="AR575" s="1912"/>
    </row>
    <row r="576" spans="1:44">
      <c r="A576" s="1930"/>
      <c r="B576" s="1893">
        <v>14</v>
      </c>
      <c r="C576" s="1872">
        <v>15</v>
      </c>
      <c r="D576" s="1931">
        <v>0.26</v>
      </c>
      <c r="E576" s="1915">
        <v>0.54</v>
      </c>
      <c r="F576" s="1930"/>
      <c r="G576" s="1893">
        <v>14</v>
      </c>
      <c r="H576" s="1872">
        <v>15</v>
      </c>
      <c r="I576" s="1931">
        <v>0.18</v>
      </c>
      <c r="J576" s="1915">
        <v>0.21</v>
      </c>
      <c r="K576" s="1930"/>
      <c r="L576" s="1893">
        <v>14</v>
      </c>
      <c r="M576" s="1872">
        <v>15</v>
      </c>
      <c r="N576" s="1931">
        <v>0.34</v>
      </c>
      <c r="O576" s="1915">
        <v>0.3</v>
      </c>
      <c r="P576" s="1930"/>
      <c r="Q576" s="1893"/>
      <c r="R576" s="1872"/>
      <c r="S576" s="1931"/>
      <c r="T576" s="1915"/>
      <c r="U576" s="1930"/>
      <c r="V576" s="1893">
        <v>14</v>
      </c>
      <c r="W576" s="1872">
        <v>15</v>
      </c>
      <c r="X576" s="1931">
        <v>0.24</v>
      </c>
      <c r="Y576" s="1915">
        <v>0.34</v>
      </c>
      <c r="Z576" s="1930"/>
      <c r="AA576" s="1893">
        <v>14</v>
      </c>
      <c r="AB576" s="1872">
        <v>15</v>
      </c>
      <c r="AC576" s="1931">
        <v>0.5</v>
      </c>
      <c r="AD576" s="1915">
        <v>0.9</v>
      </c>
      <c r="AF576" s="1893">
        <v>14</v>
      </c>
      <c r="AG576" s="1872">
        <v>15</v>
      </c>
      <c r="AH576" s="1931"/>
      <c r="AI576" s="1915"/>
      <c r="AK576" s="1955">
        <f t="shared" si="85"/>
        <v>0.34</v>
      </c>
      <c r="AL576" s="1926">
        <f t="shared" si="86"/>
        <v>0.24</v>
      </c>
      <c r="AM576" s="1926">
        <f t="shared" si="84"/>
        <v>0.5</v>
      </c>
      <c r="AN576" s="1956">
        <f t="shared" si="87"/>
        <v>0</v>
      </c>
      <c r="AO576" s="1902"/>
      <c r="AP576" s="1873"/>
      <c r="AQ576" s="1935"/>
      <c r="AR576" s="1912"/>
    </row>
    <row r="577" spans="1:44">
      <c r="A577" s="1930"/>
      <c r="B577" s="1893">
        <v>15</v>
      </c>
      <c r="C577" s="1872">
        <v>16</v>
      </c>
      <c r="D577" s="1931">
        <v>0.36</v>
      </c>
      <c r="E577" s="1915">
        <v>0.8</v>
      </c>
      <c r="F577" s="1930"/>
      <c r="G577" s="1893">
        <v>15</v>
      </c>
      <c r="H577" s="1872">
        <v>16</v>
      </c>
      <c r="I577" s="1931">
        <v>0.3</v>
      </c>
      <c r="J577" s="1915">
        <v>0.44</v>
      </c>
      <c r="K577" s="1930"/>
      <c r="L577" s="1893">
        <v>15</v>
      </c>
      <c r="M577" s="1872">
        <v>16</v>
      </c>
      <c r="N577" s="1931">
        <v>0.24</v>
      </c>
      <c r="O577" s="1915">
        <v>0.26</v>
      </c>
      <c r="P577" s="1930"/>
      <c r="Q577" s="1893"/>
      <c r="R577" s="1872"/>
      <c r="S577" s="1931"/>
      <c r="T577" s="1915"/>
      <c r="U577" s="1930"/>
      <c r="V577" s="1893">
        <v>15</v>
      </c>
      <c r="W577" s="1872">
        <v>16</v>
      </c>
      <c r="X577" s="1931">
        <v>0.45</v>
      </c>
      <c r="Y577" s="1915">
        <v>0.35</v>
      </c>
      <c r="Z577" s="1930"/>
      <c r="AA577" s="1893">
        <v>15</v>
      </c>
      <c r="AB577" s="1872">
        <v>16</v>
      </c>
      <c r="AC577" s="1931">
        <v>0.45</v>
      </c>
      <c r="AD577" s="1915">
        <v>0.81</v>
      </c>
      <c r="AF577" s="1893">
        <v>15</v>
      </c>
      <c r="AG577" s="1872">
        <v>16</v>
      </c>
      <c r="AH577" s="1931"/>
      <c r="AI577" s="1915"/>
      <c r="AK577" s="1955">
        <f t="shared" si="85"/>
        <v>0.24</v>
      </c>
      <c r="AL577" s="1926">
        <f t="shared" si="86"/>
        <v>0.45</v>
      </c>
      <c r="AM577" s="1926">
        <f t="shared" si="84"/>
        <v>0.45</v>
      </c>
      <c r="AN577" s="1956">
        <f t="shared" si="87"/>
        <v>0</v>
      </c>
      <c r="AO577" s="1902"/>
      <c r="AP577" s="1873"/>
      <c r="AQ577" s="1935"/>
      <c r="AR577" s="1912"/>
    </row>
    <row r="578" spans="1:44">
      <c r="A578" s="1930"/>
      <c r="B578" s="1893">
        <v>16</v>
      </c>
      <c r="C578" s="1872">
        <v>17</v>
      </c>
      <c r="D578" s="1931">
        <v>0.33</v>
      </c>
      <c r="E578" s="1915">
        <v>0.75</v>
      </c>
      <c r="F578" s="1930"/>
      <c r="G578" s="1893">
        <v>16</v>
      </c>
      <c r="H578" s="1872">
        <v>17</v>
      </c>
      <c r="I578" s="1931">
        <v>0.33</v>
      </c>
      <c r="J578" s="1915">
        <v>0.51</v>
      </c>
      <c r="K578" s="1930"/>
      <c r="L578" s="1893">
        <v>16</v>
      </c>
      <c r="M578" s="1872">
        <v>17</v>
      </c>
      <c r="N578" s="1931">
        <v>0.24</v>
      </c>
      <c r="O578" s="1915">
        <v>0.36</v>
      </c>
      <c r="P578" s="1930"/>
      <c r="Q578" s="1893"/>
      <c r="R578" s="1872"/>
      <c r="S578" s="1931"/>
      <c r="T578" s="1915"/>
      <c r="U578" s="1930"/>
      <c r="V578" s="1893">
        <v>16</v>
      </c>
      <c r="W578" s="1872">
        <v>17</v>
      </c>
      <c r="X578" s="1931">
        <v>0.43</v>
      </c>
      <c r="Y578" s="1915">
        <v>0.63</v>
      </c>
      <c r="Z578" s="1930"/>
      <c r="AA578" s="1893">
        <v>16</v>
      </c>
      <c r="AB578" s="1872">
        <v>17</v>
      </c>
      <c r="AC578" s="1931">
        <v>0.95</v>
      </c>
      <c r="AD578" s="1915">
        <v>1.73</v>
      </c>
      <c r="AF578" s="1893">
        <v>16</v>
      </c>
      <c r="AG578" s="1872">
        <v>17</v>
      </c>
      <c r="AH578" s="1931"/>
      <c r="AI578" s="1915"/>
      <c r="AK578" s="1955">
        <f t="shared" si="85"/>
        <v>0.24</v>
      </c>
      <c r="AL578" s="1926">
        <f t="shared" si="86"/>
        <v>0.43</v>
      </c>
      <c r="AM578" s="1926">
        <f t="shared" si="84"/>
        <v>0.95</v>
      </c>
      <c r="AN578" s="1956">
        <f t="shared" si="87"/>
        <v>0</v>
      </c>
      <c r="AO578" s="1902"/>
      <c r="AP578" s="1873"/>
      <c r="AQ578" s="1936"/>
      <c r="AR578" s="1937"/>
    </row>
    <row r="579" spans="1:44">
      <c r="A579" s="1930"/>
      <c r="B579" s="1894">
        <v>17</v>
      </c>
      <c r="C579" s="1895">
        <v>18</v>
      </c>
      <c r="D579" s="1932">
        <v>0.28999999999999998</v>
      </c>
      <c r="E579" s="1916">
        <v>0.91</v>
      </c>
      <c r="F579" s="1930"/>
      <c r="G579" s="1894">
        <v>17</v>
      </c>
      <c r="H579" s="1895">
        <v>18</v>
      </c>
      <c r="I579" s="1932">
        <v>0.34</v>
      </c>
      <c r="J579" s="1916">
        <v>0.82</v>
      </c>
      <c r="K579" s="1930"/>
      <c r="L579" s="1894">
        <v>17</v>
      </c>
      <c r="M579" s="1895">
        <v>18</v>
      </c>
      <c r="N579" s="1932">
        <v>0.24</v>
      </c>
      <c r="O579" s="1916">
        <v>0.4</v>
      </c>
      <c r="P579" s="1930"/>
      <c r="Q579" s="1894"/>
      <c r="R579" s="1895"/>
      <c r="S579" s="1932"/>
      <c r="T579" s="1916"/>
      <c r="U579" s="1930"/>
      <c r="V579" s="1894">
        <v>17</v>
      </c>
      <c r="W579" s="1895">
        <v>18</v>
      </c>
      <c r="X579" s="1932">
        <v>0.48</v>
      </c>
      <c r="Y579" s="1916">
        <v>0.74</v>
      </c>
      <c r="Z579" s="1930"/>
      <c r="AA579" s="1894">
        <v>17</v>
      </c>
      <c r="AB579" s="1895">
        <v>18</v>
      </c>
      <c r="AC579" s="1932">
        <v>0.94</v>
      </c>
      <c r="AD579" s="1916">
        <v>1.87</v>
      </c>
      <c r="AF579" s="1894">
        <v>17</v>
      </c>
      <c r="AG579" s="1895">
        <v>18</v>
      </c>
      <c r="AH579" s="1932"/>
      <c r="AI579" s="1916"/>
      <c r="AK579" s="1957">
        <f t="shared" si="85"/>
        <v>0.24</v>
      </c>
      <c r="AL579" s="1958">
        <f t="shared" si="86"/>
        <v>0.48</v>
      </c>
      <c r="AM579" s="1958">
        <f t="shared" si="84"/>
        <v>0.94</v>
      </c>
      <c r="AN579" s="1959">
        <f t="shared" si="87"/>
        <v>0</v>
      </c>
      <c r="AO579" s="2766"/>
      <c r="AP579" s="2766"/>
      <c r="AQ579" s="1926"/>
      <c r="AR579" s="1913"/>
    </row>
    <row r="580" spans="1:44">
      <c r="A580" s="1934"/>
      <c r="B580" s="1910">
        <v>18</v>
      </c>
      <c r="C580" s="1889">
        <v>19</v>
      </c>
      <c r="D580" s="1933">
        <v>0.28999999999999998</v>
      </c>
      <c r="E580" s="1911">
        <v>0.54</v>
      </c>
      <c r="F580" s="1934"/>
      <c r="G580" s="1910">
        <v>18</v>
      </c>
      <c r="H580" s="1889">
        <v>19</v>
      </c>
      <c r="I580" s="1933">
        <v>0.26</v>
      </c>
      <c r="J580" s="1911">
        <v>0.62</v>
      </c>
      <c r="K580" s="1934"/>
      <c r="L580" s="1910">
        <v>18</v>
      </c>
      <c r="M580" s="1889">
        <v>19</v>
      </c>
      <c r="N580" s="1933">
        <v>0.36</v>
      </c>
      <c r="O580" s="1911">
        <v>0.63</v>
      </c>
      <c r="P580" s="1934"/>
      <c r="Q580" s="1910"/>
      <c r="R580" s="1889"/>
      <c r="S580" s="1933"/>
      <c r="T580" s="1911"/>
      <c r="U580" s="1934"/>
      <c r="V580" s="1910">
        <v>18</v>
      </c>
      <c r="W580" s="1889">
        <v>19</v>
      </c>
      <c r="X580" s="1933">
        <v>0.48</v>
      </c>
      <c r="Y580" s="1911">
        <v>0.79</v>
      </c>
      <c r="Z580" s="1934"/>
      <c r="AA580" s="1910">
        <v>18</v>
      </c>
      <c r="AB580" s="1889">
        <v>19</v>
      </c>
      <c r="AC580" s="1933">
        <v>0.49</v>
      </c>
      <c r="AD580" s="1911">
        <v>1.03</v>
      </c>
      <c r="AF580" s="1910">
        <v>18</v>
      </c>
      <c r="AG580" s="1889">
        <v>19</v>
      </c>
      <c r="AH580" s="1933"/>
      <c r="AI580" s="1911"/>
      <c r="AK580" s="1952">
        <f t="shared" si="85"/>
        <v>0.36</v>
      </c>
      <c r="AL580" s="1953">
        <f t="shared" si="86"/>
        <v>0.48</v>
      </c>
      <c r="AM580" s="1953">
        <f t="shared" si="84"/>
        <v>0.49</v>
      </c>
      <c r="AN580" s="1954">
        <f t="shared" si="87"/>
        <v>0</v>
      </c>
      <c r="AO580" s="1883"/>
      <c r="AP580" s="1871"/>
      <c r="AQ580" s="1926"/>
      <c r="AR580" s="1913"/>
    </row>
    <row r="581" spans="1:44">
      <c r="A581" s="1934"/>
      <c r="B581" s="1902">
        <v>19</v>
      </c>
      <c r="C581" s="1873">
        <v>20</v>
      </c>
      <c r="D581" s="1935">
        <v>0.98</v>
      </c>
      <c r="E581" s="1912">
        <v>3.15</v>
      </c>
      <c r="F581" s="1934"/>
      <c r="G581" s="1902">
        <v>19</v>
      </c>
      <c r="H581" s="1873">
        <v>20</v>
      </c>
      <c r="I581" s="1935">
        <v>0.38</v>
      </c>
      <c r="J581" s="1912">
        <v>0.92</v>
      </c>
      <c r="K581" s="1934"/>
      <c r="L581" s="1902">
        <v>19</v>
      </c>
      <c r="M581" s="1873">
        <v>20</v>
      </c>
      <c r="N581" s="1935">
        <v>0.42</v>
      </c>
      <c r="O581" s="1912">
        <v>0.76</v>
      </c>
      <c r="P581" s="1934"/>
      <c r="Q581" s="1902"/>
      <c r="R581" s="1873"/>
      <c r="S581" s="1935"/>
      <c r="T581" s="1912"/>
      <c r="U581" s="1934"/>
      <c r="V581" s="1902">
        <v>19</v>
      </c>
      <c r="W581" s="1873">
        <v>20</v>
      </c>
      <c r="X581" s="1935">
        <v>0.37</v>
      </c>
      <c r="Y581" s="1912">
        <v>0.67</v>
      </c>
      <c r="Z581" s="1934"/>
      <c r="AA581" s="1902">
        <v>19</v>
      </c>
      <c r="AB581" s="1873">
        <v>20</v>
      </c>
      <c r="AC581" s="1935">
        <v>0.41</v>
      </c>
      <c r="AD581" s="1912">
        <v>0.94</v>
      </c>
      <c r="AF581" s="1902">
        <v>19</v>
      </c>
      <c r="AG581" s="1873">
        <v>20</v>
      </c>
      <c r="AH581" s="1935"/>
      <c r="AI581" s="1912"/>
      <c r="AK581" s="1955">
        <f t="shared" si="85"/>
        <v>0.42</v>
      </c>
      <c r="AL581" s="1926">
        <f t="shared" si="86"/>
        <v>0.37</v>
      </c>
      <c r="AM581" s="1926">
        <f t="shared" si="84"/>
        <v>0.41</v>
      </c>
      <c r="AN581" s="1956">
        <f t="shared" si="87"/>
        <v>0</v>
      </c>
      <c r="AO581" s="1883"/>
      <c r="AP581" s="1871"/>
      <c r="AQ581" s="1926"/>
      <c r="AR581" s="1913"/>
    </row>
    <row r="582" spans="1:44">
      <c r="A582" s="1934"/>
      <c r="B582" s="1902">
        <v>20</v>
      </c>
      <c r="C582" s="1873">
        <v>21</v>
      </c>
      <c r="D582" s="1935">
        <v>0.69</v>
      </c>
      <c r="E582" s="1912">
        <v>1.61</v>
      </c>
      <c r="F582" s="1934"/>
      <c r="G582" s="1902">
        <v>20</v>
      </c>
      <c r="H582" s="1873">
        <v>21</v>
      </c>
      <c r="I582" s="1935">
        <v>0.34</v>
      </c>
      <c r="J582" s="1912">
        <v>0.56000000000000005</v>
      </c>
      <c r="K582" s="1934"/>
      <c r="L582" s="1902">
        <v>20</v>
      </c>
      <c r="M582" s="1873">
        <v>21</v>
      </c>
      <c r="N582" s="1935">
        <v>0.34</v>
      </c>
      <c r="O582" s="1912">
        <v>0.63</v>
      </c>
      <c r="P582" s="1934"/>
      <c r="Q582" s="1902"/>
      <c r="R582" s="1873"/>
      <c r="S582" s="1935"/>
      <c r="T582" s="1912"/>
      <c r="U582" s="1934"/>
      <c r="V582" s="1902">
        <v>20</v>
      </c>
      <c r="W582" s="1873">
        <v>21</v>
      </c>
      <c r="X582" s="1935">
        <v>0.38</v>
      </c>
      <c r="Y582" s="1912">
        <v>0.73</v>
      </c>
      <c r="Z582" s="1934"/>
      <c r="AA582" s="1902">
        <v>20</v>
      </c>
      <c r="AB582" s="1873">
        <v>21</v>
      </c>
      <c r="AC582" s="1935">
        <v>0.5</v>
      </c>
      <c r="AD582" s="1912">
        <v>1.1299999999999999</v>
      </c>
      <c r="AF582" s="1902">
        <v>20</v>
      </c>
      <c r="AG582" s="1873">
        <v>21</v>
      </c>
      <c r="AH582" s="1935"/>
      <c r="AI582" s="1912"/>
      <c r="AK582" s="1955">
        <f t="shared" si="85"/>
        <v>0.34</v>
      </c>
      <c r="AL582" s="1926">
        <f t="shared" si="86"/>
        <v>0.38</v>
      </c>
      <c r="AM582" s="1926">
        <f t="shared" si="84"/>
        <v>0.5</v>
      </c>
      <c r="AN582" s="1956">
        <f t="shared" si="87"/>
        <v>0</v>
      </c>
      <c r="AO582" s="1883"/>
      <c r="AP582" s="1871"/>
      <c r="AQ582" s="1926"/>
      <c r="AR582" s="1913"/>
    </row>
    <row r="583" spans="1:44">
      <c r="A583" s="1934"/>
      <c r="B583" s="1902">
        <v>21</v>
      </c>
      <c r="C583" s="1873">
        <v>22</v>
      </c>
      <c r="D583" s="1935">
        <v>0.36</v>
      </c>
      <c r="E583" s="1912">
        <v>0.81</v>
      </c>
      <c r="F583" s="1934"/>
      <c r="G583" s="1902">
        <v>21</v>
      </c>
      <c r="H583" s="1873">
        <v>22</v>
      </c>
      <c r="I583" s="1935">
        <v>0.28999999999999998</v>
      </c>
      <c r="J583" s="1912">
        <v>0.48</v>
      </c>
      <c r="K583" s="1934"/>
      <c r="L583" s="1902">
        <v>21</v>
      </c>
      <c r="M583" s="1873">
        <v>22</v>
      </c>
      <c r="N583" s="1935">
        <v>0.3</v>
      </c>
      <c r="O583" s="1912">
        <v>0.54</v>
      </c>
      <c r="P583" s="1934"/>
      <c r="Q583" s="1902"/>
      <c r="R583" s="1873"/>
      <c r="S583" s="1935"/>
      <c r="T583" s="1912"/>
      <c r="U583" s="1934"/>
      <c r="V583" s="1902">
        <v>21</v>
      </c>
      <c r="W583" s="1873">
        <v>22</v>
      </c>
      <c r="X583" s="1935">
        <v>0.4</v>
      </c>
      <c r="Y583" s="1912">
        <v>0.75</v>
      </c>
      <c r="Z583" s="1934"/>
      <c r="AA583" s="1902">
        <v>21</v>
      </c>
      <c r="AB583" s="1873">
        <v>22</v>
      </c>
      <c r="AC583" s="1935">
        <v>0.41</v>
      </c>
      <c r="AD583" s="1912">
        <v>0.9</v>
      </c>
      <c r="AF583" s="1902">
        <v>21</v>
      </c>
      <c r="AG583" s="1873">
        <v>22</v>
      </c>
      <c r="AH583" s="1935"/>
      <c r="AI583" s="1912"/>
      <c r="AK583" s="1955">
        <f t="shared" si="85"/>
        <v>0.3</v>
      </c>
      <c r="AL583" s="1926">
        <f t="shared" si="86"/>
        <v>0.4</v>
      </c>
      <c r="AM583" s="1926">
        <f t="shared" si="84"/>
        <v>0.41</v>
      </c>
      <c r="AN583" s="1956">
        <f t="shared" si="87"/>
        <v>0</v>
      </c>
      <c r="AO583" s="1883"/>
      <c r="AP583" s="1871"/>
      <c r="AQ583" s="1926"/>
      <c r="AR583" s="1913"/>
    </row>
    <row r="584" spans="1:44">
      <c r="A584" s="1934"/>
      <c r="B584" s="1902">
        <v>22</v>
      </c>
      <c r="C584" s="1873">
        <v>23</v>
      </c>
      <c r="D584" s="1935">
        <v>0.19</v>
      </c>
      <c r="E584" s="1912">
        <v>0.41</v>
      </c>
      <c r="F584" s="1934"/>
      <c r="G584" s="1902">
        <v>22</v>
      </c>
      <c r="H584" s="1873">
        <v>23</v>
      </c>
      <c r="I584" s="1935">
        <v>0.27</v>
      </c>
      <c r="J584" s="1912">
        <v>0.45</v>
      </c>
      <c r="K584" s="1934"/>
      <c r="L584" s="1902">
        <v>22</v>
      </c>
      <c r="M584" s="1873">
        <v>23</v>
      </c>
      <c r="N584" s="1935">
        <v>0.21</v>
      </c>
      <c r="O584" s="1912">
        <v>0.37</v>
      </c>
      <c r="P584" s="1934"/>
      <c r="Q584" s="1902"/>
      <c r="R584" s="1873"/>
      <c r="S584" s="1935"/>
      <c r="T584" s="1912"/>
      <c r="U584" s="1934"/>
      <c r="V584" s="1902">
        <v>22</v>
      </c>
      <c r="W584" s="1873">
        <v>23</v>
      </c>
      <c r="X584" s="1935">
        <v>0.36</v>
      </c>
      <c r="Y584" s="1912">
        <v>0.64</v>
      </c>
      <c r="Z584" s="1934"/>
      <c r="AA584" s="1902">
        <v>22</v>
      </c>
      <c r="AB584" s="1873">
        <v>23</v>
      </c>
      <c r="AC584" s="1935">
        <v>0.38</v>
      </c>
      <c r="AD584" s="1912">
        <v>0.79</v>
      </c>
      <c r="AF584" s="1902">
        <v>22</v>
      </c>
      <c r="AG584" s="1873">
        <v>23</v>
      </c>
      <c r="AH584" s="1935"/>
      <c r="AI584" s="1912"/>
      <c r="AK584" s="1955">
        <f t="shared" si="85"/>
        <v>0.21</v>
      </c>
      <c r="AL584" s="1926">
        <f t="shared" si="86"/>
        <v>0.36</v>
      </c>
      <c r="AM584" s="1926">
        <f t="shared" si="84"/>
        <v>0.38</v>
      </c>
      <c r="AN584" s="1956">
        <f t="shared" si="87"/>
        <v>0</v>
      </c>
      <c r="AO584" s="1883"/>
      <c r="AP584" s="1871"/>
      <c r="AQ584" s="1926"/>
      <c r="AR584" s="1913"/>
    </row>
    <row r="585" spans="1:44" ht="15" thickBot="1">
      <c r="A585" s="1934"/>
      <c r="B585" s="1902">
        <v>23</v>
      </c>
      <c r="C585" s="1873">
        <v>24</v>
      </c>
      <c r="D585" s="1935">
        <v>0.23</v>
      </c>
      <c r="E585" s="1912">
        <v>0.48</v>
      </c>
      <c r="F585" s="1934"/>
      <c r="G585" s="1902">
        <v>23</v>
      </c>
      <c r="H585" s="1873">
        <v>24</v>
      </c>
      <c r="I585" s="1935">
        <v>0.26</v>
      </c>
      <c r="J585" s="1912">
        <v>0.42</v>
      </c>
      <c r="K585" s="1934"/>
      <c r="L585" s="1902">
        <v>23</v>
      </c>
      <c r="M585" s="1873">
        <v>24</v>
      </c>
      <c r="N585" s="1935">
        <v>0.19</v>
      </c>
      <c r="O585" s="1912">
        <v>0.33</v>
      </c>
      <c r="P585" s="1934"/>
      <c r="Q585" s="1902"/>
      <c r="R585" s="1873"/>
      <c r="S585" s="1935"/>
      <c r="T585" s="1912"/>
      <c r="U585" s="1934"/>
      <c r="V585" s="1902">
        <v>23</v>
      </c>
      <c r="W585" s="1873">
        <v>24</v>
      </c>
      <c r="X585" s="1935">
        <v>0.23</v>
      </c>
      <c r="Y585" s="1912">
        <v>0.37</v>
      </c>
      <c r="Z585" s="1934"/>
      <c r="AA585" s="1902">
        <v>23</v>
      </c>
      <c r="AB585" s="1873">
        <v>24</v>
      </c>
      <c r="AC585" s="1935">
        <v>0.21</v>
      </c>
      <c r="AD585" s="1912" t="s">
        <v>1379</v>
      </c>
      <c r="AF585" s="1902">
        <v>23</v>
      </c>
      <c r="AG585" s="1873">
        <v>24</v>
      </c>
      <c r="AH585" s="1935"/>
      <c r="AI585" s="1912"/>
      <c r="AK585" s="1957">
        <f t="shared" si="85"/>
        <v>0.19</v>
      </c>
      <c r="AL585" s="1958">
        <f t="shared" si="86"/>
        <v>0.23</v>
      </c>
      <c r="AM585" s="1958">
        <f t="shared" si="84"/>
        <v>0.21</v>
      </c>
      <c r="AN585" s="1959">
        <f t="shared" si="87"/>
        <v>0</v>
      </c>
      <c r="AO585" s="1883"/>
      <c r="AP585" s="1871"/>
      <c r="AQ585" s="1926"/>
      <c r="AR585" s="1913"/>
    </row>
    <row r="586" spans="1:44">
      <c r="B586" s="2766">
        <v>44980</v>
      </c>
      <c r="C586" s="2766"/>
      <c r="D586" s="1922">
        <f>SUM(D587:D610)</f>
        <v>7.59</v>
      </c>
      <c r="E586" s="1923">
        <f>SUM(E587:E610)</f>
        <v>16.2</v>
      </c>
      <c r="G586" s="2773">
        <v>45008</v>
      </c>
      <c r="H586" s="2773"/>
      <c r="I586" s="1922">
        <f>SUM(I587:I610)</f>
        <v>8.4700000000000006</v>
      </c>
      <c r="J586" s="1923">
        <f>SUM(J587:J610)</f>
        <v>13.32</v>
      </c>
      <c r="L586" s="2773">
        <v>45039</v>
      </c>
      <c r="M586" s="2773"/>
      <c r="N586" s="1936">
        <f>SUM(N587:N610)</f>
        <v>6.9300000000000006</v>
      </c>
      <c r="O586" s="1937">
        <f>SUM(O587:O610)</f>
        <v>11.330000000000002</v>
      </c>
      <c r="Q586" s="2766">
        <v>45069</v>
      </c>
      <c r="R586" s="2766"/>
      <c r="S586" s="1936"/>
      <c r="T586" s="1937"/>
      <c r="V586" s="2766">
        <v>45069</v>
      </c>
      <c r="W586" s="2766"/>
      <c r="X586" s="1936">
        <f>SUM(X587:X610)</f>
        <v>9.0699999999999985</v>
      </c>
      <c r="Y586" s="1937">
        <f>SUM(Y587:Y610)</f>
        <v>12.28</v>
      </c>
      <c r="AA586" s="2766">
        <v>45100</v>
      </c>
      <c r="AB586" s="2766"/>
      <c r="AC586" s="1936">
        <f>SUM(AC587:AC610)</f>
        <v>9.7000000000000011</v>
      </c>
      <c r="AD586" s="1937">
        <f>SUM(AD587:AD610)</f>
        <v>17.260000000000002</v>
      </c>
      <c r="AF586" s="2766">
        <v>45130</v>
      </c>
      <c r="AG586" s="2766"/>
      <c r="AH586" s="1936">
        <f>SUM(AH587:AH610)</f>
        <v>0</v>
      </c>
      <c r="AI586" s="1937">
        <f>SUM(AI587:AI610)</f>
        <v>0</v>
      </c>
      <c r="AK586" s="1972">
        <v>23</v>
      </c>
      <c r="AL586" s="1972">
        <v>23</v>
      </c>
      <c r="AM586" s="2079">
        <v>23</v>
      </c>
      <c r="AN586" s="1972"/>
      <c r="AO586" s="1883"/>
      <c r="AP586" s="1871"/>
      <c r="AQ586" s="1928"/>
      <c r="AR586" s="1917"/>
    </row>
    <row r="587" spans="1:44">
      <c r="A587" s="1927"/>
      <c r="B587" s="1883">
        <v>0</v>
      </c>
      <c r="C587" s="1871">
        <v>1</v>
      </c>
      <c r="D587" s="1926">
        <v>0.2</v>
      </c>
      <c r="E587" s="1913">
        <v>0.42</v>
      </c>
      <c r="F587" s="1927"/>
      <c r="G587" s="1883">
        <v>0</v>
      </c>
      <c r="H587" s="1871">
        <v>1</v>
      </c>
      <c r="I587" s="1926">
        <v>0.21</v>
      </c>
      <c r="J587" s="1913">
        <v>0.31</v>
      </c>
      <c r="K587" s="1927"/>
      <c r="L587" s="1883">
        <v>0</v>
      </c>
      <c r="M587" s="1871">
        <v>1</v>
      </c>
      <c r="N587" s="1926">
        <v>0.21</v>
      </c>
      <c r="O587" s="1913">
        <v>0.38</v>
      </c>
      <c r="P587" s="1927"/>
      <c r="Q587" s="1883"/>
      <c r="R587" s="1871"/>
      <c r="S587" s="1926"/>
      <c r="T587" s="1913"/>
      <c r="U587" s="1927"/>
      <c r="V587" s="1883">
        <v>0</v>
      </c>
      <c r="W587" s="1871">
        <v>1</v>
      </c>
      <c r="X587" s="1926">
        <v>0.24</v>
      </c>
      <c r="Y587" s="1913">
        <v>0.35</v>
      </c>
      <c r="Z587" s="1927"/>
      <c r="AA587" s="1883">
        <v>0</v>
      </c>
      <c r="AB587" s="1871">
        <v>1</v>
      </c>
      <c r="AC587" s="1926">
        <v>0.23</v>
      </c>
      <c r="AD587" s="1913">
        <v>0.41</v>
      </c>
      <c r="AF587" s="1883">
        <v>0</v>
      </c>
      <c r="AG587" s="1871">
        <v>1</v>
      </c>
      <c r="AH587" s="1926"/>
      <c r="AI587" s="1913"/>
      <c r="AK587" s="1952">
        <f>N587</f>
        <v>0.21</v>
      </c>
      <c r="AL587" s="1953">
        <f>X587</f>
        <v>0.24</v>
      </c>
      <c r="AM587" s="1953">
        <f t="shared" ref="AM587:AM610" si="88">AC587</f>
        <v>0.23</v>
      </c>
      <c r="AN587" s="1954">
        <f>AH587</f>
        <v>0</v>
      </c>
      <c r="AO587" s="1908"/>
      <c r="AP587" s="1909"/>
      <c r="AQ587" s="1929"/>
      <c r="AR587" s="1914"/>
    </row>
    <row r="588" spans="1:44">
      <c r="A588" s="1927"/>
      <c r="B588" s="1883">
        <v>1</v>
      </c>
      <c r="C588" s="1871">
        <v>2</v>
      </c>
      <c r="D588" s="1926">
        <v>0.12</v>
      </c>
      <c r="E588" s="1913">
        <v>0.25</v>
      </c>
      <c r="F588" s="1927"/>
      <c r="G588" s="1883">
        <v>1</v>
      </c>
      <c r="H588" s="1871">
        <v>2</v>
      </c>
      <c r="I588" s="1926">
        <v>0.24</v>
      </c>
      <c r="J588" s="1913">
        <v>0.34</v>
      </c>
      <c r="K588" s="1927"/>
      <c r="L588" s="1883">
        <v>1</v>
      </c>
      <c r="M588" s="1871">
        <v>2</v>
      </c>
      <c r="N588" s="1926">
        <v>0.2</v>
      </c>
      <c r="O588" s="1913">
        <v>0.35</v>
      </c>
      <c r="P588" s="1927"/>
      <c r="Q588" s="1883"/>
      <c r="R588" s="1871"/>
      <c r="S588" s="1926"/>
      <c r="T588" s="1913"/>
      <c r="U588" s="1927"/>
      <c r="V588" s="1883">
        <v>1</v>
      </c>
      <c r="W588" s="1871">
        <v>2</v>
      </c>
      <c r="X588" s="1926">
        <v>0.27</v>
      </c>
      <c r="Y588" s="1913">
        <v>0.39</v>
      </c>
      <c r="Z588" s="1927"/>
      <c r="AA588" s="1883">
        <v>1</v>
      </c>
      <c r="AB588" s="1871">
        <v>2</v>
      </c>
      <c r="AC588" s="1926">
        <v>0.18</v>
      </c>
      <c r="AD588" s="1913">
        <v>0.31</v>
      </c>
      <c r="AF588" s="1883">
        <v>1</v>
      </c>
      <c r="AG588" s="1871">
        <v>2</v>
      </c>
      <c r="AH588" s="1926"/>
      <c r="AI588" s="1913"/>
      <c r="AK588" s="1955">
        <f t="shared" ref="AK588:AK610" si="89">N588</f>
        <v>0.2</v>
      </c>
      <c r="AL588" s="1926">
        <f t="shared" ref="AL588:AL610" si="90">X588</f>
        <v>0.27</v>
      </c>
      <c r="AM588" s="1926">
        <f t="shared" si="88"/>
        <v>0.18</v>
      </c>
      <c r="AN588" s="1956">
        <f t="shared" ref="AN588:AN610" si="91">AH588</f>
        <v>0</v>
      </c>
      <c r="AO588" s="1890"/>
      <c r="AP588" s="1891"/>
      <c r="AQ588" s="1931"/>
      <c r="AR588" s="1915"/>
    </row>
    <row r="589" spans="1:44">
      <c r="A589" s="1927"/>
      <c r="B589" s="1883">
        <v>2</v>
      </c>
      <c r="C589" s="1871">
        <v>3</v>
      </c>
      <c r="D589" s="1926">
        <v>0.08</v>
      </c>
      <c r="E589" s="1913">
        <v>0.16</v>
      </c>
      <c r="F589" s="1927"/>
      <c r="G589" s="1883">
        <v>2</v>
      </c>
      <c r="H589" s="1871">
        <v>3</v>
      </c>
      <c r="I589" s="1926">
        <v>0.12</v>
      </c>
      <c r="J589" s="1913">
        <v>0.16</v>
      </c>
      <c r="K589" s="1927"/>
      <c r="L589" s="1883">
        <v>2</v>
      </c>
      <c r="M589" s="1871">
        <v>3</v>
      </c>
      <c r="N589" s="1926">
        <v>0.2</v>
      </c>
      <c r="O589" s="1913">
        <v>0.34</v>
      </c>
      <c r="P589" s="1927"/>
      <c r="Q589" s="1883"/>
      <c r="R589" s="1871"/>
      <c r="S589" s="1926"/>
      <c r="T589" s="1913"/>
      <c r="U589" s="1927"/>
      <c r="V589" s="1883">
        <v>2</v>
      </c>
      <c r="W589" s="1871">
        <v>3</v>
      </c>
      <c r="X589" s="1926">
        <v>0.24</v>
      </c>
      <c r="Y589" s="1913">
        <v>0.34</v>
      </c>
      <c r="Z589" s="1927"/>
      <c r="AA589" s="1883">
        <v>2</v>
      </c>
      <c r="AB589" s="1871">
        <v>3</v>
      </c>
      <c r="AC589" s="1926">
        <v>0.22</v>
      </c>
      <c r="AD589" s="1913">
        <v>0.37</v>
      </c>
      <c r="AF589" s="1883">
        <v>2</v>
      </c>
      <c r="AG589" s="1871">
        <v>3</v>
      </c>
      <c r="AH589" s="1926"/>
      <c r="AI589" s="1913"/>
      <c r="AK589" s="1955">
        <f t="shared" si="89"/>
        <v>0.2</v>
      </c>
      <c r="AL589" s="1926">
        <f t="shared" si="90"/>
        <v>0.24</v>
      </c>
      <c r="AM589" s="1926">
        <f t="shared" si="88"/>
        <v>0.22</v>
      </c>
      <c r="AN589" s="1956">
        <f t="shared" si="91"/>
        <v>0</v>
      </c>
      <c r="AO589" s="1893"/>
      <c r="AP589" s="1872"/>
      <c r="AQ589" s="1931"/>
      <c r="AR589" s="1915"/>
    </row>
    <row r="590" spans="1:44">
      <c r="A590" s="1927"/>
      <c r="B590" s="1883">
        <v>3</v>
      </c>
      <c r="C590" s="1871">
        <v>4</v>
      </c>
      <c r="D590" s="1926">
        <v>0.12</v>
      </c>
      <c r="E590" s="1913">
        <v>0.24</v>
      </c>
      <c r="F590" s="1927"/>
      <c r="G590" s="1883">
        <v>3</v>
      </c>
      <c r="H590" s="1871">
        <v>4</v>
      </c>
      <c r="I590" s="1926">
        <v>0.1</v>
      </c>
      <c r="J590" s="1913">
        <v>0.13</v>
      </c>
      <c r="K590" s="1927"/>
      <c r="L590" s="1883">
        <v>3</v>
      </c>
      <c r="M590" s="1871">
        <v>4</v>
      </c>
      <c r="N590" s="1926">
        <v>0.16</v>
      </c>
      <c r="O590" s="1913">
        <v>0.26</v>
      </c>
      <c r="P590" s="1927"/>
      <c r="Q590" s="1883"/>
      <c r="R590" s="1871"/>
      <c r="S590" s="1926"/>
      <c r="T590" s="1913"/>
      <c r="U590" s="1927"/>
      <c r="V590" s="1883">
        <v>3</v>
      </c>
      <c r="W590" s="1871">
        <v>4</v>
      </c>
      <c r="X590" s="1926">
        <v>0.25</v>
      </c>
      <c r="Y590" s="1913">
        <v>0.35</v>
      </c>
      <c r="Z590" s="1927"/>
      <c r="AA590" s="1883">
        <v>3</v>
      </c>
      <c r="AB590" s="1871">
        <v>4</v>
      </c>
      <c r="AC590" s="1926">
        <v>0.2</v>
      </c>
      <c r="AD590" s="1913">
        <v>0.33</v>
      </c>
      <c r="AF590" s="1883">
        <v>3</v>
      </c>
      <c r="AG590" s="1871">
        <v>4</v>
      </c>
      <c r="AH590" s="1926"/>
      <c r="AI590" s="1913"/>
      <c r="AK590" s="1955">
        <f t="shared" si="89"/>
        <v>0.16</v>
      </c>
      <c r="AL590" s="1926">
        <f t="shared" si="90"/>
        <v>0.25</v>
      </c>
      <c r="AM590" s="1926">
        <f t="shared" si="88"/>
        <v>0.2</v>
      </c>
      <c r="AN590" s="1956">
        <f t="shared" si="91"/>
        <v>0</v>
      </c>
      <c r="AO590" s="1893"/>
      <c r="AP590" s="1872"/>
      <c r="AQ590" s="1931"/>
      <c r="AR590" s="1915"/>
    </row>
    <row r="591" spans="1:44">
      <c r="A591" s="1927"/>
      <c r="B591" s="1883">
        <v>4</v>
      </c>
      <c r="C591" s="1871">
        <v>5</v>
      </c>
      <c r="D591" s="1926">
        <v>0.31</v>
      </c>
      <c r="E591" s="1913">
        <v>0.62</v>
      </c>
      <c r="F591" s="1927"/>
      <c r="G591" s="1883">
        <v>4</v>
      </c>
      <c r="H591" s="1871">
        <v>5</v>
      </c>
      <c r="I591" s="1926">
        <v>0.11</v>
      </c>
      <c r="J591" s="1913">
        <v>0.12</v>
      </c>
      <c r="K591" s="1927"/>
      <c r="L591" s="1883">
        <v>4</v>
      </c>
      <c r="M591" s="1871">
        <v>5</v>
      </c>
      <c r="N591" s="1926">
        <v>0.19</v>
      </c>
      <c r="O591" s="1913">
        <v>0.31</v>
      </c>
      <c r="P591" s="1927"/>
      <c r="Q591" s="1883"/>
      <c r="R591" s="1871"/>
      <c r="S591" s="1926"/>
      <c r="T591" s="1913"/>
      <c r="U591" s="1927"/>
      <c r="V591" s="1883">
        <v>4</v>
      </c>
      <c r="W591" s="1871">
        <v>5</v>
      </c>
      <c r="X591" s="1926">
        <v>0.28999999999999998</v>
      </c>
      <c r="Y591" s="1913">
        <v>0.4</v>
      </c>
      <c r="Z591" s="1927"/>
      <c r="AA591" s="1883">
        <v>4</v>
      </c>
      <c r="AB591" s="1871">
        <v>5</v>
      </c>
      <c r="AC591" s="1926">
        <v>0.19</v>
      </c>
      <c r="AD591" s="1913">
        <v>0.32</v>
      </c>
      <c r="AF591" s="1883">
        <v>4</v>
      </c>
      <c r="AG591" s="1871">
        <v>5</v>
      </c>
      <c r="AH591" s="1926"/>
      <c r="AI591" s="1913"/>
      <c r="AK591" s="1955">
        <f t="shared" si="89"/>
        <v>0.19</v>
      </c>
      <c r="AL591" s="1926">
        <f t="shared" si="90"/>
        <v>0.28999999999999998</v>
      </c>
      <c r="AM591" s="1926">
        <f t="shared" si="88"/>
        <v>0.19</v>
      </c>
      <c r="AN591" s="1956">
        <f t="shared" si="91"/>
        <v>0</v>
      </c>
      <c r="AO591" s="1893"/>
      <c r="AP591" s="1872"/>
      <c r="AQ591" s="1931"/>
      <c r="AR591" s="1915"/>
    </row>
    <row r="592" spans="1:44">
      <c r="A592" s="1927"/>
      <c r="B592" s="1883">
        <v>5</v>
      </c>
      <c r="C592" s="1871">
        <v>6</v>
      </c>
      <c r="D592" s="1926">
        <v>0.33</v>
      </c>
      <c r="E592" s="1913">
        <v>0.67</v>
      </c>
      <c r="F592" s="1927"/>
      <c r="G592" s="1883">
        <v>5</v>
      </c>
      <c r="H592" s="1871">
        <v>6</v>
      </c>
      <c r="I592" s="1926">
        <v>0.14000000000000001</v>
      </c>
      <c r="J592" s="1913">
        <v>0.19</v>
      </c>
      <c r="K592" s="1927"/>
      <c r="L592" s="1883">
        <v>5</v>
      </c>
      <c r="M592" s="1871">
        <v>6</v>
      </c>
      <c r="N592" s="1926">
        <v>0.24</v>
      </c>
      <c r="O592" s="1913">
        <v>0.4</v>
      </c>
      <c r="P592" s="1927"/>
      <c r="Q592" s="1883"/>
      <c r="R592" s="1871"/>
      <c r="S592" s="1926"/>
      <c r="T592" s="1913"/>
      <c r="U592" s="1927"/>
      <c r="V592" s="1883">
        <v>5</v>
      </c>
      <c r="W592" s="1871">
        <v>6</v>
      </c>
      <c r="X592" s="1926">
        <v>0.2</v>
      </c>
      <c r="Y592" s="1913">
        <v>0.28000000000000003</v>
      </c>
      <c r="Z592" s="1927"/>
      <c r="AA592" s="1883">
        <v>5</v>
      </c>
      <c r="AB592" s="1871">
        <v>6</v>
      </c>
      <c r="AC592" s="1926">
        <v>0.18</v>
      </c>
      <c r="AD592" s="1913">
        <v>0.31</v>
      </c>
      <c r="AF592" s="1883">
        <v>5</v>
      </c>
      <c r="AG592" s="1871">
        <v>6</v>
      </c>
      <c r="AH592" s="1926"/>
      <c r="AI592" s="1913"/>
      <c r="AK592" s="1955">
        <f t="shared" si="89"/>
        <v>0.24</v>
      </c>
      <c r="AL592" s="1926">
        <f t="shared" si="90"/>
        <v>0.2</v>
      </c>
      <c r="AM592" s="1926">
        <f t="shared" si="88"/>
        <v>0.18</v>
      </c>
      <c r="AN592" s="1956">
        <f t="shared" si="91"/>
        <v>0</v>
      </c>
      <c r="AO592" s="1893"/>
      <c r="AP592" s="1872"/>
      <c r="AQ592" s="1931"/>
      <c r="AR592" s="1915"/>
    </row>
    <row r="593" spans="1:44">
      <c r="A593" s="1927"/>
      <c r="B593" s="1883">
        <v>6</v>
      </c>
      <c r="C593" s="1871">
        <v>7</v>
      </c>
      <c r="D593" s="1926">
        <v>0.38</v>
      </c>
      <c r="E593" s="1913">
        <v>0.86</v>
      </c>
      <c r="F593" s="1927"/>
      <c r="G593" s="1883">
        <v>6</v>
      </c>
      <c r="H593" s="1871">
        <v>7</v>
      </c>
      <c r="I593" s="1926">
        <v>0.32</v>
      </c>
      <c r="J593" s="1913">
        <v>0.5</v>
      </c>
      <c r="K593" s="1927"/>
      <c r="L593" s="1883">
        <v>6</v>
      </c>
      <c r="M593" s="1871">
        <v>7</v>
      </c>
      <c r="N593" s="1926">
        <v>0.25</v>
      </c>
      <c r="O593" s="1913">
        <v>0.41</v>
      </c>
      <c r="P593" s="1927"/>
      <c r="Q593" s="1883"/>
      <c r="R593" s="1871"/>
      <c r="S593" s="1926"/>
      <c r="T593" s="1913"/>
      <c r="U593" s="1927"/>
      <c r="V593" s="1883">
        <v>6</v>
      </c>
      <c r="W593" s="1871">
        <v>7</v>
      </c>
      <c r="X593" s="1926">
        <v>0.47</v>
      </c>
      <c r="Y593" s="1913">
        <v>0.81</v>
      </c>
      <c r="Z593" s="1927"/>
      <c r="AA593" s="1883">
        <v>6</v>
      </c>
      <c r="AB593" s="1871">
        <v>7</v>
      </c>
      <c r="AC593" s="1926">
        <v>0.39</v>
      </c>
      <c r="AD593" s="1913">
        <v>0.74</v>
      </c>
      <c r="AF593" s="1883">
        <v>6</v>
      </c>
      <c r="AG593" s="1871">
        <v>7</v>
      </c>
      <c r="AH593" s="1926"/>
      <c r="AI593" s="1913"/>
      <c r="AK593" s="1955">
        <f t="shared" si="89"/>
        <v>0.25</v>
      </c>
      <c r="AL593" s="1926">
        <f t="shared" si="90"/>
        <v>0.47</v>
      </c>
      <c r="AM593" s="1926">
        <f t="shared" si="88"/>
        <v>0.39</v>
      </c>
      <c r="AN593" s="1956">
        <f t="shared" si="91"/>
        <v>0</v>
      </c>
      <c r="AO593" s="1893"/>
      <c r="AP593" s="1872"/>
      <c r="AQ593" s="1931"/>
      <c r="AR593" s="1915"/>
    </row>
    <row r="594" spans="1:44">
      <c r="A594" s="1927"/>
      <c r="B594" s="1908">
        <v>7</v>
      </c>
      <c r="C594" s="1909">
        <v>8</v>
      </c>
      <c r="D594" s="1928">
        <v>0.2</v>
      </c>
      <c r="E594" s="1917">
        <v>0.48</v>
      </c>
      <c r="F594" s="1927"/>
      <c r="G594" s="1908">
        <v>7</v>
      </c>
      <c r="H594" s="1909">
        <v>8</v>
      </c>
      <c r="I594" s="1928">
        <v>0.34</v>
      </c>
      <c r="J594" s="1917">
        <v>0.56000000000000005</v>
      </c>
      <c r="K594" s="1927"/>
      <c r="L594" s="1908">
        <v>7</v>
      </c>
      <c r="M594" s="1909">
        <v>8</v>
      </c>
      <c r="N594" s="1928">
        <v>0.18</v>
      </c>
      <c r="O594" s="1917">
        <v>0.31</v>
      </c>
      <c r="P594" s="1927"/>
      <c r="Q594" s="1908"/>
      <c r="R594" s="1909"/>
      <c r="S594" s="1928"/>
      <c r="T594" s="1917"/>
      <c r="U594" s="1927"/>
      <c r="V594" s="1908">
        <v>7</v>
      </c>
      <c r="W594" s="1909">
        <v>8</v>
      </c>
      <c r="X594" s="1928">
        <v>0.52</v>
      </c>
      <c r="Y594" s="1917">
        <v>0.93</v>
      </c>
      <c r="Z594" s="1927"/>
      <c r="AA594" s="1908">
        <v>7</v>
      </c>
      <c r="AB594" s="1909">
        <v>8</v>
      </c>
      <c r="AC594" s="1928">
        <v>0.34</v>
      </c>
      <c r="AD594" s="1917">
        <v>0.69</v>
      </c>
      <c r="AF594" s="1908">
        <v>7</v>
      </c>
      <c r="AG594" s="1909">
        <v>8</v>
      </c>
      <c r="AH594" s="1928"/>
      <c r="AI594" s="1917"/>
      <c r="AK594" s="1957">
        <f t="shared" si="89"/>
        <v>0.18</v>
      </c>
      <c r="AL594" s="1958">
        <f t="shared" si="90"/>
        <v>0.52</v>
      </c>
      <c r="AM594" s="1958">
        <f t="shared" si="88"/>
        <v>0.34</v>
      </c>
      <c r="AN594" s="1959">
        <f t="shared" si="91"/>
        <v>0</v>
      </c>
      <c r="AO594" s="1893"/>
      <c r="AP594" s="1872"/>
      <c r="AQ594" s="1931"/>
      <c r="AR594" s="1915"/>
    </row>
    <row r="595" spans="1:44">
      <c r="A595" s="1930"/>
      <c r="B595" s="1890">
        <v>8</v>
      </c>
      <c r="C595" s="1891">
        <v>9</v>
      </c>
      <c r="D595" s="1929">
        <v>0.24</v>
      </c>
      <c r="E595" s="1914">
        <v>0.6</v>
      </c>
      <c r="F595" s="1930"/>
      <c r="G595" s="1890">
        <v>8</v>
      </c>
      <c r="H595" s="1891">
        <v>9</v>
      </c>
      <c r="I595" s="1929">
        <v>0.4</v>
      </c>
      <c r="J595" s="1914">
        <v>0.67</v>
      </c>
      <c r="K595" s="1930"/>
      <c r="L595" s="1890">
        <v>8</v>
      </c>
      <c r="M595" s="1891">
        <v>9</v>
      </c>
      <c r="N595" s="1929">
        <v>0.11</v>
      </c>
      <c r="O595" s="1914">
        <v>0.19</v>
      </c>
      <c r="P595" s="1930"/>
      <c r="Q595" s="1890"/>
      <c r="R595" s="1891"/>
      <c r="S595" s="1929"/>
      <c r="T595" s="1914"/>
      <c r="U595" s="1930"/>
      <c r="V595" s="1890">
        <v>8</v>
      </c>
      <c r="W595" s="1891">
        <v>9</v>
      </c>
      <c r="X595" s="1929">
        <v>0.31</v>
      </c>
      <c r="Y595" s="1914">
        <v>0.54</v>
      </c>
      <c r="Z595" s="1930"/>
      <c r="AA595" s="1890">
        <v>8</v>
      </c>
      <c r="AB595" s="1891">
        <v>9</v>
      </c>
      <c r="AC595" s="1929">
        <v>0.32</v>
      </c>
      <c r="AD595" s="1914">
        <v>0.65</v>
      </c>
      <c r="AF595" s="1890">
        <v>8</v>
      </c>
      <c r="AG595" s="1891">
        <v>9</v>
      </c>
      <c r="AH595" s="1929"/>
      <c r="AI595" s="1914"/>
      <c r="AK595" s="1952">
        <f t="shared" si="89"/>
        <v>0.11</v>
      </c>
      <c r="AL595" s="1953">
        <f t="shared" si="90"/>
        <v>0.31</v>
      </c>
      <c r="AM595" s="1953">
        <f t="shared" si="88"/>
        <v>0.32</v>
      </c>
      <c r="AN595" s="1954">
        <f t="shared" si="91"/>
        <v>0</v>
      </c>
      <c r="AO595" s="1893"/>
      <c r="AP595" s="1872"/>
      <c r="AQ595" s="1931"/>
      <c r="AR595" s="1915"/>
    </row>
    <row r="596" spans="1:44">
      <c r="A596" s="1930"/>
      <c r="B596" s="1893">
        <v>9</v>
      </c>
      <c r="C596" s="1872">
        <v>10</v>
      </c>
      <c r="D596" s="1931">
        <v>0.14000000000000001</v>
      </c>
      <c r="E596" s="1915">
        <v>0.33</v>
      </c>
      <c r="F596" s="1930"/>
      <c r="G596" s="1893">
        <v>9</v>
      </c>
      <c r="H596" s="1872">
        <v>10</v>
      </c>
      <c r="I596" s="1931">
        <v>0.16</v>
      </c>
      <c r="J596" s="1915">
        <v>0.24</v>
      </c>
      <c r="K596" s="1930"/>
      <c r="L596" s="1893">
        <v>9</v>
      </c>
      <c r="M596" s="1872">
        <v>10</v>
      </c>
      <c r="N596" s="1931">
        <v>0.26</v>
      </c>
      <c r="O596" s="1915">
        <v>0.43</v>
      </c>
      <c r="P596" s="1930"/>
      <c r="Q596" s="1893"/>
      <c r="R596" s="1872"/>
      <c r="S596" s="1931"/>
      <c r="T596" s="1915"/>
      <c r="U596" s="1930"/>
      <c r="V596" s="1893">
        <v>9</v>
      </c>
      <c r="W596" s="1872">
        <v>10</v>
      </c>
      <c r="X596" s="1931">
        <v>0.43</v>
      </c>
      <c r="Y596" s="1915">
        <v>0.69</v>
      </c>
      <c r="Z596" s="1930"/>
      <c r="AA596" s="1893">
        <v>9</v>
      </c>
      <c r="AB596" s="1872">
        <v>10</v>
      </c>
      <c r="AC596" s="1931">
        <v>0.36</v>
      </c>
      <c r="AD596" s="1915">
        <v>0.7</v>
      </c>
      <c r="AF596" s="1893">
        <v>9</v>
      </c>
      <c r="AG596" s="1872">
        <v>10</v>
      </c>
      <c r="AH596" s="1931"/>
      <c r="AI596" s="1915"/>
      <c r="AK596" s="1955">
        <f t="shared" si="89"/>
        <v>0.26</v>
      </c>
      <c r="AL596" s="1926">
        <f t="shared" si="90"/>
        <v>0.43</v>
      </c>
      <c r="AM596" s="1926">
        <f t="shared" si="88"/>
        <v>0.36</v>
      </c>
      <c r="AN596" s="1956">
        <f t="shared" si="91"/>
        <v>0</v>
      </c>
      <c r="AO596" s="1893"/>
      <c r="AP596" s="1872"/>
      <c r="AQ596" s="1932"/>
      <c r="AR596" s="1916"/>
    </row>
    <row r="597" spans="1:44">
      <c r="A597" s="1930"/>
      <c r="B597" s="1893">
        <v>10</v>
      </c>
      <c r="C597" s="1872">
        <v>11</v>
      </c>
      <c r="D597" s="1931">
        <v>0.12</v>
      </c>
      <c r="E597" s="1915">
        <v>0.25</v>
      </c>
      <c r="F597" s="1930"/>
      <c r="G597" s="1893">
        <v>10</v>
      </c>
      <c r="H597" s="1872">
        <v>11</v>
      </c>
      <c r="I597" s="1931">
        <v>0.16</v>
      </c>
      <c r="J597" s="1915">
        <v>0.19</v>
      </c>
      <c r="K597" s="1930"/>
      <c r="L597" s="1893">
        <v>10</v>
      </c>
      <c r="M597" s="1872">
        <v>11</v>
      </c>
      <c r="N597" s="1931">
        <v>0.35</v>
      </c>
      <c r="O597" s="1915">
        <v>0.55000000000000004</v>
      </c>
      <c r="P597" s="1930"/>
      <c r="Q597" s="1893"/>
      <c r="R597" s="1872"/>
      <c r="S597" s="1931"/>
      <c r="T597" s="1915"/>
      <c r="U597" s="1930"/>
      <c r="V597" s="1893">
        <v>10</v>
      </c>
      <c r="W597" s="1872">
        <v>11</v>
      </c>
      <c r="X597" s="1931">
        <v>0.38</v>
      </c>
      <c r="Y597" s="1915">
        <v>0.48</v>
      </c>
      <c r="Z597" s="1930"/>
      <c r="AA597" s="1893">
        <v>10</v>
      </c>
      <c r="AB597" s="1872">
        <v>11</v>
      </c>
      <c r="AC597" s="1931">
        <v>0.57999999999999996</v>
      </c>
      <c r="AD597" s="1915">
        <v>1.05</v>
      </c>
      <c r="AF597" s="1893">
        <v>10</v>
      </c>
      <c r="AG597" s="1872">
        <v>11</v>
      </c>
      <c r="AH597" s="1931"/>
      <c r="AI597" s="1915"/>
      <c r="AK597" s="1955">
        <f t="shared" si="89"/>
        <v>0.35</v>
      </c>
      <c r="AL597" s="1926">
        <f t="shared" si="90"/>
        <v>0.38</v>
      </c>
      <c r="AM597" s="1926">
        <f t="shared" si="88"/>
        <v>0.57999999999999996</v>
      </c>
      <c r="AN597" s="1956">
        <f t="shared" si="91"/>
        <v>0</v>
      </c>
      <c r="AO597" s="1894"/>
      <c r="AP597" s="1895"/>
      <c r="AQ597" s="1933"/>
      <c r="AR597" s="1911"/>
    </row>
    <row r="598" spans="1:44">
      <c r="A598" s="1930"/>
      <c r="B598" s="1893">
        <v>11</v>
      </c>
      <c r="C598" s="1872">
        <v>12</v>
      </c>
      <c r="D598" s="1931">
        <v>0.19</v>
      </c>
      <c r="E598" s="1915">
        <v>0.37</v>
      </c>
      <c r="F598" s="1930"/>
      <c r="G598" s="1893">
        <v>11</v>
      </c>
      <c r="H598" s="1872">
        <v>12</v>
      </c>
      <c r="I598" s="1931">
        <v>0.4</v>
      </c>
      <c r="J598" s="1915">
        <v>0.46</v>
      </c>
      <c r="K598" s="1930"/>
      <c r="L598" s="1893">
        <v>11</v>
      </c>
      <c r="M598" s="1872">
        <v>12</v>
      </c>
      <c r="N598" s="1931">
        <v>0.42</v>
      </c>
      <c r="O598" s="1915">
        <v>0.53</v>
      </c>
      <c r="P598" s="1930"/>
      <c r="Q598" s="1893"/>
      <c r="R598" s="1872"/>
      <c r="S598" s="1931"/>
      <c r="T598" s="1915"/>
      <c r="U598" s="1930"/>
      <c r="V598" s="1893">
        <v>11</v>
      </c>
      <c r="W598" s="1872">
        <v>12</v>
      </c>
      <c r="X598" s="1931">
        <v>0.48</v>
      </c>
      <c r="Y598" s="1915">
        <v>0.59</v>
      </c>
      <c r="Z598" s="1930"/>
      <c r="AA598" s="1893">
        <v>11</v>
      </c>
      <c r="AB598" s="1872">
        <v>12</v>
      </c>
      <c r="AC598" s="1931">
        <v>0.5</v>
      </c>
      <c r="AD598" s="1915">
        <v>0.85</v>
      </c>
      <c r="AF598" s="1893">
        <v>11</v>
      </c>
      <c r="AG598" s="1872">
        <v>12</v>
      </c>
      <c r="AH598" s="1931"/>
      <c r="AI598" s="1915"/>
      <c r="AK598" s="1955">
        <f t="shared" si="89"/>
        <v>0.42</v>
      </c>
      <c r="AL598" s="1926">
        <f t="shared" si="90"/>
        <v>0.48</v>
      </c>
      <c r="AM598" s="1926">
        <f t="shared" si="88"/>
        <v>0.5</v>
      </c>
      <c r="AN598" s="1956">
        <f t="shared" si="91"/>
        <v>0</v>
      </c>
      <c r="AO598" s="1910"/>
      <c r="AP598" s="1889"/>
      <c r="AQ598" s="1935"/>
      <c r="AR598" s="1912"/>
    </row>
    <row r="599" spans="1:44">
      <c r="A599" s="1930"/>
      <c r="B599" s="1893">
        <v>12</v>
      </c>
      <c r="C599" s="1872">
        <v>13</v>
      </c>
      <c r="D599" s="1931">
        <v>0.2</v>
      </c>
      <c r="E599" s="1915">
        <v>0.38</v>
      </c>
      <c r="F599" s="1930"/>
      <c r="G599" s="1893">
        <v>12</v>
      </c>
      <c r="H599" s="1872">
        <v>13</v>
      </c>
      <c r="I599" s="1931">
        <v>0.94</v>
      </c>
      <c r="J599" s="1915">
        <v>1.08</v>
      </c>
      <c r="K599" s="1930"/>
      <c r="L599" s="1893">
        <v>12</v>
      </c>
      <c r="M599" s="1872">
        <v>13</v>
      </c>
      <c r="N599" s="1931">
        <v>0.18</v>
      </c>
      <c r="O599" s="1915">
        <v>0.21</v>
      </c>
      <c r="P599" s="1930"/>
      <c r="Q599" s="1893"/>
      <c r="R599" s="1872"/>
      <c r="S599" s="1931"/>
      <c r="T599" s="1915"/>
      <c r="U599" s="1930"/>
      <c r="V599" s="1893">
        <v>12</v>
      </c>
      <c r="W599" s="1872">
        <v>13</v>
      </c>
      <c r="X599" s="1931">
        <v>0.39</v>
      </c>
      <c r="Y599" s="1915">
        <v>0.41</v>
      </c>
      <c r="Z599" s="1930"/>
      <c r="AA599" s="1893">
        <v>12</v>
      </c>
      <c r="AB599" s="1872">
        <v>13</v>
      </c>
      <c r="AC599" s="1931">
        <v>0.44</v>
      </c>
      <c r="AD599" s="1915">
        <v>0.74</v>
      </c>
      <c r="AF599" s="1893">
        <v>12</v>
      </c>
      <c r="AG599" s="1872">
        <v>13</v>
      </c>
      <c r="AH599" s="1931"/>
      <c r="AI599" s="1915"/>
      <c r="AK599" s="1955">
        <f t="shared" si="89"/>
        <v>0.18</v>
      </c>
      <c r="AL599" s="1926">
        <f t="shared" si="90"/>
        <v>0.39</v>
      </c>
      <c r="AM599" s="1926">
        <f t="shared" si="88"/>
        <v>0.44</v>
      </c>
      <c r="AN599" s="1956">
        <f t="shared" si="91"/>
        <v>0</v>
      </c>
      <c r="AO599" s="1902"/>
      <c r="AP599" s="1873"/>
      <c r="AQ599" s="1935"/>
      <c r="AR599" s="1912"/>
    </row>
    <row r="600" spans="1:44">
      <c r="A600" s="1930"/>
      <c r="B600" s="1893">
        <v>13</v>
      </c>
      <c r="C600" s="1872">
        <v>14</v>
      </c>
      <c r="D600" s="1931">
        <v>0.17</v>
      </c>
      <c r="E600" s="1915">
        <v>0.31</v>
      </c>
      <c r="F600" s="1930"/>
      <c r="G600" s="1893">
        <v>13</v>
      </c>
      <c r="H600" s="1872">
        <v>14</v>
      </c>
      <c r="I600" s="1931">
        <v>0.95</v>
      </c>
      <c r="J600" s="1915">
        <v>1.1000000000000001</v>
      </c>
      <c r="K600" s="1930"/>
      <c r="L600" s="1893">
        <v>13</v>
      </c>
      <c r="M600" s="1872">
        <v>14</v>
      </c>
      <c r="N600" s="1931">
        <v>0.2</v>
      </c>
      <c r="O600" s="1915">
        <v>0.38</v>
      </c>
      <c r="P600" s="1930"/>
      <c r="Q600" s="1893"/>
      <c r="R600" s="1872"/>
      <c r="S600" s="1931"/>
      <c r="T600" s="1915"/>
      <c r="U600" s="1930"/>
      <c r="V600" s="1893">
        <v>13</v>
      </c>
      <c r="W600" s="1872">
        <v>14</v>
      </c>
      <c r="X600" s="1931">
        <v>0.34</v>
      </c>
      <c r="Y600" s="1915">
        <v>0.34</v>
      </c>
      <c r="Z600" s="1930"/>
      <c r="AA600" s="1893">
        <v>13</v>
      </c>
      <c r="AB600" s="1872">
        <v>14</v>
      </c>
      <c r="AC600" s="1931">
        <v>0.44</v>
      </c>
      <c r="AD600" s="1915">
        <v>0.71</v>
      </c>
      <c r="AF600" s="1893">
        <v>13</v>
      </c>
      <c r="AG600" s="1872">
        <v>14</v>
      </c>
      <c r="AH600" s="1931"/>
      <c r="AI600" s="1915"/>
      <c r="AK600" s="1955">
        <f t="shared" si="89"/>
        <v>0.2</v>
      </c>
      <c r="AL600" s="1926">
        <f t="shared" si="90"/>
        <v>0.34</v>
      </c>
      <c r="AM600" s="1926">
        <f t="shared" si="88"/>
        <v>0.44</v>
      </c>
      <c r="AN600" s="1956">
        <f t="shared" si="91"/>
        <v>0</v>
      </c>
      <c r="AO600" s="1902"/>
      <c r="AP600" s="1873"/>
      <c r="AQ600" s="1935"/>
      <c r="AR600" s="1912"/>
    </row>
    <row r="601" spans="1:44">
      <c r="A601" s="1930"/>
      <c r="B601" s="1893">
        <v>14</v>
      </c>
      <c r="C601" s="1872">
        <v>15</v>
      </c>
      <c r="D601" s="1931">
        <v>0.37</v>
      </c>
      <c r="E601" s="1915">
        <v>0.68</v>
      </c>
      <c r="F601" s="1930"/>
      <c r="G601" s="1893">
        <v>14</v>
      </c>
      <c r="H601" s="1872">
        <v>15</v>
      </c>
      <c r="I601" s="1931">
        <v>0.56999999999999995</v>
      </c>
      <c r="J601" s="1915">
        <v>0.69</v>
      </c>
      <c r="K601" s="1930"/>
      <c r="L601" s="1893">
        <v>14</v>
      </c>
      <c r="M601" s="1872">
        <v>15</v>
      </c>
      <c r="N601" s="1931">
        <v>0.28999999999999998</v>
      </c>
      <c r="O601" s="1915">
        <v>0.25</v>
      </c>
      <c r="P601" s="1930"/>
      <c r="Q601" s="1893"/>
      <c r="R601" s="1872"/>
      <c r="S601" s="1931"/>
      <c r="T601" s="1915"/>
      <c r="U601" s="1930"/>
      <c r="V601" s="1893">
        <v>14</v>
      </c>
      <c r="W601" s="1872">
        <v>15</v>
      </c>
      <c r="X601" s="1931">
        <v>0.32</v>
      </c>
      <c r="Y601" s="1915">
        <v>0.28000000000000003</v>
      </c>
      <c r="Z601" s="1930"/>
      <c r="AA601" s="1893">
        <v>14</v>
      </c>
      <c r="AB601" s="1872">
        <v>15</v>
      </c>
      <c r="AC601" s="1931">
        <v>0.56000000000000005</v>
      </c>
      <c r="AD601" s="1915">
        <v>0.87</v>
      </c>
      <c r="AF601" s="1893">
        <v>14</v>
      </c>
      <c r="AG601" s="1872">
        <v>15</v>
      </c>
      <c r="AH601" s="1931"/>
      <c r="AI601" s="1915"/>
      <c r="AK601" s="1955">
        <f t="shared" si="89"/>
        <v>0.28999999999999998</v>
      </c>
      <c r="AL601" s="1926">
        <f t="shared" si="90"/>
        <v>0.32</v>
      </c>
      <c r="AM601" s="1926">
        <f t="shared" si="88"/>
        <v>0.56000000000000005</v>
      </c>
      <c r="AN601" s="1956">
        <f t="shared" si="91"/>
        <v>0</v>
      </c>
      <c r="AO601" s="1902"/>
      <c r="AP601" s="1873"/>
      <c r="AQ601" s="1935"/>
      <c r="AR601" s="1912"/>
    </row>
    <row r="602" spans="1:44">
      <c r="A602" s="1930"/>
      <c r="B602" s="1893">
        <v>15</v>
      </c>
      <c r="C602" s="1872">
        <v>16</v>
      </c>
      <c r="D602" s="1931">
        <v>0.56999999999999995</v>
      </c>
      <c r="E602" s="1915">
        <v>1.05</v>
      </c>
      <c r="F602" s="1930"/>
      <c r="G602" s="1893">
        <v>15</v>
      </c>
      <c r="H602" s="1872">
        <v>16</v>
      </c>
      <c r="I602" s="1931">
        <v>0.34</v>
      </c>
      <c r="J602" s="1915">
        <v>0.45</v>
      </c>
      <c r="K602" s="1930"/>
      <c r="L602" s="1893">
        <v>15</v>
      </c>
      <c r="M602" s="1872">
        <v>16</v>
      </c>
      <c r="N602" s="1931">
        <v>0.33</v>
      </c>
      <c r="O602" s="1915">
        <v>0.38</v>
      </c>
      <c r="P602" s="1930"/>
      <c r="Q602" s="1893"/>
      <c r="R602" s="1872"/>
      <c r="S602" s="1931"/>
      <c r="T602" s="1915"/>
      <c r="U602" s="1930"/>
      <c r="V602" s="1893">
        <v>15</v>
      </c>
      <c r="W602" s="1872">
        <v>16</v>
      </c>
      <c r="X602" s="1931">
        <v>0.47</v>
      </c>
      <c r="Y602" s="1915">
        <v>0.4</v>
      </c>
      <c r="Z602" s="1930"/>
      <c r="AA602" s="1893">
        <v>15</v>
      </c>
      <c r="AB602" s="1872">
        <v>16</v>
      </c>
      <c r="AC602" s="1931">
        <v>0.51</v>
      </c>
      <c r="AD602" s="1915">
        <v>0.79</v>
      </c>
      <c r="AF602" s="1893">
        <v>15</v>
      </c>
      <c r="AG602" s="1872">
        <v>16</v>
      </c>
      <c r="AH602" s="1931"/>
      <c r="AI602" s="1915"/>
      <c r="AK602" s="1955">
        <f t="shared" si="89"/>
        <v>0.33</v>
      </c>
      <c r="AL602" s="1926">
        <f t="shared" si="90"/>
        <v>0.47</v>
      </c>
      <c r="AM602" s="1926">
        <f t="shared" si="88"/>
        <v>0.51</v>
      </c>
      <c r="AN602" s="1956">
        <f t="shared" si="91"/>
        <v>0</v>
      </c>
      <c r="AO602" s="1902"/>
      <c r="AP602" s="1873"/>
      <c r="AQ602" s="1935"/>
      <c r="AR602" s="1912"/>
    </row>
    <row r="603" spans="1:44">
      <c r="A603" s="1930"/>
      <c r="B603" s="1893">
        <v>16</v>
      </c>
      <c r="C603" s="1872">
        <v>17</v>
      </c>
      <c r="D603" s="1931">
        <v>1.28</v>
      </c>
      <c r="E603" s="1915">
        <v>2.36</v>
      </c>
      <c r="F603" s="1930"/>
      <c r="G603" s="1893">
        <v>16</v>
      </c>
      <c r="H603" s="1872">
        <v>17</v>
      </c>
      <c r="I603" s="1931">
        <v>0.31</v>
      </c>
      <c r="J603" s="1915">
        <v>0.47</v>
      </c>
      <c r="K603" s="1930"/>
      <c r="L603" s="1893">
        <v>16</v>
      </c>
      <c r="M603" s="1872">
        <v>17</v>
      </c>
      <c r="N603" s="1931">
        <v>1.06</v>
      </c>
      <c r="O603" s="1915">
        <v>1.51</v>
      </c>
      <c r="P603" s="1930"/>
      <c r="Q603" s="1893"/>
      <c r="R603" s="1872"/>
      <c r="S603" s="1931"/>
      <c r="T603" s="1915"/>
      <c r="U603" s="1930"/>
      <c r="V603" s="1893">
        <v>16</v>
      </c>
      <c r="W603" s="1872">
        <v>17</v>
      </c>
      <c r="X603" s="1931">
        <v>0.47</v>
      </c>
      <c r="Y603" s="1915">
        <v>0.44</v>
      </c>
      <c r="Z603" s="1930"/>
      <c r="AA603" s="1893">
        <v>16</v>
      </c>
      <c r="AB603" s="1872">
        <v>17</v>
      </c>
      <c r="AC603" s="1931">
        <v>0.5</v>
      </c>
      <c r="AD603" s="1915">
        <v>0.77</v>
      </c>
      <c r="AF603" s="1893">
        <v>16</v>
      </c>
      <c r="AG603" s="1872">
        <v>17</v>
      </c>
      <c r="AH603" s="1931"/>
      <c r="AI603" s="1915"/>
      <c r="AK603" s="1955">
        <f t="shared" si="89"/>
        <v>1.06</v>
      </c>
      <c r="AL603" s="1926">
        <f t="shared" si="90"/>
        <v>0.47</v>
      </c>
      <c r="AM603" s="1926">
        <f t="shared" si="88"/>
        <v>0.5</v>
      </c>
      <c r="AN603" s="1956">
        <f t="shared" si="91"/>
        <v>0</v>
      </c>
      <c r="AO603" s="1902"/>
      <c r="AP603" s="1873"/>
      <c r="AQ603" s="1936"/>
      <c r="AR603" s="1937"/>
    </row>
    <row r="604" spans="1:44">
      <c r="A604" s="1930"/>
      <c r="B604" s="1894">
        <v>17</v>
      </c>
      <c r="C604" s="1895">
        <v>18</v>
      </c>
      <c r="D604" s="1932">
        <v>1.17</v>
      </c>
      <c r="E604" s="1916">
        <v>3.19</v>
      </c>
      <c r="F604" s="1930"/>
      <c r="G604" s="1894">
        <v>17</v>
      </c>
      <c r="H604" s="1895">
        <v>18</v>
      </c>
      <c r="I604" s="1932">
        <v>0.89</v>
      </c>
      <c r="J604" s="1916">
        <v>2.15</v>
      </c>
      <c r="K604" s="1930"/>
      <c r="L604" s="1894">
        <v>17</v>
      </c>
      <c r="M604" s="1895">
        <v>18</v>
      </c>
      <c r="N604" s="1932">
        <v>0.45</v>
      </c>
      <c r="O604" s="1916">
        <v>0.79</v>
      </c>
      <c r="P604" s="1930"/>
      <c r="Q604" s="1894"/>
      <c r="R604" s="1895"/>
      <c r="S604" s="1932"/>
      <c r="T604" s="1916"/>
      <c r="U604" s="1930"/>
      <c r="V604" s="1894">
        <v>17</v>
      </c>
      <c r="W604" s="1895">
        <v>18</v>
      </c>
      <c r="X604" s="1932">
        <v>0.67</v>
      </c>
      <c r="Y604" s="1916">
        <v>0.87</v>
      </c>
      <c r="Z604" s="1930"/>
      <c r="AA604" s="1894">
        <v>17</v>
      </c>
      <c r="AB604" s="1895">
        <v>18</v>
      </c>
      <c r="AC604" s="1932">
        <v>0.96</v>
      </c>
      <c r="AD604" s="1916">
        <v>1.59</v>
      </c>
      <c r="AF604" s="1894">
        <v>17</v>
      </c>
      <c r="AG604" s="1895">
        <v>18</v>
      </c>
      <c r="AH604" s="1932"/>
      <c r="AI604" s="1916"/>
      <c r="AK604" s="1957">
        <f t="shared" si="89"/>
        <v>0.45</v>
      </c>
      <c r="AL604" s="1958">
        <f t="shared" si="90"/>
        <v>0.67</v>
      </c>
      <c r="AM604" s="1958">
        <f t="shared" si="88"/>
        <v>0.96</v>
      </c>
      <c r="AN604" s="1959">
        <f t="shared" si="91"/>
        <v>0</v>
      </c>
      <c r="AO604" s="2766"/>
      <c r="AP604" s="2766"/>
      <c r="AQ604" s="1926"/>
      <c r="AR604" s="1913"/>
    </row>
    <row r="605" spans="1:44">
      <c r="A605" s="1934"/>
      <c r="B605" s="1910">
        <v>18</v>
      </c>
      <c r="C605" s="1889">
        <v>19</v>
      </c>
      <c r="D605" s="1933">
        <v>0.33</v>
      </c>
      <c r="E605" s="1911">
        <v>0.91</v>
      </c>
      <c r="F605" s="1934"/>
      <c r="G605" s="1910">
        <v>18</v>
      </c>
      <c r="H605" s="1889">
        <v>19</v>
      </c>
      <c r="I605" s="1933">
        <v>0.4</v>
      </c>
      <c r="J605" s="1911">
        <v>0.99</v>
      </c>
      <c r="K605" s="1934"/>
      <c r="L605" s="1910">
        <v>18</v>
      </c>
      <c r="M605" s="1889">
        <v>19</v>
      </c>
      <c r="N605" s="1933">
        <v>0.37</v>
      </c>
      <c r="O605" s="1911">
        <v>0.74</v>
      </c>
      <c r="P605" s="1934"/>
      <c r="Q605" s="1910"/>
      <c r="R605" s="1889"/>
      <c r="S605" s="1933"/>
      <c r="T605" s="1911"/>
      <c r="U605" s="1934"/>
      <c r="V605" s="1910">
        <v>18</v>
      </c>
      <c r="W605" s="1889">
        <v>19</v>
      </c>
      <c r="X605" s="1933">
        <v>0.4</v>
      </c>
      <c r="Y605" s="1911">
        <v>0.56000000000000005</v>
      </c>
      <c r="Z605" s="1934"/>
      <c r="AA605" s="1910">
        <v>18</v>
      </c>
      <c r="AB605" s="1889">
        <v>19</v>
      </c>
      <c r="AC605" s="1933">
        <v>0.53</v>
      </c>
      <c r="AD605" s="1911">
        <v>0.95</v>
      </c>
      <c r="AF605" s="1910">
        <v>18</v>
      </c>
      <c r="AG605" s="1889">
        <v>19</v>
      </c>
      <c r="AH605" s="1933"/>
      <c r="AI605" s="1911"/>
      <c r="AK605" s="1952">
        <f t="shared" si="89"/>
        <v>0.37</v>
      </c>
      <c r="AL605" s="1953">
        <f t="shared" si="90"/>
        <v>0.4</v>
      </c>
      <c r="AM605" s="1953">
        <f t="shared" si="88"/>
        <v>0.53</v>
      </c>
      <c r="AN605" s="1954">
        <f t="shared" si="91"/>
        <v>0</v>
      </c>
      <c r="AO605" s="1883"/>
      <c r="AP605" s="1871"/>
      <c r="AQ605" s="1926"/>
      <c r="AR605" s="1913"/>
    </row>
    <row r="606" spans="1:44">
      <c r="A606" s="1934"/>
      <c r="B606" s="1902">
        <v>19</v>
      </c>
      <c r="C606" s="1873">
        <v>20</v>
      </c>
      <c r="D606" s="1935">
        <v>0.21</v>
      </c>
      <c r="E606" s="1912">
        <v>0.55000000000000004</v>
      </c>
      <c r="F606" s="1934"/>
      <c r="G606" s="1902">
        <v>19</v>
      </c>
      <c r="H606" s="1873">
        <v>20</v>
      </c>
      <c r="I606" s="1935">
        <v>0.33</v>
      </c>
      <c r="J606" s="1912">
        <v>0.82</v>
      </c>
      <c r="K606" s="1934"/>
      <c r="L606" s="1902">
        <v>19</v>
      </c>
      <c r="M606" s="1873">
        <v>20</v>
      </c>
      <c r="N606" s="1935">
        <v>0.39</v>
      </c>
      <c r="O606" s="1912">
        <v>0.82</v>
      </c>
      <c r="P606" s="1934"/>
      <c r="Q606" s="1902"/>
      <c r="R606" s="1873"/>
      <c r="S606" s="1935"/>
      <c r="T606" s="1912"/>
      <c r="U606" s="1934"/>
      <c r="V606" s="1902">
        <v>19</v>
      </c>
      <c r="W606" s="1873">
        <v>20</v>
      </c>
      <c r="X606" s="1935">
        <v>0.48</v>
      </c>
      <c r="Y606" s="1912">
        <v>0.7</v>
      </c>
      <c r="Z606" s="1934"/>
      <c r="AA606" s="1902">
        <v>19</v>
      </c>
      <c r="AB606" s="1873">
        <v>20</v>
      </c>
      <c r="AC606" s="1935">
        <v>0.53</v>
      </c>
      <c r="AD606" s="1912">
        <v>0.96</v>
      </c>
      <c r="AF606" s="1902">
        <v>19</v>
      </c>
      <c r="AG606" s="1873">
        <v>20</v>
      </c>
      <c r="AH606" s="1935"/>
      <c r="AI606" s="1912"/>
      <c r="AK606" s="1955">
        <f t="shared" si="89"/>
        <v>0.39</v>
      </c>
      <c r="AL606" s="1926">
        <f t="shared" si="90"/>
        <v>0.48</v>
      </c>
      <c r="AM606" s="1926">
        <f t="shared" si="88"/>
        <v>0.53</v>
      </c>
      <c r="AN606" s="1956">
        <f t="shared" si="91"/>
        <v>0</v>
      </c>
      <c r="AO606" s="1883"/>
      <c r="AP606" s="1871"/>
      <c r="AQ606" s="1926"/>
      <c r="AR606" s="1913"/>
    </row>
    <row r="607" spans="1:44">
      <c r="A607" s="1934"/>
      <c r="B607" s="1902">
        <v>20</v>
      </c>
      <c r="C607" s="1873">
        <v>21</v>
      </c>
      <c r="D607" s="1935">
        <v>0.18</v>
      </c>
      <c r="E607" s="1912">
        <v>0.32</v>
      </c>
      <c r="F607" s="1934"/>
      <c r="G607" s="1902">
        <v>20</v>
      </c>
      <c r="H607" s="1873">
        <v>21</v>
      </c>
      <c r="I607" s="1935">
        <v>0.34</v>
      </c>
      <c r="J607" s="1912">
        <v>0.56999999999999995</v>
      </c>
      <c r="K607" s="1934"/>
      <c r="L607" s="1902">
        <v>20</v>
      </c>
      <c r="M607" s="1873">
        <v>21</v>
      </c>
      <c r="N607" s="1935">
        <v>0.36</v>
      </c>
      <c r="O607" s="1912">
        <v>0.76</v>
      </c>
      <c r="P607" s="1934"/>
      <c r="Q607" s="1902"/>
      <c r="R607" s="1873"/>
      <c r="S607" s="1935"/>
      <c r="T607" s="1912"/>
      <c r="U607" s="1934"/>
      <c r="V607" s="1902">
        <v>20</v>
      </c>
      <c r="W607" s="1873">
        <v>21</v>
      </c>
      <c r="X607" s="1935">
        <v>0.51</v>
      </c>
      <c r="Y607" s="1912">
        <v>0.75</v>
      </c>
      <c r="Z607" s="1934"/>
      <c r="AA607" s="1902">
        <v>20</v>
      </c>
      <c r="AB607" s="1873">
        <v>21</v>
      </c>
      <c r="AC607" s="1935">
        <v>0.47</v>
      </c>
      <c r="AD607" s="1912">
        <v>0.98</v>
      </c>
      <c r="AF607" s="1902">
        <v>20</v>
      </c>
      <c r="AG607" s="1873">
        <v>21</v>
      </c>
      <c r="AH607" s="1935"/>
      <c r="AI607" s="1912"/>
      <c r="AK607" s="1955">
        <f t="shared" si="89"/>
        <v>0.36</v>
      </c>
      <c r="AL607" s="1926">
        <f t="shared" si="90"/>
        <v>0.51</v>
      </c>
      <c r="AM607" s="1926">
        <f t="shared" si="88"/>
        <v>0.47</v>
      </c>
      <c r="AN607" s="1956">
        <f t="shared" si="91"/>
        <v>0</v>
      </c>
      <c r="AO607" s="1883"/>
      <c r="AP607" s="1871"/>
      <c r="AQ607" s="1926"/>
      <c r="AR607" s="1913"/>
    </row>
    <row r="608" spans="1:44">
      <c r="A608" s="1934"/>
      <c r="B608" s="1902">
        <v>21</v>
      </c>
      <c r="C608" s="1873">
        <v>22</v>
      </c>
      <c r="D608" s="1935">
        <v>0.27</v>
      </c>
      <c r="E608" s="1912">
        <v>0.49</v>
      </c>
      <c r="F608" s="1934"/>
      <c r="G608" s="1902">
        <v>21</v>
      </c>
      <c r="H608" s="1873">
        <v>22</v>
      </c>
      <c r="I608" s="1935">
        <v>0.33</v>
      </c>
      <c r="J608" s="1912">
        <v>0.54</v>
      </c>
      <c r="K608" s="1934"/>
      <c r="L608" s="1902">
        <v>21</v>
      </c>
      <c r="M608" s="1873">
        <v>22</v>
      </c>
      <c r="N608" s="1935">
        <v>0.32</v>
      </c>
      <c r="O608" s="1912">
        <v>0.64</v>
      </c>
      <c r="P608" s="1934"/>
      <c r="Q608" s="1902"/>
      <c r="R608" s="1873"/>
      <c r="S608" s="1935"/>
      <c r="T608" s="1912"/>
      <c r="U608" s="1934"/>
      <c r="V608" s="1902">
        <v>21</v>
      </c>
      <c r="W608" s="1873">
        <v>22</v>
      </c>
      <c r="X608" s="1935">
        <v>0.42</v>
      </c>
      <c r="Y608" s="1912">
        <v>0.62</v>
      </c>
      <c r="Z608" s="1934"/>
      <c r="AA608" s="1902">
        <v>21</v>
      </c>
      <c r="AB608" s="1873">
        <v>22</v>
      </c>
      <c r="AC608" s="1935">
        <v>0.42</v>
      </c>
      <c r="AD608" s="1912">
        <v>0.87</v>
      </c>
      <c r="AF608" s="1902">
        <v>21</v>
      </c>
      <c r="AG608" s="1873">
        <v>22</v>
      </c>
      <c r="AH608" s="1935"/>
      <c r="AI608" s="1912"/>
      <c r="AK608" s="1955">
        <f t="shared" si="89"/>
        <v>0.32</v>
      </c>
      <c r="AL608" s="1926">
        <f t="shared" si="90"/>
        <v>0.42</v>
      </c>
      <c r="AM608" s="1926">
        <f t="shared" si="88"/>
        <v>0.42</v>
      </c>
      <c r="AN608" s="1956">
        <f t="shared" si="91"/>
        <v>0</v>
      </c>
      <c r="AO608" s="1883"/>
      <c r="AP608" s="1871"/>
      <c r="AQ608" s="1926"/>
      <c r="AR608" s="1913"/>
    </row>
    <row r="609" spans="1:44">
      <c r="A609" s="1934"/>
      <c r="B609" s="1902">
        <v>22</v>
      </c>
      <c r="C609" s="1873">
        <v>23</v>
      </c>
      <c r="D609" s="1935">
        <v>0.16</v>
      </c>
      <c r="E609" s="1912">
        <v>0.28000000000000003</v>
      </c>
      <c r="F609" s="1934"/>
      <c r="G609" s="1902">
        <v>22</v>
      </c>
      <c r="H609" s="1873">
        <v>23</v>
      </c>
      <c r="I609" s="1935">
        <v>0.24</v>
      </c>
      <c r="J609" s="1912">
        <v>0.39</v>
      </c>
      <c r="K609" s="1934"/>
      <c r="L609" s="1902">
        <v>22</v>
      </c>
      <c r="M609" s="1873">
        <v>23</v>
      </c>
      <c r="N609" s="1935">
        <v>0.11</v>
      </c>
      <c r="O609" s="1912">
        <v>0.21</v>
      </c>
      <c r="P609" s="1934"/>
      <c r="Q609" s="1902"/>
      <c r="R609" s="1873"/>
      <c r="S609" s="1935"/>
      <c r="T609" s="1912"/>
      <c r="U609" s="1934"/>
      <c r="V609" s="1902">
        <v>22</v>
      </c>
      <c r="W609" s="1873">
        <v>23</v>
      </c>
      <c r="X609" s="1935">
        <v>0.27</v>
      </c>
      <c r="Y609" s="1912">
        <v>0.4</v>
      </c>
      <c r="Z609" s="1934"/>
      <c r="AA609" s="1902">
        <v>22</v>
      </c>
      <c r="AB609" s="1873">
        <v>23</v>
      </c>
      <c r="AC609" s="1935">
        <v>0.47</v>
      </c>
      <c r="AD609" s="1912">
        <v>0.95</v>
      </c>
      <c r="AF609" s="1902">
        <v>22</v>
      </c>
      <c r="AG609" s="1873">
        <v>23</v>
      </c>
      <c r="AH609" s="1935"/>
      <c r="AI609" s="1912"/>
      <c r="AK609" s="1955">
        <f t="shared" si="89"/>
        <v>0.11</v>
      </c>
      <c r="AL609" s="1926">
        <f t="shared" si="90"/>
        <v>0.27</v>
      </c>
      <c r="AM609" s="1926">
        <f t="shared" si="88"/>
        <v>0.47</v>
      </c>
      <c r="AN609" s="1956">
        <f t="shared" si="91"/>
        <v>0</v>
      </c>
      <c r="AO609" s="1883"/>
      <c r="AP609" s="1871"/>
      <c r="AQ609" s="1926"/>
      <c r="AR609" s="1913"/>
    </row>
    <row r="610" spans="1:44" ht="15" thickBot="1">
      <c r="A610" s="1934"/>
      <c r="B610" s="1902">
        <v>23</v>
      </c>
      <c r="C610" s="1873">
        <v>24</v>
      </c>
      <c r="D610" s="1935">
        <v>0.25</v>
      </c>
      <c r="E610" s="1912">
        <v>0.43</v>
      </c>
      <c r="F610" s="1934"/>
      <c r="G610" s="1902">
        <v>23</v>
      </c>
      <c r="H610" s="1873">
        <v>24</v>
      </c>
      <c r="I610" s="1935">
        <v>0.13</v>
      </c>
      <c r="J610" s="1912">
        <v>0.2</v>
      </c>
      <c r="K610" s="1934"/>
      <c r="L610" s="1902">
        <v>23</v>
      </c>
      <c r="M610" s="1873">
        <v>24</v>
      </c>
      <c r="N610" s="1935">
        <v>0.1</v>
      </c>
      <c r="O610" s="1912">
        <v>0.18</v>
      </c>
      <c r="P610" s="1934"/>
      <c r="Q610" s="1902"/>
      <c r="R610" s="1873"/>
      <c r="S610" s="1935"/>
      <c r="T610" s="1912"/>
      <c r="U610" s="1934"/>
      <c r="V610" s="1902">
        <v>23</v>
      </c>
      <c r="W610" s="1873">
        <v>24</v>
      </c>
      <c r="X610" s="1935">
        <v>0.25</v>
      </c>
      <c r="Y610" s="1912">
        <v>0.36</v>
      </c>
      <c r="Z610" s="1934"/>
      <c r="AA610" s="1902">
        <v>23</v>
      </c>
      <c r="AB610" s="1873">
        <v>24</v>
      </c>
      <c r="AC610" s="1935">
        <v>0.18</v>
      </c>
      <c r="AD610" s="1912">
        <v>0.35</v>
      </c>
      <c r="AF610" s="1902">
        <v>23</v>
      </c>
      <c r="AG610" s="1873">
        <v>24</v>
      </c>
      <c r="AH610" s="1935"/>
      <c r="AI610" s="1912"/>
      <c r="AK610" s="1957">
        <f t="shared" si="89"/>
        <v>0.1</v>
      </c>
      <c r="AL610" s="1958">
        <f t="shared" si="90"/>
        <v>0.25</v>
      </c>
      <c r="AM610" s="1958">
        <f t="shared" si="88"/>
        <v>0.18</v>
      </c>
      <c r="AN610" s="1959">
        <f t="shared" si="91"/>
        <v>0</v>
      </c>
      <c r="AO610" s="1883"/>
      <c r="AP610" s="1871"/>
      <c r="AQ610" s="1926"/>
      <c r="AR610" s="1913"/>
    </row>
    <row r="611" spans="1:44">
      <c r="B611" s="2766">
        <v>44981</v>
      </c>
      <c r="C611" s="2766"/>
      <c r="D611" s="1922">
        <f>SUM(D612:D635)</f>
        <v>7.38</v>
      </c>
      <c r="E611" s="1923">
        <f>SUM(E612:E635)</f>
        <v>14.54</v>
      </c>
      <c r="G611" s="2773">
        <v>45009</v>
      </c>
      <c r="H611" s="2773"/>
      <c r="I611" s="1922">
        <f>SUM(I612:I635)</f>
        <v>8.2799999999999994</v>
      </c>
      <c r="J611" s="1923">
        <f>SUM(J612:J635)</f>
        <v>12.1</v>
      </c>
      <c r="L611" s="2773">
        <v>45040</v>
      </c>
      <c r="M611" s="2773"/>
      <c r="N611" s="1936">
        <f>SUM(N612:N635)</f>
        <v>7.2999999999999989</v>
      </c>
      <c r="O611" s="1937">
        <f>SUM(O612:O635)</f>
        <v>13.3</v>
      </c>
      <c r="Q611" s="2766">
        <v>45070</v>
      </c>
      <c r="R611" s="2766"/>
      <c r="S611" s="1936"/>
      <c r="T611" s="1937"/>
      <c r="V611" s="2766">
        <v>45070</v>
      </c>
      <c r="W611" s="2766"/>
      <c r="X611" s="1936">
        <f>SUM(X612:X635)</f>
        <v>9.0400000000000027</v>
      </c>
      <c r="Y611" s="1937">
        <f>SUM(Y612:Y635)</f>
        <v>15.339999999999998</v>
      </c>
      <c r="AA611" s="2766">
        <v>45101</v>
      </c>
      <c r="AB611" s="2766"/>
      <c r="AC611" s="1936">
        <f>SUM(AC612:AC635)</f>
        <v>9.77</v>
      </c>
      <c r="AD611" s="1937">
        <f>SUM(AD612:AD635)</f>
        <v>14.530000000000001</v>
      </c>
      <c r="AF611" s="2766">
        <v>45131</v>
      </c>
      <c r="AG611" s="2766"/>
      <c r="AH611" s="1936">
        <f>SUM(AH612:AH635)</f>
        <v>0</v>
      </c>
      <c r="AI611" s="1937">
        <f>SUM(AI612:AI635)</f>
        <v>0</v>
      </c>
      <c r="AO611" s="1883"/>
      <c r="AP611" s="1871"/>
      <c r="AQ611" s="1928"/>
      <c r="AR611" s="1917"/>
    </row>
    <row r="612" spans="1:44">
      <c r="A612" s="1927"/>
      <c r="B612" s="1883">
        <v>0</v>
      </c>
      <c r="C612" s="1871">
        <v>1</v>
      </c>
      <c r="D612" s="1926">
        <v>0.13</v>
      </c>
      <c r="E612" s="1913">
        <v>0.22</v>
      </c>
      <c r="F612" s="1927"/>
      <c r="G612" s="1883">
        <v>0</v>
      </c>
      <c r="H612" s="1871">
        <v>1</v>
      </c>
      <c r="I612" s="1926">
        <v>0.1</v>
      </c>
      <c r="J612" s="1913">
        <v>0.13</v>
      </c>
      <c r="K612" s="1927"/>
      <c r="L612" s="1883">
        <v>0</v>
      </c>
      <c r="M612" s="1871">
        <v>1</v>
      </c>
      <c r="N612" s="1926">
        <v>0.15</v>
      </c>
      <c r="O612" s="1913">
        <v>0.25</v>
      </c>
      <c r="P612" s="1927"/>
      <c r="Q612" s="1883"/>
      <c r="R612" s="1871"/>
      <c r="S612" s="1926"/>
      <c r="T612" s="1913"/>
      <c r="U612" s="1927"/>
      <c r="V612" s="1883">
        <v>0</v>
      </c>
      <c r="W612" s="1871">
        <v>1</v>
      </c>
      <c r="X612" s="1926">
        <v>0.23</v>
      </c>
      <c r="Y612" s="1913">
        <v>0.33</v>
      </c>
      <c r="Z612" s="1927"/>
      <c r="AA612" s="1883">
        <v>0</v>
      </c>
      <c r="AB612" s="1871">
        <v>1</v>
      </c>
      <c r="AC612" s="1926">
        <v>0.21</v>
      </c>
      <c r="AD612" s="1913">
        <v>0.4</v>
      </c>
      <c r="AF612" s="1883">
        <v>0</v>
      </c>
      <c r="AG612" s="1871">
        <v>1</v>
      </c>
      <c r="AH612" s="1926"/>
      <c r="AI612" s="1913"/>
      <c r="AK612" s="1952">
        <f>N612</f>
        <v>0.15</v>
      </c>
      <c r="AL612" s="1953">
        <f>X612</f>
        <v>0.23</v>
      </c>
      <c r="AM612" s="1953">
        <f t="shared" ref="AM612:AM635" si="92">AC612</f>
        <v>0.21</v>
      </c>
      <c r="AN612" s="1954">
        <f>AH612</f>
        <v>0</v>
      </c>
      <c r="AO612" s="1908"/>
      <c r="AP612" s="1909"/>
      <c r="AQ612" s="1929"/>
      <c r="AR612" s="1914"/>
    </row>
    <row r="613" spans="1:44">
      <c r="A613" s="1927"/>
      <c r="B613" s="1883">
        <v>1</v>
      </c>
      <c r="C613" s="1871">
        <v>2</v>
      </c>
      <c r="D613" s="1926">
        <v>0.1</v>
      </c>
      <c r="E613" s="1913">
        <v>0.17</v>
      </c>
      <c r="F613" s="1927"/>
      <c r="G613" s="1883">
        <v>1</v>
      </c>
      <c r="H613" s="1871">
        <v>2</v>
      </c>
      <c r="I613" s="1926">
        <v>0.12</v>
      </c>
      <c r="J613" s="1913">
        <v>0.15</v>
      </c>
      <c r="K613" s="1927"/>
      <c r="L613" s="1883">
        <v>1</v>
      </c>
      <c r="M613" s="1871">
        <v>2</v>
      </c>
      <c r="N613" s="1926">
        <v>0.14000000000000001</v>
      </c>
      <c r="O613" s="1913">
        <v>0.22</v>
      </c>
      <c r="P613" s="1927"/>
      <c r="Q613" s="1883"/>
      <c r="R613" s="1871"/>
      <c r="S613" s="1926"/>
      <c r="T613" s="1913"/>
      <c r="U613" s="1927"/>
      <c r="V613" s="1883">
        <v>1</v>
      </c>
      <c r="W613" s="1871">
        <v>2</v>
      </c>
      <c r="X613" s="1926">
        <v>0.26</v>
      </c>
      <c r="Y613" s="1913">
        <v>0.37</v>
      </c>
      <c r="Z613" s="1927"/>
      <c r="AA613" s="1883">
        <v>1</v>
      </c>
      <c r="AB613" s="1871">
        <v>2</v>
      </c>
      <c r="AC613" s="1926">
        <v>0.17</v>
      </c>
      <c r="AD613" s="1913">
        <v>0.31</v>
      </c>
      <c r="AF613" s="1883">
        <v>1</v>
      </c>
      <c r="AG613" s="1871">
        <v>2</v>
      </c>
      <c r="AH613" s="1926"/>
      <c r="AI613" s="1913"/>
      <c r="AK613" s="1955">
        <f t="shared" ref="AK613:AK635" si="93">N613</f>
        <v>0.14000000000000001</v>
      </c>
      <c r="AL613" s="1926">
        <f t="shared" ref="AL613:AL635" si="94">X613</f>
        <v>0.26</v>
      </c>
      <c r="AM613" s="1926">
        <f t="shared" si="92"/>
        <v>0.17</v>
      </c>
      <c r="AN613" s="1956">
        <f t="shared" ref="AN613:AN635" si="95">AH613</f>
        <v>0</v>
      </c>
      <c r="AO613" s="1890"/>
      <c r="AP613" s="1891"/>
      <c r="AQ613" s="1931"/>
      <c r="AR613" s="1915"/>
    </row>
    <row r="614" spans="1:44">
      <c r="A614" s="1927"/>
      <c r="B614" s="1883">
        <v>2</v>
      </c>
      <c r="C614" s="1871">
        <v>3</v>
      </c>
      <c r="D614" s="1926">
        <v>0.13</v>
      </c>
      <c r="E614" s="1913">
        <v>0.22</v>
      </c>
      <c r="F614" s="1927"/>
      <c r="G614" s="1883">
        <v>2</v>
      </c>
      <c r="H614" s="1871">
        <v>3</v>
      </c>
      <c r="I614" s="1926">
        <v>0.15</v>
      </c>
      <c r="J614" s="1913">
        <v>0.18</v>
      </c>
      <c r="K614" s="1927"/>
      <c r="L614" s="1883">
        <v>2</v>
      </c>
      <c r="M614" s="1871">
        <v>3</v>
      </c>
      <c r="N614" s="1926">
        <v>0.14000000000000001</v>
      </c>
      <c r="O614" s="1913">
        <v>0.22</v>
      </c>
      <c r="P614" s="1927"/>
      <c r="Q614" s="1883"/>
      <c r="R614" s="1871"/>
      <c r="S614" s="1926"/>
      <c r="T614" s="1913"/>
      <c r="U614" s="1927"/>
      <c r="V614" s="1883">
        <v>2</v>
      </c>
      <c r="W614" s="1871">
        <v>3</v>
      </c>
      <c r="X614" s="1926">
        <v>0.22</v>
      </c>
      <c r="Y614" s="1913">
        <v>0.32</v>
      </c>
      <c r="Z614" s="1927"/>
      <c r="AA614" s="1883">
        <v>2</v>
      </c>
      <c r="AB614" s="1871">
        <v>3</v>
      </c>
      <c r="AC614" s="1926">
        <v>0.24</v>
      </c>
      <c r="AD614" s="1913">
        <v>0.43</v>
      </c>
      <c r="AF614" s="1883">
        <v>2</v>
      </c>
      <c r="AG614" s="1871">
        <v>3</v>
      </c>
      <c r="AH614" s="1926"/>
      <c r="AI614" s="1913"/>
      <c r="AK614" s="1955">
        <f t="shared" si="93"/>
        <v>0.14000000000000001</v>
      </c>
      <c r="AL614" s="1926">
        <f t="shared" si="94"/>
        <v>0.22</v>
      </c>
      <c r="AM614" s="1926">
        <f t="shared" si="92"/>
        <v>0.24</v>
      </c>
      <c r="AN614" s="1956">
        <f t="shared" si="95"/>
        <v>0</v>
      </c>
      <c r="AO614" s="1893"/>
      <c r="AP614" s="1872"/>
      <c r="AQ614" s="1931"/>
      <c r="AR614" s="1915"/>
    </row>
    <row r="615" spans="1:44">
      <c r="A615" s="1927"/>
      <c r="B615" s="1883">
        <v>3</v>
      </c>
      <c r="C615" s="1871">
        <v>4</v>
      </c>
      <c r="D615" s="1926">
        <v>0.1</v>
      </c>
      <c r="E615" s="1913">
        <v>0.17</v>
      </c>
      <c r="F615" s="1927"/>
      <c r="G615" s="1883">
        <v>3</v>
      </c>
      <c r="H615" s="1871">
        <v>4</v>
      </c>
      <c r="I615" s="1926">
        <v>0.1</v>
      </c>
      <c r="J615" s="1913">
        <v>0.12</v>
      </c>
      <c r="K615" s="1927"/>
      <c r="L615" s="1883">
        <v>3</v>
      </c>
      <c r="M615" s="1871">
        <v>4</v>
      </c>
      <c r="N615" s="1926">
        <v>0.1</v>
      </c>
      <c r="O615" s="1913">
        <v>0.15</v>
      </c>
      <c r="P615" s="1927"/>
      <c r="Q615" s="1883"/>
      <c r="R615" s="1871"/>
      <c r="S615" s="1926"/>
      <c r="T615" s="1913"/>
      <c r="U615" s="1927"/>
      <c r="V615" s="1883">
        <v>3</v>
      </c>
      <c r="W615" s="1871">
        <v>4</v>
      </c>
      <c r="X615" s="1926">
        <v>0.18</v>
      </c>
      <c r="Y615" s="1913">
        <v>0.26</v>
      </c>
      <c r="Z615" s="1927"/>
      <c r="AA615" s="1883">
        <v>3</v>
      </c>
      <c r="AB615" s="1871">
        <v>4</v>
      </c>
      <c r="AC615" s="1926">
        <v>0.17</v>
      </c>
      <c r="AD615" s="1913">
        <v>0.3</v>
      </c>
      <c r="AF615" s="1883">
        <v>3</v>
      </c>
      <c r="AG615" s="1871">
        <v>4</v>
      </c>
      <c r="AH615" s="1926"/>
      <c r="AI615" s="1913"/>
      <c r="AK615" s="1955">
        <f t="shared" si="93"/>
        <v>0.1</v>
      </c>
      <c r="AL615" s="1926">
        <f t="shared" si="94"/>
        <v>0.18</v>
      </c>
      <c r="AM615" s="1926">
        <f t="shared" si="92"/>
        <v>0.17</v>
      </c>
      <c r="AN615" s="1956">
        <f t="shared" si="95"/>
        <v>0</v>
      </c>
      <c r="AO615" s="1893"/>
      <c r="AP615" s="1872"/>
      <c r="AQ615" s="1931"/>
      <c r="AR615" s="1915"/>
    </row>
    <row r="616" spans="1:44">
      <c r="A616" s="1927"/>
      <c r="B616" s="1883">
        <v>4</v>
      </c>
      <c r="C616" s="1871">
        <v>5</v>
      </c>
      <c r="D616" s="1926">
        <v>0.13</v>
      </c>
      <c r="E616" s="1913">
        <v>0.21</v>
      </c>
      <c r="F616" s="1927"/>
      <c r="G616" s="1883">
        <v>4</v>
      </c>
      <c r="H616" s="1871">
        <v>5</v>
      </c>
      <c r="I616" s="1926">
        <v>0.11</v>
      </c>
      <c r="J616" s="1913">
        <v>0.13</v>
      </c>
      <c r="K616" s="1927"/>
      <c r="L616" s="1883">
        <v>4</v>
      </c>
      <c r="M616" s="1871">
        <v>5</v>
      </c>
      <c r="N616" s="1926">
        <v>0.1</v>
      </c>
      <c r="O616" s="1913">
        <v>0.15</v>
      </c>
      <c r="P616" s="1927"/>
      <c r="Q616" s="1883"/>
      <c r="R616" s="1871"/>
      <c r="S616" s="1926"/>
      <c r="T616" s="1913"/>
      <c r="U616" s="1927"/>
      <c r="V616" s="1883">
        <v>4</v>
      </c>
      <c r="W616" s="1871">
        <v>5</v>
      </c>
      <c r="X616" s="1926">
        <v>0.28999999999999998</v>
      </c>
      <c r="Y616" s="1913">
        <v>0.44</v>
      </c>
      <c r="Z616" s="1927"/>
      <c r="AA616" s="1883">
        <v>4</v>
      </c>
      <c r="AB616" s="1871">
        <v>5</v>
      </c>
      <c r="AC616" s="1926">
        <v>0.21</v>
      </c>
      <c r="AD616" s="1913">
        <v>0.36</v>
      </c>
      <c r="AF616" s="1883">
        <v>4</v>
      </c>
      <c r="AG616" s="1871">
        <v>5</v>
      </c>
      <c r="AH616" s="1926"/>
      <c r="AI616" s="1913"/>
      <c r="AK616" s="1955">
        <f t="shared" si="93"/>
        <v>0.1</v>
      </c>
      <c r="AL616" s="1926">
        <f t="shared" si="94"/>
        <v>0.28999999999999998</v>
      </c>
      <c r="AM616" s="1926">
        <f t="shared" si="92"/>
        <v>0.21</v>
      </c>
      <c r="AN616" s="1956">
        <f t="shared" si="95"/>
        <v>0</v>
      </c>
      <c r="AO616" s="1893"/>
      <c r="AP616" s="1872"/>
      <c r="AQ616" s="1931"/>
      <c r="AR616" s="1915"/>
    </row>
    <row r="617" spans="1:44">
      <c r="A617" s="1927"/>
      <c r="B617" s="1883">
        <v>5</v>
      </c>
      <c r="C617" s="1871">
        <v>6</v>
      </c>
      <c r="D617" s="1926">
        <v>0.06</v>
      </c>
      <c r="E617" s="1913">
        <v>0.1</v>
      </c>
      <c r="F617" s="1927"/>
      <c r="G617" s="1883">
        <v>5</v>
      </c>
      <c r="H617" s="1871">
        <v>6</v>
      </c>
      <c r="I617" s="1926">
        <v>0.1</v>
      </c>
      <c r="J617" s="1913">
        <v>0.12</v>
      </c>
      <c r="K617" s="1927"/>
      <c r="L617" s="1883">
        <v>5</v>
      </c>
      <c r="M617" s="1871">
        <v>6</v>
      </c>
      <c r="N617" s="1926">
        <v>0.24</v>
      </c>
      <c r="O617" s="1913">
        <v>0.69</v>
      </c>
      <c r="P617" s="1927"/>
      <c r="Q617" s="1883"/>
      <c r="R617" s="1871"/>
      <c r="S617" s="1926"/>
      <c r="T617" s="1913"/>
      <c r="U617" s="1927"/>
      <c r="V617" s="1883">
        <v>5</v>
      </c>
      <c r="W617" s="1871">
        <v>6</v>
      </c>
      <c r="X617" s="1926">
        <v>0.22</v>
      </c>
      <c r="Y617" s="1913">
        <v>0.35</v>
      </c>
      <c r="Z617" s="1927"/>
      <c r="AA617" s="1883">
        <v>5</v>
      </c>
      <c r="AB617" s="1871">
        <v>6</v>
      </c>
      <c r="AC617" s="1926">
        <v>0.16</v>
      </c>
      <c r="AD617" s="1913">
        <v>0.27</v>
      </c>
      <c r="AF617" s="1883">
        <v>5</v>
      </c>
      <c r="AG617" s="1871">
        <v>6</v>
      </c>
      <c r="AH617" s="1926"/>
      <c r="AI617" s="1913"/>
      <c r="AK617" s="1955">
        <f t="shared" si="93"/>
        <v>0.24</v>
      </c>
      <c r="AL617" s="1926">
        <f t="shared" si="94"/>
        <v>0.22</v>
      </c>
      <c r="AM617" s="1926">
        <f t="shared" si="92"/>
        <v>0.16</v>
      </c>
      <c r="AN617" s="1956">
        <f t="shared" si="95"/>
        <v>0</v>
      </c>
      <c r="AO617" s="1893"/>
      <c r="AP617" s="1872"/>
      <c r="AQ617" s="1931"/>
      <c r="AR617" s="1915"/>
    </row>
    <row r="618" spans="1:44">
      <c r="A618" s="1927"/>
      <c r="B618" s="1883">
        <v>6</v>
      </c>
      <c r="C618" s="1871">
        <v>7</v>
      </c>
      <c r="D618" s="1926">
        <v>0.14000000000000001</v>
      </c>
      <c r="E618" s="1913">
        <v>0.24</v>
      </c>
      <c r="F618" s="1927"/>
      <c r="G618" s="1883">
        <v>6</v>
      </c>
      <c r="H618" s="1871">
        <v>7</v>
      </c>
      <c r="I618" s="1926">
        <v>0.27</v>
      </c>
      <c r="J618" s="1913">
        <v>0.38</v>
      </c>
      <c r="K618" s="1927"/>
      <c r="L618" s="1883">
        <v>6</v>
      </c>
      <c r="M618" s="1871">
        <v>7</v>
      </c>
      <c r="N618" s="1926">
        <v>0.22</v>
      </c>
      <c r="O618" s="1913">
        <v>0.42</v>
      </c>
      <c r="P618" s="1927"/>
      <c r="Q618" s="1883"/>
      <c r="R618" s="1871"/>
      <c r="S618" s="1926"/>
      <c r="T618" s="1913"/>
      <c r="U618" s="1927"/>
      <c r="V618" s="1883">
        <v>6</v>
      </c>
      <c r="W618" s="1871">
        <v>7</v>
      </c>
      <c r="X618" s="1926">
        <v>0.46</v>
      </c>
      <c r="Y618" s="1913">
        <v>0.83</v>
      </c>
      <c r="Z618" s="1927"/>
      <c r="AA618" s="1883">
        <v>6</v>
      </c>
      <c r="AB618" s="1871">
        <v>7</v>
      </c>
      <c r="AC618" s="1926">
        <v>0.23</v>
      </c>
      <c r="AD618" s="1913">
        <v>0.39</v>
      </c>
      <c r="AF618" s="1908">
        <v>6</v>
      </c>
      <c r="AG618" s="1909">
        <v>7</v>
      </c>
      <c r="AH618" s="1928"/>
      <c r="AI618" s="1917"/>
      <c r="AK618" s="1955">
        <f t="shared" si="93"/>
        <v>0.22</v>
      </c>
      <c r="AL618" s="1926">
        <f t="shared" si="94"/>
        <v>0.46</v>
      </c>
      <c r="AM618" s="1926">
        <f t="shared" si="92"/>
        <v>0.23</v>
      </c>
      <c r="AN618" s="1956">
        <f t="shared" si="95"/>
        <v>0</v>
      </c>
      <c r="AO618" s="1893"/>
      <c r="AP618" s="1872"/>
      <c r="AQ618" s="1931"/>
      <c r="AR618" s="1915"/>
    </row>
    <row r="619" spans="1:44">
      <c r="A619" s="1927"/>
      <c r="B619" s="1908">
        <v>7</v>
      </c>
      <c r="C619" s="1909">
        <v>8</v>
      </c>
      <c r="D619" s="1928">
        <v>0.19</v>
      </c>
      <c r="E619" s="1917">
        <v>0.33</v>
      </c>
      <c r="F619" s="1927"/>
      <c r="G619" s="1908">
        <v>7</v>
      </c>
      <c r="H619" s="1909">
        <v>8</v>
      </c>
      <c r="I619" s="1928">
        <v>0.25</v>
      </c>
      <c r="J619" s="1917">
        <v>0.39</v>
      </c>
      <c r="K619" s="1927"/>
      <c r="L619" s="1908">
        <v>7</v>
      </c>
      <c r="M619" s="1909">
        <v>8</v>
      </c>
      <c r="N619" s="1928">
        <v>0.23</v>
      </c>
      <c r="O619" s="1917">
        <v>0.48</v>
      </c>
      <c r="P619" s="1927"/>
      <c r="Q619" s="1908"/>
      <c r="R619" s="1909"/>
      <c r="S619" s="1928"/>
      <c r="T619" s="1917"/>
      <c r="U619" s="1927"/>
      <c r="V619" s="1908">
        <v>7</v>
      </c>
      <c r="W619" s="1909">
        <v>8</v>
      </c>
      <c r="X619" s="1928">
        <v>0.43</v>
      </c>
      <c r="Y619" s="1917">
        <v>0.84</v>
      </c>
      <c r="Z619" s="1927"/>
      <c r="AA619" s="1908">
        <v>7</v>
      </c>
      <c r="AB619" s="1909">
        <v>8</v>
      </c>
      <c r="AC619" s="1928">
        <v>0.28999999999999998</v>
      </c>
      <c r="AD619" s="1917">
        <v>0.49</v>
      </c>
      <c r="AF619" s="1890">
        <v>7</v>
      </c>
      <c r="AG619" s="1891">
        <v>8</v>
      </c>
      <c r="AH619" s="1929"/>
      <c r="AI619" s="1914"/>
      <c r="AK619" s="1957">
        <f t="shared" si="93"/>
        <v>0.23</v>
      </c>
      <c r="AL619" s="1958">
        <f t="shared" si="94"/>
        <v>0.43</v>
      </c>
      <c r="AM619" s="1958">
        <f t="shared" si="92"/>
        <v>0.28999999999999998</v>
      </c>
      <c r="AN619" s="1959">
        <f t="shared" si="95"/>
        <v>0</v>
      </c>
      <c r="AO619" s="1893"/>
      <c r="AP619" s="1872"/>
      <c r="AQ619" s="1931"/>
      <c r="AR619" s="1915"/>
    </row>
    <row r="620" spans="1:44">
      <c r="A620" s="1930"/>
      <c r="B620" s="1890">
        <v>8</v>
      </c>
      <c r="C620" s="1891">
        <v>9</v>
      </c>
      <c r="D620" s="1929">
        <v>0.24</v>
      </c>
      <c r="E620" s="1914">
        <v>0.43</v>
      </c>
      <c r="F620" s="1930"/>
      <c r="G620" s="1890">
        <v>8</v>
      </c>
      <c r="H620" s="1891">
        <v>9</v>
      </c>
      <c r="I620" s="1929">
        <v>0.28999999999999998</v>
      </c>
      <c r="J620" s="1914">
        <v>0.46</v>
      </c>
      <c r="K620" s="1930"/>
      <c r="L620" s="1890">
        <v>8</v>
      </c>
      <c r="M620" s="1891">
        <v>9</v>
      </c>
      <c r="N620" s="1929">
        <v>0.28999999999999998</v>
      </c>
      <c r="O620" s="1914">
        <v>0.6</v>
      </c>
      <c r="P620" s="1930"/>
      <c r="Q620" s="1890"/>
      <c r="R620" s="1891"/>
      <c r="S620" s="1929"/>
      <c r="T620" s="1914"/>
      <c r="U620" s="1930"/>
      <c r="V620" s="1890">
        <v>8</v>
      </c>
      <c r="W620" s="1891">
        <v>9</v>
      </c>
      <c r="X620" s="1929">
        <v>0.37</v>
      </c>
      <c r="Y620" s="1914">
        <v>0.68</v>
      </c>
      <c r="Z620" s="1930"/>
      <c r="AA620" s="1890">
        <v>8</v>
      </c>
      <c r="AB620" s="1891">
        <v>9</v>
      </c>
      <c r="AC620" s="1929">
        <v>0.67</v>
      </c>
      <c r="AD620" s="1914">
        <v>1.1100000000000001</v>
      </c>
      <c r="AF620" s="1893">
        <v>8</v>
      </c>
      <c r="AG620" s="1872">
        <v>9</v>
      </c>
      <c r="AH620" s="1931"/>
      <c r="AI620" s="1915"/>
      <c r="AK620" s="1952">
        <f t="shared" si="93"/>
        <v>0.28999999999999998</v>
      </c>
      <c r="AL620" s="1953">
        <f t="shared" si="94"/>
        <v>0.37</v>
      </c>
      <c r="AM620" s="1953">
        <f t="shared" si="92"/>
        <v>0.67</v>
      </c>
      <c r="AN620" s="1954">
        <f t="shared" si="95"/>
        <v>0</v>
      </c>
      <c r="AO620" s="1893"/>
      <c r="AP620" s="1872"/>
      <c r="AQ620" s="1931"/>
      <c r="AR620" s="1915"/>
    </row>
    <row r="621" spans="1:44">
      <c r="A621" s="1930"/>
      <c r="B621" s="1893">
        <v>9</v>
      </c>
      <c r="C621" s="1872">
        <v>10</v>
      </c>
      <c r="D621" s="1931">
        <v>0.32</v>
      </c>
      <c r="E621" s="1915">
        <v>0.56000000000000005</v>
      </c>
      <c r="F621" s="1930"/>
      <c r="G621" s="1893">
        <v>9</v>
      </c>
      <c r="H621" s="1872">
        <v>10</v>
      </c>
      <c r="I621" s="1931">
        <v>0.27</v>
      </c>
      <c r="J621" s="1915">
        <v>0.38</v>
      </c>
      <c r="K621" s="1930"/>
      <c r="L621" s="1893">
        <v>9</v>
      </c>
      <c r="M621" s="1872">
        <v>10</v>
      </c>
      <c r="N621" s="1931">
        <v>0.28999999999999998</v>
      </c>
      <c r="O621" s="1915">
        <v>0.57999999999999996</v>
      </c>
      <c r="P621" s="1930"/>
      <c r="Q621" s="1893"/>
      <c r="R621" s="1872"/>
      <c r="S621" s="1931"/>
      <c r="T621" s="1915"/>
      <c r="U621" s="1930"/>
      <c r="V621" s="1893">
        <v>9</v>
      </c>
      <c r="W621" s="1872">
        <v>10</v>
      </c>
      <c r="X621" s="1931">
        <v>0.43</v>
      </c>
      <c r="Y621" s="1915">
        <v>0.74</v>
      </c>
      <c r="Z621" s="1930"/>
      <c r="AA621" s="1893">
        <v>9</v>
      </c>
      <c r="AB621" s="1872">
        <v>10</v>
      </c>
      <c r="AC621" s="1931">
        <v>0.47</v>
      </c>
      <c r="AD621" s="1915">
        <v>0.74</v>
      </c>
      <c r="AF621" s="1893">
        <v>9</v>
      </c>
      <c r="AG621" s="1872">
        <v>10</v>
      </c>
      <c r="AH621" s="1931"/>
      <c r="AI621" s="1915"/>
      <c r="AK621" s="1955">
        <f t="shared" si="93"/>
        <v>0.28999999999999998</v>
      </c>
      <c r="AL621" s="1926">
        <f t="shared" si="94"/>
        <v>0.43</v>
      </c>
      <c r="AM621" s="1926">
        <f t="shared" si="92"/>
        <v>0.47</v>
      </c>
      <c r="AN621" s="1956">
        <f t="shared" si="95"/>
        <v>0</v>
      </c>
      <c r="AO621" s="1893"/>
      <c r="AP621" s="1872"/>
      <c r="AQ621" s="1932"/>
      <c r="AR621" s="1916"/>
    </row>
    <row r="622" spans="1:44">
      <c r="A622" s="1930"/>
      <c r="B622" s="1893">
        <v>10</v>
      </c>
      <c r="C622" s="1872">
        <v>11</v>
      </c>
      <c r="D622" s="1931">
        <v>0.33</v>
      </c>
      <c r="E622" s="1915">
        <v>0.56999999999999995</v>
      </c>
      <c r="F622" s="1930"/>
      <c r="G622" s="1893">
        <v>10</v>
      </c>
      <c r="H622" s="1872">
        <v>11</v>
      </c>
      <c r="I622" s="1931">
        <v>0.44</v>
      </c>
      <c r="J622" s="1915">
        <v>0.51</v>
      </c>
      <c r="K622" s="1930"/>
      <c r="L622" s="1893">
        <v>10</v>
      </c>
      <c r="M622" s="1872">
        <v>11</v>
      </c>
      <c r="N622" s="1931">
        <v>0.33</v>
      </c>
      <c r="O622" s="1915">
        <v>0.61</v>
      </c>
      <c r="P622" s="1930"/>
      <c r="Q622" s="1893"/>
      <c r="R622" s="1872"/>
      <c r="S622" s="1931"/>
      <c r="T622" s="1915"/>
      <c r="U622" s="1930"/>
      <c r="V622" s="1893">
        <v>10</v>
      </c>
      <c r="W622" s="1872">
        <v>11</v>
      </c>
      <c r="X622" s="1931">
        <v>0.4</v>
      </c>
      <c r="Y622" s="1915">
        <v>0.65</v>
      </c>
      <c r="Z622" s="1930"/>
      <c r="AA622" s="1893">
        <v>10</v>
      </c>
      <c r="AB622" s="1872">
        <v>11</v>
      </c>
      <c r="AC622" s="1931">
        <v>0.43</v>
      </c>
      <c r="AD622" s="1915">
        <v>0.57999999999999996</v>
      </c>
      <c r="AF622" s="1893">
        <v>10</v>
      </c>
      <c r="AG622" s="1872">
        <v>11</v>
      </c>
      <c r="AH622" s="1931"/>
      <c r="AI622" s="1915"/>
      <c r="AK622" s="1955">
        <f t="shared" si="93"/>
        <v>0.33</v>
      </c>
      <c r="AL622" s="1926">
        <f t="shared" si="94"/>
        <v>0.4</v>
      </c>
      <c r="AM622" s="1926">
        <f t="shared" si="92"/>
        <v>0.43</v>
      </c>
      <c r="AN622" s="1956">
        <f t="shared" si="95"/>
        <v>0</v>
      </c>
      <c r="AO622" s="1894"/>
      <c r="AP622" s="1895"/>
      <c r="AQ622" s="1933"/>
      <c r="AR622" s="1911"/>
    </row>
    <row r="623" spans="1:44">
      <c r="A623" s="1930"/>
      <c r="B623" s="1893">
        <v>11</v>
      </c>
      <c r="C623" s="1872">
        <v>12</v>
      </c>
      <c r="D623" s="1931">
        <v>0.33</v>
      </c>
      <c r="E623" s="1915">
        <v>0.56999999999999995</v>
      </c>
      <c r="F623" s="1930"/>
      <c r="G623" s="1893">
        <v>11</v>
      </c>
      <c r="H623" s="1872">
        <v>12</v>
      </c>
      <c r="I623" s="1931">
        <v>0.42</v>
      </c>
      <c r="J623" s="1915">
        <v>0.44</v>
      </c>
      <c r="K623" s="1930"/>
      <c r="L623" s="1893">
        <v>11</v>
      </c>
      <c r="M623" s="1872">
        <v>12</v>
      </c>
      <c r="N623" s="1931">
        <v>0.33</v>
      </c>
      <c r="O623" s="1915">
        <v>0.6</v>
      </c>
      <c r="P623" s="1930"/>
      <c r="Q623" s="1893"/>
      <c r="R623" s="1872"/>
      <c r="S623" s="1931"/>
      <c r="T623" s="1915"/>
      <c r="U623" s="1930"/>
      <c r="V623" s="1893">
        <v>11</v>
      </c>
      <c r="W623" s="1872">
        <v>12</v>
      </c>
      <c r="X623" s="1931">
        <v>0.28000000000000003</v>
      </c>
      <c r="Y623" s="1915">
        <v>0.44</v>
      </c>
      <c r="Z623" s="1930"/>
      <c r="AA623" s="1893">
        <v>11</v>
      </c>
      <c r="AB623" s="1872">
        <v>12</v>
      </c>
      <c r="AC623" s="1931">
        <v>0.41</v>
      </c>
      <c r="AD623" s="1915">
        <v>0.43</v>
      </c>
      <c r="AF623" s="1893">
        <v>11</v>
      </c>
      <c r="AG623" s="1872">
        <v>12</v>
      </c>
      <c r="AH623" s="1931"/>
      <c r="AI623" s="1915"/>
      <c r="AK623" s="1955">
        <f t="shared" si="93"/>
        <v>0.33</v>
      </c>
      <c r="AL623" s="1926">
        <f t="shared" si="94"/>
        <v>0.28000000000000003</v>
      </c>
      <c r="AM623" s="1926">
        <f t="shared" si="92"/>
        <v>0.41</v>
      </c>
      <c r="AN623" s="1956">
        <f t="shared" si="95"/>
        <v>0</v>
      </c>
      <c r="AO623" s="1910"/>
      <c r="AP623" s="1889"/>
      <c r="AQ623" s="1935"/>
      <c r="AR623" s="1912"/>
    </row>
    <row r="624" spans="1:44">
      <c r="A624" s="1930"/>
      <c r="B624" s="1893">
        <v>12</v>
      </c>
      <c r="C624" s="1872">
        <v>13</v>
      </c>
      <c r="D624" s="1931">
        <v>0.38</v>
      </c>
      <c r="E624" s="1915">
        <v>0.65</v>
      </c>
      <c r="F624" s="1930"/>
      <c r="G624" s="1893">
        <v>12</v>
      </c>
      <c r="H624" s="1872">
        <v>13</v>
      </c>
      <c r="I624" s="1931">
        <v>0.23</v>
      </c>
      <c r="J624" s="1915">
        <v>0.21</v>
      </c>
      <c r="K624" s="1930"/>
      <c r="L624" s="1893">
        <v>12</v>
      </c>
      <c r="M624" s="1872">
        <v>13</v>
      </c>
      <c r="N624" s="1931">
        <v>0.17</v>
      </c>
      <c r="O624" s="1915">
        <v>0.3</v>
      </c>
      <c r="P624" s="1930"/>
      <c r="Q624" s="1893"/>
      <c r="R624" s="1872"/>
      <c r="S624" s="1931"/>
      <c r="T624" s="1915"/>
      <c r="U624" s="1930"/>
      <c r="V624" s="1893">
        <v>12</v>
      </c>
      <c r="W624" s="1872">
        <v>13</v>
      </c>
      <c r="X624" s="1931">
        <v>0.44</v>
      </c>
      <c r="Y624" s="1915">
        <v>0.69</v>
      </c>
      <c r="Z624" s="1930"/>
      <c r="AA624" s="1893">
        <v>12</v>
      </c>
      <c r="AB624" s="1872">
        <v>13</v>
      </c>
      <c r="AC624" s="1931">
        <v>0.47</v>
      </c>
      <c r="AD624" s="1915">
        <v>0.45</v>
      </c>
      <c r="AF624" s="1893">
        <v>12</v>
      </c>
      <c r="AG624" s="1872">
        <v>13</v>
      </c>
      <c r="AH624" s="1931"/>
      <c r="AI624" s="1915"/>
      <c r="AK624" s="1955">
        <f t="shared" si="93"/>
        <v>0.17</v>
      </c>
      <c r="AL624" s="1926">
        <f t="shared" si="94"/>
        <v>0.44</v>
      </c>
      <c r="AM624" s="1926">
        <f t="shared" si="92"/>
        <v>0.47</v>
      </c>
      <c r="AN624" s="1956">
        <f t="shared" si="95"/>
        <v>0</v>
      </c>
      <c r="AO624" s="1902"/>
      <c r="AP624" s="1873"/>
      <c r="AQ624" s="1935"/>
      <c r="AR624" s="1912"/>
    </row>
    <row r="625" spans="1:44">
      <c r="A625" s="1930"/>
      <c r="B625" s="1893">
        <v>13</v>
      </c>
      <c r="C625" s="1872">
        <v>14</v>
      </c>
      <c r="D625" s="1931">
        <v>0.5</v>
      </c>
      <c r="E625" s="1915">
        <v>0.84</v>
      </c>
      <c r="F625" s="1930"/>
      <c r="G625" s="1893">
        <v>13</v>
      </c>
      <c r="H625" s="1872">
        <v>14</v>
      </c>
      <c r="I625" s="1931">
        <v>0.84</v>
      </c>
      <c r="J625" s="1915">
        <v>0.72</v>
      </c>
      <c r="K625" s="1930"/>
      <c r="L625" s="1893">
        <v>13</v>
      </c>
      <c r="M625" s="1872">
        <v>14</v>
      </c>
      <c r="N625" s="1931">
        <v>0.22</v>
      </c>
      <c r="O625" s="1915">
        <v>0.38</v>
      </c>
      <c r="P625" s="1930"/>
      <c r="Q625" s="1893"/>
      <c r="R625" s="1872"/>
      <c r="S625" s="1931"/>
      <c r="T625" s="1915"/>
      <c r="U625" s="1930"/>
      <c r="V625" s="1893">
        <v>13</v>
      </c>
      <c r="W625" s="1872">
        <v>14</v>
      </c>
      <c r="X625" s="1931">
        <v>0.4</v>
      </c>
      <c r="Y625" s="1915">
        <v>0.59</v>
      </c>
      <c r="Z625" s="1930"/>
      <c r="AA625" s="1893">
        <v>13</v>
      </c>
      <c r="AB625" s="1872">
        <v>14</v>
      </c>
      <c r="AC625" s="1931">
        <v>0.34</v>
      </c>
      <c r="AD625" s="1915">
        <v>0.28000000000000003</v>
      </c>
      <c r="AF625" s="1893">
        <v>13</v>
      </c>
      <c r="AG625" s="1872">
        <v>14</v>
      </c>
      <c r="AH625" s="1931"/>
      <c r="AI625" s="1915"/>
      <c r="AK625" s="1955">
        <f t="shared" si="93"/>
        <v>0.22</v>
      </c>
      <c r="AL625" s="1926">
        <f t="shared" si="94"/>
        <v>0.4</v>
      </c>
      <c r="AM625" s="1926">
        <f t="shared" si="92"/>
        <v>0.34</v>
      </c>
      <c r="AN625" s="1956">
        <f t="shared" si="95"/>
        <v>0</v>
      </c>
      <c r="AO625" s="1902"/>
      <c r="AP625" s="1873"/>
      <c r="AQ625" s="1935"/>
      <c r="AR625" s="1912"/>
    </row>
    <row r="626" spans="1:44">
      <c r="A626" s="1930"/>
      <c r="B626" s="1893">
        <v>14</v>
      </c>
      <c r="C626" s="1872">
        <v>15</v>
      </c>
      <c r="D626" s="1931">
        <v>0.25</v>
      </c>
      <c r="E626" s="1915">
        <v>0.42</v>
      </c>
      <c r="F626" s="1930"/>
      <c r="G626" s="1893">
        <v>14</v>
      </c>
      <c r="H626" s="1872">
        <v>15</v>
      </c>
      <c r="I626" s="1931">
        <v>0.41</v>
      </c>
      <c r="J626" s="1915">
        <v>0.35</v>
      </c>
      <c r="K626" s="1930"/>
      <c r="L626" s="1893">
        <v>14</v>
      </c>
      <c r="M626" s="1872">
        <v>15</v>
      </c>
      <c r="N626" s="1931">
        <v>0.94</v>
      </c>
      <c r="O626" s="1915">
        <v>1.53</v>
      </c>
      <c r="P626" s="1930"/>
      <c r="Q626" s="1893"/>
      <c r="R626" s="1872"/>
      <c r="S626" s="1931"/>
      <c r="T626" s="1915"/>
      <c r="U626" s="1930"/>
      <c r="V626" s="1893">
        <v>14</v>
      </c>
      <c r="W626" s="1872">
        <v>15</v>
      </c>
      <c r="X626" s="1931">
        <v>0.45</v>
      </c>
      <c r="Y626" s="1915">
        <v>0.68</v>
      </c>
      <c r="Z626" s="1930"/>
      <c r="AA626" s="1893">
        <v>14</v>
      </c>
      <c r="AB626" s="1872">
        <v>15</v>
      </c>
      <c r="AC626" s="1931">
        <v>0.82</v>
      </c>
      <c r="AD626" s="1915">
        <v>0.67</v>
      </c>
      <c r="AF626" s="1893">
        <v>14</v>
      </c>
      <c r="AG626" s="1872">
        <v>15</v>
      </c>
      <c r="AH626" s="1931"/>
      <c r="AI626" s="1915"/>
      <c r="AK626" s="1955">
        <f t="shared" si="93"/>
        <v>0.94</v>
      </c>
      <c r="AL626" s="1926">
        <f t="shared" si="94"/>
        <v>0.45</v>
      </c>
      <c r="AM626" s="1926">
        <f t="shared" si="92"/>
        <v>0.82</v>
      </c>
      <c r="AN626" s="1956">
        <f t="shared" si="95"/>
        <v>0</v>
      </c>
      <c r="AO626" s="1902"/>
      <c r="AP626" s="1873"/>
      <c r="AQ626" s="1935"/>
      <c r="AR626" s="1912"/>
    </row>
    <row r="627" spans="1:44">
      <c r="A627" s="1930"/>
      <c r="B627" s="1893">
        <v>15</v>
      </c>
      <c r="C627" s="1872">
        <v>16</v>
      </c>
      <c r="D627" s="1931">
        <v>0.3</v>
      </c>
      <c r="E627" s="1915">
        <v>0.5</v>
      </c>
      <c r="F627" s="1930"/>
      <c r="G627" s="1893">
        <v>15</v>
      </c>
      <c r="H627" s="1872">
        <v>16</v>
      </c>
      <c r="I627" s="1931">
        <v>0.33</v>
      </c>
      <c r="J627" s="1915">
        <v>0.28999999999999998</v>
      </c>
      <c r="K627" s="1930"/>
      <c r="L627" s="1893">
        <v>15</v>
      </c>
      <c r="M627" s="1872">
        <v>16</v>
      </c>
      <c r="N627" s="1931">
        <v>0.92</v>
      </c>
      <c r="O627" s="1915">
        <v>1.48</v>
      </c>
      <c r="P627" s="1930"/>
      <c r="Q627" s="1893"/>
      <c r="R627" s="1872"/>
      <c r="S627" s="1931"/>
      <c r="T627" s="1915"/>
      <c r="U627" s="1930"/>
      <c r="V627" s="1893">
        <v>15</v>
      </c>
      <c r="W627" s="1872">
        <v>16</v>
      </c>
      <c r="X627" s="1931">
        <v>0.37</v>
      </c>
      <c r="Y627" s="1915">
        <v>0.53</v>
      </c>
      <c r="Z627" s="1930"/>
      <c r="AA627" s="1893">
        <v>15</v>
      </c>
      <c r="AB627" s="1872">
        <v>16</v>
      </c>
      <c r="AC627" s="1931">
        <v>0.41</v>
      </c>
      <c r="AD627" s="1915">
        <v>0.37</v>
      </c>
      <c r="AF627" s="1893">
        <v>15</v>
      </c>
      <c r="AG627" s="1872">
        <v>16</v>
      </c>
      <c r="AH627" s="1931"/>
      <c r="AI627" s="1915"/>
      <c r="AK627" s="1955">
        <f t="shared" si="93"/>
        <v>0.92</v>
      </c>
      <c r="AL627" s="1926">
        <f t="shared" si="94"/>
        <v>0.37</v>
      </c>
      <c r="AM627" s="1926">
        <f t="shared" si="92"/>
        <v>0.41</v>
      </c>
      <c r="AN627" s="1956">
        <f t="shared" si="95"/>
        <v>0</v>
      </c>
      <c r="AO627" s="1902"/>
      <c r="AP627" s="1873"/>
      <c r="AQ627" s="1935"/>
      <c r="AR627" s="1912"/>
    </row>
    <row r="628" spans="1:44">
      <c r="A628" s="1930"/>
      <c r="B628" s="1893">
        <v>16</v>
      </c>
      <c r="C628" s="1872">
        <v>17</v>
      </c>
      <c r="D628" s="1931">
        <v>0.36</v>
      </c>
      <c r="E628" s="1915">
        <v>0.62</v>
      </c>
      <c r="F628" s="1930"/>
      <c r="G628" s="1893">
        <v>16</v>
      </c>
      <c r="H628" s="1872">
        <v>17</v>
      </c>
      <c r="I628" s="1931">
        <v>0.95</v>
      </c>
      <c r="J628" s="1915">
        <v>1.04</v>
      </c>
      <c r="K628" s="1930"/>
      <c r="L628" s="1893">
        <v>16</v>
      </c>
      <c r="M628" s="1872">
        <v>17</v>
      </c>
      <c r="N628" s="1931">
        <v>0.42</v>
      </c>
      <c r="O628" s="1915">
        <v>0.68</v>
      </c>
      <c r="P628" s="1930"/>
      <c r="Q628" s="1893"/>
      <c r="R628" s="1872"/>
      <c r="S628" s="1931"/>
      <c r="T628" s="1915"/>
      <c r="U628" s="1930"/>
      <c r="V628" s="1893">
        <v>16</v>
      </c>
      <c r="W628" s="1872">
        <v>17</v>
      </c>
      <c r="X628" s="1931">
        <v>0.43</v>
      </c>
      <c r="Y628" s="1915">
        <v>0.66</v>
      </c>
      <c r="Z628" s="1930"/>
      <c r="AA628" s="1893">
        <v>16</v>
      </c>
      <c r="AB628" s="1872">
        <v>17</v>
      </c>
      <c r="AC628" s="1931">
        <v>0.47</v>
      </c>
      <c r="AD628" s="1915">
        <v>0.51</v>
      </c>
      <c r="AF628" s="1894">
        <v>16</v>
      </c>
      <c r="AG628" s="1895">
        <v>17</v>
      </c>
      <c r="AH628" s="1932"/>
      <c r="AI628" s="1916"/>
      <c r="AK628" s="1955">
        <f t="shared" si="93"/>
        <v>0.42</v>
      </c>
      <c r="AL628" s="1926">
        <f t="shared" si="94"/>
        <v>0.43</v>
      </c>
      <c r="AM628" s="1926">
        <f t="shared" si="92"/>
        <v>0.47</v>
      </c>
      <c r="AN628" s="1956">
        <f t="shared" si="95"/>
        <v>0</v>
      </c>
      <c r="AO628" s="1902"/>
      <c r="AP628" s="1873"/>
      <c r="AQ628" s="1936"/>
      <c r="AR628" s="1937"/>
    </row>
    <row r="629" spans="1:44">
      <c r="A629" s="1930"/>
      <c r="B629" s="1894">
        <v>17</v>
      </c>
      <c r="C629" s="1895">
        <v>18</v>
      </c>
      <c r="D629" s="1932">
        <v>1.91</v>
      </c>
      <c r="E629" s="1916">
        <v>4.79</v>
      </c>
      <c r="F629" s="1930"/>
      <c r="G629" s="1894">
        <v>17</v>
      </c>
      <c r="H629" s="1895">
        <v>18</v>
      </c>
      <c r="I629" s="1932">
        <v>1.05</v>
      </c>
      <c r="J629" s="1916">
        <v>2.46</v>
      </c>
      <c r="K629" s="1930"/>
      <c r="L629" s="1894">
        <v>17</v>
      </c>
      <c r="M629" s="1895">
        <v>18</v>
      </c>
      <c r="N629" s="1932">
        <v>0.35</v>
      </c>
      <c r="O629" s="1916">
        <v>0.61</v>
      </c>
      <c r="P629" s="1930"/>
      <c r="Q629" s="1894"/>
      <c r="R629" s="1895"/>
      <c r="S629" s="1932"/>
      <c r="T629" s="1916"/>
      <c r="U629" s="1930"/>
      <c r="V629" s="1894">
        <v>17</v>
      </c>
      <c r="W629" s="1895">
        <v>18</v>
      </c>
      <c r="X629" s="1932">
        <v>0.71</v>
      </c>
      <c r="Y629" s="1916">
        <v>1.1000000000000001</v>
      </c>
      <c r="Z629" s="1930"/>
      <c r="AA629" s="1894">
        <v>17</v>
      </c>
      <c r="AB629" s="1895">
        <v>18</v>
      </c>
      <c r="AC629" s="1932">
        <v>1.03</v>
      </c>
      <c r="AD629" s="1916">
        <v>1.32</v>
      </c>
      <c r="AF629" s="1910">
        <v>17</v>
      </c>
      <c r="AG629" s="1889">
        <v>18</v>
      </c>
      <c r="AH629" s="1933"/>
      <c r="AI629" s="1911"/>
      <c r="AK629" s="1957">
        <f t="shared" si="93"/>
        <v>0.35</v>
      </c>
      <c r="AL629" s="1958">
        <f t="shared" si="94"/>
        <v>0.71</v>
      </c>
      <c r="AM629" s="1958">
        <f t="shared" si="92"/>
        <v>1.03</v>
      </c>
      <c r="AN629" s="1959">
        <f t="shared" si="95"/>
        <v>0</v>
      </c>
      <c r="AO629" s="2766"/>
      <c r="AP629" s="2766"/>
      <c r="AQ629" s="1926"/>
      <c r="AR629" s="1913"/>
    </row>
    <row r="630" spans="1:44">
      <c r="A630" s="1934"/>
      <c r="B630" s="1910">
        <v>18</v>
      </c>
      <c r="C630" s="1889">
        <v>19</v>
      </c>
      <c r="D630" s="1933">
        <v>0.3</v>
      </c>
      <c r="E630" s="1911">
        <v>0.75</v>
      </c>
      <c r="F630" s="1934"/>
      <c r="G630" s="1910">
        <v>18</v>
      </c>
      <c r="H630" s="1889">
        <v>19</v>
      </c>
      <c r="I630" s="1933">
        <v>0.42</v>
      </c>
      <c r="J630" s="1911">
        <v>1.01</v>
      </c>
      <c r="K630" s="1934"/>
      <c r="L630" s="1910">
        <v>18</v>
      </c>
      <c r="M630" s="1889">
        <v>19</v>
      </c>
      <c r="N630" s="1933">
        <v>0.39</v>
      </c>
      <c r="O630" s="1911">
        <v>0.75</v>
      </c>
      <c r="P630" s="1934"/>
      <c r="Q630" s="1910"/>
      <c r="R630" s="1889"/>
      <c r="S630" s="1933"/>
      <c r="T630" s="1911"/>
      <c r="U630" s="1934"/>
      <c r="V630" s="1910">
        <v>18</v>
      </c>
      <c r="W630" s="1889">
        <v>19</v>
      </c>
      <c r="X630" s="1933">
        <v>0.69</v>
      </c>
      <c r="Y630" s="1911">
        <v>1.27</v>
      </c>
      <c r="Z630" s="1934"/>
      <c r="AA630" s="1910">
        <v>18</v>
      </c>
      <c r="AB630" s="1889">
        <v>19</v>
      </c>
      <c r="AC630" s="1933">
        <v>0.64</v>
      </c>
      <c r="AD630" s="1911">
        <v>1.1200000000000001</v>
      </c>
      <c r="AF630" s="1902">
        <v>18</v>
      </c>
      <c r="AG630" s="1873">
        <v>19</v>
      </c>
      <c r="AH630" s="1935"/>
      <c r="AI630" s="1912"/>
      <c r="AK630" s="1952">
        <f t="shared" si="93"/>
        <v>0.39</v>
      </c>
      <c r="AL630" s="1953">
        <f t="shared" si="94"/>
        <v>0.69</v>
      </c>
      <c r="AM630" s="1953">
        <f t="shared" si="92"/>
        <v>0.64</v>
      </c>
      <c r="AN630" s="1954">
        <f t="shared" si="95"/>
        <v>0</v>
      </c>
      <c r="AO630" s="1883"/>
      <c r="AP630" s="1871"/>
      <c r="AQ630" s="1926"/>
      <c r="AR630" s="1913"/>
    </row>
    <row r="631" spans="1:44">
      <c r="A631" s="1934"/>
      <c r="B631" s="1902">
        <v>19</v>
      </c>
      <c r="C631" s="1873">
        <v>20</v>
      </c>
      <c r="D631" s="1935">
        <v>0.32</v>
      </c>
      <c r="E631" s="1912">
        <v>0.78</v>
      </c>
      <c r="F631" s="1934"/>
      <c r="G631" s="1902">
        <v>19</v>
      </c>
      <c r="H631" s="1873">
        <v>20</v>
      </c>
      <c r="I631" s="1935">
        <v>0.45</v>
      </c>
      <c r="J631" s="1912">
        <v>1.0900000000000001</v>
      </c>
      <c r="K631" s="1934"/>
      <c r="L631" s="1902">
        <v>19</v>
      </c>
      <c r="M631" s="1873">
        <v>20</v>
      </c>
      <c r="N631" s="1935">
        <v>0.31</v>
      </c>
      <c r="O631" s="1912">
        <v>0.64</v>
      </c>
      <c r="P631" s="1934"/>
      <c r="Q631" s="1902"/>
      <c r="R631" s="1873"/>
      <c r="S631" s="1935"/>
      <c r="T631" s="1912"/>
      <c r="U631" s="1934"/>
      <c r="V631" s="1902">
        <v>19</v>
      </c>
      <c r="W631" s="1873">
        <v>20</v>
      </c>
      <c r="X631" s="1935">
        <v>0.44</v>
      </c>
      <c r="Y631" s="1912">
        <v>0.92</v>
      </c>
      <c r="Z631" s="1934"/>
      <c r="AA631" s="1902">
        <v>19</v>
      </c>
      <c r="AB631" s="1873">
        <v>20</v>
      </c>
      <c r="AC631" s="1935">
        <v>0.56999999999999995</v>
      </c>
      <c r="AD631" s="1912">
        <v>1.1499999999999999</v>
      </c>
      <c r="AF631" s="1902">
        <v>19</v>
      </c>
      <c r="AG631" s="1873">
        <v>20</v>
      </c>
      <c r="AH631" s="1935"/>
      <c r="AI631" s="1912"/>
      <c r="AK631" s="1955">
        <f t="shared" si="93"/>
        <v>0.31</v>
      </c>
      <c r="AL631" s="1926">
        <f t="shared" si="94"/>
        <v>0.44</v>
      </c>
      <c r="AM631" s="1926">
        <f t="shared" si="92"/>
        <v>0.56999999999999995</v>
      </c>
      <c r="AN631" s="1956">
        <f t="shared" si="95"/>
        <v>0</v>
      </c>
      <c r="AO631" s="1883"/>
      <c r="AP631" s="1871"/>
      <c r="AQ631" s="1926"/>
      <c r="AR631" s="1913"/>
    </row>
    <row r="632" spans="1:44">
      <c r="A632" s="1934"/>
      <c r="B632" s="1902">
        <v>20</v>
      </c>
      <c r="C632" s="1873">
        <v>21</v>
      </c>
      <c r="D632" s="1935">
        <v>0.3</v>
      </c>
      <c r="E632" s="1912">
        <v>0.49</v>
      </c>
      <c r="F632" s="1934"/>
      <c r="G632" s="1902">
        <v>20</v>
      </c>
      <c r="H632" s="1873">
        <v>21</v>
      </c>
      <c r="I632" s="1935">
        <v>0.3</v>
      </c>
      <c r="J632" s="1912">
        <v>0.49</v>
      </c>
      <c r="K632" s="1934"/>
      <c r="L632" s="1902">
        <v>20</v>
      </c>
      <c r="M632" s="1873">
        <v>21</v>
      </c>
      <c r="N632" s="1935">
        <v>0.35</v>
      </c>
      <c r="O632" s="1912">
        <v>0.72</v>
      </c>
      <c r="P632" s="1934"/>
      <c r="Q632" s="1902"/>
      <c r="R632" s="1873"/>
      <c r="S632" s="1935"/>
      <c r="T632" s="1912"/>
      <c r="U632" s="1934"/>
      <c r="V632" s="1902">
        <v>20</v>
      </c>
      <c r="W632" s="1873">
        <v>21</v>
      </c>
      <c r="X632" s="1935">
        <v>0.45</v>
      </c>
      <c r="Y632" s="1912">
        <v>0.96</v>
      </c>
      <c r="Z632" s="1934"/>
      <c r="AA632" s="1902">
        <v>20</v>
      </c>
      <c r="AB632" s="1873">
        <v>21</v>
      </c>
      <c r="AC632" s="1935">
        <v>0.4</v>
      </c>
      <c r="AD632" s="1912">
        <v>0.85</v>
      </c>
      <c r="AF632" s="1902">
        <v>20</v>
      </c>
      <c r="AG632" s="1873">
        <v>21</v>
      </c>
      <c r="AH632" s="1935"/>
      <c r="AI632" s="1912"/>
      <c r="AK632" s="1955">
        <f t="shared" si="93"/>
        <v>0.35</v>
      </c>
      <c r="AL632" s="1926">
        <f t="shared" si="94"/>
        <v>0.45</v>
      </c>
      <c r="AM632" s="1926">
        <f t="shared" si="92"/>
        <v>0.4</v>
      </c>
      <c r="AN632" s="1956">
        <f t="shared" si="95"/>
        <v>0</v>
      </c>
      <c r="AO632" s="1883"/>
      <c r="AP632" s="1871"/>
      <c r="AQ632" s="1926"/>
      <c r="AR632" s="1913"/>
    </row>
    <row r="633" spans="1:44">
      <c r="A633" s="1934"/>
      <c r="B633" s="1902">
        <v>21</v>
      </c>
      <c r="C633" s="1873">
        <v>22</v>
      </c>
      <c r="D633" s="1935">
        <v>0.28000000000000003</v>
      </c>
      <c r="E633" s="1912">
        <v>0.46</v>
      </c>
      <c r="F633" s="1934"/>
      <c r="G633" s="1902">
        <v>21</v>
      </c>
      <c r="H633" s="1873">
        <v>22</v>
      </c>
      <c r="I633" s="1935">
        <v>0.37</v>
      </c>
      <c r="J633" s="1912">
        <v>0.59</v>
      </c>
      <c r="K633" s="1934"/>
      <c r="L633" s="1902">
        <v>21</v>
      </c>
      <c r="M633" s="1873">
        <v>22</v>
      </c>
      <c r="N633" s="1935">
        <v>0.3</v>
      </c>
      <c r="O633" s="1912">
        <v>0.56000000000000005</v>
      </c>
      <c r="P633" s="1934"/>
      <c r="Q633" s="1902"/>
      <c r="R633" s="1873"/>
      <c r="S633" s="1935"/>
      <c r="T633" s="1912"/>
      <c r="U633" s="1934"/>
      <c r="V633" s="1902">
        <v>21</v>
      </c>
      <c r="W633" s="1873">
        <v>22</v>
      </c>
      <c r="X633" s="1935">
        <v>0.31</v>
      </c>
      <c r="Y633" s="1912">
        <v>0.68</v>
      </c>
      <c r="Z633" s="1934"/>
      <c r="AA633" s="1902">
        <v>21</v>
      </c>
      <c r="AB633" s="1873">
        <v>22</v>
      </c>
      <c r="AC633" s="1935">
        <v>0.41</v>
      </c>
      <c r="AD633" s="1912">
        <v>0.91</v>
      </c>
      <c r="AF633" s="1902">
        <v>21</v>
      </c>
      <c r="AG633" s="1873">
        <v>22</v>
      </c>
      <c r="AH633" s="1935"/>
      <c r="AI633" s="1912"/>
      <c r="AK633" s="1955">
        <f t="shared" si="93"/>
        <v>0.3</v>
      </c>
      <c r="AL633" s="1926">
        <f t="shared" si="94"/>
        <v>0.31</v>
      </c>
      <c r="AM633" s="1926">
        <f t="shared" si="92"/>
        <v>0.41</v>
      </c>
      <c r="AN633" s="1956">
        <f t="shared" si="95"/>
        <v>0</v>
      </c>
      <c r="AO633" s="1883"/>
      <c r="AP633" s="1871"/>
      <c r="AQ633" s="1926"/>
      <c r="AR633" s="1913"/>
    </row>
    <row r="634" spans="1:44">
      <c r="A634" s="1934"/>
      <c r="B634" s="1902">
        <v>22</v>
      </c>
      <c r="C634" s="1873">
        <v>23</v>
      </c>
      <c r="D634" s="1935">
        <v>0.15</v>
      </c>
      <c r="E634" s="1912">
        <v>0.25</v>
      </c>
      <c r="F634" s="1934"/>
      <c r="G634" s="1902">
        <v>22</v>
      </c>
      <c r="H634" s="1873">
        <v>23</v>
      </c>
      <c r="I634" s="1935">
        <v>0.19</v>
      </c>
      <c r="J634" s="1912">
        <v>0.28999999999999998</v>
      </c>
      <c r="K634" s="1934"/>
      <c r="L634" s="1902">
        <v>22</v>
      </c>
      <c r="M634" s="1873">
        <v>23</v>
      </c>
      <c r="N634" s="1935">
        <v>0.23</v>
      </c>
      <c r="O634" s="1912">
        <v>0.43</v>
      </c>
      <c r="P634" s="1934"/>
      <c r="Q634" s="1902"/>
      <c r="R634" s="1873"/>
      <c r="S634" s="1935"/>
      <c r="T634" s="1912"/>
      <c r="U634" s="1934"/>
      <c r="V634" s="1902">
        <v>22</v>
      </c>
      <c r="W634" s="1873">
        <v>23</v>
      </c>
      <c r="X634" s="1935">
        <v>0.31</v>
      </c>
      <c r="Y634" s="1912">
        <v>0.57999999999999996</v>
      </c>
      <c r="Z634" s="1934"/>
      <c r="AA634" s="1902">
        <v>22</v>
      </c>
      <c r="AB634" s="1873">
        <v>23</v>
      </c>
      <c r="AC634" s="1935">
        <v>0.27</v>
      </c>
      <c r="AD634" s="1912">
        <v>0.55000000000000004</v>
      </c>
      <c r="AF634" s="1902">
        <v>22</v>
      </c>
      <c r="AG634" s="1873">
        <v>23</v>
      </c>
      <c r="AH634" s="1935"/>
      <c r="AI634" s="1912"/>
      <c r="AK634" s="1955">
        <f t="shared" si="93"/>
        <v>0.23</v>
      </c>
      <c r="AL634" s="1926">
        <f t="shared" si="94"/>
        <v>0.31</v>
      </c>
      <c r="AM634" s="1926">
        <f t="shared" si="92"/>
        <v>0.27</v>
      </c>
      <c r="AN634" s="1956">
        <f t="shared" si="95"/>
        <v>0</v>
      </c>
      <c r="AO634" s="1883"/>
      <c r="AP634" s="1871"/>
      <c r="AQ634" s="1926"/>
      <c r="AR634" s="1913"/>
    </row>
    <row r="635" spans="1:44" ht="15" thickBot="1">
      <c r="A635" s="1934"/>
      <c r="B635" s="1902">
        <v>23</v>
      </c>
      <c r="C635" s="1873">
        <v>24</v>
      </c>
      <c r="D635" s="1935">
        <v>0.13</v>
      </c>
      <c r="E635" s="1912">
        <v>0.2</v>
      </c>
      <c r="F635" s="1934"/>
      <c r="G635" s="1902">
        <v>23</v>
      </c>
      <c r="H635" s="1873">
        <v>24</v>
      </c>
      <c r="I635" s="1935">
        <v>0.12</v>
      </c>
      <c r="J635" s="1912">
        <v>0.17</v>
      </c>
      <c r="K635" s="1934"/>
      <c r="L635" s="1902">
        <v>23</v>
      </c>
      <c r="M635" s="1873">
        <v>24</v>
      </c>
      <c r="N635" s="1935">
        <v>0.14000000000000001</v>
      </c>
      <c r="O635" s="1912">
        <v>0.25</v>
      </c>
      <c r="P635" s="1934"/>
      <c r="Q635" s="1902"/>
      <c r="R635" s="1873"/>
      <c r="S635" s="1935"/>
      <c r="T635" s="1912"/>
      <c r="U635" s="1934"/>
      <c r="V635" s="1902">
        <v>23</v>
      </c>
      <c r="W635" s="1873">
        <v>24</v>
      </c>
      <c r="X635" s="1935">
        <v>0.27</v>
      </c>
      <c r="Y635" s="1912">
        <v>0.43</v>
      </c>
      <c r="Z635" s="1934"/>
      <c r="AA635" s="1902">
        <v>23</v>
      </c>
      <c r="AB635" s="1873">
        <v>24</v>
      </c>
      <c r="AC635" s="1935">
        <v>0.28000000000000003</v>
      </c>
      <c r="AD635" s="1912">
        <v>0.54</v>
      </c>
      <c r="AF635" s="1902">
        <v>23</v>
      </c>
      <c r="AG635" s="1873">
        <v>24</v>
      </c>
      <c r="AH635" s="1935"/>
      <c r="AI635" s="1912"/>
      <c r="AK635" s="1957">
        <f t="shared" si="93"/>
        <v>0.14000000000000001</v>
      </c>
      <c r="AL635" s="1958">
        <f t="shared" si="94"/>
        <v>0.27</v>
      </c>
      <c r="AM635" s="1958">
        <f t="shared" si="92"/>
        <v>0.28000000000000003</v>
      </c>
      <c r="AN635" s="1959">
        <f t="shared" si="95"/>
        <v>0</v>
      </c>
      <c r="AO635" s="1883"/>
      <c r="AP635" s="1871"/>
      <c r="AQ635" s="1926"/>
      <c r="AR635" s="1913"/>
    </row>
    <row r="636" spans="1:44">
      <c r="B636" s="2766">
        <v>44982</v>
      </c>
      <c r="C636" s="2766"/>
      <c r="D636" s="1922">
        <f>SUM(D637:D660)</f>
        <v>5.6400000000000006</v>
      </c>
      <c r="E636" s="1923">
        <f>SUM(E637:E660)</f>
        <v>9.25</v>
      </c>
      <c r="G636" s="2773">
        <v>45010</v>
      </c>
      <c r="H636" s="2773"/>
      <c r="I636" s="1922">
        <f>SUM(I637:I660)</f>
        <v>8.4700000000000006</v>
      </c>
      <c r="J636" s="1923">
        <f>SUM(J637:J660)</f>
        <v>12.1</v>
      </c>
      <c r="L636" s="2773">
        <v>45041</v>
      </c>
      <c r="M636" s="2773"/>
      <c r="N636" s="1936">
        <f>SUM(N637:N660)</f>
        <v>7.12</v>
      </c>
      <c r="O636" s="1937">
        <f>SUM(O637:O660)</f>
        <v>9.870000000000001</v>
      </c>
      <c r="Q636" s="2766">
        <v>45071</v>
      </c>
      <c r="R636" s="2766"/>
      <c r="S636" s="1936"/>
      <c r="T636" s="1937"/>
      <c r="V636" s="2766">
        <v>45071</v>
      </c>
      <c r="W636" s="2766"/>
      <c r="X636" s="1936">
        <f>SUM(X637:X660)</f>
        <v>11.740000000000004</v>
      </c>
      <c r="Y636" s="1937">
        <f>SUM(Y637:Y660)</f>
        <v>14.83</v>
      </c>
      <c r="AA636" s="2766">
        <v>45102</v>
      </c>
      <c r="AB636" s="2766"/>
      <c r="AC636" s="1936">
        <f>SUM(AC637:AC660)</f>
        <v>11.1</v>
      </c>
      <c r="AD636" s="1937">
        <f>SUM(AD637:AD660)</f>
        <v>15.13</v>
      </c>
      <c r="AF636" s="2766">
        <v>45132</v>
      </c>
      <c r="AG636" s="2766"/>
      <c r="AH636" s="1936">
        <f>SUM(AH637:AH660)</f>
        <v>0</v>
      </c>
      <c r="AI636" s="1937">
        <f>SUM(AI637:AI660)</f>
        <v>0</v>
      </c>
      <c r="AO636" s="1883"/>
      <c r="AP636" s="1871"/>
      <c r="AQ636" s="1928"/>
      <c r="AR636" s="1917"/>
    </row>
    <row r="637" spans="1:44">
      <c r="A637" s="1927"/>
      <c r="B637" s="1883">
        <v>0</v>
      </c>
      <c r="C637" s="1871">
        <v>1</v>
      </c>
      <c r="D637" s="1926">
        <v>0.18</v>
      </c>
      <c r="E637" s="1913">
        <v>0.3</v>
      </c>
      <c r="F637" s="1927"/>
      <c r="G637" s="1883">
        <v>0</v>
      </c>
      <c r="H637" s="1871">
        <v>1</v>
      </c>
      <c r="I637" s="1926">
        <v>0.14000000000000001</v>
      </c>
      <c r="J637" s="1913">
        <v>0.13</v>
      </c>
      <c r="K637" s="1927"/>
      <c r="L637" s="1883">
        <v>0</v>
      </c>
      <c r="M637" s="1871">
        <v>1</v>
      </c>
      <c r="N637" s="1926">
        <v>0.12</v>
      </c>
      <c r="O637" s="1913">
        <v>0.21</v>
      </c>
      <c r="P637" s="1927"/>
      <c r="Q637" s="1883"/>
      <c r="R637" s="1871"/>
      <c r="S637" s="1926"/>
      <c r="T637" s="1913"/>
      <c r="U637" s="1927"/>
      <c r="V637" s="1883">
        <v>0</v>
      </c>
      <c r="W637" s="1871">
        <v>1</v>
      </c>
      <c r="X637" s="1926">
        <v>0.17</v>
      </c>
      <c r="Y637" s="1913">
        <v>0.24</v>
      </c>
      <c r="Z637" s="1927"/>
      <c r="AA637" s="1883">
        <v>0</v>
      </c>
      <c r="AB637" s="1871">
        <v>1</v>
      </c>
      <c r="AC637" s="1926">
        <v>0.28000000000000003</v>
      </c>
      <c r="AD637" s="1913">
        <v>0.54</v>
      </c>
      <c r="AF637" s="1883">
        <v>0</v>
      </c>
      <c r="AG637" s="1871">
        <v>1</v>
      </c>
      <c r="AH637" s="1926"/>
      <c r="AI637" s="1913"/>
      <c r="AK637" s="1952">
        <f>N637</f>
        <v>0.12</v>
      </c>
      <c r="AL637" s="1953">
        <f>X637</f>
        <v>0.17</v>
      </c>
      <c r="AM637" s="1953">
        <f t="shared" ref="AM637:AM660" si="96">AC637</f>
        <v>0.28000000000000003</v>
      </c>
      <c r="AN637" s="1954">
        <f>AH637</f>
        <v>0</v>
      </c>
      <c r="AO637" s="1908"/>
      <c r="AP637" s="1909"/>
      <c r="AQ637" s="1929"/>
      <c r="AR637" s="1914"/>
    </row>
    <row r="638" spans="1:44">
      <c r="A638" s="1927"/>
      <c r="B638" s="1883">
        <v>1</v>
      </c>
      <c r="C638" s="1871">
        <v>2</v>
      </c>
      <c r="D638" s="1926">
        <v>0.13</v>
      </c>
      <c r="E638" s="1913">
        <v>0.21</v>
      </c>
      <c r="F638" s="1927"/>
      <c r="G638" s="1883">
        <v>1</v>
      </c>
      <c r="H638" s="1871">
        <v>2</v>
      </c>
      <c r="I638" s="1926">
        <v>7.0000000000000007E-2</v>
      </c>
      <c r="J638" s="1913">
        <v>0.15</v>
      </c>
      <c r="K638" s="1927"/>
      <c r="L638" s="1883">
        <v>1</v>
      </c>
      <c r="M638" s="1871">
        <v>2</v>
      </c>
      <c r="N638" s="1926">
        <v>0.11</v>
      </c>
      <c r="O638" s="1913">
        <v>0.19</v>
      </c>
      <c r="P638" s="1927"/>
      <c r="Q638" s="1883"/>
      <c r="R638" s="1871"/>
      <c r="S638" s="1926"/>
      <c r="T638" s="1913"/>
      <c r="U638" s="1927"/>
      <c r="V638" s="1883">
        <v>1</v>
      </c>
      <c r="W638" s="1871">
        <v>2</v>
      </c>
      <c r="X638" s="1926">
        <v>0.25</v>
      </c>
      <c r="Y638" s="1913">
        <v>0.35</v>
      </c>
      <c r="Z638" s="1927"/>
      <c r="AA638" s="1883">
        <v>1</v>
      </c>
      <c r="AB638" s="1871">
        <v>2</v>
      </c>
      <c r="AC638" s="1926">
        <v>0.19</v>
      </c>
      <c r="AD638" s="1913">
        <v>0.35</v>
      </c>
      <c r="AF638" s="1883">
        <v>1</v>
      </c>
      <c r="AG638" s="1871">
        <v>2</v>
      </c>
      <c r="AH638" s="1926"/>
      <c r="AI638" s="1913"/>
      <c r="AK638" s="1955">
        <f t="shared" ref="AK638:AK660" si="97">N638</f>
        <v>0.11</v>
      </c>
      <c r="AL638" s="1926">
        <f t="shared" ref="AL638:AL660" si="98">X638</f>
        <v>0.25</v>
      </c>
      <c r="AM638" s="1926">
        <f t="shared" si="96"/>
        <v>0.19</v>
      </c>
      <c r="AN638" s="1956">
        <f t="shared" ref="AN638:AN660" si="99">AH638</f>
        <v>0</v>
      </c>
      <c r="AO638" s="1890"/>
      <c r="AP638" s="1891"/>
      <c r="AQ638" s="1931"/>
      <c r="AR638" s="1915"/>
    </row>
    <row r="639" spans="1:44">
      <c r="A639" s="1927"/>
      <c r="B639" s="1883">
        <v>2</v>
      </c>
      <c r="C639" s="1871">
        <v>3</v>
      </c>
      <c r="D639" s="1926">
        <v>0.08</v>
      </c>
      <c r="E639" s="1913">
        <v>0.12</v>
      </c>
      <c r="F639" s="1927"/>
      <c r="G639" s="1883">
        <v>2</v>
      </c>
      <c r="H639" s="1871">
        <v>3</v>
      </c>
      <c r="I639" s="1926">
        <v>0.15</v>
      </c>
      <c r="J639" s="1913">
        <v>0.18</v>
      </c>
      <c r="K639" s="1927"/>
      <c r="L639" s="1883">
        <v>2</v>
      </c>
      <c r="M639" s="1871">
        <v>3</v>
      </c>
      <c r="N639" s="1926">
        <v>0.1</v>
      </c>
      <c r="O639" s="1913">
        <v>0.17</v>
      </c>
      <c r="P639" s="1927"/>
      <c r="Q639" s="1883"/>
      <c r="R639" s="1871"/>
      <c r="S639" s="1926"/>
      <c r="T639" s="1913"/>
      <c r="U639" s="1927"/>
      <c r="V639" s="1883">
        <v>2</v>
      </c>
      <c r="W639" s="1871">
        <v>3</v>
      </c>
      <c r="X639" s="1926">
        <v>0.27</v>
      </c>
      <c r="Y639" s="1913">
        <v>0.36</v>
      </c>
      <c r="Z639" s="1927"/>
      <c r="AA639" s="1883">
        <v>2</v>
      </c>
      <c r="AB639" s="1871">
        <v>3</v>
      </c>
      <c r="AC639" s="1926">
        <v>0.25</v>
      </c>
      <c r="AD639" s="1913">
        <v>0.46</v>
      </c>
      <c r="AF639" s="1883">
        <v>2</v>
      </c>
      <c r="AG639" s="1871">
        <v>3</v>
      </c>
      <c r="AH639" s="1926"/>
      <c r="AI639" s="1913"/>
      <c r="AK639" s="1955">
        <f t="shared" si="97"/>
        <v>0.1</v>
      </c>
      <c r="AL639" s="1926">
        <f t="shared" si="98"/>
        <v>0.27</v>
      </c>
      <c r="AM639" s="1926">
        <f t="shared" si="96"/>
        <v>0.25</v>
      </c>
      <c r="AN639" s="1956">
        <f t="shared" si="99"/>
        <v>0</v>
      </c>
      <c r="AO639" s="1893"/>
      <c r="AP639" s="1872"/>
      <c r="AQ639" s="1931"/>
      <c r="AR639" s="1915"/>
    </row>
    <row r="640" spans="1:44">
      <c r="A640" s="1927"/>
      <c r="B640" s="1883">
        <v>3</v>
      </c>
      <c r="C640" s="1871">
        <v>4</v>
      </c>
      <c r="D640" s="1926">
        <v>0.1</v>
      </c>
      <c r="E640" s="1913">
        <v>0.15</v>
      </c>
      <c r="F640" s="1927"/>
      <c r="G640" s="1883">
        <v>3</v>
      </c>
      <c r="H640" s="1871">
        <v>4</v>
      </c>
      <c r="I640" s="1926">
        <v>0.13</v>
      </c>
      <c r="J640" s="1913">
        <v>0.12</v>
      </c>
      <c r="K640" s="1927"/>
      <c r="L640" s="1883">
        <v>3</v>
      </c>
      <c r="M640" s="1871">
        <v>4</v>
      </c>
      <c r="N640" s="1926">
        <v>0.12</v>
      </c>
      <c r="O640" s="1913">
        <v>0.2</v>
      </c>
      <c r="P640" s="1927"/>
      <c r="Q640" s="1883"/>
      <c r="R640" s="1871"/>
      <c r="S640" s="1926"/>
      <c r="T640" s="1913"/>
      <c r="U640" s="1927"/>
      <c r="V640" s="1883">
        <v>3</v>
      </c>
      <c r="W640" s="1871">
        <v>4</v>
      </c>
      <c r="X640" s="1926">
        <v>0.2</v>
      </c>
      <c r="Y640" s="1913">
        <v>0.26</v>
      </c>
      <c r="Z640" s="1927"/>
      <c r="AA640" s="1883">
        <v>3</v>
      </c>
      <c r="AB640" s="1871">
        <v>4</v>
      </c>
      <c r="AC640" s="1926">
        <v>0.26</v>
      </c>
      <c r="AD640" s="1913">
        <v>0.47</v>
      </c>
      <c r="AF640" s="1883">
        <v>3</v>
      </c>
      <c r="AG640" s="1871">
        <v>4</v>
      </c>
      <c r="AH640" s="1926"/>
      <c r="AI640" s="1913"/>
      <c r="AK640" s="1955">
        <f t="shared" si="97"/>
        <v>0.12</v>
      </c>
      <c r="AL640" s="1926">
        <f t="shared" si="98"/>
        <v>0.2</v>
      </c>
      <c r="AM640" s="1926">
        <f t="shared" si="96"/>
        <v>0.26</v>
      </c>
      <c r="AN640" s="1956">
        <f t="shared" si="99"/>
        <v>0</v>
      </c>
      <c r="AO640" s="1893"/>
      <c r="AP640" s="1872"/>
      <c r="AQ640" s="1931"/>
      <c r="AR640" s="1915"/>
    </row>
    <row r="641" spans="1:44">
      <c r="A641" s="1927"/>
      <c r="B641" s="1883">
        <v>4</v>
      </c>
      <c r="C641" s="1871">
        <v>5</v>
      </c>
      <c r="D641" s="1926">
        <v>0.22</v>
      </c>
      <c r="E641" s="1913">
        <v>0.35</v>
      </c>
      <c r="F641" s="1927"/>
      <c r="G641" s="1883">
        <v>4</v>
      </c>
      <c r="H641" s="1871">
        <v>5</v>
      </c>
      <c r="I641" s="1926">
        <v>0.11</v>
      </c>
      <c r="J641" s="1913">
        <v>0.13</v>
      </c>
      <c r="K641" s="1927"/>
      <c r="L641" s="1883">
        <v>4</v>
      </c>
      <c r="M641" s="1871">
        <v>5</v>
      </c>
      <c r="N641" s="1926">
        <v>0.15</v>
      </c>
      <c r="O641" s="1913">
        <v>0.25</v>
      </c>
      <c r="P641" s="1927"/>
      <c r="Q641" s="1883"/>
      <c r="R641" s="1871"/>
      <c r="S641" s="1926"/>
      <c r="T641" s="1913"/>
      <c r="U641" s="1927"/>
      <c r="V641" s="1883">
        <v>4</v>
      </c>
      <c r="W641" s="1871">
        <v>5</v>
      </c>
      <c r="X641" s="1926">
        <v>0.21</v>
      </c>
      <c r="Y641" s="1913">
        <v>0.27</v>
      </c>
      <c r="Z641" s="1927"/>
      <c r="AA641" s="1883">
        <v>4</v>
      </c>
      <c r="AB641" s="1871">
        <v>5</v>
      </c>
      <c r="AC641" s="1926">
        <v>0.23</v>
      </c>
      <c r="AD641" s="1913">
        <v>0.41</v>
      </c>
      <c r="AF641" s="1883">
        <v>4</v>
      </c>
      <c r="AG641" s="1871">
        <v>5</v>
      </c>
      <c r="AH641" s="1926"/>
      <c r="AI641" s="1913"/>
      <c r="AK641" s="1955">
        <f t="shared" si="97"/>
        <v>0.15</v>
      </c>
      <c r="AL641" s="1926">
        <f t="shared" si="98"/>
        <v>0.21</v>
      </c>
      <c r="AM641" s="1926">
        <f t="shared" si="96"/>
        <v>0.23</v>
      </c>
      <c r="AN641" s="1956">
        <f t="shared" si="99"/>
        <v>0</v>
      </c>
      <c r="AO641" s="1893"/>
      <c r="AP641" s="1872"/>
      <c r="AQ641" s="1931"/>
      <c r="AR641" s="1915"/>
    </row>
    <row r="642" spans="1:44">
      <c r="A642" s="1927"/>
      <c r="B642" s="1883">
        <v>5</v>
      </c>
      <c r="C642" s="1871">
        <v>6</v>
      </c>
      <c r="D642" s="1926">
        <v>0.21</v>
      </c>
      <c r="E642" s="1913">
        <v>0.33</v>
      </c>
      <c r="F642" s="1927"/>
      <c r="G642" s="1883">
        <v>5</v>
      </c>
      <c r="H642" s="1871">
        <v>6</v>
      </c>
      <c r="I642" s="1926">
        <v>0.11</v>
      </c>
      <c r="J642" s="1913">
        <v>0.12</v>
      </c>
      <c r="K642" s="1927"/>
      <c r="L642" s="1883">
        <v>5</v>
      </c>
      <c r="M642" s="1871">
        <v>6</v>
      </c>
      <c r="N642" s="1926">
        <v>0.14000000000000001</v>
      </c>
      <c r="O642" s="1913">
        <v>0.24</v>
      </c>
      <c r="P642" s="1927"/>
      <c r="Q642" s="1883"/>
      <c r="R642" s="1871"/>
      <c r="S642" s="1926"/>
      <c r="T642" s="1913"/>
      <c r="U642" s="1927"/>
      <c r="V642" s="1883">
        <v>5</v>
      </c>
      <c r="W642" s="1871">
        <v>6</v>
      </c>
      <c r="X642" s="1926">
        <v>0.23</v>
      </c>
      <c r="Y642" s="1913">
        <v>0.3</v>
      </c>
      <c r="Z642" s="1927"/>
      <c r="AA642" s="1883">
        <v>5</v>
      </c>
      <c r="AB642" s="1871">
        <v>6</v>
      </c>
      <c r="AC642" s="1926">
        <v>0.25</v>
      </c>
      <c r="AD642" s="1913">
        <v>0.44</v>
      </c>
      <c r="AF642" s="1883">
        <v>5</v>
      </c>
      <c r="AG642" s="1871">
        <v>6</v>
      </c>
      <c r="AH642" s="1926"/>
      <c r="AI642" s="1913"/>
      <c r="AK642" s="1955">
        <f t="shared" si="97"/>
        <v>0.14000000000000001</v>
      </c>
      <c r="AL642" s="1926">
        <f t="shared" si="98"/>
        <v>0.23</v>
      </c>
      <c r="AM642" s="1926">
        <f t="shared" si="96"/>
        <v>0.25</v>
      </c>
      <c r="AN642" s="1956">
        <f t="shared" si="99"/>
        <v>0</v>
      </c>
      <c r="AO642" s="1893"/>
      <c r="AP642" s="1872"/>
      <c r="AQ642" s="1931"/>
      <c r="AR642" s="1915"/>
    </row>
    <row r="643" spans="1:44">
      <c r="A643" s="1927"/>
      <c r="B643" s="1883">
        <v>6</v>
      </c>
      <c r="C643" s="1871">
        <v>7</v>
      </c>
      <c r="D643" s="1926">
        <v>0.27</v>
      </c>
      <c r="E643" s="1913">
        <v>0.41</v>
      </c>
      <c r="F643" s="1927"/>
      <c r="G643" s="1883">
        <v>6</v>
      </c>
      <c r="H643" s="1871">
        <v>7</v>
      </c>
      <c r="I643" s="1926">
        <v>0.1</v>
      </c>
      <c r="J643" s="1913">
        <v>0.38</v>
      </c>
      <c r="K643" s="1927"/>
      <c r="L643" s="1883">
        <v>6</v>
      </c>
      <c r="M643" s="1871">
        <v>7</v>
      </c>
      <c r="N643" s="1926">
        <v>0.14000000000000001</v>
      </c>
      <c r="O643" s="1913">
        <v>0.25</v>
      </c>
      <c r="P643" s="1927"/>
      <c r="Q643" s="1883"/>
      <c r="R643" s="1871"/>
      <c r="S643" s="1926"/>
      <c r="T643" s="1913"/>
      <c r="U643" s="1927"/>
      <c r="V643" s="1883">
        <v>6</v>
      </c>
      <c r="W643" s="1871">
        <v>7</v>
      </c>
      <c r="X643" s="1926">
        <v>0.23</v>
      </c>
      <c r="Y643" s="1913">
        <v>0.34</v>
      </c>
      <c r="Z643" s="1927"/>
      <c r="AA643" s="1883">
        <v>6</v>
      </c>
      <c r="AB643" s="1871">
        <v>7</v>
      </c>
      <c r="AC643" s="1926">
        <v>0.19</v>
      </c>
      <c r="AD643" s="1913">
        <v>0.31</v>
      </c>
      <c r="AF643" s="1883">
        <v>6</v>
      </c>
      <c r="AG643" s="1871">
        <v>7</v>
      </c>
      <c r="AH643" s="1926"/>
      <c r="AI643" s="1913"/>
      <c r="AK643" s="1955">
        <f t="shared" si="97"/>
        <v>0.14000000000000001</v>
      </c>
      <c r="AL643" s="1926">
        <f t="shared" si="98"/>
        <v>0.23</v>
      </c>
      <c r="AM643" s="1926">
        <f t="shared" si="96"/>
        <v>0.19</v>
      </c>
      <c r="AN643" s="1956">
        <f t="shared" si="99"/>
        <v>0</v>
      </c>
      <c r="AO643" s="1893"/>
      <c r="AP643" s="1872"/>
      <c r="AQ643" s="1931"/>
      <c r="AR643" s="1915"/>
    </row>
    <row r="644" spans="1:44">
      <c r="A644" s="1927"/>
      <c r="B644" s="1908">
        <v>7</v>
      </c>
      <c r="C644" s="1909">
        <v>8</v>
      </c>
      <c r="D644" s="1928">
        <v>0.31</v>
      </c>
      <c r="E644" s="1917">
        <v>0.5</v>
      </c>
      <c r="F644" s="1927"/>
      <c r="G644" s="1908">
        <v>7</v>
      </c>
      <c r="H644" s="1909">
        <v>8</v>
      </c>
      <c r="I644" s="1928">
        <v>1.03</v>
      </c>
      <c r="J644" s="1917">
        <v>0.39</v>
      </c>
      <c r="K644" s="1927"/>
      <c r="L644" s="1908">
        <v>7</v>
      </c>
      <c r="M644" s="1909">
        <v>8</v>
      </c>
      <c r="N644" s="1928">
        <v>0.16</v>
      </c>
      <c r="O644" s="1917">
        <v>0.28000000000000003</v>
      </c>
      <c r="P644" s="1927"/>
      <c r="Q644" s="1908"/>
      <c r="R644" s="1909"/>
      <c r="S644" s="1928"/>
      <c r="T644" s="1917"/>
      <c r="U644" s="1927"/>
      <c r="V644" s="1908">
        <v>7</v>
      </c>
      <c r="W644" s="1909">
        <v>8</v>
      </c>
      <c r="X644" s="1928">
        <v>0.52</v>
      </c>
      <c r="Y644" s="1917">
        <v>0.76</v>
      </c>
      <c r="Z644" s="1927"/>
      <c r="AA644" s="1908">
        <v>7</v>
      </c>
      <c r="AB644" s="1909">
        <v>8</v>
      </c>
      <c r="AC644" s="1928">
        <v>0.28000000000000003</v>
      </c>
      <c r="AD644" s="1917">
        <v>0.44</v>
      </c>
      <c r="AF644" s="1908">
        <v>7</v>
      </c>
      <c r="AG644" s="1909">
        <v>8</v>
      </c>
      <c r="AH644" s="1928"/>
      <c r="AI644" s="1917"/>
      <c r="AK644" s="1957">
        <f t="shared" si="97"/>
        <v>0.16</v>
      </c>
      <c r="AL644" s="1958">
        <f t="shared" si="98"/>
        <v>0.52</v>
      </c>
      <c r="AM644" s="1958">
        <f t="shared" si="96"/>
        <v>0.28000000000000003</v>
      </c>
      <c r="AN644" s="1959">
        <f t="shared" si="99"/>
        <v>0</v>
      </c>
      <c r="AO644" s="1893"/>
      <c r="AP644" s="1872"/>
      <c r="AQ644" s="1931"/>
      <c r="AR644" s="1915"/>
    </row>
    <row r="645" spans="1:44">
      <c r="A645" s="1930"/>
      <c r="B645" s="1890">
        <v>8</v>
      </c>
      <c r="C645" s="1891">
        <v>9</v>
      </c>
      <c r="D645" s="1929">
        <v>0.59</v>
      </c>
      <c r="E645" s="1914">
        <v>0.98</v>
      </c>
      <c r="F645" s="1930"/>
      <c r="G645" s="1890">
        <v>8</v>
      </c>
      <c r="H645" s="1891">
        <v>9</v>
      </c>
      <c r="I645" s="1929">
        <v>0.38</v>
      </c>
      <c r="J645" s="1914">
        <v>0.46</v>
      </c>
      <c r="K645" s="1930"/>
      <c r="L645" s="1890">
        <v>8</v>
      </c>
      <c r="M645" s="1891">
        <v>9</v>
      </c>
      <c r="N645" s="1929">
        <v>0.26</v>
      </c>
      <c r="O645" s="1914">
        <v>0.46</v>
      </c>
      <c r="P645" s="1930"/>
      <c r="Q645" s="1890"/>
      <c r="R645" s="1891"/>
      <c r="S645" s="1929"/>
      <c r="T645" s="1914"/>
      <c r="U645" s="1930"/>
      <c r="V645" s="1890">
        <v>8</v>
      </c>
      <c r="W645" s="1891">
        <v>9</v>
      </c>
      <c r="X645" s="1929">
        <v>0.37</v>
      </c>
      <c r="Y645" s="1914">
        <v>0.55000000000000004</v>
      </c>
      <c r="Z645" s="1930"/>
      <c r="AA645" s="1890">
        <v>8</v>
      </c>
      <c r="AB645" s="1891">
        <v>9</v>
      </c>
      <c r="AC645" s="1929">
        <v>0.51</v>
      </c>
      <c r="AD645" s="1914">
        <v>0.67</v>
      </c>
      <c r="AF645" s="1890">
        <v>8</v>
      </c>
      <c r="AG645" s="1891">
        <v>9</v>
      </c>
      <c r="AH645" s="1929"/>
      <c r="AI645" s="1914"/>
      <c r="AK645" s="1952">
        <f t="shared" si="97"/>
        <v>0.26</v>
      </c>
      <c r="AL645" s="1953">
        <f t="shared" si="98"/>
        <v>0.37</v>
      </c>
      <c r="AM645" s="1953">
        <f t="shared" si="96"/>
        <v>0.51</v>
      </c>
      <c r="AN645" s="1954">
        <f t="shared" si="99"/>
        <v>0</v>
      </c>
      <c r="AO645" s="1893"/>
      <c r="AP645" s="1872"/>
      <c r="AQ645" s="1931"/>
      <c r="AR645" s="1915"/>
    </row>
    <row r="646" spans="1:44">
      <c r="A646" s="1930"/>
      <c r="B646" s="1893">
        <v>9</v>
      </c>
      <c r="C646" s="1872">
        <v>10</v>
      </c>
      <c r="D646" s="1931">
        <v>0.25</v>
      </c>
      <c r="E646" s="1915">
        <v>0.41</v>
      </c>
      <c r="F646" s="1930"/>
      <c r="G646" s="1893">
        <v>9</v>
      </c>
      <c r="H646" s="1872">
        <v>10</v>
      </c>
      <c r="I646" s="1931">
        <v>1.65</v>
      </c>
      <c r="J646" s="1915">
        <v>0.38</v>
      </c>
      <c r="K646" s="1930"/>
      <c r="L646" s="1893">
        <v>9</v>
      </c>
      <c r="M646" s="1872">
        <v>10</v>
      </c>
      <c r="N646" s="1931">
        <v>0.21</v>
      </c>
      <c r="O646" s="1915">
        <v>0.36</v>
      </c>
      <c r="P646" s="1930"/>
      <c r="Q646" s="1893"/>
      <c r="R646" s="1872"/>
      <c r="S646" s="1931"/>
      <c r="T646" s="1915"/>
      <c r="U646" s="1930"/>
      <c r="V646" s="1893">
        <v>9</v>
      </c>
      <c r="W646" s="1872">
        <v>10</v>
      </c>
      <c r="X646" s="1931">
        <v>0.47</v>
      </c>
      <c r="Y646" s="1915">
        <v>0.65</v>
      </c>
      <c r="Z646" s="1930"/>
      <c r="AA646" s="1893">
        <v>9</v>
      </c>
      <c r="AB646" s="1872">
        <v>10</v>
      </c>
      <c r="AC646" s="1931">
        <v>0.5</v>
      </c>
      <c r="AD646" s="1915">
        <v>0.56000000000000005</v>
      </c>
      <c r="AF646" s="1893">
        <v>9</v>
      </c>
      <c r="AG646" s="1872">
        <v>10</v>
      </c>
      <c r="AH646" s="1931"/>
      <c r="AI646" s="1915"/>
      <c r="AK646" s="1955">
        <f t="shared" si="97"/>
        <v>0.21</v>
      </c>
      <c r="AL646" s="1926">
        <f t="shared" si="98"/>
        <v>0.47</v>
      </c>
      <c r="AM646" s="1926">
        <f t="shared" si="96"/>
        <v>0.5</v>
      </c>
      <c r="AN646" s="1956">
        <f t="shared" si="99"/>
        <v>0</v>
      </c>
      <c r="AO646" s="1893"/>
      <c r="AP646" s="1872"/>
      <c r="AQ646" s="1932"/>
      <c r="AR646" s="1916"/>
    </row>
    <row r="647" spans="1:44">
      <c r="A647" s="1930"/>
      <c r="B647" s="1893">
        <v>10</v>
      </c>
      <c r="C647" s="1872">
        <v>11</v>
      </c>
      <c r="D647" s="1931">
        <v>0.19</v>
      </c>
      <c r="E647" s="1915">
        <v>0.28999999999999998</v>
      </c>
      <c r="F647" s="1930"/>
      <c r="G647" s="1893">
        <v>10</v>
      </c>
      <c r="H647" s="1872">
        <v>11</v>
      </c>
      <c r="I647" s="1931">
        <v>0.34</v>
      </c>
      <c r="J647" s="1915">
        <v>0.51</v>
      </c>
      <c r="K647" s="1930"/>
      <c r="L647" s="1893">
        <v>10</v>
      </c>
      <c r="M647" s="1872">
        <v>11</v>
      </c>
      <c r="N647" s="1931">
        <v>0.28999999999999998</v>
      </c>
      <c r="O647" s="1915">
        <v>0.44</v>
      </c>
      <c r="P647" s="1930"/>
      <c r="Q647" s="1893"/>
      <c r="R647" s="1872"/>
      <c r="S647" s="1931"/>
      <c r="T647" s="1915"/>
      <c r="U647" s="1930"/>
      <c r="V647" s="1893">
        <v>10</v>
      </c>
      <c r="W647" s="1872">
        <v>11</v>
      </c>
      <c r="X647" s="1931">
        <v>0.98</v>
      </c>
      <c r="Y647" s="1915">
        <v>1.34</v>
      </c>
      <c r="Z647" s="1930"/>
      <c r="AA647" s="1893">
        <v>10</v>
      </c>
      <c r="AB647" s="1872">
        <v>11</v>
      </c>
      <c r="AC647" s="1931">
        <v>0.48</v>
      </c>
      <c r="AD647" s="1915">
        <v>0.43</v>
      </c>
      <c r="AF647" s="1893">
        <v>10</v>
      </c>
      <c r="AG647" s="1872">
        <v>11</v>
      </c>
      <c r="AH647" s="1931"/>
      <c r="AI647" s="1915"/>
      <c r="AK647" s="1955">
        <f t="shared" si="97"/>
        <v>0.28999999999999998</v>
      </c>
      <c r="AL647" s="1926">
        <f t="shared" si="98"/>
        <v>0.98</v>
      </c>
      <c r="AM647" s="1926">
        <f t="shared" si="96"/>
        <v>0.48</v>
      </c>
      <c r="AN647" s="1956">
        <f t="shared" si="99"/>
        <v>0</v>
      </c>
      <c r="AO647" s="1894"/>
      <c r="AP647" s="1895"/>
      <c r="AQ647" s="1933"/>
      <c r="AR647" s="1911"/>
    </row>
    <row r="648" spans="1:44">
      <c r="A648" s="1930"/>
      <c r="B648" s="1893">
        <v>11</v>
      </c>
      <c r="C648" s="1872">
        <v>12</v>
      </c>
      <c r="D648" s="1931">
        <v>0.3</v>
      </c>
      <c r="E648" s="1915">
        <v>0.4</v>
      </c>
      <c r="F648" s="1930"/>
      <c r="G648" s="1893">
        <v>11</v>
      </c>
      <c r="H648" s="1872">
        <v>12</v>
      </c>
      <c r="I648" s="1931">
        <v>0.36</v>
      </c>
      <c r="J648" s="1915">
        <v>0.44</v>
      </c>
      <c r="K648" s="1930"/>
      <c r="L648" s="1893">
        <v>11</v>
      </c>
      <c r="M648" s="1872">
        <v>12</v>
      </c>
      <c r="N648" s="1931">
        <v>0.41</v>
      </c>
      <c r="O648" s="1915">
        <v>0.56999999999999995</v>
      </c>
      <c r="P648" s="1930"/>
      <c r="Q648" s="1893"/>
      <c r="R648" s="1872"/>
      <c r="S648" s="1931"/>
      <c r="T648" s="1915"/>
      <c r="U648" s="1930"/>
      <c r="V648" s="1893">
        <v>11</v>
      </c>
      <c r="W648" s="1872">
        <v>12</v>
      </c>
      <c r="X648" s="1931">
        <v>1</v>
      </c>
      <c r="Y648" s="1915">
        <v>1.23</v>
      </c>
      <c r="Z648" s="1930"/>
      <c r="AA648" s="1893">
        <v>11</v>
      </c>
      <c r="AB648" s="1872">
        <v>12</v>
      </c>
      <c r="AC648" s="1931">
        <v>0.48</v>
      </c>
      <c r="AD648" s="1915">
        <v>0.39</v>
      </c>
      <c r="AF648" s="1893">
        <v>11</v>
      </c>
      <c r="AG648" s="1872">
        <v>12</v>
      </c>
      <c r="AH648" s="1931"/>
      <c r="AI648" s="1915"/>
      <c r="AK648" s="1955">
        <f t="shared" si="97"/>
        <v>0.41</v>
      </c>
      <c r="AL648" s="1926">
        <f t="shared" si="98"/>
        <v>1</v>
      </c>
      <c r="AM648" s="1926">
        <f t="shared" si="96"/>
        <v>0.48</v>
      </c>
      <c r="AN648" s="1956">
        <f t="shared" si="99"/>
        <v>0</v>
      </c>
      <c r="AO648" s="1910"/>
      <c r="AP648" s="1889"/>
      <c r="AQ648" s="1935"/>
      <c r="AR648" s="1912"/>
    </row>
    <row r="649" spans="1:44">
      <c r="A649" s="1930"/>
      <c r="B649" s="1893">
        <v>12</v>
      </c>
      <c r="C649" s="1872">
        <v>13</v>
      </c>
      <c r="D649" s="1931">
        <v>0.24</v>
      </c>
      <c r="E649" s="1915">
        <v>0.3</v>
      </c>
      <c r="F649" s="1930"/>
      <c r="G649" s="1893">
        <v>12</v>
      </c>
      <c r="H649" s="1872">
        <v>13</v>
      </c>
      <c r="I649" s="1931">
        <v>0.48</v>
      </c>
      <c r="J649" s="1915">
        <v>0.21</v>
      </c>
      <c r="K649" s="1930"/>
      <c r="L649" s="1893">
        <v>12</v>
      </c>
      <c r="M649" s="1872">
        <v>13</v>
      </c>
      <c r="N649" s="1931">
        <v>0.33</v>
      </c>
      <c r="O649" s="1915">
        <v>0.38</v>
      </c>
      <c r="P649" s="1930"/>
      <c r="Q649" s="1893"/>
      <c r="R649" s="1872"/>
      <c r="S649" s="1931"/>
      <c r="T649" s="1915"/>
      <c r="U649" s="1930"/>
      <c r="V649" s="1893">
        <v>12</v>
      </c>
      <c r="W649" s="1872">
        <v>13</v>
      </c>
      <c r="X649" s="1931">
        <v>0.91</v>
      </c>
      <c r="Y649" s="1915">
        <v>1.02</v>
      </c>
      <c r="Z649" s="1930"/>
      <c r="AA649" s="1893">
        <v>12</v>
      </c>
      <c r="AB649" s="1872">
        <v>13</v>
      </c>
      <c r="AC649" s="1931">
        <v>0.51</v>
      </c>
      <c r="AD649" s="1915">
        <v>0.42</v>
      </c>
      <c r="AF649" s="1893">
        <v>12</v>
      </c>
      <c r="AG649" s="1872">
        <v>13</v>
      </c>
      <c r="AH649" s="1931"/>
      <c r="AI649" s="1915"/>
      <c r="AK649" s="1955">
        <f t="shared" si="97"/>
        <v>0.33</v>
      </c>
      <c r="AL649" s="1926">
        <f t="shared" si="98"/>
        <v>0.91</v>
      </c>
      <c r="AM649" s="1926">
        <f t="shared" si="96"/>
        <v>0.51</v>
      </c>
      <c r="AN649" s="1956">
        <f t="shared" si="99"/>
        <v>0</v>
      </c>
      <c r="AO649" s="1902"/>
      <c r="AP649" s="1873"/>
      <c r="AQ649" s="1935"/>
      <c r="AR649" s="1912"/>
    </row>
    <row r="650" spans="1:44">
      <c r="A650" s="1930"/>
      <c r="B650" s="1893">
        <v>13</v>
      </c>
      <c r="C650" s="1872">
        <v>14</v>
      </c>
      <c r="D650" s="1931">
        <v>0.31</v>
      </c>
      <c r="E650" s="1915">
        <v>0.36</v>
      </c>
      <c r="F650" s="1930"/>
      <c r="G650" s="1893">
        <v>13</v>
      </c>
      <c r="H650" s="1872">
        <v>14</v>
      </c>
      <c r="I650" s="1931">
        <v>0.18</v>
      </c>
      <c r="J650" s="1915">
        <v>0.72</v>
      </c>
      <c r="K650" s="1930"/>
      <c r="L650" s="1893">
        <v>13</v>
      </c>
      <c r="M650" s="1872">
        <v>14</v>
      </c>
      <c r="N650" s="1931">
        <v>0.33</v>
      </c>
      <c r="O650" s="1915">
        <v>0.35</v>
      </c>
      <c r="P650" s="1930"/>
      <c r="Q650" s="1893"/>
      <c r="R650" s="1872"/>
      <c r="S650" s="1931"/>
      <c r="T650" s="1915"/>
      <c r="U650" s="1930"/>
      <c r="V650" s="1893">
        <v>13</v>
      </c>
      <c r="W650" s="1872">
        <v>14</v>
      </c>
      <c r="X650" s="1931">
        <v>0.6</v>
      </c>
      <c r="Y650" s="1915">
        <v>0.54</v>
      </c>
      <c r="Z650" s="1930"/>
      <c r="AA650" s="1893">
        <v>13</v>
      </c>
      <c r="AB650" s="1872">
        <v>14</v>
      </c>
      <c r="AC650" s="1931">
        <v>0.61</v>
      </c>
      <c r="AD650" s="1915">
        <v>0.5</v>
      </c>
      <c r="AF650" s="1893">
        <v>13</v>
      </c>
      <c r="AG650" s="1872">
        <v>14</v>
      </c>
      <c r="AH650" s="1931"/>
      <c r="AI650" s="1915"/>
      <c r="AK650" s="1955">
        <f t="shared" si="97"/>
        <v>0.33</v>
      </c>
      <c r="AL650" s="1926">
        <f t="shared" si="98"/>
        <v>0.6</v>
      </c>
      <c r="AM650" s="1926">
        <f t="shared" si="96"/>
        <v>0.61</v>
      </c>
      <c r="AN650" s="1956">
        <f t="shared" si="99"/>
        <v>0</v>
      </c>
      <c r="AO650" s="1902"/>
      <c r="AP650" s="1873"/>
      <c r="AQ650" s="1935"/>
      <c r="AR650" s="1912"/>
    </row>
    <row r="651" spans="1:44">
      <c r="A651" s="1930"/>
      <c r="B651" s="1893">
        <v>14</v>
      </c>
      <c r="C651" s="1872">
        <v>15</v>
      </c>
      <c r="D651" s="1931">
        <v>0.3</v>
      </c>
      <c r="E651" s="1915">
        <v>0.39</v>
      </c>
      <c r="F651" s="1930"/>
      <c r="G651" s="1893">
        <v>14</v>
      </c>
      <c r="H651" s="1872">
        <v>15</v>
      </c>
      <c r="I651" s="1931">
        <v>0.32</v>
      </c>
      <c r="J651" s="1915">
        <v>0.35</v>
      </c>
      <c r="K651" s="1930"/>
      <c r="L651" s="1893">
        <v>14</v>
      </c>
      <c r="M651" s="1872">
        <v>15</v>
      </c>
      <c r="N651" s="1931">
        <v>0.48</v>
      </c>
      <c r="O651" s="1915">
        <v>0.46</v>
      </c>
      <c r="P651" s="1930"/>
      <c r="Q651" s="1893"/>
      <c r="R651" s="1872"/>
      <c r="S651" s="1931"/>
      <c r="T651" s="1915"/>
      <c r="U651" s="1930"/>
      <c r="V651" s="1893">
        <v>14</v>
      </c>
      <c r="W651" s="1872">
        <v>15</v>
      </c>
      <c r="X651" s="1931">
        <v>0.46</v>
      </c>
      <c r="Y651" s="1915">
        <v>0.37</v>
      </c>
      <c r="Z651" s="1930"/>
      <c r="AA651" s="1893">
        <v>14</v>
      </c>
      <c r="AB651" s="1872">
        <v>15</v>
      </c>
      <c r="AC651" s="1931">
        <v>0.46</v>
      </c>
      <c r="AD651" s="1915">
        <v>0.37</v>
      </c>
      <c r="AF651" s="1893">
        <v>14</v>
      </c>
      <c r="AG651" s="1872">
        <v>15</v>
      </c>
      <c r="AH651" s="1931"/>
      <c r="AI651" s="1915"/>
      <c r="AK651" s="1955">
        <f t="shared" si="97"/>
        <v>0.48</v>
      </c>
      <c r="AL651" s="1926">
        <f t="shared" si="98"/>
        <v>0.46</v>
      </c>
      <c r="AM651" s="1926">
        <f t="shared" si="96"/>
        <v>0.46</v>
      </c>
      <c r="AN651" s="1956">
        <f t="shared" si="99"/>
        <v>0</v>
      </c>
      <c r="AO651" s="1902"/>
      <c r="AP651" s="1873"/>
      <c r="AQ651" s="1935"/>
      <c r="AR651" s="1912"/>
    </row>
    <row r="652" spans="1:44">
      <c r="A652" s="1930"/>
      <c r="B652" s="1893">
        <v>15</v>
      </c>
      <c r="C652" s="1872">
        <v>16</v>
      </c>
      <c r="D652" s="1931">
        <v>0.28000000000000003</v>
      </c>
      <c r="E652" s="1915">
        <v>0.4</v>
      </c>
      <c r="F652" s="1930"/>
      <c r="G652" s="1893">
        <v>15</v>
      </c>
      <c r="H652" s="1872">
        <v>16</v>
      </c>
      <c r="I652" s="1931">
        <v>0.39</v>
      </c>
      <c r="J652" s="1915">
        <v>0.28999999999999998</v>
      </c>
      <c r="K652" s="1930"/>
      <c r="L652" s="1893">
        <v>15</v>
      </c>
      <c r="M652" s="1872">
        <v>16</v>
      </c>
      <c r="N652" s="1931">
        <v>0.4</v>
      </c>
      <c r="O652" s="1915">
        <v>0.38</v>
      </c>
      <c r="P652" s="1930"/>
      <c r="Q652" s="1893"/>
      <c r="R652" s="1872"/>
      <c r="S652" s="1931"/>
      <c r="T652" s="1915"/>
      <c r="U652" s="1930"/>
      <c r="V652" s="1893">
        <v>15</v>
      </c>
      <c r="W652" s="1872">
        <v>16</v>
      </c>
      <c r="X652" s="1931">
        <v>0.49</v>
      </c>
      <c r="Y652" s="1915">
        <v>0.4</v>
      </c>
      <c r="Z652" s="1930"/>
      <c r="AA652" s="1893">
        <v>15</v>
      </c>
      <c r="AB652" s="1872">
        <v>16</v>
      </c>
      <c r="AC652" s="1931">
        <v>0.53</v>
      </c>
      <c r="AD652" s="1915">
        <v>0.43</v>
      </c>
      <c r="AF652" s="1893">
        <v>15</v>
      </c>
      <c r="AG652" s="1872">
        <v>16</v>
      </c>
      <c r="AH652" s="1931"/>
      <c r="AI652" s="1915"/>
      <c r="AK652" s="1955">
        <f t="shared" si="97"/>
        <v>0.4</v>
      </c>
      <c r="AL652" s="1926">
        <f t="shared" si="98"/>
        <v>0.49</v>
      </c>
      <c r="AM652" s="1926">
        <f t="shared" si="96"/>
        <v>0.53</v>
      </c>
      <c r="AN652" s="1956">
        <f t="shared" si="99"/>
        <v>0</v>
      </c>
      <c r="AO652" s="1902"/>
      <c r="AP652" s="1873"/>
      <c r="AQ652" s="1935"/>
      <c r="AR652" s="1912"/>
    </row>
    <row r="653" spans="1:44">
      <c r="A653" s="1930"/>
      <c r="B653" s="1893">
        <v>16</v>
      </c>
      <c r="C653" s="1872">
        <v>17</v>
      </c>
      <c r="D653" s="1931">
        <v>0.21</v>
      </c>
      <c r="E653" s="1915">
        <v>0.33</v>
      </c>
      <c r="F653" s="1930"/>
      <c r="G653" s="1893">
        <v>16</v>
      </c>
      <c r="H653" s="1872">
        <v>17</v>
      </c>
      <c r="I653" s="1931">
        <v>0.38</v>
      </c>
      <c r="J653" s="1915">
        <v>1.04</v>
      </c>
      <c r="K653" s="1930"/>
      <c r="L653" s="1893">
        <v>16</v>
      </c>
      <c r="M653" s="1872">
        <v>17</v>
      </c>
      <c r="N653" s="1931">
        <v>0.42</v>
      </c>
      <c r="O653" s="1915">
        <v>0.43</v>
      </c>
      <c r="P653" s="1930"/>
      <c r="Q653" s="1893"/>
      <c r="R653" s="1872"/>
      <c r="S653" s="1931"/>
      <c r="T653" s="1915"/>
      <c r="U653" s="1930"/>
      <c r="V653" s="1893">
        <v>16</v>
      </c>
      <c r="W653" s="1872">
        <v>17</v>
      </c>
      <c r="X653" s="1931">
        <v>0.52</v>
      </c>
      <c r="Y653" s="1915">
        <v>0.47</v>
      </c>
      <c r="Z653" s="1930"/>
      <c r="AA653" s="1893">
        <v>16</v>
      </c>
      <c r="AB653" s="1872">
        <v>17</v>
      </c>
      <c r="AC653" s="1931">
        <v>0.49</v>
      </c>
      <c r="AD653" s="1915">
        <v>0.44</v>
      </c>
      <c r="AF653" s="1893">
        <v>16</v>
      </c>
      <c r="AG653" s="1872">
        <v>17</v>
      </c>
      <c r="AH653" s="1931"/>
      <c r="AI653" s="1915"/>
      <c r="AK653" s="1955">
        <f t="shared" si="97"/>
        <v>0.42</v>
      </c>
      <c r="AL653" s="1926">
        <f t="shared" si="98"/>
        <v>0.52</v>
      </c>
      <c r="AM653" s="1926">
        <f t="shared" si="96"/>
        <v>0.49</v>
      </c>
      <c r="AN653" s="1956">
        <f t="shared" si="99"/>
        <v>0</v>
      </c>
      <c r="AO653" s="1902"/>
      <c r="AP653" s="1873"/>
      <c r="AQ653" s="1936"/>
      <c r="AR653" s="1937"/>
    </row>
    <row r="654" spans="1:44">
      <c r="A654" s="1930"/>
      <c r="B654" s="1894">
        <v>17</v>
      </c>
      <c r="C654" s="1895">
        <v>18</v>
      </c>
      <c r="D654" s="1932">
        <v>0.2</v>
      </c>
      <c r="E654" s="1916">
        <v>0.5</v>
      </c>
      <c r="F654" s="1930"/>
      <c r="G654" s="1894">
        <v>17</v>
      </c>
      <c r="H654" s="1895">
        <v>18</v>
      </c>
      <c r="I654" s="1932">
        <v>0.48</v>
      </c>
      <c r="J654" s="1916">
        <v>2.46</v>
      </c>
      <c r="K654" s="1930"/>
      <c r="L654" s="1894">
        <v>17</v>
      </c>
      <c r="M654" s="1895">
        <v>18</v>
      </c>
      <c r="N654" s="1932">
        <v>1.1299999999999999</v>
      </c>
      <c r="O654" s="1916">
        <v>1.29</v>
      </c>
      <c r="P654" s="1930"/>
      <c r="Q654" s="1894"/>
      <c r="R654" s="1895"/>
      <c r="S654" s="1932"/>
      <c r="T654" s="1916"/>
      <c r="U654" s="1930"/>
      <c r="V654" s="1894">
        <v>17</v>
      </c>
      <c r="W654" s="1895">
        <v>18</v>
      </c>
      <c r="X654" s="1932">
        <v>0.98</v>
      </c>
      <c r="Y654" s="1916">
        <v>1.17</v>
      </c>
      <c r="Z654" s="1930"/>
      <c r="AA654" s="1894">
        <v>17</v>
      </c>
      <c r="AB654" s="1895">
        <v>18</v>
      </c>
      <c r="AC654" s="1932">
        <v>0.46</v>
      </c>
      <c r="AD654" s="1916">
        <v>0.68</v>
      </c>
      <c r="AF654" s="1894">
        <v>17</v>
      </c>
      <c r="AG654" s="1895">
        <v>18</v>
      </c>
      <c r="AH654" s="1932"/>
      <c r="AI654" s="1916"/>
      <c r="AK654" s="1957">
        <f t="shared" si="97"/>
        <v>1.1299999999999999</v>
      </c>
      <c r="AL654" s="1958">
        <f t="shared" si="98"/>
        <v>0.98</v>
      </c>
      <c r="AM654" s="1958">
        <f t="shared" si="96"/>
        <v>0.46</v>
      </c>
      <c r="AN654" s="1959">
        <f t="shared" si="99"/>
        <v>0</v>
      </c>
      <c r="AO654" s="2766"/>
      <c r="AP654" s="2766"/>
      <c r="AQ654" s="1926"/>
      <c r="AR654" s="1913"/>
    </row>
    <row r="655" spans="1:44">
      <c r="A655" s="1934"/>
      <c r="B655" s="1910">
        <v>18</v>
      </c>
      <c r="C655" s="1889">
        <v>19</v>
      </c>
      <c r="D655" s="1933">
        <v>0.15</v>
      </c>
      <c r="E655" s="1911">
        <v>0.38</v>
      </c>
      <c r="F655" s="1934"/>
      <c r="G655" s="1910">
        <v>18</v>
      </c>
      <c r="H655" s="1889">
        <v>19</v>
      </c>
      <c r="I655" s="1933">
        <v>0.46</v>
      </c>
      <c r="J655" s="1911">
        <v>1.01</v>
      </c>
      <c r="K655" s="1934"/>
      <c r="L655" s="1910">
        <v>18</v>
      </c>
      <c r="M655" s="1889">
        <v>19</v>
      </c>
      <c r="N655" s="1933">
        <v>0.51</v>
      </c>
      <c r="O655" s="1911">
        <v>0.74</v>
      </c>
      <c r="P655" s="1934"/>
      <c r="Q655" s="1910"/>
      <c r="R655" s="1889"/>
      <c r="S655" s="1933"/>
      <c r="T655" s="1911"/>
      <c r="U655" s="1934"/>
      <c r="V655" s="1910">
        <v>18</v>
      </c>
      <c r="W655" s="1889">
        <v>19</v>
      </c>
      <c r="X655" s="1933">
        <v>0.51</v>
      </c>
      <c r="Y655" s="1911">
        <v>0.69</v>
      </c>
      <c r="Z655" s="1934"/>
      <c r="AA655" s="1910">
        <v>18</v>
      </c>
      <c r="AB655" s="1889">
        <v>19</v>
      </c>
      <c r="AC655" s="1933">
        <v>1.27</v>
      </c>
      <c r="AD655" s="1911">
        <v>2.2999999999999998</v>
      </c>
      <c r="AF655" s="1910">
        <v>18</v>
      </c>
      <c r="AG655" s="1889">
        <v>19</v>
      </c>
      <c r="AH655" s="1933"/>
      <c r="AI655" s="1911"/>
      <c r="AK655" s="1952">
        <f t="shared" si="97"/>
        <v>0.51</v>
      </c>
      <c r="AL655" s="1953">
        <f t="shared" si="98"/>
        <v>0.51</v>
      </c>
      <c r="AM655" s="1953">
        <f t="shared" si="96"/>
        <v>1.27</v>
      </c>
      <c r="AN655" s="1954">
        <f t="shared" si="99"/>
        <v>0</v>
      </c>
      <c r="AO655" s="1883"/>
      <c r="AP655" s="1871"/>
      <c r="AQ655" s="1926"/>
      <c r="AR655" s="1913"/>
    </row>
    <row r="656" spans="1:44">
      <c r="A656" s="1934"/>
      <c r="B656" s="1902">
        <v>19</v>
      </c>
      <c r="C656" s="1873">
        <v>20</v>
      </c>
      <c r="D656" s="1935">
        <v>0.28000000000000003</v>
      </c>
      <c r="E656" s="1912">
        <v>0.71</v>
      </c>
      <c r="F656" s="1934"/>
      <c r="G656" s="1902">
        <v>19</v>
      </c>
      <c r="H656" s="1873">
        <v>20</v>
      </c>
      <c r="I656" s="1935">
        <v>0.33</v>
      </c>
      <c r="J656" s="1912">
        <v>1.0900000000000001</v>
      </c>
      <c r="K656" s="1934"/>
      <c r="L656" s="1902">
        <v>19</v>
      </c>
      <c r="M656" s="1873">
        <v>20</v>
      </c>
      <c r="N656" s="1935">
        <v>0.37</v>
      </c>
      <c r="O656" s="1912">
        <v>0.62</v>
      </c>
      <c r="P656" s="1934"/>
      <c r="Q656" s="1902"/>
      <c r="R656" s="1873"/>
      <c r="S656" s="1935"/>
      <c r="T656" s="1912"/>
      <c r="U656" s="1934"/>
      <c r="V656" s="1902">
        <v>19</v>
      </c>
      <c r="W656" s="1873">
        <v>20</v>
      </c>
      <c r="X656" s="1935">
        <v>0.56000000000000005</v>
      </c>
      <c r="Y656" s="1912">
        <v>0.77</v>
      </c>
      <c r="Z656" s="1934"/>
      <c r="AA656" s="1902">
        <v>19</v>
      </c>
      <c r="AB656" s="1873">
        <v>20</v>
      </c>
      <c r="AC656" s="1935">
        <v>1.1100000000000001</v>
      </c>
      <c r="AD656" s="1912">
        <v>2.21</v>
      </c>
      <c r="AF656" s="1902">
        <v>19</v>
      </c>
      <c r="AG656" s="1873">
        <v>20</v>
      </c>
      <c r="AH656" s="1935"/>
      <c r="AI656" s="1912"/>
      <c r="AK656" s="1955">
        <f t="shared" si="97"/>
        <v>0.37</v>
      </c>
      <c r="AL656" s="1926">
        <f t="shared" si="98"/>
        <v>0.56000000000000005</v>
      </c>
      <c r="AM656" s="1926">
        <f t="shared" si="96"/>
        <v>1.1100000000000001</v>
      </c>
      <c r="AN656" s="1956">
        <f t="shared" si="99"/>
        <v>0</v>
      </c>
      <c r="AO656" s="1883"/>
      <c r="AP656" s="1871"/>
      <c r="AQ656" s="1926"/>
      <c r="AR656" s="1913"/>
    </row>
    <row r="657" spans="1:44">
      <c r="A657" s="1934"/>
      <c r="B657" s="1902">
        <v>20</v>
      </c>
      <c r="C657" s="1873">
        <v>21</v>
      </c>
      <c r="D657" s="1935">
        <v>0.2</v>
      </c>
      <c r="E657" s="1912">
        <v>0.34</v>
      </c>
      <c r="F657" s="1934"/>
      <c r="G657" s="1902">
        <v>20</v>
      </c>
      <c r="H657" s="1873">
        <v>21</v>
      </c>
      <c r="I657" s="1935">
        <v>0.35</v>
      </c>
      <c r="J657" s="1912">
        <v>0.49</v>
      </c>
      <c r="K657" s="1934"/>
      <c r="L657" s="1902">
        <v>20</v>
      </c>
      <c r="M657" s="1873">
        <v>21</v>
      </c>
      <c r="N657" s="1935">
        <v>0.32</v>
      </c>
      <c r="O657" s="1912">
        <v>0.55000000000000004</v>
      </c>
      <c r="P657" s="1934"/>
      <c r="Q657" s="1902"/>
      <c r="R657" s="1873"/>
      <c r="S657" s="1935"/>
      <c r="T657" s="1912"/>
      <c r="U657" s="1934"/>
      <c r="V657" s="1902">
        <v>20</v>
      </c>
      <c r="W657" s="1873">
        <v>21</v>
      </c>
      <c r="X657" s="1935">
        <v>0.48</v>
      </c>
      <c r="Y657" s="1912">
        <v>0.68</v>
      </c>
      <c r="Z657" s="1934"/>
      <c r="AA657" s="1902">
        <v>20</v>
      </c>
      <c r="AB657" s="1873">
        <v>21</v>
      </c>
      <c r="AC657" s="1935">
        <v>0.5</v>
      </c>
      <c r="AD657" s="1912">
        <v>1.1200000000000001</v>
      </c>
      <c r="AF657" s="1902">
        <v>20</v>
      </c>
      <c r="AG657" s="1873">
        <v>21</v>
      </c>
      <c r="AH657" s="1935"/>
      <c r="AI657" s="1912"/>
      <c r="AK657" s="1955">
        <f t="shared" si="97"/>
        <v>0.32</v>
      </c>
      <c r="AL657" s="1926">
        <f t="shared" si="98"/>
        <v>0.48</v>
      </c>
      <c r="AM657" s="1926">
        <f t="shared" si="96"/>
        <v>0.5</v>
      </c>
      <c r="AN657" s="1956">
        <f t="shared" si="99"/>
        <v>0</v>
      </c>
      <c r="AO657" s="1883"/>
      <c r="AP657" s="1871"/>
      <c r="AQ657" s="1926"/>
      <c r="AR657" s="1913"/>
    </row>
    <row r="658" spans="1:44">
      <c r="A658" s="1934"/>
      <c r="B658" s="1902">
        <v>21</v>
      </c>
      <c r="C658" s="1873">
        <v>22</v>
      </c>
      <c r="D658" s="1935">
        <v>0.21</v>
      </c>
      <c r="E658" s="1912">
        <v>0.36</v>
      </c>
      <c r="F658" s="1934"/>
      <c r="G658" s="1902">
        <v>21</v>
      </c>
      <c r="H658" s="1873">
        <v>22</v>
      </c>
      <c r="I658" s="1935">
        <v>0.28999999999999998</v>
      </c>
      <c r="J658" s="1912">
        <v>0.59</v>
      </c>
      <c r="K658" s="1934"/>
      <c r="L658" s="1902">
        <v>21</v>
      </c>
      <c r="M658" s="1873">
        <v>22</v>
      </c>
      <c r="N658" s="1935">
        <v>0.3</v>
      </c>
      <c r="O658" s="1912">
        <v>0.52</v>
      </c>
      <c r="P658" s="1934"/>
      <c r="Q658" s="1902"/>
      <c r="R658" s="1873"/>
      <c r="S658" s="1935"/>
      <c r="T658" s="1912"/>
      <c r="U658" s="1934"/>
      <c r="V658" s="1902">
        <v>21</v>
      </c>
      <c r="W658" s="1873">
        <v>22</v>
      </c>
      <c r="X658" s="1935">
        <v>0.54</v>
      </c>
      <c r="Y658" s="1912">
        <v>0.97</v>
      </c>
      <c r="Z658" s="1934"/>
      <c r="AA658" s="1902">
        <v>21</v>
      </c>
      <c r="AB658" s="1873">
        <v>22</v>
      </c>
      <c r="AC658" s="1935">
        <v>0.51</v>
      </c>
      <c r="AD658" s="1912">
        <v>1.19</v>
      </c>
      <c r="AF658" s="1902">
        <v>21</v>
      </c>
      <c r="AG658" s="1873">
        <v>22</v>
      </c>
      <c r="AH658" s="1935"/>
      <c r="AI658" s="1912"/>
      <c r="AK658" s="1955">
        <f t="shared" si="97"/>
        <v>0.3</v>
      </c>
      <c r="AL658" s="1926">
        <f t="shared" si="98"/>
        <v>0.54</v>
      </c>
      <c r="AM658" s="1926">
        <f t="shared" si="96"/>
        <v>0.51</v>
      </c>
      <c r="AN658" s="1956">
        <f t="shared" si="99"/>
        <v>0</v>
      </c>
      <c r="AO658" s="1883"/>
      <c r="AP658" s="1871"/>
      <c r="AQ658" s="1926"/>
      <c r="AR658" s="1913"/>
    </row>
    <row r="659" spans="1:44">
      <c r="A659" s="1934"/>
      <c r="B659" s="1902">
        <v>22</v>
      </c>
      <c r="C659" s="1873">
        <v>23</v>
      </c>
      <c r="D659" s="1935">
        <v>0.27</v>
      </c>
      <c r="E659" s="1912">
        <v>0.46</v>
      </c>
      <c r="F659" s="1934"/>
      <c r="G659" s="1902">
        <v>22</v>
      </c>
      <c r="H659" s="1873">
        <v>23</v>
      </c>
      <c r="I659" s="1935">
        <v>0.09</v>
      </c>
      <c r="J659" s="1912">
        <v>0.28999999999999998</v>
      </c>
      <c r="K659" s="1934"/>
      <c r="L659" s="1902">
        <v>22</v>
      </c>
      <c r="M659" s="1873">
        <v>23</v>
      </c>
      <c r="N659" s="1935">
        <v>0.19</v>
      </c>
      <c r="O659" s="1912">
        <v>0.32</v>
      </c>
      <c r="P659" s="1934"/>
      <c r="Q659" s="1902"/>
      <c r="R659" s="1873"/>
      <c r="S659" s="1935"/>
      <c r="T659" s="1912"/>
      <c r="U659" s="1934"/>
      <c r="V659" s="1902">
        <v>22</v>
      </c>
      <c r="W659" s="1873">
        <v>23</v>
      </c>
      <c r="X659" s="1935">
        <v>0.48</v>
      </c>
      <c r="Y659" s="1912">
        <v>0.68</v>
      </c>
      <c r="Z659" s="1934"/>
      <c r="AA659" s="1902">
        <v>22</v>
      </c>
      <c r="AB659" s="1873">
        <v>23</v>
      </c>
      <c r="AC659" s="1935">
        <v>0.45</v>
      </c>
      <c r="AD659" s="1912" t="s">
        <v>1480</v>
      </c>
      <c r="AF659" s="1902">
        <v>22</v>
      </c>
      <c r="AG659" s="1873">
        <v>23</v>
      </c>
      <c r="AH659" s="1935"/>
      <c r="AI659" s="1912"/>
      <c r="AK659" s="1955">
        <f t="shared" si="97"/>
        <v>0.19</v>
      </c>
      <c r="AL659" s="1926">
        <f t="shared" si="98"/>
        <v>0.48</v>
      </c>
      <c r="AM659" s="1926">
        <f t="shared" si="96"/>
        <v>0.45</v>
      </c>
      <c r="AN659" s="1956">
        <f t="shared" si="99"/>
        <v>0</v>
      </c>
      <c r="AO659" s="1883"/>
      <c r="AP659" s="1871"/>
      <c r="AQ659" s="1926"/>
      <c r="AR659" s="1913"/>
    </row>
    <row r="660" spans="1:44" ht="15" thickBot="1">
      <c r="A660" s="1934"/>
      <c r="B660" s="1902">
        <v>23</v>
      </c>
      <c r="C660" s="1873">
        <v>24</v>
      </c>
      <c r="D660" s="1935">
        <v>0.16</v>
      </c>
      <c r="E660" s="1912">
        <v>0.27</v>
      </c>
      <c r="F660" s="1934"/>
      <c r="G660" s="1902">
        <v>23</v>
      </c>
      <c r="H660" s="1873">
        <v>24</v>
      </c>
      <c r="I660" s="1935">
        <v>0.15</v>
      </c>
      <c r="J660" s="1912">
        <v>0.17</v>
      </c>
      <c r="K660" s="1934"/>
      <c r="L660" s="1902">
        <v>23</v>
      </c>
      <c r="M660" s="1873">
        <v>24</v>
      </c>
      <c r="N660" s="1935">
        <v>0.13</v>
      </c>
      <c r="O660" s="1912">
        <v>0.21</v>
      </c>
      <c r="P660" s="1934"/>
      <c r="Q660" s="1902"/>
      <c r="R660" s="1873"/>
      <c r="S660" s="1935"/>
      <c r="T660" s="1912"/>
      <c r="U660" s="1934"/>
      <c r="V660" s="1902">
        <v>23</v>
      </c>
      <c r="W660" s="1873">
        <v>24</v>
      </c>
      <c r="X660" s="1935">
        <v>0.31</v>
      </c>
      <c r="Y660" s="1912">
        <v>0.42</v>
      </c>
      <c r="Z660" s="1934"/>
      <c r="AA660" s="1902">
        <v>23</v>
      </c>
      <c r="AB660" s="1873">
        <v>24</v>
      </c>
      <c r="AC660" s="1935">
        <v>0.3</v>
      </c>
      <c r="AD660" s="1912" t="s">
        <v>1428</v>
      </c>
      <c r="AF660" s="1902">
        <v>23</v>
      </c>
      <c r="AG660" s="1873">
        <v>24</v>
      </c>
      <c r="AH660" s="1935"/>
      <c r="AI660" s="1912"/>
      <c r="AK660" s="1957">
        <f t="shared" si="97"/>
        <v>0.13</v>
      </c>
      <c r="AL660" s="1958">
        <f t="shared" si="98"/>
        <v>0.31</v>
      </c>
      <c r="AM660" s="1958">
        <f t="shared" si="96"/>
        <v>0.3</v>
      </c>
      <c r="AN660" s="1959">
        <f t="shared" si="99"/>
        <v>0</v>
      </c>
      <c r="AO660" s="1883"/>
      <c r="AP660" s="1871"/>
      <c r="AQ660" s="1928"/>
      <c r="AR660" s="1917"/>
    </row>
    <row r="661" spans="1:44">
      <c r="B661" s="2766">
        <v>44983</v>
      </c>
      <c r="C661" s="2766"/>
      <c r="D661" s="1922">
        <f>SUM(D662:D685)</f>
        <v>12.899999999999999</v>
      </c>
      <c r="E661" s="1923">
        <f>SUM(E662:E685)</f>
        <v>25.240000000000002</v>
      </c>
      <c r="G661" s="2773">
        <v>45011</v>
      </c>
      <c r="H661" s="2773"/>
      <c r="I661" s="1922">
        <f>SUM(I662:I685)</f>
        <v>4.17</v>
      </c>
      <c r="J661" s="1923">
        <f>SUM(J662:J685)</f>
        <v>7.15</v>
      </c>
      <c r="L661" s="2773">
        <v>45133</v>
      </c>
      <c r="M661" s="2773"/>
      <c r="N661" s="1936">
        <f>SUM(N662:N685)</f>
        <v>6.72</v>
      </c>
      <c r="O661" s="1937">
        <f>SUM(O662:O685)</f>
        <v>10.739999999999998</v>
      </c>
      <c r="Q661" s="2766">
        <v>45072</v>
      </c>
      <c r="R661" s="2766"/>
      <c r="S661" s="1936"/>
      <c r="T661" s="1937"/>
      <c r="V661" s="2766">
        <v>45072</v>
      </c>
      <c r="W661" s="2766"/>
      <c r="X661" s="1936">
        <f>SUM(X662:X685)</f>
        <v>10.34</v>
      </c>
      <c r="Y661" s="1937">
        <f>SUM(Y662:Y685)</f>
        <v>13.97</v>
      </c>
      <c r="AA661" s="2766">
        <v>45103</v>
      </c>
      <c r="AB661" s="2766"/>
      <c r="AC661" s="1936">
        <f>SUM(AC662:AC685)</f>
        <v>10.49</v>
      </c>
      <c r="AD661" s="1937">
        <f>SUM(AD662:AD685)</f>
        <v>16.45</v>
      </c>
      <c r="AF661" s="2766">
        <v>45133</v>
      </c>
      <c r="AG661" s="2766"/>
      <c r="AH661" s="1936">
        <f>SUM(AH662:AH685)</f>
        <v>0</v>
      </c>
      <c r="AI661" s="1937">
        <f>SUM(AI662:AI685)</f>
        <v>0</v>
      </c>
      <c r="AO661" s="1908"/>
      <c r="AP661" s="1909"/>
      <c r="AQ661" s="1929"/>
      <c r="AR661" s="1914"/>
    </row>
    <row r="662" spans="1:44">
      <c r="A662" s="1927"/>
      <c r="B662" s="1883">
        <v>0</v>
      </c>
      <c r="C662" s="1871">
        <v>1</v>
      </c>
      <c r="D662" s="1926">
        <v>0.18</v>
      </c>
      <c r="E662" s="1913">
        <v>0.32</v>
      </c>
      <c r="F662" s="1927"/>
      <c r="G662" s="1883">
        <v>0</v>
      </c>
      <c r="H662" s="1871">
        <v>1</v>
      </c>
      <c r="I662" s="1926">
        <v>0.1</v>
      </c>
      <c r="J662" s="1913">
        <v>0.12</v>
      </c>
      <c r="K662" s="1927"/>
      <c r="L662" s="1883">
        <v>0</v>
      </c>
      <c r="M662" s="1871">
        <v>1</v>
      </c>
      <c r="N662" s="1926">
        <v>0.11</v>
      </c>
      <c r="O662" s="1913">
        <v>0.18</v>
      </c>
      <c r="P662" s="1927"/>
      <c r="Q662" s="1883"/>
      <c r="R662" s="1871"/>
      <c r="S662" s="1926"/>
      <c r="T662" s="1913"/>
      <c r="U662" s="1927"/>
      <c r="V662" s="1883">
        <v>0</v>
      </c>
      <c r="W662" s="1871">
        <v>1</v>
      </c>
      <c r="X662" s="1926">
        <v>0.28000000000000003</v>
      </c>
      <c r="Y662" s="1913">
        <v>0.39</v>
      </c>
      <c r="Z662" s="1927"/>
      <c r="AA662" s="1883">
        <v>0</v>
      </c>
      <c r="AB662" s="1871">
        <v>1</v>
      </c>
      <c r="AC662" s="1926">
        <v>0.22</v>
      </c>
      <c r="AD662" s="1913">
        <v>0.42</v>
      </c>
      <c r="AF662" s="1883">
        <v>0</v>
      </c>
      <c r="AG662" s="1871">
        <v>1</v>
      </c>
      <c r="AH662" s="1926"/>
      <c r="AI662" s="1913"/>
      <c r="AK662" s="1952">
        <f>N662</f>
        <v>0.11</v>
      </c>
      <c r="AL662" s="1953">
        <f>X662</f>
        <v>0.28000000000000003</v>
      </c>
      <c r="AM662" s="1953">
        <f t="shared" ref="AM662:AM685" si="100">AC662</f>
        <v>0.22</v>
      </c>
      <c r="AN662" s="1954">
        <f>AH662</f>
        <v>0</v>
      </c>
      <c r="AO662" s="1890"/>
      <c r="AP662" s="1891"/>
      <c r="AQ662" s="1931"/>
      <c r="AR662" s="1915"/>
    </row>
    <row r="663" spans="1:44">
      <c r="A663" s="1927"/>
      <c r="B663" s="1883">
        <v>1</v>
      </c>
      <c r="C663" s="1871">
        <v>2</v>
      </c>
      <c r="D663" s="1926">
        <v>0.15</v>
      </c>
      <c r="E663" s="1913">
        <v>0.27</v>
      </c>
      <c r="F663" s="1927"/>
      <c r="G663" s="1883">
        <v>1</v>
      </c>
      <c r="H663" s="1871">
        <v>2</v>
      </c>
      <c r="I663" s="1926">
        <v>0.18</v>
      </c>
      <c r="J663" s="1913">
        <v>0.21</v>
      </c>
      <c r="K663" s="1927"/>
      <c r="L663" s="1883">
        <v>1</v>
      </c>
      <c r="M663" s="1871">
        <v>2</v>
      </c>
      <c r="N663" s="1926">
        <v>0.15</v>
      </c>
      <c r="O663" s="1913">
        <v>0.25</v>
      </c>
      <c r="P663" s="1927"/>
      <c r="Q663" s="1883"/>
      <c r="R663" s="1871"/>
      <c r="S663" s="1926"/>
      <c r="T663" s="1913"/>
      <c r="U663" s="1927"/>
      <c r="V663" s="1883">
        <v>1</v>
      </c>
      <c r="W663" s="1871">
        <v>2</v>
      </c>
      <c r="X663" s="1926">
        <v>0.33</v>
      </c>
      <c r="Y663" s="1913">
        <v>0.46</v>
      </c>
      <c r="Z663" s="1927"/>
      <c r="AA663" s="1883">
        <v>1</v>
      </c>
      <c r="AB663" s="1871">
        <v>2</v>
      </c>
      <c r="AC663" s="1926">
        <v>0.3</v>
      </c>
      <c r="AD663" s="1913">
        <v>0.54</v>
      </c>
      <c r="AF663" s="1883">
        <v>1</v>
      </c>
      <c r="AG663" s="1871">
        <v>2</v>
      </c>
      <c r="AH663" s="1926"/>
      <c r="AI663" s="1913"/>
      <c r="AK663" s="1955">
        <f t="shared" ref="AK663:AK685" si="101">N663</f>
        <v>0.15</v>
      </c>
      <c r="AL663" s="1926">
        <f t="shared" ref="AL663:AL685" si="102">X663</f>
        <v>0.33</v>
      </c>
      <c r="AM663" s="1926">
        <f t="shared" si="100"/>
        <v>0.3</v>
      </c>
      <c r="AN663" s="1956">
        <f t="shared" ref="AN663:AN685" si="103">AH663</f>
        <v>0</v>
      </c>
      <c r="AO663" s="1893"/>
      <c r="AP663" s="1872"/>
      <c r="AQ663" s="1931"/>
      <c r="AR663" s="1915"/>
    </row>
    <row r="664" spans="1:44">
      <c r="A664" s="1927"/>
      <c r="B664" s="1883">
        <v>2</v>
      </c>
      <c r="C664" s="1871">
        <v>3</v>
      </c>
      <c r="D664" s="1926">
        <v>0.13</v>
      </c>
      <c r="E664" s="1913">
        <v>0.23</v>
      </c>
      <c r="F664" s="1927"/>
      <c r="G664" s="1883">
        <v>2</v>
      </c>
      <c r="H664" s="1871">
        <v>3</v>
      </c>
      <c r="I664" s="1926">
        <v>0.18</v>
      </c>
      <c r="J664" s="1913">
        <v>0.22</v>
      </c>
      <c r="K664" s="1927"/>
      <c r="L664" s="1883">
        <v>2</v>
      </c>
      <c r="M664" s="1871">
        <v>3</v>
      </c>
      <c r="N664" s="1926">
        <v>0.11</v>
      </c>
      <c r="O664" s="1913">
        <v>0.18</v>
      </c>
      <c r="P664" s="1927"/>
      <c r="Q664" s="1883"/>
      <c r="R664" s="1871"/>
      <c r="S664" s="1926"/>
      <c r="T664" s="1913"/>
      <c r="U664" s="1927"/>
      <c r="V664" s="1883">
        <v>2</v>
      </c>
      <c r="W664" s="1871">
        <v>3</v>
      </c>
      <c r="X664" s="1926">
        <v>0.26</v>
      </c>
      <c r="Y664" s="1913">
        <v>0.36</v>
      </c>
      <c r="Z664" s="1927"/>
      <c r="AA664" s="1883">
        <v>2</v>
      </c>
      <c r="AB664" s="1871">
        <v>3</v>
      </c>
      <c r="AC664" s="1926">
        <v>0.2</v>
      </c>
      <c r="AD664" s="1913">
        <v>0.34</v>
      </c>
      <c r="AF664" s="1883">
        <v>2</v>
      </c>
      <c r="AG664" s="1871">
        <v>3</v>
      </c>
      <c r="AH664" s="1926"/>
      <c r="AI664" s="1913"/>
      <c r="AK664" s="1955">
        <f t="shared" si="101"/>
        <v>0.11</v>
      </c>
      <c r="AL664" s="1926">
        <f t="shared" si="102"/>
        <v>0.26</v>
      </c>
      <c r="AM664" s="1926">
        <f t="shared" si="100"/>
        <v>0.2</v>
      </c>
      <c r="AN664" s="1956">
        <f t="shared" si="103"/>
        <v>0</v>
      </c>
      <c r="AO664" s="1893"/>
      <c r="AP664" s="1872"/>
      <c r="AQ664" s="1931"/>
      <c r="AR664" s="1915"/>
    </row>
    <row r="665" spans="1:44">
      <c r="A665" s="1927"/>
      <c r="B665" s="1883">
        <v>3</v>
      </c>
      <c r="C665" s="1871">
        <v>4</v>
      </c>
      <c r="D665" s="1926">
        <v>0.14000000000000001</v>
      </c>
      <c r="E665" s="1913">
        <v>0.25</v>
      </c>
      <c r="F665" s="1927"/>
      <c r="G665" s="1883">
        <v>3</v>
      </c>
      <c r="H665" s="1871">
        <v>4</v>
      </c>
      <c r="I665" s="1926">
        <v>0.2</v>
      </c>
      <c r="J665" s="1913">
        <v>0.24</v>
      </c>
      <c r="K665" s="1927"/>
      <c r="L665" s="1883">
        <v>3</v>
      </c>
      <c r="M665" s="1871">
        <v>4</v>
      </c>
      <c r="N665" s="1926">
        <v>0.09</v>
      </c>
      <c r="O665" s="1913">
        <v>0.15</v>
      </c>
      <c r="P665" s="1927"/>
      <c r="Q665" s="1883"/>
      <c r="R665" s="1871"/>
      <c r="S665" s="1926"/>
      <c r="T665" s="1913"/>
      <c r="U665" s="1927"/>
      <c r="V665" s="1883">
        <v>3</v>
      </c>
      <c r="W665" s="1871">
        <v>4</v>
      </c>
      <c r="X665" s="1926">
        <v>0.28000000000000003</v>
      </c>
      <c r="Y665" s="1913">
        <v>0.39</v>
      </c>
      <c r="Z665" s="1927"/>
      <c r="AA665" s="1883">
        <v>3</v>
      </c>
      <c r="AB665" s="1871">
        <v>4</v>
      </c>
      <c r="AC665" s="1926">
        <v>0.25</v>
      </c>
      <c r="AD665" s="1913">
        <v>0.4</v>
      </c>
      <c r="AF665" s="1883">
        <v>3</v>
      </c>
      <c r="AG665" s="1871">
        <v>4</v>
      </c>
      <c r="AH665" s="1926"/>
      <c r="AI665" s="1913"/>
      <c r="AK665" s="1955">
        <f t="shared" si="101"/>
        <v>0.09</v>
      </c>
      <c r="AL665" s="1926">
        <f t="shared" si="102"/>
        <v>0.28000000000000003</v>
      </c>
      <c r="AM665" s="1926">
        <f t="shared" si="100"/>
        <v>0.25</v>
      </c>
      <c r="AN665" s="1956">
        <f t="shared" si="103"/>
        <v>0</v>
      </c>
      <c r="AO665" s="1893"/>
      <c r="AP665" s="1872"/>
      <c r="AQ665" s="1931"/>
      <c r="AR665" s="1915"/>
    </row>
    <row r="666" spans="1:44">
      <c r="A666" s="1927"/>
      <c r="B666" s="1883">
        <v>4</v>
      </c>
      <c r="C666" s="1871">
        <v>5</v>
      </c>
      <c r="D666" s="1926">
        <v>0.17</v>
      </c>
      <c r="E666" s="1913">
        <v>0.3</v>
      </c>
      <c r="F666" s="1927"/>
      <c r="G666" s="1883">
        <v>4</v>
      </c>
      <c r="H666" s="1871">
        <v>5</v>
      </c>
      <c r="I666" s="1926">
        <v>0.12</v>
      </c>
      <c r="J666" s="1913">
        <v>0.14000000000000001</v>
      </c>
      <c r="K666" s="1927"/>
      <c r="L666" s="1883">
        <v>4</v>
      </c>
      <c r="M666" s="1871">
        <v>5</v>
      </c>
      <c r="N666" s="1926">
        <v>0.18</v>
      </c>
      <c r="O666" s="1913">
        <v>0.3</v>
      </c>
      <c r="P666" s="1927"/>
      <c r="Q666" s="1883"/>
      <c r="R666" s="1871"/>
      <c r="S666" s="1926"/>
      <c r="T666" s="1913"/>
      <c r="U666" s="1927"/>
      <c r="V666" s="1883">
        <v>4</v>
      </c>
      <c r="W666" s="1871">
        <v>5</v>
      </c>
      <c r="X666" s="1926">
        <v>0.33</v>
      </c>
      <c r="Y666" s="1913">
        <v>0.46</v>
      </c>
      <c r="Z666" s="1927"/>
      <c r="AA666" s="1883">
        <v>4</v>
      </c>
      <c r="AB666" s="1871">
        <v>5</v>
      </c>
      <c r="AC666" s="1926">
        <v>0.21</v>
      </c>
      <c r="AD666" s="1913">
        <v>0.33</v>
      </c>
      <c r="AF666" s="1883">
        <v>4</v>
      </c>
      <c r="AG666" s="1871">
        <v>5</v>
      </c>
      <c r="AH666" s="1926"/>
      <c r="AI666" s="1913"/>
      <c r="AK666" s="1955">
        <f t="shared" si="101"/>
        <v>0.18</v>
      </c>
      <c r="AL666" s="1926">
        <f t="shared" si="102"/>
        <v>0.33</v>
      </c>
      <c r="AM666" s="1926">
        <f t="shared" si="100"/>
        <v>0.21</v>
      </c>
      <c r="AN666" s="1956">
        <f t="shared" si="103"/>
        <v>0</v>
      </c>
      <c r="AO666" s="1893"/>
      <c r="AP666" s="1872"/>
      <c r="AQ666" s="1931"/>
      <c r="AR666" s="1915"/>
    </row>
    <row r="667" spans="1:44">
      <c r="A667" s="1927"/>
      <c r="B667" s="1883">
        <v>5</v>
      </c>
      <c r="C667" s="1871">
        <v>6</v>
      </c>
      <c r="D667" s="1926">
        <v>0.17</v>
      </c>
      <c r="E667" s="1913">
        <v>0.31</v>
      </c>
      <c r="F667" s="1927"/>
      <c r="G667" s="1883">
        <v>5</v>
      </c>
      <c r="H667" s="1871">
        <v>6</v>
      </c>
      <c r="I667" s="1926">
        <v>0.13</v>
      </c>
      <c r="J667" s="1913">
        <v>0.18</v>
      </c>
      <c r="K667" s="1927"/>
      <c r="L667" s="1883">
        <v>5</v>
      </c>
      <c r="M667" s="1871">
        <v>6</v>
      </c>
      <c r="N667" s="1926">
        <v>0.2</v>
      </c>
      <c r="O667" s="1913">
        <v>0.34</v>
      </c>
      <c r="P667" s="1927"/>
      <c r="Q667" s="1883"/>
      <c r="R667" s="1871"/>
      <c r="S667" s="1926"/>
      <c r="T667" s="1913"/>
      <c r="U667" s="1927"/>
      <c r="V667" s="1883">
        <v>5</v>
      </c>
      <c r="W667" s="1871">
        <v>6</v>
      </c>
      <c r="X667" s="1926">
        <v>0.27</v>
      </c>
      <c r="Y667" s="1913">
        <v>0.37</v>
      </c>
      <c r="Z667" s="1927"/>
      <c r="AA667" s="1883">
        <v>5</v>
      </c>
      <c r="AB667" s="1871">
        <v>6</v>
      </c>
      <c r="AC667" s="1926">
        <v>0.54</v>
      </c>
      <c r="AD667" s="1913">
        <v>0.88</v>
      </c>
      <c r="AF667" s="1883">
        <v>5</v>
      </c>
      <c r="AG667" s="1871">
        <v>6</v>
      </c>
      <c r="AH667" s="1926"/>
      <c r="AI667" s="1913"/>
      <c r="AK667" s="1955">
        <f t="shared" si="101"/>
        <v>0.2</v>
      </c>
      <c r="AL667" s="1926">
        <f t="shared" si="102"/>
        <v>0.27</v>
      </c>
      <c r="AM667" s="1926">
        <f t="shared" si="100"/>
        <v>0.54</v>
      </c>
      <c r="AN667" s="1956">
        <f t="shared" si="103"/>
        <v>0</v>
      </c>
      <c r="AO667" s="1893"/>
      <c r="AP667" s="1872"/>
      <c r="AQ667" s="1931"/>
      <c r="AR667" s="1915"/>
    </row>
    <row r="668" spans="1:44">
      <c r="A668" s="1927"/>
      <c r="B668" s="1883">
        <v>6</v>
      </c>
      <c r="C668" s="1871">
        <v>7</v>
      </c>
      <c r="D668" s="1926">
        <v>0.14000000000000001</v>
      </c>
      <c r="E668" s="1913">
        <v>0.25</v>
      </c>
      <c r="F668" s="1927"/>
      <c r="G668" s="1883">
        <v>6</v>
      </c>
      <c r="H668" s="1871">
        <v>7</v>
      </c>
      <c r="I668" s="1926">
        <v>0.26</v>
      </c>
      <c r="J668" s="1913">
        <v>0.39</v>
      </c>
      <c r="K668" s="1927"/>
      <c r="L668" s="1883">
        <v>6</v>
      </c>
      <c r="M668" s="1871">
        <v>7</v>
      </c>
      <c r="N668" s="1926">
        <v>0.26</v>
      </c>
      <c r="O668" s="1913">
        <v>0.46</v>
      </c>
      <c r="P668" s="1927"/>
      <c r="Q668" s="1883"/>
      <c r="R668" s="1871"/>
      <c r="S668" s="1926"/>
      <c r="T668" s="1913"/>
      <c r="U668" s="1927"/>
      <c r="V668" s="1883">
        <v>6</v>
      </c>
      <c r="W668" s="1871">
        <v>7</v>
      </c>
      <c r="X668" s="1926">
        <v>0.26</v>
      </c>
      <c r="Y668" s="1913">
        <v>0.46</v>
      </c>
      <c r="Z668" s="1927"/>
      <c r="AA668" s="1883">
        <v>6</v>
      </c>
      <c r="AB668" s="1871">
        <v>7</v>
      </c>
      <c r="AC668" s="1926">
        <v>0.48</v>
      </c>
      <c r="AD668" s="1913">
        <v>0.86</v>
      </c>
      <c r="AF668" s="1883">
        <v>6</v>
      </c>
      <c r="AG668" s="1871">
        <v>7</v>
      </c>
      <c r="AH668" s="1926"/>
      <c r="AI668" s="1913"/>
      <c r="AK668" s="1955">
        <f t="shared" si="101"/>
        <v>0.26</v>
      </c>
      <c r="AL668" s="1926">
        <f t="shared" si="102"/>
        <v>0.26</v>
      </c>
      <c r="AM668" s="1926">
        <f t="shared" si="100"/>
        <v>0.48</v>
      </c>
      <c r="AN668" s="1956">
        <f t="shared" si="103"/>
        <v>0</v>
      </c>
      <c r="AO668" s="1893"/>
      <c r="AP668" s="1872"/>
      <c r="AQ668" s="1931"/>
      <c r="AR668" s="1915"/>
    </row>
    <row r="669" spans="1:44">
      <c r="A669" s="1927"/>
      <c r="B669" s="1908">
        <v>7</v>
      </c>
      <c r="C669" s="1909">
        <v>8</v>
      </c>
      <c r="D669" s="1928">
        <v>0.27</v>
      </c>
      <c r="E669" s="1917">
        <v>0.5</v>
      </c>
      <c r="F669" s="1927"/>
      <c r="G669" s="1908">
        <v>7</v>
      </c>
      <c r="H669" s="1909">
        <v>8</v>
      </c>
      <c r="I669" s="1928">
        <v>0.19</v>
      </c>
      <c r="J669" s="1917">
        <v>0.28999999999999998</v>
      </c>
      <c r="K669" s="1927"/>
      <c r="L669" s="1908">
        <v>7</v>
      </c>
      <c r="M669" s="1909">
        <v>8</v>
      </c>
      <c r="N669" s="1928">
        <v>0.28000000000000003</v>
      </c>
      <c r="O669" s="1917">
        <v>0.51</v>
      </c>
      <c r="P669" s="1927"/>
      <c r="Q669" s="1908"/>
      <c r="R669" s="1909"/>
      <c r="S669" s="1928"/>
      <c r="T669" s="1917"/>
      <c r="U669" s="1927"/>
      <c r="V669" s="1908">
        <v>7</v>
      </c>
      <c r="W669" s="1909">
        <v>8</v>
      </c>
      <c r="X669" s="1928">
        <v>0.35</v>
      </c>
      <c r="Y669" s="1917">
        <v>0.62</v>
      </c>
      <c r="Z669" s="1927"/>
      <c r="AA669" s="1908">
        <v>7</v>
      </c>
      <c r="AB669" s="1909">
        <v>8</v>
      </c>
      <c r="AC669" s="1928">
        <v>0.37</v>
      </c>
      <c r="AD669" s="1917">
        <v>0.75</v>
      </c>
      <c r="AF669" s="1908">
        <v>7</v>
      </c>
      <c r="AG669" s="1909">
        <v>8</v>
      </c>
      <c r="AH669" s="1928"/>
      <c r="AI669" s="1917"/>
      <c r="AK669" s="1957">
        <f t="shared" si="101"/>
        <v>0.28000000000000003</v>
      </c>
      <c r="AL669" s="1958">
        <f t="shared" si="102"/>
        <v>0.35</v>
      </c>
      <c r="AM669" s="1958">
        <f t="shared" si="100"/>
        <v>0.37</v>
      </c>
      <c r="AN669" s="1959">
        <f t="shared" si="103"/>
        <v>0</v>
      </c>
      <c r="AO669" s="1893"/>
      <c r="AP669" s="1872"/>
      <c r="AQ669" s="1931"/>
      <c r="AR669" s="1915"/>
    </row>
    <row r="670" spans="1:44">
      <c r="A670" s="1930"/>
      <c r="B670" s="1890">
        <v>8</v>
      </c>
      <c r="C670" s="1891">
        <v>9</v>
      </c>
      <c r="D670" s="1929">
        <v>0.72</v>
      </c>
      <c r="E670" s="1914">
        <v>1.32</v>
      </c>
      <c r="F670" s="1930"/>
      <c r="G670" s="1890">
        <v>8</v>
      </c>
      <c r="H670" s="1891">
        <v>9</v>
      </c>
      <c r="I670" s="1929">
        <v>0.36</v>
      </c>
      <c r="J670" s="1914">
        <v>0.56000000000000005</v>
      </c>
      <c r="K670" s="1930"/>
      <c r="L670" s="1890">
        <v>8</v>
      </c>
      <c r="M670" s="1891">
        <v>9</v>
      </c>
      <c r="N670" s="1929">
        <v>0.15</v>
      </c>
      <c r="O670" s="1914">
        <v>0.27</v>
      </c>
      <c r="P670" s="1930"/>
      <c r="Q670" s="1890"/>
      <c r="R670" s="1891"/>
      <c r="S670" s="1929"/>
      <c r="T670" s="1914"/>
      <c r="U670" s="1930"/>
      <c r="V670" s="1890">
        <v>8</v>
      </c>
      <c r="W670" s="1891">
        <v>9</v>
      </c>
      <c r="X670" s="1929">
        <v>0.5</v>
      </c>
      <c r="Y670" s="1914">
        <v>0.85</v>
      </c>
      <c r="Z670" s="1930"/>
      <c r="AA670" s="1890">
        <v>8</v>
      </c>
      <c r="AB670" s="1891">
        <v>9</v>
      </c>
      <c r="AC670" s="1929">
        <v>0.36</v>
      </c>
      <c r="AD670" s="1914">
        <v>0.7</v>
      </c>
      <c r="AF670" s="1890">
        <v>8</v>
      </c>
      <c r="AG670" s="1891">
        <v>9</v>
      </c>
      <c r="AH670" s="1929"/>
      <c r="AI670" s="1914"/>
      <c r="AK670" s="1952">
        <f t="shared" si="101"/>
        <v>0.15</v>
      </c>
      <c r="AL670" s="1953">
        <f t="shared" si="102"/>
        <v>0.5</v>
      </c>
      <c r="AM670" s="1953">
        <f t="shared" si="100"/>
        <v>0.36</v>
      </c>
      <c r="AN670" s="1954">
        <f t="shared" si="103"/>
        <v>0</v>
      </c>
      <c r="AO670" s="1893"/>
      <c r="AP670" s="1872"/>
      <c r="AQ670" s="1932"/>
      <c r="AR670" s="1916"/>
    </row>
    <row r="671" spans="1:44">
      <c r="A671" s="1930"/>
      <c r="B671" s="1893">
        <v>9</v>
      </c>
      <c r="C671" s="1872">
        <v>10</v>
      </c>
      <c r="D671" s="1931">
        <v>0.74</v>
      </c>
      <c r="E671" s="1915">
        <v>1.34</v>
      </c>
      <c r="F671" s="1930"/>
      <c r="G671" s="1893">
        <v>9</v>
      </c>
      <c r="H671" s="1872">
        <v>10</v>
      </c>
      <c r="I671" s="1931">
        <v>0.37</v>
      </c>
      <c r="J671" s="1915">
        <v>0.57999999999999996</v>
      </c>
      <c r="K671" s="1930"/>
      <c r="L671" s="1893">
        <v>9</v>
      </c>
      <c r="M671" s="1872">
        <v>10</v>
      </c>
      <c r="N671" s="1931">
        <v>0.32</v>
      </c>
      <c r="O671" s="1915">
        <v>0.49</v>
      </c>
      <c r="P671" s="1930"/>
      <c r="Q671" s="1893"/>
      <c r="R671" s="1872"/>
      <c r="S671" s="1931"/>
      <c r="T671" s="1915"/>
      <c r="U671" s="1930"/>
      <c r="V671" s="1893">
        <v>9</v>
      </c>
      <c r="W671" s="1872">
        <v>10</v>
      </c>
      <c r="X671" s="1931">
        <v>0.47</v>
      </c>
      <c r="Y671" s="1915">
        <v>0.71</v>
      </c>
      <c r="Z671" s="1930"/>
      <c r="AA671" s="1893">
        <v>9</v>
      </c>
      <c r="AB671" s="1872">
        <v>10</v>
      </c>
      <c r="AC671" s="1931">
        <v>0.48</v>
      </c>
      <c r="AD671" s="1915">
        <v>0.85</v>
      </c>
      <c r="AF671" s="1893">
        <v>9</v>
      </c>
      <c r="AG671" s="1872">
        <v>10</v>
      </c>
      <c r="AH671" s="1931"/>
      <c r="AI671" s="1915"/>
      <c r="AK671" s="1955">
        <f t="shared" si="101"/>
        <v>0.32</v>
      </c>
      <c r="AL671" s="1926">
        <f t="shared" si="102"/>
        <v>0.47</v>
      </c>
      <c r="AM671" s="1926">
        <f t="shared" si="100"/>
        <v>0.48</v>
      </c>
      <c r="AN671" s="1956">
        <f t="shared" si="103"/>
        <v>0</v>
      </c>
      <c r="AO671" s="1894"/>
      <c r="AP671" s="1895"/>
      <c r="AQ671" s="1933"/>
      <c r="AR671" s="1911"/>
    </row>
    <row r="672" spans="1:44">
      <c r="A672" s="1930"/>
      <c r="B672" s="1893">
        <v>10</v>
      </c>
      <c r="C672" s="1872">
        <v>11</v>
      </c>
      <c r="D672" s="1931">
        <v>0.93</v>
      </c>
      <c r="E672" s="1915">
        <v>1.61</v>
      </c>
      <c r="F672" s="1930"/>
      <c r="G672" s="1893">
        <v>10</v>
      </c>
      <c r="H672" s="1872">
        <v>11</v>
      </c>
      <c r="I672" s="1931">
        <v>0.14000000000000001</v>
      </c>
      <c r="J672" s="1915">
        <v>0.21</v>
      </c>
      <c r="K672" s="1930"/>
      <c r="L672" s="1893">
        <v>10</v>
      </c>
      <c r="M672" s="1872">
        <v>11</v>
      </c>
      <c r="N672" s="1931">
        <v>0.31</v>
      </c>
      <c r="O672" s="1915">
        <v>0.47</v>
      </c>
      <c r="P672" s="1930"/>
      <c r="Q672" s="1893"/>
      <c r="R672" s="1872"/>
      <c r="S672" s="1931"/>
      <c r="T672" s="1915"/>
      <c r="U672" s="1930"/>
      <c r="V672" s="1893">
        <v>10</v>
      </c>
      <c r="W672" s="1872">
        <v>11</v>
      </c>
      <c r="X672" s="1931">
        <v>0.39</v>
      </c>
      <c r="Y672" s="1915">
        <v>0.46</v>
      </c>
      <c r="Z672" s="1930"/>
      <c r="AA672" s="1893">
        <v>10</v>
      </c>
      <c r="AB672" s="1872">
        <v>11</v>
      </c>
      <c r="AC672" s="1931">
        <v>0.47</v>
      </c>
      <c r="AD672" s="1915">
        <v>0.77</v>
      </c>
      <c r="AF672" s="1893">
        <v>10</v>
      </c>
      <c r="AG672" s="1872">
        <v>11</v>
      </c>
      <c r="AH672" s="1931"/>
      <c r="AI672" s="1915"/>
      <c r="AK672" s="1955">
        <f t="shared" si="101"/>
        <v>0.31</v>
      </c>
      <c r="AL672" s="1926">
        <f t="shared" si="102"/>
        <v>0.39</v>
      </c>
      <c r="AM672" s="1926">
        <f t="shared" si="100"/>
        <v>0.47</v>
      </c>
      <c r="AN672" s="1956">
        <f t="shared" si="103"/>
        <v>0</v>
      </c>
      <c r="AO672" s="1910"/>
      <c r="AP672" s="1889"/>
      <c r="AQ672" s="1935"/>
      <c r="AR672" s="1912"/>
    </row>
    <row r="673" spans="1:44">
      <c r="A673" s="1930"/>
      <c r="B673" s="1893">
        <v>11</v>
      </c>
      <c r="C673" s="1872">
        <v>12</v>
      </c>
      <c r="D673" s="1931">
        <v>0.53</v>
      </c>
      <c r="E673" s="1915">
        <v>0.89</v>
      </c>
      <c r="F673" s="1930"/>
      <c r="G673" s="1893">
        <v>11</v>
      </c>
      <c r="H673" s="1872">
        <v>12</v>
      </c>
      <c r="I673" s="1931">
        <v>0.09</v>
      </c>
      <c r="J673" s="1915">
        <v>0.13</v>
      </c>
      <c r="K673" s="1930"/>
      <c r="L673" s="1893">
        <v>11</v>
      </c>
      <c r="M673" s="1872">
        <v>12</v>
      </c>
      <c r="N673" s="1931">
        <v>0.26</v>
      </c>
      <c r="O673" s="1915">
        <v>0.36</v>
      </c>
      <c r="P673" s="1930"/>
      <c r="Q673" s="1893"/>
      <c r="R673" s="1872"/>
      <c r="S673" s="1931"/>
      <c r="T673" s="1915"/>
      <c r="U673" s="1930"/>
      <c r="V673" s="1893">
        <v>11</v>
      </c>
      <c r="W673" s="1872">
        <v>12</v>
      </c>
      <c r="X673" s="1931">
        <v>0.32</v>
      </c>
      <c r="Y673" s="1915">
        <v>0.27</v>
      </c>
      <c r="Z673" s="1930"/>
      <c r="AA673" s="1893">
        <v>11</v>
      </c>
      <c r="AB673" s="1872">
        <v>12</v>
      </c>
      <c r="AC673" s="1931">
        <v>0.39</v>
      </c>
      <c r="AD673" s="1915">
        <v>0.31</v>
      </c>
      <c r="AF673" s="1893">
        <v>11</v>
      </c>
      <c r="AG673" s="1872">
        <v>12</v>
      </c>
      <c r="AH673" s="1931"/>
      <c r="AI673" s="1915"/>
      <c r="AK673" s="1955">
        <f t="shared" si="101"/>
        <v>0.26</v>
      </c>
      <c r="AL673" s="1926">
        <f t="shared" si="102"/>
        <v>0.32</v>
      </c>
      <c r="AM673" s="1926">
        <f t="shared" si="100"/>
        <v>0.39</v>
      </c>
      <c r="AN673" s="1956">
        <f t="shared" si="103"/>
        <v>0</v>
      </c>
      <c r="AO673" s="1902"/>
      <c r="AP673" s="1873"/>
      <c r="AQ673" s="1935"/>
      <c r="AR673" s="1912"/>
    </row>
    <row r="674" spans="1:44">
      <c r="A674" s="1930"/>
      <c r="B674" s="1893">
        <v>12</v>
      </c>
      <c r="C674" s="1872">
        <v>13</v>
      </c>
      <c r="D674" s="1931">
        <v>0.99</v>
      </c>
      <c r="E674" s="1915">
        <v>1.6</v>
      </c>
      <c r="F674" s="1930"/>
      <c r="G674" s="1893">
        <v>12</v>
      </c>
      <c r="H674" s="1872">
        <v>13</v>
      </c>
      <c r="I674" s="1931">
        <v>0.15</v>
      </c>
      <c r="J674" s="1915">
        <v>0.2</v>
      </c>
      <c r="K674" s="1930"/>
      <c r="L674" s="1893">
        <v>12</v>
      </c>
      <c r="M674" s="1872">
        <v>13</v>
      </c>
      <c r="N674" s="1931">
        <v>0.18</v>
      </c>
      <c r="O674" s="1915">
        <v>0.21</v>
      </c>
      <c r="P674" s="1930"/>
      <c r="Q674" s="1893"/>
      <c r="R674" s="1872"/>
      <c r="S674" s="1931"/>
      <c r="T674" s="1915"/>
      <c r="U674" s="1930"/>
      <c r="V674" s="1893">
        <v>12</v>
      </c>
      <c r="W674" s="1872">
        <v>13</v>
      </c>
      <c r="X674" s="1931">
        <v>0.51</v>
      </c>
      <c r="Y674" s="1915">
        <v>0.44</v>
      </c>
      <c r="Z674" s="1930"/>
      <c r="AA674" s="1893">
        <v>12</v>
      </c>
      <c r="AB674" s="1872">
        <v>13</v>
      </c>
      <c r="AC674" s="1931">
        <v>0.48</v>
      </c>
      <c r="AD674" s="1915">
        <v>0.73</v>
      </c>
      <c r="AF674" s="1893">
        <v>12</v>
      </c>
      <c r="AG674" s="1872">
        <v>13</v>
      </c>
      <c r="AH674" s="1931"/>
      <c r="AI674" s="1915"/>
      <c r="AK674" s="1955">
        <f t="shared" si="101"/>
        <v>0.18</v>
      </c>
      <c r="AL674" s="1926">
        <f t="shared" si="102"/>
        <v>0.51</v>
      </c>
      <c r="AM674" s="1926">
        <f t="shared" si="100"/>
        <v>0.48</v>
      </c>
      <c r="AN674" s="1956">
        <f t="shared" si="103"/>
        <v>0</v>
      </c>
      <c r="AO674" s="1902"/>
      <c r="AP674" s="1873"/>
      <c r="AQ674" s="1935"/>
      <c r="AR674" s="1912"/>
    </row>
    <row r="675" spans="1:44">
      <c r="A675" s="1930"/>
      <c r="B675" s="1893">
        <v>13</v>
      </c>
      <c r="C675" s="1872">
        <v>14</v>
      </c>
      <c r="D675" s="1931">
        <v>1.47</v>
      </c>
      <c r="E675" s="1915">
        <v>1.96</v>
      </c>
      <c r="F675" s="1930"/>
      <c r="G675" s="1893">
        <v>13</v>
      </c>
      <c r="H675" s="1872">
        <v>14</v>
      </c>
      <c r="I675" s="1931">
        <v>0.1</v>
      </c>
      <c r="J675" s="1915">
        <v>0.13</v>
      </c>
      <c r="K675" s="1930"/>
      <c r="L675" s="1893">
        <v>13</v>
      </c>
      <c r="M675" s="1872">
        <v>14</v>
      </c>
      <c r="N675" s="1931">
        <v>0.14000000000000001</v>
      </c>
      <c r="O675" s="1915">
        <v>0.17</v>
      </c>
      <c r="P675" s="1930"/>
      <c r="Q675" s="1893"/>
      <c r="R675" s="1872"/>
      <c r="S675" s="1931"/>
      <c r="T675" s="1915"/>
      <c r="U675" s="1930"/>
      <c r="V675" s="1893">
        <v>13</v>
      </c>
      <c r="W675" s="1872">
        <v>14</v>
      </c>
      <c r="X675" s="1931">
        <v>0.44</v>
      </c>
      <c r="Y675" s="1915">
        <v>0.36</v>
      </c>
      <c r="Z675" s="1930"/>
      <c r="AA675" s="1893">
        <v>13</v>
      </c>
      <c r="AB675" s="1872">
        <v>14</v>
      </c>
      <c r="AC675" s="1931">
        <v>0.46</v>
      </c>
      <c r="AD675" s="1915">
        <v>0.63</v>
      </c>
      <c r="AF675" s="1893">
        <v>13</v>
      </c>
      <c r="AG675" s="1872">
        <v>14</v>
      </c>
      <c r="AH675" s="1931"/>
      <c r="AI675" s="1915"/>
      <c r="AK675" s="1955">
        <f t="shared" si="101"/>
        <v>0.14000000000000001</v>
      </c>
      <c r="AL675" s="1926">
        <f t="shared" si="102"/>
        <v>0.44</v>
      </c>
      <c r="AM675" s="1926">
        <f t="shared" si="100"/>
        <v>0.46</v>
      </c>
      <c r="AN675" s="1956">
        <f t="shared" si="103"/>
        <v>0</v>
      </c>
      <c r="AO675" s="1902"/>
      <c r="AP675" s="1873"/>
      <c r="AQ675" s="1935"/>
      <c r="AR675" s="1912"/>
    </row>
    <row r="676" spans="1:44">
      <c r="A676" s="1930"/>
      <c r="B676" s="1893">
        <v>14</v>
      </c>
      <c r="C676" s="1872">
        <v>15</v>
      </c>
      <c r="D676" s="1931">
        <v>1.57</v>
      </c>
      <c r="E676" s="1915">
        <v>2.1</v>
      </c>
      <c r="F676" s="1930"/>
      <c r="G676" s="1893">
        <v>14</v>
      </c>
      <c r="H676" s="1872">
        <v>15</v>
      </c>
      <c r="I676" s="1931">
        <v>0.13</v>
      </c>
      <c r="J676" s="1915">
        <v>0.16</v>
      </c>
      <c r="K676" s="1930"/>
      <c r="L676" s="1893">
        <v>14</v>
      </c>
      <c r="M676" s="1872">
        <v>15</v>
      </c>
      <c r="N676" s="1931">
        <v>0.15</v>
      </c>
      <c r="O676" s="1915">
        <v>0.18</v>
      </c>
      <c r="P676" s="1930"/>
      <c r="Q676" s="1893"/>
      <c r="R676" s="1872"/>
      <c r="S676" s="1931"/>
      <c r="T676" s="1915"/>
      <c r="U676" s="1930"/>
      <c r="V676" s="1893">
        <v>14</v>
      </c>
      <c r="W676" s="1872">
        <v>15</v>
      </c>
      <c r="X676" s="1931">
        <v>0.43</v>
      </c>
      <c r="Y676" s="1915">
        <v>0.35</v>
      </c>
      <c r="Z676" s="1930"/>
      <c r="AA676" s="1893">
        <v>14</v>
      </c>
      <c r="AB676" s="1872">
        <v>15</v>
      </c>
      <c r="AC676" s="1931">
        <v>0.5</v>
      </c>
      <c r="AD676" s="1915">
        <v>0.61</v>
      </c>
      <c r="AF676" s="1893">
        <v>14</v>
      </c>
      <c r="AG676" s="1872">
        <v>15</v>
      </c>
      <c r="AH676" s="1931"/>
      <c r="AI676" s="1915"/>
      <c r="AK676" s="1955">
        <f t="shared" si="101"/>
        <v>0.15</v>
      </c>
      <c r="AL676" s="1926">
        <f t="shared" si="102"/>
        <v>0.43</v>
      </c>
      <c r="AM676" s="1926">
        <f t="shared" si="100"/>
        <v>0.5</v>
      </c>
      <c r="AN676" s="1956">
        <f t="shared" si="103"/>
        <v>0</v>
      </c>
      <c r="AO676" s="1902"/>
      <c r="AP676" s="1873"/>
      <c r="AQ676" s="1935"/>
      <c r="AR676" s="1912"/>
    </row>
    <row r="677" spans="1:44">
      <c r="A677" s="1930"/>
      <c r="B677" s="1893">
        <v>15</v>
      </c>
      <c r="C677" s="1872">
        <v>16</v>
      </c>
      <c r="D677" s="1931">
        <v>0.35</v>
      </c>
      <c r="E677" s="1915">
        <v>0.56000000000000005</v>
      </c>
      <c r="F677" s="1930"/>
      <c r="G677" s="1893">
        <v>15</v>
      </c>
      <c r="H677" s="1872">
        <v>16</v>
      </c>
      <c r="I677" s="1931">
        <v>7.0000000000000007E-2</v>
      </c>
      <c r="J677" s="1915">
        <v>0.09</v>
      </c>
      <c r="K677" s="1930"/>
      <c r="L677" s="1893">
        <v>15</v>
      </c>
      <c r="M677" s="1872">
        <v>16</v>
      </c>
      <c r="N677" s="1931">
        <v>0.15</v>
      </c>
      <c r="O677" s="1915">
        <v>0.18</v>
      </c>
      <c r="P677" s="1930"/>
      <c r="Q677" s="1893"/>
      <c r="R677" s="1872"/>
      <c r="S677" s="1931"/>
      <c r="T677" s="1915"/>
      <c r="U677" s="1930"/>
      <c r="V677" s="1893">
        <v>15</v>
      </c>
      <c r="W677" s="1872">
        <v>16</v>
      </c>
      <c r="X677" s="1931">
        <v>0.39</v>
      </c>
      <c r="Y677" s="1915">
        <v>0.32</v>
      </c>
      <c r="Z677" s="1930"/>
      <c r="AA677" s="1893">
        <v>15</v>
      </c>
      <c r="AB677" s="1872">
        <v>16</v>
      </c>
      <c r="AC677" s="1931">
        <v>0.46</v>
      </c>
      <c r="AD677" s="1915">
        <v>0.61</v>
      </c>
      <c r="AF677" s="1893">
        <v>15</v>
      </c>
      <c r="AG677" s="1872">
        <v>16</v>
      </c>
      <c r="AH677" s="1931"/>
      <c r="AI677" s="1915"/>
      <c r="AK677" s="1955">
        <f t="shared" si="101"/>
        <v>0.15</v>
      </c>
      <c r="AL677" s="1926">
        <f t="shared" si="102"/>
        <v>0.39</v>
      </c>
      <c r="AM677" s="1926">
        <f t="shared" si="100"/>
        <v>0.46</v>
      </c>
      <c r="AN677" s="1956">
        <f t="shared" si="103"/>
        <v>0</v>
      </c>
      <c r="AO677" s="1902"/>
      <c r="AP677" s="1873"/>
      <c r="AQ677" s="1935"/>
      <c r="AR677" s="1912"/>
    </row>
    <row r="678" spans="1:44">
      <c r="A678" s="1930"/>
      <c r="B678" s="1893">
        <v>16</v>
      </c>
      <c r="C678" s="1872">
        <v>17</v>
      </c>
      <c r="D678" s="1931">
        <v>0.49</v>
      </c>
      <c r="E678" s="1915">
        <v>0.85</v>
      </c>
      <c r="F678" s="1930"/>
      <c r="G678" s="1893">
        <v>16</v>
      </c>
      <c r="H678" s="1872">
        <v>17</v>
      </c>
      <c r="I678" s="1931">
        <v>0.14000000000000001</v>
      </c>
      <c r="J678" s="1915">
        <v>0.32</v>
      </c>
      <c r="K678" s="1930"/>
      <c r="L678" s="1893">
        <v>16</v>
      </c>
      <c r="M678" s="1872">
        <v>17</v>
      </c>
      <c r="N678" s="1931">
        <v>0.15</v>
      </c>
      <c r="O678" s="1915">
        <v>0.18</v>
      </c>
      <c r="P678" s="1930"/>
      <c r="Q678" s="1893"/>
      <c r="R678" s="1872"/>
      <c r="S678" s="1931"/>
      <c r="T678" s="1915"/>
      <c r="U678" s="1930"/>
      <c r="V678" s="1893">
        <v>16</v>
      </c>
      <c r="W678" s="1872">
        <v>17</v>
      </c>
      <c r="X678" s="1931">
        <v>0.52</v>
      </c>
      <c r="Y678" s="1915">
        <v>0.47</v>
      </c>
      <c r="Z678" s="1930"/>
      <c r="AA678" s="1893">
        <v>16</v>
      </c>
      <c r="AB678" s="1872">
        <v>17</v>
      </c>
      <c r="AC678" s="1931">
        <v>0.66</v>
      </c>
      <c r="AD678" s="1915">
        <v>0.93</v>
      </c>
      <c r="AF678" s="1893">
        <v>16</v>
      </c>
      <c r="AG678" s="1872">
        <v>17</v>
      </c>
      <c r="AH678" s="1931"/>
      <c r="AI678" s="1915"/>
      <c r="AK678" s="1955">
        <f t="shared" si="101"/>
        <v>0.15</v>
      </c>
      <c r="AL678" s="1926">
        <f t="shared" si="102"/>
        <v>0.52</v>
      </c>
      <c r="AM678" s="1926">
        <f t="shared" si="100"/>
        <v>0.66</v>
      </c>
      <c r="AN678" s="1956">
        <f t="shared" si="103"/>
        <v>0</v>
      </c>
      <c r="AO678" s="1902"/>
      <c r="AP678" s="1873"/>
      <c r="AQ678" s="1936"/>
      <c r="AR678" s="1937"/>
    </row>
    <row r="679" spans="1:44">
      <c r="A679" s="1930"/>
      <c r="B679" s="1894">
        <v>17</v>
      </c>
      <c r="C679" s="1895">
        <v>18</v>
      </c>
      <c r="D679" s="1932">
        <v>0.79</v>
      </c>
      <c r="E679" s="1916">
        <v>2.2200000000000002</v>
      </c>
      <c r="F679" s="1930"/>
      <c r="G679" s="1894">
        <v>17</v>
      </c>
      <c r="H679" s="1895">
        <v>18</v>
      </c>
      <c r="I679" s="1932">
        <v>0.12</v>
      </c>
      <c r="J679" s="1916">
        <v>0.31</v>
      </c>
      <c r="K679" s="1930"/>
      <c r="L679" s="1894">
        <v>17</v>
      </c>
      <c r="M679" s="1895">
        <v>18</v>
      </c>
      <c r="N679" s="1932">
        <v>1.23</v>
      </c>
      <c r="O679" s="1916">
        <v>1.79</v>
      </c>
      <c r="P679" s="1930"/>
      <c r="Q679" s="1894"/>
      <c r="R679" s="1895"/>
      <c r="S679" s="1932"/>
      <c r="T679" s="1916"/>
      <c r="U679" s="1930"/>
      <c r="V679" s="1894">
        <v>17</v>
      </c>
      <c r="W679" s="1895">
        <v>18</v>
      </c>
      <c r="X679" s="1932">
        <v>1.27</v>
      </c>
      <c r="Y679" s="1916">
        <v>1.55</v>
      </c>
      <c r="Z679" s="1930"/>
      <c r="AA679" s="1894">
        <v>17</v>
      </c>
      <c r="AB679" s="1895">
        <v>18</v>
      </c>
      <c r="AC679" s="1932">
        <v>0.9</v>
      </c>
      <c r="AD679" s="1916">
        <v>1.42</v>
      </c>
      <c r="AF679" s="1894">
        <v>17</v>
      </c>
      <c r="AG679" s="1895">
        <v>18</v>
      </c>
      <c r="AH679" s="1932"/>
      <c r="AI679" s="1916"/>
      <c r="AK679" s="1957">
        <f t="shared" si="101"/>
        <v>1.23</v>
      </c>
      <c r="AL679" s="1958">
        <f t="shared" si="102"/>
        <v>1.27</v>
      </c>
      <c r="AM679" s="1958">
        <f t="shared" si="100"/>
        <v>0.9</v>
      </c>
      <c r="AN679" s="1959">
        <f t="shared" si="103"/>
        <v>0</v>
      </c>
      <c r="AO679" s="2766"/>
      <c r="AP679" s="2766"/>
      <c r="AQ679" s="1926"/>
      <c r="AR679" s="1913"/>
    </row>
    <row r="680" spans="1:44">
      <c r="A680" s="1934"/>
      <c r="B680" s="1910">
        <v>18</v>
      </c>
      <c r="C680" s="1889">
        <v>19</v>
      </c>
      <c r="D680" s="1933">
        <v>1.03</v>
      </c>
      <c r="E680" s="1911">
        <v>3.12</v>
      </c>
      <c r="F680" s="1934"/>
      <c r="G680" s="1910">
        <v>18</v>
      </c>
      <c r="H680" s="1889">
        <v>19</v>
      </c>
      <c r="I680" s="1933">
        <v>0.71</v>
      </c>
      <c r="J680" s="1911">
        <v>1.92</v>
      </c>
      <c r="K680" s="1934"/>
      <c r="L680" s="1910">
        <v>18</v>
      </c>
      <c r="M680" s="1889">
        <v>19</v>
      </c>
      <c r="N680" s="1933">
        <v>0.95</v>
      </c>
      <c r="O680" s="1911">
        <v>1.65</v>
      </c>
      <c r="P680" s="1934"/>
      <c r="Q680" s="1910"/>
      <c r="R680" s="1889"/>
      <c r="S680" s="1933"/>
      <c r="T680" s="1911"/>
      <c r="U680" s="1934"/>
      <c r="V680" s="1910">
        <v>18</v>
      </c>
      <c r="W680" s="1889">
        <v>19</v>
      </c>
      <c r="X680" s="1933">
        <v>0.63</v>
      </c>
      <c r="Y680" s="1911">
        <v>0.99</v>
      </c>
      <c r="Z680" s="1934"/>
      <c r="AA680" s="1910">
        <v>18</v>
      </c>
      <c r="AB680" s="1889">
        <v>19</v>
      </c>
      <c r="AC680" s="1933">
        <v>0.59</v>
      </c>
      <c r="AD680" s="1911">
        <v>0.97</v>
      </c>
      <c r="AF680" s="1910">
        <v>18</v>
      </c>
      <c r="AG680" s="1889">
        <v>19</v>
      </c>
      <c r="AH680" s="1933"/>
      <c r="AI680" s="1911"/>
      <c r="AK680" s="1952">
        <f t="shared" si="101"/>
        <v>0.95</v>
      </c>
      <c r="AL680" s="1953">
        <f t="shared" si="102"/>
        <v>0.63</v>
      </c>
      <c r="AM680" s="1953">
        <f t="shared" si="100"/>
        <v>0.59</v>
      </c>
      <c r="AN680" s="1954">
        <f t="shared" si="103"/>
        <v>0</v>
      </c>
      <c r="AO680" s="1883"/>
      <c r="AP680" s="1871"/>
      <c r="AQ680" s="1926"/>
      <c r="AR680" s="1913"/>
    </row>
    <row r="681" spans="1:44">
      <c r="A681" s="1934"/>
      <c r="B681" s="1902">
        <v>19</v>
      </c>
      <c r="C681" s="1873">
        <v>20</v>
      </c>
      <c r="D681" s="1935">
        <v>1.1399999999999999</v>
      </c>
      <c r="E681" s="1912">
        <v>3.49</v>
      </c>
      <c r="F681" s="1934"/>
      <c r="G681" s="1902">
        <v>19</v>
      </c>
      <c r="H681" s="1873">
        <v>20</v>
      </c>
      <c r="I681" s="1935">
        <v>7.0000000000000007E-2</v>
      </c>
      <c r="J681" s="1912">
        <v>0.12</v>
      </c>
      <c r="K681" s="1934"/>
      <c r="L681" s="1902">
        <v>19</v>
      </c>
      <c r="M681" s="1873">
        <v>20</v>
      </c>
      <c r="N681" s="1935">
        <v>0.35</v>
      </c>
      <c r="O681" s="1912">
        <v>0.62</v>
      </c>
      <c r="P681" s="1934"/>
      <c r="Q681" s="1902"/>
      <c r="R681" s="1873"/>
      <c r="S681" s="1935"/>
      <c r="T681" s="1912"/>
      <c r="U681" s="1934"/>
      <c r="V681" s="1902">
        <v>19</v>
      </c>
      <c r="W681" s="1873">
        <v>20</v>
      </c>
      <c r="X681" s="1935">
        <v>0.5</v>
      </c>
      <c r="Y681" s="1912">
        <v>0.78</v>
      </c>
      <c r="Z681" s="1934"/>
      <c r="AA681" s="1902">
        <v>19</v>
      </c>
      <c r="AB681" s="1873">
        <v>20</v>
      </c>
      <c r="AC681" s="1935">
        <v>0.48</v>
      </c>
      <c r="AD681" s="1912">
        <v>0.75</v>
      </c>
      <c r="AF681" s="1902">
        <v>19</v>
      </c>
      <c r="AG681" s="1873">
        <v>20</v>
      </c>
      <c r="AH681" s="1935"/>
      <c r="AI681" s="1912"/>
      <c r="AK681" s="1955">
        <f t="shared" si="101"/>
        <v>0.35</v>
      </c>
      <c r="AL681" s="1926">
        <f t="shared" si="102"/>
        <v>0.5</v>
      </c>
      <c r="AM681" s="1926">
        <f t="shared" si="100"/>
        <v>0.48</v>
      </c>
      <c r="AN681" s="1956">
        <f t="shared" si="103"/>
        <v>0</v>
      </c>
      <c r="AO681" s="1883"/>
      <c r="AP681" s="1871"/>
      <c r="AQ681" s="1926"/>
      <c r="AR681" s="1913"/>
    </row>
    <row r="682" spans="1:44">
      <c r="A682" s="1934"/>
      <c r="B682" s="1902">
        <v>20</v>
      </c>
      <c r="C682" s="1873">
        <v>21</v>
      </c>
      <c r="D682" s="1935">
        <v>0.34</v>
      </c>
      <c r="E682" s="1912">
        <v>0.77</v>
      </c>
      <c r="F682" s="1934"/>
      <c r="G682" s="1902">
        <v>20</v>
      </c>
      <c r="H682" s="1873">
        <v>21</v>
      </c>
      <c r="I682" s="1935">
        <v>0.13</v>
      </c>
      <c r="J682" s="1912">
        <v>0.23</v>
      </c>
      <c r="K682" s="1934"/>
      <c r="L682" s="1902">
        <v>20</v>
      </c>
      <c r="M682" s="1873">
        <v>21</v>
      </c>
      <c r="N682" s="1935">
        <v>0.32</v>
      </c>
      <c r="O682" s="1912">
        <v>0.56999999999999995</v>
      </c>
      <c r="P682" s="1934"/>
      <c r="Q682" s="1902"/>
      <c r="R682" s="1873"/>
      <c r="S682" s="1935"/>
      <c r="T682" s="1912"/>
      <c r="U682" s="1934"/>
      <c r="V682" s="1902">
        <v>20</v>
      </c>
      <c r="W682" s="1873">
        <v>21</v>
      </c>
      <c r="X682" s="1935">
        <v>0.53</v>
      </c>
      <c r="Y682" s="1912">
        <v>1</v>
      </c>
      <c r="Z682" s="1934"/>
      <c r="AA682" s="1902">
        <v>20</v>
      </c>
      <c r="AB682" s="1873">
        <v>21</v>
      </c>
      <c r="AC682" s="1935">
        <v>0.48</v>
      </c>
      <c r="AD682" s="1912">
        <v>0.79</v>
      </c>
      <c r="AF682" s="1902">
        <v>20</v>
      </c>
      <c r="AG682" s="1873">
        <v>21</v>
      </c>
      <c r="AH682" s="1935"/>
      <c r="AI682" s="1912"/>
      <c r="AK682" s="1955">
        <f t="shared" si="101"/>
        <v>0.32</v>
      </c>
      <c r="AL682" s="1926">
        <f t="shared" si="102"/>
        <v>0.53</v>
      </c>
      <c r="AM682" s="1926">
        <f t="shared" si="100"/>
        <v>0.48</v>
      </c>
      <c r="AN682" s="1956">
        <f t="shared" si="103"/>
        <v>0</v>
      </c>
      <c r="AO682" s="1883"/>
      <c r="AP682" s="1871"/>
      <c r="AQ682" s="1926"/>
      <c r="AR682" s="1913"/>
    </row>
    <row r="683" spans="1:44">
      <c r="A683" s="1934"/>
      <c r="B683" s="1902">
        <v>21</v>
      </c>
      <c r="C683" s="1873">
        <v>22</v>
      </c>
      <c r="D683" s="1935">
        <v>0.2</v>
      </c>
      <c r="E683" s="1912">
        <v>0.43</v>
      </c>
      <c r="F683" s="1934"/>
      <c r="G683" s="1902">
        <v>21</v>
      </c>
      <c r="H683" s="1873">
        <v>22</v>
      </c>
      <c r="I683" s="1935">
        <v>0.12</v>
      </c>
      <c r="J683" s="1912">
        <v>0.21</v>
      </c>
      <c r="K683" s="1934"/>
      <c r="L683" s="1902">
        <v>21</v>
      </c>
      <c r="M683" s="1873">
        <v>22</v>
      </c>
      <c r="N683" s="1935">
        <v>0.31</v>
      </c>
      <c r="O683" s="1912">
        <v>0.56999999999999995</v>
      </c>
      <c r="P683" s="1934"/>
      <c r="Q683" s="1902"/>
      <c r="R683" s="1873"/>
      <c r="S683" s="1935"/>
      <c r="T683" s="1912"/>
      <c r="U683" s="1934"/>
      <c r="V683" s="1902">
        <v>21</v>
      </c>
      <c r="W683" s="1873">
        <v>22</v>
      </c>
      <c r="X683" s="1935">
        <v>0.49</v>
      </c>
      <c r="Y683" s="1912">
        <v>0.9</v>
      </c>
      <c r="Z683" s="1934"/>
      <c r="AA683" s="1902">
        <v>21</v>
      </c>
      <c r="AB683" s="1873">
        <v>22</v>
      </c>
      <c r="AC683" s="1935">
        <v>0.53</v>
      </c>
      <c r="AD683" s="1912">
        <v>0.84</v>
      </c>
      <c r="AF683" s="1902">
        <v>21</v>
      </c>
      <c r="AG683" s="1873">
        <v>22</v>
      </c>
      <c r="AH683" s="1935"/>
      <c r="AI683" s="1912"/>
      <c r="AK683" s="1955">
        <f t="shared" si="101"/>
        <v>0.31</v>
      </c>
      <c r="AL683" s="1926">
        <f t="shared" si="102"/>
        <v>0.49</v>
      </c>
      <c r="AM683" s="1926">
        <f t="shared" si="100"/>
        <v>0.53</v>
      </c>
      <c r="AN683" s="1956">
        <f t="shared" si="103"/>
        <v>0</v>
      </c>
      <c r="AO683" s="1883"/>
      <c r="AP683" s="1871"/>
      <c r="AQ683" s="1926"/>
      <c r="AR683" s="1913"/>
    </row>
    <row r="684" spans="1:44">
      <c r="A684" s="1934"/>
      <c r="B684" s="1902">
        <v>22</v>
      </c>
      <c r="C684" s="1873">
        <v>23</v>
      </c>
      <c r="D684" s="1935">
        <v>0.15</v>
      </c>
      <c r="E684" s="1912">
        <v>0.32</v>
      </c>
      <c r="F684" s="1934"/>
      <c r="G684" s="1902">
        <v>22</v>
      </c>
      <c r="H684" s="1873">
        <v>23</v>
      </c>
      <c r="I684" s="1935">
        <v>0.11</v>
      </c>
      <c r="J684" s="1912">
        <v>0.19</v>
      </c>
      <c r="K684" s="1934"/>
      <c r="L684" s="1902">
        <v>22</v>
      </c>
      <c r="M684" s="1873">
        <v>23</v>
      </c>
      <c r="N684" s="1935">
        <v>0.18</v>
      </c>
      <c r="O684" s="1912">
        <v>0.32</v>
      </c>
      <c r="P684" s="1934"/>
      <c r="Q684" s="1902"/>
      <c r="R684" s="1873"/>
      <c r="S684" s="1935"/>
      <c r="T684" s="1912"/>
      <c r="U684" s="1934"/>
      <c r="V684" s="1902">
        <v>22</v>
      </c>
      <c r="W684" s="1873">
        <v>23</v>
      </c>
      <c r="X684" s="1935">
        <v>0.33</v>
      </c>
      <c r="Y684" s="1912">
        <v>0.56999999999999995</v>
      </c>
      <c r="Z684" s="1934"/>
      <c r="AA684" s="1902">
        <v>22</v>
      </c>
      <c r="AB684" s="1873">
        <v>23</v>
      </c>
      <c r="AC684" s="1935">
        <v>0.35</v>
      </c>
      <c r="AD684" s="1912">
        <v>0.53</v>
      </c>
      <c r="AF684" s="1902">
        <v>22</v>
      </c>
      <c r="AG684" s="1873">
        <v>23</v>
      </c>
      <c r="AH684" s="1935"/>
      <c r="AI684" s="1912"/>
      <c r="AK684" s="1955">
        <f t="shared" si="101"/>
        <v>0.18</v>
      </c>
      <c r="AL684" s="1926">
        <f t="shared" si="102"/>
        <v>0.33</v>
      </c>
      <c r="AM684" s="1926">
        <f t="shared" si="100"/>
        <v>0.35</v>
      </c>
      <c r="AN684" s="1956">
        <f t="shared" si="103"/>
        <v>0</v>
      </c>
      <c r="AO684" s="1883"/>
      <c r="AP684" s="1871"/>
      <c r="AQ684" s="1926"/>
      <c r="AR684" s="1913"/>
    </row>
    <row r="685" spans="1:44" ht="15" thickBot="1">
      <c r="A685" s="1934"/>
      <c r="B685" s="1902">
        <v>23</v>
      </c>
      <c r="C685" s="1873">
        <v>24</v>
      </c>
      <c r="D685" s="1935">
        <v>0.11</v>
      </c>
      <c r="E685" s="1912">
        <v>0.23</v>
      </c>
      <c r="F685" s="1934"/>
      <c r="G685" s="1902">
        <v>23</v>
      </c>
      <c r="H685" s="1873">
        <v>24</v>
      </c>
      <c r="I685" s="1935"/>
      <c r="J685" s="1912"/>
      <c r="K685" s="1934"/>
      <c r="L685" s="1902">
        <v>23</v>
      </c>
      <c r="M685" s="1873">
        <v>24</v>
      </c>
      <c r="N685" s="1935">
        <v>0.19</v>
      </c>
      <c r="O685" s="1912">
        <v>0.34</v>
      </c>
      <c r="P685" s="1934"/>
      <c r="Q685" s="1902"/>
      <c r="R685" s="1873"/>
      <c r="S685" s="1935"/>
      <c r="T685" s="1912"/>
      <c r="U685" s="1934"/>
      <c r="V685" s="1902">
        <v>23</v>
      </c>
      <c r="W685" s="1873">
        <v>24</v>
      </c>
      <c r="X685" s="1935">
        <v>0.26</v>
      </c>
      <c r="Y685" s="1912">
        <v>0.44</v>
      </c>
      <c r="Z685" s="1934"/>
      <c r="AA685" s="1902">
        <v>23</v>
      </c>
      <c r="AB685" s="1873">
        <v>24</v>
      </c>
      <c r="AC685" s="1935">
        <v>0.33</v>
      </c>
      <c r="AD685" s="1912">
        <v>0.49</v>
      </c>
      <c r="AF685" s="1902">
        <v>23</v>
      </c>
      <c r="AG685" s="1873">
        <v>24</v>
      </c>
      <c r="AH685" s="1935"/>
      <c r="AI685" s="1912"/>
      <c r="AK685" s="1957">
        <f t="shared" si="101"/>
        <v>0.19</v>
      </c>
      <c r="AL685" s="1958">
        <f t="shared" si="102"/>
        <v>0.26</v>
      </c>
      <c r="AM685" s="1958">
        <f t="shared" si="100"/>
        <v>0.33</v>
      </c>
      <c r="AN685" s="1959">
        <f t="shared" si="103"/>
        <v>0</v>
      </c>
      <c r="AO685" s="1883"/>
      <c r="AP685" s="1871"/>
      <c r="AQ685" s="1926"/>
      <c r="AR685" s="1913"/>
    </row>
    <row r="686" spans="1:44">
      <c r="B686" s="2766">
        <v>44984</v>
      </c>
      <c r="C686" s="2766"/>
      <c r="D686" s="1922">
        <f>SUM(D687:D710)</f>
        <v>5.5100000000000007</v>
      </c>
      <c r="E686" s="1923">
        <f>SUM(E687:E710)</f>
        <v>12.959999999999999</v>
      </c>
      <c r="G686" s="2773">
        <v>45012</v>
      </c>
      <c r="H686" s="2773"/>
      <c r="I686" s="1922">
        <f>SUM(I687:I710)</f>
        <v>5.57</v>
      </c>
      <c r="J686" s="1923">
        <f>SUM(J687:J710)</f>
        <v>9.7799999999999994</v>
      </c>
      <c r="L686" s="2773">
        <v>45043</v>
      </c>
      <c r="M686" s="2773"/>
      <c r="N686" s="1936">
        <f>SUM(N687:N710)</f>
        <v>6.9499999999999993</v>
      </c>
      <c r="O686" s="1937">
        <f>SUM(O687:O710)</f>
        <v>12.200000000000005</v>
      </c>
      <c r="Q686" s="2766">
        <v>45073</v>
      </c>
      <c r="R686" s="2766"/>
      <c r="S686" s="1936"/>
      <c r="T686" s="1937"/>
      <c r="V686" s="2766">
        <v>45073</v>
      </c>
      <c r="W686" s="2766"/>
      <c r="X686" s="1936">
        <f>SUM(X687:X710)</f>
        <v>10.52</v>
      </c>
      <c r="Y686" s="1937">
        <f>SUM(Y687:Y710)</f>
        <v>14.13</v>
      </c>
      <c r="AA686" s="2766">
        <v>45104</v>
      </c>
      <c r="AB686" s="2766"/>
      <c r="AC686" s="1936">
        <f>SUM(AC687:AC710)</f>
        <v>9.86</v>
      </c>
      <c r="AD686" s="1937">
        <f>SUM(AD687:AD710)</f>
        <v>14.8</v>
      </c>
      <c r="AF686" s="2766">
        <v>45134</v>
      </c>
      <c r="AG686" s="2766"/>
      <c r="AH686" s="1936">
        <f>SUM(AH687:AH710)</f>
        <v>0</v>
      </c>
      <c r="AI686" s="1937">
        <f>SUM(AI687:AI710)</f>
        <v>0</v>
      </c>
      <c r="AO686" s="1883"/>
      <c r="AP686" s="1871"/>
      <c r="AQ686" s="1928"/>
      <c r="AR686" s="1917"/>
    </row>
    <row r="687" spans="1:44">
      <c r="A687" s="1927"/>
      <c r="B687" s="1883">
        <v>0</v>
      </c>
      <c r="C687" s="1871">
        <v>1</v>
      </c>
      <c r="D687" s="1926">
        <v>0.11</v>
      </c>
      <c r="E687" s="1913">
        <v>0.22</v>
      </c>
      <c r="F687" s="1927"/>
      <c r="G687" s="1883">
        <v>0</v>
      </c>
      <c r="H687" s="1871">
        <v>1</v>
      </c>
      <c r="I687" s="1926">
        <v>0.12</v>
      </c>
      <c r="J687" s="1913">
        <v>0.21</v>
      </c>
      <c r="K687" s="1927"/>
      <c r="L687" s="1883">
        <v>0</v>
      </c>
      <c r="M687" s="1871">
        <v>1</v>
      </c>
      <c r="N687" s="1926">
        <v>0.17</v>
      </c>
      <c r="O687" s="1913">
        <v>0.31</v>
      </c>
      <c r="P687" s="1927"/>
      <c r="Q687" s="1883"/>
      <c r="R687" s="1871"/>
      <c r="S687" s="1926"/>
      <c r="T687" s="1913"/>
      <c r="U687" s="1927"/>
      <c r="V687" s="1883">
        <v>0</v>
      </c>
      <c r="W687" s="1871">
        <v>1</v>
      </c>
      <c r="X687" s="1926">
        <v>0.31</v>
      </c>
      <c r="Y687" s="1913">
        <v>0.51</v>
      </c>
      <c r="Z687" s="1927"/>
      <c r="AA687" s="1883">
        <v>0</v>
      </c>
      <c r="AB687" s="1871">
        <v>1</v>
      </c>
      <c r="AC687" s="1926">
        <v>0.32</v>
      </c>
      <c r="AD687" s="1913">
        <v>0.48</v>
      </c>
      <c r="AF687" s="1883">
        <v>0</v>
      </c>
      <c r="AG687" s="1871">
        <v>1</v>
      </c>
      <c r="AH687" s="1926"/>
      <c r="AI687" s="1913"/>
      <c r="AK687" s="1952">
        <f>N687</f>
        <v>0.17</v>
      </c>
      <c r="AL687" s="1953">
        <f>X687</f>
        <v>0.31</v>
      </c>
      <c r="AM687" s="1953">
        <f t="shared" ref="AM687:AM710" si="104">AC687</f>
        <v>0.32</v>
      </c>
      <c r="AN687" s="1954">
        <f>AH687</f>
        <v>0</v>
      </c>
      <c r="AO687" s="1908"/>
      <c r="AP687" s="1909"/>
      <c r="AQ687" s="1929"/>
      <c r="AR687" s="1914"/>
    </row>
    <row r="688" spans="1:44">
      <c r="A688" s="1927"/>
      <c r="B688" s="1883">
        <v>1</v>
      </c>
      <c r="C688" s="1871">
        <v>2</v>
      </c>
      <c r="D688" s="1926">
        <v>0.12</v>
      </c>
      <c r="E688" s="1913">
        <v>0.25</v>
      </c>
      <c r="F688" s="1927"/>
      <c r="G688" s="1883">
        <v>1</v>
      </c>
      <c r="H688" s="1871">
        <v>2</v>
      </c>
      <c r="I688" s="1926">
        <v>7.0000000000000007E-2</v>
      </c>
      <c r="J688" s="1913">
        <v>0.12</v>
      </c>
      <c r="K688" s="1927"/>
      <c r="L688" s="1883">
        <v>1</v>
      </c>
      <c r="M688" s="1871">
        <v>2</v>
      </c>
      <c r="N688" s="1926">
        <v>0.1</v>
      </c>
      <c r="O688" s="1913">
        <v>0.18</v>
      </c>
      <c r="P688" s="1927"/>
      <c r="Q688" s="1883"/>
      <c r="R688" s="1871"/>
      <c r="S688" s="1926"/>
      <c r="T688" s="1913"/>
      <c r="U688" s="1927"/>
      <c r="V688" s="1883">
        <v>1</v>
      </c>
      <c r="W688" s="1871">
        <v>2</v>
      </c>
      <c r="X688" s="1926">
        <v>0.28000000000000003</v>
      </c>
      <c r="Y688" s="1913">
        <v>0.45</v>
      </c>
      <c r="Z688" s="1927"/>
      <c r="AA688" s="1883">
        <v>1</v>
      </c>
      <c r="AB688" s="1871">
        <v>2</v>
      </c>
      <c r="AC688" s="1926">
        <v>0.22</v>
      </c>
      <c r="AD688" s="1913">
        <v>0.33</v>
      </c>
      <c r="AF688" s="1883">
        <v>1</v>
      </c>
      <c r="AG688" s="1871">
        <v>2</v>
      </c>
      <c r="AH688" s="1926"/>
      <c r="AI688" s="1913"/>
      <c r="AK688" s="1955">
        <f t="shared" ref="AK688:AK710" si="105">N688</f>
        <v>0.1</v>
      </c>
      <c r="AL688" s="1926">
        <f t="shared" ref="AL688:AL710" si="106">X688</f>
        <v>0.28000000000000003</v>
      </c>
      <c r="AM688" s="1926">
        <f t="shared" si="104"/>
        <v>0.22</v>
      </c>
      <c r="AN688" s="1956">
        <f t="shared" ref="AN688:AN710" si="107">AH688</f>
        <v>0</v>
      </c>
      <c r="AO688" s="1890"/>
      <c r="AP688" s="1891"/>
      <c r="AQ688" s="1931"/>
      <c r="AR688" s="1915"/>
    </row>
    <row r="689" spans="1:44">
      <c r="A689" s="1927"/>
      <c r="B689" s="1883">
        <v>2</v>
      </c>
      <c r="C689" s="1871">
        <v>3</v>
      </c>
      <c r="D689" s="1926">
        <v>0.11</v>
      </c>
      <c r="E689" s="1913">
        <v>0.23</v>
      </c>
      <c r="F689" s="1927"/>
      <c r="G689" s="1883">
        <v>2</v>
      </c>
      <c r="H689" s="1871">
        <v>3</v>
      </c>
      <c r="I689" s="1926">
        <v>0.14000000000000001</v>
      </c>
      <c r="J689" s="1913">
        <v>0.23</v>
      </c>
      <c r="K689" s="1927"/>
      <c r="L689" s="1883">
        <v>2</v>
      </c>
      <c r="M689" s="1871">
        <v>3</v>
      </c>
      <c r="N689" s="1926">
        <v>0.14000000000000001</v>
      </c>
      <c r="O689" s="1913">
        <v>0.24</v>
      </c>
      <c r="P689" s="1927"/>
      <c r="Q689" s="1883"/>
      <c r="R689" s="1871"/>
      <c r="S689" s="1926"/>
      <c r="T689" s="1913"/>
      <c r="U689" s="1927"/>
      <c r="V689" s="1883">
        <v>2</v>
      </c>
      <c r="W689" s="1871">
        <v>3</v>
      </c>
      <c r="X689" s="1926">
        <v>0.26</v>
      </c>
      <c r="Y689" s="1913">
        <v>0.42</v>
      </c>
      <c r="Z689" s="1927"/>
      <c r="AA689" s="1883">
        <v>2</v>
      </c>
      <c r="AB689" s="1871">
        <v>3</v>
      </c>
      <c r="AC689" s="1926">
        <v>0.23</v>
      </c>
      <c r="AD689" s="1913">
        <v>0.34</v>
      </c>
      <c r="AF689" s="1883">
        <v>2</v>
      </c>
      <c r="AG689" s="1871">
        <v>3</v>
      </c>
      <c r="AH689" s="1926"/>
      <c r="AI689" s="1913"/>
      <c r="AK689" s="1955">
        <f t="shared" si="105"/>
        <v>0.14000000000000001</v>
      </c>
      <c r="AL689" s="1926">
        <f t="shared" si="106"/>
        <v>0.26</v>
      </c>
      <c r="AM689" s="1926">
        <f t="shared" si="104"/>
        <v>0.23</v>
      </c>
      <c r="AN689" s="1956">
        <f t="shared" si="107"/>
        <v>0</v>
      </c>
      <c r="AO689" s="1893"/>
      <c r="AP689" s="1872"/>
      <c r="AQ689" s="1931"/>
      <c r="AR689" s="1915"/>
    </row>
    <row r="690" spans="1:44">
      <c r="A690" s="1927"/>
      <c r="B690" s="1883">
        <v>3</v>
      </c>
      <c r="C690" s="1871">
        <v>4</v>
      </c>
      <c r="D690" s="1926">
        <v>0.12</v>
      </c>
      <c r="E690" s="1913">
        <v>0.24</v>
      </c>
      <c r="F690" s="1927"/>
      <c r="G690" s="1883">
        <v>3</v>
      </c>
      <c r="H690" s="1871">
        <v>4</v>
      </c>
      <c r="I690" s="1926">
        <v>0.12</v>
      </c>
      <c r="J690" s="1913">
        <v>0.19</v>
      </c>
      <c r="K690" s="1927"/>
      <c r="L690" s="1883">
        <v>3</v>
      </c>
      <c r="M690" s="1871">
        <v>4</v>
      </c>
      <c r="N690" s="1926">
        <v>7.0000000000000007E-2</v>
      </c>
      <c r="O690" s="1913">
        <v>0.12</v>
      </c>
      <c r="P690" s="1927"/>
      <c r="Q690" s="1883"/>
      <c r="R690" s="1871"/>
      <c r="S690" s="1926"/>
      <c r="T690" s="1913"/>
      <c r="U690" s="1927"/>
      <c r="V690" s="1883">
        <v>3</v>
      </c>
      <c r="W690" s="1871">
        <v>4</v>
      </c>
      <c r="X690" s="1926">
        <v>0.34</v>
      </c>
      <c r="Y690" s="1913">
        <v>0.55000000000000004</v>
      </c>
      <c r="Z690" s="1927"/>
      <c r="AA690" s="1883">
        <v>3</v>
      </c>
      <c r="AB690" s="1871">
        <v>4</v>
      </c>
      <c r="AC690" s="1926">
        <v>0.26</v>
      </c>
      <c r="AD690" s="1913">
        <v>0.37</v>
      </c>
      <c r="AF690" s="1883">
        <v>3</v>
      </c>
      <c r="AG690" s="1871">
        <v>4</v>
      </c>
      <c r="AH690" s="1926"/>
      <c r="AI690" s="1913"/>
      <c r="AK690" s="1955">
        <f t="shared" si="105"/>
        <v>7.0000000000000007E-2</v>
      </c>
      <c r="AL690" s="1926">
        <f t="shared" si="106"/>
        <v>0.34</v>
      </c>
      <c r="AM690" s="1926">
        <f t="shared" si="104"/>
        <v>0.26</v>
      </c>
      <c r="AN690" s="1956">
        <f t="shared" si="107"/>
        <v>0</v>
      </c>
      <c r="AO690" s="1893"/>
      <c r="AP690" s="1872"/>
      <c r="AQ690" s="1931"/>
      <c r="AR690" s="1915"/>
    </row>
    <row r="691" spans="1:44">
      <c r="A691" s="1927"/>
      <c r="B691" s="1883">
        <v>4</v>
      </c>
      <c r="C691" s="1871">
        <v>5</v>
      </c>
      <c r="D691" s="1926">
        <v>0.09</v>
      </c>
      <c r="E691" s="1913">
        <v>0.17</v>
      </c>
      <c r="F691" s="1927"/>
      <c r="G691" s="1883">
        <v>4</v>
      </c>
      <c r="H691" s="1871">
        <v>5</v>
      </c>
      <c r="I691" s="1926">
        <v>0.1</v>
      </c>
      <c r="J691" s="1913">
        <v>0.16</v>
      </c>
      <c r="K691" s="1927"/>
      <c r="L691" s="1883">
        <v>4</v>
      </c>
      <c r="M691" s="1871">
        <v>5</v>
      </c>
      <c r="N691" s="1926">
        <v>0.1</v>
      </c>
      <c r="O691" s="1913">
        <v>0.17</v>
      </c>
      <c r="P691" s="1927"/>
      <c r="Q691" s="1883"/>
      <c r="R691" s="1871"/>
      <c r="S691" s="1926"/>
      <c r="T691" s="1913"/>
      <c r="U691" s="1927"/>
      <c r="V691" s="1883">
        <v>4</v>
      </c>
      <c r="W691" s="1871">
        <v>5</v>
      </c>
      <c r="X691" s="1926">
        <v>0.25</v>
      </c>
      <c r="Y691" s="1913">
        <v>0.42</v>
      </c>
      <c r="Z691" s="1927"/>
      <c r="AA691" s="1883">
        <v>4</v>
      </c>
      <c r="AB691" s="1871">
        <v>5</v>
      </c>
      <c r="AC691" s="1926">
        <v>0.22</v>
      </c>
      <c r="AD691" s="1913">
        <v>0.32</v>
      </c>
      <c r="AF691" s="1883">
        <v>4</v>
      </c>
      <c r="AG691" s="1871">
        <v>5</v>
      </c>
      <c r="AH691" s="1926"/>
      <c r="AI691" s="1913"/>
      <c r="AK691" s="1955">
        <f t="shared" si="105"/>
        <v>0.1</v>
      </c>
      <c r="AL691" s="1926">
        <f t="shared" si="106"/>
        <v>0.25</v>
      </c>
      <c r="AM691" s="1926">
        <f t="shared" si="104"/>
        <v>0.22</v>
      </c>
      <c r="AN691" s="1956">
        <f t="shared" si="107"/>
        <v>0</v>
      </c>
      <c r="AO691" s="1893"/>
      <c r="AP691" s="1872"/>
      <c r="AQ691" s="1931"/>
      <c r="AR691" s="1915"/>
    </row>
    <row r="692" spans="1:44">
      <c r="A692" s="1927"/>
      <c r="B692" s="1883">
        <v>5</v>
      </c>
      <c r="C692" s="1871">
        <v>6</v>
      </c>
      <c r="D692" s="1926">
        <v>0.13</v>
      </c>
      <c r="E692" s="1913">
        <v>0.28000000000000003</v>
      </c>
      <c r="F692" s="1927"/>
      <c r="G692" s="1883">
        <v>5</v>
      </c>
      <c r="H692" s="1871">
        <v>6</v>
      </c>
      <c r="I692" s="1926">
        <v>0.1</v>
      </c>
      <c r="J692" s="1913">
        <v>0.17</v>
      </c>
      <c r="K692" s="1927"/>
      <c r="L692" s="1883">
        <v>5</v>
      </c>
      <c r="M692" s="1871">
        <v>6</v>
      </c>
      <c r="N692" s="1926">
        <v>0.14000000000000001</v>
      </c>
      <c r="O692" s="1913">
        <v>0.25</v>
      </c>
      <c r="P692" s="1927"/>
      <c r="Q692" s="1883"/>
      <c r="R692" s="1871"/>
      <c r="S692" s="1926"/>
      <c r="T692" s="1913"/>
      <c r="U692" s="1927"/>
      <c r="V692" s="1883">
        <v>5</v>
      </c>
      <c r="W692" s="1871">
        <v>6</v>
      </c>
      <c r="X692" s="1926">
        <v>0.27</v>
      </c>
      <c r="Y692" s="1913">
        <v>0.45</v>
      </c>
      <c r="Z692" s="1927"/>
      <c r="AA692" s="1883">
        <v>5</v>
      </c>
      <c r="AB692" s="1871">
        <v>6</v>
      </c>
      <c r="AC692" s="1926">
        <v>0.23</v>
      </c>
      <c r="AD692" s="1913">
        <v>0.34</v>
      </c>
      <c r="AF692" s="1883">
        <v>5</v>
      </c>
      <c r="AG692" s="1871">
        <v>6</v>
      </c>
      <c r="AH692" s="1926"/>
      <c r="AI692" s="1913"/>
      <c r="AK692" s="1955">
        <f t="shared" si="105"/>
        <v>0.14000000000000001</v>
      </c>
      <c r="AL692" s="1926">
        <f t="shared" si="106"/>
        <v>0.27</v>
      </c>
      <c r="AM692" s="1926">
        <f t="shared" si="104"/>
        <v>0.23</v>
      </c>
      <c r="AN692" s="1956">
        <f t="shared" si="107"/>
        <v>0</v>
      </c>
      <c r="AO692" s="1893"/>
      <c r="AP692" s="1872"/>
      <c r="AQ692" s="1931"/>
      <c r="AR692" s="1915"/>
    </row>
    <row r="693" spans="1:44">
      <c r="A693" s="1927"/>
      <c r="B693" s="1883">
        <v>6</v>
      </c>
      <c r="C693" s="1871">
        <v>7</v>
      </c>
      <c r="D693" s="1926">
        <v>0.3</v>
      </c>
      <c r="E693" s="1913">
        <v>0.71</v>
      </c>
      <c r="F693" s="1927"/>
      <c r="G693" s="1883">
        <v>6</v>
      </c>
      <c r="H693" s="1871">
        <v>7</v>
      </c>
      <c r="I693" s="1926">
        <v>0.09</v>
      </c>
      <c r="J693" s="1913">
        <v>0.17</v>
      </c>
      <c r="K693" s="1927"/>
      <c r="L693" s="1883">
        <v>6</v>
      </c>
      <c r="M693" s="1871">
        <v>7</v>
      </c>
      <c r="N693" s="1926">
        <v>0.24</v>
      </c>
      <c r="O693" s="1913">
        <v>0.46</v>
      </c>
      <c r="P693" s="1927"/>
      <c r="Q693" s="1883"/>
      <c r="R693" s="1871"/>
      <c r="S693" s="1926"/>
      <c r="T693" s="1913"/>
      <c r="U693" s="1927"/>
      <c r="V693" s="1883">
        <v>6</v>
      </c>
      <c r="W693" s="1871">
        <v>7</v>
      </c>
      <c r="X693" s="1926">
        <v>0.31</v>
      </c>
      <c r="Y693" s="1913">
        <v>0.49</v>
      </c>
      <c r="Z693" s="1927"/>
      <c r="AA693" s="1883">
        <v>6</v>
      </c>
      <c r="AB693" s="1871">
        <v>7</v>
      </c>
      <c r="AC693" s="1926">
        <v>0.3</v>
      </c>
      <c r="AD693" s="1913">
        <v>0.53</v>
      </c>
      <c r="AF693" s="1883">
        <v>6</v>
      </c>
      <c r="AG693" s="1871">
        <v>7</v>
      </c>
      <c r="AH693" s="1926"/>
      <c r="AI693" s="1913"/>
      <c r="AK693" s="1955">
        <f t="shared" si="105"/>
        <v>0.24</v>
      </c>
      <c r="AL693" s="1926">
        <f t="shared" si="106"/>
        <v>0.31</v>
      </c>
      <c r="AM693" s="1926">
        <f t="shared" si="104"/>
        <v>0.3</v>
      </c>
      <c r="AN693" s="1956">
        <f t="shared" si="107"/>
        <v>0</v>
      </c>
      <c r="AO693" s="1893"/>
      <c r="AP693" s="1872"/>
      <c r="AQ693" s="1931"/>
      <c r="AR693" s="1915"/>
    </row>
    <row r="694" spans="1:44">
      <c r="A694" s="1927"/>
      <c r="B694" s="1908">
        <v>7</v>
      </c>
      <c r="C694" s="1909">
        <v>8</v>
      </c>
      <c r="D694" s="1928">
        <v>0.26</v>
      </c>
      <c r="E694" s="1917">
        <v>0.67</v>
      </c>
      <c r="F694" s="1927"/>
      <c r="G694" s="1908">
        <v>7</v>
      </c>
      <c r="H694" s="1909">
        <v>8</v>
      </c>
      <c r="I694" s="1928">
        <v>0.14000000000000001</v>
      </c>
      <c r="J694" s="1917">
        <v>0.3</v>
      </c>
      <c r="K694" s="1927"/>
      <c r="L694" s="1908">
        <v>7</v>
      </c>
      <c r="M694" s="1909">
        <v>8</v>
      </c>
      <c r="N694" s="1928">
        <v>0.34</v>
      </c>
      <c r="O694" s="1917">
        <v>0.73</v>
      </c>
      <c r="P694" s="1927"/>
      <c r="Q694" s="1908"/>
      <c r="R694" s="1909"/>
      <c r="S694" s="1928"/>
      <c r="T694" s="1917"/>
      <c r="U694" s="1927"/>
      <c r="V694" s="1908">
        <v>7</v>
      </c>
      <c r="W694" s="1909">
        <v>8</v>
      </c>
      <c r="X694" s="1928">
        <v>0.32</v>
      </c>
      <c r="Y694" s="1917">
        <v>0.51</v>
      </c>
      <c r="Z694" s="1927"/>
      <c r="AA694" s="1908">
        <v>7</v>
      </c>
      <c r="AB694" s="1909">
        <v>8</v>
      </c>
      <c r="AC694" s="1928">
        <v>0.56000000000000005</v>
      </c>
      <c r="AD694" s="1917">
        <v>0.93</v>
      </c>
      <c r="AF694" s="1908">
        <v>7</v>
      </c>
      <c r="AG694" s="1909">
        <v>8</v>
      </c>
      <c r="AH694" s="1928"/>
      <c r="AI694" s="1917"/>
      <c r="AK694" s="1957">
        <f t="shared" si="105"/>
        <v>0.34</v>
      </c>
      <c r="AL694" s="1958">
        <f t="shared" si="106"/>
        <v>0.32</v>
      </c>
      <c r="AM694" s="1958">
        <f t="shared" si="104"/>
        <v>0.56000000000000005</v>
      </c>
      <c r="AN694" s="1959">
        <f t="shared" si="107"/>
        <v>0</v>
      </c>
      <c r="AO694" s="1893"/>
      <c r="AP694" s="1872"/>
      <c r="AQ694" s="1931"/>
      <c r="AR694" s="1915"/>
    </row>
    <row r="695" spans="1:44">
      <c r="A695" s="1930"/>
      <c r="B695" s="1890">
        <v>8</v>
      </c>
      <c r="C695" s="1891">
        <v>9</v>
      </c>
      <c r="D695" s="1929">
        <v>0.34</v>
      </c>
      <c r="E695" s="1914">
        <v>0.87</v>
      </c>
      <c r="F695" s="1930"/>
      <c r="G695" s="1890">
        <v>8</v>
      </c>
      <c r="H695" s="1891">
        <v>9</v>
      </c>
      <c r="I695" s="1929">
        <v>0.21</v>
      </c>
      <c r="J695" s="1914">
        <v>0.44</v>
      </c>
      <c r="K695" s="1930"/>
      <c r="L695" s="1890">
        <v>8</v>
      </c>
      <c r="M695" s="1891">
        <v>9</v>
      </c>
      <c r="N695" s="1929">
        <v>0.2</v>
      </c>
      <c r="O695" s="1914">
        <v>0.41</v>
      </c>
      <c r="P695" s="1930"/>
      <c r="Q695" s="1890"/>
      <c r="R695" s="1891"/>
      <c r="S695" s="1929"/>
      <c r="T695" s="1914"/>
      <c r="U695" s="1930"/>
      <c r="V695" s="1890">
        <v>8</v>
      </c>
      <c r="W695" s="1891">
        <v>9</v>
      </c>
      <c r="X695" s="1929">
        <v>0.36</v>
      </c>
      <c r="Y695" s="1914">
        <v>0.54</v>
      </c>
      <c r="Z695" s="1930"/>
      <c r="AA695" s="1890">
        <v>8</v>
      </c>
      <c r="AB695" s="1891">
        <v>9</v>
      </c>
      <c r="AC695" s="1929">
        <v>0.52</v>
      </c>
      <c r="AD695" s="1914">
        <v>0.86</v>
      </c>
      <c r="AF695" s="1890">
        <v>8</v>
      </c>
      <c r="AG695" s="1891">
        <v>9</v>
      </c>
      <c r="AH695" s="1929"/>
      <c r="AI695" s="1914"/>
      <c r="AK695" s="1952">
        <f t="shared" si="105"/>
        <v>0.2</v>
      </c>
      <c r="AL695" s="1953">
        <f t="shared" si="106"/>
        <v>0.36</v>
      </c>
      <c r="AM695" s="1953">
        <f t="shared" si="104"/>
        <v>0.52</v>
      </c>
      <c r="AN695" s="1954">
        <f t="shared" si="107"/>
        <v>0</v>
      </c>
      <c r="AO695" s="1893"/>
      <c r="AP695" s="1872"/>
      <c r="AQ695" s="1931"/>
      <c r="AR695" s="1915"/>
    </row>
    <row r="696" spans="1:44">
      <c r="A696" s="1930"/>
      <c r="B696" s="1893">
        <v>9</v>
      </c>
      <c r="C696" s="1872">
        <v>10</v>
      </c>
      <c r="D696" s="1931">
        <v>0.24</v>
      </c>
      <c r="E696" s="1915">
        <v>0.48</v>
      </c>
      <c r="F696" s="1930"/>
      <c r="G696" s="1893">
        <v>9</v>
      </c>
      <c r="H696" s="1872">
        <v>10</v>
      </c>
      <c r="I696" s="1931">
        <v>0.17</v>
      </c>
      <c r="J696" s="1915">
        <v>0.28999999999999998</v>
      </c>
      <c r="K696" s="1930"/>
      <c r="L696" s="1893">
        <v>9</v>
      </c>
      <c r="M696" s="1872">
        <v>10</v>
      </c>
      <c r="N696" s="1931">
        <v>0.18</v>
      </c>
      <c r="O696" s="1915">
        <v>0.32</v>
      </c>
      <c r="P696" s="1930"/>
      <c r="Q696" s="1893"/>
      <c r="R696" s="1872"/>
      <c r="S696" s="1931"/>
      <c r="T696" s="1915"/>
      <c r="U696" s="1930"/>
      <c r="V696" s="1893">
        <v>9</v>
      </c>
      <c r="W696" s="1872">
        <v>10</v>
      </c>
      <c r="X696" s="1931">
        <v>0.49</v>
      </c>
      <c r="Y696" s="1915">
        <v>0.65</v>
      </c>
      <c r="Z696" s="1930"/>
      <c r="AA696" s="1893">
        <v>9</v>
      </c>
      <c r="AB696" s="1872">
        <v>10</v>
      </c>
      <c r="AC696" s="1931">
        <v>0.41</v>
      </c>
      <c r="AD696" s="1915">
        <v>0.63</v>
      </c>
      <c r="AF696" s="1893">
        <v>9</v>
      </c>
      <c r="AG696" s="1872">
        <v>10</v>
      </c>
      <c r="AH696" s="1931"/>
      <c r="AI696" s="1915"/>
      <c r="AK696" s="1955">
        <f t="shared" si="105"/>
        <v>0.18</v>
      </c>
      <c r="AL696" s="1926">
        <f t="shared" si="106"/>
        <v>0.49</v>
      </c>
      <c r="AM696" s="1926">
        <f t="shared" si="104"/>
        <v>0.41</v>
      </c>
      <c r="AN696" s="1956">
        <f t="shared" si="107"/>
        <v>0</v>
      </c>
      <c r="AO696" s="1893"/>
      <c r="AP696" s="1872"/>
      <c r="AQ696" s="1932"/>
      <c r="AR696" s="1916"/>
    </row>
    <row r="697" spans="1:44">
      <c r="A697" s="1930"/>
      <c r="B697" s="1893">
        <v>10</v>
      </c>
      <c r="C697" s="1872">
        <v>11</v>
      </c>
      <c r="D697" s="1931">
        <v>0.16</v>
      </c>
      <c r="E697" s="1915">
        <v>0.31</v>
      </c>
      <c r="F697" s="1930"/>
      <c r="G697" s="1893">
        <v>10</v>
      </c>
      <c r="H697" s="1872">
        <v>11</v>
      </c>
      <c r="I697" s="1931">
        <v>0.13</v>
      </c>
      <c r="J697" s="1915">
        <v>0.22</v>
      </c>
      <c r="K697" s="1930"/>
      <c r="L697" s="1893">
        <v>10</v>
      </c>
      <c r="M697" s="1872">
        <v>11</v>
      </c>
      <c r="N697" s="1931">
        <v>0.36</v>
      </c>
      <c r="O697" s="1915">
        <v>0.61</v>
      </c>
      <c r="P697" s="1930"/>
      <c r="Q697" s="1893"/>
      <c r="R697" s="1872"/>
      <c r="S697" s="1931"/>
      <c r="T697" s="1915"/>
      <c r="U697" s="1930"/>
      <c r="V697" s="1893">
        <v>10</v>
      </c>
      <c r="W697" s="1872">
        <v>11</v>
      </c>
      <c r="X697" s="1931">
        <v>0.36</v>
      </c>
      <c r="Y697" s="1915">
        <v>0.35</v>
      </c>
      <c r="Z697" s="1930"/>
      <c r="AA697" s="1893">
        <v>10</v>
      </c>
      <c r="AB697" s="1872">
        <v>11</v>
      </c>
      <c r="AC697" s="1931">
        <v>0.43</v>
      </c>
      <c r="AD697" s="1915">
        <v>0.67</v>
      </c>
      <c r="AF697" s="1893">
        <v>10</v>
      </c>
      <c r="AG697" s="1872">
        <v>11</v>
      </c>
      <c r="AH697" s="1931"/>
      <c r="AI697" s="1915"/>
      <c r="AK697" s="1955">
        <f t="shared" si="105"/>
        <v>0.36</v>
      </c>
      <c r="AL697" s="1926">
        <f t="shared" si="106"/>
        <v>0.36</v>
      </c>
      <c r="AM697" s="1926">
        <f t="shared" si="104"/>
        <v>0.43</v>
      </c>
      <c r="AN697" s="1956">
        <f t="shared" si="107"/>
        <v>0</v>
      </c>
      <c r="AO697" s="1894"/>
      <c r="AP697" s="1895"/>
      <c r="AQ697" s="1933"/>
      <c r="AR697" s="1911"/>
    </row>
    <row r="698" spans="1:44">
      <c r="A698" s="1930"/>
      <c r="B698" s="1893">
        <v>11</v>
      </c>
      <c r="C698" s="1872">
        <v>12</v>
      </c>
      <c r="D698" s="1931">
        <v>0.15</v>
      </c>
      <c r="E698" s="1915">
        <v>0.28000000000000003</v>
      </c>
      <c r="F698" s="1930"/>
      <c r="G698" s="1893">
        <v>11</v>
      </c>
      <c r="H698" s="1872">
        <v>12</v>
      </c>
      <c r="I698" s="1931">
        <v>0.24</v>
      </c>
      <c r="J698" s="1915">
        <v>0.38</v>
      </c>
      <c r="K698" s="1930"/>
      <c r="L698" s="1893">
        <v>11</v>
      </c>
      <c r="M698" s="1872">
        <v>12</v>
      </c>
      <c r="N698" s="1931">
        <v>0.25</v>
      </c>
      <c r="O698" s="1915">
        <v>0.42</v>
      </c>
      <c r="P698" s="1930"/>
      <c r="Q698" s="1893"/>
      <c r="R698" s="1872"/>
      <c r="S698" s="1931"/>
      <c r="T698" s="1915"/>
      <c r="U698" s="1930"/>
      <c r="V698" s="1893">
        <v>11</v>
      </c>
      <c r="W698" s="1872">
        <v>12</v>
      </c>
      <c r="X698" s="1931">
        <v>0.48</v>
      </c>
      <c r="Y698" s="1915">
        <v>0.4</v>
      </c>
      <c r="Z698" s="1930"/>
      <c r="AA698" s="1893">
        <v>11</v>
      </c>
      <c r="AB698" s="1872">
        <v>12</v>
      </c>
      <c r="AC698" s="1931">
        <v>0.6</v>
      </c>
      <c r="AD698" s="1915">
        <v>0.85</v>
      </c>
      <c r="AF698" s="1893">
        <v>11</v>
      </c>
      <c r="AG698" s="1872">
        <v>12</v>
      </c>
      <c r="AH698" s="1931"/>
      <c r="AI698" s="1915"/>
      <c r="AK698" s="1955">
        <f t="shared" si="105"/>
        <v>0.25</v>
      </c>
      <c r="AL698" s="1926">
        <f t="shared" si="106"/>
        <v>0.48</v>
      </c>
      <c r="AM698" s="1926">
        <f t="shared" si="104"/>
        <v>0.6</v>
      </c>
      <c r="AN698" s="1956">
        <f t="shared" si="107"/>
        <v>0</v>
      </c>
      <c r="AO698" s="1910"/>
      <c r="AP698" s="1889"/>
      <c r="AQ698" s="1935"/>
      <c r="AR698" s="1912"/>
    </row>
    <row r="699" spans="1:44">
      <c r="A699" s="1930"/>
      <c r="B699" s="1893">
        <v>12</v>
      </c>
      <c r="C699" s="1872">
        <v>13</v>
      </c>
      <c r="D699" s="1931">
        <v>0.15</v>
      </c>
      <c r="E699" s="1915">
        <v>0.28000000000000003</v>
      </c>
      <c r="F699" s="1930"/>
      <c r="G699" s="1893">
        <v>12</v>
      </c>
      <c r="H699" s="1872">
        <v>13</v>
      </c>
      <c r="I699" s="1931">
        <v>0.53</v>
      </c>
      <c r="J699" s="1915">
        <v>0.77</v>
      </c>
      <c r="K699" s="1930"/>
      <c r="L699" s="1893">
        <v>12</v>
      </c>
      <c r="M699" s="1872">
        <v>13</v>
      </c>
      <c r="N699" s="1931">
        <v>0.14000000000000001</v>
      </c>
      <c r="O699" s="1915">
        <v>0.23</v>
      </c>
      <c r="P699" s="1930"/>
      <c r="Q699" s="1893"/>
      <c r="R699" s="1872"/>
      <c r="S699" s="1931"/>
      <c r="T699" s="1915"/>
      <c r="U699" s="1930"/>
      <c r="V699" s="1893">
        <v>12</v>
      </c>
      <c r="W699" s="1872">
        <v>13</v>
      </c>
      <c r="X699" s="1931">
        <v>0.54</v>
      </c>
      <c r="Y699" s="1915">
        <v>0.44</v>
      </c>
      <c r="Z699" s="1930"/>
      <c r="AA699" s="1893">
        <v>12</v>
      </c>
      <c r="AB699" s="1872">
        <v>13</v>
      </c>
      <c r="AC699" s="1931">
        <v>0.45</v>
      </c>
      <c r="AD699" s="1915">
        <v>0.54</v>
      </c>
      <c r="AF699" s="1893">
        <v>12</v>
      </c>
      <c r="AG699" s="1872">
        <v>13</v>
      </c>
      <c r="AH699" s="1931"/>
      <c r="AI699" s="1915"/>
      <c r="AK699" s="1955">
        <f t="shared" si="105"/>
        <v>0.14000000000000001</v>
      </c>
      <c r="AL699" s="1926">
        <f t="shared" si="106"/>
        <v>0.54</v>
      </c>
      <c r="AM699" s="1926">
        <f t="shared" si="104"/>
        <v>0.45</v>
      </c>
      <c r="AN699" s="1956">
        <f t="shared" si="107"/>
        <v>0</v>
      </c>
      <c r="AO699" s="1902"/>
      <c r="AP699" s="1873"/>
      <c r="AQ699" s="1935"/>
      <c r="AR699" s="1912"/>
    </row>
    <row r="700" spans="1:44">
      <c r="A700" s="1930"/>
      <c r="B700" s="1893">
        <v>13</v>
      </c>
      <c r="C700" s="1872">
        <v>14</v>
      </c>
      <c r="D700" s="1931">
        <v>0.38</v>
      </c>
      <c r="E700" s="1915">
        <v>0.68</v>
      </c>
      <c r="F700" s="1930"/>
      <c r="G700" s="1893">
        <v>13</v>
      </c>
      <c r="H700" s="1872">
        <v>14</v>
      </c>
      <c r="I700" s="1931">
        <v>0.4</v>
      </c>
      <c r="J700" s="1915">
        <v>0.53</v>
      </c>
      <c r="K700" s="1930"/>
      <c r="L700" s="1893">
        <v>13</v>
      </c>
      <c r="M700" s="1872">
        <v>14</v>
      </c>
      <c r="N700" s="1931">
        <v>0.05</v>
      </c>
      <c r="O700" s="1915">
        <v>0.08</v>
      </c>
      <c r="P700" s="1930"/>
      <c r="Q700" s="1893"/>
      <c r="R700" s="1872"/>
      <c r="S700" s="1931"/>
      <c r="T700" s="1915"/>
      <c r="U700" s="1930"/>
      <c r="V700" s="1893">
        <v>13</v>
      </c>
      <c r="W700" s="1872">
        <v>14</v>
      </c>
      <c r="X700" s="1931">
        <v>0.57999999999999996</v>
      </c>
      <c r="Y700" s="1915">
        <v>0.44</v>
      </c>
      <c r="Z700" s="1930"/>
      <c r="AA700" s="1893">
        <v>13</v>
      </c>
      <c r="AB700" s="1872">
        <v>14</v>
      </c>
      <c r="AC700" s="1931">
        <v>0.34</v>
      </c>
      <c r="AD700" s="1915">
        <v>0.37</v>
      </c>
      <c r="AF700" s="1893">
        <v>13</v>
      </c>
      <c r="AG700" s="1872">
        <v>14</v>
      </c>
      <c r="AH700" s="1931"/>
      <c r="AI700" s="1915"/>
      <c r="AK700" s="1955">
        <f t="shared" si="105"/>
        <v>0.05</v>
      </c>
      <c r="AL700" s="1926">
        <f t="shared" si="106"/>
        <v>0.57999999999999996</v>
      </c>
      <c r="AM700" s="1926">
        <f t="shared" si="104"/>
        <v>0.34</v>
      </c>
      <c r="AN700" s="1956">
        <f t="shared" si="107"/>
        <v>0</v>
      </c>
      <c r="AO700" s="1902"/>
      <c r="AP700" s="1873"/>
      <c r="AQ700" s="1935"/>
      <c r="AR700" s="1912"/>
    </row>
    <row r="701" spans="1:44">
      <c r="A701" s="1930"/>
      <c r="B701" s="1893">
        <v>14</v>
      </c>
      <c r="C701" s="1872">
        <v>15</v>
      </c>
      <c r="D701" s="1931">
        <v>0.44</v>
      </c>
      <c r="E701" s="1915">
        <v>0.9</v>
      </c>
      <c r="F701" s="1930"/>
      <c r="G701" s="1893">
        <v>14</v>
      </c>
      <c r="H701" s="1872">
        <v>15</v>
      </c>
      <c r="I701" s="1931">
        <v>0.28000000000000003</v>
      </c>
      <c r="J701" s="1915">
        <v>0.34</v>
      </c>
      <c r="K701" s="1930"/>
      <c r="L701" s="1893">
        <v>14</v>
      </c>
      <c r="M701" s="1872">
        <v>15</v>
      </c>
      <c r="N701" s="1931">
        <v>0.47</v>
      </c>
      <c r="O701" s="1915">
        <v>0.27</v>
      </c>
      <c r="P701" s="1930"/>
      <c r="Q701" s="1893"/>
      <c r="R701" s="1872"/>
      <c r="S701" s="1931"/>
      <c r="T701" s="1915"/>
      <c r="U701" s="1930"/>
      <c r="V701" s="1893">
        <v>14</v>
      </c>
      <c r="W701" s="1872">
        <v>15</v>
      </c>
      <c r="X701" s="1931">
        <v>0.43</v>
      </c>
      <c r="Y701" s="1915">
        <v>0.34</v>
      </c>
      <c r="Z701" s="1930"/>
      <c r="AA701" s="1893">
        <v>14</v>
      </c>
      <c r="AB701" s="1872">
        <v>15</v>
      </c>
      <c r="AC701" s="1931">
        <v>0.49</v>
      </c>
      <c r="AD701" s="1915">
        <v>0.49</v>
      </c>
      <c r="AF701" s="1893">
        <v>14</v>
      </c>
      <c r="AG701" s="1872">
        <v>15</v>
      </c>
      <c r="AH701" s="1931"/>
      <c r="AI701" s="1915"/>
      <c r="AK701" s="1955">
        <f t="shared" si="105"/>
        <v>0.47</v>
      </c>
      <c r="AL701" s="1926">
        <f t="shared" si="106"/>
        <v>0.43</v>
      </c>
      <c r="AM701" s="1926">
        <f t="shared" si="104"/>
        <v>0.49</v>
      </c>
      <c r="AN701" s="1956">
        <f t="shared" si="107"/>
        <v>0</v>
      </c>
      <c r="AO701" s="1902"/>
      <c r="AP701" s="1873"/>
      <c r="AQ701" s="1935"/>
      <c r="AR701" s="1912"/>
    </row>
    <row r="702" spans="1:44">
      <c r="A702" s="1930"/>
      <c r="B702" s="1893">
        <v>15</v>
      </c>
      <c r="C702" s="1872">
        <v>16</v>
      </c>
      <c r="D702" s="1931">
        <v>0.38</v>
      </c>
      <c r="E702" s="1915">
        <v>0.78</v>
      </c>
      <c r="F702" s="1930"/>
      <c r="G702" s="1893">
        <v>15</v>
      </c>
      <c r="H702" s="1872">
        <v>16</v>
      </c>
      <c r="I702" s="1931">
        <v>0.22</v>
      </c>
      <c r="J702" s="1915">
        <v>0.28000000000000003</v>
      </c>
      <c r="K702" s="1930"/>
      <c r="L702" s="1893">
        <v>15</v>
      </c>
      <c r="M702" s="1872">
        <v>16</v>
      </c>
      <c r="N702" s="1931">
        <v>0.4</v>
      </c>
      <c r="O702" s="1915">
        <v>0.65</v>
      </c>
      <c r="P702" s="1930"/>
      <c r="Q702" s="1893"/>
      <c r="R702" s="1872"/>
      <c r="S702" s="1931"/>
      <c r="T702" s="1915"/>
      <c r="U702" s="1930"/>
      <c r="V702" s="1893">
        <v>15</v>
      </c>
      <c r="W702" s="1872">
        <v>16</v>
      </c>
      <c r="X702" s="1931">
        <v>0.52</v>
      </c>
      <c r="Y702" s="1915">
        <v>0.43</v>
      </c>
      <c r="Z702" s="1930"/>
      <c r="AA702" s="1893">
        <v>15</v>
      </c>
      <c r="AB702" s="1872">
        <v>16</v>
      </c>
      <c r="AC702" s="1931">
        <v>0.43</v>
      </c>
      <c r="AD702" s="1915">
        <v>0.47</v>
      </c>
      <c r="AF702" s="1893">
        <v>15</v>
      </c>
      <c r="AG702" s="1872">
        <v>16</v>
      </c>
      <c r="AH702" s="1931"/>
      <c r="AI702" s="1915"/>
      <c r="AK702" s="1955">
        <f t="shared" si="105"/>
        <v>0.4</v>
      </c>
      <c r="AL702" s="1926">
        <f t="shared" si="106"/>
        <v>0.52</v>
      </c>
      <c r="AM702" s="1926">
        <f t="shared" si="104"/>
        <v>0.43</v>
      </c>
      <c r="AN702" s="1956">
        <f t="shared" si="107"/>
        <v>0</v>
      </c>
      <c r="AO702" s="1902"/>
      <c r="AP702" s="1873"/>
      <c r="AQ702" s="1935"/>
      <c r="AR702" s="1912"/>
    </row>
    <row r="703" spans="1:44">
      <c r="A703" s="1930"/>
      <c r="B703" s="1893">
        <v>16</v>
      </c>
      <c r="C703" s="1872">
        <v>17</v>
      </c>
      <c r="D703" s="1931">
        <v>0.35</v>
      </c>
      <c r="E703" s="1915">
        <v>0.79</v>
      </c>
      <c r="F703" s="1930"/>
      <c r="G703" s="1893">
        <v>16</v>
      </c>
      <c r="H703" s="1872">
        <v>17</v>
      </c>
      <c r="I703" s="1931">
        <v>0.34</v>
      </c>
      <c r="J703" s="1915">
        <v>0.44</v>
      </c>
      <c r="K703" s="1930"/>
      <c r="L703" s="1893">
        <v>16</v>
      </c>
      <c r="M703" s="1872">
        <v>17</v>
      </c>
      <c r="N703" s="1931">
        <v>0.32</v>
      </c>
      <c r="O703" s="1915">
        <v>0.53</v>
      </c>
      <c r="P703" s="1930"/>
      <c r="Q703" s="1893"/>
      <c r="R703" s="1872"/>
      <c r="S703" s="1931"/>
      <c r="T703" s="1915"/>
      <c r="U703" s="1930"/>
      <c r="V703" s="1893">
        <v>16</v>
      </c>
      <c r="W703" s="1872">
        <v>17</v>
      </c>
      <c r="X703" s="1931">
        <v>0.74</v>
      </c>
      <c r="Y703" s="1915">
        <v>0.62</v>
      </c>
      <c r="Z703" s="1930"/>
      <c r="AA703" s="1893">
        <v>16</v>
      </c>
      <c r="AB703" s="1872">
        <v>17</v>
      </c>
      <c r="AC703" s="1931">
        <v>0.78</v>
      </c>
      <c r="AD703" s="1915">
        <v>0.95</v>
      </c>
      <c r="AF703" s="1893">
        <v>16</v>
      </c>
      <c r="AG703" s="1872">
        <v>17</v>
      </c>
      <c r="AH703" s="1931"/>
      <c r="AI703" s="1915"/>
      <c r="AK703" s="1955">
        <f t="shared" si="105"/>
        <v>0.32</v>
      </c>
      <c r="AL703" s="1926">
        <f t="shared" si="106"/>
        <v>0.74</v>
      </c>
      <c r="AM703" s="1926">
        <f t="shared" si="104"/>
        <v>0.78</v>
      </c>
      <c r="AN703" s="1956">
        <f t="shared" si="107"/>
        <v>0</v>
      </c>
      <c r="AO703" s="1902"/>
      <c r="AP703" s="1873"/>
      <c r="AQ703" s="1936"/>
      <c r="AR703" s="1937"/>
    </row>
    <row r="704" spans="1:44">
      <c r="A704" s="1930"/>
      <c r="B704" s="1894">
        <v>17</v>
      </c>
      <c r="C704" s="1895">
        <v>18</v>
      </c>
      <c r="D704" s="1932">
        <v>0.31</v>
      </c>
      <c r="E704" s="1916">
        <v>0.99</v>
      </c>
      <c r="F704" s="1930"/>
      <c r="G704" s="1894">
        <v>17</v>
      </c>
      <c r="H704" s="1895">
        <v>18</v>
      </c>
      <c r="I704" s="1932">
        <v>0.4</v>
      </c>
      <c r="J704" s="1916">
        <v>0.92</v>
      </c>
      <c r="K704" s="1930"/>
      <c r="L704" s="1894">
        <v>17</v>
      </c>
      <c r="M704" s="1895">
        <v>18</v>
      </c>
      <c r="N704" s="1932">
        <v>1.55</v>
      </c>
      <c r="O704" s="1916">
        <v>2.69</v>
      </c>
      <c r="P704" s="1930"/>
      <c r="Q704" s="1894"/>
      <c r="R704" s="1895"/>
      <c r="S704" s="1932"/>
      <c r="T704" s="1916"/>
      <c r="U704" s="1930"/>
      <c r="V704" s="1894">
        <v>17</v>
      </c>
      <c r="W704" s="1895">
        <v>18</v>
      </c>
      <c r="X704" s="1932">
        <v>0.99</v>
      </c>
      <c r="Y704" s="1916">
        <v>1.32</v>
      </c>
      <c r="Z704" s="1930"/>
      <c r="AA704" s="1894">
        <v>17</v>
      </c>
      <c r="AB704" s="1895">
        <v>18</v>
      </c>
      <c r="AC704" s="1932">
        <v>0.68</v>
      </c>
      <c r="AD704" s="1916">
        <v>1.04</v>
      </c>
      <c r="AF704" s="1894">
        <v>17</v>
      </c>
      <c r="AG704" s="1895">
        <v>18</v>
      </c>
      <c r="AH704" s="1932"/>
      <c r="AI704" s="1916"/>
      <c r="AK704" s="1957">
        <f t="shared" si="105"/>
        <v>1.55</v>
      </c>
      <c r="AL704" s="1958">
        <f t="shared" si="106"/>
        <v>0.99</v>
      </c>
      <c r="AM704" s="1958">
        <f t="shared" si="104"/>
        <v>0.68</v>
      </c>
      <c r="AN704" s="1959">
        <f t="shared" si="107"/>
        <v>0</v>
      </c>
      <c r="AO704" s="2766"/>
      <c r="AP704" s="2766"/>
      <c r="AQ704" s="1926"/>
      <c r="AR704" s="1913"/>
    </row>
    <row r="705" spans="1:44">
      <c r="A705" s="1934"/>
      <c r="B705" s="1910">
        <v>18</v>
      </c>
      <c r="C705" s="1889">
        <v>19</v>
      </c>
      <c r="D705" s="1933">
        <v>0.38</v>
      </c>
      <c r="E705" s="1911">
        <v>1.28</v>
      </c>
      <c r="F705" s="1934"/>
      <c r="G705" s="1910">
        <v>18</v>
      </c>
      <c r="H705" s="1889">
        <v>19</v>
      </c>
      <c r="I705" s="1933">
        <v>0.44</v>
      </c>
      <c r="J705" s="1911">
        <v>1.1000000000000001</v>
      </c>
      <c r="K705" s="1934"/>
      <c r="L705" s="1910">
        <v>18</v>
      </c>
      <c r="M705" s="1889">
        <v>19</v>
      </c>
      <c r="N705" s="1933">
        <v>0.35</v>
      </c>
      <c r="O705" s="1911">
        <v>0.64</v>
      </c>
      <c r="P705" s="1934"/>
      <c r="Q705" s="1910"/>
      <c r="R705" s="1889"/>
      <c r="S705" s="1933"/>
      <c r="T705" s="1911"/>
      <c r="U705" s="1934"/>
      <c r="V705" s="1910">
        <v>18</v>
      </c>
      <c r="W705" s="1889">
        <v>19</v>
      </c>
      <c r="X705" s="1933">
        <v>0.51</v>
      </c>
      <c r="Y705" s="1911">
        <v>0.82</v>
      </c>
      <c r="Z705" s="1934"/>
      <c r="AA705" s="1910">
        <v>18</v>
      </c>
      <c r="AB705" s="1889">
        <v>19</v>
      </c>
      <c r="AC705" s="1933">
        <v>0.43</v>
      </c>
      <c r="AD705" s="1911">
        <v>0.72</v>
      </c>
      <c r="AF705" s="1910">
        <v>18</v>
      </c>
      <c r="AG705" s="1889">
        <v>19</v>
      </c>
      <c r="AH705" s="1933"/>
      <c r="AI705" s="1911"/>
      <c r="AK705" s="1952">
        <f t="shared" si="105"/>
        <v>0.35</v>
      </c>
      <c r="AL705" s="1953">
        <f t="shared" si="106"/>
        <v>0.51</v>
      </c>
      <c r="AM705" s="1953">
        <f t="shared" si="104"/>
        <v>0.43</v>
      </c>
      <c r="AN705" s="1954">
        <f t="shared" si="107"/>
        <v>0</v>
      </c>
      <c r="AO705" s="1883"/>
      <c r="AP705" s="1871"/>
      <c r="AQ705" s="1926"/>
      <c r="AR705" s="1913"/>
    </row>
    <row r="706" spans="1:44">
      <c r="A706" s="1934"/>
      <c r="B706" s="1902">
        <v>19</v>
      </c>
      <c r="C706" s="1873">
        <v>20</v>
      </c>
      <c r="D706" s="1935">
        <v>0.25</v>
      </c>
      <c r="E706" s="1912">
        <v>0.86</v>
      </c>
      <c r="F706" s="1934"/>
      <c r="G706" s="1902">
        <v>19</v>
      </c>
      <c r="H706" s="1873">
        <v>20</v>
      </c>
      <c r="I706" s="1935">
        <v>0.19</v>
      </c>
      <c r="J706" s="1912">
        <v>0.52</v>
      </c>
      <c r="K706" s="1934"/>
      <c r="L706" s="1902">
        <v>19</v>
      </c>
      <c r="M706" s="1873">
        <v>20</v>
      </c>
      <c r="N706" s="1935">
        <v>0.31</v>
      </c>
      <c r="O706" s="1912">
        <v>0.63</v>
      </c>
      <c r="P706" s="1934"/>
      <c r="Q706" s="1902"/>
      <c r="R706" s="1873"/>
      <c r="S706" s="1935"/>
      <c r="T706" s="1912"/>
      <c r="U706" s="1934"/>
      <c r="V706" s="1902">
        <v>19</v>
      </c>
      <c r="W706" s="1873">
        <v>20</v>
      </c>
      <c r="X706" s="1935">
        <v>0.56000000000000005</v>
      </c>
      <c r="Y706" s="1912">
        <v>0.98</v>
      </c>
      <c r="Z706" s="1934"/>
      <c r="AA706" s="1902">
        <v>19</v>
      </c>
      <c r="AB706" s="1873">
        <v>20</v>
      </c>
      <c r="AC706" s="1935">
        <v>0.44</v>
      </c>
      <c r="AD706" s="1912">
        <v>0.79</v>
      </c>
      <c r="AF706" s="1902">
        <v>19</v>
      </c>
      <c r="AG706" s="1873">
        <v>20</v>
      </c>
      <c r="AH706" s="1935"/>
      <c r="AI706" s="1912"/>
      <c r="AK706" s="1955">
        <f t="shared" si="105"/>
        <v>0.31</v>
      </c>
      <c r="AL706" s="1926">
        <f t="shared" si="106"/>
        <v>0.56000000000000005</v>
      </c>
      <c r="AM706" s="1926">
        <f t="shared" si="104"/>
        <v>0.44</v>
      </c>
      <c r="AN706" s="1956">
        <f t="shared" si="107"/>
        <v>0</v>
      </c>
      <c r="AO706" s="1883"/>
      <c r="AP706" s="1871"/>
      <c r="AQ706" s="1926"/>
      <c r="AR706" s="1913"/>
    </row>
    <row r="707" spans="1:44">
      <c r="A707" s="1934"/>
      <c r="B707" s="1902">
        <v>20</v>
      </c>
      <c r="C707" s="1873">
        <v>21</v>
      </c>
      <c r="D707" s="1935">
        <v>0.15</v>
      </c>
      <c r="E707" s="1912">
        <v>0.37</v>
      </c>
      <c r="F707" s="1934"/>
      <c r="G707" s="1902">
        <v>20</v>
      </c>
      <c r="H707" s="1873">
        <v>21</v>
      </c>
      <c r="I707" s="1935">
        <v>0.2</v>
      </c>
      <c r="J707" s="1912">
        <v>0.35</v>
      </c>
      <c r="K707" s="1934"/>
      <c r="L707" s="1902">
        <v>20</v>
      </c>
      <c r="M707" s="1873">
        <v>21</v>
      </c>
      <c r="N707" s="1935">
        <v>0.38</v>
      </c>
      <c r="O707" s="1912">
        <v>0.88</v>
      </c>
      <c r="P707" s="1934"/>
      <c r="Q707" s="1902"/>
      <c r="R707" s="1873"/>
      <c r="S707" s="1935"/>
      <c r="T707" s="1912"/>
      <c r="U707" s="1934"/>
      <c r="V707" s="1902">
        <v>20</v>
      </c>
      <c r="W707" s="1873">
        <v>21</v>
      </c>
      <c r="X707" s="1935">
        <v>0.53</v>
      </c>
      <c r="Y707" s="1912">
        <v>1.05</v>
      </c>
      <c r="Z707" s="1934"/>
      <c r="AA707" s="1902">
        <v>20</v>
      </c>
      <c r="AB707" s="1873">
        <v>21</v>
      </c>
      <c r="AC707" s="1935">
        <v>0.62</v>
      </c>
      <c r="AD707" s="1912">
        <v>1.06</v>
      </c>
      <c r="AF707" s="1902">
        <v>20</v>
      </c>
      <c r="AG707" s="1873">
        <v>21</v>
      </c>
      <c r="AH707" s="1935"/>
      <c r="AI707" s="1912"/>
      <c r="AK707" s="1955">
        <f t="shared" si="105"/>
        <v>0.38</v>
      </c>
      <c r="AL707" s="1926">
        <f t="shared" si="106"/>
        <v>0.53</v>
      </c>
      <c r="AM707" s="1926">
        <f t="shared" si="104"/>
        <v>0.62</v>
      </c>
      <c r="AN707" s="1956">
        <f t="shared" si="107"/>
        <v>0</v>
      </c>
      <c r="AO707" s="1883"/>
      <c r="AP707" s="1871"/>
      <c r="AQ707" s="1926"/>
      <c r="AR707" s="1913"/>
    </row>
    <row r="708" spans="1:44">
      <c r="A708" s="1934"/>
      <c r="B708" s="1902">
        <v>21</v>
      </c>
      <c r="C708" s="1873">
        <v>22</v>
      </c>
      <c r="D708" s="1935">
        <v>0.11</v>
      </c>
      <c r="E708" s="1912">
        <v>0.25</v>
      </c>
      <c r="F708" s="1934"/>
      <c r="G708" s="1902">
        <v>21</v>
      </c>
      <c r="H708" s="1873">
        <v>22</v>
      </c>
      <c r="I708" s="1935">
        <v>0.38</v>
      </c>
      <c r="J708" s="1912">
        <v>0.67</v>
      </c>
      <c r="K708" s="1934"/>
      <c r="L708" s="1902">
        <v>21</v>
      </c>
      <c r="M708" s="1873">
        <v>22</v>
      </c>
      <c r="N708" s="1935">
        <v>0.28000000000000003</v>
      </c>
      <c r="O708" s="1912">
        <v>0.6</v>
      </c>
      <c r="P708" s="1934"/>
      <c r="Q708" s="1902"/>
      <c r="R708" s="1873"/>
      <c r="S708" s="1935"/>
      <c r="T708" s="1912"/>
      <c r="U708" s="1934"/>
      <c r="V708" s="1902">
        <v>21</v>
      </c>
      <c r="W708" s="1873">
        <v>22</v>
      </c>
      <c r="X708" s="1935">
        <v>0.51</v>
      </c>
      <c r="Y708" s="1912">
        <v>0.95</v>
      </c>
      <c r="Z708" s="1934"/>
      <c r="AA708" s="1902">
        <v>21</v>
      </c>
      <c r="AB708" s="1873">
        <v>22</v>
      </c>
      <c r="AC708" s="1935">
        <v>0.41</v>
      </c>
      <c r="AD708" s="1912">
        <v>0.77</v>
      </c>
      <c r="AF708" s="1902">
        <v>21</v>
      </c>
      <c r="AG708" s="1873">
        <v>22</v>
      </c>
      <c r="AH708" s="1935"/>
      <c r="AI708" s="1912"/>
      <c r="AK708" s="1955">
        <f t="shared" si="105"/>
        <v>0.28000000000000003</v>
      </c>
      <c r="AL708" s="1926">
        <f t="shared" si="106"/>
        <v>0.51</v>
      </c>
      <c r="AM708" s="1926">
        <f t="shared" si="104"/>
        <v>0.41</v>
      </c>
      <c r="AN708" s="1956">
        <f t="shared" si="107"/>
        <v>0</v>
      </c>
      <c r="AO708" s="1883"/>
      <c r="AP708" s="1871"/>
      <c r="AQ708" s="1926"/>
      <c r="AR708" s="1913"/>
    </row>
    <row r="709" spans="1:44">
      <c r="A709" s="1934"/>
      <c r="B709" s="1902">
        <v>22</v>
      </c>
      <c r="C709" s="1873">
        <v>23</v>
      </c>
      <c r="D709" s="1935">
        <v>0.27</v>
      </c>
      <c r="E709" s="1912">
        <v>0.61</v>
      </c>
      <c r="F709" s="1934"/>
      <c r="G709" s="1902">
        <v>22</v>
      </c>
      <c r="H709" s="1873">
        <v>23</v>
      </c>
      <c r="I709" s="1935">
        <v>0.3</v>
      </c>
      <c r="J709" s="1912">
        <v>0.54</v>
      </c>
      <c r="K709" s="1934"/>
      <c r="L709" s="1902">
        <v>22</v>
      </c>
      <c r="M709" s="1873">
        <v>23</v>
      </c>
      <c r="N709" s="1935">
        <v>0.23</v>
      </c>
      <c r="O709" s="1912">
        <v>0.46</v>
      </c>
      <c r="P709" s="1934"/>
      <c r="Q709" s="1902"/>
      <c r="R709" s="1873"/>
      <c r="S709" s="1935"/>
      <c r="T709" s="1912"/>
      <c r="U709" s="1934"/>
      <c r="V709" s="1902">
        <v>22</v>
      </c>
      <c r="W709" s="1873">
        <v>23</v>
      </c>
      <c r="X709" s="1935">
        <v>0.34</v>
      </c>
      <c r="Y709" s="1912">
        <v>0.59</v>
      </c>
      <c r="Z709" s="1934"/>
      <c r="AA709" s="1902">
        <v>22</v>
      </c>
      <c r="AB709" s="1873">
        <v>23</v>
      </c>
      <c r="AC709" s="1935">
        <v>0.28000000000000003</v>
      </c>
      <c r="AD709" s="1912">
        <v>0.55000000000000004</v>
      </c>
      <c r="AF709" s="1902">
        <v>22</v>
      </c>
      <c r="AG709" s="1873">
        <v>23</v>
      </c>
      <c r="AH709" s="1935"/>
      <c r="AI709" s="1912"/>
      <c r="AK709" s="1955">
        <f t="shared" si="105"/>
        <v>0.23</v>
      </c>
      <c r="AL709" s="1926">
        <f t="shared" si="106"/>
        <v>0.34</v>
      </c>
      <c r="AM709" s="1926">
        <f t="shared" si="104"/>
        <v>0.28000000000000003</v>
      </c>
      <c r="AN709" s="1956">
        <f t="shared" si="107"/>
        <v>0</v>
      </c>
      <c r="AO709" s="1883"/>
      <c r="AP709" s="1871"/>
      <c r="AQ709" s="1926"/>
      <c r="AR709" s="1913"/>
    </row>
    <row r="710" spans="1:44" ht="15" thickBot="1">
      <c r="A710" s="1934"/>
      <c r="B710" s="1902">
        <v>23</v>
      </c>
      <c r="C710" s="1873">
        <v>24</v>
      </c>
      <c r="D710" s="1935">
        <v>0.21</v>
      </c>
      <c r="E710" s="1912">
        <v>0.46</v>
      </c>
      <c r="F710" s="1934"/>
      <c r="G710" s="1902">
        <v>23</v>
      </c>
      <c r="H710" s="1873">
        <v>24</v>
      </c>
      <c r="I710" s="1935">
        <v>0.26</v>
      </c>
      <c r="J710" s="1912">
        <v>0.44</v>
      </c>
      <c r="K710" s="1934"/>
      <c r="L710" s="1902">
        <v>23</v>
      </c>
      <c r="M710" s="1873">
        <v>24</v>
      </c>
      <c r="N710" s="1935">
        <v>0.18</v>
      </c>
      <c r="O710" s="1912">
        <v>0.32</v>
      </c>
      <c r="P710" s="1934"/>
      <c r="Q710" s="1902"/>
      <c r="R710" s="1873"/>
      <c r="S710" s="1935"/>
      <c r="T710" s="1912"/>
      <c r="U710" s="1934"/>
      <c r="V710" s="1902">
        <v>23</v>
      </c>
      <c r="W710" s="1873">
        <v>24</v>
      </c>
      <c r="X710" s="1935">
        <v>0.24</v>
      </c>
      <c r="Y710" s="1912">
        <v>0.41</v>
      </c>
      <c r="Z710" s="1934"/>
      <c r="AA710" s="1902">
        <v>23</v>
      </c>
      <c r="AB710" s="1873">
        <v>24</v>
      </c>
      <c r="AC710" s="1935">
        <v>0.21</v>
      </c>
      <c r="AD710" s="1912">
        <v>0.4</v>
      </c>
      <c r="AF710" s="1902">
        <v>23</v>
      </c>
      <c r="AG710" s="1873">
        <v>24</v>
      </c>
      <c r="AH710" s="1935"/>
      <c r="AI710" s="1912"/>
      <c r="AK710" s="1957">
        <f t="shared" si="105"/>
        <v>0.18</v>
      </c>
      <c r="AL710" s="1958">
        <f t="shared" si="106"/>
        <v>0.24</v>
      </c>
      <c r="AM710" s="1958">
        <f t="shared" si="104"/>
        <v>0.21</v>
      </c>
      <c r="AN710" s="1959">
        <f t="shared" si="107"/>
        <v>0</v>
      </c>
      <c r="AO710" s="1883"/>
      <c r="AP710" s="1871"/>
      <c r="AQ710" s="1926"/>
      <c r="AR710" s="1913"/>
    </row>
    <row r="711" spans="1:44">
      <c r="B711" s="2766">
        <v>44985</v>
      </c>
      <c r="C711" s="2766"/>
      <c r="D711" s="1922">
        <f>SUM(D712:D735)</f>
        <v>6.6999999999999993</v>
      </c>
      <c r="E711" s="1923">
        <f>SUM(E712:E735)</f>
        <v>17.21</v>
      </c>
      <c r="G711" s="2773">
        <v>45013</v>
      </c>
      <c r="H711" s="2773"/>
      <c r="I711" s="1922">
        <f>SUM(I712:I735)</f>
        <v>7.93</v>
      </c>
      <c r="J711" s="1923">
        <f>SUM(J712:J735)</f>
        <v>15.66</v>
      </c>
      <c r="L711" s="2773">
        <v>45044</v>
      </c>
      <c r="M711" s="2773"/>
      <c r="N711" s="1936">
        <f>SUM(N712:N735)</f>
        <v>5.57</v>
      </c>
      <c r="O711" s="1937">
        <f>SUM(O712:O735)</f>
        <v>10.170000000000002</v>
      </c>
      <c r="Q711" s="2766">
        <v>45074</v>
      </c>
      <c r="R711" s="2766"/>
      <c r="S711" s="1936"/>
      <c r="T711" s="1937"/>
      <c r="V711" s="2766">
        <v>45074</v>
      </c>
      <c r="W711" s="2766"/>
      <c r="X711" s="1936">
        <f>SUM(X712:X735)</f>
        <v>11.69</v>
      </c>
      <c r="Y711" s="1937">
        <f>SUM(Y712:Y735)</f>
        <v>11.280000000000001</v>
      </c>
      <c r="AA711" s="2766">
        <v>45105</v>
      </c>
      <c r="AB711" s="2766"/>
      <c r="AC711" s="1936">
        <f>SUM(AC712:AC735)</f>
        <v>7.9</v>
      </c>
      <c r="AD711" s="1937">
        <f>SUM(AD712:AD735)</f>
        <v>14.81</v>
      </c>
      <c r="AF711" s="2766">
        <v>45135</v>
      </c>
      <c r="AG711" s="2766"/>
      <c r="AH711" s="1936">
        <f>SUM(AH712:AH735)</f>
        <v>0</v>
      </c>
      <c r="AI711" s="1937">
        <f>SUM(AI712:AI735)</f>
        <v>0</v>
      </c>
      <c r="AO711" s="1883"/>
      <c r="AP711" s="1871"/>
      <c r="AQ711" s="1928"/>
      <c r="AR711" s="1917"/>
    </row>
    <row r="712" spans="1:44">
      <c r="A712" s="1927"/>
      <c r="B712" s="1883">
        <v>0</v>
      </c>
      <c r="C712" s="1871">
        <v>1</v>
      </c>
      <c r="D712" s="1926">
        <v>0.12</v>
      </c>
      <c r="E712" s="1913">
        <v>0.25</v>
      </c>
      <c r="F712" s="1927"/>
      <c r="G712" s="1883">
        <v>0</v>
      </c>
      <c r="H712" s="1871">
        <v>1</v>
      </c>
      <c r="I712" s="1926">
        <v>0.1</v>
      </c>
      <c r="J712" s="1913">
        <v>0.16</v>
      </c>
      <c r="K712" s="1927"/>
      <c r="L712" s="1883">
        <v>0</v>
      </c>
      <c r="M712" s="1871">
        <v>1</v>
      </c>
      <c r="N712" s="1926">
        <v>0.11</v>
      </c>
      <c r="O712" s="1913">
        <v>0.2</v>
      </c>
      <c r="P712" s="1927"/>
      <c r="Q712" s="1883"/>
      <c r="R712" s="1871"/>
      <c r="S712" s="1926"/>
      <c r="T712" s="1913"/>
      <c r="U712" s="1927"/>
      <c r="V712" s="1883">
        <v>0</v>
      </c>
      <c r="W712" s="1871">
        <v>1</v>
      </c>
      <c r="X712" s="1926">
        <v>0.3</v>
      </c>
      <c r="Y712" s="1913">
        <v>0.49</v>
      </c>
      <c r="Z712" s="1927"/>
      <c r="AA712" s="1883">
        <v>0</v>
      </c>
      <c r="AB712" s="1871">
        <v>1</v>
      </c>
      <c r="AC712" s="1926">
        <v>0.21</v>
      </c>
      <c r="AD712" s="1913">
        <v>0.36</v>
      </c>
      <c r="AF712" s="1883">
        <v>0</v>
      </c>
      <c r="AG712" s="1871">
        <v>1</v>
      </c>
      <c r="AH712" s="1926"/>
      <c r="AI712" s="1913"/>
      <c r="AK712" s="1952">
        <f>N712</f>
        <v>0.11</v>
      </c>
      <c r="AL712" s="1953">
        <f>X712</f>
        <v>0.3</v>
      </c>
      <c r="AM712" s="1953">
        <f t="shared" ref="AM712:AM735" si="108">AC712</f>
        <v>0.21</v>
      </c>
      <c r="AN712" s="1954">
        <f>AH712</f>
        <v>0</v>
      </c>
      <c r="AO712" s="1908"/>
      <c r="AP712" s="1909"/>
      <c r="AQ712" s="1929"/>
      <c r="AR712" s="1914"/>
    </row>
    <row r="713" spans="1:44">
      <c r="A713" s="1927"/>
      <c r="B713" s="1883">
        <v>1</v>
      </c>
      <c r="C713" s="1871">
        <v>2</v>
      </c>
      <c r="D713" s="1926">
        <v>0.08</v>
      </c>
      <c r="E713" s="1913">
        <v>0.16</v>
      </c>
      <c r="F713" s="1927"/>
      <c r="G713" s="1883">
        <v>1</v>
      </c>
      <c r="H713" s="1871">
        <v>2</v>
      </c>
      <c r="I713" s="1926">
        <v>0.15</v>
      </c>
      <c r="J713" s="1913">
        <v>0.24</v>
      </c>
      <c r="K713" s="1927"/>
      <c r="L713" s="1883">
        <v>1</v>
      </c>
      <c r="M713" s="1871">
        <v>2</v>
      </c>
      <c r="N713" s="1926">
        <v>0.15</v>
      </c>
      <c r="O713" s="1913">
        <v>0.25</v>
      </c>
      <c r="P713" s="1927"/>
      <c r="Q713" s="1883"/>
      <c r="R713" s="1871"/>
      <c r="S713" s="1926"/>
      <c r="T713" s="1913"/>
      <c r="U713" s="1927"/>
      <c r="V713" s="1883">
        <v>1</v>
      </c>
      <c r="W713" s="1871">
        <v>2</v>
      </c>
      <c r="X713" s="1926">
        <v>0.33</v>
      </c>
      <c r="Y713" s="1913">
        <v>0.53</v>
      </c>
      <c r="Z713" s="1927"/>
      <c r="AA713" s="1883">
        <v>1</v>
      </c>
      <c r="AB713" s="1871">
        <v>2</v>
      </c>
      <c r="AC713" s="1926">
        <v>0.15</v>
      </c>
      <c r="AD713" s="1913">
        <v>0.25</v>
      </c>
      <c r="AF713" s="1883">
        <v>1</v>
      </c>
      <c r="AG713" s="1871">
        <v>2</v>
      </c>
      <c r="AH713" s="1926"/>
      <c r="AI713" s="1913"/>
      <c r="AK713" s="1955">
        <f t="shared" ref="AK713:AK735" si="109">N713</f>
        <v>0.15</v>
      </c>
      <c r="AL713" s="1926">
        <f t="shared" ref="AL713:AL735" si="110">X713</f>
        <v>0.33</v>
      </c>
      <c r="AM713" s="1926">
        <f t="shared" si="108"/>
        <v>0.15</v>
      </c>
      <c r="AN713" s="1956">
        <f t="shared" ref="AN713:AN735" si="111">AH713</f>
        <v>0</v>
      </c>
      <c r="AO713" s="1890"/>
      <c r="AP713" s="1891"/>
      <c r="AQ713" s="1931"/>
      <c r="AR713" s="1915"/>
    </row>
    <row r="714" spans="1:44">
      <c r="A714" s="1927"/>
      <c r="B714" s="1883">
        <v>2</v>
      </c>
      <c r="C714" s="1871">
        <v>3</v>
      </c>
      <c r="D714" s="1926">
        <v>0.13</v>
      </c>
      <c r="E714" s="1913">
        <v>0.26</v>
      </c>
      <c r="F714" s="1927"/>
      <c r="G714" s="1883">
        <v>2</v>
      </c>
      <c r="H714" s="1871">
        <v>3</v>
      </c>
      <c r="I714" s="1926">
        <v>0.2</v>
      </c>
      <c r="J714" s="1913">
        <v>0.32</v>
      </c>
      <c r="K714" s="1927"/>
      <c r="L714" s="1883">
        <v>2</v>
      </c>
      <c r="M714" s="1871">
        <v>3</v>
      </c>
      <c r="N714" s="1926">
        <v>0.12</v>
      </c>
      <c r="O714" s="1913">
        <v>0.2</v>
      </c>
      <c r="P714" s="1927"/>
      <c r="Q714" s="1883"/>
      <c r="R714" s="1871"/>
      <c r="S714" s="1926"/>
      <c r="T714" s="1913"/>
      <c r="U714" s="1927"/>
      <c r="V714" s="1883">
        <v>2</v>
      </c>
      <c r="W714" s="1871">
        <v>3</v>
      </c>
      <c r="X714" s="1926">
        <v>0.32</v>
      </c>
      <c r="Y714" s="1913">
        <v>0.51</v>
      </c>
      <c r="Z714" s="1927"/>
      <c r="AA714" s="1883">
        <v>2</v>
      </c>
      <c r="AB714" s="1871">
        <v>3</v>
      </c>
      <c r="AC714" s="1926">
        <v>0.22</v>
      </c>
      <c r="AD714" s="1913">
        <v>0.36</v>
      </c>
      <c r="AF714" s="1883">
        <v>2</v>
      </c>
      <c r="AG714" s="1871">
        <v>3</v>
      </c>
      <c r="AH714" s="1926"/>
      <c r="AI714" s="1913"/>
      <c r="AK714" s="1955">
        <f t="shared" si="109"/>
        <v>0.12</v>
      </c>
      <c r="AL714" s="1926">
        <f t="shared" si="110"/>
        <v>0.32</v>
      </c>
      <c r="AM714" s="1926">
        <f t="shared" si="108"/>
        <v>0.22</v>
      </c>
      <c r="AN714" s="1956">
        <f t="shared" si="111"/>
        <v>0</v>
      </c>
      <c r="AO714" s="1893"/>
      <c r="AP714" s="1872"/>
      <c r="AQ714" s="1931"/>
      <c r="AR714" s="1915"/>
    </row>
    <row r="715" spans="1:44">
      <c r="A715" s="1927"/>
      <c r="B715" s="1883">
        <v>3</v>
      </c>
      <c r="C715" s="1871">
        <v>4</v>
      </c>
      <c r="D715" s="1926">
        <v>0.12</v>
      </c>
      <c r="E715" s="1913">
        <v>0.24</v>
      </c>
      <c r="F715" s="1927"/>
      <c r="G715" s="1883">
        <v>3</v>
      </c>
      <c r="H715" s="1871">
        <v>4</v>
      </c>
      <c r="I715" s="1926">
        <v>0.11</v>
      </c>
      <c r="J715" s="1913">
        <v>0.19</v>
      </c>
      <c r="K715" s="1927"/>
      <c r="L715" s="1883">
        <v>3</v>
      </c>
      <c r="M715" s="1871">
        <v>4</v>
      </c>
      <c r="N715" s="1926">
        <v>0.05</v>
      </c>
      <c r="O715" s="1913">
        <v>0.08</v>
      </c>
      <c r="P715" s="1927"/>
      <c r="Q715" s="1883"/>
      <c r="R715" s="1871"/>
      <c r="S715" s="1926"/>
      <c r="T715" s="1913"/>
      <c r="U715" s="1927"/>
      <c r="V715" s="1883">
        <v>3</v>
      </c>
      <c r="W715" s="1871">
        <v>4</v>
      </c>
      <c r="X715" s="1926">
        <v>0.22</v>
      </c>
      <c r="Y715" s="1913">
        <v>0.34</v>
      </c>
      <c r="Z715" s="1927"/>
      <c r="AA715" s="1883">
        <v>3</v>
      </c>
      <c r="AB715" s="1871">
        <v>4</v>
      </c>
      <c r="AC715" s="1926">
        <v>0.15</v>
      </c>
      <c r="AD715" s="1913">
        <v>0.24</v>
      </c>
      <c r="AF715" s="1883">
        <v>3</v>
      </c>
      <c r="AG715" s="1871">
        <v>4</v>
      </c>
      <c r="AH715" s="1926"/>
      <c r="AI715" s="1913"/>
      <c r="AK715" s="1955">
        <f t="shared" si="109"/>
        <v>0.05</v>
      </c>
      <c r="AL715" s="1926">
        <f t="shared" si="110"/>
        <v>0.22</v>
      </c>
      <c r="AM715" s="1926">
        <f t="shared" si="108"/>
        <v>0.15</v>
      </c>
      <c r="AN715" s="1956">
        <f t="shared" si="111"/>
        <v>0</v>
      </c>
      <c r="AO715" s="1893"/>
      <c r="AP715" s="1872"/>
      <c r="AQ715" s="1931"/>
      <c r="AR715" s="1915"/>
    </row>
    <row r="716" spans="1:44">
      <c r="A716" s="1927"/>
      <c r="B716" s="1883">
        <v>4</v>
      </c>
      <c r="C716" s="1871">
        <v>5</v>
      </c>
      <c r="D716" s="1926">
        <v>0.12</v>
      </c>
      <c r="E716" s="1913">
        <v>0.24</v>
      </c>
      <c r="F716" s="1927"/>
      <c r="G716" s="1883">
        <v>4</v>
      </c>
      <c r="H716" s="1871">
        <v>5</v>
      </c>
      <c r="I716" s="1926">
        <v>7.0000000000000007E-2</v>
      </c>
      <c r="J716" s="1913">
        <v>0.12</v>
      </c>
      <c r="K716" s="1927"/>
      <c r="L716" s="1883">
        <v>4</v>
      </c>
      <c r="M716" s="1871">
        <v>5</v>
      </c>
      <c r="N716" s="1926">
        <v>0.14000000000000001</v>
      </c>
      <c r="O716" s="1913">
        <v>0.24</v>
      </c>
      <c r="P716" s="1927"/>
      <c r="Q716" s="1883"/>
      <c r="R716" s="1871"/>
      <c r="S716" s="1926"/>
      <c r="T716" s="1913"/>
      <c r="U716" s="1927"/>
      <c r="V716" s="1883">
        <v>4</v>
      </c>
      <c r="W716" s="1871">
        <v>5</v>
      </c>
      <c r="X716" s="1926">
        <v>0.33</v>
      </c>
      <c r="Y716" s="1913">
        <v>0.51</v>
      </c>
      <c r="Z716" s="1927"/>
      <c r="AA716" s="1883">
        <v>4</v>
      </c>
      <c r="AB716" s="1871">
        <v>5</v>
      </c>
      <c r="AC716" s="1926">
        <v>0.19</v>
      </c>
      <c r="AD716" s="1913">
        <v>0.31</v>
      </c>
      <c r="AF716" s="1883">
        <v>4</v>
      </c>
      <c r="AG716" s="1871">
        <v>5</v>
      </c>
      <c r="AH716" s="1926"/>
      <c r="AI716" s="1913"/>
      <c r="AK716" s="1955">
        <f t="shared" si="109"/>
        <v>0.14000000000000001</v>
      </c>
      <c r="AL716" s="1926">
        <f t="shared" si="110"/>
        <v>0.33</v>
      </c>
      <c r="AM716" s="1926">
        <f t="shared" si="108"/>
        <v>0.19</v>
      </c>
      <c r="AN716" s="1956">
        <f t="shared" si="111"/>
        <v>0</v>
      </c>
      <c r="AO716" s="1893"/>
      <c r="AP716" s="1872"/>
      <c r="AQ716" s="1931"/>
      <c r="AR716" s="1915"/>
    </row>
    <row r="717" spans="1:44">
      <c r="A717" s="1927"/>
      <c r="B717" s="1883">
        <v>5</v>
      </c>
      <c r="C717" s="1871">
        <v>6</v>
      </c>
      <c r="D717" s="1926">
        <v>0.27</v>
      </c>
      <c r="E717" s="1913">
        <v>0.57999999999999996</v>
      </c>
      <c r="F717" s="1927"/>
      <c r="G717" s="1883">
        <v>5</v>
      </c>
      <c r="H717" s="1871">
        <v>6</v>
      </c>
      <c r="I717" s="1926">
        <v>0.18</v>
      </c>
      <c r="J717" s="1913">
        <v>0.31</v>
      </c>
      <c r="K717" s="1927"/>
      <c r="L717" s="1883">
        <v>5</v>
      </c>
      <c r="M717" s="1871">
        <v>6</v>
      </c>
      <c r="N717" s="1926">
        <v>0.14000000000000001</v>
      </c>
      <c r="O717" s="1913">
        <v>0.24</v>
      </c>
      <c r="P717" s="1927"/>
      <c r="Q717" s="1883"/>
      <c r="R717" s="1871"/>
      <c r="S717" s="1926"/>
      <c r="T717" s="1913"/>
      <c r="U717" s="1927"/>
      <c r="V717" s="1883">
        <v>5</v>
      </c>
      <c r="W717" s="1871">
        <v>6</v>
      </c>
      <c r="X717" s="1926">
        <v>0.28000000000000003</v>
      </c>
      <c r="Y717" s="1913">
        <v>0.43</v>
      </c>
      <c r="Z717" s="1927"/>
      <c r="AA717" s="1883">
        <v>5</v>
      </c>
      <c r="AB717" s="1871">
        <v>6</v>
      </c>
      <c r="AC717" s="1926">
        <v>0.17</v>
      </c>
      <c r="AD717" s="1913">
        <v>0.28999999999999998</v>
      </c>
      <c r="AF717" s="1883">
        <v>5</v>
      </c>
      <c r="AG717" s="1871">
        <v>6</v>
      </c>
      <c r="AH717" s="1926"/>
      <c r="AI717" s="1913"/>
      <c r="AK717" s="1955">
        <f t="shared" si="109"/>
        <v>0.14000000000000001</v>
      </c>
      <c r="AL717" s="1926">
        <f t="shared" si="110"/>
        <v>0.28000000000000003</v>
      </c>
      <c r="AM717" s="1926">
        <f t="shared" si="108"/>
        <v>0.17</v>
      </c>
      <c r="AN717" s="1956">
        <f t="shared" si="111"/>
        <v>0</v>
      </c>
      <c r="AO717" s="1893"/>
      <c r="AP717" s="1872"/>
      <c r="AQ717" s="1931"/>
      <c r="AR717" s="1915"/>
    </row>
    <row r="718" spans="1:44">
      <c r="A718" s="1927"/>
      <c r="B718" s="1883">
        <v>6</v>
      </c>
      <c r="C718" s="1871">
        <v>7</v>
      </c>
      <c r="D718" s="1926">
        <v>0.3</v>
      </c>
      <c r="E718" s="1913">
        <v>0.7</v>
      </c>
      <c r="F718" s="1927"/>
      <c r="G718" s="1883">
        <v>6</v>
      </c>
      <c r="H718" s="1871">
        <v>7</v>
      </c>
      <c r="I718" s="1926">
        <v>0.25</v>
      </c>
      <c r="J718" s="1913">
        <v>0.51</v>
      </c>
      <c r="K718" s="1927"/>
      <c r="L718" s="1883">
        <v>6</v>
      </c>
      <c r="M718" s="1871">
        <v>7</v>
      </c>
      <c r="N718" s="1926">
        <v>0.32</v>
      </c>
      <c r="O718" s="1913">
        <v>0.6</v>
      </c>
      <c r="P718" s="1927"/>
      <c r="Q718" s="1883"/>
      <c r="R718" s="1871"/>
      <c r="S718" s="1926"/>
      <c r="T718" s="1913"/>
      <c r="U718" s="1927"/>
      <c r="V718" s="1883">
        <v>6</v>
      </c>
      <c r="W718" s="1871">
        <v>7</v>
      </c>
      <c r="X718" s="1926">
        <v>0.27</v>
      </c>
      <c r="Y718" s="1913">
        <v>0.4</v>
      </c>
      <c r="Z718" s="1927"/>
      <c r="AA718" s="1883">
        <v>6</v>
      </c>
      <c r="AB718" s="1871">
        <v>7</v>
      </c>
      <c r="AC718" s="1926">
        <v>0.28000000000000003</v>
      </c>
      <c r="AD718" s="1913">
        <v>0.53</v>
      </c>
      <c r="AF718" s="1883">
        <v>6</v>
      </c>
      <c r="AG718" s="1871">
        <v>7</v>
      </c>
      <c r="AH718" s="1926"/>
      <c r="AI718" s="1913"/>
      <c r="AK718" s="1955">
        <f t="shared" si="109"/>
        <v>0.32</v>
      </c>
      <c r="AL718" s="1926">
        <f t="shared" si="110"/>
        <v>0.27</v>
      </c>
      <c r="AM718" s="1926">
        <f t="shared" si="108"/>
        <v>0.28000000000000003</v>
      </c>
      <c r="AN718" s="1956">
        <f t="shared" si="111"/>
        <v>0</v>
      </c>
      <c r="AO718" s="1893"/>
      <c r="AP718" s="1872"/>
      <c r="AQ718" s="1931"/>
      <c r="AR718" s="1915"/>
    </row>
    <row r="719" spans="1:44">
      <c r="A719" s="1927"/>
      <c r="B719" s="1908">
        <v>7</v>
      </c>
      <c r="C719" s="1909">
        <v>8</v>
      </c>
      <c r="D719" s="1928">
        <v>0.14000000000000001</v>
      </c>
      <c r="E719" s="1917">
        <v>0.35</v>
      </c>
      <c r="F719" s="1927"/>
      <c r="G719" s="1908">
        <v>7</v>
      </c>
      <c r="H719" s="1909">
        <v>8</v>
      </c>
      <c r="I719" s="1928">
        <v>0.23</v>
      </c>
      <c r="J719" s="1917">
        <v>0.53</v>
      </c>
      <c r="K719" s="1927"/>
      <c r="L719" s="1908">
        <v>7</v>
      </c>
      <c r="M719" s="1909">
        <v>8</v>
      </c>
      <c r="N719" s="1928">
        <v>0.34</v>
      </c>
      <c r="O719" s="1917">
        <v>0.67</v>
      </c>
      <c r="P719" s="1927"/>
      <c r="Q719" s="1908"/>
      <c r="R719" s="1909"/>
      <c r="S719" s="1928"/>
      <c r="T719" s="1917"/>
      <c r="U719" s="1927"/>
      <c r="V719" s="1908">
        <v>7</v>
      </c>
      <c r="W719" s="1909">
        <v>8</v>
      </c>
      <c r="X719" s="1928">
        <v>0.35</v>
      </c>
      <c r="Y719" s="1917">
        <v>0.5</v>
      </c>
      <c r="Z719" s="1927"/>
      <c r="AA719" s="1908">
        <v>7</v>
      </c>
      <c r="AB719" s="1909">
        <v>8</v>
      </c>
      <c r="AC719" s="1928">
        <v>0.33</v>
      </c>
      <c r="AD719" s="1917">
        <v>0.67</v>
      </c>
      <c r="AF719" s="1908">
        <v>7</v>
      </c>
      <c r="AG719" s="1909">
        <v>8</v>
      </c>
      <c r="AH719" s="1928"/>
      <c r="AI719" s="1917"/>
      <c r="AK719" s="1957">
        <f t="shared" si="109"/>
        <v>0.34</v>
      </c>
      <c r="AL719" s="1958">
        <f t="shared" si="110"/>
        <v>0.35</v>
      </c>
      <c r="AM719" s="1958">
        <f t="shared" si="108"/>
        <v>0.33</v>
      </c>
      <c r="AN719" s="1959">
        <f t="shared" si="111"/>
        <v>0</v>
      </c>
      <c r="AO719" s="1893"/>
      <c r="AP719" s="1872"/>
      <c r="AQ719" s="1931"/>
      <c r="AR719" s="1915"/>
    </row>
    <row r="720" spans="1:44">
      <c r="A720" s="1930"/>
      <c r="B720" s="1890">
        <v>8</v>
      </c>
      <c r="C720" s="1891">
        <v>9</v>
      </c>
      <c r="D720" s="1929">
        <v>0.13</v>
      </c>
      <c r="E720" s="1914">
        <v>0.33</v>
      </c>
      <c r="F720" s="1930"/>
      <c r="G720" s="1890">
        <v>8</v>
      </c>
      <c r="H720" s="1891">
        <v>9</v>
      </c>
      <c r="I720" s="1929">
        <v>0.14000000000000001</v>
      </c>
      <c r="J720" s="1914">
        <v>0.32</v>
      </c>
      <c r="K720" s="1930"/>
      <c r="L720" s="1890">
        <v>8</v>
      </c>
      <c r="M720" s="1891">
        <v>9</v>
      </c>
      <c r="N720" s="1929">
        <v>0.2</v>
      </c>
      <c r="O720" s="1914">
        <v>0.4</v>
      </c>
      <c r="P720" s="1930"/>
      <c r="Q720" s="1890"/>
      <c r="R720" s="1891"/>
      <c r="S720" s="1929"/>
      <c r="T720" s="1914"/>
      <c r="U720" s="1930"/>
      <c r="V720" s="1890">
        <v>8</v>
      </c>
      <c r="W720" s="1891">
        <v>9</v>
      </c>
      <c r="X720" s="1929">
        <v>0.32</v>
      </c>
      <c r="Y720" s="1914">
        <v>0.37</v>
      </c>
      <c r="Z720" s="1930"/>
      <c r="AA720" s="1890">
        <v>8</v>
      </c>
      <c r="AB720" s="1891">
        <v>9</v>
      </c>
      <c r="AC720" s="1929">
        <v>0.27</v>
      </c>
      <c r="AD720" s="1914">
        <v>0.54</v>
      </c>
      <c r="AF720" s="1890">
        <v>8</v>
      </c>
      <c r="AG720" s="1891">
        <v>9</v>
      </c>
      <c r="AH720" s="1929"/>
      <c r="AI720" s="1914"/>
      <c r="AK720" s="1952">
        <f t="shared" si="109"/>
        <v>0.2</v>
      </c>
      <c r="AL720" s="1953">
        <f t="shared" si="110"/>
        <v>0.32</v>
      </c>
      <c r="AM720" s="1953">
        <f t="shared" si="108"/>
        <v>0.27</v>
      </c>
      <c r="AN720" s="1954">
        <f t="shared" si="111"/>
        <v>0</v>
      </c>
      <c r="AO720" s="1893"/>
      <c r="AP720" s="1872"/>
      <c r="AQ720" s="1931"/>
      <c r="AR720" s="1915"/>
    </row>
    <row r="721" spans="1:44">
      <c r="A721" s="1930"/>
      <c r="B721" s="1893">
        <v>9</v>
      </c>
      <c r="C721" s="1872">
        <v>10</v>
      </c>
      <c r="D721" s="1931">
        <v>0.1</v>
      </c>
      <c r="E721" s="1915">
        <v>0.23</v>
      </c>
      <c r="F721" s="1930"/>
      <c r="G721" s="1893">
        <v>9</v>
      </c>
      <c r="H721" s="1872">
        <v>10</v>
      </c>
      <c r="I721" s="1931">
        <v>0.14000000000000001</v>
      </c>
      <c r="J721" s="1915">
        <v>0.28000000000000003</v>
      </c>
      <c r="K721" s="1930"/>
      <c r="L721" s="1893">
        <v>9</v>
      </c>
      <c r="M721" s="1872">
        <v>10</v>
      </c>
      <c r="N721" s="1931">
        <v>0.17</v>
      </c>
      <c r="O721" s="1915">
        <v>0.33</v>
      </c>
      <c r="P721" s="1930"/>
      <c r="Q721" s="1893"/>
      <c r="R721" s="1872"/>
      <c r="S721" s="1931"/>
      <c r="T721" s="1915"/>
      <c r="U721" s="1930"/>
      <c r="V721" s="1893">
        <v>9</v>
      </c>
      <c r="W721" s="1872">
        <v>10</v>
      </c>
      <c r="X721" s="1931">
        <v>0.46</v>
      </c>
      <c r="Y721" s="1915">
        <v>0.38</v>
      </c>
      <c r="Z721" s="1930"/>
      <c r="AA721" s="1893">
        <v>9</v>
      </c>
      <c r="AB721" s="1872">
        <v>10</v>
      </c>
      <c r="AC721" s="1931">
        <v>0.43</v>
      </c>
      <c r="AD721" s="1915">
        <v>0.81</v>
      </c>
      <c r="AF721" s="1893">
        <v>9</v>
      </c>
      <c r="AG721" s="1872">
        <v>10</v>
      </c>
      <c r="AH721" s="1931"/>
      <c r="AI721" s="1915"/>
      <c r="AK721" s="1955">
        <f t="shared" si="109"/>
        <v>0.17</v>
      </c>
      <c r="AL721" s="1926">
        <f t="shared" si="110"/>
        <v>0.46</v>
      </c>
      <c r="AM721" s="1926">
        <f t="shared" si="108"/>
        <v>0.43</v>
      </c>
      <c r="AN721" s="1956">
        <f t="shared" si="111"/>
        <v>0</v>
      </c>
      <c r="AO721" s="1893"/>
      <c r="AP721" s="1872"/>
      <c r="AQ721" s="1932"/>
      <c r="AR721" s="1916"/>
    </row>
    <row r="722" spans="1:44">
      <c r="A722" s="1930"/>
      <c r="B722" s="1893">
        <v>10</v>
      </c>
      <c r="C722" s="1872">
        <v>11</v>
      </c>
      <c r="D722" s="1931">
        <v>0.17</v>
      </c>
      <c r="E722" s="1915">
        <v>0.35</v>
      </c>
      <c r="F722" s="1930"/>
      <c r="G722" s="1893">
        <v>10</v>
      </c>
      <c r="H722" s="1872">
        <v>11</v>
      </c>
      <c r="I722" s="1931">
        <v>0.3</v>
      </c>
      <c r="J722" s="1915">
        <v>0.54</v>
      </c>
      <c r="K722" s="1930"/>
      <c r="L722" s="1893">
        <v>10</v>
      </c>
      <c r="M722" s="1872">
        <v>11</v>
      </c>
      <c r="N722" s="1931">
        <v>0.25</v>
      </c>
      <c r="O722" s="1915">
        <v>0.47</v>
      </c>
      <c r="P722" s="1930"/>
      <c r="Q722" s="1893"/>
      <c r="R722" s="1872"/>
      <c r="S722" s="1931"/>
      <c r="T722" s="1915"/>
      <c r="U722" s="1930"/>
      <c r="V722" s="1893">
        <v>10</v>
      </c>
      <c r="W722" s="1872">
        <v>11</v>
      </c>
      <c r="X722" s="1931">
        <v>0.49</v>
      </c>
      <c r="Y722" s="1915">
        <v>0.39</v>
      </c>
      <c r="Z722" s="1930"/>
      <c r="AA722" s="1893">
        <v>10</v>
      </c>
      <c r="AB722" s="1872">
        <v>11</v>
      </c>
      <c r="AC722" s="1931">
        <v>0.28000000000000003</v>
      </c>
      <c r="AD722" s="1915">
        <v>0.49</v>
      </c>
      <c r="AF722" s="1893">
        <v>10</v>
      </c>
      <c r="AG722" s="1872">
        <v>11</v>
      </c>
      <c r="AH722" s="1931"/>
      <c r="AI722" s="1915"/>
      <c r="AK722" s="1955">
        <f t="shared" si="109"/>
        <v>0.25</v>
      </c>
      <c r="AL722" s="1926">
        <f t="shared" si="110"/>
        <v>0.49</v>
      </c>
      <c r="AM722" s="1926">
        <f t="shared" si="108"/>
        <v>0.28000000000000003</v>
      </c>
      <c r="AN722" s="1956">
        <f t="shared" si="111"/>
        <v>0</v>
      </c>
      <c r="AO722" s="1894"/>
      <c r="AP722" s="1895"/>
      <c r="AQ722" s="1933"/>
      <c r="AR722" s="1911"/>
    </row>
    <row r="723" spans="1:44">
      <c r="A723" s="1930"/>
      <c r="B723" s="1893">
        <v>11</v>
      </c>
      <c r="C723" s="1872">
        <v>12</v>
      </c>
      <c r="D723" s="1931">
        <v>0.32</v>
      </c>
      <c r="E723" s="1915">
        <v>0.62</v>
      </c>
      <c r="F723" s="1930"/>
      <c r="G723" s="1893">
        <v>11</v>
      </c>
      <c r="H723" s="1872">
        <v>12</v>
      </c>
      <c r="I723" s="1931">
        <v>0.68</v>
      </c>
      <c r="J723" s="1915">
        <v>1.1599999999999999</v>
      </c>
      <c r="K723" s="1930"/>
      <c r="L723" s="1893">
        <v>11</v>
      </c>
      <c r="M723" s="1872">
        <v>12</v>
      </c>
      <c r="N723" s="1931">
        <v>0.31</v>
      </c>
      <c r="O723" s="1915">
        <v>0.56000000000000005</v>
      </c>
      <c r="P723" s="1930"/>
      <c r="Q723" s="1893"/>
      <c r="R723" s="1872"/>
      <c r="S723" s="1931"/>
      <c r="T723" s="1915"/>
      <c r="U723" s="1930"/>
      <c r="V723" s="1893">
        <v>11</v>
      </c>
      <c r="W723" s="1872">
        <v>12</v>
      </c>
      <c r="X723" s="1931">
        <v>0.47</v>
      </c>
      <c r="Y723" s="1915">
        <v>0.3</v>
      </c>
      <c r="Z723" s="1930"/>
      <c r="AA723" s="1893">
        <v>11</v>
      </c>
      <c r="AB723" s="1872">
        <v>12</v>
      </c>
      <c r="AC723" s="1931">
        <v>0.49</v>
      </c>
      <c r="AD723" s="1915">
        <v>0.85</v>
      </c>
      <c r="AF723" s="1893">
        <v>11</v>
      </c>
      <c r="AG723" s="1872">
        <v>12</v>
      </c>
      <c r="AH723" s="1931"/>
      <c r="AI723" s="1915"/>
      <c r="AK723" s="1955">
        <f t="shared" si="109"/>
        <v>0.31</v>
      </c>
      <c r="AL723" s="1926">
        <f t="shared" si="110"/>
        <v>0.47</v>
      </c>
      <c r="AM723" s="1926">
        <f t="shared" si="108"/>
        <v>0.49</v>
      </c>
      <c r="AN723" s="1956">
        <f t="shared" si="111"/>
        <v>0</v>
      </c>
      <c r="AO723" s="1910"/>
      <c r="AP723" s="1889"/>
      <c r="AQ723" s="1935"/>
      <c r="AR723" s="1912"/>
    </row>
    <row r="724" spans="1:44">
      <c r="A724" s="1930"/>
      <c r="B724" s="1893">
        <v>12</v>
      </c>
      <c r="C724" s="1872">
        <v>13</v>
      </c>
      <c r="D724" s="1931">
        <v>0.23</v>
      </c>
      <c r="E724" s="1915">
        <v>0.44</v>
      </c>
      <c r="F724" s="1930"/>
      <c r="G724" s="1893">
        <v>12</v>
      </c>
      <c r="H724" s="1872">
        <v>13</v>
      </c>
      <c r="I724" s="1931">
        <v>0.59</v>
      </c>
      <c r="J724" s="1915">
        <v>1</v>
      </c>
      <c r="K724" s="1930"/>
      <c r="L724" s="1893">
        <v>12</v>
      </c>
      <c r="M724" s="1872">
        <v>13</v>
      </c>
      <c r="N724" s="1931">
        <v>0.19</v>
      </c>
      <c r="O724" s="1915">
        <v>0.34</v>
      </c>
      <c r="P724" s="1930"/>
      <c r="Q724" s="1893"/>
      <c r="R724" s="1872"/>
      <c r="S724" s="1931"/>
      <c r="T724" s="1915"/>
      <c r="U724" s="1930"/>
      <c r="V724" s="1893">
        <v>12</v>
      </c>
      <c r="W724" s="1872">
        <v>13</v>
      </c>
      <c r="X724" s="1931">
        <v>0.35</v>
      </c>
      <c r="Y724" s="1915">
        <v>0.13</v>
      </c>
      <c r="Z724" s="1930"/>
      <c r="AA724" s="1893">
        <v>12</v>
      </c>
      <c r="AB724" s="1872">
        <v>13</v>
      </c>
      <c r="AC724" s="1931">
        <v>0.47</v>
      </c>
      <c r="AD724" s="1915">
        <v>0.83</v>
      </c>
      <c r="AF724" s="1893">
        <v>12</v>
      </c>
      <c r="AG724" s="1872">
        <v>13</v>
      </c>
      <c r="AH724" s="1931"/>
      <c r="AI724" s="1915"/>
      <c r="AK724" s="1955">
        <f t="shared" si="109"/>
        <v>0.19</v>
      </c>
      <c r="AL724" s="1926">
        <f t="shared" si="110"/>
        <v>0.35</v>
      </c>
      <c r="AM724" s="1926">
        <f t="shared" si="108"/>
        <v>0.47</v>
      </c>
      <c r="AN724" s="1956">
        <f t="shared" si="111"/>
        <v>0</v>
      </c>
      <c r="AO724" s="1902"/>
      <c r="AP724" s="1873"/>
      <c r="AQ724" s="1935"/>
      <c r="AR724" s="1912"/>
    </row>
    <row r="725" spans="1:44">
      <c r="A725" s="1930"/>
      <c r="B725" s="1893">
        <v>13</v>
      </c>
      <c r="C725" s="1872">
        <v>14</v>
      </c>
      <c r="D725" s="1931">
        <v>0.33</v>
      </c>
      <c r="E725" s="1915">
        <v>0.63</v>
      </c>
      <c r="F725" s="1930"/>
      <c r="G725" s="1893">
        <v>13</v>
      </c>
      <c r="H725" s="1872">
        <v>14</v>
      </c>
      <c r="I725" s="1931">
        <v>1.45</v>
      </c>
      <c r="J725" s="1915">
        <v>2.4300000000000002</v>
      </c>
      <c r="K725" s="1930"/>
      <c r="L725" s="1893">
        <v>13</v>
      </c>
      <c r="M725" s="1872">
        <v>14</v>
      </c>
      <c r="N725" s="1931">
        <v>0.11</v>
      </c>
      <c r="O725" s="1915">
        <v>0.19</v>
      </c>
      <c r="P725" s="1930"/>
      <c r="Q725" s="1893"/>
      <c r="R725" s="1872"/>
      <c r="S725" s="1931"/>
      <c r="T725" s="1915"/>
      <c r="U725" s="1930"/>
      <c r="V725" s="1893">
        <v>13</v>
      </c>
      <c r="W725" s="1872">
        <v>14</v>
      </c>
      <c r="X725" s="1931">
        <v>0.46</v>
      </c>
      <c r="Y725" s="1915">
        <v>-0.18</v>
      </c>
      <c r="Z725" s="1930"/>
      <c r="AA725" s="1893">
        <v>13</v>
      </c>
      <c r="AB725" s="1872">
        <v>14</v>
      </c>
      <c r="AC725" s="1931">
        <v>0.47</v>
      </c>
      <c r="AD725" s="1915">
        <v>0.81</v>
      </c>
      <c r="AF725" s="1893">
        <v>13</v>
      </c>
      <c r="AG725" s="1872">
        <v>14</v>
      </c>
      <c r="AH725" s="1931"/>
      <c r="AI725" s="1915"/>
      <c r="AK725" s="1955">
        <f t="shared" si="109"/>
        <v>0.11</v>
      </c>
      <c r="AL725" s="1926">
        <f t="shared" si="110"/>
        <v>0.46</v>
      </c>
      <c r="AM725" s="1926">
        <f t="shared" si="108"/>
        <v>0.47</v>
      </c>
      <c r="AN725" s="1956">
        <f t="shared" si="111"/>
        <v>0</v>
      </c>
      <c r="AO725" s="1902"/>
      <c r="AP725" s="1873"/>
      <c r="AQ725" s="1935"/>
      <c r="AR725" s="1912"/>
    </row>
    <row r="726" spans="1:44">
      <c r="A726" s="1930"/>
      <c r="B726" s="1893">
        <v>14</v>
      </c>
      <c r="C726" s="1872">
        <v>15</v>
      </c>
      <c r="D726" s="1931">
        <v>0.28999999999999998</v>
      </c>
      <c r="E726" s="1915">
        <v>0.55000000000000004</v>
      </c>
      <c r="F726" s="1930"/>
      <c r="G726" s="1893">
        <v>14</v>
      </c>
      <c r="H726" s="1872">
        <v>15</v>
      </c>
      <c r="I726" s="1931">
        <v>0.44</v>
      </c>
      <c r="J726" s="1915">
        <v>0.74</v>
      </c>
      <c r="K726" s="1930"/>
      <c r="L726" s="1893">
        <v>14</v>
      </c>
      <c r="M726" s="1872">
        <v>15</v>
      </c>
      <c r="N726" s="1931">
        <v>0.28000000000000003</v>
      </c>
      <c r="O726" s="1915">
        <v>0.47</v>
      </c>
      <c r="P726" s="1930"/>
      <c r="Q726" s="1893"/>
      <c r="R726" s="1872"/>
      <c r="S726" s="1931"/>
      <c r="T726" s="1915"/>
      <c r="U726" s="1930"/>
      <c r="V726" s="1893">
        <v>14</v>
      </c>
      <c r="W726" s="1872">
        <v>15</v>
      </c>
      <c r="X726" s="1931">
        <v>0.75</v>
      </c>
      <c r="Y726" s="1915">
        <v>-0.3</v>
      </c>
      <c r="Z726" s="1930"/>
      <c r="AA726" s="1893">
        <v>14</v>
      </c>
      <c r="AB726" s="1872">
        <v>15</v>
      </c>
      <c r="AC726" s="1931">
        <v>0.42</v>
      </c>
      <c r="AD726" s="1915">
        <v>0.72</v>
      </c>
      <c r="AF726" s="1893">
        <v>14</v>
      </c>
      <c r="AG726" s="1872">
        <v>15</v>
      </c>
      <c r="AH726" s="1931"/>
      <c r="AI726" s="1915"/>
      <c r="AK726" s="1955">
        <f t="shared" si="109"/>
        <v>0.28000000000000003</v>
      </c>
      <c r="AL726" s="1926">
        <f t="shared" si="110"/>
        <v>0.75</v>
      </c>
      <c r="AM726" s="1926">
        <f t="shared" si="108"/>
        <v>0.42</v>
      </c>
      <c r="AN726" s="1956">
        <f t="shared" si="111"/>
        <v>0</v>
      </c>
      <c r="AO726" s="1902"/>
      <c r="AP726" s="1873"/>
      <c r="AQ726" s="1935"/>
      <c r="AR726" s="1912"/>
    </row>
    <row r="727" spans="1:44">
      <c r="A727" s="1930"/>
      <c r="B727" s="1893">
        <v>15</v>
      </c>
      <c r="C727" s="1872">
        <v>16</v>
      </c>
      <c r="D727" s="1931">
        <v>0.28999999999999998</v>
      </c>
      <c r="E727" s="1915">
        <v>0.59</v>
      </c>
      <c r="F727" s="1930"/>
      <c r="G727" s="1893">
        <v>15</v>
      </c>
      <c r="H727" s="1872">
        <v>16</v>
      </c>
      <c r="I727" s="1931">
        <v>0.35</v>
      </c>
      <c r="J727" s="1915">
        <v>0.6</v>
      </c>
      <c r="K727" s="1930"/>
      <c r="L727" s="1893">
        <v>15</v>
      </c>
      <c r="M727" s="1872">
        <v>16</v>
      </c>
      <c r="N727" s="1931">
        <v>0.41</v>
      </c>
      <c r="O727" s="1915">
        <v>0.68</v>
      </c>
      <c r="P727" s="1930"/>
      <c r="Q727" s="1893"/>
      <c r="R727" s="1872"/>
      <c r="S727" s="1931"/>
      <c r="T727" s="1915"/>
      <c r="U727" s="1930"/>
      <c r="V727" s="1893">
        <v>15</v>
      </c>
      <c r="W727" s="1872">
        <v>16</v>
      </c>
      <c r="X727" s="1931">
        <v>0.52</v>
      </c>
      <c r="Y727" s="1915">
        <v>-0.05</v>
      </c>
      <c r="Z727" s="1930"/>
      <c r="AA727" s="1893">
        <v>15</v>
      </c>
      <c r="AB727" s="1872">
        <v>16</v>
      </c>
      <c r="AC727" s="1931">
        <v>0.38</v>
      </c>
      <c r="AD727" s="1915">
        <v>0.65</v>
      </c>
      <c r="AF727" s="1893">
        <v>15</v>
      </c>
      <c r="AG727" s="1872">
        <v>16</v>
      </c>
      <c r="AH727" s="1931"/>
      <c r="AI727" s="1915"/>
      <c r="AK727" s="1955">
        <f t="shared" si="109"/>
        <v>0.41</v>
      </c>
      <c r="AL727" s="1926">
        <f t="shared" si="110"/>
        <v>0.52</v>
      </c>
      <c r="AM727" s="1926">
        <f t="shared" si="108"/>
        <v>0.38</v>
      </c>
      <c r="AN727" s="1956">
        <f t="shared" si="111"/>
        <v>0</v>
      </c>
      <c r="AO727" s="1902"/>
      <c r="AP727" s="1873"/>
      <c r="AQ727" s="1935"/>
      <c r="AR727" s="1912"/>
    </row>
    <row r="728" spans="1:44">
      <c r="A728" s="1930"/>
      <c r="B728" s="1893">
        <v>16</v>
      </c>
      <c r="C728" s="1872">
        <v>17</v>
      </c>
      <c r="D728" s="1931">
        <v>0.28999999999999998</v>
      </c>
      <c r="E728" s="1915">
        <v>0.65</v>
      </c>
      <c r="F728" s="1930"/>
      <c r="G728" s="1893">
        <v>16</v>
      </c>
      <c r="H728" s="1872">
        <v>17</v>
      </c>
      <c r="I728" s="1931">
        <v>0.27</v>
      </c>
      <c r="J728" s="1915">
        <v>0.46</v>
      </c>
      <c r="K728" s="1930"/>
      <c r="L728" s="1893">
        <v>16</v>
      </c>
      <c r="M728" s="1872">
        <v>17</v>
      </c>
      <c r="N728" s="1931">
        <v>0.38</v>
      </c>
      <c r="O728" s="1915">
        <v>0.63</v>
      </c>
      <c r="P728" s="1930"/>
      <c r="Q728" s="1893"/>
      <c r="R728" s="1872"/>
      <c r="S728" s="1931"/>
      <c r="T728" s="1915"/>
      <c r="U728" s="1930"/>
      <c r="V728" s="1893">
        <v>16</v>
      </c>
      <c r="W728" s="1872">
        <v>17</v>
      </c>
      <c r="X728" s="1931">
        <v>0.63</v>
      </c>
      <c r="Y728" s="1915">
        <v>0.4</v>
      </c>
      <c r="Z728" s="1930"/>
      <c r="AA728" s="1893">
        <v>16</v>
      </c>
      <c r="AB728" s="1872">
        <v>17</v>
      </c>
      <c r="AC728" s="1931">
        <v>0.51</v>
      </c>
      <c r="AD728" s="1915">
        <v>0.88</v>
      </c>
      <c r="AF728" s="1893">
        <v>16</v>
      </c>
      <c r="AG728" s="1872">
        <v>17</v>
      </c>
      <c r="AH728" s="1931"/>
      <c r="AI728" s="1915"/>
      <c r="AK728" s="1955">
        <f t="shared" si="109"/>
        <v>0.38</v>
      </c>
      <c r="AL728" s="1926">
        <f t="shared" si="110"/>
        <v>0.63</v>
      </c>
      <c r="AM728" s="1926">
        <f t="shared" si="108"/>
        <v>0.51</v>
      </c>
      <c r="AN728" s="1956">
        <f t="shared" si="111"/>
        <v>0</v>
      </c>
      <c r="AO728" s="1902"/>
      <c r="AP728" s="1873"/>
      <c r="AQ728" s="1936"/>
      <c r="AR728" s="1937"/>
    </row>
    <row r="729" spans="1:44">
      <c r="A729" s="1930"/>
      <c r="B729" s="1894">
        <v>17</v>
      </c>
      <c r="C729" s="1895">
        <v>18</v>
      </c>
      <c r="D729" s="1932">
        <v>1.28</v>
      </c>
      <c r="E729" s="1916">
        <v>4.1100000000000003</v>
      </c>
      <c r="F729" s="1930"/>
      <c r="G729" s="1894">
        <v>17</v>
      </c>
      <c r="H729" s="1895">
        <v>18</v>
      </c>
      <c r="I729" s="1932">
        <v>0.68</v>
      </c>
      <c r="J729" s="1916">
        <v>1.78</v>
      </c>
      <c r="K729" s="1930"/>
      <c r="L729" s="1894">
        <v>17</v>
      </c>
      <c r="M729" s="1895">
        <v>18</v>
      </c>
      <c r="N729" s="1932">
        <v>0.36</v>
      </c>
      <c r="O729" s="1916">
        <v>0.63</v>
      </c>
      <c r="P729" s="1930"/>
      <c r="Q729" s="1894"/>
      <c r="R729" s="1895"/>
      <c r="S729" s="1932"/>
      <c r="T729" s="1916"/>
      <c r="U729" s="1930"/>
      <c r="V729" s="1894">
        <v>17</v>
      </c>
      <c r="W729" s="1895">
        <v>18</v>
      </c>
      <c r="X729" s="1932">
        <v>1.18</v>
      </c>
      <c r="Y729" s="1916">
        <v>0.96</v>
      </c>
      <c r="Z729" s="1930"/>
      <c r="AA729" s="1894">
        <v>17</v>
      </c>
      <c r="AB729" s="1895">
        <v>18</v>
      </c>
      <c r="AC729" s="1932">
        <v>0.41</v>
      </c>
      <c r="AD729" s="1916">
        <v>0.74</v>
      </c>
      <c r="AF729" s="1894">
        <v>17</v>
      </c>
      <c r="AG729" s="1895">
        <v>18</v>
      </c>
      <c r="AH729" s="1932"/>
      <c r="AI729" s="1916"/>
      <c r="AK729" s="1957">
        <f t="shared" si="109"/>
        <v>0.36</v>
      </c>
      <c r="AL729" s="1958">
        <f t="shared" si="110"/>
        <v>1.18</v>
      </c>
      <c r="AM729" s="1958">
        <f t="shared" si="108"/>
        <v>0.41</v>
      </c>
      <c r="AN729" s="1959">
        <f t="shared" si="111"/>
        <v>0</v>
      </c>
      <c r="AO729" s="2766"/>
      <c r="AP729" s="2766"/>
      <c r="AQ729" s="1926"/>
      <c r="AR729" s="1913"/>
    </row>
    <row r="730" spans="1:44">
      <c r="A730" s="1934"/>
      <c r="B730" s="1910">
        <v>18</v>
      </c>
      <c r="C730" s="1889">
        <v>19</v>
      </c>
      <c r="D730" s="1933">
        <v>0.84</v>
      </c>
      <c r="E730" s="1911">
        <v>2.86</v>
      </c>
      <c r="F730" s="1934"/>
      <c r="G730" s="1910">
        <v>18</v>
      </c>
      <c r="H730" s="1889">
        <v>19</v>
      </c>
      <c r="I730" s="1933">
        <v>0.35</v>
      </c>
      <c r="J730" s="1911">
        <v>1.01</v>
      </c>
      <c r="K730" s="1934"/>
      <c r="L730" s="1910">
        <v>18</v>
      </c>
      <c r="M730" s="1889">
        <v>19</v>
      </c>
      <c r="N730" s="1933">
        <v>0.28000000000000003</v>
      </c>
      <c r="O730" s="1911">
        <v>0.53</v>
      </c>
      <c r="P730" s="1934"/>
      <c r="Q730" s="1910"/>
      <c r="R730" s="1889"/>
      <c r="S730" s="1933"/>
      <c r="T730" s="1911"/>
      <c r="U730" s="1934"/>
      <c r="V730" s="1910">
        <v>18</v>
      </c>
      <c r="W730" s="1889">
        <v>19</v>
      </c>
      <c r="X730" s="1933">
        <v>1.38</v>
      </c>
      <c r="Y730" s="1911">
        <v>1.77</v>
      </c>
      <c r="Z730" s="1934"/>
      <c r="AA730" s="1910">
        <v>18</v>
      </c>
      <c r="AB730" s="1889">
        <v>19</v>
      </c>
      <c r="AC730" s="1933">
        <v>0.52</v>
      </c>
      <c r="AD730" s="1911">
        <v>1.05</v>
      </c>
      <c r="AF730" s="1910">
        <v>18</v>
      </c>
      <c r="AG730" s="1889">
        <v>19</v>
      </c>
      <c r="AH730" s="1933"/>
      <c r="AI730" s="1911"/>
      <c r="AK730" s="1952">
        <f t="shared" si="109"/>
        <v>0.28000000000000003</v>
      </c>
      <c r="AL730" s="1953">
        <f t="shared" si="110"/>
        <v>1.38</v>
      </c>
      <c r="AM730" s="1953">
        <f t="shared" si="108"/>
        <v>0.52</v>
      </c>
      <c r="AN730" s="1954">
        <f t="shared" si="111"/>
        <v>0</v>
      </c>
      <c r="AO730" s="1883"/>
      <c r="AP730" s="1871"/>
      <c r="AQ730" s="1926"/>
      <c r="AR730" s="1913"/>
    </row>
    <row r="731" spans="1:44">
      <c r="A731" s="1934"/>
      <c r="B731" s="1902">
        <v>19</v>
      </c>
      <c r="C731" s="1873">
        <v>20</v>
      </c>
      <c r="D731" s="1935">
        <v>0.35</v>
      </c>
      <c r="E731" s="1912">
        <v>1.19</v>
      </c>
      <c r="F731" s="1934"/>
      <c r="G731" s="1902">
        <v>19</v>
      </c>
      <c r="H731" s="1873">
        <v>20</v>
      </c>
      <c r="I731" s="1935">
        <v>0.31</v>
      </c>
      <c r="J731" s="1912">
        <v>0.96</v>
      </c>
      <c r="K731" s="1934"/>
      <c r="L731" s="1902">
        <v>19</v>
      </c>
      <c r="M731" s="1873">
        <v>20</v>
      </c>
      <c r="N731" s="1935">
        <v>0.39</v>
      </c>
      <c r="O731" s="1912">
        <v>0.76</v>
      </c>
      <c r="P731" s="1934"/>
      <c r="Q731" s="1902"/>
      <c r="R731" s="1873"/>
      <c r="S731" s="1935"/>
      <c r="T731" s="1912"/>
      <c r="U731" s="1934"/>
      <c r="V731" s="1902">
        <v>19</v>
      </c>
      <c r="W731" s="1873">
        <v>20</v>
      </c>
      <c r="X731" s="1935">
        <v>0.6</v>
      </c>
      <c r="Y731" s="1912">
        <v>0.84</v>
      </c>
      <c r="Z731" s="1934"/>
      <c r="AA731" s="1902">
        <v>19</v>
      </c>
      <c r="AB731" s="1873">
        <v>20</v>
      </c>
      <c r="AC731" s="1935">
        <v>0.44</v>
      </c>
      <c r="AD731" s="1912">
        <v>0.99</v>
      </c>
      <c r="AF731" s="1902">
        <v>19</v>
      </c>
      <c r="AG731" s="1873">
        <v>20</v>
      </c>
      <c r="AH731" s="1935"/>
      <c r="AI731" s="1912"/>
      <c r="AK731" s="1955">
        <f t="shared" si="109"/>
        <v>0.39</v>
      </c>
      <c r="AL731" s="1926">
        <f t="shared" si="110"/>
        <v>0.6</v>
      </c>
      <c r="AM731" s="1926">
        <f t="shared" si="108"/>
        <v>0.44</v>
      </c>
      <c r="AN731" s="1956">
        <f t="shared" si="111"/>
        <v>0</v>
      </c>
      <c r="AO731" s="1883"/>
      <c r="AP731" s="1871"/>
      <c r="AQ731" s="1926"/>
      <c r="AR731" s="1913"/>
    </row>
    <row r="732" spans="1:44">
      <c r="A732" s="1934"/>
      <c r="B732" s="1902">
        <v>20</v>
      </c>
      <c r="C732" s="1873">
        <v>21</v>
      </c>
      <c r="D732" s="1935">
        <v>0.39</v>
      </c>
      <c r="E732" s="1912">
        <v>0.96</v>
      </c>
      <c r="F732" s="1934"/>
      <c r="G732" s="1902">
        <v>20</v>
      </c>
      <c r="H732" s="1873">
        <v>21</v>
      </c>
      <c r="I732" s="1935">
        <v>0.4</v>
      </c>
      <c r="J732" s="1912">
        <v>0.93</v>
      </c>
      <c r="K732" s="1934"/>
      <c r="L732" s="1902">
        <v>20</v>
      </c>
      <c r="M732" s="1873">
        <v>21</v>
      </c>
      <c r="N732" s="1935">
        <v>0.27</v>
      </c>
      <c r="O732" s="1912">
        <v>0.54</v>
      </c>
      <c r="P732" s="1934"/>
      <c r="Q732" s="1902"/>
      <c r="R732" s="1873"/>
      <c r="S732" s="1935"/>
      <c r="T732" s="1912"/>
      <c r="U732" s="1934"/>
      <c r="V732" s="1902">
        <v>20</v>
      </c>
      <c r="W732" s="1873">
        <v>21</v>
      </c>
      <c r="X732" s="1935">
        <v>0.51</v>
      </c>
      <c r="Y732" s="1912">
        <v>0.8</v>
      </c>
      <c r="Z732" s="1934"/>
      <c r="AA732" s="1902">
        <v>20</v>
      </c>
      <c r="AB732" s="1873">
        <v>21</v>
      </c>
      <c r="AC732" s="1935">
        <v>0.45</v>
      </c>
      <c r="AD732" s="1912">
        <v>1.02</v>
      </c>
      <c r="AF732" s="1902">
        <v>20</v>
      </c>
      <c r="AG732" s="1873">
        <v>21</v>
      </c>
      <c r="AH732" s="1935"/>
      <c r="AI732" s="1912"/>
      <c r="AK732" s="1955">
        <f t="shared" si="109"/>
        <v>0.27</v>
      </c>
      <c r="AL732" s="1926">
        <f t="shared" si="110"/>
        <v>0.51</v>
      </c>
      <c r="AM732" s="1926">
        <f t="shared" si="108"/>
        <v>0.45</v>
      </c>
      <c r="AN732" s="1956">
        <f t="shared" si="111"/>
        <v>0</v>
      </c>
      <c r="AO732" s="1883"/>
      <c r="AP732" s="1871"/>
      <c r="AQ732" s="1926"/>
      <c r="AR732" s="1913"/>
    </row>
    <row r="733" spans="1:44">
      <c r="A733" s="1934"/>
      <c r="B733" s="1902">
        <v>21</v>
      </c>
      <c r="C733" s="1873">
        <v>22</v>
      </c>
      <c r="D733" s="1935">
        <v>0.2</v>
      </c>
      <c r="E733" s="1912">
        <v>0.46</v>
      </c>
      <c r="F733" s="1934"/>
      <c r="G733" s="1902">
        <v>21</v>
      </c>
      <c r="H733" s="1873">
        <v>22</v>
      </c>
      <c r="I733" s="1935">
        <v>0.25</v>
      </c>
      <c r="J733" s="1912">
        <v>0.51</v>
      </c>
      <c r="K733" s="1934"/>
      <c r="L733" s="1902">
        <v>21</v>
      </c>
      <c r="M733" s="1873">
        <v>22</v>
      </c>
      <c r="N733" s="1935">
        <v>0.37</v>
      </c>
      <c r="O733" s="1912">
        <v>0.73</v>
      </c>
      <c r="P733" s="1934"/>
      <c r="Q733" s="1902"/>
      <c r="R733" s="1873"/>
      <c r="S733" s="1935"/>
      <c r="T733" s="1912"/>
      <c r="U733" s="1934"/>
      <c r="V733" s="1902">
        <v>21</v>
      </c>
      <c r="W733" s="1873">
        <v>22</v>
      </c>
      <c r="X733" s="1935">
        <v>0.42</v>
      </c>
      <c r="Y733" s="1912">
        <v>0.65</v>
      </c>
      <c r="Z733" s="1934"/>
      <c r="AA733" s="1902">
        <v>21</v>
      </c>
      <c r="AB733" s="1873">
        <v>22</v>
      </c>
      <c r="AC733" s="1935">
        <v>0.3</v>
      </c>
      <c r="AD733" s="1912">
        <v>0.69</v>
      </c>
      <c r="AF733" s="1902">
        <v>21</v>
      </c>
      <c r="AG733" s="1873">
        <v>22</v>
      </c>
      <c r="AH733" s="1935"/>
      <c r="AI733" s="1912"/>
      <c r="AK733" s="1955">
        <f t="shared" si="109"/>
        <v>0.37</v>
      </c>
      <c r="AL733" s="1926">
        <f t="shared" si="110"/>
        <v>0.42</v>
      </c>
      <c r="AM733" s="1926">
        <f t="shared" si="108"/>
        <v>0.3</v>
      </c>
      <c r="AN733" s="1956">
        <f t="shared" si="111"/>
        <v>0</v>
      </c>
      <c r="AO733" s="1883"/>
      <c r="AP733" s="1871"/>
      <c r="AQ733" s="1926"/>
      <c r="AR733" s="1913"/>
    </row>
    <row r="734" spans="1:44">
      <c r="A734" s="1934"/>
      <c r="B734" s="1902">
        <v>22</v>
      </c>
      <c r="C734" s="1873">
        <v>23</v>
      </c>
      <c r="D734" s="1935">
        <v>7.0000000000000007E-2</v>
      </c>
      <c r="E734" s="1912">
        <v>0.16</v>
      </c>
      <c r="F734" s="1934"/>
      <c r="G734" s="1902">
        <v>22</v>
      </c>
      <c r="H734" s="1873">
        <v>23</v>
      </c>
      <c r="I734" s="1935">
        <v>0.17</v>
      </c>
      <c r="J734" s="1912">
        <v>0.34</v>
      </c>
      <c r="K734" s="1934"/>
      <c r="L734" s="1902">
        <v>22</v>
      </c>
      <c r="M734" s="1873">
        <v>23</v>
      </c>
      <c r="N734" s="1935">
        <v>0.17</v>
      </c>
      <c r="O734" s="1912">
        <v>0.32</v>
      </c>
      <c r="P734" s="1934"/>
      <c r="Q734" s="1902"/>
      <c r="R734" s="1873"/>
      <c r="S734" s="1935"/>
      <c r="T734" s="1912"/>
      <c r="U734" s="1934"/>
      <c r="V734" s="1902">
        <v>22</v>
      </c>
      <c r="W734" s="1873">
        <v>23</v>
      </c>
      <c r="X734" s="1935">
        <v>0.4</v>
      </c>
      <c r="Y734" s="1912">
        <v>0.6</v>
      </c>
      <c r="Z734" s="1934"/>
      <c r="AA734" s="1902">
        <v>22</v>
      </c>
      <c r="AB734" s="1873">
        <v>23</v>
      </c>
      <c r="AC734" s="1935">
        <v>0.21</v>
      </c>
      <c r="AD734" s="1912">
        <v>0.44</v>
      </c>
      <c r="AF734" s="1902">
        <v>22</v>
      </c>
      <c r="AG734" s="1873">
        <v>23</v>
      </c>
      <c r="AH734" s="1935"/>
      <c r="AI734" s="1912"/>
      <c r="AK734" s="1955">
        <f t="shared" si="109"/>
        <v>0.17</v>
      </c>
      <c r="AL734" s="1926">
        <f t="shared" si="110"/>
        <v>0.4</v>
      </c>
      <c r="AM734" s="1926">
        <f t="shared" si="108"/>
        <v>0.21</v>
      </c>
      <c r="AN734" s="1956">
        <f t="shared" si="111"/>
        <v>0</v>
      </c>
      <c r="AO734" s="1883"/>
      <c r="AP734" s="1871"/>
      <c r="AQ734" s="1926"/>
      <c r="AR734" s="1913"/>
    </row>
    <row r="735" spans="1:44" ht="15" thickBot="1">
      <c r="A735" s="1934"/>
      <c r="B735" s="1902">
        <v>23</v>
      </c>
      <c r="C735" s="1873">
        <v>24</v>
      </c>
      <c r="D735" s="1935">
        <v>0.14000000000000001</v>
      </c>
      <c r="E735" s="1912">
        <v>0.3</v>
      </c>
      <c r="F735" s="1934"/>
      <c r="G735" s="1902">
        <v>23</v>
      </c>
      <c r="H735" s="1873">
        <v>24</v>
      </c>
      <c r="I735" s="1935">
        <v>0.12</v>
      </c>
      <c r="J735" s="1912">
        <v>0.22</v>
      </c>
      <c r="K735" s="1934"/>
      <c r="L735" s="1902">
        <v>23</v>
      </c>
      <c r="M735" s="1873">
        <v>24</v>
      </c>
      <c r="N735" s="1935">
        <v>0.06</v>
      </c>
      <c r="O735" s="1912">
        <v>0.11</v>
      </c>
      <c r="P735" s="1934"/>
      <c r="Q735" s="1902"/>
      <c r="R735" s="1873"/>
      <c r="S735" s="1935"/>
      <c r="T735" s="1912"/>
      <c r="U735" s="1934"/>
      <c r="V735" s="1902">
        <v>23</v>
      </c>
      <c r="W735" s="1873">
        <v>24</v>
      </c>
      <c r="X735" s="1935">
        <v>0.35</v>
      </c>
      <c r="Y735" s="1912">
        <v>0.51</v>
      </c>
      <c r="Z735" s="1934"/>
      <c r="AA735" s="1902">
        <v>23</v>
      </c>
      <c r="AB735" s="1873">
        <v>24</v>
      </c>
      <c r="AC735" s="1935">
        <v>0.15</v>
      </c>
      <c r="AD735" s="1912">
        <v>0.28999999999999998</v>
      </c>
      <c r="AF735" s="1902">
        <v>23</v>
      </c>
      <c r="AG735" s="1873">
        <v>24</v>
      </c>
      <c r="AH735" s="1935"/>
      <c r="AI735" s="1912"/>
      <c r="AK735" s="1957">
        <f t="shared" si="109"/>
        <v>0.06</v>
      </c>
      <c r="AL735" s="1958">
        <f t="shared" si="110"/>
        <v>0.35</v>
      </c>
      <c r="AM735" s="1958">
        <f t="shared" si="108"/>
        <v>0.15</v>
      </c>
      <c r="AN735" s="1959">
        <f t="shared" si="111"/>
        <v>0</v>
      </c>
      <c r="AO735" s="1883"/>
      <c r="AP735" s="1871"/>
      <c r="AQ735" s="1926"/>
      <c r="AR735" s="1913"/>
    </row>
    <row r="736" spans="1:44">
      <c r="B736" s="2766"/>
      <c r="C736" s="2766"/>
      <c r="D736" s="1922">
        <f>SUM(D737:D760)</f>
        <v>0</v>
      </c>
      <c r="E736" s="1923">
        <f>SUM(E737:E760)</f>
        <v>0</v>
      </c>
      <c r="G736" s="2773">
        <v>45014</v>
      </c>
      <c r="H736" s="2773"/>
      <c r="I736" s="1922">
        <f>SUM(I737:I760)</f>
        <v>6.0200000000000005</v>
      </c>
      <c r="J736" s="1923">
        <f>SUM(J737:J760)</f>
        <v>12.910000000000002</v>
      </c>
      <c r="L736" s="2773">
        <v>45045</v>
      </c>
      <c r="M736" s="2773"/>
      <c r="N736" s="1936">
        <f>SUM(N737:N760)</f>
        <v>5.25</v>
      </c>
      <c r="O736" s="1937">
        <f>SUM(O737:O760)</f>
        <v>8.98</v>
      </c>
      <c r="Q736" s="2766">
        <v>45075</v>
      </c>
      <c r="R736" s="2766"/>
      <c r="S736" s="1936"/>
      <c r="T736" s="1937"/>
      <c r="V736" s="2766">
        <v>45075</v>
      </c>
      <c r="W736" s="2766"/>
      <c r="X736" s="1936">
        <f>SUM(X737:X760)</f>
        <v>11.180000000000003</v>
      </c>
      <c r="Y736" s="1937">
        <f>SUM(Y737:Y760)</f>
        <v>10.030000000000001</v>
      </c>
      <c r="AA736" s="2766">
        <v>45106</v>
      </c>
      <c r="AB736" s="2766"/>
      <c r="AC736" s="1936">
        <f>SUM(AC737:AC760)</f>
        <v>9.6</v>
      </c>
      <c r="AD736" s="1937">
        <f>SUM(AD737:AD760)</f>
        <v>18.439999999999998</v>
      </c>
      <c r="AF736" s="2766">
        <v>45136</v>
      </c>
      <c r="AG736" s="2766"/>
      <c r="AH736" s="1936">
        <f>SUM(AH737:AH760)</f>
        <v>0</v>
      </c>
      <c r="AI736" s="1937">
        <f>SUM(AI737:AI760)</f>
        <v>0</v>
      </c>
      <c r="AO736" s="1883"/>
      <c r="AP736" s="1871"/>
      <c r="AQ736" s="1928"/>
      <c r="AR736" s="1917"/>
    </row>
    <row r="737" spans="1:44">
      <c r="A737" s="1927"/>
      <c r="B737" s="1883"/>
      <c r="C737" s="1871"/>
      <c r="D737" s="1926"/>
      <c r="E737" s="1913"/>
      <c r="F737" s="1927"/>
      <c r="G737" s="1883">
        <v>0</v>
      </c>
      <c r="H737" s="1871">
        <v>1</v>
      </c>
      <c r="I737" s="1926">
        <v>0.11</v>
      </c>
      <c r="J737" s="1913">
        <v>0.19</v>
      </c>
      <c r="K737" s="1927"/>
      <c r="L737" s="1883">
        <v>0</v>
      </c>
      <c r="M737" s="1871">
        <v>1</v>
      </c>
      <c r="N737" s="1926">
        <v>0.15</v>
      </c>
      <c r="O737" s="1913">
        <v>0.28000000000000003</v>
      </c>
      <c r="P737" s="1927"/>
      <c r="Q737" s="1883"/>
      <c r="R737" s="1871"/>
      <c r="S737" s="1926"/>
      <c r="T737" s="1913"/>
      <c r="U737" s="1927"/>
      <c r="V737" s="1883">
        <v>0</v>
      </c>
      <c r="W737" s="1871">
        <v>1</v>
      </c>
      <c r="X737" s="1926">
        <v>0.28000000000000003</v>
      </c>
      <c r="Y737" s="1913">
        <v>0.38</v>
      </c>
      <c r="Z737" s="1927"/>
      <c r="AA737" s="1883">
        <v>0</v>
      </c>
      <c r="AB737" s="1871">
        <v>1</v>
      </c>
      <c r="AC737" s="1926">
        <v>0.22</v>
      </c>
      <c r="AD737" s="1913">
        <v>0.42</v>
      </c>
      <c r="AF737" s="1883">
        <v>0</v>
      </c>
      <c r="AG737" s="1871">
        <v>1</v>
      </c>
      <c r="AH737" s="1926"/>
      <c r="AI737" s="1913"/>
      <c r="AK737" s="1952">
        <f>N737</f>
        <v>0.15</v>
      </c>
      <c r="AL737" s="1953">
        <f>X737</f>
        <v>0.28000000000000003</v>
      </c>
      <c r="AM737" s="1953">
        <f t="shared" ref="AM737:AM760" si="112">AC737</f>
        <v>0.22</v>
      </c>
      <c r="AN737" s="1954">
        <f>AH737</f>
        <v>0</v>
      </c>
      <c r="AO737" s="1908"/>
      <c r="AP737" s="1909"/>
      <c r="AQ737" s="1929"/>
      <c r="AR737" s="1914"/>
    </row>
    <row r="738" spans="1:44">
      <c r="A738" s="1927"/>
      <c r="B738" s="1883"/>
      <c r="C738" s="1871"/>
      <c r="D738" s="1926"/>
      <c r="E738" s="1913"/>
      <c r="F738" s="1927"/>
      <c r="G738" s="1883">
        <v>1</v>
      </c>
      <c r="H738" s="1871">
        <v>2</v>
      </c>
      <c r="I738" s="1926">
        <v>0.12</v>
      </c>
      <c r="J738" s="1913">
        <v>0.2</v>
      </c>
      <c r="K738" s="1927"/>
      <c r="L738" s="1883">
        <v>1</v>
      </c>
      <c r="M738" s="1871">
        <v>2</v>
      </c>
      <c r="N738" s="1926">
        <v>0.14000000000000001</v>
      </c>
      <c r="O738" s="1913">
        <v>0.26</v>
      </c>
      <c r="P738" s="1927"/>
      <c r="Q738" s="1883"/>
      <c r="R738" s="1871"/>
      <c r="S738" s="1926"/>
      <c r="T738" s="1913"/>
      <c r="U738" s="1927"/>
      <c r="V738" s="1883">
        <v>1</v>
      </c>
      <c r="W738" s="1871">
        <v>2</v>
      </c>
      <c r="X738" s="1926">
        <v>0.32</v>
      </c>
      <c r="Y738" s="1913">
        <v>0.42</v>
      </c>
      <c r="Z738" s="1927"/>
      <c r="AA738" s="1883">
        <v>1</v>
      </c>
      <c r="AB738" s="1871">
        <v>2</v>
      </c>
      <c r="AC738" s="1926">
        <v>0.14000000000000001</v>
      </c>
      <c r="AD738" s="1913">
        <v>0.26</v>
      </c>
      <c r="AF738" s="1883">
        <v>1</v>
      </c>
      <c r="AG738" s="1871">
        <v>2</v>
      </c>
      <c r="AH738" s="1926"/>
      <c r="AI738" s="1913"/>
      <c r="AK738" s="1955">
        <f t="shared" ref="AK738:AK760" si="113">N738</f>
        <v>0.14000000000000001</v>
      </c>
      <c r="AL738" s="1926">
        <f t="shared" ref="AL738:AL760" si="114">X738</f>
        <v>0.32</v>
      </c>
      <c r="AM738" s="1926">
        <f t="shared" si="112"/>
        <v>0.14000000000000001</v>
      </c>
      <c r="AN738" s="1956">
        <f t="shared" ref="AN738:AN760" si="115">AH738</f>
        <v>0</v>
      </c>
      <c r="AO738" s="1890"/>
      <c r="AP738" s="1891"/>
      <c r="AQ738" s="1931"/>
      <c r="AR738" s="1915"/>
    </row>
    <row r="739" spans="1:44">
      <c r="A739" s="1927"/>
      <c r="B739" s="1883"/>
      <c r="C739" s="1871"/>
      <c r="D739" s="1926"/>
      <c r="E739" s="1913"/>
      <c r="F739" s="1927"/>
      <c r="G739" s="1883">
        <v>2</v>
      </c>
      <c r="H739" s="1871">
        <v>3</v>
      </c>
      <c r="I739" s="1926">
        <v>0.11</v>
      </c>
      <c r="J739" s="1913">
        <v>0.19</v>
      </c>
      <c r="K739" s="1927"/>
      <c r="L739" s="1883">
        <v>2</v>
      </c>
      <c r="M739" s="1871">
        <v>3</v>
      </c>
      <c r="N739" s="1926">
        <v>0.11</v>
      </c>
      <c r="O739" s="1913">
        <v>0.2</v>
      </c>
      <c r="P739" s="1927"/>
      <c r="Q739" s="1883"/>
      <c r="R739" s="1871"/>
      <c r="S739" s="1926"/>
      <c r="T739" s="1913"/>
      <c r="U739" s="1927"/>
      <c r="V739" s="1883">
        <v>2</v>
      </c>
      <c r="W739" s="1871">
        <v>3</v>
      </c>
      <c r="X739" s="1926">
        <v>0.24</v>
      </c>
      <c r="Y739" s="1913">
        <v>0.31</v>
      </c>
      <c r="Z739" s="1927"/>
      <c r="AA739" s="1883">
        <v>2</v>
      </c>
      <c r="AB739" s="1871">
        <v>3</v>
      </c>
      <c r="AC739" s="1926">
        <v>0.18</v>
      </c>
      <c r="AD739" s="1913">
        <v>0.32</v>
      </c>
      <c r="AF739" s="1883">
        <v>2</v>
      </c>
      <c r="AG739" s="1871">
        <v>3</v>
      </c>
      <c r="AH739" s="1926"/>
      <c r="AI739" s="1913"/>
      <c r="AK739" s="1955">
        <f t="shared" si="113"/>
        <v>0.11</v>
      </c>
      <c r="AL739" s="1926">
        <f t="shared" si="114"/>
        <v>0.24</v>
      </c>
      <c r="AM739" s="1926">
        <f t="shared" si="112"/>
        <v>0.18</v>
      </c>
      <c r="AN739" s="1956">
        <f t="shared" si="115"/>
        <v>0</v>
      </c>
      <c r="AO739" s="1893"/>
      <c r="AP739" s="1872"/>
      <c r="AQ739" s="1931"/>
      <c r="AR739" s="1915"/>
    </row>
    <row r="740" spans="1:44">
      <c r="A740" s="1927"/>
      <c r="B740" s="1883"/>
      <c r="C740" s="1871"/>
      <c r="D740" s="1926"/>
      <c r="E740" s="1913"/>
      <c r="F740" s="1927"/>
      <c r="G740" s="1883">
        <v>3</v>
      </c>
      <c r="H740" s="1871">
        <v>4</v>
      </c>
      <c r="I740" s="1926">
        <v>0.06</v>
      </c>
      <c r="J740" s="1913">
        <v>0.1</v>
      </c>
      <c r="K740" s="1927"/>
      <c r="L740" s="1883">
        <v>3</v>
      </c>
      <c r="M740" s="1871">
        <v>4</v>
      </c>
      <c r="N740" s="1926">
        <v>0.09</v>
      </c>
      <c r="O740" s="1913">
        <v>0.16</v>
      </c>
      <c r="P740" s="1927"/>
      <c r="Q740" s="1883"/>
      <c r="R740" s="1871"/>
      <c r="S740" s="1926"/>
      <c r="T740" s="1913"/>
      <c r="U740" s="1927"/>
      <c r="V740" s="1883">
        <v>3</v>
      </c>
      <c r="W740" s="1871">
        <v>4</v>
      </c>
      <c r="X740" s="1926">
        <v>0.27</v>
      </c>
      <c r="Y740" s="1913">
        <v>0.34</v>
      </c>
      <c r="Z740" s="1927"/>
      <c r="AA740" s="1883">
        <v>3</v>
      </c>
      <c r="AB740" s="1871">
        <v>4</v>
      </c>
      <c r="AC740" s="1926">
        <v>0.13</v>
      </c>
      <c r="AD740" s="1913">
        <v>0.22</v>
      </c>
      <c r="AF740" s="1883">
        <v>3</v>
      </c>
      <c r="AG740" s="1871">
        <v>4</v>
      </c>
      <c r="AH740" s="1926"/>
      <c r="AI740" s="1913"/>
      <c r="AK740" s="1955">
        <f t="shared" si="113"/>
        <v>0.09</v>
      </c>
      <c r="AL740" s="1926">
        <f t="shared" si="114"/>
        <v>0.27</v>
      </c>
      <c r="AM740" s="1926">
        <f t="shared" si="112"/>
        <v>0.13</v>
      </c>
      <c r="AN740" s="1956">
        <f t="shared" si="115"/>
        <v>0</v>
      </c>
      <c r="AO740" s="1893"/>
      <c r="AP740" s="1872"/>
      <c r="AQ740" s="1931"/>
      <c r="AR740" s="1915"/>
    </row>
    <row r="741" spans="1:44">
      <c r="A741" s="1927"/>
      <c r="B741" s="1883"/>
      <c r="C741" s="1871"/>
      <c r="D741" s="1926"/>
      <c r="E741" s="1913"/>
      <c r="F741" s="1927"/>
      <c r="G741" s="1883">
        <v>4</v>
      </c>
      <c r="H741" s="1871">
        <v>5</v>
      </c>
      <c r="I741" s="1926">
        <v>0.11</v>
      </c>
      <c r="J741" s="1913">
        <v>0.19</v>
      </c>
      <c r="K741" s="1927"/>
      <c r="L741" s="1883">
        <v>4</v>
      </c>
      <c r="M741" s="1871">
        <v>5</v>
      </c>
      <c r="N741" s="1926">
        <v>0.1</v>
      </c>
      <c r="O741" s="1913">
        <v>0.18</v>
      </c>
      <c r="P741" s="1927"/>
      <c r="Q741" s="1883"/>
      <c r="R741" s="1871"/>
      <c r="S741" s="1926"/>
      <c r="T741" s="1913"/>
      <c r="U741" s="1927"/>
      <c r="V741" s="1883">
        <v>4</v>
      </c>
      <c r="W741" s="1871">
        <v>5</v>
      </c>
      <c r="X741" s="1926">
        <v>0.34</v>
      </c>
      <c r="Y741" s="1913">
        <v>0.45</v>
      </c>
      <c r="Z741" s="1927"/>
      <c r="AA741" s="1883">
        <v>4</v>
      </c>
      <c r="AB741" s="1871">
        <v>5</v>
      </c>
      <c r="AC741" s="1926">
        <v>0.22</v>
      </c>
      <c r="AD741" s="1913">
        <v>0.38</v>
      </c>
      <c r="AF741" s="1883">
        <v>4</v>
      </c>
      <c r="AG741" s="1871">
        <v>5</v>
      </c>
      <c r="AH741" s="1926"/>
      <c r="AI741" s="1913"/>
      <c r="AK741" s="1955">
        <f t="shared" si="113"/>
        <v>0.1</v>
      </c>
      <c r="AL741" s="1926">
        <f t="shared" si="114"/>
        <v>0.34</v>
      </c>
      <c r="AM741" s="1926">
        <f t="shared" si="112"/>
        <v>0.22</v>
      </c>
      <c r="AN741" s="1956">
        <f t="shared" si="115"/>
        <v>0</v>
      </c>
      <c r="AO741" s="1893"/>
      <c r="AP741" s="1872"/>
      <c r="AQ741" s="1931"/>
      <c r="AR741" s="1915"/>
    </row>
    <row r="742" spans="1:44">
      <c r="A742" s="1927"/>
      <c r="B742" s="1883"/>
      <c r="C742" s="1871"/>
      <c r="D742" s="1926"/>
      <c r="E742" s="1913"/>
      <c r="F742" s="1927"/>
      <c r="G742" s="1883">
        <v>5</v>
      </c>
      <c r="H742" s="1871">
        <v>6</v>
      </c>
      <c r="I742" s="1926">
        <v>0.21</v>
      </c>
      <c r="J742" s="1913">
        <v>0.37</v>
      </c>
      <c r="K742" s="1927"/>
      <c r="L742" s="1883">
        <v>5</v>
      </c>
      <c r="M742" s="1871">
        <v>6</v>
      </c>
      <c r="N742" s="1926">
        <v>0.11</v>
      </c>
      <c r="O742" s="1913">
        <v>0.2</v>
      </c>
      <c r="P742" s="1927"/>
      <c r="Q742" s="1883"/>
      <c r="R742" s="1871"/>
      <c r="S742" s="1926"/>
      <c r="T742" s="1913"/>
      <c r="U742" s="1927"/>
      <c r="V742" s="1883">
        <v>5</v>
      </c>
      <c r="W742" s="1871">
        <v>6</v>
      </c>
      <c r="X742" s="1926">
        <v>0.28000000000000003</v>
      </c>
      <c r="Y742" s="1913">
        <v>0.39</v>
      </c>
      <c r="Z742" s="1927"/>
      <c r="AA742" s="1883">
        <v>5</v>
      </c>
      <c r="AB742" s="1871">
        <v>6</v>
      </c>
      <c r="AC742" s="1926">
        <v>0.17</v>
      </c>
      <c r="AD742" s="1913">
        <v>0.3</v>
      </c>
      <c r="AF742" s="1883">
        <v>5</v>
      </c>
      <c r="AG742" s="1871">
        <v>6</v>
      </c>
      <c r="AH742" s="1926"/>
      <c r="AI742" s="1913"/>
      <c r="AK742" s="1955">
        <f t="shared" si="113"/>
        <v>0.11</v>
      </c>
      <c r="AL742" s="1926">
        <f t="shared" si="114"/>
        <v>0.28000000000000003</v>
      </c>
      <c r="AM742" s="1926">
        <f t="shared" si="112"/>
        <v>0.17</v>
      </c>
      <c r="AN742" s="1956">
        <f t="shared" si="115"/>
        <v>0</v>
      </c>
      <c r="AO742" s="1893"/>
      <c r="AP742" s="1872"/>
      <c r="AQ742" s="1931"/>
      <c r="AR742" s="1915"/>
    </row>
    <row r="743" spans="1:44">
      <c r="A743" s="1927"/>
      <c r="B743" s="1883"/>
      <c r="C743" s="1871"/>
      <c r="D743" s="1926"/>
      <c r="E743" s="1913"/>
      <c r="F743" s="1927"/>
      <c r="G743" s="1883">
        <v>6</v>
      </c>
      <c r="H743" s="1871">
        <v>7</v>
      </c>
      <c r="I743" s="1926">
        <v>0.26</v>
      </c>
      <c r="J743" s="1913">
        <v>0.5</v>
      </c>
      <c r="K743" s="1927"/>
      <c r="L743" s="1883">
        <v>6</v>
      </c>
      <c r="M743" s="1871">
        <v>7</v>
      </c>
      <c r="N743" s="1926">
        <v>0.13</v>
      </c>
      <c r="O743" s="1913">
        <v>0.23</v>
      </c>
      <c r="P743" s="1927"/>
      <c r="Q743" s="1883"/>
      <c r="R743" s="1871"/>
      <c r="S743" s="1926"/>
      <c r="T743" s="1913"/>
      <c r="U743" s="1927"/>
      <c r="V743" s="1883">
        <v>6</v>
      </c>
      <c r="W743" s="1871">
        <v>7</v>
      </c>
      <c r="X743" s="1926">
        <v>0.34</v>
      </c>
      <c r="Y743" s="1913">
        <v>0.49</v>
      </c>
      <c r="Z743" s="1927"/>
      <c r="AA743" s="1883">
        <v>6</v>
      </c>
      <c r="AB743" s="1871">
        <v>7</v>
      </c>
      <c r="AC743" s="1926">
        <v>0.35</v>
      </c>
      <c r="AD743" s="1913">
        <v>0.68</v>
      </c>
      <c r="AF743" s="1883">
        <v>6</v>
      </c>
      <c r="AG743" s="1871">
        <v>7</v>
      </c>
      <c r="AH743" s="1926"/>
      <c r="AI743" s="1913"/>
      <c r="AK743" s="1955">
        <f t="shared" si="113"/>
        <v>0.13</v>
      </c>
      <c r="AL743" s="1926">
        <f t="shared" si="114"/>
        <v>0.34</v>
      </c>
      <c r="AM743" s="1926">
        <f t="shared" si="112"/>
        <v>0.35</v>
      </c>
      <c r="AN743" s="1956">
        <f t="shared" si="115"/>
        <v>0</v>
      </c>
      <c r="AO743" s="1893"/>
      <c r="AP743" s="1872"/>
      <c r="AQ743" s="1931"/>
      <c r="AR743" s="1915"/>
    </row>
    <row r="744" spans="1:44">
      <c r="A744" s="1927"/>
      <c r="B744" s="1908"/>
      <c r="C744" s="1909"/>
      <c r="D744" s="1928"/>
      <c r="E744" s="1917"/>
      <c r="F744" s="1927"/>
      <c r="G744" s="1908">
        <v>7</v>
      </c>
      <c r="H744" s="1909">
        <v>8</v>
      </c>
      <c r="I744" s="1928">
        <v>0.53</v>
      </c>
      <c r="J744" s="1917">
        <v>1.1499999999999999</v>
      </c>
      <c r="K744" s="1927"/>
      <c r="L744" s="1908">
        <v>7</v>
      </c>
      <c r="M744" s="1909">
        <v>8</v>
      </c>
      <c r="N744" s="1928">
        <v>0.14000000000000001</v>
      </c>
      <c r="O744" s="1917">
        <v>0.26</v>
      </c>
      <c r="P744" s="1927"/>
      <c r="Q744" s="1908"/>
      <c r="R744" s="1909"/>
      <c r="S744" s="1928"/>
      <c r="T744" s="1917"/>
      <c r="U744" s="1927"/>
      <c r="V744" s="1908">
        <v>7</v>
      </c>
      <c r="W744" s="1909">
        <v>8</v>
      </c>
      <c r="X744" s="1928">
        <v>0.33</v>
      </c>
      <c r="Y744" s="1917">
        <v>0.45</v>
      </c>
      <c r="Z744" s="1927"/>
      <c r="AA744" s="1908">
        <v>7</v>
      </c>
      <c r="AB744" s="1909">
        <v>8</v>
      </c>
      <c r="AC744" s="1928">
        <v>0.49</v>
      </c>
      <c r="AD744" s="1917">
        <v>1</v>
      </c>
      <c r="AF744" s="1908">
        <v>7</v>
      </c>
      <c r="AG744" s="1909">
        <v>8</v>
      </c>
      <c r="AH744" s="1928"/>
      <c r="AI744" s="1917"/>
      <c r="AK744" s="1957">
        <f t="shared" si="113"/>
        <v>0.14000000000000001</v>
      </c>
      <c r="AL744" s="1958">
        <f t="shared" si="114"/>
        <v>0.33</v>
      </c>
      <c r="AM744" s="1958">
        <f t="shared" si="112"/>
        <v>0.49</v>
      </c>
      <c r="AN744" s="1959">
        <f t="shared" si="115"/>
        <v>0</v>
      </c>
      <c r="AO744" s="1893"/>
      <c r="AP744" s="1872"/>
      <c r="AQ744" s="1931"/>
      <c r="AR744" s="1915"/>
    </row>
    <row r="745" spans="1:44">
      <c r="A745" s="1930"/>
      <c r="B745" s="1890"/>
      <c r="C745" s="1891"/>
      <c r="D745" s="1929"/>
      <c r="E745" s="1914"/>
      <c r="F745" s="1930"/>
      <c r="G745" s="1890">
        <v>8</v>
      </c>
      <c r="H745" s="1891">
        <v>9</v>
      </c>
      <c r="I745" s="1929">
        <v>0.2</v>
      </c>
      <c r="J745" s="1914">
        <v>0.45</v>
      </c>
      <c r="K745" s="1930"/>
      <c r="L745" s="1890">
        <v>8</v>
      </c>
      <c r="M745" s="1891">
        <v>9</v>
      </c>
      <c r="N745" s="1929">
        <v>0.15</v>
      </c>
      <c r="O745" s="1914">
        <v>0.28000000000000003</v>
      </c>
      <c r="P745" s="1930"/>
      <c r="Q745" s="1890"/>
      <c r="R745" s="1891"/>
      <c r="S745" s="1929"/>
      <c r="T745" s="1914"/>
      <c r="U745" s="1930"/>
      <c r="V745" s="1890">
        <v>8</v>
      </c>
      <c r="W745" s="1891">
        <v>9</v>
      </c>
      <c r="X745" s="1929">
        <v>0.42</v>
      </c>
      <c r="Y745" s="1914">
        <v>0.46</v>
      </c>
      <c r="Z745" s="1930"/>
      <c r="AA745" s="1890">
        <v>8</v>
      </c>
      <c r="AB745" s="1891">
        <v>9</v>
      </c>
      <c r="AC745" s="1929">
        <v>0.57999999999999996</v>
      </c>
      <c r="AD745" s="1914">
        <v>1.18</v>
      </c>
      <c r="AF745" s="1890">
        <v>8</v>
      </c>
      <c r="AG745" s="1891">
        <v>9</v>
      </c>
      <c r="AH745" s="1929"/>
      <c r="AI745" s="1914"/>
      <c r="AK745" s="1952">
        <f t="shared" si="113"/>
        <v>0.15</v>
      </c>
      <c r="AL745" s="1953">
        <f t="shared" si="114"/>
        <v>0.42</v>
      </c>
      <c r="AM745" s="1953">
        <f t="shared" si="112"/>
        <v>0.57999999999999996</v>
      </c>
      <c r="AN745" s="1954">
        <f t="shared" si="115"/>
        <v>0</v>
      </c>
      <c r="AO745" s="1893"/>
      <c r="AP745" s="1872"/>
      <c r="AQ745" s="1931"/>
      <c r="AR745" s="1915"/>
    </row>
    <row r="746" spans="1:44">
      <c r="A746" s="1930"/>
      <c r="B746" s="1893"/>
      <c r="C746" s="1872"/>
      <c r="D746" s="1931"/>
      <c r="E746" s="1915"/>
      <c r="F746" s="1930"/>
      <c r="G746" s="1893">
        <v>9</v>
      </c>
      <c r="H746" s="1872">
        <v>10</v>
      </c>
      <c r="I746" s="1931">
        <v>0.27</v>
      </c>
      <c r="J746" s="1915">
        <v>0.57999999999999996</v>
      </c>
      <c r="K746" s="1930"/>
      <c r="L746" s="1893">
        <v>9</v>
      </c>
      <c r="M746" s="1872">
        <v>10</v>
      </c>
      <c r="N746" s="1931">
        <v>0.19</v>
      </c>
      <c r="O746" s="1915">
        <v>0.34</v>
      </c>
      <c r="P746" s="1930"/>
      <c r="Q746" s="1893"/>
      <c r="R746" s="1872"/>
      <c r="S746" s="1931"/>
      <c r="T746" s="1915"/>
      <c r="U746" s="1930"/>
      <c r="V746" s="1893">
        <v>9</v>
      </c>
      <c r="W746" s="1872">
        <v>10</v>
      </c>
      <c r="X746" s="1931">
        <v>0.46</v>
      </c>
      <c r="Y746" s="1915">
        <v>0.38</v>
      </c>
      <c r="Z746" s="1930"/>
      <c r="AA746" s="1893">
        <v>9</v>
      </c>
      <c r="AB746" s="1872">
        <v>10</v>
      </c>
      <c r="AC746" s="1931">
        <v>0.31</v>
      </c>
      <c r="AD746" s="1915">
        <v>0.59</v>
      </c>
      <c r="AF746" s="1893">
        <v>9</v>
      </c>
      <c r="AG746" s="1872">
        <v>10</v>
      </c>
      <c r="AH746" s="1931"/>
      <c r="AI746" s="1915"/>
      <c r="AK746" s="1955">
        <f t="shared" si="113"/>
        <v>0.19</v>
      </c>
      <c r="AL746" s="1926">
        <f t="shared" si="114"/>
        <v>0.46</v>
      </c>
      <c r="AM746" s="1926">
        <f t="shared" si="112"/>
        <v>0.31</v>
      </c>
      <c r="AN746" s="1956">
        <f t="shared" si="115"/>
        <v>0</v>
      </c>
      <c r="AO746" s="1893"/>
      <c r="AP746" s="1872"/>
      <c r="AQ746" s="1932"/>
      <c r="AR746" s="1916"/>
    </row>
    <row r="747" spans="1:44">
      <c r="A747" s="1930"/>
      <c r="B747" s="1893"/>
      <c r="C747" s="1872"/>
      <c r="D747" s="1931"/>
      <c r="E747" s="1915"/>
      <c r="F747" s="1930"/>
      <c r="G747" s="1893">
        <v>10</v>
      </c>
      <c r="H747" s="1872">
        <v>11</v>
      </c>
      <c r="I747" s="1931">
        <v>0.24</v>
      </c>
      <c r="J747" s="1915">
        <v>0.49</v>
      </c>
      <c r="K747" s="1930"/>
      <c r="L747" s="1893">
        <v>10</v>
      </c>
      <c r="M747" s="1872">
        <v>11</v>
      </c>
      <c r="N747" s="1931">
        <v>0.31</v>
      </c>
      <c r="O747" s="1915">
        <v>0.55000000000000004</v>
      </c>
      <c r="P747" s="1930"/>
      <c r="Q747" s="1893"/>
      <c r="R747" s="1872"/>
      <c r="S747" s="1931"/>
      <c r="T747" s="1915"/>
      <c r="U747" s="1930"/>
      <c r="V747" s="1893">
        <v>10</v>
      </c>
      <c r="W747" s="1872">
        <v>11</v>
      </c>
      <c r="X747" s="1931">
        <v>0.48</v>
      </c>
      <c r="Y747" s="1915">
        <v>0.38</v>
      </c>
      <c r="Z747" s="1930"/>
      <c r="AA747" s="1893">
        <v>10</v>
      </c>
      <c r="AB747" s="1872">
        <v>11</v>
      </c>
      <c r="AC747" s="1931">
        <v>0.48</v>
      </c>
      <c r="AD747" s="1915">
        <v>0.86</v>
      </c>
      <c r="AF747" s="1893">
        <v>10</v>
      </c>
      <c r="AG747" s="1872">
        <v>11</v>
      </c>
      <c r="AH747" s="1931"/>
      <c r="AI747" s="1915"/>
      <c r="AK747" s="1955">
        <f t="shared" si="113"/>
        <v>0.31</v>
      </c>
      <c r="AL747" s="1926">
        <f t="shared" si="114"/>
        <v>0.48</v>
      </c>
      <c r="AM747" s="1926">
        <f t="shared" si="112"/>
        <v>0.48</v>
      </c>
      <c r="AN747" s="1956">
        <f t="shared" si="115"/>
        <v>0</v>
      </c>
      <c r="AO747" s="1894"/>
      <c r="AP747" s="1895"/>
      <c r="AQ747" s="1933"/>
      <c r="AR747" s="1911"/>
    </row>
    <row r="748" spans="1:44">
      <c r="A748" s="1930"/>
      <c r="B748" s="1893"/>
      <c r="C748" s="1872"/>
      <c r="D748" s="1931"/>
      <c r="E748" s="1915"/>
      <c r="F748" s="1930"/>
      <c r="G748" s="1893">
        <v>11</v>
      </c>
      <c r="H748" s="1872">
        <v>12</v>
      </c>
      <c r="I748" s="1931">
        <v>0.25</v>
      </c>
      <c r="J748" s="1915">
        <v>0.48</v>
      </c>
      <c r="K748" s="1930"/>
      <c r="L748" s="1893">
        <v>11</v>
      </c>
      <c r="M748" s="1872">
        <v>12</v>
      </c>
      <c r="N748" s="1931">
        <v>0.3</v>
      </c>
      <c r="O748" s="1915">
        <v>0.51</v>
      </c>
      <c r="P748" s="1930"/>
      <c r="Q748" s="1893"/>
      <c r="R748" s="1872"/>
      <c r="S748" s="1931"/>
      <c r="T748" s="1915"/>
      <c r="U748" s="1930"/>
      <c r="V748" s="1893">
        <v>11</v>
      </c>
      <c r="W748" s="1872">
        <v>12</v>
      </c>
      <c r="X748" s="1931">
        <v>0.54</v>
      </c>
      <c r="Y748" s="1915">
        <v>0.33</v>
      </c>
      <c r="Z748" s="1930"/>
      <c r="AA748" s="1893">
        <v>11</v>
      </c>
      <c r="AB748" s="1872">
        <v>12</v>
      </c>
      <c r="AC748" s="1931">
        <v>0.32</v>
      </c>
      <c r="AD748" s="1915">
        <v>0.55000000000000004</v>
      </c>
      <c r="AF748" s="1893">
        <v>11</v>
      </c>
      <c r="AG748" s="1872">
        <v>12</v>
      </c>
      <c r="AH748" s="1931"/>
      <c r="AI748" s="1915"/>
      <c r="AK748" s="1955">
        <f t="shared" si="113"/>
        <v>0.3</v>
      </c>
      <c r="AL748" s="1926">
        <f t="shared" si="114"/>
        <v>0.54</v>
      </c>
      <c r="AM748" s="1926">
        <f t="shared" si="112"/>
        <v>0.32</v>
      </c>
      <c r="AN748" s="1956">
        <f t="shared" si="115"/>
        <v>0</v>
      </c>
      <c r="AO748" s="1910"/>
      <c r="AP748" s="1889"/>
      <c r="AQ748" s="1935"/>
      <c r="AR748" s="1912"/>
    </row>
    <row r="749" spans="1:44">
      <c r="A749" s="1930"/>
      <c r="B749" s="1893"/>
      <c r="C749" s="1872"/>
      <c r="D749" s="1931"/>
      <c r="E749" s="1915"/>
      <c r="F749" s="1930"/>
      <c r="G749" s="1893">
        <v>12</v>
      </c>
      <c r="H749" s="1872">
        <v>13</v>
      </c>
      <c r="I749" s="1931">
        <v>0.2</v>
      </c>
      <c r="J749" s="1915">
        <v>0.37</v>
      </c>
      <c r="K749" s="1930"/>
      <c r="L749" s="1893">
        <v>12</v>
      </c>
      <c r="M749" s="1872">
        <v>13</v>
      </c>
      <c r="N749" s="1931">
        <v>0.17</v>
      </c>
      <c r="O749" s="1915">
        <v>0.27</v>
      </c>
      <c r="P749" s="1930"/>
      <c r="Q749" s="1893"/>
      <c r="R749" s="1872"/>
      <c r="S749" s="1931"/>
      <c r="T749" s="1915"/>
      <c r="U749" s="1930"/>
      <c r="V749" s="1893">
        <v>12</v>
      </c>
      <c r="W749" s="1872">
        <v>13</v>
      </c>
      <c r="X749" s="1931">
        <v>0.55000000000000004</v>
      </c>
      <c r="Y749" s="1915">
        <v>0.17</v>
      </c>
      <c r="Z749" s="1930"/>
      <c r="AA749" s="1893">
        <v>12</v>
      </c>
      <c r="AB749" s="1872">
        <v>13</v>
      </c>
      <c r="AC749" s="1931">
        <v>0.79</v>
      </c>
      <c r="AD749" s="1915">
        <v>1.38</v>
      </c>
      <c r="AF749" s="1893">
        <v>12</v>
      </c>
      <c r="AG749" s="1872">
        <v>13</v>
      </c>
      <c r="AH749" s="1931"/>
      <c r="AI749" s="1915"/>
      <c r="AK749" s="1955">
        <f t="shared" si="113"/>
        <v>0.17</v>
      </c>
      <c r="AL749" s="1926">
        <f t="shared" si="114"/>
        <v>0.55000000000000004</v>
      </c>
      <c r="AM749" s="1926">
        <f t="shared" si="112"/>
        <v>0.79</v>
      </c>
      <c r="AN749" s="1956">
        <f t="shared" si="115"/>
        <v>0</v>
      </c>
      <c r="AO749" s="1902"/>
      <c r="AP749" s="1873"/>
      <c r="AQ749" s="1935"/>
      <c r="AR749" s="1912"/>
    </row>
    <row r="750" spans="1:44">
      <c r="A750" s="1930"/>
      <c r="B750" s="1893"/>
      <c r="C750" s="1872"/>
      <c r="D750" s="1931"/>
      <c r="E750" s="1915"/>
      <c r="F750" s="1930"/>
      <c r="G750" s="1893">
        <v>13</v>
      </c>
      <c r="H750" s="1872">
        <v>14</v>
      </c>
      <c r="I750" s="1931">
        <v>0.22</v>
      </c>
      <c r="J750" s="1915">
        <v>0.4</v>
      </c>
      <c r="K750" s="1930"/>
      <c r="L750" s="1893">
        <v>13</v>
      </c>
      <c r="M750" s="1872">
        <v>14</v>
      </c>
      <c r="N750" s="1931">
        <v>0.26</v>
      </c>
      <c r="O750" s="1915">
        <v>0.4</v>
      </c>
      <c r="P750" s="1930"/>
      <c r="Q750" s="1893"/>
      <c r="R750" s="1872"/>
      <c r="S750" s="1931"/>
      <c r="T750" s="1915"/>
      <c r="U750" s="1930"/>
      <c r="V750" s="1893">
        <v>13</v>
      </c>
      <c r="W750" s="1872">
        <v>14</v>
      </c>
      <c r="X750" s="1931">
        <v>0.82</v>
      </c>
      <c r="Y750" s="1915">
        <v>-0.06</v>
      </c>
      <c r="Z750" s="1930"/>
      <c r="AA750" s="1893">
        <v>13</v>
      </c>
      <c r="AB750" s="1872">
        <v>14</v>
      </c>
      <c r="AC750" s="1931">
        <v>0.39</v>
      </c>
      <c r="AD750" s="1915">
        <v>0.67</v>
      </c>
      <c r="AF750" s="1893">
        <v>13</v>
      </c>
      <c r="AG750" s="1872">
        <v>14</v>
      </c>
      <c r="AH750" s="1931"/>
      <c r="AI750" s="1915"/>
      <c r="AK750" s="1955">
        <f t="shared" si="113"/>
        <v>0.26</v>
      </c>
      <c r="AL750" s="1926">
        <f t="shared" si="114"/>
        <v>0.82</v>
      </c>
      <c r="AM750" s="1926">
        <f t="shared" si="112"/>
        <v>0.39</v>
      </c>
      <c r="AN750" s="1956">
        <f t="shared" si="115"/>
        <v>0</v>
      </c>
      <c r="AO750" s="1902"/>
      <c r="AP750" s="1873"/>
      <c r="AQ750" s="1935"/>
      <c r="AR750" s="1912"/>
    </row>
    <row r="751" spans="1:44">
      <c r="A751" s="1930"/>
      <c r="B751" s="1893"/>
      <c r="C751" s="1872"/>
      <c r="D751" s="1931"/>
      <c r="E751" s="1915"/>
      <c r="F751" s="1930"/>
      <c r="G751" s="1893">
        <v>14</v>
      </c>
      <c r="H751" s="1872">
        <v>15</v>
      </c>
      <c r="I751" s="1931">
        <v>0.32</v>
      </c>
      <c r="J751" s="1915">
        <v>0.56999999999999995</v>
      </c>
      <c r="K751" s="1930"/>
      <c r="L751" s="1893">
        <v>14</v>
      </c>
      <c r="M751" s="1872">
        <v>15</v>
      </c>
      <c r="N751" s="1931">
        <v>0.27</v>
      </c>
      <c r="O751" s="1915">
        <v>0.39</v>
      </c>
      <c r="P751" s="1930"/>
      <c r="Q751" s="1893"/>
      <c r="R751" s="1872"/>
      <c r="S751" s="1931"/>
      <c r="T751" s="1915"/>
      <c r="U751" s="1930"/>
      <c r="V751" s="1893">
        <v>14</v>
      </c>
      <c r="W751" s="1872">
        <v>15</v>
      </c>
      <c r="X751" s="1931">
        <v>0.65</v>
      </c>
      <c r="Y751" s="1915">
        <v>-0.13</v>
      </c>
      <c r="Z751" s="1930"/>
      <c r="AA751" s="1893">
        <v>14</v>
      </c>
      <c r="AB751" s="1872">
        <v>15</v>
      </c>
      <c r="AC751" s="1931">
        <v>0.48</v>
      </c>
      <c r="AD751" s="1915">
        <v>0.83</v>
      </c>
      <c r="AF751" s="1893">
        <v>14</v>
      </c>
      <c r="AG751" s="1872">
        <v>15</v>
      </c>
      <c r="AH751" s="1931"/>
      <c r="AI751" s="1915"/>
      <c r="AK751" s="1955">
        <f t="shared" si="113"/>
        <v>0.27</v>
      </c>
      <c r="AL751" s="1926">
        <f t="shared" si="114"/>
        <v>0.65</v>
      </c>
      <c r="AM751" s="1926">
        <f t="shared" si="112"/>
        <v>0.48</v>
      </c>
      <c r="AN751" s="1956">
        <f t="shared" si="115"/>
        <v>0</v>
      </c>
      <c r="AO751" s="1902"/>
      <c r="AP751" s="1873"/>
      <c r="AQ751" s="1935"/>
      <c r="AR751" s="1912"/>
    </row>
    <row r="752" spans="1:44">
      <c r="A752" s="1930"/>
      <c r="B752" s="1893"/>
      <c r="C752" s="1872"/>
      <c r="D752" s="1931"/>
      <c r="E752" s="1915"/>
      <c r="F752" s="1930"/>
      <c r="G752" s="1893">
        <v>15</v>
      </c>
      <c r="H752" s="1872">
        <v>16</v>
      </c>
      <c r="I752" s="1931">
        <v>0.22</v>
      </c>
      <c r="J752" s="1915">
        <v>0.4</v>
      </c>
      <c r="K752" s="1930"/>
      <c r="L752" s="1893">
        <v>15</v>
      </c>
      <c r="M752" s="1872">
        <v>16</v>
      </c>
      <c r="N752" s="1931">
        <v>0.27</v>
      </c>
      <c r="O752" s="1915">
        <v>0.4</v>
      </c>
      <c r="P752" s="1930"/>
      <c r="Q752" s="1893"/>
      <c r="R752" s="1872"/>
      <c r="S752" s="1931"/>
      <c r="T752" s="1915"/>
      <c r="U752" s="1930"/>
      <c r="V752" s="1893">
        <v>15</v>
      </c>
      <c r="W752" s="1872">
        <v>16</v>
      </c>
      <c r="X752" s="1931">
        <v>0.52</v>
      </c>
      <c r="Y752" s="1915">
        <v>0.03</v>
      </c>
      <c r="Z752" s="1930"/>
      <c r="AA752" s="1893">
        <v>15</v>
      </c>
      <c r="AB752" s="1872">
        <v>16</v>
      </c>
      <c r="AC752" s="1931">
        <v>0.48</v>
      </c>
      <c r="AD752" s="1915">
        <v>0.84</v>
      </c>
      <c r="AF752" s="1893">
        <v>15</v>
      </c>
      <c r="AG752" s="1872">
        <v>16</v>
      </c>
      <c r="AH752" s="1931"/>
      <c r="AI752" s="1915"/>
      <c r="AK752" s="1955">
        <f t="shared" si="113"/>
        <v>0.27</v>
      </c>
      <c r="AL752" s="1926">
        <f t="shared" si="114"/>
        <v>0.52</v>
      </c>
      <c r="AM752" s="1926">
        <f t="shared" si="112"/>
        <v>0.48</v>
      </c>
      <c r="AN752" s="1956">
        <f t="shared" si="115"/>
        <v>0</v>
      </c>
      <c r="AO752" s="1902"/>
      <c r="AP752" s="1873"/>
      <c r="AQ752" s="1935"/>
      <c r="AR752" s="1912"/>
    </row>
    <row r="753" spans="1:44">
      <c r="A753" s="1930"/>
      <c r="B753" s="1893"/>
      <c r="C753" s="1872"/>
      <c r="D753" s="1931"/>
      <c r="E753" s="1915"/>
      <c r="F753" s="1930"/>
      <c r="G753" s="1893">
        <v>16</v>
      </c>
      <c r="H753" s="1872">
        <v>17</v>
      </c>
      <c r="I753" s="1931">
        <v>0.23</v>
      </c>
      <c r="J753" s="1915">
        <v>0.42</v>
      </c>
      <c r="K753" s="1930"/>
      <c r="L753" s="1893">
        <v>16</v>
      </c>
      <c r="M753" s="1872">
        <v>17</v>
      </c>
      <c r="N753" s="1931">
        <v>0.34</v>
      </c>
      <c r="O753" s="1915">
        <v>0.52</v>
      </c>
      <c r="P753" s="1930"/>
      <c r="Q753" s="1893"/>
      <c r="R753" s="1872"/>
      <c r="S753" s="1931"/>
      <c r="T753" s="1915"/>
      <c r="U753" s="1930"/>
      <c r="V753" s="1893">
        <v>16</v>
      </c>
      <c r="W753" s="1872">
        <v>17</v>
      </c>
      <c r="X753" s="1931">
        <v>0.5</v>
      </c>
      <c r="Y753" s="1915">
        <v>0.31</v>
      </c>
      <c r="Z753" s="1930"/>
      <c r="AA753" s="1893">
        <v>16</v>
      </c>
      <c r="AB753" s="1872">
        <v>17</v>
      </c>
      <c r="AC753" s="1931">
        <v>0.64</v>
      </c>
      <c r="AD753" s="1915">
        <v>1.1200000000000001</v>
      </c>
      <c r="AF753" s="1893">
        <v>16</v>
      </c>
      <c r="AG753" s="1872">
        <v>17</v>
      </c>
      <c r="AH753" s="1931"/>
      <c r="AI753" s="1915"/>
      <c r="AK753" s="1955">
        <f t="shared" si="113"/>
        <v>0.34</v>
      </c>
      <c r="AL753" s="1926">
        <f t="shared" si="114"/>
        <v>0.5</v>
      </c>
      <c r="AM753" s="1926">
        <f t="shared" si="112"/>
        <v>0.64</v>
      </c>
      <c r="AN753" s="1956">
        <f t="shared" si="115"/>
        <v>0</v>
      </c>
      <c r="AO753" s="1902"/>
      <c r="AP753" s="1873"/>
      <c r="AQ753" s="1936"/>
      <c r="AR753" s="1937"/>
    </row>
    <row r="754" spans="1:44">
      <c r="A754" s="1930"/>
      <c r="B754" s="1894"/>
      <c r="C754" s="1895"/>
      <c r="D754" s="1932"/>
      <c r="E754" s="1916"/>
      <c r="F754" s="1930"/>
      <c r="G754" s="1894">
        <v>17</v>
      </c>
      <c r="H754" s="1895">
        <v>18</v>
      </c>
      <c r="I754" s="1932">
        <v>0.98</v>
      </c>
      <c r="J754" s="1916">
        <v>2.74</v>
      </c>
      <c r="K754" s="1930"/>
      <c r="L754" s="1894">
        <v>17</v>
      </c>
      <c r="M754" s="1895">
        <v>18</v>
      </c>
      <c r="N754" s="1932">
        <v>0.32</v>
      </c>
      <c r="O754" s="1916">
        <v>0.52</v>
      </c>
      <c r="P754" s="1930"/>
      <c r="Q754" s="1894"/>
      <c r="R754" s="1895"/>
      <c r="S754" s="1932"/>
      <c r="T754" s="1916"/>
      <c r="U754" s="1930"/>
      <c r="V754" s="1894">
        <v>17</v>
      </c>
      <c r="W754" s="1895">
        <v>18</v>
      </c>
      <c r="X754" s="1932">
        <v>0.48</v>
      </c>
      <c r="Y754" s="1916">
        <v>0.37</v>
      </c>
      <c r="Z754" s="1930"/>
      <c r="AA754" s="1894">
        <v>17</v>
      </c>
      <c r="AB754" s="1895">
        <v>18</v>
      </c>
      <c r="AC754" s="1932">
        <v>0.82</v>
      </c>
      <c r="AD754" s="1916">
        <v>1.52</v>
      </c>
      <c r="AF754" s="1894">
        <v>17</v>
      </c>
      <c r="AG754" s="1895">
        <v>18</v>
      </c>
      <c r="AH754" s="1932"/>
      <c r="AI754" s="1916"/>
      <c r="AK754" s="1957">
        <f t="shared" si="113"/>
        <v>0.32</v>
      </c>
      <c r="AL754" s="1958">
        <f t="shared" si="114"/>
        <v>0.48</v>
      </c>
      <c r="AM754" s="1958">
        <f t="shared" si="112"/>
        <v>0.82</v>
      </c>
      <c r="AN754" s="1959">
        <f t="shared" si="115"/>
        <v>0</v>
      </c>
      <c r="AO754" s="2766"/>
      <c r="AP754" s="2766"/>
      <c r="AQ754" s="1926"/>
      <c r="AR754" s="1913"/>
    </row>
    <row r="755" spans="1:44">
      <c r="A755" s="1934"/>
      <c r="B755" s="1910"/>
      <c r="C755" s="1889"/>
      <c r="D755" s="1933"/>
      <c r="E755" s="1911"/>
      <c r="F755" s="1934"/>
      <c r="G755" s="1910">
        <v>18</v>
      </c>
      <c r="H755" s="1889">
        <v>19</v>
      </c>
      <c r="I755" s="1933">
        <v>0.22</v>
      </c>
      <c r="J755" s="1911">
        <v>0.65</v>
      </c>
      <c r="K755" s="1934"/>
      <c r="L755" s="1910">
        <v>18</v>
      </c>
      <c r="M755" s="1889">
        <v>19</v>
      </c>
      <c r="N755" s="1933">
        <v>0.25</v>
      </c>
      <c r="O755" s="1911">
        <v>0.41</v>
      </c>
      <c r="P755" s="1934"/>
      <c r="Q755" s="1910"/>
      <c r="R755" s="1889"/>
      <c r="S755" s="1933"/>
      <c r="T755" s="1911"/>
      <c r="U755" s="1934"/>
      <c r="V755" s="1910">
        <v>18</v>
      </c>
      <c r="W755" s="1889">
        <v>19</v>
      </c>
      <c r="X755" s="1933">
        <v>1.02</v>
      </c>
      <c r="Y755" s="1911">
        <v>1.01</v>
      </c>
      <c r="Z755" s="1934"/>
      <c r="AA755" s="1910">
        <v>18</v>
      </c>
      <c r="AB755" s="1889">
        <v>19</v>
      </c>
      <c r="AC755" s="1933">
        <v>0.67</v>
      </c>
      <c r="AD755" s="1911">
        <v>1.37</v>
      </c>
      <c r="AF755" s="1910">
        <v>18</v>
      </c>
      <c r="AG755" s="1889">
        <v>19</v>
      </c>
      <c r="AH755" s="1933"/>
      <c r="AI755" s="1911"/>
      <c r="AK755" s="1952">
        <f t="shared" si="113"/>
        <v>0.25</v>
      </c>
      <c r="AL755" s="1953">
        <f t="shared" si="114"/>
        <v>1.02</v>
      </c>
      <c r="AM755" s="1953">
        <f t="shared" si="112"/>
        <v>0.67</v>
      </c>
      <c r="AN755" s="1954">
        <f t="shared" si="115"/>
        <v>0</v>
      </c>
      <c r="AO755" s="1883"/>
      <c r="AP755" s="1871"/>
      <c r="AQ755" s="1926"/>
      <c r="AR755" s="1913"/>
    </row>
    <row r="756" spans="1:44">
      <c r="A756" s="1934"/>
      <c r="B756" s="1902"/>
      <c r="C756" s="1873"/>
      <c r="D756" s="1935"/>
      <c r="E756" s="1912"/>
      <c r="F756" s="1934"/>
      <c r="G756" s="1902">
        <v>19</v>
      </c>
      <c r="H756" s="1873">
        <v>20</v>
      </c>
      <c r="I756" s="1935">
        <v>0.25</v>
      </c>
      <c r="J756" s="1912">
        <v>0.75</v>
      </c>
      <c r="K756" s="1934"/>
      <c r="L756" s="1902">
        <v>19</v>
      </c>
      <c r="M756" s="1873">
        <v>20</v>
      </c>
      <c r="N756" s="1935">
        <v>0.45</v>
      </c>
      <c r="O756" s="1912">
        <v>0.79</v>
      </c>
      <c r="P756" s="1934"/>
      <c r="Q756" s="1902"/>
      <c r="R756" s="1873"/>
      <c r="S756" s="1935"/>
      <c r="T756" s="1912"/>
      <c r="U756" s="1934"/>
      <c r="V756" s="1902">
        <v>19</v>
      </c>
      <c r="W756" s="1873">
        <v>20</v>
      </c>
      <c r="X756" s="1935">
        <v>0.64</v>
      </c>
      <c r="Y756" s="1912">
        <v>0.94</v>
      </c>
      <c r="Z756" s="1934"/>
      <c r="AA756" s="1902">
        <v>19</v>
      </c>
      <c r="AB756" s="1873">
        <v>20</v>
      </c>
      <c r="AC756" s="1935">
        <v>0.5</v>
      </c>
      <c r="AD756" s="1912">
        <v>1.18</v>
      </c>
      <c r="AF756" s="1902">
        <v>19</v>
      </c>
      <c r="AG756" s="1873">
        <v>20</v>
      </c>
      <c r="AH756" s="1935"/>
      <c r="AI756" s="1912"/>
      <c r="AK756" s="1955">
        <f t="shared" si="113"/>
        <v>0.45</v>
      </c>
      <c r="AL756" s="1926">
        <f t="shared" si="114"/>
        <v>0.64</v>
      </c>
      <c r="AM756" s="1926">
        <f t="shared" si="112"/>
        <v>0.5</v>
      </c>
      <c r="AN756" s="1956">
        <f t="shared" si="115"/>
        <v>0</v>
      </c>
      <c r="AO756" s="1883"/>
      <c r="AP756" s="1871"/>
      <c r="AQ756" s="1926"/>
      <c r="AR756" s="1913"/>
    </row>
    <row r="757" spans="1:44">
      <c r="A757" s="1934"/>
      <c r="B757" s="1902"/>
      <c r="C757" s="1873"/>
      <c r="D757" s="1935"/>
      <c r="E757" s="1912"/>
      <c r="F757" s="1934"/>
      <c r="G757" s="1902">
        <v>20</v>
      </c>
      <c r="H757" s="1873">
        <v>21</v>
      </c>
      <c r="I757" s="1935">
        <v>0.26</v>
      </c>
      <c r="J757" s="1912">
        <v>0.53</v>
      </c>
      <c r="K757" s="1934"/>
      <c r="L757" s="1902">
        <v>20</v>
      </c>
      <c r="M757" s="1873">
        <v>21</v>
      </c>
      <c r="N757" s="1935">
        <v>0.27</v>
      </c>
      <c r="O757" s="1912">
        <v>0.49</v>
      </c>
      <c r="P757" s="1934"/>
      <c r="Q757" s="1902"/>
      <c r="R757" s="1873"/>
      <c r="S757" s="1935"/>
      <c r="T757" s="1912"/>
      <c r="U757" s="1934"/>
      <c r="V757" s="1902">
        <v>20</v>
      </c>
      <c r="W757" s="1873">
        <v>21</v>
      </c>
      <c r="X757" s="1935">
        <v>0.52</v>
      </c>
      <c r="Y757" s="1912">
        <v>0.8</v>
      </c>
      <c r="Z757" s="1934"/>
      <c r="AA757" s="1902">
        <v>20</v>
      </c>
      <c r="AB757" s="1873">
        <v>21</v>
      </c>
      <c r="AC757" s="1935">
        <v>0.41</v>
      </c>
      <c r="AD757" s="1912">
        <v>0.99</v>
      </c>
      <c r="AF757" s="1902">
        <v>20</v>
      </c>
      <c r="AG757" s="1873">
        <v>21</v>
      </c>
      <c r="AH757" s="1935"/>
      <c r="AI757" s="1912"/>
      <c r="AK757" s="1955">
        <f t="shared" si="113"/>
        <v>0.27</v>
      </c>
      <c r="AL757" s="1926">
        <f t="shared" si="114"/>
        <v>0.52</v>
      </c>
      <c r="AM757" s="1926">
        <f t="shared" si="112"/>
        <v>0.41</v>
      </c>
      <c r="AN757" s="1956">
        <f t="shared" si="115"/>
        <v>0</v>
      </c>
      <c r="AO757" s="1883"/>
      <c r="AP757" s="1871"/>
      <c r="AQ757" s="1926"/>
      <c r="AR757" s="1913"/>
    </row>
    <row r="758" spans="1:44">
      <c r="A758" s="1934"/>
      <c r="B758" s="1902"/>
      <c r="C758" s="1873"/>
      <c r="D758" s="1935"/>
      <c r="E758" s="1912"/>
      <c r="F758" s="1934"/>
      <c r="G758" s="1902">
        <v>21</v>
      </c>
      <c r="H758" s="1873">
        <v>22</v>
      </c>
      <c r="I758" s="1935">
        <v>0.24</v>
      </c>
      <c r="J758" s="1912">
        <v>0.45</v>
      </c>
      <c r="K758" s="1934"/>
      <c r="L758" s="1902">
        <v>21</v>
      </c>
      <c r="M758" s="1873">
        <v>22</v>
      </c>
      <c r="N758" s="1935">
        <v>0.28000000000000003</v>
      </c>
      <c r="O758" s="1912">
        <v>0.51</v>
      </c>
      <c r="P758" s="1934"/>
      <c r="Q758" s="1902"/>
      <c r="R758" s="1873"/>
      <c r="S758" s="1935"/>
      <c r="T758" s="1912"/>
      <c r="U758" s="1934"/>
      <c r="V758" s="1902">
        <v>21</v>
      </c>
      <c r="W758" s="1873">
        <v>22</v>
      </c>
      <c r="X758" s="1935">
        <v>0.48</v>
      </c>
      <c r="Y758" s="1912">
        <v>0.75</v>
      </c>
      <c r="Z758" s="1934"/>
      <c r="AA758" s="1902">
        <v>21</v>
      </c>
      <c r="AB758" s="1873">
        <v>22</v>
      </c>
      <c r="AC758" s="1935">
        <v>0.44</v>
      </c>
      <c r="AD758" s="1912">
        <v>0.99</v>
      </c>
      <c r="AF758" s="1902">
        <v>21</v>
      </c>
      <c r="AG758" s="1873">
        <v>22</v>
      </c>
      <c r="AH758" s="1935"/>
      <c r="AI758" s="1912"/>
      <c r="AK758" s="1955">
        <f t="shared" si="113"/>
        <v>0.28000000000000003</v>
      </c>
      <c r="AL758" s="1926">
        <f t="shared" si="114"/>
        <v>0.48</v>
      </c>
      <c r="AM758" s="1926">
        <f t="shared" si="112"/>
        <v>0.44</v>
      </c>
      <c r="AN758" s="1956">
        <f t="shared" si="115"/>
        <v>0</v>
      </c>
      <c r="AO758" s="1883"/>
      <c r="AP758" s="1871"/>
      <c r="AQ758" s="1926"/>
      <c r="AR758" s="1913"/>
    </row>
    <row r="759" spans="1:44">
      <c r="A759" s="1934"/>
      <c r="B759" s="1902"/>
      <c r="C759" s="1873"/>
      <c r="D759" s="1935"/>
      <c r="E759" s="1912"/>
      <c r="F759" s="1934"/>
      <c r="G759" s="1902">
        <v>22</v>
      </c>
      <c r="H759" s="1873">
        <v>23</v>
      </c>
      <c r="I759" s="1935">
        <v>0.26</v>
      </c>
      <c r="J759" s="1912">
        <v>0.48</v>
      </c>
      <c r="K759" s="1934"/>
      <c r="L759" s="1902">
        <v>22</v>
      </c>
      <c r="M759" s="1873">
        <v>23</v>
      </c>
      <c r="N759" s="1935">
        <v>0.26</v>
      </c>
      <c r="O759" s="1912">
        <v>0.48</v>
      </c>
      <c r="P759" s="1934"/>
      <c r="Q759" s="1902"/>
      <c r="R759" s="1873"/>
      <c r="S759" s="1935"/>
      <c r="T759" s="1912"/>
      <c r="U759" s="1934"/>
      <c r="V759" s="1902">
        <v>22</v>
      </c>
      <c r="W759" s="1873">
        <v>23</v>
      </c>
      <c r="X759" s="1935">
        <v>0.39</v>
      </c>
      <c r="Y759" s="1912">
        <v>0.6</v>
      </c>
      <c r="Z759" s="1934"/>
      <c r="AA759" s="1902">
        <v>22</v>
      </c>
      <c r="AB759" s="1873">
        <v>23</v>
      </c>
      <c r="AC759" s="1935">
        <v>0.16</v>
      </c>
      <c r="AD759" s="1912">
        <v>0.34</v>
      </c>
      <c r="AF759" s="1902">
        <v>22</v>
      </c>
      <c r="AG759" s="1873">
        <v>23</v>
      </c>
      <c r="AH759" s="1935"/>
      <c r="AI759" s="1912"/>
      <c r="AK759" s="1955">
        <f t="shared" si="113"/>
        <v>0.26</v>
      </c>
      <c r="AL759" s="1926">
        <f t="shared" si="114"/>
        <v>0.39</v>
      </c>
      <c r="AM759" s="1926">
        <f t="shared" si="112"/>
        <v>0.16</v>
      </c>
      <c r="AN759" s="1956">
        <f t="shared" si="115"/>
        <v>0</v>
      </c>
      <c r="AO759" s="1883"/>
      <c r="AP759" s="1871"/>
      <c r="AQ759" s="1926"/>
      <c r="AR759" s="1913"/>
    </row>
    <row r="760" spans="1:44" ht="15" thickBot="1">
      <c r="A760" s="1934"/>
      <c r="B760" s="1902"/>
      <c r="C760" s="1873"/>
      <c r="D760" s="1935"/>
      <c r="E760" s="1912"/>
      <c r="F760" s="1934"/>
      <c r="G760" s="1902">
        <v>23</v>
      </c>
      <c r="H760" s="1873">
        <v>24</v>
      </c>
      <c r="I760" s="1935">
        <v>0.15</v>
      </c>
      <c r="J760" s="1912">
        <v>0.26</v>
      </c>
      <c r="K760" s="1934"/>
      <c r="L760" s="1902">
        <v>23</v>
      </c>
      <c r="M760" s="1873">
        <v>24</v>
      </c>
      <c r="N760" s="1935">
        <v>0.19</v>
      </c>
      <c r="O760" s="1912">
        <v>0.35</v>
      </c>
      <c r="P760" s="1934"/>
      <c r="Q760" s="1902"/>
      <c r="R760" s="1873"/>
      <c r="S760" s="1935"/>
      <c r="T760" s="1912"/>
      <c r="U760" s="1934"/>
      <c r="V760" s="1902">
        <v>23</v>
      </c>
      <c r="W760" s="1873">
        <v>24</v>
      </c>
      <c r="X760" s="1935">
        <v>0.31</v>
      </c>
      <c r="Y760" s="1912">
        <v>0.46</v>
      </c>
      <c r="Z760" s="1934"/>
      <c r="AA760" s="1902">
        <v>23</v>
      </c>
      <c r="AB760" s="1873">
        <v>24</v>
      </c>
      <c r="AC760" s="1935">
        <v>0.23</v>
      </c>
      <c r="AD760" s="1912">
        <v>0.45</v>
      </c>
      <c r="AF760" s="1902">
        <v>23</v>
      </c>
      <c r="AG760" s="1873">
        <v>24</v>
      </c>
      <c r="AH760" s="1935"/>
      <c r="AI760" s="1912"/>
      <c r="AK760" s="1957">
        <f t="shared" si="113"/>
        <v>0.19</v>
      </c>
      <c r="AL760" s="1958">
        <f t="shared" si="114"/>
        <v>0.31</v>
      </c>
      <c r="AM760" s="1958">
        <f t="shared" si="112"/>
        <v>0.23</v>
      </c>
      <c r="AN760" s="1959">
        <f t="shared" si="115"/>
        <v>0</v>
      </c>
      <c r="AO760" s="1883"/>
      <c r="AP760" s="1871"/>
      <c r="AQ760" s="1926"/>
      <c r="AR760" s="1913"/>
    </row>
    <row r="761" spans="1:44">
      <c r="B761" s="2766"/>
      <c r="C761" s="2766"/>
      <c r="D761" s="1922">
        <f>SUM(D762:D785)</f>
        <v>0</v>
      </c>
      <c r="E761" s="1923">
        <f>SUM(E762:E785)</f>
        <v>0</v>
      </c>
      <c r="G761" s="2773">
        <v>45015</v>
      </c>
      <c r="H761" s="2773"/>
      <c r="I761" s="1922">
        <f>SUM(I762:I785)</f>
        <v>7.9600000000000017</v>
      </c>
      <c r="J761" s="1923">
        <f>SUM(J762:J785)</f>
        <v>14.120000000000003</v>
      </c>
      <c r="L761" s="2773">
        <v>45046</v>
      </c>
      <c r="M761" s="2773"/>
      <c r="N761" s="1936">
        <f>SUM(N762:N785)</f>
        <v>4.9399999999999995</v>
      </c>
      <c r="O761" s="1937">
        <f>SUM(O762:O785)</f>
        <v>6.57</v>
      </c>
      <c r="Q761" s="2766">
        <v>45076</v>
      </c>
      <c r="R761" s="2766"/>
      <c r="S761" s="1936"/>
      <c r="T761" s="1937"/>
      <c r="V761" s="2766">
        <v>45076</v>
      </c>
      <c r="W761" s="2766"/>
      <c r="X761" s="1936">
        <f>SUM(X762:X785)</f>
        <v>10.780000000000003</v>
      </c>
      <c r="Y761" s="1937">
        <f>SUM(Y762:Y785)</f>
        <v>18</v>
      </c>
      <c r="AA761" s="2766">
        <v>45107</v>
      </c>
      <c r="AB761" s="2766"/>
      <c r="AC761" s="1936">
        <f>SUM(AC762:AC785)</f>
        <v>5.910000000000001</v>
      </c>
      <c r="AD761" s="1937">
        <f>SUM(AD762:AD785)</f>
        <v>10.63</v>
      </c>
      <c r="AF761" s="2766">
        <v>45137</v>
      </c>
      <c r="AG761" s="2766"/>
      <c r="AH761" s="1936">
        <f>SUM(AH762:AH785)</f>
        <v>0</v>
      </c>
      <c r="AI761" s="1937">
        <f>SUM(AI762:AI785)</f>
        <v>0</v>
      </c>
      <c r="AO761" s="1883"/>
      <c r="AP761" s="1871"/>
      <c r="AQ761" s="1928"/>
      <c r="AR761" s="1917"/>
    </row>
    <row r="762" spans="1:44">
      <c r="A762" s="1927"/>
      <c r="B762" s="1883"/>
      <c r="C762" s="1871"/>
      <c r="D762" s="1926"/>
      <c r="E762" s="1913"/>
      <c r="F762" s="1927"/>
      <c r="G762" s="1883">
        <v>0</v>
      </c>
      <c r="H762" s="1871">
        <v>1</v>
      </c>
      <c r="I762" s="1926">
        <v>0.1</v>
      </c>
      <c r="J762" s="1913">
        <v>0.17</v>
      </c>
      <c r="K762" s="1927"/>
      <c r="L762" s="1883">
        <v>0</v>
      </c>
      <c r="M762" s="1871">
        <v>1</v>
      </c>
      <c r="N762" s="1926">
        <v>0.2</v>
      </c>
      <c r="O762" s="1913">
        <v>0.35</v>
      </c>
      <c r="P762" s="1927"/>
      <c r="Q762" s="1883"/>
      <c r="R762" s="1871"/>
      <c r="S762" s="1926"/>
      <c r="T762" s="1913"/>
      <c r="U762" s="1927"/>
      <c r="V762" s="1883">
        <v>0</v>
      </c>
      <c r="W762" s="1871">
        <v>1</v>
      </c>
      <c r="X762" s="1926">
        <v>0.26</v>
      </c>
      <c r="Y762" s="1913">
        <v>0.39</v>
      </c>
      <c r="Z762" s="1927"/>
      <c r="AA762" s="1883">
        <v>0</v>
      </c>
      <c r="AB762" s="1871">
        <v>1</v>
      </c>
      <c r="AC762" s="1926">
        <v>0.11</v>
      </c>
      <c r="AD762" s="1913">
        <v>0.21</v>
      </c>
      <c r="AF762" s="1883">
        <v>0</v>
      </c>
      <c r="AG762" s="1871">
        <v>1</v>
      </c>
      <c r="AH762" s="1926"/>
      <c r="AI762" s="1913"/>
      <c r="AK762" s="1952">
        <f>N762</f>
        <v>0.2</v>
      </c>
      <c r="AL762" s="1953">
        <f>X762</f>
        <v>0.26</v>
      </c>
      <c r="AM762" s="1953">
        <f t="shared" ref="AM762:AM785" si="116">AC762</f>
        <v>0.11</v>
      </c>
      <c r="AN762" s="1954">
        <f>AH762</f>
        <v>0</v>
      </c>
      <c r="AO762" s="1908"/>
      <c r="AP762" s="1909"/>
      <c r="AQ762" s="1929"/>
      <c r="AR762" s="1914"/>
    </row>
    <row r="763" spans="1:44">
      <c r="A763" s="1927"/>
      <c r="B763" s="1883"/>
      <c r="C763" s="1871"/>
      <c r="D763" s="1926"/>
      <c r="E763" s="1913"/>
      <c r="F763" s="1927"/>
      <c r="G763" s="1883">
        <v>1</v>
      </c>
      <c r="H763" s="1871">
        <v>2</v>
      </c>
      <c r="I763" s="1926">
        <v>0.13</v>
      </c>
      <c r="J763" s="1913">
        <v>0.21</v>
      </c>
      <c r="K763" s="1927"/>
      <c r="L763" s="1883">
        <v>1</v>
      </c>
      <c r="M763" s="1871">
        <v>2</v>
      </c>
      <c r="N763" s="1926">
        <v>0.15</v>
      </c>
      <c r="O763" s="1913">
        <v>0.25</v>
      </c>
      <c r="P763" s="1927"/>
      <c r="Q763" s="1883"/>
      <c r="R763" s="1871"/>
      <c r="S763" s="1926"/>
      <c r="T763" s="1913"/>
      <c r="U763" s="1927"/>
      <c r="V763" s="1883">
        <v>1</v>
      </c>
      <c r="W763" s="1871">
        <v>2</v>
      </c>
      <c r="X763" s="1926">
        <v>0.31</v>
      </c>
      <c r="Y763" s="1913">
        <v>0.46</v>
      </c>
      <c r="Z763" s="1927"/>
      <c r="AA763" s="1883">
        <v>1</v>
      </c>
      <c r="AB763" s="1871">
        <v>2</v>
      </c>
      <c r="AC763" s="1926">
        <v>0.21</v>
      </c>
      <c r="AD763" s="1913">
        <v>0.37</v>
      </c>
      <c r="AF763" s="1883">
        <v>1</v>
      </c>
      <c r="AG763" s="1871">
        <v>2</v>
      </c>
      <c r="AH763" s="1926"/>
      <c r="AI763" s="1913"/>
      <c r="AK763" s="1955">
        <f t="shared" ref="AK763:AK785" si="117">N763</f>
        <v>0.15</v>
      </c>
      <c r="AL763" s="1926">
        <f t="shared" ref="AL763:AL785" si="118">X763</f>
        <v>0.31</v>
      </c>
      <c r="AM763" s="1926">
        <f t="shared" si="116"/>
        <v>0.21</v>
      </c>
      <c r="AN763" s="1956">
        <f t="shared" ref="AN763:AN785" si="119">AH763</f>
        <v>0</v>
      </c>
      <c r="AO763" s="1890"/>
      <c r="AP763" s="1891"/>
      <c r="AQ763" s="1931"/>
      <c r="AR763" s="1915"/>
    </row>
    <row r="764" spans="1:44">
      <c r="A764" s="1927"/>
      <c r="B764" s="1883"/>
      <c r="C764" s="1871"/>
      <c r="D764" s="1926"/>
      <c r="E764" s="1913"/>
      <c r="F764" s="1927"/>
      <c r="G764" s="1883">
        <v>2</v>
      </c>
      <c r="H764" s="1871">
        <v>3</v>
      </c>
      <c r="I764" s="1926">
        <v>0.12</v>
      </c>
      <c r="J764" s="1913">
        <v>0.19</v>
      </c>
      <c r="K764" s="1927"/>
      <c r="L764" s="1883">
        <v>2</v>
      </c>
      <c r="M764" s="1871">
        <v>3</v>
      </c>
      <c r="N764" s="1926">
        <v>0.1</v>
      </c>
      <c r="O764" s="1913">
        <v>0.16</v>
      </c>
      <c r="P764" s="1927"/>
      <c r="Q764" s="1883"/>
      <c r="R764" s="1871"/>
      <c r="S764" s="1926"/>
      <c r="T764" s="1913"/>
      <c r="U764" s="1927"/>
      <c r="V764" s="1883">
        <v>2</v>
      </c>
      <c r="W764" s="1871">
        <v>3</v>
      </c>
      <c r="X764" s="1926">
        <v>0.28000000000000003</v>
      </c>
      <c r="Y764" s="1913">
        <v>0.41</v>
      </c>
      <c r="Z764" s="1927"/>
      <c r="AA764" s="1883">
        <v>2</v>
      </c>
      <c r="AB764" s="1871">
        <v>3</v>
      </c>
      <c r="AC764" s="1926">
        <v>0.14000000000000001</v>
      </c>
      <c r="AD764" s="1913">
        <v>0.24</v>
      </c>
      <c r="AF764" s="1883">
        <v>2</v>
      </c>
      <c r="AG764" s="1871">
        <v>3</v>
      </c>
      <c r="AH764" s="1926"/>
      <c r="AI764" s="1913"/>
      <c r="AK764" s="1955">
        <f t="shared" si="117"/>
        <v>0.1</v>
      </c>
      <c r="AL764" s="1926">
        <f t="shared" si="118"/>
        <v>0.28000000000000003</v>
      </c>
      <c r="AM764" s="1926">
        <f t="shared" si="116"/>
        <v>0.14000000000000001</v>
      </c>
      <c r="AN764" s="1956">
        <f t="shared" si="119"/>
        <v>0</v>
      </c>
      <c r="AO764" s="1893"/>
      <c r="AP764" s="1872"/>
      <c r="AQ764" s="1931"/>
      <c r="AR764" s="1915"/>
    </row>
    <row r="765" spans="1:44">
      <c r="A765" s="1927"/>
      <c r="B765" s="1883"/>
      <c r="C765" s="1871"/>
      <c r="D765" s="1926"/>
      <c r="E765" s="1913"/>
      <c r="F765" s="1927"/>
      <c r="G765" s="1883">
        <v>3</v>
      </c>
      <c r="H765" s="1871">
        <v>4</v>
      </c>
      <c r="I765" s="1926">
        <v>0.08</v>
      </c>
      <c r="J765" s="1913">
        <v>0.12</v>
      </c>
      <c r="K765" s="1927"/>
      <c r="L765" s="1883">
        <v>3</v>
      </c>
      <c r="M765" s="1871">
        <v>4</v>
      </c>
      <c r="N765" s="1926">
        <v>0.1</v>
      </c>
      <c r="O765" s="1913">
        <v>0.16</v>
      </c>
      <c r="P765" s="1927"/>
      <c r="Q765" s="1883"/>
      <c r="R765" s="1871"/>
      <c r="S765" s="1926"/>
      <c r="T765" s="1913"/>
      <c r="U765" s="1927"/>
      <c r="V765" s="1883">
        <v>3</v>
      </c>
      <c r="W765" s="1871">
        <v>4</v>
      </c>
      <c r="X765" s="1926">
        <v>0.31</v>
      </c>
      <c r="Y765" s="1913">
        <v>0.45</v>
      </c>
      <c r="Z765" s="1927"/>
      <c r="AA765" s="1883">
        <v>3</v>
      </c>
      <c r="AB765" s="1871">
        <v>4</v>
      </c>
      <c r="AC765" s="1926">
        <v>0.22</v>
      </c>
      <c r="AD765" s="1913">
        <v>0.38</v>
      </c>
      <c r="AF765" s="1883">
        <v>3</v>
      </c>
      <c r="AG765" s="1871">
        <v>4</v>
      </c>
      <c r="AH765" s="1926"/>
      <c r="AI765" s="1913"/>
      <c r="AK765" s="1955">
        <f t="shared" si="117"/>
        <v>0.1</v>
      </c>
      <c r="AL765" s="1926">
        <f t="shared" si="118"/>
        <v>0.31</v>
      </c>
      <c r="AM765" s="1926">
        <f t="shared" si="116"/>
        <v>0.22</v>
      </c>
      <c r="AN765" s="1956">
        <f t="shared" si="119"/>
        <v>0</v>
      </c>
      <c r="AO765" s="1893"/>
      <c r="AP765" s="1872"/>
      <c r="AQ765" s="1931"/>
      <c r="AR765" s="1915"/>
    </row>
    <row r="766" spans="1:44">
      <c r="A766" s="1927"/>
      <c r="B766" s="1883"/>
      <c r="C766" s="1871"/>
      <c r="D766" s="1926"/>
      <c r="E766" s="1913"/>
      <c r="F766" s="1927"/>
      <c r="G766" s="1883">
        <v>4</v>
      </c>
      <c r="H766" s="1871">
        <v>5</v>
      </c>
      <c r="I766" s="1926">
        <v>0.09</v>
      </c>
      <c r="J766" s="1913">
        <v>0.14000000000000001</v>
      </c>
      <c r="K766" s="1927"/>
      <c r="L766" s="1883">
        <v>4</v>
      </c>
      <c r="M766" s="1871">
        <v>5</v>
      </c>
      <c r="N766" s="1926">
        <v>0.1</v>
      </c>
      <c r="O766" s="1913">
        <v>0.16</v>
      </c>
      <c r="P766" s="1927"/>
      <c r="Q766" s="1883"/>
      <c r="R766" s="1871"/>
      <c r="S766" s="1926"/>
      <c r="T766" s="1913"/>
      <c r="U766" s="1927"/>
      <c r="V766" s="1883">
        <v>4</v>
      </c>
      <c r="W766" s="1871">
        <v>5</v>
      </c>
      <c r="X766" s="1926">
        <v>0.32</v>
      </c>
      <c r="Y766" s="1913">
        <v>0.49</v>
      </c>
      <c r="Z766" s="1927"/>
      <c r="AA766" s="1883">
        <v>4</v>
      </c>
      <c r="AB766" s="1871">
        <v>5</v>
      </c>
      <c r="AC766" s="1926">
        <v>0.13</v>
      </c>
      <c r="AD766" s="1913">
        <v>0.22</v>
      </c>
      <c r="AF766" s="1883">
        <v>4</v>
      </c>
      <c r="AG766" s="1871">
        <v>5</v>
      </c>
      <c r="AH766" s="1926"/>
      <c r="AI766" s="1913"/>
      <c r="AK766" s="1955">
        <f t="shared" si="117"/>
        <v>0.1</v>
      </c>
      <c r="AL766" s="1926">
        <f t="shared" si="118"/>
        <v>0.32</v>
      </c>
      <c r="AM766" s="1926">
        <f t="shared" si="116"/>
        <v>0.13</v>
      </c>
      <c r="AN766" s="1956">
        <f t="shared" si="119"/>
        <v>0</v>
      </c>
      <c r="AO766" s="1893"/>
      <c r="AP766" s="1872"/>
      <c r="AQ766" s="1931"/>
      <c r="AR766" s="1915"/>
    </row>
    <row r="767" spans="1:44">
      <c r="A767" s="1927"/>
      <c r="B767" s="1883"/>
      <c r="C767" s="1871"/>
      <c r="D767" s="1926"/>
      <c r="E767" s="1913"/>
      <c r="F767" s="1927"/>
      <c r="G767" s="1883">
        <v>5</v>
      </c>
      <c r="H767" s="1871">
        <v>6</v>
      </c>
      <c r="I767" s="1926">
        <v>0.12</v>
      </c>
      <c r="J767" s="1913">
        <v>0.18</v>
      </c>
      <c r="K767" s="1927"/>
      <c r="L767" s="1883">
        <v>5</v>
      </c>
      <c r="M767" s="1871">
        <v>6</v>
      </c>
      <c r="N767" s="1926">
        <v>0.1</v>
      </c>
      <c r="O767" s="1913">
        <v>0.16</v>
      </c>
      <c r="P767" s="1927"/>
      <c r="Q767" s="1883"/>
      <c r="R767" s="1871"/>
      <c r="S767" s="1926"/>
      <c r="T767" s="1913"/>
      <c r="U767" s="1927"/>
      <c r="V767" s="1883">
        <v>5</v>
      </c>
      <c r="W767" s="1871">
        <v>6</v>
      </c>
      <c r="X767" s="1926">
        <v>0.24</v>
      </c>
      <c r="Y767" s="1913">
        <v>0.39</v>
      </c>
      <c r="Z767" s="1927"/>
      <c r="AA767" s="1883">
        <v>5</v>
      </c>
      <c r="AB767" s="1871">
        <v>6</v>
      </c>
      <c r="AC767" s="1926">
        <v>0.17</v>
      </c>
      <c r="AD767" s="1913">
        <v>0.31</v>
      </c>
      <c r="AF767" s="1883">
        <v>5</v>
      </c>
      <c r="AG767" s="1871">
        <v>6</v>
      </c>
      <c r="AH767" s="1926"/>
      <c r="AI767" s="1913"/>
      <c r="AK767" s="1955">
        <f t="shared" si="117"/>
        <v>0.1</v>
      </c>
      <c r="AL767" s="1926">
        <f t="shared" si="118"/>
        <v>0.24</v>
      </c>
      <c r="AM767" s="1926">
        <f t="shared" si="116"/>
        <v>0.17</v>
      </c>
      <c r="AN767" s="1956">
        <f t="shared" si="119"/>
        <v>0</v>
      </c>
      <c r="AO767" s="1893"/>
      <c r="AP767" s="1872"/>
      <c r="AQ767" s="1931"/>
      <c r="AR767" s="1915"/>
    </row>
    <row r="768" spans="1:44">
      <c r="A768" s="1927"/>
      <c r="B768" s="1883"/>
      <c r="C768" s="1871"/>
      <c r="D768" s="1926"/>
      <c r="E768" s="1913"/>
      <c r="F768" s="1927"/>
      <c r="G768" s="1883">
        <v>6</v>
      </c>
      <c r="H768" s="1871">
        <v>7</v>
      </c>
      <c r="I768" s="1926">
        <v>0.11</v>
      </c>
      <c r="J768" s="1913">
        <v>0.18</v>
      </c>
      <c r="K768" s="1927"/>
      <c r="L768" s="1883">
        <v>6</v>
      </c>
      <c r="M768" s="1871">
        <v>7</v>
      </c>
      <c r="N768" s="1926">
        <v>0.27</v>
      </c>
      <c r="O768" s="1913">
        <v>0.44</v>
      </c>
      <c r="P768" s="1927"/>
      <c r="Q768" s="1883"/>
      <c r="R768" s="1871"/>
      <c r="S768" s="1926"/>
      <c r="T768" s="1913"/>
      <c r="U768" s="1927"/>
      <c r="V768" s="1883">
        <v>6</v>
      </c>
      <c r="W768" s="1871">
        <v>7</v>
      </c>
      <c r="X768" s="1926">
        <v>0.73</v>
      </c>
      <c r="Y768" s="1913">
        <v>1.26</v>
      </c>
      <c r="Z768" s="1927"/>
      <c r="AA768" s="1883">
        <v>6</v>
      </c>
      <c r="AB768" s="1871">
        <v>7</v>
      </c>
      <c r="AC768" s="1926">
        <v>0.45</v>
      </c>
      <c r="AD768" s="1913">
        <v>0.88</v>
      </c>
      <c r="AF768" s="1883">
        <v>6</v>
      </c>
      <c r="AG768" s="1871">
        <v>7</v>
      </c>
      <c r="AH768" s="1926"/>
      <c r="AI768" s="1913"/>
      <c r="AK768" s="1955">
        <f t="shared" si="117"/>
        <v>0.27</v>
      </c>
      <c r="AL768" s="1926">
        <f t="shared" si="118"/>
        <v>0.73</v>
      </c>
      <c r="AM768" s="1926">
        <f t="shared" si="116"/>
        <v>0.45</v>
      </c>
      <c r="AN768" s="1956">
        <f t="shared" si="119"/>
        <v>0</v>
      </c>
      <c r="AO768" s="1893"/>
      <c r="AP768" s="1872"/>
      <c r="AQ768" s="1931"/>
      <c r="AR768" s="1915"/>
    </row>
    <row r="769" spans="1:44">
      <c r="A769" s="1927"/>
      <c r="B769" s="1908"/>
      <c r="C769" s="1909"/>
      <c r="D769" s="1928"/>
      <c r="E769" s="1917"/>
      <c r="F769" s="1927"/>
      <c r="G769" s="1908">
        <v>7</v>
      </c>
      <c r="H769" s="1909">
        <v>8</v>
      </c>
      <c r="I769" s="1928">
        <v>0.14000000000000001</v>
      </c>
      <c r="J769" s="1917">
        <v>0.27</v>
      </c>
      <c r="K769" s="1927"/>
      <c r="L769" s="1908">
        <v>7</v>
      </c>
      <c r="M769" s="1909">
        <v>8</v>
      </c>
      <c r="N769" s="1928">
        <v>0.18</v>
      </c>
      <c r="O769" s="1917">
        <v>0.28999999999999998</v>
      </c>
      <c r="P769" s="1927"/>
      <c r="Q769" s="1908"/>
      <c r="R769" s="1909"/>
      <c r="S769" s="1928"/>
      <c r="T769" s="1917"/>
      <c r="U769" s="1927"/>
      <c r="V769" s="1908">
        <v>7</v>
      </c>
      <c r="W769" s="1909">
        <v>8</v>
      </c>
      <c r="X769" s="1928">
        <v>0.79</v>
      </c>
      <c r="Y769" s="1917">
        <v>1.51</v>
      </c>
      <c r="Z769" s="1927"/>
      <c r="AA769" s="1908">
        <v>7</v>
      </c>
      <c r="AB769" s="1909">
        <v>8</v>
      </c>
      <c r="AC769" s="1928">
        <v>0.42</v>
      </c>
      <c r="AD769" s="1917">
        <v>0.83</v>
      </c>
      <c r="AF769" s="1908">
        <v>7</v>
      </c>
      <c r="AG769" s="1909">
        <v>8</v>
      </c>
      <c r="AH769" s="1928"/>
      <c r="AI769" s="1917"/>
      <c r="AK769" s="1957">
        <f t="shared" si="117"/>
        <v>0.18</v>
      </c>
      <c r="AL769" s="1958">
        <f t="shared" si="118"/>
        <v>0.79</v>
      </c>
      <c r="AM769" s="1958">
        <f t="shared" si="116"/>
        <v>0.42</v>
      </c>
      <c r="AN769" s="1959">
        <f t="shared" si="119"/>
        <v>0</v>
      </c>
      <c r="AO769" s="1893"/>
      <c r="AP769" s="1872"/>
      <c r="AQ769" s="1931"/>
      <c r="AR769" s="1915"/>
    </row>
    <row r="770" spans="1:44">
      <c r="A770" s="1930"/>
      <c r="B770" s="1890"/>
      <c r="C770" s="1891"/>
      <c r="D770" s="1929"/>
      <c r="E770" s="1914"/>
      <c r="F770" s="1930"/>
      <c r="G770" s="1890">
        <v>8</v>
      </c>
      <c r="H770" s="1891">
        <v>9</v>
      </c>
      <c r="I770" s="1929">
        <v>0.15</v>
      </c>
      <c r="J770" s="1914">
        <v>0.3</v>
      </c>
      <c r="K770" s="1930"/>
      <c r="L770" s="1890">
        <v>8</v>
      </c>
      <c r="M770" s="1891">
        <v>9</v>
      </c>
      <c r="N770" s="1929">
        <v>0.14000000000000001</v>
      </c>
      <c r="O770" s="1914">
        <v>0.21</v>
      </c>
      <c r="P770" s="1930"/>
      <c r="Q770" s="1890"/>
      <c r="R770" s="1891"/>
      <c r="S770" s="1929"/>
      <c r="T770" s="1914"/>
      <c r="U770" s="1930"/>
      <c r="V770" s="1890">
        <v>8</v>
      </c>
      <c r="W770" s="1891">
        <v>9</v>
      </c>
      <c r="X770" s="1929">
        <v>0.45</v>
      </c>
      <c r="Y770" s="1914">
        <v>0.82</v>
      </c>
      <c r="Z770" s="1930"/>
      <c r="AA770" s="1890">
        <v>8</v>
      </c>
      <c r="AB770" s="1891">
        <v>9</v>
      </c>
      <c r="AC770" s="1929">
        <v>0.28000000000000003</v>
      </c>
      <c r="AD770" s="1914">
        <v>0.53</v>
      </c>
      <c r="AF770" s="1890">
        <v>8</v>
      </c>
      <c r="AG770" s="1891">
        <v>9</v>
      </c>
      <c r="AH770" s="1929"/>
      <c r="AI770" s="1914"/>
      <c r="AK770" s="1952">
        <f t="shared" si="117"/>
        <v>0.14000000000000001</v>
      </c>
      <c r="AL770" s="1953">
        <f t="shared" si="118"/>
        <v>0.45</v>
      </c>
      <c r="AM770" s="1953">
        <f t="shared" si="116"/>
        <v>0.28000000000000003</v>
      </c>
      <c r="AN770" s="1954">
        <f t="shared" si="119"/>
        <v>0</v>
      </c>
      <c r="AO770" s="1893"/>
      <c r="AP770" s="1872"/>
      <c r="AQ770" s="1931"/>
      <c r="AR770" s="1915"/>
    </row>
    <row r="771" spans="1:44">
      <c r="A771" s="1930"/>
      <c r="B771" s="1893"/>
      <c r="C771" s="1872"/>
      <c r="D771" s="1931"/>
      <c r="E771" s="1915"/>
      <c r="F771" s="1930"/>
      <c r="G771" s="1893">
        <v>9</v>
      </c>
      <c r="H771" s="1872">
        <v>10</v>
      </c>
      <c r="I771" s="1931">
        <v>0.74</v>
      </c>
      <c r="J771" s="1915">
        <v>1.37</v>
      </c>
      <c r="K771" s="1930"/>
      <c r="L771" s="1893">
        <v>9</v>
      </c>
      <c r="M771" s="1872">
        <v>10</v>
      </c>
      <c r="N771" s="1931">
        <v>0.16</v>
      </c>
      <c r="O771" s="1915">
        <v>0.21</v>
      </c>
      <c r="P771" s="1930"/>
      <c r="Q771" s="1893"/>
      <c r="R771" s="1872"/>
      <c r="S771" s="1931"/>
      <c r="T771" s="1915"/>
      <c r="U771" s="1930"/>
      <c r="V771" s="1893">
        <v>9</v>
      </c>
      <c r="W771" s="1872">
        <v>10</v>
      </c>
      <c r="X771" s="1931">
        <v>0.54</v>
      </c>
      <c r="Y771" s="1915">
        <v>0.89</v>
      </c>
      <c r="Z771" s="1930"/>
      <c r="AA771" s="1893">
        <v>9</v>
      </c>
      <c r="AB771" s="1872">
        <v>10</v>
      </c>
      <c r="AC771" s="1931">
        <v>0.48</v>
      </c>
      <c r="AD771" s="1915">
        <v>0.77</v>
      </c>
      <c r="AF771" s="1893">
        <v>9</v>
      </c>
      <c r="AG771" s="1872">
        <v>10</v>
      </c>
      <c r="AH771" s="1931"/>
      <c r="AI771" s="1915"/>
      <c r="AK771" s="1955">
        <f t="shared" si="117"/>
        <v>0.16</v>
      </c>
      <c r="AL771" s="1926">
        <f t="shared" si="118"/>
        <v>0.54</v>
      </c>
      <c r="AM771" s="1926">
        <f t="shared" si="116"/>
        <v>0.48</v>
      </c>
      <c r="AN771" s="1956">
        <f t="shared" si="119"/>
        <v>0</v>
      </c>
      <c r="AO771" s="1893"/>
      <c r="AP771" s="1872"/>
      <c r="AQ771" s="1932"/>
      <c r="AR771" s="1916"/>
    </row>
    <row r="772" spans="1:44">
      <c r="A772" s="1930"/>
      <c r="B772" s="1893"/>
      <c r="C772" s="1872"/>
      <c r="D772" s="1931"/>
      <c r="E772" s="1915"/>
      <c r="F772" s="1930"/>
      <c r="G772" s="1893">
        <v>10</v>
      </c>
      <c r="H772" s="1872">
        <v>11</v>
      </c>
      <c r="I772" s="1931">
        <v>1.21</v>
      </c>
      <c r="J772" s="1915">
        <v>2.02</v>
      </c>
      <c r="K772" s="1930"/>
      <c r="L772" s="1893">
        <v>10</v>
      </c>
      <c r="M772" s="1872">
        <v>11</v>
      </c>
      <c r="N772" s="1931">
        <v>0.28999999999999998</v>
      </c>
      <c r="O772" s="1915">
        <v>0.31</v>
      </c>
      <c r="P772" s="1930"/>
      <c r="Q772" s="1893"/>
      <c r="R772" s="1872"/>
      <c r="S772" s="1931"/>
      <c r="T772" s="1915"/>
      <c r="U772" s="1930"/>
      <c r="V772" s="1893">
        <v>10</v>
      </c>
      <c r="W772" s="1872">
        <v>11</v>
      </c>
      <c r="X772" s="1931">
        <v>0.71</v>
      </c>
      <c r="Y772" s="1915">
        <v>1.1200000000000001</v>
      </c>
      <c r="Z772" s="1930"/>
      <c r="AA772" s="1893">
        <v>10</v>
      </c>
      <c r="AB772" s="1872">
        <v>11</v>
      </c>
      <c r="AC772" s="1931">
        <v>0.22</v>
      </c>
      <c r="AD772" s="1915">
        <v>0.38</v>
      </c>
      <c r="AF772" s="1893">
        <v>10</v>
      </c>
      <c r="AG772" s="1872">
        <v>11</v>
      </c>
      <c r="AH772" s="1931"/>
      <c r="AI772" s="1915"/>
      <c r="AK772" s="1955">
        <f t="shared" si="117"/>
        <v>0.28999999999999998</v>
      </c>
      <c r="AL772" s="1926">
        <f t="shared" si="118"/>
        <v>0.71</v>
      </c>
      <c r="AM772" s="1926">
        <f t="shared" si="116"/>
        <v>0.22</v>
      </c>
      <c r="AN772" s="1956">
        <f t="shared" si="119"/>
        <v>0</v>
      </c>
      <c r="AO772" s="1894"/>
      <c r="AP772" s="1895"/>
      <c r="AQ772" s="1933"/>
      <c r="AR772" s="1911"/>
    </row>
    <row r="773" spans="1:44">
      <c r="A773" s="1930"/>
      <c r="B773" s="1893"/>
      <c r="C773" s="1872"/>
      <c r="D773" s="1931"/>
      <c r="E773" s="1915"/>
      <c r="F773" s="1930"/>
      <c r="G773" s="1893">
        <v>11</v>
      </c>
      <c r="H773" s="1872">
        <v>12</v>
      </c>
      <c r="I773" s="1931">
        <v>0.21</v>
      </c>
      <c r="J773" s="1915">
        <v>0.33</v>
      </c>
      <c r="K773" s="1930"/>
      <c r="L773" s="1893">
        <v>11</v>
      </c>
      <c r="M773" s="1872">
        <v>12</v>
      </c>
      <c r="N773" s="1931">
        <v>0.28000000000000003</v>
      </c>
      <c r="O773" s="1915">
        <v>0.24</v>
      </c>
      <c r="P773" s="1930"/>
      <c r="Q773" s="1893"/>
      <c r="R773" s="1872"/>
      <c r="S773" s="1931"/>
      <c r="T773" s="1915"/>
      <c r="U773" s="1930"/>
      <c r="V773" s="1893">
        <v>11</v>
      </c>
      <c r="W773" s="1872">
        <v>12</v>
      </c>
      <c r="X773" s="1931">
        <v>0.39</v>
      </c>
      <c r="Y773" s="1915">
        <v>0.56999999999999995</v>
      </c>
      <c r="Z773" s="1930"/>
      <c r="AA773" s="1893">
        <v>11</v>
      </c>
      <c r="AB773" s="1872">
        <v>12</v>
      </c>
      <c r="AC773" s="1931">
        <v>0.2</v>
      </c>
      <c r="AD773" s="1915">
        <v>0.33</v>
      </c>
      <c r="AF773" s="1893">
        <v>11</v>
      </c>
      <c r="AG773" s="1872">
        <v>12</v>
      </c>
      <c r="AH773" s="1931"/>
      <c r="AI773" s="1915"/>
      <c r="AK773" s="1955">
        <f t="shared" si="117"/>
        <v>0.28000000000000003</v>
      </c>
      <c r="AL773" s="1926">
        <f t="shared" si="118"/>
        <v>0.39</v>
      </c>
      <c r="AM773" s="1926">
        <f t="shared" si="116"/>
        <v>0.2</v>
      </c>
      <c r="AN773" s="1956">
        <f t="shared" si="119"/>
        <v>0</v>
      </c>
      <c r="AO773" s="1910"/>
      <c r="AP773" s="1889"/>
      <c r="AQ773" s="1935"/>
      <c r="AR773" s="1912"/>
    </row>
    <row r="774" spans="1:44">
      <c r="A774" s="1930"/>
      <c r="B774" s="1893"/>
      <c r="C774" s="1872"/>
      <c r="D774" s="1931"/>
      <c r="E774" s="1915"/>
      <c r="F774" s="1930"/>
      <c r="G774" s="1893">
        <v>12</v>
      </c>
      <c r="H774" s="1872">
        <v>13</v>
      </c>
      <c r="I774" s="1931">
        <v>0.33</v>
      </c>
      <c r="J774" s="1915">
        <v>0.47</v>
      </c>
      <c r="K774" s="1930"/>
      <c r="L774" s="1893">
        <v>12</v>
      </c>
      <c r="M774" s="1872">
        <v>13</v>
      </c>
      <c r="N774" s="1931">
        <v>0.32</v>
      </c>
      <c r="O774" s="1915">
        <v>0.26</v>
      </c>
      <c r="P774" s="1930"/>
      <c r="Q774" s="1893"/>
      <c r="R774" s="1872"/>
      <c r="S774" s="1931"/>
      <c r="T774" s="1915"/>
      <c r="U774" s="1930"/>
      <c r="V774" s="1893">
        <v>12</v>
      </c>
      <c r="W774" s="1872">
        <v>13</v>
      </c>
      <c r="X774" s="1931">
        <v>0.49</v>
      </c>
      <c r="Y774" s="1915">
        <v>0.69</v>
      </c>
      <c r="Z774" s="1930"/>
      <c r="AA774" s="1893">
        <v>12</v>
      </c>
      <c r="AB774" s="1872">
        <v>13</v>
      </c>
      <c r="AC774" s="1931">
        <v>0.17</v>
      </c>
      <c r="AD774" s="1915">
        <v>0.28000000000000003</v>
      </c>
      <c r="AF774" s="1893">
        <v>12</v>
      </c>
      <c r="AG774" s="1872">
        <v>13</v>
      </c>
      <c r="AH774" s="1931"/>
      <c r="AI774" s="1915"/>
      <c r="AK774" s="1955">
        <f t="shared" si="117"/>
        <v>0.32</v>
      </c>
      <c r="AL774" s="1926">
        <f t="shared" si="118"/>
        <v>0.49</v>
      </c>
      <c r="AM774" s="1926">
        <f t="shared" si="116"/>
        <v>0.17</v>
      </c>
      <c r="AN774" s="1956">
        <f t="shared" si="119"/>
        <v>0</v>
      </c>
      <c r="AO774" s="1902"/>
      <c r="AP774" s="1873"/>
      <c r="AQ774" s="1935"/>
      <c r="AR774" s="1912"/>
    </row>
    <row r="775" spans="1:44">
      <c r="A775" s="1930"/>
      <c r="B775" s="1893"/>
      <c r="C775" s="1872"/>
      <c r="D775" s="1931"/>
      <c r="E775" s="1915"/>
      <c r="F775" s="1930"/>
      <c r="G775" s="1893">
        <v>13</v>
      </c>
      <c r="H775" s="1872">
        <v>14</v>
      </c>
      <c r="I775" s="1931">
        <v>0.14000000000000001</v>
      </c>
      <c r="J775" s="1915">
        <v>0.15</v>
      </c>
      <c r="K775" s="1930"/>
      <c r="L775" s="1893">
        <v>13</v>
      </c>
      <c r="M775" s="1872">
        <v>14</v>
      </c>
      <c r="N775" s="1931">
        <v>0.17</v>
      </c>
      <c r="O775" s="1915">
        <v>0.13</v>
      </c>
      <c r="P775" s="1930"/>
      <c r="Q775" s="1893"/>
      <c r="R775" s="1872"/>
      <c r="S775" s="1931"/>
      <c r="T775" s="1915"/>
      <c r="U775" s="1930"/>
      <c r="V775" s="1893">
        <v>13</v>
      </c>
      <c r="W775" s="1872">
        <v>14</v>
      </c>
      <c r="X775" s="1931">
        <v>0.32</v>
      </c>
      <c r="Y775" s="1915">
        <v>0.43</v>
      </c>
      <c r="Z775" s="1930"/>
      <c r="AA775" s="1893">
        <v>13</v>
      </c>
      <c r="AB775" s="1872">
        <v>14</v>
      </c>
      <c r="AC775" s="1931">
        <v>0.2</v>
      </c>
      <c r="AD775" s="1915">
        <v>0.32</v>
      </c>
      <c r="AF775" s="1893">
        <v>13</v>
      </c>
      <c r="AG775" s="1872">
        <v>14</v>
      </c>
      <c r="AH775" s="1931"/>
      <c r="AI775" s="1915"/>
      <c r="AK775" s="1955">
        <f t="shared" si="117"/>
        <v>0.17</v>
      </c>
      <c r="AL775" s="1926">
        <f t="shared" si="118"/>
        <v>0.32</v>
      </c>
      <c r="AM775" s="1926">
        <f t="shared" si="116"/>
        <v>0.2</v>
      </c>
      <c r="AN775" s="1956">
        <f t="shared" si="119"/>
        <v>0</v>
      </c>
      <c r="AO775" s="1902"/>
      <c r="AP775" s="1873"/>
      <c r="AQ775" s="1935"/>
      <c r="AR775" s="1912"/>
    </row>
    <row r="776" spans="1:44">
      <c r="A776" s="1930"/>
      <c r="B776" s="1893"/>
      <c r="C776" s="1872"/>
      <c r="D776" s="1931"/>
      <c r="E776" s="1915"/>
      <c r="F776" s="1930"/>
      <c r="G776" s="1893">
        <v>14</v>
      </c>
      <c r="H776" s="1872">
        <v>15</v>
      </c>
      <c r="I776" s="1931">
        <v>0.36</v>
      </c>
      <c r="J776" s="1915">
        <v>0.32</v>
      </c>
      <c r="K776" s="1930"/>
      <c r="L776" s="1893">
        <v>14</v>
      </c>
      <c r="M776" s="1872">
        <v>15</v>
      </c>
      <c r="N776" s="1931">
        <v>0.27</v>
      </c>
      <c r="O776" s="1915">
        <v>0.21</v>
      </c>
      <c r="P776" s="1930"/>
      <c r="Q776" s="1893"/>
      <c r="R776" s="1872"/>
      <c r="S776" s="1931"/>
      <c r="T776" s="1915"/>
      <c r="U776" s="1930"/>
      <c r="V776" s="1893">
        <v>14</v>
      </c>
      <c r="W776" s="1872">
        <v>15</v>
      </c>
      <c r="X776" s="1931">
        <v>0.35</v>
      </c>
      <c r="Y776" s="1915">
        <v>0.47</v>
      </c>
      <c r="Z776" s="1930"/>
      <c r="AA776" s="1893">
        <v>14</v>
      </c>
      <c r="AB776" s="1872">
        <v>15</v>
      </c>
      <c r="AC776" s="1931">
        <v>0.12</v>
      </c>
      <c r="AD776" s="1915">
        <v>0.19</v>
      </c>
      <c r="AF776" s="1893">
        <v>14</v>
      </c>
      <c r="AG776" s="1872">
        <v>15</v>
      </c>
      <c r="AH776" s="1931"/>
      <c r="AI776" s="1915"/>
      <c r="AK776" s="1955">
        <f t="shared" si="117"/>
        <v>0.27</v>
      </c>
      <c r="AL776" s="1926">
        <f t="shared" si="118"/>
        <v>0.35</v>
      </c>
      <c r="AM776" s="1926">
        <f t="shared" si="116"/>
        <v>0.12</v>
      </c>
      <c r="AN776" s="1956">
        <f t="shared" si="119"/>
        <v>0</v>
      </c>
      <c r="AO776" s="1902"/>
      <c r="AP776" s="1873"/>
      <c r="AQ776" s="1935"/>
      <c r="AR776" s="1912"/>
    </row>
    <row r="777" spans="1:44">
      <c r="A777" s="1930"/>
      <c r="B777" s="1893"/>
      <c r="C777" s="1872"/>
      <c r="D777" s="1931"/>
      <c r="E777" s="1915"/>
      <c r="F777" s="1930"/>
      <c r="G777" s="1893">
        <v>15</v>
      </c>
      <c r="H777" s="1872">
        <v>16</v>
      </c>
      <c r="I777" s="1931">
        <v>0.32</v>
      </c>
      <c r="J777" s="1915">
        <v>0.28999999999999998</v>
      </c>
      <c r="K777" s="1930"/>
      <c r="L777" s="1893">
        <v>15</v>
      </c>
      <c r="M777" s="1872">
        <v>16</v>
      </c>
      <c r="N777" s="1931">
        <v>0.36</v>
      </c>
      <c r="O777" s="1915">
        <v>0.3</v>
      </c>
      <c r="P777" s="1930"/>
      <c r="Q777" s="1893"/>
      <c r="R777" s="1872"/>
      <c r="S777" s="1931"/>
      <c r="T777" s="1915"/>
      <c r="U777" s="1930"/>
      <c r="V777" s="1893">
        <v>15</v>
      </c>
      <c r="W777" s="1872">
        <v>16</v>
      </c>
      <c r="X777" s="1931">
        <v>0.49</v>
      </c>
      <c r="Y777" s="1915">
        <v>0.69</v>
      </c>
      <c r="Z777" s="1930"/>
      <c r="AA777" s="1893">
        <v>15</v>
      </c>
      <c r="AB777" s="1872">
        <v>16</v>
      </c>
      <c r="AC777" s="1931">
        <v>0.21</v>
      </c>
      <c r="AD777" s="1915">
        <v>0.32</v>
      </c>
      <c r="AF777" s="1893">
        <v>15</v>
      </c>
      <c r="AG777" s="1872">
        <v>16</v>
      </c>
      <c r="AH777" s="1931"/>
      <c r="AI777" s="1915"/>
      <c r="AK777" s="1955">
        <f t="shared" si="117"/>
        <v>0.36</v>
      </c>
      <c r="AL777" s="1926">
        <f t="shared" si="118"/>
        <v>0.49</v>
      </c>
      <c r="AM777" s="1926">
        <f t="shared" si="116"/>
        <v>0.21</v>
      </c>
      <c r="AN777" s="1956">
        <f t="shared" si="119"/>
        <v>0</v>
      </c>
      <c r="AO777" s="1902"/>
      <c r="AP777" s="1873"/>
      <c r="AQ777" s="1935"/>
      <c r="AR777" s="1912"/>
    </row>
    <row r="778" spans="1:44">
      <c r="A778" s="1930"/>
      <c r="B778" s="1893"/>
      <c r="C778" s="1872"/>
      <c r="D778" s="1931"/>
      <c r="E778" s="1915"/>
      <c r="F778" s="1930"/>
      <c r="G778" s="1893">
        <v>16</v>
      </c>
      <c r="H778" s="1872">
        <v>17</v>
      </c>
      <c r="I778" s="1931">
        <v>0.34</v>
      </c>
      <c r="J778" s="1915">
        <v>0.41</v>
      </c>
      <c r="K778" s="1930"/>
      <c r="L778" s="1893">
        <v>16</v>
      </c>
      <c r="M778" s="1872">
        <v>17</v>
      </c>
      <c r="N778" s="1931">
        <v>0.26</v>
      </c>
      <c r="O778" s="1915">
        <v>0.25</v>
      </c>
      <c r="P778" s="1930"/>
      <c r="Q778" s="1893"/>
      <c r="R778" s="1872"/>
      <c r="S778" s="1931"/>
      <c r="T778" s="1915"/>
      <c r="U778" s="1930"/>
      <c r="V778" s="1893">
        <v>16</v>
      </c>
      <c r="W778" s="1872">
        <v>17</v>
      </c>
      <c r="X778" s="1931">
        <v>0.45</v>
      </c>
      <c r="Y778" s="1915">
        <v>0.66</v>
      </c>
      <c r="Z778" s="1930"/>
      <c r="AA778" s="1893">
        <v>16</v>
      </c>
      <c r="AB778" s="1872">
        <v>17</v>
      </c>
      <c r="AC778" s="1931">
        <v>0.16</v>
      </c>
      <c r="AD778" s="1915">
        <v>0.25</v>
      </c>
      <c r="AF778" s="1893">
        <v>16</v>
      </c>
      <c r="AG778" s="1872">
        <v>17</v>
      </c>
      <c r="AH778" s="1931"/>
      <c r="AI778" s="1915"/>
      <c r="AK778" s="1955">
        <f t="shared" si="117"/>
        <v>0.26</v>
      </c>
      <c r="AL778" s="1926">
        <f t="shared" si="118"/>
        <v>0.45</v>
      </c>
      <c r="AM778" s="1926">
        <f t="shared" si="116"/>
        <v>0.16</v>
      </c>
      <c r="AN778" s="1956">
        <f t="shared" si="119"/>
        <v>0</v>
      </c>
      <c r="AO778" s="1902"/>
      <c r="AP778" s="1873"/>
      <c r="AQ778" s="1936"/>
      <c r="AR778" s="1937"/>
    </row>
    <row r="779" spans="1:44">
      <c r="A779" s="1930"/>
      <c r="B779" s="1894"/>
      <c r="C779" s="1895"/>
      <c r="D779" s="1932"/>
      <c r="E779" s="1916"/>
      <c r="F779" s="1930"/>
      <c r="G779" s="1894">
        <v>17</v>
      </c>
      <c r="H779" s="1895">
        <v>18</v>
      </c>
      <c r="I779" s="1932">
        <v>1.32</v>
      </c>
      <c r="J779" s="1916">
        <v>3.01</v>
      </c>
      <c r="K779" s="1930"/>
      <c r="L779" s="1894">
        <v>17</v>
      </c>
      <c r="M779" s="1895">
        <v>18</v>
      </c>
      <c r="N779" s="1932">
        <v>0.27</v>
      </c>
      <c r="O779" s="1916">
        <v>0.4</v>
      </c>
      <c r="P779" s="1930"/>
      <c r="Q779" s="1894"/>
      <c r="R779" s="1895"/>
      <c r="S779" s="1932"/>
      <c r="T779" s="1916"/>
      <c r="U779" s="1930"/>
      <c r="V779" s="1894">
        <v>17</v>
      </c>
      <c r="W779" s="1895">
        <v>18</v>
      </c>
      <c r="X779" s="1932">
        <v>0.5</v>
      </c>
      <c r="Y779" s="1916">
        <v>0.81</v>
      </c>
      <c r="Z779" s="1930"/>
      <c r="AA779" s="1894">
        <v>17</v>
      </c>
      <c r="AB779" s="1895">
        <v>18</v>
      </c>
      <c r="AC779" s="1932">
        <v>0.21</v>
      </c>
      <c r="AD779" s="1916">
        <v>0.34</v>
      </c>
      <c r="AF779" s="1894">
        <v>17</v>
      </c>
      <c r="AG779" s="1895">
        <v>18</v>
      </c>
      <c r="AH779" s="1932"/>
      <c r="AI779" s="1916"/>
      <c r="AK779" s="1957">
        <f t="shared" si="117"/>
        <v>0.27</v>
      </c>
      <c r="AL779" s="1958">
        <f t="shared" si="118"/>
        <v>0.5</v>
      </c>
      <c r="AM779" s="1958">
        <f t="shared" si="116"/>
        <v>0.21</v>
      </c>
      <c r="AN779" s="1959">
        <f t="shared" si="119"/>
        <v>0</v>
      </c>
      <c r="AO779" s="2766"/>
      <c r="AP779" s="2766"/>
      <c r="AQ779" s="1926"/>
      <c r="AR779" s="1913"/>
    </row>
    <row r="780" spans="1:44">
      <c r="A780" s="1934"/>
      <c r="B780" s="1910"/>
      <c r="C780" s="1889"/>
      <c r="D780" s="1933"/>
      <c r="E780" s="1911"/>
      <c r="F780" s="1934"/>
      <c r="G780" s="1910">
        <v>18</v>
      </c>
      <c r="H780" s="1889">
        <v>19</v>
      </c>
      <c r="I780" s="1933">
        <v>0.28999999999999998</v>
      </c>
      <c r="J780" s="1911">
        <v>0.73</v>
      </c>
      <c r="K780" s="1934"/>
      <c r="L780" s="1910">
        <v>18</v>
      </c>
      <c r="M780" s="1889">
        <v>19</v>
      </c>
      <c r="N780" s="1933">
        <v>0.25</v>
      </c>
      <c r="O780" s="1911">
        <v>0.45</v>
      </c>
      <c r="P780" s="1934"/>
      <c r="Q780" s="1910"/>
      <c r="R780" s="1889"/>
      <c r="S780" s="1933"/>
      <c r="T780" s="1911"/>
      <c r="U780" s="1934"/>
      <c r="V780" s="1910">
        <v>18</v>
      </c>
      <c r="W780" s="1889">
        <v>19</v>
      </c>
      <c r="X780" s="1933">
        <v>0.61</v>
      </c>
      <c r="Y780" s="1911">
        <v>1.05</v>
      </c>
      <c r="Z780" s="1934"/>
      <c r="AA780" s="1910">
        <v>18</v>
      </c>
      <c r="AB780" s="1889">
        <v>19</v>
      </c>
      <c r="AC780" s="1933">
        <v>0.18</v>
      </c>
      <c r="AD780" s="1911">
        <v>0.32</v>
      </c>
      <c r="AF780" s="1910">
        <v>18</v>
      </c>
      <c r="AG780" s="1889">
        <v>19</v>
      </c>
      <c r="AH780" s="1933"/>
      <c r="AI780" s="1911"/>
      <c r="AK780" s="1952">
        <f t="shared" si="117"/>
        <v>0.25</v>
      </c>
      <c r="AL780" s="1953">
        <f t="shared" si="118"/>
        <v>0.61</v>
      </c>
      <c r="AM780" s="1953">
        <f t="shared" si="116"/>
        <v>0.18</v>
      </c>
      <c r="AN780" s="1954">
        <f t="shared" si="119"/>
        <v>0</v>
      </c>
      <c r="AO780" s="1883"/>
      <c r="AP780" s="1871"/>
      <c r="AQ780" s="1926"/>
      <c r="AR780" s="1913"/>
    </row>
    <row r="781" spans="1:44">
      <c r="A781" s="1934"/>
      <c r="B781" s="1902"/>
      <c r="C781" s="1873"/>
      <c r="D781" s="1935"/>
      <c r="E781" s="1912"/>
      <c r="F781" s="1934"/>
      <c r="G781" s="1902">
        <v>19</v>
      </c>
      <c r="H781" s="1873">
        <v>20</v>
      </c>
      <c r="I781" s="1935">
        <v>0.33</v>
      </c>
      <c r="J781" s="1912">
        <v>0.9</v>
      </c>
      <c r="K781" s="1934"/>
      <c r="L781" s="1902">
        <v>19</v>
      </c>
      <c r="M781" s="1873">
        <v>20</v>
      </c>
      <c r="N781" s="1935">
        <v>0.23</v>
      </c>
      <c r="O781" s="1912">
        <v>0.45</v>
      </c>
      <c r="P781" s="1934"/>
      <c r="Q781" s="1902"/>
      <c r="R781" s="1873"/>
      <c r="S781" s="1935"/>
      <c r="T781" s="1912"/>
      <c r="U781" s="1934"/>
      <c r="V781" s="1902">
        <v>19</v>
      </c>
      <c r="W781" s="1873">
        <v>20</v>
      </c>
      <c r="X781" s="1935">
        <v>0.55000000000000004</v>
      </c>
      <c r="Y781" s="1912">
        <v>1.0900000000000001</v>
      </c>
      <c r="Z781" s="1934"/>
      <c r="AA781" s="1902">
        <v>19</v>
      </c>
      <c r="AB781" s="1873">
        <v>20</v>
      </c>
      <c r="AC781" s="1935">
        <v>0.36</v>
      </c>
      <c r="AD781" s="1912">
        <v>0.66</v>
      </c>
      <c r="AF781" s="1902">
        <v>19</v>
      </c>
      <c r="AG781" s="1873">
        <v>20</v>
      </c>
      <c r="AH781" s="1935"/>
      <c r="AI781" s="1912"/>
      <c r="AK781" s="1955">
        <f t="shared" si="117"/>
        <v>0.23</v>
      </c>
      <c r="AL781" s="1926">
        <f t="shared" si="118"/>
        <v>0.55000000000000004</v>
      </c>
      <c r="AM781" s="1926">
        <f t="shared" si="116"/>
        <v>0.36</v>
      </c>
      <c r="AN781" s="1956">
        <f t="shared" si="119"/>
        <v>0</v>
      </c>
      <c r="AO781" s="1883"/>
      <c r="AP781" s="1871"/>
      <c r="AQ781" s="1926"/>
      <c r="AR781" s="1913"/>
    </row>
    <row r="782" spans="1:44">
      <c r="A782" s="1934"/>
      <c r="B782" s="1902"/>
      <c r="C782" s="1873"/>
      <c r="D782" s="1935"/>
      <c r="E782" s="1912"/>
      <c r="F782" s="1934"/>
      <c r="G782" s="1902">
        <v>20</v>
      </c>
      <c r="H782" s="1873">
        <v>21</v>
      </c>
      <c r="I782" s="1935">
        <v>0.32</v>
      </c>
      <c r="J782" s="1912">
        <v>0.61</v>
      </c>
      <c r="K782" s="1934"/>
      <c r="L782" s="1902">
        <v>20</v>
      </c>
      <c r="M782" s="1873">
        <v>21</v>
      </c>
      <c r="N782" s="1935">
        <v>0.2</v>
      </c>
      <c r="O782" s="1912">
        <v>0.39</v>
      </c>
      <c r="P782" s="1934"/>
      <c r="Q782" s="1902"/>
      <c r="R782" s="1873"/>
      <c r="S782" s="1935"/>
      <c r="T782" s="1912"/>
      <c r="U782" s="1934"/>
      <c r="V782" s="1902">
        <v>20</v>
      </c>
      <c r="W782" s="1873">
        <v>21</v>
      </c>
      <c r="X782" s="1935">
        <v>0.66</v>
      </c>
      <c r="Y782" s="1912">
        <v>1.49</v>
      </c>
      <c r="Z782" s="1934"/>
      <c r="AA782" s="1902">
        <v>20</v>
      </c>
      <c r="AB782" s="1873">
        <v>21</v>
      </c>
      <c r="AC782" s="1935">
        <v>0.25</v>
      </c>
      <c r="AD782" s="1912">
        <v>0.51</v>
      </c>
      <c r="AF782" s="1902">
        <v>20</v>
      </c>
      <c r="AG782" s="1873">
        <v>21</v>
      </c>
      <c r="AH782" s="1935"/>
      <c r="AI782" s="1912"/>
      <c r="AK782" s="1955">
        <f t="shared" si="117"/>
        <v>0.2</v>
      </c>
      <c r="AL782" s="1926">
        <f t="shared" si="118"/>
        <v>0.66</v>
      </c>
      <c r="AM782" s="1926">
        <f t="shared" si="116"/>
        <v>0.25</v>
      </c>
      <c r="AN782" s="1956">
        <f t="shared" si="119"/>
        <v>0</v>
      </c>
      <c r="AO782" s="1883"/>
      <c r="AP782" s="1871"/>
      <c r="AQ782" s="1926"/>
      <c r="AR782" s="1913"/>
    </row>
    <row r="783" spans="1:44">
      <c r="A783" s="1934"/>
      <c r="B783" s="1902"/>
      <c r="C783" s="1873"/>
      <c r="D783" s="1935"/>
      <c r="E783" s="1912"/>
      <c r="F783" s="1934"/>
      <c r="G783" s="1902">
        <v>21</v>
      </c>
      <c r="H783" s="1873">
        <v>22</v>
      </c>
      <c r="I783" s="1935">
        <v>0.4</v>
      </c>
      <c r="J783" s="1912">
        <v>0.71</v>
      </c>
      <c r="K783" s="1934"/>
      <c r="L783" s="1902">
        <v>21</v>
      </c>
      <c r="M783" s="1873">
        <v>22</v>
      </c>
      <c r="N783" s="1935">
        <v>0.19</v>
      </c>
      <c r="O783" s="1912">
        <v>0.37</v>
      </c>
      <c r="P783" s="1934"/>
      <c r="Q783" s="1902"/>
      <c r="R783" s="1873"/>
      <c r="S783" s="1935"/>
      <c r="T783" s="1912"/>
      <c r="U783" s="1934"/>
      <c r="V783" s="1902">
        <v>21</v>
      </c>
      <c r="W783" s="1873">
        <v>22</v>
      </c>
      <c r="X783" s="1935">
        <v>0.41</v>
      </c>
      <c r="Y783" s="1912">
        <v>0.81</v>
      </c>
      <c r="Z783" s="1934"/>
      <c r="AA783" s="1902">
        <v>21</v>
      </c>
      <c r="AB783" s="1873">
        <v>22</v>
      </c>
      <c r="AC783" s="1935">
        <v>0.34</v>
      </c>
      <c r="AD783" s="1912">
        <v>0.69</v>
      </c>
      <c r="AF783" s="1902">
        <v>21</v>
      </c>
      <c r="AG783" s="1873">
        <v>22</v>
      </c>
      <c r="AH783" s="1935"/>
      <c r="AI783" s="1912"/>
      <c r="AK783" s="1955">
        <f t="shared" si="117"/>
        <v>0.19</v>
      </c>
      <c r="AL783" s="1926">
        <f t="shared" si="118"/>
        <v>0.41</v>
      </c>
      <c r="AM783" s="1926">
        <f t="shared" si="116"/>
        <v>0.34</v>
      </c>
      <c r="AN783" s="1956">
        <f t="shared" si="119"/>
        <v>0</v>
      </c>
      <c r="AO783" s="1883"/>
      <c r="AP783" s="1871"/>
      <c r="AQ783" s="1926"/>
      <c r="AR783" s="1913"/>
    </row>
    <row r="784" spans="1:44">
      <c r="A784" s="1934"/>
      <c r="B784" s="1902"/>
      <c r="C784" s="1873"/>
      <c r="D784" s="1935"/>
      <c r="E784" s="1912"/>
      <c r="F784" s="1934"/>
      <c r="G784" s="1902">
        <v>22</v>
      </c>
      <c r="H784" s="1873">
        <v>23</v>
      </c>
      <c r="I784" s="1935">
        <v>0.37</v>
      </c>
      <c r="J784" s="1912">
        <v>0.64</v>
      </c>
      <c r="K784" s="1934"/>
      <c r="L784" s="1902">
        <v>22</v>
      </c>
      <c r="M784" s="1873">
        <v>23</v>
      </c>
      <c r="N784" s="1935">
        <v>0.22</v>
      </c>
      <c r="O784" s="1912">
        <v>0.42</v>
      </c>
      <c r="P784" s="1934"/>
      <c r="Q784" s="1902"/>
      <c r="R784" s="1873"/>
      <c r="S784" s="1935"/>
      <c r="T784" s="1912"/>
      <c r="U784" s="1934"/>
      <c r="V784" s="1902">
        <v>22</v>
      </c>
      <c r="W784" s="1873">
        <v>23</v>
      </c>
      <c r="X784" s="1935">
        <v>0.3</v>
      </c>
      <c r="Y784" s="1912">
        <v>0.52</v>
      </c>
      <c r="Z784" s="1934"/>
      <c r="AA784" s="1902">
        <v>22</v>
      </c>
      <c r="AB784" s="1873">
        <v>23</v>
      </c>
      <c r="AC784" s="1935">
        <v>0.45</v>
      </c>
      <c r="AD784" s="1912">
        <v>0.88</v>
      </c>
      <c r="AF784" s="1902">
        <v>22</v>
      </c>
      <c r="AG784" s="1873">
        <v>23</v>
      </c>
      <c r="AH784" s="1935"/>
      <c r="AI784" s="1912"/>
      <c r="AK784" s="1955">
        <f t="shared" si="117"/>
        <v>0.22</v>
      </c>
      <c r="AL784" s="1926">
        <f t="shared" si="118"/>
        <v>0.3</v>
      </c>
      <c r="AM784" s="1926">
        <f t="shared" si="116"/>
        <v>0.45</v>
      </c>
      <c r="AN784" s="1956">
        <f t="shared" si="119"/>
        <v>0</v>
      </c>
      <c r="AO784" s="1883"/>
      <c r="AP784" s="1871"/>
      <c r="AQ784" s="1926"/>
      <c r="AR784" s="1913"/>
    </row>
    <row r="785" spans="1:44" ht="15" thickBot="1">
      <c r="A785" s="1934"/>
      <c r="B785" s="1902"/>
      <c r="C785" s="1873"/>
      <c r="D785" s="1935"/>
      <c r="E785" s="1912"/>
      <c r="F785" s="1934"/>
      <c r="G785" s="1902">
        <v>23</v>
      </c>
      <c r="H785" s="1873">
        <v>24</v>
      </c>
      <c r="I785" s="1935">
        <v>0.24</v>
      </c>
      <c r="J785" s="1912">
        <v>0.4</v>
      </c>
      <c r="K785" s="1934"/>
      <c r="L785" s="1902">
        <v>23</v>
      </c>
      <c r="M785" s="1873">
        <v>24</v>
      </c>
      <c r="N785" s="1935">
        <v>0.13</v>
      </c>
      <c r="O785" s="1912" t="s">
        <v>1393</v>
      </c>
      <c r="P785" s="1934"/>
      <c r="Q785" s="1902"/>
      <c r="R785" s="1873"/>
      <c r="S785" s="1935"/>
      <c r="T785" s="1912"/>
      <c r="U785" s="1934"/>
      <c r="V785" s="1902">
        <v>23</v>
      </c>
      <c r="W785" s="1873">
        <v>24</v>
      </c>
      <c r="X785" s="1935">
        <v>0.32</v>
      </c>
      <c r="Y785" s="1912">
        <v>0.53</v>
      </c>
      <c r="Z785" s="1934"/>
      <c r="AA785" s="1902">
        <v>23</v>
      </c>
      <c r="AB785" s="1873">
        <v>24</v>
      </c>
      <c r="AC785" s="1935">
        <v>0.23</v>
      </c>
      <c r="AD785" s="1912">
        <v>0.42</v>
      </c>
      <c r="AF785" s="1902">
        <v>23</v>
      </c>
      <c r="AG785" s="1873">
        <v>24</v>
      </c>
      <c r="AH785" s="1935"/>
      <c r="AI785" s="1912"/>
      <c r="AK785" s="1957">
        <f t="shared" si="117"/>
        <v>0.13</v>
      </c>
      <c r="AL785" s="1958">
        <f t="shared" si="118"/>
        <v>0.32</v>
      </c>
      <c r="AM785" s="1958">
        <f t="shared" si="116"/>
        <v>0.23</v>
      </c>
      <c r="AN785" s="1959">
        <f t="shared" si="119"/>
        <v>0</v>
      </c>
      <c r="AO785" s="1883"/>
      <c r="AP785" s="1871"/>
      <c r="AQ785" s="1926"/>
      <c r="AR785" s="1913"/>
    </row>
    <row r="786" spans="1:44">
      <c r="B786" s="2766"/>
      <c r="C786" s="2766"/>
      <c r="D786" s="1922">
        <f>SUM(D787:D810)</f>
        <v>0</v>
      </c>
      <c r="E786" s="1923">
        <f>SUM(E787:E810)</f>
        <v>0</v>
      </c>
      <c r="G786" s="2766">
        <v>45016</v>
      </c>
      <c r="H786" s="2766"/>
      <c r="I786" s="1922">
        <f>SUM(I787:I810)</f>
        <v>7.419999999999999</v>
      </c>
      <c r="J786" s="1923">
        <f>SUM(J787:J810)</f>
        <v>14.780000000000001</v>
      </c>
      <c r="L786" s="2769"/>
      <c r="M786" s="2769"/>
      <c r="N786" s="1938"/>
      <c r="O786" s="1939"/>
      <c r="Q786" s="2766">
        <v>45077</v>
      </c>
      <c r="R786" s="2766"/>
      <c r="S786" s="1936"/>
      <c r="T786" s="1937"/>
      <c r="V786" s="2766">
        <v>45077</v>
      </c>
      <c r="W786" s="2766"/>
      <c r="X786" s="1936">
        <f>SUM(X787:X810)</f>
        <v>10.499999999999998</v>
      </c>
      <c r="Y786" s="1937">
        <f>SUM(Y787:Y810)</f>
        <v>13.570000000000002</v>
      </c>
      <c r="AA786" s="2770"/>
      <c r="AB786" s="2770"/>
      <c r="AC786" s="1938"/>
      <c r="AD786" s="1939"/>
      <c r="AF786" s="2766">
        <v>45138</v>
      </c>
      <c r="AG786" s="2766"/>
      <c r="AH786" s="1936">
        <f>SUM(AH787:AH810)</f>
        <v>0</v>
      </c>
      <c r="AI786" s="1937">
        <f>SUM(AI787:AI810)</f>
        <v>0</v>
      </c>
      <c r="AO786" s="1883"/>
      <c r="AP786" s="1871"/>
      <c r="AQ786" s="1928"/>
      <c r="AR786" s="1917"/>
    </row>
    <row r="787" spans="1:44">
      <c r="B787" s="1883"/>
      <c r="C787" s="1871"/>
      <c r="D787" s="1926"/>
      <c r="E787" s="1913"/>
      <c r="G787" s="1883">
        <v>0</v>
      </c>
      <c r="H787" s="1871">
        <v>1</v>
      </c>
      <c r="I787" s="1926">
        <v>0.18</v>
      </c>
      <c r="J787" s="1913">
        <v>0.26</v>
      </c>
      <c r="L787" s="1883"/>
      <c r="M787" s="1871"/>
      <c r="N787" s="1926"/>
      <c r="O787" s="1913"/>
      <c r="Q787" s="1883"/>
      <c r="R787" s="1871"/>
      <c r="S787" s="1926"/>
      <c r="T787" s="1913"/>
      <c r="U787" s="1927"/>
      <c r="V787" s="1883">
        <v>0</v>
      </c>
      <c r="W787" s="1871">
        <v>1</v>
      </c>
      <c r="X787" s="1926">
        <v>0.28999999999999998</v>
      </c>
      <c r="Y787" s="1913">
        <v>0.47</v>
      </c>
      <c r="AA787" s="1906"/>
      <c r="AB787" s="1906"/>
      <c r="AC787" s="1940"/>
      <c r="AD787" s="1907"/>
      <c r="AF787" s="1883">
        <v>0</v>
      </c>
      <c r="AG787" s="1871">
        <v>1</v>
      </c>
      <c r="AH787" s="1926"/>
      <c r="AI787" s="1913"/>
      <c r="AK787" s="1952">
        <f>N787</f>
        <v>0</v>
      </c>
      <c r="AL787" s="1953">
        <f>X787</f>
        <v>0.28999999999999998</v>
      </c>
      <c r="AM787" s="1953">
        <f t="shared" ref="AM787:AM810" si="120">AC787</f>
        <v>0</v>
      </c>
      <c r="AN787" s="1954">
        <f>AH787</f>
        <v>0</v>
      </c>
      <c r="AO787" s="1908"/>
      <c r="AP787" s="1909"/>
      <c r="AQ787" s="1929"/>
      <c r="AR787" s="1914"/>
    </row>
    <row r="788" spans="1:44">
      <c r="B788" s="1883"/>
      <c r="C788" s="1871"/>
      <c r="D788" s="1926"/>
      <c r="E788" s="1913"/>
      <c r="G788" s="1883">
        <v>1</v>
      </c>
      <c r="H788" s="1871">
        <v>2</v>
      </c>
      <c r="I788" s="1926">
        <v>0.13</v>
      </c>
      <c r="J788" s="1913">
        <v>0.19</v>
      </c>
      <c r="L788" s="1883"/>
      <c r="M788" s="1871"/>
      <c r="N788" s="1926"/>
      <c r="O788" s="1913"/>
      <c r="Q788" s="1883"/>
      <c r="R788" s="1871"/>
      <c r="S788" s="1926"/>
      <c r="T788" s="1913"/>
      <c r="U788" s="1927"/>
      <c r="V788" s="1883">
        <v>1</v>
      </c>
      <c r="W788" s="1871">
        <v>2</v>
      </c>
      <c r="X788" s="1926">
        <v>0.26</v>
      </c>
      <c r="Y788" s="1913">
        <v>0.41</v>
      </c>
      <c r="AA788" s="1906"/>
      <c r="AB788" s="1906"/>
      <c r="AC788" s="1940"/>
      <c r="AD788" s="1907"/>
      <c r="AF788" s="1883">
        <v>1</v>
      </c>
      <c r="AG788" s="1871">
        <v>2</v>
      </c>
      <c r="AH788" s="1926"/>
      <c r="AI788" s="1913"/>
      <c r="AK788" s="1955">
        <f t="shared" ref="AK788:AK810" si="121">N788</f>
        <v>0</v>
      </c>
      <c r="AL788" s="1926">
        <f t="shared" ref="AL788:AL810" si="122">X788</f>
        <v>0.26</v>
      </c>
      <c r="AM788" s="1926">
        <f t="shared" si="120"/>
        <v>0</v>
      </c>
      <c r="AN788" s="1956">
        <f t="shared" ref="AN788:AN810" si="123">AH788</f>
        <v>0</v>
      </c>
      <c r="AO788" s="1890"/>
      <c r="AP788" s="1891"/>
      <c r="AQ788" s="1931"/>
      <c r="AR788" s="1915"/>
    </row>
    <row r="789" spans="1:44">
      <c r="B789" s="1883"/>
      <c r="C789" s="1871"/>
      <c r="D789" s="1926"/>
      <c r="E789" s="1913"/>
      <c r="G789" s="1883">
        <v>2</v>
      </c>
      <c r="H789" s="1871">
        <v>3</v>
      </c>
      <c r="I789" s="1926">
        <v>0.1</v>
      </c>
      <c r="J789" s="1913">
        <v>0.14000000000000001</v>
      </c>
      <c r="L789" s="1883"/>
      <c r="M789" s="1871"/>
      <c r="N789" s="1926"/>
      <c r="O789" s="1913"/>
      <c r="Q789" s="1883"/>
      <c r="R789" s="1871"/>
      <c r="S789" s="1926"/>
      <c r="T789" s="1913"/>
      <c r="U789" s="1927"/>
      <c r="V789" s="1883">
        <v>2</v>
      </c>
      <c r="W789" s="1871">
        <v>3</v>
      </c>
      <c r="X789" s="1926">
        <v>0.38</v>
      </c>
      <c r="Y789" s="1913">
        <v>0.56999999999999995</v>
      </c>
      <c r="AA789" s="1906"/>
      <c r="AB789" s="1906"/>
      <c r="AC789" s="1940"/>
      <c r="AD789" s="1907"/>
      <c r="AF789" s="1883">
        <v>2</v>
      </c>
      <c r="AG789" s="1871">
        <v>3</v>
      </c>
      <c r="AH789" s="1926"/>
      <c r="AI789" s="1913"/>
      <c r="AK789" s="1955">
        <f t="shared" si="121"/>
        <v>0</v>
      </c>
      <c r="AL789" s="1926">
        <f t="shared" si="122"/>
        <v>0.38</v>
      </c>
      <c r="AM789" s="1926">
        <f t="shared" si="120"/>
        <v>0</v>
      </c>
      <c r="AN789" s="1956">
        <f t="shared" si="123"/>
        <v>0</v>
      </c>
      <c r="AO789" s="1893"/>
      <c r="AP789" s="1872"/>
      <c r="AQ789" s="1931"/>
      <c r="AR789" s="1915"/>
    </row>
    <row r="790" spans="1:44">
      <c r="B790" s="1883"/>
      <c r="C790" s="1871"/>
      <c r="D790" s="1926"/>
      <c r="E790" s="1913"/>
      <c r="G790" s="1883">
        <v>3</v>
      </c>
      <c r="H790" s="1871">
        <v>4</v>
      </c>
      <c r="I790" s="1926">
        <v>0.15</v>
      </c>
      <c r="J790" s="1913">
        <v>0.19</v>
      </c>
      <c r="L790" s="1883"/>
      <c r="M790" s="1871"/>
      <c r="N790" s="1926"/>
      <c r="O790" s="1913"/>
      <c r="Q790" s="1883"/>
      <c r="R790" s="1871"/>
      <c r="S790" s="1926"/>
      <c r="T790" s="1913"/>
      <c r="U790" s="1927"/>
      <c r="V790" s="1883">
        <v>3</v>
      </c>
      <c r="W790" s="1871">
        <v>4</v>
      </c>
      <c r="X790" s="1926">
        <v>0.27</v>
      </c>
      <c r="Y790" s="1913">
        <v>0.42</v>
      </c>
      <c r="AA790" s="1906"/>
      <c r="AB790" s="1906"/>
      <c r="AC790" s="1940"/>
      <c r="AD790" s="1907"/>
      <c r="AF790" s="1883">
        <v>3</v>
      </c>
      <c r="AG790" s="1871">
        <v>4</v>
      </c>
      <c r="AH790" s="1926"/>
      <c r="AI790" s="1913"/>
      <c r="AK790" s="1955">
        <f t="shared" si="121"/>
        <v>0</v>
      </c>
      <c r="AL790" s="1926">
        <f t="shared" si="122"/>
        <v>0.27</v>
      </c>
      <c r="AM790" s="1926">
        <f t="shared" si="120"/>
        <v>0</v>
      </c>
      <c r="AN790" s="1956">
        <f t="shared" si="123"/>
        <v>0</v>
      </c>
      <c r="AO790" s="1893"/>
      <c r="AP790" s="1872"/>
      <c r="AQ790" s="1931"/>
      <c r="AR790" s="1915"/>
    </row>
    <row r="791" spans="1:44">
      <c r="B791" s="1883"/>
      <c r="C791" s="1871"/>
      <c r="D791" s="1926"/>
      <c r="E791" s="1913"/>
      <c r="G791" s="1883">
        <v>4</v>
      </c>
      <c r="H791" s="1871">
        <v>5</v>
      </c>
      <c r="I791" s="1926">
        <v>0.09</v>
      </c>
      <c r="J791" s="1913">
        <v>0.13</v>
      </c>
      <c r="L791" s="1883"/>
      <c r="M791" s="1871"/>
      <c r="N791" s="1926"/>
      <c r="O791" s="1913"/>
      <c r="Q791" s="1883"/>
      <c r="R791" s="1871"/>
      <c r="S791" s="1926"/>
      <c r="T791" s="1913"/>
      <c r="U791" s="1927"/>
      <c r="V791" s="1883">
        <v>4</v>
      </c>
      <c r="W791" s="1871">
        <v>5</v>
      </c>
      <c r="X791" s="1926">
        <v>0.27</v>
      </c>
      <c r="Y791" s="1913">
        <v>0.43</v>
      </c>
      <c r="AA791" s="1906"/>
      <c r="AB791" s="1906"/>
      <c r="AC791" s="1940"/>
      <c r="AD791" s="1907"/>
      <c r="AF791" s="1883">
        <v>4</v>
      </c>
      <c r="AG791" s="1871">
        <v>5</v>
      </c>
      <c r="AH791" s="1926"/>
      <c r="AI791" s="1913"/>
      <c r="AK791" s="1955">
        <f t="shared" si="121"/>
        <v>0</v>
      </c>
      <c r="AL791" s="1926">
        <f t="shared" si="122"/>
        <v>0.27</v>
      </c>
      <c r="AM791" s="1926">
        <f t="shared" si="120"/>
        <v>0</v>
      </c>
      <c r="AN791" s="1956">
        <f t="shared" si="123"/>
        <v>0</v>
      </c>
      <c r="AO791" s="1893"/>
      <c r="AP791" s="1872"/>
      <c r="AQ791" s="1931"/>
      <c r="AR791" s="1915"/>
    </row>
    <row r="792" spans="1:44">
      <c r="B792" s="1883"/>
      <c r="C792" s="1871"/>
      <c r="D792" s="1926"/>
      <c r="E792" s="1913"/>
      <c r="G792" s="1883">
        <v>5</v>
      </c>
      <c r="H792" s="1871">
        <v>6</v>
      </c>
      <c r="I792" s="1926">
        <v>7.0000000000000007E-2</v>
      </c>
      <c r="J792" s="1913">
        <v>0.11</v>
      </c>
      <c r="L792" s="1883"/>
      <c r="M792" s="1871"/>
      <c r="N792" s="1926"/>
      <c r="O792" s="1913"/>
      <c r="Q792" s="1883"/>
      <c r="R792" s="1871"/>
      <c r="S792" s="1926"/>
      <c r="T792" s="1913"/>
      <c r="U792" s="1927"/>
      <c r="V792" s="1883">
        <v>5</v>
      </c>
      <c r="W792" s="1871">
        <v>6</v>
      </c>
      <c r="X792" s="1926">
        <v>0.32</v>
      </c>
      <c r="Y792" s="1913">
        <v>0.53</v>
      </c>
      <c r="AA792" s="1906"/>
      <c r="AB792" s="1906"/>
      <c r="AC792" s="1940"/>
      <c r="AD792" s="1907"/>
      <c r="AF792" s="1883">
        <v>5</v>
      </c>
      <c r="AG792" s="1871">
        <v>6</v>
      </c>
      <c r="AH792" s="1926"/>
      <c r="AI792" s="1913"/>
      <c r="AK792" s="1955">
        <f t="shared" si="121"/>
        <v>0</v>
      </c>
      <c r="AL792" s="1926">
        <f t="shared" si="122"/>
        <v>0.32</v>
      </c>
      <c r="AM792" s="1926">
        <f t="shared" si="120"/>
        <v>0</v>
      </c>
      <c r="AN792" s="1956">
        <f t="shared" si="123"/>
        <v>0</v>
      </c>
      <c r="AO792" s="1893"/>
      <c r="AP792" s="1872"/>
      <c r="AQ792" s="1931"/>
      <c r="AR792" s="1915"/>
    </row>
    <row r="793" spans="1:44">
      <c r="B793" s="1883"/>
      <c r="C793" s="1871"/>
      <c r="D793" s="1926"/>
      <c r="E793" s="1913"/>
      <c r="G793" s="1883">
        <v>6</v>
      </c>
      <c r="H793" s="1871">
        <v>7</v>
      </c>
      <c r="I793" s="1926">
        <v>0.28000000000000003</v>
      </c>
      <c r="J793" s="1913">
        <v>0.52</v>
      </c>
      <c r="L793" s="1883"/>
      <c r="M793" s="1871"/>
      <c r="N793" s="1926"/>
      <c r="O793" s="1913"/>
      <c r="Q793" s="1883"/>
      <c r="R793" s="1871"/>
      <c r="S793" s="1926"/>
      <c r="T793" s="1913"/>
      <c r="U793" s="1927"/>
      <c r="V793" s="1883">
        <v>6</v>
      </c>
      <c r="W793" s="1871">
        <v>7</v>
      </c>
      <c r="X793" s="1926">
        <v>0.32</v>
      </c>
      <c r="Y793" s="1913">
        <v>0.56999999999999995</v>
      </c>
      <c r="AA793" s="1906"/>
      <c r="AB793" s="1906"/>
      <c r="AC793" s="1940"/>
      <c r="AD793" s="1907"/>
      <c r="AF793" s="1883">
        <v>6</v>
      </c>
      <c r="AG793" s="1871">
        <v>7</v>
      </c>
      <c r="AH793" s="1926"/>
      <c r="AI793" s="1913"/>
      <c r="AK793" s="1955">
        <f t="shared" si="121"/>
        <v>0</v>
      </c>
      <c r="AL793" s="1926">
        <f t="shared" si="122"/>
        <v>0.32</v>
      </c>
      <c r="AM793" s="1926">
        <f t="shared" si="120"/>
        <v>0</v>
      </c>
      <c r="AN793" s="1956">
        <f t="shared" si="123"/>
        <v>0</v>
      </c>
      <c r="AO793" s="1893"/>
      <c r="AP793" s="1872"/>
      <c r="AQ793" s="1931"/>
      <c r="AR793" s="1915"/>
    </row>
    <row r="794" spans="1:44">
      <c r="B794" s="1908"/>
      <c r="C794" s="1909"/>
      <c r="D794" s="1928"/>
      <c r="E794" s="1917"/>
      <c r="G794" s="1908">
        <v>7</v>
      </c>
      <c r="H794" s="1909">
        <v>8</v>
      </c>
      <c r="I794" s="1928">
        <v>0.28000000000000003</v>
      </c>
      <c r="J794" s="1917">
        <v>0.56999999999999995</v>
      </c>
      <c r="L794" s="1908"/>
      <c r="M794" s="1909"/>
      <c r="N794" s="1928"/>
      <c r="O794" s="1917"/>
      <c r="Q794" s="1908"/>
      <c r="R794" s="1909"/>
      <c r="S794" s="1928"/>
      <c r="T794" s="1917"/>
      <c r="U794" s="1927"/>
      <c r="V794" s="1908">
        <v>7</v>
      </c>
      <c r="W794" s="1909">
        <v>8</v>
      </c>
      <c r="X794" s="1928">
        <v>0.32</v>
      </c>
      <c r="Y794" s="1917">
        <v>0.52</v>
      </c>
      <c r="AA794" s="1906"/>
      <c r="AB794" s="1906"/>
      <c r="AC794" s="1940"/>
      <c r="AD794" s="1907"/>
      <c r="AF794" s="1908">
        <v>7</v>
      </c>
      <c r="AG794" s="1909">
        <v>8</v>
      </c>
      <c r="AH794" s="1928"/>
      <c r="AI794" s="1917"/>
      <c r="AK794" s="1957">
        <f t="shared" si="121"/>
        <v>0</v>
      </c>
      <c r="AL794" s="1958">
        <f t="shared" si="122"/>
        <v>0.32</v>
      </c>
      <c r="AM794" s="1958">
        <f t="shared" si="120"/>
        <v>0</v>
      </c>
      <c r="AN794" s="1959">
        <f t="shared" si="123"/>
        <v>0</v>
      </c>
      <c r="AO794" s="1893"/>
      <c r="AP794" s="1872"/>
      <c r="AQ794" s="1931"/>
      <c r="AR794" s="1915"/>
    </row>
    <row r="795" spans="1:44">
      <c r="B795" s="1890"/>
      <c r="C795" s="1891"/>
      <c r="D795" s="1929"/>
      <c r="E795" s="1914"/>
      <c r="G795" s="1890">
        <v>8</v>
      </c>
      <c r="H795" s="1891">
        <v>9</v>
      </c>
      <c r="I795" s="1929">
        <v>0.35</v>
      </c>
      <c r="J795" s="1914">
        <v>0.74</v>
      </c>
      <c r="L795" s="1890"/>
      <c r="M795" s="1891"/>
      <c r="N795" s="1929"/>
      <c r="O795" s="1914"/>
      <c r="Q795" s="1890"/>
      <c r="R795" s="1891"/>
      <c r="S795" s="1929"/>
      <c r="T795" s="1914"/>
      <c r="U795" s="1930"/>
      <c r="V795" s="1890">
        <v>8</v>
      </c>
      <c r="W795" s="1891">
        <v>9</v>
      </c>
      <c r="X795" s="1929">
        <v>0.34</v>
      </c>
      <c r="Y795" s="1914">
        <v>0.51</v>
      </c>
      <c r="AA795" s="1906"/>
      <c r="AB795" s="1906"/>
      <c r="AC795" s="1940"/>
      <c r="AD795" s="1907"/>
      <c r="AF795" s="1890">
        <v>8</v>
      </c>
      <c r="AG795" s="1891">
        <v>9</v>
      </c>
      <c r="AH795" s="1929"/>
      <c r="AI795" s="1914"/>
      <c r="AK795" s="1952">
        <f t="shared" si="121"/>
        <v>0</v>
      </c>
      <c r="AL795" s="1953">
        <f t="shared" si="122"/>
        <v>0.34</v>
      </c>
      <c r="AM795" s="1953">
        <f t="shared" si="120"/>
        <v>0</v>
      </c>
      <c r="AN795" s="1954">
        <f t="shared" si="123"/>
        <v>0</v>
      </c>
      <c r="AO795" s="1893"/>
      <c r="AP795" s="1872"/>
      <c r="AQ795" s="1931"/>
      <c r="AR795" s="1915"/>
    </row>
    <row r="796" spans="1:44">
      <c r="B796" s="1893"/>
      <c r="C796" s="1872"/>
      <c r="D796" s="1931"/>
      <c r="E796" s="1915"/>
      <c r="G796" s="1893">
        <v>9</v>
      </c>
      <c r="H796" s="1872">
        <v>10</v>
      </c>
      <c r="I796" s="1931">
        <v>0.21</v>
      </c>
      <c r="J796" s="1915">
        <v>0.43</v>
      </c>
      <c r="L796" s="1893"/>
      <c r="M796" s="1872"/>
      <c r="N796" s="1931"/>
      <c r="O796" s="1915"/>
      <c r="Q796" s="1893"/>
      <c r="R796" s="1872"/>
      <c r="S796" s="1931"/>
      <c r="T796" s="1915"/>
      <c r="U796" s="1930"/>
      <c r="V796" s="1893">
        <v>9</v>
      </c>
      <c r="W796" s="1872">
        <v>10</v>
      </c>
      <c r="X796" s="1931">
        <v>0.49</v>
      </c>
      <c r="Y796" s="1915">
        <v>0.7</v>
      </c>
      <c r="AA796" s="1906"/>
      <c r="AB796" s="1906"/>
      <c r="AC796" s="1940"/>
      <c r="AD796" s="1907"/>
      <c r="AF796" s="1893">
        <v>9</v>
      </c>
      <c r="AG796" s="1872">
        <v>10</v>
      </c>
      <c r="AH796" s="1931"/>
      <c r="AI796" s="1915"/>
      <c r="AK796" s="1955">
        <f t="shared" si="121"/>
        <v>0</v>
      </c>
      <c r="AL796" s="1926">
        <f t="shared" si="122"/>
        <v>0.49</v>
      </c>
      <c r="AM796" s="1926">
        <f t="shared" si="120"/>
        <v>0</v>
      </c>
      <c r="AN796" s="1956">
        <f t="shared" si="123"/>
        <v>0</v>
      </c>
      <c r="AO796" s="1893"/>
      <c r="AP796" s="1872"/>
      <c r="AQ796" s="1932"/>
      <c r="AR796" s="1916"/>
    </row>
    <row r="797" spans="1:44">
      <c r="B797" s="1893"/>
      <c r="C797" s="1872"/>
      <c r="D797" s="1931"/>
      <c r="E797" s="1915"/>
      <c r="G797" s="1893">
        <v>10</v>
      </c>
      <c r="H797" s="1872">
        <v>11</v>
      </c>
      <c r="I797" s="1931">
        <v>0.3</v>
      </c>
      <c r="J797" s="1915">
        <v>0.59</v>
      </c>
      <c r="L797" s="1893"/>
      <c r="M797" s="1872"/>
      <c r="N797" s="1931"/>
      <c r="O797" s="1915"/>
      <c r="Q797" s="1893"/>
      <c r="R797" s="1872"/>
      <c r="S797" s="1931"/>
      <c r="T797" s="1915"/>
      <c r="U797" s="1930"/>
      <c r="V797" s="1893">
        <v>10</v>
      </c>
      <c r="W797" s="1872">
        <v>11</v>
      </c>
      <c r="X797" s="1931">
        <v>0.56999999999999995</v>
      </c>
      <c r="Y797" s="1915">
        <v>0.76</v>
      </c>
      <c r="AA797" s="1906"/>
      <c r="AB797" s="1906"/>
      <c r="AC797" s="1940"/>
      <c r="AD797" s="1907"/>
      <c r="AF797" s="1893">
        <v>10</v>
      </c>
      <c r="AG797" s="1872">
        <v>11</v>
      </c>
      <c r="AH797" s="1931"/>
      <c r="AI797" s="1915"/>
      <c r="AK797" s="1955">
        <f t="shared" si="121"/>
        <v>0</v>
      </c>
      <c r="AL797" s="1926">
        <f t="shared" si="122"/>
        <v>0.56999999999999995</v>
      </c>
      <c r="AM797" s="1926">
        <f t="shared" si="120"/>
        <v>0</v>
      </c>
      <c r="AN797" s="1956">
        <f t="shared" si="123"/>
        <v>0</v>
      </c>
      <c r="AO797" s="1894"/>
      <c r="AP797" s="1895"/>
      <c r="AQ797" s="1933"/>
      <c r="AR797" s="1911"/>
    </row>
    <row r="798" spans="1:44">
      <c r="B798" s="1893"/>
      <c r="C798" s="1872"/>
      <c r="D798" s="1931"/>
      <c r="E798" s="1915"/>
      <c r="G798" s="1893">
        <v>11</v>
      </c>
      <c r="H798" s="1872">
        <v>12</v>
      </c>
      <c r="I798" s="1931">
        <v>0.38</v>
      </c>
      <c r="J798" s="1915">
        <v>0.74</v>
      </c>
      <c r="L798" s="1893"/>
      <c r="M798" s="1872"/>
      <c r="N798" s="1931"/>
      <c r="O798" s="1915"/>
      <c r="Q798" s="1893"/>
      <c r="R798" s="1872"/>
      <c r="S798" s="1931"/>
      <c r="T798" s="1915"/>
      <c r="U798" s="1930"/>
      <c r="V798" s="1893">
        <v>11</v>
      </c>
      <c r="W798" s="1872">
        <v>12</v>
      </c>
      <c r="X798" s="1931">
        <v>0.56999999999999995</v>
      </c>
      <c r="Y798" s="1915">
        <v>0.71</v>
      </c>
      <c r="AA798" s="1906"/>
      <c r="AB798" s="1906"/>
      <c r="AC798" s="1940"/>
      <c r="AD798" s="1907"/>
      <c r="AF798" s="1893">
        <v>11</v>
      </c>
      <c r="AG798" s="1872">
        <v>12</v>
      </c>
      <c r="AH798" s="1931"/>
      <c r="AI798" s="1915"/>
      <c r="AK798" s="1955">
        <f t="shared" si="121"/>
        <v>0</v>
      </c>
      <c r="AL798" s="1926">
        <f t="shared" si="122"/>
        <v>0.56999999999999995</v>
      </c>
      <c r="AM798" s="1926">
        <f t="shared" si="120"/>
        <v>0</v>
      </c>
      <c r="AN798" s="1956">
        <f t="shared" si="123"/>
        <v>0</v>
      </c>
      <c r="AO798" s="1910"/>
      <c r="AP798" s="1889"/>
      <c r="AQ798" s="1935"/>
      <c r="AR798" s="1912"/>
    </row>
    <row r="799" spans="1:44">
      <c r="B799" s="1893"/>
      <c r="C799" s="1872"/>
      <c r="D799" s="1931"/>
      <c r="E799" s="1915"/>
      <c r="G799" s="1893">
        <v>12</v>
      </c>
      <c r="H799" s="1872">
        <v>13</v>
      </c>
      <c r="I799" s="1931">
        <v>0.27</v>
      </c>
      <c r="J799" s="1915">
        <v>0.48</v>
      </c>
      <c r="L799" s="1893"/>
      <c r="M799" s="1872"/>
      <c r="N799" s="1931"/>
      <c r="O799" s="1915"/>
      <c r="Q799" s="1893"/>
      <c r="R799" s="1872"/>
      <c r="S799" s="1931"/>
      <c r="T799" s="1915"/>
      <c r="U799" s="1930"/>
      <c r="V799" s="1893">
        <v>12</v>
      </c>
      <c r="W799" s="1872">
        <v>13</v>
      </c>
      <c r="X799" s="1931">
        <v>0.63</v>
      </c>
      <c r="Y799" s="1915">
        <v>0.52</v>
      </c>
      <c r="AA799" s="1906"/>
      <c r="AB799" s="1906"/>
      <c r="AC799" s="1940"/>
      <c r="AD799" s="1907"/>
      <c r="AF799" s="1893">
        <v>12</v>
      </c>
      <c r="AG799" s="1872">
        <v>13</v>
      </c>
      <c r="AH799" s="1931"/>
      <c r="AI799" s="1915"/>
      <c r="AK799" s="1955">
        <f t="shared" si="121"/>
        <v>0</v>
      </c>
      <c r="AL799" s="1926">
        <f t="shared" si="122"/>
        <v>0.63</v>
      </c>
      <c r="AM799" s="1926">
        <f t="shared" si="120"/>
        <v>0</v>
      </c>
      <c r="AN799" s="1956">
        <f t="shared" si="123"/>
        <v>0</v>
      </c>
      <c r="AO799" s="1902"/>
      <c r="AP799" s="1873"/>
      <c r="AQ799" s="1935"/>
      <c r="AR799" s="1912"/>
    </row>
    <row r="800" spans="1:44">
      <c r="B800" s="1893"/>
      <c r="C800" s="1872"/>
      <c r="D800" s="1931"/>
      <c r="E800" s="1915"/>
      <c r="G800" s="1893">
        <v>13</v>
      </c>
      <c r="H800" s="1872">
        <v>14</v>
      </c>
      <c r="I800" s="1931">
        <v>0.3</v>
      </c>
      <c r="J800" s="1915">
        <v>0.52</v>
      </c>
      <c r="L800" s="1893"/>
      <c r="M800" s="1872"/>
      <c r="N800" s="1931"/>
      <c r="O800" s="1915"/>
      <c r="Q800" s="1893"/>
      <c r="R800" s="1872"/>
      <c r="S800" s="1931"/>
      <c r="T800" s="1915"/>
      <c r="U800" s="1930"/>
      <c r="V800" s="1893">
        <v>13</v>
      </c>
      <c r="W800" s="1872">
        <v>14</v>
      </c>
      <c r="X800" s="1931">
        <v>0.49</v>
      </c>
      <c r="Y800" s="1915">
        <v>0.4</v>
      </c>
      <c r="AA800" s="1906"/>
      <c r="AB800" s="1906"/>
      <c r="AC800" s="1940"/>
      <c r="AD800" s="1907"/>
      <c r="AF800" s="1893">
        <v>13</v>
      </c>
      <c r="AG800" s="1872">
        <v>14</v>
      </c>
      <c r="AH800" s="1931"/>
      <c r="AI800" s="1915"/>
      <c r="AK800" s="1955">
        <f t="shared" si="121"/>
        <v>0</v>
      </c>
      <c r="AL800" s="1926">
        <f t="shared" si="122"/>
        <v>0.49</v>
      </c>
      <c r="AM800" s="1926">
        <f t="shared" si="120"/>
        <v>0</v>
      </c>
      <c r="AN800" s="1956">
        <f t="shared" si="123"/>
        <v>0</v>
      </c>
      <c r="AO800" s="1902"/>
      <c r="AP800" s="1873"/>
      <c r="AQ800" s="1935"/>
      <c r="AR800" s="1912"/>
    </row>
    <row r="801" spans="2:44">
      <c r="B801" s="1893"/>
      <c r="C801" s="1872"/>
      <c r="D801" s="1931"/>
      <c r="E801" s="1915"/>
      <c r="G801" s="1893">
        <v>14</v>
      </c>
      <c r="H801" s="1872">
        <v>15</v>
      </c>
      <c r="I801" s="1931">
        <v>0.11</v>
      </c>
      <c r="J801" s="1915">
        <v>0.19</v>
      </c>
      <c r="L801" s="1893"/>
      <c r="M801" s="1872"/>
      <c r="N801" s="1931"/>
      <c r="O801" s="1915"/>
      <c r="Q801" s="1893"/>
      <c r="R801" s="1872"/>
      <c r="S801" s="1931"/>
      <c r="T801" s="1915"/>
      <c r="U801" s="1930"/>
      <c r="V801" s="1893">
        <v>14</v>
      </c>
      <c r="W801" s="1872">
        <v>15</v>
      </c>
      <c r="X801" s="1931">
        <v>0.4</v>
      </c>
      <c r="Y801" s="1915">
        <v>0.32</v>
      </c>
      <c r="AA801" s="1906"/>
      <c r="AB801" s="1906"/>
      <c r="AC801" s="1940"/>
      <c r="AD801" s="1907"/>
      <c r="AF801" s="1893">
        <v>14</v>
      </c>
      <c r="AG801" s="1872">
        <v>15</v>
      </c>
      <c r="AH801" s="1931"/>
      <c r="AI801" s="1915"/>
      <c r="AK801" s="1955">
        <f t="shared" si="121"/>
        <v>0</v>
      </c>
      <c r="AL801" s="1926">
        <f t="shared" si="122"/>
        <v>0.4</v>
      </c>
      <c r="AM801" s="1926">
        <f t="shared" si="120"/>
        <v>0</v>
      </c>
      <c r="AN801" s="1956">
        <f t="shared" si="123"/>
        <v>0</v>
      </c>
      <c r="AO801" s="1902"/>
      <c r="AP801" s="1873"/>
      <c r="AQ801" s="1935"/>
      <c r="AR801" s="1912"/>
    </row>
    <row r="802" spans="2:44">
      <c r="B802" s="1893"/>
      <c r="C802" s="1872"/>
      <c r="D802" s="1931"/>
      <c r="E802" s="1915"/>
      <c r="G802" s="1893">
        <v>15</v>
      </c>
      <c r="H802" s="1872">
        <v>16</v>
      </c>
      <c r="I802" s="1931">
        <v>0.24</v>
      </c>
      <c r="J802" s="1915">
        <v>0.41</v>
      </c>
      <c r="L802" s="1893"/>
      <c r="M802" s="1872"/>
      <c r="N802" s="1931"/>
      <c r="O802" s="1915"/>
      <c r="Q802" s="1893"/>
      <c r="R802" s="1872"/>
      <c r="S802" s="1931"/>
      <c r="T802" s="1915"/>
      <c r="U802" s="1930"/>
      <c r="V802" s="1893">
        <v>15</v>
      </c>
      <c r="W802" s="1872">
        <v>16</v>
      </c>
      <c r="X802" s="1931">
        <v>0.6</v>
      </c>
      <c r="Y802" s="1915">
        <v>0.49</v>
      </c>
      <c r="AA802" s="1906"/>
      <c r="AB802" s="1906"/>
      <c r="AC802" s="1940"/>
      <c r="AD802" s="1907"/>
      <c r="AF802" s="1893">
        <v>15</v>
      </c>
      <c r="AG802" s="1872">
        <v>16</v>
      </c>
      <c r="AH802" s="1931"/>
      <c r="AI802" s="1915"/>
      <c r="AK802" s="1955">
        <f t="shared" si="121"/>
        <v>0</v>
      </c>
      <c r="AL802" s="1926">
        <f t="shared" si="122"/>
        <v>0.6</v>
      </c>
      <c r="AM802" s="1926">
        <f t="shared" si="120"/>
        <v>0</v>
      </c>
      <c r="AN802" s="1956">
        <f t="shared" si="123"/>
        <v>0</v>
      </c>
      <c r="AO802" s="1902"/>
      <c r="AP802" s="1873"/>
      <c r="AQ802" s="1935"/>
      <c r="AR802" s="1912"/>
    </row>
    <row r="803" spans="2:44">
      <c r="B803" s="1893"/>
      <c r="C803" s="1872"/>
      <c r="D803" s="1931"/>
      <c r="E803" s="1915"/>
      <c r="G803" s="1893">
        <v>16</v>
      </c>
      <c r="H803" s="1872">
        <v>17</v>
      </c>
      <c r="I803" s="1931">
        <v>1.17</v>
      </c>
      <c r="J803" s="1915">
        <v>2.0699999999999998</v>
      </c>
      <c r="L803" s="1893"/>
      <c r="M803" s="1872"/>
      <c r="N803" s="1931"/>
      <c r="O803" s="1915"/>
      <c r="Q803" s="1893"/>
      <c r="R803" s="1872"/>
      <c r="S803" s="1931"/>
      <c r="T803" s="1915"/>
      <c r="U803" s="1930"/>
      <c r="V803" s="1893">
        <v>16</v>
      </c>
      <c r="W803" s="1872">
        <v>17</v>
      </c>
      <c r="X803" s="1931">
        <v>0.48</v>
      </c>
      <c r="Y803" s="1915">
        <v>0.48</v>
      </c>
      <c r="AA803" s="1906"/>
      <c r="AB803" s="1906"/>
      <c r="AC803" s="1940"/>
      <c r="AD803" s="1907"/>
      <c r="AF803" s="1893">
        <v>16</v>
      </c>
      <c r="AG803" s="1872">
        <v>17</v>
      </c>
      <c r="AH803" s="1931"/>
      <c r="AI803" s="1915"/>
      <c r="AK803" s="1955">
        <f t="shared" si="121"/>
        <v>0</v>
      </c>
      <c r="AL803" s="1926">
        <f t="shared" si="122"/>
        <v>0.48</v>
      </c>
      <c r="AM803" s="1926">
        <f t="shared" si="120"/>
        <v>0</v>
      </c>
      <c r="AN803" s="1956">
        <f t="shared" si="123"/>
        <v>0</v>
      </c>
      <c r="AO803" s="1902"/>
      <c r="AP803" s="1873"/>
      <c r="AQ803" s="1936"/>
      <c r="AR803" s="1937"/>
    </row>
    <row r="804" spans="2:44">
      <c r="B804" s="1894"/>
      <c r="C804" s="1895"/>
      <c r="D804" s="1932"/>
      <c r="E804" s="1916"/>
      <c r="G804" s="1894">
        <v>17</v>
      </c>
      <c r="H804" s="1895">
        <v>18</v>
      </c>
      <c r="I804" s="1932">
        <v>1.27</v>
      </c>
      <c r="J804" s="1916">
        <v>3.26</v>
      </c>
      <c r="L804" s="1894"/>
      <c r="M804" s="1895"/>
      <c r="N804" s="1932"/>
      <c r="O804" s="1916"/>
      <c r="Q804" s="1894"/>
      <c r="R804" s="1895"/>
      <c r="S804" s="1932"/>
      <c r="T804" s="1916"/>
      <c r="U804" s="1930"/>
      <c r="V804" s="1894">
        <v>17</v>
      </c>
      <c r="W804" s="1895">
        <v>18</v>
      </c>
      <c r="X804" s="1932">
        <v>0.51</v>
      </c>
      <c r="Y804" s="1916">
        <v>0.66</v>
      </c>
      <c r="AA804" s="1906"/>
      <c r="AB804" s="1906"/>
      <c r="AC804" s="1940"/>
      <c r="AD804" s="1907"/>
      <c r="AF804" s="1894">
        <v>17</v>
      </c>
      <c r="AG804" s="1895">
        <v>18</v>
      </c>
      <c r="AH804" s="1932"/>
      <c r="AI804" s="1916"/>
      <c r="AK804" s="1957">
        <f t="shared" si="121"/>
        <v>0</v>
      </c>
      <c r="AL804" s="1958">
        <f t="shared" si="122"/>
        <v>0.51</v>
      </c>
      <c r="AM804" s="1958">
        <f t="shared" si="120"/>
        <v>0</v>
      </c>
      <c r="AN804" s="1959">
        <f t="shared" si="123"/>
        <v>0</v>
      </c>
      <c r="AO804" s="2766"/>
      <c r="AP804" s="2766"/>
      <c r="AQ804" s="1926"/>
      <c r="AR804" s="1913"/>
    </row>
    <row r="805" spans="2:44">
      <c r="B805" s="1910"/>
      <c r="C805" s="1889"/>
      <c r="D805" s="1933"/>
      <c r="E805" s="1911"/>
      <c r="G805" s="1910">
        <v>18</v>
      </c>
      <c r="H805" s="1889">
        <v>19</v>
      </c>
      <c r="I805" s="1933">
        <v>0.37</v>
      </c>
      <c r="J805" s="1911">
        <v>0.97</v>
      </c>
      <c r="L805" s="1910"/>
      <c r="M805" s="1889"/>
      <c r="N805" s="1933"/>
      <c r="O805" s="1911"/>
      <c r="Q805" s="1910"/>
      <c r="R805" s="1889"/>
      <c r="S805" s="1933"/>
      <c r="T805" s="1911"/>
      <c r="U805" s="1934"/>
      <c r="V805" s="1910">
        <v>18</v>
      </c>
      <c r="W805" s="1889">
        <v>19</v>
      </c>
      <c r="X805" s="1933">
        <v>0.73</v>
      </c>
      <c r="Y805" s="1911">
        <v>0.99</v>
      </c>
      <c r="AA805" s="1906"/>
      <c r="AB805" s="1906"/>
      <c r="AC805" s="1940"/>
      <c r="AD805" s="1907"/>
      <c r="AF805" s="1910">
        <v>18</v>
      </c>
      <c r="AG805" s="1889">
        <v>19</v>
      </c>
      <c r="AH805" s="1933"/>
      <c r="AI805" s="1911"/>
      <c r="AK805" s="1952">
        <f t="shared" si="121"/>
        <v>0</v>
      </c>
      <c r="AL805" s="1953">
        <f t="shared" si="122"/>
        <v>0.73</v>
      </c>
      <c r="AM805" s="1953">
        <f t="shared" si="120"/>
        <v>0</v>
      </c>
      <c r="AN805" s="1954">
        <f t="shared" si="123"/>
        <v>0</v>
      </c>
      <c r="AO805" s="1883"/>
      <c r="AP805" s="1871"/>
      <c r="AQ805" s="1926"/>
      <c r="AR805" s="1913"/>
    </row>
    <row r="806" spans="2:44">
      <c r="B806" s="1902"/>
      <c r="C806" s="1873"/>
      <c r="D806" s="1935"/>
      <c r="E806" s="1912"/>
      <c r="G806" s="1902">
        <v>19</v>
      </c>
      <c r="H806" s="1873">
        <v>20</v>
      </c>
      <c r="I806" s="1935">
        <v>0.3</v>
      </c>
      <c r="J806" s="1912">
        <v>0.79</v>
      </c>
      <c r="L806" s="1902"/>
      <c r="M806" s="1873"/>
      <c r="N806" s="1935"/>
      <c r="O806" s="1912"/>
      <c r="Q806" s="1902"/>
      <c r="R806" s="1873"/>
      <c r="S806" s="1935"/>
      <c r="T806" s="1912"/>
      <c r="U806" s="1934"/>
      <c r="V806" s="1902">
        <v>19</v>
      </c>
      <c r="W806" s="1873">
        <v>20</v>
      </c>
      <c r="X806" s="1935">
        <v>0.53</v>
      </c>
      <c r="Y806" s="1912">
        <v>0.72</v>
      </c>
      <c r="AA806" s="1906"/>
      <c r="AB806" s="1906"/>
      <c r="AC806" s="1940"/>
      <c r="AD806" s="1907"/>
      <c r="AF806" s="1902">
        <v>19</v>
      </c>
      <c r="AG806" s="1873">
        <v>20</v>
      </c>
      <c r="AH806" s="1935"/>
      <c r="AI806" s="1912"/>
      <c r="AK806" s="1955">
        <f t="shared" si="121"/>
        <v>0</v>
      </c>
      <c r="AL806" s="1926">
        <f t="shared" si="122"/>
        <v>0.53</v>
      </c>
      <c r="AM806" s="1926">
        <f t="shared" si="120"/>
        <v>0</v>
      </c>
      <c r="AN806" s="1956">
        <f t="shared" si="123"/>
        <v>0</v>
      </c>
      <c r="AO806" s="1883"/>
      <c r="AP806" s="1871"/>
      <c r="AQ806" s="1926"/>
      <c r="AR806" s="1913"/>
    </row>
    <row r="807" spans="2:44">
      <c r="B807" s="1902"/>
      <c r="C807" s="1873"/>
      <c r="D807" s="1935"/>
      <c r="E807" s="1912"/>
      <c r="G807" s="1902">
        <v>20</v>
      </c>
      <c r="H807" s="1873">
        <v>21</v>
      </c>
      <c r="I807" s="1935">
        <v>0.34</v>
      </c>
      <c r="J807" s="1912">
        <v>0.6</v>
      </c>
      <c r="L807" s="1902"/>
      <c r="M807" s="1873"/>
      <c r="N807" s="1935"/>
      <c r="O807" s="1912"/>
      <c r="Q807" s="1902"/>
      <c r="R807" s="1873"/>
      <c r="S807" s="1935"/>
      <c r="T807" s="1912"/>
      <c r="U807" s="1934"/>
      <c r="V807" s="1902">
        <v>20</v>
      </c>
      <c r="W807" s="1873">
        <v>21</v>
      </c>
      <c r="X807" s="1935">
        <v>0.52</v>
      </c>
      <c r="Y807" s="1912">
        <v>0.75</v>
      </c>
      <c r="AA807" s="1906"/>
      <c r="AB807" s="1906"/>
      <c r="AC807" s="1940"/>
      <c r="AD807" s="1907"/>
      <c r="AF807" s="1902">
        <v>20</v>
      </c>
      <c r="AG807" s="1873">
        <v>21</v>
      </c>
      <c r="AH807" s="1935"/>
      <c r="AI807" s="1912"/>
      <c r="AK807" s="1955">
        <f t="shared" si="121"/>
        <v>0</v>
      </c>
      <c r="AL807" s="1926">
        <f t="shared" si="122"/>
        <v>0.52</v>
      </c>
      <c r="AM807" s="1926">
        <f t="shared" si="120"/>
        <v>0</v>
      </c>
      <c r="AN807" s="1956">
        <f t="shared" si="123"/>
        <v>0</v>
      </c>
      <c r="AO807" s="1883"/>
      <c r="AP807" s="1871"/>
      <c r="AQ807" s="1926"/>
      <c r="AR807" s="1913"/>
    </row>
    <row r="808" spans="2:44">
      <c r="B808" s="1902"/>
      <c r="C808" s="1873"/>
      <c r="D808" s="1935"/>
      <c r="E808" s="1912"/>
      <c r="G808" s="1902">
        <v>21</v>
      </c>
      <c r="H808" s="1873">
        <v>22</v>
      </c>
      <c r="I808" s="1935">
        <v>0.22</v>
      </c>
      <c r="J808" s="1912">
        <v>0.38</v>
      </c>
      <c r="L808" s="1902"/>
      <c r="M808" s="1873"/>
      <c r="N808" s="1935"/>
      <c r="O808" s="1912"/>
      <c r="Q808" s="1902"/>
      <c r="R808" s="1873"/>
      <c r="S808" s="1935"/>
      <c r="T808" s="1912"/>
      <c r="U808" s="1934"/>
      <c r="V808" s="1902">
        <v>21</v>
      </c>
      <c r="W808" s="1873">
        <v>22</v>
      </c>
      <c r="X808" s="1935">
        <v>0.57999999999999996</v>
      </c>
      <c r="Y808" s="1912">
        <v>0.79</v>
      </c>
      <c r="AA808" s="1906"/>
      <c r="AB808" s="1906"/>
      <c r="AC808" s="1940"/>
      <c r="AD808" s="1907"/>
      <c r="AF808" s="1902">
        <v>21</v>
      </c>
      <c r="AG808" s="1873">
        <v>22</v>
      </c>
      <c r="AH808" s="1935"/>
      <c r="AI808" s="1912"/>
      <c r="AK808" s="1955">
        <f t="shared" si="121"/>
        <v>0</v>
      </c>
      <c r="AL808" s="1926">
        <f t="shared" si="122"/>
        <v>0.57999999999999996</v>
      </c>
      <c r="AM808" s="1926">
        <f t="shared" si="120"/>
        <v>0</v>
      </c>
      <c r="AN808" s="1956">
        <f t="shared" si="123"/>
        <v>0</v>
      </c>
      <c r="AO808" s="1883"/>
      <c r="AP808" s="1871"/>
      <c r="AQ808" s="1926"/>
      <c r="AR808" s="1913"/>
    </row>
    <row r="809" spans="2:44">
      <c r="B809" s="1902"/>
      <c r="C809" s="1873"/>
      <c r="D809" s="1935"/>
      <c r="E809" s="1912"/>
      <c r="G809" s="1902">
        <v>22</v>
      </c>
      <c r="H809" s="1873">
        <v>23</v>
      </c>
      <c r="I809" s="1935">
        <v>0.2</v>
      </c>
      <c r="J809" s="1912">
        <v>0.33</v>
      </c>
      <c r="L809" s="1902"/>
      <c r="M809" s="1873"/>
      <c r="N809" s="1935"/>
      <c r="O809" s="1912"/>
      <c r="Q809" s="1902"/>
      <c r="R809" s="1873"/>
      <c r="S809" s="1935"/>
      <c r="T809" s="1912"/>
      <c r="U809" s="1934"/>
      <c r="V809" s="1902">
        <v>22</v>
      </c>
      <c r="W809" s="1873">
        <v>23</v>
      </c>
      <c r="X809" s="1935">
        <v>0.37</v>
      </c>
      <c r="Y809" s="1912">
        <v>0.5</v>
      </c>
      <c r="AA809" s="1906"/>
      <c r="AB809" s="1906"/>
      <c r="AC809" s="1940"/>
      <c r="AD809" s="1907"/>
      <c r="AF809" s="1902">
        <v>22</v>
      </c>
      <c r="AG809" s="1873">
        <v>23</v>
      </c>
      <c r="AH809" s="1935"/>
      <c r="AI809" s="1912"/>
      <c r="AK809" s="1955">
        <f t="shared" si="121"/>
        <v>0</v>
      </c>
      <c r="AL809" s="1926">
        <f t="shared" si="122"/>
        <v>0.37</v>
      </c>
      <c r="AM809" s="1926">
        <f t="shared" si="120"/>
        <v>0</v>
      </c>
      <c r="AN809" s="1956">
        <f t="shared" si="123"/>
        <v>0</v>
      </c>
      <c r="AO809" s="1883"/>
      <c r="AP809" s="1871"/>
      <c r="AQ809" s="1926"/>
      <c r="AR809" s="1913"/>
    </row>
    <row r="810" spans="2:44">
      <c r="B810" s="1902"/>
      <c r="C810" s="1873"/>
      <c r="D810" s="1935"/>
      <c r="E810" s="1912"/>
      <c r="G810" s="1902">
        <v>23</v>
      </c>
      <c r="H810" s="1873">
        <v>24</v>
      </c>
      <c r="I810" s="1935">
        <v>0.11</v>
      </c>
      <c r="J810" s="1912">
        <v>0.17</v>
      </c>
      <c r="L810" s="1902"/>
      <c r="M810" s="1873"/>
      <c r="N810" s="1935"/>
      <c r="O810" s="1912"/>
      <c r="Q810" s="1902"/>
      <c r="R810" s="1873"/>
      <c r="S810" s="1935"/>
      <c r="T810" s="1912"/>
      <c r="U810" s="1934"/>
      <c r="V810" s="1902">
        <v>23</v>
      </c>
      <c r="W810" s="1873">
        <v>24</v>
      </c>
      <c r="X810" s="1935">
        <v>0.26</v>
      </c>
      <c r="Y810" s="1912">
        <v>0.35</v>
      </c>
      <c r="AA810" s="1906"/>
      <c r="AB810" s="1906"/>
      <c r="AC810" s="1940"/>
      <c r="AD810" s="1907"/>
      <c r="AF810" s="1902">
        <v>23</v>
      </c>
      <c r="AG810" s="1873">
        <v>24</v>
      </c>
      <c r="AH810" s="1935"/>
      <c r="AI810" s="1912"/>
      <c r="AK810" s="1957">
        <f t="shared" si="121"/>
        <v>0</v>
      </c>
      <c r="AL810" s="1958">
        <f t="shared" si="122"/>
        <v>0.26</v>
      </c>
      <c r="AM810" s="1958">
        <f t="shared" si="120"/>
        <v>0</v>
      </c>
      <c r="AN810" s="1959">
        <f t="shared" si="123"/>
        <v>0</v>
      </c>
      <c r="AO810" s="1883"/>
      <c r="AP810" s="1871"/>
      <c r="AQ810" s="1926"/>
      <c r="AR810" s="1913"/>
    </row>
    <row r="811" spans="2:44">
      <c r="I811" s="1941"/>
      <c r="J811" s="1942"/>
      <c r="N811" s="1941"/>
      <c r="O811" s="1942"/>
      <c r="AC811" s="1941"/>
      <c r="AD811" s="1942"/>
      <c r="AH811" s="1941"/>
      <c r="AI811" s="1942"/>
      <c r="AO811" s="1883"/>
      <c r="AP811" s="1871"/>
      <c r="AQ811" s="1928"/>
      <c r="AR811" s="1917"/>
    </row>
    <row r="812" spans="2:44">
      <c r="I812" s="1941"/>
      <c r="J812" s="1942"/>
      <c r="N812" s="1941"/>
      <c r="O812" s="1942"/>
      <c r="AC812" s="1941"/>
      <c r="AD812" s="1942"/>
      <c r="AH812" s="1941"/>
      <c r="AI812" s="1942"/>
      <c r="AO812" s="1908"/>
      <c r="AP812" s="1909"/>
      <c r="AQ812" s="1929"/>
      <c r="AR812" s="1914"/>
    </row>
    <row r="813" spans="2:44">
      <c r="I813" s="1941"/>
      <c r="J813" s="1942"/>
      <c r="N813" s="1941"/>
      <c r="O813" s="1942"/>
      <c r="AC813" s="1941"/>
      <c r="AD813" s="1942"/>
      <c r="AH813" s="1941"/>
      <c r="AI813" s="1942"/>
      <c r="AO813" s="1890"/>
      <c r="AP813" s="1891"/>
      <c r="AQ813" s="1931"/>
      <c r="AR813" s="1915"/>
    </row>
    <row r="814" spans="2:44">
      <c r="I814" s="1941"/>
      <c r="J814" s="1942"/>
      <c r="N814" s="1941"/>
      <c r="O814" s="1942"/>
      <c r="AC814" s="1941"/>
      <c r="AD814" s="1942"/>
      <c r="AH814" s="1941"/>
      <c r="AI814" s="1942"/>
      <c r="AO814" s="1893"/>
      <c r="AP814" s="1872"/>
      <c r="AQ814" s="1931"/>
      <c r="AR814" s="1915"/>
    </row>
    <row r="815" spans="2:44">
      <c r="I815" s="1941"/>
      <c r="J815" s="1942"/>
      <c r="N815" s="1941"/>
      <c r="O815" s="1942"/>
      <c r="AC815" s="1941"/>
      <c r="AD815" s="1942"/>
      <c r="AH815" s="1941"/>
      <c r="AI815" s="1942"/>
      <c r="AO815" s="1893"/>
      <c r="AP815" s="1872"/>
      <c r="AQ815" s="1931"/>
      <c r="AR815" s="1915"/>
    </row>
    <row r="816" spans="2:44">
      <c r="I816" s="1941"/>
      <c r="J816" s="1942"/>
      <c r="N816" s="1941"/>
      <c r="O816" s="1942"/>
      <c r="AC816" s="1941"/>
      <c r="AD816" s="1942"/>
      <c r="AH816" s="1941"/>
      <c r="AI816" s="1942"/>
      <c r="AO816" s="1893"/>
      <c r="AP816" s="1872"/>
      <c r="AQ816" s="1931"/>
      <c r="AR816" s="1915"/>
    </row>
    <row r="817" spans="9:44">
      <c r="I817" s="1941"/>
      <c r="J817" s="1942"/>
      <c r="N817" s="1941"/>
      <c r="O817" s="1942"/>
      <c r="AC817" s="1941"/>
      <c r="AD817" s="1942"/>
      <c r="AH817" s="1941"/>
      <c r="AI817" s="1942"/>
      <c r="AO817" s="1893"/>
      <c r="AP817" s="1872"/>
      <c r="AQ817" s="1931"/>
      <c r="AR817" s="1915"/>
    </row>
    <row r="818" spans="9:44">
      <c r="I818" s="1941"/>
      <c r="J818" s="1942"/>
      <c r="N818" s="1941"/>
      <c r="O818" s="1942"/>
      <c r="AC818" s="1941"/>
      <c r="AD818" s="1942"/>
      <c r="AH818" s="1941"/>
      <c r="AI818" s="1942"/>
      <c r="AO818" s="1893"/>
      <c r="AP818" s="1872"/>
      <c r="AQ818" s="1931"/>
      <c r="AR818" s="1915"/>
    </row>
    <row r="819" spans="9:44">
      <c r="I819" s="1941"/>
      <c r="J819" s="1942"/>
      <c r="N819" s="1941"/>
      <c r="O819" s="1942"/>
      <c r="AC819" s="1941"/>
      <c r="AD819" s="1942"/>
      <c r="AH819" s="1941"/>
      <c r="AI819" s="1942"/>
      <c r="AO819" s="1893"/>
      <c r="AP819" s="1872"/>
      <c r="AQ819" s="1931"/>
      <c r="AR819" s="1915"/>
    </row>
    <row r="820" spans="9:44">
      <c r="I820" s="1941"/>
      <c r="J820" s="1942"/>
      <c r="N820" s="1941"/>
      <c r="O820" s="1942"/>
      <c r="AC820" s="1941"/>
      <c r="AD820" s="1942"/>
      <c r="AH820" s="1941"/>
      <c r="AI820" s="1942"/>
      <c r="AO820" s="1893"/>
      <c r="AP820" s="1872"/>
      <c r="AQ820" s="1931"/>
      <c r="AR820" s="1915"/>
    </row>
    <row r="821" spans="9:44">
      <c r="I821" s="1941"/>
      <c r="J821" s="1942"/>
      <c r="N821" s="1941"/>
      <c r="O821" s="1942"/>
      <c r="AC821" s="1941"/>
      <c r="AD821" s="1942"/>
      <c r="AH821" s="1941"/>
      <c r="AI821" s="1942"/>
      <c r="AO821" s="1893"/>
      <c r="AP821" s="1872"/>
      <c r="AQ821" s="1932"/>
      <c r="AR821" s="1916"/>
    </row>
    <row r="822" spans="9:44">
      <c r="I822" s="1941"/>
      <c r="J822" s="1942"/>
      <c r="N822" s="1941"/>
      <c r="O822" s="1942"/>
      <c r="AC822" s="1941"/>
      <c r="AD822" s="1942"/>
      <c r="AH822" s="1941"/>
      <c r="AI822" s="1942"/>
      <c r="AO822" s="1894"/>
      <c r="AP822" s="1895"/>
      <c r="AQ822" s="1933"/>
      <c r="AR822" s="1911"/>
    </row>
    <row r="823" spans="9:44">
      <c r="I823" s="1941"/>
      <c r="J823" s="1942"/>
      <c r="N823" s="1941"/>
      <c r="O823" s="1942"/>
      <c r="AC823" s="1941"/>
      <c r="AD823" s="1942"/>
      <c r="AH823" s="1941"/>
      <c r="AI823" s="1942"/>
      <c r="AO823" s="1910"/>
      <c r="AP823" s="1889"/>
      <c r="AQ823" s="1935"/>
      <c r="AR823" s="1912"/>
    </row>
    <row r="824" spans="9:44">
      <c r="I824" s="1941"/>
      <c r="J824" s="1942"/>
      <c r="N824" s="1941"/>
      <c r="O824" s="1942"/>
      <c r="AC824" s="1941"/>
      <c r="AD824" s="1942"/>
      <c r="AH824" s="1941"/>
      <c r="AI824" s="1942"/>
      <c r="AO824" s="1902"/>
      <c r="AP824" s="1873"/>
      <c r="AQ824" s="1935"/>
      <c r="AR824" s="1912"/>
    </row>
    <row r="825" spans="9:44">
      <c r="I825" s="1941"/>
      <c r="J825" s="1942"/>
      <c r="N825" s="1941"/>
      <c r="O825" s="1942"/>
      <c r="AO825" s="1902"/>
      <c r="AP825" s="1873"/>
      <c r="AQ825" s="1935"/>
      <c r="AR825" s="1912"/>
    </row>
    <row r="826" spans="9:44">
      <c r="I826" s="1941"/>
      <c r="J826" s="1942"/>
      <c r="N826" s="1941"/>
      <c r="O826" s="1942"/>
      <c r="AO826" s="1902"/>
      <c r="AP826" s="1873"/>
      <c r="AQ826" s="1935"/>
      <c r="AR826" s="1912"/>
    </row>
    <row r="827" spans="9:44">
      <c r="I827" s="1941"/>
      <c r="J827" s="1942"/>
      <c r="N827" s="1941"/>
      <c r="O827" s="1942"/>
      <c r="AO827" s="1902"/>
      <c r="AP827" s="1873"/>
      <c r="AQ827" s="1935"/>
      <c r="AR827" s="1912"/>
    </row>
    <row r="828" spans="9:44">
      <c r="I828" s="1941"/>
      <c r="J828" s="1942"/>
      <c r="N828" s="1941"/>
      <c r="O828" s="1942"/>
      <c r="AO828" s="1902"/>
      <c r="AP828" s="1873"/>
      <c r="AQ828" s="1936"/>
      <c r="AR828" s="1937"/>
    </row>
    <row r="829" spans="9:44">
      <c r="I829" s="1941"/>
      <c r="J829" s="1942"/>
      <c r="N829" s="1941"/>
      <c r="O829" s="1942"/>
      <c r="AO829" s="2766"/>
      <c r="AP829" s="2766"/>
      <c r="AQ829" s="1926"/>
      <c r="AR829" s="1913"/>
    </row>
    <row r="830" spans="9:44">
      <c r="I830" s="1941"/>
      <c r="J830" s="1942"/>
      <c r="N830" s="1941"/>
      <c r="O830" s="1942"/>
      <c r="AO830" s="1883"/>
      <c r="AP830" s="1871"/>
      <c r="AQ830" s="1926"/>
      <c r="AR830" s="1913"/>
    </row>
    <row r="831" spans="9:44">
      <c r="I831" s="1941"/>
      <c r="J831" s="1942"/>
      <c r="N831" s="1941"/>
      <c r="O831" s="1942"/>
      <c r="AO831" s="1883"/>
      <c r="AP831" s="1871"/>
      <c r="AQ831" s="1926"/>
      <c r="AR831" s="1913"/>
    </row>
    <row r="832" spans="9:44">
      <c r="I832" s="1941"/>
      <c r="J832" s="1942"/>
      <c r="N832" s="1941"/>
      <c r="O832" s="1942"/>
      <c r="AO832" s="1883"/>
      <c r="AP832" s="1871"/>
      <c r="AQ832" s="1926"/>
      <c r="AR832" s="1913"/>
    </row>
    <row r="833" spans="2:44">
      <c r="I833" s="1941"/>
      <c r="J833" s="1942"/>
      <c r="N833" s="1941"/>
      <c r="O833" s="1942"/>
      <c r="AO833" s="1883"/>
      <c r="AP833" s="1871"/>
      <c r="AQ833" s="1926"/>
      <c r="AR833" s="1913"/>
    </row>
    <row r="834" spans="2:44" ht="15" thickBot="1">
      <c r="I834" s="1941"/>
      <c r="J834" s="1942"/>
      <c r="N834" s="1941"/>
      <c r="O834" s="1942"/>
      <c r="AO834" s="1883"/>
      <c r="AP834" s="1871"/>
      <c r="AQ834" s="1926"/>
      <c r="AR834" s="1913"/>
    </row>
    <row r="835" spans="2:44">
      <c r="B835" s="1945"/>
      <c r="C835" s="1945"/>
      <c r="D835" s="1946"/>
      <c r="E835" s="1947"/>
      <c r="I835" s="1941"/>
      <c r="J835" s="1942"/>
      <c r="N835" s="1941"/>
      <c r="O835" s="1942"/>
      <c r="Q835" s="1945"/>
      <c r="R835" s="1945"/>
      <c r="S835" s="1946"/>
      <c r="T835" s="1947"/>
      <c r="AO835" s="1883"/>
      <c r="AP835" s="1871"/>
      <c r="AQ835" s="1926"/>
      <c r="AR835" s="1913"/>
    </row>
    <row r="836" spans="2:44">
      <c r="I836" s="1941"/>
      <c r="J836" s="1942"/>
      <c r="N836" s="1941"/>
      <c r="O836" s="1942"/>
      <c r="AO836" s="1883"/>
      <c r="AP836" s="1871"/>
      <c r="AQ836" s="1928"/>
      <c r="AR836" s="1917"/>
    </row>
    <row r="837" spans="2:44">
      <c r="I837" s="1941"/>
      <c r="J837" s="1942"/>
      <c r="N837" s="1941"/>
      <c r="O837" s="1942"/>
      <c r="AO837" s="1908"/>
      <c r="AP837" s="1909"/>
      <c r="AQ837" s="1929"/>
      <c r="AR837" s="1914"/>
    </row>
    <row r="838" spans="2:44">
      <c r="I838" s="1941"/>
      <c r="J838" s="1942"/>
      <c r="N838" s="1941"/>
      <c r="O838" s="1942"/>
      <c r="AO838" s="1890"/>
      <c r="AP838" s="1891"/>
      <c r="AQ838" s="1931"/>
      <c r="AR838" s="1915"/>
    </row>
    <row r="839" spans="2:44">
      <c r="I839" s="1941"/>
      <c r="J839" s="1942"/>
      <c r="N839" s="1941"/>
      <c r="O839" s="1942"/>
      <c r="AO839" s="1893"/>
      <c r="AP839" s="1872"/>
      <c r="AQ839" s="1931"/>
      <c r="AR839" s="1915"/>
    </row>
    <row r="840" spans="2:44">
      <c r="I840" s="1941"/>
      <c r="J840" s="1942"/>
      <c r="N840" s="1941"/>
      <c r="O840" s="1942"/>
      <c r="AO840" s="1893"/>
      <c r="AP840" s="1872"/>
      <c r="AQ840" s="1931"/>
      <c r="AR840" s="1915"/>
    </row>
    <row r="841" spans="2:44">
      <c r="I841" s="1941"/>
      <c r="J841" s="1942"/>
      <c r="N841" s="1941"/>
      <c r="O841" s="1942"/>
      <c r="AO841" s="1893"/>
      <c r="AP841" s="1872"/>
      <c r="AQ841" s="1931"/>
      <c r="AR841" s="1915"/>
    </row>
    <row r="842" spans="2:44">
      <c r="I842" s="1941"/>
      <c r="J842" s="1942"/>
      <c r="N842" s="1941"/>
      <c r="O842" s="1942"/>
      <c r="AO842" s="1893"/>
      <c r="AP842" s="1872"/>
      <c r="AQ842" s="1931"/>
      <c r="AR842" s="1915"/>
    </row>
    <row r="843" spans="2:44">
      <c r="I843" s="1941"/>
      <c r="J843" s="1942"/>
      <c r="N843" s="1941"/>
      <c r="O843" s="1942"/>
      <c r="AO843" s="1893"/>
      <c r="AP843" s="1872"/>
      <c r="AQ843" s="1931"/>
      <c r="AR843" s="1915"/>
    </row>
    <row r="844" spans="2:44">
      <c r="I844" s="1941"/>
      <c r="J844" s="1942"/>
      <c r="N844" s="1941"/>
      <c r="O844" s="1942"/>
      <c r="AO844" s="1893"/>
      <c r="AP844" s="1872"/>
      <c r="AQ844" s="1931"/>
      <c r="AR844" s="1915"/>
    </row>
    <row r="845" spans="2:44">
      <c r="I845" s="1941"/>
      <c r="J845" s="1942"/>
      <c r="N845" s="1941"/>
      <c r="O845" s="1942"/>
      <c r="AO845" s="1893"/>
      <c r="AP845" s="1872"/>
      <c r="AQ845" s="1931"/>
      <c r="AR845" s="1915"/>
    </row>
    <row r="846" spans="2:44">
      <c r="I846" s="1941"/>
      <c r="J846" s="1942"/>
      <c r="N846" s="1941"/>
      <c r="O846" s="1942"/>
      <c r="AO846" s="1893"/>
      <c r="AP846" s="1872"/>
      <c r="AQ846" s="1932"/>
      <c r="AR846" s="1916"/>
    </row>
    <row r="847" spans="2:44">
      <c r="I847" s="1941"/>
      <c r="J847" s="1942"/>
      <c r="N847" s="1941"/>
      <c r="O847" s="1942"/>
      <c r="AO847" s="1894"/>
      <c r="AP847" s="1895"/>
      <c r="AQ847" s="1933"/>
      <c r="AR847" s="1911"/>
    </row>
    <row r="848" spans="2:44">
      <c r="I848" s="1941"/>
      <c r="J848" s="1942"/>
      <c r="N848" s="1941"/>
      <c r="O848" s="1942"/>
      <c r="AO848" s="1910"/>
      <c r="AP848" s="1889"/>
      <c r="AQ848" s="1935"/>
      <c r="AR848" s="1912"/>
    </row>
    <row r="849" spans="9:44">
      <c r="I849" s="1941"/>
      <c r="J849" s="1942"/>
      <c r="N849" s="1941"/>
      <c r="O849" s="1942"/>
      <c r="AO849" s="1902"/>
      <c r="AP849" s="1873"/>
      <c r="AQ849" s="1935"/>
      <c r="AR849" s="1912"/>
    </row>
    <row r="850" spans="9:44">
      <c r="I850" s="1941"/>
      <c r="J850" s="1942"/>
      <c r="N850" s="1941"/>
      <c r="O850" s="1942"/>
      <c r="AO850" s="1902"/>
      <c r="AP850" s="1873"/>
      <c r="AQ850" s="1935"/>
      <c r="AR850" s="1912"/>
    </row>
    <row r="851" spans="9:44">
      <c r="I851" s="1941"/>
      <c r="J851" s="1942"/>
      <c r="N851" s="1941"/>
      <c r="O851" s="1942"/>
      <c r="AO851" s="1902"/>
      <c r="AP851" s="1873"/>
      <c r="AQ851" s="1935"/>
      <c r="AR851" s="1912"/>
    </row>
    <row r="852" spans="9:44">
      <c r="I852" s="1941"/>
      <c r="J852" s="1942"/>
      <c r="N852" s="1941"/>
      <c r="O852" s="1942"/>
      <c r="AO852" s="1902"/>
      <c r="AP852" s="1873"/>
      <c r="AQ852" s="1935"/>
      <c r="AR852" s="1912"/>
    </row>
    <row r="853" spans="9:44">
      <c r="I853" s="1941"/>
      <c r="J853" s="1942"/>
      <c r="N853" s="1941"/>
      <c r="O853" s="1942"/>
      <c r="AO853" s="1902"/>
      <c r="AP853" s="1873"/>
      <c r="AQ853" s="1941"/>
      <c r="AR853" s="1942"/>
    </row>
    <row r="854" spans="9:44">
      <c r="I854" s="1941"/>
      <c r="J854" s="1942"/>
      <c r="N854" s="1941"/>
      <c r="O854" s="1942"/>
      <c r="AQ854" s="1941"/>
      <c r="AR854" s="1942"/>
    </row>
    <row r="855" spans="9:44">
      <c r="I855" s="1941"/>
      <c r="J855" s="1942"/>
      <c r="N855" s="1941"/>
      <c r="O855" s="1942"/>
      <c r="AQ855" s="1941"/>
      <c r="AR855" s="1942"/>
    </row>
    <row r="856" spans="9:44">
      <c r="I856" s="1941"/>
      <c r="J856" s="1942"/>
      <c r="N856" s="1941"/>
      <c r="O856" s="1942"/>
      <c r="AQ856" s="1941"/>
      <c r="AR856" s="1942"/>
    </row>
    <row r="857" spans="9:44">
      <c r="I857" s="1941"/>
      <c r="J857" s="1942"/>
      <c r="N857" s="1941"/>
      <c r="O857" s="1942"/>
      <c r="AQ857" s="1941"/>
      <c r="AR857" s="1942"/>
    </row>
    <row r="858" spans="9:44">
      <c r="I858" s="1941"/>
      <c r="J858" s="1942"/>
      <c r="N858" s="1941"/>
      <c r="O858" s="1942"/>
      <c r="AQ858" s="1941"/>
      <c r="AR858" s="1942"/>
    </row>
    <row r="859" spans="9:44">
      <c r="I859" s="1941"/>
      <c r="J859" s="1942"/>
      <c r="N859" s="1941"/>
      <c r="O859" s="1942"/>
      <c r="AQ859" s="1941"/>
      <c r="AR859" s="1942"/>
    </row>
    <row r="860" spans="9:44">
      <c r="I860" s="1941"/>
      <c r="J860" s="1942"/>
      <c r="N860" s="1941"/>
      <c r="O860" s="1942"/>
      <c r="AQ860" s="1941"/>
      <c r="AR860" s="1942"/>
    </row>
    <row r="861" spans="9:44">
      <c r="I861" s="1941"/>
      <c r="J861" s="1942"/>
      <c r="N861" s="1941"/>
      <c r="O861" s="1942"/>
      <c r="AQ861" s="1941"/>
      <c r="AR861" s="1942"/>
    </row>
    <row r="862" spans="9:44">
      <c r="I862" s="1941"/>
      <c r="J862" s="1942"/>
      <c r="N862" s="1941"/>
      <c r="O862" s="1942"/>
      <c r="AQ862" s="1941"/>
      <c r="AR862" s="1942"/>
    </row>
    <row r="863" spans="9:44">
      <c r="I863" s="1941"/>
      <c r="J863" s="1942"/>
      <c r="N863" s="1941"/>
      <c r="O863" s="1942"/>
      <c r="AQ863" s="1941"/>
      <c r="AR863" s="1942"/>
    </row>
    <row r="864" spans="9:44">
      <c r="I864" s="1941"/>
      <c r="J864" s="1942"/>
      <c r="N864" s="1941"/>
      <c r="O864" s="1942"/>
      <c r="AQ864" s="1941"/>
      <c r="AR864" s="1942"/>
    </row>
    <row r="865" spans="9:44">
      <c r="I865" s="1941"/>
      <c r="J865" s="1942"/>
      <c r="N865" s="1941"/>
      <c r="O865" s="1942"/>
      <c r="AQ865" s="1941"/>
      <c r="AR865" s="1942"/>
    </row>
    <row r="866" spans="9:44">
      <c r="I866" s="1941"/>
      <c r="J866" s="1942"/>
      <c r="N866" s="1941"/>
      <c r="O866" s="1942"/>
      <c r="AQ866" s="1941"/>
      <c r="AR866" s="1942"/>
    </row>
    <row r="867" spans="9:44">
      <c r="I867" s="1941"/>
      <c r="J867" s="1942"/>
      <c r="N867" s="1941"/>
      <c r="O867" s="1942"/>
    </row>
    <row r="868" spans="9:44">
      <c r="I868" s="1941"/>
      <c r="J868" s="1942"/>
      <c r="N868" s="1941"/>
      <c r="O868" s="1942"/>
    </row>
    <row r="869" spans="9:44">
      <c r="I869" s="1941"/>
      <c r="J869" s="1942"/>
      <c r="N869" s="1941"/>
      <c r="O869" s="1942"/>
    </row>
    <row r="870" spans="9:44">
      <c r="I870" s="1941"/>
      <c r="J870" s="1942"/>
      <c r="N870" s="1941"/>
      <c r="O870" s="1942"/>
    </row>
    <row r="871" spans="9:44">
      <c r="I871" s="1941"/>
      <c r="J871" s="1942"/>
      <c r="N871" s="1941"/>
      <c r="O871" s="1942"/>
    </row>
    <row r="872" spans="9:44">
      <c r="I872" s="1941"/>
      <c r="J872" s="1942"/>
      <c r="N872" s="1941"/>
      <c r="O872" s="1942"/>
    </row>
    <row r="873" spans="9:44">
      <c r="I873" s="1941"/>
      <c r="J873" s="1942"/>
      <c r="N873" s="1941"/>
      <c r="O873" s="1942"/>
    </row>
    <row r="874" spans="9:44">
      <c r="I874" s="1941"/>
      <c r="J874" s="1942"/>
      <c r="N874" s="1941"/>
      <c r="O874" s="1942"/>
    </row>
    <row r="875" spans="9:44">
      <c r="I875" s="1941"/>
      <c r="J875" s="1942"/>
      <c r="N875" s="1941"/>
      <c r="O875" s="1942"/>
    </row>
    <row r="876" spans="9:44">
      <c r="I876" s="1941"/>
      <c r="J876" s="1942"/>
      <c r="N876" s="1941"/>
      <c r="O876" s="1942"/>
    </row>
    <row r="877" spans="9:44">
      <c r="I877" s="1941"/>
      <c r="J877" s="1942"/>
      <c r="N877" s="1941"/>
      <c r="O877" s="1942"/>
    </row>
    <row r="878" spans="9:44">
      <c r="I878" s="1941"/>
      <c r="J878" s="1942"/>
      <c r="N878" s="1941"/>
      <c r="O878" s="1942"/>
    </row>
    <row r="879" spans="9:44">
      <c r="I879" s="1941"/>
      <c r="J879" s="1942"/>
      <c r="N879" s="1941"/>
      <c r="O879" s="1942"/>
    </row>
    <row r="880" spans="9:44">
      <c r="I880" s="1941"/>
      <c r="J880" s="1942"/>
      <c r="N880" s="1941"/>
      <c r="O880" s="1942"/>
    </row>
    <row r="881" spans="9:15">
      <c r="I881" s="1941"/>
      <c r="J881" s="1942"/>
      <c r="N881" s="1941"/>
      <c r="O881" s="1942"/>
    </row>
    <row r="882" spans="9:15">
      <c r="I882" s="1941"/>
      <c r="J882" s="1942"/>
      <c r="N882" s="1941"/>
      <c r="O882" s="1942"/>
    </row>
    <row r="883" spans="9:15">
      <c r="I883" s="1941"/>
      <c r="J883" s="1942"/>
      <c r="N883" s="1941"/>
      <c r="O883" s="1942"/>
    </row>
    <row r="884" spans="9:15">
      <c r="I884" s="1941"/>
      <c r="J884" s="1942"/>
      <c r="N884" s="1941"/>
      <c r="O884" s="1942"/>
    </row>
    <row r="885" spans="9:15">
      <c r="I885" s="1941"/>
      <c r="J885" s="1942"/>
      <c r="N885" s="1941"/>
      <c r="O885" s="1942"/>
    </row>
    <row r="886" spans="9:15">
      <c r="I886" s="1941"/>
      <c r="J886" s="1942"/>
      <c r="N886" s="1941"/>
      <c r="O886" s="1942"/>
    </row>
    <row r="887" spans="9:15">
      <c r="I887" s="1941"/>
      <c r="J887" s="1942"/>
      <c r="N887" s="1941"/>
      <c r="O887" s="1942"/>
    </row>
    <row r="888" spans="9:15">
      <c r="I888" s="1941"/>
      <c r="J888" s="1942"/>
      <c r="N888" s="1941"/>
      <c r="O888" s="1942"/>
    </row>
    <row r="889" spans="9:15">
      <c r="I889" s="1941"/>
      <c r="J889" s="1942"/>
      <c r="N889" s="1941"/>
      <c r="O889" s="1942"/>
    </row>
    <row r="890" spans="9:15">
      <c r="I890" s="1941"/>
      <c r="J890" s="1942"/>
      <c r="N890" s="1941"/>
      <c r="O890" s="1942"/>
    </row>
    <row r="891" spans="9:15">
      <c r="I891" s="1941"/>
      <c r="J891" s="1942"/>
      <c r="N891" s="1941"/>
      <c r="O891" s="1942"/>
    </row>
    <row r="892" spans="9:15">
      <c r="I892" s="1941"/>
      <c r="J892" s="1942"/>
      <c r="N892" s="1941"/>
      <c r="O892" s="1942"/>
    </row>
    <row r="893" spans="9:15">
      <c r="I893" s="1941"/>
      <c r="J893" s="1942"/>
      <c r="N893" s="1941"/>
      <c r="O893" s="1942"/>
    </row>
    <row r="894" spans="9:15">
      <c r="I894" s="1941"/>
      <c r="J894" s="1942"/>
      <c r="N894" s="1941"/>
      <c r="O894" s="1942"/>
    </row>
    <row r="895" spans="9:15">
      <c r="I895" s="1941"/>
      <c r="J895" s="1942"/>
      <c r="N895" s="1941"/>
      <c r="O895" s="1942"/>
    </row>
    <row r="896" spans="9:15">
      <c r="I896" s="1941"/>
      <c r="J896" s="1942"/>
      <c r="N896" s="1941"/>
      <c r="O896" s="1942"/>
    </row>
    <row r="897" spans="9:15">
      <c r="I897" s="1941"/>
      <c r="J897" s="1942"/>
      <c r="N897" s="1941"/>
      <c r="O897" s="1942"/>
    </row>
    <row r="898" spans="9:15">
      <c r="I898" s="1941"/>
      <c r="J898" s="1942"/>
      <c r="N898" s="1941"/>
      <c r="O898" s="1942"/>
    </row>
    <row r="899" spans="9:15">
      <c r="I899" s="1941"/>
      <c r="J899" s="1942"/>
      <c r="N899" s="1941"/>
      <c r="O899" s="1942"/>
    </row>
    <row r="900" spans="9:15">
      <c r="I900" s="1941"/>
      <c r="J900" s="1942"/>
      <c r="N900" s="1941"/>
      <c r="O900" s="1942"/>
    </row>
    <row r="901" spans="9:15">
      <c r="I901" s="1941"/>
      <c r="J901" s="1942"/>
      <c r="N901" s="1941"/>
      <c r="O901" s="1942"/>
    </row>
    <row r="902" spans="9:15">
      <c r="I902" s="1941"/>
      <c r="J902" s="1942"/>
      <c r="N902" s="1941"/>
      <c r="O902" s="1942"/>
    </row>
    <row r="903" spans="9:15">
      <c r="I903" s="1941"/>
      <c r="J903" s="1942"/>
      <c r="N903" s="1941"/>
      <c r="O903" s="1942"/>
    </row>
    <row r="904" spans="9:15">
      <c r="I904" s="1941"/>
      <c r="J904" s="1942"/>
      <c r="N904" s="1941"/>
      <c r="O904" s="1942"/>
    </row>
    <row r="905" spans="9:15">
      <c r="I905" s="1941"/>
      <c r="J905" s="1942"/>
      <c r="N905" s="1941"/>
      <c r="O905" s="1942"/>
    </row>
    <row r="906" spans="9:15">
      <c r="I906" s="1941"/>
      <c r="J906" s="1942"/>
      <c r="N906" s="1941"/>
      <c r="O906" s="1942"/>
    </row>
    <row r="907" spans="9:15">
      <c r="I907" s="1941"/>
      <c r="J907" s="1942"/>
      <c r="N907" s="1941"/>
      <c r="O907" s="1942"/>
    </row>
    <row r="908" spans="9:15">
      <c r="I908" s="1941"/>
      <c r="J908" s="1942"/>
      <c r="N908" s="1941"/>
      <c r="O908" s="1942"/>
    </row>
    <row r="909" spans="9:15">
      <c r="I909" s="1941"/>
      <c r="J909" s="1942"/>
      <c r="N909" s="1941"/>
      <c r="O909" s="1942"/>
    </row>
  </sheetData>
  <mergeCells count="482">
    <mergeCell ref="AF761:AG761"/>
    <mergeCell ref="AF786:AG786"/>
    <mergeCell ref="AF536:AG536"/>
    <mergeCell ref="AF561:AG561"/>
    <mergeCell ref="AF586:AG586"/>
    <mergeCell ref="AF611:AG611"/>
    <mergeCell ref="AF636:AG636"/>
    <mergeCell ref="AF661:AG661"/>
    <mergeCell ref="AF686:AG686"/>
    <mergeCell ref="AF711:AG711"/>
    <mergeCell ref="AF736:AG736"/>
    <mergeCell ref="AF311:AG311"/>
    <mergeCell ref="AF336:AG336"/>
    <mergeCell ref="AF361:AG361"/>
    <mergeCell ref="AF386:AG386"/>
    <mergeCell ref="AF411:AG411"/>
    <mergeCell ref="AF436:AG436"/>
    <mergeCell ref="AF461:AG461"/>
    <mergeCell ref="AF486:AG486"/>
    <mergeCell ref="AF511:AG511"/>
    <mergeCell ref="AF86:AG86"/>
    <mergeCell ref="AF111:AG111"/>
    <mergeCell ref="AF136:AG136"/>
    <mergeCell ref="AF161:AG161"/>
    <mergeCell ref="AF186:AG186"/>
    <mergeCell ref="AF211:AG211"/>
    <mergeCell ref="AF236:AG236"/>
    <mergeCell ref="AF261:AG261"/>
    <mergeCell ref="AF286:AG286"/>
    <mergeCell ref="AF28:AG28"/>
    <mergeCell ref="AF29:AG29"/>
    <mergeCell ref="AF30:AG30"/>
    <mergeCell ref="AF31:AG31"/>
    <mergeCell ref="AF32:AG32"/>
    <mergeCell ref="AF34:AG34"/>
    <mergeCell ref="AF35:AI35"/>
    <mergeCell ref="AF36:AG36"/>
    <mergeCell ref="AF61:AG61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:AI1"/>
    <mergeCell ref="AF2:AG2"/>
    <mergeCell ref="AF3:AG3"/>
    <mergeCell ref="AF4:AG4"/>
    <mergeCell ref="AF5:AG5"/>
    <mergeCell ref="AF6:AG6"/>
    <mergeCell ref="AF7:AG7"/>
    <mergeCell ref="AF8:AG8"/>
    <mergeCell ref="AF9:AG9"/>
    <mergeCell ref="B34:C34"/>
    <mergeCell ref="G34:H34"/>
    <mergeCell ref="L34:M34"/>
    <mergeCell ref="Q34:R34"/>
    <mergeCell ref="V34:W34"/>
    <mergeCell ref="AA34:AB34"/>
    <mergeCell ref="AA25:AB25"/>
    <mergeCell ref="AA26:AB26"/>
    <mergeCell ref="AA27:AB27"/>
    <mergeCell ref="AA28:AB28"/>
    <mergeCell ref="AA29:AB29"/>
    <mergeCell ref="AA30:AB30"/>
    <mergeCell ref="AA31:AB31"/>
    <mergeCell ref="AA32:AB32"/>
    <mergeCell ref="Q29:R29"/>
    <mergeCell ref="Q30:R30"/>
    <mergeCell ref="Q31:R31"/>
    <mergeCell ref="Q32:R32"/>
    <mergeCell ref="L25:M25"/>
    <mergeCell ref="L26:M26"/>
    <mergeCell ref="L27:M27"/>
    <mergeCell ref="L28:M28"/>
    <mergeCell ref="L29:M29"/>
    <mergeCell ref="L30:M30"/>
    <mergeCell ref="G1:H1"/>
    <mergeCell ref="L1:M1"/>
    <mergeCell ref="V26:W26"/>
    <mergeCell ref="V27:W27"/>
    <mergeCell ref="V28:W28"/>
    <mergeCell ref="V29:W29"/>
    <mergeCell ref="V30:W30"/>
    <mergeCell ref="V31:W31"/>
    <mergeCell ref="V32:W32"/>
    <mergeCell ref="V25:W25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Q24:R24"/>
    <mergeCell ref="Q25:R25"/>
    <mergeCell ref="Q26:R26"/>
    <mergeCell ref="Q27:R27"/>
    <mergeCell ref="Q28:R28"/>
    <mergeCell ref="AA8:AB8"/>
    <mergeCell ref="AA9:AB9"/>
    <mergeCell ref="AA10:AB10"/>
    <mergeCell ref="AA11:AB11"/>
    <mergeCell ref="AA12:AB12"/>
    <mergeCell ref="AA13:AB13"/>
    <mergeCell ref="AA14:AB14"/>
    <mergeCell ref="AA15:AB15"/>
    <mergeCell ref="AA16:AB16"/>
    <mergeCell ref="AA17:AB17"/>
    <mergeCell ref="AA18:AB18"/>
    <mergeCell ref="AA19:AB19"/>
    <mergeCell ref="AA20:AB20"/>
    <mergeCell ref="AA21:AB21"/>
    <mergeCell ref="AA22:AB22"/>
    <mergeCell ref="AA23:AB23"/>
    <mergeCell ref="AA24:AB24"/>
    <mergeCell ref="V17:W17"/>
    <mergeCell ref="V18:W18"/>
    <mergeCell ref="V19:W19"/>
    <mergeCell ref="V20:W20"/>
    <mergeCell ref="V21:W21"/>
    <mergeCell ref="V22:W22"/>
    <mergeCell ref="V23:W23"/>
    <mergeCell ref="V24:W24"/>
    <mergeCell ref="L32:M32"/>
    <mergeCell ref="G23:H23"/>
    <mergeCell ref="G24:H24"/>
    <mergeCell ref="G25:H25"/>
    <mergeCell ref="G26:H26"/>
    <mergeCell ref="Q8:R8"/>
    <mergeCell ref="Q9:R9"/>
    <mergeCell ref="Q10:R10"/>
    <mergeCell ref="Q11:R11"/>
    <mergeCell ref="Q12:R12"/>
    <mergeCell ref="Q13:R13"/>
    <mergeCell ref="Q14:R14"/>
    <mergeCell ref="Q15:R15"/>
    <mergeCell ref="Q16:R16"/>
    <mergeCell ref="Q17:R17"/>
    <mergeCell ref="Q18:R18"/>
    <mergeCell ref="Q19:R19"/>
    <mergeCell ref="Q20:R20"/>
    <mergeCell ref="Q21:R21"/>
    <mergeCell ref="Q22:R22"/>
    <mergeCell ref="Q23:R23"/>
    <mergeCell ref="B27:C27"/>
    <mergeCell ref="B28:C28"/>
    <mergeCell ref="B29:C29"/>
    <mergeCell ref="B30:C30"/>
    <mergeCell ref="B31:C31"/>
    <mergeCell ref="G32:H32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31:M31"/>
    <mergeCell ref="B32:C32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7:H27"/>
    <mergeCell ref="G28:H28"/>
    <mergeCell ref="G29:H29"/>
    <mergeCell ref="G30:H30"/>
    <mergeCell ref="G31:H31"/>
    <mergeCell ref="B25:C25"/>
    <mergeCell ref="B26:C26"/>
    <mergeCell ref="Q5:R5"/>
    <mergeCell ref="V5:W5"/>
    <mergeCell ref="AA5:AB5"/>
    <mergeCell ref="G6:H6"/>
    <mergeCell ref="L6:M6"/>
    <mergeCell ref="Q6:R6"/>
    <mergeCell ref="V6:W6"/>
    <mergeCell ref="AA6:AB6"/>
    <mergeCell ref="B7:C7"/>
    <mergeCell ref="L7:M7"/>
    <mergeCell ref="Q7:R7"/>
    <mergeCell ref="V7:W7"/>
    <mergeCell ref="AA7:AB7"/>
    <mergeCell ref="B736:C736"/>
    <mergeCell ref="B761:C761"/>
    <mergeCell ref="B2:C2"/>
    <mergeCell ref="G2:H2"/>
    <mergeCell ref="L2:M2"/>
    <mergeCell ref="Q2:R2"/>
    <mergeCell ref="V2:W2"/>
    <mergeCell ref="AA2:AB2"/>
    <mergeCell ref="B3:C3"/>
    <mergeCell ref="G3:H3"/>
    <mergeCell ref="L3:M3"/>
    <mergeCell ref="Q3:R3"/>
    <mergeCell ref="V3:W3"/>
    <mergeCell ref="AA3:AB3"/>
    <mergeCell ref="B4:C4"/>
    <mergeCell ref="G4:H4"/>
    <mergeCell ref="L4:M4"/>
    <mergeCell ref="Q4:R4"/>
    <mergeCell ref="V4:W4"/>
    <mergeCell ref="AA4:AB4"/>
    <mergeCell ref="B5:C5"/>
    <mergeCell ref="B6:C6"/>
    <mergeCell ref="G5:H5"/>
    <mergeCell ref="L5:M5"/>
    <mergeCell ref="B561:C561"/>
    <mergeCell ref="B586:C586"/>
    <mergeCell ref="B611:C611"/>
    <mergeCell ref="B636:C636"/>
    <mergeCell ref="B661:C661"/>
    <mergeCell ref="B686:C686"/>
    <mergeCell ref="B711:C711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G786:H786"/>
    <mergeCell ref="B36:C36"/>
    <mergeCell ref="B61:C61"/>
    <mergeCell ref="B86:C86"/>
    <mergeCell ref="B111:C111"/>
    <mergeCell ref="B136:C136"/>
    <mergeCell ref="B161:C161"/>
    <mergeCell ref="B186:C186"/>
    <mergeCell ref="B211:C211"/>
    <mergeCell ref="B236:C236"/>
    <mergeCell ref="B261:C261"/>
    <mergeCell ref="B286:C286"/>
    <mergeCell ref="B311:C311"/>
    <mergeCell ref="B336:C336"/>
    <mergeCell ref="B361:C361"/>
    <mergeCell ref="B386:C386"/>
    <mergeCell ref="B411:C411"/>
    <mergeCell ref="B436:C436"/>
    <mergeCell ref="B461:C461"/>
    <mergeCell ref="B486:C486"/>
    <mergeCell ref="B511:C511"/>
    <mergeCell ref="B536:C536"/>
    <mergeCell ref="G536:H536"/>
    <mergeCell ref="B786:C786"/>
    <mergeCell ref="G561:H561"/>
    <mergeCell ref="G586:H586"/>
    <mergeCell ref="G611:H611"/>
    <mergeCell ref="G636:H636"/>
    <mergeCell ref="G661:H661"/>
    <mergeCell ref="G686:H686"/>
    <mergeCell ref="G711:H711"/>
    <mergeCell ref="G736:H736"/>
    <mergeCell ref="AA761:AB761"/>
    <mergeCell ref="AA736:AB736"/>
    <mergeCell ref="AA611:AB611"/>
    <mergeCell ref="V736:W736"/>
    <mergeCell ref="V761:W761"/>
    <mergeCell ref="Q736:R736"/>
    <mergeCell ref="Q761:R761"/>
    <mergeCell ref="L636:M636"/>
    <mergeCell ref="G761:H761"/>
    <mergeCell ref="L661:M661"/>
    <mergeCell ref="L686:M686"/>
    <mergeCell ref="L711:M711"/>
    <mergeCell ref="L736:M736"/>
    <mergeCell ref="L761:M761"/>
    <mergeCell ref="V636:W636"/>
    <mergeCell ref="G35:H35"/>
    <mergeCell ref="G36:H36"/>
    <mergeCell ref="G61:H61"/>
    <mergeCell ref="G86:H86"/>
    <mergeCell ref="G111:H111"/>
    <mergeCell ref="G136:H136"/>
    <mergeCell ref="G161:H161"/>
    <mergeCell ref="G186:H186"/>
    <mergeCell ref="G211:H211"/>
    <mergeCell ref="G236:H236"/>
    <mergeCell ref="G261:H261"/>
    <mergeCell ref="G286:H286"/>
    <mergeCell ref="G311:H311"/>
    <mergeCell ref="G336:H336"/>
    <mergeCell ref="G361:H361"/>
    <mergeCell ref="G386:H386"/>
    <mergeCell ref="G411:H411"/>
    <mergeCell ref="G436:H436"/>
    <mergeCell ref="G461:H461"/>
    <mergeCell ref="G486:H486"/>
    <mergeCell ref="G511:H511"/>
    <mergeCell ref="AA661:AB661"/>
    <mergeCell ref="AA686:AB686"/>
    <mergeCell ref="AA711:AB711"/>
    <mergeCell ref="AA286:AB286"/>
    <mergeCell ref="AA311:AB311"/>
    <mergeCell ref="AA336:AB336"/>
    <mergeCell ref="AA361:AB361"/>
    <mergeCell ref="V436:W436"/>
    <mergeCell ref="V461:W461"/>
    <mergeCell ref="V411:W411"/>
    <mergeCell ref="V561:W561"/>
    <mergeCell ref="V361:W361"/>
    <mergeCell ref="V386:W386"/>
    <mergeCell ref="Q686:R686"/>
    <mergeCell ref="Q711:R711"/>
    <mergeCell ref="L486:M486"/>
    <mergeCell ref="L511:M511"/>
    <mergeCell ref="L536:M536"/>
    <mergeCell ref="L561:M561"/>
    <mergeCell ref="L586:M586"/>
    <mergeCell ref="L611:M611"/>
    <mergeCell ref="AA36:AB36"/>
    <mergeCell ref="AA86:AB86"/>
    <mergeCell ref="AA111:AB111"/>
    <mergeCell ref="AA136:AB136"/>
    <mergeCell ref="AA486:AB486"/>
    <mergeCell ref="AA61:AB61"/>
    <mergeCell ref="AA261:AB261"/>
    <mergeCell ref="AA161:AB161"/>
    <mergeCell ref="AA186:AB186"/>
    <mergeCell ref="AA386:AB386"/>
    <mergeCell ref="AA411:AB411"/>
    <mergeCell ref="AA436:AB436"/>
    <mergeCell ref="AA461:AB461"/>
    <mergeCell ref="AA236:AB236"/>
    <mergeCell ref="V511:W511"/>
    <mergeCell ref="V536:W536"/>
    <mergeCell ref="Q86:R86"/>
    <mergeCell ref="Q286:R286"/>
    <mergeCell ref="AA211:AB211"/>
    <mergeCell ref="AA636:AB636"/>
    <mergeCell ref="AA511:AB511"/>
    <mergeCell ref="AA536:AB536"/>
    <mergeCell ref="AA561:AB561"/>
    <mergeCell ref="AA586:AB586"/>
    <mergeCell ref="Q411:R411"/>
    <mergeCell ref="Q436:R436"/>
    <mergeCell ref="Q461:R461"/>
    <mergeCell ref="Q211:R211"/>
    <mergeCell ref="Q161:R161"/>
    <mergeCell ref="Q186:R186"/>
    <mergeCell ref="V86:W86"/>
    <mergeCell ref="Q311:R311"/>
    <mergeCell ref="Q336:R336"/>
    <mergeCell ref="Q361:R361"/>
    <mergeCell ref="V36:W36"/>
    <mergeCell ref="Q36:R36"/>
    <mergeCell ref="V336:W336"/>
    <mergeCell ref="V211:W211"/>
    <mergeCell ref="V236:W236"/>
    <mergeCell ref="V261:W261"/>
    <mergeCell ref="V286:W286"/>
    <mergeCell ref="V311:W311"/>
    <mergeCell ref="Q386:R386"/>
    <mergeCell ref="V61:W61"/>
    <mergeCell ref="Q61:R61"/>
    <mergeCell ref="V136:W136"/>
    <mergeCell ref="V161:W161"/>
    <mergeCell ref="V186:W186"/>
    <mergeCell ref="Q136:R136"/>
    <mergeCell ref="V111:W111"/>
    <mergeCell ref="Q111:R111"/>
    <mergeCell ref="Q261:R261"/>
    <mergeCell ref="Q236:R236"/>
    <mergeCell ref="L786:M786"/>
    <mergeCell ref="AA786:AB786"/>
    <mergeCell ref="Q35:T35"/>
    <mergeCell ref="V35:Y35"/>
    <mergeCell ref="AA35:AD35"/>
    <mergeCell ref="L35:M35"/>
    <mergeCell ref="L36:M36"/>
    <mergeCell ref="L61:M61"/>
    <mergeCell ref="L86:M86"/>
    <mergeCell ref="L111:M111"/>
    <mergeCell ref="L136:M136"/>
    <mergeCell ref="L161:M161"/>
    <mergeCell ref="L186:M186"/>
    <mergeCell ref="L211:M211"/>
    <mergeCell ref="L236:M236"/>
    <mergeCell ref="L261:M261"/>
    <mergeCell ref="L286:M286"/>
    <mergeCell ref="L311:M311"/>
    <mergeCell ref="L336:M336"/>
    <mergeCell ref="L361:M361"/>
    <mergeCell ref="L386:M386"/>
    <mergeCell ref="L411:M411"/>
    <mergeCell ref="L436:M436"/>
    <mergeCell ref="L461:M461"/>
    <mergeCell ref="AO529:AP529"/>
    <mergeCell ref="AO554:AP554"/>
    <mergeCell ref="AO61:AP61"/>
    <mergeCell ref="AO1:AR1"/>
    <mergeCell ref="AO36:AP36"/>
    <mergeCell ref="Q1:T1"/>
    <mergeCell ref="V1:Y1"/>
    <mergeCell ref="AA1:AD1"/>
    <mergeCell ref="Q786:R786"/>
    <mergeCell ref="Q661:R661"/>
    <mergeCell ref="Q486:R486"/>
    <mergeCell ref="Q511:R511"/>
    <mergeCell ref="Q536:R536"/>
    <mergeCell ref="Q561:R561"/>
    <mergeCell ref="Q586:R586"/>
    <mergeCell ref="Q611:R611"/>
    <mergeCell ref="Q636:R636"/>
    <mergeCell ref="V786:W786"/>
    <mergeCell ref="V686:W686"/>
    <mergeCell ref="V711:W711"/>
    <mergeCell ref="V586:W586"/>
    <mergeCell ref="V486:W486"/>
    <mergeCell ref="V661:W661"/>
    <mergeCell ref="V611:W611"/>
    <mergeCell ref="AO86:AP86"/>
    <mergeCell ref="AO111:AP111"/>
    <mergeCell ref="AO136:AP136"/>
    <mergeCell ref="AO161:AP161"/>
    <mergeCell ref="AO186:AP186"/>
    <mergeCell ref="AO211:AP211"/>
    <mergeCell ref="AO804:AP804"/>
    <mergeCell ref="AO829:AP829"/>
    <mergeCell ref="AO579:AP579"/>
    <mergeCell ref="AO604:AP604"/>
    <mergeCell ref="AO629:AP629"/>
    <mergeCell ref="AO654:AP654"/>
    <mergeCell ref="AO679:AP679"/>
    <mergeCell ref="AO704:AP704"/>
    <mergeCell ref="AO729:AP729"/>
    <mergeCell ref="AO754:AP754"/>
    <mergeCell ref="AO779:AP779"/>
    <mergeCell ref="AO354:AP354"/>
    <mergeCell ref="AO379:AP379"/>
    <mergeCell ref="AO404:AP404"/>
    <mergeCell ref="AO429:AP429"/>
    <mergeCell ref="AO454:AP454"/>
    <mergeCell ref="AO479:AP479"/>
    <mergeCell ref="AO504:AP504"/>
  </mergeCells>
  <conditionalFormatting sqref="O37:O60">
    <cfRule type="colorScale" priority="15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37:N60">
    <cfRule type="colorScale" priority="15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37:T60">
    <cfRule type="colorScale" priority="15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37:S60">
    <cfRule type="colorScale" priority="15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37:Y60">
    <cfRule type="colorScale" priority="15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37:X60">
    <cfRule type="colorScale" priority="15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37:AD60">
    <cfRule type="colorScale" priority="15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37:AC60">
    <cfRule type="colorScale" priority="15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62:O85">
    <cfRule type="colorScale" priority="12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62:N85">
    <cfRule type="colorScale" priority="12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62:T85">
    <cfRule type="colorScale" priority="12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62:S85">
    <cfRule type="colorScale" priority="12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62:Y85">
    <cfRule type="colorScale" priority="12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62:X85">
    <cfRule type="colorScale" priority="12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62:AD85">
    <cfRule type="colorScale" priority="12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62:AC85">
    <cfRule type="colorScale" priority="12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87:O110">
    <cfRule type="colorScale" priority="12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87:N110">
    <cfRule type="colorScale" priority="128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87:T110">
    <cfRule type="colorScale" priority="128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87:S110">
    <cfRule type="colorScale" priority="128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87:Y110">
    <cfRule type="colorScale" priority="128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87:X110">
    <cfRule type="colorScale" priority="127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87:AD110">
    <cfRule type="colorScale" priority="12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87:AC110">
    <cfRule type="colorScale" priority="12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112:O135">
    <cfRule type="colorScale" priority="12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112:N135">
    <cfRule type="colorScale" priority="127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112:T135">
    <cfRule type="colorScale" priority="127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112:S135">
    <cfRule type="colorScale" priority="127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112:Y135">
    <cfRule type="colorScale" priority="127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112:X135">
    <cfRule type="colorScale" priority="12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112:AD135">
    <cfRule type="colorScale" priority="127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112:AC135">
    <cfRule type="colorScale" priority="126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137:O160">
    <cfRule type="colorScale" priority="12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137:N160">
    <cfRule type="colorScale" priority="12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137:T160">
    <cfRule type="colorScale" priority="126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137:S160">
    <cfRule type="colorScale" priority="12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137:Y160">
    <cfRule type="colorScale" priority="12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137:X160">
    <cfRule type="colorScale" priority="12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137:AD160">
    <cfRule type="colorScale" priority="126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137:AC160">
    <cfRule type="colorScale" priority="12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162:O185">
    <cfRule type="colorScale" priority="12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162:N185">
    <cfRule type="colorScale" priority="12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162:T185">
    <cfRule type="colorScale" priority="12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162:S185">
    <cfRule type="colorScale" priority="12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162:Y185">
    <cfRule type="colorScale" priority="12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162:X185">
    <cfRule type="colorScale" priority="12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162:AD185">
    <cfRule type="colorScale" priority="12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162:AC185">
    <cfRule type="colorScale" priority="12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187:O210">
    <cfRule type="colorScale" priority="12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187:N210">
    <cfRule type="colorScale" priority="12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187:T210">
    <cfRule type="colorScale" priority="12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187:S210">
    <cfRule type="colorScale" priority="12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187:Y210">
    <cfRule type="colorScale" priority="12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187:X210">
    <cfRule type="colorScale" priority="12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187:AD210">
    <cfRule type="colorScale" priority="12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187:AC210">
    <cfRule type="colorScale" priority="12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212:O235">
    <cfRule type="colorScale" priority="12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212:N235">
    <cfRule type="colorScale" priority="12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212:T235">
    <cfRule type="colorScale" priority="12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212:S235">
    <cfRule type="colorScale" priority="12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212:Y235">
    <cfRule type="colorScale" priority="12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212:X235">
    <cfRule type="colorScale" priority="12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212:AD235">
    <cfRule type="colorScale" priority="12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212:AC235">
    <cfRule type="colorScale" priority="12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237:O260">
    <cfRule type="colorScale" priority="12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237:N260">
    <cfRule type="colorScale" priority="12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237:T260">
    <cfRule type="colorScale" priority="12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237:S260">
    <cfRule type="colorScale" priority="12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237:Y260">
    <cfRule type="colorScale" priority="12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237:X260">
    <cfRule type="colorScale" priority="123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237:AD260">
    <cfRule type="colorScale" priority="123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237:AC260">
    <cfRule type="colorScale" priority="122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262:O285">
    <cfRule type="colorScale" priority="122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262:N285">
    <cfRule type="colorScale" priority="122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262:T285">
    <cfRule type="colorScale" priority="12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262:S285">
    <cfRule type="colorScale" priority="12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262:Y285">
    <cfRule type="colorScale" priority="12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262:X285">
    <cfRule type="colorScale" priority="122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262:AD285">
    <cfRule type="colorScale" priority="122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262:AC285">
    <cfRule type="colorScale" priority="122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287:O310">
    <cfRule type="colorScale" priority="12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287:N310">
    <cfRule type="colorScale" priority="121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287:T310">
    <cfRule type="colorScale" priority="12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287:S310">
    <cfRule type="colorScale" priority="121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287:Y310">
    <cfRule type="colorScale" priority="12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287:X310">
    <cfRule type="colorScale" priority="121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287:AD310">
    <cfRule type="colorScale" priority="12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287:AC310">
    <cfRule type="colorScale" priority="121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312:O335">
    <cfRule type="colorScale" priority="12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312:N335">
    <cfRule type="colorScale" priority="12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312:T335">
    <cfRule type="colorScale" priority="12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312:S335">
    <cfRule type="colorScale" priority="12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312:Y335">
    <cfRule type="colorScale" priority="12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312:X335">
    <cfRule type="colorScale" priority="12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312:AD335">
    <cfRule type="colorScale" priority="120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312:AC335">
    <cfRule type="colorScale" priority="120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337:O360">
    <cfRule type="colorScale" priority="12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337:N360">
    <cfRule type="colorScale" priority="12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337:T360">
    <cfRule type="colorScale" priority="12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337:S360">
    <cfRule type="colorScale" priority="12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337:Y360">
    <cfRule type="colorScale" priority="12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337:X360">
    <cfRule type="colorScale" priority="11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337:AD360">
    <cfRule type="colorScale" priority="11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337:AC360">
    <cfRule type="colorScale" priority="11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362:O385">
    <cfRule type="colorScale" priority="11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362:N385">
    <cfRule type="colorScale" priority="11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362:T385">
    <cfRule type="colorScale" priority="119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362:S385">
    <cfRule type="colorScale" priority="11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362:Y385">
    <cfRule type="colorScale" priority="11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362:X385">
    <cfRule type="colorScale" priority="11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362:AD385">
    <cfRule type="colorScale" priority="11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362:AC385">
    <cfRule type="colorScale" priority="11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387:O410">
    <cfRule type="colorScale" priority="11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387:N410">
    <cfRule type="colorScale" priority="11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387:T410">
    <cfRule type="colorScale" priority="11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387:S410">
    <cfRule type="colorScale" priority="11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387:Y410">
    <cfRule type="colorScale" priority="11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387:X410">
    <cfRule type="colorScale" priority="118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387:AD410">
    <cfRule type="colorScale" priority="118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387:AC410">
    <cfRule type="colorScale" priority="118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412:O435">
    <cfRule type="colorScale" priority="118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412:N435">
    <cfRule type="colorScale" priority="117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412:T435">
    <cfRule type="colorScale" priority="11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412:S435">
    <cfRule type="colorScale" priority="11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412:Y435">
    <cfRule type="colorScale" priority="11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412:X435">
    <cfRule type="colorScale" priority="117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412:AD435">
    <cfRule type="colorScale" priority="117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412:AC435">
    <cfRule type="colorScale" priority="117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437:O460">
    <cfRule type="colorScale" priority="117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437:N460">
    <cfRule type="colorScale" priority="11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437:T460">
    <cfRule type="colorScale" priority="117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437:S460">
    <cfRule type="colorScale" priority="116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437:Y460">
    <cfRule type="colorScale" priority="11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437:X460">
    <cfRule type="colorScale" priority="11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437:AD460">
    <cfRule type="colorScale" priority="116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437:AC460">
    <cfRule type="colorScale" priority="11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462:O485">
    <cfRule type="colorScale" priority="11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462:N485">
    <cfRule type="colorScale" priority="11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462:T485">
    <cfRule type="colorScale" priority="116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462:S485">
    <cfRule type="colorScale" priority="11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462:Y485">
    <cfRule type="colorScale" priority="11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462:X485">
    <cfRule type="colorScale" priority="11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462:AD485">
    <cfRule type="colorScale" priority="11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462:AC485">
    <cfRule type="colorScale" priority="11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487:O510">
    <cfRule type="colorScale" priority="11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487:N510">
    <cfRule type="colorScale" priority="11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487:T510">
    <cfRule type="colorScale" priority="11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487:S510">
    <cfRule type="colorScale" priority="11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487:Y510">
    <cfRule type="colorScale" priority="11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487:X510">
    <cfRule type="colorScale" priority="11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487:AD510">
    <cfRule type="colorScale" priority="11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487:AC510">
    <cfRule type="colorScale" priority="11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512:O535">
    <cfRule type="colorScale" priority="11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512:N535">
    <cfRule type="colorScale" priority="11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512:T535">
    <cfRule type="colorScale" priority="11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512:S535">
    <cfRule type="colorScale" priority="11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512:Y535">
    <cfRule type="colorScale" priority="11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512:X535">
    <cfRule type="colorScale" priority="11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512:AD535">
    <cfRule type="colorScale" priority="11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512:AC535">
    <cfRule type="colorScale" priority="11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537:O560">
    <cfRule type="colorScale" priority="11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537:N560">
    <cfRule type="colorScale" priority="11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537:T560">
    <cfRule type="colorScale" priority="11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537:S560">
    <cfRule type="colorScale" priority="11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537:Y560">
    <cfRule type="colorScale" priority="11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537:X560">
    <cfRule type="colorScale" priority="11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537:AD560">
    <cfRule type="colorScale" priority="11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537:AC560">
    <cfRule type="colorScale" priority="11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562:O585">
    <cfRule type="colorScale" priority="11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562:N585">
    <cfRule type="colorScale" priority="113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562:T585">
    <cfRule type="colorScale" priority="113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562:S585">
    <cfRule type="colorScale" priority="112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562:Y585">
    <cfRule type="colorScale" priority="112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562:X585">
    <cfRule type="colorScale" priority="112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562:AD585">
    <cfRule type="colorScale" priority="11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562:AC585">
    <cfRule type="colorScale" priority="11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587:O610">
    <cfRule type="colorScale" priority="11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587:N610">
    <cfRule type="colorScale" priority="112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587:T610">
    <cfRule type="colorScale" priority="112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587:S610">
    <cfRule type="colorScale" priority="112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587:Y610">
    <cfRule type="colorScale" priority="11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587:X610">
    <cfRule type="colorScale" priority="111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612:O635">
    <cfRule type="colorScale" priority="11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612:N635">
    <cfRule type="colorScale" priority="111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612:T635">
    <cfRule type="colorScale" priority="11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612:S635">
    <cfRule type="colorScale" priority="111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612:Y635">
    <cfRule type="colorScale" priority="11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612:X635">
    <cfRule type="colorScale" priority="11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612:AD635">
    <cfRule type="colorScale" priority="11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612:AC635">
    <cfRule type="colorScale" priority="11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637:O660">
    <cfRule type="colorScale" priority="11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637:N660">
    <cfRule type="colorScale" priority="11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637:T660">
    <cfRule type="colorScale" priority="110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637:S660">
    <cfRule type="colorScale" priority="110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637:Y660">
    <cfRule type="colorScale" priority="11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637:X660">
    <cfRule type="colorScale" priority="11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637:AD660">
    <cfRule type="colorScale" priority="11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637:AC660">
    <cfRule type="colorScale" priority="11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662:O685">
    <cfRule type="colorScale" priority="11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662:N685">
    <cfRule type="colorScale" priority="10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662:T685">
    <cfRule type="colorScale" priority="10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662:S685">
    <cfRule type="colorScale" priority="10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662:Y685">
    <cfRule type="colorScale" priority="10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662:X685">
    <cfRule type="colorScale" priority="10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687:O710">
    <cfRule type="colorScale" priority="10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687:N710">
    <cfRule type="colorScale" priority="10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687:T710">
    <cfRule type="colorScale" priority="10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687:S710">
    <cfRule type="colorScale" priority="10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687:Y710">
    <cfRule type="colorScale" priority="10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687:X710">
    <cfRule type="colorScale" priority="10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712:O735">
    <cfRule type="colorScale" priority="10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712:N735">
    <cfRule type="colorScale" priority="108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712:T735">
    <cfRule type="colorScale" priority="108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712:S735">
    <cfRule type="colorScale" priority="108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712:Y735">
    <cfRule type="colorScale" priority="108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712:X735">
    <cfRule type="colorScale" priority="107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737:O760">
    <cfRule type="colorScale" priority="10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737:N760">
    <cfRule type="colorScale" priority="107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737:T760">
    <cfRule type="colorScale" priority="107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737:S760">
    <cfRule type="colorScale" priority="107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737:Y760">
    <cfRule type="colorScale" priority="107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737:X760">
    <cfRule type="colorScale" priority="10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762:O785">
    <cfRule type="colorScale" priority="10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762:N785">
    <cfRule type="colorScale" priority="10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762:T785">
    <cfRule type="colorScale" priority="106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762:S785">
    <cfRule type="colorScale" priority="10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762:Y785">
    <cfRule type="colorScale" priority="10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762:X785">
    <cfRule type="colorScale" priority="10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T787:T810">
    <cfRule type="colorScale" priority="10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S787:S810">
    <cfRule type="colorScale" priority="10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Y787:Y810">
    <cfRule type="colorScale" priority="10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X787:X810">
    <cfRule type="colorScale" priority="10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587:AD610">
    <cfRule type="colorScale" priority="10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587:AC610">
    <cfRule type="colorScale" priority="10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K587:AM610">
    <cfRule type="colorScale" priority="104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562:AM585">
    <cfRule type="colorScale" priority="104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537:AM560">
    <cfRule type="colorScale" priority="104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512:AM535">
    <cfRule type="colorScale" priority="104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487:AM510">
    <cfRule type="colorScale" priority="104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612:AM635">
    <cfRule type="colorScale" priority="103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462:AM485">
    <cfRule type="colorScale" priority="103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437:AM460">
    <cfRule type="colorScale" priority="103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412:AM435">
    <cfRule type="colorScale" priority="103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387:AM410">
    <cfRule type="colorScale" priority="103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362:AM385">
    <cfRule type="colorScale" priority="103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337:AM360">
    <cfRule type="colorScale" priority="103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312:AM335">
    <cfRule type="colorScale" priority="103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287:AM310">
    <cfRule type="colorScale" priority="103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262:AM285">
    <cfRule type="colorScale" priority="1030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237:AM260">
    <cfRule type="colorScale" priority="102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162:AN185">
    <cfRule type="colorScale" priority="43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137:AM160">
    <cfRule type="colorScale" priority="102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112:AM135">
    <cfRule type="colorScale" priority="102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87:AM110">
    <cfRule type="colorScale" priority="102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62:AM85">
    <cfRule type="colorScale" priority="102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37:AM60">
    <cfRule type="colorScale" priority="102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P347:AP367 AQ336:AR366 AS294:AU324">
    <cfRule type="colorScale" priority="10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K637:AM660">
    <cfRule type="colorScale" priority="101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662:AM685">
    <cfRule type="colorScale" priority="101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687:AM710">
    <cfRule type="colorScale" priority="101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712:AM735">
    <cfRule type="colorScale" priority="101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737:AM760">
    <cfRule type="colorScale" priority="101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762:AM785">
    <cfRule type="colorScale" priority="101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787:AM810">
    <cfRule type="colorScale" priority="101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J37:J60">
    <cfRule type="colorScale" priority="9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37:I60">
    <cfRule type="colorScale" priority="9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62:J85">
    <cfRule type="colorScale" priority="9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62:I85">
    <cfRule type="colorScale" priority="9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87:J110">
    <cfRule type="colorScale" priority="9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87:I110">
    <cfRule type="colorScale" priority="9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112:J135">
    <cfRule type="colorScale" priority="9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112:I135">
    <cfRule type="colorScale" priority="9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137:J160">
    <cfRule type="colorScale" priority="9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137:I160">
    <cfRule type="colorScale" priority="9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162:J185">
    <cfRule type="colorScale" priority="9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162:I185">
    <cfRule type="colorScale" priority="9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187:J210">
    <cfRule type="colorScale" priority="9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187:I210">
    <cfRule type="colorScale" priority="9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212:J235">
    <cfRule type="colorScale" priority="9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212:I235">
    <cfRule type="colorScale" priority="9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237:J260">
    <cfRule type="colorScale" priority="9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237:I260">
    <cfRule type="colorScale" priority="9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262:J285">
    <cfRule type="colorScale" priority="93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262:I285">
    <cfRule type="colorScale" priority="93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287:J310">
    <cfRule type="colorScale" priority="92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287:I310">
    <cfRule type="colorScale" priority="92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312:J335">
    <cfRule type="colorScale" priority="92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312:I335">
    <cfRule type="colorScale" priority="9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337:J360">
    <cfRule type="colorScale" priority="9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337:I360">
    <cfRule type="colorScale" priority="9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362:J385">
    <cfRule type="colorScale" priority="92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362:I385">
    <cfRule type="colorScale" priority="92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387:J410">
    <cfRule type="colorScale" priority="92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387:I410">
    <cfRule type="colorScale" priority="9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412:J435">
    <cfRule type="colorScale" priority="91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412:I435">
    <cfRule type="colorScale" priority="9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437:J460">
    <cfRule type="colorScale" priority="91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437:I460">
    <cfRule type="colorScale" priority="9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462:J485">
    <cfRule type="colorScale" priority="91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462:I485">
    <cfRule type="colorScale" priority="9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487:J510">
    <cfRule type="colorScale" priority="91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487:I510">
    <cfRule type="colorScale" priority="9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512:J535">
    <cfRule type="colorScale" priority="9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512:I535">
    <cfRule type="colorScale" priority="9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537:J560">
    <cfRule type="colorScale" priority="9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537:I560">
    <cfRule type="colorScale" priority="9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562:J585">
    <cfRule type="colorScale" priority="9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562:I585">
    <cfRule type="colorScale" priority="90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587:J610">
    <cfRule type="colorScale" priority="90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587:I610">
    <cfRule type="colorScale" priority="9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612:J635">
    <cfRule type="colorScale" priority="9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612:I635">
    <cfRule type="colorScale" priority="9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637:J660">
    <cfRule type="colorScale" priority="9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637:I660">
    <cfRule type="colorScale" priority="9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662:J685">
    <cfRule type="colorScale" priority="8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662:I685">
    <cfRule type="colorScale" priority="8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687:J710">
    <cfRule type="colorScale" priority="8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687:I710">
    <cfRule type="colorScale" priority="8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712:J735">
    <cfRule type="colorScale" priority="8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712:I735">
    <cfRule type="colorScale" priority="89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737:J760">
    <cfRule type="colorScale" priority="8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737:I760">
    <cfRule type="colorScale" priority="8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762:J785">
    <cfRule type="colorScale" priority="8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762:I785">
    <cfRule type="colorScale" priority="8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J787:J810">
    <cfRule type="colorScale" priority="8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I787:I810">
    <cfRule type="colorScale" priority="8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O787:O810">
    <cfRule type="colorScale" priority="8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N787:N810">
    <cfRule type="colorScale" priority="8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37:E60">
    <cfRule type="colorScale" priority="7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37:D60">
    <cfRule type="colorScale" priority="7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62:E85">
    <cfRule type="colorScale" priority="7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62:D85">
    <cfRule type="colorScale" priority="7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87:E110">
    <cfRule type="colorScale" priority="7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87:D110">
    <cfRule type="colorScale" priority="7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112:E135">
    <cfRule type="colorScale" priority="7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112:D135">
    <cfRule type="colorScale" priority="7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137:E160">
    <cfRule type="colorScale" priority="7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137:D160">
    <cfRule type="colorScale" priority="7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162:E185">
    <cfRule type="colorScale" priority="78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162:D185">
    <cfRule type="colorScale" priority="78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187:E210">
    <cfRule type="colorScale" priority="78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187:D210">
    <cfRule type="colorScale" priority="78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212:E235">
    <cfRule type="colorScale" priority="77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212:D235">
    <cfRule type="colorScale" priority="7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237:E260">
    <cfRule type="colorScale" priority="7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237:D260">
    <cfRule type="colorScale" priority="7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262:E285">
    <cfRule type="colorScale" priority="77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262:D285">
    <cfRule type="colorScale" priority="77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287:E310">
    <cfRule type="colorScale" priority="77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287:D310">
    <cfRule type="colorScale" priority="77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312:E335">
    <cfRule type="colorScale" priority="7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312:D335">
    <cfRule type="colorScale" priority="77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337:E360">
    <cfRule type="colorScale" priority="76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337:D360">
    <cfRule type="colorScale" priority="7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362:E385">
    <cfRule type="colorScale" priority="7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362:D385">
    <cfRule type="colorScale" priority="76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387:E410">
    <cfRule type="colorScale" priority="7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387:D410">
    <cfRule type="colorScale" priority="7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412:E435">
    <cfRule type="colorScale" priority="7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412:D435">
    <cfRule type="colorScale" priority="76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437:E460">
    <cfRule type="colorScale" priority="7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437:D460">
    <cfRule type="colorScale" priority="7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462:E485">
    <cfRule type="colorScale" priority="7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462:D485">
    <cfRule type="colorScale" priority="7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487:E510">
    <cfRule type="colorScale" priority="7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487:D510">
    <cfRule type="colorScale" priority="7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512:E535">
    <cfRule type="colorScale" priority="7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512:D535">
    <cfRule type="colorScale" priority="7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537:E560">
    <cfRule type="colorScale" priority="7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537:D560">
    <cfRule type="colorScale" priority="7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562:E585">
    <cfRule type="colorScale" priority="7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562:D585">
    <cfRule type="colorScale" priority="7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587:E610">
    <cfRule type="colorScale" priority="7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587:D610">
    <cfRule type="colorScale" priority="7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612:E635">
    <cfRule type="colorScale" priority="7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612:D635">
    <cfRule type="colorScale" priority="7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637:E660">
    <cfRule type="colorScale" priority="7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637:D660">
    <cfRule type="colorScale" priority="7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662:E685">
    <cfRule type="colorScale" priority="7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662:D685">
    <cfRule type="colorScale" priority="7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687:E710">
    <cfRule type="colorScale" priority="7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687:D710">
    <cfRule type="colorScale" priority="7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712:E735">
    <cfRule type="colorScale" priority="7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712:D735">
    <cfRule type="colorScale" priority="7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737:E760">
    <cfRule type="colorScale" priority="7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737:D760">
    <cfRule type="colorScale" priority="7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762:E785">
    <cfRule type="colorScale" priority="7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762:D785">
    <cfRule type="colorScale" priority="7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E787:E810">
    <cfRule type="colorScale" priority="7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787:D810">
    <cfRule type="colorScale" priority="7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D2:D29">
    <cfRule type="colorScale" priority="73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N2:N29">
    <cfRule type="colorScale" priority="72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N30:N31">
    <cfRule type="colorScale" priority="72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N19">
    <cfRule type="colorScale" priority="72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S30:S32">
    <cfRule type="colorScale" priority="72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2:X29">
    <cfRule type="colorScale" priority="72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30:X32">
    <cfRule type="colorScale" priority="72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2:AC29">
    <cfRule type="colorScale" priority="72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S2:S10">
    <cfRule type="colorScale" priority="71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2:I32">
    <cfRule type="colorScale" priority="71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N2:N32">
    <cfRule type="colorScale" priority="71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C4:AC31">
    <cfRule type="colorScale" priority="71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32">
    <cfRule type="colorScale" priority="71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21">
    <cfRule type="colorScale" priority="71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4:AC32">
    <cfRule type="colorScale" priority="71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X2:X27 X31:X32">
    <cfRule type="colorScale" priority="71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2:X29 X31:X32">
    <cfRule type="colorScale" priority="71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30">
    <cfRule type="colorScale" priority="71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19">
    <cfRule type="colorScale" priority="70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X2:X32">
    <cfRule type="colorScale" priority="70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C30:AC32">
    <cfRule type="colorScale" priority="70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2:AC27 AC31:AC32">
    <cfRule type="colorScale" priority="70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2:AC29 AC31:AC32">
    <cfRule type="colorScale" priority="70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30">
    <cfRule type="colorScale" priority="70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19">
    <cfRule type="colorScale" priority="70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C2:AC32">
    <cfRule type="colorScale" priority="70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2:O31">
    <cfRule type="colorScale" priority="69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E2:E29">
    <cfRule type="colorScale" priority="69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19">
    <cfRule type="colorScale" priority="69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19">
    <cfRule type="colorScale" priority="69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T2:T10">
    <cfRule type="colorScale" priority="69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J2:J32">
    <cfRule type="colorScale" priority="69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2:O29">
    <cfRule type="colorScale" priority="68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T2:T31">
    <cfRule type="colorScale" priority="68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T19">
    <cfRule type="colorScale" priority="68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T2:T29">
    <cfRule type="colorScale" priority="68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Y6:Y32">
    <cfRule type="colorScale" priority="67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2:AD31">
    <cfRule type="colorScale" priority="67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2:AD10">
    <cfRule type="colorScale" priority="67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2:AD29">
    <cfRule type="colorScale" priority="66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33:AD33">
    <cfRule type="colorScale" priority="66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B34:AD34">
    <cfRule type="colorScale" priority="66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D662:AD685">
    <cfRule type="colorScale" priority="6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662:AC685">
    <cfRule type="colorScale" priority="6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687:AD710">
    <cfRule type="colorScale" priority="6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687:AC710">
    <cfRule type="colorScale" priority="66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712:AD735">
    <cfRule type="colorScale" priority="6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712:AC735">
    <cfRule type="colorScale" priority="6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737:AD760">
    <cfRule type="colorScale" priority="6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737:AC760">
    <cfRule type="colorScale" priority="6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D762:AD785">
    <cfRule type="colorScale" priority="6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C762:AC785">
    <cfRule type="colorScale" priority="6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F33:AG33">
    <cfRule type="colorScale" priority="59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F34:AG34">
    <cfRule type="colorScale" priority="58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H2:AH29">
    <cfRule type="colorScale" priority="57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4:AH31">
    <cfRule type="colorScale" priority="56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32">
    <cfRule type="colorScale" priority="56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21">
    <cfRule type="colorScale" priority="56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4:AH32">
    <cfRule type="colorScale" priority="56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H30:AH32">
    <cfRule type="colorScale" priority="56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2:AH27 AH31:AH32">
    <cfRule type="colorScale" priority="56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2:AH29 AH31:AH32">
    <cfRule type="colorScale" priority="56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30">
    <cfRule type="colorScale" priority="56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19">
    <cfRule type="colorScale" priority="56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H2:AH32">
    <cfRule type="colorScale" priority="56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I19">
    <cfRule type="colorScale" priority="55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I2:AI31">
    <cfRule type="colorScale" priority="55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I2:AI10">
    <cfRule type="colorScale" priority="55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I2:AI29">
    <cfRule type="colorScale" priority="55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I37:AI60">
    <cfRule type="colorScale" priority="5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37:AH60">
    <cfRule type="colorScale" priority="5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62:AI85">
    <cfRule type="colorScale" priority="5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62:AH85">
    <cfRule type="colorScale" priority="5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87:AI110">
    <cfRule type="colorScale" priority="5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87:AH110">
    <cfRule type="colorScale" priority="5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112:AI135">
    <cfRule type="colorScale" priority="5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112:AH135">
    <cfRule type="colorScale" priority="5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L137:AL160">
    <cfRule type="colorScale" priority="54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237:AL260">
    <cfRule type="colorScale" priority="54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262:AL285">
    <cfRule type="colorScale" priority="54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287:AL310">
    <cfRule type="colorScale" priority="54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87:AL110">
    <cfRule type="colorScale" priority="53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62:AL85">
    <cfRule type="colorScale" priority="53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L37:AL60">
    <cfRule type="colorScale" priority="53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M87:AM110">
    <cfRule type="colorScale" priority="53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M62:AM85">
    <cfRule type="colorScale" priority="530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M37:AM60">
    <cfRule type="colorScale" priority="52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I137:AI160">
    <cfRule type="colorScale" priority="5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137:AH160">
    <cfRule type="colorScale" priority="51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162:AI185">
    <cfRule type="colorScale" priority="5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162:AH185">
    <cfRule type="colorScale" priority="51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N587:AN610">
    <cfRule type="colorScale" priority="51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562:AN585">
    <cfRule type="colorScale" priority="51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537:AN560">
    <cfRule type="colorScale" priority="51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512:AN535">
    <cfRule type="colorScale" priority="51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487:AN510">
    <cfRule type="colorScale" priority="510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612:AN635">
    <cfRule type="colorScale" priority="50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462:AN485">
    <cfRule type="colorScale" priority="50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437:AN460">
    <cfRule type="colorScale" priority="50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412:AN435">
    <cfRule type="colorScale" priority="50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387:AN410">
    <cfRule type="colorScale" priority="50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362:AN385">
    <cfRule type="colorScale" priority="50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337:AN360">
    <cfRule type="colorScale" priority="50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312:AN335">
    <cfRule type="colorScale" priority="50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287:AN310">
    <cfRule type="colorScale" priority="50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262:AN285">
    <cfRule type="colorScale" priority="500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237:AN260">
    <cfRule type="colorScale" priority="49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137:AN160">
    <cfRule type="colorScale" priority="49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112:AN135">
    <cfRule type="colorScale" priority="49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87:AN110">
    <cfRule type="colorScale" priority="49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62:AN85">
    <cfRule type="colorScale" priority="49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37:AN60">
    <cfRule type="colorScale" priority="49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637:AN660">
    <cfRule type="colorScale" priority="490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662:AN685">
    <cfRule type="colorScale" priority="489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687:AN710">
    <cfRule type="colorScale" priority="48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712:AN735">
    <cfRule type="colorScale" priority="48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737:AN760">
    <cfRule type="colorScale" priority="48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762:AN785">
    <cfRule type="colorScale" priority="48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N787:AN810">
    <cfRule type="colorScale" priority="48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I187:AI210">
    <cfRule type="colorScale" priority="4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187:AH210">
    <cfRule type="colorScale" priority="43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K187:AN210">
    <cfRule type="colorScale" priority="428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K212:AN235">
    <cfRule type="colorScale" priority="42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I212:AI235">
    <cfRule type="colorScale" priority="4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212:AH235">
    <cfRule type="colorScale" priority="4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237:AI260">
    <cfRule type="colorScale" priority="4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237:AH260">
    <cfRule type="colorScale" priority="42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262:AI285">
    <cfRule type="colorScale" priority="42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262:AH285">
    <cfRule type="colorScale" priority="42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287:AI310">
    <cfRule type="colorScale" priority="4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287:AH310">
    <cfRule type="colorScale" priority="41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312:AI335">
    <cfRule type="colorScale" priority="4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312:AH335">
    <cfRule type="colorScale" priority="41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337:AI360">
    <cfRule type="colorScale" priority="3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337:AH360">
    <cfRule type="colorScale" priority="3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362:AI385">
    <cfRule type="colorScale" priority="3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362:AH385">
    <cfRule type="colorScale" priority="3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387:AI410">
    <cfRule type="colorScale" priority="3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387:AH410">
    <cfRule type="colorScale" priority="3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412:AI435">
    <cfRule type="colorScale" priority="3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412:AH435">
    <cfRule type="colorScale" priority="3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437:AI460">
    <cfRule type="colorScale" priority="3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437:AH460">
    <cfRule type="colorScale" priority="3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462:AI485">
    <cfRule type="colorScale" priority="3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462:AH485">
    <cfRule type="colorScale" priority="3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512:AI535">
    <cfRule type="colorScale" priority="3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512:AH535">
    <cfRule type="colorScale" priority="3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I537:AI560">
    <cfRule type="colorScale" priority="3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H537:AH560">
    <cfRule type="colorScale" priority="3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73">
    <cfRule type="colorScale" priority="33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56">
    <cfRule type="colorScale" priority="33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66">
    <cfRule type="colorScale" priority="32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54">
    <cfRule type="colorScale" priority="32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54">
    <cfRule type="colorScale" priority="32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37:AR45">
    <cfRule type="colorScale" priority="32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205:AR210 AR212:AR228">
    <cfRule type="colorScale" priority="3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5:AQ210 AQ212:AQ228">
    <cfRule type="colorScale" priority="3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30:AR253">
    <cfRule type="colorScale" priority="3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30:AQ253">
    <cfRule type="colorScale" priority="3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55:AR277">
    <cfRule type="colorScale" priority="3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55:AQ277">
    <cfRule type="colorScale" priority="3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79:AR302">
    <cfRule type="colorScale" priority="30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79:AQ302">
    <cfRule type="colorScale" priority="30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304:AR327">
    <cfRule type="colorScale" priority="3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04:AQ327">
    <cfRule type="colorScale" priority="3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329:AR352">
    <cfRule type="colorScale" priority="3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29:AQ352">
    <cfRule type="colorScale" priority="3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354:AR377">
    <cfRule type="colorScale" priority="3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54:AQ377">
    <cfRule type="colorScale" priority="2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379:AR402">
    <cfRule type="colorScale" priority="2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79:AQ402">
    <cfRule type="colorScale" priority="2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404:AR427">
    <cfRule type="colorScale" priority="2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404:AQ427">
    <cfRule type="colorScale" priority="2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429:AR452">
    <cfRule type="colorScale" priority="29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429:AQ452">
    <cfRule type="colorScale" priority="2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454:AR477">
    <cfRule type="colorScale" priority="2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454:AQ477">
    <cfRule type="colorScale" priority="2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479:AR502">
    <cfRule type="colorScale" priority="2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479:AQ502">
    <cfRule type="colorScale" priority="2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504:AR527">
    <cfRule type="colorScale" priority="2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504:AQ527">
    <cfRule type="colorScale" priority="2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554:AR577">
    <cfRule type="colorScale" priority="2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554:AQ577">
    <cfRule type="colorScale" priority="2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579:AR602">
    <cfRule type="colorScale" priority="2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579:AQ602">
    <cfRule type="colorScale" priority="28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9:AQ60 AQ62:AQ85">
    <cfRule type="colorScale" priority="159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66:AQ68 AQ73">
    <cfRule type="colorScale" priority="159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37:AQ60 AQ62:AQ85">
    <cfRule type="colorScale" priority="160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37:AQ60 AQ62:AQ85">
    <cfRule type="colorScale" priority="160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37:AQ60 AQ62:AQ85">
    <cfRule type="colorScale" priority="160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75:AR85 AR87:AR99">
    <cfRule type="colorScale" priority="16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75:AQ85 AQ87:AQ99">
    <cfRule type="colorScale" priority="16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01:AR110 AR112:AR125">
    <cfRule type="colorScale" priority="16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01:AQ110 AQ112:AQ125">
    <cfRule type="colorScale" priority="16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3:AR124">
    <cfRule type="colorScale" priority="2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3:AQ124">
    <cfRule type="colorScale" priority="2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7:AR135 AR137:AR151">
    <cfRule type="colorScale" priority="161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7:AQ135 AQ137:AQ151">
    <cfRule type="colorScale" priority="16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53:AR160 AR162:AR177">
    <cfRule type="colorScale" priority="16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3:AQ160 AQ162:AQ177">
    <cfRule type="colorScale" priority="162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9:AR185 AR187:AR203">
    <cfRule type="colorScale" priority="16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9:AQ185 AQ187:AQ203">
    <cfRule type="colorScale" priority="16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37:AQ60 AQ62:AQ85">
    <cfRule type="colorScale" priority="162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37:AR60 AR62:AR85">
    <cfRule type="colorScale" priority="163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39:AQ60 AQ62:AQ85">
    <cfRule type="colorScale" priority="163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37:AR60 AR62:AR85">
    <cfRule type="colorScale" priority="164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62:AR85">
    <cfRule type="colorScale" priority="2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62:AQ85">
    <cfRule type="colorScale" priority="2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73:AR85 AR87:AR97">
    <cfRule type="colorScale" priority="16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73:AQ85 AQ87:AQ97">
    <cfRule type="colorScale" priority="16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98:AR110 AR112:AR122">
    <cfRule type="colorScale" priority="16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98:AQ110 AQ112:AQ122">
    <cfRule type="colorScale" priority="16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6:AR135 AR137:AR147">
    <cfRule type="colorScale" priority="16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6:AQ135 AQ137:AQ147">
    <cfRule type="colorScale" priority="16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3:AR135 AR137:AR147">
    <cfRule type="colorScale" priority="168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3:AQ135 AQ137:AQ147">
    <cfRule type="colorScale" priority="168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:AQ160 AQ162:AQ172">
    <cfRule type="colorScale" priority="1697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48:AR160 AR162:AR172">
    <cfRule type="colorScale" priority="1701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Q81">
    <cfRule type="colorScale" priority="26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79">
    <cfRule type="colorScale" priority="26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79">
    <cfRule type="colorScale" priority="2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62:AR70">
    <cfRule type="colorScale" priority="26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98">
    <cfRule type="colorScale" priority="26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91">
    <cfRule type="colorScale" priority="26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87:AQ110">
    <cfRule type="colorScale" priority="26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91:AQ93 AQ98">
    <cfRule type="colorScale" priority="25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87:AQ110">
    <cfRule type="colorScale" priority="25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87:AQ110">
    <cfRule type="colorScale" priority="25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87:AQ110">
    <cfRule type="colorScale" priority="25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100:AR110">
    <cfRule type="colorScale" priority="2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00:AQ110">
    <cfRule type="colorScale" priority="2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87:AQ110">
    <cfRule type="colorScale" priority="25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87:AR110">
    <cfRule type="colorScale" priority="25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87:AQ110">
    <cfRule type="colorScale" priority="25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87:AR110">
    <cfRule type="colorScale" priority="25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87:AR110">
    <cfRule type="colorScale" priority="2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87:AQ110">
    <cfRule type="colorScale" priority="2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98:AR110">
    <cfRule type="colorScale" priority="2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98:AQ110">
    <cfRule type="colorScale" priority="2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06">
    <cfRule type="colorScale" priority="24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04">
    <cfRule type="colorScale" priority="24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04">
    <cfRule type="colorScale" priority="24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87:AR95">
    <cfRule type="colorScale" priority="24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12:AR124">
    <cfRule type="colorScale" priority="2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12:AQ124">
    <cfRule type="colorScale" priority="2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6:AR135">
    <cfRule type="colorScale" priority="2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6:AQ135">
    <cfRule type="colorScale" priority="2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12:AR122">
    <cfRule type="colorScale" priority="2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12:AQ122">
    <cfRule type="colorScale" priority="2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3:AR135">
    <cfRule type="colorScale" priority="2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3:AQ135">
    <cfRule type="colorScale" priority="2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3">
    <cfRule type="colorScale" priority="23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16">
    <cfRule type="colorScale" priority="23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12:AQ135">
    <cfRule type="colorScale" priority="23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116:AQ118 AQ123">
    <cfRule type="colorScale" priority="23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12:AQ135">
    <cfRule type="colorScale" priority="22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12:AQ135">
    <cfRule type="colorScale" priority="22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12:AQ135">
    <cfRule type="colorScale" priority="22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125:AR135">
    <cfRule type="colorScale" priority="2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5:AQ135">
    <cfRule type="colorScale" priority="2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12:AQ135">
    <cfRule type="colorScale" priority="22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12:AR135">
    <cfRule type="colorScale" priority="22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112:AQ135">
    <cfRule type="colorScale" priority="22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12:AR135">
    <cfRule type="colorScale" priority="22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12:AR135">
    <cfRule type="colorScale" priority="2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12:AQ135">
    <cfRule type="colorScale" priority="21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23:AR135">
    <cfRule type="colorScale" priority="2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23:AQ135">
    <cfRule type="colorScale" priority="21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1">
    <cfRule type="colorScale" priority="21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29">
    <cfRule type="colorScale" priority="21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29">
    <cfRule type="colorScale" priority="21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12:AR120">
    <cfRule type="colorScale" priority="2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37:AR150">
    <cfRule type="colorScale" priority="2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50">
    <cfRule type="colorScale" priority="2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48:AR149">
    <cfRule type="colorScale" priority="2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:AQ149">
    <cfRule type="colorScale" priority="2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52:AR160">
    <cfRule type="colorScale" priority="2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2:AQ160">
    <cfRule type="colorScale" priority="2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37:AR147">
    <cfRule type="colorScale" priority="20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47">
    <cfRule type="colorScale" priority="20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51:AR160">
    <cfRule type="colorScale" priority="2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1:AQ160">
    <cfRule type="colorScale" priority="2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48:AR160">
    <cfRule type="colorScale" priority="2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:AQ160">
    <cfRule type="colorScale" priority="2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37:AR149">
    <cfRule type="colorScale" priority="2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49">
    <cfRule type="colorScale" priority="1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51:AR160">
    <cfRule type="colorScale" priority="1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1:AQ160">
    <cfRule type="colorScale" priority="1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37:AR147">
    <cfRule type="colorScale" priority="1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47">
    <cfRule type="colorScale" priority="1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48:AR160">
    <cfRule type="colorScale" priority="19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:AQ160">
    <cfRule type="colorScale" priority="1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">
    <cfRule type="colorScale" priority="19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41">
    <cfRule type="colorScale" priority="19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37:AQ160">
    <cfRule type="colorScale" priority="19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141:AQ143 AQ148">
    <cfRule type="colorScale" priority="18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37:AQ160">
    <cfRule type="colorScale" priority="18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37:AQ160">
    <cfRule type="colorScale" priority="18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37:AQ160">
    <cfRule type="colorScale" priority="18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150:AR160">
    <cfRule type="colorScale" priority="1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0:AQ160">
    <cfRule type="colorScale" priority="18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60">
    <cfRule type="colorScale" priority="18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37:AR160">
    <cfRule type="colorScale" priority="18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137:AQ160">
    <cfRule type="colorScale" priority="18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37:AR160">
    <cfRule type="colorScale" priority="18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37:AR160">
    <cfRule type="colorScale" priority="17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37:AQ160">
    <cfRule type="colorScale" priority="17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48:AR160">
    <cfRule type="colorScale" priority="1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48:AQ160">
    <cfRule type="colorScale" priority="1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56">
    <cfRule type="colorScale" priority="17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54">
    <cfRule type="colorScale" priority="17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54">
    <cfRule type="colorScale" priority="17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37:AR145">
    <cfRule type="colorScale" priority="17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62:AR176">
    <cfRule type="colorScale" priority="1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6">
    <cfRule type="colorScale" priority="17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8:AR185">
    <cfRule type="colorScale" priority="16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8:AQ185">
    <cfRule type="colorScale" priority="1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62:AR172">
    <cfRule type="colorScale" priority="16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2">
    <cfRule type="colorScale" priority="16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62:AR172">
    <cfRule type="colorScale" priority="16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2">
    <cfRule type="colorScale" priority="16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:AQ185">
    <cfRule type="colorScale" priority="163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73:AR185">
    <cfRule type="colorScale" priority="162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62:AR175">
    <cfRule type="colorScale" priority="1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5">
    <cfRule type="colorScale" priority="1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3:AR174">
    <cfRule type="colorScale" priority="1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:AQ174">
    <cfRule type="colorScale" priority="1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7:AR185">
    <cfRule type="colorScale" priority="1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7:AQ185">
    <cfRule type="colorScale" priority="1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62:AR172">
    <cfRule type="colorScale" priority="15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2">
    <cfRule type="colorScale" priority="15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6:AR185">
    <cfRule type="colorScale" priority="1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6:AQ185">
    <cfRule type="colorScale" priority="1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3:AR185">
    <cfRule type="colorScale" priority="1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:AQ185">
    <cfRule type="colorScale" priority="1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62:AR174">
    <cfRule type="colorScale" priority="1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4">
    <cfRule type="colorScale" priority="1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6:AR185">
    <cfRule type="colorScale" priority="1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6:AQ185">
    <cfRule type="colorScale" priority="1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62:AR172">
    <cfRule type="colorScale" priority="14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72">
    <cfRule type="colorScale" priority="14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3:AR185">
    <cfRule type="colorScale" priority="1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:AQ185">
    <cfRule type="colorScale" priority="1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">
    <cfRule type="colorScale" priority="14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66">
    <cfRule type="colorScale" priority="14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62:AQ185">
    <cfRule type="colorScale" priority="13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166:AQ168 AQ173">
    <cfRule type="colorScale" priority="13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62:AQ185">
    <cfRule type="colorScale" priority="13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62:AQ185">
    <cfRule type="colorScale" priority="13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62:AQ185">
    <cfRule type="colorScale" priority="13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175:AR185">
    <cfRule type="colorScale" priority="1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5:AQ185">
    <cfRule type="colorScale" priority="1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85">
    <cfRule type="colorScale" priority="13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62:AR185">
    <cfRule type="colorScale" priority="13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162:AQ185">
    <cfRule type="colorScale" priority="13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62:AR185">
    <cfRule type="colorScale" priority="12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62:AR185">
    <cfRule type="colorScale" priority="12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62:AQ185">
    <cfRule type="colorScale" priority="12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73:AR185">
    <cfRule type="colorScale" priority="1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73:AQ185">
    <cfRule type="colorScale" priority="1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1">
    <cfRule type="colorScale" priority="12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79">
    <cfRule type="colorScale" priority="12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79">
    <cfRule type="colorScale" priority="12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62:AR170">
    <cfRule type="colorScale" priority="12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88:AR203">
    <cfRule type="colorScale" priority="12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03">
    <cfRule type="colorScale" priority="11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05:AR210">
    <cfRule type="colorScale" priority="11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5:AQ210">
    <cfRule type="colorScale" priority="11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198">
    <cfRule type="colorScale" priority="11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88:AR198">
    <cfRule type="colorScale" priority="11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88:AR202">
    <cfRule type="colorScale" priority="11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02">
    <cfRule type="colorScale" priority="11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04:AR210">
    <cfRule type="colorScale" priority="11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4:AQ210">
    <cfRule type="colorScale" priority="11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88:AR198">
    <cfRule type="colorScale" priority="11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198">
    <cfRule type="colorScale" priority="10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88:AR198">
    <cfRule type="colorScale" priority="10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198">
    <cfRule type="colorScale" priority="10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:AQ210">
    <cfRule type="colorScale" priority="106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99:AR210">
    <cfRule type="colorScale" priority="10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188:AR201">
    <cfRule type="colorScale" priority="10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01">
    <cfRule type="colorScale" priority="10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99:AR200">
    <cfRule type="colorScale" priority="10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:AQ200">
    <cfRule type="colorScale" priority="10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03:AR210">
    <cfRule type="colorScale" priority="10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3:AQ210">
    <cfRule type="colorScale" priority="9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88:AR198">
    <cfRule type="colorScale" priority="9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198">
    <cfRule type="colorScale" priority="9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02:AR210">
    <cfRule type="colorScale" priority="9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2:AQ210">
    <cfRule type="colorScale" priority="9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99:AR210">
    <cfRule type="colorScale" priority="9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:AQ210">
    <cfRule type="colorScale" priority="9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88:AR200">
    <cfRule type="colorScale" priority="9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00">
    <cfRule type="colorScale" priority="9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02:AR210">
    <cfRule type="colorScale" priority="9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2:AQ210">
    <cfRule type="colorScale" priority="8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88:AR198">
    <cfRule type="colorScale" priority="8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198">
    <cfRule type="colorScale" priority="8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99:AR210">
    <cfRule type="colorScale" priority="8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:AQ210">
    <cfRule type="colorScale" priority="8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">
    <cfRule type="colorScale" priority="84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92">
    <cfRule type="colorScale" priority="8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88:AQ210">
    <cfRule type="colorScale" priority="8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192:AQ194 AQ199">
    <cfRule type="colorScale" priority="81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88:AQ210">
    <cfRule type="colorScale" priority="8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88:AQ210">
    <cfRule type="colorScale" priority="7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188:AQ210">
    <cfRule type="colorScale" priority="7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R201:AR210">
    <cfRule type="colorScale" priority="7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1:AQ210">
    <cfRule type="colorScale" priority="7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10">
    <cfRule type="colorScale" priority="7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88:AR210">
    <cfRule type="colorScale" priority="7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Q188:AQ210">
    <cfRule type="colorScale" priority="7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188:AR210">
    <cfRule type="colorScale" priority="7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88:AR210">
    <cfRule type="colorScale" priority="7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8:AQ210">
    <cfRule type="colorScale" priority="7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199:AR210">
    <cfRule type="colorScale" priority="6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99:AQ210">
    <cfRule type="colorScale" priority="6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07">
    <cfRule type="colorScale" priority="67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05">
    <cfRule type="colorScale" priority="6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205">
    <cfRule type="colorScale" priority="6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88:AR196">
    <cfRule type="colorScale" priority="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229:AR234">
    <cfRule type="colorScale" priority="6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9:AQ234">
    <cfRule type="colorScale" priority="6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7 AR235">
    <cfRule type="colorScale" priority="6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7 AQ235">
    <cfRule type="colorScale" priority="6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7">
    <cfRule type="colorScale" priority="5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7">
    <cfRule type="colorScale" priority="5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9:AR234">
    <cfRule type="colorScale" priority="5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9:AQ234">
    <cfRule type="colorScale" priority="5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2">
    <cfRule type="colorScale" priority="5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212:AR222">
    <cfRule type="colorScale" priority="5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212:AR226">
    <cfRule type="colorScale" priority="5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6">
    <cfRule type="colorScale" priority="5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8:AR234">
    <cfRule type="colorScale" priority="5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8:AQ234">
    <cfRule type="colorScale" priority="5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2">
    <cfRule type="colorScale" priority="4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2">
    <cfRule type="colorScale" priority="4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2">
    <cfRule type="colorScale" priority="4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2">
    <cfRule type="colorScale" priority="4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3:AQ234">
    <cfRule type="colorScale" priority="45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223:AR234">
    <cfRule type="colorScale" priority="44">
      <colorScale>
        <cfvo type="min" val="0"/>
        <cfvo type="percentile" val="50"/>
        <cfvo type="max" val="0"/>
        <color theme="6" tint="0.79998168889431442"/>
        <color theme="6" tint="0.39997558519241921"/>
        <color rgb="FFFFC000"/>
      </colorScale>
    </cfRule>
  </conditionalFormatting>
  <conditionalFormatting sqref="AR212:AR225">
    <cfRule type="colorScale" priority="4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5">
    <cfRule type="colorScale" priority="4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3:AR224">
    <cfRule type="colorScale" priority="4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3:AQ224">
    <cfRule type="colorScale" priority="4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7:AR234">
    <cfRule type="colorScale" priority="3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7:AQ234">
    <cfRule type="colorScale" priority="3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2">
    <cfRule type="colorScale" priority="3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2">
    <cfRule type="colorScale" priority="3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6:AR234">
    <cfRule type="colorScale" priority="3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6:AQ234">
    <cfRule type="colorScale" priority="3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3:AR234">
    <cfRule type="colorScale" priority="33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3:AQ234">
    <cfRule type="colorScale" priority="3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4">
    <cfRule type="colorScale" priority="3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4">
    <cfRule type="colorScale" priority="30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6:AR234">
    <cfRule type="colorScale" priority="29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6:AQ234">
    <cfRule type="colorScale" priority="28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12:AR222">
    <cfRule type="colorScale" priority="27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12:AQ222">
    <cfRule type="colorScale" priority="26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R223:AR234">
    <cfRule type="colorScale" priority="25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3:AQ234">
    <cfRule type="colorScale" priority="24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223">
    <cfRule type="colorScale" priority="23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16">
    <cfRule type="colorScale" priority="22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12:AQ234">
    <cfRule type="colorScale" priority="2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216:AQ218 AQ223">
    <cfRule type="colorScale" priority="20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12:AQ234">
    <cfRule type="colorScale" priority="19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12:AQ234">
    <cfRule type="colorScale" priority="18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12:AQ234">
    <cfRule type="colorScale" priority="1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AQ231">
    <cfRule type="colorScale" priority="6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Q229">
    <cfRule type="colorScale" priority="5">
      <colorScale>
        <cfvo type="min" val="0"/>
        <cfvo type="percentile" val="50"/>
        <cfvo type="max" val="0"/>
        <color theme="6" tint="0.79998168889431442"/>
        <color theme="6" tint="0.39997558519241921"/>
        <color theme="6" tint="-0.249977111117893"/>
      </colorScale>
    </cfRule>
  </conditionalFormatting>
  <conditionalFormatting sqref="AR229">
    <cfRule type="colorScale" priority="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212:AR220">
    <cfRule type="colorScale" priority="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AR187:AR210">
    <cfRule type="colorScale" priority="2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conditionalFormatting sqref="AQ187:AQ210">
    <cfRule type="colorScale" priority="1">
      <colorScale>
        <cfvo type="min" val="0"/>
        <cfvo type="percentile" val="50"/>
        <cfvo type="max" val="0"/>
        <color theme="6" tint="0.79998168889431442"/>
        <color theme="6" tint="0.59999389629810485"/>
        <color rgb="FFFFC000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M14"/>
  <sheetViews>
    <sheetView workbookViewId="0">
      <selection activeCell="H20" sqref="H20"/>
    </sheetView>
  </sheetViews>
  <sheetFormatPr defaultColWidth="9.109375" defaultRowHeight="13.2"/>
  <cols>
    <col min="1" max="1" width="5" style="1382" customWidth="1"/>
    <col min="2" max="2" width="27.33203125" style="1382" customWidth="1"/>
    <col min="3" max="3" width="12.6640625" style="1761" customWidth="1"/>
    <col min="4" max="10" width="10.77734375" style="1761" customWidth="1"/>
    <col min="11" max="11" width="10.77734375" style="1382" customWidth="1"/>
    <col min="12" max="12" width="10.77734375" style="1761" customWidth="1"/>
    <col min="13" max="13" width="10.77734375" style="1382" customWidth="1"/>
    <col min="14" max="16384" width="9.109375" style="1382"/>
  </cols>
  <sheetData>
    <row r="1" spans="2:13" ht="13.8" thickBot="1"/>
    <row r="2" spans="2:13" s="2273" customFormat="1" ht="10.199999999999999">
      <c r="B2" s="2268" t="s">
        <v>1114</v>
      </c>
      <c r="C2" s="2269" t="s">
        <v>1357</v>
      </c>
      <c r="D2" s="2270" t="s">
        <v>1147</v>
      </c>
      <c r="E2" s="2271" t="s">
        <v>567</v>
      </c>
      <c r="F2" s="2272" t="s">
        <v>1618</v>
      </c>
      <c r="G2" s="2271" t="s">
        <v>567</v>
      </c>
      <c r="H2" s="2272" t="s">
        <v>1169</v>
      </c>
      <c r="I2" s="2271" t="s">
        <v>567</v>
      </c>
      <c r="J2" s="2779" t="s">
        <v>1358</v>
      </c>
      <c r="K2" s="2780"/>
      <c r="L2" s="2781" t="s">
        <v>1359</v>
      </c>
      <c r="M2" s="2782"/>
    </row>
    <row r="3" spans="2:13" ht="18">
      <c r="B3" s="1762">
        <v>44959</v>
      </c>
      <c r="C3" s="1763">
        <v>47037</v>
      </c>
      <c r="D3" s="2265"/>
      <c r="E3" s="2260"/>
      <c r="F3" s="2274"/>
      <c r="G3" s="2260"/>
      <c r="H3" s="2256"/>
      <c r="I3" s="2262"/>
      <c r="J3" s="2263"/>
      <c r="K3" s="2262"/>
      <c r="L3" s="2256"/>
      <c r="M3" s="2266"/>
    </row>
    <row r="4" spans="2:13" ht="18">
      <c r="B4" s="1762">
        <v>44985</v>
      </c>
      <c r="C4" s="1763">
        <v>48164</v>
      </c>
      <c r="D4" s="2265">
        <f>C4-C3</f>
        <v>1127</v>
      </c>
      <c r="E4" s="2260">
        <v>1127</v>
      </c>
      <c r="F4" s="2274"/>
      <c r="G4" s="2260"/>
      <c r="H4" s="2256">
        <v>1688</v>
      </c>
      <c r="I4" s="2262">
        <f>H4</f>
        <v>1688</v>
      </c>
      <c r="J4" s="2263">
        <f>D4-H4</f>
        <v>-561</v>
      </c>
      <c r="K4" s="2262">
        <f>D4/H4</f>
        <v>0.66765402843601895</v>
      </c>
      <c r="L4" s="2256">
        <f>J4</f>
        <v>-561</v>
      </c>
      <c r="M4" s="2266">
        <f>E4/I4</f>
        <v>0.66765402843601895</v>
      </c>
    </row>
    <row r="5" spans="2:13" ht="18">
      <c r="B5" s="1762">
        <v>45013</v>
      </c>
      <c r="C5" s="1763">
        <v>49111</v>
      </c>
      <c r="D5" s="2265">
        <f>C5-C4</f>
        <v>947</v>
      </c>
      <c r="E5" s="2260">
        <f>SUM(D4:D5)</f>
        <v>2074</v>
      </c>
      <c r="F5" s="2274"/>
      <c r="G5" s="2260"/>
      <c r="H5" s="2256">
        <v>1655</v>
      </c>
      <c r="I5" s="2262">
        <f>SUM(H4:H5)</f>
        <v>3343</v>
      </c>
      <c r="J5" s="2263">
        <f>D5-H5</f>
        <v>-708</v>
      </c>
      <c r="K5" s="2262">
        <f>D5/H5</f>
        <v>0.57220543806646529</v>
      </c>
      <c r="L5" s="2256">
        <f>J5+J4</f>
        <v>-1269</v>
      </c>
      <c r="M5" s="2266">
        <f>E5/I5</f>
        <v>0.62040083757104392</v>
      </c>
    </row>
    <row r="6" spans="2:13" ht="18">
      <c r="B6" s="1762">
        <v>45044</v>
      </c>
      <c r="C6" s="1763">
        <v>49994</v>
      </c>
      <c r="D6" s="2265">
        <f>C6-C5</f>
        <v>883</v>
      </c>
      <c r="E6" s="2260">
        <f>SUM(D4:D6)</f>
        <v>2957</v>
      </c>
      <c r="F6" s="2274"/>
      <c r="G6" s="2260"/>
      <c r="H6" s="2256">
        <v>1126</v>
      </c>
      <c r="I6" s="2262">
        <f>SUM(H4:H6)</f>
        <v>4469</v>
      </c>
      <c r="J6" s="2263">
        <f>D6-H6</f>
        <v>-243</v>
      </c>
      <c r="K6" s="2262">
        <f>D6/H6</f>
        <v>0.78419182948490229</v>
      </c>
      <c r="L6" s="2256">
        <f>J6+J5</f>
        <v>-951</v>
      </c>
      <c r="M6" s="2266">
        <f t="shared" ref="M6:M8" si="0">G6/I6</f>
        <v>0</v>
      </c>
    </row>
    <row r="7" spans="2:13" ht="18">
      <c r="B7" s="1762">
        <v>45074</v>
      </c>
      <c r="C7" s="1763"/>
      <c r="D7" s="2265"/>
      <c r="E7" s="2260">
        <f>SUM(D4:D7)</f>
        <v>2957</v>
      </c>
      <c r="F7" s="2274"/>
      <c r="G7" s="2260"/>
      <c r="H7" s="2256">
        <v>525</v>
      </c>
      <c r="I7" s="2262">
        <f>SUM(H4:H7)</f>
        <v>4994</v>
      </c>
      <c r="J7" s="2263"/>
      <c r="K7" s="2262">
        <f>D7/H7</f>
        <v>0</v>
      </c>
      <c r="L7" s="2256"/>
      <c r="M7" s="2266">
        <f t="shared" si="0"/>
        <v>0</v>
      </c>
    </row>
    <row r="8" spans="2:13" ht="18">
      <c r="B8" s="1762">
        <v>45105</v>
      </c>
      <c r="C8" s="1763"/>
      <c r="D8" s="2265"/>
      <c r="E8" s="2260">
        <f>SUM(D4:D8)</f>
        <v>2957</v>
      </c>
      <c r="F8" s="2274"/>
      <c r="G8" s="2260"/>
      <c r="H8" s="2256">
        <v>231</v>
      </c>
      <c r="I8" s="2262">
        <f>SUM(H4:H8)</f>
        <v>5225</v>
      </c>
      <c r="J8" s="2263"/>
      <c r="K8" s="2262">
        <f>D8/H8</f>
        <v>0</v>
      </c>
      <c r="L8" s="2256"/>
      <c r="M8" s="2266">
        <f t="shared" si="0"/>
        <v>0</v>
      </c>
    </row>
    <row r="9" spans="2:13" ht="18">
      <c r="B9" s="1762">
        <v>45135</v>
      </c>
      <c r="C9" s="1763"/>
      <c r="D9" s="2265"/>
      <c r="E9" s="2260"/>
      <c r="F9" s="2274"/>
      <c r="G9" s="2260"/>
      <c r="H9" s="2256"/>
      <c r="I9" s="2262"/>
      <c r="J9" s="2263"/>
      <c r="K9" s="2262"/>
      <c r="L9" s="2256"/>
      <c r="M9" s="2266"/>
    </row>
    <row r="10" spans="2:13" ht="18">
      <c r="B10" s="1762">
        <v>45166</v>
      </c>
      <c r="C10" s="1763"/>
      <c r="D10" s="2265"/>
      <c r="E10" s="2260"/>
      <c r="F10" s="2274"/>
      <c r="G10" s="2260"/>
      <c r="H10" s="2256"/>
      <c r="I10" s="2262"/>
      <c r="J10" s="2263"/>
      <c r="K10" s="2262"/>
      <c r="L10" s="2256"/>
      <c r="M10" s="2266"/>
    </row>
    <row r="11" spans="2:13" ht="18">
      <c r="B11" s="1762">
        <v>45197</v>
      </c>
      <c r="C11" s="1763"/>
      <c r="D11" s="2265"/>
      <c r="E11" s="2260"/>
      <c r="F11" s="2274"/>
      <c r="G11" s="2260"/>
      <c r="H11" s="2256"/>
      <c r="I11" s="2262"/>
      <c r="J11" s="2263"/>
      <c r="K11" s="2262"/>
      <c r="L11" s="2256"/>
      <c r="M11" s="2266"/>
    </row>
    <row r="12" spans="2:13" ht="18">
      <c r="B12" s="1762">
        <v>45227</v>
      </c>
      <c r="C12" s="1763"/>
      <c r="D12" s="2265" t="e">
        <f>'el-varme'!#REF!</f>
        <v>#REF!</v>
      </c>
      <c r="E12" s="2260"/>
      <c r="F12" s="2274" t="e">
        <f>'el-varme'!#REF!</f>
        <v>#REF!</v>
      </c>
      <c r="G12" s="2260"/>
      <c r="H12" s="2256"/>
      <c r="I12" s="2262"/>
      <c r="J12" s="2263"/>
      <c r="K12" s="2262"/>
      <c r="L12" s="2256"/>
      <c r="M12" s="2266"/>
    </row>
    <row r="13" spans="2:13" ht="18">
      <c r="B13" s="1762">
        <v>45258</v>
      </c>
      <c r="C13" s="1763"/>
      <c r="D13" s="2265" t="e">
        <f>'el-varme'!#REF!</f>
        <v>#REF!</v>
      </c>
      <c r="E13" s="2260"/>
      <c r="F13" s="2274" t="e">
        <f>'el-varme'!#REF!</f>
        <v>#REF!</v>
      </c>
      <c r="G13" s="2260"/>
      <c r="H13" s="2256"/>
      <c r="I13" s="2262"/>
      <c r="J13" s="2263"/>
      <c r="K13" s="2262"/>
      <c r="L13" s="2256"/>
      <c r="M13" s="2266"/>
    </row>
    <row r="14" spans="2:13" ht="18.600000000000001" thickBot="1">
      <c r="B14" s="1764">
        <v>45288</v>
      </c>
      <c r="C14" s="1765"/>
      <c r="D14" s="2257" t="e">
        <f>'el-varme'!#REF!</f>
        <v>#REF!</v>
      </c>
      <c r="E14" s="2261"/>
      <c r="F14" s="2275" t="e">
        <f>'el-varme'!#REF!</f>
        <v>#REF!</v>
      </c>
      <c r="G14" s="2261"/>
      <c r="H14" s="2259"/>
      <c r="I14" s="2267"/>
      <c r="J14" s="2264"/>
      <c r="K14" s="2267"/>
      <c r="L14" s="2259"/>
      <c r="M14" s="2258"/>
    </row>
  </sheetData>
  <mergeCells count="2">
    <mergeCell ref="J2:K2"/>
    <mergeCell ref="L2:M2"/>
  </mergeCells>
  <conditionalFormatting sqref="D3:D8 F3:F8">
    <cfRule type="colorScale" priority="2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H4:H8">
    <cfRule type="colorScale" priority="2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J4:J8">
    <cfRule type="colorScale" priority="2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K4:K8">
    <cfRule type="colorScale" priority="24">
      <colorScale>
        <cfvo type="min" val="0"/>
        <cfvo type="max" val="0"/>
        <color theme="8" tint="0.79998168889431442"/>
        <color rgb="FFFFC000"/>
      </colorScale>
    </cfRule>
  </conditionalFormatting>
  <conditionalFormatting sqref="L4:L8">
    <cfRule type="colorScale" priority="2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M4:M8">
    <cfRule type="colorScale" priority="22">
      <colorScale>
        <cfvo type="min" val="0"/>
        <cfvo type="max" val="0"/>
        <color theme="8" tint="0.79998168889431442"/>
        <color rgb="FFFFC000"/>
      </colorScale>
    </cfRule>
  </conditionalFormatting>
  <conditionalFormatting sqref="H3:H8">
    <cfRule type="colorScale" priority="2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J3:J8">
    <cfRule type="colorScale" priority="18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L3:L8">
    <cfRule type="colorScale" priority="15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E3:E8">
    <cfRule type="colorScale" priority="14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I3:I8 I14">
    <cfRule type="colorScale" priority="1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K3:K8 K14">
    <cfRule type="colorScale" priority="12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M3:M8 M14">
    <cfRule type="colorScale" priority="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G3:G8">
    <cfRule type="colorScale" priority="1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613"/>
  <sheetViews>
    <sheetView workbookViewId="0">
      <pane ySplit="11" topLeftCell="A610" activePane="bottomLeft" state="frozen"/>
      <selection activeCell="AO615" sqref="AO615"/>
      <selection pane="bottomLeft" activeCell="F585" sqref="F585"/>
    </sheetView>
  </sheetViews>
  <sheetFormatPr defaultColWidth="9.109375" defaultRowHeight="13.2"/>
  <cols>
    <col min="1" max="1" width="1.109375" style="1177" customWidth="1"/>
    <col min="2" max="2" width="5.109375" style="1183" customWidth="1"/>
    <col min="3" max="3" width="13.109375" style="1182" customWidth="1"/>
    <col min="4" max="4" width="13.6640625" style="1181" customWidth="1"/>
    <col min="5" max="5" width="1.109375" style="1805" customWidth="1"/>
    <col min="6" max="6" width="12.6640625" style="1180" customWidth="1"/>
    <col min="7" max="7" width="12.6640625" style="1178" customWidth="1"/>
    <col min="8" max="8" width="12.6640625" style="2039" customWidth="1"/>
    <col min="9" max="9" width="13" style="2040" customWidth="1"/>
    <col min="10" max="10" width="1.109375" style="1805" customWidth="1"/>
    <col min="11" max="11" width="12.6640625" style="1179" customWidth="1"/>
    <col min="12" max="12" width="12.6640625" style="2053" customWidth="1"/>
    <col min="13" max="13" width="1.109375" style="1805" customWidth="1"/>
    <col min="14" max="14" width="13.109375" style="1178" customWidth="1"/>
    <col min="15" max="15" width="14.6640625" style="2068" customWidth="1"/>
    <col min="16" max="16" width="1.109375" style="1805" customWidth="1"/>
    <col min="17" max="17" width="11.5546875" style="1178" customWidth="1"/>
    <col min="18" max="18" width="10.88671875" style="1176" bestFit="1" customWidth="1"/>
    <col min="19" max="19" width="9.33203125" style="1176" bestFit="1" customWidth="1"/>
    <col min="20" max="16384" width="9.109375" style="1176"/>
  </cols>
  <sheetData>
    <row r="1" spans="1:19" ht="13.5" customHeight="1">
      <c r="B1" s="1300"/>
      <c r="C1" s="1301" t="s">
        <v>1168</v>
      </c>
      <c r="D1" s="1301"/>
      <c r="F1" s="1867"/>
      <c r="G1" s="1868"/>
      <c r="H1" s="2000"/>
      <c r="I1" s="2001"/>
      <c r="K1" s="1867"/>
      <c r="L1" s="2000" t="s">
        <v>418</v>
      </c>
      <c r="N1" s="1868"/>
      <c r="O1" s="2001" t="s">
        <v>418</v>
      </c>
      <c r="Q1" s="1866"/>
    </row>
    <row r="2" spans="1:19" ht="13.5" customHeight="1">
      <c r="B2" s="1812"/>
      <c r="C2" s="1814" t="s">
        <v>1114</v>
      </c>
      <c r="D2" s="1813"/>
      <c r="F2" s="1867" t="s">
        <v>1167</v>
      </c>
      <c r="G2" s="1869" t="s">
        <v>1164</v>
      </c>
      <c r="H2" s="2000" t="s">
        <v>1166</v>
      </c>
      <c r="I2" s="2001" t="s">
        <v>1165</v>
      </c>
      <c r="K2" s="1867" t="s">
        <v>1163</v>
      </c>
      <c r="L2" s="2041" t="s">
        <v>1162</v>
      </c>
      <c r="N2" s="1868" t="s">
        <v>1161</v>
      </c>
      <c r="O2" s="2001" t="s">
        <v>1160</v>
      </c>
      <c r="Q2" s="1866" t="s">
        <v>1468</v>
      </c>
      <c r="R2" s="2069" t="s">
        <v>1481</v>
      </c>
    </row>
    <row r="3" spans="1:19" ht="13.5" customHeight="1">
      <c r="B3" s="1870"/>
      <c r="C3" s="1870" t="s">
        <v>1475</v>
      </c>
      <c r="D3" s="1870"/>
      <c r="F3" s="1951">
        <f t="shared" ref="F3:F9" si="0">K3/31</f>
        <v>61.799354838709675</v>
      </c>
      <c r="G3" s="1865">
        <f t="shared" ref="G3:G9" si="1">N3/31</f>
        <v>124.78419354838709</v>
      </c>
      <c r="H3" s="2002">
        <f>F3/24</f>
        <v>2.5749731182795697</v>
      </c>
      <c r="I3" s="1843">
        <f>G3/F3</f>
        <v>2.0191827871676287</v>
      </c>
      <c r="K3" s="1841">
        <v>1915.78</v>
      </c>
      <c r="L3" s="2034">
        <f>K3/31</f>
        <v>61.799354838709675</v>
      </c>
      <c r="N3" s="1975">
        <v>3868.31</v>
      </c>
      <c r="O3" s="2054">
        <f>N3/31</f>
        <v>124.78419354838709</v>
      </c>
      <c r="Q3" s="1976"/>
      <c r="R3" s="2070">
        <f>SUM(R4:R8)</f>
        <v>1095.0864000000001</v>
      </c>
    </row>
    <row r="4" spans="1:19" ht="13.5" customHeight="1">
      <c r="B4" s="1870"/>
      <c r="C4" s="1870" t="s">
        <v>1476</v>
      </c>
      <c r="D4" s="1870"/>
      <c r="F4" s="1951">
        <f>K4/28</f>
        <v>9.8339285714285722</v>
      </c>
      <c r="G4" s="1865">
        <f>N4/28</f>
        <v>20.356071428571429</v>
      </c>
      <c r="H4" s="2002">
        <f>F4/24</f>
        <v>0.40974702380952382</v>
      </c>
      <c r="I4" s="1843">
        <f>G4/F4</f>
        <v>2.0699836571636099</v>
      </c>
      <c r="J4" s="1805">
        <f t="shared" ref="J4" si="2">J357</f>
        <v>0</v>
      </c>
      <c r="K4" s="1841">
        <f>198.86+76.49</f>
        <v>275.35000000000002</v>
      </c>
      <c r="L4" s="2034">
        <f>K4/28</f>
        <v>9.8339285714285722</v>
      </c>
      <c r="N4" s="1870">
        <f>423.89+146.08</f>
        <v>569.97</v>
      </c>
      <c r="O4" s="2003">
        <f>N4/28</f>
        <v>20.356071428571429</v>
      </c>
      <c r="Q4" s="1977"/>
      <c r="R4" s="2003">
        <f>K4*0.87</f>
        <v>239.55450000000002</v>
      </c>
    </row>
    <row r="5" spans="1:19" ht="13.5" customHeight="1">
      <c r="B5" s="1870"/>
      <c r="C5" s="1870" t="s">
        <v>1474</v>
      </c>
      <c r="D5" s="1870"/>
      <c r="F5" s="1951">
        <f t="shared" si="0"/>
        <v>6.9048387096774198</v>
      </c>
      <c r="G5" s="1865">
        <f t="shared" si="1"/>
        <v>13.23258064516129</v>
      </c>
      <c r="H5" s="2002">
        <f>F5/24</f>
        <v>0.28770161290322582</v>
      </c>
      <c r="I5" s="1843">
        <f>G5/F5</f>
        <v>1.91642139686989</v>
      </c>
      <c r="J5" s="1805">
        <f t="shared" ref="J5" si="3">J387</f>
        <v>0</v>
      </c>
      <c r="K5" s="1841">
        <v>214.05</v>
      </c>
      <c r="L5" s="2034">
        <f>K5/31</f>
        <v>6.9048387096774198</v>
      </c>
      <c r="N5" s="1870">
        <v>410.21</v>
      </c>
      <c r="O5" s="2003">
        <f>N5/31</f>
        <v>13.23258064516129</v>
      </c>
      <c r="Q5" s="1978">
        <f>SUM(N3:N5)</f>
        <v>4848.49</v>
      </c>
      <c r="R5" s="2003">
        <f t="shared" ref="R5:R8" si="4">K5*0.87</f>
        <v>186.2235</v>
      </c>
    </row>
    <row r="6" spans="1:19" ht="13.5" customHeight="1">
      <c r="B6" s="1870"/>
      <c r="C6" s="1870" t="s">
        <v>1473</v>
      </c>
      <c r="D6" s="1870"/>
      <c r="F6" s="1951">
        <f>K6/30</f>
        <v>6.833333333333333</v>
      </c>
      <c r="G6" s="1865">
        <f>N6/30</f>
        <v>11.584333333333332</v>
      </c>
      <c r="H6" s="2002">
        <f>F6/24</f>
        <v>0.28472222222222221</v>
      </c>
      <c r="I6" s="1843">
        <f>G6/F6</f>
        <v>1.6952682926829266</v>
      </c>
      <c r="J6" s="1805">
        <f t="shared" ref="J6" si="5">J420</f>
        <v>0</v>
      </c>
      <c r="K6" s="1841">
        <v>205</v>
      </c>
      <c r="L6" s="2034">
        <f>K6/30</f>
        <v>6.833333333333333</v>
      </c>
      <c r="N6" s="1870">
        <v>347.53</v>
      </c>
      <c r="O6" s="2003">
        <f>N6/30</f>
        <v>11.584333333333332</v>
      </c>
      <c r="Q6" s="1976"/>
      <c r="R6" s="2003">
        <f t="shared" si="4"/>
        <v>178.35</v>
      </c>
    </row>
    <row r="7" spans="1:19" ht="13.5" customHeight="1">
      <c r="B7" s="1870"/>
      <c r="C7" s="1870" t="s">
        <v>1471</v>
      </c>
      <c r="D7" s="1870"/>
      <c r="F7" s="1951">
        <f t="shared" si="0"/>
        <v>8.6051612903225809</v>
      </c>
      <c r="G7" s="1865">
        <f t="shared" si="1"/>
        <v>12.394193548387097</v>
      </c>
      <c r="H7" s="2002">
        <f>F7/24</f>
        <v>0.35854838709677422</v>
      </c>
      <c r="I7" s="1843">
        <f>G7/F7</f>
        <v>1.4403208876893088</v>
      </c>
      <c r="K7" s="1841">
        <f>212.82+53.94</f>
        <v>266.76</v>
      </c>
      <c r="L7" s="2034">
        <f>K7/31</f>
        <v>8.6051612903225809</v>
      </c>
      <c r="N7" s="1870">
        <f>303.24+80.98</f>
        <v>384.22</v>
      </c>
      <c r="O7" s="2003">
        <f>N7/31</f>
        <v>12.394193548387097</v>
      </c>
      <c r="Q7" s="1977"/>
      <c r="R7" s="2003">
        <f t="shared" si="4"/>
        <v>232.0812</v>
      </c>
    </row>
    <row r="8" spans="1:19" s="1849" customFormat="1" ht="13.5" customHeight="1">
      <c r="A8" s="1177"/>
      <c r="B8" s="1870"/>
      <c r="C8" s="1870" t="s">
        <v>1472</v>
      </c>
      <c r="D8" s="1870"/>
      <c r="E8" s="1810"/>
      <c r="F8" s="1951">
        <f>K8/30</f>
        <v>9.9186666666666667</v>
      </c>
      <c r="G8" s="1865">
        <f>N8/30</f>
        <v>16.434000000000001</v>
      </c>
      <c r="H8" s="2002">
        <f ca="1">H485</f>
        <v>3.5669770773638969E-2</v>
      </c>
      <c r="I8" s="1843">
        <f ca="1">I485</f>
        <v>1.6539645881447267</v>
      </c>
      <c r="J8" s="1810"/>
      <c r="K8" s="1841">
        <f>MAX(total!K486:K515)</f>
        <v>297.56</v>
      </c>
      <c r="L8" s="2034">
        <f>K8/30</f>
        <v>9.9186666666666667</v>
      </c>
      <c r="M8" s="1805"/>
      <c r="N8" s="1870">
        <f>MAX(total!N486:N515)</f>
        <v>493.02</v>
      </c>
      <c r="O8" s="2003">
        <f>N8/30</f>
        <v>16.434000000000001</v>
      </c>
      <c r="P8" s="1805"/>
      <c r="Q8" s="1978">
        <f>SUM(N6:N8)</f>
        <v>1224.77</v>
      </c>
      <c r="R8" s="2003">
        <f t="shared" si="4"/>
        <v>258.87720000000002</v>
      </c>
      <c r="S8" s="2071">
        <f>AVERAGE(R4:R8)</f>
        <v>219.01728000000003</v>
      </c>
    </row>
    <row r="9" spans="1:19" s="1849" customFormat="1" ht="13.5" customHeight="1">
      <c r="A9" s="1177"/>
      <c r="B9" s="2080"/>
      <c r="C9" s="2084" t="s">
        <v>1483</v>
      </c>
      <c r="D9" s="2080"/>
      <c r="E9" s="1810"/>
      <c r="F9" s="1951">
        <f t="shared" si="0"/>
        <v>5.5751612903225798</v>
      </c>
      <c r="G9" s="1865">
        <f t="shared" si="1"/>
        <v>12.273870967741937</v>
      </c>
      <c r="H9" s="2002">
        <f>H517</f>
        <v>0.23229838709677422</v>
      </c>
      <c r="I9" s="1843">
        <f>I517</f>
        <v>2.2015275125846214</v>
      </c>
      <c r="J9" s="1810"/>
      <c r="K9" s="1841">
        <f>MAX(total!K518:K548)</f>
        <v>172.82999999999998</v>
      </c>
      <c r="L9" s="2034">
        <f>K9/30</f>
        <v>5.7609999999999992</v>
      </c>
      <c r="M9" s="1805"/>
      <c r="N9" s="2080">
        <f>MAX(total!N518:N548)</f>
        <v>380.49000000000007</v>
      </c>
      <c r="O9" s="2003">
        <f>N9/30</f>
        <v>12.683000000000002</v>
      </c>
      <c r="P9" s="1805"/>
      <c r="Q9" s="1978"/>
      <c r="R9" s="2003"/>
      <c r="S9" s="2071"/>
    </row>
    <row r="10" spans="1:19" s="1849" customFormat="1" ht="13.5" customHeight="1">
      <c r="A10" s="1177"/>
      <c r="B10" s="2088"/>
      <c r="C10" s="2084" t="s">
        <v>1488</v>
      </c>
      <c r="D10" s="2088"/>
      <c r="E10" s="1810"/>
      <c r="F10" s="1951">
        <f>K10/31</f>
        <v>7.6387096774193548</v>
      </c>
      <c r="G10" s="1865">
        <f>N10/31</f>
        <v>15.935806451612903</v>
      </c>
      <c r="H10" s="2002">
        <f>H518</f>
        <v>0.22958333333333336</v>
      </c>
      <c r="I10" s="1843">
        <f>I518</f>
        <v>2.1923774954627948</v>
      </c>
      <c r="J10" s="1810"/>
      <c r="K10" s="1841">
        <v>236.8</v>
      </c>
      <c r="L10" s="2034">
        <f>K10/30</f>
        <v>7.8933333333333335</v>
      </c>
      <c r="M10" s="1805"/>
      <c r="N10" s="2088">
        <v>494.01</v>
      </c>
      <c r="O10" s="2003">
        <f>N10/30</f>
        <v>16.466999999999999</v>
      </c>
      <c r="P10" s="1805"/>
      <c r="Q10" s="1978"/>
      <c r="R10" s="2003"/>
      <c r="S10" s="2071"/>
    </row>
    <row r="11" spans="1:19" s="1851" customFormat="1" ht="9" customHeight="1">
      <c r="H11" s="2004"/>
      <c r="I11" s="2004"/>
      <c r="L11" s="2004"/>
      <c r="M11" s="1852"/>
      <c r="O11" s="2004"/>
      <c r="P11" s="1852"/>
      <c r="R11" s="1852"/>
      <c r="S11" s="1852"/>
    </row>
    <row r="12" spans="1:19" s="1850" customFormat="1" ht="14.4">
      <c r="A12" s="1196"/>
      <c r="B12" s="1289"/>
      <c r="C12" s="1288">
        <v>44621</v>
      </c>
      <c r="D12" s="1287">
        <v>1</v>
      </c>
      <c r="E12" s="1807"/>
      <c r="F12" s="1279"/>
      <c r="G12" s="1286" t="e">
        <f>#REF!*#REF!</f>
        <v>#REF!</v>
      </c>
      <c r="H12" s="2005"/>
      <c r="I12" s="2006"/>
      <c r="J12" s="1807"/>
      <c r="K12" s="1278"/>
      <c r="L12" s="2042"/>
      <c r="M12" s="1807"/>
      <c r="N12" s="1286" t="e">
        <f>#REF!*#REF!</f>
        <v>#REF!</v>
      </c>
      <c r="O12" s="2055" t="e">
        <f t="shared" ref="O12:O75" si="6">N12/$D12</f>
        <v>#REF!</v>
      </c>
      <c r="P12" s="1807"/>
      <c r="Q12" s="1286"/>
    </row>
    <row r="13" spans="1:19" s="1184" customFormat="1" ht="14.4">
      <c r="A13" s="1196"/>
      <c r="B13" s="1283"/>
      <c r="C13" s="1282">
        <v>44622</v>
      </c>
      <c r="D13" s="1281">
        <v>2</v>
      </c>
      <c r="E13" s="1807"/>
      <c r="F13" s="1279"/>
      <c r="G13" s="1280" t="e">
        <f>#REF!*#REF!</f>
        <v>#REF!</v>
      </c>
      <c r="H13" s="2005"/>
      <c r="I13" s="2007"/>
      <c r="J13" s="1807"/>
      <c r="K13" s="1278"/>
      <c r="L13" s="2042"/>
      <c r="M13" s="1807"/>
      <c r="N13" s="1280" t="e">
        <f>#REF!*#REF!</f>
        <v>#REF!</v>
      </c>
      <c r="O13" s="2056" t="e">
        <f t="shared" si="6"/>
        <v>#REF!</v>
      </c>
      <c r="P13" s="1807"/>
      <c r="Q13" s="1280"/>
    </row>
    <row r="14" spans="1:19" s="1184" customFormat="1" ht="14.4">
      <c r="A14" s="1196"/>
      <c r="B14" s="1283"/>
      <c r="C14" s="1282">
        <v>44623</v>
      </c>
      <c r="D14" s="1281">
        <v>3</v>
      </c>
      <c r="E14" s="1807"/>
      <c r="F14" s="1279">
        <v>3.41</v>
      </c>
      <c r="G14" s="1280" t="e">
        <f>K14*#REF!</f>
        <v>#REF!</v>
      </c>
      <c r="H14" s="2005"/>
      <c r="I14" s="2007"/>
      <c r="J14" s="1807"/>
      <c r="K14" s="1278"/>
      <c r="L14" s="2042"/>
      <c r="M14" s="1807"/>
      <c r="N14" s="1280" t="e">
        <f>#REF!*#REF!</f>
        <v>#REF!</v>
      </c>
      <c r="O14" s="2056" t="e">
        <f t="shared" si="6"/>
        <v>#REF!</v>
      </c>
      <c r="P14" s="1807"/>
      <c r="Q14" s="1280"/>
    </row>
    <row r="15" spans="1:19" s="1184" customFormat="1" ht="14.4">
      <c r="A15" s="1196"/>
      <c r="B15" s="1283"/>
      <c r="C15" s="1282">
        <v>44624</v>
      </c>
      <c r="D15" s="1281">
        <v>4</v>
      </c>
      <c r="E15" s="1807"/>
      <c r="F15" s="1279">
        <v>12.14</v>
      </c>
      <c r="G15" s="1280" t="e">
        <f>K15*#REF!</f>
        <v>#REF!</v>
      </c>
      <c r="H15" s="2005"/>
      <c r="I15" s="2007"/>
      <c r="J15" s="1807"/>
      <c r="K15" s="1278"/>
      <c r="L15" s="2042"/>
      <c r="M15" s="1807"/>
      <c r="N15" s="1280" t="e">
        <f>#REF!*#REF!</f>
        <v>#REF!</v>
      </c>
      <c r="O15" s="2056" t="e">
        <f t="shared" si="6"/>
        <v>#REF!</v>
      </c>
      <c r="P15" s="1807"/>
      <c r="Q15" s="1280"/>
      <c r="R15" s="1176"/>
      <c r="S15" s="1176"/>
    </row>
    <row r="16" spans="1:19" s="1184" customFormat="1" ht="14.4">
      <c r="A16" s="1196"/>
      <c r="B16" s="1283"/>
      <c r="C16" s="1282">
        <v>44625</v>
      </c>
      <c r="D16" s="1281">
        <v>5</v>
      </c>
      <c r="E16" s="1807"/>
      <c r="F16" s="1279">
        <v>2.36</v>
      </c>
      <c r="G16" s="1280" t="e">
        <f>K16*#REF!</f>
        <v>#REF!</v>
      </c>
      <c r="H16" s="2005"/>
      <c r="I16" s="2007"/>
      <c r="J16" s="1807"/>
      <c r="K16" s="1278"/>
      <c r="L16" s="2042"/>
      <c r="M16" s="1807"/>
      <c r="N16" s="1280" t="e">
        <f>#REF!*#REF!</f>
        <v>#REF!</v>
      </c>
      <c r="O16" s="2056" t="e">
        <f t="shared" si="6"/>
        <v>#REF!</v>
      </c>
      <c r="P16" s="1807"/>
      <c r="Q16" s="1280"/>
    </row>
    <row r="17" spans="1:17" s="1184" customFormat="1" ht="14.4">
      <c r="A17" s="1196"/>
      <c r="B17" s="1299"/>
      <c r="C17" s="1298">
        <v>44626</v>
      </c>
      <c r="D17" s="1297">
        <v>6</v>
      </c>
      <c r="E17" s="1807"/>
      <c r="F17" s="1279">
        <v>9.73</v>
      </c>
      <c r="G17" s="1296" t="e">
        <f>K17*#REF!</f>
        <v>#REF!</v>
      </c>
      <c r="H17" s="2005"/>
      <c r="I17" s="2007"/>
      <c r="J17" s="1807"/>
      <c r="K17" s="1278"/>
      <c r="L17" s="2042"/>
      <c r="M17" s="1807"/>
      <c r="N17" s="1296" t="e">
        <f>#REF!*#REF!</f>
        <v>#REF!</v>
      </c>
      <c r="O17" s="2057" t="e">
        <f t="shared" si="6"/>
        <v>#REF!</v>
      </c>
      <c r="P17" s="1807"/>
      <c r="Q17" s="1296"/>
    </row>
    <row r="18" spans="1:17" s="1184" customFormat="1" ht="14.4">
      <c r="A18" s="1196"/>
      <c r="B18" s="1299"/>
      <c r="C18" s="1298">
        <v>44627</v>
      </c>
      <c r="D18" s="1297">
        <v>7</v>
      </c>
      <c r="E18" s="1807"/>
      <c r="F18" s="1279">
        <v>6.99</v>
      </c>
      <c r="G18" s="1296" t="e">
        <f>K18*#REF!</f>
        <v>#REF!</v>
      </c>
      <c r="H18" s="2005"/>
      <c r="I18" s="2007"/>
      <c r="J18" s="1807"/>
      <c r="K18" s="1278"/>
      <c r="L18" s="2042"/>
      <c r="M18" s="1807"/>
      <c r="N18" s="1296" t="e">
        <f>#REF!*#REF!</f>
        <v>#REF!</v>
      </c>
      <c r="O18" s="2057" t="e">
        <f t="shared" si="6"/>
        <v>#REF!</v>
      </c>
      <c r="P18" s="1807"/>
      <c r="Q18" s="1296"/>
    </row>
    <row r="19" spans="1:17" s="1184" customFormat="1" ht="14.4">
      <c r="A19" s="1196"/>
      <c r="B19" s="1299"/>
      <c r="C19" s="1298">
        <v>44628</v>
      </c>
      <c r="D19" s="1297">
        <v>8</v>
      </c>
      <c r="E19" s="1807"/>
      <c r="F19" s="1295">
        <v>5.98</v>
      </c>
      <c r="G19" s="1296" t="e">
        <f>K19*#REF!</f>
        <v>#REF!</v>
      </c>
      <c r="H19" s="2008"/>
      <c r="I19" s="2009"/>
      <c r="J19" s="1807"/>
      <c r="K19" s="1294"/>
      <c r="L19" s="2043"/>
      <c r="M19" s="1807"/>
      <c r="N19" s="1296" t="e">
        <f>#REF!*#REF!</f>
        <v>#REF!</v>
      </c>
      <c r="O19" s="2057" t="e">
        <f t="shared" si="6"/>
        <v>#REF!</v>
      </c>
      <c r="P19" s="1807"/>
      <c r="Q19" s="1296"/>
    </row>
    <row r="20" spans="1:17" s="1184" customFormat="1" ht="14.4">
      <c r="A20" s="1196"/>
      <c r="B20" s="1299"/>
      <c r="C20" s="1298">
        <v>44629</v>
      </c>
      <c r="D20" s="1297">
        <v>9</v>
      </c>
      <c r="E20" s="1807"/>
      <c r="F20" s="1295">
        <v>5.63</v>
      </c>
      <c r="G20" s="1296" t="e">
        <f>K20*#REF!</f>
        <v>#REF!</v>
      </c>
      <c r="H20" s="2008"/>
      <c r="I20" s="2009"/>
      <c r="J20" s="1807"/>
      <c r="K20" s="1294"/>
      <c r="L20" s="2043"/>
      <c r="M20" s="1807"/>
      <c r="N20" s="1296" t="e">
        <f>#REF!*#REF!</f>
        <v>#REF!</v>
      </c>
      <c r="O20" s="2057" t="e">
        <f t="shared" si="6"/>
        <v>#REF!</v>
      </c>
      <c r="P20" s="1807"/>
      <c r="Q20" s="1296"/>
    </row>
    <row r="21" spans="1:17" s="1184" customFormat="1" ht="14.4">
      <c r="A21" s="1196"/>
      <c r="B21" s="1299"/>
      <c r="C21" s="1298">
        <v>44630</v>
      </c>
      <c r="D21" s="1297">
        <v>10</v>
      </c>
      <c r="E21" s="1807"/>
      <c r="F21" s="1295">
        <v>3.81</v>
      </c>
      <c r="G21" s="1296" t="e">
        <f>K21*#REF!</f>
        <v>#REF!</v>
      </c>
      <c r="H21" s="2008"/>
      <c r="I21" s="2009"/>
      <c r="J21" s="1807"/>
      <c r="K21" s="1294"/>
      <c r="L21" s="2043"/>
      <c r="M21" s="1807"/>
      <c r="N21" s="1296" t="e">
        <f>#REF!*#REF!</f>
        <v>#REF!</v>
      </c>
      <c r="O21" s="2057" t="e">
        <f t="shared" si="6"/>
        <v>#REF!</v>
      </c>
      <c r="P21" s="1807"/>
      <c r="Q21" s="1296"/>
    </row>
    <row r="22" spans="1:17" s="1184" customFormat="1" ht="14.4">
      <c r="A22" s="1196"/>
      <c r="B22" s="1299"/>
      <c r="C22" s="1298">
        <v>44631</v>
      </c>
      <c r="D22" s="1297">
        <v>11</v>
      </c>
      <c r="E22" s="1807"/>
      <c r="F22" s="1295">
        <v>9.26</v>
      </c>
      <c r="G22" s="1296" t="e">
        <f>K22*#REF!</f>
        <v>#REF!</v>
      </c>
      <c r="H22" s="2008"/>
      <c r="I22" s="2009"/>
      <c r="J22" s="1807"/>
      <c r="K22" s="1294"/>
      <c r="L22" s="2043"/>
      <c r="M22" s="1807"/>
      <c r="N22" s="1296" t="e">
        <f>#REF!*#REF!</f>
        <v>#REF!</v>
      </c>
      <c r="O22" s="2057" t="e">
        <f t="shared" si="6"/>
        <v>#REF!</v>
      </c>
      <c r="P22" s="1807"/>
      <c r="Q22" s="1296" t="s">
        <v>1159</v>
      </c>
    </row>
    <row r="23" spans="1:17" s="1184" customFormat="1" ht="14.4">
      <c r="A23" s="1196"/>
      <c r="B23" s="1299"/>
      <c r="C23" s="1298">
        <v>44632</v>
      </c>
      <c r="D23" s="1297">
        <v>12</v>
      </c>
      <c r="E23" s="1807"/>
      <c r="F23" s="1295">
        <v>5.0599999999999996</v>
      </c>
      <c r="G23" s="1296" t="e">
        <f>K23*#REF!</f>
        <v>#REF!</v>
      </c>
      <c r="H23" s="2008"/>
      <c r="I23" s="2009"/>
      <c r="J23" s="1807"/>
      <c r="K23" s="1294"/>
      <c r="L23" s="2043"/>
      <c r="M23" s="1807"/>
      <c r="N23" s="1296" t="e">
        <f>#REF!*#REF!</f>
        <v>#REF!</v>
      </c>
      <c r="O23" s="2057" t="e">
        <f t="shared" si="6"/>
        <v>#REF!</v>
      </c>
      <c r="P23" s="1807"/>
      <c r="Q23" s="1296"/>
    </row>
    <row r="24" spans="1:17" s="1184" customFormat="1" ht="14.4">
      <c r="A24" s="1196"/>
      <c r="B24" s="1299"/>
      <c r="C24" s="1298">
        <v>44633</v>
      </c>
      <c r="D24" s="1297">
        <v>13</v>
      </c>
      <c r="E24" s="1807"/>
      <c r="F24" s="1295">
        <v>9.31</v>
      </c>
      <c r="G24" s="1296" t="e">
        <f>K24*#REF!</f>
        <v>#REF!</v>
      </c>
      <c r="H24" s="2008"/>
      <c r="I24" s="2009"/>
      <c r="J24" s="1807"/>
      <c r="K24" s="1294"/>
      <c r="L24" s="2043"/>
      <c r="M24" s="1807"/>
      <c r="N24" s="1296" t="e">
        <f>#REF!*#REF!</f>
        <v>#REF!</v>
      </c>
      <c r="O24" s="2057" t="e">
        <f t="shared" si="6"/>
        <v>#REF!</v>
      </c>
      <c r="P24" s="1807"/>
      <c r="Q24" s="1296"/>
    </row>
    <row r="25" spans="1:17" s="1184" customFormat="1" ht="14.4">
      <c r="A25" s="1196"/>
      <c r="B25" s="1283"/>
      <c r="C25" s="1282">
        <v>44634</v>
      </c>
      <c r="D25" s="1281">
        <v>14</v>
      </c>
      <c r="E25" s="1807"/>
      <c r="F25" s="1295">
        <v>6.16</v>
      </c>
      <c r="G25" s="1280" t="e">
        <f>K25*#REF!</f>
        <v>#REF!</v>
      </c>
      <c r="H25" s="2008"/>
      <c r="I25" s="2009"/>
      <c r="J25" s="1807"/>
      <c r="K25" s="1294"/>
      <c r="L25" s="2043"/>
      <c r="M25" s="1807"/>
      <c r="N25" s="1280" t="e">
        <f>#REF!*#REF!</f>
        <v>#REF!</v>
      </c>
      <c r="O25" s="2056" t="e">
        <f t="shared" si="6"/>
        <v>#REF!</v>
      </c>
      <c r="P25" s="1807"/>
      <c r="Q25" s="1280"/>
    </row>
    <row r="26" spans="1:17" s="1184" customFormat="1" ht="14.4">
      <c r="A26" s="1196"/>
      <c r="B26" s="1283"/>
      <c r="C26" s="1282">
        <v>44635</v>
      </c>
      <c r="D26" s="1281">
        <v>15</v>
      </c>
      <c r="E26" s="1807"/>
      <c r="F26" s="1295">
        <v>3.31</v>
      </c>
      <c r="G26" s="1280" t="e">
        <f>K26*#REF!</f>
        <v>#REF!</v>
      </c>
      <c r="H26" s="2008"/>
      <c r="I26" s="2009"/>
      <c r="J26" s="1807"/>
      <c r="K26" s="1294"/>
      <c r="L26" s="2043"/>
      <c r="M26" s="1807"/>
      <c r="N26" s="1280" t="e">
        <f>#REF!*#REF!</f>
        <v>#REF!</v>
      </c>
      <c r="O26" s="2056" t="e">
        <f t="shared" si="6"/>
        <v>#REF!</v>
      </c>
      <c r="P26" s="1807"/>
      <c r="Q26" s="1280"/>
    </row>
    <row r="27" spans="1:17" s="1184" customFormat="1" ht="14.4">
      <c r="A27" s="1196"/>
      <c r="B27" s="1283"/>
      <c r="C27" s="1282">
        <v>44636</v>
      </c>
      <c r="D27" s="1281">
        <v>16</v>
      </c>
      <c r="E27" s="1807"/>
      <c r="F27" s="1279">
        <v>3.6</v>
      </c>
      <c r="G27" s="1280" t="e">
        <f>K27*#REF!</f>
        <v>#REF!</v>
      </c>
      <c r="H27" s="2005"/>
      <c r="I27" s="2007"/>
      <c r="J27" s="1807"/>
      <c r="K27" s="1278"/>
      <c r="L27" s="2042"/>
      <c r="M27" s="1807"/>
      <c r="N27" s="1280" t="e">
        <f>#REF!*#REF!</f>
        <v>#REF!</v>
      </c>
      <c r="O27" s="2056" t="e">
        <f t="shared" si="6"/>
        <v>#REF!</v>
      </c>
      <c r="P27" s="1807"/>
      <c r="Q27" s="1280"/>
    </row>
    <row r="28" spans="1:17" s="1184" customFormat="1" ht="14.4">
      <c r="A28" s="1196"/>
      <c r="B28" s="1283"/>
      <c r="C28" s="1282">
        <v>44637</v>
      </c>
      <c r="D28" s="1281">
        <v>17</v>
      </c>
      <c r="E28" s="1807"/>
      <c r="F28" s="1279">
        <v>7.06</v>
      </c>
      <c r="G28" s="1280" t="e">
        <f>K28*#REF!</f>
        <v>#REF!</v>
      </c>
      <c r="H28" s="2005"/>
      <c r="I28" s="2007"/>
      <c r="J28" s="1807"/>
      <c r="K28" s="1278"/>
      <c r="L28" s="2042"/>
      <c r="M28" s="1807"/>
      <c r="N28" s="1280" t="e">
        <f>#REF!*#REF!</f>
        <v>#REF!</v>
      </c>
      <c r="O28" s="2056" t="e">
        <f t="shared" si="6"/>
        <v>#REF!</v>
      </c>
      <c r="P28" s="1807"/>
      <c r="Q28" s="1280"/>
    </row>
    <row r="29" spans="1:17" s="1184" customFormat="1" ht="14.4">
      <c r="A29" s="1196"/>
      <c r="B29" s="1283"/>
      <c r="C29" s="1282">
        <v>44638</v>
      </c>
      <c r="D29" s="1281">
        <v>18</v>
      </c>
      <c r="E29" s="1807"/>
      <c r="F29" s="1279">
        <v>4.5199999999999996</v>
      </c>
      <c r="G29" s="1280" t="e">
        <f>K29*#REF!</f>
        <v>#REF!</v>
      </c>
      <c r="H29" s="2005"/>
      <c r="I29" s="2007"/>
      <c r="J29" s="1807"/>
      <c r="K29" s="1278"/>
      <c r="L29" s="2042"/>
      <c r="M29" s="1807"/>
      <c r="N29" s="1280" t="e">
        <f>#REF!*#REF!</f>
        <v>#REF!</v>
      </c>
      <c r="O29" s="2056" t="e">
        <f t="shared" si="6"/>
        <v>#REF!</v>
      </c>
      <c r="P29" s="1807"/>
      <c r="Q29" s="1280"/>
    </row>
    <row r="30" spans="1:17" s="1184" customFormat="1" ht="14.4">
      <c r="A30" s="1196"/>
      <c r="B30" s="1283"/>
      <c r="C30" s="1282">
        <v>44639</v>
      </c>
      <c r="D30" s="1281">
        <v>19</v>
      </c>
      <c r="E30" s="1807"/>
      <c r="F30" s="1279">
        <v>6.87</v>
      </c>
      <c r="G30" s="1280" t="e">
        <f>K30*#REF!</f>
        <v>#REF!</v>
      </c>
      <c r="H30" s="2005"/>
      <c r="I30" s="2007"/>
      <c r="J30" s="1807"/>
      <c r="K30" s="1278"/>
      <c r="L30" s="2042"/>
      <c r="M30" s="1807"/>
      <c r="N30" s="1280" t="e">
        <f>#REF!*#REF!</f>
        <v>#REF!</v>
      </c>
      <c r="O30" s="2056" t="e">
        <f t="shared" si="6"/>
        <v>#REF!</v>
      </c>
      <c r="P30" s="1807"/>
      <c r="Q30" s="1280"/>
    </row>
    <row r="31" spans="1:17" s="1184" customFormat="1" ht="14.4">
      <c r="A31" s="1196"/>
      <c r="B31" s="1283"/>
      <c r="C31" s="1282">
        <v>44640</v>
      </c>
      <c r="D31" s="1281">
        <v>20</v>
      </c>
      <c r="E31" s="1807"/>
      <c r="F31" s="1279">
        <v>4.78</v>
      </c>
      <c r="G31" s="1280" t="e">
        <f>K31*#REF!</f>
        <v>#REF!</v>
      </c>
      <c r="H31" s="2005"/>
      <c r="I31" s="2007"/>
      <c r="J31" s="1807"/>
      <c r="K31" s="1278"/>
      <c r="L31" s="2042"/>
      <c r="M31" s="1807"/>
      <c r="N31" s="1280" t="e">
        <f>#REF!*#REF!</f>
        <v>#REF!</v>
      </c>
      <c r="O31" s="2056" t="e">
        <f t="shared" si="6"/>
        <v>#REF!</v>
      </c>
      <c r="P31" s="1807"/>
      <c r="Q31" s="1280" t="s">
        <v>1159</v>
      </c>
    </row>
    <row r="32" spans="1:17" s="1184" customFormat="1" ht="14.4">
      <c r="A32" s="1196"/>
      <c r="B32" s="1299"/>
      <c r="C32" s="1298">
        <v>44641</v>
      </c>
      <c r="D32" s="1297">
        <v>21</v>
      </c>
      <c r="E32" s="1807"/>
      <c r="F32" s="1279">
        <v>4.47</v>
      </c>
      <c r="G32" s="1296" t="e">
        <f>K32*#REF!</f>
        <v>#REF!</v>
      </c>
      <c r="H32" s="2005"/>
      <c r="I32" s="2007"/>
      <c r="J32" s="1807"/>
      <c r="K32" s="1278"/>
      <c r="L32" s="2042"/>
      <c r="M32" s="1807"/>
      <c r="N32" s="1296" t="e">
        <f>#REF!*#REF!</f>
        <v>#REF!</v>
      </c>
      <c r="O32" s="2057" t="e">
        <f t="shared" si="6"/>
        <v>#REF!</v>
      </c>
      <c r="P32" s="1807"/>
      <c r="Q32" s="1296" t="s">
        <v>1159</v>
      </c>
    </row>
    <row r="33" spans="1:17" s="1184" customFormat="1" ht="14.4">
      <c r="A33" s="1196"/>
      <c r="B33" s="1299"/>
      <c r="C33" s="1298">
        <v>44642</v>
      </c>
      <c r="D33" s="1297">
        <v>22</v>
      </c>
      <c r="E33" s="1807"/>
      <c r="F33" s="1279">
        <v>7.99</v>
      </c>
      <c r="G33" s="1296" t="e">
        <f>K33*#REF!</f>
        <v>#REF!</v>
      </c>
      <c r="H33" s="2005"/>
      <c r="I33" s="2007"/>
      <c r="J33" s="1807"/>
      <c r="K33" s="1278"/>
      <c r="L33" s="2042"/>
      <c r="M33" s="1807"/>
      <c r="N33" s="1296" t="e">
        <f>#REF!*#REF!</f>
        <v>#REF!</v>
      </c>
      <c r="O33" s="2057" t="e">
        <f t="shared" si="6"/>
        <v>#REF!</v>
      </c>
      <c r="P33" s="1807"/>
      <c r="Q33" s="1296" t="s">
        <v>1159</v>
      </c>
    </row>
    <row r="34" spans="1:17" s="1184" customFormat="1" ht="14.4">
      <c r="A34" s="1196"/>
      <c r="B34" s="1299"/>
      <c r="C34" s="1298">
        <v>44643</v>
      </c>
      <c r="D34" s="1297">
        <v>23</v>
      </c>
      <c r="E34" s="1807"/>
      <c r="F34" s="1295">
        <v>10.119999999999999</v>
      </c>
      <c r="G34" s="1296" t="e">
        <f>K34*#REF!</f>
        <v>#REF!</v>
      </c>
      <c r="H34" s="2008"/>
      <c r="I34" s="2009"/>
      <c r="J34" s="1807"/>
      <c r="K34" s="1294"/>
      <c r="L34" s="2043"/>
      <c r="M34" s="1807"/>
      <c r="N34" s="1296" t="e">
        <f>#REF!*#REF!</f>
        <v>#REF!</v>
      </c>
      <c r="O34" s="2057" t="e">
        <f t="shared" si="6"/>
        <v>#REF!</v>
      </c>
      <c r="P34" s="1807"/>
      <c r="Q34" s="1296"/>
    </row>
    <row r="35" spans="1:17" s="1184" customFormat="1" ht="14.4">
      <c r="A35" s="1196"/>
      <c r="B35" s="1299"/>
      <c r="C35" s="1298">
        <v>44644</v>
      </c>
      <c r="D35" s="1297">
        <v>24</v>
      </c>
      <c r="E35" s="1807"/>
      <c r="F35" s="1295">
        <v>7.21</v>
      </c>
      <c r="G35" s="1296" t="e">
        <f>K35*#REF!</f>
        <v>#REF!</v>
      </c>
      <c r="H35" s="2008"/>
      <c r="I35" s="2009"/>
      <c r="J35" s="1807"/>
      <c r="K35" s="1294"/>
      <c r="L35" s="2043"/>
      <c r="M35" s="1807"/>
      <c r="N35" s="1296" t="e">
        <f>#REF!*#REF!</f>
        <v>#REF!</v>
      </c>
      <c r="O35" s="2057" t="e">
        <f t="shared" si="6"/>
        <v>#REF!</v>
      </c>
      <c r="P35" s="1807"/>
      <c r="Q35" s="1296"/>
    </row>
    <row r="36" spans="1:17" s="1184" customFormat="1" ht="14.4">
      <c r="A36" s="1196"/>
      <c r="B36" s="1299"/>
      <c r="C36" s="1298">
        <v>44645</v>
      </c>
      <c r="D36" s="1297">
        <v>25</v>
      </c>
      <c r="E36" s="1807"/>
      <c r="F36" s="1295">
        <v>4.18</v>
      </c>
      <c r="G36" s="1296" t="e">
        <f>K36*#REF!</f>
        <v>#REF!</v>
      </c>
      <c r="H36" s="2008"/>
      <c r="I36" s="2009"/>
      <c r="J36" s="1807"/>
      <c r="K36" s="1294"/>
      <c r="L36" s="2043"/>
      <c r="M36" s="1807"/>
      <c r="N36" s="1296" t="e">
        <f>#REF!*#REF!</f>
        <v>#REF!</v>
      </c>
      <c r="O36" s="2057" t="e">
        <f t="shared" si="6"/>
        <v>#REF!</v>
      </c>
      <c r="P36" s="1807"/>
      <c r="Q36" s="1296"/>
    </row>
    <row r="37" spans="1:17" s="1184" customFormat="1" ht="14.4">
      <c r="A37" s="1196"/>
      <c r="B37" s="1299"/>
      <c r="C37" s="1298">
        <v>44646</v>
      </c>
      <c r="D37" s="1297">
        <v>26</v>
      </c>
      <c r="E37" s="1807"/>
      <c r="F37" s="1295">
        <v>7.11</v>
      </c>
      <c r="G37" s="1296" t="e">
        <f>K37*#REF!</f>
        <v>#REF!</v>
      </c>
      <c r="H37" s="2008"/>
      <c r="I37" s="2009"/>
      <c r="J37" s="1807"/>
      <c r="K37" s="1294"/>
      <c r="L37" s="2043"/>
      <c r="M37" s="1807"/>
      <c r="N37" s="1296" t="e">
        <f>#REF!*#REF!</f>
        <v>#REF!</v>
      </c>
      <c r="O37" s="2057" t="e">
        <f t="shared" si="6"/>
        <v>#REF!</v>
      </c>
      <c r="P37" s="1807"/>
      <c r="Q37" s="1296"/>
    </row>
    <row r="38" spans="1:17" s="1184" customFormat="1" ht="14.4">
      <c r="A38" s="1196"/>
      <c r="B38" s="1299"/>
      <c r="C38" s="1298">
        <v>44647</v>
      </c>
      <c r="D38" s="1297">
        <v>27</v>
      </c>
      <c r="E38" s="1807"/>
      <c r="F38" s="1295">
        <v>4.87</v>
      </c>
      <c r="G38" s="1296" t="e">
        <f>K38*#REF!</f>
        <v>#REF!</v>
      </c>
      <c r="H38" s="2008"/>
      <c r="I38" s="2009"/>
      <c r="J38" s="1807"/>
      <c r="K38" s="1294"/>
      <c r="L38" s="2043"/>
      <c r="M38" s="1807"/>
      <c r="N38" s="1296" t="e">
        <f>#REF!*#REF!</f>
        <v>#REF!</v>
      </c>
      <c r="O38" s="2057" t="e">
        <f t="shared" si="6"/>
        <v>#REF!</v>
      </c>
      <c r="P38" s="1807"/>
      <c r="Q38" s="1296"/>
    </row>
    <row r="39" spans="1:17" s="1184" customFormat="1" ht="14.4">
      <c r="A39" s="1196"/>
      <c r="B39" s="1283"/>
      <c r="C39" s="1282">
        <v>44648</v>
      </c>
      <c r="D39" s="1281">
        <v>28</v>
      </c>
      <c r="E39" s="1807"/>
      <c r="F39" s="1295">
        <v>3.95</v>
      </c>
      <c r="G39" s="1280" t="e">
        <f>K39*#REF!</f>
        <v>#REF!</v>
      </c>
      <c r="H39" s="2008"/>
      <c r="I39" s="2009"/>
      <c r="J39" s="1807"/>
      <c r="K39" s="1294"/>
      <c r="L39" s="2043"/>
      <c r="M39" s="1807"/>
      <c r="N39" s="1280" t="e">
        <f>#REF!*#REF!</f>
        <v>#REF!</v>
      </c>
      <c r="O39" s="2056" t="e">
        <f t="shared" si="6"/>
        <v>#REF!</v>
      </c>
      <c r="P39" s="1807"/>
      <c r="Q39" s="1280" t="s">
        <v>1159</v>
      </c>
    </row>
    <row r="40" spans="1:17" s="1184" customFormat="1" ht="14.4">
      <c r="A40" s="1196"/>
      <c r="B40" s="1283"/>
      <c r="C40" s="1282">
        <v>44649</v>
      </c>
      <c r="D40" s="1281">
        <v>29</v>
      </c>
      <c r="E40" s="1807"/>
      <c r="F40" s="1295">
        <v>5.14</v>
      </c>
      <c r="G40" s="1280" t="e">
        <f>K40*#REF!</f>
        <v>#REF!</v>
      </c>
      <c r="H40" s="2008"/>
      <c r="I40" s="2009"/>
      <c r="J40" s="1807"/>
      <c r="K40" s="1294"/>
      <c r="L40" s="2043"/>
      <c r="M40" s="1807"/>
      <c r="N40" s="1280" t="e">
        <f>#REF!*#REF!</f>
        <v>#REF!</v>
      </c>
      <c r="O40" s="2056" t="e">
        <f t="shared" si="6"/>
        <v>#REF!</v>
      </c>
      <c r="P40" s="1807"/>
      <c r="Q40" s="1280"/>
    </row>
    <row r="41" spans="1:17" s="1184" customFormat="1" ht="14.4">
      <c r="A41" s="1196"/>
      <c r="B41" s="1283"/>
      <c r="C41" s="1282">
        <v>44650</v>
      </c>
      <c r="D41" s="1281">
        <v>30</v>
      </c>
      <c r="E41" s="1807"/>
      <c r="F41" s="1279">
        <v>10.48</v>
      </c>
      <c r="G41" s="1280" t="e">
        <f>K41*#REF!</f>
        <v>#REF!</v>
      </c>
      <c r="H41" s="2005"/>
      <c r="I41" s="2007"/>
      <c r="J41" s="1807"/>
      <c r="K41" s="1278"/>
      <c r="L41" s="2042"/>
      <c r="M41" s="1807"/>
      <c r="N41" s="1280" t="e">
        <f>#REF!*#REF!</f>
        <v>#REF!</v>
      </c>
      <c r="O41" s="2056" t="e">
        <f t="shared" si="6"/>
        <v>#REF!</v>
      </c>
      <c r="P41" s="1807"/>
      <c r="Q41" s="1280"/>
    </row>
    <row r="42" spans="1:17" s="1184" customFormat="1" ht="14.4">
      <c r="A42" s="1196"/>
      <c r="B42" s="1283"/>
      <c r="C42" s="1282">
        <v>44651</v>
      </c>
      <c r="D42" s="1281">
        <v>31</v>
      </c>
      <c r="E42" s="1807"/>
      <c r="F42" s="1279">
        <v>5.12</v>
      </c>
      <c r="G42" s="1280" t="e">
        <f>K42*#REF!</f>
        <v>#REF!</v>
      </c>
      <c r="H42" s="2005"/>
      <c r="I42" s="2007"/>
      <c r="J42" s="1807"/>
      <c r="K42" s="1278"/>
      <c r="L42" s="2042"/>
      <c r="M42" s="1807"/>
      <c r="N42" s="1280" t="e">
        <f>#REF!*#REF!</f>
        <v>#REF!</v>
      </c>
      <c r="O42" s="2056" t="e">
        <f t="shared" si="6"/>
        <v>#REF!</v>
      </c>
      <c r="P42" s="1807"/>
      <c r="Q42" s="1280"/>
    </row>
    <row r="43" spans="1:17" s="1184" customFormat="1" ht="14.4">
      <c r="A43" s="1196"/>
      <c r="B43" s="1283"/>
      <c r="C43" s="1282">
        <v>44652</v>
      </c>
      <c r="D43" s="1281">
        <v>32</v>
      </c>
      <c r="E43" s="1807"/>
      <c r="F43" s="1279">
        <v>5.53</v>
      </c>
      <c r="G43" s="1280" t="e">
        <f>K43*#REF!</f>
        <v>#REF!</v>
      </c>
      <c r="H43" s="2005"/>
      <c r="I43" s="2007"/>
      <c r="J43" s="1807"/>
      <c r="K43" s="1278"/>
      <c r="L43" s="2042"/>
      <c r="M43" s="1807"/>
      <c r="N43" s="1280" t="e">
        <f>#REF!*#REF!</f>
        <v>#REF!</v>
      </c>
      <c r="O43" s="2056" t="e">
        <f t="shared" si="6"/>
        <v>#REF!</v>
      </c>
      <c r="P43" s="1807"/>
      <c r="Q43" s="1280"/>
    </row>
    <row r="44" spans="1:17" s="1184" customFormat="1" ht="14.4">
      <c r="A44" s="1196"/>
      <c r="B44" s="1283"/>
      <c r="C44" s="1282">
        <v>44653</v>
      </c>
      <c r="D44" s="1281">
        <v>33</v>
      </c>
      <c r="E44" s="1807"/>
      <c r="F44" s="1279">
        <v>5.78</v>
      </c>
      <c r="G44" s="1280" t="e">
        <f>K44*#REF!</f>
        <v>#REF!</v>
      </c>
      <c r="H44" s="2005"/>
      <c r="I44" s="2007"/>
      <c r="J44" s="1807"/>
      <c r="K44" s="1278"/>
      <c r="L44" s="2042"/>
      <c r="M44" s="1807"/>
      <c r="N44" s="1280" t="e">
        <f>#REF!*#REF!</f>
        <v>#REF!</v>
      </c>
      <c r="O44" s="2056" t="e">
        <f t="shared" si="6"/>
        <v>#REF!</v>
      </c>
      <c r="P44" s="1807"/>
      <c r="Q44" s="1280" t="s">
        <v>1159</v>
      </c>
    </row>
    <row r="45" spans="1:17" s="1184" customFormat="1" ht="14.4">
      <c r="A45" s="1196"/>
      <c r="B45" s="1283"/>
      <c r="C45" s="1282">
        <v>44654</v>
      </c>
      <c r="D45" s="1281">
        <v>34</v>
      </c>
      <c r="E45" s="1807"/>
      <c r="F45" s="1279">
        <v>3.74</v>
      </c>
      <c r="G45" s="1280" t="e">
        <f>K45*#REF!</f>
        <v>#REF!</v>
      </c>
      <c r="H45" s="2005"/>
      <c r="I45" s="2007"/>
      <c r="J45" s="1807"/>
      <c r="K45" s="1278"/>
      <c r="L45" s="2042"/>
      <c r="M45" s="1807"/>
      <c r="N45" s="1280" t="e">
        <f>#REF!*#REF!</f>
        <v>#REF!</v>
      </c>
      <c r="O45" s="2056" t="e">
        <f t="shared" si="6"/>
        <v>#REF!</v>
      </c>
      <c r="P45" s="1807"/>
      <c r="Q45" s="1280"/>
    </row>
    <row r="46" spans="1:17" s="1184" customFormat="1" ht="14.4">
      <c r="A46" s="1196"/>
      <c r="B46" s="1299"/>
      <c r="C46" s="1298">
        <v>44655</v>
      </c>
      <c r="D46" s="1297">
        <v>35</v>
      </c>
      <c r="E46" s="1807"/>
      <c r="F46" s="1279">
        <v>7.84</v>
      </c>
      <c r="G46" s="1296" t="e">
        <f>K46*#REF!</f>
        <v>#REF!</v>
      </c>
      <c r="H46" s="2005"/>
      <c r="I46" s="2007"/>
      <c r="J46" s="1807"/>
      <c r="K46" s="1278"/>
      <c r="L46" s="2042"/>
      <c r="M46" s="1807"/>
      <c r="N46" s="1296" t="e">
        <f>#REF!*#REF!</f>
        <v>#REF!</v>
      </c>
      <c r="O46" s="2057" t="e">
        <f t="shared" si="6"/>
        <v>#REF!</v>
      </c>
      <c r="P46" s="1807"/>
      <c r="Q46" s="1296"/>
    </row>
    <row r="47" spans="1:17" s="1184" customFormat="1" ht="14.4">
      <c r="A47" s="1196"/>
      <c r="B47" s="1299"/>
      <c r="C47" s="1298">
        <v>44656</v>
      </c>
      <c r="D47" s="1297">
        <v>36</v>
      </c>
      <c r="E47" s="1807"/>
      <c r="F47" s="1279">
        <v>5.43</v>
      </c>
      <c r="G47" s="1296" t="e">
        <f>K47*#REF!</f>
        <v>#REF!</v>
      </c>
      <c r="H47" s="2005"/>
      <c r="I47" s="2007"/>
      <c r="J47" s="1807"/>
      <c r="K47" s="1278"/>
      <c r="L47" s="2042"/>
      <c r="M47" s="1807"/>
      <c r="N47" s="1296" t="e">
        <f>#REF!*#REF!</f>
        <v>#REF!</v>
      </c>
      <c r="O47" s="2057" t="e">
        <f t="shared" si="6"/>
        <v>#REF!</v>
      </c>
      <c r="P47" s="1807"/>
      <c r="Q47" s="1296"/>
    </row>
    <row r="48" spans="1:17" s="1184" customFormat="1" ht="14.4">
      <c r="A48" s="1196"/>
      <c r="B48" s="1299"/>
      <c r="C48" s="1298">
        <v>44657</v>
      </c>
      <c r="D48" s="1297">
        <v>37</v>
      </c>
      <c r="E48" s="1807"/>
      <c r="F48" s="1295">
        <v>5.83</v>
      </c>
      <c r="G48" s="1296" t="e">
        <f>K48*#REF!</f>
        <v>#REF!</v>
      </c>
      <c r="H48" s="2008"/>
      <c r="I48" s="2009"/>
      <c r="J48" s="1807"/>
      <c r="K48" s="1294"/>
      <c r="L48" s="2043"/>
      <c r="M48" s="1807"/>
      <c r="N48" s="1296" t="e">
        <f>#REF!*#REF!</f>
        <v>#REF!</v>
      </c>
      <c r="O48" s="2057" t="e">
        <f t="shared" si="6"/>
        <v>#REF!</v>
      </c>
      <c r="P48" s="1807"/>
      <c r="Q48" s="1296"/>
    </row>
    <row r="49" spans="1:19" s="1184" customFormat="1" ht="14.4">
      <c r="A49" s="1196"/>
      <c r="B49" s="1299"/>
      <c r="C49" s="1298">
        <v>44658</v>
      </c>
      <c r="D49" s="1297">
        <v>38</v>
      </c>
      <c r="E49" s="1807"/>
      <c r="F49" s="1295">
        <v>2.95</v>
      </c>
      <c r="G49" s="1296" t="e">
        <f>K49*#REF!</f>
        <v>#REF!</v>
      </c>
      <c r="H49" s="2008"/>
      <c r="I49" s="2009"/>
      <c r="J49" s="1807"/>
      <c r="K49" s="1294"/>
      <c r="L49" s="2043"/>
      <c r="M49" s="1807"/>
      <c r="N49" s="1296" t="e">
        <f>#REF!*#REF!</f>
        <v>#REF!</v>
      </c>
      <c r="O49" s="2057" t="e">
        <f t="shared" si="6"/>
        <v>#REF!</v>
      </c>
      <c r="P49" s="1807"/>
      <c r="Q49" s="1296"/>
    </row>
    <row r="50" spans="1:19" s="1184" customFormat="1" ht="14.4">
      <c r="A50" s="1196"/>
      <c r="B50" s="1299"/>
      <c r="C50" s="1298">
        <v>44659</v>
      </c>
      <c r="D50" s="1297">
        <v>39</v>
      </c>
      <c r="E50" s="1807"/>
      <c r="F50" s="1295">
        <v>3.99</v>
      </c>
      <c r="G50" s="1296" t="e">
        <f>K50*#REF!</f>
        <v>#REF!</v>
      </c>
      <c r="H50" s="2008"/>
      <c r="I50" s="2009"/>
      <c r="J50" s="1807"/>
      <c r="K50" s="1294"/>
      <c r="L50" s="2043"/>
      <c r="M50" s="1807"/>
      <c r="N50" s="1296" t="e">
        <f>#REF!*#REF!</f>
        <v>#REF!</v>
      </c>
      <c r="O50" s="2057" t="e">
        <f t="shared" si="6"/>
        <v>#REF!</v>
      </c>
      <c r="P50" s="1807"/>
      <c r="Q50" s="1296"/>
    </row>
    <row r="51" spans="1:19" s="1184" customFormat="1" ht="14.4">
      <c r="A51" s="1196"/>
      <c r="B51" s="1299"/>
      <c r="C51" s="1298">
        <v>44660</v>
      </c>
      <c r="D51" s="1297">
        <v>40</v>
      </c>
      <c r="E51" s="1807"/>
      <c r="F51" s="1295">
        <v>2.9</v>
      </c>
      <c r="G51" s="1296" t="e">
        <f>K51*#REF!</f>
        <v>#REF!</v>
      </c>
      <c r="H51" s="2008"/>
      <c r="I51" s="2009"/>
      <c r="J51" s="1807"/>
      <c r="K51" s="1294"/>
      <c r="L51" s="2043"/>
      <c r="M51" s="1807"/>
      <c r="N51" s="1296" t="e">
        <f>#REF!*#REF!</f>
        <v>#REF!</v>
      </c>
      <c r="O51" s="2057" t="e">
        <f t="shared" si="6"/>
        <v>#REF!</v>
      </c>
      <c r="P51" s="1807"/>
      <c r="Q51" s="1296"/>
    </row>
    <row r="52" spans="1:19" s="1184" customFormat="1" ht="14.4">
      <c r="A52" s="1196"/>
      <c r="B52" s="1299"/>
      <c r="C52" s="1298">
        <v>44661</v>
      </c>
      <c r="D52" s="1297">
        <v>41</v>
      </c>
      <c r="E52" s="1807"/>
      <c r="F52" s="1295">
        <v>3.55</v>
      </c>
      <c r="G52" s="1296" t="e">
        <f>K52*#REF!</f>
        <v>#REF!</v>
      </c>
      <c r="H52" s="2008"/>
      <c r="I52" s="2009"/>
      <c r="J52" s="1807"/>
      <c r="K52" s="1294"/>
      <c r="L52" s="2043"/>
      <c r="M52" s="1807"/>
      <c r="N52" s="1296" t="e">
        <f>#REF!*#REF!</f>
        <v>#REF!</v>
      </c>
      <c r="O52" s="2057" t="e">
        <f t="shared" si="6"/>
        <v>#REF!</v>
      </c>
      <c r="P52" s="1807"/>
      <c r="Q52" s="1296" t="s">
        <v>1159</v>
      </c>
    </row>
    <row r="53" spans="1:19" s="1184" customFormat="1" ht="14.4">
      <c r="A53" s="1196"/>
      <c r="B53" s="1283"/>
      <c r="C53" s="1282">
        <v>44662</v>
      </c>
      <c r="D53" s="1281">
        <v>42</v>
      </c>
      <c r="E53" s="1807"/>
      <c r="F53" s="1295">
        <v>4.1500000000000004</v>
      </c>
      <c r="G53" s="1280" t="e">
        <f>K53*#REF!</f>
        <v>#REF!</v>
      </c>
      <c r="H53" s="2008"/>
      <c r="I53" s="2009"/>
      <c r="J53" s="1807"/>
      <c r="K53" s="1294"/>
      <c r="L53" s="2043"/>
      <c r="M53" s="1807"/>
      <c r="N53" s="1280" t="e">
        <f>#REF!*#REF!</f>
        <v>#REF!</v>
      </c>
      <c r="O53" s="2056" t="e">
        <f t="shared" si="6"/>
        <v>#REF!</v>
      </c>
      <c r="P53" s="1807"/>
      <c r="Q53" s="1280"/>
    </row>
    <row r="54" spans="1:19" s="1184" customFormat="1" ht="14.4">
      <c r="A54" s="1196"/>
      <c r="B54" s="1283"/>
      <c r="C54" s="1282">
        <v>44663</v>
      </c>
      <c r="D54" s="1281">
        <v>43</v>
      </c>
      <c r="E54" s="1807"/>
      <c r="F54" s="1295">
        <v>9.77</v>
      </c>
      <c r="G54" s="1280" t="e">
        <f>K54*#REF!</f>
        <v>#REF!</v>
      </c>
      <c r="H54" s="2008"/>
      <c r="I54" s="2009"/>
      <c r="J54" s="1807"/>
      <c r="K54" s="1294"/>
      <c r="L54" s="2043"/>
      <c r="M54" s="1807"/>
      <c r="N54" s="1280" t="e">
        <f>#REF!*#REF!</f>
        <v>#REF!</v>
      </c>
      <c r="O54" s="2056" t="e">
        <f t="shared" si="6"/>
        <v>#REF!</v>
      </c>
      <c r="P54" s="1807"/>
      <c r="Q54" s="1280"/>
    </row>
    <row r="55" spans="1:19" s="1184" customFormat="1" ht="14.4">
      <c r="A55" s="1196"/>
      <c r="B55" s="1283"/>
      <c r="C55" s="1282">
        <v>44664</v>
      </c>
      <c r="D55" s="1281">
        <v>44</v>
      </c>
      <c r="E55" s="1807"/>
      <c r="F55" s="1279">
        <v>4.88</v>
      </c>
      <c r="G55" s="1280" t="e">
        <f>K55*#REF!</f>
        <v>#REF!</v>
      </c>
      <c r="H55" s="2005"/>
      <c r="I55" s="2007"/>
      <c r="J55" s="1807"/>
      <c r="K55" s="1278"/>
      <c r="L55" s="2042"/>
      <c r="M55" s="1807"/>
      <c r="N55" s="1280" t="e">
        <f>#REF!*#REF!</f>
        <v>#REF!</v>
      </c>
      <c r="O55" s="2056" t="e">
        <f t="shared" si="6"/>
        <v>#REF!</v>
      </c>
      <c r="P55" s="1807"/>
      <c r="Q55" s="1280" t="s">
        <v>1134</v>
      </c>
    </row>
    <row r="56" spans="1:19" s="1184" customFormat="1" ht="14.4">
      <c r="A56" s="1196"/>
      <c r="B56" s="1283"/>
      <c r="C56" s="1282">
        <v>44665</v>
      </c>
      <c r="D56" s="1281">
        <v>45</v>
      </c>
      <c r="E56" s="1807"/>
      <c r="F56" s="1279">
        <v>4.5</v>
      </c>
      <c r="G56" s="1280" t="e">
        <f>K56*#REF!</f>
        <v>#REF!</v>
      </c>
      <c r="H56" s="2005"/>
      <c r="I56" s="2007"/>
      <c r="J56" s="1807"/>
      <c r="K56" s="1278"/>
      <c r="L56" s="2042"/>
      <c r="M56" s="1807"/>
      <c r="N56" s="1280" t="e">
        <f>#REF!*#REF!</f>
        <v>#REF!</v>
      </c>
      <c r="O56" s="2056" t="e">
        <f t="shared" si="6"/>
        <v>#REF!</v>
      </c>
      <c r="P56" s="1807"/>
      <c r="Q56" s="1280"/>
    </row>
    <row r="57" spans="1:19" s="1184" customFormat="1" ht="14.4">
      <c r="A57" s="1196"/>
      <c r="B57" s="1283"/>
      <c r="C57" s="1282">
        <v>44666</v>
      </c>
      <c r="D57" s="1281">
        <v>46</v>
      </c>
      <c r="E57" s="1807"/>
      <c r="F57" s="1279">
        <v>8.0299999999999994</v>
      </c>
      <c r="G57" s="1280" t="e">
        <f>K57*#REF!</f>
        <v>#REF!</v>
      </c>
      <c r="H57" s="2005"/>
      <c r="I57" s="2007"/>
      <c r="J57" s="1807"/>
      <c r="K57" s="1278"/>
      <c r="L57" s="2042"/>
      <c r="M57" s="1807"/>
      <c r="N57" s="1280" t="e">
        <f>#REF!*#REF!</f>
        <v>#REF!</v>
      </c>
      <c r="O57" s="2056" t="e">
        <f t="shared" si="6"/>
        <v>#REF!</v>
      </c>
      <c r="P57" s="1807"/>
      <c r="Q57" s="1280"/>
    </row>
    <row r="58" spans="1:19" s="1184" customFormat="1" ht="14.4">
      <c r="A58" s="1196"/>
      <c r="B58" s="1283"/>
      <c r="C58" s="1282">
        <v>44667</v>
      </c>
      <c r="D58" s="1281">
        <v>47</v>
      </c>
      <c r="E58" s="1807"/>
      <c r="F58" s="1279">
        <v>3.67</v>
      </c>
      <c r="G58" s="1280" t="e">
        <f>K58*#REF!</f>
        <v>#REF!</v>
      </c>
      <c r="H58" s="2005"/>
      <c r="I58" s="2007"/>
      <c r="J58" s="1807"/>
      <c r="K58" s="1278"/>
      <c r="L58" s="2042"/>
      <c r="M58" s="1807"/>
      <c r="N58" s="1280" t="e">
        <f>#REF!*#REF!</f>
        <v>#REF!</v>
      </c>
      <c r="O58" s="2056" t="e">
        <f t="shared" si="6"/>
        <v>#REF!</v>
      </c>
      <c r="P58" s="1807"/>
      <c r="Q58" s="1280"/>
    </row>
    <row r="59" spans="1:19" s="1184" customFormat="1" ht="14.4">
      <c r="A59" s="1196"/>
      <c r="B59" s="1283"/>
      <c r="C59" s="1282">
        <v>44668</v>
      </c>
      <c r="D59" s="1281">
        <v>48</v>
      </c>
      <c r="E59" s="1807"/>
      <c r="F59" s="1279">
        <v>4.96</v>
      </c>
      <c r="G59" s="1280" t="e">
        <f>K59*#REF!</f>
        <v>#REF!</v>
      </c>
      <c r="H59" s="2005"/>
      <c r="I59" s="2007"/>
      <c r="J59" s="1807"/>
      <c r="K59" s="1278"/>
      <c r="L59" s="2042"/>
      <c r="M59" s="1807"/>
      <c r="N59" s="1280" t="e">
        <f>#REF!*#REF!</f>
        <v>#REF!</v>
      </c>
      <c r="O59" s="2056" t="e">
        <f t="shared" si="6"/>
        <v>#REF!</v>
      </c>
      <c r="P59" s="1807"/>
      <c r="Q59" s="1280"/>
    </row>
    <row r="60" spans="1:19" s="1184" customFormat="1" ht="14.4">
      <c r="A60" s="1196"/>
      <c r="B60" s="1299"/>
      <c r="C60" s="1298">
        <v>44669</v>
      </c>
      <c r="D60" s="1297">
        <v>49</v>
      </c>
      <c r="E60" s="1807"/>
      <c r="F60" s="1279">
        <v>9.08</v>
      </c>
      <c r="G60" s="1296" t="e">
        <f>K60*#REF!</f>
        <v>#REF!</v>
      </c>
      <c r="H60" s="2005"/>
      <c r="I60" s="2007"/>
      <c r="J60" s="1807"/>
      <c r="K60" s="1278"/>
      <c r="L60" s="2042"/>
      <c r="M60" s="1807"/>
      <c r="N60" s="1296" t="e">
        <f>#REF!*#REF!</f>
        <v>#REF!</v>
      </c>
      <c r="O60" s="2057" t="e">
        <f t="shared" si="6"/>
        <v>#REF!</v>
      </c>
      <c r="P60" s="1807"/>
      <c r="Q60" s="1296"/>
    </row>
    <row r="61" spans="1:19" s="1184" customFormat="1" ht="14.4">
      <c r="A61" s="1196"/>
      <c r="B61" s="1299"/>
      <c r="C61" s="1298">
        <v>44670</v>
      </c>
      <c r="D61" s="1297">
        <v>50</v>
      </c>
      <c r="E61" s="1807"/>
      <c r="F61" s="1279">
        <v>5.68</v>
      </c>
      <c r="G61" s="1296" t="e">
        <f>K61*#REF!</f>
        <v>#REF!</v>
      </c>
      <c r="H61" s="2005"/>
      <c r="I61" s="2007"/>
      <c r="J61" s="1807"/>
      <c r="K61" s="1278"/>
      <c r="L61" s="2042"/>
      <c r="M61" s="1807"/>
      <c r="N61" s="1296" t="e">
        <f>#REF!*#REF!</f>
        <v>#REF!</v>
      </c>
      <c r="O61" s="2057" t="e">
        <f t="shared" si="6"/>
        <v>#REF!</v>
      </c>
      <c r="P61" s="1807"/>
      <c r="Q61" s="1296"/>
    </row>
    <row r="62" spans="1:19" s="1184" customFormat="1" ht="14.4">
      <c r="A62" s="1196"/>
      <c r="B62" s="1299"/>
      <c r="C62" s="1298">
        <v>44671</v>
      </c>
      <c r="D62" s="1297">
        <v>51</v>
      </c>
      <c r="E62" s="1807"/>
      <c r="F62" s="1295">
        <v>2.3199999999999998</v>
      </c>
      <c r="G62" s="1296" t="e">
        <f>K62*#REF!</f>
        <v>#REF!</v>
      </c>
      <c r="H62" s="2008"/>
      <c r="I62" s="2009"/>
      <c r="J62" s="1807"/>
      <c r="K62" s="1294"/>
      <c r="L62" s="2043"/>
      <c r="M62" s="1807"/>
      <c r="N62" s="1296" t="e">
        <f>#REF!*#REF!</f>
        <v>#REF!</v>
      </c>
      <c r="O62" s="2057" t="e">
        <f t="shared" si="6"/>
        <v>#REF!</v>
      </c>
      <c r="P62" s="1807"/>
      <c r="Q62" s="1296"/>
    </row>
    <row r="63" spans="1:19" s="1184" customFormat="1" ht="14.4">
      <c r="A63" s="1196"/>
      <c r="B63" s="1299"/>
      <c r="C63" s="1298">
        <v>44672</v>
      </c>
      <c r="D63" s="1297">
        <v>52</v>
      </c>
      <c r="E63" s="1807"/>
      <c r="F63" s="1295">
        <v>6.61</v>
      </c>
      <c r="G63" s="1296" t="e">
        <f>K63*#REF!</f>
        <v>#REF!</v>
      </c>
      <c r="H63" s="2008"/>
      <c r="I63" s="2009"/>
      <c r="J63" s="1807"/>
      <c r="K63" s="1294"/>
      <c r="L63" s="2043"/>
      <c r="M63" s="1807"/>
      <c r="N63" s="1296" t="e">
        <f>#REF!*#REF!</f>
        <v>#REF!</v>
      </c>
      <c r="O63" s="2057" t="e">
        <f t="shared" si="6"/>
        <v>#REF!</v>
      </c>
      <c r="P63" s="1807"/>
      <c r="Q63" s="1296"/>
    </row>
    <row r="64" spans="1:19" ht="14.4">
      <c r="B64" s="1299"/>
      <c r="C64" s="1298">
        <v>44673</v>
      </c>
      <c r="D64" s="1297">
        <v>53</v>
      </c>
      <c r="F64" s="1295">
        <v>2.1800000000000002</v>
      </c>
      <c r="G64" s="1296" t="e">
        <f>K64*#REF!</f>
        <v>#REF!</v>
      </c>
      <c r="H64" s="2008"/>
      <c r="I64" s="2009"/>
      <c r="K64" s="1294"/>
      <c r="L64" s="2043"/>
      <c r="N64" s="1296" t="e">
        <f>#REF!*#REF!</f>
        <v>#REF!</v>
      </c>
      <c r="O64" s="2057" t="e">
        <f t="shared" si="6"/>
        <v>#REF!</v>
      </c>
      <c r="Q64" s="1296"/>
      <c r="R64" s="1184"/>
      <c r="S64" s="1184"/>
    </row>
    <row r="65" spans="1:19" ht="14.4">
      <c r="B65" s="1299"/>
      <c r="C65" s="1298">
        <v>44674</v>
      </c>
      <c r="D65" s="1297">
        <v>54</v>
      </c>
      <c r="F65" s="1295">
        <v>6.08</v>
      </c>
      <c r="G65" s="1296" t="e">
        <f>K65*#REF!</f>
        <v>#REF!</v>
      </c>
      <c r="H65" s="2008"/>
      <c r="I65" s="2009"/>
      <c r="K65" s="1294"/>
      <c r="L65" s="2043"/>
      <c r="N65" s="1296" t="e">
        <f>#REF!*#REF!</f>
        <v>#REF!</v>
      </c>
      <c r="O65" s="2057" t="e">
        <f t="shared" si="6"/>
        <v>#REF!</v>
      </c>
      <c r="Q65" s="1296"/>
      <c r="R65" s="1184"/>
      <c r="S65" s="1184"/>
    </row>
    <row r="66" spans="1:19" ht="14.4">
      <c r="B66" s="1299"/>
      <c r="C66" s="1298">
        <v>44675</v>
      </c>
      <c r="D66" s="1297">
        <v>55</v>
      </c>
      <c r="F66" s="1295">
        <v>6.96</v>
      </c>
      <c r="G66" s="1296" t="e">
        <f>K66*#REF!</f>
        <v>#REF!</v>
      </c>
      <c r="H66" s="2008"/>
      <c r="I66" s="2009"/>
      <c r="K66" s="1294"/>
      <c r="L66" s="2043"/>
      <c r="N66" s="1296" t="e">
        <f>#REF!*#REF!</f>
        <v>#REF!</v>
      </c>
      <c r="O66" s="2057" t="e">
        <f t="shared" si="6"/>
        <v>#REF!</v>
      </c>
      <c r="Q66" s="1296"/>
      <c r="R66" s="1184"/>
      <c r="S66" s="1184"/>
    </row>
    <row r="67" spans="1:19" s="1184" customFormat="1" ht="14.4">
      <c r="A67" s="1196"/>
      <c r="B67" s="1283"/>
      <c r="C67" s="1282">
        <v>44676</v>
      </c>
      <c r="D67" s="1281">
        <v>56</v>
      </c>
      <c r="E67" s="1807"/>
      <c r="F67" s="1295">
        <v>6.44</v>
      </c>
      <c r="G67" s="1280" t="e">
        <f>K67*#REF!</f>
        <v>#REF!</v>
      </c>
      <c r="H67" s="2008"/>
      <c r="I67" s="2009"/>
      <c r="J67" s="1807"/>
      <c r="K67" s="1294"/>
      <c r="L67" s="2043"/>
      <c r="M67" s="1807"/>
      <c r="N67" s="1280" t="e">
        <f>#REF!*#REF!</f>
        <v>#REF!</v>
      </c>
      <c r="O67" s="2056" t="e">
        <f t="shared" si="6"/>
        <v>#REF!</v>
      </c>
      <c r="P67" s="1807"/>
      <c r="Q67" s="1280"/>
    </row>
    <row r="68" spans="1:19" s="1184" customFormat="1" ht="14.4">
      <c r="A68" s="1196"/>
      <c r="B68" s="1283"/>
      <c r="C68" s="1282">
        <v>44677</v>
      </c>
      <c r="D68" s="1281">
        <v>57</v>
      </c>
      <c r="E68" s="1807"/>
      <c r="F68" s="1295">
        <v>3.02</v>
      </c>
      <c r="G68" s="1280" t="e">
        <f>K68*#REF!</f>
        <v>#REF!</v>
      </c>
      <c r="H68" s="2008"/>
      <c r="I68" s="2009"/>
      <c r="J68" s="1807"/>
      <c r="K68" s="1294"/>
      <c r="L68" s="2043"/>
      <c r="M68" s="1807"/>
      <c r="N68" s="1280" t="e">
        <f>#REF!*#REF!</f>
        <v>#REF!</v>
      </c>
      <c r="O68" s="2056" t="e">
        <f t="shared" si="6"/>
        <v>#REF!</v>
      </c>
      <c r="P68" s="1807"/>
      <c r="Q68" s="1280"/>
    </row>
    <row r="69" spans="1:19" s="1184" customFormat="1" ht="14.4">
      <c r="A69" s="1196"/>
      <c r="B69" s="1283"/>
      <c r="C69" s="1282">
        <v>44678</v>
      </c>
      <c r="D69" s="1281">
        <v>58</v>
      </c>
      <c r="E69" s="1807"/>
      <c r="F69" s="1279">
        <v>7.42</v>
      </c>
      <c r="G69" s="1280" t="e">
        <f>K69*#REF!</f>
        <v>#REF!</v>
      </c>
      <c r="H69" s="2005"/>
      <c r="I69" s="2007"/>
      <c r="J69" s="1807"/>
      <c r="K69" s="1278"/>
      <c r="L69" s="2042"/>
      <c r="M69" s="1807"/>
      <c r="N69" s="1280" t="e">
        <f>#REF!*#REF!</f>
        <v>#REF!</v>
      </c>
      <c r="O69" s="2056" t="e">
        <f t="shared" si="6"/>
        <v>#REF!</v>
      </c>
      <c r="P69" s="1807"/>
      <c r="Q69" s="1280" t="s">
        <v>1134</v>
      </c>
      <c r="R69" s="1176"/>
      <c r="S69" s="1176"/>
    </row>
    <row r="70" spans="1:19" s="1184" customFormat="1" ht="14.4">
      <c r="A70" s="1196"/>
      <c r="B70" s="1283"/>
      <c r="C70" s="1282">
        <v>44679</v>
      </c>
      <c r="D70" s="1281">
        <v>59</v>
      </c>
      <c r="E70" s="1807"/>
      <c r="F70" s="1279">
        <v>5.75</v>
      </c>
      <c r="G70" s="1280" t="e">
        <f>K70*#REF!</f>
        <v>#REF!</v>
      </c>
      <c r="H70" s="2005"/>
      <c r="I70" s="2007"/>
      <c r="J70" s="1807"/>
      <c r="K70" s="1278"/>
      <c r="L70" s="2042"/>
      <c r="M70" s="1807"/>
      <c r="N70" s="1280" t="e">
        <f>#REF!*#REF!</f>
        <v>#REF!</v>
      </c>
      <c r="O70" s="2056" t="e">
        <f t="shared" si="6"/>
        <v>#REF!</v>
      </c>
      <c r="P70" s="1807"/>
      <c r="Q70" s="1280"/>
      <c r="R70" s="1176"/>
      <c r="S70" s="1176"/>
    </row>
    <row r="71" spans="1:19" s="1184" customFormat="1" ht="14.4">
      <c r="A71" s="1196"/>
      <c r="B71" s="1283"/>
      <c r="C71" s="1282">
        <v>44680</v>
      </c>
      <c r="D71" s="1281">
        <v>60</v>
      </c>
      <c r="E71" s="1807"/>
      <c r="F71" s="1279">
        <v>7.68</v>
      </c>
      <c r="G71" s="1280" t="e">
        <f>K71*#REF!</f>
        <v>#REF!</v>
      </c>
      <c r="H71" s="2005"/>
      <c r="I71" s="2007"/>
      <c r="J71" s="1807"/>
      <c r="K71" s="1278"/>
      <c r="L71" s="2042"/>
      <c r="M71" s="1807"/>
      <c r="N71" s="1280" t="e">
        <f>#REF!*#REF!</f>
        <v>#REF!</v>
      </c>
      <c r="O71" s="2056" t="e">
        <f t="shared" si="6"/>
        <v>#REF!</v>
      </c>
      <c r="P71" s="1807"/>
      <c r="Q71" s="1280"/>
    </row>
    <row r="72" spans="1:19" s="1184" customFormat="1" ht="14.4">
      <c r="A72" s="1196"/>
      <c r="B72" s="1283"/>
      <c r="C72" s="1282">
        <v>44681</v>
      </c>
      <c r="D72" s="1281">
        <v>61</v>
      </c>
      <c r="E72" s="1807"/>
      <c r="F72" s="1279">
        <v>2.15</v>
      </c>
      <c r="G72" s="1280" t="e">
        <f>K72*#REF!</f>
        <v>#REF!</v>
      </c>
      <c r="H72" s="2005"/>
      <c r="I72" s="2007"/>
      <c r="J72" s="1807"/>
      <c r="K72" s="1278"/>
      <c r="L72" s="2042"/>
      <c r="M72" s="1807"/>
      <c r="N72" s="1280" t="e">
        <f>#REF!*#REF!</f>
        <v>#REF!</v>
      </c>
      <c r="O72" s="2056" t="e">
        <f t="shared" si="6"/>
        <v>#REF!</v>
      </c>
      <c r="P72" s="1807"/>
      <c r="Q72" s="1280"/>
    </row>
    <row r="73" spans="1:19" s="1184" customFormat="1" ht="14.4">
      <c r="A73" s="1196"/>
      <c r="B73" s="1283"/>
      <c r="C73" s="1282">
        <v>44682</v>
      </c>
      <c r="D73" s="1281">
        <v>62</v>
      </c>
      <c r="E73" s="1807"/>
      <c r="F73" s="1279">
        <v>6.17</v>
      </c>
      <c r="G73" s="1280" t="e">
        <f>K73*#REF!</f>
        <v>#REF!</v>
      </c>
      <c r="H73" s="2005"/>
      <c r="I73" s="2007"/>
      <c r="J73" s="1807"/>
      <c r="K73" s="1278"/>
      <c r="L73" s="2042"/>
      <c r="M73" s="1807"/>
      <c r="N73" s="1280" t="e">
        <f>#REF!*#REF!</f>
        <v>#REF!</v>
      </c>
      <c r="O73" s="2056" t="e">
        <f t="shared" si="6"/>
        <v>#REF!</v>
      </c>
      <c r="P73" s="1807"/>
      <c r="Q73" s="1280"/>
    </row>
    <row r="74" spans="1:19" s="1184" customFormat="1" ht="14.4">
      <c r="A74" s="1196"/>
      <c r="B74" s="1299"/>
      <c r="C74" s="1298">
        <v>44683</v>
      </c>
      <c r="D74" s="1297">
        <v>63</v>
      </c>
      <c r="E74" s="1807"/>
      <c r="F74" s="1279">
        <v>5.13</v>
      </c>
      <c r="G74" s="1296" t="e">
        <f>K74*#REF!</f>
        <v>#REF!</v>
      </c>
      <c r="H74" s="2005"/>
      <c r="I74" s="2007"/>
      <c r="J74" s="1807"/>
      <c r="K74" s="1278"/>
      <c r="L74" s="2042"/>
      <c r="M74" s="1807"/>
      <c r="N74" s="1296" t="e">
        <f>#REF!*#REF!</f>
        <v>#REF!</v>
      </c>
      <c r="O74" s="2057" t="e">
        <f t="shared" si="6"/>
        <v>#REF!</v>
      </c>
      <c r="P74" s="1807"/>
      <c r="Q74" s="1296"/>
      <c r="R74" s="1176"/>
      <c r="S74" s="1176"/>
    </row>
    <row r="75" spans="1:19" s="1184" customFormat="1" ht="14.4">
      <c r="A75" s="1196"/>
      <c r="B75" s="1299"/>
      <c r="C75" s="1298">
        <v>44684</v>
      </c>
      <c r="D75" s="1297">
        <v>64</v>
      </c>
      <c r="E75" s="1807"/>
      <c r="F75" s="1279">
        <v>3.72</v>
      </c>
      <c r="G75" s="1296" t="e">
        <f>K75*#REF!</f>
        <v>#REF!</v>
      </c>
      <c r="H75" s="2005"/>
      <c r="I75" s="2007"/>
      <c r="J75" s="1807"/>
      <c r="K75" s="1278"/>
      <c r="L75" s="2042"/>
      <c r="M75" s="1807"/>
      <c r="N75" s="1296" t="e">
        <f>#REF!*#REF!</f>
        <v>#REF!</v>
      </c>
      <c r="O75" s="2057" t="e">
        <f t="shared" si="6"/>
        <v>#REF!</v>
      </c>
      <c r="P75" s="1807"/>
      <c r="Q75" s="1296"/>
    </row>
    <row r="76" spans="1:19" s="1184" customFormat="1" ht="14.4">
      <c r="A76" s="1196"/>
      <c r="B76" s="1299"/>
      <c r="C76" s="1298">
        <v>44685</v>
      </c>
      <c r="D76" s="1297">
        <v>65</v>
      </c>
      <c r="E76" s="1807"/>
      <c r="F76" s="1295">
        <v>7.2</v>
      </c>
      <c r="G76" s="1296" t="e">
        <f>K76*#REF!</f>
        <v>#REF!</v>
      </c>
      <c r="H76" s="2008"/>
      <c r="I76" s="2009"/>
      <c r="J76" s="1807"/>
      <c r="K76" s="1294"/>
      <c r="L76" s="2043"/>
      <c r="M76" s="1807"/>
      <c r="N76" s="1296" t="e">
        <f>#REF!*#REF!</f>
        <v>#REF!</v>
      </c>
      <c r="O76" s="2057" t="e">
        <f t="shared" ref="O76:O139" si="7">N76/$D76</f>
        <v>#REF!</v>
      </c>
      <c r="P76" s="1807"/>
      <c r="Q76" s="1296"/>
    </row>
    <row r="77" spans="1:19" s="1184" customFormat="1" ht="14.4">
      <c r="A77" s="1196"/>
      <c r="B77" s="1299"/>
      <c r="C77" s="1298">
        <v>44686</v>
      </c>
      <c r="D77" s="1297">
        <v>66</v>
      </c>
      <c r="E77" s="1807"/>
      <c r="F77" s="1295">
        <v>4.07</v>
      </c>
      <c r="G77" s="1296" t="e">
        <f>K77*#REF!</f>
        <v>#REF!</v>
      </c>
      <c r="H77" s="2008"/>
      <c r="I77" s="2009"/>
      <c r="J77" s="1807"/>
      <c r="K77" s="1294"/>
      <c r="L77" s="2043"/>
      <c r="M77" s="1807"/>
      <c r="N77" s="1296" t="e">
        <f>#REF!*#REF!</f>
        <v>#REF!</v>
      </c>
      <c r="O77" s="2057" t="e">
        <f t="shared" si="7"/>
        <v>#REF!</v>
      </c>
      <c r="P77" s="1807"/>
      <c r="Q77" s="1296"/>
    </row>
    <row r="78" spans="1:19" s="1184" customFormat="1" ht="14.4">
      <c r="A78" s="1196"/>
      <c r="B78" s="1299"/>
      <c r="C78" s="1298">
        <v>44687</v>
      </c>
      <c r="D78" s="1297">
        <v>67</v>
      </c>
      <c r="E78" s="1807"/>
      <c r="F78" s="1295">
        <v>2.5299999999999998</v>
      </c>
      <c r="G78" s="1296" t="e">
        <f>K78*#REF!</f>
        <v>#REF!</v>
      </c>
      <c r="H78" s="2008"/>
      <c r="I78" s="2009"/>
      <c r="J78" s="1807"/>
      <c r="K78" s="1294"/>
      <c r="L78" s="2043"/>
      <c r="M78" s="1807"/>
      <c r="N78" s="1296" t="e">
        <f>#REF!*#REF!</f>
        <v>#REF!</v>
      </c>
      <c r="O78" s="2057" t="e">
        <f t="shared" si="7"/>
        <v>#REF!</v>
      </c>
      <c r="P78" s="1807"/>
      <c r="Q78" s="1296"/>
    </row>
    <row r="79" spans="1:19" s="1184" customFormat="1" ht="14.4">
      <c r="A79" s="1196"/>
      <c r="B79" s="1299"/>
      <c r="C79" s="1298">
        <v>44688</v>
      </c>
      <c r="D79" s="1297">
        <v>68</v>
      </c>
      <c r="E79" s="1807"/>
      <c r="F79" s="1295">
        <v>3.09</v>
      </c>
      <c r="G79" s="1296" t="e">
        <f>K79*#REF!</f>
        <v>#REF!</v>
      </c>
      <c r="H79" s="2008"/>
      <c r="I79" s="2009"/>
      <c r="J79" s="1807"/>
      <c r="K79" s="1294"/>
      <c r="L79" s="2043"/>
      <c r="M79" s="1807"/>
      <c r="N79" s="1296" t="e">
        <f>#REF!*#REF!</f>
        <v>#REF!</v>
      </c>
      <c r="O79" s="2057" t="e">
        <f t="shared" si="7"/>
        <v>#REF!</v>
      </c>
      <c r="P79" s="1807"/>
      <c r="Q79" s="1296"/>
    </row>
    <row r="80" spans="1:19" s="1184" customFormat="1" ht="14.4">
      <c r="A80" s="1196"/>
      <c r="B80" s="1299"/>
      <c r="C80" s="1298">
        <v>44689</v>
      </c>
      <c r="D80" s="1297">
        <v>69</v>
      </c>
      <c r="E80" s="1807"/>
      <c r="F80" s="1295">
        <v>3.6</v>
      </c>
      <c r="G80" s="1296" t="e">
        <f>K80*#REF!</f>
        <v>#REF!</v>
      </c>
      <c r="H80" s="2008"/>
      <c r="I80" s="2009"/>
      <c r="J80" s="1807"/>
      <c r="K80" s="1294"/>
      <c r="L80" s="2043"/>
      <c r="M80" s="1807"/>
      <c r="N80" s="1296" t="e">
        <f>#REF!*#REF!</f>
        <v>#REF!</v>
      </c>
      <c r="O80" s="2057" t="e">
        <f t="shared" si="7"/>
        <v>#REF!</v>
      </c>
      <c r="P80" s="1807"/>
      <c r="Q80" s="1296"/>
    </row>
    <row r="81" spans="1:17" s="1184" customFormat="1" ht="14.4">
      <c r="A81" s="1196"/>
      <c r="B81" s="1283"/>
      <c r="C81" s="1282">
        <v>44690</v>
      </c>
      <c r="D81" s="1281">
        <v>70</v>
      </c>
      <c r="E81" s="1807"/>
      <c r="F81" s="1295">
        <v>10.85</v>
      </c>
      <c r="G81" s="1280" t="e">
        <f>K81*#REF!</f>
        <v>#REF!</v>
      </c>
      <c r="H81" s="2008"/>
      <c r="I81" s="2009"/>
      <c r="J81" s="1807"/>
      <c r="K81" s="1294"/>
      <c r="L81" s="2043"/>
      <c r="M81" s="1807"/>
      <c r="N81" s="1280" t="e">
        <f>#REF!*#REF!</f>
        <v>#REF!</v>
      </c>
      <c r="O81" s="2056" t="e">
        <f t="shared" si="7"/>
        <v>#REF!</v>
      </c>
      <c r="P81" s="1807"/>
      <c r="Q81" s="1280"/>
    </row>
    <row r="82" spans="1:17" s="1184" customFormat="1" ht="14.4">
      <c r="A82" s="1196"/>
      <c r="B82" s="1283"/>
      <c r="C82" s="1282">
        <v>44691</v>
      </c>
      <c r="D82" s="1281">
        <v>71</v>
      </c>
      <c r="E82" s="1807"/>
      <c r="F82" s="1295">
        <v>9.19</v>
      </c>
      <c r="G82" s="1280" t="e">
        <f>K82*#REF!</f>
        <v>#REF!</v>
      </c>
      <c r="H82" s="2008"/>
      <c r="I82" s="2009"/>
      <c r="J82" s="1807"/>
      <c r="K82" s="1294"/>
      <c r="L82" s="2043"/>
      <c r="M82" s="1807"/>
      <c r="N82" s="1280" t="e">
        <f>#REF!*#REF!</f>
        <v>#REF!</v>
      </c>
      <c r="O82" s="2056" t="e">
        <f t="shared" si="7"/>
        <v>#REF!</v>
      </c>
      <c r="P82" s="1807"/>
      <c r="Q82" s="1280"/>
    </row>
    <row r="83" spans="1:17" s="1184" customFormat="1" ht="14.4">
      <c r="A83" s="1196"/>
      <c r="B83" s="1283"/>
      <c r="C83" s="1282">
        <v>44692</v>
      </c>
      <c r="D83" s="1281">
        <v>72</v>
      </c>
      <c r="E83" s="1807"/>
      <c r="F83" s="1279">
        <v>10.46</v>
      </c>
      <c r="G83" s="1280" t="e">
        <f>K83*#REF!</f>
        <v>#REF!</v>
      </c>
      <c r="H83" s="2005"/>
      <c r="I83" s="2007"/>
      <c r="J83" s="1807"/>
      <c r="K83" s="1278"/>
      <c r="L83" s="2042"/>
      <c r="M83" s="1807"/>
      <c r="N83" s="1280" t="e">
        <f>#REF!*#REF!</f>
        <v>#REF!</v>
      </c>
      <c r="O83" s="2056" t="e">
        <f t="shared" si="7"/>
        <v>#REF!</v>
      </c>
      <c r="P83" s="1807"/>
      <c r="Q83" s="1280"/>
    </row>
    <row r="84" spans="1:17" s="1184" customFormat="1" ht="14.4">
      <c r="A84" s="1196"/>
      <c r="B84" s="1283"/>
      <c r="C84" s="1282">
        <v>44693</v>
      </c>
      <c r="D84" s="1281">
        <v>73</v>
      </c>
      <c r="E84" s="1807"/>
      <c r="F84" s="1279">
        <v>3.93</v>
      </c>
      <c r="G84" s="1280" t="e">
        <f>K84*#REF!</f>
        <v>#REF!</v>
      </c>
      <c r="H84" s="2005"/>
      <c r="I84" s="2007"/>
      <c r="J84" s="1807"/>
      <c r="K84" s="1278"/>
      <c r="L84" s="2042"/>
      <c r="M84" s="1807"/>
      <c r="N84" s="1280" t="e">
        <f>#REF!*#REF!</f>
        <v>#REF!</v>
      </c>
      <c r="O84" s="2056" t="e">
        <f t="shared" si="7"/>
        <v>#REF!</v>
      </c>
      <c r="P84" s="1807"/>
      <c r="Q84" s="1280"/>
    </row>
    <row r="85" spans="1:17" s="1184" customFormat="1" ht="14.4">
      <c r="A85" s="1196"/>
      <c r="B85" s="1283"/>
      <c r="C85" s="1282">
        <v>44694</v>
      </c>
      <c r="D85" s="1281">
        <v>74</v>
      </c>
      <c r="E85" s="1807"/>
      <c r="F85" s="1279">
        <v>5.91</v>
      </c>
      <c r="G85" s="1280" t="e">
        <f>K85*#REF!</f>
        <v>#REF!</v>
      </c>
      <c r="H85" s="2005"/>
      <c r="I85" s="2007"/>
      <c r="J85" s="1807"/>
      <c r="K85" s="1278"/>
      <c r="L85" s="2042"/>
      <c r="M85" s="1807"/>
      <c r="N85" s="1280" t="e">
        <f>#REF!*#REF!</f>
        <v>#REF!</v>
      </c>
      <c r="O85" s="2056" t="e">
        <f t="shared" si="7"/>
        <v>#REF!</v>
      </c>
      <c r="P85" s="1807"/>
      <c r="Q85" s="1280"/>
    </row>
    <row r="86" spans="1:17" s="1184" customFormat="1" ht="14.4">
      <c r="A86" s="1196"/>
      <c r="B86" s="1283"/>
      <c r="C86" s="1282">
        <v>44695</v>
      </c>
      <c r="D86" s="1281">
        <v>75</v>
      </c>
      <c r="E86" s="1807"/>
      <c r="F86" s="1279">
        <v>5.86</v>
      </c>
      <c r="G86" s="1280" t="e">
        <f>K86*#REF!</f>
        <v>#REF!</v>
      </c>
      <c r="H86" s="2005"/>
      <c r="I86" s="2007"/>
      <c r="J86" s="1807"/>
      <c r="K86" s="1278"/>
      <c r="L86" s="2042"/>
      <c r="M86" s="1807"/>
      <c r="N86" s="1280" t="e">
        <f>#REF!*#REF!</f>
        <v>#REF!</v>
      </c>
      <c r="O86" s="2056" t="e">
        <f t="shared" si="7"/>
        <v>#REF!</v>
      </c>
      <c r="P86" s="1807"/>
      <c r="Q86" s="1280"/>
    </row>
    <row r="87" spans="1:17" s="1184" customFormat="1" ht="14.4">
      <c r="A87" s="1196"/>
      <c r="B87" s="1283"/>
      <c r="C87" s="1282">
        <v>44696</v>
      </c>
      <c r="D87" s="1281">
        <v>76</v>
      </c>
      <c r="E87" s="1807"/>
      <c r="F87" s="1279">
        <v>6.64</v>
      </c>
      <c r="G87" s="1280" t="e">
        <f>K87*#REF!</f>
        <v>#REF!</v>
      </c>
      <c r="H87" s="2005"/>
      <c r="I87" s="2007"/>
      <c r="J87" s="1807"/>
      <c r="K87" s="1278"/>
      <c r="L87" s="2042"/>
      <c r="M87" s="1807"/>
      <c r="N87" s="1280" t="e">
        <f>#REF!*#REF!</f>
        <v>#REF!</v>
      </c>
      <c r="O87" s="2056" t="e">
        <f t="shared" si="7"/>
        <v>#REF!</v>
      </c>
      <c r="P87" s="1807"/>
      <c r="Q87" s="1280"/>
    </row>
    <row r="88" spans="1:17" s="1184" customFormat="1" ht="14.4">
      <c r="A88" s="1196"/>
      <c r="B88" s="1283"/>
      <c r="C88" s="1282">
        <v>44697</v>
      </c>
      <c r="D88" s="1281">
        <v>77</v>
      </c>
      <c r="E88" s="1807"/>
      <c r="F88" s="1279">
        <v>10.039999999999999</v>
      </c>
      <c r="G88" s="1280" t="e">
        <f>K88*#REF!</f>
        <v>#REF!</v>
      </c>
      <c r="H88" s="2005"/>
      <c r="I88" s="2007"/>
      <c r="J88" s="1807"/>
      <c r="K88" s="1278"/>
      <c r="L88" s="2042"/>
      <c r="M88" s="1807"/>
      <c r="N88" s="1280" t="e">
        <f>#REF!*#REF!</f>
        <v>#REF!</v>
      </c>
      <c r="O88" s="2056" t="e">
        <f t="shared" si="7"/>
        <v>#REF!</v>
      </c>
      <c r="P88" s="1807"/>
      <c r="Q88" s="1280"/>
    </row>
    <row r="89" spans="1:17" s="1184" customFormat="1" ht="14.4">
      <c r="A89" s="1196"/>
      <c r="B89" s="1283"/>
      <c r="C89" s="1282">
        <v>44698</v>
      </c>
      <c r="D89" s="1281">
        <v>78</v>
      </c>
      <c r="E89" s="1807"/>
      <c r="F89" s="1279">
        <v>5.12</v>
      </c>
      <c r="G89" s="1280" t="e">
        <f>K89*#REF!</f>
        <v>#REF!</v>
      </c>
      <c r="H89" s="2005"/>
      <c r="I89" s="2007"/>
      <c r="J89" s="1807"/>
      <c r="K89" s="1278"/>
      <c r="L89" s="2042"/>
      <c r="M89" s="1807"/>
      <c r="N89" s="1280" t="e">
        <f>#REF!*#REF!</f>
        <v>#REF!</v>
      </c>
      <c r="O89" s="2056" t="e">
        <f t="shared" si="7"/>
        <v>#REF!</v>
      </c>
      <c r="P89" s="1807"/>
      <c r="Q89" s="1280"/>
    </row>
    <row r="90" spans="1:17" s="1184" customFormat="1" ht="14.4">
      <c r="A90" s="1196"/>
      <c r="B90" s="1283"/>
      <c r="C90" s="1282">
        <v>44699</v>
      </c>
      <c r="D90" s="1281">
        <v>79</v>
      </c>
      <c r="E90" s="1807"/>
      <c r="F90" s="1279">
        <v>5.81</v>
      </c>
      <c r="G90" s="1280" t="e">
        <f>K90*#REF!</f>
        <v>#REF!</v>
      </c>
      <c r="H90" s="2005"/>
      <c r="I90" s="2007"/>
      <c r="J90" s="1807"/>
      <c r="K90" s="1278"/>
      <c r="L90" s="2042"/>
      <c r="M90" s="1807"/>
      <c r="N90" s="1280" t="e">
        <f>#REF!*#REF!</f>
        <v>#REF!</v>
      </c>
      <c r="O90" s="2056" t="e">
        <f t="shared" si="7"/>
        <v>#REF!</v>
      </c>
      <c r="P90" s="1807"/>
      <c r="Q90" s="1280"/>
    </row>
    <row r="91" spans="1:17" s="1184" customFormat="1" ht="14.4">
      <c r="A91" s="1196"/>
      <c r="B91" s="1283"/>
      <c r="C91" s="1282">
        <v>44700</v>
      </c>
      <c r="D91" s="1281">
        <v>80</v>
      </c>
      <c r="E91" s="1807"/>
      <c r="F91" s="1279">
        <v>5.99</v>
      </c>
      <c r="G91" s="1280" t="e">
        <f>K91*#REF!</f>
        <v>#REF!</v>
      </c>
      <c r="H91" s="2005"/>
      <c r="I91" s="2007"/>
      <c r="J91" s="1807"/>
      <c r="K91" s="1278"/>
      <c r="L91" s="2042"/>
      <c r="M91" s="1807"/>
      <c r="N91" s="1280" t="e">
        <f>#REF!*#REF!</f>
        <v>#REF!</v>
      </c>
      <c r="O91" s="2056" t="e">
        <f t="shared" si="7"/>
        <v>#REF!</v>
      </c>
      <c r="P91" s="1807"/>
      <c r="Q91" s="1280"/>
    </row>
    <row r="92" spans="1:17" s="1184" customFormat="1" ht="14.4">
      <c r="A92" s="1196"/>
      <c r="B92" s="1283"/>
      <c r="C92" s="1282">
        <v>44701</v>
      </c>
      <c r="D92" s="1281">
        <v>81</v>
      </c>
      <c r="E92" s="1807"/>
      <c r="F92" s="1279">
        <v>5.81</v>
      </c>
      <c r="G92" s="1280" t="e">
        <f>K92*#REF!</f>
        <v>#REF!</v>
      </c>
      <c r="H92" s="2005"/>
      <c r="I92" s="2007"/>
      <c r="J92" s="1807"/>
      <c r="K92" s="1278"/>
      <c r="L92" s="2042"/>
      <c r="M92" s="1807"/>
      <c r="N92" s="1280" t="e">
        <f>#REF!*#REF!</f>
        <v>#REF!</v>
      </c>
      <c r="O92" s="2056" t="e">
        <f t="shared" si="7"/>
        <v>#REF!</v>
      </c>
      <c r="P92" s="1807"/>
      <c r="Q92" s="1280"/>
    </row>
    <row r="93" spans="1:17" s="1184" customFormat="1" ht="14.4">
      <c r="A93" s="1196"/>
      <c r="B93" s="1283"/>
      <c r="C93" s="1282">
        <v>44702</v>
      </c>
      <c r="D93" s="1281">
        <v>82</v>
      </c>
      <c r="E93" s="1807"/>
      <c r="F93" s="1279">
        <v>7.11</v>
      </c>
      <c r="G93" s="1280" t="e">
        <f>K93*#REF!</f>
        <v>#REF!</v>
      </c>
      <c r="H93" s="2005"/>
      <c r="I93" s="2007"/>
      <c r="J93" s="1807"/>
      <c r="K93" s="1278"/>
      <c r="L93" s="2042"/>
      <c r="M93" s="1807"/>
      <c r="N93" s="1280" t="e">
        <f>#REF!*#REF!</f>
        <v>#REF!</v>
      </c>
      <c r="O93" s="2056" t="e">
        <f t="shared" si="7"/>
        <v>#REF!</v>
      </c>
      <c r="P93" s="1807"/>
      <c r="Q93" s="1280"/>
    </row>
    <row r="94" spans="1:17" s="1184" customFormat="1" ht="14.4">
      <c r="A94" s="1196"/>
      <c r="B94" s="1283"/>
      <c r="C94" s="1282">
        <v>44703</v>
      </c>
      <c r="D94" s="1281">
        <v>83</v>
      </c>
      <c r="E94" s="1807"/>
      <c r="F94" s="1279">
        <v>4.05</v>
      </c>
      <c r="G94" s="1280" t="e">
        <f>K94*#REF!</f>
        <v>#REF!</v>
      </c>
      <c r="H94" s="2005"/>
      <c r="I94" s="2007"/>
      <c r="J94" s="1807"/>
      <c r="K94" s="1278"/>
      <c r="L94" s="2042"/>
      <c r="M94" s="1807"/>
      <c r="N94" s="1280" t="e">
        <f>#REF!*#REF!</f>
        <v>#REF!</v>
      </c>
      <c r="O94" s="2056" t="e">
        <f t="shared" si="7"/>
        <v>#REF!</v>
      </c>
      <c r="P94" s="1807"/>
      <c r="Q94" s="1280"/>
    </row>
    <row r="95" spans="1:17" s="1184" customFormat="1" ht="14.4">
      <c r="A95" s="1196"/>
      <c r="B95" s="1283"/>
      <c r="C95" s="1282">
        <v>44704</v>
      </c>
      <c r="D95" s="1281">
        <v>84</v>
      </c>
      <c r="E95" s="1807"/>
      <c r="F95" s="1279">
        <v>3.5</v>
      </c>
      <c r="G95" s="1280" t="e">
        <f>K95*#REF!</f>
        <v>#REF!</v>
      </c>
      <c r="H95" s="2005"/>
      <c r="I95" s="2007"/>
      <c r="J95" s="1807"/>
      <c r="K95" s="1278"/>
      <c r="L95" s="2042"/>
      <c r="M95" s="1807"/>
      <c r="N95" s="1280" t="e">
        <f>#REF!*#REF!</f>
        <v>#REF!</v>
      </c>
      <c r="O95" s="2056" t="e">
        <f t="shared" si="7"/>
        <v>#REF!</v>
      </c>
      <c r="P95" s="1807"/>
      <c r="Q95" s="1280"/>
    </row>
    <row r="96" spans="1:17" s="1184" customFormat="1" ht="14.4">
      <c r="A96" s="1196"/>
      <c r="B96" s="1283"/>
      <c r="C96" s="1282">
        <v>44705</v>
      </c>
      <c r="D96" s="1281">
        <v>85</v>
      </c>
      <c r="E96" s="1807"/>
      <c r="F96" s="1279">
        <v>6.23</v>
      </c>
      <c r="G96" s="1280" t="e">
        <f>K96*#REF!</f>
        <v>#REF!</v>
      </c>
      <c r="H96" s="2005"/>
      <c r="I96" s="2007"/>
      <c r="J96" s="1807"/>
      <c r="K96" s="1278"/>
      <c r="L96" s="2042"/>
      <c r="M96" s="1807"/>
      <c r="N96" s="1280" t="e">
        <f>#REF!*#REF!</f>
        <v>#REF!</v>
      </c>
      <c r="O96" s="2056" t="e">
        <f t="shared" si="7"/>
        <v>#REF!</v>
      </c>
      <c r="P96" s="1807"/>
      <c r="Q96" s="1280"/>
    </row>
    <row r="97" spans="1:17" s="1184" customFormat="1" ht="14.4">
      <c r="A97" s="1196"/>
      <c r="B97" s="1283"/>
      <c r="C97" s="1282">
        <v>44706</v>
      </c>
      <c r="D97" s="1281">
        <v>86</v>
      </c>
      <c r="E97" s="1807"/>
      <c r="F97" s="1279">
        <v>3.4</v>
      </c>
      <c r="G97" s="1280" t="e">
        <f>K97*#REF!</f>
        <v>#REF!</v>
      </c>
      <c r="H97" s="2005"/>
      <c r="I97" s="2007"/>
      <c r="J97" s="1807"/>
      <c r="K97" s="1278"/>
      <c r="L97" s="2042"/>
      <c r="M97" s="1807"/>
      <c r="N97" s="1280" t="e">
        <f>#REF!*#REF!</f>
        <v>#REF!</v>
      </c>
      <c r="O97" s="2056" t="e">
        <f t="shared" si="7"/>
        <v>#REF!</v>
      </c>
      <c r="P97" s="1807"/>
      <c r="Q97" s="1280"/>
    </row>
    <row r="98" spans="1:17" s="1184" customFormat="1" ht="14.4">
      <c r="A98" s="1196"/>
      <c r="B98" s="1283"/>
      <c r="C98" s="1282">
        <v>44707</v>
      </c>
      <c r="D98" s="1281">
        <v>87</v>
      </c>
      <c r="E98" s="1807"/>
      <c r="F98" s="1279">
        <v>3.58</v>
      </c>
      <c r="G98" s="1280" t="e">
        <f>K98*#REF!</f>
        <v>#REF!</v>
      </c>
      <c r="H98" s="2005"/>
      <c r="I98" s="2007"/>
      <c r="J98" s="1807"/>
      <c r="K98" s="1278"/>
      <c r="L98" s="2042"/>
      <c r="M98" s="1807"/>
      <c r="N98" s="1280" t="e">
        <f>#REF!*#REF!</f>
        <v>#REF!</v>
      </c>
      <c r="O98" s="2056" t="e">
        <f t="shared" si="7"/>
        <v>#REF!</v>
      </c>
      <c r="P98" s="1807"/>
      <c r="Q98" s="1280"/>
    </row>
    <row r="99" spans="1:17" s="1184" customFormat="1" ht="14.4">
      <c r="A99" s="1196"/>
      <c r="B99" s="1283"/>
      <c r="C99" s="1282">
        <v>44708</v>
      </c>
      <c r="D99" s="1281">
        <v>88</v>
      </c>
      <c r="E99" s="1807"/>
      <c r="F99" s="1279">
        <v>3.9</v>
      </c>
      <c r="G99" s="1280" t="e">
        <f>K99*#REF!</f>
        <v>#REF!</v>
      </c>
      <c r="H99" s="2005"/>
      <c r="I99" s="2007"/>
      <c r="J99" s="1807"/>
      <c r="K99" s="1278"/>
      <c r="L99" s="2042"/>
      <c r="M99" s="1807"/>
      <c r="N99" s="1280" t="e">
        <f>#REF!*#REF!</f>
        <v>#REF!</v>
      </c>
      <c r="O99" s="2056" t="e">
        <f t="shared" si="7"/>
        <v>#REF!</v>
      </c>
      <c r="P99" s="1807"/>
      <c r="Q99" s="1280"/>
    </row>
    <row r="100" spans="1:17" s="1184" customFormat="1" ht="14.4">
      <c r="A100" s="1196"/>
      <c r="B100" s="1283"/>
      <c r="C100" s="1282">
        <v>44709</v>
      </c>
      <c r="D100" s="1281">
        <v>89</v>
      </c>
      <c r="E100" s="1807"/>
      <c r="F100" s="1279">
        <v>4.04</v>
      </c>
      <c r="G100" s="1280" t="e">
        <f>K100*#REF!</f>
        <v>#REF!</v>
      </c>
      <c r="H100" s="2005"/>
      <c r="I100" s="2007"/>
      <c r="J100" s="1807"/>
      <c r="K100" s="1278"/>
      <c r="L100" s="2042"/>
      <c r="M100" s="1807"/>
      <c r="N100" s="1280" t="e">
        <f>#REF!*#REF!</f>
        <v>#REF!</v>
      </c>
      <c r="O100" s="2056" t="e">
        <f t="shared" si="7"/>
        <v>#REF!</v>
      </c>
      <c r="P100" s="1807"/>
      <c r="Q100" s="1280"/>
    </row>
    <row r="101" spans="1:17" s="1184" customFormat="1" ht="14.4">
      <c r="A101" s="1196"/>
      <c r="B101" s="1283"/>
      <c r="C101" s="1282">
        <v>44710</v>
      </c>
      <c r="D101" s="1281">
        <v>90</v>
      </c>
      <c r="E101" s="1807"/>
      <c r="F101" s="1279">
        <v>6.44</v>
      </c>
      <c r="G101" s="1280" t="e">
        <f>K101*#REF!</f>
        <v>#REF!</v>
      </c>
      <c r="H101" s="2005"/>
      <c r="I101" s="2007"/>
      <c r="J101" s="1807"/>
      <c r="K101" s="1278"/>
      <c r="L101" s="2042"/>
      <c r="M101" s="1807"/>
      <c r="N101" s="1280" t="e">
        <f>#REF!*#REF!</f>
        <v>#REF!</v>
      </c>
      <c r="O101" s="2056" t="e">
        <f t="shared" si="7"/>
        <v>#REF!</v>
      </c>
      <c r="P101" s="1807"/>
      <c r="Q101" s="1280"/>
    </row>
    <row r="102" spans="1:17" s="1184" customFormat="1" ht="14.4">
      <c r="A102" s="1196"/>
      <c r="B102" s="1283"/>
      <c r="C102" s="1282">
        <v>44711</v>
      </c>
      <c r="D102" s="1281">
        <v>91</v>
      </c>
      <c r="E102" s="1807"/>
      <c r="F102" s="1279">
        <v>4.55</v>
      </c>
      <c r="G102" s="1280" t="e">
        <f>K102*#REF!</f>
        <v>#REF!</v>
      </c>
      <c r="H102" s="2005"/>
      <c r="I102" s="2007"/>
      <c r="J102" s="1807"/>
      <c r="K102" s="1278"/>
      <c r="L102" s="2042"/>
      <c r="M102" s="1807"/>
      <c r="N102" s="1280" t="e">
        <f>#REF!*#REF!</f>
        <v>#REF!</v>
      </c>
      <c r="O102" s="2056" t="e">
        <f t="shared" si="7"/>
        <v>#REF!</v>
      </c>
      <c r="P102" s="1807"/>
      <c r="Q102" s="1280"/>
    </row>
    <row r="103" spans="1:17" s="1184" customFormat="1" ht="14.4">
      <c r="A103" s="1196"/>
      <c r="B103" s="1293"/>
      <c r="C103" s="1292">
        <v>44712</v>
      </c>
      <c r="D103" s="1291">
        <v>92</v>
      </c>
      <c r="E103" s="1807"/>
      <c r="F103" s="1279">
        <v>6.69</v>
      </c>
      <c r="G103" s="1290" t="e">
        <f>K103*#REF!</f>
        <v>#REF!</v>
      </c>
      <c r="H103" s="2005"/>
      <c r="I103" s="2010"/>
      <c r="J103" s="1807"/>
      <c r="K103" s="1278"/>
      <c r="L103" s="2044"/>
      <c r="M103" s="1807"/>
      <c r="N103" s="1290" t="e">
        <f>#REF!*#REF!</f>
        <v>#REF!</v>
      </c>
      <c r="O103" s="2058" t="e">
        <f t="shared" si="7"/>
        <v>#REF!</v>
      </c>
      <c r="P103" s="1807"/>
      <c r="Q103" s="1290"/>
    </row>
    <row r="104" spans="1:17" s="1184" customFormat="1" ht="14.4">
      <c r="A104" s="1196"/>
      <c r="B104" s="1289"/>
      <c r="C104" s="1288">
        <v>44713</v>
      </c>
      <c r="D104" s="1287">
        <v>93</v>
      </c>
      <c r="E104" s="1807"/>
      <c r="F104" s="1279">
        <v>9.08</v>
      </c>
      <c r="G104" s="1286" t="e">
        <f>K104*#REF!</f>
        <v>#REF!</v>
      </c>
      <c r="H104" s="2005"/>
      <c r="I104" s="2006"/>
      <c r="J104" s="1807"/>
      <c r="K104" s="1278"/>
      <c r="L104" s="2042"/>
      <c r="M104" s="1807"/>
      <c r="N104" s="1286" t="e">
        <f>#REF!*#REF!</f>
        <v>#REF!</v>
      </c>
      <c r="O104" s="2055" t="e">
        <f t="shared" si="7"/>
        <v>#REF!</v>
      </c>
      <c r="P104" s="1807"/>
      <c r="Q104" s="1286"/>
    </row>
    <row r="105" spans="1:17" s="1184" customFormat="1" ht="14.4">
      <c r="A105" s="1196"/>
      <c r="B105" s="1283"/>
      <c r="C105" s="1282">
        <v>44714</v>
      </c>
      <c r="D105" s="1281">
        <v>94</v>
      </c>
      <c r="E105" s="1807"/>
      <c r="F105" s="1285">
        <v>6.44</v>
      </c>
      <c r="G105" s="1280" t="e">
        <f>K105*#REF!</f>
        <v>#REF!</v>
      </c>
      <c r="H105" s="2011"/>
      <c r="I105" s="2010"/>
      <c r="J105" s="1807"/>
      <c r="K105" s="1284"/>
      <c r="L105" s="2045"/>
      <c r="M105" s="1807"/>
      <c r="N105" s="1280" t="e">
        <f>#REF!*#REF!</f>
        <v>#REF!</v>
      </c>
      <c r="O105" s="2056" t="e">
        <f t="shared" si="7"/>
        <v>#REF!</v>
      </c>
      <c r="P105" s="1807"/>
      <c r="Q105" s="1280"/>
    </row>
    <row r="106" spans="1:17" s="1184" customFormat="1" ht="14.4">
      <c r="A106" s="1196"/>
      <c r="B106" s="1283"/>
      <c r="C106" s="1282">
        <v>44715</v>
      </c>
      <c r="D106" s="1281">
        <v>95</v>
      </c>
      <c r="E106" s="1807"/>
      <c r="F106" s="1279">
        <v>3.62</v>
      </c>
      <c r="G106" s="1280" t="e">
        <f>K106*#REF!</f>
        <v>#REF!</v>
      </c>
      <c r="H106" s="2005"/>
      <c r="I106" s="2006"/>
      <c r="J106" s="1807"/>
      <c r="K106" s="1278"/>
      <c r="L106" s="2042"/>
      <c r="M106" s="1807"/>
      <c r="N106" s="1280" t="e">
        <f>#REF!*#REF!</f>
        <v>#REF!</v>
      </c>
      <c r="O106" s="2056" t="e">
        <f t="shared" si="7"/>
        <v>#REF!</v>
      </c>
      <c r="P106" s="1807"/>
      <c r="Q106" s="1280"/>
    </row>
    <row r="107" spans="1:17" s="1184" customFormat="1" ht="14.4">
      <c r="A107" s="1196"/>
      <c r="B107" s="1283"/>
      <c r="C107" s="1282">
        <v>44716</v>
      </c>
      <c r="D107" s="1281">
        <v>96</v>
      </c>
      <c r="E107" s="1807"/>
      <c r="F107" s="1279">
        <v>2.31</v>
      </c>
      <c r="G107" s="1280" t="e">
        <f>K107*#REF!</f>
        <v>#REF!</v>
      </c>
      <c r="H107" s="2005"/>
      <c r="I107" s="2007"/>
      <c r="J107" s="1807"/>
      <c r="K107" s="1278"/>
      <c r="L107" s="2042"/>
      <c r="M107" s="1807"/>
      <c r="N107" s="1280" t="e">
        <f>#REF!*#REF!</f>
        <v>#REF!</v>
      </c>
      <c r="O107" s="2056" t="e">
        <f t="shared" si="7"/>
        <v>#REF!</v>
      </c>
      <c r="P107" s="1807"/>
      <c r="Q107" s="1280"/>
    </row>
    <row r="108" spans="1:17" s="1184" customFormat="1" ht="14.4">
      <c r="A108" s="1196"/>
      <c r="B108" s="1283"/>
      <c r="C108" s="1282">
        <v>44717</v>
      </c>
      <c r="D108" s="1281">
        <v>97</v>
      </c>
      <c r="E108" s="1807"/>
      <c r="F108" s="1279">
        <v>6.49</v>
      </c>
      <c r="G108" s="1280" t="e">
        <f>K108*#REF!</f>
        <v>#REF!</v>
      </c>
      <c r="H108" s="2005"/>
      <c r="I108" s="2007"/>
      <c r="J108" s="1807"/>
      <c r="K108" s="1278"/>
      <c r="L108" s="2042"/>
      <c r="M108" s="1807"/>
      <c r="N108" s="1280" t="e">
        <f>#REF!*#REF!</f>
        <v>#REF!</v>
      </c>
      <c r="O108" s="2056" t="e">
        <f t="shared" si="7"/>
        <v>#REF!</v>
      </c>
      <c r="P108" s="1807"/>
      <c r="Q108" s="1280"/>
    </row>
    <row r="109" spans="1:17" s="1184" customFormat="1" ht="14.4">
      <c r="A109" s="1196"/>
      <c r="B109" s="1283"/>
      <c r="C109" s="1282">
        <v>44718</v>
      </c>
      <c r="D109" s="1281">
        <v>98</v>
      </c>
      <c r="E109" s="1807"/>
      <c r="F109" s="1279">
        <v>6.19</v>
      </c>
      <c r="G109" s="1280" t="e">
        <f>K109*#REF!</f>
        <v>#REF!</v>
      </c>
      <c r="H109" s="2005"/>
      <c r="I109" s="2007"/>
      <c r="J109" s="1807"/>
      <c r="K109" s="1278"/>
      <c r="L109" s="2042"/>
      <c r="M109" s="1807"/>
      <c r="N109" s="1280" t="e">
        <f>#REF!*#REF!</f>
        <v>#REF!</v>
      </c>
      <c r="O109" s="2056" t="e">
        <f t="shared" si="7"/>
        <v>#REF!</v>
      </c>
      <c r="P109" s="1807"/>
      <c r="Q109" s="1280"/>
    </row>
    <row r="110" spans="1:17" s="1184" customFormat="1" ht="14.4">
      <c r="A110" s="1196"/>
      <c r="B110" s="1283"/>
      <c r="C110" s="1282">
        <v>44719</v>
      </c>
      <c r="D110" s="1281">
        <v>99</v>
      </c>
      <c r="E110" s="1807"/>
      <c r="F110" s="1279">
        <v>4.18</v>
      </c>
      <c r="G110" s="1280" t="e">
        <f>K110*#REF!</f>
        <v>#REF!</v>
      </c>
      <c r="H110" s="2005"/>
      <c r="I110" s="2007"/>
      <c r="J110" s="1807"/>
      <c r="K110" s="1278"/>
      <c r="L110" s="2042"/>
      <c r="M110" s="1807"/>
      <c r="N110" s="1280" t="e">
        <f>#REF!*#REF!</f>
        <v>#REF!</v>
      </c>
      <c r="O110" s="2056" t="e">
        <f t="shared" si="7"/>
        <v>#REF!</v>
      </c>
      <c r="P110" s="1807"/>
      <c r="Q110" s="1280"/>
    </row>
    <row r="111" spans="1:17" s="1184" customFormat="1" ht="14.4">
      <c r="A111" s="1196"/>
      <c r="B111" s="1283"/>
      <c r="C111" s="1282">
        <v>44720</v>
      </c>
      <c r="D111" s="1281">
        <v>100</v>
      </c>
      <c r="E111" s="1807"/>
      <c r="F111" s="1279">
        <v>2.5</v>
      </c>
      <c r="G111" s="1280" t="e">
        <f>K111*#REF!</f>
        <v>#REF!</v>
      </c>
      <c r="H111" s="2005"/>
      <c r="I111" s="2007"/>
      <c r="J111" s="1807"/>
      <c r="K111" s="1278"/>
      <c r="L111" s="2042"/>
      <c r="M111" s="1807"/>
      <c r="N111" s="1280" t="e">
        <f>#REF!*#REF!</f>
        <v>#REF!</v>
      </c>
      <c r="O111" s="2056" t="e">
        <f t="shared" si="7"/>
        <v>#REF!</v>
      </c>
      <c r="P111" s="1807"/>
      <c r="Q111" s="1280"/>
    </row>
    <row r="112" spans="1:17" s="1184" customFormat="1" ht="14.4">
      <c r="A112" s="1196"/>
      <c r="B112" s="1283"/>
      <c r="C112" s="1282">
        <v>44721</v>
      </c>
      <c r="D112" s="1281">
        <v>101</v>
      </c>
      <c r="E112" s="1807"/>
      <c r="F112" s="1279">
        <v>4.8899999999999997</v>
      </c>
      <c r="G112" s="1280" t="e">
        <f>K112*#REF!</f>
        <v>#REF!</v>
      </c>
      <c r="H112" s="2005"/>
      <c r="I112" s="2007"/>
      <c r="J112" s="1807"/>
      <c r="K112" s="1278"/>
      <c r="L112" s="2042"/>
      <c r="M112" s="1807"/>
      <c r="N112" s="1280" t="e">
        <f>#REF!*#REF!</f>
        <v>#REF!</v>
      </c>
      <c r="O112" s="2056" t="e">
        <f t="shared" si="7"/>
        <v>#REF!</v>
      </c>
      <c r="P112" s="1807"/>
      <c r="Q112" s="1280"/>
    </row>
    <row r="113" spans="1:19" s="1184" customFormat="1" ht="14.4">
      <c r="A113" s="1196"/>
      <c r="B113" s="1261"/>
      <c r="C113" s="1271">
        <v>44722</v>
      </c>
      <c r="D113" s="1270">
        <v>1</v>
      </c>
      <c r="E113" s="1807"/>
      <c r="F113" s="1279">
        <v>9.76</v>
      </c>
      <c r="G113" s="1257" t="e">
        <f>(F115*#REF!)+(#REF!/30)</f>
        <v>#REF!</v>
      </c>
      <c r="H113" s="2005"/>
      <c r="I113" s="2006"/>
      <c r="J113" s="1807"/>
      <c r="K113" s="1278"/>
      <c r="L113" s="2042"/>
      <c r="M113" s="1807"/>
      <c r="N113" s="1275" t="e">
        <f>#REF!*#REF!</f>
        <v>#REF!</v>
      </c>
      <c r="O113" s="2059" t="e">
        <f t="shared" si="7"/>
        <v>#REF!</v>
      </c>
      <c r="P113" s="1807"/>
      <c r="Q113" s="1254"/>
    </row>
    <row r="114" spans="1:19" s="1184" customFormat="1" ht="14.4">
      <c r="A114" s="1196"/>
      <c r="B114" s="1261"/>
      <c r="C114" s="1271">
        <v>44723</v>
      </c>
      <c r="D114" s="1270">
        <v>2</v>
      </c>
      <c r="E114" s="1807"/>
      <c r="F114" s="1279">
        <v>8.42</v>
      </c>
      <c r="G114" s="1257" t="e">
        <f>(F116*#REF!)+(#REF!/30)</f>
        <v>#REF!</v>
      </c>
      <c r="H114" s="2005"/>
      <c r="I114" s="2006"/>
      <c r="J114" s="1807"/>
      <c r="K114" s="1278"/>
      <c r="L114" s="2042"/>
      <c r="M114" s="1807"/>
      <c r="N114" s="1269" t="e">
        <f>#REF!*#REF!</f>
        <v>#REF!</v>
      </c>
      <c r="O114" s="2060" t="e">
        <f t="shared" si="7"/>
        <v>#REF!</v>
      </c>
      <c r="P114" s="1807"/>
      <c r="Q114" s="1254"/>
    </row>
    <row r="115" spans="1:19" s="1184" customFormat="1" ht="14.4">
      <c r="A115" s="1196"/>
      <c r="B115" s="1261"/>
      <c r="C115" s="1271">
        <v>44724</v>
      </c>
      <c r="D115" s="1270">
        <v>3</v>
      </c>
      <c r="E115" s="1807"/>
      <c r="F115" s="1258">
        <v>18.170000000000002</v>
      </c>
      <c r="G115" s="1257" t="e">
        <f>(F117*#REF!)+(#REF!/30)</f>
        <v>#REF!</v>
      </c>
      <c r="H115" s="2012"/>
      <c r="I115" s="2013"/>
      <c r="J115" s="1807"/>
      <c r="K115" s="1256"/>
      <c r="L115" s="2046"/>
      <c r="M115" s="1807"/>
      <c r="N115" s="1269" t="e">
        <f>#REF!*#REF!</f>
        <v>#REF!</v>
      </c>
      <c r="O115" s="2060" t="e">
        <f t="shared" si="7"/>
        <v>#REF!</v>
      </c>
      <c r="P115" s="1807"/>
      <c r="Q115" s="1254"/>
    </row>
    <row r="116" spans="1:19" s="1184" customFormat="1" ht="14.4">
      <c r="A116" s="1196"/>
      <c r="B116" s="1261"/>
      <c r="C116" s="1271">
        <v>44725</v>
      </c>
      <c r="D116" s="1270">
        <v>4</v>
      </c>
      <c r="E116" s="1807"/>
      <c r="F116" s="1258">
        <v>19.850000000000001</v>
      </c>
      <c r="G116" s="1257" t="e">
        <f>(F118*#REF!)+(#REF!/30)</f>
        <v>#REF!</v>
      </c>
      <c r="H116" s="2012"/>
      <c r="I116" s="2013"/>
      <c r="J116" s="1807"/>
      <c r="K116" s="1256"/>
      <c r="L116" s="2046"/>
      <c r="M116" s="1807"/>
      <c r="N116" s="1269" t="e">
        <f>#REF!*#REF!</f>
        <v>#REF!</v>
      </c>
      <c r="O116" s="2060" t="e">
        <f t="shared" si="7"/>
        <v>#REF!</v>
      </c>
      <c r="P116" s="1807"/>
      <c r="Q116" s="1254"/>
    </row>
    <row r="117" spans="1:19" s="1184" customFormat="1" ht="14.4">
      <c r="A117" s="1196"/>
      <c r="B117" s="1261"/>
      <c r="C117" s="1271">
        <v>44726</v>
      </c>
      <c r="D117" s="1270">
        <v>5</v>
      </c>
      <c r="E117" s="1807"/>
      <c r="F117" s="1258">
        <v>15.11</v>
      </c>
      <c r="G117" s="1257" t="e">
        <f>(F119*#REF!)+(#REF!/30)</f>
        <v>#REF!</v>
      </c>
      <c r="H117" s="2012"/>
      <c r="I117" s="2013"/>
      <c r="J117" s="1807"/>
      <c r="K117" s="1256"/>
      <c r="L117" s="2046"/>
      <c r="M117" s="1807"/>
      <c r="N117" s="1269" t="e">
        <f>#REF!*#REF!</f>
        <v>#REF!</v>
      </c>
      <c r="O117" s="2060" t="e">
        <f t="shared" si="7"/>
        <v>#REF!</v>
      </c>
      <c r="P117" s="1807"/>
      <c r="Q117" s="1254"/>
    </row>
    <row r="118" spans="1:19" s="1184" customFormat="1" ht="14.4">
      <c r="A118" s="1196"/>
      <c r="B118" s="1261"/>
      <c r="C118" s="1271">
        <v>44727</v>
      </c>
      <c r="D118" s="1270">
        <v>6</v>
      </c>
      <c r="E118" s="1807"/>
      <c r="F118" s="1258">
        <v>17.149999999999999</v>
      </c>
      <c r="G118" s="1257" t="e">
        <f>(F120*#REF!)+(#REF!/30)</f>
        <v>#REF!</v>
      </c>
      <c r="H118" s="2012"/>
      <c r="I118" s="2013"/>
      <c r="J118" s="1807"/>
      <c r="K118" s="1256"/>
      <c r="L118" s="2046"/>
      <c r="M118" s="1807"/>
      <c r="N118" s="1269" t="e">
        <f>#REF!*#REF!</f>
        <v>#REF!</v>
      </c>
      <c r="O118" s="2060" t="e">
        <f t="shared" si="7"/>
        <v>#REF!</v>
      </c>
      <c r="P118" s="1807"/>
      <c r="Q118" s="1254"/>
    </row>
    <row r="119" spans="1:19" s="1184" customFormat="1" ht="14.4">
      <c r="A119" s="1196"/>
      <c r="B119" s="1261"/>
      <c r="C119" s="1271">
        <v>44728</v>
      </c>
      <c r="D119" s="1270">
        <v>7</v>
      </c>
      <c r="E119" s="1807"/>
      <c r="F119" s="1258">
        <v>15.05</v>
      </c>
      <c r="G119" s="1257" t="e">
        <f>(F121*#REF!)+(#REF!/30)</f>
        <v>#REF!</v>
      </c>
      <c r="H119" s="2012"/>
      <c r="I119" s="2013"/>
      <c r="J119" s="1807"/>
      <c r="K119" s="1256"/>
      <c r="L119" s="2046"/>
      <c r="M119" s="1807"/>
      <c r="N119" s="1269" t="e">
        <f>#REF!*#REF!</f>
        <v>#REF!</v>
      </c>
      <c r="O119" s="2060" t="e">
        <f t="shared" si="7"/>
        <v>#REF!</v>
      </c>
      <c r="P119" s="1807"/>
      <c r="Q119" s="1254"/>
    </row>
    <row r="120" spans="1:19" s="1184" customFormat="1" ht="14.4">
      <c r="A120" s="1196"/>
      <c r="B120" s="1261"/>
      <c r="C120" s="1271">
        <v>44729</v>
      </c>
      <c r="D120" s="1270">
        <v>8</v>
      </c>
      <c r="E120" s="1807"/>
      <c r="F120" s="1258">
        <v>11.15</v>
      </c>
      <c r="G120" s="1257" t="e">
        <f>(F122*#REF!)+(#REF!/30)</f>
        <v>#REF!</v>
      </c>
      <c r="H120" s="2012"/>
      <c r="I120" s="2013"/>
      <c r="J120" s="1807"/>
      <c r="K120" s="1256"/>
      <c r="L120" s="2046"/>
      <c r="M120" s="1807"/>
      <c r="N120" s="1269" t="e">
        <f>#REF!*#REF!</f>
        <v>#REF!</v>
      </c>
      <c r="O120" s="2060" t="e">
        <f t="shared" si="7"/>
        <v>#REF!</v>
      </c>
      <c r="P120" s="1807"/>
      <c r="Q120" s="1254"/>
    </row>
    <row r="121" spans="1:19" s="1184" customFormat="1" ht="14.4">
      <c r="A121" s="1196"/>
      <c r="B121" s="1261"/>
      <c r="C121" s="1271">
        <v>44730</v>
      </c>
      <c r="D121" s="1270">
        <v>9</v>
      </c>
      <c r="E121" s="1807"/>
      <c r="F121" s="1258">
        <v>16.28</v>
      </c>
      <c r="G121" s="1257" t="e">
        <f>(F123*#REF!)+(#REF!/30)</f>
        <v>#REF!</v>
      </c>
      <c r="H121" s="2012"/>
      <c r="I121" s="2013"/>
      <c r="J121" s="1807"/>
      <c r="K121" s="1256"/>
      <c r="L121" s="2046"/>
      <c r="M121" s="1807"/>
      <c r="N121" s="1269" t="e">
        <f>#REF!*#REF!</f>
        <v>#REF!</v>
      </c>
      <c r="O121" s="2060" t="e">
        <f t="shared" si="7"/>
        <v>#REF!</v>
      </c>
      <c r="P121" s="1807"/>
      <c r="Q121" s="1254"/>
    </row>
    <row r="122" spans="1:19" s="1184" customFormat="1" ht="14.4">
      <c r="A122" s="1196"/>
      <c r="B122" s="1261"/>
      <c r="C122" s="1271">
        <v>44731</v>
      </c>
      <c r="D122" s="1270">
        <v>10</v>
      </c>
      <c r="E122" s="1807"/>
      <c r="F122" s="1258">
        <v>15.8</v>
      </c>
      <c r="G122" s="1257" t="e">
        <f>(F124*#REF!)+(#REF!/30)</f>
        <v>#REF!</v>
      </c>
      <c r="H122" s="2012"/>
      <c r="I122" s="2013"/>
      <c r="J122" s="1807"/>
      <c r="K122" s="1256"/>
      <c r="L122" s="2046"/>
      <c r="M122" s="1807"/>
      <c r="N122" s="1269" t="e">
        <f>#REF!*#REF!</f>
        <v>#REF!</v>
      </c>
      <c r="O122" s="2060" t="e">
        <f t="shared" si="7"/>
        <v>#REF!</v>
      </c>
      <c r="P122" s="1807"/>
      <c r="Q122" s="1254"/>
    </row>
    <row r="123" spans="1:19" ht="14.4">
      <c r="B123" s="1261"/>
      <c r="C123" s="1271">
        <v>44732</v>
      </c>
      <c r="D123" s="1270">
        <v>11</v>
      </c>
      <c r="F123" s="1258">
        <v>15.57</v>
      </c>
      <c r="G123" s="1257" t="e">
        <f>(F125*#REF!)+(#REF!/30)</f>
        <v>#REF!</v>
      </c>
      <c r="H123" s="2012"/>
      <c r="I123" s="2013"/>
      <c r="K123" s="1256"/>
      <c r="L123" s="2046"/>
      <c r="N123" s="1269" t="e">
        <f>#REF!*#REF!</f>
        <v>#REF!</v>
      </c>
      <c r="O123" s="2060" t="e">
        <f t="shared" si="7"/>
        <v>#REF!</v>
      </c>
      <c r="Q123" s="1254"/>
      <c r="R123" s="1184"/>
      <c r="S123" s="1184"/>
    </row>
    <row r="124" spans="1:19" ht="14.4">
      <c r="B124" s="1261"/>
      <c r="C124" s="1271">
        <v>44733</v>
      </c>
      <c r="D124" s="1270">
        <v>12</v>
      </c>
      <c r="F124" s="1258">
        <v>11.97</v>
      </c>
      <c r="G124" s="1257" t="e">
        <f>(F126*#REF!)+(#REF!/30)</f>
        <v>#REF!</v>
      </c>
      <c r="H124" s="2012"/>
      <c r="I124" s="2013"/>
      <c r="K124" s="1256"/>
      <c r="L124" s="2046"/>
      <c r="N124" s="1269" t="e">
        <f>#REF!*#REF!</f>
        <v>#REF!</v>
      </c>
      <c r="O124" s="2060" t="e">
        <f t="shared" si="7"/>
        <v>#REF!</v>
      </c>
      <c r="Q124" s="1254"/>
      <c r="R124" s="1184"/>
      <c r="S124" s="1184"/>
    </row>
    <row r="125" spans="1:19" ht="14.4">
      <c r="B125" s="1261"/>
      <c r="C125" s="1271">
        <v>44734</v>
      </c>
      <c r="D125" s="1270">
        <v>13</v>
      </c>
      <c r="F125" s="1258">
        <v>15.64</v>
      </c>
      <c r="G125" s="1257" t="e">
        <f>(F127*#REF!)+(#REF!/30)</f>
        <v>#REF!</v>
      </c>
      <c r="H125" s="2012"/>
      <c r="I125" s="2013"/>
      <c r="K125" s="1256"/>
      <c r="L125" s="2046"/>
      <c r="N125" s="1269" t="e">
        <f>#REF!*#REF!</f>
        <v>#REF!</v>
      </c>
      <c r="O125" s="2060" t="e">
        <f t="shared" si="7"/>
        <v>#REF!</v>
      </c>
      <c r="Q125" s="1254"/>
      <c r="R125" s="1184"/>
      <c r="S125" s="1184"/>
    </row>
    <row r="126" spans="1:19" s="1184" customFormat="1" ht="14.4">
      <c r="A126" s="1196"/>
      <c r="B126" s="1261"/>
      <c r="C126" s="1271">
        <v>44735</v>
      </c>
      <c r="D126" s="1270">
        <v>14</v>
      </c>
      <c r="E126" s="1807"/>
      <c r="F126" s="1258">
        <v>15.02</v>
      </c>
      <c r="G126" s="1257" t="e">
        <f>(F128*#REF!)+(#REF!/30)</f>
        <v>#REF!</v>
      </c>
      <c r="H126" s="2012"/>
      <c r="I126" s="2013"/>
      <c r="J126" s="1807"/>
      <c r="K126" s="1256"/>
      <c r="L126" s="2046"/>
      <c r="M126" s="1807"/>
      <c r="N126" s="1269" t="e">
        <f>#REF!*#REF!</f>
        <v>#REF!</v>
      </c>
      <c r="O126" s="2060" t="e">
        <f t="shared" si="7"/>
        <v>#REF!</v>
      </c>
      <c r="P126" s="1807"/>
      <c r="Q126" s="1254"/>
    </row>
    <row r="127" spans="1:19" s="1184" customFormat="1" ht="14.4">
      <c r="A127" s="1196"/>
      <c r="B127" s="1261"/>
      <c r="C127" s="1271">
        <v>44736</v>
      </c>
      <c r="D127" s="1270">
        <v>15</v>
      </c>
      <c r="E127" s="1807"/>
      <c r="F127" s="1258">
        <v>13.71</v>
      </c>
      <c r="G127" s="1257" t="e">
        <f>(F129*#REF!)+(#REF!/30)</f>
        <v>#REF!</v>
      </c>
      <c r="H127" s="2012"/>
      <c r="I127" s="2013"/>
      <c r="J127" s="1807"/>
      <c r="K127" s="1256"/>
      <c r="L127" s="2046"/>
      <c r="M127" s="1807"/>
      <c r="N127" s="1269" t="e">
        <f>#REF!*#REF!</f>
        <v>#REF!</v>
      </c>
      <c r="O127" s="2060" t="e">
        <f t="shared" si="7"/>
        <v>#REF!</v>
      </c>
      <c r="P127" s="1807"/>
      <c r="Q127" s="1254"/>
    </row>
    <row r="128" spans="1:19" s="1184" customFormat="1" ht="14.4">
      <c r="A128" s="1196"/>
      <c r="B128" s="1261"/>
      <c r="C128" s="1271">
        <v>44737</v>
      </c>
      <c r="D128" s="1270">
        <v>16</v>
      </c>
      <c r="E128" s="1807"/>
      <c r="F128" s="1258">
        <v>14.31</v>
      </c>
      <c r="G128" s="1257" t="e">
        <f>(F130*#REF!)+(#REF!/30)</f>
        <v>#REF!</v>
      </c>
      <c r="H128" s="2012"/>
      <c r="I128" s="2013"/>
      <c r="J128" s="1807"/>
      <c r="K128" s="1256"/>
      <c r="L128" s="2046"/>
      <c r="M128" s="1807"/>
      <c r="N128" s="1269" t="e">
        <f>#REF!*#REF!</f>
        <v>#REF!</v>
      </c>
      <c r="O128" s="2060" t="e">
        <f t="shared" si="7"/>
        <v>#REF!</v>
      </c>
      <c r="P128" s="1807"/>
      <c r="Q128" s="1254"/>
      <c r="R128" s="1176"/>
      <c r="S128" s="1176"/>
    </row>
    <row r="129" spans="1:19" s="1184" customFormat="1" ht="14.4">
      <c r="A129" s="1196"/>
      <c r="B129" s="1261"/>
      <c r="C129" s="1271">
        <v>44738</v>
      </c>
      <c r="D129" s="1270">
        <v>17</v>
      </c>
      <c r="E129" s="1807"/>
      <c r="F129" s="1258">
        <v>18.579999999999998</v>
      </c>
      <c r="G129" s="1257" t="e">
        <f>(F131*#REF!)+(#REF!/30)</f>
        <v>#REF!</v>
      </c>
      <c r="H129" s="2012"/>
      <c r="I129" s="2013"/>
      <c r="J129" s="1807"/>
      <c r="K129" s="1256"/>
      <c r="L129" s="2046"/>
      <c r="M129" s="1807"/>
      <c r="N129" s="1269" t="e">
        <f>#REF!*#REF!</f>
        <v>#REF!</v>
      </c>
      <c r="O129" s="2060" t="e">
        <f t="shared" si="7"/>
        <v>#REF!</v>
      </c>
      <c r="P129" s="1807"/>
      <c r="Q129" s="1254">
        <v>278.85000000000002</v>
      </c>
      <c r="R129" s="1176"/>
      <c r="S129" s="1176"/>
    </row>
    <row r="130" spans="1:19" s="1184" customFormat="1" ht="14.4">
      <c r="A130" s="1196"/>
      <c r="B130" s="1261"/>
      <c r="C130" s="1271">
        <v>44739</v>
      </c>
      <c r="D130" s="1270">
        <v>18</v>
      </c>
      <c r="E130" s="1807"/>
      <c r="F130" s="1258">
        <v>15.5</v>
      </c>
      <c r="G130" s="1257" t="e">
        <f>(F132*#REF!)+(#REF!/30)</f>
        <v>#REF!</v>
      </c>
      <c r="H130" s="2012"/>
      <c r="I130" s="2013"/>
      <c r="J130" s="1807"/>
      <c r="K130" s="1256"/>
      <c r="L130" s="2046"/>
      <c r="M130" s="1807"/>
      <c r="N130" s="1269" t="e">
        <f>#REF!*#REF!</f>
        <v>#REF!</v>
      </c>
      <c r="O130" s="2060" t="e">
        <f t="shared" si="7"/>
        <v>#REF!</v>
      </c>
      <c r="P130" s="1807"/>
      <c r="Q130" s="1254"/>
      <c r="R130" s="1176"/>
      <c r="S130" s="1176"/>
    </row>
    <row r="131" spans="1:19" s="1184" customFormat="1" ht="14.4">
      <c r="A131" s="1196"/>
      <c r="B131" s="1261"/>
      <c r="C131" s="1271">
        <v>44740</v>
      </c>
      <c r="D131" s="1270">
        <v>1</v>
      </c>
      <c r="E131" s="1807"/>
      <c r="F131" s="1258">
        <v>14.89</v>
      </c>
      <c r="G131" s="1257" t="e">
        <f>(F133*#REF!)+(#REF!/30)</f>
        <v>#REF!</v>
      </c>
      <c r="H131" s="2012"/>
      <c r="I131" s="2013"/>
      <c r="J131" s="1807"/>
      <c r="K131" s="1256"/>
      <c r="L131" s="2046"/>
      <c r="M131" s="1807"/>
      <c r="N131" s="1269" t="e">
        <f>#REF!*#REF!</f>
        <v>#REF!</v>
      </c>
      <c r="O131" s="2060" t="e">
        <f t="shared" si="7"/>
        <v>#REF!</v>
      </c>
      <c r="P131" s="1807"/>
      <c r="Q131" s="1254"/>
    </row>
    <row r="132" spans="1:19" s="1184" customFormat="1" ht="14.4">
      <c r="A132" s="1196"/>
      <c r="B132" s="1261"/>
      <c r="C132" s="1271">
        <v>44741</v>
      </c>
      <c r="D132" s="1270">
        <v>2</v>
      </c>
      <c r="E132" s="1807"/>
      <c r="F132" s="1258">
        <v>11.8</v>
      </c>
      <c r="G132" s="1257" t="e">
        <f>(F134*#REF!)+(#REF!/30)</f>
        <v>#REF!</v>
      </c>
      <c r="H132" s="2012"/>
      <c r="I132" s="2013"/>
      <c r="J132" s="1807"/>
      <c r="K132" s="1256"/>
      <c r="L132" s="2046"/>
      <c r="M132" s="1807"/>
      <c r="N132" s="1269" t="e">
        <f>#REF!*#REF!</f>
        <v>#REF!</v>
      </c>
      <c r="O132" s="2060" t="e">
        <f t="shared" si="7"/>
        <v>#REF!</v>
      </c>
      <c r="P132" s="1807"/>
      <c r="Q132" s="1254"/>
    </row>
    <row r="133" spans="1:19" s="1184" customFormat="1" ht="14.4">
      <c r="A133" s="1196"/>
      <c r="B133" s="1268"/>
      <c r="C133" s="1267">
        <v>44742</v>
      </c>
      <c r="D133" s="1266">
        <v>3</v>
      </c>
      <c r="E133" s="1807"/>
      <c r="F133" s="1258">
        <v>14.96</v>
      </c>
      <c r="G133" s="1265" t="e">
        <f>(F135*#REF!)+(#REF!/30)</f>
        <v>#REF!</v>
      </c>
      <c r="H133" s="2012"/>
      <c r="I133" s="2014"/>
      <c r="J133" s="1807"/>
      <c r="K133" s="1256"/>
      <c r="L133" s="2047"/>
      <c r="M133" s="1807"/>
      <c r="N133" s="1277" t="e">
        <f>#REF!*#REF!</f>
        <v>#REF!</v>
      </c>
      <c r="O133" s="2061" t="e">
        <f t="shared" si="7"/>
        <v>#REF!</v>
      </c>
      <c r="P133" s="1807"/>
      <c r="Q133" s="1264"/>
    </row>
    <row r="134" spans="1:19" s="1184" customFormat="1" ht="14.4">
      <c r="A134" s="1196"/>
      <c r="B134" s="1261"/>
      <c r="C134" s="1260">
        <v>44743</v>
      </c>
      <c r="D134" s="1270">
        <v>4</v>
      </c>
      <c r="E134" s="1807"/>
      <c r="F134" s="1258">
        <v>2.9729999999999999</v>
      </c>
      <c r="G134" s="1257" t="e">
        <f>(F136*#REF!)+(#REF!/30)</f>
        <v>#REF!</v>
      </c>
      <c r="H134" s="2012"/>
      <c r="I134" s="2013"/>
      <c r="J134" s="1807"/>
      <c r="K134" s="1256"/>
      <c r="L134" s="2046"/>
      <c r="M134" s="1807"/>
      <c r="N134" s="1255" t="e">
        <f>#REF!*#REF!</f>
        <v>#REF!</v>
      </c>
      <c r="O134" s="2062" t="e">
        <f t="shared" si="7"/>
        <v>#REF!</v>
      </c>
      <c r="P134" s="1807"/>
      <c r="Q134" s="1254"/>
    </row>
    <row r="135" spans="1:19" s="1184" customFormat="1" ht="14.4">
      <c r="A135" s="1196"/>
      <c r="B135" s="1261"/>
      <c r="C135" s="1271">
        <v>44744</v>
      </c>
      <c r="D135" s="1270">
        <v>5</v>
      </c>
      <c r="E135" s="1807"/>
      <c r="F135" s="1258">
        <v>17.170999999999999</v>
      </c>
      <c r="G135" s="1257" t="e">
        <f>(F137*#REF!)+(#REF!/30)</f>
        <v>#REF!</v>
      </c>
      <c r="H135" s="2012"/>
      <c r="I135" s="2014"/>
      <c r="J135" s="1807"/>
      <c r="K135" s="1256"/>
      <c r="L135" s="2046"/>
      <c r="M135" s="1807"/>
      <c r="N135" s="1269" t="e">
        <f>#REF!*#REF!</f>
        <v>#REF!</v>
      </c>
      <c r="O135" s="2060" t="e">
        <f t="shared" si="7"/>
        <v>#REF!</v>
      </c>
      <c r="P135" s="1807"/>
      <c r="Q135" s="1254"/>
    </row>
    <row r="136" spans="1:19" s="1184" customFormat="1" ht="14.4">
      <c r="A136" s="1196"/>
      <c r="B136" s="1276"/>
      <c r="C136" s="1272">
        <v>44745</v>
      </c>
      <c r="D136" s="1270">
        <v>6</v>
      </c>
      <c r="E136" s="1807"/>
      <c r="F136" s="1258">
        <v>12.904</v>
      </c>
      <c r="G136" s="1257" t="e">
        <f>(F138*#REF!)+(#REF!/30)</f>
        <v>#REF!</v>
      </c>
      <c r="H136" s="2012"/>
      <c r="I136" s="2013"/>
      <c r="J136" s="1807"/>
      <c r="K136" s="1256"/>
      <c r="L136" s="2046"/>
      <c r="M136" s="1807"/>
      <c r="N136" s="1269" t="e">
        <f>#REF!*#REF!</f>
        <v>#REF!</v>
      </c>
      <c r="O136" s="2060" t="e">
        <f t="shared" si="7"/>
        <v>#REF!</v>
      </c>
      <c r="P136" s="1807"/>
      <c r="Q136" s="1275"/>
    </row>
    <row r="137" spans="1:19" s="1184" customFormat="1" ht="14.4">
      <c r="A137" s="1196"/>
      <c r="B137" s="1276"/>
      <c r="C137" s="1271">
        <v>44746</v>
      </c>
      <c r="D137" s="1270">
        <v>7</v>
      </c>
      <c r="E137" s="1807"/>
      <c r="F137" s="1258">
        <v>15.305</v>
      </c>
      <c r="G137" s="1257" t="e">
        <f>(F139*#REF!)+(#REF!/30)</f>
        <v>#REF!</v>
      </c>
      <c r="H137" s="2012"/>
      <c r="I137" s="2013"/>
      <c r="J137" s="1807"/>
      <c r="K137" s="1256"/>
      <c r="L137" s="2046"/>
      <c r="M137" s="1807"/>
      <c r="N137" s="1269" t="e">
        <f>#REF!*#REF!</f>
        <v>#REF!</v>
      </c>
      <c r="O137" s="2060" t="e">
        <f t="shared" si="7"/>
        <v>#REF!</v>
      </c>
      <c r="P137" s="1807"/>
      <c r="Q137" s="1275"/>
    </row>
    <row r="138" spans="1:19" s="1184" customFormat="1" ht="14.4">
      <c r="A138" s="1196"/>
      <c r="B138" s="1276"/>
      <c r="C138" s="1271">
        <v>44747</v>
      </c>
      <c r="D138" s="1270">
        <v>8</v>
      </c>
      <c r="E138" s="1807"/>
      <c r="F138" s="1258">
        <v>12.845000000000001</v>
      </c>
      <c r="G138" s="1257" t="e">
        <f>(F140*#REF!)+(#REF!/30)</f>
        <v>#REF!</v>
      </c>
      <c r="H138" s="2012"/>
      <c r="I138" s="2013"/>
      <c r="J138" s="1807"/>
      <c r="K138" s="1256"/>
      <c r="L138" s="2046"/>
      <c r="M138" s="1807"/>
      <c r="N138" s="1269" t="e">
        <f>#REF!*#REF!</f>
        <v>#REF!</v>
      </c>
      <c r="O138" s="2060" t="e">
        <f t="shared" si="7"/>
        <v>#REF!</v>
      </c>
      <c r="P138" s="1807"/>
      <c r="Q138" s="1275"/>
    </row>
    <row r="139" spans="1:19" s="1184" customFormat="1" ht="14.4">
      <c r="A139" s="1196"/>
      <c r="B139" s="1276"/>
      <c r="C139" s="1271">
        <v>44748</v>
      </c>
      <c r="D139" s="1270">
        <v>9</v>
      </c>
      <c r="E139" s="1807"/>
      <c r="F139" s="1258">
        <v>12.954000000000001</v>
      </c>
      <c r="G139" s="1257" t="e">
        <f>(F141*#REF!)+(#REF!/30)</f>
        <v>#REF!</v>
      </c>
      <c r="H139" s="2012"/>
      <c r="I139" s="2013"/>
      <c r="J139" s="1807"/>
      <c r="K139" s="1256"/>
      <c r="L139" s="2046"/>
      <c r="M139" s="1807"/>
      <c r="N139" s="1269" t="e">
        <f>#REF!*#REF!</f>
        <v>#REF!</v>
      </c>
      <c r="O139" s="2060" t="e">
        <f t="shared" si="7"/>
        <v>#REF!</v>
      </c>
      <c r="P139" s="1807"/>
      <c r="Q139" s="1275"/>
    </row>
    <row r="140" spans="1:19" s="1184" customFormat="1" ht="14.4">
      <c r="A140" s="1196"/>
      <c r="B140" s="1276"/>
      <c r="C140" s="1271">
        <v>44749</v>
      </c>
      <c r="D140" s="1270">
        <v>10</v>
      </c>
      <c r="E140" s="1807"/>
      <c r="F140" s="1258">
        <v>13.278</v>
      </c>
      <c r="G140" s="1257" t="e">
        <f>(F142*#REF!)+(#REF!/30)</f>
        <v>#REF!</v>
      </c>
      <c r="H140" s="2012"/>
      <c r="I140" s="2013"/>
      <c r="J140" s="1807"/>
      <c r="K140" s="1256"/>
      <c r="L140" s="2046"/>
      <c r="M140" s="1807"/>
      <c r="N140" s="1269" t="e">
        <f>#REF!*#REF!</f>
        <v>#REF!</v>
      </c>
      <c r="O140" s="2060" t="e">
        <f t="shared" ref="O140:O204" si="8">N140/$D140</f>
        <v>#REF!</v>
      </c>
      <c r="P140" s="1807"/>
      <c r="Q140" s="1275"/>
    </row>
    <row r="141" spans="1:19" s="1184" customFormat="1" ht="14.4">
      <c r="A141" s="1196"/>
      <c r="B141" s="1276"/>
      <c r="C141" s="1271">
        <v>44750</v>
      </c>
      <c r="D141" s="1270">
        <v>11</v>
      </c>
      <c r="E141" s="1807"/>
      <c r="F141" s="1258">
        <v>16.989000000000001</v>
      </c>
      <c r="G141" s="1257" t="e">
        <f>(F143*#REF!)+(#REF!/30)</f>
        <v>#REF!</v>
      </c>
      <c r="H141" s="2012"/>
      <c r="I141" s="2013"/>
      <c r="J141" s="1807"/>
      <c r="K141" s="1256"/>
      <c r="L141" s="2046"/>
      <c r="M141" s="1807"/>
      <c r="N141" s="1269" t="e">
        <f>#REF!*#REF!</f>
        <v>#REF!</v>
      </c>
      <c r="O141" s="2060" t="e">
        <f t="shared" si="8"/>
        <v>#REF!</v>
      </c>
      <c r="P141" s="1807"/>
      <c r="Q141" s="1275"/>
    </row>
    <row r="142" spans="1:19" ht="14.4">
      <c r="B142" s="1276"/>
      <c r="C142" s="1271">
        <v>44751</v>
      </c>
      <c r="D142" s="1270">
        <v>12</v>
      </c>
      <c r="F142" s="1258">
        <v>13.76</v>
      </c>
      <c r="G142" s="1257" t="e">
        <f>(F144*#REF!)+(#REF!/30)</f>
        <v>#REF!</v>
      </c>
      <c r="H142" s="2012"/>
      <c r="I142" s="2013"/>
      <c r="K142" s="1256"/>
      <c r="L142" s="2046"/>
      <c r="N142" s="1269" t="e">
        <f>#REF!*#REF!</f>
        <v>#REF!</v>
      </c>
      <c r="O142" s="2060" t="e">
        <f t="shared" si="8"/>
        <v>#REF!</v>
      </c>
      <c r="Q142" s="1275"/>
      <c r="R142" s="1184"/>
      <c r="S142" s="1184"/>
    </row>
    <row r="143" spans="1:19" ht="14.4">
      <c r="B143" s="1276"/>
      <c r="C143" s="1272">
        <v>44752</v>
      </c>
      <c r="D143" s="1270">
        <v>13</v>
      </c>
      <c r="F143" s="1258">
        <v>16.253</v>
      </c>
      <c r="G143" s="1257" t="e">
        <f>(F145*#REF!)+(#REF!/30)</f>
        <v>#REF!</v>
      </c>
      <c r="H143" s="2012"/>
      <c r="I143" s="2013"/>
      <c r="K143" s="1256"/>
      <c r="L143" s="2046"/>
      <c r="N143" s="1269" t="e">
        <f>#REF!*#REF!</f>
        <v>#REF!</v>
      </c>
      <c r="O143" s="2060" t="e">
        <f t="shared" si="8"/>
        <v>#REF!</v>
      </c>
      <c r="Q143" s="1275"/>
      <c r="R143" s="1184"/>
      <c r="S143" s="1184"/>
    </row>
    <row r="144" spans="1:19" ht="14.4">
      <c r="B144" s="1276"/>
      <c r="C144" s="1271">
        <v>44753</v>
      </c>
      <c r="D144" s="1270">
        <v>14</v>
      </c>
      <c r="F144" s="1258">
        <v>13.138</v>
      </c>
      <c r="G144" s="1257" t="e">
        <f>(F146*#REF!)+(#REF!/30)</f>
        <v>#REF!</v>
      </c>
      <c r="H144" s="2012"/>
      <c r="I144" s="2013"/>
      <c r="K144" s="1256"/>
      <c r="L144" s="2046"/>
      <c r="N144" s="1269" t="e">
        <f>#REF!*#REF!</f>
        <v>#REF!</v>
      </c>
      <c r="O144" s="2060" t="e">
        <f t="shared" si="8"/>
        <v>#REF!</v>
      </c>
      <c r="Q144" s="1275"/>
      <c r="R144" s="1184"/>
      <c r="S144" s="1184"/>
    </row>
    <row r="145" spans="1:19" ht="14.4">
      <c r="B145" s="1276"/>
      <c r="C145" s="1271">
        <v>44754</v>
      </c>
      <c r="D145" s="1270">
        <v>15</v>
      </c>
      <c r="F145" s="1258">
        <v>13.337</v>
      </c>
      <c r="G145" s="1257" t="e">
        <f>(F147*#REF!)+(#REF!/30)</f>
        <v>#REF!</v>
      </c>
      <c r="H145" s="2012"/>
      <c r="I145" s="2013"/>
      <c r="K145" s="1256"/>
      <c r="L145" s="2046"/>
      <c r="N145" s="1269" t="e">
        <f>#REF!*#REF!</f>
        <v>#REF!</v>
      </c>
      <c r="O145" s="2060" t="e">
        <f t="shared" si="8"/>
        <v>#REF!</v>
      </c>
      <c r="Q145" s="1275" t="s">
        <v>238</v>
      </c>
      <c r="R145" s="1184"/>
      <c r="S145" s="1184"/>
    </row>
    <row r="146" spans="1:19" ht="14.4">
      <c r="B146" s="1276"/>
      <c r="C146" s="1271">
        <v>44755</v>
      </c>
      <c r="D146" s="1270">
        <v>16</v>
      </c>
      <c r="F146" s="1258">
        <v>16.597999999999999</v>
      </c>
      <c r="G146" s="1257" t="e">
        <f>(F148*#REF!)+(#REF!/30)</f>
        <v>#REF!</v>
      </c>
      <c r="H146" s="2012"/>
      <c r="I146" s="2013"/>
      <c r="K146" s="1256"/>
      <c r="L146" s="2046"/>
      <c r="N146" s="1269" t="e">
        <f>#REF!*#REF!</f>
        <v>#REF!</v>
      </c>
      <c r="O146" s="2060" t="e">
        <f t="shared" si="8"/>
        <v>#REF!</v>
      </c>
      <c r="Q146" s="1275"/>
      <c r="R146" s="1184"/>
      <c r="S146" s="1184"/>
    </row>
    <row r="147" spans="1:19" s="1184" customFormat="1" ht="14.4">
      <c r="A147" s="1196"/>
      <c r="B147" s="1276"/>
      <c r="C147" s="1271">
        <v>44756</v>
      </c>
      <c r="D147" s="1270">
        <v>17</v>
      </c>
      <c r="E147" s="1807"/>
      <c r="F147" s="1258">
        <v>13.798</v>
      </c>
      <c r="G147" s="1257" t="e">
        <f>(F149*#REF!)+(#REF!/30)</f>
        <v>#REF!</v>
      </c>
      <c r="H147" s="2012"/>
      <c r="I147" s="2013"/>
      <c r="J147" s="1807"/>
      <c r="K147" s="1256"/>
      <c r="L147" s="2046"/>
      <c r="M147" s="1807"/>
      <c r="N147" s="1269" t="e">
        <f>#REF!*#REF!</f>
        <v>#REF!</v>
      </c>
      <c r="O147" s="2060" t="e">
        <f t="shared" si="8"/>
        <v>#REF!</v>
      </c>
      <c r="P147" s="1807"/>
      <c r="Q147" s="1275"/>
      <c r="R147" s="1176"/>
      <c r="S147" s="1176"/>
    </row>
    <row r="148" spans="1:19" s="1184" customFormat="1" ht="14.4">
      <c r="A148" s="1196"/>
      <c r="B148" s="1276"/>
      <c r="C148" s="1271">
        <v>44757</v>
      </c>
      <c r="D148" s="1270">
        <v>18</v>
      </c>
      <c r="E148" s="1807"/>
      <c r="F148" s="1258">
        <v>12.256</v>
      </c>
      <c r="G148" s="1257" t="e">
        <f>(F150*#REF!)+(#REF!/30)</f>
        <v>#REF!</v>
      </c>
      <c r="H148" s="2012"/>
      <c r="I148" s="2013"/>
      <c r="J148" s="1807"/>
      <c r="K148" s="1256"/>
      <c r="L148" s="2046"/>
      <c r="M148" s="1807"/>
      <c r="N148" s="1269" t="e">
        <f>#REF!*#REF!</f>
        <v>#REF!</v>
      </c>
      <c r="O148" s="2060" t="e">
        <f t="shared" si="8"/>
        <v>#REF!</v>
      </c>
      <c r="P148" s="1807"/>
      <c r="Q148" s="1275"/>
      <c r="R148" s="1176"/>
      <c r="S148" s="1176"/>
    </row>
    <row r="149" spans="1:19" s="1184" customFormat="1" ht="14.4">
      <c r="A149" s="1196"/>
      <c r="B149" s="1276"/>
      <c r="C149" s="1271">
        <v>44758</v>
      </c>
      <c r="D149" s="1270">
        <v>19</v>
      </c>
      <c r="E149" s="1807"/>
      <c r="F149" s="1258">
        <v>17.010000000000002</v>
      </c>
      <c r="G149" s="1257" t="e">
        <f>(F151*#REF!)+(#REF!/30)</f>
        <v>#REF!</v>
      </c>
      <c r="H149" s="2012"/>
      <c r="I149" s="2013"/>
      <c r="J149" s="1807"/>
      <c r="K149" s="1256"/>
      <c r="L149" s="2046"/>
      <c r="M149" s="1807"/>
      <c r="N149" s="1269" t="e">
        <f>#REF!*#REF!</f>
        <v>#REF!</v>
      </c>
      <c r="O149" s="2060" t="e">
        <f t="shared" si="8"/>
        <v>#REF!</v>
      </c>
      <c r="P149" s="1807"/>
      <c r="Q149" s="1275"/>
      <c r="R149" s="1176"/>
      <c r="S149" s="1176"/>
    </row>
    <row r="150" spans="1:19" s="1184" customFormat="1" ht="14.4">
      <c r="A150" s="1196"/>
      <c r="B150" s="1276"/>
      <c r="C150" s="1272">
        <v>44759</v>
      </c>
      <c r="D150" s="1270">
        <v>20</v>
      </c>
      <c r="E150" s="1807"/>
      <c r="F150" s="1258">
        <v>13.254</v>
      </c>
      <c r="G150" s="1257" t="e">
        <f>(F152*#REF!)+(#REF!/30)</f>
        <v>#REF!</v>
      </c>
      <c r="H150" s="2012"/>
      <c r="I150" s="2013"/>
      <c r="J150" s="1807"/>
      <c r="K150" s="1256"/>
      <c r="L150" s="2046"/>
      <c r="M150" s="1807"/>
      <c r="N150" s="1269" t="e">
        <f>#REF!*#REF!</f>
        <v>#REF!</v>
      </c>
      <c r="O150" s="2060" t="e">
        <f t="shared" si="8"/>
        <v>#REF!</v>
      </c>
      <c r="P150" s="1807"/>
      <c r="Q150" s="1275"/>
      <c r="R150" s="1176"/>
      <c r="S150" s="1176"/>
    </row>
    <row r="151" spans="1:19" s="1184" customFormat="1" ht="14.4">
      <c r="A151" s="1196"/>
      <c r="B151" s="1276"/>
      <c r="C151" s="1260">
        <v>44760</v>
      </c>
      <c r="D151" s="1270">
        <v>21</v>
      </c>
      <c r="E151" s="1807"/>
      <c r="F151" s="1258">
        <v>15.195</v>
      </c>
      <c r="G151" s="1257" t="e">
        <f>(F153*#REF!)+(#REF!/30)</f>
        <v>#REF!</v>
      </c>
      <c r="H151" s="2012"/>
      <c r="I151" s="2013"/>
      <c r="J151" s="1807"/>
      <c r="K151" s="1256"/>
      <c r="L151" s="2046"/>
      <c r="M151" s="1807"/>
      <c r="N151" s="1269" t="e">
        <f>#REF!*#REF!</f>
        <v>#REF!</v>
      </c>
      <c r="O151" s="2060" t="e">
        <f t="shared" si="8"/>
        <v>#REF!</v>
      </c>
      <c r="P151" s="1807"/>
      <c r="Q151" s="1275"/>
      <c r="R151" s="1176"/>
      <c r="S151" s="1176"/>
    </row>
    <row r="152" spans="1:19" s="1184" customFormat="1" ht="14.4">
      <c r="A152" s="1196"/>
      <c r="B152" s="1276"/>
      <c r="C152" s="1271">
        <v>44761</v>
      </c>
      <c r="D152" s="1270">
        <v>22</v>
      </c>
      <c r="E152" s="1807"/>
      <c r="F152" s="1258">
        <v>13.03</v>
      </c>
      <c r="G152" s="1257" t="e">
        <f>(F154*#REF!)+(#REF!/30)</f>
        <v>#REF!</v>
      </c>
      <c r="H152" s="2012"/>
      <c r="I152" s="2013"/>
      <c r="J152" s="1807"/>
      <c r="K152" s="1256"/>
      <c r="L152" s="2046"/>
      <c r="M152" s="1807"/>
      <c r="N152" s="1269" t="e">
        <f>#REF!*#REF!</f>
        <v>#REF!</v>
      </c>
      <c r="O152" s="2060" t="e">
        <f t="shared" si="8"/>
        <v>#REF!</v>
      </c>
      <c r="P152" s="1807"/>
      <c r="Q152" s="1275" t="s">
        <v>238</v>
      </c>
    </row>
    <row r="153" spans="1:19" s="1184" customFormat="1" ht="14.4">
      <c r="A153" s="1196"/>
      <c r="B153" s="1276"/>
      <c r="C153" s="1271">
        <v>44762</v>
      </c>
      <c r="D153" s="1270">
        <v>23</v>
      </c>
      <c r="E153" s="1807"/>
      <c r="F153" s="1258">
        <v>11.356</v>
      </c>
      <c r="G153" s="1257" t="e">
        <f>(F155*#REF!)+(#REF!/30)</f>
        <v>#REF!</v>
      </c>
      <c r="H153" s="2012"/>
      <c r="I153" s="2013"/>
      <c r="J153" s="1807"/>
      <c r="K153" s="1256"/>
      <c r="L153" s="2046"/>
      <c r="M153" s="1807"/>
      <c r="N153" s="1269" t="e">
        <f>#REF!*#REF!</f>
        <v>#REF!</v>
      </c>
      <c r="O153" s="2060" t="e">
        <f t="shared" si="8"/>
        <v>#REF!</v>
      </c>
      <c r="P153" s="1807"/>
      <c r="Q153" s="1275" t="s">
        <v>1134</v>
      </c>
    </row>
    <row r="154" spans="1:19" s="1184" customFormat="1" ht="14.4">
      <c r="A154" s="1196"/>
      <c r="B154" s="1276"/>
      <c r="C154" s="1271">
        <v>44763</v>
      </c>
      <c r="D154" s="1270">
        <v>24</v>
      </c>
      <c r="E154" s="1807"/>
      <c r="F154" s="1258">
        <v>17.359000000000002</v>
      </c>
      <c r="G154" s="1257" t="e">
        <f>(F156*#REF!)+(#REF!/30)</f>
        <v>#REF!</v>
      </c>
      <c r="H154" s="2012"/>
      <c r="I154" s="2013"/>
      <c r="J154" s="1807"/>
      <c r="K154" s="1256"/>
      <c r="L154" s="2046"/>
      <c r="M154" s="1807"/>
      <c r="N154" s="1269" t="e">
        <f>#REF!*#REF!</f>
        <v>#REF!</v>
      </c>
      <c r="O154" s="2060" t="e">
        <f t="shared" si="8"/>
        <v>#REF!</v>
      </c>
      <c r="P154" s="1807"/>
      <c r="Q154" s="1275"/>
    </row>
    <row r="155" spans="1:19" s="1184" customFormat="1" ht="14.4">
      <c r="A155" s="1196"/>
      <c r="B155" s="1276"/>
      <c r="C155" s="1271">
        <v>44764</v>
      </c>
      <c r="D155" s="1270">
        <v>25</v>
      </c>
      <c r="E155" s="1807"/>
      <c r="F155" s="1258">
        <v>14.808</v>
      </c>
      <c r="G155" s="1257" t="e">
        <f>(F157*#REF!)+(#REF!/30)</f>
        <v>#REF!</v>
      </c>
      <c r="H155" s="2012"/>
      <c r="I155" s="2013"/>
      <c r="J155" s="1807"/>
      <c r="K155" s="1256"/>
      <c r="L155" s="2046"/>
      <c r="M155" s="1807"/>
      <c r="N155" s="1269" t="e">
        <f>#REF!*#REF!</f>
        <v>#REF!</v>
      </c>
      <c r="O155" s="2060" t="e">
        <f t="shared" si="8"/>
        <v>#REF!</v>
      </c>
      <c r="P155" s="1807"/>
      <c r="Q155" s="1275"/>
    </row>
    <row r="156" spans="1:19" s="1184" customFormat="1" ht="14.4">
      <c r="A156" s="1196"/>
      <c r="B156" s="1274"/>
      <c r="C156" s="1271">
        <v>44765</v>
      </c>
      <c r="D156" s="1270">
        <v>26</v>
      </c>
      <c r="E156" s="1807"/>
      <c r="F156" s="1258">
        <v>13.574</v>
      </c>
      <c r="G156" s="1257" t="e">
        <f>(F158*#REF!)+(#REF!/30)</f>
        <v>#REF!</v>
      </c>
      <c r="H156" s="2012"/>
      <c r="I156" s="2013"/>
      <c r="J156" s="1807"/>
      <c r="K156" s="1256"/>
      <c r="L156" s="2046"/>
      <c r="M156" s="1807"/>
      <c r="N156" s="1269" t="e">
        <f>#REF!*#REF!</f>
        <v>#REF!</v>
      </c>
      <c r="O156" s="2060" t="e">
        <f t="shared" si="8"/>
        <v>#REF!</v>
      </c>
      <c r="P156" s="1807"/>
      <c r="Q156" s="1273" t="s">
        <v>1128</v>
      </c>
    </row>
    <row r="157" spans="1:19" s="1184" customFormat="1" ht="14.4">
      <c r="A157" s="1196"/>
      <c r="B157" s="1263"/>
      <c r="C157" s="1272">
        <v>44766</v>
      </c>
      <c r="D157" s="1270">
        <v>27</v>
      </c>
      <c r="E157" s="1807"/>
      <c r="F157" s="1258">
        <v>13.807</v>
      </c>
      <c r="G157" s="1257" t="e">
        <f>(F159*#REF!)+(#REF!/30)</f>
        <v>#REF!</v>
      </c>
      <c r="H157" s="2012"/>
      <c r="I157" s="2013"/>
      <c r="J157" s="1807"/>
      <c r="K157" s="1256"/>
      <c r="L157" s="2046"/>
      <c r="M157" s="1807"/>
      <c r="N157" s="1269" t="e">
        <f>#REF!*#REF!</f>
        <v>#REF!</v>
      </c>
      <c r="O157" s="2060" t="e">
        <f t="shared" si="8"/>
        <v>#REF!</v>
      </c>
      <c r="P157" s="1807"/>
      <c r="Q157" s="1262" t="s">
        <v>1139</v>
      </c>
    </row>
    <row r="158" spans="1:19" s="1184" customFormat="1" ht="14.4">
      <c r="A158" s="1196"/>
      <c r="B158" s="1263"/>
      <c r="C158" s="1271">
        <v>44767</v>
      </c>
      <c r="D158" s="1270">
        <v>28</v>
      </c>
      <c r="E158" s="1807"/>
      <c r="F158" s="1258">
        <v>13.083</v>
      </c>
      <c r="G158" s="1257" t="e">
        <f>(F160*#REF!)+(#REF!/30)</f>
        <v>#REF!</v>
      </c>
      <c r="H158" s="2012"/>
      <c r="I158" s="2013"/>
      <c r="J158" s="1807"/>
      <c r="K158" s="1256"/>
      <c r="L158" s="2046"/>
      <c r="M158" s="1807"/>
      <c r="N158" s="1269" t="e">
        <f>#REF!*#REF!</f>
        <v>#REF!</v>
      </c>
      <c r="O158" s="2060" t="e">
        <f t="shared" si="8"/>
        <v>#REF!</v>
      </c>
      <c r="P158" s="1807"/>
      <c r="Q158" s="1262" t="s">
        <v>1138</v>
      </c>
    </row>
    <row r="159" spans="1:19" s="1184" customFormat="1" ht="14.4">
      <c r="A159" s="1196"/>
      <c r="B159" s="1263"/>
      <c r="C159" s="1271">
        <v>44768</v>
      </c>
      <c r="D159" s="1270">
        <v>29</v>
      </c>
      <c r="E159" s="1807"/>
      <c r="F159" s="1258">
        <v>11.321</v>
      </c>
      <c r="G159" s="1257" t="e">
        <f>(F161*#REF!)+(#REF!/30)</f>
        <v>#REF!</v>
      </c>
      <c r="H159" s="2012"/>
      <c r="I159" s="2013"/>
      <c r="J159" s="1807"/>
      <c r="K159" s="1256"/>
      <c r="L159" s="2046"/>
      <c r="M159" s="1807"/>
      <c r="N159" s="1269" t="e">
        <f>#REF!*#REF!</f>
        <v>#REF!</v>
      </c>
      <c r="O159" s="2060" t="e">
        <f t="shared" si="8"/>
        <v>#REF!</v>
      </c>
      <c r="P159" s="1807"/>
      <c r="Q159" s="1262" t="s">
        <v>1137</v>
      </c>
    </row>
    <row r="160" spans="1:19" s="1184" customFormat="1" ht="14.4">
      <c r="A160" s="1196"/>
      <c r="B160" s="1263"/>
      <c r="C160" s="1271">
        <v>44769</v>
      </c>
      <c r="D160" s="1270">
        <v>30</v>
      </c>
      <c r="E160" s="1807"/>
      <c r="F160" s="1258">
        <v>14.96</v>
      </c>
      <c r="G160" s="1257" t="e">
        <f>(F162*#REF!)+(#REF!/30)</f>
        <v>#REF!</v>
      </c>
      <c r="H160" s="2012"/>
      <c r="I160" s="2013"/>
      <c r="J160" s="1807"/>
      <c r="K160" s="1256"/>
      <c r="L160" s="2046"/>
      <c r="M160" s="1807"/>
      <c r="N160" s="1269" t="e">
        <f>#REF!*#REF!</f>
        <v>#REF!</v>
      </c>
      <c r="O160" s="2060" t="e">
        <f t="shared" si="8"/>
        <v>#REF!</v>
      </c>
      <c r="P160" s="1807"/>
      <c r="Q160" s="1262" t="s">
        <v>1131</v>
      </c>
    </row>
    <row r="161" spans="1:17" s="1184" customFormat="1" ht="14.4">
      <c r="A161" s="1196"/>
      <c r="B161" s="1263"/>
      <c r="C161" s="1271">
        <v>44770</v>
      </c>
      <c r="D161" s="1270">
        <v>31</v>
      </c>
      <c r="E161" s="1807"/>
      <c r="F161" s="1258">
        <v>14.458</v>
      </c>
      <c r="G161" s="1257" t="e">
        <f>(F163*#REF!)+(#REF!/30)</f>
        <v>#REF!</v>
      </c>
      <c r="H161" s="2012"/>
      <c r="I161" s="2013"/>
      <c r="J161" s="1807"/>
      <c r="K161" s="1256"/>
      <c r="L161" s="2046"/>
      <c r="M161" s="1807"/>
      <c r="N161" s="1269" t="e">
        <f>#REF!*#REF!</f>
        <v>#REF!</v>
      </c>
      <c r="O161" s="2060" t="e">
        <f t="shared" si="8"/>
        <v>#REF!</v>
      </c>
      <c r="P161" s="1807"/>
      <c r="Q161" s="1262" t="s">
        <v>1136</v>
      </c>
    </row>
    <row r="162" spans="1:17" s="1184" customFormat="1" ht="14.4">
      <c r="A162" s="1196"/>
      <c r="B162" s="1261"/>
      <c r="C162" s="1271">
        <v>44771</v>
      </c>
      <c r="D162" s="1270">
        <v>32</v>
      </c>
      <c r="E162" s="1807"/>
      <c r="F162" s="1258">
        <v>14.242000000000001</v>
      </c>
      <c r="G162" s="1257" t="e">
        <f>(F164*#REF!)+(#REF!/30)</f>
        <v>#REF!</v>
      </c>
      <c r="H162" s="2012"/>
      <c r="I162" s="2013"/>
      <c r="J162" s="1807"/>
      <c r="K162" s="1256"/>
      <c r="L162" s="2046"/>
      <c r="M162" s="1807"/>
      <c r="N162" s="1269" t="e">
        <f>#REF!*#REF!</f>
        <v>#REF!</v>
      </c>
      <c r="O162" s="2060" t="e">
        <f t="shared" si="8"/>
        <v>#REF!</v>
      </c>
      <c r="P162" s="1807"/>
      <c r="Q162" s="1254" t="s">
        <v>1134</v>
      </c>
    </row>
    <row r="163" spans="1:17" s="1184" customFormat="1" ht="14.4">
      <c r="A163" s="1196"/>
      <c r="B163" s="1261"/>
      <c r="C163" s="1271">
        <v>44772</v>
      </c>
      <c r="D163" s="1270">
        <v>33</v>
      </c>
      <c r="E163" s="1807"/>
      <c r="F163" s="1258">
        <v>12.782999999999999</v>
      </c>
      <c r="G163" s="1257" t="e">
        <f>(F165*#REF!)+(#REF!/30)</f>
        <v>#REF!</v>
      </c>
      <c r="H163" s="2012"/>
      <c r="I163" s="2013"/>
      <c r="J163" s="1807"/>
      <c r="K163" s="1256"/>
      <c r="L163" s="2046"/>
      <c r="M163" s="1807"/>
      <c r="N163" s="1269" t="e">
        <f>#REF!*#REF!</f>
        <v>#REF!</v>
      </c>
      <c r="O163" s="2060" t="e">
        <f t="shared" si="8"/>
        <v>#REF!</v>
      </c>
      <c r="P163" s="1807"/>
      <c r="Q163" s="1254" t="s">
        <v>238</v>
      </c>
    </row>
    <row r="164" spans="1:17" s="1184" customFormat="1" ht="14.4">
      <c r="A164" s="1196"/>
      <c r="B164" s="1268"/>
      <c r="C164" s="1267">
        <v>44773</v>
      </c>
      <c r="D164" s="1266">
        <v>34</v>
      </c>
      <c r="E164" s="1807"/>
      <c r="F164" s="1258">
        <v>18.260000000000002</v>
      </c>
      <c r="G164" s="1265" t="e">
        <f>(F166*#REF!)+(#REF!/30)</f>
        <v>#REF!</v>
      </c>
      <c r="H164" s="2012"/>
      <c r="I164" s="2014"/>
      <c r="J164" s="1807"/>
      <c r="K164" s="1256"/>
      <c r="L164" s="2047"/>
      <c r="M164" s="1807"/>
      <c r="N164" s="1265" t="e">
        <f>SUM(G134:G164)</f>
        <v>#REF!</v>
      </c>
      <c r="O164" s="2061" t="e">
        <f t="shared" si="8"/>
        <v>#REF!</v>
      </c>
      <c r="P164" s="1807"/>
      <c r="Q164" s="1264"/>
    </row>
    <row r="165" spans="1:17" s="1184" customFormat="1" ht="14.4">
      <c r="A165" s="1196"/>
      <c r="B165" s="1263"/>
      <c r="C165" s="1260">
        <v>44774</v>
      </c>
      <c r="D165" s="1259">
        <v>35</v>
      </c>
      <c r="E165" s="1807"/>
      <c r="F165" s="1258">
        <v>13.227</v>
      </c>
      <c r="G165" s="1257" t="e">
        <f>(F167*#REF!)+(#REF!/30)</f>
        <v>#REF!</v>
      </c>
      <c r="H165" s="2012"/>
      <c r="I165" s="2013"/>
      <c r="J165" s="1807"/>
      <c r="K165" s="1256"/>
      <c r="L165" s="2046"/>
      <c r="M165" s="1807"/>
      <c r="N165" s="1255" t="e">
        <f>G165</f>
        <v>#REF!</v>
      </c>
      <c r="O165" s="2062" t="e">
        <f t="shared" si="8"/>
        <v>#REF!</v>
      </c>
      <c r="P165" s="1807"/>
      <c r="Q165" s="1262" t="s">
        <v>1138</v>
      </c>
    </row>
    <row r="166" spans="1:17" s="1184" customFormat="1" ht="14.4">
      <c r="A166" s="1196"/>
      <c r="B166" s="1263"/>
      <c r="C166" s="1260">
        <v>44775</v>
      </c>
      <c r="D166" s="1259">
        <v>36</v>
      </c>
      <c r="E166" s="1807"/>
      <c r="F166" s="1258">
        <v>14.79</v>
      </c>
      <c r="G166" s="1257" t="e">
        <f>(F168*#REF!)+(#REF!/30)</f>
        <v>#REF!</v>
      </c>
      <c r="H166" s="2012"/>
      <c r="I166" s="2014"/>
      <c r="J166" s="1807"/>
      <c r="K166" s="1256"/>
      <c r="L166" s="2046"/>
      <c r="M166" s="1807"/>
      <c r="N166" s="1255" t="e">
        <f>#REF!+N165</f>
        <v>#REF!</v>
      </c>
      <c r="O166" s="2062" t="e">
        <f t="shared" si="8"/>
        <v>#REF!</v>
      </c>
      <c r="P166" s="1807"/>
      <c r="Q166" s="1262" t="s">
        <v>1137</v>
      </c>
    </row>
    <row r="167" spans="1:17" s="1184" customFormat="1" ht="14.4">
      <c r="A167" s="1196"/>
      <c r="B167" s="1263"/>
      <c r="C167" s="1260">
        <v>44776</v>
      </c>
      <c r="D167" s="1259">
        <v>37</v>
      </c>
      <c r="E167" s="1807"/>
      <c r="F167" s="1258">
        <v>13.369</v>
      </c>
      <c r="G167" s="1257" t="e">
        <f>(F169*#REF!)+(#REF!/30)</f>
        <v>#REF!</v>
      </c>
      <c r="H167" s="2012"/>
      <c r="I167" s="2013"/>
      <c r="J167" s="1807"/>
      <c r="K167" s="1256"/>
      <c r="L167" s="2046"/>
      <c r="M167" s="1807"/>
      <c r="N167" s="1255" t="e">
        <f>#REF!+N166</f>
        <v>#REF!</v>
      </c>
      <c r="O167" s="2062" t="e">
        <f t="shared" si="8"/>
        <v>#REF!</v>
      </c>
      <c r="P167" s="1807"/>
      <c r="Q167" s="1262" t="s">
        <v>1131</v>
      </c>
    </row>
    <row r="168" spans="1:17" s="1184" customFormat="1" ht="14.4">
      <c r="A168" s="1196"/>
      <c r="B168" s="1263"/>
      <c r="C168" s="1260">
        <v>44777</v>
      </c>
      <c r="D168" s="1259">
        <v>38</v>
      </c>
      <c r="E168" s="1807"/>
      <c r="F168" s="1258">
        <v>15.23</v>
      </c>
      <c r="G168" s="1257" t="e">
        <f>(F170*#REF!)+(#REF!/30)</f>
        <v>#REF!</v>
      </c>
      <c r="H168" s="2012"/>
      <c r="I168" s="2013"/>
      <c r="J168" s="1807"/>
      <c r="K168" s="1256"/>
      <c r="L168" s="2046"/>
      <c r="M168" s="1807"/>
      <c r="N168" s="1255" t="e">
        <f>#REF!+N167</f>
        <v>#REF!</v>
      </c>
      <c r="O168" s="2062" t="e">
        <f t="shared" si="8"/>
        <v>#REF!</v>
      </c>
      <c r="P168" s="1807"/>
      <c r="Q168" s="1262"/>
    </row>
    <row r="169" spans="1:17" s="1184" customFormat="1" ht="14.4">
      <c r="A169" s="1196"/>
      <c r="B169" s="1263"/>
      <c r="C169" s="1260">
        <v>44778</v>
      </c>
      <c r="D169" s="1259">
        <v>39</v>
      </c>
      <c r="E169" s="1807"/>
      <c r="F169" s="1258">
        <v>14.736000000000001</v>
      </c>
      <c r="G169" s="1257" t="e">
        <f>(F171*#REF!)+(#REF!/30)</f>
        <v>#REF!</v>
      </c>
      <c r="H169" s="2012"/>
      <c r="I169" s="2013"/>
      <c r="J169" s="1807"/>
      <c r="K169" s="1256"/>
      <c r="L169" s="2046"/>
      <c r="M169" s="1807"/>
      <c r="N169" s="1255" t="e">
        <f>#REF!+N168</f>
        <v>#REF!</v>
      </c>
      <c r="O169" s="2062" t="e">
        <f t="shared" si="8"/>
        <v>#REF!</v>
      </c>
      <c r="P169" s="1807"/>
      <c r="Q169" s="1262"/>
    </row>
    <row r="170" spans="1:17" s="1184" customFormat="1" ht="14.4">
      <c r="A170" s="1196"/>
      <c r="B170" s="1263"/>
      <c r="C170" s="1260">
        <v>44779</v>
      </c>
      <c r="D170" s="1259">
        <v>40</v>
      </c>
      <c r="E170" s="1807"/>
      <c r="F170" s="1258">
        <v>13.313000000000001</v>
      </c>
      <c r="G170" s="1257" t="e">
        <f>(F172*#REF!)+(#REF!/30)</f>
        <v>#REF!</v>
      </c>
      <c r="H170" s="2012"/>
      <c r="I170" s="2013"/>
      <c r="J170" s="1807"/>
      <c r="K170" s="1256"/>
      <c r="L170" s="2046"/>
      <c r="M170" s="1807"/>
      <c r="N170" s="1255" t="e">
        <f>#REF!+N169</f>
        <v>#REF!</v>
      </c>
      <c r="O170" s="2062" t="e">
        <f t="shared" si="8"/>
        <v>#REF!</v>
      </c>
      <c r="P170" s="1807"/>
      <c r="Q170" s="1262"/>
    </row>
    <row r="171" spans="1:17" s="1184" customFormat="1" ht="14.4">
      <c r="A171" s="1196"/>
      <c r="B171" s="1263"/>
      <c r="C171" s="1260">
        <v>44780</v>
      </c>
      <c r="D171" s="1259">
        <v>41</v>
      </c>
      <c r="E171" s="1807"/>
      <c r="F171" s="1258">
        <v>13.252000000000001</v>
      </c>
      <c r="G171" s="1257" t="e">
        <f>(F173*#REF!)+(#REF!/30)</f>
        <v>#REF!</v>
      </c>
      <c r="H171" s="2012"/>
      <c r="I171" s="2013"/>
      <c r="J171" s="1807"/>
      <c r="K171" s="1256"/>
      <c r="L171" s="2046"/>
      <c r="M171" s="1807"/>
      <c r="N171" s="1255" t="e">
        <f>#REF!+N170</f>
        <v>#REF!</v>
      </c>
      <c r="O171" s="2062" t="e">
        <f t="shared" si="8"/>
        <v>#REF!</v>
      </c>
      <c r="P171" s="1807"/>
      <c r="Q171" s="1262" t="s">
        <v>1158</v>
      </c>
    </row>
    <row r="172" spans="1:17" s="1184" customFormat="1" ht="14.4">
      <c r="A172" s="1196"/>
      <c r="B172" s="1261"/>
      <c r="C172" s="1260">
        <v>44781</v>
      </c>
      <c r="D172" s="1259">
        <v>42</v>
      </c>
      <c r="E172" s="1807"/>
      <c r="F172" s="1258">
        <v>14.611000000000001</v>
      </c>
      <c r="G172" s="1257" t="e">
        <f>(F174*#REF!)+(#REF!/30)</f>
        <v>#REF!</v>
      </c>
      <c r="H172" s="2012"/>
      <c r="I172" s="2013"/>
      <c r="J172" s="1807"/>
      <c r="K172" s="1256"/>
      <c r="L172" s="2046"/>
      <c r="M172" s="1807"/>
      <c r="N172" s="1255" t="e">
        <f>#REF!+N171</f>
        <v>#REF!</v>
      </c>
      <c r="O172" s="2062" t="e">
        <f t="shared" si="8"/>
        <v>#REF!</v>
      </c>
      <c r="P172" s="1807"/>
      <c r="Q172" s="1254" t="s">
        <v>238</v>
      </c>
    </row>
    <row r="173" spans="1:17" s="1184" customFormat="1" ht="14.4">
      <c r="A173" s="1196"/>
      <c r="B173" s="1261"/>
      <c r="C173" s="1260">
        <v>44782</v>
      </c>
      <c r="D173" s="1259">
        <v>43</v>
      </c>
      <c r="E173" s="1807"/>
      <c r="F173" s="1258">
        <v>10.68</v>
      </c>
      <c r="G173" s="1257" t="e">
        <f>(F175*#REF!)+(#REF!/30)</f>
        <v>#REF!</v>
      </c>
      <c r="H173" s="2012"/>
      <c r="I173" s="2013"/>
      <c r="J173" s="1807"/>
      <c r="K173" s="1256"/>
      <c r="L173" s="2046"/>
      <c r="M173" s="1807"/>
      <c r="N173" s="1255" t="e">
        <f>#REF!+N172</f>
        <v>#REF!</v>
      </c>
      <c r="O173" s="2062" t="e">
        <f t="shared" si="8"/>
        <v>#REF!</v>
      </c>
      <c r="P173" s="1807"/>
      <c r="Q173" s="1254" t="s">
        <v>238</v>
      </c>
    </row>
    <row r="174" spans="1:17" s="1184" customFormat="1" ht="14.4">
      <c r="A174" s="1196"/>
      <c r="B174" s="1261"/>
      <c r="C174" s="1260">
        <v>44783</v>
      </c>
      <c r="D174" s="1259">
        <v>44</v>
      </c>
      <c r="E174" s="1807"/>
      <c r="F174" s="1258">
        <v>13.525</v>
      </c>
      <c r="G174" s="1257" t="e">
        <f>(F176*#REF!)+(#REF!/30)</f>
        <v>#REF!</v>
      </c>
      <c r="H174" s="2012"/>
      <c r="I174" s="2013"/>
      <c r="J174" s="1807"/>
      <c r="K174" s="1256"/>
      <c r="L174" s="2046"/>
      <c r="M174" s="1807"/>
      <c r="N174" s="1255" t="e">
        <f>#REF!+N173</f>
        <v>#REF!</v>
      </c>
      <c r="O174" s="2062" t="e">
        <f t="shared" si="8"/>
        <v>#REF!</v>
      </c>
      <c r="P174" s="1807"/>
      <c r="Q174" s="1254"/>
    </row>
    <row r="175" spans="1:17" s="1184" customFormat="1" ht="14.4">
      <c r="A175" s="1196"/>
      <c r="B175" s="1261"/>
      <c r="C175" s="1260">
        <v>44784</v>
      </c>
      <c r="D175" s="1259">
        <v>45</v>
      </c>
      <c r="E175" s="1807"/>
      <c r="F175" s="1258">
        <v>14.092000000000001</v>
      </c>
      <c r="G175" s="1257" t="e">
        <f>(F177*#REF!)+(#REF!/30)</f>
        <v>#REF!</v>
      </c>
      <c r="H175" s="2012"/>
      <c r="I175" s="2013"/>
      <c r="J175" s="1807"/>
      <c r="K175" s="1256"/>
      <c r="L175" s="2046"/>
      <c r="M175" s="1807"/>
      <c r="N175" s="1255" t="e">
        <f>#REF!+N174</f>
        <v>#REF!</v>
      </c>
      <c r="O175" s="2062" t="e">
        <f t="shared" si="8"/>
        <v>#REF!</v>
      </c>
      <c r="P175" s="1807"/>
      <c r="Q175" s="1254"/>
    </row>
    <row r="176" spans="1:17" s="1184" customFormat="1" ht="14.4">
      <c r="A176" s="1196"/>
      <c r="B176" s="1261"/>
      <c r="C176" s="1260">
        <v>44785</v>
      </c>
      <c r="D176" s="1259">
        <v>46</v>
      </c>
      <c r="E176" s="1807"/>
      <c r="F176" s="1258">
        <v>10.85</v>
      </c>
      <c r="G176" s="1257" t="e">
        <f>(F178*#REF!)+(#REF!/30)</f>
        <v>#REF!</v>
      </c>
      <c r="H176" s="2012"/>
      <c r="I176" s="2013"/>
      <c r="J176" s="1807"/>
      <c r="K176" s="1256"/>
      <c r="L176" s="2046"/>
      <c r="M176" s="1807"/>
      <c r="N176" s="1255" t="e">
        <f>#REF!+N175</f>
        <v>#REF!</v>
      </c>
      <c r="O176" s="2062" t="e">
        <f t="shared" si="8"/>
        <v>#REF!</v>
      </c>
      <c r="P176" s="1807"/>
      <c r="Q176" s="1254"/>
    </row>
    <row r="177" spans="1:19" s="1184" customFormat="1" ht="14.4">
      <c r="A177" s="1196"/>
      <c r="B177" s="1261"/>
      <c r="C177" s="1260">
        <v>44786</v>
      </c>
      <c r="D177" s="1259">
        <v>47</v>
      </c>
      <c r="E177" s="1807"/>
      <c r="F177" s="1258">
        <v>12.872</v>
      </c>
      <c r="G177" s="1257" t="e">
        <f>(F179*#REF!)+(#REF!/30)</f>
        <v>#REF!</v>
      </c>
      <c r="H177" s="2012"/>
      <c r="I177" s="2013"/>
      <c r="J177" s="1807"/>
      <c r="K177" s="1256"/>
      <c r="L177" s="2046"/>
      <c r="M177" s="1807"/>
      <c r="N177" s="1255" t="e">
        <f>#REF!+N176</f>
        <v>#REF!</v>
      </c>
      <c r="O177" s="2062" t="e">
        <f t="shared" si="8"/>
        <v>#REF!</v>
      </c>
      <c r="P177" s="1807"/>
      <c r="Q177" s="1254"/>
    </row>
    <row r="178" spans="1:19" s="1184" customFormat="1" ht="14.4">
      <c r="A178" s="1196"/>
      <c r="B178" s="1261"/>
      <c r="C178" s="1260">
        <v>44787</v>
      </c>
      <c r="D178" s="1259">
        <v>48</v>
      </c>
      <c r="E178" s="1807"/>
      <c r="F178" s="1258">
        <v>13.156000000000001</v>
      </c>
      <c r="G178" s="1257" t="e">
        <f>(F180*#REF!)+(#REF!/30)</f>
        <v>#REF!</v>
      </c>
      <c r="H178" s="2012"/>
      <c r="I178" s="2013"/>
      <c r="J178" s="1807"/>
      <c r="K178" s="1256"/>
      <c r="L178" s="2046"/>
      <c r="M178" s="1807"/>
      <c r="N178" s="1255" t="e">
        <f>#REF!+N177</f>
        <v>#REF!</v>
      </c>
      <c r="O178" s="2062" t="e">
        <f t="shared" si="8"/>
        <v>#REF!</v>
      </c>
      <c r="P178" s="1807"/>
      <c r="Q178" s="1254"/>
    </row>
    <row r="179" spans="1:19" s="1184" customFormat="1" ht="14.4">
      <c r="A179" s="1196"/>
      <c r="B179" s="1261"/>
      <c r="C179" s="1260">
        <v>44788</v>
      </c>
      <c r="D179" s="1259">
        <v>49</v>
      </c>
      <c r="E179" s="1807"/>
      <c r="F179" s="1258">
        <v>14.092000000000001</v>
      </c>
      <c r="G179" s="1257" t="e">
        <f>(F181*#REF!)+(#REF!/30)</f>
        <v>#REF!</v>
      </c>
      <c r="H179" s="2012"/>
      <c r="I179" s="2013"/>
      <c r="J179" s="1807"/>
      <c r="K179" s="1256"/>
      <c r="L179" s="2046"/>
      <c r="M179" s="1807"/>
      <c r="N179" s="1255" t="e">
        <f>#REF!+N178</f>
        <v>#REF!</v>
      </c>
      <c r="O179" s="2062" t="e">
        <f t="shared" si="8"/>
        <v>#REF!</v>
      </c>
      <c r="P179" s="1807"/>
      <c r="Q179" s="1254"/>
    </row>
    <row r="180" spans="1:19" s="1184" customFormat="1" ht="14.4">
      <c r="A180" s="1196"/>
      <c r="B180" s="1261"/>
      <c r="C180" s="1260">
        <v>44789</v>
      </c>
      <c r="D180" s="1259">
        <v>50</v>
      </c>
      <c r="E180" s="1807"/>
      <c r="F180" s="1258">
        <v>13.628</v>
      </c>
      <c r="G180" s="1257" t="e">
        <f>(F182*#REF!)+(#REF!/30)</f>
        <v>#REF!</v>
      </c>
      <c r="H180" s="2012"/>
      <c r="I180" s="2013"/>
      <c r="J180" s="1807"/>
      <c r="K180" s="1256"/>
      <c r="L180" s="2046"/>
      <c r="M180" s="1807"/>
      <c r="N180" s="1255" t="e">
        <f>#REF!+N179</f>
        <v>#REF!</v>
      </c>
      <c r="O180" s="2062" t="e">
        <f t="shared" si="8"/>
        <v>#REF!</v>
      </c>
      <c r="P180" s="1807"/>
      <c r="Q180" s="1254"/>
    </row>
    <row r="181" spans="1:19" s="1184" customFormat="1" ht="14.4">
      <c r="A181" s="1196"/>
      <c r="B181" s="1261"/>
      <c r="C181" s="1260">
        <v>44790</v>
      </c>
      <c r="D181" s="1259">
        <v>51</v>
      </c>
      <c r="E181" s="1807"/>
      <c r="F181" s="1258">
        <v>14.173999999999999</v>
      </c>
      <c r="G181" s="1257" t="e">
        <f>(F183*#REF!)+(#REF!/30)</f>
        <v>#REF!</v>
      </c>
      <c r="H181" s="2012"/>
      <c r="I181" s="2013"/>
      <c r="J181" s="1807"/>
      <c r="K181" s="1256"/>
      <c r="L181" s="2046"/>
      <c r="M181" s="1807"/>
      <c r="N181" s="1255" t="e">
        <f>#REF!+N180</f>
        <v>#REF!</v>
      </c>
      <c r="O181" s="2062" t="e">
        <f t="shared" si="8"/>
        <v>#REF!</v>
      </c>
      <c r="P181" s="1807"/>
      <c r="Q181" s="1254"/>
    </row>
    <row r="182" spans="1:19" s="1184" customFormat="1" ht="14.4">
      <c r="A182" s="1196"/>
      <c r="B182" s="1261"/>
      <c r="C182" s="1260">
        <v>44791</v>
      </c>
      <c r="D182" s="1259">
        <v>52</v>
      </c>
      <c r="E182" s="1807"/>
      <c r="F182" s="1258">
        <v>11.893000000000001</v>
      </c>
      <c r="G182" s="1257" t="e">
        <f>(F184*#REF!)+(#REF!/30)</f>
        <v>#REF!</v>
      </c>
      <c r="H182" s="2012"/>
      <c r="I182" s="2013"/>
      <c r="J182" s="1807"/>
      <c r="K182" s="1256"/>
      <c r="L182" s="2046"/>
      <c r="M182" s="1807"/>
      <c r="N182" s="1255" t="e">
        <f>#REF!+N181</f>
        <v>#REF!</v>
      </c>
      <c r="O182" s="2062" t="e">
        <f t="shared" si="8"/>
        <v>#REF!</v>
      </c>
      <c r="P182" s="1807"/>
      <c r="Q182" s="1254"/>
    </row>
    <row r="183" spans="1:19" s="1184" customFormat="1" ht="14.4">
      <c r="A183" s="1196"/>
      <c r="B183" s="1261"/>
      <c r="C183" s="1260">
        <v>44792</v>
      </c>
      <c r="D183" s="1259">
        <v>53</v>
      </c>
      <c r="E183" s="1807"/>
      <c r="F183" s="1258">
        <v>10.356999999999999</v>
      </c>
      <c r="G183" s="1257" t="e">
        <f>(F185*#REF!)+(#REF!/30)</f>
        <v>#REF!</v>
      </c>
      <c r="H183" s="2012"/>
      <c r="I183" s="2013"/>
      <c r="J183" s="1807"/>
      <c r="K183" s="1256"/>
      <c r="L183" s="2046"/>
      <c r="M183" s="1807"/>
      <c r="N183" s="1255" t="e">
        <f>#REF!+N182</f>
        <v>#REF!</v>
      </c>
      <c r="O183" s="2062" t="e">
        <f t="shared" si="8"/>
        <v>#REF!</v>
      </c>
      <c r="P183" s="1807"/>
      <c r="Q183" s="1254"/>
    </row>
    <row r="184" spans="1:19" s="1184" customFormat="1" ht="14.4">
      <c r="A184" s="1196"/>
      <c r="B184" s="1261"/>
      <c r="C184" s="1260">
        <v>44793</v>
      </c>
      <c r="D184" s="1259">
        <v>54</v>
      </c>
      <c r="E184" s="1807"/>
      <c r="F184" s="1258">
        <v>12.781000000000001</v>
      </c>
      <c r="G184" s="1257" t="e">
        <f>(F186*#REF!)+(#REF!/30)</f>
        <v>#REF!</v>
      </c>
      <c r="H184" s="2012"/>
      <c r="I184" s="2013"/>
      <c r="J184" s="1807"/>
      <c r="K184" s="1256"/>
      <c r="L184" s="2046"/>
      <c r="M184" s="1807"/>
      <c r="N184" s="1255" t="e">
        <f>#REF!+N183</f>
        <v>#REF!</v>
      </c>
      <c r="O184" s="2062" t="e">
        <f t="shared" si="8"/>
        <v>#REF!</v>
      </c>
      <c r="P184" s="1807"/>
      <c r="Q184" s="1254"/>
    </row>
    <row r="185" spans="1:19" s="1184" customFormat="1" ht="14.4">
      <c r="A185" s="1196"/>
      <c r="B185" s="1261"/>
      <c r="C185" s="1260">
        <v>44794</v>
      </c>
      <c r="D185" s="1259">
        <v>55</v>
      </c>
      <c r="E185" s="1807"/>
      <c r="F185" s="1258">
        <v>13.202</v>
      </c>
      <c r="G185" s="1257" t="e">
        <f>(F187*#REF!)+(#REF!/30)</f>
        <v>#REF!</v>
      </c>
      <c r="H185" s="2012"/>
      <c r="I185" s="2013"/>
      <c r="J185" s="1807"/>
      <c r="K185" s="1256"/>
      <c r="L185" s="2046"/>
      <c r="M185" s="1807"/>
      <c r="N185" s="1255" t="e">
        <f>#REF!+N184</f>
        <v>#REF!</v>
      </c>
      <c r="O185" s="2062" t="e">
        <f t="shared" si="8"/>
        <v>#REF!</v>
      </c>
      <c r="P185" s="1807"/>
      <c r="Q185" s="1254"/>
    </row>
    <row r="186" spans="1:19" s="1184" customFormat="1" ht="14.4">
      <c r="A186" s="1196"/>
      <c r="B186" s="1261"/>
      <c r="C186" s="1260">
        <v>44795</v>
      </c>
      <c r="D186" s="1259">
        <v>56</v>
      </c>
      <c r="E186" s="1807"/>
      <c r="F186" s="1258">
        <v>10.882</v>
      </c>
      <c r="G186" s="1257" t="e">
        <f>(F188*#REF!)+(#REF!/30)</f>
        <v>#REF!</v>
      </c>
      <c r="H186" s="2012"/>
      <c r="I186" s="2013"/>
      <c r="J186" s="1807"/>
      <c r="K186" s="1256"/>
      <c r="L186" s="2046"/>
      <c r="M186" s="1807"/>
      <c r="N186" s="1255" t="e">
        <f>#REF!+N185</f>
        <v>#REF!</v>
      </c>
      <c r="O186" s="2062" t="e">
        <f t="shared" si="8"/>
        <v>#REF!</v>
      </c>
      <c r="P186" s="1807"/>
      <c r="Q186" s="1254"/>
    </row>
    <row r="187" spans="1:19" s="1184" customFormat="1" ht="14.4">
      <c r="A187" s="1196"/>
      <c r="B187" s="1261"/>
      <c r="C187" s="1260">
        <v>44796</v>
      </c>
      <c r="D187" s="1259">
        <v>57</v>
      </c>
      <c r="E187" s="1807"/>
      <c r="F187" s="1258">
        <v>11.952999999999999</v>
      </c>
      <c r="G187" s="1257" t="e">
        <f>(F189*#REF!)+(#REF!/30)</f>
        <v>#REF!</v>
      </c>
      <c r="H187" s="2012"/>
      <c r="I187" s="2013"/>
      <c r="J187" s="1807"/>
      <c r="K187" s="1256"/>
      <c r="L187" s="2046"/>
      <c r="M187" s="1807"/>
      <c r="N187" s="1255" t="e">
        <f>#REF!+N186</f>
        <v>#REF!</v>
      </c>
      <c r="O187" s="2062" t="e">
        <f t="shared" si="8"/>
        <v>#REF!</v>
      </c>
      <c r="P187" s="1807"/>
      <c r="Q187" s="1254"/>
    </row>
    <row r="188" spans="1:19" s="1184" customFormat="1" ht="14.4">
      <c r="A188" s="1196"/>
      <c r="B188" s="1261"/>
      <c r="C188" s="1260">
        <v>44797</v>
      </c>
      <c r="D188" s="1259">
        <v>58</v>
      </c>
      <c r="E188" s="1807"/>
      <c r="F188" s="1258">
        <v>14.250999999999999</v>
      </c>
      <c r="G188" s="1257" t="e">
        <f>(F190*#REF!)+(#REF!/30)</f>
        <v>#REF!</v>
      </c>
      <c r="H188" s="2012"/>
      <c r="I188" s="2013"/>
      <c r="J188" s="1807"/>
      <c r="K188" s="1256"/>
      <c r="L188" s="2046"/>
      <c r="M188" s="1807"/>
      <c r="N188" s="1255" t="e">
        <f>#REF!+N187</f>
        <v>#REF!</v>
      </c>
      <c r="O188" s="2062" t="e">
        <f t="shared" si="8"/>
        <v>#REF!</v>
      </c>
      <c r="P188" s="1807"/>
      <c r="Q188" s="1254" t="s">
        <v>238</v>
      </c>
    </row>
    <row r="189" spans="1:19" s="1184" customFormat="1" ht="14.4">
      <c r="A189" s="1196"/>
      <c r="B189" s="1261"/>
      <c r="C189" s="1260">
        <v>44798</v>
      </c>
      <c r="D189" s="1259">
        <v>59</v>
      </c>
      <c r="E189" s="1807"/>
      <c r="F189" s="1258">
        <v>12.481999999999999</v>
      </c>
      <c r="G189" s="1257" t="e">
        <f>(F191*#REF!)+(#REF!/30)</f>
        <v>#REF!</v>
      </c>
      <c r="H189" s="2012"/>
      <c r="I189" s="2013"/>
      <c r="J189" s="1807"/>
      <c r="K189" s="1256"/>
      <c r="L189" s="2046"/>
      <c r="M189" s="1807"/>
      <c r="N189" s="1255" t="e">
        <f>#REF!+N188</f>
        <v>#REF!</v>
      </c>
      <c r="O189" s="2062" t="e">
        <f t="shared" si="8"/>
        <v>#REF!</v>
      </c>
      <c r="P189" s="1807"/>
      <c r="Q189" s="1254"/>
    </row>
    <row r="190" spans="1:19" s="1245" customFormat="1" ht="14.4">
      <c r="A190" s="1246"/>
      <c r="B190" s="1261"/>
      <c r="C190" s="1260">
        <v>44799</v>
      </c>
      <c r="D190" s="1259">
        <v>60</v>
      </c>
      <c r="E190" s="1808"/>
      <c r="F190" s="1258">
        <v>16.148</v>
      </c>
      <c r="G190" s="1257" t="e">
        <f>(F192*#REF!)+(#REF!/30)</f>
        <v>#REF!</v>
      </c>
      <c r="H190" s="2012"/>
      <c r="I190" s="2013"/>
      <c r="J190" s="1808"/>
      <c r="K190" s="1256"/>
      <c r="L190" s="2046"/>
      <c r="M190" s="1808"/>
      <c r="N190" s="1255" t="e">
        <f>#REF!+N189</f>
        <v>#REF!</v>
      </c>
      <c r="O190" s="2062" t="e">
        <f t="shared" si="8"/>
        <v>#REF!</v>
      </c>
      <c r="P190" s="1808"/>
      <c r="Q190" s="1254"/>
      <c r="R190" s="1184"/>
      <c r="S190" s="1184"/>
    </row>
    <row r="191" spans="1:19" s="1245" customFormat="1" ht="14.4">
      <c r="A191" s="1246"/>
      <c r="B191" s="1261"/>
      <c r="C191" s="1260">
        <v>44800</v>
      </c>
      <c r="D191" s="1259">
        <v>61</v>
      </c>
      <c r="E191" s="1808"/>
      <c r="F191" s="1258">
        <v>12.192</v>
      </c>
      <c r="G191" s="1257" t="e">
        <f>(F193*#REF!)+(#REF!/30)</f>
        <v>#REF!</v>
      </c>
      <c r="H191" s="2012"/>
      <c r="I191" s="2013"/>
      <c r="J191" s="1808"/>
      <c r="K191" s="1256"/>
      <c r="L191" s="2046"/>
      <c r="M191" s="1808"/>
      <c r="N191" s="1255" t="e">
        <f>#REF!+N190</f>
        <v>#REF!</v>
      </c>
      <c r="O191" s="2062" t="e">
        <f t="shared" si="8"/>
        <v>#REF!</v>
      </c>
      <c r="P191" s="1808"/>
      <c r="Q191" s="1254"/>
      <c r="R191" s="1184"/>
      <c r="S191" s="1184"/>
    </row>
    <row r="192" spans="1:19" s="1186" customFormat="1" ht="14.4">
      <c r="A192" s="1185"/>
      <c r="B192" s="1261"/>
      <c r="C192" s="1260">
        <v>44801</v>
      </c>
      <c r="D192" s="1259">
        <v>62</v>
      </c>
      <c r="E192" s="1809"/>
      <c r="F192" s="1258">
        <v>13.340999999999999</v>
      </c>
      <c r="G192" s="1257" t="e">
        <f>(F194*#REF!)+(#REF!/30)</f>
        <v>#REF!</v>
      </c>
      <c r="H192" s="2012"/>
      <c r="I192" s="2013"/>
      <c r="J192" s="1809"/>
      <c r="K192" s="1256"/>
      <c r="L192" s="2046"/>
      <c r="M192" s="1809"/>
      <c r="N192" s="1255" t="e">
        <f>#REF!+N191</f>
        <v>#REF!</v>
      </c>
      <c r="O192" s="2062" t="e">
        <f t="shared" si="8"/>
        <v>#REF!</v>
      </c>
      <c r="P192" s="1809"/>
      <c r="Q192" s="1254"/>
      <c r="R192" s="1184"/>
      <c r="S192" s="1184"/>
    </row>
    <row r="193" spans="1:19" s="1245" customFormat="1" ht="14.4">
      <c r="A193" s="1246"/>
      <c r="B193" s="1261"/>
      <c r="C193" s="1260">
        <v>44802</v>
      </c>
      <c r="D193" s="1259">
        <v>63</v>
      </c>
      <c r="E193" s="1808"/>
      <c r="F193" s="1258">
        <v>12.831</v>
      </c>
      <c r="G193" s="1257" t="e">
        <f>(F195*#REF!)+(#REF!/30)</f>
        <v>#REF!</v>
      </c>
      <c r="H193" s="2012"/>
      <c r="I193" s="2013"/>
      <c r="J193" s="1808"/>
      <c r="K193" s="1256"/>
      <c r="L193" s="2046"/>
      <c r="M193" s="1808"/>
      <c r="N193" s="1255" t="e">
        <f>#REF!+N192</f>
        <v>#REF!</v>
      </c>
      <c r="O193" s="2062" t="e">
        <f t="shared" si="8"/>
        <v>#REF!</v>
      </c>
      <c r="P193" s="1808"/>
      <c r="Q193" s="1254"/>
      <c r="R193" s="1184"/>
      <c r="S193" s="1184"/>
    </row>
    <row r="194" spans="1:19" s="1245" customFormat="1" ht="14.4">
      <c r="A194" s="1246"/>
      <c r="B194" s="1261"/>
      <c r="C194" s="1260">
        <v>44803</v>
      </c>
      <c r="D194" s="1259">
        <v>64</v>
      </c>
      <c r="E194" s="1808"/>
      <c r="F194" s="1258">
        <v>15.419</v>
      </c>
      <c r="G194" s="1257" t="e">
        <f>(F197*#REF!)+(#REF!/30)</f>
        <v>#REF!</v>
      </c>
      <c r="H194" s="2012"/>
      <c r="I194" s="2013"/>
      <c r="J194" s="1808"/>
      <c r="K194" s="1256"/>
      <c r="L194" s="2046"/>
      <c r="M194" s="1808"/>
      <c r="N194" s="1255" t="e">
        <f>#REF!+N193</f>
        <v>#REF!</v>
      </c>
      <c r="O194" s="2062" t="e">
        <f t="shared" si="8"/>
        <v>#REF!</v>
      </c>
      <c r="P194" s="1808"/>
      <c r="Q194" s="1254"/>
      <c r="R194" s="1184"/>
      <c r="S194" s="1184"/>
    </row>
    <row r="195" spans="1:19" s="1245" customFormat="1" ht="15" thickBot="1">
      <c r="A195" s="1246"/>
      <c r="B195" s="1253"/>
      <c r="C195" s="1252">
        <v>44804</v>
      </c>
      <c r="D195" s="1251">
        <v>65</v>
      </c>
      <c r="E195" s="1808"/>
      <c r="F195" s="1250">
        <v>11.33</v>
      </c>
      <c r="G195" s="1248" t="e">
        <f>(F198*#REF!)+(#REF!/30)</f>
        <v>#REF!</v>
      </c>
      <c r="H195" s="2015"/>
      <c r="I195" s="2016"/>
      <c r="J195" s="1808"/>
      <c r="K195" s="1249"/>
      <c r="L195" s="2048"/>
      <c r="M195" s="1808"/>
      <c r="N195" s="1248" t="e">
        <f>#REF!+N194</f>
        <v>#REF!</v>
      </c>
      <c r="O195" s="2063" t="e">
        <f t="shared" si="8"/>
        <v>#REF!</v>
      </c>
      <c r="P195" s="1808"/>
      <c r="Q195" s="1247"/>
    </row>
    <row r="196" spans="1:19" s="1851" customFormat="1" ht="9" customHeight="1" thickTop="1">
      <c r="H196" s="2004"/>
      <c r="I196" s="2004"/>
      <c r="L196" s="2004"/>
      <c r="M196" s="1852"/>
      <c r="O196" s="2004"/>
      <c r="P196" s="1852"/>
      <c r="R196" s="1852"/>
      <c r="S196" s="1852"/>
    </row>
    <row r="197" spans="1:19" s="1186" customFormat="1" ht="14.4">
      <c r="A197" s="1185"/>
      <c r="B197" s="1244"/>
      <c r="C197" s="1243">
        <v>44805</v>
      </c>
      <c r="D197" s="1242">
        <v>1</v>
      </c>
      <c r="E197" s="1809"/>
      <c r="F197" s="1241">
        <v>13.926</v>
      </c>
      <c r="G197" s="1239" t="e">
        <f>(F199*#REF!)</f>
        <v>#REF!</v>
      </c>
      <c r="H197" s="2017"/>
      <c r="I197" s="2018"/>
      <c r="J197" s="1809"/>
      <c r="K197" s="1240"/>
      <c r="L197" s="2049"/>
      <c r="M197" s="1809"/>
      <c r="N197" s="1239" t="e">
        <f>#REF!*#REF!</f>
        <v>#REF!</v>
      </c>
      <c r="O197" s="2064" t="e">
        <f t="shared" si="8"/>
        <v>#REF!</v>
      </c>
      <c r="P197" s="1809"/>
      <c r="Q197" s="1238"/>
    </row>
    <row r="198" spans="1:19" s="1186" customFormat="1" ht="14.4">
      <c r="A198" s="1185"/>
      <c r="B198" s="1244"/>
      <c r="C198" s="1243">
        <v>44806</v>
      </c>
      <c r="D198" s="1242">
        <v>2</v>
      </c>
      <c r="E198" s="1809"/>
      <c r="F198" s="1241">
        <v>16.026</v>
      </c>
      <c r="G198" s="1239" t="e">
        <f>(F200*#REF!)</f>
        <v>#REF!</v>
      </c>
      <c r="H198" s="2017"/>
      <c r="I198" s="2018"/>
      <c r="J198" s="1809"/>
      <c r="K198" s="1240"/>
      <c r="L198" s="2049"/>
      <c r="M198" s="1809"/>
      <c r="N198" s="1239" t="e">
        <f>#REF!*#REF!</f>
        <v>#REF!</v>
      </c>
      <c r="O198" s="2064" t="e">
        <f t="shared" si="8"/>
        <v>#REF!</v>
      </c>
      <c r="P198" s="1809"/>
      <c r="Q198" s="1238"/>
    </row>
    <row r="199" spans="1:19" s="1186" customFormat="1" ht="14.4">
      <c r="A199" s="1185"/>
      <c r="B199" s="1244"/>
      <c r="C199" s="1243">
        <v>44807</v>
      </c>
      <c r="D199" s="1242">
        <v>3</v>
      </c>
      <c r="E199" s="1809"/>
      <c r="F199" s="1241">
        <v>12.773</v>
      </c>
      <c r="G199" s="1239" t="e">
        <f>(F201*#REF!)</f>
        <v>#REF!</v>
      </c>
      <c r="H199" s="2017"/>
      <c r="I199" s="2018"/>
      <c r="J199" s="1809"/>
      <c r="K199" s="1240"/>
      <c r="L199" s="2049"/>
      <c r="M199" s="1809"/>
      <c r="N199" s="1239" t="e">
        <f>#REF!*#REF!</f>
        <v>#REF!</v>
      </c>
      <c r="O199" s="2064" t="e">
        <f t="shared" si="8"/>
        <v>#REF!</v>
      </c>
      <c r="P199" s="1809"/>
      <c r="Q199" s="1238"/>
    </row>
    <row r="200" spans="1:19" s="1186" customFormat="1" ht="14.4">
      <c r="A200" s="1185"/>
      <c r="B200" s="1244"/>
      <c r="C200" s="1243">
        <v>44808</v>
      </c>
      <c r="D200" s="1242">
        <v>4</v>
      </c>
      <c r="E200" s="1809"/>
      <c r="F200" s="1241">
        <v>12.3</v>
      </c>
      <c r="G200" s="1239" t="e">
        <f>(F202*#REF!)</f>
        <v>#REF!</v>
      </c>
      <c r="H200" s="2017"/>
      <c r="I200" s="2018"/>
      <c r="J200" s="1809"/>
      <c r="K200" s="1240"/>
      <c r="L200" s="2049"/>
      <c r="M200" s="1809"/>
      <c r="N200" s="1239" t="e">
        <f>#REF!*#REF!</f>
        <v>#REF!</v>
      </c>
      <c r="O200" s="2064" t="e">
        <f t="shared" si="8"/>
        <v>#REF!</v>
      </c>
      <c r="P200" s="1809"/>
      <c r="Q200" s="1238"/>
    </row>
    <row r="201" spans="1:19" s="1186" customFormat="1" ht="14.4">
      <c r="A201" s="1185"/>
      <c r="B201" s="1244"/>
      <c r="C201" s="1243">
        <v>44809</v>
      </c>
      <c r="D201" s="1242">
        <v>5</v>
      </c>
      <c r="E201" s="1809"/>
      <c r="F201" s="1241">
        <v>15.000999999999999</v>
      </c>
      <c r="G201" s="1239" t="e">
        <f>(F203*#REF!)</f>
        <v>#REF!</v>
      </c>
      <c r="H201" s="2017"/>
      <c r="I201" s="2018"/>
      <c r="J201" s="1809"/>
      <c r="K201" s="1240"/>
      <c r="L201" s="2049"/>
      <c r="M201" s="1809"/>
      <c r="N201" s="1239" t="e">
        <f>#REF!*#REF!</f>
        <v>#REF!</v>
      </c>
      <c r="O201" s="2064" t="e">
        <f t="shared" si="8"/>
        <v>#REF!</v>
      </c>
      <c r="P201" s="1809"/>
      <c r="Q201" s="1238"/>
    </row>
    <row r="202" spans="1:19" s="1186" customFormat="1" ht="14.4">
      <c r="A202" s="1185"/>
      <c r="B202" s="1244"/>
      <c r="C202" s="1243">
        <v>44810</v>
      </c>
      <c r="D202" s="1242">
        <v>6</v>
      </c>
      <c r="E202" s="1809"/>
      <c r="F202" s="1241">
        <v>13.744</v>
      </c>
      <c r="G202" s="1239" t="e">
        <f>(F204*#REF!)</f>
        <v>#REF!</v>
      </c>
      <c r="H202" s="2017"/>
      <c r="I202" s="2018"/>
      <c r="J202" s="1809"/>
      <c r="K202" s="1240"/>
      <c r="L202" s="2049"/>
      <c r="M202" s="1809"/>
      <c r="N202" s="1239" t="e">
        <f>#REF!*#REF!</f>
        <v>#REF!</v>
      </c>
      <c r="O202" s="2064" t="e">
        <f t="shared" si="8"/>
        <v>#REF!</v>
      </c>
      <c r="P202" s="1809"/>
      <c r="Q202" s="1238"/>
    </row>
    <row r="203" spans="1:19" s="1186" customFormat="1" ht="14.4">
      <c r="A203" s="1185"/>
      <c r="B203" s="1244"/>
      <c r="C203" s="1243">
        <v>44811</v>
      </c>
      <c r="D203" s="1242">
        <v>7</v>
      </c>
      <c r="E203" s="1809"/>
      <c r="F203" s="1241">
        <v>11.984</v>
      </c>
      <c r="G203" s="1239" t="e">
        <f>(F205*#REF!)</f>
        <v>#REF!</v>
      </c>
      <c r="H203" s="2017"/>
      <c r="I203" s="2018"/>
      <c r="J203" s="1809"/>
      <c r="K203" s="1240"/>
      <c r="L203" s="2049"/>
      <c r="M203" s="1809"/>
      <c r="N203" s="1239" t="e">
        <f>#REF!*#REF!</f>
        <v>#REF!</v>
      </c>
      <c r="O203" s="2064" t="e">
        <f t="shared" si="8"/>
        <v>#REF!</v>
      </c>
      <c r="P203" s="1809"/>
      <c r="Q203" s="1238"/>
    </row>
    <row r="204" spans="1:19" s="1186" customFormat="1" ht="14.4">
      <c r="A204" s="1185"/>
      <c r="B204" s="1244"/>
      <c r="C204" s="1243">
        <v>44812</v>
      </c>
      <c r="D204" s="1242">
        <v>8</v>
      </c>
      <c r="E204" s="1809"/>
      <c r="F204" s="1241">
        <v>13.106</v>
      </c>
      <c r="G204" s="1239" t="e">
        <f>(F206*#REF!)</f>
        <v>#REF!</v>
      </c>
      <c r="H204" s="2017"/>
      <c r="I204" s="2018"/>
      <c r="J204" s="1809"/>
      <c r="K204" s="1240"/>
      <c r="L204" s="2049"/>
      <c r="M204" s="1809"/>
      <c r="N204" s="1239" t="e">
        <f>#REF!*#REF!</f>
        <v>#REF!</v>
      </c>
      <c r="O204" s="2064" t="e">
        <f t="shared" si="8"/>
        <v>#REF!</v>
      </c>
      <c r="P204" s="1809"/>
      <c r="Q204" s="1238"/>
    </row>
    <row r="205" spans="1:19" s="1186" customFormat="1" ht="14.4">
      <c r="A205" s="1185"/>
      <c r="B205" s="1244"/>
      <c r="C205" s="1243">
        <v>44813</v>
      </c>
      <c r="D205" s="1242">
        <v>9</v>
      </c>
      <c r="E205" s="1809"/>
      <c r="F205" s="1241">
        <v>13.013</v>
      </c>
      <c r="G205" s="1239" t="e">
        <f>(F207*#REF!)</f>
        <v>#REF!</v>
      </c>
      <c r="H205" s="2017"/>
      <c r="I205" s="2018"/>
      <c r="J205" s="1809"/>
      <c r="K205" s="1240"/>
      <c r="L205" s="2049"/>
      <c r="M205" s="1809"/>
      <c r="N205" s="1239" t="e">
        <f>#REF!*#REF!</f>
        <v>#REF!</v>
      </c>
      <c r="O205" s="2064" t="e">
        <f t="shared" ref="O205:O213" si="9">N205/$D205</f>
        <v>#REF!</v>
      </c>
      <c r="P205" s="1809"/>
      <c r="Q205" s="1238"/>
    </row>
    <row r="206" spans="1:19" s="1186" customFormat="1" ht="14.4">
      <c r="A206" s="1185"/>
      <c r="B206" s="1244"/>
      <c r="C206" s="1243">
        <v>44814</v>
      </c>
      <c r="D206" s="1242">
        <v>10</v>
      </c>
      <c r="E206" s="1809"/>
      <c r="F206" s="1241">
        <v>16.303000000000001</v>
      </c>
      <c r="G206" s="1239" t="e">
        <f>(F208*#REF!)</f>
        <v>#REF!</v>
      </c>
      <c r="H206" s="2017"/>
      <c r="I206" s="2018"/>
      <c r="J206" s="1809"/>
      <c r="K206" s="1240"/>
      <c r="L206" s="2049"/>
      <c r="M206" s="1809"/>
      <c r="N206" s="1239" t="e">
        <f>#REF!*#REF!</f>
        <v>#REF!</v>
      </c>
      <c r="O206" s="2064" t="e">
        <f t="shared" si="9"/>
        <v>#REF!</v>
      </c>
      <c r="P206" s="1809"/>
      <c r="Q206" s="1238"/>
    </row>
    <row r="207" spans="1:19" s="1186" customFormat="1" ht="14.4">
      <c r="A207" s="1185"/>
      <c r="B207" s="1244"/>
      <c r="C207" s="1243">
        <v>44815</v>
      </c>
      <c r="D207" s="1242">
        <v>11</v>
      </c>
      <c r="E207" s="1809"/>
      <c r="F207" s="1241">
        <v>13.355</v>
      </c>
      <c r="G207" s="1239" t="e">
        <f>(F209*#REF!)</f>
        <v>#REF!</v>
      </c>
      <c r="H207" s="2017"/>
      <c r="I207" s="2018"/>
      <c r="J207" s="1809"/>
      <c r="K207" s="1240"/>
      <c r="L207" s="2049"/>
      <c r="M207" s="1809"/>
      <c r="N207" s="1239" t="e">
        <f>#REF!*#REF!</f>
        <v>#REF!</v>
      </c>
      <c r="O207" s="2064" t="e">
        <f t="shared" si="9"/>
        <v>#REF!</v>
      </c>
      <c r="P207" s="1809"/>
      <c r="Q207" s="1238" t="s">
        <v>1134</v>
      </c>
    </row>
    <row r="208" spans="1:19" s="1186" customFormat="1" ht="14.4">
      <c r="A208" s="1185"/>
      <c r="B208" s="1244"/>
      <c r="C208" s="1243">
        <v>44816</v>
      </c>
      <c r="D208" s="1242">
        <v>12</v>
      </c>
      <c r="E208" s="1809"/>
      <c r="F208" s="1241">
        <v>12.505000000000001</v>
      </c>
      <c r="G208" s="1239" t="e">
        <f>(F210*#REF!)</f>
        <v>#REF!</v>
      </c>
      <c r="H208" s="2017"/>
      <c r="I208" s="2018"/>
      <c r="J208" s="1809"/>
      <c r="K208" s="1240"/>
      <c r="L208" s="2049"/>
      <c r="M208" s="1809"/>
      <c r="N208" s="1239" t="e">
        <f>#REF!*#REF!</f>
        <v>#REF!</v>
      </c>
      <c r="O208" s="2064" t="e">
        <f t="shared" si="9"/>
        <v>#REF!</v>
      </c>
      <c r="P208" s="1809"/>
      <c r="Q208" s="1238"/>
    </row>
    <row r="209" spans="1:17" s="1186" customFormat="1" ht="14.4">
      <c r="A209" s="1185"/>
      <c r="B209" s="1244"/>
      <c r="C209" s="1243">
        <v>44817</v>
      </c>
      <c r="D209" s="1242">
        <v>13</v>
      </c>
      <c r="E209" s="1809"/>
      <c r="F209" s="1241">
        <v>14.472</v>
      </c>
      <c r="G209" s="1239" t="e">
        <f>(F211*#REF!)</f>
        <v>#REF!</v>
      </c>
      <c r="H209" s="2017"/>
      <c r="I209" s="2018"/>
      <c r="J209" s="1809"/>
      <c r="K209" s="1240"/>
      <c r="L209" s="2049"/>
      <c r="M209" s="1809"/>
      <c r="N209" s="1239" t="e">
        <f>#REF!*#REF!</f>
        <v>#REF!</v>
      </c>
      <c r="O209" s="2064" t="e">
        <f t="shared" si="9"/>
        <v>#REF!</v>
      </c>
      <c r="P209" s="1809"/>
      <c r="Q209" s="1238"/>
    </row>
    <row r="210" spans="1:17" s="1186" customFormat="1" ht="14.4">
      <c r="A210" s="1185"/>
      <c r="B210" s="1244"/>
      <c r="C210" s="1243">
        <v>44818</v>
      </c>
      <c r="D210" s="1242">
        <v>14</v>
      </c>
      <c r="E210" s="1809"/>
      <c r="F210" s="1241">
        <v>13.839</v>
      </c>
      <c r="G210" s="1239" t="e">
        <f>(F212*#REF!)</f>
        <v>#REF!</v>
      </c>
      <c r="H210" s="2017"/>
      <c r="I210" s="2018"/>
      <c r="J210" s="1809"/>
      <c r="K210" s="1240"/>
      <c r="L210" s="2049"/>
      <c r="M210" s="1809"/>
      <c r="N210" s="1239" t="e">
        <f>#REF!*#REF!</f>
        <v>#REF!</v>
      </c>
      <c r="O210" s="2064" t="e">
        <f t="shared" si="9"/>
        <v>#REF!</v>
      </c>
      <c r="P210" s="1809"/>
      <c r="Q210" s="1238"/>
    </row>
    <row r="211" spans="1:17" s="1186" customFormat="1" ht="14.4">
      <c r="A211" s="1185"/>
      <c r="B211" s="1244"/>
      <c r="C211" s="1243">
        <v>44819</v>
      </c>
      <c r="D211" s="1242">
        <v>15</v>
      </c>
      <c r="E211" s="1809"/>
      <c r="F211" s="1241">
        <v>13.2</v>
      </c>
      <c r="G211" s="1239" t="e">
        <f>(F213*#REF!)</f>
        <v>#REF!</v>
      </c>
      <c r="H211" s="2017"/>
      <c r="I211" s="2018"/>
      <c r="J211" s="1809"/>
      <c r="K211" s="1240"/>
      <c r="L211" s="2049"/>
      <c r="M211" s="1809"/>
      <c r="N211" s="1239" t="e">
        <f>#REF!*#REF!</f>
        <v>#REF!</v>
      </c>
      <c r="O211" s="2064" t="e">
        <f t="shared" si="9"/>
        <v>#REF!</v>
      </c>
      <c r="P211" s="1809"/>
      <c r="Q211" s="1238"/>
    </row>
    <row r="212" spans="1:17" s="1186" customFormat="1" ht="14.4">
      <c r="A212" s="1185"/>
      <c r="B212" s="1244"/>
      <c r="C212" s="1243">
        <v>44820</v>
      </c>
      <c r="D212" s="1242">
        <v>16</v>
      </c>
      <c r="E212" s="1809"/>
      <c r="F212" s="1241">
        <v>11.597</v>
      </c>
      <c r="G212" s="1239" t="e">
        <f>(F214*#REF!)</f>
        <v>#REF!</v>
      </c>
      <c r="H212" s="2017"/>
      <c r="I212" s="2018"/>
      <c r="J212" s="1809"/>
      <c r="K212" s="1240"/>
      <c r="L212" s="2049"/>
      <c r="M212" s="1809"/>
      <c r="N212" s="1239" t="e">
        <f>#REF!*#REF!</f>
        <v>#REF!</v>
      </c>
      <c r="O212" s="2064" t="e">
        <f t="shared" si="9"/>
        <v>#REF!</v>
      </c>
      <c r="P212" s="1809"/>
      <c r="Q212" s="1238"/>
    </row>
    <row r="213" spans="1:17" s="1186" customFormat="1" ht="14.4">
      <c r="A213" s="1185"/>
      <c r="B213" s="1244"/>
      <c r="C213" s="1243">
        <v>44821</v>
      </c>
      <c r="D213" s="1242">
        <v>17</v>
      </c>
      <c r="E213" s="1809"/>
      <c r="F213" s="1241">
        <v>12.297000000000001</v>
      </c>
      <c r="G213" s="1239" t="e">
        <f>(F215*#REF!)</f>
        <v>#REF!</v>
      </c>
      <c r="H213" s="2017"/>
      <c r="I213" s="2018"/>
      <c r="J213" s="1809"/>
      <c r="K213" s="1240"/>
      <c r="L213" s="2049"/>
      <c r="M213" s="1809"/>
      <c r="N213" s="1239" t="e">
        <f>#REF!*#REF!</f>
        <v>#REF!</v>
      </c>
      <c r="O213" s="2064" t="e">
        <f t="shared" si="9"/>
        <v>#REF!</v>
      </c>
      <c r="P213" s="1809"/>
      <c r="Q213" s="1238"/>
    </row>
    <row r="214" spans="1:17" s="1186" customFormat="1" ht="14.4">
      <c r="A214" s="1185"/>
      <c r="B214" s="1244"/>
      <c r="C214" s="1243">
        <v>44822</v>
      </c>
      <c r="D214" s="1242">
        <v>18</v>
      </c>
      <c r="E214" s="1809"/>
      <c r="F214" s="1241">
        <v>14.345000000000001</v>
      </c>
      <c r="G214" s="1239"/>
      <c r="H214" s="2017"/>
      <c r="I214" s="2018"/>
      <c r="J214" s="1809"/>
      <c r="K214" s="1240"/>
      <c r="L214" s="2049"/>
      <c r="M214" s="1809"/>
      <c r="N214" s="1239"/>
      <c r="O214" s="2064"/>
      <c r="P214" s="1809"/>
      <c r="Q214" s="1238"/>
    </row>
    <row r="215" spans="1:17" s="1186" customFormat="1" ht="14.4">
      <c r="A215" s="1185"/>
      <c r="B215" s="1244"/>
      <c r="C215" s="1243">
        <v>44823</v>
      </c>
      <c r="D215" s="1242">
        <v>19</v>
      </c>
      <c r="E215" s="1809"/>
      <c r="F215" s="1241">
        <v>11.603</v>
      </c>
      <c r="G215" s="1239"/>
      <c r="H215" s="2017"/>
      <c r="I215" s="2018"/>
      <c r="J215" s="1809"/>
      <c r="K215" s="1240"/>
      <c r="L215" s="2049"/>
      <c r="M215" s="1809"/>
      <c r="N215" s="1239"/>
      <c r="O215" s="2064"/>
      <c r="P215" s="1809"/>
      <c r="Q215" s="1238"/>
    </row>
    <row r="216" spans="1:17" s="1186" customFormat="1" ht="14.4">
      <c r="A216" s="1185"/>
      <c r="B216" s="1244"/>
      <c r="C216" s="1243">
        <v>44824</v>
      </c>
      <c r="D216" s="1242">
        <v>20</v>
      </c>
      <c r="E216" s="1809"/>
      <c r="F216" s="1241">
        <v>11.946999999999999</v>
      </c>
      <c r="G216" s="1239"/>
      <c r="H216" s="2017"/>
      <c r="I216" s="2019"/>
      <c r="J216" s="1809"/>
      <c r="K216" s="1240"/>
      <c r="L216" s="2049"/>
      <c r="M216" s="1809"/>
      <c r="N216" s="1239"/>
      <c r="O216" s="2064"/>
      <c r="P216" s="1809"/>
      <c r="Q216" s="1238"/>
    </row>
    <row r="217" spans="1:17" s="1186" customFormat="1" ht="14.4">
      <c r="A217" s="1185"/>
      <c r="B217" s="1244"/>
      <c r="C217" s="1243">
        <v>44825</v>
      </c>
      <c r="D217" s="1242">
        <v>21</v>
      </c>
      <c r="E217" s="1809"/>
      <c r="F217" s="1241">
        <v>12.33</v>
      </c>
      <c r="G217" s="1239"/>
      <c r="H217" s="2017"/>
      <c r="I217" s="2019"/>
      <c r="J217" s="1809"/>
      <c r="K217" s="1240"/>
      <c r="L217" s="2049"/>
      <c r="M217" s="1809"/>
      <c r="N217" s="1239"/>
      <c r="O217" s="2064"/>
      <c r="P217" s="1809"/>
      <c r="Q217" s="1238"/>
    </row>
    <row r="218" spans="1:17" s="1186" customFormat="1" ht="14.4">
      <c r="A218" s="1185"/>
      <c r="B218" s="1244"/>
      <c r="C218" s="1243">
        <v>44826</v>
      </c>
      <c r="D218" s="1242">
        <v>22</v>
      </c>
      <c r="E218" s="1809"/>
      <c r="F218" s="1241">
        <v>14.202</v>
      </c>
      <c r="G218" s="1239"/>
      <c r="H218" s="2017"/>
      <c r="I218" s="2019"/>
      <c r="J218" s="1809"/>
      <c r="K218" s="1240"/>
      <c r="L218" s="2049"/>
      <c r="M218" s="1809"/>
      <c r="N218" s="1239"/>
      <c r="O218" s="2064"/>
      <c r="P218" s="1809"/>
      <c r="Q218" s="1238"/>
    </row>
    <row r="219" spans="1:17" s="1186" customFormat="1" ht="14.4">
      <c r="A219" s="1185"/>
      <c r="B219" s="1244"/>
      <c r="C219" s="1243">
        <v>44827</v>
      </c>
      <c r="D219" s="1242">
        <v>23</v>
      </c>
      <c r="E219" s="1809"/>
      <c r="F219" s="1241">
        <v>11.736000000000001</v>
      </c>
      <c r="G219" s="1239"/>
      <c r="H219" s="2017"/>
      <c r="I219" s="2019"/>
      <c r="J219" s="1809"/>
      <c r="K219" s="1240"/>
      <c r="L219" s="2049"/>
      <c r="M219" s="1809"/>
      <c r="N219" s="1239"/>
      <c r="O219" s="2064"/>
      <c r="P219" s="1809"/>
      <c r="Q219" s="1238"/>
    </row>
    <row r="220" spans="1:17" s="1186" customFormat="1" ht="14.4">
      <c r="A220" s="1185"/>
      <c r="B220" s="1244"/>
      <c r="C220" s="1243">
        <v>44828</v>
      </c>
      <c r="D220" s="1242">
        <v>24</v>
      </c>
      <c r="E220" s="1809"/>
      <c r="F220" s="1241">
        <v>12.208</v>
      </c>
      <c r="G220" s="1239"/>
      <c r="H220" s="2017"/>
      <c r="I220" s="2019"/>
      <c r="J220" s="1809"/>
      <c r="K220" s="1240"/>
      <c r="L220" s="2049"/>
      <c r="M220" s="1809"/>
      <c r="N220" s="1239"/>
      <c r="O220" s="2064"/>
      <c r="P220" s="1809"/>
      <c r="Q220" s="1238"/>
    </row>
    <row r="221" spans="1:17" s="1186" customFormat="1" ht="14.4">
      <c r="A221" s="1185"/>
      <c r="B221" s="1244"/>
      <c r="C221" s="1243">
        <v>44829</v>
      </c>
      <c r="D221" s="1242">
        <v>25</v>
      </c>
      <c r="E221" s="1809"/>
      <c r="F221" s="1241">
        <v>14.275</v>
      </c>
      <c r="G221" s="1239"/>
      <c r="H221" s="2017"/>
      <c r="I221" s="2019"/>
      <c r="J221" s="1809"/>
      <c r="K221" s="1240"/>
      <c r="L221" s="2049"/>
      <c r="M221" s="1809"/>
      <c r="N221" s="1239"/>
      <c r="O221" s="2064"/>
      <c r="P221" s="1809"/>
      <c r="Q221" s="1238"/>
    </row>
    <row r="222" spans="1:17" s="1186" customFormat="1" ht="14.4">
      <c r="A222" s="1185"/>
      <c r="B222" s="1244"/>
      <c r="C222" s="1243">
        <v>44830</v>
      </c>
      <c r="D222" s="1242">
        <v>26</v>
      </c>
      <c r="E222" s="1809"/>
      <c r="F222" s="1241">
        <v>15.497</v>
      </c>
      <c r="G222" s="1239"/>
      <c r="H222" s="2017"/>
      <c r="I222" s="2019"/>
      <c r="J222" s="1809"/>
      <c r="K222" s="1240"/>
      <c r="L222" s="2049"/>
      <c r="M222" s="1809"/>
      <c r="N222" s="1239"/>
      <c r="O222" s="2064"/>
      <c r="P222" s="1809"/>
      <c r="Q222" s="1238"/>
    </row>
    <row r="223" spans="1:17" s="1186" customFormat="1" ht="14.4">
      <c r="A223" s="1185"/>
      <c r="B223" s="1244"/>
      <c r="C223" s="1243">
        <v>44831</v>
      </c>
      <c r="D223" s="1242">
        <v>27</v>
      </c>
      <c r="E223" s="1809"/>
      <c r="F223" s="1241">
        <v>10.051</v>
      </c>
      <c r="G223" s="1239"/>
      <c r="H223" s="2017"/>
      <c r="I223" s="2019"/>
      <c r="J223" s="1809"/>
      <c r="K223" s="1240"/>
      <c r="L223" s="2049"/>
      <c r="M223" s="1809"/>
      <c r="N223" s="1239"/>
      <c r="O223" s="2064"/>
      <c r="P223" s="1809"/>
      <c r="Q223" s="1238" t="s">
        <v>1157</v>
      </c>
    </row>
    <row r="224" spans="1:17" s="1186" customFormat="1" ht="14.4">
      <c r="A224" s="1185"/>
      <c r="B224" s="1244"/>
      <c r="C224" s="1243">
        <v>44832</v>
      </c>
      <c r="D224" s="1242">
        <v>28</v>
      </c>
      <c r="E224" s="1809"/>
      <c r="F224" s="1241">
        <v>13.692</v>
      </c>
      <c r="G224" s="1239"/>
      <c r="H224" s="2017"/>
      <c r="I224" s="2019"/>
      <c r="J224" s="1809"/>
      <c r="K224" s="1240"/>
      <c r="L224" s="2049"/>
      <c r="M224" s="1809"/>
      <c r="N224" s="1239"/>
      <c r="O224" s="2064"/>
      <c r="P224" s="1809"/>
      <c r="Q224" s="1238"/>
    </row>
    <row r="225" spans="1:19" s="1186" customFormat="1" ht="14.4">
      <c r="A225" s="1185"/>
      <c r="B225" s="1244"/>
      <c r="C225" s="1243">
        <v>44833</v>
      </c>
      <c r="D225" s="1242">
        <v>29</v>
      </c>
      <c r="E225" s="1809"/>
      <c r="F225" s="1241">
        <v>17.942</v>
      </c>
      <c r="G225" s="1239"/>
      <c r="H225" s="2017"/>
      <c r="I225" s="2019"/>
      <c r="J225" s="1809"/>
      <c r="K225" s="1240"/>
      <c r="L225" s="2049"/>
      <c r="M225" s="1809"/>
      <c r="N225" s="1239"/>
      <c r="O225" s="2064"/>
      <c r="P225" s="1809"/>
      <c r="Q225" s="1238"/>
    </row>
    <row r="226" spans="1:19" s="1186" customFormat="1" ht="15" thickBot="1">
      <c r="A226" s="1185"/>
      <c r="B226" s="1237"/>
      <c r="C226" s="1236">
        <v>44834</v>
      </c>
      <c r="D226" s="1235">
        <v>30</v>
      </c>
      <c r="E226" s="1809"/>
      <c r="F226" s="1234">
        <v>11.978999999999999</v>
      </c>
      <c r="G226" s="1232" t="e">
        <f>(F229*#REF!)</f>
        <v>#REF!</v>
      </c>
      <c r="H226" s="2020"/>
      <c r="I226" s="2021"/>
      <c r="J226" s="1809"/>
      <c r="K226" s="1233">
        <v>395.76</v>
      </c>
      <c r="L226" s="2050"/>
      <c r="M226" s="1809"/>
      <c r="N226" s="1232">
        <v>1919.63</v>
      </c>
      <c r="O226" s="2065">
        <f>N226/D226</f>
        <v>63.987666666666669</v>
      </c>
      <c r="P226" s="1809"/>
      <c r="Q226" s="1231"/>
    </row>
    <row r="227" spans="1:19" s="1851" customFormat="1" ht="9" customHeight="1" thickTop="1">
      <c r="H227" s="2004"/>
      <c r="I227" s="2004"/>
      <c r="L227" s="2004"/>
      <c r="M227" s="1852"/>
      <c r="O227" s="2004"/>
      <c r="P227" s="1852"/>
      <c r="R227" s="1852"/>
      <c r="S227" s="1852"/>
    </row>
    <row r="228" spans="1:19" s="1184" customFormat="1" ht="14.4">
      <c r="A228" s="1196"/>
      <c r="B228" s="1214" t="s">
        <v>1149</v>
      </c>
      <c r="C228" s="1213">
        <v>44835</v>
      </c>
      <c r="D228" s="1225">
        <v>1</v>
      </c>
      <c r="E228" s="1807"/>
      <c r="F228" s="1210">
        <v>13.214</v>
      </c>
      <c r="G228" s="1209"/>
      <c r="H228" s="1192">
        <f t="shared" ref="H228:H258" si="10">F228/24</f>
        <v>0.55058333333333331</v>
      </c>
      <c r="I228" s="2022"/>
      <c r="J228" s="1807"/>
      <c r="K228" s="1210">
        <f>F230</f>
        <v>16.760000000000002</v>
      </c>
      <c r="L228" s="1192"/>
      <c r="M228" s="1807"/>
      <c r="N228" s="1209"/>
      <c r="O228" s="1191"/>
      <c r="P228" s="1807"/>
      <c r="Q228" s="1208" t="s">
        <v>1134</v>
      </c>
    </row>
    <row r="229" spans="1:19" s="1184" customFormat="1" ht="14.4">
      <c r="A229" s="1196"/>
      <c r="B229" s="1214" t="s">
        <v>1155</v>
      </c>
      <c r="C229" s="1213">
        <v>44836</v>
      </c>
      <c r="D229" s="1225">
        <v>1.9939516129032251</v>
      </c>
      <c r="E229" s="1807"/>
      <c r="F229" s="1210">
        <v>11.25</v>
      </c>
      <c r="G229" s="1209"/>
      <c r="H229" s="1192">
        <f t="shared" si="10"/>
        <v>0.46875</v>
      </c>
      <c r="I229" s="2022"/>
      <c r="J229" s="1807"/>
      <c r="K229" s="1210">
        <f t="shared" ref="K229:K247" si="11">K228+F231</f>
        <v>30.270000000000003</v>
      </c>
      <c r="L229" s="1192"/>
      <c r="M229" s="1807"/>
      <c r="N229" s="1209"/>
      <c r="O229" s="1191"/>
      <c r="P229" s="1807"/>
      <c r="Q229" s="1208"/>
    </row>
    <row r="230" spans="1:19" s="1184" customFormat="1" ht="14.4">
      <c r="A230" s="1196"/>
      <c r="B230" s="1214" t="s">
        <v>1154</v>
      </c>
      <c r="C230" s="1213">
        <v>44837</v>
      </c>
      <c r="D230" s="1225">
        <v>2.9879032258064502</v>
      </c>
      <c r="E230" s="1807"/>
      <c r="F230" s="1210">
        <v>16.760000000000002</v>
      </c>
      <c r="G230" s="1209"/>
      <c r="H230" s="1192">
        <f t="shared" si="10"/>
        <v>0.69833333333333336</v>
      </c>
      <c r="I230" s="2022"/>
      <c r="J230" s="1807"/>
      <c r="K230" s="1210">
        <f t="shared" si="11"/>
        <v>45.585000000000001</v>
      </c>
      <c r="L230" s="1192"/>
      <c r="M230" s="1807"/>
      <c r="N230" s="1209"/>
      <c r="O230" s="1191"/>
      <c r="P230" s="1807"/>
      <c r="Q230" s="1208"/>
    </row>
    <row r="231" spans="1:19" s="1184" customFormat="1" ht="14.4">
      <c r="A231" s="1196"/>
      <c r="B231" s="1214" t="s">
        <v>1153</v>
      </c>
      <c r="C231" s="1213">
        <v>44838</v>
      </c>
      <c r="D231" s="1225">
        <v>3.9818548387096748</v>
      </c>
      <c r="E231" s="1807"/>
      <c r="F231" s="1210">
        <v>13.51</v>
      </c>
      <c r="G231" s="1209"/>
      <c r="H231" s="1192">
        <f t="shared" si="10"/>
        <v>0.56291666666666662</v>
      </c>
      <c r="I231" s="2022"/>
      <c r="J231" s="1807"/>
      <c r="K231" s="1210">
        <f t="shared" si="11"/>
        <v>57.073</v>
      </c>
      <c r="L231" s="1192"/>
      <c r="M231" s="1807"/>
      <c r="N231" s="1209"/>
      <c r="O231" s="1191"/>
      <c r="P231" s="1807"/>
      <c r="Q231" s="1208"/>
    </row>
    <row r="232" spans="1:19" s="1184" customFormat="1" ht="14.4">
      <c r="A232" s="1196"/>
      <c r="B232" s="1214" t="s">
        <v>1152</v>
      </c>
      <c r="C232" s="1213">
        <v>44839</v>
      </c>
      <c r="D232" s="1225">
        <v>4.9758064516129004</v>
      </c>
      <c r="E232" s="1807"/>
      <c r="F232" s="1210">
        <v>15.315</v>
      </c>
      <c r="G232" s="1209"/>
      <c r="H232" s="1192">
        <f t="shared" si="10"/>
        <v>0.63812499999999994</v>
      </c>
      <c r="I232" s="2022"/>
      <c r="J232" s="1807"/>
      <c r="K232" s="1210">
        <f t="shared" si="11"/>
        <v>70.888999999999996</v>
      </c>
      <c r="L232" s="1192"/>
      <c r="M232" s="1807"/>
      <c r="N232" s="1209"/>
      <c r="O232" s="1191"/>
      <c r="P232" s="1807"/>
      <c r="Q232" s="1208"/>
    </row>
    <row r="233" spans="1:19" s="1184" customFormat="1" ht="14.4">
      <c r="A233" s="1196"/>
      <c r="B233" s="1214" t="s">
        <v>1151</v>
      </c>
      <c r="C233" s="1213">
        <v>44840</v>
      </c>
      <c r="D233" s="1225">
        <v>5.9697580645161246</v>
      </c>
      <c r="E233" s="1807"/>
      <c r="F233" s="1210">
        <v>11.488</v>
      </c>
      <c r="G233" s="1209"/>
      <c r="H233" s="1192">
        <f t="shared" si="10"/>
        <v>0.47866666666666663</v>
      </c>
      <c r="I233" s="2022"/>
      <c r="J233" s="1807"/>
      <c r="K233" s="1210">
        <f t="shared" si="11"/>
        <v>81.078999999999994</v>
      </c>
      <c r="L233" s="1192"/>
      <c r="M233" s="1807"/>
      <c r="N233" s="1209"/>
      <c r="O233" s="1191"/>
      <c r="P233" s="1807"/>
      <c r="Q233" s="1208"/>
    </row>
    <row r="234" spans="1:19" s="1184" customFormat="1" ht="14.4">
      <c r="A234" s="1196"/>
      <c r="B234" s="1214" t="s">
        <v>1150</v>
      </c>
      <c r="C234" s="1213">
        <v>44841</v>
      </c>
      <c r="D234" s="1225">
        <v>6.9637096774193497</v>
      </c>
      <c r="E234" s="1807"/>
      <c r="F234" s="1210">
        <v>13.816000000000001</v>
      </c>
      <c r="G234" s="1209"/>
      <c r="H234" s="1192">
        <f t="shared" si="10"/>
        <v>0.57566666666666666</v>
      </c>
      <c r="I234" s="2022"/>
      <c r="J234" s="1807"/>
      <c r="K234" s="1210">
        <f t="shared" si="11"/>
        <v>92.590999999999994</v>
      </c>
      <c r="L234" s="1192"/>
      <c r="M234" s="1807"/>
      <c r="N234" s="1209"/>
      <c r="O234" s="1191"/>
      <c r="P234" s="1807"/>
      <c r="Q234" s="1208"/>
    </row>
    <row r="235" spans="1:19" s="1184" customFormat="1" ht="14.4">
      <c r="A235" s="1196"/>
      <c r="B235" s="1214" t="s">
        <v>1149</v>
      </c>
      <c r="C235" s="1213">
        <v>44842</v>
      </c>
      <c r="D235" s="1225">
        <v>7.9576612903225747</v>
      </c>
      <c r="E235" s="1807"/>
      <c r="F235" s="1210">
        <v>10.19</v>
      </c>
      <c r="G235" s="1209"/>
      <c r="H235" s="1192">
        <f t="shared" si="10"/>
        <v>0.42458333333333331</v>
      </c>
      <c r="I235" s="2022"/>
      <c r="J235" s="1807"/>
      <c r="K235" s="1210">
        <f t="shared" si="11"/>
        <v>106.20699999999999</v>
      </c>
      <c r="L235" s="1192"/>
      <c r="M235" s="1807"/>
      <c r="N235" s="1209"/>
      <c r="O235" s="1191"/>
      <c r="P235" s="1807"/>
      <c r="Q235" s="1208"/>
    </row>
    <row r="236" spans="1:19" s="1184" customFormat="1" ht="14.4">
      <c r="A236" s="1196"/>
      <c r="B236" s="1214" t="s">
        <v>1155</v>
      </c>
      <c r="C236" s="1213">
        <v>44843</v>
      </c>
      <c r="D236" s="1225">
        <v>8.9516129032258007</v>
      </c>
      <c r="E236" s="1807"/>
      <c r="F236" s="1210">
        <v>11.512</v>
      </c>
      <c r="G236" s="1209"/>
      <c r="H236" s="1192">
        <f t="shared" si="10"/>
        <v>0.47966666666666669</v>
      </c>
      <c r="I236" s="2022"/>
      <c r="J236" s="1807"/>
      <c r="K236" s="1210">
        <f t="shared" si="11"/>
        <v>120.13199999999999</v>
      </c>
      <c r="L236" s="1192"/>
      <c r="M236" s="1807"/>
      <c r="N236" s="1209"/>
      <c r="O236" s="1191"/>
      <c r="P236" s="1807"/>
      <c r="Q236" s="1208"/>
    </row>
    <row r="237" spans="1:19" s="1184" customFormat="1" ht="14.4">
      <c r="A237" s="1196"/>
      <c r="B237" s="1214" t="s">
        <v>1154</v>
      </c>
      <c r="C237" s="1213">
        <v>44844</v>
      </c>
      <c r="D237" s="1225">
        <v>9.9455645161290249</v>
      </c>
      <c r="E237" s="1807"/>
      <c r="F237" s="1210">
        <v>13.616</v>
      </c>
      <c r="G237" s="1209"/>
      <c r="H237" s="1192">
        <f t="shared" si="10"/>
        <v>0.56733333333333336</v>
      </c>
      <c r="I237" s="2022"/>
      <c r="J237" s="1807"/>
      <c r="K237" s="1210">
        <f t="shared" si="11"/>
        <v>132.81299999999999</v>
      </c>
      <c r="L237" s="1192"/>
      <c r="M237" s="1807"/>
      <c r="N237" s="1209"/>
      <c r="O237" s="1191"/>
      <c r="P237" s="1807"/>
      <c r="Q237" s="1208"/>
    </row>
    <row r="238" spans="1:19" s="1184" customFormat="1" ht="14.4">
      <c r="A238" s="1196"/>
      <c r="B238" s="1214" t="s">
        <v>1153</v>
      </c>
      <c r="C238" s="1213">
        <v>44845</v>
      </c>
      <c r="D238" s="1225">
        <v>10.939516129032249</v>
      </c>
      <c r="E238" s="1807"/>
      <c r="F238" s="1210">
        <v>13.925000000000001</v>
      </c>
      <c r="G238" s="1209"/>
      <c r="H238" s="1192">
        <f t="shared" si="10"/>
        <v>0.58020833333333333</v>
      </c>
      <c r="I238" s="2022"/>
      <c r="J238" s="1807"/>
      <c r="K238" s="1210">
        <f t="shared" si="11"/>
        <v>144.57599999999999</v>
      </c>
      <c r="L238" s="1192"/>
      <c r="M238" s="1807"/>
      <c r="N238" s="1209"/>
      <c r="O238" s="1191"/>
      <c r="P238" s="1807"/>
      <c r="Q238" s="1208"/>
    </row>
    <row r="239" spans="1:19" s="1184" customFormat="1" ht="14.4">
      <c r="A239" s="1196"/>
      <c r="B239" s="1214" t="s">
        <v>1152</v>
      </c>
      <c r="C239" s="1213">
        <v>44846</v>
      </c>
      <c r="D239" s="1225">
        <v>11.933467741935475</v>
      </c>
      <c r="E239" s="1807"/>
      <c r="F239" s="1210">
        <v>12.680999999999999</v>
      </c>
      <c r="G239" s="1209"/>
      <c r="H239" s="1192">
        <f t="shared" si="10"/>
        <v>0.52837499999999993</v>
      </c>
      <c r="I239" s="2022"/>
      <c r="J239" s="1807"/>
      <c r="K239" s="1210">
        <f t="shared" si="11"/>
        <v>154.02500000000001</v>
      </c>
      <c r="L239" s="1192"/>
      <c r="M239" s="1807"/>
      <c r="N239" s="1209"/>
      <c r="O239" s="1191"/>
      <c r="P239" s="1807"/>
      <c r="Q239" s="1208"/>
    </row>
    <row r="240" spans="1:19" s="1184" customFormat="1" ht="14.4">
      <c r="A240" s="1196"/>
      <c r="B240" s="1214" t="s">
        <v>1151</v>
      </c>
      <c r="C240" s="1213">
        <v>44847</v>
      </c>
      <c r="D240" s="1225">
        <v>12.927419354838699</v>
      </c>
      <c r="E240" s="1807"/>
      <c r="F240" s="1210">
        <v>11.763</v>
      </c>
      <c r="G240" s="1209"/>
      <c r="H240" s="1192">
        <f t="shared" si="10"/>
        <v>0.49012499999999998</v>
      </c>
      <c r="I240" s="2022"/>
      <c r="J240" s="1807"/>
      <c r="K240" s="1210">
        <f t="shared" si="11"/>
        <v>166.47300000000001</v>
      </c>
      <c r="L240" s="1192"/>
      <c r="M240" s="1807"/>
      <c r="N240" s="1209"/>
      <c r="O240" s="1191"/>
      <c r="P240" s="1807"/>
      <c r="Q240" s="1208"/>
    </row>
    <row r="241" spans="1:17" s="1184" customFormat="1" ht="14.4">
      <c r="A241" s="1196"/>
      <c r="B241" s="1214" t="s">
        <v>1150</v>
      </c>
      <c r="C241" s="1213">
        <v>44848</v>
      </c>
      <c r="D241" s="1225">
        <v>13.921370967741925</v>
      </c>
      <c r="E241" s="1807"/>
      <c r="F241" s="1210">
        <v>9.4489999999999998</v>
      </c>
      <c r="G241" s="1209"/>
      <c r="H241" s="1192">
        <f t="shared" si="10"/>
        <v>0.39370833333333333</v>
      </c>
      <c r="I241" s="2022"/>
      <c r="J241" s="1807"/>
      <c r="K241" s="1210">
        <f t="shared" si="11"/>
        <v>180.78300000000002</v>
      </c>
      <c r="L241" s="1192"/>
      <c r="M241" s="1807"/>
      <c r="N241" s="1209"/>
      <c r="O241" s="1191"/>
      <c r="P241" s="1807"/>
      <c r="Q241" s="1208" t="s">
        <v>1134</v>
      </c>
    </row>
    <row r="242" spans="1:17" s="1184" customFormat="1" ht="14.4">
      <c r="A242" s="1196"/>
      <c r="B242" s="1214" t="s">
        <v>1149</v>
      </c>
      <c r="C242" s="1213">
        <v>44849</v>
      </c>
      <c r="D242" s="1225">
        <v>14.915322580645149</v>
      </c>
      <c r="E242" s="1807"/>
      <c r="F242" s="1210">
        <v>12.448</v>
      </c>
      <c r="G242" s="1209"/>
      <c r="H242" s="1192">
        <f t="shared" si="10"/>
        <v>0.51866666666666672</v>
      </c>
      <c r="I242" s="2022"/>
      <c r="J242" s="1807"/>
      <c r="K242" s="1210">
        <f t="shared" si="11"/>
        <v>193.05700000000002</v>
      </c>
      <c r="L242" s="1192"/>
      <c r="M242" s="1807"/>
      <c r="N242" s="1209"/>
      <c r="O242" s="1191"/>
      <c r="P242" s="1807"/>
      <c r="Q242" s="1208"/>
    </row>
    <row r="243" spans="1:17" s="1184" customFormat="1" ht="14.4">
      <c r="A243" s="1196"/>
      <c r="B243" s="1214" t="s">
        <v>1155</v>
      </c>
      <c r="C243" s="1213">
        <v>44850</v>
      </c>
      <c r="D243" s="1225">
        <v>15.909274193548375</v>
      </c>
      <c r="E243" s="1807"/>
      <c r="F243" s="1210">
        <v>14.31</v>
      </c>
      <c r="G243" s="1209"/>
      <c r="H243" s="1192">
        <f t="shared" si="10"/>
        <v>0.59625000000000006</v>
      </c>
      <c r="I243" s="2022"/>
      <c r="J243" s="1807"/>
      <c r="K243" s="1210">
        <f t="shared" si="11"/>
        <v>209.00200000000001</v>
      </c>
      <c r="L243" s="1192"/>
      <c r="M243" s="1807"/>
      <c r="N243" s="1209"/>
      <c r="O243" s="1191"/>
      <c r="P243" s="1807"/>
      <c r="Q243" s="1208" t="s">
        <v>238</v>
      </c>
    </row>
    <row r="244" spans="1:17" s="1184" customFormat="1" ht="14.4">
      <c r="A244" s="1196"/>
      <c r="B244" s="1214" t="s">
        <v>1154</v>
      </c>
      <c r="C244" s="1213">
        <v>44851</v>
      </c>
      <c r="D244" s="1225">
        <v>16.903225806451601</v>
      </c>
      <c r="E244" s="1807"/>
      <c r="F244" s="1210">
        <v>12.273999999999999</v>
      </c>
      <c r="G244" s="1209"/>
      <c r="H244" s="1192">
        <f t="shared" si="10"/>
        <v>0.51141666666666663</v>
      </c>
      <c r="I244" s="2022"/>
      <c r="J244" s="1807"/>
      <c r="K244" s="1210">
        <f t="shared" si="11"/>
        <v>220.547</v>
      </c>
      <c r="L244" s="1192"/>
      <c r="M244" s="1807"/>
      <c r="N244" s="1209"/>
      <c r="O244" s="1191"/>
      <c r="P244" s="1807"/>
      <c r="Q244" s="1208"/>
    </row>
    <row r="245" spans="1:17" s="1184" customFormat="1" ht="14.4">
      <c r="A245" s="1196"/>
      <c r="B245" s="1214" t="s">
        <v>1153</v>
      </c>
      <c r="C245" s="1213">
        <v>44852</v>
      </c>
      <c r="D245" s="1225">
        <v>17.897177419354826</v>
      </c>
      <c r="E245" s="1807"/>
      <c r="F245" s="1210">
        <v>15.945</v>
      </c>
      <c r="G245" s="1209"/>
      <c r="H245" s="1192">
        <f t="shared" si="10"/>
        <v>0.66437500000000005</v>
      </c>
      <c r="I245" s="2022"/>
      <c r="J245" s="1807"/>
      <c r="K245" s="1210">
        <f t="shared" si="11"/>
        <v>235.66899999999998</v>
      </c>
      <c r="L245" s="1192"/>
      <c r="M245" s="1807"/>
      <c r="N245" s="1209"/>
      <c r="O245" s="1191"/>
      <c r="P245" s="1807"/>
      <c r="Q245" s="1208" t="s">
        <v>238</v>
      </c>
    </row>
    <row r="246" spans="1:17" s="1184" customFormat="1" ht="14.4">
      <c r="A246" s="1196"/>
      <c r="B246" s="1214" t="s">
        <v>1152</v>
      </c>
      <c r="C246" s="1213">
        <v>44853</v>
      </c>
      <c r="D246" s="1225">
        <v>18.89112903225805</v>
      </c>
      <c r="E246" s="1807"/>
      <c r="F246" s="1210">
        <v>11.545</v>
      </c>
      <c r="G246" s="1209"/>
      <c r="H246" s="1192">
        <f t="shared" si="10"/>
        <v>0.48104166666666665</v>
      </c>
      <c r="I246" s="2022"/>
      <c r="J246" s="1807"/>
      <c r="K246" s="1210">
        <f t="shared" si="11"/>
        <v>248.255</v>
      </c>
      <c r="L246" s="1192"/>
      <c r="M246" s="1807"/>
      <c r="N246" s="1209">
        <v>417.69</v>
      </c>
      <c r="O246" s="1191">
        <f t="shared" ref="O246:O258" si="12">N246/D246</f>
        <v>22.110377801494149</v>
      </c>
      <c r="P246" s="1807"/>
      <c r="Q246" s="1208"/>
    </row>
    <row r="247" spans="1:17" s="1184" customFormat="1" ht="14.4">
      <c r="A247" s="1196"/>
      <c r="B247" s="1214" t="s">
        <v>1151</v>
      </c>
      <c r="C247" s="1213">
        <v>44854</v>
      </c>
      <c r="D247" s="1225">
        <v>19.885080645161274</v>
      </c>
      <c r="E247" s="1807"/>
      <c r="F247" s="1210">
        <v>15.122</v>
      </c>
      <c r="G247" s="1209">
        <f t="shared" ref="G247:G257" si="13">N247-N246</f>
        <v>35.430000000000007</v>
      </c>
      <c r="H247" s="1192">
        <f t="shared" si="10"/>
        <v>0.63008333333333333</v>
      </c>
      <c r="I247" s="2022"/>
      <c r="J247" s="1807"/>
      <c r="K247" s="1210">
        <f t="shared" si="11"/>
        <v>259.983</v>
      </c>
      <c r="L247" s="1192"/>
      <c r="M247" s="1807"/>
      <c r="N247" s="1209">
        <v>453.12</v>
      </c>
      <c r="O247" s="1191">
        <f t="shared" si="12"/>
        <v>22.786932981851383</v>
      </c>
      <c r="P247" s="1807"/>
      <c r="Q247" s="1208"/>
    </row>
    <row r="248" spans="1:17" s="1184" customFormat="1" ht="14.4">
      <c r="A248" s="1196"/>
      <c r="B248" s="1214" t="s">
        <v>1150</v>
      </c>
      <c r="C248" s="1213">
        <v>44855</v>
      </c>
      <c r="D248" s="1225">
        <v>20.879032258064498</v>
      </c>
      <c r="E248" s="1807"/>
      <c r="F248" s="1210">
        <v>12.586</v>
      </c>
      <c r="G248" s="1209">
        <f t="shared" si="13"/>
        <v>44.839999999999975</v>
      </c>
      <c r="H248" s="1192">
        <f t="shared" si="10"/>
        <v>0.52441666666666664</v>
      </c>
      <c r="I248" s="2022"/>
      <c r="J248" s="1807"/>
      <c r="K248" s="1210">
        <v>273.94</v>
      </c>
      <c r="L248" s="1192"/>
      <c r="M248" s="1807"/>
      <c r="N248" s="1209">
        <v>497.96</v>
      </c>
      <c r="O248" s="1191">
        <f t="shared" si="12"/>
        <v>23.849764387794536</v>
      </c>
      <c r="P248" s="1807"/>
      <c r="Q248" s="1208"/>
    </row>
    <row r="249" spans="1:17" s="1184" customFormat="1" ht="14.4">
      <c r="A249" s="1196"/>
      <c r="B249" s="1214" t="s">
        <v>1149</v>
      </c>
      <c r="C249" s="1213">
        <v>44856</v>
      </c>
      <c r="D249" s="1225">
        <v>21.872983870967726</v>
      </c>
      <c r="E249" s="1807"/>
      <c r="F249" s="1210">
        <v>11.728</v>
      </c>
      <c r="G249" s="1209">
        <f t="shared" si="13"/>
        <v>36.45999999999998</v>
      </c>
      <c r="H249" s="1192">
        <f t="shared" si="10"/>
        <v>0.48866666666666664</v>
      </c>
      <c r="I249" s="2022"/>
      <c r="J249" s="1807"/>
      <c r="K249" s="1210">
        <v>286.5</v>
      </c>
      <c r="L249" s="1192"/>
      <c r="M249" s="1807"/>
      <c r="N249" s="1209">
        <v>534.41999999999996</v>
      </c>
      <c r="O249" s="1191">
        <f t="shared" si="12"/>
        <v>24.432880449811059</v>
      </c>
      <c r="P249" s="1807"/>
      <c r="Q249" s="1208"/>
    </row>
    <row r="250" spans="1:17" s="1184" customFormat="1" ht="14.4">
      <c r="A250" s="1196"/>
      <c r="B250" s="1214" t="s">
        <v>1155</v>
      </c>
      <c r="C250" s="1213">
        <v>44857</v>
      </c>
      <c r="D250" s="1225">
        <v>22.86693548387095</v>
      </c>
      <c r="E250" s="1807"/>
      <c r="F250" s="1210">
        <v>13.952</v>
      </c>
      <c r="G250" s="1209">
        <f t="shared" si="13"/>
        <v>32.210000000000036</v>
      </c>
      <c r="H250" s="1192">
        <f t="shared" si="10"/>
        <v>0.58133333333333337</v>
      </c>
      <c r="I250" s="2022"/>
      <c r="J250" s="1807"/>
      <c r="K250" s="1210">
        <v>299.58</v>
      </c>
      <c r="L250" s="1192"/>
      <c r="M250" s="1807"/>
      <c r="N250" s="1209">
        <v>566.63</v>
      </c>
      <c r="O250" s="1191">
        <f t="shared" si="12"/>
        <v>24.779446305766196</v>
      </c>
      <c r="P250" s="1807"/>
      <c r="Q250" s="1208"/>
    </row>
    <row r="251" spans="1:17" s="1184" customFormat="1" ht="14.4">
      <c r="A251" s="1196"/>
      <c r="B251" s="1214" t="s">
        <v>1154</v>
      </c>
      <c r="C251" s="1213">
        <v>44858</v>
      </c>
      <c r="D251" s="1225">
        <v>23.860887096774174</v>
      </c>
      <c r="E251" s="1807"/>
      <c r="F251" s="1210">
        <v>12.565</v>
      </c>
      <c r="G251" s="1209">
        <f t="shared" si="13"/>
        <v>33.269999999999982</v>
      </c>
      <c r="H251" s="1192">
        <f t="shared" si="10"/>
        <v>0.52354166666666668</v>
      </c>
      <c r="I251" s="2022"/>
      <c r="J251" s="1807"/>
      <c r="K251" s="1210">
        <v>313.22000000000003</v>
      </c>
      <c r="L251" s="1192"/>
      <c r="M251" s="1807"/>
      <c r="N251" s="1209">
        <v>599.9</v>
      </c>
      <c r="O251" s="1191">
        <f t="shared" si="12"/>
        <v>25.141563160118313</v>
      </c>
      <c r="P251" s="1807"/>
      <c r="Q251" s="1208"/>
    </row>
    <row r="252" spans="1:17" s="1184" customFormat="1" ht="14.4">
      <c r="A252" s="1196"/>
      <c r="B252" s="1214" t="s">
        <v>1153</v>
      </c>
      <c r="C252" s="1213">
        <v>44859</v>
      </c>
      <c r="D252" s="1225">
        <v>24.854838709677399</v>
      </c>
      <c r="E252" s="1807"/>
      <c r="F252" s="1210">
        <v>13.079000000000001</v>
      </c>
      <c r="G252" s="1209">
        <f t="shared" si="13"/>
        <v>40.840000000000032</v>
      </c>
      <c r="H252" s="1192">
        <f t="shared" si="10"/>
        <v>0.54495833333333332</v>
      </c>
      <c r="I252" s="2022"/>
      <c r="J252" s="1807"/>
      <c r="K252" s="1210">
        <f>K251+F254</f>
        <v>328.82600000000002</v>
      </c>
      <c r="L252" s="1192"/>
      <c r="M252" s="1807"/>
      <c r="N252" s="1209">
        <v>640.74</v>
      </c>
      <c r="O252" s="1191">
        <f t="shared" si="12"/>
        <v>25.77928617780664</v>
      </c>
      <c r="P252" s="1807"/>
      <c r="Q252" s="1208" t="s">
        <v>238</v>
      </c>
    </row>
    <row r="253" spans="1:17" s="1184" customFormat="1" ht="14.4">
      <c r="A253" s="1196"/>
      <c r="B253" s="1214" t="s">
        <v>1152</v>
      </c>
      <c r="C253" s="1213">
        <v>44860</v>
      </c>
      <c r="D253" s="1225">
        <v>25.848790322580623</v>
      </c>
      <c r="E253" s="1807"/>
      <c r="F253" s="1210">
        <v>13.638999999999999</v>
      </c>
      <c r="G253" s="1209">
        <f t="shared" si="13"/>
        <v>46.149999999999977</v>
      </c>
      <c r="H253" s="1192">
        <f t="shared" si="10"/>
        <v>0.56829166666666664</v>
      </c>
      <c r="I253" s="2022"/>
      <c r="J253" s="1807"/>
      <c r="K253" s="1210">
        <f>K252+F255</f>
        <v>345.42400000000004</v>
      </c>
      <c r="L253" s="1192"/>
      <c r="M253" s="1807"/>
      <c r="N253" s="1209">
        <v>686.89</v>
      </c>
      <c r="O253" s="1191">
        <f t="shared" si="12"/>
        <v>26.573390531159838</v>
      </c>
      <c r="P253" s="1807"/>
      <c r="Q253" s="1208"/>
    </row>
    <row r="254" spans="1:17" s="1184" customFormat="1" ht="14.4">
      <c r="A254" s="1196"/>
      <c r="B254" s="1214" t="s">
        <v>1151</v>
      </c>
      <c r="C254" s="1213">
        <v>44861</v>
      </c>
      <c r="D254" s="1225">
        <v>26.842741935483851</v>
      </c>
      <c r="E254" s="1807"/>
      <c r="F254" s="1210">
        <v>15.606</v>
      </c>
      <c r="G254" s="1209">
        <f t="shared" si="13"/>
        <v>30.629999999999995</v>
      </c>
      <c r="H254" s="1192">
        <f t="shared" si="10"/>
        <v>0.65024999999999999</v>
      </c>
      <c r="I254" s="2022"/>
      <c r="J254" s="1807"/>
      <c r="K254" s="1210">
        <v>356.28</v>
      </c>
      <c r="L254" s="1192"/>
      <c r="M254" s="1807"/>
      <c r="N254" s="1209">
        <v>717.52</v>
      </c>
      <c r="O254" s="1191">
        <f t="shared" si="12"/>
        <v>26.730503229683059</v>
      </c>
      <c r="P254" s="1807"/>
      <c r="Q254" s="1208"/>
    </row>
    <row r="255" spans="1:17" s="1184" customFormat="1" ht="14.4">
      <c r="A255" s="1196"/>
      <c r="B255" s="1214" t="s">
        <v>1150</v>
      </c>
      <c r="C255" s="1213">
        <v>44862</v>
      </c>
      <c r="D255" s="1225">
        <v>27.836693548387075</v>
      </c>
      <c r="E255" s="1807"/>
      <c r="F255" s="1210">
        <v>16.597999999999999</v>
      </c>
      <c r="G255" s="1209">
        <f t="shared" si="13"/>
        <v>39.909999999999968</v>
      </c>
      <c r="H255" s="1192">
        <f t="shared" si="10"/>
        <v>0.69158333333333333</v>
      </c>
      <c r="I255" s="2022"/>
      <c r="J255" s="1807"/>
      <c r="K255" s="1210">
        <v>371.01</v>
      </c>
      <c r="L255" s="1192"/>
      <c r="M255" s="1807"/>
      <c r="N255" s="1209">
        <v>757.43</v>
      </c>
      <c r="O255" s="1191">
        <f t="shared" si="12"/>
        <v>27.209768957775061</v>
      </c>
      <c r="P255" s="1807"/>
      <c r="Q255" s="1208" t="s">
        <v>238</v>
      </c>
    </row>
    <row r="256" spans="1:17" s="1184" customFormat="1" ht="14.4">
      <c r="A256" s="1196"/>
      <c r="B256" s="1214" t="s">
        <v>1149</v>
      </c>
      <c r="C256" s="1213">
        <v>44863</v>
      </c>
      <c r="D256" s="1225">
        <v>28.830645161290299</v>
      </c>
      <c r="E256" s="1807"/>
      <c r="F256" s="1210">
        <v>15.689</v>
      </c>
      <c r="G256" s="1209">
        <f t="shared" si="13"/>
        <v>39.530000000000086</v>
      </c>
      <c r="H256" s="1192">
        <f t="shared" si="10"/>
        <v>0.65370833333333334</v>
      </c>
      <c r="I256" s="2022"/>
      <c r="J256" s="1807"/>
      <c r="K256" s="1210">
        <v>386.7</v>
      </c>
      <c r="L256" s="1192"/>
      <c r="M256" s="1807"/>
      <c r="N256" s="1209">
        <v>796.96</v>
      </c>
      <c r="O256" s="1191">
        <f t="shared" si="12"/>
        <v>27.642808391608416</v>
      </c>
      <c r="P256" s="1807"/>
      <c r="Q256" s="1208"/>
    </row>
    <row r="257" spans="1:19" s="1184" customFormat="1" ht="14.4">
      <c r="A257" s="1196"/>
      <c r="B257" s="1214" t="s">
        <v>1155</v>
      </c>
      <c r="C257" s="1213">
        <v>44864</v>
      </c>
      <c r="D257" s="1225">
        <v>29.824596774193523</v>
      </c>
      <c r="E257" s="1807"/>
      <c r="F257" s="1210">
        <v>13.234</v>
      </c>
      <c r="G257" s="1209">
        <f t="shared" si="13"/>
        <v>36.299999999999955</v>
      </c>
      <c r="H257" s="1192">
        <f t="shared" si="10"/>
        <v>0.55141666666666667</v>
      </c>
      <c r="I257" s="2022"/>
      <c r="J257" s="1807"/>
      <c r="K257" s="1210">
        <v>399.32</v>
      </c>
      <c r="L257" s="1192"/>
      <c r="M257" s="1807"/>
      <c r="N257" s="1209">
        <v>833.26</v>
      </c>
      <c r="O257" s="1191">
        <f t="shared" si="12"/>
        <v>27.938684512945336</v>
      </c>
      <c r="P257" s="1807"/>
      <c r="Q257" s="1208"/>
    </row>
    <row r="258" spans="1:19" s="1184" customFormat="1" ht="14.4">
      <c r="A258" s="1196"/>
      <c r="B258" s="1214" t="s">
        <v>1154</v>
      </c>
      <c r="C258" s="1213">
        <v>44865</v>
      </c>
      <c r="D258" s="1225">
        <v>30.818548387096751</v>
      </c>
      <c r="E258" s="1807"/>
      <c r="F258" s="1210">
        <v>13.68</v>
      </c>
      <c r="G258" s="1209">
        <f>N258/D258</f>
        <v>38.962574905141992</v>
      </c>
      <c r="H258" s="1192">
        <f t="shared" si="10"/>
        <v>0.56999999999999995</v>
      </c>
      <c r="I258" s="2022"/>
      <c r="J258" s="1807"/>
      <c r="K258" s="1210">
        <f>K257+F258</f>
        <v>413</v>
      </c>
      <c r="L258" s="1192"/>
      <c r="M258" s="1807"/>
      <c r="N258" s="1209">
        <v>1200.77</v>
      </c>
      <c r="O258" s="1191">
        <f t="shared" si="12"/>
        <v>38.962574905141992</v>
      </c>
      <c r="P258" s="1807"/>
      <c r="Q258" s="1208"/>
    </row>
    <row r="259" spans="1:19" s="1851" customFormat="1" ht="9" customHeight="1" thickBot="1">
      <c r="H259" s="2004"/>
      <c r="I259" s="2004"/>
      <c r="L259" s="2004"/>
      <c r="M259" s="1852"/>
      <c r="O259" s="2004"/>
      <c r="P259" s="1852"/>
      <c r="R259" s="1852"/>
      <c r="S259" s="1852"/>
    </row>
    <row r="260" spans="1:19" s="1186" customFormat="1" ht="15" thickTop="1">
      <c r="A260" s="1185"/>
      <c r="B260" s="1230" t="s">
        <v>1153</v>
      </c>
      <c r="C260" s="1229">
        <v>44866</v>
      </c>
      <c r="D260" s="1228">
        <v>1</v>
      </c>
      <c r="E260" s="1809"/>
      <c r="F260" s="1218">
        <v>12.351000000000001</v>
      </c>
      <c r="G260" s="1227">
        <f>N260</f>
        <v>32.07</v>
      </c>
      <c r="H260" s="2023">
        <f t="shared" ref="H260:H289" si="14">F260/24</f>
        <v>0.514625</v>
      </c>
      <c r="I260" s="2024"/>
      <c r="J260" s="1809"/>
      <c r="K260" s="1218">
        <f>F260</f>
        <v>12.351000000000001</v>
      </c>
      <c r="L260" s="2023"/>
      <c r="M260" s="1809"/>
      <c r="N260" s="1227">
        <v>32.07</v>
      </c>
      <c r="O260" s="2066">
        <f t="shared" ref="O260:O289" si="15">N260/D260</f>
        <v>32.07</v>
      </c>
      <c r="P260" s="1809"/>
      <c r="Q260" s="1226"/>
    </row>
    <row r="261" spans="1:19" s="1186" customFormat="1" ht="14.4">
      <c r="A261" s="1185"/>
      <c r="B261" s="1214" t="s">
        <v>1152</v>
      </c>
      <c r="C261" s="1213">
        <v>44867</v>
      </c>
      <c r="D261" s="1225">
        <v>2</v>
      </c>
      <c r="E261" s="1809"/>
      <c r="F261" s="1210">
        <v>13.824</v>
      </c>
      <c r="G261" s="1209">
        <f t="shared" ref="G261:G283" si="16">N261-N260</f>
        <v>35.96</v>
      </c>
      <c r="H261" s="1192">
        <f t="shared" si="14"/>
        <v>0.57599999999999996</v>
      </c>
      <c r="I261" s="2022"/>
      <c r="J261" s="1809"/>
      <c r="K261" s="1210">
        <f>K260+F261</f>
        <v>26.175000000000001</v>
      </c>
      <c r="L261" s="1192"/>
      <c r="M261" s="1809"/>
      <c r="N261" s="1209">
        <v>68.03</v>
      </c>
      <c r="O261" s="1191">
        <f t="shared" si="15"/>
        <v>34.015000000000001</v>
      </c>
      <c r="P261" s="1809"/>
      <c r="Q261" s="1208"/>
    </row>
    <row r="262" spans="1:19" s="1186" customFormat="1" ht="14.4">
      <c r="A262" s="1185"/>
      <c r="B262" s="1214" t="s">
        <v>1151</v>
      </c>
      <c r="C262" s="1213">
        <v>44868</v>
      </c>
      <c r="D262" s="1225">
        <v>3</v>
      </c>
      <c r="E262" s="1809"/>
      <c r="F262" s="1210">
        <f>K262-K261</f>
        <v>11.864999999999998</v>
      </c>
      <c r="G262" s="1209">
        <f t="shared" si="16"/>
        <v>30.629999999999995</v>
      </c>
      <c r="H262" s="1192">
        <f t="shared" si="14"/>
        <v>0.49437499999999995</v>
      </c>
      <c r="I262" s="2022"/>
      <c r="J262" s="1809"/>
      <c r="K262" s="1210">
        <v>38.04</v>
      </c>
      <c r="L262" s="1192"/>
      <c r="M262" s="1809"/>
      <c r="N262" s="1209">
        <v>98.66</v>
      </c>
      <c r="O262" s="1191">
        <f t="shared" si="15"/>
        <v>32.886666666666663</v>
      </c>
      <c r="P262" s="1809"/>
      <c r="Q262" s="1208"/>
    </row>
    <row r="263" spans="1:19" s="1186" customFormat="1" ht="14.4">
      <c r="A263" s="1185"/>
      <c r="B263" s="1214" t="s">
        <v>1150</v>
      </c>
      <c r="C263" s="1213">
        <v>44869</v>
      </c>
      <c r="D263" s="1225">
        <v>4</v>
      </c>
      <c r="E263" s="1809"/>
      <c r="F263" s="1211">
        <f>K263-K262</f>
        <v>16.800000000000004</v>
      </c>
      <c r="G263" s="1209">
        <f t="shared" si="16"/>
        <v>46.550000000000011</v>
      </c>
      <c r="H263" s="2025">
        <f t="shared" si="14"/>
        <v>0.70000000000000018</v>
      </c>
      <c r="I263" s="2022"/>
      <c r="J263" s="1809"/>
      <c r="K263" s="1210">
        <v>54.84</v>
      </c>
      <c r="L263" s="1192"/>
      <c r="M263" s="1809"/>
      <c r="N263" s="1209">
        <v>145.21</v>
      </c>
      <c r="O263" s="1191">
        <f t="shared" si="15"/>
        <v>36.302500000000002</v>
      </c>
      <c r="P263" s="1809"/>
      <c r="Q263" s="1208" t="s">
        <v>238</v>
      </c>
    </row>
    <row r="264" spans="1:19" s="1186" customFormat="1" ht="14.4">
      <c r="A264" s="1185"/>
      <c r="B264" s="1214" t="s">
        <v>1149</v>
      </c>
      <c r="C264" s="1213">
        <v>44870</v>
      </c>
      <c r="D264" s="1225">
        <v>5</v>
      </c>
      <c r="E264" s="1809"/>
      <c r="F264" s="1211">
        <v>16.059999999999999</v>
      </c>
      <c r="G264" s="1209">
        <f t="shared" si="16"/>
        <v>43.75</v>
      </c>
      <c r="H264" s="2025">
        <f t="shared" si="14"/>
        <v>0.66916666666666658</v>
      </c>
      <c r="I264" s="2022"/>
      <c r="J264" s="1809"/>
      <c r="K264" s="1210">
        <f>K263+F264</f>
        <v>70.900000000000006</v>
      </c>
      <c r="L264" s="1192"/>
      <c r="M264" s="1809"/>
      <c r="N264" s="1209">
        <v>188.96</v>
      </c>
      <c r="O264" s="1191">
        <f t="shared" si="15"/>
        <v>37.792000000000002</v>
      </c>
      <c r="P264" s="1809"/>
      <c r="Q264" s="1208" t="s">
        <v>1134</v>
      </c>
    </row>
    <row r="265" spans="1:19" s="1186" customFormat="1" ht="14.4">
      <c r="A265" s="1185"/>
      <c r="B265" s="1214" t="s">
        <v>1155</v>
      </c>
      <c r="C265" s="1213">
        <v>44871</v>
      </c>
      <c r="D265" s="1225">
        <v>6</v>
      </c>
      <c r="E265" s="1809"/>
      <c r="F265" s="1211">
        <f>K265-K264</f>
        <v>10.759999999999991</v>
      </c>
      <c r="G265" s="1209">
        <f t="shared" si="16"/>
        <v>23.439999999999998</v>
      </c>
      <c r="H265" s="2025">
        <f t="shared" si="14"/>
        <v>0.44833333333333297</v>
      </c>
      <c r="I265" s="2022"/>
      <c r="J265" s="1809"/>
      <c r="K265" s="1210">
        <v>81.66</v>
      </c>
      <c r="L265" s="1192"/>
      <c r="M265" s="1809"/>
      <c r="N265" s="1209">
        <v>212.4</v>
      </c>
      <c r="O265" s="1191">
        <f t="shared" si="15"/>
        <v>35.4</v>
      </c>
      <c r="P265" s="1809"/>
      <c r="Q265" s="1208"/>
    </row>
    <row r="266" spans="1:19" s="1186" customFormat="1" ht="14.4">
      <c r="A266" s="1185"/>
      <c r="B266" s="1214" t="s">
        <v>1154</v>
      </c>
      <c r="C266" s="1213">
        <v>44872</v>
      </c>
      <c r="D266" s="1225">
        <v>7</v>
      </c>
      <c r="E266" s="1809"/>
      <c r="F266" s="1211">
        <v>14.893000000000001</v>
      </c>
      <c r="G266" s="1209">
        <f t="shared" si="16"/>
        <v>34.430000000000007</v>
      </c>
      <c r="H266" s="2025">
        <f t="shared" si="14"/>
        <v>0.62054166666666666</v>
      </c>
      <c r="I266" s="2022"/>
      <c r="J266" s="1809"/>
      <c r="K266" s="1210">
        <f>K265+F266</f>
        <v>96.552999999999997</v>
      </c>
      <c r="L266" s="1192"/>
      <c r="M266" s="1809"/>
      <c r="N266" s="1209">
        <v>246.83</v>
      </c>
      <c r="O266" s="1191">
        <f t="shared" si="15"/>
        <v>35.261428571428574</v>
      </c>
      <c r="P266" s="1809"/>
      <c r="Q266" s="1208"/>
    </row>
    <row r="267" spans="1:19" s="1186" customFormat="1" ht="14.4">
      <c r="A267" s="1185"/>
      <c r="B267" s="1214" t="s">
        <v>1153</v>
      </c>
      <c r="C267" s="1213">
        <v>44873</v>
      </c>
      <c r="D267" s="1225">
        <v>8</v>
      </c>
      <c r="E267" s="1809"/>
      <c r="F267" s="1211">
        <v>22.05</v>
      </c>
      <c r="G267" s="1209">
        <f t="shared" si="16"/>
        <v>51.799999999999983</v>
      </c>
      <c r="H267" s="2025">
        <f t="shared" si="14"/>
        <v>0.91875000000000007</v>
      </c>
      <c r="I267" s="2022"/>
      <c r="J267" s="1809"/>
      <c r="K267" s="1210">
        <f>K266+F267</f>
        <v>118.60299999999999</v>
      </c>
      <c r="L267" s="1192"/>
      <c r="M267" s="1809"/>
      <c r="N267" s="1209">
        <v>298.63</v>
      </c>
      <c r="O267" s="1191">
        <f t="shared" si="15"/>
        <v>37.328749999999999</v>
      </c>
      <c r="P267" s="1809"/>
      <c r="Q267" s="1208" t="s">
        <v>1156</v>
      </c>
    </row>
    <row r="268" spans="1:19" s="1186" customFormat="1" ht="14.4">
      <c r="A268" s="1185"/>
      <c r="B268" s="1214" t="s">
        <v>1152</v>
      </c>
      <c r="C268" s="1213">
        <v>44874</v>
      </c>
      <c r="D268" s="1225">
        <v>9</v>
      </c>
      <c r="E268" s="1809"/>
      <c r="F268" s="1211">
        <v>36.69</v>
      </c>
      <c r="G268" s="1209">
        <f t="shared" si="16"/>
        <v>94</v>
      </c>
      <c r="H268" s="2025">
        <f t="shared" si="14"/>
        <v>1.5287499999999998</v>
      </c>
      <c r="I268" s="2022"/>
      <c r="J268" s="1809"/>
      <c r="K268" s="1210">
        <f>F268+K267</f>
        <v>155.29300000000001</v>
      </c>
      <c r="L268" s="1192"/>
      <c r="M268" s="1809"/>
      <c r="N268" s="1209">
        <v>392.63</v>
      </c>
      <c r="O268" s="1191">
        <f t="shared" si="15"/>
        <v>43.625555555555557</v>
      </c>
      <c r="P268" s="1809"/>
      <c r="Q268" s="1208"/>
    </row>
    <row r="269" spans="1:19" s="1186" customFormat="1" ht="14.4">
      <c r="A269" s="1185"/>
      <c r="B269" s="1214" t="s">
        <v>1151</v>
      </c>
      <c r="C269" s="1213">
        <v>44875</v>
      </c>
      <c r="D269" s="1225">
        <v>10</v>
      </c>
      <c r="E269" s="1809"/>
      <c r="F269" s="1211">
        <v>38.32</v>
      </c>
      <c r="G269" s="1209">
        <f t="shared" si="16"/>
        <v>93.009999999999991</v>
      </c>
      <c r="H269" s="2025">
        <f t="shared" si="14"/>
        <v>1.5966666666666667</v>
      </c>
      <c r="I269" s="2022"/>
      <c r="J269" s="1809"/>
      <c r="K269" s="1210">
        <f>F269+K268</f>
        <v>193.613</v>
      </c>
      <c r="L269" s="1192"/>
      <c r="M269" s="1809"/>
      <c r="N269" s="1209">
        <v>485.64</v>
      </c>
      <c r="O269" s="1191">
        <f t="shared" si="15"/>
        <v>48.564</v>
      </c>
      <c r="P269" s="1809"/>
      <c r="Q269" s="1208"/>
    </row>
    <row r="270" spans="1:19" s="1186" customFormat="1" ht="14.4">
      <c r="A270" s="1185"/>
      <c r="B270" s="1214" t="s">
        <v>1150</v>
      </c>
      <c r="C270" s="1213">
        <v>44876</v>
      </c>
      <c r="D270" s="1225">
        <v>11</v>
      </c>
      <c r="E270" s="1809"/>
      <c r="F270" s="1211">
        <v>26.62</v>
      </c>
      <c r="G270" s="1209">
        <f t="shared" si="16"/>
        <v>46.769999999999982</v>
      </c>
      <c r="H270" s="2025">
        <f t="shared" si="14"/>
        <v>1.1091666666666666</v>
      </c>
      <c r="I270" s="2022"/>
      <c r="J270" s="1809"/>
      <c r="K270" s="1210">
        <f>F270+K269</f>
        <v>220.233</v>
      </c>
      <c r="L270" s="1192"/>
      <c r="M270" s="1809"/>
      <c r="N270" s="1209">
        <v>532.41</v>
      </c>
      <c r="O270" s="1191">
        <f t="shared" si="15"/>
        <v>48.400909090909089</v>
      </c>
      <c r="P270" s="1809"/>
      <c r="Q270" s="1208" t="s">
        <v>1132</v>
      </c>
    </row>
    <row r="271" spans="1:19" s="1186" customFormat="1" ht="14.4">
      <c r="A271" s="1185"/>
      <c r="B271" s="1214" t="s">
        <v>1149</v>
      </c>
      <c r="C271" s="1213">
        <v>44877</v>
      </c>
      <c r="D271" s="1225">
        <v>12</v>
      </c>
      <c r="E271" s="1809"/>
      <c r="F271" s="1211">
        <v>15.84</v>
      </c>
      <c r="G271" s="1209">
        <f t="shared" si="16"/>
        <v>49.629999999999995</v>
      </c>
      <c r="H271" s="2025">
        <f t="shared" si="14"/>
        <v>0.66</v>
      </c>
      <c r="I271" s="2022"/>
      <c r="J271" s="1809"/>
      <c r="K271" s="1210">
        <f t="shared" ref="K271:K289" si="17">K270+F271</f>
        <v>236.07300000000001</v>
      </c>
      <c r="L271" s="1192"/>
      <c r="M271" s="1809"/>
      <c r="N271" s="1209">
        <v>582.04</v>
      </c>
      <c r="O271" s="1191">
        <f t="shared" si="15"/>
        <v>48.50333333333333</v>
      </c>
      <c r="P271" s="1809"/>
      <c r="Q271" s="1208" t="s">
        <v>238</v>
      </c>
    </row>
    <row r="272" spans="1:19" s="1186" customFormat="1" ht="14.4">
      <c r="A272" s="1185"/>
      <c r="B272" s="1214" t="s">
        <v>1155</v>
      </c>
      <c r="C272" s="1213">
        <v>44878</v>
      </c>
      <c r="D272" s="1225">
        <v>13</v>
      </c>
      <c r="E272" s="1809"/>
      <c r="F272" s="1211">
        <v>11.03</v>
      </c>
      <c r="G272" s="1209">
        <f t="shared" si="16"/>
        <v>33.850000000000023</v>
      </c>
      <c r="H272" s="2025">
        <f t="shared" si="14"/>
        <v>0.45958333333333329</v>
      </c>
      <c r="I272" s="2022"/>
      <c r="J272" s="1809"/>
      <c r="K272" s="1210">
        <f t="shared" si="17"/>
        <v>247.10300000000001</v>
      </c>
      <c r="L272" s="1192"/>
      <c r="M272" s="1809"/>
      <c r="N272" s="1209">
        <v>615.89</v>
      </c>
      <c r="O272" s="1191">
        <f t="shared" si="15"/>
        <v>47.376153846153848</v>
      </c>
      <c r="P272" s="1809"/>
      <c r="Q272" s="1208"/>
    </row>
    <row r="273" spans="1:17" s="1186" customFormat="1" ht="14.4">
      <c r="A273" s="1185"/>
      <c r="B273" s="1214" t="s">
        <v>1154</v>
      </c>
      <c r="C273" s="1213">
        <v>44879</v>
      </c>
      <c r="D273" s="1225">
        <v>14</v>
      </c>
      <c r="E273" s="1809"/>
      <c r="F273" s="1211">
        <f>[1]El2!L342</f>
        <v>16.684000000000001</v>
      </c>
      <c r="G273" s="1209">
        <f t="shared" si="16"/>
        <v>59.139999999999986</v>
      </c>
      <c r="H273" s="2025">
        <f t="shared" si="14"/>
        <v>0.69516666666666671</v>
      </c>
      <c r="I273" s="2022"/>
      <c r="J273" s="1809"/>
      <c r="K273" s="1210">
        <f t="shared" si="17"/>
        <v>263.78700000000003</v>
      </c>
      <c r="L273" s="1192"/>
      <c r="M273" s="1809"/>
      <c r="N273" s="1209">
        <v>675.03</v>
      </c>
      <c r="O273" s="1191">
        <f t="shared" si="15"/>
        <v>48.216428571428573</v>
      </c>
      <c r="P273" s="1809"/>
      <c r="Q273" s="1208"/>
    </row>
    <row r="274" spans="1:17" s="1186" customFormat="1" ht="14.4">
      <c r="A274" s="1185"/>
      <c r="B274" s="1214" t="s">
        <v>1153</v>
      </c>
      <c r="C274" s="1213">
        <v>44880</v>
      </c>
      <c r="D274" s="1225">
        <v>15</v>
      </c>
      <c r="E274" s="1809"/>
      <c r="F274" s="1211">
        <f>[1]El2!L368</f>
        <v>24.833000000000002</v>
      </c>
      <c r="G274" s="1209">
        <f t="shared" si="16"/>
        <v>59.379999999999995</v>
      </c>
      <c r="H274" s="2025">
        <f t="shared" si="14"/>
        <v>1.0347083333333333</v>
      </c>
      <c r="I274" s="2022"/>
      <c r="J274" s="1809"/>
      <c r="K274" s="1210">
        <f t="shared" si="17"/>
        <v>288.62000000000006</v>
      </c>
      <c r="L274" s="1192"/>
      <c r="M274" s="1809"/>
      <c r="N274" s="1209">
        <v>734.41</v>
      </c>
      <c r="O274" s="1191">
        <f t="shared" si="15"/>
        <v>48.960666666666661</v>
      </c>
      <c r="P274" s="1809"/>
      <c r="Q274" s="1208"/>
    </row>
    <row r="275" spans="1:17" s="1186" customFormat="1" ht="14.4">
      <c r="A275" s="1185"/>
      <c r="B275" s="1214" t="s">
        <v>1152</v>
      </c>
      <c r="C275" s="1213">
        <v>44881</v>
      </c>
      <c r="D275" s="1225">
        <v>16</v>
      </c>
      <c r="E275" s="1809"/>
      <c r="F275" s="1211">
        <f>[1]El2!L394</f>
        <v>41.672999999999988</v>
      </c>
      <c r="G275" s="1209">
        <f t="shared" si="16"/>
        <v>81.37</v>
      </c>
      <c r="H275" s="2025">
        <f t="shared" si="14"/>
        <v>1.7363749999999996</v>
      </c>
      <c r="I275" s="2022"/>
      <c r="J275" s="1809"/>
      <c r="K275" s="1210">
        <f t="shared" si="17"/>
        <v>330.29300000000006</v>
      </c>
      <c r="L275" s="1192"/>
      <c r="M275" s="1809"/>
      <c r="N275" s="1209">
        <v>815.78</v>
      </c>
      <c r="O275" s="1191">
        <f t="shared" si="15"/>
        <v>50.986249999999998</v>
      </c>
      <c r="P275" s="1809"/>
      <c r="Q275" s="1208"/>
    </row>
    <row r="276" spans="1:17" s="1186" customFormat="1" ht="14.4">
      <c r="A276" s="1185"/>
      <c r="B276" s="1214" t="s">
        <v>1151</v>
      </c>
      <c r="C276" s="1213">
        <v>44882</v>
      </c>
      <c r="D276" s="1225">
        <v>17</v>
      </c>
      <c r="E276" s="1809"/>
      <c r="F276" s="1211">
        <f>[1]El2!L420</f>
        <v>39.832000000000001</v>
      </c>
      <c r="G276" s="1209">
        <f t="shared" si="16"/>
        <v>88.63</v>
      </c>
      <c r="H276" s="2025">
        <f t="shared" si="14"/>
        <v>1.6596666666666666</v>
      </c>
      <c r="I276" s="2022"/>
      <c r="J276" s="1809"/>
      <c r="K276" s="1210">
        <f t="shared" si="17"/>
        <v>370.12500000000006</v>
      </c>
      <c r="L276" s="1192"/>
      <c r="M276" s="1809"/>
      <c r="N276" s="1209">
        <v>904.41</v>
      </c>
      <c r="O276" s="1191">
        <f t="shared" si="15"/>
        <v>53.200588235294113</v>
      </c>
      <c r="P276" s="1809"/>
      <c r="Q276" s="1208"/>
    </row>
    <row r="277" spans="1:17" s="1186" customFormat="1" ht="14.4">
      <c r="A277" s="1185"/>
      <c r="B277" s="1214" t="s">
        <v>1150</v>
      </c>
      <c r="C277" s="1213">
        <v>44883</v>
      </c>
      <c r="D277" s="1225">
        <v>18</v>
      </c>
      <c r="E277" s="1809"/>
      <c r="F277" s="1211">
        <f>[1]El2!L446</f>
        <v>39.468999999999994</v>
      </c>
      <c r="G277" s="1209">
        <f t="shared" si="16"/>
        <v>110.20000000000005</v>
      </c>
      <c r="H277" s="2025">
        <f t="shared" si="14"/>
        <v>1.6445416666666663</v>
      </c>
      <c r="I277" s="2022"/>
      <c r="J277" s="1809"/>
      <c r="K277" s="1210">
        <f t="shared" si="17"/>
        <v>409.59400000000005</v>
      </c>
      <c r="L277" s="1192"/>
      <c r="M277" s="1809"/>
      <c r="N277" s="1209">
        <v>1014.61</v>
      </c>
      <c r="O277" s="1191">
        <f t="shared" si="15"/>
        <v>56.367222222222225</v>
      </c>
      <c r="P277" s="1809"/>
      <c r="Q277" s="1208"/>
    </row>
    <row r="278" spans="1:17" s="1186" customFormat="1" ht="14.4">
      <c r="A278" s="1185"/>
      <c r="B278" s="1214" t="s">
        <v>1149</v>
      </c>
      <c r="C278" s="1213">
        <v>44884</v>
      </c>
      <c r="D278" s="1225">
        <v>19</v>
      </c>
      <c r="E278" s="1809"/>
      <c r="F278" s="1211">
        <f>[1]El2!L472</f>
        <v>41.655000000000001</v>
      </c>
      <c r="G278" s="1209">
        <f t="shared" si="16"/>
        <v>147.94999999999993</v>
      </c>
      <c r="H278" s="2025">
        <f t="shared" si="14"/>
        <v>1.735625</v>
      </c>
      <c r="I278" s="2022"/>
      <c r="J278" s="1809"/>
      <c r="K278" s="1210">
        <f t="shared" si="17"/>
        <v>451.24900000000002</v>
      </c>
      <c r="L278" s="1192"/>
      <c r="M278" s="1809"/>
      <c r="N278" s="1209">
        <v>1162.56</v>
      </c>
      <c r="O278" s="1191">
        <f t="shared" si="15"/>
        <v>61.187368421052632</v>
      </c>
      <c r="P278" s="1809"/>
      <c r="Q278" s="1208"/>
    </row>
    <row r="279" spans="1:17" s="1186" customFormat="1" ht="14.4">
      <c r="A279" s="1185"/>
      <c r="B279" s="1214" t="s">
        <v>1155</v>
      </c>
      <c r="C279" s="1213">
        <v>44885</v>
      </c>
      <c r="D279" s="1225">
        <v>20</v>
      </c>
      <c r="E279" s="1809"/>
      <c r="F279" s="1211">
        <f>EL!I481</f>
        <v>40.147999999999989</v>
      </c>
      <c r="G279" s="1209">
        <f t="shared" si="16"/>
        <v>149.34000000000015</v>
      </c>
      <c r="H279" s="2025">
        <f t="shared" si="14"/>
        <v>1.672833333333333</v>
      </c>
      <c r="I279" s="2022"/>
      <c r="J279" s="1809"/>
      <c r="K279" s="1210">
        <f t="shared" si="17"/>
        <v>491.39699999999999</v>
      </c>
      <c r="L279" s="1192"/>
      <c r="M279" s="1809"/>
      <c r="N279" s="1209">
        <v>1311.9</v>
      </c>
      <c r="O279" s="1191">
        <f t="shared" si="15"/>
        <v>65.594999999999999</v>
      </c>
      <c r="P279" s="1809"/>
      <c r="Q279" s="1208"/>
    </row>
    <row r="280" spans="1:17" s="1186" customFormat="1" ht="14.4">
      <c r="A280" s="1185"/>
      <c r="B280" s="1214" t="s">
        <v>1154</v>
      </c>
      <c r="C280" s="1213">
        <v>44886</v>
      </c>
      <c r="D280" s="1225">
        <v>21</v>
      </c>
      <c r="E280" s="1809"/>
      <c r="F280" s="1211">
        <f>EL!I506</f>
        <v>38.161000000000001</v>
      </c>
      <c r="G280" s="1209">
        <f t="shared" si="16"/>
        <v>159.26999999999998</v>
      </c>
      <c r="H280" s="2025">
        <f t="shared" si="14"/>
        <v>1.5900416666666668</v>
      </c>
      <c r="I280" s="2022"/>
      <c r="J280" s="1809"/>
      <c r="K280" s="1210">
        <f t="shared" si="17"/>
        <v>529.55799999999999</v>
      </c>
      <c r="L280" s="1192"/>
      <c r="M280" s="1809"/>
      <c r="N280" s="1209">
        <v>1471.17</v>
      </c>
      <c r="O280" s="1191">
        <f t="shared" si="15"/>
        <v>70.055714285714288</v>
      </c>
      <c r="P280" s="1809"/>
      <c r="Q280" s="1208"/>
    </row>
    <row r="281" spans="1:17" s="1186" customFormat="1" ht="14.4">
      <c r="A281" s="1185"/>
      <c r="B281" s="1214" t="s">
        <v>1153</v>
      </c>
      <c r="C281" s="1213">
        <v>44887</v>
      </c>
      <c r="D281" s="1225">
        <v>22</v>
      </c>
      <c r="E281" s="1809"/>
      <c r="F281" s="1211">
        <f>EL!I531</f>
        <v>24.833000000000002</v>
      </c>
      <c r="G281" s="1209">
        <f t="shared" si="16"/>
        <v>83.769999999999982</v>
      </c>
      <c r="H281" s="2025">
        <f t="shared" si="14"/>
        <v>1.0347083333333333</v>
      </c>
      <c r="I281" s="2022"/>
      <c r="J281" s="1809"/>
      <c r="K281" s="1210">
        <f t="shared" si="17"/>
        <v>554.39099999999996</v>
      </c>
      <c r="L281" s="1192"/>
      <c r="M281" s="1809"/>
      <c r="N281" s="1209">
        <v>1554.94</v>
      </c>
      <c r="O281" s="1191">
        <f t="shared" si="15"/>
        <v>70.679090909090917</v>
      </c>
      <c r="P281" s="1809"/>
      <c r="Q281" s="1208"/>
    </row>
    <row r="282" spans="1:17" s="1184" customFormat="1" ht="14.4">
      <c r="A282" s="1196"/>
      <c r="B282" s="1214" t="s">
        <v>1152</v>
      </c>
      <c r="C282" s="1213">
        <v>44888</v>
      </c>
      <c r="D282" s="1225">
        <v>23</v>
      </c>
      <c r="E282" s="1807"/>
      <c r="F282" s="1211">
        <f>EL!I556</f>
        <v>30.170999999999999</v>
      </c>
      <c r="G282" s="1209">
        <f t="shared" si="16"/>
        <v>124.57999999999993</v>
      </c>
      <c r="H282" s="2025">
        <f t="shared" si="14"/>
        <v>1.257125</v>
      </c>
      <c r="I282" s="2022"/>
      <c r="J282" s="1807"/>
      <c r="K282" s="1210">
        <f t="shared" si="17"/>
        <v>584.56200000000001</v>
      </c>
      <c r="L282" s="1192"/>
      <c r="M282" s="1807"/>
      <c r="N282" s="1209">
        <v>1679.52</v>
      </c>
      <c r="O282" s="1191">
        <f t="shared" si="15"/>
        <v>73.022608695652167</v>
      </c>
      <c r="P282" s="1807"/>
      <c r="Q282" s="1208"/>
    </row>
    <row r="283" spans="1:17" s="1186" customFormat="1" ht="14.4">
      <c r="A283" s="1185"/>
      <c r="B283" s="1214" t="s">
        <v>1151</v>
      </c>
      <c r="C283" s="1213">
        <v>44889</v>
      </c>
      <c r="D283" s="1225">
        <v>24</v>
      </c>
      <c r="E283" s="1809"/>
      <c r="F283" s="1211">
        <f>EL!I581</f>
        <v>29.037999999999997</v>
      </c>
      <c r="G283" s="1209">
        <f t="shared" si="16"/>
        <v>119.26999999999998</v>
      </c>
      <c r="H283" s="2025">
        <f t="shared" si="14"/>
        <v>1.2099166666666665</v>
      </c>
      <c r="I283" s="2022"/>
      <c r="J283" s="1809"/>
      <c r="K283" s="1210">
        <f t="shared" si="17"/>
        <v>613.6</v>
      </c>
      <c r="L283" s="1192"/>
      <c r="M283" s="1809"/>
      <c r="N283" s="1209">
        <v>1798.79</v>
      </c>
      <c r="O283" s="1191">
        <f t="shared" si="15"/>
        <v>74.949583333333337</v>
      </c>
      <c r="P283" s="1809"/>
      <c r="Q283" s="1208"/>
    </row>
    <row r="284" spans="1:17" s="1184" customFormat="1" ht="14.4">
      <c r="A284" s="1196"/>
      <c r="B284" s="1214" t="s">
        <v>1150</v>
      </c>
      <c r="C284" s="1213">
        <v>44890</v>
      </c>
      <c r="D284" s="1225">
        <v>25</v>
      </c>
      <c r="E284" s="1807"/>
      <c r="F284" s="1211">
        <f>EL!I606</f>
        <v>30.821999999999999</v>
      </c>
      <c r="G284" s="1209">
        <f>EL!I609</f>
        <v>128.92000000000002</v>
      </c>
      <c r="H284" s="2025">
        <f t="shared" si="14"/>
        <v>1.2842499999999999</v>
      </c>
      <c r="I284" s="2022"/>
      <c r="J284" s="1807"/>
      <c r="K284" s="1210">
        <f t="shared" si="17"/>
        <v>644.42200000000003</v>
      </c>
      <c r="L284" s="1192"/>
      <c r="M284" s="1807"/>
      <c r="N284" s="1209">
        <f>N283+G284</f>
        <v>1927.71</v>
      </c>
      <c r="O284" s="1191">
        <f t="shared" si="15"/>
        <v>77.108400000000003</v>
      </c>
      <c r="P284" s="1807"/>
      <c r="Q284" s="1208"/>
    </row>
    <row r="285" spans="1:17" s="1184" customFormat="1" ht="14.4">
      <c r="A285" s="1196"/>
      <c r="B285" s="1214" t="s">
        <v>1149</v>
      </c>
      <c r="C285" s="1213">
        <v>44891</v>
      </c>
      <c r="D285" s="1225">
        <v>26</v>
      </c>
      <c r="E285" s="1807"/>
      <c r="F285" s="1211">
        <f>EL!I631</f>
        <v>35.623000000000005</v>
      </c>
      <c r="G285" s="1209">
        <f>EL!I634</f>
        <v>141.96</v>
      </c>
      <c r="H285" s="2025">
        <f t="shared" si="14"/>
        <v>1.4842916666666668</v>
      </c>
      <c r="I285" s="2022"/>
      <c r="J285" s="1807"/>
      <c r="K285" s="1210">
        <f t="shared" si="17"/>
        <v>680.04500000000007</v>
      </c>
      <c r="L285" s="1192"/>
      <c r="M285" s="1807"/>
      <c r="N285" s="1209">
        <v>2063.15</v>
      </c>
      <c r="O285" s="1191">
        <f t="shared" si="15"/>
        <v>79.351923076923086</v>
      </c>
      <c r="P285" s="1807"/>
      <c r="Q285" s="1208"/>
    </row>
    <row r="286" spans="1:17" s="1184" customFormat="1" ht="14.4">
      <c r="A286" s="1196"/>
      <c r="B286" s="1214" t="s">
        <v>1155</v>
      </c>
      <c r="C286" s="1213">
        <v>44892</v>
      </c>
      <c r="D286" s="1225">
        <v>27</v>
      </c>
      <c r="E286" s="1807"/>
      <c r="F286" s="1211">
        <f>EL!I656</f>
        <v>42.760000000000005</v>
      </c>
      <c r="G286" s="1209">
        <f>EL!I659</f>
        <v>120.92</v>
      </c>
      <c r="H286" s="2025">
        <f t="shared" si="14"/>
        <v>1.781666666666667</v>
      </c>
      <c r="I286" s="2022"/>
      <c r="J286" s="1807"/>
      <c r="K286" s="1210">
        <f t="shared" si="17"/>
        <v>722.80500000000006</v>
      </c>
      <c r="L286" s="1192"/>
      <c r="M286" s="1807"/>
      <c r="N286" s="1209">
        <v>2184.06</v>
      </c>
      <c r="O286" s="1191">
        <f t="shared" si="15"/>
        <v>80.891111111111115</v>
      </c>
      <c r="P286" s="1807"/>
      <c r="Q286" s="1208"/>
    </row>
    <row r="287" spans="1:17" s="1184" customFormat="1" ht="14.4">
      <c r="A287" s="1196"/>
      <c r="B287" s="1214" t="s">
        <v>1154</v>
      </c>
      <c r="C287" s="1213">
        <v>44893</v>
      </c>
      <c r="D287" s="1225">
        <v>28</v>
      </c>
      <c r="E287" s="1807"/>
      <c r="F287" s="1211">
        <f>EL!I681</f>
        <v>47.070000000000007</v>
      </c>
      <c r="G287" s="1209">
        <f>EL!I684</f>
        <v>165.11999999999998</v>
      </c>
      <c r="H287" s="2025">
        <f t="shared" si="14"/>
        <v>1.9612500000000004</v>
      </c>
      <c r="I287" s="2022"/>
      <c r="J287" s="1807"/>
      <c r="K287" s="1210">
        <f t="shared" si="17"/>
        <v>769.87500000000011</v>
      </c>
      <c r="L287" s="1192"/>
      <c r="M287" s="1807"/>
      <c r="N287" s="1209">
        <v>2353.33</v>
      </c>
      <c r="O287" s="1191">
        <f t="shared" si="15"/>
        <v>84.047499999999999</v>
      </c>
      <c r="P287" s="1807"/>
      <c r="Q287" s="1208"/>
    </row>
    <row r="288" spans="1:17" s="1184" customFormat="1" ht="14.4">
      <c r="A288" s="1196"/>
      <c r="B288" s="1214" t="s">
        <v>1153</v>
      </c>
      <c r="C288" s="1213">
        <v>44894</v>
      </c>
      <c r="D288" s="1225">
        <v>29</v>
      </c>
      <c r="E288" s="1807"/>
      <c r="F288" s="1211">
        <f>EL!I706</f>
        <v>46.325000000000003</v>
      </c>
      <c r="G288" s="1209">
        <f>EL!I709</f>
        <v>242.96999999999997</v>
      </c>
      <c r="H288" s="2025">
        <f t="shared" si="14"/>
        <v>1.9302083333333335</v>
      </c>
      <c r="I288" s="2022"/>
      <c r="J288" s="1807"/>
      <c r="K288" s="1210">
        <f t="shared" si="17"/>
        <v>816.20000000000016</v>
      </c>
      <c r="L288" s="1192"/>
      <c r="M288" s="1807"/>
      <c r="N288" s="1209">
        <v>2596.2800000000002</v>
      </c>
      <c r="O288" s="1191">
        <f t="shared" si="15"/>
        <v>89.52689655172415</v>
      </c>
      <c r="P288" s="1807"/>
      <c r="Q288" s="1208" t="s">
        <v>238</v>
      </c>
    </row>
    <row r="289" spans="1:19" s="1222" customFormat="1" ht="15" thickBot="1">
      <c r="A289" s="1224"/>
      <c r="B289" s="1207" t="s">
        <v>1152</v>
      </c>
      <c r="C289" s="1206">
        <v>44895</v>
      </c>
      <c r="D289" s="1223">
        <v>30</v>
      </c>
      <c r="E289" s="1807"/>
      <c r="F289" s="1204">
        <f>EL!I731</f>
        <v>41.450999999999993</v>
      </c>
      <c r="G289" s="1200">
        <f>AVERAGE($G$277:G288)</f>
        <v>141.18916666666667</v>
      </c>
      <c r="H289" s="2026">
        <f t="shared" si="14"/>
        <v>1.7271249999999998</v>
      </c>
      <c r="I289" s="1203"/>
      <c r="J289" s="1807"/>
      <c r="K289" s="1202">
        <f t="shared" si="17"/>
        <v>857.65100000000018</v>
      </c>
      <c r="L289" s="1201"/>
      <c r="M289" s="1807"/>
      <c r="N289" s="1200">
        <v>2824.05</v>
      </c>
      <c r="O289" s="1199">
        <f t="shared" si="15"/>
        <v>94.135000000000005</v>
      </c>
      <c r="P289" s="1807"/>
      <c r="Q289" s="1198"/>
    </row>
    <row r="290" spans="1:19" s="1851" customFormat="1" ht="9" customHeight="1" thickBot="1">
      <c r="H290" s="2004"/>
      <c r="I290" s="2004"/>
      <c r="L290" s="2004"/>
      <c r="M290" s="1852"/>
      <c r="O290" s="2004"/>
      <c r="P290" s="1852"/>
      <c r="R290" s="1852"/>
      <c r="S290" s="1852"/>
    </row>
    <row r="291" spans="1:19" s="1184" customFormat="1" ht="15" thickTop="1">
      <c r="A291" s="1197"/>
      <c r="B291" s="1221" t="s">
        <v>1151</v>
      </c>
      <c r="C291" s="1220">
        <v>44896</v>
      </c>
      <c r="D291" s="1219">
        <v>1</v>
      </c>
      <c r="E291" s="1807"/>
      <c r="F291" s="1218">
        <f>EL!P6</f>
        <v>35.466999999999999</v>
      </c>
      <c r="G291" s="1193">
        <f>EL!P9</f>
        <v>172.54999999999998</v>
      </c>
      <c r="H291" s="1217">
        <f t="shared" ref="H291:H321" si="18">F291/24</f>
        <v>1.4777916666666666</v>
      </c>
      <c r="I291" s="1194">
        <f>EL!X3</f>
        <v>3.9225000000000012</v>
      </c>
      <c r="J291" s="1807"/>
      <c r="K291" s="1216">
        <f>F291</f>
        <v>35.466999999999999</v>
      </c>
      <c r="L291" s="1192">
        <f t="shared" ref="L291:L321" si="19">K291/D291</f>
        <v>35.466999999999999</v>
      </c>
      <c r="M291" s="1807"/>
      <c r="N291" s="1193">
        <v>172.57</v>
      </c>
      <c r="O291" s="1190">
        <f t="shared" ref="O291:O321" si="20">N291/D291</f>
        <v>172.57</v>
      </c>
      <c r="P291" s="1807"/>
      <c r="Q291" s="1215"/>
    </row>
    <row r="292" spans="1:19" s="1184" customFormat="1" ht="14.4">
      <c r="A292" s="1197"/>
      <c r="B292" s="1214" t="s">
        <v>1150</v>
      </c>
      <c r="C292" s="1213">
        <v>44897</v>
      </c>
      <c r="D292" s="1212">
        <v>2</v>
      </c>
      <c r="E292" s="1807"/>
      <c r="F292" s="1210">
        <f>EL!P31</f>
        <v>35.438000000000002</v>
      </c>
      <c r="G292" s="1209">
        <f>EL!P34</f>
        <v>151.47999999999999</v>
      </c>
      <c r="H292" s="1192">
        <f t="shared" si="18"/>
        <v>1.4765833333333334</v>
      </c>
      <c r="I292" s="1194">
        <f>EL!X28</f>
        <v>3.3549999999999991</v>
      </c>
      <c r="J292" s="1807"/>
      <c r="K292" s="1192">
        <f t="shared" ref="K292:K315" si="21">K291+F292</f>
        <v>70.905000000000001</v>
      </c>
      <c r="L292" s="1192">
        <f t="shared" si="19"/>
        <v>35.452500000000001</v>
      </c>
      <c r="M292" s="1807"/>
      <c r="N292" s="1209">
        <v>324.05</v>
      </c>
      <c r="O292" s="1191">
        <f t="shared" si="20"/>
        <v>162.02500000000001</v>
      </c>
      <c r="P292" s="1807"/>
      <c r="Q292" s="1208"/>
    </row>
    <row r="293" spans="1:19" s="1184" customFormat="1" ht="14.4">
      <c r="A293" s="1197"/>
      <c r="B293" s="1214" t="s">
        <v>1149</v>
      </c>
      <c r="C293" s="1213">
        <v>44898</v>
      </c>
      <c r="D293" s="1212">
        <v>3</v>
      </c>
      <c r="E293" s="1807"/>
      <c r="F293" s="1210">
        <f>EL!P56</f>
        <v>31.29</v>
      </c>
      <c r="G293" s="1209">
        <f>EL!P59</f>
        <v>113.96</v>
      </c>
      <c r="H293" s="1192">
        <f t="shared" si="18"/>
        <v>1.30375</v>
      </c>
      <c r="I293" s="1194">
        <f>EL!X53</f>
        <v>2.6495833333333336</v>
      </c>
      <c r="J293" s="1807"/>
      <c r="K293" s="1192">
        <f t="shared" si="21"/>
        <v>102.19499999999999</v>
      </c>
      <c r="L293" s="1192">
        <f t="shared" si="19"/>
        <v>34.064999999999998</v>
      </c>
      <c r="M293" s="1807"/>
      <c r="N293" s="1209">
        <v>438.01</v>
      </c>
      <c r="O293" s="1191">
        <f t="shared" si="20"/>
        <v>146.00333333333333</v>
      </c>
      <c r="P293" s="1807"/>
      <c r="Q293" s="1208"/>
    </row>
    <row r="294" spans="1:19" s="1184" customFormat="1" ht="14.4">
      <c r="A294" s="1197"/>
      <c r="B294" s="1214" t="s">
        <v>1155</v>
      </c>
      <c r="C294" s="1213">
        <v>44899</v>
      </c>
      <c r="D294" s="1212">
        <v>4</v>
      </c>
      <c r="E294" s="1807"/>
      <c r="F294" s="1211">
        <f>EL!P81</f>
        <v>31.930000000000003</v>
      </c>
      <c r="G294" s="1209">
        <f>EL!P84</f>
        <v>118.51</v>
      </c>
      <c r="H294" s="1192">
        <f t="shared" si="18"/>
        <v>1.3304166666666668</v>
      </c>
      <c r="I294" s="1194">
        <f>EL!X78</f>
        <v>2.7095833333333332</v>
      </c>
      <c r="J294" s="1807"/>
      <c r="K294" s="1192">
        <f t="shared" si="21"/>
        <v>134.125</v>
      </c>
      <c r="L294" s="1192">
        <f t="shared" si="19"/>
        <v>33.53125</v>
      </c>
      <c r="M294" s="1807"/>
      <c r="N294" s="1209">
        <v>556.5</v>
      </c>
      <c r="O294" s="1191">
        <f t="shared" si="20"/>
        <v>139.125</v>
      </c>
      <c r="P294" s="1807"/>
      <c r="Q294" s="1189"/>
    </row>
    <row r="295" spans="1:19" s="1186" customFormat="1" ht="14.4">
      <c r="A295" s="1187"/>
      <c r="B295" s="1214" t="s">
        <v>1154</v>
      </c>
      <c r="C295" s="1213">
        <v>44900</v>
      </c>
      <c r="D295" s="1212">
        <v>5</v>
      </c>
      <c r="E295" s="1810"/>
      <c r="F295" s="1211">
        <f>EL!P106</f>
        <v>28.2</v>
      </c>
      <c r="G295" s="1209">
        <f>EL!P109</f>
        <v>119.97999999999999</v>
      </c>
      <c r="H295" s="1192">
        <f t="shared" si="18"/>
        <v>1.175</v>
      </c>
      <c r="I295" s="1194">
        <f>EL!X113</f>
        <v>2.88</v>
      </c>
      <c r="J295" s="1810"/>
      <c r="K295" s="1192">
        <f t="shared" si="21"/>
        <v>162.32499999999999</v>
      </c>
      <c r="L295" s="1192">
        <f t="shared" si="19"/>
        <v>32.464999999999996</v>
      </c>
      <c r="M295" s="1810"/>
      <c r="N295" s="1209">
        <v>676.49</v>
      </c>
      <c r="O295" s="1191">
        <f t="shared" si="20"/>
        <v>135.298</v>
      </c>
      <c r="P295" s="1810"/>
      <c r="Q295" s="1189"/>
    </row>
    <row r="296" spans="1:19" s="1186" customFormat="1" ht="14.4">
      <c r="A296" s="1187"/>
      <c r="B296" s="1214" t="s">
        <v>1153</v>
      </c>
      <c r="C296" s="1213">
        <v>44901</v>
      </c>
      <c r="D296" s="1212">
        <v>6</v>
      </c>
      <c r="E296" s="1810"/>
      <c r="F296" s="1211">
        <f>EL!P131</f>
        <v>25.689999999999998</v>
      </c>
      <c r="G296" s="1209">
        <f>EL!P134</f>
        <v>124.51</v>
      </c>
      <c r="H296" s="1192">
        <f t="shared" si="18"/>
        <v>1.0704166666666666</v>
      </c>
      <c r="I296" s="1194">
        <f>EL!X128</f>
        <v>3.8487500000000008</v>
      </c>
      <c r="J296" s="1810"/>
      <c r="K296" s="1192">
        <f t="shared" si="21"/>
        <v>188.01499999999999</v>
      </c>
      <c r="L296" s="1192">
        <f t="shared" si="19"/>
        <v>31.33583333333333</v>
      </c>
      <c r="M296" s="1810"/>
      <c r="N296" s="1209">
        <v>801.21</v>
      </c>
      <c r="O296" s="1191">
        <f t="shared" si="20"/>
        <v>133.535</v>
      </c>
      <c r="P296" s="1810"/>
      <c r="Q296" s="1189"/>
    </row>
    <row r="297" spans="1:19" s="1186" customFormat="1" ht="14.4">
      <c r="A297" s="1187"/>
      <c r="B297" s="1214" t="s">
        <v>1152</v>
      </c>
      <c r="C297" s="1213">
        <v>44902</v>
      </c>
      <c r="D297" s="1212">
        <v>7</v>
      </c>
      <c r="E297" s="1810"/>
      <c r="F297" s="1211">
        <f>EL!P156</f>
        <v>29.818000000000001</v>
      </c>
      <c r="G297" s="1209">
        <f>EL!P159</f>
        <v>132.34999999999997</v>
      </c>
      <c r="H297" s="1192">
        <f t="shared" si="18"/>
        <v>1.2424166666666667</v>
      </c>
      <c r="I297" s="1194">
        <f>EL!X153</f>
        <v>3.2775000000000003</v>
      </c>
      <c r="J297" s="1810"/>
      <c r="K297" s="1192">
        <f t="shared" si="21"/>
        <v>217.833</v>
      </c>
      <c r="L297" s="1192">
        <f t="shared" si="19"/>
        <v>31.119</v>
      </c>
      <c r="M297" s="1810"/>
      <c r="N297" s="1209">
        <v>933.16</v>
      </c>
      <c r="O297" s="1191">
        <f t="shared" si="20"/>
        <v>133.30857142857141</v>
      </c>
      <c r="P297" s="1810"/>
      <c r="Q297" s="1189"/>
    </row>
    <row r="298" spans="1:19" s="1186" customFormat="1" ht="14.4">
      <c r="A298" s="1187"/>
      <c r="B298" s="1214" t="s">
        <v>1151</v>
      </c>
      <c r="C298" s="1213">
        <v>44903</v>
      </c>
      <c r="D298" s="1212">
        <v>8</v>
      </c>
      <c r="E298" s="1810"/>
      <c r="F298" s="1211">
        <f>EL!P181</f>
        <v>31.687000000000001</v>
      </c>
      <c r="G298" s="1209">
        <f>EL!P184</f>
        <v>156.08000000000001</v>
      </c>
      <c r="H298" s="1192">
        <f t="shared" si="18"/>
        <v>1.3202916666666666</v>
      </c>
      <c r="I298" s="1194">
        <f>EL!X178</f>
        <v>3.7962500000000006</v>
      </c>
      <c r="J298" s="1810"/>
      <c r="K298" s="1192">
        <f t="shared" si="21"/>
        <v>249.52</v>
      </c>
      <c r="L298" s="1192">
        <f t="shared" si="19"/>
        <v>31.19</v>
      </c>
      <c r="M298" s="1810"/>
      <c r="N298" s="1209">
        <v>1089.26</v>
      </c>
      <c r="O298" s="1191">
        <f t="shared" si="20"/>
        <v>136.1575</v>
      </c>
      <c r="P298" s="1810"/>
      <c r="Q298" s="1189"/>
    </row>
    <row r="299" spans="1:19" s="1186" customFormat="1" ht="14.4">
      <c r="A299" s="1187"/>
      <c r="B299" s="1214" t="s">
        <v>1150</v>
      </c>
      <c r="C299" s="1213">
        <v>44904</v>
      </c>
      <c r="D299" s="1212">
        <v>9</v>
      </c>
      <c r="E299" s="1810"/>
      <c r="F299" s="1211">
        <f>EL!P206</f>
        <v>27.601999999999997</v>
      </c>
      <c r="G299" s="1209">
        <f>EL!P209</f>
        <v>141.17000000000002</v>
      </c>
      <c r="H299" s="1192">
        <f t="shared" si="18"/>
        <v>1.1500833333333331</v>
      </c>
      <c r="I299" s="1194">
        <f>EL!X213</f>
        <v>4.67</v>
      </c>
      <c r="J299" s="1810"/>
      <c r="K299" s="1192">
        <f t="shared" si="21"/>
        <v>277.12200000000001</v>
      </c>
      <c r="L299" s="1192">
        <f t="shared" si="19"/>
        <v>30.791333333333334</v>
      </c>
      <c r="M299" s="1810"/>
      <c r="N299" s="1209">
        <v>1230.44</v>
      </c>
      <c r="O299" s="1191">
        <f t="shared" si="20"/>
        <v>136.71555555555557</v>
      </c>
      <c r="P299" s="1810"/>
      <c r="Q299" s="1189"/>
    </row>
    <row r="300" spans="1:19" s="1186" customFormat="1" ht="14.4">
      <c r="A300" s="1187"/>
      <c r="B300" s="1214" t="s">
        <v>1149</v>
      </c>
      <c r="C300" s="1213">
        <v>44905</v>
      </c>
      <c r="D300" s="1212">
        <v>10</v>
      </c>
      <c r="E300" s="1810"/>
      <c r="F300" s="1211">
        <f>EL!P231</f>
        <v>44.757000000000012</v>
      </c>
      <c r="G300" s="1209">
        <f>EL!P234</f>
        <v>205.53000000000003</v>
      </c>
      <c r="H300" s="1192">
        <f t="shared" si="18"/>
        <v>1.8648750000000005</v>
      </c>
      <c r="I300" s="1194">
        <f>EL!X228</f>
        <v>3.6956250000000006</v>
      </c>
      <c r="J300" s="1810"/>
      <c r="K300" s="1192">
        <f t="shared" si="21"/>
        <v>321.87900000000002</v>
      </c>
      <c r="L300" s="1192">
        <f t="shared" si="19"/>
        <v>32.187899999999999</v>
      </c>
      <c r="M300" s="1810"/>
      <c r="N300" s="1209">
        <v>1427.24</v>
      </c>
      <c r="O300" s="1191">
        <f t="shared" si="20"/>
        <v>142.72399999999999</v>
      </c>
      <c r="P300" s="1810"/>
      <c r="Q300" s="1189"/>
    </row>
    <row r="301" spans="1:19" s="1186" customFormat="1" ht="14.4">
      <c r="A301" s="1187"/>
      <c r="B301" s="1214" t="s">
        <v>1155</v>
      </c>
      <c r="C301" s="1213">
        <v>44906</v>
      </c>
      <c r="D301" s="1212">
        <v>11</v>
      </c>
      <c r="E301" s="1810"/>
      <c r="F301" s="1211">
        <f>EL!P256</f>
        <v>45.949000000000005</v>
      </c>
      <c r="G301" s="1209">
        <f>EL!P259</f>
        <v>196.27</v>
      </c>
      <c r="H301" s="1192">
        <f t="shared" si="18"/>
        <v>1.9145416666666668</v>
      </c>
      <c r="I301" s="1194">
        <f>EL!X253</f>
        <v>3.5056250000000002</v>
      </c>
      <c r="J301" s="1810"/>
      <c r="K301" s="1192">
        <f t="shared" si="21"/>
        <v>367.82800000000003</v>
      </c>
      <c r="L301" s="1192">
        <f t="shared" si="19"/>
        <v>33.438909090909092</v>
      </c>
      <c r="M301" s="1810"/>
      <c r="N301" s="1209">
        <v>1623.5</v>
      </c>
      <c r="O301" s="1191">
        <f t="shared" si="20"/>
        <v>147.59090909090909</v>
      </c>
      <c r="P301" s="1810"/>
      <c r="Q301" s="1189"/>
    </row>
    <row r="302" spans="1:19" s="1186" customFormat="1" ht="14.4">
      <c r="A302" s="1187"/>
      <c r="B302" s="1214" t="s">
        <v>1154</v>
      </c>
      <c r="C302" s="1213">
        <v>44907</v>
      </c>
      <c r="D302" s="1212">
        <v>12</v>
      </c>
      <c r="E302" s="1810"/>
      <c r="F302" s="1211">
        <f>EL!P281</f>
        <v>41.317999999999998</v>
      </c>
      <c r="G302" s="1209">
        <f>EL!P284</f>
        <v>222.51000000000002</v>
      </c>
      <c r="H302" s="1192">
        <f t="shared" si="18"/>
        <v>1.7215833333333332</v>
      </c>
      <c r="I302" s="1194">
        <f>EL!X278</f>
        <v>4.823125000000001</v>
      </c>
      <c r="J302" s="1810"/>
      <c r="K302" s="1192">
        <f t="shared" si="21"/>
        <v>409.14600000000002</v>
      </c>
      <c r="L302" s="1192">
        <f t="shared" si="19"/>
        <v>34.095500000000001</v>
      </c>
      <c r="M302" s="1810"/>
      <c r="N302" s="1209">
        <v>1846.08</v>
      </c>
      <c r="O302" s="1191">
        <f t="shared" si="20"/>
        <v>153.84</v>
      </c>
      <c r="P302" s="1810"/>
      <c r="Q302" s="1189"/>
    </row>
    <row r="303" spans="1:19" s="1186" customFormat="1" ht="14.4">
      <c r="A303" s="1187"/>
      <c r="B303" s="1214" t="s">
        <v>1153</v>
      </c>
      <c r="C303" s="1213">
        <v>44908</v>
      </c>
      <c r="D303" s="1212">
        <v>13</v>
      </c>
      <c r="E303" s="1810"/>
      <c r="F303" s="1211">
        <f>EL!P306</f>
        <v>39.191999999999993</v>
      </c>
      <c r="G303" s="1209">
        <f>EL!P309</f>
        <v>222.11999999999998</v>
      </c>
      <c r="H303" s="1192">
        <f t="shared" si="18"/>
        <v>1.6329999999999998</v>
      </c>
      <c r="I303" s="1194">
        <f>EL!X313</f>
        <v>5.41</v>
      </c>
      <c r="J303" s="1810"/>
      <c r="K303" s="1192">
        <f t="shared" si="21"/>
        <v>448.33800000000002</v>
      </c>
      <c r="L303" s="1192">
        <f t="shared" si="19"/>
        <v>34.487538461538463</v>
      </c>
      <c r="M303" s="1810"/>
      <c r="N303" s="1209">
        <v>2068.1999999999998</v>
      </c>
      <c r="O303" s="1191">
        <f t="shared" si="20"/>
        <v>159.09230769230768</v>
      </c>
      <c r="P303" s="1810"/>
      <c r="Q303" s="1189"/>
    </row>
    <row r="304" spans="1:19" s="1186" customFormat="1" ht="14.4">
      <c r="A304" s="1187"/>
      <c r="B304" s="1214" t="s">
        <v>1152</v>
      </c>
      <c r="C304" s="1213">
        <v>44909</v>
      </c>
      <c r="D304" s="1212">
        <v>14</v>
      </c>
      <c r="E304" s="1810"/>
      <c r="F304" s="1211">
        <f>EL!P331</f>
        <v>37.063000000000002</v>
      </c>
      <c r="G304" s="1209">
        <f>EL!P334</f>
        <v>212.86</v>
      </c>
      <c r="H304" s="1192">
        <f t="shared" si="18"/>
        <v>1.5442916666666668</v>
      </c>
      <c r="I304" s="1194">
        <f>EL!X328</f>
        <v>4.99</v>
      </c>
      <c r="J304" s="1810"/>
      <c r="K304" s="1192">
        <f t="shared" si="21"/>
        <v>485.40100000000001</v>
      </c>
      <c r="L304" s="1192">
        <f t="shared" si="19"/>
        <v>34.671500000000002</v>
      </c>
      <c r="M304" s="1810"/>
      <c r="N304" s="1209">
        <v>2281.04</v>
      </c>
      <c r="O304" s="1191">
        <f t="shared" si="20"/>
        <v>162.93142857142857</v>
      </c>
      <c r="P304" s="1810"/>
      <c r="Q304" s="1189"/>
    </row>
    <row r="305" spans="1:17" s="1186" customFormat="1" ht="14.4">
      <c r="A305" s="1187"/>
      <c r="B305" s="1214" t="s">
        <v>1151</v>
      </c>
      <c r="C305" s="1213">
        <v>44910</v>
      </c>
      <c r="D305" s="1212">
        <v>15</v>
      </c>
      <c r="E305" s="1810"/>
      <c r="F305" s="1211">
        <f>EL!P331</f>
        <v>37.063000000000002</v>
      </c>
      <c r="G305" s="1209">
        <f>EL!P359</f>
        <v>203.83999999999997</v>
      </c>
      <c r="H305" s="1192">
        <f t="shared" si="18"/>
        <v>1.5442916666666668</v>
      </c>
      <c r="I305" s="1194">
        <f>EL!X353</f>
        <v>4.3562500000000002</v>
      </c>
      <c r="J305" s="1810"/>
      <c r="K305" s="1192">
        <f t="shared" si="21"/>
        <v>522.46400000000006</v>
      </c>
      <c r="L305" s="1192">
        <f t="shared" si="19"/>
        <v>34.830933333333334</v>
      </c>
      <c r="M305" s="1810"/>
      <c r="N305" s="1209">
        <v>2484.88</v>
      </c>
      <c r="O305" s="1191">
        <f t="shared" si="20"/>
        <v>165.65866666666668</v>
      </c>
      <c r="P305" s="1810"/>
      <c r="Q305" s="1189"/>
    </row>
    <row r="306" spans="1:17" s="1186" customFormat="1" ht="14.4">
      <c r="A306" s="1187"/>
      <c r="B306" s="1214" t="s">
        <v>1150</v>
      </c>
      <c r="C306" s="1213">
        <v>44911</v>
      </c>
      <c r="D306" s="1212">
        <v>16</v>
      </c>
      <c r="E306" s="1810"/>
      <c r="F306" s="1211">
        <f>EL!P381</f>
        <v>69.403999999999996</v>
      </c>
      <c r="G306" s="1209">
        <f>EL!P384</f>
        <v>365.23999999999995</v>
      </c>
      <c r="H306" s="1192">
        <f t="shared" si="18"/>
        <v>2.891833333333333</v>
      </c>
      <c r="I306" s="1194">
        <f>EL!X378</f>
        <v>4.3956249999999999</v>
      </c>
      <c r="J306" s="1810"/>
      <c r="K306" s="1192">
        <f t="shared" si="21"/>
        <v>591.86800000000005</v>
      </c>
      <c r="L306" s="1192">
        <f t="shared" si="19"/>
        <v>36.991750000000003</v>
      </c>
      <c r="M306" s="1810"/>
      <c r="N306" s="1209">
        <v>2850.17</v>
      </c>
      <c r="O306" s="1191">
        <f t="shared" si="20"/>
        <v>178.135625</v>
      </c>
      <c r="P306" s="1810"/>
      <c r="Q306" s="1208" t="s">
        <v>1134</v>
      </c>
    </row>
    <row r="307" spans="1:17" s="1186" customFormat="1" ht="14.4">
      <c r="A307" s="1187"/>
      <c r="B307" s="1214" t="s">
        <v>1149</v>
      </c>
      <c r="C307" s="1213">
        <v>44912</v>
      </c>
      <c r="D307" s="1212">
        <v>17</v>
      </c>
      <c r="E307" s="1810"/>
      <c r="F307" s="1211">
        <f>EL!P406</f>
        <v>46.430999999999997</v>
      </c>
      <c r="G307" s="1209">
        <f>EL!P409</f>
        <v>159.38999999999999</v>
      </c>
      <c r="H307" s="1192">
        <f t="shared" si="18"/>
        <v>1.9346249999999998</v>
      </c>
      <c r="I307" s="1194">
        <f>EL!X413</f>
        <v>2.4300000000000002</v>
      </c>
      <c r="J307" s="1810"/>
      <c r="K307" s="1192">
        <f t="shared" si="21"/>
        <v>638.29900000000009</v>
      </c>
      <c r="L307" s="1192">
        <f t="shared" si="19"/>
        <v>37.547000000000004</v>
      </c>
      <c r="M307" s="1810"/>
      <c r="N307" s="1209">
        <v>3009.6</v>
      </c>
      <c r="O307" s="1191">
        <f t="shared" si="20"/>
        <v>177.03529411764706</v>
      </c>
      <c r="P307" s="1810"/>
      <c r="Q307" s="1208"/>
    </row>
    <row r="308" spans="1:17" s="1186" customFormat="1" ht="14.4">
      <c r="A308" s="1187"/>
      <c r="B308" s="1214" t="s">
        <v>1155</v>
      </c>
      <c r="C308" s="1213">
        <v>44913</v>
      </c>
      <c r="D308" s="1212">
        <v>18</v>
      </c>
      <c r="E308" s="1810"/>
      <c r="F308" s="1211">
        <f>EL!P431</f>
        <v>40.249999999999993</v>
      </c>
      <c r="G308" s="1209">
        <f>EL!P434</f>
        <v>118.50999999999998</v>
      </c>
      <c r="H308" s="1192">
        <f t="shared" si="18"/>
        <v>1.677083333333333</v>
      </c>
      <c r="I308" s="1194">
        <f>EL!X428</f>
        <v>1.9793749999999999</v>
      </c>
      <c r="J308" s="1810"/>
      <c r="K308" s="1192">
        <f t="shared" si="21"/>
        <v>678.54900000000009</v>
      </c>
      <c r="L308" s="1192">
        <f t="shared" si="19"/>
        <v>37.697166666666675</v>
      </c>
      <c r="M308" s="1810"/>
      <c r="N308" s="1209">
        <v>3128.13</v>
      </c>
      <c r="O308" s="1191">
        <f t="shared" si="20"/>
        <v>173.785</v>
      </c>
      <c r="P308" s="1810"/>
      <c r="Q308" s="1208"/>
    </row>
    <row r="309" spans="1:17" s="1186" customFormat="1" ht="14.4">
      <c r="A309" s="1187"/>
      <c r="B309" s="1214" t="s">
        <v>1154</v>
      </c>
      <c r="C309" s="1213">
        <v>44914</v>
      </c>
      <c r="D309" s="1212">
        <v>19</v>
      </c>
      <c r="E309" s="1810"/>
      <c r="F309" s="1211">
        <f>EL!P456</f>
        <v>42.92</v>
      </c>
      <c r="G309" s="1209">
        <f>EL!P459</f>
        <v>135.72000000000003</v>
      </c>
      <c r="H309" s="1192">
        <f t="shared" si="18"/>
        <v>1.7883333333333333</v>
      </c>
      <c r="I309" s="1194">
        <f>EL!X453</f>
        <v>2.2312499999999997</v>
      </c>
      <c r="J309" s="1810"/>
      <c r="K309" s="1192">
        <f t="shared" si="21"/>
        <v>721.46900000000005</v>
      </c>
      <c r="L309" s="1192">
        <f t="shared" si="19"/>
        <v>37.972052631578947</v>
      </c>
      <c r="M309" s="1810"/>
      <c r="N309" s="1209">
        <v>3263.86</v>
      </c>
      <c r="O309" s="1191">
        <f t="shared" si="20"/>
        <v>171.78210526315789</v>
      </c>
      <c r="P309" s="1810"/>
      <c r="Q309" s="1208"/>
    </row>
    <row r="310" spans="1:17" s="1186" customFormat="1" ht="14.4">
      <c r="A310" s="1187"/>
      <c r="B310" s="1214" t="s">
        <v>1153</v>
      </c>
      <c r="C310" s="1213">
        <v>44915</v>
      </c>
      <c r="D310" s="1212">
        <v>20</v>
      </c>
      <c r="E310" s="1810"/>
      <c r="F310" s="1211">
        <f>EL!P481</f>
        <v>57.097999999999992</v>
      </c>
      <c r="G310" s="1209">
        <f>EL!P484</f>
        <v>121.91</v>
      </c>
      <c r="H310" s="1192">
        <f t="shared" si="18"/>
        <v>2.379083333333333</v>
      </c>
      <c r="I310" s="1194">
        <f>EL!X478</f>
        <v>2.2006249999999996</v>
      </c>
      <c r="J310" s="1810"/>
      <c r="K310" s="1192">
        <f t="shared" si="21"/>
        <v>778.56700000000001</v>
      </c>
      <c r="L310" s="1192">
        <f t="shared" si="19"/>
        <v>38.928350000000002</v>
      </c>
      <c r="M310" s="1810"/>
      <c r="N310" s="1209">
        <v>3385.74</v>
      </c>
      <c r="O310" s="1191">
        <f t="shared" si="20"/>
        <v>169.28699999999998</v>
      </c>
      <c r="P310" s="1810"/>
      <c r="Q310" s="1208"/>
    </row>
    <row r="311" spans="1:17" s="1186" customFormat="1" ht="14.4">
      <c r="A311" s="1187"/>
      <c r="B311" s="1214" t="s">
        <v>1152</v>
      </c>
      <c r="C311" s="1213">
        <v>44916</v>
      </c>
      <c r="D311" s="1212">
        <v>21</v>
      </c>
      <c r="E311" s="1810"/>
      <c r="F311" s="1211">
        <f>EL!P506</f>
        <v>47.940000000000005</v>
      </c>
      <c r="G311" s="1209">
        <f>EL!P509</f>
        <v>157.16999999999999</v>
      </c>
      <c r="H311" s="1192">
        <f t="shared" si="18"/>
        <v>1.9975000000000003</v>
      </c>
      <c r="I311" s="1194">
        <f>EL!X513</f>
        <v>2.77</v>
      </c>
      <c r="J311" s="1810"/>
      <c r="K311" s="1192">
        <f t="shared" si="21"/>
        <v>826.50700000000006</v>
      </c>
      <c r="L311" s="1192">
        <f t="shared" si="19"/>
        <v>39.357476190476191</v>
      </c>
      <c r="M311" s="1810"/>
      <c r="N311" s="1209">
        <v>3586.37</v>
      </c>
      <c r="O311" s="1191">
        <f t="shared" si="20"/>
        <v>170.77952380952379</v>
      </c>
      <c r="P311" s="1810"/>
      <c r="Q311" s="1208"/>
    </row>
    <row r="312" spans="1:17" s="1186" customFormat="1" ht="14.4">
      <c r="A312" s="1187"/>
      <c r="B312" s="1214" t="s">
        <v>1151</v>
      </c>
      <c r="C312" s="1213">
        <v>44917</v>
      </c>
      <c r="D312" s="1212">
        <v>22</v>
      </c>
      <c r="E312" s="1810"/>
      <c r="F312" s="1211">
        <f>EL!P531</f>
        <v>50.86</v>
      </c>
      <c r="G312" s="1209">
        <f>EL!P534</f>
        <v>155.05000000000001</v>
      </c>
      <c r="H312" s="1192">
        <f t="shared" si="18"/>
        <v>2.1191666666666666</v>
      </c>
      <c r="I312" s="1194">
        <f>EL!X528</f>
        <v>2.0731249999999997</v>
      </c>
      <c r="J312" s="1810"/>
      <c r="K312" s="1192">
        <f t="shared" si="21"/>
        <v>877.36700000000008</v>
      </c>
      <c r="L312" s="1192">
        <f t="shared" si="19"/>
        <v>39.880318181818183</v>
      </c>
      <c r="M312" s="1810"/>
      <c r="N312" s="1209">
        <v>3741.41</v>
      </c>
      <c r="O312" s="1191">
        <f t="shared" si="20"/>
        <v>170.06409090909091</v>
      </c>
      <c r="P312" s="1810"/>
      <c r="Q312" s="1208"/>
    </row>
    <row r="313" spans="1:17" s="1186" customFormat="1" ht="14.4">
      <c r="A313" s="1187"/>
      <c r="B313" s="1214" t="s">
        <v>1150</v>
      </c>
      <c r="C313" s="1213">
        <v>44918</v>
      </c>
      <c r="D313" s="1212">
        <v>23</v>
      </c>
      <c r="E313" s="1810"/>
      <c r="F313" s="1211">
        <f>EL!P556</f>
        <v>61.848000000000006</v>
      </c>
      <c r="G313" s="1209">
        <f>EL!P559</f>
        <v>183.18000000000004</v>
      </c>
      <c r="H313" s="1192">
        <f t="shared" si="18"/>
        <v>2.5770000000000004</v>
      </c>
      <c r="I313" s="1194">
        <f>EL!X553</f>
        <v>2.0100000000000007</v>
      </c>
      <c r="J313" s="1810"/>
      <c r="K313" s="1192">
        <f t="shared" si="21"/>
        <v>939.21500000000003</v>
      </c>
      <c r="L313" s="1192">
        <f t="shared" si="19"/>
        <v>40.835434782608694</v>
      </c>
      <c r="M313" s="1810"/>
      <c r="N313" s="1209">
        <v>3924.6</v>
      </c>
      <c r="O313" s="1191">
        <f t="shared" si="20"/>
        <v>170.63478260869564</v>
      </c>
      <c r="P313" s="1810"/>
      <c r="Q313" s="1208"/>
    </row>
    <row r="314" spans="1:17" s="1186" customFormat="1" ht="14.4">
      <c r="A314" s="1187"/>
      <c r="B314" s="1214" t="s">
        <v>1149</v>
      </c>
      <c r="C314" s="1213">
        <v>44919</v>
      </c>
      <c r="D314" s="1212">
        <v>24</v>
      </c>
      <c r="E314" s="1810"/>
      <c r="F314" s="1211">
        <f>SUM($F$291:F313)/D313</f>
        <v>40.835434782608694</v>
      </c>
      <c r="G314" s="1209">
        <f>EL!P584</f>
        <v>135.75</v>
      </c>
      <c r="H314" s="1192">
        <f t="shared" si="18"/>
        <v>1.7014764492753622</v>
      </c>
      <c r="I314" s="1194">
        <f>EL!X578</f>
        <v>1.4449999999999998</v>
      </c>
      <c r="J314" s="1810"/>
      <c r="K314" s="1192">
        <f t="shared" si="21"/>
        <v>980.0504347826087</v>
      </c>
      <c r="L314" s="1192">
        <f t="shared" si="19"/>
        <v>40.835434782608694</v>
      </c>
      <c r="M314" s="1810"/>
      <c r="N314" s="1209">
        <v>4060.35</v>
      </c>
      <c r="O314" s="1191">
        <f t="shared" si="20"/>
        <v>169.18125000000001</v>
      </c>
      <c r="P314" s="1810"/>
      <c r="Q314" s="1208"/>
    </row>
    <row r="315" spans="1:17" s="1186" customFormat="1" ht="14.4">
      <c r="A315" s="1187"/>
      <c r="B315" s="1214" t="s">
        <v>1155</v>
      </c>
      <c r="C315" s="1213">
        <v>44920</v>
      </c>
      <c r="D315" s="1212">
        <v>25</v>
      </c>
      <c r="E315" s="1810"/>
      <c r="F315" s="1211">
        <f>EL!P606</f>
        <v>63.041999999999987</v>
      </c>
      <c r="G315" s="1209">
        <f>EL!P609</f>
        <v>136.73000000000002</v>
      </c>
      <c r="H315" s="1192">
        <f t="shared" si="18"/>
        <v>2.6267499999999995</v>
      </c>
      <c r="I315" s="1194">
        <f>EL!X613</f>
        <v>1.19</v>
      </c>
      <c r="J315" s="1810"/>
      <c r="K315" s="1192">
        <f t="shared" si="21"/>
        <v>1043.0924347826087</v>
      </c>
      <c r="L315" s="1192">
        <f t="shared" si="19"/>
        <v>41.723697391304349</v>
      </c>
      <c r="M315" s="1810"/>
      <c r="N315" s="1209">
        <v>4126.18</v>
      </c>
      <c r="O315" s="1191">
        <f t="shared" si="20"/>
        <v>165.0472</v>
      </c>
      <c r="P315" s="1810"/>
      <c r="Q315" s="1208"/>
    </row>
    <row r="316" spans="1:17" s="1186" customFormat="1" ht="14.4">
      <c r="A316" s="1187"/>
      <c r="B316" s="1214" t="s">
        <v>1154</v>
      </c>
      <c r="C316" s="1213">
        <v>44921</v>
      </c>
      <c r="D316" s="1212">
        <v>26</v>
      </c>
      <c r="E316" s="1810"/>
      <c r="F316" s="1211">
        <f>EL!P631</f>
        <v>64.667000000000002</v>
      </c>
      <c r="G316" s="1209">
        <f>EL!P634</f>
        <v>100.41</v>
      </c>
      <c r="H316" s="1192">
        <f t="shared" si="18"/>
        <v>2.6944583333333334</v>
      </c>
      <c r="I316" s="1194">
        <f>EL!X628</f>
        <v>0.57375000000000009</v>
      </c>
      <c r="J316" s="1810"/>
      <c r="K316" s="1210">
        <v>1064.83</v>
      </c>
      <c r="L316" s="1192">
        <f t="shared" si="19"/>
        <v>40.954999999999998</v>
      </c>
      <c r="M316" s="1810"/>
      <c r="N316" s="1209">
        <v>4191.99</v>
      </c>
      <c r="O316" s="1191">
        <f t="shared" si="20"/>
        <v>161.23038461538459</v>
      </c>
      <c r="P316" s="1810"/>
      <c r="Q316" s="1208"/>
    </row>
    <row r="317" spans="1:17" s="1186" customFormat="1" ht="14.4">
      <c r="A317" s="1187"/>
      <c r="B317" s="1214" t="s">
        <v>1153</v>
      </c>
      <c r="C317" s="1213">
        <v>44922</v>
      </c>
      <c r="D317" s="1212">
        <v>27</v>
      </c>
      <c r="E317" s="1810"/>
      <c r="F317" s="1211">
        <f>EL!P656</f>
        <v>56.8</v>
      </c>
      <c r="G317" s="1209">
        <f>EL!P659</f>
        <v>123.94999999999999</v>
      </c>
      <c r="H317" s="1192">
        <f t="shared" si="18"/>
        <v>2.3666666666666667</v>
      </c>
      <c r="I317" s="1194">
        <f>EL!X653</f>
        <v>1.3012499999999998</v>
      </c>
      <c r="J317" s="1810"/>
      <c r="K317" s="1210">
        <f>K316+F317</f>
        <v>1121.6299999999999</v>
      </c>
      <c r="L317" s="1192">
        <f t="shared" si="19"/>
        <v>41.541851851851845</v>
      </c>
      <c r="M317" s="1810"/>
      <c r="N317" s="1209">
        <v>4292.3999999999996</v>
      </c>
      <c r="O317" s="1191">
        <f t="shared" si="20"/>
        <v>158.97777777777776</v>
      </c>
      <c r="P317" s="1810"/>
      <c r="Q317" s="1208"/>
    </row>
    <row r="318" spans="1:17" s="1186" customFormat="1" ht="14.4">
      <c r="A318" s="1187"/>
      <c r="B318" s="1214" t="s">
        <v>1152</v>
      </c>
      <c r="C318" s="1213">
        <v>44923</v>
      </c>
      <c r="D318" s="1212">
        <v>28</v>
      </c>
      <c r="E318" s="1810"/>
      <c r="F318" s="1211">
        <f>EL!P681</f>
        <v>47.940000000000005</v>
      </c>
      <c r="G318" s="1209">
        <f>EL!P684</f>
        <v>85.330000000000013</v>
      </c>
      <c r="H318" s="1192">
        <f t="shared" si="18"/>
        <v>1.9975000000000003</v>
      </c>
      <c r="I318" s="1194">
        <f>EL!X678</f>
        <v>0.86312499999999992</v>
      </c>
      <c r="J318" s="1810"/>
      <c r="K318" s="1210">
        <f>K317+F318</f>
        <v>1169.57</v>
      </c>
      <c r="L318" s="1192">
        <f t="shared" si="19"/>
        <v>41.770357142857144</v>
      </c>
      <c r="M318" s="1810"/>
      <c r="N318" s="1209">
        <v>4501.67</v>
      </c>
      <c r="O318" s="1191">
        <f t="shared" si="20"/>
        <v>160.77392857142857</v>
      </c>
      <c r="P318" s="1810"/>
      <c r="Q318" s="1208"/>
    </row>
    <row r="319" spans="1:17" s="1186" customFormat="1" ht="14.4">
      <c r="A319" s="1187"/>
      <c r="B319" s="1214" t="s">
        <v>1151</v>
      </c>
      <c r="C319" s="1213">
        <v>44924</v>
      </c>
      <c r="D319" s="1212">
        <v>29</v>
      </c>
      <c r="E319" s="1810"/>
      <c r="F319" s="1211">
        <f>EL!P706</f>
        <v>50.834000000000003</v>
      </c>
      <c r="G319" s="1209">
        <f>EL!P709</f>
        <v>67.349999999999994</v>
      </c>
      <c r="H319" s="1192">
        <f t="shared" si="18"/>
        <v>2.1180833333333333</v>
      </c>
      <c r="I319" s="1194">
        <f>EL!X713</f>
        <v>0.19</v>
      </c>
      <c r="J319" s="1810"/>
      <c r="K319" s="1210">
        <f>K318+F319</f>
        <v>1220.404</v>
      </c>
      <c r="L319" s="1192">
        <f t="shared" si="19"/>
        <v>42.08289655172414</v>
      </c>
      <c r="M319" s="1810"/>
      <c r="N319" s="1209">
        <v>4569.01</v>
      </c>
      <c r="O319" s="1191">
        <f t="shared" si="20"/>
        <v>157.55206896551724</v>
      </c>
      <c r="P319" s="1810"/>
      <c r="Q319" s="1208"/>
    </row>
    <row r="320" spans="1:17" s="1186" customFormat="1" ht="14.4">
      <c r="A320" s="1187"/>
      <c r="B320" s="1214" t="s">
        <v>1150</v>
      </c>
      <c r="C320" s="1213">
        <v>44925</v>
      </c>
      <c r="D320" s="1212">
        <v>30</v>
      </c>
      <c r="E320" s="1810"/>
      <c r="F320" s="1211">
        <f>EL!P731</f>
        <v>68.33</v>
      </c>
      <c r="G320" s="1209">
        <f>EL!P734</f>
        <v>90.11</v>
      </c>
      <c r="H320" s="1192">
        <f t="shared" si="18"/>
        <v>2.8470833333333334</v>
      </c>
      <c r="I320" s="1194">
        <f>EL!X728</f>
        <v>1.9187500000000002</v>
      </c>
      <c r="J320" s="1810"/>
      <c r="K320" s="1210">
        <f>K319+F320</f>
        <v>1288.7339999999999</v>
      </c>
      <c r="L320" s="1192">
        <f t="shared" si="19"/>
        <v>42.957799999999999</v>
      </c>
      <c r="M320" s="1810"/>
      <c r="N320" s="1209">
        <f>N319+G320</f>
        <v>4659.12</v>
      </c>
      <c r="O320" s="1191">
        <f t="shared" si="20"/>
        <v>155.304</v>
      </c>
      <c r="P320" s="1810"/>
      <c r="Q320" s="1208"/>
    </row>
    <row r="321" spans="1:17" s="1186" customFormat="1" ht="15" thickBot="1">
      <c r="A321" s="1187"/>
      <c r="B321" s="1207" t="s">
        <v>1149</v>
      </c>
      <c r="C321" s="1206">
        <v>44926</v>
      </c>
      <c r="D321" s="1205">
        <v>31</v>
      </c>
      <c r="E321" s="1810"/>
      <c r="F321" s="1204">
        <f>EL!P756</f>
        <v>59.81</v>
      </c>
      <c r="G321" s="1200">
        <f>EL!P759</f>
        <v>82.7</v>
      </c>
      <c r="H321" s="1201">
        <f t="shared" si="18"/>
        <v>2.4920833333333334</v>
      </c>
      <c r="I321" s="1203">
        <f>EL!X753</f>
        <v>0.39562499999999989</v>
      </c>
      <c r="J321" s="1810"/>
      <c r="K321" s="1202">
        <v>1450.97</v>
      </c>
      <c r="L321" s="1201">
        <f t="shared" si="19"/>
        <v>46.805483870967741</v>
      </c>
      <c r="M321" s="1810"/>
      <c r="N321" s="1200">
        <v>4791.38</v>
      </c>
      <c r="O321" s="1199">
        <f t="shared" si="20"/>
        <v>154.56064516129032</v>
      </c>
      <c r="P321" s="1810"/>
      <c r="Q321" s="1198"/>
    </row>
    <row r="322" spans="1:17" s="1184" customFormat="1" ht="19.5" customHeight="1" thickBot="1">
      <c r="A322" s="1197"/>
      <c r="B322" s="1207"/>
      <c r="C322" s="1206" t="s">
        <v>576</v>
      </c>
      <c r="D322" s="1205"/>
      <c r="E322" s="1810"/>
      <c r="F322" s="1204">
        <f t="shared" ref="F322" si="22">AVERAGE(F291:F321)</f>
        <v>44.886239831697054</v>
      </c>
      <c r="G322" s="1200">
        <f>AVERAGE(G291:G321)</f>
        <v>152.00709677419351</v>
      </c>
      <c r="H322" s="1201">
        <f>AVERAGE(H291:H321)</f>
        <v>1.8702599929873769</v>
      </c>
      <c r="I322" s="1203">
        <f>AVERAGE(I291:I321)</f>
        <v>2.7695900537634413</v>
      </c>
      <c r="J322" s="1810"/>
      <c r="K322" s="1202">
        <v>1450.97</v>
      </c>
      <c r="L322" s="1201">
        <f>AVERAGE(L291:L321)</f>
        <v>37.000363470868066</v>
      </c>
      <c r="M322" s="1810">
        <v>4791.38</v>
      </c>
      <c r="N322" s="1200">
        <f>N321</f>
        <v>4791.38</v>
      </c>
      <c r="O322" s="1199">
        <f>AVERAGE(O291:O321)</f>
        <v>157.76470803671887</v>
      </c>
      <c r="P322" s="1810"/>
      <c r="Q322" s="1198"/>
    </row>
    <row r="323" spans="1:17" s="1816" customFormat="1" ht="5.25" customHeight="1" thickBot="1">
      <c r="A323" s="1818"/>
      <c r="H323" s="2027"/>
      <c r="I323" s="2028"/>
      <c r="L323" s="2027"/>
      <c r="O323" s="2027"/>
    </row>
    <row r="324" spans="1:17" ht="14.4">
      <c r="A324" s="1176"/>
      <c r="B324" s="1829"/>
      <c r="C324" s="1838" t="s">
        <v>1475</v>
      </c>
      <c r="D324" s="1831">
        <v>31</v>
      </c>
      <c r="E324" s="1832"/>
      <c r="F324" s="1837">
        <f ca="1">SUM(F325:F354)/$D$485</f>
        <v>5.306598853868195</v>
      </c>
      <c r="G324" s="1834">
        <f ca="1">SUM(G325:G354)/$D$485</f>
        <v>11.263295128939831</v>
      </c>
      <c r="H324" s="2029">
        <f ca="1">SUM(H325:H354)/$D$485</f>
        <v>0.22110828557784146</v>
      </c>
      <c r="I324" s="2030">
        <f ca="1">G324/F324</f>
        <v>2.1225073609491996</v>
      </c>
      <c r="J324" s="1832"/>
      <c r="K324" s="1837"/>
      <c r="L324" s="2029"/>
      <c r="M324" s="1832"/>
      <c r="N324" s="1827"/>
      <c r="O324" s="2067"/>
      <c r="P324" s="1832"/>
      <c r="Q324" s="1828"/>
    </row>
    <row r="325" spans="1:17" ht="14.4">
      <c r="A325" s="1176"/>
      <c r="B325" s="1845" t="s">
        <v>1155</v>
      </c>
      <c r="C325" s="1846">
        <v>44927</v>
      </c>
      <c r="D325" s="1847">
        <v>1</v>
      </c>
      <c r="E325" s="1811"/>
      <c r="F325" s="1840">
        <v>52.77</v>
      </c>
      <c r="G325" s="1758">
        <v>58.35</v>
      </c>
      <c r="H325" s="2032">
        <f t="shared" ref="H325:H355" si="23">F325/24</f>
        <v>2.19875</v>
      </c>
      <c r="I325" s="1843">
        <f>EL!AI3</f>
        <v>0.27708333333333329</v>
      </c>
      <c r="J325" s="1811"/>
      <c r="K325" s="1842">
        <f>F325</f>
        <v>52.77</v>
      </c>
      <c r="L325" s="2051">
        <f t="shared" ref="L325:L355" si="24">K325/D325</f>
        <v>52.77</v>
      </c>
      <c r="M325" s="1811"/>
      <c r="N325" s="1758">
        <f>G325</f>
        <v>58.35</v>
      </c>
      <c r="O325" s="2003">
        <f t="shared" ref="O325:O355" si="25">N325/D325</f>
        <v>58.35</v>
      </c>
      <c r="P325" s="1811"/>
      <c r="Q325" s="1195"/>
    </row>
    <row r="326" spans="1:17" ht="14.4">
      <c r="A326" s="1176"/>
      <c r="B326" s="1848" t="s">
        <v>1154</v>
      </c>
      <c r="C326" s="1846">
        <v>44928</v>
      </c>
      <c r="D326" s="1847">
        <v>2</v>
      </c>
      <c r="E326" s="1806"/>
      <c r="F326" s="1841">
        <f>EL!AA31</f>
        <v>57.568000000000005</v>
      </c>
      <c r="G326" s="1758">
        <f>EL!AA34</f>
        <v>122.97999999999999</v>
      </c>
      <c r="H326" s="2034">
        <f t="shared" si="23"/>
        <v>2.3986666666666667</v>
      </c>
      <c r="I326" s="1844">
        <f>EL!AI28</f>
        <v>1.2862500000000001</v>
      </c>
      <c r="J326" s="1806"/>
      <c r="K326" s="1842">
        <f t="shared" ref="K326:K355" si="26">K325+F326</f>
        <v>110.33800000000001</v>
      </c>
      <c r="L326" s="2051">
        <f t="shared" si="24"/>
        <v>55.169000000000004</v>
      </c>
      <c r="M326" s="1806"/>
      <c r="N326" s="1758"/>
      <c r="O326" s="2003">
        <f t="shared" si="25"/>
        <v>0</v>
      </c>
      <c r="P326" s="1806"/>
      <c r="Q326" s="1184"/>
    </row>
    <row r="327" spans="1:17" ht="14.4">
      <c r="A327" s="1176"/>
      <c r="B327" s="1848" t="s">
        <v>1153</v>
      </c>
      <c r="C327" s="1846">
        <v>44929</v>
      </c>
      <c r="D327" s="1847">
        <v>3</v>
      </c>
      <c r="E327" s="1806"/>
      <c r="F327" s="1841">
        <f>EL!AA56</f>
        <v>59.959999999999987</v>
      </c>
      <c r="G327" s="1758">
        <f>EL!AA59</f>
        <v>139.95999999999998</v>
      </c>
      <c r="H327" s="2034">
        <f t="shared" si="23"/>
        <v>2.4983333333333326</v>
      </c>
      <c r="I327" s="1844">
        <f>EL!AI53</f>
        <v>1.4883333333333333</v>
      </c>
      <c r="J327" s="1806"/>
      <c r="K327" s="1842">
        <f t="shared" si="26"/>
        <v>170.298</v>
      </c>
      <c r="L327" s="2051">
        <f t="shared" si="24"/>
        <v>56.765999999999998</v>
      </c>
      <c r="M327" s="1806"/>
      <c r="N327" s="1758"/>
      <c r="O327" s="2003">
        <f t="shared" si="25"/>
        <v>0</v>
      </c>
      <c r="P327" s="1806"/>
      <c r="Q327" s="1184"/>
    </row>
    <row r="328" spans="1:17" ht="14.4">
      <c r="A328" s="1176"/>
      <c r="B328" s="1848" t="s">
        <v>1152</v>
      </c>
      <c r="C328" s="1846">
        <v>44930</v>
      </c>
      <c r="D328" s="1847">
        <v>4</v>
      </c>
      <c r="E328" s="1806"/>
      <c r="F328" s="1841">
        <f>EL!AA81</f>
        <v>60.529999999999994</v>
      </c>
      <c r="G328" s="1758">
        <f>EL!AA84</f>
        <v>90.289999999999992</v>
      </c>
      <c r="H328" s="2034">
        <f t="shared" si="23"/>
        <v>2.5220833333333332</v>
      </c>
      <c r="I328" s="1844">
        <f>EL!AI78</f>
        <v>0.67833333333333334</v>
      </c>
      <c r="J328" s="1806"/>
      <c r="K328" s="1842">
        <f t="shared" si="26"/>
        <v>230.828</v>
      </c>
      <c r="L328" s="2051">
        <f t="shared" si="24"/>
        <v>57.707000000000001</v>
      </c>
      <c r="M328" s="1806"/>
      <c r="N328" s="1758"/>
      <c r="O328" s="2003">
        <f t="shared" si="25"/>
        <v>0</v>
      </c>
      <c r="P328" s="1806"/>
      <c r="Q328" s="1184"/>
    </row>
    <row r="329" spans="1:17" ht="14.4">
      <c r="A329" s="1176"/>
      <c r="B329" s="1848" t="s">
        <v>1151</v>
      </c>
      <c r="C329" s="1846">
        <v>44931</v>
      </c>
      <c r="D329" s="1847">
        <v>5</v>
      </c>
      <c r="E329" s="1806"/>
      <c r="F329" s="1841">
        <f>EL!AA106</f>
        <v>48.423000000000002</v>
      </c>
      <c r="G329" s="1758">
        <f>EL!AA109</f>
        <v>100.01</v>
      </c>
      <c r="H329" s="2034">
        <f t="shared" si="23"/>
        <v>2.0176250000000002</v>
      </c>
      <c r="I329" s="1844">
        <f>EL!AI103</f>
        <v>1.1308333333333334</v>
      </c>
      <c r="J329" s="1806"/>
      <c r="K329" s="1842">
        <f t="shared" si="26"/>
        <v>279.25099999999998</v>
      </c>
      <c r="L329" s="2051">
        <f t="shared" si="24"/>
        <v>55.850199999999994</v>
      </c>
      <c r="M329" s="1806"/>
      <c r="N329" s="1758"/>
      <c r="O329" s="2003">
        <f t="shared" si="25"/>
        <v>0</v>
      </c>
      <c r="P329" s="1806"/>
      <c r="Q329" s="1176"/>
    </row>
    <row r="330" spans="1:17" ht="14.4">
      <c r="A330" s="1176"/>
      <c r="B330" s="1848" t="s">
        <v>1150</v>
      </c>
      <c r="C330" s="1846">
        <v>44932</v>
      </c>
      <c r="D330" s="1847">
        <v>6</v>
      </c>
      <c r="E330" s="1806"/>
      <c r="F330" s="1841">
        <f>EL!AA131</f>
        <v>73.739999999999995</v>
      </c>
      <c r="G330" s="1758">
        <f>EL!AA134</f>
        <v>237.24</v>
      </c>
      <c r="H330" s="2034">
        <f t="shared" si="23"/>
        <v>3.0724999999999998</v>
      </c>
      <c r="I330" s="1844">
        <f>EL!AI128</f>
        <v>1.2183333333333333</v>
      </c>
      <c r="J330" s="1806"/>
      <c r="K330" s="1842">
        <f t="shared" si="26"/>
        <v>352.99099999999999</v>
      </c>
      <c r="L330" s="2051">
        <f t="shared" si="24"/>
        <v>58.831833333333329</v>
      </c>
      <c r="M330" s="1806"/>
      <c r="N330" s="1758"/>
      <c r="O330" s="2003">
        <f t="shared" si="25"/>
        <v>0</v>
      </c>
      <c r="P330" s="1806"/>
      <c r="Q330" s="1176"/>
    </row>
    <row r="331" spans="1:17" ht="14.4">
      <c r="A331" s="1176"/>
      <c r="B331" s="1848" t="s">
        <v>1149</v>
      </c>
      <c r="C331" s="1846">
        <v>44933</v>
      </c>
      <c r="D331" s="1847">
        <v>7</v>
      </c>
      <c r="E331" s="1806"/>
      <c r="F331" s="1841">
        <f>EL!AA156</f>
        <v>76.819999999999993</v>
      </c>
      <c r="G331" s="1758">
        <f>EL!AA159</f>
        <v>209.49</v>
      </c>
      <c r="H331" s="2034">
        <f t="shared" si="23"/>
        <v>3.2008333333333332</v>
      </c>
      <c r="I331" s="1844">
        <f>EL!AI153</f>
        <v>1</v>
      </c>
      <c r="J331" s="1806"/>
      <c r="K331" s="1842">
        <f t="shared" si="26"/>
        <v>429.81099999999998</v>
      </c>
      <c r="L331" s="2051">
        <f t="shared" si="24"/>
        <v>61.401571428571422</v>
      </c>
      <c r="M331" s="1806"/>
      <c r="N331" s="1758"/>
      <c r="O331" s="2003">
        <f t="shared" si="25"/>
        <v>0</v>
      </c>
      <c r="P331" s="1806"/>
      <c r="Q331" s="1176"/>
    </row>
    <row r="332" spans="1:17" ht="14.4">
      <c r="A332" s="1176"/>
      <c r="B332" s="1848" t="s">
        <v>1155</v>
      </c>
      <c r="C332" s="1846">
        <v>44934</v>
      </c>
      <c r="D332" s="1847">
        <v>8</v>
      </c>
      <c r="E332" s="1806"/>
      <c r="F332" s="1841">
        <f>EL!AA181</f>
        <v>69.100000000000009</v>
      </c>
      <c r="G332" s="1758">
        <f>EL!AA184</f>
        <v>107.74999999999997</v>
      </c>
      <c r="H332" s="2034">
        <f t="shared" si="23"/>
        <v>2.8791666666666669</v>
      </c>
      <c r="I332" s="1844">
        <f>EL!AI178</f>
        <v>0.77375000000000005</v>
      </c>
      <c r="J332" s="1806"/>
      <c r="K332" s="1842">
        <f t="shared" si="26"/>
        <v>498.911</v>
      </c>
      <c r="L332" s="2051">
        <f t="shared" si="24"/>
        <v>62.363875</v>
      </c>
      <c r="M332" s="1806"/>
      <c r="N332" s="1758"/>
      <c r="O332" s="2003">
        <f t="shared" si="25"/>
        <v>0</v>
      </c>
      <c r="P332" s="1806"/>
      <c r="Q332" s="1176"/>
    </row>
    <row r="333" spans="1:17" ht="14.4">
      <c r="A333" s="1176"/>
      <c r="B333" s="1848" t="s">
        <v>1154</v>
      </c>
      <c r="C333" s="1846">
        <v>44935</v>
      </c>
      <c r="D333" s="1847">
        <v>9</v>
      </c>
      <c r="E333" s="1806"/>
      <c r="F333" s="1841">
        <f>EL!AA206</f>
        <v>50.36</v>
      </c>
      <c r="G333" s="1758">
        <f>EL!AA209</f>
        <v>115.22000000000001</v>
      </c>
      <c r="H333" s="2034">
        <f t="shared" si="23"/>
        <v>2.0983333333333332</v>
      </c>
      <c r="I333" s="1844">
        <f>EL!AI203</f>
        <v>1.5725000000000002</v>
      </c>
      <c r="J333" s="1806"/>
      <c r="K333" s="1842">
        <f t="shared" si="26"/>
        <v>549.27099999999996</v>
      </c>
      <c r="L333" s="2051">
        <f t="shared" si="24"/>
        <v>61.030111111111104</v>
      </c>
      <c r="M333" s="1806"/>
      <c r="N333" s="1758"/>
      <c r="O333" s="2003">
        <f t="shared" si="25"/>
        <v>0</v>
      </c>
      <c r="P333" s="1806"/>
      <c r="Q333" s="1176"/>
    </row>
    <row r="334" spans="1:17" ht="14.4">
      <c r="A334" s="1176"/>
      <c r="B334" s="1848" t="s">
        <v>1153</v>
      </c>
      <c r="C334" s="1846">
        <v>44936</v>
      </c>
      <c r="D334" s="1847">
        <v>10</v>
      </c>
      <c r="E334" s="1806"/>
      <c r="F334" s="1841">
        <f>EL!AA231</f>
        <v>55.459999999999994</v>
      </c>
      <c r="G334" s="1758">
        <f>EL!AA234</f>
        <v>112.17999999999999</v>
      </c>
      <c r="H334" s="2034">
        <f t="shared" si="23"/>
        <v>2.3108333333333331</v>
      </c>
      <c r="I334" s="1844">
        <f>EL!AI228</f>
        <v>1.3328125000000002</v>
      </c>
      <c r="J334" s="1806"/>
      <c r="K334" s="1842">
        <f t="shared" si="26"/>
        <v>604.73099999999999</v>
      </c>
      <c r="L334" s="2051">
        <f t="shared" si="24"/>
        <v>60.473100000000002</v>
      </c>
      <c r="M334" s="1806"/>
      <c r="N334" s="1758"/>
      <c r="O334" s="2003">
        <f t="shared" si="25"/>
        <v>0</v>
      </c>
      <c r="P334" s="1806"/>
      <c r="Q334" s="1176"/>
    </row>
    <row r="335" spans="1:17" ht="14.4">
      <c r="A335" s="1176"/>
      <c r="B335" s="1848" t="s">
        <v>1152</v>
      </c>
      <c r="C335" s="1846">
        <v>44937</v>
      </c>
      <c r="D335" s="1847">
        <v>11</v>
      </c>
      <c r="E335" s="1806"/>
      <c r="F335" s="1841">
        <f>EL!AA256</f>
        <v>63.239999999999995</v>
      </c>
      <c r="G335" s="1758">
        <f>EL!AA259</f>
        <v>112.63000000000001</v>
      </c>
      <c r="H335" s="2034">
        <f t="shared" si="23"/>
        <v>2.6349999999999998</v>
      </c>
      <c r="I335" s="1844">
        <f>EL!AI253</f>
        <v>1.1981250000000001</v>
      </c>
      <c r="J335" s="1806"/>
      <c r="K335" s="1842">
        <f t="shared" si="26"/>
        <v>667.971</v>
      </c>
      <c r="L335" s="2051">
        <f t="shared" si="24"/>
        <v>60.724636363636364</v>
      </c>
      <c r="M335" s="1806"/>
      <c r="N335" s="1758">
        <v>1245.28</v>
      </c>
      <c r="O335" s="2003">
        <f t="shared" si="25"/>
        <v>113.20727272727272</v>
      </c>
      <c r="P335" s="1806"/>
      <c r="Q335" s="1176"/>
    </row>
    <row r="336" spans="1:17" ht="14.4">
      <c r="A336" s="1176"/>
      <c r="B336" s="1848" t="s">
        <v>1151</v>
      </c>
      <c r="C336" s="1846">
        <v>44938</v>
      </c>
      <c r="D336" s="1847">
        <v>12</v>
      </c>
      <c r="E336" s="1806"/>
      <c r="F336" s="1841">
        <f>EL!AA281</f>
        <v>56.084000000000003</v>
      </c>
      <c r="G336" s="1758">
        <f>EL!AA284</f>
        <v>97.72</v>
      </c>
      <c r="H336" s="2034">
        <f t="shared" si="23"/>
        <v>2.3368333333333333</v>
      </c>
      <c r="I336" s="1844">
        <f>EL!AI278</f>
        <v>1.0250000000000001</v>
      </c>
      <c r="J336" s="1806"/>
      <c r="K336" s="1842">
        <f t="shared" si="26"/>
        <v>724.05500000000006</v>
      </c>
      <c r="L336" s="2051">
        <f t="shared" si="24"/>
        <v>60.337916666666672</v>
      </c>
      <c r="M336" s="1806"/>
      <c r="N336" s="1758">
        <v>1343</v>
      </c>
      <c r="O336" s="2003">
        <f t="shared" si="25"/>
        <v>111.91666666666667</v>
      </c>
      <c r="P336" s="1806"/>
      <c r="Q336" s="1176"/>
    </row>
    <row r="337" spans="1:17" ht="14.4">
      <c r="A337" s="1176"/>
      <c r="B337" s="1848" t="s">
        <v>1150</v>
      </c>
      <c r="C337" s="1846">
        <v>44939</v>
      </c>
      <c r="D337" s="1847">
        <v>13</v>
      </c>
      <c r="E337" s="1806"/>
      <c r="F337" s="1841">
        <f>EL!AA306</f>
        <v>57.34</v>
      </c>
      <c r="G337" s="1758">
        <f>EL!AA309</f>
        <v>90.47999999999999</v>
      </c>
      <c r="H337" s="2034">
        <f t="shared" si="23"/>
        <v>2.3891666666666667</v>
      </c>
      <c r="I337" s="1844">
        <f>EL!AI303</f>
        <v>0.92687499999999989</v>
      </c>
      <c r="J337" s="1806"/>
      <c r="K337" s="1842">
        <f t="shared" si="26"/>
        <v>781.3950000000001</v>
      </c>
      <c r="L337" s="2051">
        <f t="shared" si="24"/>
        <v>60.1073076923077</v>
      </c>
      <c r="M337" s="1806"/>
      <c r="N337" s="1758"/>
      <c r="O337" s="2003">
        <f t="shared" si="25"/>
        <v>0</v>
      </c>
      <c r="P337" s="1806"/>
      <c r="Q337" s="1176"/>
    </row>
    <row r="338" spans="1:17" ht="14.4">
      <c r="A338" s="1176"/>
      <c r="B338" s="1848" t="s">
        <v>1149</v>
      </c>
      <c r="C338" s="1846">
        <v>44940</v>
      </c>
      <c r="D338" s="1847">
        <v>14</v>
      </c>
      <c r="E338" s="1806"/>
      <c r="F338" s="1841">
        <f>EL!AA331</f>
        <v>64.013999999999996</v>
      </c>
      <c r="G338" s="1758">
        <f>EL!AA334</f>
        <v>79.47</v>
      </c>
      <c r="H338" s="2034">
        <f t="shared" si="23"/>
        <v>2.6672499999999997</v>
      </c>
      <c r="I338" s="1844">
        <f>EL!AI328</f>
        <v>0.42499999999999999</v>
      </c>
      <c r="J338" s="1806"/>
      <c r="K338" s="1842">
        <f t="shared" si="26"/>
        <v>845.40900000000011</v>
      </c>
      <c r="L338" s="2051">
        <f t="shared" si="24"/>
        <v>60.38635714285715</v>
      </c>
      <c r="M338" s="1806"/>
      <c r="N338" s="1758"/>
      <c r="O338" s="2003">
        <f t="shared" si="25"/>
        <v>0</v>
      </c>
      <c r="P338" s="1806"/>
      <c r="Q338" s="1176"/>
    </row>
    <row r="339" spans="1:17" ht="14.4">
      <c r="A339" s="1176"/>
      <c r="B339" s="1848" t="s">
        <v>1155</v>
      </c>
      <c r="C339" s="1846">
        <v>44941</v>
      </c>
      <c r="D339" s="1847">
        <v>15</v>
      </c>
      <c r="E339" s="1806"/>
      <c r="F339" s="1841">
        <f>EL!AA356</f>
        <v>58.002000000000002</v>
      </c>
      <c r="G339" s="1758">
        <f>EL!AA359</f>
        <v>59.250000000000007</v>
      </c>
      <c r="H339" s="2034">
        <f t="shared" si="23"/>
        <v>2.41675</v>
      </c>
      <c r="I339" s="1844">
        <f>EL!AI353</f>
        <v>0.25937500000000002</v>
      </c>
      <c r="J339" s="1806"/>
      <c r="K339" s="1842">
        <f t="shared" si="26"/>
        <v>903.41100000000006</v>
      </c>
      <c r="L339" s="2051">
        <f t="shared" si="24"/>
        <v>60.227400000000003</v>
      </c>
      <c r="M339" s="1806"/>
      <c r="N339" s="1758"/>
      <c r="O339" s="2003">
        <f t="shared" si="25"/>
        <v>0</v>
      </c>
      <c r="P339" s="1806"/>
      <c r="Q339" s="1176"/>
    </row>
    <row r="340" spans="1:17" ht="14.4">
      <c r="A340" s="1176"/>
      <c r="B340" s="1848" t="s">
        <v>1154</v>
      </c>
      <c r="C340" s="1846">
        <v>44942</v>
      </c>
      <c r="D340" s="1847">
        <v>16</v>
      </c>
      <c r="E340" s="1806"/>
      <c r="F340" s="1841">
        <f>EL!AA381</f>
        <v>66.349999999999994</v>
      </c>
      <c r="G340" s="1758">
        <f>EL!AA384</f>
        <v>142.71999999999997</v>
      </c>
      <c r="H340" s="2034">
        <f t="shared" si="23"/>
        <v>2.7645833333333329</v>
      </c>
      <c r="I340" s="1844">
        <f>EL!AI378</f>
        <v>1.5218749999999999</v>
      </c>
      <c r="J340" s="1806"/>
      <c r="K340" s="1842">
        <f t="shared" si="26"/>
        <v>969.76100000000008</v>
      </c>
      <c r="L340" s="2051">
        <f t="shared" si="24"/>
        <v>60.610062500000005</v>
      </c>
      <c r="M340" s="1806"/>
      <c r="N340" s="1758"/>
      <c r="O340" s="2003">
        <f t="shared" si="25"/>
        <v>0</v>
      </c>
      <c r="P340" s="1806"/>
      <c r="Q340" s="1176"/>
    </row>
    <row r="341" spans="1:17" ht="14.4">
      <c r="A341" s="1176"/>
      <c r="B341" s="1848" t="s">
        <v>1153</v>
      </c>
      <c r="C341" s="1846">
        <v>44943</v>
      </c>
      <c r="D341" s="1847">
        <v>17</v>
      </c>
      <c r="E341" s="1806"/>
      <c r="F341" s="1841">
        <f>EL!AA406</f>
        <v>66.877999999999986</v>
      </c>
      <c r="G341" s="1758">
        <f>EL!AA409</f>
        <v>142.02999999999997</v>
      </c>
      <c r="H341" s="2034">
        <f t="shared" si="23"/>
        <v>2.7865833333333327</v>
      </c>
      <c r="I341" s="1844">
        <f>EL!AI403</f>
        <v>1.4068749999999999</v>
      </c>
      <c r="J341" s="1806"/>
      <c r="K341" s="1842">
        <f t="shared" si="26"/>
        <v>1036.6390000000001</v>
      </c>
      <c r="L341" s="2051">
        <f t="shared" si="24"/>
        <v>60.978764705882362</v>
      </c>
      <c r="M341" s="1806"/>
      <c r="N341" s="1758"/>
      <c r="O341" s="2003">
        <f t="shared" si="25"/>
        <v>0</v>
      </c>
      <c r="P341" s="1806"/>
      <c r="Q341" s="1176"/>
    </row>
    <row r="342" spans="1:17" ht="14.4">
      <c r="A342" s="1176"/>
      <c r="B342" s="1848" t="s">
        <v>1152</v>
      </c>
      <c r="C342" s="1846">
        <v>44944</v>
      </c>
      <c r="D342" s="1847">
        <v>18</v>
      </c>
      <c r="E342" s="1806"/>
      <c r="F342" s="1841">
        <f>EL!AA431</f>
        <v>65.617999999999995</v>
      </c>
      <c r="G342" s="1758">
        <f>EL!AA434</f>
        <v>138.92000000000002</v>
      </c>
      <c r="H342" s="2034">
        <f t="shared" si="23"/>
        <v>2.734083333333333</v>
      </c>
      <c r="I342" s="1844">
        <f>EL!AI428</f>
        <v>1.3987500000000002</v>
      </c>
      <c r="J342" s="1806"/>
      <c r="K342" s="1842">
        <f t="shared" si="26"/>
        <v>1102.2570000000001</v>
      </c>
      <c r="L342" s="2051">
        <f t="shared" si="24"/>
        <v>61.236500000000007</v>
      </c>
      <c r="M342" s="1806"/>
      <c r="N342" s="1758"/>
      <c r="O342" s="2003">
        <f t="shared" si="25"/>
        <v>0</v>
      </c>
      <c r="P342" s="1806"/>
      <c r="Q342" s="1176"/>
    </row>
    <row r="343" spans="1:17" ht="14.4">
      <c r="A343" s="1176"/>
      <c r="B343" s="1848" t="s">
        <v>1151</v>
      </c>
      <c r="C343" s="1846">
        <v>44945</v>
      </c>
      <c r="D343" s="1847">
        <v>19</v>
      </c>
      <c r="E343" s="1806"/>
      <c r="F343" s="1841">
        <f>EL!AA456</f>
        <v>66.740000000000009</v>
      </c>
      <c r="G343" s="1758">
        <f>EL!AA459</f>
        <v>154.33000000000001</v>
      </c>
      <c r="H343" s="2034">
        <f t="shared" si="23"/>
        <v>2.7808333333333337</v>
      </c>
      <c r="I343" s="1844">
        <f>EL!AI453</f>
        <v>1.6375000000000002</v>
      </c>
      <c r="J343" s="1806"/>
      <c r="K343" s="1842">
        <f t="shared" si="26"/>
        <v>1168.9970000000001</v>
      </c>
      <c r="L343" s="2051">
        <f t="shared" si="24"/>
        <v>61.526157894736848</v>
      </c>
      <c r="M343" s="1806"/>
      <c r="N343" s="1758"/>
      <c r="O343" s="2003">
        <f t="shared" si="25"/>
        <v>0</v>
      </c>
      <c r="P343" s="1806"/>
      <c r="Q343" s="1176"/>
    </row>
    <row r="344" spans="1:17" ht="14.4">
      <c r="A344" s="1176"/>
      <c r="B344" s="1848" t="s">
        <v>1150</v>
      </c>
      <c r="C344" s="1846">
        <v>44946</v>
      </c>
      <c r="D344" s="1847">
        <v>20</v>
      </c>
      <c r="E344" s="1806"/>
      <c r="F344" s="1840">
        <f>EL!AA481</f>
        <v>65.649999999999991</v>
      </c>
      <c r="G344" s="1758">
        <f>EL!AA459</f>
        <v>154.33000000000001</v>
      </c>
      <c r="H344" s="2032">
        <f t="shared" si="23"/>
        <v>2.7354166666666662</v>
      </c>
      <c r="I344" s="1844">
        <f>EL!AI478</f>
        <v>1.921875</v>
      </c>
      <c r="J344" s="1806"/>
      <c r="K344" s="1842">
        <f t="shared" si="26"/>
        <v>1234.6470000000002</v>
      </c>
      <c r="L344" s="2051">
        <f t="shared" si="24"/>
        <v>61.732350000000011</v>
      </c>
      <c r="M344" s="1806"/>
      <c r="N344" s="1758"/>
      <c r="O344" s="2003">
        <f t="shared" si="25"/>
        <v>0</v>
      </c>
      <c r="P344" s="1806"/>
      <c r="Q344" s="1176"/>
    </row>
    <row r="345" spans="1:17" ht="14.4">
      <c r="A345" s="1176"/>
      <c r="B345" s="1848" t="s">
        <v>1149</v>
      </c>
      <c r="C345" s="1846">
        <v>44947</v>
      </c>
      <c r="D345" s="1847">
        <v>21</v>
      </c>
      <c r="E345" s="1806"/>
      <c r="F345" s="1840">
        <f>EL!AA506</f>
        <v>64.295000000000002</v>
      </c>
      <c r="G345" s="1758">
        <f>EL!AA484</f>
        <v>172.44</v>
      </c>
      <c r="H345" s="2032">
        <f t="shared" si="23"/>
        <v>2.6789583333333336</v>
      </c>
      <c r="I345" s="1844">
        <f>EL!AI503</f>
        <v>1.5125</v>
      </c>
      <c r="J345" s="1806"/>
      <c r="K345" s="1842">
        <f t="shared" si="26"/>
        <v>1298.9420000000002</v>
      </c>
      <c r="L345" s="2051">
        <f t="shared" si="24"/>
        <v>61.854380952380964</v>
      </c>
      <c r="M345" s="1806"/>
      <c r="N345" s="1758"/>
      <c r="O345" s="2003">
        <f t="shared" si="25"/>
        <v>0</v>
      </c>
      <c r="P345" s="1806"/>
      <c r="Q345" s="1176"/>
    </row>
    <row r="346" spans="1:17" ht="14.4">
      <c r="A346" s="1176"/>
      <c r="B346" s="1848" t="s">
        <v>1155</v>
      </c>
      <c r="C346" s="1846">
        <v>44948</v>
      </c>
      <c r="D346" s="1847">
        <v>22</v>
      </c>
      <c r="E346" s="1806"/>
      <c r="F346" s="1841">
        <f>EL!AA531</f>
        <v>66.197000000000003</v>
      </c>
      <c r="G346" s="1758">
        <f>EL!AA534</f>
        <v>154.69</v>
      </c>
      <c r="H346" s="2034">
        <f t="shared" si="23"/>
        <v>2.7582083333333336</v>
      </c>
      <c r="I346" s="1844">
        <f>AVERAGE($I$325:I345)</f>
        <v>1.1424751984126984</v>
      </c>
      <c r="J346" s="1806"/>
      <c r="K346" s="1842">
        <f t="shared" si="26"/>
        <v>1365.1390000000001</v>
      </c>
      <c r="L346" s="2051">
        <f t="shared" si="24"/>
        <v>62.051772727272734</v>
      </c>
      <c r="M346" s="1806"/>
      <c r="N346" s="1758"/>
      <c r="O346" s="2003">
        <f t="shared" si="25"/>
        <v>0</v>
      </c>
      <c r="P346" s="1806"/>
      <c r="Q346" s="1176"/>
    </row>
    <row r="347" spans="1:17" ht="14.4">
      <c r="A347" s="1176"/>
      <c r="B347" s="1848" t="s">
        <v>1154</v>
      </c>
      <c r="C347" s="1846">
        <v>44949</v>
      </c>
      <c r="D347" s="1847">
        <v>23</v>
      </c>
      <c r="E347" s="1806"/>
      <c r="F347" s="1840">
        <f>EL!AA556</f>
        <v>64.760000000000005</v>
      </c>
      <c r="G347" s="1758">
        <f>EL!AA559</f>
        <v>182.76000000000005</v>
      </c>
      <c r="H347" s="2032">
        <f t="shared" si="23"/>
        <v>2.6983333333333337</v>
      </c>
      <c r="I347" s="1844">
        <f>AVERAGE($I$325:I346)</f>
        <v>1.1424751984126984</v>
      </c>
      <c r="J347" s="1806"/>
      <c r="K347" s="1842">
        <f t="shared" si="26"/>
        <v>1429.8990000000001</v>
      </c>
      <c r="L347" s="2051">
        <f t="shared" si="24"/>
        <v>62.169521739130438</v>
      </c>
      <c r="M347" s="1806"/>
      <c r="N347" s="1758"/>
      <c r="O347" s="2003">
        <f t="shared" si="25"/>
        <v>0</v>
      </c>
      <c r="P347" s="1806"/>
      <c r="Q347" s="1176"/>
    </row>
    <row r="348" spans="1:17" ht="14.4">
      <c r="A348" s="1176"/>
      <c r="B348" s="1848" t="s">
        <v>1153</v>
      </c>
      <c r="C348" s="1846">
        <v>44950</v>
      </c>
      <c r="D348" s="1847">
        <v>24</v>
      </c>
      <c r="E348" s="1806"/>
      <c r="F348" s="1841">
        <f>EL!AA581</f>
        <v>64.410000000000011</v>
      </c>
      <c r="G348" s="1758">
        <f>EL!AA584</f>
        <v>180.01000000000002</v>
      </c>
      <c r="H348" s="2034">
        <f t="shared" si="23"/>
        <v>2.6837500000000003</v>
      </c>
      <c r="I348" s="1844">
        <f>AVERAGE($I$325:I347)</f>
        <v>1.1424751984126984</v>
      </c>
      <c r="J348" s="1806"/>
      <c r="K348" s="1842">
        <f t="shared" si="26"/>
        <v>1494.3090000000002</v>
      </c>
      <c r="L348" s="2051">
        <f t="shared" si="24"/>
        <v>62.262875000000008</v>
      </c>
      <c r="M348" s="1806"/>
      <c r="N348" s="1758">
        <v>2989.99</v>
      </c>
      <c r="O348" s="2003">
        <f t="shared" si="25"/>
        <v>124.58291666666666</v>
      </c>
      <c r="P348" s="1806"/>
      <c r="Q348" s="1176"/>
    </row>
    <row r="349" spans="1:17" ht="14.4">
      <c r="A349" s="1176"/>
      <c r="B349" s="1848" t="s">
        <v>1152</v>
      </c>
      <c r="C349" s="1846">
        <v>44951</v>
      </c>
      <c r="D349" s="1847">
        <v>25</v>
      </c>
      <c r="E349" s="1806"/>
      <c r="F349" s="1840">
        <f>EL!AA606</f>
        <v>58.902000000000001</v>
      </c>
      <c r="G349" s="1758">
        <f>EL!AA609</f>
        <v>130.68</v>
      </c>
      <c r="H349" s="2032">
        <f t="shared" si="23"/>
        <v>2.45425</v>
      </c>
      <c r="I349" s="1844">
        <f>AVERAGE($I$325:I348)</f>
        <v>1.1424751984126982</v>
      </c>
      <c r="J349" s="1806"/>
      <c r="K349" s="1842">
        <f t="shared" si="26"/>
        <v>1553.2110000000002</v>
      </c>
      <c r="L349" s="2051">
        <f t="shared" si="24"/>
        <v>62.128440000000012</v>
      </c>
      <c r="M349" s="1806"/>
      <c r="N349" s="1758"/>
      <c r="O349" s="2003">
        <f t="shared" si="25"/>
        <v>0</v>
      </c>
      <c r="P349" s="1806"/>
      <c r="Q349" s="1176"/>
    </row>
    <row r="350" spans="1:17" ht="14.4">
      <c r="A350" s="1176"/>
      <c r="B350" s="1848" t="s">
        <v>1151</v>
      </c>
      <c r="C350" s="1846">
        <v>44952</v>
      </c>
      <c r="D350" s="1847">
        <v>26</v>
      </c>
      <c r="E350" s="1806"/>
      <c r="F350" s="1840">
        <f>EL!AA606</f>
        <v>58.902000000000001</v>
      </c>
      <c r="G350" s="1758">
        <f>EL!AA634</f>
        <v>155.93</v>
      </c>
      <c r="H350" s="2032">
        <f t="shared" si="23"/>
        <v>2.45425</v>
      </c>
      <c r="I350" s="1844">
        <f>AVERAGE($I$325:I349)</f>
        <v>1.1424751984126982</v>
      </c>
      <c r="J350" s="1806"/>
      <c r="K350" s="1842">
        <f t="shared" si="26"/>
        <v>1612.1130000000003</v>
      </c>
      <c r="L350" s="2051">
        <f t="shared" si="24"/>
        <v>62.004346153846164</v>
      </c>
      <c r="M350" s="1806"/>
      <c r="N350" s="1758"/>
      <c r="O350" s="2003">
        <f t="shared" si="25"/>
        <v>0</v>
      </c>
      <c r="P350" s="1806"/>
      <c r="Q350" s="1176"/>
    </row>
    <row r="351" spans="1:17" ht="14.4">
      <c r="A351" s="1176"/>
      <c r="B351" s="1848" t="s">
        <v>1150</v>
      </c>
      <c r="C351" s="1846">
        <v>44953</v>
      </c>
      <c r="D351" s="1847">
        <v>27</v>
      </c>
      <c r="E351" s="1806"/>
      <c r="F351" s="1841">
        <f>EL!AA656</f>
        <v>67.260000000000019</v>
      </c>
      <c r="G351" s="1758">
        <f>EL!AA659</f>
        <v>170.12999999999997</v>
      </c>
      <c r="H351" s="2034">
        <f t="shared" si="23"/>
        <v>2.8025000000000007</v>
      </c>
      <c r="I351" s="1844">
        <f>AVERAGE($I$325:I350)</f>
        <v>1.1424751984126982</v>
      </c>
      <c r="J351" s="1806"/>
      <c r="K351" s="1842">
        <f t="shared" si="26"/>
        <v>1679.3730000000003</v>
      </c>
      <c r="L351" s="2051">
        <f t="shared" si="24"/>
        <v>62.199000000000012</v>
      </c>
      <c r="M351" s="1806"/>
      <c r="N351" s="1758"/>
      <c r="O351" s="2003">
        <f t="shared" si="25"/>
        <v>0</v>
      </c>
      <c r="P351" s="1806"/>
      <c r="Q351" s="1176"/>
    </row>
    <row r="352" spans="1:17" ht="14.4">
      <c r="A352" s="1176"/>
      <c r="B352" s="1848" t="s">
        <v>1149</v>
      </c>
      <c r="C352" s="1846">
        <v>44954</v>
      </c>
      <c r="D352" s="1847">
        <v>28</v>
      </c>
      <c r="E352" s="1806"/>
      <c r="F352" s="1840">
        <f>EL!AA681</f>
        <v>67.47999999999999</v>
      </c>
      <c r="G352" s="1758">
        <f>EL!AA684</f>
        <v>135.55000000000001</v>
      </c>
      <c r="H352" s="2032">
        <f t="shared" si="23"/>
        <v>2.8116666666666661</v>
      </c>
      <c r="I352" s="1844">
        <f>AVERAGE($I$325:I351)</f>
        <v>1.1424751984126982</v>
      </c>
      <c r="J352" s="1806"/>
      <c r="K352" s="1842">
        <f t="shared" si="26"/>
        <v>1746.8530000000003</v>
      </c>
      <c r="L352" s="2051">
        <f t="shared" si="24"/>
        <v>62.387607142857156</v>
      </c>
      <c r="M352" s="1806"/>
      <c r="N352" s="1758"/>
      <c r="O352" s="2003">
        <f t="shared" si="25"/>
        <v>0</v>
      </c>
      <c r="P352" s="1806"/>
      <c r="Q352" s="1176"/>
    </row>
    <row r="353" spans="1:17" ht="14.4">
      <c r="A353" s="1176"/>
      <c r="B353" s="1848" t="s">
        <v>1155</v>
      </c>
      <c r="C353" s="1846">
        <v>44955</v>
      </c>
      <c r="D353" s="1847">
        <v>29</v>
      </c>
      <c r="E353" s="1806"/>
      <c r="F353" s="1841">
        <f>EL!AA706</f>
        <v>58.080000000000005</v>
      </c>
      <c r="G353" s="1758">
        <f>EL!AA709</f>
        <v>104.04999999999998</v>
      </c>
      <c r="H353" s="2034">
        <f t="shared" si="23"/>
        <v>2.4200000000000004</v>
      </c>
      <c r="I353" s="1844">
        <f>AVERAGE($I$325:I352)</f>
        <v>1.1424751984126982</v>
      </c>
      <c r="J353" s="1806"/>
      <c r="K353" s="1842">
        <f t="shared" si="26"/>
        <v>1804.9330000000002</v>
      </c>
      <c r="L353" s="2051">
        <f t="shared" si="24"/>
        <v>62.239068965517248</v>
      </c>
      <c r="M353" s="1806"/>
      <c r="N353" s="1758"/>
      <c r="O353" s="2003">
        <f t="shared" si="25"/>
        <v>0</v>
      </c>
      <c r="P353" s="1806"/>
      <c r="Q353" s="1176"/>
    </row>
    <row r="354" spans="1:17" ht="14.4">
      <c r="A354" s="1176"/>
      <c r="B354" s="1848" t="s">
        <v>1154</v>
      </c>
      <c r="C354" s="1846">
        <v>44956</v>
      </c>
      <c r="D354" s="1847">
        <v>30</v>
      </c>
      <c r="E354" s="1806"/>
      <c r="F354" s="1840">
        <f>EL!AA731</f>
        <v>47.070000000000007</v>
      </c>
      <c r="G354" s="1758">
        <f>EL!AA734</f>
        <v>79.299999999999983</v>
      </c>
      <c r="H354" s="2032">
        <f t="shared" si="23"/>
        <v>1.9612500000000004</v>
      </c>
      <c r="I354" s="1844">
        <f>AVERAGE($I$325:I353)</f>
        <v>1.142475198412698</v>
      </c>
      <c r="J354" s="1806"/>
      <c r="K354" s="1842">
        <f t="shared" si="26"/>
        <v>1852.0030000000002</v>
      </c>
      <c r="L354" s="2051">
        <f t="shared" si="24"/>
        <v>61.733433333333338</v>
      </c>
      <c r="M354" s="1806"/>
      <c r="N354" s="1758">
        <v>2765.59</v>
      </c>
      <c r="O354" s="2003">
        <f t="shared" si="25"/>
        <v>92.186333333333337</v>
      </c>
      <c r="P354" s="1806"/>
      <c r="Q354" s="1176"/>
    </row>
    <row r="355" spans="1:17" ht="14.4">
      <c r="A355" s="1176"/>
      <c r="B355" s="1845" t="s">
        <v>1153</v>
      </c>
      <c r="C355" s="1846">
        <v>44957</v>
      </c>
      <c r="D355" s="1847">
        <v>31</v>
      </c>
      <c r="E355" s="1811"/>
      <c r="F355" s="1840">
        <f>EL!AA756</f>
        <v>56.159999999999982</v>
      </c>
      <c r="G355" s="1758">
        <f>AVERAGE($G$325:G354)</f>
        <v>131.02966666666669</v>
      </c>
      <c r="H355" s="2032">
        <f t="shared" si="23"/>
        <v>2.3399999999999994</v>
      </c>
      <c r="I355" s="1843">
        <f>AVERAGE($I$325:I354)</f>
        <v>1.142475198412698</v>
      </c>
      <c r="J355" s="1811"/>
      <c r="K355" s="1842">
        <f t="shared" si="26"/>
        <v>1908.1630000000002</v>
      </c>
      <c r="L355" s="2051">
        <f t="shared" si="24"/>
        <v>61.553645161290333</v>
      </c>
      <c r="M355" s="1811"/>
      <c r="N355" s="1758">
        <f>N354+G355</f>
        <v>2896.6196666666669</v>
      </c>
      <c r="O355" s="2003">
        <f t="shared" si="25"/>
        <v>93.439344086021521</v>
      </c>
      <c r="P355" s="1811"/>
      <c r="Q355" s="1195"/>
    </row>
    <row r="356" spans="1:17" s="1816" customFormat="1" ht="5.25" customHeight="1" thickBot="1">
      <c r="A356" s="1818"/>
      <c r="H356" s="2027"/>
      <c r="I356" s="2028"/>
      <c r="L356" s="2027"/>
      <c r="O356" s="2027"/>
    </row>
    <row r="357" spans="1:17" ht="14.4">
      <c r="A357" s="1176"/>
      <c r="B357" s="1829"/>
      <c r="C357" s="1838" t="str">
        <f>C4</f>
        <v>FEBRUAR 2023</v>
      </c>
      <c r="D357" s="1831">
        <v>31</v>
      </c>
      <c r="E357" s="1832"/>
      <c r="F357" s="1837">
        <f ca="1">SUM(F358:F384)/$D$485</f>
        <v>0.54071633237822347</v>
      </c>
      <c r="G357" s="1834">
        <f ca="1">SUM(G358:G384)/$D$485</f>
        <v>1.1762464183381089</v>
      </c>
      <c r="H357" s="2029">
        <f ca="1">SUM(H358:H384)/$D$485</f>
        <v>2.2529847182425979E-2</v>
      </c>
      <c r="I357" s="2030">
        <f ca="1">G357/F357</f>
        <v>2.1753484182078324</v>
      </c>
      <c r="J357" s="1832"/>
      <c r="K357" s="1837"/>
      <c r="L357" s="2029"/>
      <c r="M357" s="1832"/>
      <c r="N357" s="1827"/>
      <c r="O357" s="2067"/>
      <c r="P357" s="1832"/>
      <c r="Q357" s="1828"/>
    </row>
    <row r="358" spans="1:17" ht="14.4">
      <c r="A358" s="1176"/>
      <c r="B358" s="1845" t="s">
        <v>1149</v>
      </c>
      <c r="C358" s="1846">
        <v>44958</v>
      </c>
      <c r="D358" s="1847">
        <v>1</v>
      </c>
      <c r="E358" s="1811"/>
      <c r="F358" s="1862">
        <f>forbrug!D2</f>
        <v>2.5000000000000004</v>
      </c>
      <c r="G358" s="1865">
        <f>forbrug!E2</f>
        <v>4.92</v>
      </c>
      <c r="H358" s="2035">
        <f>F358/24</f>
        <v>0.10416666666666669</v>
      </c>
      <c r="I358" s="1843">
        <f>G358/F358</f>
        <v>1.9679999999999995</v>
      </c>
      <c r="J358" s="1811"/>
      <c r="K358" s="1842">
        <f>F358</f>
        <v>2.5000000000000004</v>
      </c>
      <c r="L358" s="2035">
        <f t="shared" ref="L358:L385" si="27">K358/D358</f>
        <v>2.5000000000000004</v>
      </c>
      <c r="M358" s="1811"/>
      <c r="N358" s="1758">
        <v>4.92</v>
      </c>
      <c r="O358" s="2033">
        <f>N358/D358</f>
        <v>4.92</v>
      </c>
      <c r="P358" s="1811"/>
      <c r="Q358" s="1843"/>
    </row>
    <row r="359" spans="1:17" ht="14.4">
      <c r="A359" s="1176"/>
      <c r="B359" s="1848" t="s">
        <v>1155</v>
      </c>
      <c r="C359" s="1846">
        <v>44959</v>
      </c>
      <c r="D359" s="1847">
        <v>2</v>
      </c>
      <c r="E359" s="1806"/>
      <c r="F359" s="1862">
        <f>forbrug!D3</f>
        <v>5.59</v>
      </c>
      <c r="G359" s="1865">
        <f>forbrug!E3</f>
        <v>13.829999999999998</v>
      </c>
      <c r="H359" s="2035">
        <f t="shared" ref="H359:H385" si="28">F359/24</f>
        <v>0.23291666666666666</v>
      </c>
      <c r="I359" s="1843">
        <f t="shared" ref="I359:I385" si="29">G359/F359</f>
        <v>2.4740608228980321</v>
      </c>
      <c r="J359" s="1806"/>
      <c r="K359" s="1842">
        <f t="shared" ref="K359:K365" si="30">K358+F359</f>
        <v>8.09</v>
      </c>
      <c r="L359" s="2035">
        <f t="shared" si="27"/>
        <v>4.0449999999999999</v>
      </c>
      <c r="M359" s="1806"/>
      <c r="N359" s="1758">
        <v>18.75</v>
      </c>
      <c r="O359" s="2033">
        <f t="shared" ref="O359:O384" si="31">N359/(D359-1)</f>
        <v>18.75</v>
      </c>
      <c r="P359" s="1806"/>
      <c r="Q359" s="1843"/>
    </row>
    <row r="360" spans="1:17" ht="14.4">
      <c r="A360" s="1176"/>
      <c r="B360" s="1848" t="s">
        <v>1154</v>
      </c>
      <c r="C360" s="1846">
        <v>44960</v>
      </c>
      <c r="D360" s="1847">
        <v>3</v>
      </c>
      <c r="E360" s="1806"/>
      <c r="F360" s="1862">
        <f>forbrug!D4</f>
        <v>5.07</v>
      </c>
      <c r="G360" s="1865">
        <f>forbrug!E4</f>
        <v>9.9299999999999979</v>
      </c>
      <c r="H360" s="2035">
        <f t="shared" si="28"/>
        <v>0.21125000000000002</v>
      </c>
      <c r="I360" s="1843">
        <f t="shared" si="29"/>
        <v>1.9585798816568043</v>
      </c>
      <c r="J360" s="1806"/>
      <c r="K360" s="1842">
        <f t="shared" si="30"/>
        <v>13.16</v>
      </c>
      <c r="L360" s="2035">
        <f t="shared" si="27"/>
        <v>4.3866666666666667</v>
      </c>
      <c r="M360" s="1806"/>
      <c r="N360" s="1758">
        <v>28.68</v>
      </c>
      <c r="O360" s="2033">
        <f t="shared" si="31"/>
        <v>14.34</v>
      </c>
      <c r="P360" s="1806"/>
      <c r="Q360" s="1843"/>
    </row>
    <row r="361" spans="1:17" ht="14.4">
      <c r="A361" s="1176"/>
      <c r="B361" s="1848" t="s">
        <v>1153</v>
      </c>
      <c r="C361" s="1846">
        <v>44961</v>
      </c>
      <c r="D361" s="1847">
        <v>4</v>
      </c>
      <c r="E361" s="1806"/>
      <c r="F361" s="1862">
        <f>forbrug!D5</f>
        <v>5.160000000000001</v>
      </c>
      <c r="G361" s="1865">
        <f>forbrug!E5</f>
        <v>12.479999999999999</v>
      </c>
      <c r="H361" s="2035">
        <f t="shared" si="28"/>
        <v>0.21500000000000005</v>
      </c>
      <c r="I361" s="1843">
        <f t="shared" si="29"/>
        <v>2.4186046511627901</v>
      </c>
      <c r="J361" s="1806"/>
      <c r="K361" s="1842">
        <f t="shared" si="30"/>
        <v>18.32</v>
      </c>
      <c r="L361" s="2035">
        <f t="shared" si="27"/>
        <v>4.58</v>
      </c>
      <c r="M361" s="1806"/>
      <c r="N361" s="1758">
        <v>40.57</v>
      </c>
      <c r="O361" s="2033">
        <f t="shared" si="31"/>
        <v>13.523333333333333</v>
      </c>
      <c r="P361" s="1806"/>
      <c r="Q361" s="1843"/>
    </row>
    <row r="362" spans="1:17" ht="14.4">
      <c r="A362" s="1176"/>
      <c r="B362" s="1848" t="s">
        <v>1152</v>
      </c>
      <c r="C362" s="1846">
        <v>44962</v>
      </c>
      <c r="D362" s="1847">
        <v>5</v>
      </c>
      <c r="E362" s="1806"/>
      <c r="F362" s="1862">
        <f>forbrug!D6</f>
        <v>5.86</v>
      </c>
      <c r="G362" s="1865">
        <f>forbrug!E6</f>
        <v>16.240000000000002</v>
      </c>
      <c r="H362" s="2035">
        <f t="shared" si="28"/>
        <v>0.24416666666666667</v>
      </c>
      <c r="I362" s="1843">
        <f t="shared" si="29"/>
        <v>2.7713310580204782</v>
      </c>
      <c r="J362" s="1806"/>
      <c r="K362" s="1842">
        <f t="shared" si="30"/>
        <v>24.18</v>
      </c>
      <c r="L362" s="2035">
        <f t="shared" si="27"/>
        <v>4.8360000000000003</v>
      </c>
      <c r="M362" s="1806"/>
      <c r="N362" s="1758">
        <v>52.99</v>
      </c>
      <c r="O362" s="2033">
        <f t="shared" si="31"/>
        <v>13.2475</v>
      </c>
      <c r="P362" s="1806"/>
      <c r="Q362" s="1843"/>
    </row>
    <row r="363" spans="1:17" ht="14.4">
      <c r="A363" s="1176"/>
      <c r="B363" s="1848" t="s">
        <v>1151</v>
      </c>
      <c r="C363" s="1846">
        <v>44963</v>
      </c>
      <c r="D363" s="1847">
        <v>6</v>
      </c>
      <c r="E363" s="1806"/>
      <c r="F363" s="1862">
        <f>forbrug!D7</f>
        <v>5.86</v>
      </c>
      <c r="G363" s="1865">
        <f>forbrug!E7</f>
        <v>16.240000000000002</v>
      </c>
      <c r="H363" s="2035">
        <f t="shared" si="28"/>
        <v>0.24416666666666667</v>
      </c>
      <c r="I363" s="1843">
        <f t="shared" si="29"/>
        <v>2.7713310580204782</v>
      </c>
      <c r="J363" s="1806"/>
      <c r="K363" s="1842">
        <f t="shared" si="30"/>
        <v>30.04</v>
      </c>
      <c r="L363" s="2035">
        <f t="shared" si="27"/>
        <v>5.0066666666666668</v>
      </c>
      <c r="M363" s="1806"/>
      <c r="N363" s="1758">
        <v>69.23</v>
      </c>
      <c r="O363" s="2033">
        <f t="shared" si="31"/>
        <v>13.846</v>
      </c>
      <c r="P363" s="1806"/>
      <c r="Q363" s="1843"/>
    </row>
    <row r="364" spans="1:17" ht="14.4">
      <c r="A364" s="1176"/>
      <c r="B364" s="1848" t="s">
        <v>1150</v>
      </c>
      <c r="C364" s="1846">
        <v>44964</v>
      </c>
      <c r="D364" s="1847">
        <v>7</v>
      </c>
      <c r="E364" s="1806"/>
      <c r="F364" s="1862">
        <f>forbrug!D8</f>
        <v>7.6300000000000017</v>
      </c>
      <c r="G364" s="1865">
        <f>forbrug!E8</f>
        <v>20.450000000000003</v>
      </c>
      <c r="H364" s="2035">
        <f t="shared" si="28"/>
        <v>0.31791666666666674</v>
      </c>
      <c r="I364" s="1843">
        <f t="shared" si="29"/>
        <v>2.6802096985583224</v>
      </c>
      <c r="J364" s="1806"/>
      <c r="K364" s="1842">
        <f t="shared" si="30"/>
        <v>37.67</v>
      </c>
      <c r="L364" s="2035">
        <f t="shared" si="27"/>
        <v>5.3814285714285717</v>
      </c>
      <c r="M364" s="1806"/>
      <c r="N364" s="1758">
        <v>89.68</v>
      </c>
      <c r="O364" s="2033">
        <f t="shared" si="31"/>
        <v>14.946666666666667</v>
      </c>
      <c r="P364" s="1806"/>
      <c r="Q364" s="1843"/>
    </row>
    <row r="365" spans="1:17" ht="14.4">
      <c r="A365" s="1176"/>
      <c r="B365" s="1848" t="s">
        <v>1149</v>
      </c>
      <c r="C365" s="1846">
        <v>44965</v>
      </c>
      <c r="D365" s="1847">
        <v>8</v>
      </c>
      <c r="E365" s="1806"/>
      <c r="F365" s="1862">
        <f>forbrug!D9</f>
        <v>8.48</v>
      </c>
      <c r="G365" s="1865">
        <f>forbrug!E9</f>
        <v>18.680000000000003</v>
      </c>
      <c r="H365" s="2035">
        <f t="shared" si="28"/>
        <v>0.35333333333333333</v>
      </c>
      <c r="I365" s="1843">
        <f t="shared" si="29"/>
        <v>2.2028301886792456</v>
      </c>
      <c r="J365" s="1806"/>
      <c r="K365" s="1842">
        <f t="shared" si="30"/>
        <v>46.150000000000006</v>
      </c>
      <c r="L365" s="2035">
        <f t="shared" si="27"/>
        <v>5.7687500000000007</v>
      </c>
      <c r="M365" s="1806"/>
      <c r="N365" s="1758">
        <v>108.15</v>
      </c>
      <c r="O365" s="2033">
        <f t="shared" si="31"/>
        <v>15.450000000000001</v>
      </c>
      <c r="P365" s="1806"/>
      <c r="Q365" s="1843"/>
    </row>
    <row r="366" spans="1:17" ht="14.4">
      <c r="A366" s="1176"/>
      <c r="B366" s="1848" t="s">
        <v>1155</v>
      </c>
      <c r="C366" s="1846">
        <v>44966</v>
      </c>
      <c r="D366" s="1847">
        <v>9</v>
      </c>
      <c r="E366" s="1806"/>
      <c r="F366" s="1862">
        <f>forbrug!D10</f>
        <v>8.7300000000000022</v>
      </c>
      <c r="G366" s="1865">
        <f>forbrug!E10</f>
        <v>15.929999999999998</v>
      </c>
      <c r="H366" s="2036">
        <f t="shared" si="28"/>
        <v>0.36375000000000007</v>
      </c>
      <c r="I366" s="1843">
        <f t="shared" si="29"/>
        <v>1.8247422680412364</v>
      </c>
      <c r="J366" s="1806"/>
      <c r="K366" s="1842">
        <v>55.06</v>
      </c>
      <c r="L366" s="2036">
        <f t="shared" si="27"/>
        <v>6.1177777777777784</v>
      </c>
      <c r="M366" s="1806"/>
      <c r="N366" s="1758">
        <v>108.37</v>
      </c>
      <c r="O366" s="2033">
        <f t="shared" si="31"/>
        <v>13.546250000000001</v>
      </c>
      <c r="P366" s="1806"/>
      <c r="Q366" s="1843"/>
    </row>
    <row r="367" spans="1:17" ht="14.4">
      <c r="A367" s="1176"/>
      <c r="B367" s="1848" t="s">
        <v>1154</v>
      </c>
      <c r="C367" s="1846">
        <v>44967</v>
      </c>
      <c r="D367" s="1847">
        <v>10</v>
      </c>
      <c r="E367" s="1806"/>
      <c r="F367" s="1862">
        <f>forbrug!D11</f>
        <v>8.5500000000000007</v>
      </c>
      <c r="G367" s="1865">
        <f>forbrug!E11</f>
        <v>16.640000000000004</v>
      </c>
      <c r="H367" s="2036">
        <f t="shared" si="28"/>
        <v>0.35625000000000001</v>
      </c>
      <c r="I367" s="1843">
        <f t="shared" si="29"/>
        <v>1.9461988304093572</v>
      </c>
      <c r="J367" s="1806"/>
      <c r="K367" s="1842">
        <v>63.61</v>
      </c>
      <c r="L367" s="2036">
        <f t="shared" si="27"/>
        <v>6.3609999999999998</v>
      </c>
      <c r="M367" s="1806"/>
      <c r="N367" s="1758">
        <v>123.69</v>
      </c>
      <c r="O367" s="2033">
        <f t="shared" si="31"/>
        <v>13.743333333333332</v>
      </c>
      <c r="P367" s="1806"/>
      <c r="Q367" s="1843"/>
    </row>
    <row r="368" spans="1:17" ht="14.4">
      <c r="A368" s="1176"/>
      <c r="B368" s="1848" t="s">
        <v>1153</v>
      </c>
      <c r="C368" s="1846">
        <v>44968</v>
      </c>
      <c r="D368" s="1847">
        <v>11</v>
      </c>
      <c r="E368" s="1806"/>
      <c r="F368" s="1862">
        <f>forbrug!D12</f>
        <v>8.1199999999999992</v>
      </c>
      <c r="G368" s="1865">
        <f>forbrug!E12</f>
        <v>14.7</v>
      </c>
      <c r="H368" s="2036">
        <f t="shared" si="28"/>
        <v>0.33833333333333332</v>
      </c>
      <c r="I368" s="1843">
        <f t="shared" si="29"/>
        <v>1.8103448275862071</v>
      </c>
      <c r="J368" s="1806"/>
      <c r="K368" s="1842">
        <v>71.73</v>
      </c>
      <c r="L368" s="2036">
        <f t="shared" si="27"/>
        <v>6.5209090909090914</v>
      </c>
      <c r="M368" s="1806"/>
      <c r="N368" s="1758">
        <v>140.32</v>
      </c>
      <c r="O368" s="2033">
        <f t="shared" si="31"/>
        <v>14.032</v>
      </c>
      <c r="P368" s="1806"/>
      <c r="Q368" s="1843"/>
    </row>
    <row r="369" spans="1:17" ht="14.4">
      <c r="A369" s="1176"/>
      <c r="B369" s="1848" t="s">
        <v>1155</v>
      </c>
      <c r="C369" s="1846">
        <v>44969</v>
      </c>
      <c r="D369" s="1847">
        <v>12</v>
      </c>
      <c r="E369" s="1806"/>
      <c r="F369" s="1862">
        <f>forbrug!D13</f>
        <v>6.28</v>
      </c>
      <c r="G369" s="1865">
        <f>forbrug!E13</f>
        <v>14.129999999999999</v>
      </c>
      <c r="H369" s="2036">
        <f t="shared" si="28"/>
        <v>0.26166666666666666</v>
      </c>
      <c r="I369" s="1843">
        <f t="shared" si="29"/>
        <v>2.2499999999999996</v>
      </c>
      <c r="J369" s="1806"/>
      <c r="K369" s="1842">
        <v>78.010000000000005</v>
      </c>
      <c r="L369" s="2036">
        <f t="shared" si="27"/>
        <v>6.5008333333333335</v>
      </c>
      <c r="M369" s="1806"/>
      <c r="N369" s="1758"/>
      <c r="O369" s="2033">
        <f t="shared" si="31"/>
        <v>0</v>
      </c>
      <c r="P369" s="1806"/>
      <c r="Q369" s="1843"/>
    </row>
    <row r="370" spans="1:17" ht="14.4">
      <c r="A370" s="1176"/>
      <c r="B370" s="1848" t="s">
        <v>1154</v>
      </c>
      <c r="C370" s="1846">
        <v>44970</v>
      </c>
      <c r="D370" s="1847">
        <v>13</v>
      </c>
      <c r="E370" s="1806"/>
      <c r="F370" s="1862">
        <f>forbrug!D14</f>
        <v>5.47</v>
      </c>
      <c r="G370" s="1865">
        <f>forbrug!E14</f>
        <v>13.520000000000001</v>
      </c>
      <c r="H370" s="2036">
        <f t="shared" si="28"/>
        <v>0.22791666666666666</v>
      </c>
      <c r="I370" s="1843">
        <f t="shared" si="29"/>
        <v>2.4716636197440587</v>
      </c>
      <c r="J370" s="1806"/>
      <c r="K370" s="1842">
        <f t="shared" ref="K370:K385" si="32">K369+F370</f>
        <v>83.48</v>
      </c>
      <c r="L370" s="2036">
        <f t="shared" si="27"/>
        <v>6.4215384615384616</v>
      </c>
      <c r="M370" s="1806"/>
      <c r="N370" s="1758">
        <v>169.15</v>
      </c>
      <c r="O370" s="2033">
        <f t="shared" si="31"/>
        <v>14.095833333333333</v>
      </c>
      <c r="P370" s="1806"/>
      <c r="Q370" s="1843"/>
    </row>
    <row r="371" spans="1:17" ht="14.4">
      <c r="A371" s="1176"/>
      <c r="B371" s="1848" t="s">
        <v>1153</v>
      </c>
      <c r="C371" s="1846">
        <v>44971</v>
      </c>
      <c r="D371" s="1847">
        <v>14</v>
      </c>
      <c r="E371" s="1806"/>
      <c r="F371" s="1862">
        <f>forbrug!D15</f>
        <v>9.26</v>
      </c>
      <c r="G371" s="1865">
        <f>forbrug!E15</f>
        <v>22.94</v>
      </c>
      <c r="H371" s="2036">
        <f t="shared" si="28"/>
        <v>0.38583333333333331</v>
      </c>
      <c r="I371" s="1843">
        <f t="shared" si="29"/>
        <v>2.4773218142548599</v>
      </c>
      <c r="J371" s="1806"/>
      <c r="K371" s="1842">
        <f t="shared" si="32"/>
        <v>92.740000000000009</v>
      </c>
      <c r="L371" s="2036">
        <f t="shared" si="27"/>
        <v>6.6242857142857146</v>
      </c>
      <c r="M371" s="1806"/>
      <c r="N371" s="1758">
        <v>182.65</v>
      </c>
      <c r="O371" s="2033">
        <f t="shared" si="31"/>
        <v>14.05</v>
      </c>
      <c r="P371" s="1806"/>
      <c r="Q371" s="1843"/>
    </row>
    <row r="372" spans="1:17" ht="14.4">
      <c r="A372" s="1176"/>
      <c r="B372" s="1848" t="s">
        <v>1152</v>
      </c>
      <c r="C372" s="1846">
        <v>44972</v>
      </c>
      <c r="D372" s="1847">
        <v>15</v>
      </c>
      <c r="E372" s="1806"/>
      <c r="F372" s="1862">
        <f>forbrug!D16</f>
        <v>9.17</v>
      </c>
      <c r="G372" s="1865">
        <f>forbrug!E16</f>
        <v>21.97</v>
      </c>
      <c r="H372" s="2036">
        <f t="shared" si="28"/>
        <v>0.38208333333333333</v>
      </c>
      <c r="I372" s="1843">
        <f t="shared" si="29"/>
        <v>2.3958560523446017</v>
      </c>
      <c r="J372" s="1806"/>
      <c r="K372" s="1842">
        <f t="shared" si="32"/>
        <v>101.91000000000001</v>
      </c>
      <c r="L372" s="2036">
        <f t="shared" si="27"/>
        <v>6.7940000000000005</v>
      </c>
      <c r="M372" s="1806"/>
      <c r="N372" s="1758"/>
      <c r="O372" s="2033">
        <f t="shared" si="31"/>
        <v>0</v>
      </c>
      <c r="P372" s="1806"/>
      <c r="Q372" s="1843"/>
    </row>
    <row r="373" spans="1:17" ht="14.4">
      <c r="A373" s="1176"/>
      <c r="B373" s="1848" t="s">
        <v>1151</v>
      </c>
      <c r="C373" s="1846">
        <v>44973</v>
      </c>
      <c r="D373" s="1847">
        <v>16</v>
      </c>
      <c r="E373" s="1806"/>
      <c r="F373" s="1862">
        <f>forbrug!D17</f>
        <v>6.22</v>
      </c>
      <c r="G373" s="1865">
        <f>forbrug!E17</f>
        <v>14.299999999999997</v>
      </c>
      <c r="H373" s="2036">
        <f t="shared" si="28"/>
        <v>0.25916666666666666</v>
      </c>
      <c r="I373" s="1843">
        <f t="shared" si="29"/>
        <v>2.2990353697749191</v>
      </c>
      <c r="J373" s="1806"/>
      <c r="K373" s="1842">
        <f t="shared" si="32"/>
        <v>108.13000000000001</v>
      </c>
      <c r="L373" s="2036">
        <f t="shared" si="27"/>
        <v>6.7581250000000006</v>
      </c>
      <c r="M373" s="1806"/>
      <c r="N373" s="1758"/>
      <c r="O373" s="2033">
        <f t="shared" si="31"/>
        <v>0</v>
      </c>
      <c r="P373" s="1806"/>
      <c r="Q373" s="1843"/>
    </row>
    <row r="374" spans="1:17" ht="14.4">
      <c r="A374" s="1176"/>
      <c r="B374" s="1848" t="s">
        <v>1150</v>
      </c>
      <c r="C374" s="1846">
        <v>44974</v>
      </c>
      <c r="D374" s="1847">
        <v>17</v>
      </c>
      <c r="E374" s="1806"/>
      <c r="F374" s="1862">
        <f>forbrug!D18</f>
        <v>7.1000000000000005</v>
      </c>
      <c r="G374" s="1865">
        <f>forbrug!E18</f>
        <v>11.430000000000001</v>
      </c>
      <c r="H374" s="2036">
        <f t="shared" si="28"/>
        <v>0.29583333333333334</v>
      </c>
      <c r="I374" s="1843">
        <f t="shared" si="29"/>
        <v>1.6098591549295775</v>
      </c>
      <c r="J374" s="1806"/>
      <c r="K374" s="1842">
        <f t="shared" si="32"/>
        <v>115.23</v>
      </c>
      <c r="L374" s="2036">
        <f t="shared" si="27"/>
        <v>6.7782352941176471</v>
      </c>
      <c r="M374" s="1806"/>
      <c r="N374" s="1758">
        <v>227.56</v>
      </c>
      <c r="O374" s="2033">
        <f t="shared" si="31"/>
        <v>14.2225</v>
      </c>
      <c r="P374" s="1806"/>
      <c r="Q374" s="1843"/>
    </row>
    <row r="375" spans="1:17" ht="14.4">
      <c r="A375" s="1176"/>
      <c r="B375" s="1848" t="s">
        <v>1149</v>
      </c>
      <c r="C375" s="1846">
        <v>44975</v>
      </c>
      <c r="D375" s="1847">
        <v>18</v>
      </c>
      <c r="E375" s="1806"/>
      <c r="F375" s="1862">
        <f>forbrug!D19</f>
        <v>8.2500000000000018</v>
      </c>
      <c r="G375" s="1865">
        <f>forbrug!E19</f>
        <v>15.520000000000003</v>
      </c>
      <c r="H375" s="2036">
        <f t="shared" si="28"/>
        <v>0.34375000000000006</v>
      </c>
      <c r="I375" s="1843">
        <f t="shared" si="29"/>
        <v>1.8812121212121211</v>
      </c>
      <c r="J375" s="1806"/>
      <c r="K375" s="1842">
        <f t="shared" si="32"/>
        <v>123.48</v>
      </c>
      <c r="L375" s="2036">
        <f t="shared" si="27"/>
        <v>6.86</v>
      </c>
      <c r="M375" s="1806"/>
      <c r="N375" s="1758"/>
      <c r="O375" s="2033">
        <f t="shared" si="31"/>
        <v>0</v>
      </c>
      <c r="P375" s="1806"/>
      <c r="Q375" s="1843"/>
    </row>
    <row r="376" spans="1:17" ht="14.4">
      <c r="A376" s="1176"/>
      <c r="B376" s="1848" t="s">
        <v>1155</v>
      </c>
      <c r="C376" s="1846">
        <v>44976</v>
      </c>
      <c r="D376" s="1847">
        <v>19</v>
      </c>
      <c r="E376" s="1806"/>
      <c r="F376" s="1862">
        <f>forbrug!D20</f>
        <v>8.2500000000000018</v>
      </c>
      <c r="G376" s="1865">
        <f>forbrug!E20</f>
        <v>15.329999999999997</v>
      </c>
      <c r="H376" s="2037">
        <f t="shared" si="28"/>
        <v>0.34375000000000006</v>
      </c>
      <c r="I376" s="1843">
        <f t="shared" si="29"/>
        <v>1.8581818181818173</v>
      </c>
      <c r="J376" s="1806"/>
      <c r="K376" s="1842">
        <f t="shared" si="32"/>
        <v>131.73000000000002</v>
      </c>
      <c r="L376" s="2037">
        <f t="shared" si="27"/>
        <v>6.9331578947368433</v>
      </c>
      <c r="M376" s="1806"/>
      <c r="N376" s="1758"/>
      <c r="O376" s="2033">
        <f t="shared" si="31"/>
        <v>0</v>
      </c>
      <c r="P376" s="1806"/>
      <c r="Q376" s="1843"/>
    </row>
    <row r="377" spans="1:17" ht="14.4">
      <c r="A377" s="1176"/>
      <c r="B377" s="1848" t="s">
        <v>1154</v>
      </c>
      <c r="C377" s="1846">
        <v>44977</v>
      </c>
      <c r="D377" s="1847">
        <v>20</v>
      </c>
      <c r="E377" s="1806"/>
      <c r="F377" s="1862">
        <f>forbrug!D21</f>
        <v>7.59</v>
      </c>
      <c r="G377" s="1865">
        <f>forbrug!E21</f>
        <v>12.709999999999999</v>
      </c>
      <c r="H377" s="2037">
        <f t="shared" si="28"/>
        <v>0.31624999999999998</v>
      </c>
      <c r="I377" s="1843">
        <f t="shared" si="29"/>
        <v>1.6745718050065874</v>
      </c>
      <c r="J377" s="1806"/>
      <c r="K377" s="1842">
        <f t="shared" si="32"/>
        <v>139.32000000000002</v>
      </c>
      <c r="L377" s="2037">
        <f t="shared" si="27"/>
        <v>6.9660000000000011</v>
      </c>
      <c r="M377" s="1806"/>
      <c r="N377" s="1758"/>
      <c r="O377" s="2033">
        <f t="shared" si="31"/>
        <v>0</v>
      </c>
      <c r="P377" s="1806"/>
      <c r="Q377" s="1843"/>
    </row>
    <row r="378" spans="1:17" ht="14.4">
      <c r="A378" s="1176"/>
      <c r="B378" s="1848" t="s">
        <v>1153</v>
      </c>
      <c r="C378" s="1846">
        <v>44978</v>
      </c>
      <c r="D378" s="1847">
        <v>21</v>
      </c>
      <c r="E378" s="1806"/>
      <c r="F378" s="1862">
        <f>forbrug!D22</f>
        <v>7.03</v>
      </c>
      <c r="G378" s="1865">
        <f>forbrug!E22</f>
        <v>15.66</v>
      </c>
      <c r="H378" s="2037">
        <f t="shared" si="28"/>
        <v>0.29291666666666666</v>
      </c>
      <c r="I378" s="1843">
        <f t="shared" si="29"/>
        <v>2.2275960170697013</v>
      </c>
      <c r="J378" s="1806"/>
      <c r="K378" s="1842">
        <f t="shared" si="32"/>
        <v>146.35000000000002</v>
      </c>
      <c r="L378" s="2037">
        <f t="shared" si="27"/>
        <v>6.96904761904762</v>
      </c>
      <c r="M378" s="1806"/>
      <c r="N378" s="1758"/>
      <c r="O378" s="2033">
        <f t="shared" si="31"/>
        <v>0</v>
      </c>
      <c r="P378" s="1806"/>
      <c r="Q378" s="1843"/>
    </row>
    <row r="379" spans="1:17" ht="14.4">
      <c r="A379" s="1176"/>
      <c r="B379" s="1848" t="s">
        <v>1152</v>
      </c>
      <c r="C379" s="1846">
        <v>44979</v>
      </c>
      <c r="D379" s="1847">
        <v>22</v>
      </c>
      <c r="E379" s="1806"/>
      <c r="F379" s="1862">
        <f>forbrug!D23</f>
        <v>7.16</v>
      </c>
      <c r="G379" s="1865">
        <f>forbrug!E23</f>
        <v>17.07</v>
      </c>
      <c r="H379" s="2037">
        <f t="shared" si="28"/>
        <v>0.29833333333333334</v>
      </c>
      <c r="I379" s="1843">
        <f t="shared" si="29"/>
        <v>2.3840782122905027</v>
      </c>
      <c r="J379" s="1806"/>
      <c r="K379" s="1842">
        <f t="shared" si="32"/>
        <v>153.51000000000002</v>
      </c>
      <c r="L379" s="2037">
        <f t="shared" si="27"/>
        <v>6.9777272727272734</v>
      </c>
      <c r="M379" s="1806"/>
      <c r="N379" s="1758"/>
      <c r="O379" s="2033">
        <f t="shared" si="31"/>
        <v>0</v>
      </c>
      <c r="P379" s="1806"/>
      <c r="Q379" s="1843"/>
    </row>
    <row r="380" spans="1:17" ht="14.4">
      <c r="A380" s="1176"/>
      <c r="B380" s="1848" t="s">
        <v>1151</v>
      </c>
      <c r="C380" s="1846">
        <v>44980</v>
      </c>
      <c r="D380" s="1847">
        <v>23</v>
      </c>
      <c r="E380" s="1806"/>
      <c r="F380" s="1862">
        <f>forbrug!D24</f>
        <v>7.59</v>
      </c>
      <c r="G380" s="1865">
        <f>forbrug!E24</f>
        <v>16.2</v>
      </c>
      <c r="H380" s="2037">
        <f t="shared" si="28"/>
        <v>0.31624999999999998</v>
      </c>
      <c r="I380" s="1843">
        <f t="shared" si="29"/>
        <v>2.1343873517786562</v>
      </c>
      <c r="J380" s="1806"/>
      <c r="K380" s="1842">
        <f t="shared" si="32"/>
        <v>161.10000000000002</v>
      </c>
      <c r="L380" s="2037">
        <f t="shared" si="27"/>
        <v>7.0043478260869572</v>
      </c>
      <c r="M380" s="1806"/>
      <c r="N380" s="1758"/>
      <c r="O380" s="2033">
        <f t="shared" si="31"/>
        <v>0</v>
      </c>
      <c r="P380" s="1806"/>
      <c r="Q380" s="1843"/>
    </row>
    <row r="381" spans="1:17" ht="14.4">
      <c r="A381" s="1176"/>
      <c r="B381" s="1848" t="s">
        <v>1150</v>
      </c>
      <c r="C381" s="1846">
        <v>44981</v>
      </c>
      <c r="D381" s="1847">
        <v>24</v>
      </c>
      <c r="E381" s="1806"/>
      <c r="F381" s="1862">
        <f>forbrug!D25</f>
        <v>7.38</v>
      </c>
      <c r="G381" s="1865">
        <f>forbrug!E25</f>
        <v>14.54</v>
      </c>
      <c r="H381" s="2037">
        <f t="shared" si="28"/>
        <v>0.3075</v>
      </c>
      <c r="I381" s="1843">
        <f t="shared" si="29"/>
        <v>1.9701897018970189</v>
      </c>
      <c r="J381" s="1806"/>
      <c r="K381" s="1842">
        <f t="shared" si="32"/>
        <v>168.48000000000002</v>
      </c>
      <c r="L381" s="2037">
        <f t="shared" si="27"/>
        <v>7.0200000000000005</v>
      </c>
      <c r="M381" s="1806"/>
      <c r="N381" s="1758"/>
      <c r="O381" s="2033">
        <f t="shared" si="31"/>
        <v>0</v>
      </c>
      <c r="P381" s="1806"/>
      <c r="Q381" s="1843"/>
    </row>
    <row r="382" spans="1:17" ht="14.4">
      <c r="A382" s="1176"/>
      <c r="B382" s="1848" t="s">
        <v>1149</v>
      </c>
      <c r="C382" s="1846">
        <v>44982</v>
      </c>
      <c r="D382" s="1847">
        <v>25</v>
      </c>
      <c r="E382" s="1806"/>
      <c r="F382" s="1862">
        <f>forbrug!D26</f>
        <v>5.6400000000000006</v>
      </c>
      <c r="G382" s="1865">
        <f>forbrug!E26</f>
        <v>9.25</v>
      </c>
      <c r="H382" s="2035">
        <f t="shared" si="28"/>
        <v>0.23500000000000001</v>
      </c>
      <c r="I382" s="1843">
        <f t="shared" si="29"/>
        <v>1.6400709219858154</v>
      </c>
      <c r="J382" s="1806"/>
      <c r="K382" s="1842">
        <f t="shared" si="32"/>
        <v>174.12</v>
      </c>
      <c r="L382" s="2035">
        <f t="shared" si="27"/>
        <v>6.9648000000000003</v>
      </c>
      <c r="M382" s="1806"/>
      <c r="N382" s="1758"/>
      <c r="O382" s="2033">
        <f t="shared" si="31"/>
        <v>0</v>
      </c>
      <c r="P382" s="1806"/>
      <c r="Q382" s="1843"/>
    </row>
    <row r="383" spans="1:17" ht="14.4">
      <c r="A383" s="1176"/>
      <c r="B383" s="1848" t="s">
        <v>1151</v>
      </c>
      <c r="C383" s="1846">
        <v>44983</v>
      </c>
      <c r="D383" s="1847">
        <v>26</v>
      </c>
      <c r="E383" s="1806"/>
      <c r="F383" s="1862">
        <f>forbrug!D27</f>
        <v>9.26</v>
      </c>
      <c r="G383" s="1865">
        <f>forbrug!E27</f>
        <v>22.94</v>
      </c>
      <c r="H383" s="2035">
        <f t="shared" si="28"/>
        <v>0.38583333333333331</v>
      </c>
      <c r="I383" s="1843">
        <f t="shared" si="29"/>
        <v>2.4773218142548599</v>
      </c>
      <c r="J383" s="1806"/>
      <c r="K383" s="1842">
        <f t="shared" si="32"/>
        <v>183.38</v>
      </c>
      <c r="L383" s="2035">
        <f t="shared" si="27"/>
        <v>7.0530769230769232</v>
      </c>
      <c r="M383" s="1806"/>
      <c r="N383" s="1758"/>
      <c r="O383" s="2033">
        <f t="shared" si="31"/>
        <v>0</v>
      </c>
      <c r="P383" s="1806"/>
      <c r="Q383" s="1843"/>
    </row>
    <row r="384" spans="1:17" ht="14.4">
      <c r="A384" s="1176"/>
      <c r="B384" s="1848" t="s">
        <v>1150</v>
      </c>
      <c r="C384" s="1846">
        <v>44984</v>
      </c>
      <c r="D384" s="1847">
        <v>27</v>
      </c>
      <c r="E384" s="1806"/>
      <c r="F384" s="1862">
        <f>forbrug!D28</f>
        <v>5.5100000000000007</v>
      </c>
      <c r="G384" s="1865">
        <f>forbrug!E28</f>
        <v>12.959999999999999</v>
      </c>
      <c r="H384" s="2035">
        <f t="shared" si="28"/>
        <v>0.22958333333333336</v>
      </c>
      <c r="I384" s="1843">
        <f t="shared" si="29"/>
        <v>2.3520871143375675</v>
      </c>
      <c r="J384" s="1806"/>
      <c r="K384" s="1842">
        <f t="shared" si="32"/>
        <v>188.89</v>
      </c>
      <c r="L384" s="2035">
        <f t="shared" si="27"/>
        <v>6.995925925925925</v>
      </c>
      <c r="M384" s="1806"/>
      <c r="N384" s="1758"/>
      <c r="O384" s="2033">
        <f t="shared" si="31"/>
        <v>0</v>
      </c>
      <c r="P384" s="1806"/>
      <c r="Q384" s="1843"/>
    </row>
    <row r="385" spans="1:19" ht="14.4">
      <c r="A385" s="1176"/>
      <c r="B385" s="1848" t="s">
        <v>1149</v>
      </c>
      <c r="C385" s="1846">
        <v>44985</v>
      </c>
      <c r="D385" s="1847">
        <v>28</v>
      </c>
      <c r="E385" s="1806"/>
      <c r="F385" s="1862">
        <f>forbrug!D29</f>
        <v>6.6999999999999993</v>
      </c>
      <c r="G385" s="1865">
        <f>forbrug!E29</f>
        <v>17.21</v>
      </c>
      <c r="H385" s="2035">
        <f t="shared" si="28"/>
        <v>0.27916666666666662</v>
      </c>
      <c r="I385" s="1843">
        <f t="shared" si="29"/>
        <v>2.568656716417911</v>
      </c>
      <c r="J385" s="1806"/>
      <c r="K385" s="1842">
        <f t="shared" si="32"/>
        <v>195.58999999999997</v>
      </c>
      <c r="L385" s="2035">
        <f t="shared" si="27"/>
        <v>6.9853571428571417</v>
      </c>
      <c r="M385" s="1806"/>
      <c r="N385" s="1758">
        <v>424.36</v>
      </c>
      <c r="O385" s="2033">
        <f>N385/(D385)</f>
        <v>15.155714285714286</v>
      </c>
      <c r="P385" s="1806"/>
      <c r="Q385" s="1843"/>
    </row>
    <row r="386" spans="1:19" s="1851" customFormat="1" ht="9" customHeight="1" thickBot="1">
      <c r="H386" s="2004"/>
      <c r="I386" s="2004"/>
      <c r="L386" s="2004"/>
      <c r="M386" s="1852"/>
      <c r="O386" s="2004"/>
      <c r="P386" s="1852"/>
      <c r="R386" s="1852"/>
      <c r="S386" s="1852"/>
    </row>
    <row r="387" spans="1:19" ht="14.4">
      <c r="A387" s="1176"/>
      <c r="B387" s="1829"/>
      <c r="C387" s="1838" t="str">
        <f>C5</f>
        <v>MARTS 2023</v>
      </c>
      <c r="D387" s="1831">
        <v>31</v>
      </c>
      <c r="E387" s="1832"/>
      <c r="F387" s="1837">
        <f ca="1">SUM(F388:F417)/$D$485</f>
        <v>0.59776504297994282</v>
      </c>
      <c r="G387" s="1834">
        <f ca="1">SUM(G388:G417)/$D$485</f>
        <v>1.150057306590258</v>
      </c>
      <c r="H387" s="2029">
        <f ca="1">SUM(H388:H417)/$D$485</f>
        <v>2.4906876790830947E-2</v>
      </c>
      <c r="I387" s="2030">
        <f t="shared" ref="I387:I418" ca="1" si="33">G387/F387</f>
        <v>1.9239286741443771</v>
      </c>
      <c r="J387" s="1832"/>
      <c r="K387" s="1837"/>
      <c r="L387" s="2029"/>
      <c r="M387" s="1832"/>
      <c r="N387" s="1827"/>
      <c r="O387" s="2067"/>
      <c r="P387" s="1832"/>
      <c r="Q387" s="1828"/>
    </row>
    <row r="388" spans="1:19" ht="14.4">
      <c r="A388" s="1176"/>
      <c r="B388" s="1845" t="s">
        <v>1152</v>
      </c>
      <c r="C388" s="1846">
        <v>44986</v>
      </c>
      <c r="D388" s="1847">
        <v>1</v>
      </c>
      <c r="E388" s="1811"/>
      <c r="F388" s="1862">
        <f>forbrug!I2</f>
        <v>6.12</v>
      </c>
      <c r="G388" s="1865">
        <f>forbrug!J2</f>
        <v>14.349999999999998</v>
      </c>
      <c r="H388" s="2035">
        <f t="shared" ref="H388:H418" si="34">F388/24</f>
        <v>0.255</v>
      </c>
      <c r="I388" s="1843">
        <f t="shared" si="33"/>
        <v>2.344771241830065</v>
      </c>
      <c r="J388" s="1811"/>
      <c r="K388" s="1842">
        <f>F388</f>
        <v>6.12</v>
      </c>
      <c r="L388" s="2035">
        <f t="shared" ref="L388:L418" si="35">K388/D388</f>
        <v>6.12</v>
      </c>
      <c r="M388" s="1811"/>
      <c r="N388" s="1870">
        <f>G388</f>
        <v>14.349999999999998</v>
      </c>
      <c r="O388" s="2033">
        <f t="shared" ref="O388:O418" si="36">N388/D388</f>
        <v>14.349999999999998</v>
      </c>
      <c r="P388" s="1811"/>
      <c r="Q388" s="1843"/>
    </row>
    <row r="389" spans="1:19" ht="14.4">
      <c r="A389" s="1176"/>
      <c r="B389" s="1848" t="s">
        <v>1151</v>
      </c>
      <c r="C389" s="1846">
        <v>44987</v>
      </c>
      <c r="D389" s="1847">
        <v>2</v>
      </c>
      <c r="E389" s="1806"/>
      <c r="F389" s="1862">
        <f>forbrug!I3</f>
        <v>6.87</v>
      </c>
      <c r="G389" s="1865">
        <f>forbrug!J3</f>
        <v>16.180000000000003</v>
      </c>
      <c r="H389" s="2035">
        <f t="shared" si="34"/>
        <v>0.28625</v>
      </c>
      <c r="I389" s="1843">
        <f t="shared" si="33"/>
        <v>2.355167394468705</v>
      </c>
      <c r="J389" s="1806"/>
      <c r="K389" s="1842">
        <f t="shared" ref="K389:K415" si="37">K388+F389</f>
        <v>12.99</v>
      </c>
      <c r="L389" s="2035">
        <f t="shared" si="35"/>
        <v>6.4950000000000001</v>
      </c>
      <c r="M389" s="1806"/>
      <c r="N389" s="1870"/>
      <c r="O389" s="2033">
        <f t="shared" si="36"/>
        <v>0</v>
      </c>
      <c r="P389" s="1806"/>
      <c r="Q389" s="1843"/>
    </row>
    <row r="390" spans="1:19" ht="14.4">
      <c r="A390" s="1176"/>
      <c r="B390" s="1848" t="s">
        <v>1150</v>
      </c>
      <c r="C390" s="1846">
        <v>44988</v>
      </c>
      <c r="D390" s="1847">
        <v>3</v>
      </c>
      <c r="E390" s="1806"/>
      <c r="F390" s="1862">
        <f>forbrug!I4</f>
        <v>7.24</v>
      </c>
      <c r="G390" s="1865">
        <f>forbrug!J4</f>
        <v>15.019999999999998</v>
      </c>
      <c r="H390" s="2035">
        <f t="shared" si="34"/>
        <v>0.30166666666666669</v>
      </c>
      <c r="I390" s="1843">
        <f t="shared" si="33"/>
        <v>2.0745856353591154</v>
      </c>
      <c r="J390" s="1806"/>
      <c r="K390" s="1842">
        <f t="shared" si="37"/>
        <v>20.23</v>
      </c>
      <c r="L390" s="2035">
        <f t="shared" si="35"/>
        <v>6.7433333333333332</v>
      </c>
      <c r="M390" s="1806"/>
      <c r="N390" s="1870"/>
      <c r="O390" s="2033">
        <f t="shared" si="36"/>
        <v>0</v>
      </c>
      <c r="P390" s="1806"/>
      <c r="Q390" s="1843"/>
    </row>
    <row r="391" spans="1:19" ht="14.4">
      <c r="A391" s="1176"/>
      <c r="B391" s="1848" t="s">
        <v>1149</v>
      </c>
      <c r="C391" s="1846">
        <v>44989</v>
      </c>
      <c r="D391" s="1847">
        <v>4</v>
      </c>
      <c r="E391" s="1806"/>
      <c r="F391" s="1862">
        <f>forbrug!I5</f>
        <v>6.5</v>
      </c>
      <c r="G391" s="1865">
        <f>forbrug!J5</f>
        <v>12.809999999999997</v>
      </c>
      <c r="H391" s="2035">
        <f t="shared" si="34"/>
        <v>0.27083333333333331</v>
      </c>
      <c r="I391" s="1843">
        <f t="shared" si="33"/>
        <v>1.9707692307692304</v>
      </c>
      <c r="J391" s="1806"/>
      <c r="K391" s="1842">
        <f t="shared" si="37"/>
        <v>26.73</v>
      </c>
      <c r="L391" s="2035">
        <f t="shared" si="35"/>
        <v>6.6825000000000001</v>
      </c>
      <c r="M391" s="1806"/>
      <c r="N391" s="1870"/>
      <c r="O391" s="2033">
        <f t="shared" si="36"/>
        <v>0</v>
      </c>
      <c r="P391" s="1806"/>
      <c r="Q391" s="1843"/>
    </row>
    <row r="392" spans="1:19" ht="14.4">
      <c r="A392" s="1176"/>
      <c r="B392" s="1848" t="s">
        <v>1155</v>
      </c>
      <c r="C392" s="1846">
        <v>44990</v>
      </c>
      <c r="D392" s="1847">
        <v>5</v>
      </c>
      <c r="E392" s="1806"/>
      <c r="F392" s="1862">
        <f>forbrug!I6</f>
        <v>6.5300000000000011</v>
      </c>
      <c r="G392" s="1865">
        <f>forbrug!J6</f>
        <v>16.11</v>
      </c>
      <c r="H392" s="2035">
        <f t="shared" si="34"/>
        <v>0.2720833333333334</v>
      </c>
      <c r="I392" s="1843">
        <f t="shared" si="33"/>
        <v>2.4670750382848388</v>
      </c>
      <c r="J392" s="1806"/>
      <c r="K392" s="1842">
        <f t="shared" si="37"/>
        <v>33.260000000000005</v>
      </c>
      <c r="L392" s="2035">
        <f t="shared" si="35"/>
        <v>6.652000000000001</v>
      </c>
      <c r="M392" s="1806"/>
      <c r="N392" s="1870"/>
      <c r="O392" s="2033">
        <f t="shared" si="36"/>
        <v>0</v>
      </c>
      <c r="P392" s="1806"/>
      <c r="Q392" s="1843"/>
    </row>
    <row r="393" spans="1:19" ht="14.4">
      <c r="A393" s="1176"/>
      <c r="B393" s="1848" t="s">
        <v>1154</v>
      </c>
      <c r="C393" s="1846">
        <v>44991</v>
      </c>
      <c r="D393" s="1847">
        <v>6</v>
      </c>
      <c r="E393" s="1806"/>
      <c r="F393" s="1862">
        <f>forbrug!I7</f>
        <v>6.5300000000000011</v>
      </c>
      <c r="G393" s="1865">
        <f>forbrug!J7</f>
        <v>16.11</v>
      </c>
      <c r="H393" s="2035">
        <f t="shared" si="34"/>
        <v>0.2720833333333334</v>
      </c>
      <c r="I393" s="1843">
        <f t="shared" si="33"/>
        <v>2.4670750382848388</v>
      </c>
      <c r="J393" s="1806"/>
      <c r="K393" s="1842">
        <f t="shared" si="37"/>
        <v>39.790000000000006</v>
      </c>
      <c r="L393" s="2035">
        <f t="shared" si="35"/>
        <v>6.6316666666666677</v>
      </c>
      <c r="M393" s="1806"/>
      <c r="N393" s="1870"/>
      <c r="O393" s="2033">
        <f t="shared" si="36"/>
        <v>0</v>
      </c>
      <c r="P393" s="1806"/>
      <c r="Q393" s="1843"/>
    </row>
    <row r="394" spans="1:19" ht="14.4">
      <c r="A394" s="1176"/>
      <c r="B394" s="1848" t="s">
        <v>1153</v>
      </c>
      <c r="C394" s="1846">
        <v>44992</v>
      </c>
      <c r="D394" s="1847">
        <v>7</v>
      </c>
      <c r="E394" s="1806"/>
      <c r="F394" s="1862">
        <f>forbrug!I8</f>
        <v>7.93</v>
      </c>
      <c r="G394" s="1865">
        <f>forbrug!J8</f>
        <v>16.540000000000003</v>
      </c>
      <c r="H394" s="2035">
        <f t="shared" si="34"/>
        <v>0.33041666666666664</v>
      </c>
      <c r="I394" s="1843">
        <f t="shared" si="33"/>
        <v>2.0857503152585122</v>
      </c>
      <c r="J394" s="1806"/>
      <c r="K394" s="1842">
        <f t="shared" si="37"/>
        <v>47.720000000000006</v>
      </c>
      <c r="L394" s="2035">
        <f t="shared" si="35"/>
        <v>6.8171428571428576</v>
      </c>
      <c r="M394" s="1806"/>
      <c r="N394" s="1870"/>
      <c r="O394" s="2033">
        <f t="shared" si="36"/>
        <v>0</v>
      </c>
      <c r="P394" s="1806"/>
      <c r="Q394" s="1843"/>
    </row>
    <row r="395" spans="1:19" ht="14.4">
      <c r="A395" s="1176"/>
      <c r="B395" s="1848" t="s">
        <v>1152</v>
      </c>
      <c r="C395" s="1846">
        <v>44993</v>
      </c>
      <c r="D395" s="1847">
        <v>8</v>
      </c>
      <c r="E395" s="1806"/>
      <c r="F395" s="1862">
        <f>forbrug!I9</f>
        <v>5.3000000000000007</v>
      </c>
      <c r="G395" s="1865">
        <f>forbrug!J9</f>
        <v>11.860000000000001</v>
      </c>
      <c r="H395" s="2035">
        <f t="shared" si="34"/>
        <v>0.22083333333333335</v>
      </c>
      <c r="I395" s="1843">
        <f t="shared" si="33"/>
        <v>2.2377358490566035</v>
      </c>
      <c r="J395" s="1806"/>
      <c r="K395" s="1842">
        <f t="shared" si="37"/>
        <v>53.02000000000001</v>
      </c>
      <c r="L395" s="2035">
        <f t="shared" si="35"/>
        <v>6.6275000000000013</v>
      </c>
      <c r="M395" s="1806"/>
      <c r="N395" s="1870">
        <v>119.02</v>
      </c>
      <c r="O395" s="2033">
        <f t="shared" si="36"/>
        <v>14.8775</v>
      </c>
      <c r="P395" s="1806"/>
      <c r="Q395" s="1843"/>
    </row>
    <row r="396" spans="1:19" ht="14.4">
      <c r="A396" s="1176"/>
      <c r="B396" s="1848" t="s">
        <v>1151</v>
      </c>
      <c r="C396" s="1846">
        <v>44994</v>
      </c>
      <c r="D396" s="1847">
        <v>9</v>
      </c>
      <c r="E396" s="1806"/>
      <c r="F396" s="1862">
        <f>forbrug!I10</f>
        <v>7.65</v>
      </c>
      <c r="G396" s="1865">
        <f>forbrug!J10</f>
        <v>17.499999999999996</v>
      </c>
      <c r="H396" s="2036">
        <f t="shared" si="34"/>
        <v>0.31875000000000003</v>
      </c>
      <c r="I396" s="1843">
        <f t="shared" si="33"/>
        <v>2.2875816993464047</v>
      </c>
      <c r="J396" s="1806"/>
      <c r="K396" s="1842">
        <f t="shared" si="37"/>
        <v>60.670000000000009</v>
      </c>
      <c r="L396" s="2036">
        <f t="shared" si="35"/>
        <v>6.7411111111111124</v>
      </c>
      <c r="M396" s="1806"/>
      <c r="N396" s="1870">
        <v>136.51</v>
      </c>
      <c r="O396" s="2033">
        <f t="shared" si="36"/>
        <v>15.167777777777777</v>
      </c>
      <c r="P396" s="1806"/>
      <c r="Q396" s="1843"/>
    </row>
    <row r="397" spans="1:19" ht="14.4">
      <c r="A397" s="1176"/>
      <c r="B397" s="1848" t="s">
        <v>1150</v>
      </c>
      <c r="C397" s="1846">
        <v>44995</v>
      </c>
      <c r="D397" s="1847">
        <v>10</v>
      </c>
      <c r="E397" s="1806"/>
      <c r="F397" s="1862">
        <f>forbrug!I11</f>
        <v>6.0600000000000005</v>
      </c>
      <c r="G397" s="1865">
        <f>forbrug!J11</f>
        <v>12.410000000000002</v>
      </c>
      <c r="H397" s="2036">
        <f t="shared" si="34"/>
        <v>0.2525</v>
      </c>
      <c r="I397" s="1843">
        <f t="shared" si="33"/>
        <v>2.047854785478548</v>
      </c>
      <c r="J397" s="1806"/>
      <c r="K397" s="1842">
        <f t="shared" si="37"/>
        <v>66.73</v>
      </c>
      <c r="L397" s="2036">
        <f t="shared" si="35"/>
        <v>6.673</v>
      </c>
      <c r="M397" s="1806"/>
      <c r="N397" s="1870"/>
      <c r="O397" s="2033">
        <f t="shared" si="36"/>
        <v>0</v>
      </c>
      <c r="P397" s="1806"/>
      <c r="Q397" s="1843"/>
    </row>
    <row r="398" spans="1:19" ht="14.4">
      <c r="A398" s="1176"/>
      <c r="B398" s="1848" t="s">
        <v>1149</v>
      </c>
      <c r="C398" s="1846">
        <v>44996</v>
      </c>
      <c r="D398" s="1847">
        <v>11</v>
      </c>
      <c r="E398" s="1806"/>
      <c r="F398" s="1862">
        <f>forbrug!I12</f>
        <v>10.16</v>
      </c>
      <c r="G398" s="1865">
        <f>forbrug!J12</f>
        <v>18.740000000000002</v>
      </c>
      <c r="H398" s="2036">
        <f t="shared" si="34"/>
        <v>0.42333333333333334</v>
      </c>
      <c r="I398" s="1843">
        <f t="shared" si="33"/>
        <v>1.8444881889763782</v>
      </c>
      <c r="J398" s="1806"/>
      <c r="K398" s="1842">
        <f t="shared" si="37"/>
        <v>76.89</v>
      </c>
      <c r="L398" s="2036">
        <f t="shared" si="35"/>
        <v>6.99</v>
      </c>
      <c r="M398" s="1806"/>
      <c r="N398" s="1870"/>
      <c r="O398" s="2033">
        <f t="shared" si="36"/>
        <v>0</v>
      </c>
      <c r="P398" s="1806"/>
      <c r="Q398" s="1843"/>
    </row>
    <row r="399" spans="1:19" ht="14.4">
      <c r="A399" s="1176"/>
      <c r="B399" s="1848" t="s">
        <v>1155</v>
      </c>
      <c r="C399" s="1846">
        <v>44997</v>
      </c>
      <c r="D399" s="1847">
        <v>12</v>
      </c>
      <c r="E399" s="1806"/>
      <c r="F399" s="1862">
        <f>forbrug!I13</f>
        <v>5.1300000000000008</v>
      </c>
      <c r="G399" s="1865">
        <f>forbrug!J13</f>
        <v>9.3299999999999983</v>
      </c>
      <c r="H399" s="2036">
        <f t="shared" si="34"/>
        <v>0.21375000000000002</v>
      </c>
      <c r="I399" s="1843">
        <f t="shared" si="33"/>
        <v>1.8187134502923969</v>
      </c>
      <c r="J399" s="1806"/>
      <c r="K399" s="1842">
        <f t="shared" si="37"/>
        <v>82.02</v>
      </c>
      <c r="L399" s="2036">
        <f t="shared" si="35"/>
        <v>6.835</v>
      </c>
      <c r="M399" s="1806"/>
      <c r="N399" s="1870"/>
      <c r="O399" s="2033">
        <f t="shared" si="36"/>
        <v>0</v>
      </c>
      <c r="P399" s="1806"/>
      <c r="Q399" s="1843"/>
    </row>
    <row r="400" spans="1:19" ht="14.4">
      <c r="A400" s="1176"/>
      <c r="B400" s="1848" t="s">
        <v>1154</v>
      </c>
      <c r="C400" s="1846">
        <v>44998</v>
      </c>
      <c r="D400" s="1847">
        <v>13</v>
      </c>
      <c r="E400" s="1806"/>
      <c r="F400" s="1862">
        <f>forbrug!I14</f>
        <v>5.6800000000000006</v>
      </c>
      <c r="G400" s="1865">
        <f>forbrug!J14</f>
        <v>7.4400000000000022</v>
      </c>
      <c r="H400" s="2036">
        <f t="shared" si="34"/>
        <v>0.23666666666666669</v>
      </c>
      <c r="I400" s="1843">
        <f t="shared" si="33"/>
        <v>1.3098591549295777</v>
      </c>
      <c r="J400" s="1806"/>
      <c r="K400" s="1842">
        <f t="shared" si="37"/>
        <v>87.7</v>
      </c>
      <c r="L400" s="2036">
        <f t="shared" si="35"/>
        <v>6.7461538461538462</v>
      </c>
      <c r="M400" s="1806"/>
      <c r="N400" s="1870">
        <v>176.7</v>
      </c>
      <c r="O400" s="2033">
        <f t="shared" si="36"/>
        <v>13.592307692307692</v>
      </c>
      <c r="P400" s="1806"/>
      <c r="Q400" s="1843"/>
    </row>
    <row r="401" spans="1:17" ht="14.4">
      <c r="A401" s="1176"/>
      <c r="B401" s="1848" t="s">
        <v>1153</v>
      </c>
      <c r="C401" s="1846">
        <v>44999</v>
      </c>
      <c r="D401" s="1847">
        <v>14</v>
      </c>
      <c r="E401" s="1806"/>
      <c r="F401" s="1862">
        <f>forbrug!I15</f>
        <v>6.12</v>
      </c>
      <c r="G401" s="1865">
        <f>forbrug!J15</f>
        <v>9.9699999999999971</v>
      </c>
      <c r="H401" s="2036">
        <f t="shared" si="34"/>
        <v>0.255</v>
      </c>
      <c r="I401" s="1843">
        <f t="shared" si="33"/>
        <v>1.629084967320261</v>
      </c>
      <c r="J401" s="1806"/>
      <c r="K401" s="1842">
        <f t="shared" si="37"/>
        <v>93.820000000000007</v>
      </c>
      <c r="L401" s="2036">
        <f t="shared" si="35"/>
        <v>6.701428571428572</v>
      </c>
      <c r="M401" s="1806"/>
      <c r="N401" s="1870"/>
      <c r="O401" s="2033">
        <f t="shared" si="36"/>
        <v>0</v>
      </c>
      <c r="P401" s="1806"/>
      <c r="Q401" s="1843"/>
    </row>
    <row r="402" spans="1:17" ht="14.4">
      <c r="A402" s="1176"/>
      <c r="B402" s="1848" t="s">
        <v>1152</v>
      </c>
      <c r="C402" s="1846">
        <v>45000</v>
      </c>
      <c r="D402" s="1847">
        <v>15</v>
      </c>
      <c r="E402" s="1806"/>
      <c r="F402" s="1862">
        <f>forbrug!I16</f>
        <v>5.9399999999999986</v>
      </c>
      <c r="G402" s="1865">
        <f>forbrug!J16</f>
        <v>11.74</v>
      </c>
      <c r="H402" s="2036">
        <f t="shared" si="34"/>
        <v>0.24749999999999994</v>
      </c>
      <c r="I402" s="1843">
        <f t="shared" si="33"/>
        <v>1.9764309764309769</v>
      </c>
      <c r="J402" s="1806"/>
      <c r="K402" s="1842">
        <f t="shared" si="37"/>
        <v>99.76</v>
      </c>
      <c r="L402" s="2036">
        <f t="shared" si="35"/>
        <v>6.6506666666666669</v>
      </c>
      <c r="M402" s="1806"/>
      <c r="N402" s="1870">
        <v>205.85</v>
      </c>
      <c r="O402" s="2033">
        <f t="shared" si="36"/>
        <v>13.723333333333333</v>
      </c>
      <c r="P402" s="1806"/>
      <c r="Q402" s="1843"/>
    </row>
    <row r="403" spans="1:17" ht="14.4">
      <c r="A403" s="1176"/>
      <c r="B403" s="1848" t="s">
        <v>1151</v>
      </c>
      <c r="C403" s="1846">
        <v>45001</v>
      </c>
      <c r="D403" s="1847">
        <v>16</v>
      </c>
      <c r="E403" s="1806"/>
      <c r="F403" s="1862">
        <f>forbrug!I17</f>
        <v>8.16</v>
      </c>
      <c r="G403" s="1865">
        <f>forbrug!J17</f>
        <v>15.65</v>
      </c>
      <c r="H403" s="2036">
        <f t="shared" si="34"/>
        <v>0.34</v>
      </c>
      <c r="I403" s="1843">
        <f t="shared" si="33"/>
        <v>1.9178921568627452</v>
      </c>
      <c r="J403" s="1806"/>
      <c r="K403" s="1842">
        <f t="shared" si="37"/>
        <v>107.92</v>
      </c>
      <c r="L403" s="2036">
        <f t="shared" si="35"/>
        <v>6.7450000000000001</v>
      </c>
      <c r="M403" s="1806"/>
      <c r="N403" s="1870"/>
      <c r="O403" s="2033">
        <f t="shared" si="36"/>
        <v>0</v>
      </c>
      <c r="P403" s="1806"/>
      <c r="Q403" s="1843"/>
    </row>
    <row r="404" spans="1:17" ht="14.4">
      <c r="A404" s="1176"/>
      <c r="B404" s="1848" t="s">
        <v>1150</v>
      </c>
      <c r="C404" s="1846">
        <v>45002</v>
      </c>
      <c r="D404" s="1847">
        <v>17</v>
      </c>
      <c r="E404" s="1806"/>
      <c r="F404" s="1862">
        <f>forbrug!I18</f>
        <v>6.8699999999999992</v>
      </c>
      <c r="G404" s="1865">
        <f>forbrug!J18</f>
        <v>12.940000000000001</v>
      </c>
      <c r="H404" s="2036">
        <f t="shared" si="34"/>
        <v>0.28624999999999995</v>
      </c>
      <c r="I404" s="1843">
        <f t="shared" si="33"/>
        <v>1.8835516739446874</v>
      </c>
      <c r="J404" s="1806"/>
      <c r="K404" s="1842">
        <f t="shared" si="37"/>
        <v>114.79</v>
      </c>
      <c r="L404" s="2036">
        <f t="shared" si="35"/>
        <v>6.7523529411764711</v>
      </c>
      <c r="M404" s="1806"/>
      <c r="N404" s="1870">
        <v>234.41</v>
      </c>
      <c r="O404" s="2033">
        <f t="shared" si="36"/>
        <v>13.788823529411765</v>
      </c>
      <c r="P404" s="1806"/>
      <c r="Q404" s="1843"/>
    </row>
    <row r="405" spans="1:17" ht="14.4">
      <c r="A405" s="1176"/>
      <c r="B405" s="1848" t="s">
        <v>1149</v>
      </c>
      <c r="C405" s="1846">
        <v>45003</v>
      </c>
      <c r="D405" s="1847">
        <v>18</v>
      </c>
      <c r="E405" s="1806"/>
      <c r="F405" s="1862">
        <f>forbrug!I19</f>
        <v>7.19</v>
      </c>
      <c r="G405" s="1865">
        <f>forbrug!J19</f>
        <v>12.62</v>
      </c>
      <c r="H405" s="2036">
        <f t="shared" si="34"/>
        <v>0.29958333333333337</v>
      </c>
      <c r="I405" s="1843">
        <f t="shared" si="33"/>
        <v>1.7552155771905422</v>
      </c>
      <c r="J405" s="1806"/>
      <c r="K405" s="1842">
        <f t="shared" si="37"/>
        <v>121.98</v>
      </c>
      <c r="L405" s="2036">
        <f t="shared" si="35"/>
        <v>6.7766666666666673</v>
      </c>
      <c r="M405" s="1806"/>
      <c r="N405" s="1870"/>
      <c r="O405" s="2033">
        <f t="shared" si="36"/>
        <v>0</v>
      </c>
      <c r="P405" s="1806"/>
      <c r="Q405" s="1843"/>
    </row>
    <row r="406" spans="1:17" ht="14.4">
      <c r="A406" s="1176"/>
      <c r="B406" s="1848" t="s">
        <v>1155</v>
      </c>
      <c r="C406" s="1846">
        <v>45004</v>
      </c>
      <c r="D406" s="1847">
        <v>19</v>
      </c>
      <c r="E406" s="1806"/>
      <c r="F406" s="1862">
        <f>forbrug!I20</f>
        <v>7.19</v>
      </c>
      <c r="G406" s="1865">
        <f>forbrug!J20</f>
        <v>15.370000000000003</v>
      </c>
      <c r="H406" s="2037">
        <f t="shared" si="34"/>
        <v>0.29958333333333337</v>
      </c>
      <c r="I406" s="1843">
        <f t="shared" si="33"/>
        <v>2.1376912378303201</v>
      </c>
      <c r="J406" s="1806"/>
      <c r="K406" s="1842">
        <f t="shared" si="37"/>
        <v>129.17000000000002</v>
      </c>
      <c r="L406" s="2037">
        <f t="shared" si="35"/>
        <v>6.7984210526315794</v>
      </c>
      <c r="M406" s="1806"/>
      <c r="N406" s="1870"/>
      <c r="O406" s="2033">
        <f t="shared" si="36"/>
        <v>0</v>
      </c>
      <c r="P406" s="1806"/>
      <c r="Q406" s="1843"/>
    </row>
    <row r="407" spans="1:17" ht="14.4">
      <c r="A407" s="1176"/>
      <c r="B407" s="1848" t="s">
        <v>1154</v>
      </c>
      <c r="C407" s="1846">
        <v>45005</v>
      </c>
      <c r="D407" s="1847">
        <v>20</v>
      </c>
      <c r="E407" s="1806"/>
      <c r="F407" s="1862">
        <f>forbrug!I21</f>
        <v>7.0200000000000005</v>
      </c>
      <c r="G407" s="1865">
        <f>forbrug!J21</f>
        <v>14.569999999999999</v>
      </c>
      <c r="H407" s="2037">
        <f t="shared" si="34"/>
        <v>0.29250000000000004</v>
      </c>
      <c r="I407" s="1843">
        <f t="shared" si="33"/>
        <v>2.0754985754985751</v>
      </c>
      <c r="J407" s="1806"/>
      <c r="K407" s="1842">
        <f t="shared" si="37"/>
        <v>136.19000000000003</v>
      </c>
      <c r="L407" s="2037">
        <f t="shared" si="35"/>
        <v>6.8095000000000017</v>
      </c>
      <c r="M407" s="1806"/>
      <c r="N407" s="1870">
        <v>276.93</v>
      </c>
      <c r="O407" s="2033">
        <f t="shared" si="36"/>
        <v>13.846500000000001</v>
      </c>
      <c r="P407" s="1806"/>
      <c r="Q407" s="1843"/>
    </row>
    <row r="408" spans="1:17" ht="14.4">
      <c r="A408" s="1176"/>
      <c r="B408" s="1848" t="s">
        <v>1153</v>
      </c>
      <c r="C408" s="1846">
        <v>45006</v>
      </c>
      <c r="D408" s="1847">
        <v>21</v>
      </c>
      <c r="E408" s="1806"/>
      <c r="F408" s="1862">
        <f>forbrug!I22</f>
        <v>7.7700000000000014</v>
      </c>
      <c r="G408" s="1865">
        <f>forbrug!J22</f>
        <v>14.730000000000002</v>
      </c>
      <c r="H408" s="2037">
        <f t="shared" si="34"/>
        <v>0.32375000000000004</v>
      </c>
      <c r="I408" s="1843">
        <f t="shared" si="33"/>
        <v>1.8957528957528957</v>
      </c>
      <c r="J408" s="1806"/>
      <c r="K408" s="1842">
        <f t="shared" si="37"/>
        <v>143.96000000000004</v>
      </c>
      <c r="L408" s="2037">
        <f t="shared" si="35"/>
        <v>6.8552380952380974</v>
      </c>
      <c r="M408" s="1806"/>
      <c r="N408" s="1870"/>
      <c r="O408" s="2033">
        <f t="shared" si="36"/>
        <v>0</v>
      </c>
      <c r="P408" s="1806"/>
      <c r="Q408" s="1843"/>
    </row>
    <row r="409" spans="1:17" ht="14.4">
      <c r="A409" s="1176"/>
      <c r="B409" s="1848" t="s">
        <v>1152</v>
      </c>
      <c r="C409" s="1846">
        <v>45007</v>
      </c>
      <c r="D409" s="1847">
        <v>22</v>
      </c>
      <c r="E409" s="1806"/>
      <c r="F409" s="1862">
        <f>forbrug!I23</f>
        <v>5.84</v>
      </c>
      <c r="G409" s="1865">
        <f>forbrug!J23</f>
        <v>9.42</v>
      </c>
      <c r="H409" s="2037">
        <f t="shared" si="34"/>
        <v>0.24333333333333332</v>
      </c>
      <c r="I409" s="1843">
        <f t="shared" si="33"/>
        <v>1.6130136986301371</v>
      </c>
      <c r="J409" s="1806"/>
      <c r="K409" s="1842">
        <f t="shared" si="37"/>
        <v>149.80000000000004</v>
      </c>
      <c r="L409" s="2037">
        <f t="shared" si="35"/>
        <v>6.8090909090909113</v>
      </c>
      <c r="M409" s="1806"/>
      <c r="N409" s="1870">
        <v>301.11</v>
      </c>
      <c r="O409" s="2033">
        <f t="shared" si="36"/>
        <v>13.686818181818182</v>
      </c>
      <c r="P409" s="1806"/>
      <c r="Q409" s="1843"/>
    </row>
    <row r="410" spans="1:17" ht="14.4">
      <c r="A410" s="1176"/>
      <c r="B410" s="1848" t="s">
        <v>1151</v>
      </c>
      <c r="C410" s="1846">
        <v>45008</v>
      </c>
      <c r="D410" s="1847">
        <v>23</v>
      </c>
      <c r="E410" s="1806"/>
      <c r="F410" s="1862">
        <f>forbrug!I24</f>
        <v>8.4700000000000006</v>
      </c>
      <c r="G410" s="1865">
        <f>forbrug!J24</f>
        <v>13.32</v>
      </c>
      <c r="H410" s="2037">
        <f t="shared" si="34"/>
        <v>0.35291666666666671</v>
      </c>
      <c r="I410" s="1843">
        <f t="shared" si="33"/>
        <v>1.5726092089728452</v>
      </c>
      <c r="J410" s="1806"/>
      <c r="K410" s="1842">
        <f t="shared" si="37"/>
        <v>158.27000000000004</v>
      </c>
      <c r="L410" s="2037">
        <f t="shared" si="35"/>
        <v>6.8813043478260889</v>
      </c>
      <c r="M410" s="1806"/>
      <c r="N410" s="1870"/>
      <c r="O410" s="2033">
        <f t="shared" si="36"/>
        <v>0</v>
      </c>
      <c r="P410" s="1806"/>
      <c r="Q410" s="1843"/>
    </row>
    <row r="411" spans="1:17" ht="14.4">
      <c r="A411" s="1176"/>
      <c r="B411" s="1848" t="s">
        <v>1150</v>
      </c>
      <c r="C411" s="1846">
        <v>45009</v>
      </c>
      <c r="D411" s="1847">
        <v>24</v>
      </c>
      <c r="E411" s="1806"/>
      <c r="F411" s="1862">
        <f>forbrug!I25</f>
        <v>8.2799999999999994</v>
      </c>
      <c r="G411" s="1865">
        <f>forbrug!J25</f>
        <v>12.1</v>
      </c>
      <c r="H411" s="2037">
        <f t="shared" si="34"/>
        <v>0.34499999999999997</v>
      </c>
      <c r="I411" s="1843">
        <f t="shared" si="33"/>
        <v>1.461352657004831</v>
      </c>
      <c r="J411" s="1806"/>
      <c r="K411" s="1842">
        <f t="shared" si="37"/>
        <v>166.55000000000004</v>
      </c>
      <c r="L411" s="2037">
        <f t="shared" si="35"/>
        <v>6.939583333333335</v>
      </c>
      <c r="M411" s="1806"/>
      <c r="N411" s="1870"/>
      <c r="O411" s="2033">
        <f t="shared" si="36"/>
        <v>0</v>
      </c>
      <c r="P411" s="1806"/>
      <c r="Q411" s="1843"/>
    </row>
    <row r="412" spans="1:17" ht="14.4">
      <c r="A412" s="1176"/>
      <c r="B412" s="1848" t="s">
        <v>1149</v>
      </c>
      <c r="C412" s="1846">
        <v>45010</v>
      </c>
      <c r="D412" s="1847">
        <v>25</v>
      </c>
      <c r="E412" s="1806"/>
      <c r="F412" s="1862">
        <f>forbrug!I26</f>
        <v>8.4700000000000006</v>
      </c>
      <c r="G412" s="1865">
        <f>forbrug!J26</f>
        <v>12.1</v>
      </c>
      <c r="H412" s="2035">
        <f t="shared" si="34"/>
        <v>0.35291666666666671</v>
      </c>
      <c r="I412" s="1843">
        <f t="shared" si="33"/>
        <v>1.4285714285714284</v>
      </c>
      <c r="J412" s="1806"/>
      <c r="K412" s="1842">
        <f t="shared" si="37"/>
        <v>175.02000000000004</v>
      </c>
      <c r="L412" s="2035">
        <f t="shared" si="35"/>
        <v>7.0008000000000017</v>
      </c>
      <c r="M412" s="1806"/>
      <c r="N412" s="1870"/>
      <c r="O412" s="2033">
        <f t="shared" si="36"/>
        <v>0</v>
      </c>
      <c r="P412" s="1806"/>
      <c r="Q412" s="1843"/>
    </row>
    <row r="413" spans="1:17" ht="14.4">
      <c r="A413" s="1176"/>
      <c r="B413" s="1848" t="s">
        <v>1155</v>
      </c>
      <c r="C413" s="1846">
        <v>45011</v>
      </c>
      <c r="D413" s="1847">
        <v>26</v>
      </c>
      <c r="E413" s="1806"/>
      <c r="F413" s="1862">
        <f>forbrug!I27</f>
        <v>6.12</v>
      </c>
      <c r="G413" s="1865">
        <f>forbrug!J27</f>
        <v>9.9699999999999971</v>
      </c>
      <c r="H413" s="2035">
        <f t="shared" si="34"/>
        <v>0.255</v>
      </c>
      <c r="I413" s="1843">
        <f t="shared" si="33"/>
        <v>1.629084967320261</v>
      </c>
      <c r="J413" s="1806"/>
      <c r="K413" s="1842">
        <f t="shared" si="37"/>
        <v>181.14000000000004</v>
      </c>
      <c r="L413" s="2035">
        <f t="shared" si="35"/>
        <v>6.966923076923079</v>
      </c>
      <c r="M413" s="1806"/>
      <c r="N413" s="1870"/>
      <c r="O413" s="2033">
        <f t="shared" si="36"/>
        <v>0</v>
      </c>
      <c r="P413" s="1806"/>
      <c r="Q413" s="1843"/>
    </row>
    <row r="414" spans="1:17" ht="14.4">
      <c r="A414" s="1176"/>
      <c r="B414" s="1848" t="s">
        <v>1154</v>
      </c>
      <c r="C414" s="1846">
        <v>45012</v>
      </c>
      <c r="D414" s="1847">
        <v>27</v>
      </c>
      <c r="E414" s="1806"/>
      <c r="F414" s="1862">
        <f>forbrug!I28</f>
        <v>5.57</v>
      </c>
      <c r="G414" s="1865">
        <f>forbrug!J28</f>
        <v>9.7799999999999994</v>
      </c>
      <c r="H414" s="2035">
        <f t="shared" si="34"/>
        <v>0.23208333333333334</v>
      </c>
      <c r="I414" s="1843">
        <f t="shared" si="33"/>
        <v>1.7558348294434469</v>
      </c>
      <c r="J414" s="1806"/>
      <c r="K414" s="1842">
        <f t="shared" si="37"/>
        <v>186.71000000000004</v>
      </c>
      <c r="L414" s="2035">
        <f t="shared" si="35"/>
        <v>6.9151851851851864</v>
      </c>
      <c r="M414" s="1806"/>
      <c r="N414" s="1870"/>
      <c r="O414" s="2033">
        <f t="shared" si="36"/>
        <v>0</v>
      </c>
      <c r="P414" s="1806"/>
      <c r="Q414" s="1843"/>
    </row>
    <row r="415" spans="1:17" ht="14.4">
      <c r="A415" s="1176"/>
      <c r="B415" s="1848" t="s">
        <v>1153</v>
      </c>
      <c r="C415" s="1846">
        <v>45013</v>
      </c>
      <c r="D415" s="1847">
        <v>28</v>
      </c>
      <c r="E415" s="1806"/>
      <c r="F415" s="1862">
        <f>forbrug!I29</f>
        <v>7.93</v>
      </c>
      <c r="G415" s="1865">
        <f>forbrug!J29</f>
        <v>15.66</v>
      </c>
      <c r="H415" s="2035">
        <f t="shared" si="34"/>
        <v>0.33041666666666664</v>
      </c>
      <c r="I415" s="1843">
        <f t="shared" si="33"/>
        <v>1.9747793190416143</v>
      </c>
      <c r="J415" s="1806"/>
      <c r="K415" s="1842">
        <f t="shared" si="37"/>
        <v>194.64000000000004</v>
      </c>
      <c r="L415" s="2035">
        <f t="shared" si="35"/>
        <v>6.9514285714285728</v>
      </c>
      <c r="M415" s="1806"/>
      <c r="N415" s="1870"/>
      <c r="O415" s="2033">
        <f t="shared" si="36"/>
        <v>0</v>
      </c>
      <c r="P415" s="1806"/>
      <c r="Q415" s="1843"/>
    </row>
    <row r="416" spans="1:17" ht="14.4">
      <c r="A416" s="1176"/>
      <c r="B416" s="1848" t="s">
        <v>1152</v>
      </c>
      <c r="C416" s="1846">
        <v>45014</v>
      </c>
      <c r="D416" s="1847">
        <v>29</v>
      </c>
      <c r="E416" s="1806"/>
      <c r="F416" s="1862">
        <f>forbrug!I30</f>
        <v>6.0200000000000005</v>
      </c>
      <c r="G416" s="1865">
        <f>forbrug!J30</f>
        <v>12.910000000000002</v>
      </c>
      <c r="H416" s="2035">
        <f t="shared" si="34"/>
        <v>0.25083333333333335</v>
      </c>
      <c r="I416" s="1843">
        <f t="shared" si="33"/>
        <v>2.1445182724252492</v>
      </c>
      <c r="J416" s="1806"/>
      <c r="K416" s="1842">
        <v>198.77</v>
      </c>
      <c r="L416" s="2035">
        <f t="shared" si="35"/>
        <v>6.854137931034483</v>
      </c>
      <c r="M416" s="1806"/>
      <c r="N416" s="1870">
        <v>381.33</v>
      </c>
      <c r="O416" s="2033">
        <f t="shared" si="36"/>
        <v>13.149310344827585</v>
      </c>
      <c r="P416" s="1806"/>
      <c r="Q416" s="1843"/>
    </row>
    <row r="417" spans="1:17" ht="14.4">
      <c r="A417" s="1176"/>
      <c r="B417" s="1848" t="s">
        <v>1151</v>
      </c>
      <c r="C417" s="1846">
        <v>45015</v>
      </c>
      <c r="D417" s="1847">
        <v>30</v>
      </c>
      <c r="E417" s="1806"/>
      <c r="F417" s="1862">
        <f>forbrug!I31</f>
        <v>7.9600000000000017</v>
      </c>
      <c r="G417" s="1865">
        <f>forbrug!J31</f>
        <v>14.120000000000003</v>
      </c>
      <c r="H417" s="2035">
        <f t="shared" si="34"/>
        <v>0.33166666666666672</v>
      </c>
      <c r="I417" s="1843">
        <f t="shared" si="33"/>
        <v>1.7738693467336684</v>
      </c>
      <c r="J417" s="1806"/>
      <c r="K417" s="1842">
        <v>206.73</v>
      </c>
      <c r="L417" s="2035">
        <f t="shared" si="35"/>
        <v>6.891</v>
      </c>
      <c r="M417" s="1806"/>
      <c r="N417" s="1870">
        <v>395.44</v>
      </c>
      <c r="O417" s="2033">
        <f t="shared" si="36"/>
        <v>13.181333333333333</v>
      </c>
      <c r="P417" s="1806"/>
      <c r="Q417" s="1843"/>
    </row>
    <row r="418" spans="1:17" ht="14.4">
      <c r="A418" s="1176"/>
      <c r="B418" s="1848" t="s">
        <v>1150</v>
      </c>
      <c r="C418" s="1846">
        <v>45016</v>
      </c>
      <c r="D418" s="1847">
        <v>31</v>
      </c>
      <c r="E418" s="1806"/>
      <c r="F418" s="1862">
        <f>forbrug!I32</f>
        <v>7.419999999999999</v>
      </c>
      <c r="G418" s="1865">
        <f>forbrug!J32</f>
        <v>14.780000000000001</v>
      </c>
      <c r="H418" s="2035">
        <f t="shared" si="34"/>
        <v>0.30916666666666665</v>
      </c>
      <c r="I418" s="1843">
        <f t="shared" si="33"/>
        <v>1.9919137466307282</v>
      </c>
      <c r="J418" s="1806"/>
      <c r="K418" s="1842">
        <f>K417+F418</f>
        <v>214.14999999999998</v>
      </c>
      <c r="L418" s="2035">
        <f t="shared" si="35"/>
        <v>6.9080645161290315</v>
      </c>
      <c r="M418" s="1806"/>
      <c r="N418" s="1870">
        <v>410.21</v>
      </c>
      <c r="O418" s="2033">
        <f t="shared" si="36"/>
        <v>13.23258064516129</v>
      </c>
      <c r="P418" s="1806"/>
      <c r="Q418" s="1843"/>
    </row>
    <row r="419" spans="1:17" s="1816" customFormat="1" ht="5.25" customHeight="1" thickBot="1">
      <c r="A419" s="1818"/>
      <c r="H419" s="2027"/>
      <c r="I419" s="2028"/>
      <c r="L419" s="2027"/>
      <c r="O419" s="2027"/>
    </row>
    <row r="420" spans="1:17" ht="14.4">
      <c r="A420" s="1176"/>
      <c r="B420" s="1829"/>
      <c r="C420" s="1838" t="str">
        <f>C6</f>
        <v>APRIL 2023</v>
      </c>
      <c r="D420" s="1831">
        <v>31</v>
      </c>
      <c r="E420" s="1832"/>
      <c r="F420" s="1837">
        <f>AVERAGE(F421:F450)</f>
        <v>6.9536666666666678</v>
      </c>
      <c r="G420" s="1834">
        <f>AVERAGE(G421:G450)</f>
        <v>13.127333333333336</v>
      </c>
      <c r="H420" s="2029">
        <f>AVERAGE(H421:H450)</f>
        <v>0.28973611111111108</v>
      </c>
      <c r="I420" s="2030">
        <f t="shared" ref="I420:I450" si="38">G420/F420</f>
        <v>1.8878289631369543</v>
      </c>
      <c r="J420" s="1832"/>
      <c r="K420" s="1837"/>
      <c r="L420" s="2029"/>
      <c r="M420" s="1832"/>
      <c r="N420" s="1827"/>
      <c r="O420" s="2067"/>
      <c r="P420" s="1832"/>
      <c r="Q420" s="1828"/>
    </row>
    <row r="421" spans="1:17" ht="14.4">
      <c r="A421" s="1176"/>
      <c r="B421" s="1845" t="s">
        <v>1149</v>
      </c>
      <c r="C421" s="1846">
        <v>45017</v>
      </c>
      <c r="D421" s="1847">
        <v>1</v>
      </c>
      <c r="E421" s="1811"/>
      <c r="F421" s="1862">
        <f>forbrug!N2</f>
        <v>5.8900000000000006</v>
      </c>
      <c r="G421" s="1865">
        <f>forbrug!O2</f>
        <v>7.9399999999999986</v>
      </c>
      <c r="H421" s="2035">
        <f t="shared" ref="H421:H450" si="39">F421/24</f>
        <v>0.2454166666666667</v>
      </c>
      <c r="I421" s="1843">
        <f t="shared" si="38"/>
        <v>1.3480475382003392</v>
      </c>
      <c r="J421" s="1862">
        <f>forbrug!Y36</f>
        <v>0</v>
      </c>
      <c r="K421" s="1842">
        <f>F421</f>
        <v>5.8900000000000006</v>
      </c>
      <c r="L421" s="2035">
        <f t="shared" ref="L421:L430" si="40">K421/D421</f>
        <v>5.8900000000000006</v>
      </c>
      <c r="M421" s="1870">
        <f t="shared" ref="M421:M423" si="41">M422-N422</f>
        <v>11.922000000000001</v>
      </c>
      <c r="N421" s="1865">
        <f t="shared" ref="N421:N430" si="42">M421/D421</f>
        <v>11.922000000000001</v>
      </c>
      <c r="O421" s="1843"/>
      <c r="P421" s="1974"/>
      <c r="Q421" s="1188"/>
    </row>
    <row r="422" spans="1:17" ht="14.4">
      <c r="A422" s="1176"/>
      <c r="B422" s="1848" t="s">
        <v>1155</v>
      </c>
      <c r="C422" s="1846">
        <v>45018</v>
      </c>
      <c r="D422" s="1847">
        <v>2</v>
      </c>
      <c r="E422" s="1806"/>
      <c r="F422" s="1862">
        <f>forbrug!N3</f>
        <v>7.62</v>
      </c>
      <c r="G422" s="1865">
        <f>forbrug!O3</f>
        <v>10.84</v>
      </c>
      <c r="H422" s="2035">
        <f t="shared" si="39"/>
        <v>0.3175</v>
      </c>
      <c r="I422" s="1843">
        <f t="shared" si="38"/>
        <v>1.4225721784776904</v>
      </c>
      <c r="J422" s="1862">
        <f>forbrug!Y61</f>
        <v>0</v>
      </c>
      <c r="K422" s="1842">
        <f t="shared" ref="K422:K430" si="43">K421+F422</f>
        <v>13.510000000000002</v>
      </c>
      <c r="L422" s="2035">
        <f t="shared" si="40"/>
        <v>6.7550000000000008</v>
      </c>
      <c r="M422" s="1870">
        <f>M423-N423</f>
        <v>23.844000000000001</v>
      </c>
      <c r="N422" s="1865">
        <f t="shared" si="42"/>
        <v>11.922000000000001</v>
      </c>
      <c r="O422" s="1843"/>
      <c r="P422" s="1974"/>
      <c r="Q422" s="1176"/>
    </row>
    <row r="423" spans="1:17" ht="14.4">
      <c r="A423" s="1176"/>
      <c r="B423" s="1848" t="s">
        <v>1154</v>
      </c>
      <c r="C423" s="1846">
        <v>45019</v>
      </c>
      <c r="D423" s="1847">
        <v>3</v>
      </c>
      <c r="E423" s="1806"/>
      <c r="F423" s="1862">
        <f>forbrug!N4</f>
        <v>7.3999999999999995</v>
      </c>
      <c r="G423" s="1865">
        <f>forbrug!O4</f>
        <v>41.53</v>
      </c>
      <c r="H423" s="2035">
        <f t="shared" si="39"/>
        <v>0.30833333333333329</v>
      </c>
      <c r="I423" s="1843">
        <f t="shared" si="38"/>
        <v>5.6121621621621625</v>
      </c>
      <c r="J423" s="1806"/>
      <c r="K423" s="1842">
        <f t="shared" si="43"/>
        <v>20.91</v>
      </c>
      <c r="L423" s="2035">
        <f t="shared" si="40"/>
        <v>6.97</v>
      </c>
      <c r="M423" s="1870">
        <f t="shared" si="41"/>
        <v>35.766000000000005</v>
      </c>
      <c r="N423" s="1865">
        <f t="shared" si="42"/>
        <v>11.922000000000002</v>
      </c>
      <c r="O423" s="1843"/>
      <c r="P423" s="1974"/>
      <c r="Q423" s="1176"/>
    </row>
    <row r="424" spans="1:17" ht="14.4">
      <c r="A424" s="1176"/>
      <c r="B424" s="1848" t="s">
        <v>1153</v>
      </c>
      <c r="C424" s="1846">
        <v>45020</v>
      </c>
      <c r="D424" s="1847">
        <v>4</v>
      </c>
      <c r="E424" s="1806"/>
      <c r="F424" s="1862">
        <f>forbrug!N5</f>
        <v>5.77</v>
      </c>
      <c r="G424" s="1865">
        <f>forbrug!O5</f>
        <v>11.919999999999998</v>
      </c>
      <c r="H424" s="2035">
        <f t="shared" si="39"/>
        <v>0.24041666666666664</v>
      </c>
      <c r="I424" s="1843">
        <f t="shared" si="38"/>
        <v>2.0658578856152512</v>
      </c>
      <c r="J424" s="1806"/>
      <c r="K424" s="1842">
        <f t="shared" si="43"/>
        <v>26.68</v>
      </c>
      <c r="L424" s="2035">
        <f t="shared" si="40"/>
        <v>6.67</v>
      </c>
      <c r="M424" s="1870">
        <f>M425-N425</f>
        <v>47.688000000000002</v>
      </c>
      <c r="N424" s="1865">
        <f t="shared" si="42"/>
        <v>11.922000000000001</v>
      </c>
      <c r="O424" s="1843"/>
      <c r="P424" s="1974"/>
      <c r="Q424" s="1176"/>
    </row>
    <row r="425" spans="1:17" ht="14.4">
      <c r="A425" s="1176"/>
      <c r="B425" s="1848" t="s">
        <v>1152</v>
      </c>
      <c r="C425" s="1846">
        <v>45021</v>
      </c>
      <c r="D425" s="1847">
        <v>5</v>
      </c>
      <c r="E425" s="1806"/>
      <c r="F425" s="1862">
        <f>forbrug!N6</f>
        <v>7.9400000000000013</v>
      </c>
      <c r="G425" s="1865">
        <f>forbrug!O6</f>
        <v>18.09</v>
      </c>
      <c r="H425" s="2035">
        <f t="shared" si="39"/>
        <v>0.33083333333333337</v>
      </c>
      <c r="I425" s="1843">
        <f t="shared" si="38"/>
        <v>2.2783375314861458</v>
      </c>
      <c r="J425" s="1806"/>
      <c r="K425" s="1842">
        <f t="shared" si="43"/>
        <v>34.620000000000005</v>
      </c>
      <c r="L425" s="2035">
        <f t="shared" si="40"/>
        <v>6.9240000000000013</v>
      </c>
      <c r="M425" s="1870">
        <v>59.61</v>
      </c>
      <c r="N425" s="1865">
        <f t="shared" si="42"/>
        <v>11.922000000000001</v>
      </c>
      <c r="O425" s="1843"/>
      <c r="P425" s="1974"/>
      <c r="Q425" s="1184"/>
    </row>
    <row r="426" spans="1:17" ht="14.4">
      <c r="A426" s="1176"/>
      <c r="B426" s="1848" t="s">
        <v>1151</v>
      </c>
      <c r="C426" s="1846">
        <v>45022</v>
      </c>
      <c r="D426" s="1847">
        <v>6</v>
      </c>
      <c r="E426" s="1806"/>
      <c r="F426" s="1862">
        <f>forbrug!N7</f>
        <v>7.9400000000000013</v>
      </c>
      <c r="G426" s="1865">
        <f>forbrug!O7</f>
        <v>18.09</v>
      </c>
      <c r="H426" s="2035">
        <f t="shared" si="39"/>
        <v>0.33083333333333337</v>
      </c>
      <c r="I426" s="1843">
        <f t="shared" si="38"/>
        <v>2.2783375314861458</v>
      </c>
      <c r="J426" s="1806"/>
      <c r="K426" s="1842">
        <f t="shared" si="43"/>
        <v>42.56</v>
      </c>
      <c r="L426" s="2035">
        <f t="shared" si="40"/>
        <v>7.0933333333333337</v>
      </c>
      <c r="M426" s="1870">
        <v>75.739999999999995</v>
      </c>
      <c r="N426" s="1865">
        <f t="shared" si="42"/>
        <v>12.623333333333333</v>
      </c>
      <c r="O426" s="1843"/>
      <c r="P426" s="1974"/>
      <c r="Q426" s="1184"/>
    </row>
    <row r="427" spans="1:17" ht="14.4">
      <c r="A427" s="1176"/>
      <c r="B427" s="1848" t="s">
        <v>1150</v>
      </c>
      <c r="C427" s="1846">
        <v>45023</v>
      </c>
      <c r="D427" s="1847">
        <v>7</v>
      </c>
      <c r="E427" s="1806"/>
      <c r="F427" s="1862">
        <f>forbrug!N8</f>
        <v>6.8600000000000012</v>
      </c>
      <c r="G427" s="1865">
        <f>forbrug!O8</f>
        <v>13.010000000000002</v>
      </c>
      <c r="H427" s="2035">
        <f t="shared" si="39"/>
        <v>0.28583333333333338</v>
      </c>
      <c r="I427" s="1843">
        <f t="shared" si="38"/>
        <v>1.8965014577259474</v>
      </c>
      <c r="J427" s="1806"/>
      <c r="K427" s="1842">
        <f t="shared" si="43"/>
        <v>49.42</v>
      </c>
      <c r="L427" s="2035">
        <f t="shared" si="40"/>
        <v>7.0600000000000005</v>
      </c>
      <c r="M427" s="1870">
        <f t="shared" ref="M427:M449" si="44">N426+M426</f>
        <v>88.36333333333333</v>
      </c>
      <c r="N427" s="1865">
        <f t="shared" si="42"/>
        <v>12.623333333333333</v>
      </c>
      <c r="O427" s="1843"/>
      <c r="P427" s="1974"/>
      <c r="Q427" s="1184">
        <v>20</v>
      </c>
    </row>
    <row r="428" spans="1:17" ht="14.4">
      <c r="A428" s="1176"/>
      <c r="B428" s="1848" t="s">
        <v>1149</v>
      </c>
      <c r="C428" s="1846">
        <v>45024</v>
      </c>
      <c r="D428" s="1847">
        <v>8</v>
      </c>
      <c r="E428" s="1806"/>
      <c r="F428" s="1862">
        <f>forbrug!N9</f>
        <v>6.2900000000000009</v>
      </c>
      <c r="G428" s="1865">
        <f>forbrug!O9</f>
        <v>12.039999999999997</v>
      </c>
      <c r="H428" s="2035">
        <f t="shared" si="39"/>
        <v>0.26208333333333339</v>
      </c>
      <c r="I428" s="1843">
        <f t="shared" si="38"/>
        <v>1.9141494435612076</v>
      </c>
      <c r="J428" s="1806"/>
      <c r="K428" s="1842">
        <f t="shared" si="43"/>
        <v>55.71</v>
      </c>
      <c r="L428" s="2035">
        <f t="shared" si="40"/>
        <v>6.9637500000000001</v>
      </c>
      <c r="M428" s="1870">
        <f t="shared" si="44"/>
        <v>100.98666666666666</v>
      </c>
      <c r="N428" s="1865">
        <f t="shared" si="42"/>
        <v>12.623333333333333</v>
      </c>
      <c r="O428" s="1843"/>
      <c r="P428" s="1974"/>
      <c r="Q428" s="1184"/>
    </row>
    <row r="429" spans="1:17" ht="14.4">
      <c r="A429" s="1176"/>
      <c r="B429" s="1848" t="s">
        <v>1155</v>
      </c>
      <c r="C429" s="1846">
        <v>45025</v>
      </c>
      <c r="D429" s="1847">
        <v>9</v>
      </c>
      <c r="E429" s="1806"/>
      <c r="F429" s="1862">
        <f>forbrug!N10</f>
        <v>8.36</v>
      </c>
      <c r="G429" s="1865">
        <f>forbrug!O10</f>
        <v>14.610000000000001</v>
      </c>
      <c r="H429" s="2036">
        <f t="shared" si="39"/>
        <v>0.34833333333333333</v>
      </c>
      <c r="I429" s="1843">
        <f t="shared" si="38"/>
        <v>1.7476076555023925</v>
      </c>
      <c r="J429" s="1806"/>
      <c r="K429" s="1842">
        <f t="shared" si="43"/>
        <v>64.069999999999993</v>
      </c>
      <c r="L429" s="2036">
        <f t="shared" si="40"/>
        <v>7.1188888888888879</v>
      </c>
      <c r="M429" s="1870">
        <v>118.86</v>
      </c>
      <c r="N429" s="1865">
        <f t="shared" si="42"/>
        <v>13.206666666666667</v>
      </c>
      <c r="O429" s="1843"/>
      <c r="P429" s="1974"/>
      <c r="Q429" s="1184"/>
    </row>
    <row r="430" spans="1:17" ht="14.4">
      <c r="A430" s="1176"/>
      <c r="B430" s="1848" t="s">
        <v>1154</v>
      </c>
      <c r="C430" s="1846">
        <v>45026</v>
      </c>
      <c r="D430" s="1847">
        <v>10</v>
      </c>
      <c r="E430" s="1806"/>
      <c r="F430" s="1862">
        <f>forbrug!N11</f>
        <v>7.9399999999999995</v>
      </c>
      <c r="G430" s="1865">
        <f>forbrug!O11</f>
        <v>9.1899999999999977</v>
      </c>
      <c r="H430" s="2036">
        <f t="shared" si="39"/>
        <v>0.33083333333333331</v>
      </c>
      <c r="I430" s="1843">
        <f t="shared" si="38"/>
        <v>1.1574307304785891</v>
      </c>
      <c r="J430" s="1806"/>
      <c r="K430" s="1842">
        <f t="shared" si="43"/>
        <v>72.009999999999991</v>
      </c>
      <c r="L430" s="2036">
        <f t="shared" si="40"/>
        <v>7.2009999999999987</v>
      </c>
      <c r="M430" s="1870">
        <f t="shared" si="44"/>
        <v>132.06666666666666</v>
      </c>
      <c r="N430" s="1865">
        <f t="shared" si="42"/>
        <v>13.206666666666667</v>
      </c>
      <c r="O430" s="1843"/>
      <c r="P430" s="1974"/>
      <c r="Q430" s="1184">
        <v>20</v>
      </c>
    </row>
    <row r="431" spans="1:17" ht="14.4">
      <c r="A431" s="1176"/>
      <c r="B431" s="1848" t="s">
        <v>1153</v>
      </c>
      <c r="C431" s="1846">
        <v>45027</v>
      </c>
      <c r="D431" s="1847">
        <v>11</v>
      </c>
      <c r="E431" s="1806"/>
      <c r="F431" s="1862">
        <f>forbrug!N12</f>
        <v>6.02</v>
      </c>
      <c r="G431" s="1865">
        <f>forbrug!O12</f>
        <v>8.61</v>
      </c>
      <c r="H431" s="2036">
        <f t="shared" si="39"/>
        <v>0.2508333333333333</v>
      </c>
      <c r="I431" s="1843">
        <f t="shared" si="38"/>
        <v>1.430232558139535</v>
      </c>
      <c r="J431" s="1842">
        <f>K430+F431</f>
        <v>78.029999999999987</v>
      </c>
      <c r="K431" s="1864">
        <f>J431/D431</f>
        <v>7.0936363636363629</v>
      </c>
      <c r="L431" s="2038"/>
      <c r="M431" s="1865" t="e">
        <f>#REF!/D431</f>
        <v>#REF!</v>
      </c>
      <c r="N431" s="1843"/>
      <c r="O431" s="1222"/>
      <c r="P431" s="1865"/>
      <c r="Q431" s="1176"/>
    </row>
    <row r="432" spans="1:17" ht="14.4">
      <c r="A432" s="1176"/>
      <c r="B432" s="1848" t="s">
        <v>1152</v>
      </c>
      <c r="C432" s="1846">
        <v>45028</v>
      </c>
      <c r="D432" s="1847">
        <v>12</v>
      </c>
      <c r="E432" s="1806"/>
      <c r="F432" s="1862">
        <f>forbrug!N13</f>
        <v>6.87</v>
      </c>
      <c r="G432" s="1865">
        <f>forbrug!O13</f>
        <v>12.15</v>
      </c>
      <c r="H432" s="2036">
        <f t="shared" si="39"/>
        <v>0.28625</v>
      </c>
      <c r="I432" s="1843">
        <f t="shared" si="38"/>
        <v>1.7685589519650655</v>
      </c>
      <c r="J432" s="1806"/>
      <c r="K432" s="1842">
        <f>J431+F432</f>
        <v>84.899999999999991</v>
      </c>
      <c r="L432" s="2036">
        <f t="shared" ref="L432:L443" si="45">K432/D432</f>
        <v>7.0749999999999993</v>
      </c>
      <c r="M432" s="1870">
        <v>150.9</v>
      </c>
      <c r="N432" s="1865">
        <f t="shared" ref="N432:N443" si="46">M432/D432</f>
        <v>12.575000000000001</v>
      </c>
      <c r="O432" s="1843"/>
      <c r="P432" s="1974"/>
      <c r="Q432" s="1184">
        <v>20</v>
      </c>
    </row>
    <row r="433" spans="1:17" ht="14.4">
      <c r="A433" s="1176"/>
      <c r="B433" s="1848" t="s">
        <v>1151</v>
      </c>
      <c r="C433" s="1846">
        <v>45029</v>
      </c>
      <c r="D433" s="1847">
        <v>13</v>
      </c>
      <c r="E433" s="1806"/>
      <c r="F433" s="1862">
        <f>forbrug!N14</f>
        <v>7.1399999999999988</v>
      </c>
      <c r="G433" s="1865">
        <f>forbrug!O14</f>
        <v>12.14</v>
      </c>
      <c r="H433" s="2036">
        <f t="shared" si="39"/>
        <v>0.29749999999999993</v>
      </c>
      <c r="I433" s="1843">
        <f t="shared" si="38"/>
        <v>1.7002801120448183</v>
      </c>
      <c r="J433" s="1806"/>
      <c r="K433" s="1842">
        <f t="shared" ref="K433:K443" si="47">K432+F433</f>
        <v>92.039999999999992</v>
      </c>
      <c r="L433" s="2036">
        <f t="shared" si="45"/>
        <v>7.0799999999999992</v>
      </c>
      <c r="M433" s="1870">
        <v>168.51</v>
      </c>
      <c r="N433" s="1865">
        <f t="shared" si="46"/>
        <v>12.962307692307691</v>
      </c>
      <c r="O433" s="1843"/>
      <c r="P433" s="1974"/>
      <c r="Q433" s="1184"/>
    </row>
    <row r="434" spans="1:17" ht="14.4">
      <c r="A434" s="1176"/>
      <c r="B434" s="1848" t="s">
        <v>1150</v>
      </c>
      <c r="C434" s="1846">
        <v>45030</v>
      </c>
      <c r="D434" s="1847">
        <v>14</v>
      </c>
      <c r="E434" s="1806"/>
      <c r="F434" s="1862">
        <f>forbrug!N15</f>
        <v>8.9</v>
      </c>
      <c r="G434" s="1865">
        <f>forbrug!O15</f>
        <v>17.61</v>
      </c>
      <c r="H434" s="2036">
        <f t="shared" si="39"/>
        <v>0.37083333333333335</v>
      </c>
      <c r="I434" s="1843">
        <f t="shared" si="38"/>
        <v>1.9786516853932583</v>
      </c>
      <c r="J434" s="1806"/>
      <c r="K434" s="1842">
        <f t="shared" si="47"/>
        <v>100.94</v>
      </c>
      <c r="L434" s="2036">
        <f t="shared" si="45"/>
        <v>7.21</v>
      </c>
      <c r="M434" s="1870">
        <f t="shared" si="44"/>
        <v>181.47230769230768</v>
      </c>
      <c r="N434" s="1865">
        <f t="shared" si="46"/>
        <v>12.962307692307691</v>
      </c>
      <c r="O434" s="1843"/>
      <c r="P434" s="1974"/>
      <c r="Q434" s="1184"/>
    </row>
    <row r="435" spans="1:17" ht="14.4">
      <c r="A435" s="1176"/>
      <c r="B435" s="1848" t="s">
        <v>1149</v>
      </c>
      <c r="C435" s="1846">
        <v>45031</v>
      </c>
      <c r="D435" s="1847">
        <v>15</v>
      </c>
      <c r="E435" s="1806"/>
      <c r="F435" s="1862">
        <f>forbrug!N16</f>
        <v>7.73</v>
      </c>
      <c r="G435" s="1865">
        <f>forbrug!O16</f>
        <v>13.83</v>
      </c>
      <c r="H435" s="2036">
        <f t="shared" si="39"/>
        <v>0.32208333333333333</v>
      </c>
      <c r="I435" s="1843">
        <f t="shared" si="38"/>
        <v>1.7891332470892625</v>
      </c>
      <c r="J435" s="1806"/>
      <c r="K435" s="1842">
        <f t="shared" si="47"/>
        <v>108.67</v>
      </c>
      <c r="L435" s="2036">
        <f t="shared" si="45"/>
        <v>7.2446666666666664</v>
      </c>
      <c r="M435" s="1870">
        <f t="shared" si="44"/>
        <v>194.43461538461537</v>
      </c>
      <c r="N435" s="1865">
        <f t="shared" si="46"/>
        <v>12.962307692307691</v>
      </c>
      <c r="O435" s="1843"/>
      <c r="P435" s="1974"/>
      <c r="Q435" s="1184">
        <v>20</v>
      </c>
    </row>
    <row r="436" spans="1:17" ht="14.4">
      <c r="A436" s="1176"/>
      <c r="B436" s="1848" t="s">
        <v>1155</v>
      </c>
      <c r="C436" s="1846">
        <v>45032</v>
      </c>
      <c r="D436" s="1847">
        <v>16</v>
      </c>
      <c r="E436" s="1806"/>
      <c r="F436" s="1862">
        <f>forbrug!N17</f>
        <v>8.76</v>
      </c>
      <c r="G436" s="1865">
        <f>forbrug!O17</f>
        <v>16.12</v>
      </c>
      <c r="H436" s="2036">
        <f t="shared" si="39"/>
        <v>0.36499999999999999</v>
      </c>
      <c r="I436" s="1843">
        <f t="shared" si="38"/>
        <v>1.8401826484018267</v>
      </c>
      <c r="J436" s="1806"/>
      <c r="K436" s="1842">
        <f t="shared" si="47"/>
        <v>117.43</v>
      </c>
      <c r="L436" s="2036">
        <f t="shared" si="45"/>
        <v>7.3393750000000004</v>
      </c>
      <c r="M436" s="1870">
        <f t="shared" si="44"/>
        <v>207.39692307692306</v>
      </c>
      <c r="N436" s="1865">
        <f t="shared" si="46"/>
        <v>12.962307692307691</v>
      </c>
      <c r="O436" s="1843"/>
      <c r="P436" s="1974"/>
      <c r="Q436" s="1184"/>
    </row>
    <row r="437" spans="1:17" ht="14.4">
      <c r="A437" s="1176"/>
      <c r="B437" s="1848" t="s">
        <v>1154</v>
      </c>
      <c r="C437" s="1846">
        <v>45033</v>
      </c>
      <c r="D437" s="1847">
        <v>17</v>
      </c>
      <c r="E437" s="1806"/>
      <c r="F437" s="1862">
        <f>forbrug!N18</f>
        <v>6.28</v>
      </c>
      <c r="G437" s="1865">
        <f>forbrug!O18</f>
        <v>12.240000000000002</v>
      </c>
      <c r="H437" s="2036">
        <f t="shared" si="39"/>
        <v>0.26166666666666666</v>
      </c>
      <c r="I437" s="1843">
        <f t="shared" si="38"/>
        <v>1.9490445859872614</v>
      </c>
      <c r="J437" s="1806"/>
      <c r="K437" s="1842">
        <f t="shared" si="47"/>
        <v>123.71000000000001</v>
      </c>
      <c r="L437" s="2036">
        <f t="shared" si="45"/>
        <v>7.277058823529412</v>
      </c>
      <c r="M437" s="1870">
        <f t="shared" si="44"/>
        <v>220.35923076923075</v>
      </c>
      <c r="N437" s="1865">
        <f t="shared" si="46"/>
        <v>12.962307692307691</v>
      </c>
      <c r="O437" s="1843"/>
      <c r="P437" s="1974"/>
      <c r="Q437" s="1184"/>
    </row>
    <row r="438" spans="1:17" ht="14.4">
      <c r="A438" s="1176"/>
      <c r="B438" s="1848" t="s">
        <v>1153</v>
      </c>
      <c r="C438" s="1846">
        <v>45034</v>
      </c>
      <c r="D438" s="1847">
        <v>18</v>
      </c>
      <c r="E438" s="1806"/>
      <c r="F438" s="1862">
        <f>forbrug!N19</f>
        <v>5.4699999999999989</v>
      </c>
      <c r="G438" s="1865">
        <f>forbrug!O19</f>
        <v>11.530000000000001</v>
      </c>
      <c r="H438" s="2036">
        <f t="shared" si="39"/>
        <v>0.22791666666666663</v>
      </c>
      <c r="I438" s="1843">
        <f t="shared" si="38"/>
        <v>2.1078610603290682</v>
      </c>
      <c r="J438" s="1806"/>
      <c r="K438" s="1842">
        <f t="shared" si="47"/>
        <v>129.18</v>
      </c>
      <c r="L438" s="2036">
        <f t="shared" si="45"/>
        <v>7.1766666666666667</v>
      </c>
      <c r="M438" s="1870">
        <v>230.61</v>
      </c>
      <c r="N438" s="1865">
        <f t="shared" si="46"/>
        <v>12.811666666666667</v>
      </c>
      <c r="O438" s="1843"/>
      <c r="P438" s="1974"/>
      <c r="Q438" s="1184">
        <v>20</v>
      </c>
    </row>
    <row r="439" spans="1:17" ht="14.4">
      <c r="A439" s="1176"/>
      <c r="B439" s="1848" t="s">
        <v>1152</v>
      </c>
      <c r="C439" s="1846">
        <v>45035</v>
      </c>
      <c r="D439" s="1847">
        <v>19</v>
      </c>
      <c r="E439" s="1806"/>
      <c r="F439" s="1862">
        <f>forbrug!N20</f>
        <v>5.4699999999999989</v>
      </c>
      <c r="G439" s="1865">
        <f>forbrug!O20</f>
        <v>8.5499999999999989</v>
      </c>
      <c r="H439" s="2037">
        <f t="shared" si="39"/>
        <v>0.22791666666666663</v>
      </c>
      <c r="I439" s="1843">
        <f t="shared" si="38"/>
        <v>1.5630712979890311</v>
      </c>
      <c r="J439" s="1806"/>
      <c r="K439" s="1842">
        <f t="shared" si="47"/>
        <v>134.65</v>
      </c>
      <c r="L439" s="2037">
        <f t="shared" si="45"/>
        <v>7.0868421052631581</v>
      </c>
      <c r="M439" s="1870">
        <v>230.61</v>
      </c>
      <c r="N439" s="1865">
        <f t="shared" si="46"/>
        <v>12.137368421052633</v>
      </c>
      <c r="O439" s="1843"/>
      <c r="P439" s="1974"/>
      <c r="Q439" s="1184"/>
    </row>
    <row r="440" spans="1:17" ht="14.4">
      <c r="A440" s="1176"/>
      <c r="B440" s="1848" t="s">
        <v>1151</v>
      </c>
      <c r="C440" s="1846">
        <v>45036</v>
      </c>
      <c r="D440" s="1847">
        <v>20</v>
      </c>
      <c r="E440" s="1806"/>
      <c r="F440" s="1862">
        <f>forbrug!N21</f>
        <v>6.5500000000000007</v>
      </c>
      <c r="G440" s="1865">
        <f>forbrug!O21</f>
        <v>10.500000000000002</v>
      </c>
      <c r="H440" s="2037">
        <f t="shared" si="39"/>
        <v>0.2729166666666667</v>
      </c>
      <c r="I440" s="1843">
        <f t="shared" si="38"/>
        <v>1.6030534351145038</v>
      </c>
      <c r="J440" s="1806"/>
      <c r="K440" s="1842">
        <f t="shared" si="47"/>
        <v>141.20000000000002</v>
      </c>
      <c r="L440" s="2037">
        <f t="shared" si="45"/>
        <v>7.0600000000000005</v>
      </c>
      <c r="M440" s="1870">
        <f t="shared" si="44"/>
        <v>242.74736842105264</v>
      </c>
      <c r="N440" s="1865">
        <f t="shared" si="46"/>
        <v>12.137368421052631</v>
      </c>
      <c r="O440" s="1843"/>
      <c r="P440" s="1974"/>
      <c r="Q440" s="1184"/>
    </row>
    <row r="441" spans="1:17" ht="14.4">
      <c r="A441" s="1176"/>
      <c r="B441" s="1848" t="s">
        <v>1150</v>
      </c>
      <c r="C441" s="1846">
        <v>45037</v>
      </c>
      <c r="D441" s="1847">
        <v>21</v>
      </c>
      <c r="E441" s="1806"/>
      <c r="F441" s="1862">
        <f>forbrug!N22</f>
        <v>6.2100000000000009</v>
      </c>
      <c r="G441" s="1865">
        <f>forbrug!O22</f>
        <v>10.450000000000003</v>
      </c>
      <c r="H441" s="2037">
        <f t="shared" si="39"/>
        <v>0.25875000000000004</v>
      </c>
      <c r="I441" s="1843">
        <f t="shared" si="38"/>
        <v>1.6827697262479873</v>
      </c>
      <c r="J441" s="1806"/>
      <c r="K441" s="1842">
        <f t="shared" si="47"/>
        <v>147.41000000000003</v>
      </c>
      <c r="L441" s="2037">
        <f t="shared" si="45"/>
        <v>7.0195238095238111</v>
      </c>
      <c r="M441" s="1870">
        <v>251.37</v>
      </c>
      <c r="N441" s="1865">
        <f t="shared" si="46"/>
        <v>11.97</v>
      </c>
      <c r="O441" s="1843"/>
      <c r="P441" s="1974"/>
      <c r="Q441" s="1184">
        <v>20</v>
      </c>
    </row>
    <row r="442" spans="1:17" ht="14.4">
      <c r="A442" s="1176"/>
      <c r="B442" s="1848" t="s">
        <v>1149</v>
      </c>
      <c r="C442" s="1846">
        <v>45038</v>
      </c>
      <c r="D442" s="1847">
        <v>22</v>
      </c>
      <c r="E442" s="1806"/>
      <c r="F442" s="1862">
        <f>forbrug!N23</f>
        <v>8.240000000000002</v>
      </c>
      <c r="G442" s="1865">
        <f>forbrug!O23</f>
        <v>12.8</v>
      </c>
      <c r="H442" s="2037">
        <f t="shared" si="39"/>
        <v>0.34333333333333343</v>
      </c>
      <c r="I442" s="1843">
        <f t="shared" si="38"/>
        <v>1.5533980582524269</v>
      </c>
      <c r="J442" s="1806"/>
      <c r="K442" s="1842">
        <f t="shared" si="47"/>
        <v>155.65000000000003</v>
      </c>
      <c r="L442" s="2037">
        <f t="shared" si="45"/>
        <v>7.075000000000002</v>
      </c>
      <c r="M442" s="1870">
        <f t="shared" si="44"/>
        <v>263.34000000000003</v>
      </c>
      <c r="N442" s="1865">
        <f t="shared" si="46"/>
        <v>11.97</v>
      </c>
      <c r="O442" s="1843"/>
      <c r="P442" s="1974"/>
      <c r="Q442" s="1184"/>
    </row>
    <row r="443" spans="1:17" ht="14.4">
      <c r="A443" s="1176"/>
      <c r="B443" s="1848" t="s">
        <v>1155</v>
      </c>
      <c r="C443" s="1846">
        <v>45039</v>
      </c>
      <c r="D443" s="1847">
        <v>23</v>
      </c>
      <c r="E443" s="1806"/>
      <c r="F443" s="1862">
        <f>forbrug!N24</f>
        <v>6.9300000000000006</v>
      </c>
      <c r="G443" s="1865">
        <f>forbrug!O24</f>
        <v>11.330000000000002</v>
      </c>
      <c r="H443" s="2037">
        <f t="shared" si="39"/>
        <v>0.28875000000000001</v>
      </c>
      <c r="I443" s="1843">
        <f t="shared" si="38"/>
        <v>1.6349206349206351</v>
      </c>
      <c r="J443" s="1806"/>
      <c r="K443" s="1842">
        <f t="shared" si="47"/>
        <v>162.58000000000004</v>
      </c>
      <c r="L443" s="2037">
        <f t="shared" si="45"/>
        <v>7.0686956521739148</v>
      </c>
      <c r="M443" s="1870">
        <f t="shared" si="44"/>
        <v>275.31000000000006</v>
      </c>
      <c r="N443" s="1865">
        <f t="shared" si="46"/>
        <v>11.970000000000002</v>
      </c>
      <c r="O443" s="1843"/>
      <c r="P443" s="1974"/>
      <c r="Q443" s="1184"/>
    </row>
    <row r="444" spans="1:17" ht="14.4">
      <c r="A444" s="1176"/>
      <c r="B444" s="1848" t="s">
        <v>1154</v>
      </c>
      <c r="C444" s="1846">
        <v>45040</v>
      </c>
      <c r="D444" s="1847">
        <v>24</v>
      </c>
      <c r="E444" s="1806"/>
      <c r="F444" s="1862">
        <f>forbrug!N25</f>
        <v>7.2999999999999989</v>
      </c>
      <c r="G444" s="1865">
        <f>forbrug!O25</f>
        <v>13.3</v>
      </c>
      <c r="H444" s="2037">
        <f t="shared" si="39"/>
        <v>0.30416666666666664</v>
      </c>
      <c r="I444" s="1843">
        <f t="shared" si="38"/>
        <v>1.8219178082191785</v>
      </c>
      <c r="J444" s="1842">
        <f>K443+F444</f>
        <v>169.88000000000005</v>
      </c>
      <c r="K444" s="1863">
        <f>J444/D444</f>
        <v>7.0783333333333358</v>
      </c>
      <c r="L444" s="2038"/>
      <c r="M444" s="1865" t="e">
        <f>#REF!/D444</f>
        <v>#REF!</v>
      </c>
      <c r="N444" s="1843"/>
      <c r="O444" s="1222">
        <v>20</v>
      </c>
      <c r="P444" s="1865"/>
      <c r="Q444" s="1176"/>
    </row>
    <row r="445" spans="1:17" ht="14.4">
      <c r="A445" s="1176"/>
      <c r="B445" s="1848" t="s">
        <v>1153</v>
      </c>
      <c r="C445" s="1846">
        <v>45041</v>
      </c>
      <c r="D445" s="1847">
        <v>25</v>
      </c>
      <c r="E445" s="1806"/>
      <c r="F445" s="1862">
        <f>forbrug!N26</f>
        <v>7.12</v>
      </c>
      <c r="G445" s="1865">
        <f>forbrug!O26</f>
        <v>9.870000000000001</v>
      </c>
      <c r="H445" s="2035">
        <f t="shared" si="39"/>
        <v>0.29666666666666669</v>
      </c>
      <c r="I445" s="1843">
        <f t="shared" si="38"/>
        <v>1.3862359550561798</v>
      </c>
      <c r="J445" s="1806"/>
      <c r="K445" s="1842">
        <f>J444+F445</f>
        <v>177.00000000000006</v>
      </c>
      <c r="L445" s="2035">
        <f t="shared" ref="L445:L450" si="48">K445/D445</f>
        <v>7.0800000000000018</v>
      </c>
      <c r="M445" s="1870" t="e">
        <f>M444+#REF!</f>
        <v>#REF!</v>
      </c>
      <c r="N445" s="1865" t="e">
        <f t="shared" ref="N445:N450" si="49">M445/D445</f>
        <v>#REF!</v>
      </c>
      <c r="O445" s="1843"/>
      <c r="P445" s="1974"/>
      <c r="Q445" s="1184"/>
    </row>
    <row r="446" spans="1:17" ht="14.4">
      <c r="A446" s="1176"/>
      <c r="B446" s="1848" t="s">
        <v>1152</v>
      </c>
      <c r="C446" s="1846">
        <v>45042</v>
      </c>
      <c r="D446" s="1847">
        <v>26</v>
      </c>
      <c r="E446" s="1806"/>
      <c r="F446" s="1862">
        <f>forbrug!N27</f>
        <v>8.9</v>
      </c>
      <c r="G446" s="1865">
        <f>forbrug!O27</f>
        <v>17.61</v>
      </c>
      <c r="H446" s="2035">
        <f t="shared" si="39"/>
        <v>0.37083333333333335</v>
      </c>
      <c r="I446" s="1843">
        <f t="shared" si="38"/>
        <v>1.9786516853932583</v>
      </c>
      <c r="J446" s="1806"/>
      <c r="K446" s="1842">
        <f>K445+F446</f>
        <v>185.90000000000006</v>
      </c>
      <c r="L446" s="2035">
        <f t="shared" si="48"/>
        <v>7.1500000000000021</v>
      </c>
      <c r="M446" s="1870" t="e">
        <f t="shared" si="44"/>
        <v>#REF!</v>
      </c>
      <c r="N446" s="1865" t="e">
        <f t="shared" si="49"/>
        <v>#REF!</v>
      </c>
      <c r="O446" s="1843"/>
      <c r="P446" s="1974"/>
      <c r="Q446" s="1184"/>
    </row>
    <row r="447" spans="1:17" ht="14.4">
      <c r="A447" s="1176"/>
      <c r="B447" s="1848" t="s">
        <v>1151</v>
      </c>
      <c r="C447" s="1846">
        <v>45043</v>
      </c>
      <c r="D447" s="1847">
        <v>27</v>
      </c>
      <c r="E447" s="1806"/>
      <c r="F447" s="1862">
        <f>forbrug!N28</f>
        <v>6.9499999999999993</v>
      </c>
      <c r="G447" s="1865">
        <f>forbrug!O28</f>
        <v>12.200000000000005</v>
      </c>
      <c r="H447" s="2035">
        <f t="shared" si="39"/>
        <v>0.2895833333333333</v>
      </c>
      <c r="I447" s="1843">
        <f t="shared" si="38"/>
        <v>1.7553956834532383</v>
      </c>
      <c r="J447" s="1806"/>
      <c r="K447" s="1842">
        <f>K446+F447</f>
        <v>192.85000000000005</v>
      </c>
      <c r="L447" s="2035">
        <f t="shared" si="48"/>
        <v>7.1425925925925942</v>
      </c>
      <c r="M447" s="1870" t="e">
        <f t="shared" si="44"/>
        <v>#REF!</v>
      </c>
      <c r="N447" s="1865" t="e">
        <f t="shared" si="49"/>
        <v>#REF!</v>
      </c>
      <c r="O447" s="1843"/>
      <c r="P447" s="1974"/>
      <c r="Q447" s="1184">
        <v>20</v>
      </c>
    </row>
    <row r="448" spans="1:17" ht="14.4">
      <c r="A448" s="1176"/>
      <c r="B448" s="1848" t="s">
        <v>1150</v>
      </c>
      <c r="C448" s="1846">
        <v>45044</v>
      </c>
      <c r="D448" s="1847">
        <v>28</v>
      </c>
      <c r="E448" s="1806"/>
      <c r="F448" s="1862">
        <f>forbrug!N29</f>
        <v>5.57</v>
      </c>
      <c r="G448" s="1865">
        <f>forbrug!O29</f>
        <v>10.170000000000002</v>
      </c>
      <c r="H448" s="2035">
        <f t="shared" si="39"/>
        <v>0.23208333333333334</v>
      </c>
      <c r="I448" s="1843">
        <f t="shared" si="38"/>
        <v>1.8258527827648117</v>
      </c>
      <c r="J448" s="1806"/>
      <c r="K448" s="1842">
        <f>K447+F448</f>
        <v>198.42000000000004</v>
      </c>
      <c r="L448" s="2035">
        <f t="shared" si="48"/>
        <v>7.0864285714285726</v>
      </c>
      <c r="M448" s="1870" t="e">
        <f t="shared" si="44"/>
        <v>#REF!</v>
      </c>
      <c r="N448" s="1865" t="e">
        <f t="shared" si="49"/>
        <v>#REF!</v>
      </c>
      <c r="O448" s="1843"/>
      <c r="P448" s="1974"/>
      <c r="Q448" s="1184"/>
    </row>
    <row r="449" spans="1:17" ht="14.4">
      <c r="A449" s="1176"/>
      <c r="B449" s="1848" t="s">
        <v>1149</v>
      </c>
      <c r="C449" s="1846">
        <v>45045</v>
      </c>
      <c r="D449" s="1847">
        <v>29</v>
      </c>
      <c r="E449" s="1806"/>
      <c r="F449" s="1862">
        <f>forbrug!N30</f>
        <v>5.25</v>
      </c>
      <c r="G449" s="1865">
        <f>forbrug!O30</f>
        <v>8.98</v>
      </c>
      <c r="H449" s="2035">
        <f t="shared" si="39"/>
        <v>0.21875</v>
      </c>
      <c r="I449" s="1843">
        <f t="shared" si="38"/>
        <v>1.7104761904761905</v>
      </c>
      <c r="J449" s="1806"/>
      <c r="K449" s="1842">
        <f>K448+F449</f>
        <v>203.67000000000004</v>
      </c>
      <c r="L449" s="2035">
        <f t="shared" si="48"/>
        <v>7.0231034482758634</v>
      </c>
      <c r="M449" s="1870" t="e">
        <f t="shared" si="44"/>
        <v>#REF!</v>
      </c>
      <c r="N449" s="1865" t="e">
        <f t="shared" si="49"/>
        <v>#REF!</v>
      </c>
      <c r="O449" s="1843"/>
      <c r="P449" s="1974"/>
      <c r="Q449" s="1184"/>
    </row>
    <row r="450" spans="1:17" ht="14.4">
      <c r="A450" s="1176"/>
      <c r="B450" s="1848" t="s">
        <v>1155</v>
      </c>
      <c r="C450" s="1846">
        <v>45046</v>
      </c>
      <c r="D450" s="1847">
        <v>30</v>
      </c>
      <c r="E450" s="1806"/>
      <c r="F450" s="1862">
        <f>forbrug!N31</f>
        <v>4.9399999999999995</v>
      </c>
      <c r="G450" s="1865">
        <f>forbrug!O31</f>
        <v>6.57</v>
      </c>
      <c r="H450" s="2035">
        <f t="shared" si="39"/>
        <v>0.20583333333333331</v>
      </c>
      <c r="I450" s="1843">
        <f t="shared" si="38"/>
        <v>1.3299595141700407</v>
      </c>
      <c r="J450" s="1806"/>
      <c r="K450" s="1842">
        <v>205</v>
      </c>
      <c r="L450" s="2035">
        <f t="shared" si="48"/>
        <v>6.833333333333333</v>
      </c>
      <c r="M450" s="1870">
        <v>347.53</v>
      </c>
      <c r="N450" s="1865">
        <f t="shared" si="49"/>
        <v>11.584333333333332</v>
      </c>
      <c r="O450" s="1843"/>
      <c r="P450" s="1974"/>
      <c r="Q450" s="1184"/>
    </row>
    <row r="451" spans="1:17" s="1816" customFormat="1" ht="5.25" customHeight="1" thickBot="1">
      <c r="A451" s="1818"/>
      <c r="H451" s="2027"/>
      <c r="I451" s="2028"/>
      <c r="L451" s="2027"/>
      <c r="O451" s="2027"/>
    </row>
    <row r="452" spans="1:17" ht="14.4">
      <c r="A452" s="1176"/>
      <c r="B452" s="1829"/>
      <c r="C452" s="1950" t="s">
        <v>1471</v>
      </c>
      <c r="D452" s="1831">
        <v>31</v>
      </c>
      <c r="E452" s="1832"/>
      <c r="F452" s="1837">
        <f>AVERAGE(F453:F482)</f>
        <v>8.4866666666666664</v>
      </c>
      <c r="G452" s="1834">
        <f>AVERAGE(G453:G482)</f>
        <v>12.305666666666662</v>
      </c>
      <c r="H452" s="2029">
        <f>AVERAGE(H453:H482)</f>
        <v>0.3536111111111111</v>
      </c>
      <c r="I452" s="2030">
        <f t="shared" ref="I452:I483" si="50">G452/F452</f>
        <v>1.4499999999999995</v>
      </c>
      <c r="J452" s="1835"/>
      <c r="K452" s="1833" t="e">
        <f ca="1">SUM(#REF!)/$D$485</f>
        <v>#REF!</v>
      </c>
      <c r="L452" s="2052" t="e">
        <f ca="1">SUM(#REF!)/$D$485</f>
        <v>#REF!</v>
      </c>
      <c r="M452" s="1836"/>
      <c r="N452" s="1832"/>
      <c r="O452" s="2029"/>
      <c r="P452" s="1836"/>
      <c r="Q452" s="1837"/>
    </row>
    <row r="453" spans="1:17" ht="14.4">
      <c r="A453" s="1176"/>
      <c r="B453" s="1845" t="s">
        <v>1154</v>
      </c>
      <c r="C453" s="1846">
        <v>45047</v>
      </c>
      <c r="D453" s="1847">
        <v>1</v>
      </c>
      <c r="E453" s="1811"/>
      <c r="F453" s="1862">
        <f>forbrug!S2+forbrug!X2</f>
        <v>6.1099999999999994</v>
      </c>
      <c r="G453" s="1865">
        <f>forbrug!T2+forbrug!Y2</f>
        <v>8.7200000000000006</v>
      </c>
      <c r="H453" s="2035">
        <f t="shared" ref="H453:H483" si="51">F453/24</f>
        <v>0.25458333333333333</v>
      </c>
      <c r="I453" s="1843">
        <f t="shared" si="50"/>
        <v>1.4271685761047466</v>
      </c>
      <c r="J453" s="1811"/>
      <c r="K453" s="1842"/>
      <c r="L453" s="2035">
        <f t="shared" ref="L453:L465" si="52">K453/D458</f>
        <v>0</v>
      </c>
      <c r="M453" s="1811"/>
      <c r="N453" s="1870"/>
      <c r="O453" s="2033">
        <f t="shared" ref="O453:O465" si="53">N453/D458</f>
        <v>0</v>
      </c>
      <c r="P453" s="1811"/>
      <c r="Q453" s="1843"/>
    </row>
    <row r="454" spans="1:17" ht="14.4">
      <c r="A454" s="1176"/>
      <c r="B454" s="1848" t="s">
        <v>1153</v>
      </c>
      <c r="C454" s="1846">
        <v>45048</v>
      </c>
      <c r="D454" s="1847">
        <v>2</v>
      </c>
      <c r="E454" s="1806"/>
      <c r="F454" s="1862">
        <f>forbrug!S3+forbrug!X3</f>
        <v>6.7800000000000011</v>
      </c>
      <c r="G454" s="1865">
        <f>forbrug!T3+forbrug!Y3</f>
        <v>11.629999999999999</v>
      </c>
      <c r="H454" s="2035">
        <f t="shared" si="51"/>
        <v>0.28250000000000003</v>
      </c>
      <c r="I454" s="1843">
        <f t="shared" si="50"/>
        <v>1.7153392330383477</v>
      </c>
      <c r="J454" s="1806"/>
      <c r="K454" s="1842"/>
      <c r="L454" s="2035">
        <f t="shared" si="52"/>
        <v>0</v>
      </c>
      <c r="M454" s="1806"/>
      <c r="N454" s="1870"/>
      <c r="O454" s="2033">
        <f t="shared" si="53"/>
        <v>0</v>
      </c>
      <c r="P454" s="1806"/>
      <c r="Q454" s="1843"/>
    </row>
    <row r="455" spans="1:17" ht="14.4">
      <c r="A455" s="1176"/>
      <c r="B455" s="1848" t="s">
        <v>1152</v>
      </c>
      <c r="C455" s="1846">
        <v>45049</v>
      </c>
      <c r="D455" s="1847">
        <v>3</v>
      </c>
      <c r="E455" s="1806"/>
      <c r="F455" s="1862">
        <f>forbrug!S4+forbrug!X4</f>
        <v>7.8900000000000015</v>
      </c>
      <c r="G455" s="1865">
        <f>forbrug!T4+forbrug!Y4</f>
        <v>13.120000000000001</v>
      </c>
      <c r="H455" s="2035">
        <f t="shared" si="51"/>
        <v>0.32875000000000004</v>
      </c>
      <c r="I455" s="1843">
        <f t="shared" si="50"/>
        <v>1.6628643852978451</v>
      </c>
      <c r="J455" s="1806"/>
      <c r="K455" s="1842">
        <v>20.78</v>
      </c>
      <c r="L455" s="2035">
        <f t="shared" si="52"/>
        <v>2.5975000000000001</v>
      </c>
      <c r="M455" s="1806"/>
      <c r="N455" s="1870">
        <v>33.89</v>
      </c>
      <c r="O455" s="2033">
        <f t="shared" si="53"/>
        <v>4.2362500000000001</v>
      </c>
      <c r="P455" s="1806"/>
      <c r="Q455" s="1843"/>
    </row>
    <row r="456" spans="1:17" ht="14.4">
      <c r="A456" s="1176"/>
      <c r="B456" s="1848" t="s">
        <v>1151</v>
      </c>
      <c r="C456" s="1846">
        <v>45050</v>
      </c>
      <c r="D456" s="1847">
        <v>4</v>
      </c>
      <c r="E456" s="1806"/>
      <c r="F456" s="1862">
        <f>forbrug!S5+forbrug!X5</f>
        <v>8.1</v>
      </c>
      <c r="G456" s="1865">
        <f>forbrug!T5+forbrug!Y5</f>
        <v>12.75</v>
      </c>
      <c r="H456" s="2035">
        <f t="shared" si="51"/>
        <v>0.33749999999999997</v>
      </c>
      <c r="I456" s="1843">
        <f t="shared" si="50"/>
        <v>1.5740740740740742</v>
      </c>
      <c r="J456" s="1806"/>
      <c r="K456" s="1842">
        <v>28.88</v>
      </c>
      <c r="L456" s="2035">
        <f t="shared" si="52"/>
        <v>3.2088888888888887</v>
      </c>
      <c r="M456" s="1806"/>
      <c r="N456" s="1870">
        <v>46.62</v>
      </c>
      <c r="O456" s="2033">
        <f t="shared" si="53"/>
        <v>5.18</v>
      </c>
      <c r="P456" s="1806"/>
      <c r="Q456" s="1843"/>
    </row>
    <row r="457" spans="1:17" ht="14.4">
      <c r="A457" s="1176"/>
      <c r="B457" s="1848" t="s">
        <v>1150</v>
      </c>
      <c r="C457" s="1846">
        <v>45051</v>
      </c>
      <c r="D457" s="1847">
        <v>5</v>
      </c>
      <c r="E457" s="1806"/>
      <c r="F457" s="1862">
        <f>forbrug!S6+forbrug!X6</f>
        <v>8.3699999999999992</v>
      </c>
      <c r="G457" s="1865">
        <f>forbrug!T6+forbrug!Y6</f>
        <v>11.880000000000003</v>
      </c>
      <c r="H457" s="2035">
        <f t="shared" si="51"/>
        <v>0.34874999999999995</v>
      </c>
      <c r="I457" s="1843">
        <f t="shared" si="50"/>
        <v>1.4193548387096779</v>
      </c>
      <c r="J457" s="1806"/>
      <c r="K457" s="1842"/>
      <c r="L457" s="2035">
        <f t="shared" si="52"/>
        <v>0</v>
      </c>
      <c r="M457" s="1806"/>
      <c r="N457" s="1870"/>
      <c r="O457" s="2033">
        <f t="shared" si="53"/>
        <v>0</v>
      </c>
      <c r="P457" s="1806"/>
      <c r="Q457" s="1843"/>
    </row>
    <row r="458" spans="1:17" ht="14.4">
      <c r="A458" s="1176"/>
      <c r="B458" s="1848" t="s">
        <v>1149</v>
      </c>
      <c r="C458" s="1846">
        <v>45052</v>
      </c>
      <c r="D458" s="1847">
        <v>6</v>
      </c>
      <c r="E458" s="1806"/>
      <c r="F458" s="1862">
        <f>forbrug!S7+forbrug!X7</f>
        <v>8.3699999999999992</v>
      </c>
      <c r="G458" s="1865">
        <f>forbrug!T7+forbrug!Y7</f>
        <v>11.880000000000003</v>
      </c>
      <c r="H458" s="2035">
        <f t="shared" si="51"/>
        <v>0.34874999999999995</v>
      </c>
      <c r="I458" s="1843">
        <f t="shared" si="50"/>
        <v>1.4193548387096779</v>
      </c>
      <c r="J458" s="1806"/>
      <c r="K458" s="1842"/>
      <c r="L458" s="2035">
        <f t="shared" si="52"/>
        <v>0</v>
      </c>
      <c r="M458" s="1806"/>
      <c r="N458" s="1870"/>
      <c r="O458" s="2033">
        <f t="shared" si="53"/>
        <v>0</v>
      </c>
      <c r="P458" s="1806"/>
      <c r="Q458" s="1843"/>
    </row>
    <row r="459" spans="1:17" ht="14.4">
      <c r="A459" s="1176"/>
      <c r="B459" s="1848" t="s">
        <v>1155</v>
      </c>
      <c r="C459" s="1846">
        <v>45053</v>
      </c>
      <c r="D459" s="1847">
        <v>7</v>
      </c>
      <c r="E459" s="1806"/>
      <c r="F459" s="1862">
        <f>forbrug!S8+forbrug!X8</f>
        <v>7.93</v>
      </c>
      <c r="G459" s="1865">
        <f>forbrug!T8+forbrug!Y8</f>
        <v>10.879999999999999</v>
      </c>
      <c r="H459" s="2035">
        <f t="shared" si="51"/>
        <v>0.33041666666666664</v>
      </c>
      <c r="I459" s="1843">
        <f t="shared" si="50"/>
        <v>1.3720050441361915</v>
      </c>
      <c r="J459" s="1806"/>
      <c r="K459" s="1842"/>
      <c r="L459" s="2035">
        <f t="shared" si="52"/>
        <v>0</v>
      </c>
      <c r="M459" s="1806"/>
      <c r="N459" s="1870"/>
      <c r="O459" s="2033">
        <f t="shared" si="53"/>
        <v>0</v>
      </c>
      <c r="P459" s="1806"/>
      <c r="Q459" s="1843"/>
    </row>
    <row r="460" spans="1:17" ht="14.4">
      <c r="A460" s="1176"/>
      <c r="B460" s="1848" t="s">
        <v>1154</v>
      </c>
      <c r="C460" s="1846">
        <v>45054</v>
      </c>
      <c r="D460" s="1847">
        <v>8</v>
      </c>
      <c r="E460" s="1806"/>
      <c r="F460" s="1862">
        <f>forbrug!S9+forbrug!X9</f>
        <v>7.4599999999999991</v>
      </c>
      <c r="G460" s="1865">
        <f>forbrug!T9+forbrug!Y9</f>
        <v>11.86</v>
      </c>
      <c r="H460" s="2035">
        <f t="shared" si="51"/>
        <v>0.31083333333333329</v>
      </c>
      <c r="I460" s="1843">
        <f t="shared" si="50"/>
        <v>1.5898123324396785</v>
      </c>
      <c r="J460" s="1806"/>
      <c r="K460" s="1842"/>
      <c r="L460" s="2035">
        <f t="shared" si="52"/>
        <v>0</v>
      </c>
      <c r="M460" s="1806"/>
      <c r="N460" s="1870"/>
      <c r="O460" s="2033">
        <f t="shared" si="53"/>
        <v>0</v>
      </c>
      <c r="P460" s="1806"/>
      <c r="Q460" s="1843"/>
    </row>
    <row r="461" spans="1:17" ht="14.4">
      <c r="A461" s="1176"/>
      <c r="B461" s="1848" t="s">
        <v>1153</v>
      </c>
      <c r="C461" s="1846">
        <v>45055</v>
      </c>
      <c r="D461" s="1847">
        <v>9</v>
      </c>
      <c r="E461" s="1806"/>
      <c r="F461" s="1862">
        <f>forbrug!S10+forbrug!X10</f>
        <v>6.5900000000000007</v>
      </c>
      <c r="G461" s="1865">
        <f>forbrug!T10+forbrug!Y10</f>
        <v>10.23</v>
      </c>
      <c r="H461" s="2036">
        <f t="shared" si="51"/>
        <v>0.27458333333333335</v>
      </c>
      <c r="I461" s="1843">
        <f t="shared" si="50"/>
        <v>1.5523520485584217</v>
      </c>
      <c r="J461" s="1806"/>
      <c r="K461" s="1842"/>
      <c r="L461" s="2036">
        <f t="shared" si="52"/>
        <v>0</v>
      </c>
      <c r="M461" s="1806"/>
      <c r="N461" s="1870">
        <v>20.11</v>
      </c>
      <c r="O461" s="2033">
        <f t="shared" si="53"/>
        <v>1.4364285714285714</v>
      </c>
      <c r="P461" s="1806"/>
      <c r="Q461" s="1843"/>
    </row>
    <row r="462" spans="1:17" ht="14.4">
      <c r="A462" s="1176"/>
      <c r="B462" s="1848" t="s">
        <v>1152</v>
      </c>
      <c r="C462" s="1846">
        <v>45056</v>
      </c>
      <c r="D462" s="1847">
        <v>10</v>
      </c>
      <c r="E462" s="1806"/>
      <c r="F462" s="1862">
        <f>forbrug!X11</f>
        <v>6.14</v>
      </c>
      <c r="G462" s="1865">
        <f>forbrug!Y11</f>
        <v>10.530000000000003</v>
      </c>
      <c r="H462" s="2036">
        <f t="shared" si="51"/>
        <v>0.2558333333333333</v>
      </c>
      <c r="I462" s="1843">
        <f t="shared" si="50"/>
        <v>1.7149837133550494</v>
      </c>
      <c r="J462" s="1806"/>
      <c r="K462" s="1842"/>
      <c r="L462" s="2036">
        <f t="shared" si="52"/>
        <v>0</v>
      </c>
      <c r="M462" s="1806"/>
      <c r="N462" s="1870">
        <v>30.64</v>
      </c>
      <c r="O462" s="2033">
        <f t="shared" si="53"/>
        <v>2.0426666666666669</v>
      </c>
      <c r="P462" s="1806"/>
      <c r="Q462" s="1843"/>
    </row>
    <row r="463" spans="1:17" ht="14.4">
      <c r="A463" s="1176"/>
      <c r="B463" s="1848" t="s">
        <v>1151</v>
      </c>
      <c r="C463" s="1846">
        <v>45057</v>
      </c>
      <c r="D463" s="1847">
        <v>11</v>
      </c>
      <c r="E463" s="1806"/>
      <c r="F463" s="1862">
        <f>forbrug!X12</f>
        <v>7.08</v>
      </c>
      <c r="G463" s="1865">
        <f>forbrug!Y12</f>
        <v>13.71</v>
      </c>
      <c r="H463" s="2036">
        <f t="shared" si="51"/>
        <v>0.29499999999999998</v>
      </c>
      <c r="I463" s="1843">
        <f t="shared" si="50"/>
        <v>1.9364406779661019</v>
      </c>
      <c r="J463" s="1806"/>
      <c r="K463" s="1842"/>
      <c r="L463" s="2036">
        <f t="shared" si="52"/>
        <v>0</v>
      </c>
      <c r="M463" s="1806"/>
      <c r="N463" s="1870"/>
      <c r="O463" s="2033">
        <f t="shared" si="53"/>
        <v>0</v>
      </c>
      <c r="P463" s="1806"/>
      <c r="Q463" s="1843"/>
    </row>
    <row r="464" spans="1:17" ht="14.4">
      <c r="A464" s="1176"/>
      <c r="B464" s="1848" t="s">
        <v>1150</v>
      </c>
      <c r="C464" s="1846">
        <v>45058</v>
      </c>
      <c r="D464" s="1847">
        <v>12</v>
      </c>
      <c r="E464" s="1806"/>
      <c r="F464" s="1862">
        <f>forbrug!X13</f>
        <v>7.35</v>
      </c>
      <c r="G464" s="1865">
        <f>forbrug!Y13</f>
        <v>12.81</v>
      </c>
      <c r="H464" s="2036">
        <f t="shared" si="51"/>
        <v>0.30624999999999997</v>
      </c>
      <c r="I464" s="1843">
        <f t="shared" si="50"/>
        <v>1.7428571428571431</v>
      </c>
      <c r="J464" s="1806"/>
      <c r="K464" s="1842"/>
      <c r="L464" s="2036">
        <f t="shared" si="52"/>
        <v>0</v>
      </c>
      <c r="M464" s="1806"/>
      <c r="N464" s="1870"/>
      <c r="O464" s="2033">
        <f t="shared" si="53"/>
        <v>0</v>
      </c>
      <c r="P464" s="1806"/>
      <c r="Q464" s="1843"/>
    </row>
    <row r="465" spans="1:17" ht="14.4">
      <c r="A465" s="1176"/>
      <c r="B465" s="1848" t="s">
        <v>1149</v>
      </c>
      <c r="C465" s="1846">
        <v>45059</v>
      </c>
      <c r="D465" s="1847">
        <v>13</v>
      </c>
      <c r="E465" s="1806"/>
      <c r="F465" s="1862">
        <f>forbrug!X14</f>
        <v>7.58</v>
      </c>
      <c r="G465" s="1865">
        <f>forbrug!Y14</f>
        <v>11.260000000000002</v>
      </c>
      <c r="H465" s="2036">
        <f t="shared" si="51"/>
        <v>0.31583333333333335</v>
      </c>
      <c r="I465" s="1843">
        <f t="shared" si="50"/>
        <v>1.4854881266490767</v>
      </c>
      <c r="J465" s="1806"/>
      <c r="K465" s="1842"/>
      <c r="L465" s="2036">
        <f t="shared" si="52"/>
        <v>0</v>
      </c>
      <c r="M465" s="1806"/>
      <c r="N465" s="1870"/>
      <c r="O465" s="2033">
        <f t="shared" si="53"/>
        <v>0</v>
      </c>
      <c r="P465" s="1806"/>
      <c r="Q465" s="1843"/>
    </row>
    <row r="466" spans="1:17" ht="14.4">
      <c r="A466" s="1176"/>
      <c r="B466" s="1848" t="s">
        <v>1155</v>
      </c>
      <c r="C466" s="1846">
        <v>45060</v>
      </c>
      <c r="D466" s="1847">
        <v>14</v>
      </c>
      <c r="E466" s="1806"/>
      <c r="F466" s="1862">
        <f>forbrug!X15</f>
        <v>7.6999999999999993</v>
      </c>
      <c r="G466" s="1865">
        <f>forbrug!Y15</f>
        <v>11.119999999999997</v>
      </c>
      <c r="H466" s="2036">
        <f t="shared" si="51"/>
        <v>0.3208333333333333</v>
      </c>
      <c r="I466" s="1843">
        <f t="shared" si="50"/>
        <v>1.444155844155844</v>
      </c>
      <c r="J466" s="1806"/>
      <c r="K466" s="1842">
        <v>49</v>
      </c>
      <c r="L466" s="2036">
        <f t="shared" ref="L466:L483" si="54">K466/D466</f>
        <v>3.5</v>
      </c>
      <c r="M466" s="1806"/>
      <c r="N466" s="1870">
        <v>79.510000000000005</v>
      </c>
      <c r="O466" s="2033">
        <f t="shared" ref="O466:O483" si="55">N466/D466</f>
        <v>5.6792857142857143</v>
      </c>
      <c r="P466" s="1806"/>
      <c r="Q466" s="1843">
        <f>O466*30</f>
        <v>170.37857142857143</v>
      </c>
    </row>
    <row r="467" spans="1:17" ht="14.4">
      <c r="A467" s="1176"/>
      <c r="B467" s="1848" t="s">
        <v>1154</v>
      </c>
      <c r="C467" s="1846">
        <v>45061</v>
      </c>
      <c r="D467" s="1847">
        <v>15</v>
      </c>
      <c r="E467" s="1806"/>
      <c r="F467" s="1862">
        <f>forbrug!X16</f>
        <v>7.839999999999999</v>
      </c>
      <c r="G467" s="1865">
        <f>forbrug!Y16</f>
        <v>14.7</v>
      </c>
      <c r="H467" s="2036">
        <f t="shared" si="51"/>
        <v>0.32666666666666661</v>
      </c>
      <c r="I467" s="1843">
        <f t="shared" si="50"/>
        <v>1.8750000000000002</v>
      </c>
      <c r="J467" s="1806"/>
      <c r="K467" s="1842">
        <v>56.84</v>
      </c>
      <c r="L467" s="2036">
        <f t="shared" si="54"/>
        <v>3.7893333333333334</v>
      </c>
      <c r="M467" s="1806"/>
      <c r="N467" s="1870">
        <v>94.19</v>
      </c>
      <c r="O467" s="2033">
        <f t="shared" si="55"/>
        <v>6.2793333333333328</v>
      </c>
      <c r="P467" s="1806"/>
      <c r="Q467" s="1843"/>
    </row>
    <row r="468" spans="1:17" ht="14.4">
      <c r="A468" s="1176"/>
      <c r="B468" s="1848" t="s">
        <v>1153</v>
      </c>
      <c r="C468" s="1846">
        <v>45062</v>
      </c>
      <c r="D468" s="1847">
        <v>16</v>
      </c>
      <c r="E468" s="1806"/>
      <c r="F468" s="1862">
        <f>forbrug!X17</f>
        <v>7.6</v>
      </c>
      <c r="G468" s="1865">
        <f>forbrug!Y17</f>
        <v>10.160000000000002</v>
      </c>
      <c r="H468" s="2036">
        <f t="shared" si="51"/>
        <v>0.31666666666666665</v>
      </c>
      <c r="I468" s="1843">
        <f t="shared" si="50"/>
        <v>1.3368421052631583</v>
      </c>
      <c r="J468" s="1806"/>
      <c r="K468" s="1842"/>
      <c r="L468" s="2036">
        <f t="shared" si="54"/>
        <v>0</v>
      </c>
      <c r="M468" s="1806"/>
      <c r="N468" s="1870"/>
      <c r="O468" s="2033">
        <f t="shared" si="55"/>
        <v>0</v>
      </c>
      <c r="P468" s="1806"/>
      <c r="Q468" s="1843"/>
    </row>
    <row r="469" spans="1:17" ht="14.4">
      <c r="A469" s="1176"/>
      <c r="B469" s="1848" t="s">
        <v>1152</v>
      </c>
      <c r="C469" s="1846">
        <v>45063</v>
      </c>
      <c r="D469" s="1847">
        <v>17</v>
      </c>
      <c r="E469" s="1806"/>
      <c r="F469" s="1862">
        <f>forbrug!X18</f>
        <v>8.14</v>
      </c>
      <c r="G469" s="1865">
        <f>forbrug!Y18</f>
        <v>10.67</v>
      </c>
      <c r="H469" s="2036">
        <f t="shared" si="51"/>
        <v>0.33916666666666667</v>
      </c>
      <c r="I469" s="1843">
        <f t="shared" si="50"/>
        <v>1.3108108108108107</v>
      </c>
      <c r="J469" s="1806"/>
      <c r="K469" s="1842">
        <v>72.58</v>
      </c>
      <c r="L469" s="2036">
        <f t="shared" si="54"/>
        <v>4.2694117647058825</v>
      </c>
      <c r="M469" s="1806"/>
      <c r="N469" s="1870">
        <v>115.03</v>
      </c>
      <c r="O469" s="2033">
        <f t="shared" si="55"/>
        <v>6.7664705882352942</v>
      </c>
      <c r="P469" s="1806"/>
      <c r="Q469" s="1843"/>
    </row>
    <row r="470" spans="1:17" ht="14.4">
      <c r="A470" s="1176"/>
      <c r="B470" s="1848" t="s">
        <v>1151</v>
      </c>
      <c r="C470" s="1846">
        <v>45064</v>
      </c>
      <c r="D470" s="1847">
        <v>18</v>
      </c>
      <c r="E470" s="1806"/>
      <c r="F470" s="1862">
        <f>forbrug!X19</f>
        <v>9.4599999999999991</v>
      </c>
      <c r="G470" s="1865">
        <f>forbrug!Y19</f>
        <v>14.290000000000001</v>
      </c>
      <c r="H470" s="2036">
        <f t="shared" si="51"/>
        <v>0.39416666666666661</v>
      </c>
      <c r="I470" s="1843">
        <f t="shared" si="50"/>
        <v>1.5105708245243132</v>
      </c>
      <c r="J470" s="1806"/>
      <c r="K470" s="1842">
        <v>81.569999999999993</v>
      </c>
      <c r="L470" s="2036">
        <f t="shared" si="54"/>
        <v>4.5316666666666663</v>
      </c>
      <c r="M470" s="1806"/>
      <c r="N470" s="1870">
        <v>129.32</v>
      </c>
      <c r="O470" s="2033">
        <f t="shared" si="55"/>
        <v>7.184444444444444</v>
      </c>
      <c r="P470" s="1806"/>
      <c r="Q470" s="1843"/>
    </row>
    <row r="471" spans="1:17" ht="14.4">
      <c r="A471" s="1176"/>
      <c r="B471" s="1848" t="s">
        <v>1150</v>
      </c>
      <c r="C471" s="1846">
        <v>45065</v>
      </c>
      <c r="D471" s="1847">
        <v>19</v>
      </c>
      <c r="E471" s="1806"/>
      <c r="F471" s="1862">
        <f>forbrug!X20</f>
        <v>9.4599999999999991</v>
      </c>
      <c r="G471" s="1865">
        <f>forbrug!Y20</f>
        <v>15.2</v>
      </c>
      <c r="H471" s="2037">
        <f t="shared" si="51"/>
        <v>0.39416666666666661</v>
      </c>
      <c r="I471" s="1843">
        <f t="shared" si="50"/>
        <v>1.6067653276955602</v>
      </c>
      <c r="J471" s="1806"/>
      <c r="K471" s="1842"/>
      <c r="L471" s="2037">
        <f t="shared" si="54"/>
        <v>0</v>
      </c>
      <c r="M471" s="1806"/>
      <c r="N471" s="1870"/>
      <c r="O471" s="2033">
        <f t="shared" si="55"/>
        <v>0</v>
      </c>
      <c r="P471" s="1806"/>
      <c r="Q471" s="1843"/>
    </row>
    <row r="472" spans="1:17" ht="14.4">
      <c r="A472" s="1176"/>
      <c r="B472" s="1848" t="s">
        <v>1149</v>
      </c>
      <c r="C472" s="1846">
        <v>45066</v>
      </c>
      <c r="D472" s="1847">
        <v>20</v>
      </c>
      <c r="E472" s="1806"/>
      <c r="F472" s="1862">
        <f>forbrug!X21</f>
        <v>10.549999999999999</v>
      </c>
      <c r="G472" s="1865">
        <f>forbrug!Y21</f>
        <v>13.100000000000001</v>
      </c>
      <c r="H472" s="2037">
        <f t="shared" si="51"/>
        <v>0.43958333333333327</v>
      </c>
      <c r="I472" s="1843">
        <f t="shared" si="50"/>
        <v>1.2417061611374409</v>
      </c>
      <c r="J472" s="1806"/>
      <c r="K472" s="1842"/>
      <c r="L472" s="2037">
        <f t="shared" si="54"/>
        <v>0</v>
      </c>
      <c r="M472" s="1806"/>
      <c r="N472" s="1870"/>
      <c r="O472" s="2033">
        <f t="shared" si="55"/>
        <v>0</v>
      </c>
      <c r="P472" s="1806"/>
      <c r="Q472" s="1843"/>
    </row>
    <row r="473" spans="1:17" ht="14.4">
      <c r="A473" s="1176"/>
      <c r="B473" s="1848" t="s">
        <v>1155</v>
      </c>
      <c r="C473" s="1846">
        <v>45067</v>
      </c>
      <c r="D473" s="1847">
        <v>21</v>
      </c>
      <c r="E473" s="1806"/>
      <c r="F473" s="1862">
        <f>forbrug!X22</f>
        <v>8.48</v>
      </c>
      <c r="G473" s="1865">
        <f>forbrug!Y22</f>
        <v>8.8800000000000008</v>
      </c>
      <c r="H473" s="2037">
        <f t="shared" si="51"/>
        <v>0.35333333333333333</v>
      </c>
      <c r="I473" s="1843">
        <f t="shared" si="50"/>
        <v>1.0471698113207548</v>
      </c>
      <c r="J473" s="1806"/>
      <c r="K473" s="1842"/>
      <c r="L473" s="2037">
        <f t="shared" si="54"/>
        <v>0</v>
      </c>
      <c r="M473" s="1806"/>
      <c r="N473" s="1870"/>
      <c r="O473" s="2033">
        <f t="shared" si="55"/>
        <v>0</v>
      </c>
      <c r="P473" s="1806"/>
      <c r="Q473" s="1843"/>
    </row>
    <row r="474" spans="1:17" ht="14.4">
      <c r="A474" s="1176"/>
      <c r="B474" s="1848" t="s">
        <v>1154</v>
      </c>
      <c r="C474" s="1846">
        <v>45068</v>
      </c>
      <c r="D474" s="1847">
        <v>22</v>
      </c>
      <c r="E474" s="1806"/>
      <c r="F474" s="1862">
        <f>forbrug!X23</f>
        <v>7.9000000000000012</v>
      </c>
      <c r="G474" s="1865">
        <f>forbrug!Y23</f>
        <v>12.780000000000001</v>
      </c>
      <c r="H474" s="2037">
        <f t="shared" si="51"/>
        <v>0.32916666666666672</v>
      </c>
      <c r="I474" s="1843">
        <f t="shared" si="50"/>
        <v>1.6177215189873417</v>
      </c>
      <c r="J474" s="1806"/>
      <c r="K474" s="1842">
        <v>1.21875</v>
      </c>
      <c r="L474" s="2037">
        <f t="shared" si="54"/>
        <v>5.5397727272727272E-2</v>
      </c>
      <c r="M474" s="1806"/>
      <c r="N474" s="1870">
        <v>179.8</v>
      </c>
      <c r="O474" s="2033">
        <f t="shared" si="55"/>
        <v>8.1727272727272737</v>
      </c>
      <c r="P474" s="1806"/>
      <c r="Q474" s="1843"/>
    </row>
    <row r="475" spans="1:17" ht="14.4">
      <c r="A475" s="1176"/>
      <c r="B475" s="1848" t="s">
        <v>1153</v>
      </c>
      <c r="C475" s="1846">
        <v>45069</v>
      </c>
      <c r="D475" s="1847">
        <v>23</v>
      </c>
      <c r="E475" s="1806"/>
      <c r="F475" s="1862">
        <f>forbrug!X24</f>
        <v>9.0699999999999985</v>
      </c>
      <c r="G475" s="1865">
        <f>forbrug!Y24</f>
        <v>12.28</v>
      </c>
      <c r="H475" s="2037">
        <f t="shared" si="51"/>
        <v>0.37791666666666662</v>
      </c>
      <c r="I475" s="1843">
        <f t="shared" si="50"/>
        <v>1.3539140022050717</v>
      </c>
      <c r="J475" s="1806"/>
      <c r="K475" s="1842"/>
      <c r="L475" s="2037">
        <f t="shared" si="54"/>
        <v>0</v>
      </c>
      <c r="M475" s="1806"/>
      <c r="N475" s="1870"/>
      <c r="O475" s="2033">
        <f t="shared" si="55"/>
        <v>0</v>
      </c>
      <c r="P475" s="1806"/>
      <c r="Q475" s="1843"/>
    </row>
    <row r="476" spans="1:17" ht="14.4">
      <c r="A476" s="1176"/>
      <c r="B476" s="1848" t="s">
        <v>1152</v>
      </c>
      <c r="C476" s="1846">
        <v>45070</v>
      </c>
      <c r="D476" s="1847">
        <v>24</v>
      </c>
      <c r="E476" s="1806"/>
      <c r="F476" s="1862">
        <f>forbrug!X25</f>
        <v>9.0400000000000027</v>
      </c>
      <c r="G476" s="1865">
        <f>forbrug!Y25</f>
        <v>15.339999999999998</v>
      </c>
      <c r="H476" s="2037">
        <f t="shared" si="51"/>
        <v>0.37666666666666676</v>
      </c>
      <c r="I476" s="1843">
        <f t="shared" si="50"/>
        <v>1.6969026548672559</v>
      </c>
      <c r="J476" s="1806"/>
      <c r="K476" s="1842">
        <v>136.07</v>
      </c>
      <c r="L476" s="2037">
        <f t="shared" si="54"/>
        <v>5.6695833333333328</v>
      </c>
      <c r="M476" s="1806"/>
      <c r="N476" s="1870">
        <v>207.43</v>
      </c>
      <c r="O476" s="2033">
        <f t="shared" si="55"/>
        <v>8.6429166666666664</v>
      </c>
      <c r="P476" s="1806"/>
      <c r="Q476" s="1843"/>
    </row>
    <row r="477" spans="1:17" ht="14.4">
      <c r="A477" s="1176"/>
      <c r="B477" s="1848" t="s">
        <v>1151</v>
      </c>
      <c r="C477" s="1846">
        <v>45071</v>
      </c>
      <c r="D477" s="1847">
        <v>25</v>
      </c>
      <c r="E477" s="1806"/>
      <c r="F477" s="1862">
        <f>forbrug!X26</f>
        <v>11.740000000000004</v>
      </c>
      <c r="G477" s="1865">
        <f>forbrug!Y26</f>
        <v>14.83</v>
      </c>
      <c r="H477" s="2035">
        <f t="shared" si="51"/>
        <v>0.48916666666666681</v>
      </c>
      <c r="I477" s="1843">
        <f t="shared" si="50"/>
        <v>1.2632027257240201</v>
      </c>
      <c r="J477" s="1806"/>
      <c r="K477" s="1842">
        <v>147.81</v>
      </c>
      <c r="L477" s="2035">
        <f t="shared" si="54"/>
        <v>5.9123999999999999</v>
      </c>
      <c r="M477" s="1806"/>
      <c r="N477" s="1870">
        <v>222.27</v>
      </c>
      <c r="O477" s="2033">
        <f t="shared" si="55"/>
        <v>8.8908000000000005</v>
      </c>
      <c r="P477" s="1806"/>
      <c r="Q477" s="1843"/>
    </row>
    <row r="478" spans="1:17" ht="14.4">
      <c r="A478" s="1176"/>
      <c r="B478" s="1848" t="s">
        <v>1150</v>
      </c>
      <c r="C478" s="1846">
        <v>45072</v>
      </c>
      <c r="D478" s="1847">
        <v>26</v>
      </c>
      <c r="E478" s="1806"/>
      <c r="F478" s="1862">
        <f>forbrug!X27</f>
        <v>7.6999999999999993</v>
      </c>
      <c r="G478" s="1865">
        <f>forbrug!Y27</f>
        <v>11.119999999999997</v>
      </c>
      <c r="H478" s="2035">
        <f t="shared" si="51"/>
        <v>0.3208333333333333</v>
      </c>
      <c r="I478" s="1843">
        <f t="shared" si="50"/>
        <v>1.444155844155844</v>
      </c>
      <c r="J478" s="1806"/>
      <c r="K478" s="1842"/>
      <c r="L478" s="2035">
        <f t="shared" si="54"/>
        <v>0</v>
      </c>
      <c r="M478" s="1806"/>
      <c r="N478" s="1870"/>
      <c r="O478" s="2033">
        <f t="shared" si="55"/>
        <v>0</v>
      </c>
      <c r="P478" s="1806"/>
      <c r="Q478" s="1843"/>
    </row>
    <row r="479" spans="1:17" ht="14.4">
      <c r="A479" s="1176"/>
      <c r="B479" s="1848" t="s">
        <v>1149</v>
      </c>
      <c r="C479" s="1846">
        <v>45073</v>
      </c>
      <c r="D479" s="1847">
        <v>27</v>
      </c>
      <c r="E479" s="1806"/>
      <c r="F479" s="1862">
        <f>forbrug!X28</f>
        <v>10.52</v>
      </c>
      <c r="G479" s="1865">
        <f>forbrug!Y28</f>
        <v>14.13</v>
      </c>
      <c r="H479" s="2035">
        <f t="shared" si="51"/>
        <v>0.4383333333333333</v>
      </c>
      <c r="I479" s="1843">
        <f t="shared" si="50"/>
        <v>1.3431558935361219</v>
      </c>
      <c r="J479" s="1806"/>
      <c r="K479" s="1842">
        <v>168.67</v>
      </c>
      <c r="L479" s="2035">
        <f t="shared" si="54"/>
        <v>6.2470370370370363</v>
      </c>
      <c r="M479" s="1806"/>
      <c r="N479" s="1870">
        <v>250.35</v>
      </c>
      <c r="O479" s="2033">
        <f t="shared" si="55"/>
        <v>9.2722222222222221</v>
      </c>
      <c r="P479" s="1806"/>
      <c r="Q479" s="1843"/>
    </row>
    <row r="480" spans="1:17" ht="14.4">
      <c r="A480" s="1176"/>
      <c r="B480" s="1848" t="s">
        <v>1155</v>
      </c>
      <c r="C480" s="1846">
        <v>45074</v>
      </c>
      <c r="D480" s="1847">
        <v>28</v>
      </c>
      <c r="E480" s="1806"/>
      <c r="F480" s="1862">
        <f>forbrug!X29</f>
        <v>11.69</v>
      </c>
      <c r="G480" s="1865">
        <f>forbrug!Y29</f>
        <v>11.280000000000001</v>
      </c>
      <c r="H480" s="2035">
        <f t="shared" si="51"/>
        <v>0.48708333333333331</v>
      </c>
      <c r="I480" s="1843">
        <f t="shared" si="50"/>
        <v>0.96492728828058183</v>
      </c>
      <c r="J480" s="1806"/>
      <c r="K480" s="1842"/>
      <c r="L480" s="2035">
        <f t="shared" si="54"/>
        <v>0</v>
      </c>
      <c r="M480" s="1806"/>
      <c r="N480" s="1870"/>
      <c r="O480" s="2033">
        <f t="shared" si="55"/>
        <v>0</v>
      </c>
      <c r="P480" s="1806"/>
      <c r="Q480" s="1843"/>
    </row>
    <row r="481" spans="1:17" ht="14.4">
      <c r="A481" s="1176"/>
      <c r="B481" s="1848" t="s">
        <v>1154</v>
      </c>
      <c r="C481" s="1846">
        <v>45075</v>
      </c>
      <c r="D481" s="1847">
        <v>29</v>
      </c>
      <c r="E481" s="1806"/>
      <c r="F481" s="1862">
        <f>forbrug!X30</f>
        <v>11.180000000000003</v>
      </c>
      <c r="G481" s="1865">
        <f>forbrug!Y30</f>
        <v>10.030000000000001</v>
      </c>
      <c r="H481" s="2035">
        <f t="shared" si="51"/>
        <v>0.46583333333333349</v>
      </c>
      <c r="I481" s="1843">
        <f t="shared" si="50"/>
        <v>0.8971377459749551</v>
      </c>
      <c r="J481" s="1806"/>
      <c r="K481" s="1842"/>
      <c r="L481" s="2035">
        <f t="shared" si="54"/>
        <v>0</v>
      </c>
      <c r="M481" s="1806"/>
      <c r="N481" s="1870"/>
      <c r="O481" s="2033">
        <f t="shared" si="55"/>
        <v>0</v>
      </c>
      <c r="P481" s="1806"/>
      <c r="Q481" s="1843"/>
    </row>
    <row r="482" spans="1:17" ht="14.4">
      <c r="A482" s="1176"/>
      <c r="B482" s="1848" t="s">
        <v>1153</v>
      </c>
      <c r="C482" s="1846">
        <v>45076</v>
      </c>
      <c r="D482" s="1847">
        <v>30</v>
      </c>
      <c r="E482" s="1806"/>
      <c r="F482" s="1862">
        <f>forbrug!X31</f>
        <v>10.780000000000003</v>
      </c>
      <c r="G482" s="1865">
        <f>forbrug!Y31</f>
        <v>18</v>
      </c>
      <c r="H482" s="2035">
        <f t="shared" si="51"/>
        <v>0.44916666666666677</v>
      </c>
      <c r="I482" s="1843">
        <f t="shared" si="50"/>
        <v>1.669758812615955</v>
      </c>
      <c r="J482" s="1806"/>
      <c r="K482" s="1842">
        <v>202.32</v>
      </c>
      <c r="L482" s="2035">
        <f t="shared" si="54"/>
        <v>6.7439999999999998</v>
      </c>
      <c r="M482" s="1806"/>
      <c r="N482" s="1870">
        <v>289.68</v>
      </c>
      <c r="O482" s="2033">
        <f t="shared" si="55"/>
        <v>9.6560000000000006</v>
      </c>
      <c r="P482" s="1806"/>
      <c r="Q482" s="1843"/>
    </row>
    <row r="483" spans="1:17" ht="14.4">
      <c r="A483" s="1176"/>
      <c r="B483" s="1845" t="s">
        <v>1152</v>
      </c>
      <c r="C483" s="1846">
        <v>45077</v>
      </c>
      <c r="D483" s="1847">
        <v>31</v>
      </c>
      <c r="E483" s="1811"/>
      <c r="F483" s="1862">
        <f>forbrug!X32</f>
        <v>10.499999999999998</v>
      </c>
      <c r="G483" s="1865">
        <f>forbrug!Y32</f>
        <v>13.570000000000002</v>
      </c>
      <c r="H483" s="2035">
        <f t="shared" si="51"/>
        <v>0.43749999999999994</v>
      </c>
      <c r="I483" s="1843">
        <f t="shared" si="50"/>
        <v>1.2923809523809529</v>
      </c>
      <c r="J483" s="1811"/>
      <c r="K483" s="1842">
        <v>212.82</v>
      </c>
      <c r="L483" s="2035">
        <f t="shared" si="54"/>
        <v>6.8651612903225807</v>
      </c>
      <c r="M483" s="1811"/>
      <c r="N483" s="1870">
        <v>303.24</v>
      </c>
      <c r="O483" s="2033">
        <f t="shared" si="55"/>
        <v>9.7819354838709689</v>
      </c>
      <c r="P483" s="1811"/>
      <c r="Q483" s="1843"/>
    </row>
    <row r="484" spans="1:17" s="1816" customFormat="1" ht="5.25" customHeight="1" thickBot="1">
      <c r="A484" s="1818"/>
      <c r="H484" s="2027"/>
      <c r="I484" s="2028"/>
      <c r="L484" s="2027"/>
      <c r="O484" s="2027"/>
    </row>
    <row r="485" spans="1:17" ht="14.4">
      <c r="A485" s="1176"/>
      <c r="B485" s="1829"/>
      <c r="C485" s="1830">
        <f ca="1">TODAY()</f>
        <v>45428</v>
      </c>
      <c r="D485" s="1831">
        <f ca="1">C485-C483-2</f>
        <v>349</v>
      </c>
      <c r="E485" s="1832"/>
      <c r="F485" s="1837">
        <f ca="1">SUM(F486:F515)/$D$485</f>
        <v>0.85607449856733531</v>
      </c>
      <c r="G485" s="1834">
        <f ca="1">SUM(G486:G515)/$D$485</f>
        <v>1.4159169054441261</v>
      </c>
      <c r="H485" s="2029">
        <f ca="1">SUM(H486:H515)/$D$485</f>
        <v>3.5669770773638969E-2</v>
      </c>
      <c r="I485" s="2030">
        <f t="shared" ref="I485:I515" ca="1" si="56">G485/F485</f>
        <v>1.6539645881447267</v>
      </c>
      <c r="J485" s="1832"/>
      <c r="K485" s="1837">
        <f>SUM(F486:F515)</f>
        <v>298.77000000000004</v>
      </c>
      <c r="L485" s="2029">
        <f>K485/30</f>
        <v>9.9590000000000014</v>
      </c>
      <c r="M485" s="1832"/>
      <c r="N485" s="1839">
        <f>SUM(G486:G515)</f>
        <v>494.15499999999997</v>
      </c>
      <c r="O485" s="2067"/>
      <c r="P485" s="1832"/>
      <c r="Q485" s="1828"/>
    </row>
    <row r="486" spans="1:17" ht="14.4">
      <c r="A486" s="1176"/>
      <c r="B486" s="1845" t="s">
        <v>1151</v>
      </c>
      <c r="C486" s="1846">
        <v>45078</v>
      </c>
      <c r="D486" s="1847">
        <v>1</v>
      </c>
      <c r="E486" s="1811"/>
      <c r="F486" s="1862">
        <f>forbrug!AC2</f>
        <v>10.680000000000001</v>
      </c>
      <c r="G486" s="1865">
        <f>forbrug!AD2</f>
        <v>15.085000000000001</v>
      </c>
      <c r="H486" s="1862">
        <f t="shared" ref="H486" si="57">F486/24</f>
        <v>0.44500000000000006</v>
      </c>
      <c r="I486" s="1865">
        <f t="shared" si="56"/>
        <v>1.4124531835205991</v>
      </c>
      <c r="J486" s="1811"/>
      <c r="K486" s="1842">
        <v>10.68</v>
      </c>
      <c r="L486" s="1862">
        <f t="shared" ref="L486:L515" si="58">K486/D486</f>
        <v>10.68</v>
      </c>
      <c r="M486" s="1811"/>
      <c r="N486" s="1865">
        <v>15.09</v>
      </c>
      <c r="O486" s="2033">
        <f t="shared" ref="O486:O515" si="59">N486/D486</f>
        <v>15.09</v>
      </c>
      <c r="P486" s="1811"/>
      <c r="Q486" s="1843">
        <f>O486*31</f>
        <v>467.79</v>
      </c>
    </row>
    <row r="487" spans="1:17" ht="14.4">
      <c r="A487" s="1176"/>
      <c r="B487" s="1848" t="s">
        <v>1150</v>
      </c>
      <c r="C487" s="1846">
        <v>45079</v>
      </c>
      <c r="D487" s="1847">
        <v>2</v>
      </c>
      <c r="E487" s="1806"/>
      <c r="F487" s="1862">
        <f>forbrug!AC61</f>
        <v>11.230000000000002</v>
      </c>
      <c r="G487" s="1865">
        <f>forbrug!AD3</f>
        <v>17.53</v>
      </c>
      <c r="H487" s="1862">
        <f t="shared" ref="H487:H515" si="60">F487/24</f>
        <v>0.46791666666666676</v>
      </c>
      <c r="I487" s="1865">
        <f t="shared" si="56"/>
        <v>1.5609973285841494</v>
      </c>
      <c r="J487" s="1806"/>
      <c r="K487" s="1842">
        <f t="shared" ref="K487:K503" si="61">K486+F487</f>
        <v>21.910000000000004</v>
      </c>
      <c r="L487" s="1862">
        <f t="shared" si="58"/>
        <v>10.955000000000002</v>
      </c>
      <c r="M487" s="1806"/>
      <c r="N487" s="1865">
        <v>32.619999999999997</v>
      </c>
      <c r="O487" s="2033">
        <f t="shared" si="59"/>
        <v>16.309999999999999</v>
      </c>
      <c r="P487" s="1806"/>
      <c r="Q487" s="1843"/>
    </row>
    <row r="488" spans="1:17" ht="14.4">
      <c r="A488" s="1176"/>
      <c r="B488" s="1848" t="s">
        <v>1149</v>
      </c>
      <c r="C488" s="1846">
        <v>45080</v>
      </c>
      <c r="D488" s="1847">
        <v>3</v>
      </c>
      <c r="E488" s="1806"/>
      <c r="F488" s="1862">
        <f>forbrug!AC86</f>
        <v>11.4</v>
      </c>
      <c r="G488" s="1865">
        <f>forbrug!AD4</f>
        <v>14.979999999999999</v>
      </c>
      <c r="H488" s="1862">
        <f t="shared" si="60"/>
        <v>0.47500000000000003</v>
      </c>
      <c r="I488" s="1865">
        <f t="shared" si="56"/>
        <v>1.3140350877192981</v>
      </c>
      <c r="J488" s="1806"/>
      <c r="K488" s="1842">
        <f t="shared" si="61"/>
        <v>33.31</v>
      </c>
      <c r="L488" s="1862">
        <f t="shared" si="58"/>
        <v>11.103333333333333</v>
      </c>
      <c r="M488" s="1806"/>
      <c r="N488" s="1865">
        <v>47.6</v>
      </c>
      <c r="O488" s="2033">
        <f t="shared" si="59"/>
        <v>15.866666666666667</v>
      </c>
      <c r="P488" s="1806"/>
      <c r="Q488" s="1843"/>
    </row>
    <row r="489" spans="1:17" ht="14.4">
      <c r="A489" s="1176"/>
      <c r="B489" s="1848" t="s">
        <v>1155</v>
      </c>
      <c r="C489" s="1846">
        <v>45081</v>
      </c>
      <c r="D489" s="1847">
        <v>4</v>
      </c>
      <c r="E489" s="1806"/>
      <c r="F489" s="1862">
        <f>forbrug!AC111</f>
        <v>9.8200000000000021</v>
      </c>
      <c r="G489" s="1865">
        <f>forbrug!AD5</f>
        <v>11.68</v>
      </c>
      <c r="H489" s="1862">
        <f t="shared" si="60"/>
        <v>0.40916666666666673</v>
      </c>
      <c r="I489" s="1865">
        <f t="shared" si="56"/>
        <v>1.1894093686354377</v>
      </c>
      <c r="J489" s="1806"/>
      <c r="K489" s="1842">
        <f t="shared" si="61"/>
        <v>43.13</v>
      </c>
      <c r="L489" s="1862">
        <f t="shared" si="58"/>
        <v>10.782500000000001</v>
      </c>
      <c r="M489" s="1806"/>
      <c r="N489" s="1865">
        <v>59.28</v>
      </c>
      <c r="O489" s="2033">
        <f t="shared" si="59"/>
        <v>14.82</v>
      </c>
      <c r="P489" s="1806"/>
      <c r="Q489" s="1843"/>
    </row>
    <row r="490" spans="1:17" ht="14.4">
      <c r="A490" s="1176"/>
      <c r="B490" s="1848" t="s">
        <v>1154</v>
      </c>
      <c r="C490" s="1846">
        <v>45082</v>
      </c>
      <c r="D490" s="1847">
        <v>5</v>
      </c>
      <c r="E490" s="1806"/>
      <c r="F490" s="1862">
        <f>forbrug!AC436</f>
        <v>9.77</v>
      </c>
      <c r="G490" s="1865">
        <f>forbrug!AD6</f>
        <v>18.649999999999995</v>
      </c>
      <c r="H490" s="1862">
        <f t="shared" si="60"/>
        <v>0.4070833333333333</v>
      </c>
      <c r="I490" s="1865">
        <f t="shared" si="56"/>
        <v>1.9089048106448308</v>
      </c>
      <c r="J490" s="1806"/>
      <c r="K490" s="1842">
        <f t="shared" si="61"/>
        <v>52.900000000000006</v>
      </c>
      <c r="L490" s="1862">
        <f t="shared" si="58"/>
        <v>10.580000000000002</v>
      </c>
      <c r="M490" s="1806"/>
      <c r="N490" s="1865">
        <v>72.45</v>
      </c>
      <c r="O490" s="2033">
        <f t="shared" si="59"/>
        <v>14.49</v>
      </c>
      <c r="P490" s="1806"/>
      <c r="Q490" s="1843"/>
    </row>
    <row r="491" spans="1:17" ht="14.4">
      <c r="A491" s="1176"/>
      <c r="B491" s="1848" t="s">
        <v>1153</v>
      </c>
      <c r="C491" s="1846">
        <v>45083</v>
      </c>
      <c r="D491" s="1847">
        <v>6</v>
      </c>
      <c r="E491" s="1806"/>
      <c r="F491" s="1862">
        <f>forbrug!AC161</f>
        <v>10.879999999999999</v>
      </c>
      <c r="G491" s="1865">
        <f>forbrug!AD7</f>
        <v>18.649999999999995</v>
      </c>
      <c r="H491" s="1862">
        <f t="shared" si="60"/>
        <v>0.45333333333333331</v>
      </c>
      <c r="I491" s="1865">
        <f t="shared" si="56"/>
        <v>1.7141544117647056</v>
      </c>
      <c r="J491" s="1806"/>
      <c r="K491" s="1842">
        <f t="shared" si="61"/>
        <v>63.78</v>
      </c>
      <c r="L491" s="1862">
        <f t="shared" si="58"/>
        <v>10.63</v>
      </c>
      <c r="M491" s="1806"/>
      <c r="N491" s="1865">
        <v>91.1</v>
      </c>
      <c r="O491" s="2033">
        <f t="shared" si="59"/>
        <v>15.183333333333332</v>
      </c>
      <c r="P491" s="1806"/>
      <c r="Q491" s="1843"/>
    </row>
    <row r="492" spans="1:17" ht="14.4">
      <c r="A492" s="1176"/>
      <c r="B492" s="1848" t="s">
        <v>1152</v>
      </c>
      <c r="C492" s="1846">
        <v>45084</v>
      </c>
      <c r="D492" s="1847">
        <v>7</v>
      </c>
      <c r="E492" s="1806"/>
      <c r="F492" s="1862">
        <f>forbrug!AC186</f>
        <v>11.03</v>
      </c>
      <c r="G492" s="1865">
        <f>forbrug!AD8</f>
        <v>19.28</v>
      </c>
      <c r="H492" s="1862">
        <f t="shared" si="60"/>
        <v>0.45958333333333329</v>
      </c>
      <c r="I492" s="1865">
        <f t="shared" si="56"/>
        <v>1.7479601087941978</v>
      </c>
      <c r="J492" s="1806"/>
      <c r="K492" s="1842">
        <f t="shared" si="61"/>
        <v>74.81</v>
      </c>
      <c r="L492" s="1862">
        <f t="shared" si="58"/>
        <v>10.687142857142858</v>
      </c>
      <c r="M492" s="1806"/>
      <c r="N492" s="1865">
        <v>110.38</v>
      </c>
      <c r="O492" s="2033">
        <f t="shared" si="59"/>
        <v>15.768571428571429</v>
      </c>
      <c r="P492" s="1806"/>
      <c r="Q492" s="1843"/>
    </row>
    <row r="493" spans="1:17" ht="14.4">
      <c r="A493" s="1176"/>
      <c r="B493" s="1848" t="s">
        <v>1151</v>
      </c>
      <c r="C493" s="1846">
        <v>45085</v>
      </c>
      <c r="D493" s="1847">
        <v>8</v>
      </c>
      <c r="E493" s="1806"/>
      <c r="F493" s="1862">
        <f>forbrug!AC211</f>
        <v>10.75</v>
      </c>
      <c r="G493" s="1865">
        <f>forbrug!AD9</f>
        <v>17.53</v>
      </c>
      <c r="H493" s="1862">
        <f t="shared" si="60"/>
        <v>0.44791666666666669</v>
      </c>
      <c r="I493" s="1865">
        <f t="shared" si="56"/>
        <v>1.6306976744186048</v>
      </c>
      <c r="J493" s="1806"/>
      <c r="K493" s="1842">
        <f t="shared" si="61"/>
        <v>85.56</v>
      </c>
      <c r="L493" s="1862">
        <f t="shared" si="58"/>
        <v>10.695</v>
      </c>
      <c r="M493" s="1806"/>
      <c r="N493" s="1870">
        <v>127.91</v>
      </c>
      <c r="O493" s="2033">
        <f t="shared" si="59"/>
        <v>15.98875</v>
      </c>
      <c r="P493" s="1806"/>
      <c r="Q493" s="1843"/>
    </row>
    <row r="494" spans="1:17" ht="14.4">
      <c r="A494" s="1176"/>
      <c r="B494" s="1848" t="s">
        <v>1150</v>
      </c>
      <c r="C494" s="1846">
        <v>45086</v>
      </c>
      <c r="D494" s="1847">
        <v>9</v>
      </c>
      <c r="E494" s="1806"/>
      <c r="F494" s="1864">
        <f>forbrug!AC236</f>
        <v>12.450000000000001</v>
      </c>
      <c r="G494" s="1865">
        <f>forbrug!AD10</f>
        <v>20.29</v>
      </c>
      <c r="H494" s="1864">
        <f t="shared" si="60"/>
        <v>0.51875000000000004</v>
      </c>
      <c r="I494" s="1865">
        <f t="shared" si="56"/>
        <v>1.6297188755020078</v>
      </c>
      <c r="J494" s="1806"/>
      <c r="K494" s="1842">
        <f t="shared" si="61"/>
        <v>98.01</v>
      </c>
      <c r="L494" s="1864">
        <f t="shared" si="58"/>
        <v>10.89</v>
      </c>
      <c r="M494" s="1806"/>
      <c r="N494" s="1870">
        <v>148.19999999999999</v>
      </c>
      <c r="O494" s="2033">
        <f t="shared" si="59"/>
        <v>16.466666666666665</v>
      </c>
      <c r="P494" s="1806"/>
      <c r="Q494" s="1843"/>
    </row>
    <row r="495" spans="1:17" ht="14.4">
      <c r="A495" s="1176"/>
      <c r="B495" s="1848" t="s">
        <v>1149</v>
      </c>
      <c r="C495" s="1846">
        <v>45087</v>
      </c>
      <c r="D495" s="1847">
        <v>10</v>
      </c>
      <c r="E495" s="1806"/>
      <c r="F495" s="1864">
        <f>forbrug!AC261</f>
        <v>10.16</v>
      </c>
      <c r="G495" s="1865">
        <f>forbrug!AD11</f>
        <v>12.68</v>
      </c>
      <c r="H495" s="1864">
        <f t="shared" si="60"/>
        <v>0.42333333333333334</v>
      </c>
      <c r="I495" s="1865">
        <f t="shared" si="56"/>
        <v>1.2480314960629921</v>
      </c>
      <c r="J495" s="1806"/>
      <c r="K495" s="1842">
        <f t="shared" si="61"/>
        <v>108.17</v>
      </c>
      <c r="L495" s="1864">
        <f t="shared" si="58"/>
        <v>10.817</v>
      </c>
      <c r="M495" s="1806"/>
      <c r="N495" s="1870">
        <v>160.88</v>
      </c>
      <c r="O495" s="2033">
        <f t="shared" si="59"/>
        <v>16.088000000000001</v>
      </c>
      <c r="P495" s="1806"/>
      <c r="Q495" s="1843"/>
    </row>
    <row r="496" spans="1:17" ht="14.4">
      <c r="A496" s="1176"/>
      <c r="B496" s="1848" t="s">
        <v>1155</v>
      </c>
      <c r="C496" s="1846">
        <v>45088</v>
      </c>
      <c r="D496" s="1847">
        <v>11</v>
      </c>
      <c r="E496" s="1806"/>
      <c r="F496" s="1864">
        <f>forbrug!AC286</f>
        <v>9.77</v>
      </c>
      <c r="G496" s="1865">
        <f>forbrug!AD12</f>
        <v>10.790000000000001</v>
      </c>
      <c r="H496" s="1864">
        <f t="shared" si="60"/>
        <v>0.4070833333333333</v>
      </c>
      <c r="I496" s="1865">
        <f t="shared" si="56"/>
        <v>1.1044012282497442</v>
      </c>
      <c r="J496" s="1806"/>
      <c r="K496" s="1842">
        <f t="shared" si="61"/>
        <v>117.94</v>
      </c>
      <c r="L496" s="1864">
        <f t="shared" si="58"/>
        <v>10.721818181818181</v>
      </c>
      <c r="M496" s="1806"/>
      <c r="N496" s="1870">
        <v>171.67</v>
      </c>
      <c r="O496" s="2033">
        <f t="shared" si="59"/>
        <v>15.606363636363636</v>
      </c>
      <c r="P496" s="1806"/>
      <c r="Q496" s="1843"/>
    </row>
    <row r="497" spans="1:17" ht="14.4">
      <c r="A497" s="1176"/>
      <c r="B497" s="1848" t="s">
        <v>1154</v>
      </c>
      <c r="C497" s="1846">
        <v>45089</v>
      </c>
      <c r="D497" s="1847">
        <v>12</v>
      </c>
      <c r="E497" s="1806"/>
      <c r="F497" s="1864">
        <f>forbrug!AC311</f>
        <v>10.160000000000002</v>
      </c>
      <c r="G497" s="1865">
        <f>forbrug!AD13</f>
        <v>17.240000000000002</v>
      </c>
      <c r="H497" s="1864">
        <f t="shared" si="60"/>
        <v>0.42333333333333339</v>
      </c>
      <c r="I497" s="1865">
        <f t="shared" si="56"/>
        <v>1.6968503937007873</v>
      </c>
      <c r="J497" s="1806"/>
      <c r="K497" s="1842">
        <f t="shared" si="61"/>
        <v>128.1</v>
      </c>
      <c r="L497" s="1864">
        <f t="shared" si="58"/>
        <v>10.674999999999999</v>
      </c>
      <c r="M497" s="1806"/>
      <c r="N497" s="1870">
        <v>192.73</v>
      </c>
      <c r="O497" s="2033">
        <f t="shared" si="59"/>
        <v>16.060833333333331</v>
      </c>
      <c r="P497" s="1806"/>
      <c r="Q497" s="1843"/>
    </row>
    <row r="498" spans="1:17" ht="14.4">
      <c r="A498" s="1176"/>
      <c r="B498" s="1848" t="s">
        <v>1153</v>
      </c>
      <c r="C498" s="1846">
        <v>45090</v>
      </c>
      <c r="D498" s="1847">
        <v>13</v>
      </c>
      <c r="E498" s="1806"/>
      <c r="F498" s="1864">
        <f>forbrug!AC336</f>
        <v>9.43</v>
      </c>
      <c r="G498" s="1865">
        <f>forbrug!AD14</f>
        <v>15.729999999999999</v>
      </c>
      <c r="H498" s="1864">
        <f t="shared" si="60"/>
        <v>0.39291666666666664</v>
      </c>
      <c r="I498" s="1865">
        <f t="shared" si="56"/>
        <v>1.6680805938494168</v>
      </c>
      <c r="J498" s="1806"/>
      <c r="K498" s="1842">
        <f t="shared" si="61"/>
        <v>137.53</v>
      </c>
      <c r="L498" s="1864">
        <f t="shared" si="58"/>
        <v>10.579230769230769</v>
      </c>
      <c r="M498" s="1806"/>
      <c r="N498" s="1870">
        <v>209.97</v>
      </c>
      <c r="O498" s="2033">
        <f t="shared" si="59"/>
        <v>16.151538461538461</v>
      </c>
      <c r="P498" s="1806"/>
      <c r="Q498" s="1843"/>
    </row>
    <row r="499" spans="1:17" ht="14.4">
      <c r="A499" s="1176"/>
      <c r="B499" s="1848" t="s">
        <v>1152</v>
      </c>
      <c r="C499" s="1846">
        <v>45091</v>
      </c>
      <c r="D499" s="1847">
        <v>14</v>
      </c>
      <c r="E499" s="1806"/>
      <c r="F499" s="1864">
        <f>forbrug!AC361</f>
        <v>10.95</v>
      </c>
      <c r="G499" s="1865">
        <f>forbrug!AD15</f>
        <v>19.329999999999998</v>
      </c>
      <c r="H499" s="1864">
        <f t="shared" si="60"/>
        <v>0.45624999999999999</v>
      </c>
      <c r="I499" s="1865">
        <f t="shared" si="56"/>
        <v>1.7652968036529679</v>
      </c>
      <c r="J499" s="1806"/>
      <c r="K499" s="1842">
        <f t="shared" si="61"/>
        <v>148.47999999999999</v>
      </c>
      <c r="L499" s="1864">
        <f t="shared" si="58"/>
        <v>10.605714285714285</v>
      </c>
      <c r="M499" s="1806"/>
      <c r="N499" s="1870">
        <f>N500-G499</f>
        <v>225.7</v>
      </c>
      <c r="O499" s="2033">
        <f t="shared" si="59"/>
        <v>16.12142857142857</v>
      </c>
      <c r="P499" s="1806"/>
      <c r="Q499" s="1843"/>
    </row>
    <row r="500" spans="1:17" ht="14.4">
      <c r="A500" s="1176"/>
      <c r="B500" s="1848" t="s">
        <v>1151</v>
      </c>
      <c r="C500" s="1846">
        <v>45092</v>
      </c>
      <c r="D500" s="1847">
        <v>15</v>
      </c>
      <c r="E500" s="1806"/>
      <c r="F500" s="1864">
        <f>forbrug!AC386</f>
        <v>8.6700000000000017</v>
      </c>
      <c r="G500" s="1865">
        <f>forbrug!AD16</f>
        <v>16.990000000000002</v>
      </c>
      <c r="H500" s="1864">
        <f t="shared" si="60"/>
        <v>0.36125000000000007</v>
      </c>
      <c r="I500" s="1865">
        <f t="shared" si="56"/>
        <v>1.9596309111880044</v>
      </c>
      <c r="J500" s="1806"/>
      <c r="K500" s="1842">
        <f t="shared" si="61"/>
        <v>157.14999999999998</v>
      </c>
      <c r="L500" s="1864">
        <f t="shared" si="58"/>
        <v>10.476666666666665</v>
      </c>
      <c r="M500" s="1806"/>
      <c r="N500" s="1870">
        <v>245.03</v>
      </c>
      <c r="O500" s="2033">
        <f t="shared" si="59"/>
        <v>16.335333333333335</v>
      </c>
      <c r="P500" s="1806"/>
      <c r="Q500" s="1843"/>
    </row>
    <row r="501" spans="1:17" ht="14.4">
      <c r="A501" s="1176"/>
      <c r="B501" s="1848" t="s">
        <v>1150</v>
      </c>
      <c r="C501" s="1846">
        <v>45093</v>
      </c>
      <c r="D501" s="1847">
        <v>16</v>
      </c>
      <c r="E501" s="1806"/>
      <c r="F501" s="1864">
        <f>forbrug!AC411</f>
        <v>9.6800000000000015</v>
      </c>
      <c r="G501" s="1865">
        <f>forbrug!AD17</f>
        <v>19.34</v>
      </c>
      <c r="H501" s="1864">
        <f t="shared" si="60"/>
        <v>0.40333333333333338</v>
      </c>
      <c r="I501" s="1865">
        <f t="shared" si="56"/>
        <v>1.9979338842975203</v>
      </c>
      <c r="J501" s="1806"/>
      <c r="K501" s="1842">
        <f t="shared" si="61"/>
        <v>166.82999999999998</v>
      </c>
      <c r="L501" s="1864">
        <f t="shared" si="58"/>
        <v>10.426874999999999</v>
      </c>
      <c r="M501" s="1806"/>
      <c r="N501" s="1870">
        <v>262.02</v>
      </c>
      <c r="O501" s="2033">
        <f t="shared" si="59"/>
        <v>16.376249999999999</v>
      </c>
      <c r="P501" s="1806"/>
      <c r="Q501" s="1843"/>
    </row>
    <row r="502" spans="1:17" ht="14.4">
      <c r="A502" s="1176"/>
      <c r="B502" s="1848" t="s">
        <v>1149</v>
      </c>
      <c r="C502" s="1846">
        <v>45094</v>
      </c>
      <c r="D502" s="1847">
        <v>17</v>
      </c>
      <c r="E502" s="1806"/>
      <c r="F502" s="1864">
        <f>forbrug!AC436</f>
        <v>9.77</v>
      </c>
      <c r="G502" s="1865">
        <f>forbrug!AD18</f>
        <v>17.109999999999996</v>
      </c>
      <c r="H502" s="1864">
        <f t="shared" si="60"/>
        <v>0.4070833333333333</v>
      </c>
      <c r="I502" s="1865">
        <f t="shared" si="56"/>
        <v>1.7512794268167857</v>
      </c>
      <c r="J502" s="1806"/>
      <c r="K502" s="1842">
        <f t="shared" si="61"/>
        <v>176.6</v>
      </c>
      <c r="L502" s="1864">
        <f t="shared" si="58"/>
        <v>10.388235294117647</v>
      </c>
      <c r="M502" s="1806"/>
      <c r="N502" s="1870">
        <v>281.36</v>
      </c>
      <c r="O502" s="2033">
        <f t="shared" si="59"/>
        <v>16.550588235294118</v>
      </c>
      <c r="P502" s="1806"/>
      <c r="Q502" s="1843"/>
    </row>
    <row r="503" spans="1:17" ht="14.4">
      <c r="A503" s="1176"/>
      <c r="B503" s="1848" t="s">
        <v>1155</v>
      </c>
      <c r="C503" s="1846">
        <v>45095</v>
      </c>
      <c r="D503" s="1847">
        <v>18</v>
      </c>
      <c r="E503" s="1806"/>
      <c r="F503" s="1864">
        <f>forbrug!AC461</f>
        <v>9.41</v>
      </c>
      <c r="G503" s="1865">
        <f>forbrug!AD19</f>
        <v>15.789999999999997</v>
      </c>
      <c r="H503" s="1864">
        <f t="shared" si="60"/>
        <v>0.39208333333333334</v>
      </c>
      <c r="I503" s="1865">
        <f t="shared" si="56"/>
        <v>1.678002125398512</v>
      </c>
      <c r="J503" s="1806"/>
      <c r="K503" s="1842">
        <f t="shared" si="61"/>
        <v>186.01</v>
      </c>
      <c r="L503" s="1864">
        <f t="shared" si="58"/>
        <v>10.333888888888888</v>
      </c>
      <c r="M503" s="1806"/>
      <c r="N503" s="1870">
        <v>298.47000000000003</v>
      </c>
      <c r="O503" s="2033">
        <f t="shared" si="59"/>
        <v>16.581666666666667</v>
      </c>
      <c r="P503" s="1806"/>
      <c r="Q503" s="1843"/>
    </row>
    <row r="504" spans="1:17" ht="14.4">
      <c r="A504" s="1176"/>
      <c r="B504" s="1848" t="s">
        <v>1154</v>
      </c>
      <c r="C504" s="1846">
        <v>45096</v>
      </c>
      <c r="D504" s="1847">
        <v>19</v>
      </c>
      <c r="E504" s="1806"/>
      <c r="F504" s="1863">
        <f>forbrug!AC486</f>
        <v>10.8</v>
      </c>
      <c r="G504" s="1865">
        <f>forbrug!AD20</f>
        <v>19.709999999999997</v>
      </c>
      <c r="H504" s="1863">
        <f t="shared" si="60"/>
        <v>0.45</v>
      </c>
      <c r="I504" s="1865">
        <f t="shared" si="56"/>
        <v>1.8249999999999997</v>
      </c>
      <c r="J504" s="1806"/>
      <c r="K504" s="1842">
        <v>194.82</v>
      </c>
      <c r="L504" s="1863">
        <f t="shared" si="58"/>
        <v>10.253684210526316</v>
      </c>
      <c r="M504" s="1806"/>
      <c r="N504" s="1870">
        <v>314.26</v>
      </c>
      <c r="O504" s="2033">
        <f t="shared" si="59"/>
        <v>16.54</v>
      </c>
      <c r="P504" s="1806"/>
      <c r="Q504" s="1843"/>
    </row>
    <row r="505" spans="1:17" ht="14.4">
      <c r="A505" s="1176"/>
      <c r="B505" s="1848" t="s">
        <v>1153</v>
      </c>
      <c r="C505" s="1846">
        <v>45097</v>
      </c>
      <c r="D505" s="1847">
        <v>20</v>
      </c>
      <c r="E505" s="1806"/>
      <c r="F505" s="1863">
        <f>forbrug!AC511</f>
        <v>8.35</v>
      </c>
      <c r="G505" s="1865">
        <f>forbrug!AD21</f>
        <v>16.170000000000002</v>
      </c>
      <c r="H505" s="1863">
        <f t="shared" si="60"/>
        <v>0.34791666666666665</v>
      </c>
      <c r="I505" s="1865">
        <f t="shared" si="56"/>
        <v>1.9365269461077848</v>
      </c>
      <c r="J505" s="1806"/>
      <c r="K505" s="1842">
        <v>203.17</v>
      </c>
      <c r="L505" s="1863">
        <f t="shared" si="58"/>
        <v>10.1585</v>
      </c>
      <c r="M505" s="1806"/>
      <c r="N505" s="1870">
        <v>330.45</v>
      </c>
      <c r="O505" s="2033">
        <f t="shared" si="59"/>
        <v>16.522500000000001</v>
      </c>
      <c r="P505" s="1806"/>
      <c r="Q505" s="1843"/>
    </row>
    <row r="506" spans="1:17" ht="14.4">
      <c r="A506" s="1176"/>
      <c r="B506" s="1848" t="s">
        <v>1152</v>
      </c>
      <c r="C506" s="1846">
        <v>45098</v>
      </c>
      <c r="D506" s="1847">
        <v>21</v>
      </c>
      <c r="E506" s="1806"/>
      <c r="F506" s="1863">
        <f>forbrug!AC536</f>
        <v>9.84</v>
      </c>
      <c r="G506" s="1865">
        <f>forbrug!AD22</f>
        <v>19.360000000000003</v>
      </c>
      <c r="H506" s="1863">
        <f t="shared" si="60"/>
        <v>0.41</v>
      </c>
      <c r="I506" s="1865">
        <f t="shared" si="56"/>
        <v>1.9674796747967482</v>
      </c>
      <c r="J506" s="1806"/>
      <c r="K506" s="1842">
        <v>213.01</v>
      </c>
      <c r="L506" s="1863">
        <f t="shared" si="58"/>
        <v>10.143333333333333</v>
      </c>
      <c r="M506" s="1806"/>
      <c r="N506" s="1870">
        <v>349.81</v>
      </c>
      <c r="O506" s="2033">
        <f t="shared" si="59"/>
        <v>16.657619047619047</v>
      </c>
      <c r="P506" s="1806"/>
      <c r="Q506" s="1843"/>
    </row>
    <row r="507" spans="1:17" ht="14.4">
      <c r="A507" s="1176"/>
      <c r="B507" s="1848" t="s">
        <v>1151</v>
      </c>
      <c r="C507" s="1846">
        <v>45099</v>
      </c>
      <c r="D507" s="1847">
        <v>22</v>
      </c>
      <c r="E507" s="1806"/>
      <c r="F507" s="1863">
        <f>forbrug!AC561</f>
        <v>9.4400000000000013</v>
      </c>
      <c r="G507" s="1865">
        <f>forbrug!AD23</f>
        <v>18.189999999999998</v>
      </c>
      <c r="H507" s="1863">
        <f t="shared" si="60"/>
        <v>0.39333333333333337</v>
      </c>
      <c r="I507" s="1865">
        <f t="shared" si="56"/>
        <v>1.9269067796610164</v>
      </c>
      <c r="J507" s="1806"/>
      <c r="K507" s="1842">
        <v>222.45</v>
      </c>
      <c r="L507" s="1863">
        <f t="shared" si="58"/>
        <v>10.111363636363636</v>
      </c>
      <c r="M507" s="1806"/>
      <c r="N507" s="1870">
        <v>368.41</v>
      </c>
      <c r="O507" s="2033">
        <f t="shared" si="59"/>
        <v>16.745909090909091</v>
      </c>
      <c r="P507" s="1806"/>
      <c r="Q507" s="1843"/>
    </row>
    <row r="508" spans="1:17" ht="14.4">
      <c r="A508" s="1176"/>
      <c r="B508" s="1848" t="s">
        <v>1150</v>
      </c>
      <c r="C508" s="1846">
        <v>45100</v>
      </c>
      <c r="D508" s="1847">
        <v>23</v>
      </c>
      <c r="E508" s="1806"/>
      <c r="F508" s="1863">
        <f>forbrug!AC586</f>
        <v>9.7000000000000011</v>
      </c>
      <c r="G508" s="1865">
        <f>forbrug!AD24</f>
        <v>17.260000000000002</v>
      </c>
      <c r="H508" s="1863">
        <f t="shared" si="60"/>
        <v>0.40416666666666673</v>
      </c>
      <c r="I508" s="1865">
        <f t="shared" si="56"/>
        <v>1.779381443298969</v>
      </c>
      <c r="J508" s="1806"/>
      <c r="K508" s="1842">
        <v>232.15</v>
      </c>
      <c r="L508" s="1863">
        <f t="shared" si="58"/>
        <v>10.093478260869565</v>
      </c>
      <c r="M508" s="1806"/>
      <c r="N508" s="1870">
        <v>385.67</v>
      </c>
      <c r="O508" s="2033">
        <f t="shared" si="59"/>
        <v>16.768260869565218</v>
      </c>
      <c r="P508" s="1806"/>
      <c r="Q508" s="1843"/>
    </row>
    <row r="509" spans="1:17" ht="14.4">
      <c r="A509" s="1176"/>
      <c r="B509" s="1848" t="s">
        <v>1149</v>
      </c>
      <c r="C509" s="1846">
        <v>45101</v>
      </c>
      <c r="D509" s="1847">
        <v>24</v>
      </c>
      <c r="E509" s="1806"/>
      <c r="F509" s="1863">
        <f>forbrug!AC611</f>
        <v>9.77</v>
      </c>
      <c r="G509" s="1865">
        <f>forbrug!AD25</f>
        <v>14.530000000000001</v>
      </c>
      <c r="H509" s="1863">
        <f t="shared" si="60"/>
        <v>0.4070833333333333</v>
      </c>
      <c r="I509" s="1865">
        <f t="shared" si="56"/>
        <v>1.4872057318321394</v>
      </c>
      <c r="J509" s="1806"/>
      <c r="K509" s="1842">
        <v>241.92</v>
      </c>
      <c r="L509" s="1863">
        <f t="shared" si="58"/>
        <v>10.08</v>
      </c>
      <c r="M509" s="1806"/>
      <c r="N509" s="1870">
        <v>400.48</v>
      </c>
      <c r="O509" s="2033">
        <f t="shared" si="59"/>
        <v>16.686666666666667</v>
      </c>
      <c r="P509" s="1806"/>
      <c r="Q509" s="1843"/>
    </row>
    <row r="510" spans="1:17" ht="14.4">
      <c r="A510" s="1176"/>
      <c r="B510" s="1848" t="s">
        <v>1155</v>
      </c>
      <c r="C510" s="1846">
        <v>45102</v>
      </c>
      <c r="D510" s="1847">
        <v>25</v>
      </c>
      <c r="E510" s="1806"/>
      <c r="F510" s="1862">
        <f>forbrug!AC636</f>
        <v>11.1</v>
      </c>
      <c r="G510" s="1865">
        <f>forbrug!AD26</f>
        <v>15.13</v>
      </c>
      <c r="H510" s="1862">
        <f t="shared" si="60"/>
        <v>0.46249999999999997</v>
      </c>
      <c r="I510" s="1865">
        <f t="shared" si="56"/>
        <v>1.3630630630630631</v>
      </c>
      <c r="J510" s="1806"/>
      <c r="K510" s="1842">
        <v>253.8</v>
      </c>
      <c r="L510" s="1862">
        <f t="shared" si="58"/>
        <v>10.152000000000001</v>
      </c>
      <c r="M510" s="1806"/>
      <c r="N510" s="1870">
        <v>417.48</v>
      </c>
      <c r="O510" s="2033">
        <f t="shared" si="59"/>
        <v>16.699200000000001</v>
      </c>
      <c r="P510" s="1806"/>
      <c r="Q510" s="1843"/>
    </row>
    <row r="511" spans="1:17" ht="14.4">
      <c r="A511" s="1176"/>
      <c r="B511" s="1848" t="s">
        <v>1154</v>
      </c>
      <c r="C511" s="1846">
        <v>45103</v>
      </c>
      <c r="D511" s="1847">
        <v>26</v>
      </c>
      <c r="E511" s="1806"/>
      <c r="F511" s="1862">
        <f>forbrug!AC661</f>
        <v>10.49</v>
      </c>
      <c r="G511" s="1865">
        <f>forbrug!AD27</f>
        <v>16.45</v>
      </c>
      <c r="H511" s="1862">
        <f t="shared" si="60"/>
        <v>0.43708333333333332</v>
      </c>
      <c r="I511" s="1865">
        <f t="shared" si="56"/>
        <v>1.5681601525262154</v>
      </c>
      <c r="J511" s="1806"/>
      <c r="K511" s="1842">
        <v>264.29000000000002</v>
      </c>
      <c r="L511" s="1862">
        <f t="shared" si="58"/>
        <v>10.165000000000001</v>
      </c>
      <c r="M511" s="1806"/>
      <c r="N511" s="1870">
        <v>434.28</v>
      </c>
      <c r="O511" s="2033">
        <f t="shared" si="59"/>
        <v>16.703076923076921</v>
      </c>
      <c r="P511" s="1806"/>
      <c r="Q511" s="1843"/>
    </row>
    <row r="512" spans="1:17" ht="14.4">
      <c r="A512" s="1176"/>
      <c r="B512" s="1848" t="s">
        <v>1153</v>
      </c>
      <c r="C512" s="1846">
        <v>45104</v>
      </c>
      <c r="D512" s="1847">
        <v>27</v>
      </c>
      <c r="E512" s="1806"/>
      <c r="F512" s="1862">
        <f>forbrug!AC686</f>
        <v>9.86</v>
      </c>
      <c r="G512" s="1865">
        <f>forbrug!AD28</f>
        <v>14.8</v>
      </c>
      <c r="H512" s="1862">
        <f t="shared" si="60"/>
        <v>0.41083333333333333</v>
      </c>
      <c r="I512" s="1865">
        <f t="shared" si="56"/>
        <v>1.5010141987829617</v>
      </c>
      <c r="J512" s="1806"/>
      <c r="K512" s="1842">
        <v>274.14999999999998</v>
      </c>
      <c r="L512" s="1862">
        <f t="shared" si="58"/>
        <v>10.153703703703703</v>
      </c>
      <c r="M512" s="1806"/>
      <c r="N512" s="1870">
        <v>449.07</v>
      </c>
      <c r="O512" s="2033">
        <f t="shared" si="59"/>
        <v>16.632222222222222</v>
      </c>
      <c r="P512" s="1806"/>
      <c r="Q512" s="1843"/>
    </row>
    <row r="513" spans="1:19" ht="14.4">
      <c r="A513" s="1176"/>
      <c r="B513" s="1848" t="s">
        <v>1152</v>
      </c>
      <c r="C513" s="1846">
        <v>45105</v>
      </c>
      <c r="D513" s="1847">
        <v>28</v>
      </c>
      <c r="E513" s="1806"/>
      <c r="F513" s="1862">
        <f>forbrug!AC711</f>
        <v>7.9</v>
      </c>
      <c r="G513" s="1865">
        <f>forbrug!AD29</f>
        <v>14.81</v>
      </c>
      <c r="H513" s="1862">
        <f t="shared" si="60"/>
        <v>0.32916666666666666</v>
      </c>
      <c r="I513" s="1865">
        <f t="shared" si="56"/>
        <v>1.8746835443037975</v>
      </c>
      <c r="J513" s="1806"/>
      <c r="K513" s="1842"/>
      <c r="L513" s="1862">
        <f t="shared" si="58"/>
        <v>0</v>
      </c>
      <c r="M513" s="1806"/>
      <c r="N513" s="1870"/>
      <c r="O513" s="2033">
        <f t="shared" si="59"/>
        <v>0</v>
      </c>
      <c r="P513" s="1806"/>
      <c r="Q513" s="1843"/>
    </row>
    <row r="514" spans="1:19" ht="14.4">
      <c r="A514" s="1176"/>
      <c r="B514" s="1848" t="s">
        <v>1151</v>
      </c>
      <c r="C514" s="1846">
        <v>45106</v>
      </c>
      <c r="D514" s="1847">
        <v>29</v>
      </c>
      <c r="E514" s="1806"/>
      <c r="F514" s="1862">
        <f>forbrug!AC736</f>
        <v>9.6</v>
      </c>
      <c r="G514" s="1865">
        <f>forbrug!AD30</f>
        <v>18.439999999999998</v>
      </c>
      <c r="H514" s="1862">
        <f t="shared" si="60"/>
        <v>0.39999999999999997</v>
      </c>
      <c r="I514" s="1865">
        <f t="shared" si="56"/>
        <v>1.9208333333333332</v>
      </c>
      <c r="J514" s="1806"/>
      <c r="K514" s="1842"/>
      <c r="L514" s="1862">
        <f t="shared" si="58"/>
        <v>0</v>
      </c>
      <c r="M514" s="1806"/>
      <c r="N514" s="1870"/>
      <c r="O514" s="2033">
        <f t="shared" si="59"/>
        <v>0</v>
      </c>
      <c r="P514" s="1806"/>
      <c r="Q514" s="1843"/>
    </row>
    <row r="515" spans="1:19" ht="14.4">
      <c r="A515" s="1176"/>
      <c r="B515" s="1848" t="s">
        <v>1150</v>
      </c>
      <c r="C515" s="1846">
        <v>45107</v>
      </c>
      <c r="D515" s="1847">
        <v>30</v>
      </c>
      <c r="E515" s="1806"/>
      <c r="F515" s="1862">
        <f>forbrug!AC761</f>
        <v>5.910000000000001</v>
      </c>
      <c r="G515" s="1865">
        <f>forbrug!AD31</f>
        <v>10.63</v>
      </c>
      <c r="H515" s="1862">
        <f t="shared" si="60"/>
        <v>0.24625000000000005</v>
      </c>
      <c r="I515" s="1865">
        <f t="shared" si="56"/>
        <v>1.7986463620981386</v>
      </c>
      <c r="J515" s="1806"/>
      <c r="K515" s="1842">
        <v>297.56</v>
      </c>
      <c r="L515" s="1862">
        <f t="shared" si="58"/>
        <v>9.9186666666666667</v>
      </c>
      <c r="M515" s="1806"/>
      <c r="N515" s="1870">
        <v>493.02</v>
      </c>
      <c r="O515" s="2033">
        <f t="shared" si="59"/>
        <v>16.434000000000001</v>
      </c>
      <c r="P515" s="1806"/>
      <c r="Q515" s="1843"/>
    </row>
    <row r="516" spans="1:19" s="1851" customFormat="1" ht="9" customHeight="1" thickBot="1">
      <c r="H516" s="2004"/>
      <c r="I516" s="2004"/>
      <c r="L516" s="2004"/>
      <c r="M516" s="1852"/>
      <c r="O516" s="2004"/>
      <c r="P516" s="1852"/>
      <c r="R516" s="1852"/>
      <c r="S516" s="1852"/>
    </row>
    <row r="517" spans="1:19" ht="14.4">
      <c r="A517" s="1176"/>
      <c r="B517" s="1829"/>
      <c r="C517" s="1830">
        <f ca="1">TODAY()</f>
        <v>45428</v>
      </c>
      <c r="D517" s="1831">
        <f>MAX(D518:D548)</f>
        <v>31</v>
      </c>
      <c r="E517" s="1832"/>
      <c r="F517" s="1837">
        <f>SUM(F518:F547)/$D$517</f>
        <v>5.5751612903225798</v>
      </c>
      <c r="G517" s="1834">
        <f>SUM(G518:G547)/$D$517</f>
        <v>12.273870967741937</v>
      </c>
      <c r="H517" s="2029">
        <f>SUM(H518:H547)/$D$517</f>
        <v>0.23229838709677422</v>
      </c>
      <c r="I517" s="2030">
        <f>G517/F517</f>
        <v>2.2015275125846214</v>
      </c>
      <c r="J517" s="1832"/>
      <c r="K517" s="1837">
        <v>253.42</v>
      </c>
      <c r="L517" s="2029">
        <f>K517/30</f>
        <v>8.4473333333333329</v>
      </c>
      <c r="M517" s="1832"/>
      <c r="N517" s="1834">
        <v>563.42999999999995</v>
      </c>
      <c r="O517" s="2031">
        <f>N517/D534</f>
        <v>33.142941176470586</v>
      </c>
      <c r="P517" s="1832"/>
      <c r="Q517" s="1828"/>
    </row>
    <row r="518" spans="1:19" ht="14.4">
      <c r="A518" s="1176"/>
      <c r="B518" s="1848" t="s">
        <v>1149</v>
      </c>
      <c r="C518" s="1846">
        <v>45108</v>
      </c>
      <c r="D518" s="1847">
        <v>1</v>
      </c>
      <c r="E518" s="1806"/>
      <c r="F518" s="1862">
        <f>forbrug!AH36</f>
        <v>5.5100000000000007</v>
      </c>
      <c r="G518" s="2085">
        <f>forbrug!AI36</f>
        <v>12.080000000000002</v>
      </c>
      <c r="H518" s="1862">
        <f t="shared" ref="H518:H547" si="62">F518/24</f>
        <v>0.22958333333333336</v>
      </c>
      <c r="I518" s="2087">
        <f t="shared" ref="I518:I547" si="63">G518/F518</f>
        <v>2.1923774954627948</v>
      </c>
      <c r="J518" s="1811"/>
      <c r="K518" s="1842">
        <f>F518</f>
        <v>5.5100000000000007</v>
      </c>
      <c r="L518" s="1862">
        <f t="shared" ref="L518:L548" si="64">K518/D518</f>
        <v>5.5100000000000007</v>
      </c>
      <c r="M518" s="1811"/>
      <c r="N518" s="2085">
        <f>G518</f>
        <v>12.080000000000002</v>
      </c>
      <c r="O518" s="2086">
        <f t="shared" ref="O518:O548" si="65">N518/D518</f>
        <v>12.080000000000002</v>
      </c>
      <c r="P518" s="1811"/>
      <c r="Q518" s="1843"/>
    </row>
    <row r="519" spans="1:19" ht="14.4">
      <c r="A519" s="1176"/>
      <c r="B519" s="1848" t="s">
        <v>1155</v>
      </c>
      <c r="C519" s="1846">
        <v>45109</v>
      </c>
      <c r="D519" s="1847">
        <v>2</v>
      </c>
      <c r="E519" s="1806"/>
      <c r="F519" s="1862">
        <f>forbrug!AH61</f>
        <v>10.35</v>
      </c>
      <c r="G519" s="2085">
        <f>forbrug!AI61</f>
        <v>4.6799999999999988</v>
      </c>
      <c r="H519" s="1862">
        <f t="shared" si="62"/>
        <v>0.43124999999999997</v>
      </c>
      <c r="I519" s="2087">
        <f t="shared" si="63"/>
        <v>0.45217391304347815</v>
      </c>
      <c r="J519" s="1806"/>
      <c r="K519" s="1842">
        <f t="shared" ref="K519:K548" si="66">K518+F519</f>
        <v>15.86</v>
      </c>
      <c r="L519" s="1862">
        <f t="shared" si="64"/>
        <v>7.93</v>
      </c>
      <c r="M519" s="1806"/>
      <c r="N519" s="2085">
        <f t="shared" ref="N519:N548" si="67">N518+G519</f>
        <v>16.760000000000002</v>
      </c>
      <c r="O519" s="2086">
        <f t="shared" si="65"/>
        <v>8.3800000000000008</v>
      </c>
      <c r="P519" s="1806"/>
      <c r="Q519" s="1176"/>
    </row>
    <row r="520" spans="1:19" ht="14.4">
      <c r="A520" s="1176"/>
      <c r="B520" s="1848" t="s">
        <v>1154</v>
      </c>
      <c r="C520" s="1846">
        <v>45110</v>
      </c>
      <c r="D520" s="1847">
        <v>3</v>
      </c>
      <c r="E520" s="1806"/>
      <c r="F520" s="1862">
        <f>forbrug!AH86</f>
        <v>8.17</v>
      </c>
      <c r="G520" s="2085">
        <f>forbrug!AI86</f>
        <v>16.079999999999998</v>
      </c>
      <c r="H520" s="1862">
        <f t="shared" si="62"/>
        <v>0.34041666666666665</v>
      </c>
      <c r="I520" s="2087">
        <f t="shared" si="63"/>
        <v>1.968176254589963</v>
      </c>
      <c r="J520" s="1806"/>
      <c r="K520" s="1842">
        <f t="shared" si="66"/>
        <v>24.03</v>
      </c>
      <c r="L520" s="1862">
        <f t="shared" si="64"/>
        <v>8.01</v>
      </c>
      <c r="M520" s="1806"/>
      <c r="N520" s="2085">
        <f t="shared" si="67"/>
        <v>32.840000000000003</v>
      </c>
      <c r="O520" s="2086">
        <f t="shared" si="65"/>
        <v>10.946666666666667</v>
      </c>
      <c r="P520" s="1806"/>
      <c r="Q520" s="1176"/>
    </row>
    <row r="521" spans="1:19" ht="14.4">
      <c r="A521" s="1176"/>
      <c r="B521" s="1848" t="s">
        <v>1153</v>
      </c>
      <c r="C521" s="1846">
        <v>45111</v>
      </c>
      <c r="D521" s="1847">
        <v>4</v>
      </c>
      <c r="E521" s="1806"/>
      <c r="F521" s="1862">
        <f>forbrug!AH111</f>
        <v>7.4700000000000006</v>
      </c>
      <c r="G521" s="2085">
        <f>forbrug!AI111</f>
        <v>16.73</v>
      </c>
      <c r="H521" s="1862">
        <f t="shared" si="62"/>
        <v>0.31125000000000003</v>
      </c>
      <c r="I521" s="2087">
        <f t="shared" si="63"/>
        <v>2.2396251673360106</v>
      </c>
      <c r="J521" s="1806"/>
      <c r="K521" s="1842">
        <f t="shared" si="66"/>
        <v>31.5</v>
      </c>
      <c r="L521" s="1862">
        <f t="shared" si="64"/>
        <v>7.875</v>
      </c>
      <c r="M521" s="1806"/>
      <c r="N521" s="2085">
        <f t="shared" si="67"/>
        <v>49.570000000000007</v>
      </c>
      <c r="O521" s="2086">
        <f t="shared" si="65"/>
        <v>12.392500000000002</v>
      </c>
      <c r="P521" s="1806"/>
      <c r="Q521" s="1176"/>
    </row>
    <row r="522" spans="1:19" ht="14.4">
      <c r="A522" s="1176"/>
      <c r="B522" s="1848" t="s">
        <v>1152</v>
      </c>
      <c r="C522" s="1846">
        <v>45112</v>
      </c>
      <c r="D522" s="1847">
        <v>5</v>
      </c>
      <c r="E522" s="1806"/>
      <c r="F522" s="1862">
        <f>forbrug!AH136</f>
        <v>10.99</v>
      </c>
      <c r="G522" s="2085">
        <f>forbrug!AI136</f>
        <v>23.849999999999998</v>
      </c>
      <c r="H522" s="1862">
        <f t="shared" si="62"/>
        <v>0.45791666666666669</v>
      </c>
      <c r="I522" s="2087">
        <f t="shared" si="63"/>
        <v>2.1701546860782526</v>
      </c>
      <c r="J522" s="1806"/>
      <c r="K522" s="1842">
        <f t="shared" si="66"/>
        <v>42.49</v>
      </c>
      <c r="L522" s="1862">
        <f t="shared" si="64"/>
        <v>8.4980000000000011</v>
      </c>
      <c r="M522" s="1806"/>
      <c r="N522" s="2085">
        <f t="shared" si="67"/>
        <v>73.42</v>
      </c>
      <c r="O522" s="2086">
        <f t="shared" si="65"/>
        <v>14.684000000000001</v>
      </c>
      <c r="P522" s="1806"/>
      <c r="Q522" s="1176"/>
    </row>
    <row r="523" spans="1:19" ht="14.4">
      <c r="A523" s="1176"/>
      <c r="B523" s="1848" t="s">
        <v>1151</v>
      </c>
      <c r="C523" s="1846">
        <v>45113</v>
      </c>
      <c r="D523" s="1847">
        <v>6</v>
      </c>
      <c r="E523" s="1806"/>
      <c r="F523" s="1862">
        <f>forbrug!AH161</f>
        <v>9.5299999999999994</v>
      </c>
      <c r="G523" s="2085">
        <f>forbrug!AI161</f>
        <v>23.88</v>
      </c>
      <c r="H523" s="1862">
        <f t="shared" si="62"/>
        <v>0.39708333333333329</v>
      </c>
      <c r="I523" s="2087">
        <f t="shared" si="63"/>
        <v>2.5057712486883528</v>
      </c>
      <c r="J523" s="1806"/>
      <c r="K523" s="1842">
        <f t="shared" si="66"/>
        <v>52.02</v>
      </c>
      <c r="L523" s="1862">
        <f t="shared" si="64"/>
        <v>8.67</v>
      </c>
      <c r="M523" s="1806"/>
      <c r="N523" s="2085">
        <f t="shared" si="67"/>
        <v>97.3</v>
      </c>
      <c r="O523" s="2086">
        <f t="shared" si="65"/>
        <v>16.216666666666665</v>
      </c>
      <c r="P523" s="1806"/>
      <c r="Q523" s="1176"/>
    </row>
    <row r="524" spans="1:19" ht="14.4">
      <c r="A524" s="1176"/>
      <c r="B524" s="1848" t="s">
        <v>1150</v>
      </c>
      <c r="C524" s="1846">
        <v>45114</v>
      </c>
      <c r="D524" s="1847">
        <v>7</v>
      </c>
      <c r="E524" s="1806"/>
      <c r="F524" s="1862">
        <f>forbrug!AH186</f>
        <v>7.7100000000000009</v>
      </c>
      <c r="G524" s="2085">
        <f>forbrug!AI186</f>
        <v>19.93</v>
      </c>
      <c r="H524" s="1862">
        <f t="shared" si="62"/>
        <v>0.32125000000000004</v>
      </c>
      <c r="I524" s="2087">
        <f t="shared" si="63"/>
        <v>2.584954604409857</v>
      </c>
      <c r="J524" s="1806"/>
      <c r="K524" s="1842">
        <f t="shared" si="66"/>
        <v>59.730000000000004</v>
      </c>
      <c r="L524" s="1862">
        <f t="shared" si="64"/>
        <v>8.5328571428571429</v>
      </c>
      <c r="M524" s="1806"/>
      <c r="N524" s="2085">
        <f t="shared" si="67"/>
        <v>117.22999999999999</v>
      </c>
      <c r="O524" s="2086">
        <f t="shared" si="65"/>
        <v>16.747142857142855</v>
      </c>
      <c r="P524" s="1806"/>
      <c r="Q524" s="1176"/>
    </row>
    <row r="525" spans="1:19" ht="14.4">
      <c r="A525" s="1176"/>
      <c r="B525" s="1848" t="s">
        <v>1149</v>
      </c>
      <c r="C525" s="1846">
        <v>45115</v>
      </c>
      <c r="D525" s="1847">
        <v>8</v>
      </c>
      <c r="E525" s="1806"/>
      <c r="F525" s="1862">
        <f>forbrug!AH211</f>
        <v>8.3800000000000008</v>
      </c>
      <c r="G525" s="2085">
        <f>forbrug!AI211</f>
        <v>20.18</v>
      </c>
      <c r="H525" s="1862">
        <f t="shared" si="62"/>
        <v>0.34916666666666668</v>
      </c>
      <c r="I525" s="2087">
        <f t="shared" si="63"/>
        <v>2.4081145584725534</v>
      </c>
      <c r="J525" s="1806"/>
      <c r="K525" s="1842">
        <f t="shared" si="66"/>
        <v>68.11</v>
      </c>
      <c r="L525" s="1862">
        <f t="shared" si="64"/>
        <v>8.5137499999999999</v>
      </c>
      <c r="M525" s="1806"/>
      <c r="N525" s="2085">
        <f t="shared" si="67"/>
        <v>137.41</v>
      </c>
      <c r="O525" s="2086">
        <f t="shared" si="65"/>
        <v>17.17625</v>
      </c>
      <c r="P525" s="1806"/>
      <c r="Q525" s="1176"/>
    </row>
    <row r="526" spans="1:19" ht="14.4">
      <c r="A526" s="1176"/>
      <c r="B526" s="1848" t="s">
        <v>1155</v>
      </c>
      <c r="C526" s="1846">
        <v>45116</v>
      </c>
      <c r="D526" s="1847">
        <v>9</v>
      </c>
      <c r="E526" s="1806"/>
      <c r="F526" s="1862">
        <f>forbrug!AH236</f>
        <v>7.1300000000000017</v>
      </c>
      <c r="G526" s="2085">
        <f>forbrug!AI236</f>
        <v>18.029999999999998</v>
      </c>
      <c r="H526" s="1864">
        <f t="shared" si="62"/>
        <v>0.29708333333333342</v>
      </c>
      <c r="I526" s="2087">
        <f t="shared" si="63"/>
        <v>2.5287517531556793</v>
      </c>
      <c r="J526" s="1806"/>
      <c r="K526" s="1842">
        <f t="shared" si="66"/>
        <v>75.239999999999995</v>
      </c>
      <c r="L526" s="1864">
        <f t="shared" si="64"/>
        <v>8.36</v>
      </c>
      <c r="M526" s="1806"/>
      <c r="N526" s="2085">
        <f t="shared" si="67"/>
        <v>155.44</v>
      </c>
      <c r="O526" s="2086">
        <f t="shared" si="65"/>
        <v>17.271111111111111</v>
      </c>
      <c r="P526" s="1806"/>
      <c r="Q526" s="1176"/>
    </row>
    <row r="527" spans="1:19" ht="14.4">
      <c r="A527" s="1176"/>
      <c r="B527" s="1848" t="s">
        <v>1154</v>
      </c>
      <c r="C527" s="1846">
        <v>45117</v>
      </c>
      <c r="D527" s="1847">
        <v>10</v>
      </c>
      <c r="E527" s="1806"/>
      <c r="F527" s="1862">
        <f>forbrug!AH261</f>
        <v>9.7899999999999991</v>
      </c>
      <c r="G527" s="2085">
        <f>forbrug!AI261</f>
        <v>26.059999999999995</v>
      </c>
      <c r="H527" s="1864">
        <f t="shared" si="62"/>
        <v>0.40791666666666665</v>
      </c>
      <c r="I527" s="2087">
        <f t="shared" si="63"/>
        <v>2.661899897854954</v>
      </c>
      <c r="J527" s="1806"/>
      <c r="K527" s="1842">
        <f t="shared" si="66"/>
        <v>85.03</v>
      </c>
      <c r="L527" s="1864">
        <f t="shared" si="64"/>
        <v>8.5030000000000001</v>
      </c>
      <c r="M527" s="1806"/>
      <c r="N527" s="2085">
        <f t="shared" si="67"/>
        <v>181.5</v>
      </c>
      <c r="O527" s="2086">
        <f t="shared" si="65"/>
        <v>18.149999999999999</v>
      </c>
      <c r="P527" s="1806"/>
      <c r="Q527" s="1176"/>
    </row>
    <row r="528" spans="1:19" ht="14.4">
      <c r="A528" s="1176"/>
      <c r="B528" s="1848" t="s">
        <v>1153</v>
      </c>
      <c r="C528" s="1846">
        <v>45118</v>
      </c>
      <c r="D528" s="1847">
        <v>11</v>
      </c>
      <c r="E528" s="1806"/>
      <c r="F528" s="1862">
        <f>forbrug!AH286</f>
        <v>9.4700000000000006</v>
      </c>
      <c r="G528" s="2085">
        <f>forbrug!AI286</f>
        <v>24.679999999999993</v>
      </c>
      <c r="H528" s="1864">
        <f t="shared" si="62"/>
        <v>0.39458333333333334</v>
      </c>
      <c r="I528" s="2087">
        <f t="shared" si="63"/>
        <v>2.6061246040126704</v>
      </c>
      <c r="J528" s="1806"/>
      <c r="K528" s="1842">
        <f t="shared" si="66"/>
        <v>94.5</v>
      </c>
      <c r="L528" s="1864">
        <f t="shared" si="64"/>
        <v>8.5909090909090917</v>
      </c>
      <c r="M528" s="1806"/>
      <c r="N528" s="2085">
        <f t="shared" si="67"/>
        <v>206.18</v>
      </c>
      <c r="O528" s="2086">
        <f t="shared" si="65"/>
        <v>18.743636363636366</v>
      </c>
      <c r="P528" s="1806"/>
      <c r="Q528" s="1176"/>
    </row>
    <row r="529" spans="1:17" ht="14.4">
      <c r="A529" s="1176"/>
      <c r="B529" s="1848" t="s">
        <v>1152</v>
      </c>
      <c r="C529" s="1846">
        <v>45119</v>
      </c>
      <c r="D529" s="1847">
        <v>12</v>
      </c>
      <c r="E529" s="1806"/>
      <c r="F529" s="1862">
        <f>forbrug!AH311</f>
        <v>6.8</v>
      </c>
      <c r="G529" s="2085">
        <f>forbrug!AI311</f>
        <v>16.309999999999995</v>
      </c>
      <c r="H529" s="1864">
        <f t="shared" si="62"/>
        <v>0.28333333333333333</v>
      </c>
      <c r="I529" s="2087">
        <f t="shared" si="63"/>
        <v>2.3985294117647054</v>
      </c>
      <c r="J529" s="1806"/>
      <c r="K529" s="1842">
        <f t="shared" si="66"/>
        <v>101.3</v>
      </c>
      <c r="L529" s="1864">
        <f t="shared" si="64"/>
        <v>8.4416666666666664</v>
      </c>
      <c r="M529" s="1806"/>
      <c r="N529" s="2085">
        <f t="shared" si="67"/>
        <v>222.49</v>
      </c>
      <c r="O529" s="2086">
        <f t="shared" si="65"/>
        <v>18.540833333333335</v>
      </c>
      <c r="P529" s="1806"/>
      <c r="Q529" s="1176"/>
    </row>
    <row r="530" spans="1:17" ht="14.4">
      <c r="A530" s="1176"/>
      <c r="B530" s="1848" t="s">
        <v>1151</v>
      </c>
      <c r="C530" s="1846">
        <v>45120</v>
      </c>
      <c r="D530" s="1847">
        <v>13</v>
      </c>
      <c r="E530" s="1806"/>
      <c r="F530" s="1862">
        <f>forbrug!AH336</f>
        <v>7.5999999999999988</v>
      </c>
      <c r="G530" s="2085">
        <f>forbrug!AI336</f>
        <v>18.309999999999999</v>
      </c>
      <c r="H530" s="1864">
        <f t="shared" si="62"/>
        <v>0.3166666666666666</v>
      </c>
      <c r="I530" s="2087">
        <f t="shared" si="63"/>
        <v>2.4092105263157899</v>
      </c>
      <c r="J530" s="1806"/>
      <c r="K530" s="1842">
        <f t="shared" si="66"/>
        <v>108.89999999999999</v>
      </c>
      <c r="L530" s="1864">
        <f t="shared" si="64"/>
        <v>8.3769230769230756</v>
      </c>
      <c r="M530" s="1806"/>
      <c r="N530" s="2085">
        <f t="shared" si="67"/>
        <v>240.8</v>
      </c>
      <c r="O530" s="2086">
        <f t="shared" si="65"/>
        <v>18.523076923076925</v>
      </c>
      <c r="P530" s="1806"/>
      <c r="Q530" s="1176"/>
    </row>
    <row r="531" spans="1:17" ht="14.4">
      <c r="A531" s="1176"/>
      <c r="B531" s="1848" t="s">
        <v>1150</v>
      </c>
      <c r="C531" s="1846">
        <v>45121</v>
      </c>
      <c r="D531" s="1847">
        <v>14</v>
      </c>
      <c r="E531" s="1806"/>
      <c r="F531" s="1862">
        <f>forbrug!AH361</f>
        <v>7.870000000000001</v>
      </c>
      <c r="G531" s="2085">
        <f>forbrug!AI361</f>
        <v>20.2</v>
      </c>
      <c r="H531" s="1864">
        <f t="shared" si="62"/>
        <v>0.32791666666666669</v>
      </c>
      <c r="I531" s="2087">
        <f t="shared" si="63"/>
        <v>2.566709021601016</v>
      </c>
      <c r="J531" s="1806"/>
      <c r="K531" s="1842">
        <f t="shared" si="66"/>
        <v>116.77</v>
      </c>
      <c r="L531" s="1864">
        <f t="shared" si="64"/>
        <v>8.3407142857142862</v>
      </c>
      <c r="M531" s="1806"/>
      <c r="N531" s="2085">
        <f t="shared" si="67"/>
        <v>261</v>
      </c>
      <c r="O531" s="2086">
        <f t="shared" si="65"/>
        <v>18.642857142857142</v>
      </c>
      <c r="P531" s="1806"/>
      <c r="Q531" s="1176"/>
    </row>
    <row r="532" spans="1:17" ht="14.4">
      <c r="A532" s="1176"/>
      <c r="B532" s="1848" t="s">
        <v>1149</v>
      </c>
      <c r="C532" s="1846">
        <v>45122</v>
      </c>
      <c r="D532" s="1847">
        <v>15</v>
      </c>
      <c r="E532" s="1806"/>
      <c r="F532" s="1862">
        <f>forbrug!AH386</f>
        <v>7.47</v>
      </c>
      <c r="G532" s="2085">
        <f>forbrug!AI386</f>
        <v>14.529999999999996</v>
      </c>
      <c r="H532" s="1864">
        <f t="shared" si="62"/>
        <v>0.31124999999999997</v>
      </c>
      <c r="I532" s="2087">
        <f t="shared" si="63"/>
        <v>1.945113788487282</v>
      </c>
      <c r="J532" s="1806"/>
      <c r="K532" s="1842">
        <f t="shared" si="66"/>
        <v>124.24</v>
      </c>
      <c r="L532" s="1864">
        <f t="shared" si="64"/>
        <v>8.2826666666666657</v>
      </c>
      <c r="M532" s="1806"/>
      <c r="N532" s="2085">
        <f t="shared" si="67"/>
        <v>275.52999999999997</v>
      </c>
      <c r="O532" s="2086">
        <f t="shared" si="65"/>
        <v>18.368666666666666</v>
      </c>
      <c r="P532" s="1806"/>
      <c r="Q532" s="1176"/>
    </row>
    <row r="533" spans="1:17" ht="14.4">
      <c r="A533" s="1176"/>
      <c r="B533" s="1848" t="s">
        <v>1155</v>
      </c>
      <c r="C533" s="1846">
        <v>45123</v>
      </c>
      <c r="D533" s="1847">
        <v>16</v>
      </c>
      <c r="E533" s="1806"/>
      <c r="F533" s="1862">
        <f>forbrug!AH411</f>
        <v>9.860000000000003</v>
      </c>
      <c r="G533" s="2085">
        <f>forbrug!AI411</f>
        <v>15.549999999999995</v>
      </c>
      <c r="H533" s="1864">
        <f t="shared" si="62"/>
        <v>0.41083333333333344</v>
      </c>
      <c r="I533" s="2087">
        <f t="shared" si="63"/>
        <v>1.5770791075050701</v>
      </c>
      <c r="J533" s="1806"/>
      <c r="K533" s="1842">
        <f t="shared" si="66"/>
        <v>134.1</v>
      </c>
      <c r="L533" s="1864">
        <f t="shared" si="64"/>
        <v>8.3812499999999996</v>
      </c>
      <c r="M533" s="1806"/>
      <c r="N533" s="2085">
        <f t="shared" si="67"/>
        <v>291.08</v>
      </c>
      <c r="O533" s="2086">
        <f t="shared" si="65"/>
        <v>18.192499999999999</v>
      </c>
      <c r="P533" s="1806"/>
      <c r="Q533" s="1176"/>
    </row>
    <row r="534" spans="1:17" ht="14.4">
      <c r="A534" s="1176"/>
      <c r="B534" s="1848" t="s">
        <v>1154</v>
      </c>
      <c r="C534" s="1846">
        <v>45124</v>
      </c>
      <c r="D534" s="1847">
        <v>17</v>
      </c>
      <c r="E534" s="1806"/>
      <c r="F534" s="1862">
        <f>forbrug!AH436</f>
        <v>7.629999999999999</v>
      </c>
      <c r="G534" s="2085">
        <f>forbrug!AI436</f>
        <v>14.22</v>
      </c>
      <c r="H534" s="1864">
        <f t="shared" si="62"/>
        <v>0.31791666666666663</v>
      </c>
      <c r="I534" s="2087">
        <f t="shared" si="63"/>
        <v>1.8636959370904329</v>
      </c>
      <c r="J534" s="1806"/>
      <c r="K534" s="1842">
        <f t="shared" si="66"/>
        <v>141.72999999999999</v>
      </c>
      <c r="L534" s="1864">
        <f t="shared" si="64"/>
        <v>8.3370588235294107</v>
      </c>
      <c r="M534" s="1806"/>
      <c r="N534" s="2085">
        <f t="shared" si="67"/>
        <v>305.3</v>
      </c>
      <c r="O534" s="2086">
        <f t="shared" si="65"/>
        <v>17.958823529411767</v>
      </c>
      <c r="P534" s="1806"/>
      <c r="Q534" s="1176"/>
    </row>
    <row r="535" spans="1:17" ht="14.4">
      <c r="A535" s="1176"/>
      <c r="B535" s="1848" t="s">
        <v>1153</v>
      </c>
      <c r="C535" s="1846">
        <v>45125</v>
      </c>
      <c r="D535" s="1847">
        <v>18</v>
      </c>
      <c r="E535" s="1806"/>
      <c r="F535" s="1862">
        <f>forbrug!AH461</f>
        <v>7.48</v>
      </c>
      <c r="G535" s="2085">
        <f>forbrug!AI461</f>
        <v>18.169999999999995</v>
      </c>
      <c r="H535" s="1864">
        <f t="shared" si="62"/>
        <v>0.3116666666666667</v>
      </c>
      <c r="I535" s="2087">
        <f t="shared" si="63"/>
        <v>2.4291443850267371</v>
      </c>
      <c r="J535" s="1806"/>
      <c r="K535" s="1842">
        <f t="shared" si="66"/>
        <v>149.20999999999998</v>
      </c>
      <c r="L535" s="1864">
        <f t="shared" si="64"/>
        <v>8.2894444444444435</v>
      </c>
      <c r="M535" s="1806"/>
      <c r="N535" s="2085">
        <f t="shared" si="67"/>
        <v>323.47000000000003</v>
      </c>
      <c r="O535" s="2086">
        <f t="shared" si="65"/>
        <v>17.970555555555556</v>
      </c>
      <c r="P535" s="1806"/>
      <c r="Q535" s="1176"/>
    </row>
    <row r="536" spans="1:17" ht="14.4">
      <c r="A536" s="1176"/>
      <c r="B536" s="1848" t="s">
        <v>1152</v>
      </c>
      <c r="C536" s="1846">
        <v>45126</v>
      </c>
      <c r="D536" s="1847">
        <v>19</v>
      </c>
      <c r="E536" s="1806"/>
      <c r="F536" s="1862">
        <f>forbrug!AH486</f>
        <v>7.5199999999999987</v>
      </c>
      <c r="G536" s="2085">
        <f>forbrug!AI486</f>
        <v>19.230000000000004</v>
      </c>
      <c r="H536" s="1863">
        <f t="shared" si="62"/>
        <v>0.3133333333333333</v>
      </c>
      <c r="I536" s="2087">
        <f t="shared" si="63"/>
        <v>2.5571808510638308</v>
      </c>
      <c r="J536" s="1806"/>
      <c r="K536" s="1842">
        <f t="shared" si="66"/>
        <v>156.72999999999999</v>
      </c>
      <c r="L536" s="1863">
        <f t="shared" si="64"/>
        <v>8.2489473684210513</v>
      </c>
      <c r="M536" s="1806"/>
      <c r="N536" s="2085">
        <f t="shared" si="67"/>
        <v>342.70000000000005</v>
      </c>
      <c r="O536" s="2086">
        <f t="shared" si="65"/>
        <v>18.036842105263162</v>
      </c>
      <c r="P536" s="1806"/>
      <c r="Q536" s="1176"/>
    </row>
    <row r="537" spans="1:17" ht="14.4">
      <c r="A537" s="1176"/>
      <c r="B537" s="1848" t="s">
        <v>1151</v>
      </c>
      <c r="C537" s="1846">
        <v>45127</v>
      </c>
      <c r="D537" s="1847">
        <v>20</v>
      </c>
      <c r="E537" s="1806"/>
      <c r="F537" s="1862">
        <f>forbrug!AH511</f>
        <v>8.7199999999999989</v>
      </c>
      <c r="G537" s="2085">
        <f>forbrug!AI511</f>
        <v>18.840000000000003</v>
      </c>
      <c r="H537" s="1863">
        <f t="shared" si="62"/>
        <v>0.36333333333333329</v>
      </c>
      <c r="I537" s="2087">
        <f t="shared" si="63"/>
        <v>2.1605504587155968</v>
      </c>
      <c r="J537" s="1806"/>
      <c r="K537" s="1842">
        <f t="shared" si="66"/>
        <v>165.45</v>
      </c>
      <c r="L537" s="1863">
        <f t="shared" si="64"/>
        <v>8.2724999999999991</v>
      </c>
      <c r="M537" s="1806"/>
      <c r="N537" s="2085">
        <f t="shared" si="67"/>
        <v>361.54000000000008</v>
      </c>
      <c r="O537" s="2086">
        <f t="shared" si="65"/>
        <v>18.077000000000005</v>
      </c>
      <c r="P537" s="1806"/>
      <c r="Q537" s="1176"/>
    </row>
    <row r="538" spans="1:17" ht="14.4">
      <c r="A538" s="1176"/>
      <c r="B538" s="1848" t="s">
        <v>1150</v>
      </c>
      <c r="C538" s="1846">
        <v>45128</v>
      </c>
      <c r="D538" s="1847">
        <v>21</v>
      </c>
      <c r="E538" s="1806"/>
      <c r="F538" s="1862">
        <f>forbrug!AH536</f>
        <v>7.38</v>
      </c>
      <c r="G538" s="2085">
        <f>forbrug!AI536</f>
        <v>18.95</v>
      </c>
      <c r="H538" s="1863">
        <f t="shared" si="62"/>
        <v>0.3075</v>
      </c>
      <c r="I538" s="2087">
        <f t="shared" si="63"/>
        <v>2.5677506775067749</v>
      </c>
      <c r="J538" s="1806"/>
      <c r="K538" s="1842">
        <f t="shared" si="66"/>
        <v>172.82999999999998</v>
      </c>
      <c r="L538" s="1863">
        <f t="shared" si="64"/>
        <v>8.2299999999999986</v>
      </c>
      <c r="M538" s="1806"/>
      <c r="N538" s="2085">
        <f t="shared" si="67"/>
        <v>380.49000000000007</v>
      </c>
      <c r="O538" s="2086">
        <f t="shared" si="65"/>
        <v>18.118571428571432</v>
      </c>
      <c r="P538" s="1806"/>
      <c r="Q538" s="1176"/>
    </row>
    <row r="539" spans="1:17" ht="14.4">
      <c r="A539" s="1176"/>
      <c r="B539" s="1848" t="s">
        <v>1149</v>
      </c>
      <c r="C539" s="1846">
        <v>45129</v>
      </c>
      <c r="D539" s="1847">
        <v>22</v>
      </c>
      <c r="E539" s="1806"/>
      <c r="F539" s="1862">
        <f>forbrug!AH561</f>
        <v>0</v>
      </c>
      <c r="G539" s="2085">
        <f>forbrug!AI561</f>
        <v>0</v>
      </c>
      <c r="H539" s="1863">
        <f t="shared" si="62"/>
        <v>0</v>
      </c>
      <c r="I539" s="2087" t="e">
        <f t="shared" si="63"/>
        <v>#DIV/0!</v>
      </c>
      <c r="J539" s="1806"/>
      <c r="K539" s="1842">
        <f t="shared" si="66"/>
        <v>172.82999999999998</v>
      </c>
      <c r="L539" s="1863">
        <f t="shared" si="64"/>
        <v>7.8559090909090905</v>
      </c>
      <c r="M539" s="1806"/>
      <c r="N539" s="2085">
        <f t="shared" si="67"/>
        <v>380.49000000000007</v>
      </c>
      <c r="O539" s="2086">
        <f t="shared" si="65"/>
        <v>17.295000000000002</v>
      </c>
      <c r="P539" s="1806"/>
      <c r="Q539" s="1176"/>
    </row>
    <row r="540" spans="1:17" ht="14.4">
      <c r="A540" s="1176"/>
      <c r="B540" s="1848" t="s">
        <v>1155</v>
      </c>
      <c r="C540" s="1846">
        <v>45130</v>
      </c>
      <c r="D540" s="1847">
        <v>23</v>
      </c>
      <c r="E540" s="1806"/>
      <c r="F540" s="1862">
        <f>forbrug!AH586</f>
        <v>0</v>
      </c>
      <c r="G540" s="2085">
        <f>forbrug!AI586</f>
        <v>0</v>
      </c>
      <c r="H540" s="1863">
        <f t="shared" si="62"/>
        <v>0</v>
      </c>
      <c r="I540" s="2087" t="e">
        <f t="shared" si="63"/>
        <v>#DIV/0!</v>
      </c>
      <c r="J540" s="1806"/>
      <c r="K540" s="1842">
        <f t="shared" si="66"/>
        <v>172.82999999999998</v>
      </c>
      <c r="L540" s="1863">
        <f t="shared" si="64"/>
        <v>7.5143478260869561</v>
      </c>
      <c r="M540" s="1806"/>
      <c r="N540" s="2085">
        <f t="shared" si="67"/>
        <v>380.49000000000007</v>
      </c>
      <c r="O540" s="2086">
        <f t="shared" si="65"/>
        <v>16.543043478260874</v>
      </c>
      <c r="P540" s="1806"/>
      <c r="Q540" s="1176"/>
    </row>
    <row r="541" spans="1:17" ht="14.4">
      <c r="A541" s="1176"/>
      <c r="B541" s="1848" t="s">
        <v>1154</v>
      </c>
      <c r="C541" s="1846">
        <v>45131</v>
      </c>
      <c r="D541" s="1847">
        <v>24</v>
      </c>
      <c r="E541" s="1806"/>
      <c r="F541" s="1862">
        <f>forbrug!AH611</f>
        <v>0</v>
      </c>
      <c r="G541" s="2085">
        <f>forbrug!AI611</f>
        <v>0</v>
      </c>
      <c r="H541" s="1863">
        <f t="shared" si="62"/>
        <v>0</v>
      </c>
      <c r="I541" s="2087" t="e">
        <f t="shared" si="63"/>
        <v>#DIV/0!</v>
      </c>
      <c r="J541" s="1806"/>
      <c r="K541" s="1842">
        <f t="shared" si="66"/>
        <v>172.82999999999998</v>
      </c>
      <c r="L541" s="1863">
        <f t="shared" si="64"/>
        <v>7.201249999999999</v>
      </c>
      <c r="M541" s="1806"/>
      <c r="N541" s="2085">
        <f t="shared" si="67"/>
        <v>380.49000000000007</v>
      </c>
      <c r="O541" s="2086">
        <f t="shared" si="65"/>
        <v>15.853750000000003</v>
      </c>
      <c r="P541" s="1806"/>
      <c r="Q541" s="1176"/>
    </row>
    <row r="542" spans="1:17" ht="14.4">
      <c r="A542" s="1176"/>
      <c r="B542" s="1848" t="s">
        <v>1153</v>
      </c>
      <c r="C542" s="1846">
        <v>45132</v>
      </c>
      <c r="D542" s="1847">
        <v>25</v>
      </c>
      <c r="E542" s="1806"/>
      <c r="F542" s="1862">
        <f>forbrug!AH636</f>
        <v>0</v>
      </c>
      <c r="G542" s="2085">
        <f>forbrug!AI636</f>
        <v>0</v>
      </c>
      <c r="H542" s="1862">
        <f t="shared" si="62"/>
        <v>0</v>
      </c>
      <c r="I542" s="2087" t="e">
        <f t="shared" si="63"/>
        <v>#DIV/0!</v>
      </c>
      <c r="J542" s="1806"/>
      <c r="K542" s="1842">
        <f t="shared" si="66"/>
        <v>172.82999999999998</v>
      </c>
      <c r="L542" s="1862">
        <f t="shared" si="64"/>
        <v>6.9131999999999998</v>
      </c>
      <c r="M542" s="1806"/>
      <c r="N542" s="2085">
        <f t="shared" si="67"/>
        <v>380.49000000000007</v>
      </c>
      <c r="O542" s="2086">
        <f t="shared" si="65"/>
        <v>15.219600000000003</v>
      </c>
      <c r="P542" s="1806"/>
      <c r="Q542" s="1176"/>
    </row>
    <row r="543" spans="1:17" ht="14.4">
      <c r="A543" s="1176"/>
      <c r="B543" s="1848" t="s">
        <v>1152</v>
      </c>
      <c r="C543" s="1846">
        <v>45133</v>
      </c>
      <c r="D543" s="1847">
        <v>26</v>
      </c>
      <c r="E543" s="1806"/>
      <c r="F543" s="1862">
        <f>forbrug!AH661</f>
        <v>0</v>
      </c>
      <c r="G543" s="2085">
        <f>forbrug!AI661</f>
        <v>0</v>
      </c>
      <c r="H543" s="1862">
        <f t="shared" si="62"/>
        <v>0</v>
      </c>
      <c r="I543" s="2087" t="e">
        <f t="shared" si="63"/>
        <v>#DIV/0!</v>
      </c>
      <c r="J543" s="1806"/>
      <c r="K543" s="1842">
        <f t="shared" si="66"/>
        <v>172.82999999999998</v>
      </c>
      <c r="L543" s="1862">
        <f t="shared" si="64"/>
        <v>6.6473076923076917</v>
      </c>
      <c r="M543" s="1806"/>
      <c r="N543" s="2085">
        <f t="shared" si="67"/>
        <v>380.49000000000007</v>
      </c>
      <c r="O543" s="2086">
        <f t="shared" si="65"/>
        <v>14.634230769230772</v>
      </c>
      <c r="P543" s="1806"/>
      <c r="Q543" s="1176"/>
    </row>
    <row r="544" spans="1:17" ht="14.4">
      <c r="A544" s="1176"/>
      <c r="B544" s="1848" t="s">
        <v>1151</v>
      </c>
      <c r="C544" s="1846">
        <v>45134</v>
      </c>
      <c r="D544" s="1847">
        <v>27</v>
      </c>
      <c r="E544" s="1806"/>
      <c r="F544" s="1862">
        <f>forbrug!AH686</f>
        <v>0</v>
      </c>
      <c r="G544" s="2085">
        <f>forbrug!AI686</f>
        <v>0</v>
      </c>
      <c r="H544" s="1862">
        <f t="shared" si="62"/>
        <v>0</v>
      </c>
      <c r="I544" s="2087" t="e">
        <f t="shared" si="63"/>
        <v>#DIV/0!</v>
      </c>
      <c r="J544" s="1806"/>
      <c r="K544" s="1842">
        <f t="shared" si="66"/>
        <v>172.82999999999998</v>
      </c>
      <c r="L544" s="1862">
        <f t="shared" si="64"/>
        <v>6.4011111111111108</v>
      </c>
      <c r="M544" s="1806"/>
      <c r="N544" s="2085">
        <f t="shared" si="67"/>
        <v>380.49000000000007</v>
      </c>
      <c r="O544" s="2086">
        <f t="shared" si="65"/>
        <v>14.092222222222224</v>
      </c>
      <c r="P544" s="1806"/>
      <c r="Q544" s="1176"/>
    </row>
    <row r="545" spans="1:19" ht="14.4">
      <c r="A545" s="1176"/>
      <c r="B545" s="1848" t="s">
        <v>1150</v>
      </c>
      <c r="C545" s="1846">
        <v>45135</v>
      </c>
      <c r="D545" s="1847">
        <v>28</v>
      </c>
      <c r="E545" s="1806"/>
      <c r="F545" s="1862">
        <f>forbrug!AH711</f>
        <v>0</v>
      </c>
      <c r="G545" s="2085">
        <f>forbrug!AI711</f>
        <v>0</v>
      </c>
      <c r="H545" s="1862">
        <f t="shared" si="62"/>
        <v>0</v>
      </c>
      <c r="I545" s="2087" t="e">
        <f t="shared" si="63"/>
        <v>#DIV/0!</v>
      </c>
      <c r="J545" s="1806"/>
      <c r="K545" s="1842">
        <f t="shared" si="66"/>
        <v>172.82999999999998</v>
      </c>
      <c r="L545" s="1862">
        <f t="shared" si="64"/>
        <v>6.1724999999999994</v>
      </c>
      <c r="M545" s="1806"/>
      <c r="N545" s="2085">
        <f t="shared" si="67"/>
        <v>380.49000000000007</v>
      </c>
      <c r="O545" s="2086">
        <f t="shared" si="65"/>
        <v>13.588928571428573</v>
      </c>
      <c r="P545" s="1806"/>
      <c r="Q545" s="1176"/>
    </row>
    <row r="546" spans="1:19" ht="14.4">
      <c r="A546" s="1176"/>
      <c r="B546" s="1848" t="s">
        <v>1149</v>
      </c>
      <c r="C546" s="1846">
        <v>45136</v>
      </c>
      <c r="D546" s="1847">
        <v>29</v>
      </c>
      <c r="E546" s="1806"/>
      <c r="F546" s="1862">
        <f>forbrug!AH736</f>
        <v>0</v>
      </c>
      <c r="G546" s="2085">
        <f>forbrug!AI736</f>
        <v>0</v>
      </c>
      <c r="H546" s="1862">
        <f t="shared" si="62"/>
        <v>0</v>
      </c>
      <c r="I546" s="2087" t="e">
        <f t="shared" si="63"/>
        <v>#DIV/0!</v>
      </c>
      <c r="J546" s="1806"/>
      <c r="K546" s="1842">
        <f t="shared" si="66"/>
        <v>172.82999999999998</v>
      </c>
      <c r="L546" s="1862">
        <f t="shared" si="64"/>
        <v>5.9596551724137923</v>
      </c>
      <c r="M546" s="1806"/>
      <c r="N546" s="2085">
        <f t="shared" si="67"/>
        <v>380.49000000000007</v>
      </c>
      <c r="O546" s="2086">
        <f t="shared" si="65"/>
        <v>13.120344827586209</v>
      </c>
      <c r="P546" s="1806"/>
      <c r="Q546" s="1176"/>
    </row>
    <row r="547" spans="1:19" ht="14.4">
      <c r="A547" s="1176"/>
      <c r="B547" s="1848" t="s">
        <v>1155</v>
      </c>
      <c r="C547" s="1846">
        <v>45137</v>
      </c>
      <c r="D547" s="1847">
        <v>30</v>
      </c>
      <c r="E547" s="1806"/>
      <c r="F547" s="1862">
        <f>forbrug!AH761</f>
        <v>0</v>
      </c>
      <c r="G547" s="2085">
        <f>forbrug!AI761</f>
        <v>0</v>
      </c>
      <c r="H547" s="1862">
        <f t="shared" si="62"/>
        <v>0</v>
      </c>
      <c r="I547" s="2087" t="e">
        <f t="shared" si="63"/>
        <v>#DIV/0!</v>
      </c>
      <c r="J547" s="1806"/>
      <c r="K547" s="1842">
        <f t="shared" si="66"/>
        <v>172.82999999999998</v>
      </c>
      <c r="L547" s="1862">
        <f t="shared" si="64"/>
        <v>5.7609999999999992</v>
      </c>
      <c r="M547" s="1806"/>
      <c r="N547" s="2085">
        <f t="shared" si="67"/>
        <v>380.49000000000007</v>
      </c>
      <c r="O547" s="2086">
        <f t="shared" si="65"/>
        <v>12.683000000000002</v>
      </c>
      <c r="P547" s="1806"/>
      <c r="Q547" s="1176"/>
    </row>
    <row r="548" spans="1:19" ht="14.4">
      <c r="A548" s="1176"/>
      <c r="B548" s="1848" t="s">
        <v>1154</v>
      </c>
      <c r="C548" s="1846">
        <v>45138</v>
      </c>
      <c r="D548" s="1847">
        <v>31</v>
      </c>
      <c r="E548" s="1806"/>
      <c r="F548" s="1862">
        <f>forbrug!AH786</f>
        <v>0</v>
      </c>
      <c r="G548" s="2085">
        <f>forbrug!AI786</f>
        <v>0</v>
      </c>
      <c r="H548" s="1862">
        <f t="shared" ref="H548" si="68">F548/24</f>
        <v>0</v>
      </c>
      <c r="I548" s="2087" t="e">
        <f t="shared" ref="I548" si="69">G548/F548</f>
        <v>#DIV/0!</v>
      </c>
      <c r="J548" s="1806"/>
      <c r="K548" s="1842">
        <f t="shared" si="66"/>
        <v>172.82999999999998</v>
      </c>
      <c r="L548" s="1862">
        <f t="shared" si="64"/>
        <v>5.5751612903225798</v>
      </c>
      <c r="M548" s="1806"/>
      <c r="N548" s="2085">
        <f t="shared" si="67"/>
        <v>380.49000000000007</v>
      </c>
      <c r="O548" s="2086">
        <f t="shared" si="65"/>
        <v>12.273870967741937</v>
      </c>
      <c r="P548" s="1806"/>
      <c r="Q548" s="1176"/>
    </row>
    <row r="549" spans="1:19" s="1851" customFormat="1" ht="9" customHeight="1" thickBot="1">
      <c r="H549" s="2004"/>
      <c r="I549" s="2004"/>
      <c r="L549" s="2004"/>
      <c r="M549" s="1852"/>
      <c r="O549" s="2004"/>
      <c r="P549" s="1852"/>
      <c r="R549" s="1852"/>
      <c r="S549" s="1852"/>
    </row>
    <row r="550" spans="1:19" ht="14.4">
      <c r="A550" s="1176"/>
      <c r="B550" s="1829"/>
      <c r="C550" s="1830">
        <f ca="1">TODAY()</f>
        <v>45428</v>
      </c>
      <c r="D550" s="1831">
        <f>MAX(D551:D581)</f>
        <v>31</v>
      </c>
      <c r="E550" s="1832"/>
      <c r="F550" s="1837">
        <f>SUM(F551:F580)/$D$517</f>
        <v>0</v>
      </c>
      <c r="G550" s="1834">
        <f>SUM(G551:G580)/$D$517</f>
        <v>0</v>
      </c>
      <c r="H550" s="2029">
        <f>SUM(H551:H580)/$D$517</f>
        <v>0</v>
      </c>
      <c r="I550" s="2030" t="e">
        <f>G550/F550</f>
        <v>#DIV/0!</v>
      </c>
      <c r="J550" s="1832"/>
      <c r="K550" s="1837">
        <v>236.8</v>
      </c>
      <c r="L550" s="2029">
        <f>K550/30</f>
        <v>7.8933333333333335</v>
      </c>
      <c r="M550" s="1832"/>
      <c r="N550" s="1834">
        <v>494.01</v>
      </c>
      <c r="O550" s="2031">
        <f>N550/D567</f>
        <v>29.059411764705882</v>
      </c>
      <c r="P550" s="1832"/>
      <c r="Q550" s="1828"/>
    </row>
    <row r="551" spans="1:19" ht="14.4">
      <c r="A551" s="1176"/>
      <c r="B551" s="1848" t="s">
        <v>1149</v>
      </c>
      <c r="C551" s="1846">
        <v>45139</v>
      </c>
      <c r="D551" s="1847">
        <v>1</v>
      </c>
      <c r="E551" s="1806"/>
      <c r="F551" s="1862">
        <f>forbrug!AH789</f>
        <v>0</v>
      </c>
      <c r="G551" s="2085">
        <f>forbrug!AI789</f>
        <v>0</v>
      </c>
      <c r="H551" s="1862">
        <f t="shared" ref="H551:H581" si="70">F551/24</f>
        <v>0</v>
      </c>
      <c r="I551" s="2087" t="e">
        <f t="shared" ref="I551:I581" si="71">G551/F551</f>
        <v>#DIV/0!</v>
      </c>
      <c r="J551" s="1811"/>
      <c r="K551" s="1842">
        <f>F551</f>
        <v>0</v>
      </c>
      <c r="L551" s="1862">
        <f t="shared" ref="L551:L581" si="72">K551/D551</f>
        <v>0</v>
      </c>
      <c r="M551" s="1811"/>
      <c r="N551" s="2085">
        <f>G551</f>
        <v>0</v>
      </c>
      <c r="O551" s="2086">
        <f t="shared" ref="O551:O581" si="73">N551/D551</f>
        <v>0</v>
      </c>
      <c r="P551" s="1811"/>
      <c r="Q551" s="1843"/>
    </row>
    <row r="552" spans="1:19" ht="14.4">
      <c r="A552" s="1176"/>
      <c r="B552" s="1848" t="s">
        <v>1155</v>
      </c>
      <c r="C552" s="1846">
        <v>45140</v>
      </c>
      <c r="D552" s="1847">
        <v>2</v>
      </c>
      <c r="E552" s="1806"/>
      <c r="F552" s="1862">
        <f>forbrug!AH790</f>
        <v>0</v>
      </c>
      <c r="G552" s="2085">
        <f>forbrug!AI790</f>
        <v>0</v>
      </c>
      <c r="H552" s="1862">
        <f t="shared" si="70"/>
        <v>0</v>
      </c>
      <c r="I552" s="2087" t="e">
        <f t="shared" si="71"/>
        <v>#DIV/0!</v>
      </c>
      <c r="J552" s="1806"/>
      <c r="K552" s="1842">
        <f t="shared" ref="K552:K580" si="74">K551+F552</f>
        <v>0</v>
      </c>
      <c r="L552" s="1862">
        <f t="shared" si="72"/>
        <v>0</v>
      </c>
      <c r="M552" s="1806"/>
      <c r="N552" s="2085">
        <f t="shared" ref="N552:N581" si="75">N551+G552</f>
        <v>0</v>
      </c>
      <c r="O552" s="2086">
        <f t="shared" si="73"/>
        <v>0</v>
      </c>
      <c r="P552" s="1806"/>
      <c r="Q552" s="1176"/>
    </row>
    <row r="553" spans="1:19" ht="14.4">
      <c r="A553" s="1176"/>
      <c r="B553" s="1848" t="s">
        <v>1154</v>
      </c>
      <c r="C553" s="1846">
        <v>45141</v>
      </c>
      <c r="D553" s="1847">
        <v>3</v>
      </c>
      <c r="E553" s="1806"/>
      <c r="F553" s="1862">
        <f>forbrug!AH791</f>
        <v>0</v>
      </c>
      <c r="G553" s="2085">
        <f>forbrug!AI791</f>
        <v>0</v>
      </c>
      <c r="H553" s="1862">
        <f t="shared" si="70"/>
        <v>0</v>
      </c>
      <c r="I553" s="2087" t="e">
        <f t="shared" si="71"/>
        <v>#DIV/0!</v>
      </c>
      <c r="J553" s="1806"/>
      <c r="K553" s="1842">
        <f t="shared" si="74"/>
        <v>0</v>
      </c>
      <c r="L553" s="1862">
        <f t="shared" si="72"/>
        <v>0</v>
      </c>
      <c r="M553" s="1806"/>
      <c r="N553" s="2085">
        <f t="shared" si="75"/>
        <v>0</v>
      </c>
      <c r="O553" s="2086">
        <f t="shared" si="73"/>
        <v>0</v>
      </c>
      <c r="P553" s="1806"/>
      <c r="Q553" s="1176"/>
    </row>
    <row r="554" spans="1:19" ht="14.4">
      <c r="A554" s="1176"/>
      <c r="B554" s="1848" t="s">
        <v>1153</v>
      </c>
      <c r="C554" s="1846">
        <v>45142</v>
      </c>
      <c r="D554" s="1847">
        <v>4</v>
      </c>
      <c r="E554" s="1806"/>
      <c r="F554" s="1862">
        <f>forbrug!AH792</f>
        <v>0</v>
      </c>
      <c r="G554" s="2085">
        <f>forbrug!AI792</f>
        <v>0</v>
      </c>
      <c r="H554" s="1862">
        <f t="shared" si="70"/>
        <v>0</v>
      </c>
      <c r="I554" s="2087" t="e">
        <f t="shared" si="71"/>
        <v>#DIV/0!</v>
      </c>
      <c r="J554" s="1806"/>
      <c r="K554" s="1842">
        <f t="shared" si="74"/>
        <v>0</v>
      </c>
      <c r="L554" s="1862">
        <f t="shared" si="72"/>
        <v>0</v>
      </c>
      <c r="M554" s="1806"/>
      <c r="N554" s="2085">
        <f t="shared" si="75"/>
        <v>0</v>
      </c>
      <c r="O554" s="2086">
        <f t="shared" si="73"/>
        <v>0</v>
      </c>
      <c r="P554" s="1806"/>
      <c r="Q554" s="1176"/>
    </row>
    <row r="555" spans="1:19" ht="14.4">
      <c r="A555" s="1176"/>
      <c r="B555" s="1848" t="s">
        <v>1152</v>
      </c>
      <c r="C555" s="1846">
        <v>45143</v>
      </c>
      <c r="D555" s="1847">
        <v>5</v>
      </c>
      <c r="E555" s="1806"/>
      <c r="F555" s="1862">
        <f>forbrug!AH793</f>
        <v>0</v>
      </c>
      <c r="G555" s="2085">
        <f>forbrug!AI793</f>
        <v>0</v>
      </c>
      <c r="H555" s="1862">
        <f t="shared" si="70"/>
        <v>0</v>
      </c>
      <c r="I555" s="2087" t="e">
        <f t="shared" si="71"/>
        <v>#DIV/0!</v>
      </c>
      <c r="J555" s="1806"/>
      <c r="K555" s="1842">
        <f t="shared" si="74"/>
        <v>0</v>
      </c>
      <c r="L555" s="1862">
        <f t="shared" si="72"/>
        <v>0</v>
      </c>
      <c r="M555" s="1806"/>
      <c r="N555" s="2085">
        <f t="shared" si="75"/>
        <v>0</v>
      </c>
      <c r="O555" s="2086">
        <f t="shared" si="73"/>
        <v>0</v>
      </c>
      <c r="P555" s="1806"/>
      <c r="Q555" s="1176"/>
    </row>
    <row r="556" spans="1:19" ht="14.4">
      <c r="A556" s="1176"/>
      <c r="B556" s="1848" t="s">
        <v>1151</v>
      </c>
      <c r="C556" s="1846">
        <v>45144</v>
      </c>
      <c r="D556" s="1847">
        <v>6</v>
      </c>
      <c r="E556" s="1806"/>
      <c r="F556" s="1862">
        <f>forbrug!AH794</f>
        <v>0</v>
      </c>
      <c r="G556" s="2085">
        <f>forbrug!AI794</f>
        <v>0</v>
      </c>
      <c r="H556" s="1862">
        <f t="shared" si="70"/>
        <v>0</v>
      </c>
      <c r="I556" s="2087" t="e">
        <f t="shared" si="71"/>
        <v>#DIV/0!</v>
      </c>
      <c r="J556" s="1806"/>
      <c r="K556" s="1842">
        <f t="shared" si="74"/>
        <v>0</v>
      </c>
      <c r="L556" s="1862">
        <f t="shared" si="72"/>
        <v>0</v>
      </c>
      <c r="M556" s="1806"/>
      <c r="N556" s="2085">
        <f t="shared" si="75"/>
        <v>0</v>
      </c>
      <c r="O556" s="2086">
        <f t="shared" si="73"/>
        <v>0</v>
      </c>
      <c r="P556" s="1806"/>
      <c r="Q556" s="1176"/>
    </row>
    <row r="557" spans="1:19" ht="14.4">
      <c r="A557" s="1176"/>
      <c r="B557" s="1848" t="s">
        <v>1150</v>
      </c>
      <c r="C557" s="1846">
        <v>45145</v>
      </c>
      <c r="D557" s="1847">
        <v>7</v>
      </c>
      <c r="E557" s="1806"/>
      <c r="F557" s="1862">
        <f>forbrug!AH795</f>
        <v>0</v>
      </c>
      <c r="G557" s="2085">
        <f>forbrug!AI795</f>
        <v>0</v>
      </c>
      <c r="H557" s="1862">
        <f t="shared" si="70"/>
        <v>0</v>
      </c>
      <c r="I557" s="2087" t="e">
        <f t="shared" si="71"/>
        <v>#DIV/0!</v>
      </c>
      <c r="J557" s="1806"/>
      <c r="K557" s="1842">
        <f t="shared" si="74"/>
        <v>0</v>
      </c>
      <c r="L557" s="1862">
        <f t="shared" si="72"/>
        <v>0</v>
      </c>
      <c r="M557" s="1806"/>
      <c r="N557" s="2085">
        <f t="shared" si="75"/>
        <v>0</v>
      </c>
      <c r="O557" s="2086">
        <f t="shared" si="73"/>
        <v>0</v>
      </c>
      <c r="P557" s="1806"/>
      <c r="Q557" s="1176"/>
    </row>
    <row r="558" spans="1:19" ht="14.4">
      <c r="A558" s="1176"/>
      <c r="B558" s="1848" t="s">
        <v>1149</v>
      </c>
      <c r="C558" s="1846">
        <v>45146</v>
      </c>
      <c r="D558" s="1847">
        <v>8</v>
      </c>
      <c r="E558" s="1806"/>
      <c r="F558" s="1862">
        <f>forbrug!AH796</f>
        <v>0</v>
      </c>
      <c r="G558" s="2085">
        <f>forbrug!AI796</f>
        <v>0</v>
      </c>
      <c r="H558" s="1862">
        <f t="shared" si="70"/>
        <v>0</v>
      </c>
      <c r="I558" s="2087" t="e">
        <f t="shared" si="71"/>
        <v>#DIV/0!</v>
      </c>
      <c r="J558" s="1806"/>
      <c r="K558" s="1842">
        <f t="shared" si="74"/>
        <v>0</v>
      </c>
      <c r="L558" s="1862">
        <f t="shared" si="72"/>
        <v>0</v>
      </c>
      <c r="M558" s="1806"/>
      <c r="N558" s="2085">
        <f t="shared" si="75"/>
        <v>0</v>
      </c>
      <c r="O558" s="2086">
        <f t="shared" si="73"/>
        <v>0</v>
      </c>
      <c r="P558" s="1806"/>
      <c r="Q558" s="1176"/>
    </row>
    <row r="559" spans="1:19" ht="14.4">
      <c r="A559" s="1176"/>
      <c r="B559" s="1848" t="s">
        <v>1155</v>
      </c>
      <c r="C559" s="1846">
        <v>45147</v>
      </c>
      <c r="D559" s="1847">
        <v>9</v>
      </c>
      <c r="E559" s="1806"/>
      <c r="F559" s="1862">
        <f>forbrug!AH797</f>
        <v>0</v>
      </c>
      <c r="G559" s="2085">
        <f>forbrug!AI797</f>
        <v>0</v>
      </c>
      <c r="H559" s="1864">
        <f t="shared" si="70"/>
        <v>0</v>
      </c>
      <c r="I559" s="2087" t="e">
        <f t="shared" si="71"/>
        <v>#DIV/0!</v>
      </c>
      <c r="J559" s="1806"/>
      <c r="K559" s="1842">
        <f t="shared" si="74"/>
        <v>0</v>
      </c>
      <c r="L559" s="1864">
        <f t="shared" si="72"/>
        <v>0</v>
      </c>
      <c r="M559" s="1806"/>
      <c r="N559" s="2085">
        <f t="shared" si="75"/>
        <v>0</v>
      </c>
      <c r="O559" s="2086">
        <f t="shared" si="73"/>
        <v>0</v>
      </c>
      <c r="P559" s="1806"/>
      <c r="Q559" s="1176"/>
    </row>
    <row r="560" spans="1:19" ht="14.4">
      <c r="A560" s="1176"/>
      <c r="B560" s="1848" t="s">
        <v>1154</v>
      </c>
      <c r="C560" s="1846">
        <v>45148</v>
      </c>
      <c r="D560" s="1847">
        <v>10</v>
      </c>
      <c r="E560" s="1806"/>
      <c r="F560" s="1862">
        <f>forbrug!AH798</f>
        <v>0</v>
      </c>
      <c r="G560" s="2085">
        <f>forbrug!AI798</f>
        <v>0</v>
      </c>
      <c r="H560" s="1864">
        <f t="shared" si="70"/>
        <v>0</v>
      </c>
      <c r="I560" s="2087" t="e">
        <f t="shared" si="71"/>
        <v>#DIV/0!</v>
      </c>
      <c r="J560" s="1806"/>
      <c r="K560" s="1842">
        <f t="shared" si="74"/>
        <v>0</v>
      </c>
      <c r="L560" s="1864">
        <f t="shared" si="72"/>
        <v>0</v>
      </c>
      <c r="M560" s="1806"/>
      <c r="N560" s="2085">
        <f t="shared" si="75"/>
        <v>0</v>
      </c>
      <c r="O560" s="2086">
        <f t="shared" si="73"/>
        <v>0</v>
      </c>
      <c r="P560" s="1806"/>
      <c r="Q560" s="1176"/>
    </row>
    <row r="561" spans="1:17" ht="14.4">
      <c r="A561" s="1176"/>
      <c r="B561" s="1848" t="s">
        <v>1153</v>
      </c>
      <c r="C561" s="1846">
        <v>45149</v>
      </c>
      <c r="D561" s="1847">
        <v>11</v>
      </c>
      <c r="E561" s="1806"/>
      <c r="F561" s="1862">
        <f>forbrug!AH799</f>
        <v>0</v>
      </c>
      <c r="G561" s="2085">
        <f>forbrug!AI799</f>
        <v>0</v>
      </c>
      <c r="H561" s="1864">
        <f t="shared" si="70"/>
        <v>0</v>
      </c>
      <c r="I561" s="2087" t="e">
        <f t="shared" si="71"/>
        <v>#DIV/0!</v>
      </c>
      <c r="J561" s="1806"/>
      <c r="K561" s="1842">
        <f t="shared" si="74"/>
        <v>0</v>
      </c>
      <c r="L561" s="1864">
        <f t="shared" si="72"/>
        <v>0</v>
      </c>
      <c r="M561" s="1806"/>
      <c r="N561" s="2085">
        <f t="shared" si="75"/>
        <v>0</v>
      </c>
      <c r="O561" s="2086">
        <f t="shared" si="73"/>
        <v>0</v>
      </c>
      <c r="P561" s="1806"/>
      <c r="Q561" s="1176"/>
    </row>
    <row r="562" spans="1:17" ht="14.4">
      <c r="A562" s="1176"/>
      <c r="B562" s="1848" t="s">
        <v>1152</v>
      </c>
      <c r="C562" s="1846">
        <v>45150</v>
      </c>
      <c r="D562" s="1847">
        <v>12</v>
      </c>
      <c r="E562" s="1806"/>
      <c r="F562" s="1862">
        <f>forbrug!AH800</f>
        <v>0</v>
      </c>
      <c r="G562" s="2085">
        <f>forbrug!AI800</f>
        <v>0</v>
      </c>
      <c r="H562" s="1864">
        <f t="shared" si="70"/>
        <v>0</v>
      </c>
      <c r="I562" s="2087" t="e">
        <f t="shared" si="71"/>
        <v>#DIV/0!</v>
      </c>
      <c r="J562" s="1806"/>
      <c r="K562" s="1842">
        <f t="shared" si="74"/>
        <v>0</v>
      </c>
      <c r="L562" s="1864">
        <f t="shared" si="72"/>
        <v>0</v>
      </c>
      <c r="M562" s="1806"/>
      <c r="N562" s="2085">
        <f t="shared" si="75"/>
        <v>0</v>
      </c>
      <c r="O562" s="2086">
        <f t="shared" si="73"/>
        <v>0</v>
      </c>
      <c r="P562" s="1806"/>
      <c r="Q562" s="1176"/>
    </row>
    <row r="563" spans="1:17" ht="14.4">
      <c r="A563" s="1176"/>
      <c r="B563" s="1848" t="s">
        <v>1151</v>
      </c>
      <c r="C563" s="1846">
        <v>45151</v>
      </c>
      <c r="D563" s="1847">
        <v>13</v>
      </c>
      <c r="E563" s="1806"/>
      <c r="F563" s="1862">
        <f>forbrug!AH801</f>
        <v>0</v>
      </c>
      <c r="G563" s="2085">
        <f>forbrug!AI801</f>
        <v>0</v>
      </c>
      <c r="H563" s="1864">
        <f t="shared" si="70"/>
        <v>0</v>
      </c>
      <c r="I563" s="2087" t="e">
        <f t="shared" si="71"/>
        <v>#DIV/0!</v>
      </c>
      <c r="J563" s="1806"/>
      <c r="K563" s="1842">
        <f t="shared" si="74"/>
        <v>0</v>
      </c>
      <c r="L563" s="1864">
        <f t="shared" si="72"/>
        <v>0</v>
      </c>
      <c r="M563" s="1806"/>
      <c r="N563" s="2085">
        <f t="shared" si="75"/>
        <v>0</v>
      </c>
      <c r="O563" s="2086">
        <f t="shared" si="73"/>
        <v>0</v>
      </c>
      <c r="P563" s="1806"/>
      <c r="Q563" s="1176"/>
    </row>
    <row r="564" spans="1:17" ht="14.4">
      <c r="A564" s="1176"/>
      <c r="B564" s="1848" t="s">
        <v>1150</v>
      </c>
      <c r="C564" s="1846">
        <v>45152</v>
      </c>
      <c r="D564" s="1847">
        <v>14</v>
      </c>
      <c r="E564" s="1806"/>
      <c r="F564" s="1862">
        <f>forbrug!AH802</f>
        <v>0</v>
      </c>
      <c r="G564" s="2085">
        <f>forbrug!AI802</f>
        <v>0</v>
      </c>
      <c r="H564" s="1864">
        <f t="shared" si="70"/>
        <v>0</v>
      </c>
      <c r="I564" s="2087" t="e">
        <f t="shared" si="71"/>
        <v>#DIV/0!</v>
      </c>
      <c r="J564" s="1806"/>
      <c r="K564" s="1842">
        <f t="shared" si="74"/>
        <v>0</v>
      </c>
      <c r="L564" s="1864">
        <f t="shared" si="72"/>
        <v>0</v>
      </c>
      <c r="M564" s="1806"/>
      <c r="N564" s="2085">
        <f t="shared" si="75"/>
        <v>0</v>
      </c>
      <c r="O564" s="2086">
        <f t="shared" si="73"/>
        <v>0</v>
      </c>
      <c r="P564" s="1806"/>
      <c r="Q564" s="1176"/>
    </row>
    <row r="565" spans="1:17" ht="14.4">
      <c r="A565" s="1176"/>
      <c r="B565" s="1848" t="s">
        <v>1149</v>
      </c>
      <c r="C565" s="1846">
        <v>45153</v>
      </c>
      <c r="D565" s="1847">
        <v>15</v>
      </c>
      <c r="E565" s="1806"/>
      <c r="F565" s="1862">
        <f>forbrug!AH803</f>
        <v>0</v>
      </c>
      <c r="G565" s="2085">
        <f>forbrug!AI803</f>
        <v>0</v>
      </c>
      <c r="H565" s="1864">
        <f t="shared" si="70"/>
        <v>0</v>
      </c>
      <c r="I565" s="2087" t="e">
        <f t="shared" si="71"/>
        <v>#DIV/0!</v>
      </c>
      <c r="J565" s="1806"/>
      <c r="K565" s="1842">
        <f t="shared" si="74"/>
        <v>0</v>
      </c>
      <c r="L565" s="1864">
        <f t="shared" si="72"/>
        <v>0</v>
      </c>
      <c r="M565" s="1806"/>
      <c r="N565" s="2085">
        <f t="shared" si="75"/>
        <v>0</v>
      </c>
      <c r="O565" s="2086">
        <f t="shared" si="73"/>
        <v>0</v>
      </c>
      <c r="P565" s="1806"/>
      <c r="Q565" s="1176"/>
    </row>
    <row r="566" spans="1:17" ht="14.4">
      <c r="A566" s="1176"/>
      <c r="B566" s="1848" t="s">
        <v>1155</v>
      </c>
      <c r="C566" s="1846">
        <v>45154</v>
      </c>
      <c r="D566" s="1847">
        <v>16</v>
      </c>
      <c r="E566" s="1806"/>
      <c r="F566" s="1862">
        <f>forbrug!AH804</f>
        <v>0</v>
      </c>
      <c r="G566" s="2085">
        <f>forbrug!AI804</f>
        <v>0</v>
      </c>
      <c r="H566" s="1864">
        <f t="shared" si="70"/>
        <v>0</v>
      </c>
      <c r="I566" s="2087" t="e">
        <f t="shared" si="71"/>
        <v>#DIV/0!</v>
      </c>
      <c r="J566" s="1806"/>
      <c r="K566" s="1842">
        <f t="shared" si="74"/>
        <v>0</v>
      </c>
      <c r="L566" s="1864">
        <f t="shared" si="72"/>
        <v>0</v>
      </c>
      <c r="M566" s="1806"/>
      <c r="N566" s="2085">
        <f t="shared" si="75"/>
        <v>0</v>
      </c>
      <c r="O566" s="2086">
        <f t="shared" si="73"/>
        <v>0</v>
      </c>
      <c r="P566" s="1806"/>
      <c r="Q566" s="1176"/>
    </row>
    <row r="567" spans="1:17" ht="14.4">
      <c r="A567" s="1176"/>
      <c r="B567" s="1848" t="s">
        <v>1154</v>
      </c>
      <c r="C567" s="1846">
        <v>45155</v>
      </c>
      <c r="D567" s="1847">
        <v>17</v>
      </c>
      <c r="E567" s="1806"/>
      <c r="F567" s="1862">
        <f>forbrug!AH805</f>
        <v>0</v>
      </c>
      <c r="G567" s="2085">
        <f>forbrug!AI805</f>
        <v>0</v>
      </c>
      <c r="H567" s="1864">
        <f t="shared" si="70"/>
        <v>0</v>
      </c>
      <c r="I567" s="2087" t="e">
        <f t="shared" si="71"/>
        <v>#DIV/0!</v>
      </c>
      <c r="J567" s="1806"/>
      <c r="K567" s="1842">
        <f t="shared" si="74"/>
        <v>0</v>
      </c>
      <c r="L567" s="1864">
        <f t="shared" si="72"/>
        <v>0</v>
      </c>
      <c r="M567" s="1806"/>
      <c r="N567" s="2085">
        <f t="shared" si="75"/>
        <v>0</v>
      </c>
      <c r="O567" s="2086">
        <f t="shared" si="73"/>
        <v>0</v>
      </c>
      <c r="P567" s="1806"/>
      <c r="Q567" s="1176"/>
    </row>
    <row r="568" spans="1:17" ht="14.4">
      <c r="A568" s="1176"/>
      <c r="B568" s="1848" t="s">
        <v>1153</v>
      </c>
      <c r="C568" s="1846">
        <v>45156</v>
      </c>
      <c r="D568" s="1847">
        <v>18</v>
      </c>
      <c r="E568" s="1806"/>
      <c r="F568" s="1862">
        <f>forbrug!AH806</f>
        <v>0</v>
      </c>
      <c r="G568" s="2085">
        <f>forbrug!AI806</f>
        <v>0</v>
      </c>
      <c r="H568" s="1864">
        <f t="shared" si="70"/>
        <v>0</v>
      </c>
      <c r="I568" s="2087" t="e">
        <f t="shared" si="71"/>
        <v>#DIV/0!</v>
      </c>
      <c r="J568" s="1806"/>
      <c r="K568" s="1842">
        <f t="shared" si="74"/>
        <v>0</v>
      </c>
      <c r="L568" s="1864">
        <f t="shared" si="72"/>
        <v>0</v>
      </c>
      <c r="M568" s="1806"/>
      <c r="N568" s="2085">
        <f t="shared" si="75"/>
        <v>0</v>
      </c>
      <c r="O568" s="2086">
        <f t="shared" si="73"/>
        <v>0</v>
      </c>
      <c r="P568" s="1806"/>
      <c r="Q568" s="1176"/>
    </row>
    <row r="569" spans="1:17" ht="14.4">
      <c r="A569" s="1176"/>
      <c r="B569" s="1848" t="s">
        <v>1152</v>
      </c>
      <c r="C569" s="1846">
        <v>45157</v>
      </c>
      <c r="D569" s="1847">
        <v>19</v>
      </c>
      <c r="E569" s="1806"/>
      <c r="F569" s="1862">
        <f>forbrug!AH807</f>
        <v>0</v>
      </c>
      <c r="G569" s="2085">
        <f>forbrug!AI807</f>
        <v>0</v>
      </c>
      <c r="H569" s="1863">
        <f t="shared" si="70"/>
        <v>0</v>
      </c>
      <c r="I569" s="2087" t="e">
        <f t="shared" si="71"/>
        <v>#DIV/0!</v>
      </c>
      <c r="J569" s="1806"/>
      <c r="K569" s="1842">
        <f t="shared" si="74"/>
        <v>0</v>
      </c>
      <c r="L569" s="1863">
        <f t="shared" si="72"/>
        <v>0</v>
      </c>
      <c r="M569" s="1806"/>
      <c r="N569" s="2085">
        <f t="shared" si="75"/>
        <v>0</v>
      </c>
      <c r="O569" s="2086">
        <f t="shared" si="73"/>
        <v>0</v>
      </c>
      <c r="P569" s="1806"/>
      <c r="Q569" s="1176"/>
    </row>
    <row r="570" spans="1:17" ht="14.4">
      <c r="A570" s="1176"/>
      <c r="B570" s="1848" t="s">
        <v>1151</v>
      </c>
      <c r="C570" s="1846">
        <v>45158</v>
      </c>
      <c r="D570" s="1847">
        <v>20</v>
      </c>
      <c r="E570" s="1806"/>
      <c r="F570" s="1862">
        <f>forbrug!AH808</f>
        <v>0</v>
      </c>
      <c r="G570" s="2085">
        <f>forbrug!AI808</f>
        <v>0</v>
      </c>
      <c r="H570" s="1863">
        <f t="shared" si="70"/>
        <v>0</v>
      </c>
      <c r="I570" s="2087" t="e">
        <f t="shared" si="71"/>
        <v>#DIV/0!</v>
      </c>
      <c r="J570" s="1806"/>
      <c r="K570" s="1842">
        <f t="shared" si="74"/>
        <v>0</v>
      </c>
      <c r="L570" s="1863">
        <f t="shared" si="72"/>
        <v>0</v>
      </c>
      <c r="M570" s="1806"/>
      <c r="N570" s="2085">
        <f t="shared" si="75"/>
        <v>0</v>
      </c>
      <c r="O570" s="2086">
        <f t="shared" si="73"/>
        <v>0</v>
      </c>
      <c r="P570" s="1806"/>
      <c r="Q570" s="1176"/>
    </row>
    <row r="571" spans="1:17" ht="14.4">
      <c r="A571" s="1176"/>
      <c r="B571" s="1848" t="s">
        <v>1150</v>
      </c>
      <c r="C571" s="1846">
        <v>45159</v>
      </c>
      <c r="D571" s="1847">
        <v>21</v>
      </c>
      <c r="E571" s="1806"/>
      <c r="F571" s="1862">
        <f>forbrug!AH809</f>
        <v>0</v>
      </c>
      <c r="G571" s="2085">
        <f>forbrug!AI809</f>
        <v>0</v>
      </c>
      <c r="H571" s="1863">
        <f t="shared" si="70"/>
        <v>0</v>
      </c>
      <c r="I571" s="2087" t="e">
        <f t="shared" si="71"/>
        <v>#DIV/0!</v>
      </c>
      <c r="J571" s="1806"/>
      <c r="K571" s="1842">
        <f t="shared" si="74"/>
        <v>0</v>
      </c>
      <c r="L571" s="1863">
        <f t="shared" si="72"/>
        <v>0</v>
      </c>
      <c r="M571" s="1806"/>
      <c r="N571" s="2085">
        <f t="shared" si="75"/>
        <v>0</v>
      </c>
      <c r="O571" s="2086">
        <f t="shared" si="73"/>
        <v>0</v>
      </c>
      <c r="P571" s="1806"/>
      <c r="Q571" s="1176"/>
    </row>
    <row r="572" spans="1:17" ht="14.4">
      <c r="A572" s="1176"/>
      <c r="B572" s="1848" t="s">
        <v>1149</v>
      </c>
      <c r="C572" s="1846">
        <v>45160</v>
      </c>
      <c r="D572" s="1847">
        <v>22</v>
      </c>
      <c r="E572" s="1806"/>
      <c r="F572" s="1862">
        <f>forbrug!AH810</f>
        <v>0</v>
      </c>
      <c r="G572" s="2085">
        <f>forbrug!AI810</f>
        <v>0</v>
      </c>
      <c r="H572" s="1863">
        <f t="shared" si="70"/>
        <v>0</v>
      </c>
      <c r="I572" s="2087" t="e">
        <f t="shared" si="71"/>
        <v>#DIV/0!</v>
      </c>
      <c r="J572" s="1806"/>
      <c r="K572" s="1842">
        <f t="shared" si="74"/>
        <v>0</v>
      </c>
      <c r="L572" s="1863">
        <f t="shared" si="72"/>
        <v>0</v>
      </c>
      <c r="M572" s="1806"/>
      <c r="N572" s="2085">
        <f t="shared" si="75"/>
        <v>0</v>
      </c>
      <c r="O572" s="2086">
        <f t="shared" si="73"/>
        <v>0</v>
      </c>
      <c r="P572" s="1806"/>
      <c r="Q572" s="1176"/>
    </row>
    <row r="573" spans="1:17" ht="14.4">
      <c r="A573" s="1176"/>
      <c r="B573" s="1848" t="s">
        <v>1155</v>
      </c>
      <c r="C573" s="1846">
        <v>45161</v>
      </c>
      <c r="D573" s="1847">
        <v>23</v>
      </c>
      <c r="E573" s="1806"/>
      <c r="F573" s="1862">
        <f>forbrug!AH811</f>
        <v>0</v>
      </c>
      <c r="G573" s="2085">
        <f>forbrug!AI811</f>
        <v>0</v>
      </c>
      <c r="H573" s="1863">
        <f t="shared" si="70"/>
        <v>0</v>
      </c>
      <c r="I573" s="2087" t="e">
        <f t="shared" si="71"/>
        <v>#DIV/0!</v>
      </c>
      <c r="J573" s="1806"/>
      <c r="K573" s="1842">
        <f t="shared" si="74"/>
        <v>0</v>
      </c>
      <c r="L573" s="1863">
        <f t="shared" si="72"/>
        <v>0</v>
      </c>
      <c r="M573" s="1806"/>
      <c r="N573" s="2085">
        <f t="shared" si="75"/>
        <v>0</v>
      </c>
      <c r="O573" s="2086">
        <f t="shared" si="73"/>
        <v>0</v>
      </c>
      <c r="P573" s="1806"/>
      <c r="Q573" s="1176"/>
    </row>
    <row r="574" spans="1:17" ht="14.4">
      <c r="A574" s="1176"/>
      <c r="B574" s="1848" t="s">
        <v>1154</v>
      </c>
      <c r="C574" s="1846">
        <v>45162</v>
      </c>
      <c r="D574" s="1847">
        <v>24</v>
      </c>
      <c r="E574" s="1806"/>
      <c r="F574" s="1862">
        <f>forbrug!AH812</f>
        <v>0</v>
      </c>
      <c r="G574" s="2085">
        <f>forbrug!AI812</f>
        <v>0</v>
      </c>
      <c r="H574" s="1863">
        <f t="shared" si="70"/>
        <v>0</v>
      </c>
      <c r="I574" s="2087" t="e">
        <f t="shared" si="71"/>
        <v>#DIV/0!</v>
      </c>
      <c r="J574" s="1806"/>
      <c r="K574" s="1842">
        <f t="shared" si="74"/>
        <v>0</v>
      </c>
      <c r="L574" s="1863">
        <f t="shared" si="72"/>
        <v>0</v>
      </c>
      <c r="M574" s="1806"/>
      <c r="N574" s="2085">
        <f t="shared" si="75"/>
        <v>0</v>
      </c>
      <c r="O574" s="2086">
        <f t="shared" si="73"/>
        <v>0</v>
      </c>
      <c r="P574" s="1806"/>
      <c r="Q574" s="1176"/>
    </row>
    <row r="575" spans="1:17" ht="14.4">
      <c r="A575" s="1176"/>
      <c r="B575" s="1848" t="s">
        <v>1153</v>
      </c>
      <c r="C575" s="1846">
        <v>45163</v>
      </c>
      <c r="D575" s="1847">
        <v>25</v>
      </c>
      <c r="E575" s="1806"/>
      <c r="F575" s="1862">
        <f>forbrug!AH813</f>
        <v>0</v>
      </c>
      <c r="G575" s="2085">
        <f>forbrug!AI813</f>
        <v>0</v>
      </c>
      <c r="H575" s="1862">
        <f t="shared" si="70"/>
        <v>0</v>
      </c>
      <c r="I575" s="2087" t="e">
        <f t="shared" si="71"/>
        <v>#DIV/0!</v>
      </c>
      <c r="J575" s="1806"/>
      <c r="K575" s="1842">
        <f t="shared" si="74"/>
        <v>0</v>
      </c>
      <c r="L575" s="1862">
        <f t="shared" si="72"/>
        <v>0</v>
      </c>
      <c r="M575" s="1806"/>
      <c r="N575" s="2085">
        <f t="shared" si="75"/>
        <v>0</v>
      </c>
      <c r="O575" s="2086">
        <f t="shared" si="73"/>
        <v>0</v>
      </c>
      <c r="P575" s="1806"/>
      <c r="Q575" s="1176"/>
    </row>
    <row r="576" spans="1:17" ht="14.4">
      <c r="A576" s="1176"/>
      <c r="B576" s="1848" t="s">
        <v>1152</v>
      </c>
      <c r="C576" s="1846">
        <v>45164</v>
      </c>
      <c r="D576" s="1847">
        <v>26</v>
      </c>
      <c r="E576" s="1806"/>
      <c r="F576" s="1862">
        <f>forbrug!AH814</f>
        <v>0</v>
      </c>
      <c r="G576" s="2085">
        <f>forbrug!AI814</f>
        <v>0</v>
      </c>
      <c r="H576" s="1862">
        <f t="shared" si="70"/>
        <v>0</v>
      </c>
      <c r="I576" s="2087" t="e">
        <f t="shared" si="71"/>
        <v>#DIV/0!</v>
      </c>
      <c r="J576" s="1806"/>
      <c r="K576" s="1842">
        <f t="shared" si="74"/>
        <v>0</v>
      </c>
      <c r="L576" s="1862">
        <f t="shared" si="72"/>
        <v>0</v>
      </c>
      <c r="M576" s="1806"/>
      <c r="N576" s="2085">
        <f t="shared" si="75"/>
        <v>0</v>
      </c>
      <c r="O576" s="2086">
        <f t="shared" si="73"/>
        <v>0</v>
      </c>
      <c r="P576" s="1806"/>
      <c r="Q576" s="1176"/>
    </row>
    <row r="577" spans="1:19" ht="14.4">
      <c r="A577" s="1176"/>
      <c r="B577" s="1848" t="s">
        <v>1151</v>
      </c>
      <c r="C577" s="1846">
        <v>45165</v>
      </c>
      <c r="D577" s="1847">
        <v>27</v>
      </c>
      <c r="E577" s="1806"/>
      <c r="F577" s="1862">
        <f>forbrug!AH815</f>
        <v>0</v>
      </c>
      <c r="G577" s="2085">
        <f>forbrug!AI815</f>
        <v>0</v>
      </c>
      <c r="H577" s="1862">
        <f t="shared" si="70"/>
        <v>0</v>
      </c>
      <c r="I577" s="2087" t="e">
        <f t="shared" si="71"/>
        <v>#DIV/0!</v>
      </c>
      <c r="J577" s="1806"/>
      <c r="K577" s="1842">
        <f t="shared" si="74"/>
        <v>0</v>
      </c>
      <c r="L577" s="1862">
        <f t="shared" si="72"/>
        <v>0</v>
      </c>
      <c r="M577" s="1806"/>
      <c r="N577" s="2085">
        <f t="shared" si="75"/>
        <v>0</v>
      </c>
      <c r="O577" s="2086">
        <f t="shared" si="73"/>
        <v>0</v>
      </c>
      <c r="P577" s="1806"/>
      <c r="Q577" s="1176"/>
    </row>
    <row r="578" spans="1:19" ht="14.4">
      <c r="A578" s="1176"/>
      <c r="B578" s="1848" t="s">
        <v>1150</v>
      </c>
      <c r="C578" s="1846">
        <v>45166</v>
      </c>
      <c r="D578" s="1847">
        <v>28</v>
      </c>
      <c r="E578" s="1806"/>
      <c r="F578" s="1862">
        <f>forbrug!AH816</f>
        <v>0</v>
      </c>
      <c r="G578" s="2085">
        <f>forbrug!AI816</f>
        <v>0</v>
      </c>
      <c r="H578" s="1862">
        <f t="shared" si="70"/>
        <v>0</v>
      </c>
      <c r="I578" s="2087" t="e">
        <f t="shared" si="71"/>
        <v>#DIV/0!</v>
      </c>
      <c r="J578" s="1806"/>
      <c r="K578" s="1842">
        <f t="shared" si="74"/>
        <v>0</v>
      </c>
      <c r="L578" s="1862">
        <f t="shared" si="72"/>
        <v>0</v>
      </c>
      <c r="M578" s="1806"/>
      <c r="N578" s="2085">
        <f t="shared" si="75"/>
        <v>0</v>
      </c>
      <c r="O578" s="2086">
        <f t="shared" si="73"/>
        <v>0</v>
      </c>
      <c r="P578" s="1806"/>
      <c r="Q578" s="1176"/>
    </row>
    <row r="579" spans="1:19" ht="14.4">
      <c r="A579" s="1176"/>
      <c r="B579" s="1848" t="s">
        <v>1149</v>
      </c>
      <c r="C579" s="1846">
        <v>45167</v>
      </c>
      <c r="D579" s="1847">
        <v>29</v>
      </c>
      <c r="E579" s="1806"/>
      <c r="F579" s="1862">
        <f>forbrug!AH817</f>
        <v>0</v>
      </c>
      <c r="G579" s="2085">
        <f>forbrug!AI817</f>
        <v>0</v>
      </c>
      <c r="H579" s="1862">
        <f t="shared" si="70"/>
        <v>0</v>
      </c>
      <c r="I579" s="2087" t="e">
        <f t="shared" si="71"/>
        <v>#DIV/0!</v>
      </c>
      <c r="J579" s="1806"/>
      <c r="K579" s="1842">
        <f t="shared" si="74"/>
        <v>0</v>
      </c>
      <c r="L579" s="1862">
        <f t="shared" si="72"/>
        <v>0</v>
      </c>
      <c r="M579" s="1806"/>
      <c r="N579" s="2085">
        <f t="shared" si="75"/>
        <v>0</v>
      </c>
      <c r="O579" s="2086">
        <f t="shared" si="73"/>
        <v>0</v>
      </c>
      <c r="P579" s="1806"/>
      <c r="Q579" s="1176"/>
    </row>
    <row r="580" spans="1:19" ht="14.4">
      <c r="A580" s="1176"/>
      <c r="B580" s="1848" t="s">
        <v>1155</v>
      </c>
      <c r="C580" s="1846">
        <v>45168</v>
      </c>
      <c r="D580" s="1847">
        <v>30</v>
      </c>
      <c r="E580" s="1806"/>
      <c r="F580" s="1862">
        <f>forbrug!AH818</f>
        <v>0</v>
      </c>
      <c r="G580" s="2085">
        <f>forbrug!AI818</f>
        <v>0</v>
      </c>
      <c r="H580" s="1862">
        <f t="shared" si="70"/>
        <v>0</v>
      </c>
      <c r="I580" s="2087" t="e">
        <f t="shared" si="71"/>
        <v>#DIV/0!</v>
      </c>
      <c r="J580" s="1806"/>
      <c r="K580" s="1842">
        <f t="shared" si="74"/>
        <v>0</v>
      </c>
      <c r="L580" s="1862">
        <f t="shared" si="72"/>
        <v>0</v>
      </c>
      <c r="M580" s="1806"/>
      <c r="N580" s="2085">
        <f t="shared" si="75"/>
        <v>0</v>
      </c>
      <c r="O580" s="2086">
        <f t="shared" si="73"/>
        <v>0</v>
      </c>
      <c r="P580" s="1806"/>
      <c r="Q580" s="1176"/>
    </row>
    <row r="581" spans="1:19" ht="14.4">
      <c r="A581" s="1176"/>
      <c r="B581" s="1848" t="s">
        <v>1154</v>
      </c>
      <c r="C581" s="1846">
        <v>45169</v>
      </c>
      <c r="D581" s="1847">
        <v>31</v>
      </c>
      <c r="E581" s="1806"/>
      <c r="F581" s="1862">
        <f>forbrug!AH819</f>
        <v>0</v>
      </c>
      <c r="G581" s="2085">
        <f>forbrug!AI819</f>
        <v>0</v>
      </c>
      <c r="H581" s="1862">
        <f t="shared" si="70"/>
        <v>0</v>
      </c>
      <c r="I581" s="2087" t="e">
        <f t="shared" si="71"/>
        <v>#DIV/0!</v>
      </c>
      <c r="J581" s="1806"/>
      <c r="K581" s="1842">
        <v>236.8</v>
      </c>
      <c r="L581" s="1862">
        <f t="shared" si="72"/>
        <v>7.6387096774193548</v>
      </c>
      <c r="M581" s="1806"/>
      <c r="N581" s="2085">
        <f t="shared" si="75"/>
        <v>0</v>
      </c>
      <c r="O581" s="2086">
        <f t="shared" si="73"/>
        <v>0</v>
      </c>
      <c r="P581" s="1806"/>
      <c r="Q581" s="1176"/>
    </row>
    <row r="582" spans="1:19" s="1851" customFormat="1" ht="9" customHeight="1" thickBot="1">
      <c r="H582" s="2004"/>
      <c r="I582" s="2004"/>
      <c r="L582" s="2004"/>
      <c r="M582" s="1852"/>
      <c r="O582" s="2004"/>
      <c r="P582" s="1852"/>
      <c r="R582" s="1852"/>
      <c r="S582" s="1852"/>
    </row>
    <row r="583" spans="1:19" ht="14.4">
      <c r="A583" s="1176"/>
      <c r="B583" s="1829"/>
      <c r="C583" s="1830">
        <f ca="1">TODAY()</f>
        <v>45428</v>
      </c>
      <c r="D583" s="1831">
        <f>MAX(D584:D613)</f>
        <v>30</v>
      </c>
      <c r="E583" s="1832"/>
      <c r="F583" s="1837">
        <f>SUM(F584:F613)/$D$517</f>
        <v>3.9025806451612892</v>
      </c>
      <c r="G583" s="1834">
        <f>SUM(G584:G613)/$D$517</f>
        <v>0</v>
      </c>
      <c r="H583" s="2029">
        <f>SUM(H584:H613)/$D$517</f>
        <v>0.16260752688172039</v>
      </c>
      <c r="I583" s="2030">
        <f>G583/F583</f>
        <v>0</v>
      </c>
      <c r="J583" s="1832"/>
      <c r="K583" s="1837">
        <f>MAX(K584:K613)</f>
        <v>65.989999999999995</v>
      </c>
      <c r="L583" s="2029">
        <f>K583/30</f>
        <v>2.1996666666666664</v>
      </c>
      <c r="M583" s="1832"/>
      <c r="N583" s="1834">
        <f>MAX(N584:N613)</f>
        <v>144.94</v>
      </c>
      <c r="O583" s="2031">
        <f>N583/D600</f>
        <v>8.525882352941176</v>
      </c>
      <c r="P583" s="1832"/>
      <c r="Q583" s="1828"/>
    </row>
    <row r="584" spans="1:19" ht="14.4">
      <c r="A584" s="1176"/>
      <c r="B584" s="1848" t="s">
        <v>1149</v>
      </c>
      <c r="C584" s="1846">
        <v>45170</v>
      </c>
      <c r="D584" s="1847">
        <v>1</v>
      </c>
      <c r="E584" s="1806"/>
      <c r="F584" s="1862">
        <f>forbrug!AQ36</f>
        <v>7.120000000000001</v>
      </c>
      <c r="G584" s="2085">
        <f>forbrug!AI798</f>
        <v>0</v>
      </c>
      <c r="H584" s="1862">
        <f t="shared" ref="H584:H613" si="76">F584/24</f>
        <v>0.29666666666666669</v>
      </c>
      <c r="I584" s="2087">
        <f t="shared" ref="I584:I613" si="77">G584/F584</f>
        <v>0</v>
      </c>
      <c r="J584" s="1811"/>
      <c r="K584" s="1842"/>
      <c r="L584" s="1862">
        <f t="shared" ref="L584:L613" si="78">K584/D584</f>
        <v>0</v>
      </c>
      <c r="M584" s="1811"/>
      <c r="N584" s="2085"/>
      <c r="O584" s="2086">
        <f t="shared" ref="O584:O613" si="79">N584/D584</f>
        <v>0</v>
      </c>
      <c r="P584" s="1811"/>
      <c r="Q584" s="1843"/>
    </row>
    <row r="585" spans="1:19" ht="14.4">
      <c r="A585" s="1176"/>
      <c r="B585" s="1848" t="s">
        <v>1155</v>
      </c>
      <c r="C585" s="1846">
        <v>45171</v>
      </c>
      <c r="D585" s="1847">
        <v>2</v>
      </c>
      <c r="E585" s="1806"/>
      <c r="F585" s="1862">
        <f>forbrug!AQ61</f>
        <v>28.979999999999997</v>
      </c>
      <c r="G585" s="2085">
        <f>forbrug!AI799</f>
        <v>0</v>
      </c>
      <c r="H585" s="1862">
        <f t="shared" si="76"/>
        <v>1.2074999999999998</v>
      </c>
      <c r="I585" s="2087">
        <f t="shared" si="77"/>
        <v>0</v>
      </c>
      <c r="J585" s="1806"/>
      <c r="K585" s="1842"/>
      <c r="L585" s="1862">
        <f t="shared" si="78"/>
        <v>0</v>
      </c>
      <c r="M585" s="1806"/>
      <c r="N585" s="2085"/>
      <c r="O585" s="2086">
        <f t="shared" si="79"/>
        <v>0</v>
      </c>
      <c r="P585" s="1806"/>
      <c r="Q585" s="1176"/>
    </row>
    <row r="586" spans="1:19" ht="14.4">
      <c r="A586" s="1176"/>
      <c r="B586" s="1848" t="s">
        <v>1154</v>
      </c>
      <c r="C586" s="1846">
        <v>45172</v>
      </c>
      <c r="D586" s="1847">
        <v>3</v>
      </c>
      <c r="E586" s="1806"/>
      <c r="F586" s="1862">
        <f>forbrug!AQ86</f>
        <v>10.729999999999999</v>
      </c>
      <c r="G586" s="2085">
        <f>forbrug!AI800</f>
        <v>0</v>
      </c>
      <c r="H586" s="1862">
        <f t="shared" si="76"/>
        <v>0.44708333333333328</v>
      </c>
      <c r="I586" s="2087">
        <f t="shared" si="77"/>
        <v>0</v>
      </c>
      <c r="J586" s="1806"/>
      <c r="K586" s="1842"/>
      <c r="L586" s="1862">
        <f t="shared" si="78"/>
        <v>0</v>
      </c>
      <c r="M586" s="1806"/>
      <c r="N586" s="2085"/>
      <c r="O586" s="2086">
        <f t="shared" si="79"/>
        <v>0</v>
      </c>
      <c r="P586" s="1806"/>
      <c r="Q586" s="1176"/>
    </row>
    <row r="587" spans="1:19" ht="14.4">
      <c r="A587" s="1176"/>
      <c r="B587" s="1848" t="s">
        <v>1153</v>
      </c>
      <c r="C587" s="1846">
        <v>45173</v>
      </c>
      <c r="D587" s="1847">
        <v>4</v>
      </c>
      <c r="E587" s="1806"/>
      <c r="F587" s="1862">
        <f>forbrug!AQ111</f>
        <v>9.6399999999999988</v>
      </c>
      <c r="G587" s="2085">
        <f>forbrug!AI801</f>
        <v>0</v>
      </c>
      <c r="H587" s="1862">
        <f t="shared" si="76"/>
        <v>0.40166666666666662</v>
      </c>
      <c r="I587" s="2087">
        <f t="shared" si="77"/>
        <v>0</v>
      </c>
      <c r="J587" s="1806"/>
      <c r="K587" s="1842"/>
      <c r="L587" s="1862">
        <f t="shared" si="78"/>
        <v>0</v>
      </c>
      <c r="M587" s="1806"/>
      <c r="N587" s="2085"/>
      <c r="O587" s="2086">
        <f t="shared" si="79"/>
        <v>0</v>
      </c>
      <c r="P587" s="1806"/>
      <c r="Q587" s="1176"/>
    </row>
    <row r="588" spans="1:19" ht="14.4">
      <c r="A588" s="1176"/>
      <c r="B588" s="1848" t="s">
        <v>1152</v>
      </c>
      <c r="C588" s="1846">
        <v>45174</v>
      </c>
      <c r="D588" s="1847">
        <v>5</v>
      </c>
      <c r="E588" s="1806"/>
      <c r="F588" s="1862">
        <f>forbrug!AQ136</f>
        <v>10.54</v>
      </c>
      <c r="G588" s="2085">
        <f>forbrug!AI802</f>
        <v>0</v>
      </c>
      <c r="H588" s="1862">
        <f t="shared" si="76"/>
        <v>0.43916666666666665</v>
      </c>
      <c r="I588" s="2087">
        <f t="shared" si="77"/>
        <v>0</v>
      </c>
      <c r="J588" s="1806"/>
      <c r="K588" s="1842"/>
      <c r="L588" s="1862">
        <f t="shared" si="78"/>
        <v>0</v>
      </c>
      <c r="M588" s="1806"/>
      <c r="N588" s="2085"/>
      <c r="O588" s="2086">
        <f t="shared" si="79"/>
        <v>0</v>
      </c>
      <c r="P588" s="1806"/>
      <c r="Q588" s="1176"/>
    </row>
    <row r="589" spans="1:19" ht="14.4">
      <c r="A589" s="1176"/>
      <c r="B589" s="1848" t="s">
        <v>1151</v>
      </c>
      <c r="C589" s="1846">
        <v>45175</v>
      </c>
      <c r="D589" s="1847">
        <v>6</v>
      </c>
      <c r="E589" s="1806"/>
      <c r="F589" s="1862">
        <f>forbrug!AQ161</f>
        <v>8.56</v>
      </c>
      <c r="G589" s="2085">
        <f>forbrug!AI803</f>
        <v>0</v>
      </c>
      <c r="H589" s="1862">
        <f t="shared" si="76"/>
        <v>0.35666666666666669</v>
      </c>
      <c r="I589" s="2087">
        <f t="shared" si="77"/>
        <v>0</v>
      </c>
      <c r="J589" s="1806"/>
      <c r="K589" s="1842"/>
      <c r="L589" s="1862">
        <f t="shared" si="78"/>
        <v>0</v>
      </c>
      <c r="M589" s="1806"/>
      <c r="N589" s="2085"/>
      <c r="O589" s="2086">
        <f t="shared" si="79"/>
        <v>0</v>
      </c>
      <c r="P589" s="1806"/>
      <c r="Q589" s="1176"/>
    </row>
    <row r="590" spans="1:19" ht="14.4">
      <c r="A590" s="1176"/>
      <c r="B590" s="1848" t="s">
        <v>1150</v>
      </c>
      <c r="C590" s="1846">
        <v>45176</v>
      </c>
      <c r="D590" s="1847">
        <v>7</v>
      </c>
      <c r="E590" s="1806"/>
      <c r="F590" s="1862">
        <f>forbrug!AQ186</f>
        <v>9.9700000000000024</v>
      </c>
      <c r="G590" s="2085">
        <f>forbrug!AI804</f>
        <v>0</v>
      </c>
      <c r="H590" s="1862">
        <f t="shared" si="76"/>
        <v>0.41541666666666677</v>
      </c>
      <c r="I590" s="2087">
        <f t="shared" si="77"/>
        <v>0</v>
      </c>
      <c r="J590" s="1806"/>
      <c r="K590" s="1842">
        <v>65.989999999999995</v>
      </c>
      <c r="L590" s="1862">
        <f t="shared" si="78"/>
        <v>9.4271428571428562</v>
      </c>
      <c r="M590" s="1806"/>
      <c r="N590" s="2085">
        <v>144.94</v>
      </c>
      <c r="O590" s="2086">
        <f t="shared" si="79"/>
        <v>20.705714285714286</v>
      </c>
      <c r="P590" s="1806"/>
      <c r="Q590" s="1176"/>
    </row>
    <row r="591" spans="1:19" ht="14.4">
      <c r="A591" s="1176"/>
      <c r="B591" s="1848" t="s">
        <v>1149</v>
      </c>
      <c r="C591" s="1846">
        <v>45177</v>
      </c>
      <c r="D591" s="1847">
        <v>8</v>
      </c>
      <c r="E591" s="1806"/>
      <c r="F591" s="1862">
        <f>forbrug!AQ211</f>
        <v>0.64</v>
      </c>
      <c r="G591" s="2085">
        <f>forbrug!AI805</f>
        <v>0</v>
      </c>
      <c r="H591" s="1862">
        <f t="shared" si="76"/>
        <v>2.6666666666666668E-2</v>
      </c>
      <c r="I591" s="2087">
        <f t="shared" si="77"/>
        <v>0</v>
      </c>
      <c r="J591" s="1806"/>
      <c r="K591" s="1842"/>
      <c r="L591" s="1862">
        <f t="shared" si="78"/>
        <v>0</v>
      </c>
      <c r="M591" s="1806"/>
      <c r="N591" s="2085"/>
      <c r="O591" s="2086">
        <f t="shared" si="79"/>
        <v>0</v>
      </c>
      <c r="P591" s="1806"/>
      <c r="Q591" s="1176"/>
    </row>
    <row r="592" spans="1:19" ht="14.4">
      <c r="A592" s="1176"/>
      <c r="B592" s="1848" t="s">
        <v>1155</v>
      </c>
      <c r="C592" s="1846">
        <v>45178</v>
      </c>
      <c r="D592" s="1847">
        <v>9</v>
      </c>
      <c r="E592" s="1806"/>
      <c r="F592" s="1862">
        <f>forbrug!AQ236</f>
        <v>0</v>
      </c>
      <c r="G592" s="2085">
        <f>forbrug!AI806</f>
        <v>0</v>
      </c>
      <c r="H592" s="1864">
        <f t="shared" si="76"/>
        <v>0</v>
      </c>
      <c r="I592" s="2087" t="e">
        <f t="shared" si="77"/>
        <v>#DIV/0!</v>
      </c>
      <c r="J592" s="1806"/>
      <c r="K592" s="1842"/>
      <c r="L592" s="1864">
        <f t="shared" si="78"/>
        <v>0</v>
      </c>
      <c r="M592" s="1806"/>
      <c r="N592" s="2085"/>
      <c r="O592" s="2086">
        <f t="shared" si="79"/>
        <v>0</v>
      </c>
      <c r="P592" s="1806"/>
      <c r="Q592" s="1176"/>
    </row>
    <row r="593" spans="1:17" ht="14.4">
      <c r="A593" s="1176"/>
      <c r="B593" s="1848" t="s">
        <v>1154</v>
      </c>
      <c r="C593" s="1846">
        <v>45179</v>
      </c>
      <c r="D593" s="1847">
        <v>10</v>
      </c>
      <c r="E593" s="1806"/>
      <c r="F593" s="1862">
        <f>forbrug!AQ261</f>
        <v>0</v>
      </c>
      <c r="G593" s="2085">
        <f>forbrug!AI807</f>
        <v>0</v>
      </c>
      <c r="H593" s="1864">
        <f t="shared" si="76"/>
        <v>0</v>
      </c>
      <c r="I593" s="2087" t="e">
        <f t="shared" si="77"/>
        <v>#DIV/0!</v>
      </c>
      <c r="J593" s="1806"/>
      <c r="K593" s="1842"/>
      <c r="L593" s="1864">
        <f t="shared" si="78"/>
        <v>0</v>
      </c>
      <c r="M593" s="1806"/>
      <c r="N593" s="2085"/>
      <c r="O593" s="2086">
        <f t="shared" si="79"/>
        <v>0</v>
      </c>
      <c r="P593" s="1806"/>
      <c r="Q593" s="1176"/>
    </row>
    <row r="594" spans="1:17" ht="14.4">
      <c r="A594" s="1176"/>
      <c r="B594" s="1848" t="s">
        <v>1153</v>
      </c>
      <c r="C594" s="1846">
        <v>45180</v>
      </c>
      <c r="D594" s="1847">
        <v>11</v>
      </c>
      <c r="E594" s="1806"/>
      <c r="F594" s="1862">
        <f>forbrug!AQ46</f>
        <v>0.31</v>
      </c>
      <c r="G594" s="2085">
        <f>forbrug!AI808</f>
        <v>0</v>
      </c>
      <c r="H594" s="1864">
        <f t="shared" si="76"/>
        <v>1.2916666666666667E-2</v>
      </c>
      <c r="I594" s="2087">
        <f t="shared" si="77"/>
        <v>0</v>
      </c>
      <c r="J594" s="1806"/>
      <c r="K594" s="1842"/>
      <c r="L594" s="1864">
        <f t="shared" si="78"/>
        <v>0</v>
      </c>
      <c r="M594" s="1806"/>
      <c r="N594" s="2085"/>
      <c r="O594" s="2086">
        <f t="shared" si="79"/>
        <v>0</v>
      </c>
      <c r="P594" s="1806"/>
      <c r="Q594" s="1176"/>
    </row>
    <row r="595" spans="1:17" ht="14.4">
      <c r="A595" s="1176"/>
      <c r="B595" s="1848" t="s">
        <v>1152</v>
      </c>
      <c r="C595" s="1846">
        <v>45181</v>
      </c>
      <c r="D595" s="1847">
        <v>12</v>
      </c>
      <c r="E595" s="1806"/>
      <c r="F595" s="1862">
        <f>forbrug!AQ47</f>
        <v>0.49</v>
      </c>
      <c r="G595" s="2085">
        <f>forbrug!AI809</f>
        <v>0</v>
      </c>
      <c r="H595" s="1864">
        <f t="shared" si="76"/>
        <v>2.0416666666666666E-2</v>
      </c>
      <c r="I595" s="2087">
        <f t="shared" si="77"/>
        <v>0</v>
      </c>
      <c r="J595" s="1806"/>
      <c r="K595" s="1842"/>
      <c r="L595" s="1864">
        <f t="shared" si="78"/>
        <v>0</v>
      </c>
      <c r="M595" s="1806"/>
      <c r="N595" s="2085"/>
      <c r="O595" s="2086">
        <f t="shared" si="79"/>
        <v>0</v>
      </c>
      <c r="P595" s="1806"/>
      <c r="Q595" s="1176"/>
    </row>
    <row r="596" spans="1:17" ht="14.4">
      <c r="A596" s="1176"/>
      <c r="B596" s="1848" t="s">
        <v>1151</v>
      </c>
      <c r="C596" s="1846">
        <v>45182</v>
      </c>
      <c r="D596" s="1847">
        <v>13</v>
      </c>
      <c r="E596" s="1806"/>
      <c r="F596" s="1862">
        <f>forbrug!AQ48</f>
        <v>0.32</v>
      </c>
      <c r="G596" s="2085">
        <f>forbrug!AI810</f>
        <v>0</v>
      </c>
      <c r="H596" s="1864">
        <f t="shared" si="76"/>
        <v>1.3333333333333334E-2</v>
      </c>
      <c r="I596" s="2087">
        <f t="shared" si="77"/>
        <v>0</v>
      </c>
      <c r="J596" s="1806"/>
      <c r="K596" s="1842"/>
      <c r="L596" s="1864">
        <f t="shared" si="78"/>
        <v>0</v>
      </c>
      <c r="M596" s="1806"/>
      <c r="N596" s="2085"/>
      <c r="O596" s="2086">
        <f t="shared" si="79"/>
        <v>0</v>
      </c>
      <c r="P596" s="1806"/>
      <c r="Q596" s="1176"/>
    </row>
    <row r="597" spans="1:17" ht="14.4">
      <c r="A597" s="1176"/>
      <c r="B597" s="1848" t="s">
        <v>1150</v>
      </c>
      <c r="C597" s="1846">
        <v>45183</v>
      </c>
      <c r="D597" s="1847">
        <v>14</v>
      </c>
      <c r="E597" s="1806"/>
      <c r="F597" s="1862">
        <f>forbrug!AQ49</f>
        <v>0.44</v>
      </c>
      <c r="G597" s="2085">
        <f>forbrug!AI811</f>
        <v>0</v>
      </c>
      <c r="H597" s="1864">
        <f t="shared" si="76"/>
        <v>1.8333333333333333E-2</v>
      </c>
      <c r="I597" s="2087">
        <f t="shared" si="77"/>
        <v>0</v>
      </c>
      <c r="J597" s="1806"/>
      <c r="K597" s="1842"/>
      <c r="L597" s="1864">
        <f t="shared" si="78"/>
        <v>0</v>
      </c>
      <c r="M597" s="1806"/>
      <c r="N597" s="2085"/>
      <c r="O597" s="2086">
        <f t="shared" si="79"/>
        <v>0</v>
      </c>
      <c r="P597" s="1806"/>
      <c r="Q597" s="1176"/>
    </row>
    <row r="598" spans="1:17" ht="14.4">
      <c r="A598" s="1176"/>
      <c r="B598" s="1848" t="s">
        <v>1149</v>
      </c>
      <c r="C598" s="1846">
        <v>45184</v>
      </c>
      <c r="D598" s="1847">
        <v>15</v>
      </c>
      <c r="E598" s="1806"/>
      <c r="F598" s="1862">
        <f>forbrug!AQ50</f>
        <v>0.36</v>
      </c>
      <c r="G598" s="2085">
        <f>forbrug!AI812</f>
        <v>0</v>
      </c>
      <c r="H598" s="1864">
        <f t="shared" si="76"/>
        <v>1.4999999999999999E-2</v>
      </c>
      <c r="I598" s="2087">
        <f t="shared" si="77"/>
        <v>0</v>
      </c>
      <c r="J598" s="1806"/>
      <c r="K598" s="1842"/>
      <c r="L598" s="1864">
        <f t="shared" si="78"/>
        <v>0</v>
      </c>
      <c r="M598" s="1806"/>
      <c r="N598" s="2085"/>
      <c r="O598" s="2086">
        <f t="shared" si="79"/>
        <v>0</v>
      </c>
      <c r="P598" s="1806"/>
      <c r="Q598" s="1176"/>
    </row>
    <row r="599" spans="1:17" ht="14.4">
      <c r="A599" s="1176"/>
      <c r="B599" s="1848" t="s">
        <v>1155</v>
      </c>
      <c r="C599" s="1846">
        <v>45185</v>
      </c>
      <c r="D599" s="1847">
        <v>16</v>
      </c>
      <c r="E599" s="1806"/>
      <c r="F599" s="1862">
        <f>forbrug!AQ51</f>
        <v>0.32</v>
      </c>
      <c r="G599" s="2085">
        <f>forbrug!AI813</f>
        <v>0</v>
      </c>
      <c r="H599" s="1864">
        <f t="shared" si="76"/>
        <v>1.3333333333333334E-2</v>
      </c>
      <c r="I599" s="2087">
        <f t="shared" si="77"/>
        <v>0</v>
      </c>
      <c r="J599" s="1806"/>
      <c r="K599" s="1842"/>
      <c r="L599" s="1864">
        <f t="shared" si="78"/>
        <v>0</v>
      </c>
      <c r="M599" s="1806"/>
      <c r="N599" s="2085"/>
      <c r="O599" s="2086">
        <f t="shared" si="79"/>
        <v>0</v>
      </c>
      <c r="P599" s="1806"/>
      <c r="Q599" s="1176"/>
    </row>
    <row r="600" spans="1:17" ht="14.4">
      <c r="A600" s="1176"/>
      <c r="B600" s="1848" t="s">
        <v>1154</v>
      </c>
      <c r="C600" s="1846">
        <v>45186</v>
      </c>
      <c r="D600" s="1847">
        <v>17</v>
      </c>
      <c r="E600" s="1806"/>
      <c r="F600" s="1862">
        <f>forbrug!AQ52</f>
        <v>0.3</v>
      </c>
      <c r="G600" s="2085">
        <f>forbrug!AI814</f>
        <v>0</v>
      </c>
      <c r="H600" s="1864">
        <f t="shared" si="76"/>
        <v>1.2499999999999999E-2</v>
      </c>
      <c r="I600" s="2087">
        <f t="shared" si="77"/>
        <v>0</v>
      </c>
      <c r="J600" s="1806"/>
      <c r="K600" s="1842"/>
      <c r="L600" s="1864">
        <f t="shared" si="78"/>
        <v>0</v>
      </c>
      <c r="M600" s="1806"/>
      <c r="N600" s="2085"/>
      <c r="O600" s="2086">
        <f t="shared" si="79"/>
        <v>0</v>
      </c>
      <c r="P600" s="1806"/>
      <c r="Q600" s="1176"/>
    </row>
    <row r="601" spans="1:17" ht="14.4">
      <c r="A601" s="1176"/>
      <c r="B601" s="1848" t="s">
        <v>1153</v>
      </c>
      <c r="C601" s="1846">
        <v>45187</v>
      </c>
      <c r="D601" s="1847">
        <v>18</v>
      </c>
      <c r="E601" s="1806"/>
      <c r="F601" s="1862">
        <f>forbrug!AQ53</f>
        <v>0.26</v>
      </c>
      <c r="G601" s="2085">
        <f>forbrug!AI815</f>
        <v>0</v>
      </c>
      <c r="H601" s="1864">
        <f t="shared" si="76"/>
        <v>1.0833333333333334E-2</v>
      </c>
      <c r="I601" s="2087">
        <f t="shared" si="77"/>
        <v>0</v>
      </c>
      <c r="J601" s="1806"/>
      <c r="K601" s="1842"/>
      <c r="L601" s="1864">
        <f t="shared" si="78"/>
        <v>0</v>
      </c>
      <c r="M601" s="1806"/>
      <c r="N601" s="2085"/>
      <c r="O601" s="2086">
        <f t="shared" si="79"/>
        <v>0</v>
      </c>
      <c r="P601" s="1806"/>
      <c r="Q601" s="1176"/>
    </row>
    <row r="602" spans="1:17" ht="14.4">
      <c r="A602" s="1176"/>
      <c r="B602" s="1848" t="s">
        <v>1152</v>
      </c>
      <c r="C602" s="1846">
        <v>45188</v>
      </c>
      <c r="D602" s="1847">
        <v>19</v>
      </c>
      <c r="E602" s="1806"/>
      <c r="F602" s="1862">
        <f>forbrug!AQ54</f>
        <v>0.16</v>
      </c>
      <c r="G602" s="2085">
        <f>forbrug!AI816</f>
        <v>0</v>
      </c>
      <c r="H602" s="1863">
        <f t="shared" si="76"/>
        <v>6.6666666666666671E-3</v>
      </c>
      <c r="I602" s="2087">
        <f t="shared" si="77"/>
        <v>0</v>
      </c>
      <c r="J602" s="1806"/>
      <c r="K602" s="1842"/>
      <c r="L602" s="1863">
        <f t="shared" si="78"/>
        <v>0</v>
      </c>
      <c r="M602" s="1806"/>
      <c r="N602" s="2085"/>
      <c r="O602" s="2086">
        <f t="shared" si="79"/>
        <v>0</v>
      </c>
      <c r="P602" s="1806"/>
      <c r="Q602" s="1176"/>
    </row>
    <row r="603" spans="1:17" ht="14.4">
      <c r="A603" s="1176"/>
      <c r="B603" s="1848" t="s">
        <v>1151</v>
      </c>
      <c r="C603" s="1846">
        <v>45189</v>
      </c>
      <c r="D603" s="1847">
        <v>20</v>
      </c>
      <c r="E603" s="1806"/>
      <c r="F603" s="1862">
        <f>forbrug!AQ55</f>
        <v>0.61</v>
      </c>
      <c r="G603" s="2085">
        <f>forbrug!AI817</f>
        <v>0</v>
      </c>
      <c r="H603" s="1863">
        <f t="shared" si="76"/>
        <v>2.5416666666666667E-2</v>
      </c>
      <c r="I603" s="2087">
        <f t="shared" si="77"/>
        <v>0</v>
      </c>
      <c r="J603" s="1806"/>
      <c r="K603" s="1842"/>
      <c r="L603" s="1863">
        <f t="shared" si="78"/>
        <v>0</v>
      </c>
      <c r="M603" s="1806"/>
      <c r="N603" s="2085"/>
      <c r="O603" s="2086">
        <f t="shared" si="79"/>
        <v>0</v>
      </c>
      <c r="P603" s="1806"/>
      <c r="Q603" s="1176"/>
    </row>
    <row r="604" spans="1:17" ht="14.4">
      <c r="A604" s="1176"/>
      <c r="B604" s="1848" t="s">
        <v>1150</v>
      </c>
      <c r="C604" s="1846">
        <v>45190</v>
      </c>
      <c r="D604" s="1847">
        <v>21</v>
      </c>
      <c r="E604" s="1806"/>
      <c r="F604" s="1862">
        <f>forbrug!AQ56</f>
        <v>0.34</v>
      </c>
      <c r="G604" s="2085">
        <f>forbrug!AI818</f>
        <v>0</v>
      </c>
      <c r="H604" s="1863">
        <f t="shared" si="76"/>
        <v>1.4166666666666668E-2</v>
      </c>
      <c r="I604" s="2087">
        <f t="shared" si="77"/>
        <v>0</v>
      </c>
      <c r="J604" s="1806"/>
      <c r="K604" s="1842"/>
      <c r="L604" s="1863">
        <f t="shared" si="78"/>
        <v>0</v>
      </c>
      <c r="M604" s="1806"/>
      <c r="N604" s="2085"/>
      <c r="O604" s="2086">
        <f t="shared" si="79"/>
        <v>0</v>
      </c>
      <c r="P604" s="1806"/>
      <c r="Q604" s="1176"/>
    </row>
    <row r="605" spans="1:17" ht="14.4">
      <c r="A605" s="1176"/>
      <c r="B605" s="1848" t="s">
        <v>1149</v>
      </c>
      <c r="C605" s="1846">
        <v>45191</v>
      </c>
      <c r="D605" s="1847">
        <v>22</v>
      </c>
      <c r="E605" s="1806"/>
      <c r="F605" s="1862">
        <f>forbrug!AQ57</f>
        <v>0.41</v>
      </c>
      <c r="G605" s="2085">
        <f>forbrug!AI819</f>
        <v>0</v>
      </c>
      <c r="H605" s="1863">
        <f t="shared" si="76"/>
        <v>1.7083333333333332E-2</v>
      </c>
      <c r="I605" s="2087">
        <f t="shared" si="77"/>
        <v>0</v>
      </c>
      <c r="J605" s="1806"/>
      <c r="K605" s="1842"/>
      <c r="L605" s="1863">
        <f t="shared" si="78"/>
        <v>0</v>
      </c>
      <c r="M605" s="1806"/>
      <c r="N605" s="2085"/>
      <c r="O605" s="2086">
        <f t="shared" si="79"/>
        <v>0</v>
      </c>
      <c r="P605" s="1806"/>
      <c r="Q605" s="1176"/>
    </row>
    <row r="606" spans="1:17" ht="14.4">
      <c r="A606" s="1176"/>
      <c r="B606" s="1848" t="s">
        <v>1155</v>
      </c>
      <c r="C606" s="1846">
        <v>45192</v>
      </c>
      <c r="D606" s="1847">
        <v>23</v>
      </c>
      <c r="E606" s="1806"/>
      <c r="F606" s="1862">
        <f>forbrug!AQ58</f>
        <v>0.23</v>
      </c>
      <c r="G606" s="2085">
        <f>forbrug!AI820</f>
        <v>0</v>
      </c>
      <c r="H606" s="1863">
        <f t="shared" si="76"/>
        <v>9.5833333333333343E-3</v>
      </c>
      <c r="I606" s="2087">
        <f t="shared" si="77"/>
        <v>0</v>
      </c>
      <c r="J606" s="1806"/>
      <c r="K606" s="1842"/>
      <c r="L606" s="1863">
        <f t="shared" si="78"/>
        <v>0</v>
      </c>
      <c r="M606" s="1806"/>
      <c r="N606" s="2085"/>
      <c r="O606" s="2086">
        <f t="shared" si="79"/>
        <v>0</v>
      </c>
      <c r="P606" s="1806"/>
      <c r="Q606" s="1176"/>
    </row>
    <row r="607" spans="1:17" ht="14.4">
      <c r="A607" s="1176"/>
      <c r="B607" s="1848" t="s">
        <v>1154</v>
      </c>
      <c r="C607" s="1846">
        <v>45193</v>
      </c>
      <c r="D607" s="1847">
        <v>24</v>
      </c>
      <c r="E607" s="1806"/>
      <c r="F607" s="1862">
        <f>forbrug!AQ59</f>
        <v>0.28999999999999998</v>
      </c>
      <c r="G607" s="2085">
        <f>forbrug!AI821</f>
        <v>0</v>
      </c>
      <c r="H607" s="1863">
        <f t="shared" si="76"/>
        <v>1.2083333333333333E-2</v>
      </c>
      <c r="I607" s="2087">
        <f t="shared" si="77"/>
        <v>0</v>
      </c>
      <c r="J607" s="1806"/>
      <c r="K607" s="1842"/>
      <c r="L607" s="1863">
        <f t="shared" si="78"/>
        <v>0</v>
      </c>
      <c r="M607" s="1806"/>
      <c r="N607" s="2085"/>
      <c r="O607" s="2086">
        <f t="shared" si="79"/>
        <v>0</v>
      </c>
      <c r="P607" s="1806"/>
      <c r="Q607" s="1176"/>
    </row>
    <row r="608" spans="1:17" ht="14.4">
      <c r="A608" s="1176"/>
      <c r="B608" s="1848" t="s">
        <v>1153</v>
      </c>
      <c r="C608" s="1846">
        <v>45194</v>
      </c>
      <c r="D608" s="1847">
        <v>25</v>
      </c>
      <c r="E608" s="1806"/>
      <c r="F608" s="1862">
        <f>forbrug!AQ60</f>
        <v>0.19</v>
      </c>
      <c r="G608" s="2085">
        <f>forbrug!AI822</f>
        <v>0</v>
      </c>
      <c r="H608" s="1862">
        <f t="shared" si="76"/>
        <v>7.9166666666666673E-3</v>
      </c>
      <c r="I608" s="2087">
        <f t="shared" si="77"/>
        <v>0</v>
      </c>
      <c r="J608" s="1806"/>
      <c r="K608" s="1842"/>
      <c r="L608" s="1862">
        <f t="shared" si="78"/>
        <v>0</v>
      </c>
      <c r="M608" s="1806"/>
      <c r="N608" s="2085"/>
      <c r="O608" s="2086">
        <f t="shared" si="79"/>
        <v>0</v>
      </c>
      <c r="P608" s="1806"/>
      <c r="Q608" s="1176"/>
    </row>
    <row r="609" spans="1:17" ht="14.4">
      <c r="A609" s="1176"/>
      <c r="B609" s="1848" t="s">
        <v>1152</v>
      </c>
      <c r="C609" s="1846">
        <v>45195</v>
      </c>
      <c r="D609" s="1847">
        <v>26</v>
      </c>
      <c r="E609" s="1806"/>
      <c r="F609" s="1862">
        <f>forbrug!AQ61</f>
        <v>28.979999999999997</v>
      </c>
      <c r="G609" s="2085">
        <f>forbrug!AI823</f>
        <v>0</v>
      </c>
      <c r="H609" s="1862">
        <f t="shared" si="76"/>
        <v>1.2074999999999998</v>
      </c>
      <c r="I609" s="2087">
        <f t="shared" si="77"/>
        <v>0</v>
      </c>
      <c r="J609" s="1806"/>
      <c r="K609" s="1842"/>
      <c r="L609" s="1862">
        <f t="shared" si="78"/>
        <v>0</v>
      </c>
      <c r="M609" s="1806"/>
      <c r="N609" s="2085"/>
      <c r="O609" s="2086">
        <f t="shared" si="79"/>
        <v>0</v>
      </c>
      <c r="P609" s="1806"/>
      <c r="Q609" s="1176"/>
    </row>
    <row r="610" spans="1:17" ht="14.4">
      <c r="A610" s="1176"/>
      <c r="B610" s="1848" t="s">
        <v>1151</v>
      </c>
      <c r="C610" s="1846">
        <v>45196</v>
      </c>
      <c r="D610" s="1847">
        <v>27</v>
      </c>
      <c r="E610" s="1806"/>
      <c r="F610" s="1862">
        <f>forbrug!AQ62</f>
        <v>0.24</v>
      </c>
      <c r="G610" s="2085">
        <f>forbrug!AI824</f>
        <v>0</v>
      </c>
      <c r="H610" s="1862">
        <f t="shared" si="76"/>
        <v>0.01</v>
      </c>
      <c r="I610" s="2087">
        <f t="shared" si="77"/>
        <v>0</v>
      </c>
      <c r="J610" s="1806"/>
      <c r="K610" s="1842"/>
      <c r="L610" s="1862">
        <f t="shared" si="78"/>
        <v>0</v>
      </c>
      <c r="M610" s="1806"/>
      <c r="N610" s="2085"/>
      <c r="O610" s="2086">
        <f t="shared" si="79"/>
        <v>0</v>
      </c>
      <c r="P610" s="1806"/>
      <c r="Q610" s="1176"/>
    </row>
    <row r="611" spans="1:17" ht="14.4">
      <c r="A611" s="1176"/>
      <c r="B611" s="1848" t="s">
        <v>1150</v>
      </c>
      <c r="C611" s="1846">
        <v>45197</v>
      </c>
      <c r="D611" s="1847">
        <v>28</v>
      </c>
      <c r="E611" s="1806"/>
      <c r="F611" s="1862">
        <f>forbrug!AQ63</f>
        <v>0.14000000000000001</v>
      </c>
      <c r="G611" s="2085">
        <f>forbrug!AI825</f>
        <v>0</v>
      </c>
      <c r="H611" s="1862">
        <f t="shared" si="76"/>
        <v>5.8333333333333336E-3</v>
      </c>
      <c r="I611" s="2087">
        <f t="shared" si="77"/>
        <v>0</v>
      </c>
      <c r="J611" s="1806"/>
      <c r="K611" s="1842"/>
      <c r="L611" s="1862">
        <f t="shared" si="78"/>
        <v>0</v>
      </c>
      <c r="M611" s="1806"/>
      <c r="N611" s="2085"/>
      <c r="O611" s="2086">
        <f t="shared" si="79"/>
        <v>0</v>
      </c>
      <c r="P611" s="1806"/>
      <c r="Q611" s="1176"/>
    </row>
    <row r="612" spans="1:17" ht="14.4">
      <c r="A612" s="1176"/>
      <c r="B612" s="1848" t="s">
        <v>1149</v>
      </c>
      <c r="C612" s="1846">
        <v>45198</v>
      </c>
      <c r="D612" s="1847">
        <v>29</v>
      </c>
      <c r="E612" s="1806"/>
      <c r="F612" s="1862">
        <f>forbrug!AQ64</f>
        <v>0.24</v>
      </c>
      <c r="G612" s="2085">
        <f>forbrug!AI826</f>
        <v>0</v>
      </c>
      <c r="H612" s="1862">
        <f t="shared" si="76"/>
        <v>0.01</v>
      </c>
      <c r="I612" s="2087">
        <f t="shared" si="77"/>
        <v>0</v>
      </c>
      <c r="J612" s="1806"/>
      <c r="K612" s="1842"/>
      <c r="L612" s="1862">
        <f t="shared" si="78"/>
        <v>0</v>
      </c>
      <c r="M612" s="1806"/>
      <c r="N612" s="2085"/>
      <c r="O612" s="2086">
        <f t="shared" si="79"/>
        <v>0</v>
      </c>
      <c r="P612" s="1806"/>
      <c r="Q612" s="1176"/>
    </row>
    <row r="613" spans="1:17" ht="14.4">
      <c r="A613" s="1176"/>
      <c r="B613" s="1848" t="s">
        <v>1155</v>
      </c>
      <c r="C613" s="1846">
        <v>45199</v>
      </c>
      <c r="D613" s="1847">
        <v>30</v>
      </c>
      <c r="E613" s="1806"/>
      <c r="F613" s="1862">
        <f>forbrug!AQ65</f>
        <v>0.17</v>
      </c>
      <c r="G613" s="2085">
        <f>forbrug!AI827</f>
        <v>0</v>
      </c>
      <c r="H613" s="1862">
        <f t="shared" si="76"/>
        <v>7.0833333333333338E-3</v>
      </c>
      <c r="I613" s="2087">
        <f t="shared" si="77"/>
        <v>0</v>
      </c>
      <c r="J613" s="1806"/>
      <c r="K613" s="1842"/>
      <c r="L613" s="1862">
        <f t="shared" si="78"/>
        <v>0</v>
      </c>
      <c r="M613" s="1806"/>
      <c r="N613" s="2085"/>
      <c r="O613" s="2086">
        <f t="shared" si="79"/>
        <v>0</v>
      </c>
      <c r="P613" s="1806"/>
      <c r="Q613" s="1176"/>
    </row>
  </sheetData>
  <conditionalFormatting sqref="J421">
    <cfRule type="colorScale" priority="710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K3">
    <cfRule type="colorScale" priority="555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F328:F355">
    <cfRule type="colorScale" priority="67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H328:H355">
    <cfRule type="colorScale" priority="673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G328:G355">
    <cfRule type="colorScale" priority="671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F325:F355">
    <cfRule type="colorScale" priority="669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G325:G355">
    <cfRule type="colorScale" priority="667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H325:H355">
    <cfRule type="colorScale" priority="665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G329:G354">
    <cfRule type="colorScale" priority="659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G325:G355">
    <cfRule type="colorScale" priority="65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325:I355">
    <cfRule type="colorScale" priority="65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325:H355">
    <cfRule type="colorScale" priority="649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F355 F325">
    <cfRule type="colorScale" priority="644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F325:F355">
    <cfRule type="colorScale" priority="64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325 H355">
    <cfRule type="colorScale" priority="642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H325 H355">
    <cfRule type="colorScale" priority="641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H325:H355">
    <cfRule type="colorScale" priority="640">
      <colorScale>
        <cfvo type="min" val="0"/>
        <cfvo type="max" val="0"/>
        <color theme="6" tint="0.39997558519241921"/>
        <color theme="6" tint="0.79998168889431442"/>
      </colorScale>
    </cfRule>
  </conditionalFormatting>
  <conditionalFormatting sqref="H325:H355">
    <cfRule type="colorScale" priority="63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325:O355">
    <cfRule type="colorScale" priority="63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325:F355">
    <cfRule type="colorScale" priority="1004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H325:H355">
    <cfRule type="colorScale" priority="1005">
      <colorScale>
        <cfvo type="min" val="0"/>
        <cfvo type="percentile" val="50"/>
        <cfvo type="max" val="0"/>
        <color theme="6" tint="0.59999389629810485"/>
        <color rgb="FFFFEB84"/>
        <color rgb="FFFFC000"/>
      </colorScale>
    </cfRule>
  </conditionalFormatting>
  <conditionalFormatting sqref="I325:I355">
    <cfRule type="colorScale" priority="1007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G325:G355">
    <cfRule type="colorScale" priority="1008">
      <colorScale>
        <cfvo type="min" val="0"/>
        <cfvo type="percentile" val="50"/>
        <cfvo type="max" val="0"/>
        <color theme="8" tint="0.59999389629810485"/>
        <color rgb="FFFFEB84"/>
        <color rgb="FFFFC000"/>
      </colorScale>
    </cfRule>
  </conditionalFormatting>
  <conditionalFormatting sqref="I358:I385">
    <cfRule type="colorScale" priority="108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358:O385">
    <cfRule type="colorScale" priority="88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3:F10">
    <cfRule type="colorScale" priority="1101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H3:H10">
    <cfRule type="colorScale" priority="1102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N4:N10">
    <cfRule type="colorScale" priority="111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K4:K10">
    <cfRule type="colorScale" priority="117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F3:F10">
    <cfRule type="colorScale" priority="117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4:H10">
    <cfRule type="colorScale" priority="1175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H4:H10">
    <cfRule type="colorScale" priority="117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3:H10">
    <cfRule type="colorScale" priority="45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K3:K10">
    <cfRule type="colorScale" priority="457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K4:K10">
    <cfRule type="colorScale" priority="456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K3:K10">
    <cfRule type="colorScale" priority="45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358:H385">
    <cfRule type="colorScale" priority="43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F358:F385">
    <cfRule type="colorScale" priority="42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Q358:Q385">
    <cfRule type="colorScale" priority="40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388">
    <cfRule type="colorScale" priority="40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388">
    <cfRule type="colorScale" priority="40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388">
    <cfRule type="colorScale" priority="39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388">
    <cfRule type="colorScale" priority="39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388:I415">
    <cfRule type="colorScale" priority="38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388:H415">
    <cfRule type="colorScale" priority="38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388:O415">
    <cfRule type="colorScale" priority="37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388:Q415">
    <cfRule type="colorScale" priority="37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416:I418">
    <cfRule type="colorScale" priority="36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16:H418">
    <cfRule type="colorScale" priority="36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416:O418">
    <cfRule type="colorScale" priority="36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416:Q418">
    <cfRule type="colorScale" priority="36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J421">
    <cfRule type="colorScale" priority="35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N421">
    <cfRule type="colorScale" priority="34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L421">
    <cfRule type="colorScale" priority="34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421">
    <cfRule type="colorScale" priority="34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J422">
    <cfRule type="colorScale" priority="343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J421:J422">
    <cfRule type="colorScale" priority="336">
      <colorScale>
        <cfvo type="min" val="0"/>
        <cfvo type="percentile" val="50"/>
        <cfvo type="max" val="0"/>
        <color theme="8" tint="0.79998168889431442"/>
        <color rgb="FFFFEB84"/>
        <color rgb="FFFFC000"/>
      </colorScale>
    </cfRule>
  </conditionalFormatting>
  <conditionalFormatting sqref="J421:J422">
    <cfRule type="colorScale" priority="33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N432:N443 N445:N448 M444 M431 N421:N430">
    <cfRule type="colorScale" priority="32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L432:L443 L445:L448 K444 K431 L421:L430">
    <cfRule type="colorScale" priority="32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432:O443 O445:O448 N444 N431 O421:O430">
    <cfRule type="colorScale" priority="32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449:F450">
    <cfRule type="colorScale" priority="31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N449:N450">
    <cfRule type="colorScale" priority="31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L449:L450">
    <cfRule type="colorScale" priority="31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449:O450">
    <cfRule type="colorScale" priority="31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486">
    <cfRule type="colorScale" priority="29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486:F515">
    <cfRule type="colorScale" priority="28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G486:G515">
    <cfRule type="colorScale" priority="28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486:Q513">
    <cfRule type="colorScale" priority="27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514:Q515">
    <cfRule type="colorScale" priority="26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53 H483">
    <cfRule type="colorScale" priority="25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O453">
    <cfRule type="colorScale" priority="25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483 Q453">
    <cfRule type="colorScale" priority="24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53:H480 H483">
    <cfRule type="colorScale" priority="23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Q453:Q480 Q483">
    <cfRule type="colorScale" priority="22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81:H482">
    <cfRule type="colorScale" priority="21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Q481:Q482">
    <cfRule type="colorScale" priority="2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421:G450">
    <cfRule type="colorScale" priority="18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3:G10">
    <cfRule type="colorScale" priority="18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3:I10">
    <cfRule type="colorScale" priority="18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21:H450">
    <cfRule type="colorScale" priority="18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421">
    <cfRule type="colorScale" priority="264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453:H482">
    <cfRule type="colorScale" priority="16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F453:F483">
    <cfRule type="colorScale" priority="16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G453:G483">
    <cfRule type="colorScale" priority="1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453:I483">
    <cfRule type="colorScale" priority="16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421:I448">
    <cfRule type="colorScale" priority="427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449:I450">
    <cfRule type="colorScale" priority="433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P444 P431">
    <cfRule type="colorScale" priority="15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358:G385">
    <cfRule type="colorScale" priority="15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B3:D10">
    <cfRule type="colorScale" priority="4375">
      <colorScale>
        <cfvo type="min" val="0"/>
        <cfvo type="max" val="0"/>
        <color theme="3" tint="0.39997558519241921"/>
        <color theme="3" tint="-0.499984740745262"/>
      </colorScale>
    </cfRule>
  </conditionalFormatting>
  <conditionalFormatting sqref="B7:D7">
    <cfRule type="colorScale" priority="4376">
      <colorScale>
        <cfvo type="min" val="0"/>
        <cfvo type="max" val="0"/>
        <color theme="3" tint="0.39997558519241921"/>
        <color theme="3" tint="-0.499984740745262"/>
      </colorScale>
    </cfRule>
  </conditionalFormatting>
  <conditionalFormatting sqref="B3:D10">
    <cfRule type="colorScale" priority="437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421:I450">
    <cfRule type="colorScale" priority="12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388:I418">
    <cfRule type="colorScale" priority="12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421:F450">
    <cfRule type="colorScale" priority="11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F416:F417">
    <cfRule type="colorScale" priority="11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G388:G418">
    <cfRule type="colorScale" priority="1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388:F418">
    <cfRule type="colorScale" priority="11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486:I515">
    <cfRule type="colorScale" priority="9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L3">
    <cfRule type="colorScale" priority="4380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L325:L355">
    <cfRule type="colorScale" priority="440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L325:L355">
    <cfRule type="colorScale" priority="4407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L325 L355">
    <cfRule type="colorScale" priority="4416">
      <colorScale>
        <cfvo type="min" val="0"/>
        <cfvo type="percentile" val="50"/>
        <cfvo type="max" val="0"/>
        <color theme="6" tint="0.79998168889431442"/>
        <color rgb="FFFFEB84"/>
        <color rgb="FFFFC000"/>
      </colorScale>
    </cfRule>
  </conditionalFormatting>
  <conditionalFormatting sqref="L325 L355">
    <cfRule type="colorScale" priority="4418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L325:L355">
    <cfRule type="colorScale" priority="4420">
      <colorScale>
        <cfvo type="min" val="0"/>
        <cfvo type="max" val="0"/>
        <color theme="6" tint="0.39997558519241921"/>
        <color theme="6" tint="0.79998168889431442"/>
      </colorScale>
    </cfRule>
  </conditionalFormatting>
  <conditionalFormatting sqref="L325:L355">
    <cfRule type="colorScale" priority="442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358:L385">
    <cfRule type="colorScale" priority="443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:L10">
    <cfRule type="colorScale" priority="443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3:L10">
    <cfRule type="colorScale" priority="4447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L4:L10">
    <cfRule type="colorScale" priority="4448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L3:L10">
    <cfRule type="colorScale" priority="444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388">
    <cfRule type="colorScale" priority="4456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388:L415">
    <cfRule type="colorScale" priority="446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16:L418">
    <cfRule type="colorScale" priority="447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53 L483">
    <cfRule type="colorScale" priority="453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53:L480 L483">
    <cfRule type="colorScale" priority="4554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81:L482">
    <cfRule type="colorScale" priority="456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486:H515">
    <cfRule type="colorScale" priority="4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486:L515">
    <cfRule type="colorScale" priority="3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R3">
    <cfRule type="colorScale" priority="34">
      <colorScale>
        <cfvo type="min" val="0"/>
        <cfvo type="max" val="0"/>
        <color theme="6" tint="-0.249977111117893"/>
        <color theme="6" tint="-0.499984740745262"/>
      </colorScale>
    </cfRule>
  </conditionalFormatting>
  <conditionalFormatting sqref="R3">
    <cfRule type="colorScale" priority="3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G518:G548">
    <cfRule type="colorScale" priority="2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518">
    <cfRule type="colorScale" priority="2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518:F548">
    <cfRule type="colorScale" priority="2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518:H548">
    <cfRule type="colorScale" priority="1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518:L538">
    <cfRule type="colorScale" priority="18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518:I538">
    <cfRule type="colorScale" priority="1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518:O538">
    <cfRule type="colorScale" priority="1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551:G581">
    <cfRule type="colorScale" priority="1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551">
    <cfRule type="colorScale" priority="13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551:F581">
    <cfRule type="colorScale" priority="12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551:H581">
    <cfRule type="colorScale" priority="11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L551:L571">
    <cfRule type="colorScale" priority="1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551:I571">
    <cfRule type="colorScale" priority="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551:O571">
    <cfRule type="colorScale" priority="8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Q584">
    <cfRule type="colorScale" priority="6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L584:L604">
    <cfRule type="colorScale" priority="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I584:I604">
    <cfRule type="colorScale" priority="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O584:O604">
    <cfRule type="colorScale" priority="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584:G613">
    <cfRule type="colorScale" priority="4797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584:F613">
    <cfRule type="colorScale" priority="4799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H584:H613">
    <cfRule type="colorScale" priority="480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4"/>
  <sheetViews>
    <sheetView topLeftCell="A7" zoomScale="110" zoomScaleNormal="110" workbookViewId="0">
      <selection activeCell="F26" sqref="F26"/>
    </sheetView>
  </sheetViews>
  <sheetFormatPr defaultColWidth="9.109375" defaultRowHeight="13.8"/>
  <cols>
    <col min="1" max="1" width="1.109375" style="1815" customWidth="1"/>
    <col min="2" max="2" width="10.88671875" style="1819" customWidth="1"/>
    <col min="3" max="3" width="12.6640625" style="1820" customWidth="1"/>
    <col min="4" max="4" width="12.6640625" style="1821" customWidth="1"/>
    <col min="5" max="5" width="12.6640625" style="1817" customWidth="1"/>
    <col min="6" max="7" width="13" style="1822" customWidth="1"/>
    <col min="8" max="8" width="16.5546875" style="1823" customWidth="1"/>
    <col min="9" max="9" width="15.109375" style="1823" customWidth="1"/>
    <col min="10" max="10" width="1.109375" style="1815" customWidth="1"/>
    <col min="11" max="16384" width="9.109375" style="1816"/>
  </cols>
  <sheetData>
    <row r="1" spans="1:10" ht="5.25" customHeight="1">
      <c r="A1" s="1818"/>
      <c r="B1" s="1816"/>
      <c r="C1" s="1816"/>
      <c r="D1" s="1816"/>
      <c r="E1" s="1816"/>
      <c r="F1" s="1853"/>
      <c r="G1" s="1853"/>
      <c r="H1" s="1853"/>
      <c r="I1" s="1853"/>
      <c r="J1" s="1818"/>
    </row>
    <row r="2" spans="1:10" ht="10.5" customHeight="1">
      <c r="B2" s="2783">
        <v>2022</v>
      </c>
      <c r="C2" s="2790" t="s">
        <v>1163</v>
      </c>
      <c r="D2" s="1825" t="s">
        <v>418</v>
      </c>
      <c r="E2" s="1825" t="s">
        <v>418</v>
      </c>
      <c r="F2" s="2789" t="s">
        <v>1161</v>
      </c>
      <c r="G2" s="1855" t="s">
        <v>418</v>
      </c>
      <c r="H2" s="1855" t="s">
        <v>418</v>
      </c>
      <c r="I2" s="2789" t="s">
        <v>1477</v>
      </c>
    </row>
    <row r="3" spans="1:10" ht="10.5" customHeight="1">
      <c r="B3" s="2784"/>
      <c r="C3" s="2790"/>
      <c r="D3" s="1824" t="s">
        <v>1162</v>
      </c>
      <c r="E3" s="1825" t="s">
        <v>1166</v>
      </c>
      <c r="F3" s="2789"/>
      <c r="G3" s="1855" t="s">
        <v>1160</v>
      </c>
      <c r="H3" s="1856" t="s">
        <v>1165</v>
      </c>
      <c r="I3" s="2789"/>
    </row>
    <row r="4" spans="1:10" ht="14.4">
      <c r="B4" s="2785"/>
      <c r="C4" s="1857">
        <f>SUM(C5:C16)</f>
        <v>5230.630000000001</v>
      </c>
      <c r="D4" s="1857">
        <f>AVERAGE(D5:D16)</f>
        <v>14.060833333333335</v>
      </c>
      <c r="E4" s="1857">
        <f>AVERAGE(E5:E16)</f>
        <v>0.58586805555555554</v>
      </c>
      <c r="F4" s="1858">
        <f>SUM(F5:F16)</f>
        <v>19236.57</v>
      </c>
      <c r="G4" s="1858">
        <f>AVERAGE(G5:G16)</f>
        <v>51.711209677419355</v>
      </c>
      <c r="H4" s="1859">
        <f>G4/D4</f>
        <v>3.677677449943888</v>
      </c>
      <c r="I4" s="1858">
        <f>SUM(I5:I15)</f>
        <v>19236.57</v>
      </c>
    </row>
    <row r="5" spans="1:10" ht="14.4">
      <c r="B5" s="1854">
        <v>44562</v>
      </c>
      <c r="C5" s="1840">
        <v>188.78</v>
      </c>
      <c r="D5" s="1840">
        <f t="shared" ref="D5:D16" si="0">$C5/31</f>
        <v>6.0896774193548389</v>
      </c>
      <c r="E5" s="1840">
        <f t="shared" ref="E5:E16" si="1">D5/24</f>
        <v>0.25373655913978493</v>
      </c>
      <c r="F5" s="1758">
        <v>536.52</v>
      </c>
      <c r="G5" s="1758">
        <f t="shared" ref="G5:G16" si="2">F5/31</f>
        <v>17.307096774193546</v>
      </c>
      <c r="H5" s="1758">
        <f t="shared" ref="H5:H16" si="3">G5/D5</f>
        <v>2.8420383515202876</v>
      </c>
      <c r="I5" s="2791">
        <f>SUM(F5:F7)</f>
        <v>1781.54</v>
      </c>
    </row>
    <row r="6" spans="1:10" ht="15" customHeight="1">
      <c r="B6" s="1854">
        <v>44593</v>
      </c>
      <c r="C6" s="1841">
        <v>175.21</v>
      </c>
      <c r="D6" s="1841">
        <f t="shared" si="0"/>
        <v>5.6519354838709681</v>
      </c>
      <c r="E6" s="1841">
        <f t="shared" si="1"/>
        <v>0.235497311827957</v>
      </c>
      <c r="F6" s="1758">
        <v>489.45</v>
      </c>
      <c r="G6" s="1758">
        <f t="shared" si="2"/>
        <v>15.788709677419355</v>
      </c>
      <c r="H6" s="1758">
        <f t="shared" si="3"/>
        <v>2.7935049369328233</v>
      </c>
      <c r="I6" s="2786"/>
    </row>
    <row r="7" spans="1:10" ht="14.4">
      <c r="B7" s="1854">
        <v>44621</v>
      </c>
      <c r="C7" s="1841">
        <v>191.93</v>
      </c>
      <c r="D7" s="1841">
        <f t="shared" si="0"/>
        <v>6.1912903225806453</v>
      </c>
      <c r="E7" s="1841">
        <f t="shared" si="1"/>
        <v>0.2579704301075269</v>
      </c>
      <c r="F7" s="1758">
        <v>755.57</v>
      </c>
      <c r="G7" s="1758">
        <f t="shared" si="2"/>
        <v>24.373225806451615</v>
      </c>
      <c r="H7" s="1758">
        <f t="shared" si="3"/>
        <v>3.9366956702964626</v>
      </c>
      <c r="I7" s="2787"/>
    </row>
    <row r="8" spans="1:10" ht="14.4">
      <c r="B8" s="1854">
        <v>44652</v>
      </c>
      <c r="C8" s="1841">
        <v>158.86000000000001</v>
      </c>
      <c r="D8" s="1841">
        <f t="shared" si="0"/>
        <v>5.1245161290322585</v>
      </c>
      <c r="E8" s="1841">
        <f t="shared" si="1"/>
        <v>0.2135215053763441</v>
      </c>
      <c r="F8" s="1758">
        <v>516.48</v>
      </c>
      <c r="G8" s="1758">
        <f t="shared" si="2"/>
        <v>16.660645161290322</v>
      </c>
      <c r="H8" s="1758">
        <f t="shared" si="3"/>
        <v>3.2511645474002262</v>
      </c>
      <c r="I8" s="2788">
        <f>SUM(F8:F10)</f>
        <v>2438.62</v>
      </c>
    </row>
    <row r="9" spans="1:10" ht="15" customHeight="1">
      <c r="B9" s="1854">
        <v>44682</v>
      </c>
      <c r="C9" s="1841">
        <v>178.83</v>
      </c>
      <c r="D9" s="1841">
        <f t="shared" si="0"/>
        <v>5.7687096774193556</v>
      </c>
      <c r="E9" s="1841">
        <f t="shared" si="1"/>
        <v>0.24036290322580647</v>
      </c>
      <c r="F9" s="1758">
        <v>585.29</v>
      </c>
      <c r="G9" s="1758">
        <f t="shared" si="2"/>
        <v>18.88032258064516</v>
      </c>
      <c r="H9" s="1758">
        <f t="shared" si="3"/>
        <v>3.2728848627187825</v>
      </c>
      <c r="I9" s="2786"/>
    </row>
    <row r="10" spans="1:10" ht="14.4">
      <c r="B10" s="1854">
        <v>44713</v>
      </c>
      <c r="C10" s="1841">
        <v>359.01</v>
      </c>
      <c r="D10" s="1841">
        <f t="shared" si="0"/>
        <v>11.580967741935483</v>
      </c>
      <c r="E10" s="1841">
        <f t="shared" si="1"/>
        <v>0.48254032258064511</v>
      </c>
      <c r="F10" s="1758">
        <v>1336.85</v>
      </c>
      <c r="G10" s="1758">
        <f t="shared" si="2"/>
        <v>43.12419354838709</v>
      </c>
      <c r="H10" s="1758">
        <f t="shared" si="3"/>
        <v>3.7237124314085954</v>
      </c>
      <c r="I10" s="2787"/>
    </row>
    <row r="11" spans="1:10" ht="14.4">
      <c r="B11" s="1854">
        <v>44743</v>
      </c>
      <c r="C11" s="1841">
        <v>439.93</v>
      </c>
      <c r="D11" s="1841">
        <f t="shared" si="0"/>
        <v>14.191290322580645</v>
      </c>
      <c r="E11" s="1841">
        <f t="shared" si="1"/>
        <v>0.59130376344086022</v>
      </c>
      <c r="F11" s="1758">
        <v>1809.55</v>
      </c>
      <c r="G11" s="1758">
        <f t="shared" si="2"/>
        <v>58.372580645161285</v>
      </c>
      <c r="H11" s="1758">
        <f t="shared" si="3"/>
        <v>4.1132680199122582</v>
      </c>
      <c r="I11" s="2788">
        <f>SUM(F11:F13)</f>
        <v>6156.22</v>
      </c>
    </row>
    <row r="12" spans="1:10" ht="15" customHeight="1">
      <c r="B12" s="1854">
        <v>44774</v>
      </c>
      <c r="C12" s="1841">
        <v>410.59</v>
      </c>
      <c r="D12" s="1841">
        <f t="shared" si="0"/>
        <v>13.244838709677419</v>
      </c>
      <c r="E12" s="1841">
        <f t="shared" si="1"/>
        <v>0.55186827956989248</v>
      </c>
      <c r="F12" s="1758">
        <v>2427.04</v>
      </c>
      <c r="G12" s="1758">
        <f t="shared" si="2"/>
        <v>78.291612903225811</v>
      </c>
      <c r="H12" s="1758">
        <f t="shared" si="3"/>
        <v>5.9111035339389666</v>
      </c>
      <c r="I12" s="2786"/>
    </row>
    <row r="13" spans="1:10" ht="14.4">
      <c r="B13" s="1854">
        <v>44805</v>
      </c>
      <c r="C13" s="1841">
        <v>395.76</v>
      </c>
      <c r="D13" s="1841">
        <f t="shared" si="0"/>
        <v>12.766451612903225</v>
      </c>
      <c r="E13" s="1841">
        <f t="shared" si="1"/>
        <v>0.53193548387096767</v>
      </c>
      <c r="F13" s="1758">
        <v>1919.63</v>
      </c>
      <c r="G13" s="1758">
        <f t="shared" si="2"/>
        <v>61.92354838709678</v>
      </c>
      <c r="H13" s="1758">
        <f t="shared" si="3"/>
        <v>4.8504901960784323</v>
      </c>
      <c r="I13" s="2787"/>
    </row>
    <row r="14" spans="1:10" ht="14.4">
      <c r="B14" s="1854">
        <v>44835</v>
      </c>
      <c r="C14" s="1841">
        <v>413</v>
      </c>
      <c r="D14" s="1841">
        <f t="shared" si="0"/>
        <v>13.32258064516129</v>
      </c>
      <c r="E14" s="1841">
        <f t="shared" si="1"/>
        <v>0.55510752688172038</v>
      </c>
      <c r="F14" s="1758">
        <v>1200.77</v>
      </c>
      <c r="G14" s="1758">
        <f t="shared" si="2"/>
        <v>38.734516129032258</v>
      </c>
      <c r="H14" s="1758">
        <f t="shared" si="3"/>
        <v>2.9074334140435836</v>
      </c>
      <c r="I14" s="2788">
        <f>SUM(F14:F16)</f>
        <v>8860.1899999999987</v>
      </c>
    </row>
    <row r="15" spans="1:10" ht="15" customHeight="1">
      <c r="B15" s="1854">
        <v>44866</v>
      </c>
      <c r="C15" s="1841">
        <v>867.76</v>
      </c>
      <c r="D15" s="1841">
        <f t="shared" si="0"/>
        <v>27.992258064516129</v>
      </c>
      <c r="E15" s="1841">
        <f t="shared" si="1"/>
        <v>1.1663440860215053</v>
      </c>
      <c r="F15" s="1758">
        <v>2843.22</v>
      </c>
      <c r="G15" s="1758">
        <f t="shared" si="2"/>
        <v>91.716774193548375</v>
      </c>
      <c r="H15" s="1758">
        <f t="shared" si="3"/>
        <v>3.2765050244307177</v>
      </c>
      <c r="I15" s="2786"/>
    </row>
    <row r="16" spans="1:10" ht="14.4">
      <c r="B16" s="1854">
        <v>44896</v>
      </c>
      <c r="C16" s="1841">
        <v>1450.97</v>
      </c>
      <c r="D16" s="1841">
        <f t="shared" si="0"/>
        <v>46.805483870967741</v>
      </c>
      <c r="E16" s="1841">
        <f t="shared" si="1"/>
        <v>1.9502284946236559</v>
      </c>
      <c r="F16" s="1758">
        <v>4816.2</v>
      </c>
      <c r="G16" s="1758">
        <f t="shared" si="2"/>
        <v>155.36129032258063</v>
      </c>
      <c r="H16" s="1758">
        <f t="shared" si="3"/>
        <v>3.3192967463145342</v>
      </c>
      <c r="I16" s="2787"/>
    </row>
    <row r="17" spans="1:10" ht="5.25" customHeight="1">
      <c r="A17" s="1818"/>
      <c r="B17" s="1816"/>
      <c r="C17" s="1816"/>
      <c r="D17" s="1816"/>
      <c r="E17" s="1816"/>
      <c r="F17" s="1853"/>
      <c r="G17" s="1853"/>
      <c r="H17" s="1853"/>
      <c r="I17" s="1853"/>
      <c r="J17" s="1818"/>
    </row>
    <row r="18" spans="1:10" ht="10.5" customHeight="1">
      <c r="B18" s="2783">
        <v>2023</v>
      </c>
      <c r="C18" s="2790" t="s">
        <v>1163</v>
      </c>
      <c r="D18" s="1825" t="s">
        <v>418</v>
      </c>
      <c r="E18" s="1825" t="s">
        <v>418</v>
      </c>
      <c r="F18" s="2789" t="s">
        <v>1161</v>
      </c>
      <c r="G18" s="1855" t="s">
        <v>418</v>
      </c>
      <c r="H18" s="1855" t="s">
        <v>418</v>
      </c>
      <c r="I18" s="2789" t="s">
        <v>1477</v>
      </c>
    </row>
    <row r="19" spans="1:10" ht="10.5" customHeight="1">
      <c r="B19" s="2784"/>
      <c r="C19" s="2790"/>
      <c r="D19" s="1824" t="s">
        <v>1162</v>
      </c>
      <c r="E19" s="1825" t="s">
        <v>1166</v>
      </c>
      <c r="F19" s="2789"/>
      <c r="G19" s="1855" t="s">
        <v>1160</v>
      </c>
      <c r="H19" s="1856" t="s">
        <v>1165</v>
      </c>
      <c r="I19" s="2789"/>
    </row>
    <row r="20" spans="1:10" ht="14.4">
      <c r="B20" s="2785"/>
      <c r="C20" s="1857">
        <f>SUM(C21:C32)</f>
        <v>3174.5000000000005</v>
      </c>
      <c r="D20" s="1857">
        <f>AVERAGE(D21:D32)</f>
        <v>8.533602150537634</v>
      </c>
      <c r="E20" s="1857">
        <f>AVERAGE(E21:E32)</f>
        <v>0.35556675627240142</v>
      </c>
      <c r="F20" s="1858" t="e">
        <f>SUM(F21:F32)</f>
        <v>#REF!</v>
      </c>
      <c r="G20" s="1858">
        <f>AVERAGE(G21:G32)</f>
        <v>32.651935483870965</v>
      </c>
      <c r="H20" s="1859">
        <f>G20/D20</f>
        <v>3.8262781540400059</v>
      </c>
      <c r="I20" s="1858" t="e">
        <f>SUM(I21:I31)</f>
        <v>#REF!</v>
      </c>
    </row>
    <row r="21" spans="1:10" ht="12.75" customHeight="1">
      <c r="B21" s="1854">
        <v>44927</v>
      </c>
      <c r="C21" s="1861">
        <f>total!$K$3</f>
        <v>1915.78</v>
      </c>
      <c r="D21" s="1861">
        <f t="shared" ref="D21:D32" si="4">$C21/31</f>
        <v>61.799354838709675</v>
      </c>
      <c r="E21" s="1861">
        <f t="shared" ref="E21:E32" si="5">D21/24</f>
        <v>2.5749731182795697</v>
      </c>
      <c r="F21" s="1860">
        <f>total!$N3</f>
        <v>3868.31</v>
      </c>
      <c r="G21" s="1860">
        <f t="shared" ref="G21:G26" si="6">F21/31</f>
        <v>124.78419354838709</v>
      </c>
      <c r="H21" s="1758">
        <f t="shared" ref="H21:H26" si="7">G21/D21</f>
        <v>2.0191827871676287</v>
      </c>
      <c r="I21" s="1826"/>
    </row>
    <row r="22" spans="1:10" ht="15" customHeight="1">
      <c r="B22" s="1854">
        <v>44958</v>
      </c>
      <c r="C22" s="1841">
        <f>total!$K$4</f>
        <v>275.35000000000002</v>
      </c>
      <c r="D22" s="1841">
        <f t="shared" si="4"/>
        <v>8.8822580645161295</v>
      </c>
      <c r="E22" s="1841">
        <f t="shared" si="5"/>
        <v>0.3700940860215054</v>
      </c>
      <c r="F22" s="1758">
        <f>total!$N4</f>
        <v>569.97</v>
      </c>
      <c r="G22" s="1758">
        <f t="shared" si="6"/>
        <v>18.386129032258065</v>
      </c>
      <c r="H22" s="1758">
        <f t="shared" si="7"/>
        <v>2.0699836571636099</v>
      </c>
      <c r="I22" s="2786">
        <f>SUM(F22:F23)</f>
        <v>980.18000000000006</v>
      </c>
    </row>
    <row r="23" spans="1:10" ht="12.75" customHeight="1">
      <c r="B23" s="1854">
        <v>44986</v>
      </c>
      <c r="C23" s="1841">
        <f>total!$K$5</f>
        <v>214.05</v>
      </c>
      <c r="D23" s="1841">
        <f t="shared" si="4"/>
        <v>6.9048387096774198</v>
      </c>
      <c r="E23" s="1841">
        <f t="shared" si="5"/>
        <v>0.28770161290322582</v>
      </c>
      <c r="F23" s="1758">
        <f>total!$N5</f>
        <v>410.21</v>
      </c>
      <c r="G23" s="1758">
        <f t="shared" si="6"/>
        <v>13.23258064516129</v>
      </c>
      <c r="H23" s="1758">
        <f t="shared" si="7"/>
        <v>1.91642139686989</v>
      </c>
      <c r="I23" s="2787"/>
    </row>
    <row r="24" spans="1:10" ht="12.75" customHeight="1">
      <c r="B24" s="1854">
        <v>45017</v>
      </c>
      <c r="C24" s="1841">
        <f>total!$K$6</f>
        <v>205</v>
      </c>
      <c r="D24" s="1841">
        <f t="shared" si="4"/>
        <v>6.612903225806452</v>
      </c>
      <c r="E24" s="1841">
        <f t="shared" si="5"/>
        <v>0.27553763440860218</v>
      </c>
      <c r="F24" s="1758">
        <f>total!$N6</f>
        <v>347.53</v>
      </c>
      <c r="G24" s="1758">
        <f t="shared" si="6"/>
        <v>11.210645161290321</v>
      </c>
      <c r="H24" s="1758">
        <f t="shared" si="7"/>
        <v>1.6952682926829266</v>
      </c>
      <c r="I24" s="2788">
        <f>SUM(F24:F26)</f>
        <v>1224.77</v>
      </c>
    </row>
    <row r="25" spans="1:10" ht="15" customHeight="1">
      <c r="B25" s="1854">
        <v>45047</v>
      </c>
      <c r="C25" s="1841">
        <f>total!$K7</f>
        <v>266.76</v>
      </c>
      <c r="D25" s="1841">
        <f t="shared" si="4"/>
        <v>8.6051612903225809</v>
      </c>
      <c r="E25" s="1841">
        <f t="shared" si="5"/>
        <v>0.35854838709677422</v>
      </c>
      <c r="F25" s="1758">
        <f>total!$N7</f>
        <v>384.22</v>
      </c>
      <c r="G25" s="1758">
        <f t="shared" si="6"/>
        <v>12.394193548387097</v>
      </c>
      <c r="H25" s="1758">
        <f t="shared" si="7"/>
        <v>1.4403208876893088</v>
      </c>
      <c r="I25" s="2786"/>
    </row>
    <row r="26" spans="1:10" ht="12.75" customHeight="1">
      <c r="B26" s="1854">
        <v>45078</v>
      </c>
      <c r="C26" s="1841">
        <f>total!$K8</f>
        <v>297.56</v>
      </c>
      <c r="D26" s="1841">
        <f t="shared" si="4"/>
        <v>9.5987096774193557</v>
      </c>
      <c r="E26" s="1841">
        <f t="shared" si="5"/>
        <v>0.3999462365591398</v>
      </c>
      <c r="F26" s="1758">
        <f>total!$N8</f>
        <v>493.02</v>
      </c>
      <c r="G26" s="1758">
        <f t="shared" si="6"/>
        <v>15.903870967741934</v>
      </c>
      <c r="H26" s="1758">
        <f t="shared" si="7"/>
        <v>1.6568759241833577</v>
      </c>
      <c r="I26" s="2787"/>
    </row>
    <row r="27" spans="1:10" ht="12.75" customHeight="1">
      <c r="B27" s="1854">
        <v>45108</v>
      </c>
      <c r="C27" s="1841">
        <f>total!$K12</f>
        <v>0</v>
      </c>
      <c r="D27" s="1841">
        <f t="shared" si="4"/>
        <v>0</v>
      </c>
      <c r="E27" s="1841">
        <f t="shared" si="5"/>
        <v>0</v>
      </c>
      <c r="F27" s="2072">
        <f>total!$N11</f>
        <v>0</v>
      </c>
      <c r="G27" s="1758"/>
      <c r="H27" s="1758"/>
      <c r="I27" s="2788" t="e">
        <f>SUM(F27:F29)</f>
        <v>#REF!</v>
      </c>
    </row>
    <row r="28" spans="1:10" ht="15" customHeight="1">
      <c r="B28" s="1854">
        <v>45139</v>
      </c>
      <c r="C28" s="1841">
        <f>total!$K13</f>
        <v>0</v>
      </c>
      <c r="D28" s="1841">
        <f t="shared" si="4"/>
        <v>0</v>
      </c>
      <c r="E28" s="1841">
        <f t="shared" si="5"/>
        <v>0</v>
      </c>
      <c r="F28" s="2072" t="e">
        <f>total!$N12</f>
        <v>#REF!</v>
      </c>
      <c r="G28" s="1758"/>
      <c r="H28" s="1758"/>
      <c r="I28" s="2786"/>
    </row>
    <row r="29" spans="1:10" ht="12.75" customHeight="1">
      <c r="B29" s="1854">
        <v>45170</v>
      </c>
      <c r="C29" s="1841">
        <f>total!$K14</f>
        <v>0</v>
      </c>
      <c r="D29" s="1841">
        <f t="shared" si="4"/>
        <v>0</v>
      </c>
      <c r="E29" s="1841">
        <f t="shared" si="5"/>
        <v>0</v>
      </c>
      <c r="F29" s="2072" t="e">
        <f>total!$N13</f>
        <v>#REF!</v>
      </c>
      <c r="G29" s="1758"/>
      <c r="H29" s="1758"/>
      <c r="I29" s="2787"/>
    </row>
    <row r="30" spans="1:10" ht="12.75" customHeight="1">
      <c r="B30" s="1854">
        <v>45200</v>
      </c>
      <c r="C30" s="1841">
        <f>total!$K15</f>
        <v>0</v>
      </c>
      <c r="D30" s="1841">
        <f t="shared" si="4"/>
        <v>0</v>
      </c>
      <c r="E30" s="1841">
        <f t="shared" si="5"/>
        <v>0</v>
      </c>
      <c r="F30" s="2072" t="e">
        <f>total!$N14</f>
        <v>#REF!</v>
      </c>
      <c r="G30" s="1758"/>
      <c r="H30" s="1758"/>
      <c r="I30" s="2788" t="e">
        <f>SUM(F30:F32)</f>
        <v>#REF!</v>
      </c>
    </row>
    <row r="31" spans="1:10" ht="15" customHeight="1">
      <c r="B31" s="1854">
        <v>45231</v>
      </c>
      <c r="C31" s="1841">
        <f>total!$K16</f>
        <v>0</v>
      </c>
      <c r="D31" s="1841">
        <f t="shared" si="4"/>
        <v>0</v>
      </c>
      <c r="E31" s="1841">
        <f t="shared" si="5"/>
        <v>0</v>
      </c>
      <c r="F31" s="2072" t="e">
        <f>total!$N15</f>
        <v>#REF!</v>
      </c>
      <c r="G31" s="1758"/>
      <c r="H31" s="1758"/>
      <c r="I31" s="2786"/>
    </row>
    <row r="32" spans="1:10" ht="12.75" customHeight="1">
      <c r="B32" s="1854">
        <v>45261</v>
      </c>
      <c r="C32" s="1841">
        <f>total!$K17</f>
        <v>0</v>
      </c>
      <c r="D32" s="1841">
        <f t="shared" si="4"/>
        <v>0</v>
      </c>
      <c r="E32" s="1841">
        <f t="shared" si="5"/>
        <v>0</v>
      </c>
      <c r="F32" s="2072" t="e">
        <f>total!$N16</f>
        <v>#REF!</v>
      </c>
      <c r="G32" s="1758"/>
      <c r="H32" s="1758"/>
      <c r="I32" s="2787"/>
    </row>
    <row r="33" spans="1:10" ht="5.25" customHeight="1">
      <c r="A33" s="1818"/>
      <c r="B33" s="1816"/>
      <c r="C33" s="1816"/>
      <c r="D33" s="1816"/>
      <c r="E33" s="1816"/>
      <c r="F33" s="1816"/>
      <c r="G33" s="1816"/>
      <c r="H33" s="1816"/>
      <c r="I33" s="1816"/>
      <c r="J33" s="1818"/>
    </row>
    <row r="34" spans="1:10" ht="5.25" customHeight="1">
      <c r="A34" s="1818"/>
      <c r="B34" s="1816"/>
      <c r="C34" s="1816"/>
      <c r="D34" s="1816"/>
      <c r="E34" s="1816"/>
      <c r="F34" s="1816"/>
      <c r="G34" s="1816"/>
      <c r="H34" s="1816"/>
      <c r="I34" s="1816"/>
      <c r="J34" s="1818"/>
    </row>
  </sheetData>
  <mergeCells count="16">
    <mergeCell ref="B18:B20"/>
    <mergeCell ref="B2:B4"/>
    <mergeCell ref="I22:I23"/>
    <mergeCell ref="I27:I29"/>
    <mergeCell ref="I30:I32"/>
    <mergeCell ref="I2:I3"/>
    <mergeCell ref="C18:C19"/>
    <mergeCell ref="F18:F19"/>
    <mergeCell ref="I18:I19"/>
    <mergeCell ref="I5:I7"/>
    <mergeCell ref="I8:I10"/>
    <mergeCell ref="I11:I13"/>
    <mergeCell ref="F2:F3"/>
    <mergeCell ref="I14:I16"/>
    <mergeCell ref="I24:I26"/>
    <mergeCell ref="C2:C3"/>
  </mergeCells>
  <conditionalFormatting sqref="C22:C32">
    <cfRule type="colorScale" priority="9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C5:C16">
    <cfRule type="colorScale" priority="80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D5:D16">
    <cfRule type="colorScale" priority="73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E5:E16">
    <cfRule type="colorScale" priority="6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F22:F32">
    <cfRule type="colorScale" priority="64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F5:F16">
    <cfRule type="colorScale" priority="62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G5:G16">
    <cfRule type="colorScale" priority="5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5:H16">
    <cfRule type="colorScale" priority="5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5:I16">
    <cfRule type="colorScale" priority="30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I21:I22 I24:I32">
    <cfRule type="colorScale" priority="19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D22:D32">
    <cfRule type="colorScale" priority="15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E22:E32">
    <cfRule type="colorScale" priority="7">
      <colorScale>
        <cfvo type="min" val="0"/>
        <cfvo type="percentile" val="50"/>
        <cfvo type="max" val="0"/>
        <color theme="6" tint="0.79998168889431442"/>
        <color theme="6" tint="0.59999389629810485"/>
        <color theme="6" tint="0.39997558519241921"/>
      </colorScale>
    </cfRule>
  </conditionalFormatting>
  <conditionalFormatting sqref="G22:G32">
    <cfRule type="colorScale" priority="5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conditionalFormatting sqref="H21:H32">
    <cfRule type="colorScale" priority="1">
      <colorScale>
        <cfvo type="min" val="0"/>
        <cfvo type="percentile" val="50"/>
        <cfvo type="max" val="0"/>
        <color theme="8" tint="0.79998168889431442"/>
        <color theme="8" tint="0.59999389629810485"/>
        <color theme="8" tint="0.39997558519241921"/>
      </colorScale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32"/>
  <sheetViews>
    <sheetView zoomScale="90" zoomScaleNormal="90" workbookViewId="0">
      <pane ySplit="2" topLeftCell="A9" activePane="bottomLeft" state="frozen"/>
      <selection pane="bottomLeft" activeCell="I26" sqref="I26"/>
    </sheetView>
  </sheetViews>
  <sheetFormatPr defaultColWidth="9.109375" defaultRowHeight="14.4"/>
  <cols>
    <col min="1" max="1" width="0.6640625" style="2136" customWidth="1"/>
    <col min="2" max="2" width="4.5546875" style="2137" customWidth="1"/>
    <col min="3" max="3" width="19.33203125" style="2138" customWidth="1"/>
    <col min="4" max="10" width="11.33203125" style="2139" customWidth="1"/>
    <col min="11" max="11" width="11.33203125" style="2139" hidden="1" customWidth="1"/>
    <col min="12" max="14" width="11.33203125" style="2139" customWidth="1"/>
    <col min="15" max="15" width="10.6640625" style="2139" customWidth="1"/>
    <col min="16" max="18" width="10.33203125" style="2139" customWidth="1"/>
    <col min="19" max="19" width="10" style="2140" bestFit="1" customWidth="1"/>
    <col min="20" max="16384" width="9.109375" style="2140"/>
  </cols>
  <sheetData>
    <row r="1" spans="1:19" s="2142" customFormat="1" ht="18.600000000000001" customHeight="1">
      <c r="A1" s="2141"/>
      <c r="B1" s="2176"/>
      <c r="C1" s="2177" t="s">
        <v>36</v>
      </c>
      <c r="D1" s="2178" t="s">
        <v>568</v>
      </c>
      <c r="E1" s="2178" t="s">
        <v>122</v>
      </c>
      <c r="F1" s="2178" t="s">
        <v>121</v>
      </c>
      <c r="G1" s="2178" t="s">
        <v>120</v>
      </c>
      <c r="H1" s="2178" t="s">
        <v>119</v>
      </c>
      <c r="I1" s="2178" t="s">
        <v>118</v>
      </c>
      <c r="J1" s="2178" t="s">
        <v>44</v>
      </c>
      <c r="K1" s="2178"/>
      <c r="L1" s="2178" t="s">
        <v>117</v>
      </c>
      <c r="M1" s="2178" t="s">
        <v>116</v>
      </c>
      <c r="N1" s="2178" t="s">
        <v>115</v>
      </c>
      <c r="O1" s="2178" t="s">
        <v>114</v>
      </c>
      <c r="P1" s="2178" t="s">
        <v>113</v>
      </c>
      <c r="Q1" s="2178" t="s">
        <v>112</v>
      </c>
      <c r="R1" s="2179">
        <f>SUM(R2:R21)</f>
        <v>857795</v>
      </c>
    </row>
    <row r="2" spans="1:19" s="2148" customFormat="1" ht="24.6" customHeight="1">
      <c r="A2" s="2143"/>
      <c r="B2" s="2174"/>
      <c r="C2" s="2188" t="s">
        <v>1543</v>
      </c>
      <c r="D2" s="2175">
        <f t="shared" ref="D2:R2" si="0">D7-D23</f>
        <v>12160.999999999998</v>
      </c>
      <c r="E2" s="2175">
        <f t="shared" si="0"/>
        <v>10801</v>
      </c>
      <c r="F2" s="2175">
        <f t="shared" si="0"/>
        <v>35501</v>
      </c>
      <c r="G2" s="2175">
        <f t="shared" si="0"/>
        <v>10801</v>
      </c>
      <c r="H2" s="2175">
        <f t="shared" si="0"/>
        <v>6611</v>
      </c>
      <c r="I2" s="2175">
        <f t="shared" si="0"/>
        <v>10801</v>
      </c>
      <c r="J2" s="2175">
        <f t="shared" si="0"/>
        <v>10801</v>
      </c>
      <c r="K2" s="2175">
        <f t="shared" si="0"/>
        <v>10969</v>
      </c>
      <c r="L2" s="2175">
        <f t="shared" si="0"/>
        <v>10801</v>
      </c>
      <c r="M2" s="2175">
        <f t="shared" si="0"/>
        <v>10801</v>
      </c>
      <c r="N2" s="2175">
        <f t="shared" si="0"/>
        <v>10801</v>
      </c>
      <c r="O2" s="2175">
        <f t="shared" si="0"/>
        <v>6611</v>
      </c>
      <c r="P2" s="2175">
        <f t="shared" si="0"/>
        <v>10801</v>
      </c>
      <c r="Q2" s="2175">
        <f t="shared" si="0"/>
        <v>10801</v>
      </c>
      <c r="R2" s="2175">
        <f t="shared" si="0"/>
        <v>156901</v>
      </c>
    </row>
    <row r="3" spans="1:19" s="2148" customFormat="1" ht="16.2" customHeight="1">
      <c r="A3" s="2143"/>
      <c r="B3" s="2144"/>
      <c r="C3" s="2145" t="s">
        <v>35</v>
      </c>
      <c r="D3" s="2146">
        <f>$S$3</f>
        <v>11843</v>
      </c>
      <c r="E3" s="2146">
        <f t="shared" ref="E3:Q3" si="1">$S$3</f>
        <v>11843</v>
      </c>
      <c r="F3" s="2146">
        <f t="shared" si="1"/>
        <v>11843</v>
      </c>
      <c r="G3" s="2146">
        <f t="shared" si="1"/>
        <v>11843</v>
      </c>
      <c r="H3" s="2146">
        <f t="shared" si="1"/>
        <v>11843</v>
      </c>
      <c r="I3" s="2146">
        <f t="shared" si="1"/>
        <v>11843</v>
      </c>
      <c r="J3" s="2146">
        <f t="shared" si="1"/>
        <v>11843</v>
      </c>
      <c r="K3" s="2146">
        <f t="shared" si="1"/>
        <v>11843</v>
      </c>
      <c r="L3" s="2146">
        <f t="shared" si="1"/>
        <v>11843</v>
      </c>
      <c r="M3" s="2146">
        <f t="shared" si="1"/>
        <v>11843</v>
      </c>
      <c r="N3" s="2146">
        <f t="shared" si="1"/>
        <v>11843</v>
      </c>
      <c r="O3" s="2146">
        <f t="shared" si="1"/>
        <v>11843</v>
      </c>
      <c r="P3" s="2146">
        <f t="shared" si="1"/>
        <v>11843</v>
      </c>
      <c r="Q3" s="2146">
        <f t="shared" si="1"/>
        <v>11843</v>
      </c>
      <c r="R3" s="2147">
        <f>SUM(E3:Q3)</f>
        <v>153959</v>
      </c>
      <c r="S3" s="2148">
        <v>11843</v>
      </c>
    </row>
    <row r="4" spans="1:19" s="2148" customFormat="1" ht="16.2" customHeight="1">
      <c r="A4" s="2143"/>
      <c r="B4" s="2144"/>
      <c r="C4" s="2145" t="s">
        <v>34</v>
      </c>
      <c r="D4" s="2146">
        <f>$S$4</f>
        <v>8159</v>
      </c>
      <c r="E4" s="2146">
        <f t="shared" ref="E4:Q4" si="2">$S$4</f>
        <v>8159</v>
      </c>
      <c r="F4" s="2146">
        <f t="shared" si="2"/>
        <v>8159</v>
      </c>
      <c r="G4" s="2146">
        <f t="shared" si="2"/>
        <v>8159</v>
      </c>
      <c r="H4" s="2146">
        <f t="shared" si="2"/>
        <v>8159</v>
      </c>
      <c r="I4" s="2146">
        <f t="shared" si="2"/>
        <v>8159</v>
      </c>
      <c r="J4" s="2146">
        <f t="shared" si="2"/>
        <v>8159</v>
      </c>
      <c r="K4" s="2146">
        <f t="shared" si="2"/>
        <v>8159</v>
      </c>
      <c r="L4" s="2146">
        <f t="shared" si="2"/>
        <v>8159</v>
      </c>
      <c r="M4" s="2146">
        <f t="shared" si="2"/>
        <v>8159</v>
      </c>
      <c r="N4" s="2146">
        <f t="shared" si="2"/>
        <v>8159</v>
      </c>
      <c r="O4" s="2146">
        <f t="shared" si="2"/>
        <v>8159</v>
      </c>
      <c r="P4" s="2146">
        <f t="shared" si="2"/>
        <v>8159</v>
      </c>
      <c r="Q4" s="2146">
        <f t="shared" si="2"/>
        <v>8159</v>
      </c>
      <c r="R4" s="2147">
        <f t="shared" ref="R4:R22" si="3">SUM(E4:Q4)</f>
        <v>106067</v>
      </c>
      <c r="S4" s="2148">
        <v>8159</v>
      </c>
    </row>
    <row r="5" spans="1:19" s="2148" customFormat="1" ht="16.2" customHeight="1">
      <c r="A5" s="2143" t="s">
        <v>45</v>
      </c>
      <c r="B5" s="2144"/>
      <c r="C5" s="2145" t="s">
        <v>47</v>
      </c>
      <c r="D5" s="2146">
        <f>R5/12</f>
        <v>2058.3333333333335</v>
      </c>
      <c r="E5" s="2146"/>
      <c r="F5" s="2146">
        <v>24700</v>
      </c>
      <c r="G5" s="2146"/>
      <c r="H5" s="2146"/>
      <c r="I5" s="2146"/>
      <c r="J5" s="2146"/>
      <c r="K5" s="2146"/>
      <c r="L5" s="2146"/>
      <c r="M5" s="2146"/>
      <c r="N5" s="2146"/>
      <c r="O5" s="2146"/>
      <c r="P5" s="2146"/>
      <c r="Q5" s="2146"/>
      <c r="R5" s="2147">
        <f t="shared" si="3"/>
        <v>24700</v>
      </c>
    </row>
    <row r="6" spans="1:19" s="2148" customFormat="1" ht="16.2" customHeight="1">
      <c r="A6" s="2143"/>
      <c r="B6" s="2144"/>
      <c r="C6" s="2145" t="s">
        <v>33</v>
      </c>
      <c r="D6" s="2146">
        <f>$S$6</f>
        <v>213</v>
      </c>
      <c r="E6" s="2146">
        <f t="shared" ref="E6:Q6" si="4">$S$6</f>
        <v>213</v>
      </c>
      <c r="F6" s="2146">
        <f t="shared" si="4"/>
        <v>213</v>
      </c>
      <c r="G6" s="2146">
        <f t="shared" si="4"/>
        <v>213</v>
      </c>
      <c r="H6" s="2146">
        <f t="shared" si="4"/>
        <v>213</v>
      </c>
      <c r="I6" s="2146">
        <f t="shared" si="4"/>
        <v>213</v>
      </c>
      <c r="J6" s="2146">
        <f t="shared" si="4"/>
        <v>213</v>
      </c>
      <c r="K6" s="2146">
        <f t="shared" si="4"/>
        <v>213</v>
      </c>
      <c r="L6" s="2146">
        <f t="shared" si="4"/>
        <v>213</v>
      </c>
      <c r="M6" s="2146">
        <f t="shared" si="4"/>
        <v>213</v>
      </c>
      <c r="N6" s="2146">
        <f t="shared" si="4"/>
        <v>213</v>
      </c>
      <c r="O6" s="2146">
        <f t="shared" si="4"/>
        <v>213</v>
      </c>
      <c r="P6" s="2146">
        <f t="shared" si="4"/>
        <v>213</v>
      </c>
      <c r="Q6" s="2146">
        <f t="shared" si="4"/>
        <v>213</v>
      </c>
      <c r="R6" s="2147">
        <f t="shared" si="3"/>
        <v>2769</v>
      </c>
      <c r="S6" s="2148">
        <v>213</v>
      </c>
    </row>
    <row r="7" spans="1:19" s="2148" customFormat="1" ht="18" customHeight="1">
      <c r="A7" s="2143"/>
      <c r="B7" s="2149"/>
      <c r="C7" s="2189" t="s">
        <v>1542</v>
      </c>
      <c r="D7" s="2150">
        <f>SUM(D3:D6)</f>
        <v>22273.333333333332</v>
      </c>
      <c r="E7" s="2150">
        <f t="shared" ref="E7:Q7" si="5">SUM(E3:E6)</f>
        <v>20215</v>
      </c>
      <c r="F7" s="2150">
        <f t="shared" si="5"/>
        <v>44915</v>
      </c>
      <c r="G7" s="2150">
        <f t="shared" si="5"/>
        <v>20215</v>
      </c>
      <c r="H7" s="2150">
        <f t="shared" si="5"/>
        <v>20215</v>
      </c>
      <c r="I7" s="2150">
        <f t="shared" si="5"/>
        <v>20215</v>
      </c>
      <c r="J7" s="2150">
        <f t="shared" si="5"/>
        <v>20215</v>
      </c>
      <c r="K7" s="2150">
        <f t="shared" si="5"/>
        <v>20215</v>
      </c>
      <c r="L7" s="2150">
        <f t="shared" si="5"/>
        <v>20215</v>
      </c>
      <c r="M7" s="2150">
        <f t="shared" si="5"/>
        <v>20215</v>
      </c>
      <c r="N7" s="2150">
        <f t="shared" si="5"/>
        <v>20215</v>
      </c>
      <c r="O7" s="2150">
        <f t="shared" si="5"/>
        <v>20215</v>
      </c>
      <c r="P7" s="2150">
        <f t="shared" si="5"/>
        <v>20215</v>
      </c>
      <c r="Q7" s="2150">
        <f t="shared" si="5"/>
        <v>20215</v>
      </c>
      <c r="R7" s="2151">
        <f>SUM(R3:R6)</f>
        <v>287495</v>
      </c>
    </row>
    <row r="8" spans="1:19" s="2148" customFormat="1" ht="16.2" customHeight="1">
      <c r="A8" s="2143"/>
      <c r="B8" s="2152"/>
      <c r="C8" s="2153" t="s">
        <v>1466</v>
      </c>
      <c r="D8" s="2154">
        <f t="shared" ref="D8:J8" si="6">$S$8</f>
        <v>778</v>
      </c>
      <c r="E8" s="2154">
        <f t="shared" si="6"/>
        <v>778</v>
      </c>
      <c r="F8" s="2154">
        <f t="shared" si="6"/>
        <v>778</v>
      </c>
      <c r="G8" s="2154">
        <f t="shared" si="6"/>
        <v>778</v>
      </c>
      <c r="H8" s="2154">
        <f t="shared" si="6"/>
        <v>778</v>
      </c>
      <c r="I8" s="2154">
        <f t="shared" si="6"/>
        <v>778</v>
      </c>
      <c r="J8" s="2154">
        <f t="shared" si="6"/>
        <v>778</v>
      </c>
      <c r="K8" s="2154">
        <v>778</v>
      </c>
      <c r="L8" s="2154">
        <f t="shared" ref="L8:Q8" si="7">$S$8</f>
        <v>778</v>
      </c>
      <c r="M8" s="2154">
        <f t="shared" si="7"/>
        <v>778</v>
      </c>
      <c r="N8" s="2154">
        <f t="shared" si="7"/>
        <v>778</v>
      </c>
      <c r="O8" s="2154">
        <f t="shared" si="7"/>
        <v>778</v>
      </c>
      <c r="P8" s="2154">
        <f t="shared" si="7"/>
        <v>778</v>
      </c>
      <c r="Q8" s="2154">
        <f t="shared" si="7"/>
        <v>778</v>
      </c>
      <c r="R8" s="2155">
        <f t="shared" si="3"/>
        <v>10114</v>
      </c>
      <c r="S8" s="2148">
        <v>778</v>
      </c>
    </row>
    <row r="9" spans="1:19" s="2148" customFormat="1" ht="16.2" customHeight="1">
      <c r="A9" s="2143"/>
      <c r="B9" s="2152"/>
      <c r="C9" s="2153" t="s">
        <v>30</v>
      </c>
      <c r="D9" s="2154">
        <f t="shared" ref="D9:J9" si="8">$S$9</f>
        <v>4270</v>
      </c>
      <c r="E9" s="2154">
        <f t="shared" si="8"/>
        <v>4270</v>
      </c>
      <c r="F9" s="2154">
        <f t="shared" si="8"/>
        <v>4270</v>
      </c>
      <c r="G9" s="2154">
        <f t="shared" si="8"/>
        <v>4270</v>
      </c>
      <c r="H9" s="2154">
        <f t="shared" si="8"/>
        <v>4270</v>
      </c>
      <c r="I9" s="2154">
        <f t="shared" si="8"/>
        <v>4270</v>
      </c>
      <c r="J9" s="2154">
        <f t="shared" si="8"/>
        <v>4270</v>
      </c>
      <c r="K9" s="2154">
        <v>4270</v>
      </c>
      <c r="L9" s="2154">
        <f t="shared" ref="L9:Q9" si="9">$S$9</f>
        <v>4270</v>
      </c>
      <c r="M9" s="2154">
        <f t="shared" si="9"/>
        <v>4270</v>
      </c>
      <c r="N9" s="2154">
        <f t="shared" si="9"/>
        <v>4270</v>
      </c>
      <c r="O9" s="2154">
        <f t="shared" si="9"/>
        <v>4270</v>
      </c>
      <c r="P9" s="2154">
        <f t="shared" si="9"/>
        <v>4270</v>
      </c>
      <c r="Q9" s="2154">
        <f t="shared" si="9"/>
        <v>4270</v>
      </c>
      <c r="R9" s="2155">
        <f t="shared" si="3"/>
        <v>55510</v>
      </c>
      <c r="S9" s="2148">
        <v>4270</v>
      </c>
    </row>
    <row r="10" spans="1:19" s="2148" customFormat="1" ht="16.2" customHeight="1">
      <c r="A10" s="2143"/>
      <c r="B10" s="2152"/>
      <c r="C10" s="2153" t="s">
        <v>1352</v>
      </c>
      <c r="D10" s="2154">
        <f t="shared" ref="D10:J10" si="10">$S$10</f>
        <v>630</v>
      </c>
      <c r="E10" s="2154">
        <f t="shared" si="10"/>
        <v>630</v>
      </c>
      <c r="F10" s="2154">
        <f t="shared" si="10"/>
        <v>630</v>
      </c>
      <c r="G10" s="2154">
        <f t="shared" si="10"/>
        <v>630</v>
      </c>
      <c r="H10" s="2154">
        <f t="shared" si="10"/>
        <v>630</v>
      </c>
      <c r="I10" s="2154">
        <f t="shared" si="10"/>
        <v>630</v>
      </c>
      <c r="J10" s="2154">
        <f t="shared" si="10"/>
        <v>630</v>
      </c>
      <c r="K10" s="2154">
        <v>630</v>
      </c>
      <c r="L10" s="2154">
        <f t="shared" ref="L10:Q10" si="11">$S$10</f>
        <v>630</v>
      </c>
      <c r="M10" s="2154">
        <f t="shared" si="11"/>
        <v>630</v>
      </c>
      <c r="N10" s="2154">
        <f t="shared" si="11"/>
        <v>630</v>
      </c>
      <c r="O10" s="2154">
        <f t="shared" si="11"/>
        <v>630</v>
      </c>
      <c r="P10" s="2154">
        <f t="shared" si="11"/>
        <v>630</v>
      </c>
      <c r="Q10" s="2154">
        <f t="shared" si="11"/>
        <v>630</v>
      </c>
      <c r="R10" s="2155">
        <f t="shared" si="3"/>
        <v>8190</v>
      </c>
      <c r="S10" s="2148">
        <v>630</v>
      </c>
    </row>
    <row r="11" spans="1:19" s="2148" customFormat="1" ht="16.2" customHeight="1">
      <c r="A11" s="2143"/>
      <c r="B11" s="2152"/>
      <c r="C11" s="2153" t="s">
        <v>29</v>
      </c>
      <c r="D11" s="2154">
        <f t="shared" ref="D11:J11" si="12">$S$11</f>
        <v>69</v>
      </c>
      <c r="E11" s="2154">
        <f t="shared" si="12"/>
        <v>69</v>
      </c>
      <c r="F11" s="2154">
        <f t="shared" si="12"/>
        <v>69</v>
      </c>
      <c r="G11" s="2154">
        <f t="shared" si="12"/>
        <v>69</v>
      </c>
      <c r="H11" s="2154">
        <f t="shared" si="12"/>
        <v>69</v>
      </c>
      <c r="I11" s="2154">
        <f t="shared" si="12"/>
        <v>69</v>
      </c>
      <c r="J11" s="2154">
        <f t="shared" si="12"/>
        <v>69</v>
      </c>
      <c r="K11" s="2154">
        <v>69</v>
      </c>
      <c r="L11" s="2154">
        <f t="shared" ref="L11:Q11" si="13">$S$11</f>
        <v>69</v>
      </c>
      <c r="M11" s="2154">
        <f t="shared" si="13"/>
        <v>69</v>
      </c>
      <c r="N11" s="2154">
        <f t="shared" si="13"/>
        <v>69</v>
      </c>
      <c r="O11" s="2154">
        <f t="shared" si="13"/>
        <v>69</v>
      </c>
      <c r="P11" s="2154">
        <f t="shared" si="13"/>
        <v>69</v>
      </c>
      <c r="Q11" s="2154">
        <f t="shared" si="13"/>
        <v>69</v>
      </c>
      <c r="R11" s="2155">
        <f t="shared" si="3"/>
        <v>897</v>
      </c>
      <c r="S11" s="2148">
        <v>69</v>
      </c>
    </row>
    <row r="12" spans="1:19" s="2148" customFormat="1" ht="16.2" customHeight="1">
      <c r="A12" s="2143"/>
      <c r="B12" s="2152"/>
      <c r="C12" s="2153" t="s">
        <v>28</v>
      </c>
      <c r="D12" s="2154">
        <f t="shared" ref="D12:J12" si="14">$S$12</f>
        <v>200</v>
      </c>
      <c r="E12" s="2154">
        <f t="shared" si="14"/>
        <v>200</v>
      </c>
      <c r="F12" s="2154">
        <f t="shared" si="14"/>
        <v>200</v>
      </c>
      <c r="G12" s="2154">
        <f t="shared" si="14"/>
        <v>200</v>
      </c>
      <c r="H12" s="2154">
        <f t="shared" si="14"/>
        <v>200</v>
      </c>
      <c r="I12" s="2154">
        <f t="shared" si="14"/>
        <v>200</v>
      </c>
      <c r="J12" s="2154">
        <f t="shared" si="14"/>
        <v>200</v>
      </c>
      <c r="K12" s="2154">
        <v>200</v>
      </c>
      <c r="L12" s="2154">
        <f t="shared" ref="L12:Q12" si="15">$S$12</f>
        <v>200</v>
      </c>
      <c r="M12" s="2154">
        <f t="shared" si="15"/>
        <v>200</v>
      </c>
      <c r="N12" s="2154">
        <f t="shared" si="15"/>
        <v>200</v>
      </c>
      <c r="O12" s="2154">
        <f t="shared" si="15"/>
        <v>200</v>
      </c>
      <c r="P12" s="2154">
        <f t="shared" si="15"/>
        <v>200</v>
      </c>
      <c r="Q12" s="2154">
        <f t="shared" si="15"/>
        <v>200</v>
      </c>
      <c r="R12" s="2155">
        <f>SUM(E12:Q12)</f>
        <v>2600</v>
      </c>
      <c r="S12" s="2148">
        <v>200</v>
      </c>
    </row>
    <row r="13" spans="1:19" s="2148" customFormat="1" ht="16.2" customHeight="1">
      <c r="A13" s="2143"/>
      <c r="B13" s="2152"/>
      <c r="C13" s="2153" t="s">
        <v>27</v>
      </c>
      <c r="D13" s="2154">
        <f t="shared" ref="D13:J13" si="16">$S$13</f>
        <v>871</v>
      </c>
      <c r="E13" s="2154">
        <f t="shared" si="16"/>
        <v>871</v>
      </c>
      <c r="F13" s="2154">
        <f t="shared" si="16"/>
        <v>871</v>
      </c>
      <c r="G13" s="2154">
        <f t="shared" si="16"/>
        <v>871</v>
      </c>
      <c r="H13" s="2154">
        <f t="shared" si="16"/>
        <v>871</v>
      </c>
      <c r="I13" s="2154">
        <f t="shared" si="16"/>
        <v>871</v>
      </c>
      <c r="J13" s="2154">
        <f t="shared" si="16"/>
        <v>871</v>
      </c>
      <c r="K13" s="2154">
        <v>871</v>
      </c>
      <c r="L13" s="2154">
        <f t="shared" ref="L13:Q13" si="17">$S$13</f>
        <v>871</v>
      </c>
      <c r="M13" s="2154">
        <f t="shared" si="17"/>
        <v>871</v>
      </c>
      <c r="N13" s="2154">
        <f t="shared" si="17"/>
        <v>871</v>
      </c>
      <c r="O13" s="2154">
        <f t="shared" si="17"/>
        <v>871</v>
      </c>
      <c r="P13" s="2154">
        <f t="shared" si="17"/>
        <v>871</v>
      </c>
      <c r="Q13" s="2154">
        <f t="shared" si="17"/>
        <v>871</v>
      </c>
      <c r="R13" s="2155">
        <f t="shared" si="3"/>
        <v>11323</v>
      </c>
      <c r="S13" s="2148">
        <v>871</v>
      </c>
    </row>
    <row r="14" spans="1:19" s="2148" customFormat="1" ht="16.2" customHeight="1">
      <c r="A14" s="2143"/>
      <c r="B14" s="2152"/>
      <c r="C14" s="2153" t="s">
        <v>1496</v>
      </c>
      <c r="D14" s="2154">
        <f t="shared" ref="D14:J14" si="18">$S$14</f>
        <v>118</v>
      </c>
      <c r="E14" s="2154">
        <f t="shared" si="18"/>
        <v>118</v>
      </c>
      <c r="F14" s="2154">
        <f t="shared" si="18"/>
        <v>118</v>
      </c>
      <c r="G14" s="2154">
        <f t="shared" si="18"/>
        <v>118</v>
      </c>
      <c r="H14" s="2154">
        <f t="shared" si="18"/>
        <v>118</v>
      </c>
      <c r="I14" s="2154">
        <f t="shared" si="18"/>
        <v>118</v>
      </c>
      <c r="J14" s="2154">
        <f t="shared" si="18"/>
        <v>118</v>
      </c>
      <c r="K14" s="2154">
        <v>118</v>
      </c>
      <c r="L14" s="2154">
        <f t="shared" ref="L14:Q14" si="19">$S$14</f>
        <v>118</v>
      </c>
      <c r="M14" s="2154">
        <f t="shared" si="19"/>
        <v>118</v>
      </c>
      <c r="N14" s="2154">
        <f t="shared" si="19"/>
        <v>118</v>
      </c>
      <c r="O14" s="2154">
        <f t="shared" si="19"/>
        <v>118</v>
      </c>
      <c r="P14" s="2154">
        <f t="shared" si="19"/>
        <v>118</v>
      </c>
      <c r="Q14" s="2154">
        <f t="shared" si="19"/>
        <v>118</v>
      </c>
      <c r="R14" s="2155">
        <f t="shared" si="3"/>
        <v>1534</v>
      </c>
      <c r="S14" s="2148">
        <v>118</v>
      </c>
    </row>
    <row r="15" spans="1:19" s="2148" customFormat="1" ht="16.2" customHeight="1">
      <c r="A15" s="2143"/>
      <c r="B15" s="2152"/>
      <c r="C15" s="2153" t="s">
        <v>1354</v>
      </c>
      <c r="D15" s="2154">
        <f t="shared" ref="D15:J15" si="20">$S$15</f>
        <v>159</v>
      </c>
      <c r="E15" s="2154">
        <f t="shared" si="20"/>
        <v>159</v>
      </c>
      <c r="F15" s="2154">
        <f t="shared" si="20"/>
        <v>159</v>
      </c>
      <c r="G15" s="2154">
        <f t="shared" si="20"/>
        <v>159</v>
      </c>
      <c r="H15" s="2154">
        <f t="shared" si="20"/>
        <v>159</v>
      </c>
      <c r="I15" s="2154">
        <f t="shared" si="20"/>
        <v>159</v>
      </c>
      <c r="J15" s="2154">
        <f t="shared" si="20"/>
        <v>159</v>
      </c>
      <c r="K15" s="2154">
        <v>159</v>
      </c>
      <c r="L15" s="2154">
        <f t="shared" ref="L15:Q15" si="21">$S$15</f>
        <v>159</v>
      </c>
      <c r="M15" s="2154">
        <f t="shared" si="21"/>
        <v>159</v>
      </c>
      <c r="N15" s="2154">
        <f t="shared" si="21"/>
        <v>159</v>
      </c>
      <c r="O15" s="2154">
        <f t="shared" si="21"/>
        <v>159</v>
      </c>
      <c r="P15" s="2154">
        <f t="shared" si="21"/>
        <v>159</v>
      </c>
      <c r="Q15" s="2154">
        <f t="shared" si="21"/>
        <v>159</v>
      </c>
      <c r="R15" s="2155">
        <f t="shared" si="3"/>
        <v>2067</v>
      </c>
      <c r="S15" s="2148">
        <v>159</v>
      </c>
    </row>
    <row r="16" spans="1:19" s="2148" customFormat="1" ht="16.2" customHeight="1">
      <c r="A16" s="2143"/>
      <c r="B16" s="2152"/>
      <c r="C16" s="2153" t="s">
        <v>26</v>
      </c>
      <c r="D16" s="2154">
        <f t="shared" ref="D16:J16" si="22">$S$16</f>
        <v>450</v>
      </c>
      <c r="E16" s="2154">
        <f t="shared" si="22"/>
        <v>450</v>
      </c>
      <c r="F16" s="2154">
        <f t="shared" si="22"/>
        <v>450</v>
      </c>
      <c r="G16" s="2154">
        <f t="shared" si="22"/>
        <v>450</v>
      </c>
      <c r="H16" s="2154">
        <f t="shared" si="22"/>
        <v>450</v>
      </c>
      <c r="I16" s="2154">
        <f t="shared" si="22"/>
        <v>450</v>
      </c>
      <c r="J16" s="2154">
        <f t="shared" si="22"/>
        <v>450</v>
      </c>
      <c r="K16" s="2154">
        <v>350</v>
      </c>
      <c r="L16" s="2154">
        <f t="shared" ref="L16:Q16" si="23">$S$16</f>
        <v>450</v>
      </c>
      <c r="M16" s="2154">
        <f t="shared" si="23"/>
        <v>450</v>
      </c>
      <c r="N16" s="2154">
        <f t="shared" si="23"/>
        <v>450</v>
      </c>
      <c r="O16" s="2154">
        <f t="shared" si="23"/>
        <v>450</v>
      </c>
      <c r="P16" s="2154">
        <f t="shared" si="23"/>
        <v>450</v>
      </c>
      <c r="Q16" s="2154">
        <f t="shared" si="23"/>
        <v>450</v>
      </c>
      <c r="R16" s="2155">
        <f t="shared" si="3"/>
        <v>5750</v>
      </c>
      <c r="S16" s="2148">
        <v>450</v>
      </c>
    </row>
    <row r="17" spans="1:19" s="2148" customFormat="1" ht="16.2" customHeight="1">
      <c r="A17" s="2143"/>
      <c r="B17" s="2152"/>
      <c r="C17" s="2153" t="s">
        <v>25</v>
      </c>
      <c r="D17" s="2154">
        <f t="shared" ref="D17:J17" si="24">$S$17</f>
        <v>650</v>
      </c>
      <c r="E17" s="2154">
        <f t="shared" si="24"/>
        <v>650</v>
      </c>
      <c r="F17" s="2154">
        <f t="shared" si="24"/>
        <v>650</v>
      </c>
      <c r="G17" s="2154">
        <f t="shared" si="24"/>
        <v>650</v>
      </c>
      <c r="H17" s="2154">
        <f t="shared" si="24"/>
        <v>650</v>
      </c>
      <c r="I17" s="2154">
        <f t="shared" si="24"/>
        <v>650</v>
      </c>
      <c r="J17" s="2154">
        <f t="shared" si="24"/>
        <v>650</v>
      </c>
      <c r="K17" s="2154">
        <v>650</v>
      </c>
      <c r="L17" s="2154">
        <f t="shared" ref="L17:Q17" si="25">$S$17</f>
        <v>650</v>
      </c>
      <c r="M17" s="2154">
        <f t="shared" si="25"/>
        <v>650</v>
      </c>
      <c r="N17" s="2154">
        <f t="shared" si="25"/>
        <v>650</v>
      </c>
      <c r="O17" s="2154">
        <f t="shared" si="25"/>
        <v>650</v>
      </c>
      <c r="P17" s="2154">
        <f t="shared" si="25"/>
        <v>650</v>
      </c>
      <c r="Q17" s="2154">
        <f t="shared" si="25"/>
        <v>650</v>
      </c>
      <c r="R17" s="2155">
        <f t="shared" si="3"/>
        <v>8450</v>
      </c>
      <c r="S17" s="2148">
        <v>650</v>
      </c>
    </row>
    <row r="18" spans="1:19" s="2148" customFormat="1" ht="16.2" customHeight="1">
      <c r="A18" s="2143"/>
      <c r="B18" s="2152"/>
      <c r="C18" s="2153" t="s">
        <v>23</v>
      </c>
      <c r="D18" s="2154">
        <f t="shared" ref="D18:J18" si="26">$S$18</f>
        <v>170</v>
      </c>
      <c r="E18" s="2154">
        <f t="shared" si="26"/>
        <v>170</v>
      </c>
      <c r="F18" s="2154">
        <f t="shared" si="26"/>
        <v>170</v>
      </c>
      <c r="G18" s="2154">
        <f t="shared" si="26"/>
        <v>170</v>
      </c>
      <c r="H18" s="2154">
        <f t="shared" si="26"/>
        <v>170</v>
      </c>
      <c r="I18" s="2154">
        <f t="shared" si="26"/>
        <v>170</v>
      </c>
      <c r="J18" s="2154">
        <f t="shared" si="26"/>
        <v>170</v>
      </c>
      <c r="K18" s="2154">
        <v>170</v>
      </c>
      <c r="L18" s="2154">
        <f t="shared" ref="L18:Q18" si="27">$S$18</f>
        <v>170</v>
      </c>
      <c r="M18" s="2154">
        <f t="shared" si="27"/>
        <v>170</v>
      </c>
      <c r="N18" s="2154">
        <f t="shared" si="27"/>
        <v>170</v>
      </c>
      <c r="O18" s="2154">
        <f t="shared" si="27"/>
        <v>170</v>
      </c>
      <c r="P18" s="2154">
        <f t="shared" si="27"/>
        <v>170</v>
      </c>
      <c r="Q18" s="2154">
        <f t="shared" si="27"/>
        <v>170</v>
      </c>
      <c r="R18" s="2155">
        <f t="shared" si="3"/>
        <v>2210</v>
      </c>
      <c r="S18" s="2148">
        <v>170</v>
      </c>
    </row>
    <row r="19" spans="1:19" s="2148" customFormat="1" ht="16.2" customHeight="1">
      <c r="A19" s="2143"/>
      <c r="B19" s="2152"/>
      <c r="C19" s="2153" t="s">
        <v>22</v>
      </c>
      <c r="D19" s="2154">
        <f t="shared" ref="D19:J19" si="28">$S$19</f>
        <v>227</v>
      </c>
      <c r="E19" s="2154">
        <f t="shared" si="28"/>
        <v>227</v>
      </c>
      <c r="F19" s="2154">
        <f t="shared" si="28"/>
        <v>227</v>
      </c>
      <c r="G19" s="2154">
        <f t="shared" si="28"/>
        <v>227</v>
      </c>
      <c r="H19" s="2154">
        <f t="shared" si="28"/>
        <v>227</v>
      </c>
      <c r="I19" s="2154">
        <f t="shared" si="28"/>
        <v>227</v>
      </c>
      <c r="J19" s="2154">
        <f t="shared" si="28"/>
        <v>227</v>
      </c>
      <c r="K19" s="2154">
        <v>227</v>
      </c>
      <c r="L19" s="2154">
        <f t="shared" ref="L19:Q19" si="29">$S$19</f>
        <v>227</v>
      </c>
      <c r="M19" s="2154">
        <f t="shared" si="29"/>
        <v>227</v>
      </c>
      <c r="N19" s="2154">
        <f t="shared" si="29"/>
        <v>227</v>
      </c>
      <c r="O19" s="2154">
        <f t="shared" si="29"/>
        <v>227</v>
      </c>
      <c r="P19" s="2154">
        <f t="shared" si="29"/>
        <v>227</v>
      </c>
      <c r="Q19" s="2154">
        <f t="shared" si="29"/>
        <v>227</v>
      </c>
      <c r="R19" s="2155">
        <f t="shared" si="3"/>
        <v>2951</v>
      </c>
      <c r="S19" s="2148">
        <v>227</v>
      </c>
    </row>
    <row r="20" spans="1:19" s="2148" customFormat="1" ht="16.2" customHeight="1">
      <c r="A20" s="2143"/>
      <c r="B20" s="2152"/>
      <c r="C20" s="2153" t="s">
        <v>21</v>
      </c>
      <c r="D20" s="2154">
        <f t="shared" ref="D20:J20" si="30">$S$20</f>
        <v>456</v>
      </c>
      <c r="E20" s="2154">
        <f t="shared" si="30"/>
        <v>456</v>
      </c>
      <c r="F20" s="2154">
        <f t="shared" si="30"/>
        <v>456</v>
      </c>
      <c r="G20" s="2154">
        <f t="shared" si="30"/>
        <v>456</v>
      </c>
      <c r="H20" s="2154">
        <f t="shared" si="30"/>
        <v>456</v>
      </c>
      <c r="I20" s="2154">
        <f t="shared" si="30"/>
        <v>456</v>
      </c>
      <c r="J20" s="2154">
        <f t="shared" si="30"/>
        <v>456</v>
      </c>
      <c r="K20" s="2154">
        <v>456</v>
      </c>
      <c r="L20" s="2154">
        <f t="shared" ref="L20:Q20" si="31">$S$20</f>
        <v>456</v>
      </c>
      <c r="M20" s="2154">
        <f t="shared" si="31"/>
        <v>456</v>
      </c>
      <c r="N20" s="2154">
        <f t="shared" si="31"/>
        <v>456</v>
      </c>
      <c r="O20" s="2154">
        <f t="shared" si="31"/>
        <v>456</v>
      </c>
      <c r="P20" s="2154">
        <f t="shared" si="31"/>
        <v>456</v>
      </c>
      <c r="Q20" s="2154">
        <f t="shared" si="31"/>
        <v>456</v>
      </c>
      <c r="R20" s="2155">
        <f t="shared" si="3"/>
        <v>5928</v>
      </c>
      <c r="S20" s="2148">
        <v>456</v>
      </c>
    </row>
    <row r="21" spans="1:19" s="2148" customFormat="1" ht="16.2" customHeight="1">
      <c r="A21" s="2143"/>
      <c r="B21" s="2152"/>
      <c r="C21" s="2153" t="s">
        <v>43</v>
      </c>
      <c r="D21" s="2154">
        <f>SUM(E21:Q21)/12</f>
        <v>698.33333333333337</v>
      </c>
      <c r="E21" s="2154"/>
      <c r="F21" s="2154"/>
      <c r="G21" s="2154"/>
      <c r="H21" s="2154">
        <f>$S$21</f>
        <v>4190</v>
      </c>
      <c r="I21" s="2154"/>
      <c r="J21" s="2154"/>
      <c r="K21" s="2155"/>
      <c r="L21" s="2154"/>
      <c r="M21" s="2154"/>
      <c r="N21" s="2154"/>
      <c r="O21" s="2154">
        <f>$S$21</f>
        <v>4190</v>
      </c>
      <c r="P21" s="2154"/>
      <c r="Q21" s="2154"/>
      <c r="R21" s="2155">
        <f t="shared" si="3"/>
        <v>8380</v>
      </c>
      <c r="S21" s="2148">
        <v>4190</v>
      </c>
    </row>
    <row r="22" spans="1:19" s="2148" customFormat="1" ht="16.2" customHeight="1">
      <c r="A22" s="2143"/>
      <c r="B22" s="2152"/>
      <c r="C22" s="2153" t="s">
        <v>620</v>
      </c>
      <c r="D22" s="2154">
        <f t="shared" ref="D22:J22" si="32">$S$22</f>
        <v>366</v>
      </c>
      <c r="E22" s="2154">
        <f t="shared" si="32"/>
        <v>366</v>
      </c>
      <c r="F22" s="2154">
        <f t="shared" si="32"/>
        <v>366</v>
      </c>
      <c r="G22" s="2154">
        <f t="shared" si="32"/>
        <v>366</v>
      </c>
      <c r="H22" s="2154">
        <f t="shared" si="32"/>
        <v>366</v>
      </c>
      <c r="I22" s="2154">
        <f t="shared" si="32"/>
        <v>366</v>
      </c>
      <c r="J22" s="2154">
        <f t="shared" si="32"/>
        <v>366</v>
      </c>
      <c r="K22" s="2154">
        <v>298</v>
      </c>
      <c r="L22" s="2154">
        <f t="shared" ref="L22:Q22" si="33">$S$22</f>
        <v>366</v>
      </c>
      <c r="M22" s="2154">
        <f t="shared" si="33"/>
        <v>366</v>
      </c>
      <c r="N22" s="2154">
        <f t="shared" si="33"/>
        <v>366</v>
      </c>
      <c r="O22" s="2154">
        <f t="shared" si="33"/>
        <v>366</v>
      </c>
      <c r="P22" s="2154">
        <f t="shared" si="33"/>
        <v>366</v>
      </c>
      <c r="Q22" s="2154">
        <f t="shared" si="33"/>
        <v>366</v>
      </c>
      <c r="R22" s="2155">
        <f t="shared" si="3"/>
        <v>4690</v>
      </c>
      <c r="S22" s="2148">
        <v>366</v>
      </c>
    </row>
    <row r="23" spans="1:19" s="2148" customFormat="1" ht="16.2" customHeight="1">
      <c r="A23" s="2143"/>
      <c r="B23" s="2156"/>
      <c r="C23" s="2190" t="s">
        <v>1541</v>
      </c>
      <c r="D23" s="2157">
        <f>SUM(D8:D22)</f>
        <v>10112.333333333334</v>
      </c>
      <c r="E23" s="2157">
        <f t="shared" ref="E23:Q23" si="34">SUM(E8:E22)</f>
        <v>9414</v>
      </c>
      <c r="F23" s="2157">
        <f t="shared" si="34"/>
        <v>9414</v>
      </c>
      <c r="G23" s="2157">
        <f t="shared" si="34"/>
        <v>9414</v>
      </c>
      <c r="H23" s="2157">
        <f t="shared" si="34"/>
        <v>13604</v>
      </c>
      <c r="I23" s="2157">
        <f t="shared" si="34"/>
        <v>9414</v>
      </c>
      <c r="J23" s="2157">
        <f t="shared" si="34"/>
        <v>9414</v>
      </c>
      <c r="K23" s="2157">
        <f t="shared" si="34"/>
        <v>9246</v>
      </c>
      <c r="L23" s="2157">
        <f t="shared" si="34"/>
        <v>9414</v>
      </c>
      <c r="M23" s="2157">
        <f t="shared" si="34"/>
        <v>9414</v>
      </c>
      <c r="N23" s="2157">
        <f t="shared" si="34"/>
        <v>9414</v>
      </c>
      <c r="O23" s="2157">
        <f t="shared" si="34"/>
        <v>13604</v>
      </c>
      <c r="P23" s="2157">
        <f t="shared" si="34"/>
        <v>9414</v>
      </c>
      <c r="Q23" s="2157">
        <f t="shared" si="34"/>
        <v>9414</v>
      </c>
      <c r="R23" s="2158">
        <f>SUM(R8:R22)</f>
        <v>130594</v>
      </c>
    </row>
    <row r="24" spans="1:19" s="2148" customFormat="1" ht="24.6" customHeight="1">
      <c r="A24" s="2143"/>
      <c r="B24" s="2174"/>
      <c r="C24" s="2188" t="s">
        <v>1545</v>
      </c>
      <c r="D24" s="2175">
        <f>D2-D34</f>
        <v>11540.999999999998</v>
      </c>
      <c r="E24" s="2175">
        <f t="shared" ref="E24:Q24" si="35">E2-E34</f>
        <v>10181</v>
      </c>
      <c r="F24" s="2175">
        <f t="shared" si="35"/>
        <v>34381</v>
      </c>
      <c r="G24" s="2175">
        <f t="shared" si="35"/>
        <v>9181</v>
      </c>
      <c r="H24" s="2175">
        <f t="shared" si="35"/>
        <v>5991</v>
      </c>
      <c r="I24" s="2175">
        <f t="shared" si="35"/>
        <v>9181</v>
      </c>
      <c r="J24" s="2175">
        <f t="shared" si="35"/>
        <v>9681</v>
      </c>
      <c r="K24" s="2175">
        <f t="shared" si="35"/>
        <v>10349</v>
      </c>
      <c r="L24" s="2175">
        <f t="shared" si="35"/>
        <v>10181</v>
      </c>
      <c r="M24" s="2175">
        <f t="shared" si="35"/>
        <v>9681</v>
      </c>
      <c r="N24" s="2175">
        <f t="shared" si="35"/>
        <v>10181</v>
      </c>
      <c r="O24" s="2175">
        <f t="shared" si="35"/>
        <v>5991</v>
      </c>
      <c r="P24" s="2175">
        <f t="shared" si="35"/>
        <v>10181</v>
      </c>
      <c r="Q24" s="2175">
        <f t="shared" si="35"/>
        <v>6681</v>
      </c>
      <c r="R24" s="2175">
        <f>SUM(E24:Q24)</f>
        <v>141841</v>
      </c>
    </row>
    <row r="25" spans="1:19" s="2148" customFormat="1" ht="16.2" customHeight="1">
      <c r="A25" s="2143"/>
      <c r="B25" s="2184"/>
      <c r="C25" s="2185" t="s">
        <v>15</v>
      </c>
      <c r="D25" s="2186">
        <f>SUM(E25:R25)</f>
        <v>0</v>
      </c>
      <c r="E25" s="2186"/>
      <c r="F25" s="2186"/>
      <c r="G25" s="2186"/>
      <c r="H25" s="2186"/>
      <c r="I25" s="2186"/>
      <c r="J25" s="2186"/>
      <c r="K25" s="2186"/>
      <c r="L25" s="2186"/>
      <c r="M25" s="2186"/>
      <c r="N25" s="2186"/>
      <c r="O25" s="2186"/>
      <c r="P25" s="2186"/>
      <c r="Q25" s="2186"/>
      <c r="R25" s="2187">
        <f t="shared" ref="R25:R33" si="36">SUM(E25:Q25)</f>
        <v>0</v>
      </c>
    </row>
    <row r="26" spans="1:19" s="2148" customFormat="1" ht="16.2" customHeight="1">
      <c r="A26" s="2143"/>
      <c r="B26" s="2184"/>
      <c r="C26" s="2185" t="s">
        <v>14</v>
      </c>
      <c r="D26" s="2186">
        <f>$S26</f>
        <v>620</v>
      </c>
      <c r="E26" s="2186">
        <f t="shared" ref="E26:Q26" si="37">$S26</f>
        <v>620</v>
      </c>
      <c r="F26" s="2186">
        <f t="shared" si="37"/>
        <v>620</v>
      </c>
      <c r="G26" s="2186">
        <f t="shared" si="37"/>
        <v>620</v>
      </c>
      <c r="H26" s="2186">
        <f t="shared" si="37"/>
        <v>620</v>
      </c>
      <c r="I26" s="2186">
        <f t="shared" si="37"/>
        <v>620</v>
      </c>
      <c r="J26" s="2186">
        <f t="shared" si="37"/>
        <v>620</v>
      </c>
      <c r="K26" s="2186">
        <f t="shared" si="37"/>
        <v>620</v>
      </c>
      <c r="L26" s="2186">
        <f t="shared" si="37"/>
        <v>620</v>
      </c>
      <c r="M26" s="2186">
        <f t="shared" si="37"/>
        <v>620</v>
      </c>
      <c r="N26" s="2186">
        <f t="shared" si="37"/>
        <v>620</v>
      </c>
      <c r="O26" s="2186">
        <f t="shared" si="37"/>
        <v>620</v>
      </c>
      <c r="P26" s="2186">
        <f t="shared" si="37"/>
        <v>620</v>
      </c>
      <c r="Q26" s="2186">
        <f t="shared" si="37"/>
        <v>620</v>
      </c>
      <c r="R26" s="2187">
        <f t="shared" si="36"/>
        <v>8060</v>
      </c>
      <c r="S26" s="2148">
        <v>620</v>
      </c>
    </row>
    <row r="27" spans="1:19" s="2148" customFormat="1" ht="16.2" customHeight="1">
      <c r="A27" s="2143"/>
      <c r="B27" s="2184"/>
      <c r="C27" s="2185" t="s">
        <v>13</v>
      </c>
      <c r="D27" s="2186"/>
      <c r="E27" s="2186"/>
      <c r="F27" s="2186"/>
      <c r="G27" s="2186">
        <f>$S27</f>
        <v>500</v>
      </c>
      <c r="H27" s="2186"/>
      <c r="I27" s="2186"/>
      <c r="J27" s="2186"/>
      <c r="K27" s="2186"/>
      <c r="L27" s="2186"/>
      <c r="M27" s="2186"/>
      <c r="N27" s="2186"/>
      <c r="O27" s="2186"/>
      <c r="P27" s="2186"/>
      <c r="Q27" s="2186">
        <f>$S27</f>
        <v>500</v>
      </c>
      <c r="R27" s="2187">
        <f t="shared" si="36"/>
        <v>1000</v>
      </c>
      <c r="S27" s="2148">
        <v>500</v>
      </c>
    </row>
    <row r="28" spans="1:19" s="2148" customFormat="1" ht="16.2" customHeight="1">
      <c r="A28" s="2143"/>
      <c r="B28" s="2184"/>
      <c r="C28" s="2185" t="s">
        <v>12</v>
      </c>
      <c r="D28" s="2186"/>
      <c r="E28" s="2186"/>
      <c r="F28" s="2186">
        <f>$S28</f>
        <v>500</v>
      </c>
      <c r="G28" s="2186"/>
      <c r="H28" s="2186"/>
      <c r="I28" s="2186"/>
      <c r="J28" s="2186"/>
      <c r="K28" s="2186"/>
      <c r="L28" s="2186"/>
      <c r="M28" s="2186"/>
      <c r="N28" s="2186"/>
      <c r="O28" s="2186"/>
      <c r="P28" s="2186"/>
      <c r="Q28" s="2186">
        <f>$S28</f>
        <v>500</v>
      </c>
      <c r="R28" s="2187">
        <f t="shared" si="36"/>
        <v>1000</v>
      </c>
      <c r="S28" s="2148">
        <v>500</v>
      </c>
    </row>
    <row r="29" spans="1:19" s="2148" customFormat="1" ht="16.2" customHeight="1">
      <c r="A29" s="2143"/>
      <c r="B29" s="2184"/>
      <c r="C29" s="2185" t="s">
        <v>11</v>
      </c>
      <c r="D29" s="2186"/>
      <c r="E29" s="2186"/>
      <c r="F29" s="2186"/>
      <c r="G29" s="2186"/>
      <c r="H29" s="2186"/>
      <c r="I29" s="2186">
        <f>$S29</f>
        <v>500</v>
      </c>
      <c r="J29" s="2186"/>
      <c r="K29" s="2186"/>
      <c r="L29" s="2186"/>
      <c r="M29" s="2186"/>
      <c r="N29" s="2186"/>
      <c r="O29" s="2186"/>
      <c r="P29" s="2186"/>
      <c r="Q29" s="2186">
        <f t="shared" ref="Q29:Q33" si="38">$S29</f>
        <v>500</v>
      </c>
      <c r="R29" s="2187">
        <f t="shared" si="36"/>
        <v>1000</v>
      </c>
      <c r="S29" s="2148">
        <v>500</v>
      </c>
    </row>
    <row r="30" spans="1:19" s="2148" customFormat="1" ht="16.2" customHeight="1">
      <c r="A30" s="2143"/>
      <c r="B30" s="2184"/>
      <c r="C30" s="2185" t="s">
        <v>10</v>
      </c>
      <c r="D30" s="2186"/>
      <c r="E30" s="2186"/>
      <c r="F30" s="2186"/>
      <c r="G30" s="2186"/>
      <c r="H30" s="2186"/>
      <c r="I30" s="2186"/>
      <c r="J30" s="2186">
        <f>$S30</f>
        <v>500</v>
      </c>
      <c r="K30" s="2186"/>
      <c r="L30" s="2186"/>
      <c r="M30" s="2186"/>
      <c r="N30" s="2186"/>
      <c r="O30" s="2186"/>
      <c r="P30" s="2186"/>
      <c r="Q30" s="2186">
        <f t="shared" si="38"/>
        <v>500</v>
      </c>
      <c r="R30" s="2187">
        <f t="shared" si="36"/>
        <v>1000</v>
      </c>
      <c r="S30" s="2148">
        <v>500</v>
      </c>
    </row>
    <row r="31" spans="1:19" s="2148" customFormat="1" ht="16.2" customHeight="1">
      <c r="A31" s="2143"/>
      <c r="B31" s="2184"/>
      <c r="C31" s="2185" t="s">
        <v>9</v>
      </c>
      <c r="D31" s="2186"/>
      <c r="E31" s="2186"/>
      <c r="F31" s="2186"/>
      <c r="G31" s="2186"/>
      <c r="H31" s="2186"/>
      <c r="I31" s="2186"/>
      <c r="J31" s="2186"/>
      <c r="K31" s="2186"/>
      <c r="L31" s="2186"/>
      <c r="M31" s="2186">
        <f>$S31</f>
        <v>500</v>
      </c>
      <c r="N31" s="2186"/>
      <c r="O31" s="2186"/>
      <c r="P31" s="2186"/>
      <c r="Q31" s="2186">
        <f t="shared" si="38"/>
        <v>500</v>
      </c>
      <c r="R31" s="2187">
        <f t="shared" si="36"/>
        <v>1000</v>
      </c>
      <c r="S31" s="2148">
        <v>500</v>
      </c>
    </row>
    <row r="32" spans="1:19" s="2148" customFormat="1" ht="16.2" customHeight="1">
      <c r="A32" s="2143"/>
      <c r="B32" s="2184"/>
      <c r="C32" s="2185" t="s">
        <v>8</v>
      </c>
      <c r="D32" s="2186"/>
      <c r="E32" s="2186"/>
      <c r="F32" s="2186"/>
      <c r="G32" s="2186">
        <f>$S32</f>
        <v>500</v>
      </c>
      <c r="H32" s="2186"/>
      <c r="I32" s="2186"/>
      <c r="J32" s="2186"/>
      <c r="K32" s="2186"/>
      <c r="L32" s="2186"/>
      <c r="M32" s="2186"/>
      <c r="N32" s="2186"/>
      <c r="O32" s="2186"/>
      <c r="P32" s="2186"/>
      <c r="Q32" s="2186">
        <f t="shared" si="38"/>
        <v>500</v>
      </c>
      <c r="R32" s="2187">
        <f t="shared" si="36"/>
        <v>1000</v>
      </c>
      <c r="S32" s="2148">
        <v>500</v>
      </c>
    </row>
    <row r="33" spans="1:19" s="2148" customFormat="1" ht="16.2" customHeight="1">
      <c r="A33" s="2143"/>
      <c r="B33" s="2184"/>
      <c r="C33" s="2185" t="s">
        <v>7</v>
      </c>
      <c r="D33" s="2186"/>
      <c r="E33" s="2186"/>
      <c r="F33" s="2186"/>
      <c r="G33" s="2186"/>
      <c r="H33" s="2186"/>
      <c r="I33" s="2186">
        <f>$S33</f>
        <v>500</v>
      </c>
      <c r="J33" s="2186"/>
      <c r="K33" s="2186"/>
      <c r="L33" s="2186"/>
      <c r="M33" s="2186"/>
      <c r="N33" s="2186"/>
      <c r="O33" s="2186"/>
      <c r="P33" s="2186"/>
      <c r="Q33" s="2186">
        <f t="shared" si="38"/>
        <v>500</v>
      </c>
      <c r="R33" s="2187">
        <f t="shared" si="36"/>
        <v>1000</v>
      </c>
      <c r="S33" s="2148">
        <v>500</v>
      </c>
    </row>
    <row r="34" spans="1:19" s="2148" customFormat="1" ht="16.2" customHeight="1">
      <c r="A34" s="2143"/>
      <c r="B34" s="2156"/>
      <c r="C34" s="2190" t="s">
        <v>1544</v>
      </c>
      <c r="D34" s="2157">
        <f>SUM(D25:D33)</f>
        <v>620</v>
      </c>
      <c r="E34" s="2157">
        <f t="shared" ref="E34:Q34" si="39">SUM(E25:E33)</f>
        <v>620</v>
      </c>
      <c r="F34" s="2157">
        <f t="shared" si="39"/>
        <v>1120</v>
      </c>
      <c r="G34" s="2157">
        <f t="shared" si="39"/>
        <v>1620</v>
      </c>
      <c r="H34" s="2157">
        <f t="shared" si="39"/>
        <v>620</v>
      </c>
      <c r="I34" s="2157">
        <f>SUM(I25:I33)</f>
        <v>1620</v>
      </c>
      <c r="J34" s="2157">
        <f t="shared" si="39"/>
        <v>1120</v>
      </c>
      <c r="K34" s="2157">
        <f t="shared" si="39"/>
        <v>620</v>
      </c>
      <c r="L34" s="2157">
        <f t="shared" si="39"/>
        <v>620</v>
      </c>
      <c r="M34" s="2157">
        <f t="shared" si="39"/>
        <v>1120</v>
      </c>
      <c r="N34" s="2157">
        <f t="shared" si="39"/>
        <v>620</v>
      </c>
      <c r="O34" s="2157">
        <f t="shared" si="39"/>
        <v>620</v>
      </c>
      <c r="P34" s="2157">
        <f t="shared" si="39"/>
        <v>620</v>
      </c>
      <c r="Q34" s="2157">
        <f t="shared" si="39"/>
        <v>4120</v>
      </c>
      <c r="R34" s="2158">
        <f>SUM(R25:R33)</f>
        <v>15060</v>
      </c>
    </row>
    <row r="35" spans="1:19" s="2160" customFormat="1">
      <c r="A35" s="2159"/>
      <c r="B35" s="2180"/>
      <c r="C35" s="2181"/>
      <c r="D35" s="2182"/>
      <c r="E35" s="2182"/>
      <c r="F35" s="2182"/>
      <c r="G35" s="2182"/>
      <c r="H35" s="2182"/>
      <c r="I35" s="2182"/>
      <c r="J35" s="2182"/>
      <c r="K35" s="2182"/>
      <c r="L35" s="2182"/>
      <c r="M35" s="2182"/>
      <c r="N35" s="2182"/>
      <c r="O35" s="2183"/>
      <c r="P35" s="2183"/>
      <c r="Q35" s="2183"/>
      <c r="R35" s="2183"/>
    </row>
    <row r="36" spans="1:19">
      <c r="B36" s="2161" t="s">
        <v>6</v>
      </c>
      <c r="C36" s="2162">
        <v>9780</v>
      </c>
      <c r="D36" s="2163"/>
      <c r="E36" s="2163"/>
      <c r="F36" s="2163"/>
      <c r="G36" s="2163"/>
      <c r="H36" s="2163"/>
      <c r="I36" s="2163"/>
      <c r="J36" s="2163"/>
      <c r="K36" s="2163"/>
      <c r="L36" s="2163"/>
      <c r="M36" s="2163"/>
      <c r="N36" s="2163"/>
      <c r="O36" s="2164"/>
      <c r="P36" s="2164"/>
      <c r="Q36" s="2164"/>
      <c r="R36" s="2165"/>
    </row>
    <row r="37" spans="1:19">
      <c r="B37" s="2161" t="s">
        <v>2</v>
      </c>
      <c r="C37" s="2162">
        <v>3458</v>
      </c>
      <c r="D37" s="2163"/>
      <c r="E37" s="2163"/>
      <c r="F37" s="2163"/>
      <c r="G37" s="2163"/>
      <c r="H37" s="2163"/>
      <c r="I37" s="2163"/>
      <c r="J37" s="2163"/>
      <c r="K37" s="2163"/>
      <c r="L37" s="2163"/>
      <c r="M37" s="2163"/>
      <c r="N37" s="2163"/>
    </row>
    <row r="38" spans="1:19">
      <c r="B38" s="2161" t="s">
        <v>1</v>
      </c>
      <c r="C38" s="2162">
        <f>(C36-C37)*0.39</f>
        <v>2465.58</v>
      </c>
      <c r="D38" s="2163"/>
      <c r="E38" s="2163"/>
      <c r="F38" s="2163"/>
      <c r="G38" s="2163"/>
      <c r="H38" s="2163"/>
      <c r="I38" s="2163"/>
      <c r="J38" s="2163"/>
      <c r="K38" s="2163"/>
      <c r="L38" s="2163"/>
      <c r="M38" s="2163"/>
      <c r="N38" s="2163"/>
      <c r="O38" s="2166"/>
    </row>
    <row r="39" spans="1:19" ht="15" thickBot="1">
      <c r="B39" s="2167" t="s">
        <v>5</v>
      </c>
      <c r="C39" s="2168">
        <v>7315</v>
      </c>
      <c r="D39" s="2169"/>
      <c r="E39" s="2169"/>
      <c r="F39" s="2169"/>
      <c r="G39" s="2169"/>
      <c r="H39" s="2169"/>
      <c r="I39" s="2169"/>
      <c r="J39" s="2169"/>
      <c r="K39" s="2169"/>
      <c r="L39" s="2169"/>
      <c r="M39" s="2169"/>
      <c r="N39" s="2169"/>
      <c r="O39" s="2166"/>
    </row>
    <row r="40" spans="1:19">
      <c r="B40" s="2161" t="s">
        <v>4</v>
      </c>
      <c r="C40" s="2162">
        <f>C45</f>
        <v>11306</v>
      </c>
      <c r="D40" s="2163"/>
      <c r="E40" s="2163"/>
      <c r="F40" s="2163"/>
      <c r="G40" s="2163"/>
      <c r="H40" s="2163"/>
      <c r="I40" s="2163"/>
      <c r="J40" s="2163"/>
      <c r="K40" s="2163"/>
      <c r="L40" s="2163"/>
      <c r="M40" s="2163"/>
      <c r="N40" s="2163"/>
      <c r="O40" s="2166"/>
    </row>
    <row r="41" spans="1:19">
      <c r="B41" s="2161" t="s">
        <v>3</v>
      </c>
      <c r="C41" s="2162">
        <v>16044</v>
      </c>
      <c r="D41" s="2163"/>
      <c r="E41" s="2163"/>
      <c r="F41" s="2163"/>
      <c r="G41" s="2163"/>
      <c r="H41" s="2163"/>
      <c r="I41" s="2163"/>
      <c r="J41" s="2163"/>
      <c r="K41" s="2163"/>
      <c r="L41" s="2163"/>
      <c r="M41" s="2163"/>
      <c r="N41" s="2163"/>
      <c r="O41" s="2166"/>
    </row>
    <row r="42" spans="1:19">
      <c r="B42" s="2161" t="s">
        <v>2</v>
      </c>
      <c r="C42" s="2162">
        <v>4042</v>
      </c>
      <c r="D42" s="2163"/>
      <c r="E42" s="2163"/>
      <c r="F42" s="2163"/>
      <c r="G42" s="2163"/>
      <c r="H42" s="2163"/>
      <c r="I42" s="2163"/>
      <c r="J42" s="2163"/>
      <c r="K42" s="2163"/>
      <c r="L42" s="2163"/>
      <c r="M42" s="2163"/>
      <c r="N42" s="2163"/>
      <c r="O42" s="2166"/>
    </row>
    <row r="43" spans="1:19">
      <c r="B43" s="2161" t="s">
        <v>1</v>
      </c>
      <c r="C43" s="2162">
        <v>4644</v>
      </c>
      <c r="D43" s="2163"/>
      <c r="E43" s="2163"/>
      <c r="F43" s="2163"/>
      <c r="G43" s="2163"/>
      <c r="H43" s="2163"/>
      <c r="I43" s="2163"/>
      <c r="J43" s="2163"/>
      <c r="K43" s="2163"/>
      <c r="L43" s="2163"/>
      <c r="M43" s="2163"/>
      <c r="N43" s="2163"/>
      <c r="O43" s="2166"/>
    </row>
    <row r="44" spans="1:19">
      <c r="B44" s="2161" t="s">
        <v>1</v>
      </c>
      <c r="C44" s="2162">
        <v>94</v>
      </c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6"/>
    </row>
    <row r="45" spans="1:19" ht="15" thickBot="1">
      <c r="B45" s="2167" t="s">
        <v>0</v>
      </c>
      <c r="C45" s="2168">
        <f>C41-C43-C44</f>
        <v>11306</v>
      </c>
      <c r="D45" s="2169"/>
      <c r="E45" s="2169"/>
      <c r="F45" s="2169"/>
      <c r="G45" s="2169"/>
      <c r="H45" s="2169"/>
      <c r="I45" s="2169"/>
      <c r="J45" s="2169"/>
      <c r="K45" s="2169"/>
      <c r="L45" s="2169"/>
      <c r="M45" s="2169"/>
      <c r="N45" s="2169"/>
      <c r="O45" s="2166"/>
    </row>
    <row r="46" spans="1:19">
      <c r="A46" s="2140"/>
      <c r="B46" s="2170"/>
      <c r="C46" s="2171"/>
      <c r="D46" s="2172"/>
      <c r="E46" s="2172"/>
      <c r="F46" s="2172"/>
      <c r="G46" s="2172"/>
      <c r="H46" s="2172"/>
      <c r="I46" s="2172"/>
      <c r="J46" s="2172"/>
      <c r="K46" s="2172"/>
      <c r="L46" s="2172"/>
      <c r="M46" s="2172"/>
      <c r="N46" s="2173"/>
      <c r="O46" s="2166"/>
      <c r="P46" s="2140"/>
      <c r="Q46" s="2140"/>
      <c r="R46" s="2140"/>
    </row>
    <row r="47" spans="1:19">
      <c r="A47" s="2140"/>
      <c r="B47" s="2170"/>
      <c r="C47" s="2171"/>
      <c r="D47" s="2172"/>
      <c r="E47" s="2172"/>
      <c r="F47" s="2172"/>
      <c r="G47" s="2172"/>
      <c r="H47" s="2172"/>
      <c r="I47" s="2172"/>
      <c r="J47" s="2172"/>
      <c r="K47" s="2172"/>
      <c r="L47" s="2172"/>
      <c r="M47" s="2172"/>
      <c r="N47" s="2173"/>
      <c r="O47" s="2166"/>
      <c r="P47" s="2140"/>
      <c r="Q47" s="2140"/>
      <c r="R47" s="2140"/>
    </row>
    <row r="53" spans="1:18">
      <c r="A53" s="2140"/>
      <c r="B53" s="2140"/>
      <c r="C53" s="2140"/>
      <c r="D53" s="2140"/>
      <c r="E53" s="2140"/>
      <c r="F53" s="2140"/>
      <c r="G53" s="2140"/>
      <c r="H53" s="2140"/>
      <c r="I53" s="2140"/>
      <c r="J53" s="2140"/>
      <c r="K53" s="2140"/>
      <c r="L53" s="2140"/>
      <c r="M53" s="2140"/>
      <c r="N53" s="2140"/>
      <c r="O53" s="2140"/>
      <c r="P53" s="2140"/>
      <c r="Q53" s="2140"/>
      <c r="R53" s="2140"/>
    </row>
    <row r="54" spans="1:18">
      <c r="A54" s="2140"/>
      <c r="B54" s="2140"/>
      <c r="C54" s="2140"/>
      <c r="D54" s="2140"/>
      <c r="E54" s="2140"/>
      <c r="F54" s="2140"/>
      <c r="G54" s="2140"/>
      <c r="H54" s="2140"/>
      <c r="I54" s="2140"/>
      <c r="J54" s="2140"/>
      <c r="K54" s="2140"/>
      <c r="L54" s="2140"/>
      <c r="M54" s="2140"/>
      <c r="N54" s="2140"/>
      <c r="O54" s="2140"/>
      <c r="P54" s="2140"/>
      <c r="Q54" s="2140"/>
      <c r="R54" s="2140"/>
    </row>
    <row r="55" spans="1:18">
      <c r="A55" s="2140"/>
      <c r="B55" s="2140"/>
      <c r="C55" s="2140"/>
      <c r="D55" s="2140"/>
      <c r="E55" s="2140"/>
      <c r="F55" s="2140"/>
      <c r="G55" s="2140"/>
      <c r="H55" s="2140"/>
      <c r="I55" s="2140"/>
      <c r="J55" s="2140"/>
      <c r="K55" s="2140"/>
      <c r="L55" s="2140"/>
      <c r="M55" s="2140"/>
      <c r="N55" s="2140"/>
      <c r="O55" s="2140"/>
      <c r="P55" s="2140"/>
      <c r="Q55" s="2140"/>
      <c r="R55" s="2140"/>
    </row>
    <row r="56" spans="1:18">
      <c r="A56" s="2140"/>
      <c r="B56" s="2140"/>
      <c r="C56" s="2140"/>
      <c r="D56" s="2140"/>
      <c r="E56" s="2140"/>
      <c r="F56" s="2140"/>
      <c r="G56" s="2140"/>
      <c r="H56" s="2140"/>
      <c r="I56" s="2140"/>
      <c r="J56" s="2140"/>
      <c r="K56" s="2140"/>
      <c r="L56" s="2140"/>
      <c r="M56" s="2140"/>
      <c r="N56" s="2140"/>
      <c r="O56" s="2140"/>
      <c r="P56" s="2140"/>
      <c r="Q56" s="2140"/>
      <c r="R56" s="2140"/>
    </row>
    <row r="57" spans="1:18">
      <c r="A57" s="2140"/>
      <c r="B57" s="2140"/>
      <c r="C57" s="2140"/>
      <c r="D57" s="2140"/>
      <c r="E57" s="2140"/>
      <c r="F57" s="2140"/>
      <c r="G57" s="2140"/>
      <c r="H57" s="2140"/>
      <c r="I57" s="2140"/>
      <c r="J57" s="2140"/>
      <c r="K57" s="2140"/>
      <c r="L57" s="2140"/>
      <c r="M57" s="2140"/>
      <c r="N57" s="2140"/>
      <c r="O57" s="2140"/>
      <c r="P57" s="2140"/>
      <c r="Q57" s="2140"/>
      <c r="R57" s="2140"/>
    </row>
    <row r="58" spans="1:18">
      <c r="A58" s="2140"/>
      <c r="B58" s="2140"/>
      <c r="C58" s="2140"/>
      <c r="D58" s="2140"/>
      <c r="E58" s="2140"/>
      <c r="F58" s="2140"/>
      <c r="G58" s="2140"/>
      <c r="H58" s="2140"/>
      <c r="I58" s="2140"/>
      <c r="J58" s="2140"/>
      <c r="K58" s="2140"/>
      <c r="L58" s="2140"/>
      <c r="M58" s="2140"/>
      <c r="N58" s="2140"/>
      <c r="O58" s="2140"/>
      <c r="P58" s="2140"/>
      <c r="Q58" s="2140"/>
      <c r="R58" s="2140"/>
    </row>
    <row r="59" spans="1:18">
      <c r="A59" s="2140"/>
      <c r="B59" s="2140"/>
      <c r="C59" s="2140"/>
      <c r="D59" s="2140"/>
      <c r="E59" s="2140"/>
      <c r="F59" s="2140"/>
      <c r="G59" s="2140"/>
      <c r="H59" s="2140"/>
      <c r="I59" s="2140"/>
      <c r="J59" s="2140"/>
      <c r="K59" s="2140"/>
      <c r="L59" s="2140"/>
      <c r="M59" s="2140"/>
      <c r="N59" s="2140"/>
      <c r="O59" s="2140"/>
      <c r="P59" s="2140"/>
      <c r="Q59" s="2140"/>
      <c r="R59" s="2140"/>
    </row>
    <row r="60" spans="1:18">
      <c r="A60" s="2140"/>
      <c r="B60" s="2140"/>
      <c r="C60" s="2140"/>
      <c r="D60" s="2140"/>
      <c r="E60" s="2140"/>
      <c r="F60" s="2140"/>
      <c r="G60" s="2140"/>
      <c r="H60" s="2140"/>
      <c r="I60" s="2140"/>
      <c r="J60" s="2140"/>
      <c r="K60" s="2140"/>
      <c r="L60" s="2140"/>
      <c r="M60" s="2140"/>
      <c r="N60" s="2140"/>
      <c r="O60" s="2140"/>
      <c r="P60" s="2140"/>
      <c r="Q60" s="2140"/>
      <c r="R60" s="2140"/>
    </row>
    <row r="61" spans="1:18">
      <c r="A61" s="2140"/>
      <c r="B61" s="2140"/>
      <c r="C61" s="2140"/>
      <c r="D61" s="2140"/>
      <c r="E61" s="2140"/>
      <c r="F61" s="2140"/>
      <c r="G61" s="2140"/>
      <c r="H61" s="2140"/>
      <c r="I61" s="2140"/>
      <c r="J61" s="2140"/>
      <c r="K61" s="2140"/>
      <c r="L61" s="2140"/>
      <c r="M61" s="2140"/>
      <c r="N61" s="2140"/>
      <c r="O61" s="2140"/>
      <c r="P61" s="2140"/>
      <c r="Q61" s="2140"/>
      <c r="R61" s="2140"/>
    </row>
    <row r="62" spans="1:18">
      <c r="A62" s="2140"/>
      <c r="B62" s="2140"/>
      <c r="C62" s="2140"/>
      <c r="D62" s="2140"/>
      <c r="E62" s="2140"/>
      <c r="F62" s="2140"/>
      <c r="G62" s="2140"/>
      <c r="H62" s="2140"/>
      <c r="I62" s="2140"/>
      <c r="J62" s="2140"/>
      <c r="K62" s="2140"/>
      <c r="L62" s="2140"/>
      <c r="M62" s="2140"/>
      <c r="N62" s="2140"/>
      <c r="O62" s="2140"/>
      <c r="P62" s="2140"/>
      <c r="Q62" s="2140"/>
      <c r="R62" s="2140"/>
    </row>
    <row r="63" spans="1:18">
      <c r="A63" s="2140"/>
      <c r="B63" s="2140"/>
      <c r="C63" s="2140"/>
      <c r="D63" s="2140"/>
      <c r="E63" s="2140"/>
      <c r="F63" s="2140"/>
      <c r="G63" s="2140"/>
      <c r="H63" s="2140"/>
      <c r="I63" s="2140"/>
      <c r="J63" s="2140"/>
      <c r="K63" s="2140"/>
      <c r="L63" s="2140"/>
      <c r="M63" s="2140"/>
      <c r="N63" s="2140"/>
      <c r="O63" s="2140"/>
      <c r="P63" s="2140"/>
      <c r="Q63" s="2140"/>
      <c r="R63" s="2140"/>
    </row>
    <row r="64" spans="1:18">
      <c r="A64" s="2140"/>
      <c r="B64" s="2140"/>
      <c r="C64" s="2140"/>
      <c r="D64" s="2140"/>
      <c r="E64" s="2140"/>
      <c r="F64" s="2140"/>
      <c r="G64" s="2140"/>
      <c r="H64" s="2140"/>
      <c r="I64" s="2140"/>
      <c r="J64" s="2140"/>
      <c r="K64" s="2140"/>
      <c r="L64" s="2140"/>
      <c r="M64" s="2140"/>
      <c r="N64" s="2140"/>
      <c r="O64" s="2140"/>
      <c r="P64" s="2140"/>
      <c r="Q64" s="2140"/>
      <c r="R64" s="2140"/>
    </row>
    <row r="65" spans="1:18">
      <c r="A65" s="2140"/>
      <c r="B65" s="2140"/>
      <c r="C65" s="2140"/>
      <c r="D65" s="2140"/>
      <c r="E65" s="2140"/>
      <c r="F65" s="2140"/>
      <c r="G65" s="2140"/>
      <c r="H65" s="2140"/>
      <c r="I65" s="2140"/>
      <c r="J65" s="2140"/>
      <c r="K65" s="2140"/>
      <c r="L65" s="2140"/>
      <c r="M65" s="2140"/>
      <c r="N65" s="2140"/>
      <c r="O65" s="2140"/>
      <c r="P65" s="2140"/>
      <c r="Q65" s="2140"/>
      <c r="R65" s="2140"/>
    </row>
    <row r="66" spans="1:18">
      <c r="A66" s="2140"/>
      <c r="B66" s="2140"/>
      <c r="C66" s="2140"/>
      <c r="D66" s="2140"/>
      <c r="E66" s="2140"/>
      <c r="F66" s="2140"/>
      <c r="G66" s="2140"/>
      <c r="H66" s="2140"/>
      <c r="I66" s="2140"/>
      <c r="J66" s="2140"/>
      <c r="K66" s="2140"/>
      <c r="L66" s="2140"/>
      <c r="M66" s="2140"/>
      <c r="N66" s="2140"/>
      <c r="O66" s="2140"/>
      <c r="P66" s="2140"/>
      <c r="Q66" s="2140"/>
      <c r="R66" s="2140"/>
    </row>
    <row r="67" spans="1:18">
      <c r="A67" s="2140"/>
      <c r="B67" s="2140"/>
      <c r="C67" s="2140"/>
      <c r="D67" s="2140"/>
      <c r="E67" s="2140"/>
      <c r="F67" s="2140"/>
      <c r="G67" s="2140"/>
      <c r="H67" s="2140"/>
      <c r="I67" s="2140"/>
      <c r="J67" s="2140"/>
      <c r="K67" s="2140"/>
      <c r="L67" s="2140"/>
      <c r="M67" s="2140"/>
      <c r="N67" s="2140"/>
      <c r="O67" s="2140"/>
      <c r="P67" s="2140"/>
      <c r="Q67" s="2140"/>
      <c r="R67" s="2140"/>
    </row>
    <row r="68" spans="1:18">
      <c r="A68" s="2140"/>
      <c r="B68" s="2140"/>
      <c r="C68" s="2140"/>
      <c r="D68" s="2140"/>
      <c r="E68" s="2140"/>
      <c r="F68" s="2140"/>
      <c r="G68" s="2140"/>
      <c r="H68" s="2140"/>
      <c r="I68" s="2140"/>
      <c r="J68" s="2140"/>
      <c r="K68" s="2140"/>
      <c r="L68" s="2140"/>
      <c r="M68" s="2140"/>
      <c r="N68" s="2140"/>
      <c r="O68" s="2140"/>
      <c r="P68" s="2140"/>
      <c r="Q68" s="2140"/>
      <c r="R68" s="2140"/>
    </row>
    <row r="69" spans="1:18">
      <c r="A69" s="2140"/>
      <c r="B69" s="2140"/>
      <c r="C69" s="2140"/>
      <c r="D69" s="2140"/>
      <c r="E69" s="2140"/>
      <c r="F69" s="2140"/>
      <c r="G69" s="2140"/>
      <c r="H69" s="2140"/>
      <c r="I69" s="2140"/>
      <c r="J69" s="2140"/>
      <c r="K69" s="2140"/>
      <c r="L69" s="2140"/>
      <c r="M69" s="2140"/>
      <c r="N69" s="2140"/>
      <c r="O69" s="2140"/>
      <c r="P69" s="2140"/>
      <c r="Q69" s="2140"/>
      <c r="R69" s="2140"/>
    </row>
    <row r="70" spans="1:18">
      <c r="A70" s="2140"/>
      <c r="B70" s="2140"/>
      <c r="C70" s="2140"/>
      <c r="D70" s="2140"/>
      <c r="E70" s="2140"/>
      <c r="F70" s="2140"/>
      <c r="G70" s="2140"/>
      <c r="H70" s="2140"/>
      <c r="I70" s="2140"/>
      <c r="J70" s="2140"/>
      <c r="K70" s="2140"/>
      <c r="L70" s="2140"/>
      <c r="M70" s="2140"/>
      <c r="N70" s="2140"/>
      <c r="O70" s="2140"/>
      <c r="P70" s="2140"/>
      <c r="Q70" s="2140"/>
      <c r="R70" s="2140"/>
    </row>
    <row r="71" spans="1:18">
      <c r="A71" s="2140"/>
      <c r="B71" s="2140"/>
      <c r="C71" s="2140"/>
      <c r="D71" s="2140"/>
      <c r="E71" s="2140"/>
      <c r="F71" s="2140"/>
      <c r="G71" s="2140"/>
      <c r="H71" s="2140"/>
      <c r="I71" s="2140"/>
      <c r="J71" s="2140"/>
      <c r="K71" s="2140"/>
      <c r="L71" s="2140"/>
      <c r="M71" s="2140"/>
      <c r="N71" s="2140"/>
      <c r="O71" s="2140"/>
      <c r="P71" s="2140"/>
      <c r="Q71" s="2140"/>
      <c r="R71" s="2140"/>
    </row>
    <row r="72" spans="1:18">
      <c r="A72" s="2140"/>
      <c r="B72" s="2140"/>
      <c r="C72" s="2140"/>
      <c r="D72" s="2140"/>
      <c r="E72" s="2140"/>
      <c r="F72" s="2140"/>
      <c r="G72" s="2140"/>
      <c r="H72" s="2140"/>
      <c r="I72" s="2140"/>
      <c r="J72" s="2140"/>
      <c r="K72" s="2140"/>
      <c r="L72" s="2140"/>
      <c r="M72" s="2140"/>
      <c r="N72" s="2140"/>
      <c r="O72" s="2140"/>
      <c r="P72" s="2140"/>
      <c r="Q72" s="2140"/>
      <c r="R72" s="2140"/>
    </row>
    <row r="73" spans="1:18">
      <c r="A73" s="2140"/>
      <c r="B73" s="2140"/>
      <c r="C73" s="2140"/>
      <c r="D73" s="2140"/>
      <c r="E73" s="2140"/>
      <c r="F73" s="2140"/>
      <c r="G73" s="2140"/>
      <c r="H73" s="2140"/>
      <c r="I73" s="2140"/>
      <c r="J73" s="2140"/>
      <c r="K73" s="2140"/>
      <c r="L73" s="2140"/>
      <c r="M73" s="2140"/>
      <c r="N73" s="2140"/>
      <c r="O73" s="2140"/>
      <c r="P73" s="2140"/>
      <c r="Q73" s="2140"/>
      <c r="R73" s="2140"/>
    </row>
    <row r="74" spans="1:18">
      <c r="A74" s="2140"/>
      <c r="B74" s="2140"/>
      <c r="C74" s="2140"/>
      <c r="D74" s="2140"/>
      <c r="E74" s="2140"/>
      <c r="F74" s="2140"/>
      <c r="G74" s="2140"/>
      <c r="H74" s="2140"/>
      <c r="I74" s="2140"/>
      <c r="J74" s="2140"/>
      <c r="K74" s="2140"/>
      <c r="L74" s="2140"/>
      <c r="M74" s="2140"/>
      <c r="N74" s="2140"/>
      <c r="O74" s="2140"/>
      <c r="P74" s="2140"/>
      <c r="Q74" s="2140"/>
      <c r="R74" s="2140"/>
    </row>
    <row r="75" spans="1:18">
      <c r="A75" s="2140"/>
      <c r="B75" s="2140"/>
      <c r="C75" s="2140"/>
      <c r="D75" s="2140"/>
      <c r="E75" s="2140"/>
      <c r="F75" s="2140"/>
      <c r="G75" s="2140"/>
      <c r="H75" s="2140"/>
      <c r="I75" s="2140"/>
      <c r="J75" s="2140"/>
      <c r="K75" s="2140"/>
      <c r="L75" s="2140"/>
      <c r="M75" s="2140"/>
      <c r="N75" s="2140"/>
      <c r="O75" s="2140"/>
      <c r="P75" s="2140"/>
      <c r="Q75" s="2140"/>
      <c r="R75" s="2140"/>
    </row>
    <row r="76" spans="1:18">
      <c r="A76" s="2140"/>
      <c r="B76" s="2140"/>
      <c r="C76" s="2140"/>
      <c r="D76" s="2140"/>
      <c r="E76" s="2140"/>
      <c r="F76" s="2140"/>
      <c r="G76" s="2140"/>
      <c r="H76" s="2140"/>
      <c r="I76" s="2140"/>
      <c r="J76" s="2140"/>
      <c r="K76" s="2140"/>
      <c r="L76" s="2140"/>
      <c r="M76" s="2140"/>
      <c r="N76" s="2140"/>
      <c r="O76" s="2140"/>
      <c r="P76" s="2140"/>
      <c r="Q76" s="2140"/>
      <c r="R76" s="2140"/>
    </row>
    <row r="77" spans="1:18">
      <c r="A77" s="2140"/>
      <c r="B77" s="2140"/>
      <c r="C77" s="2140"/>
      <c r="D77" s="2140"/>
      <c r="E77" s="2140"/>
      <c r="F77" s="2140"/>
      <c r="G77" s="2140"/>
      <c r="H77" s="2140"/>
      <c r="I77" s="2140"/>
      <c r="J77" s="2140"/>
      <c r="K77" s="2140"/>
      <c r="L77" s="2140"/>
      <c r="M77" s="2140"/>
      <c r="N77" s="2140"/>
      <c r="O77" s="2140"/>
      <c r="P77" s="2140"/>
      <c r="Q77" s="2140"/>
      <c r="R77" s="2140"/>
    </row>
    <row r="78" spans="1:18">
      <c r="A78" s="2140"/>
      <c r="B78" s="2140"/>
      <c r="C78" s="2140"/>
      <c r="D78" s="2140"/>
      <c r="E78" s="2140"/>
      <c r="F78" s="2140"/>
      <c r="G78" s="2140"/>
      <c r="H78" s="2140"/>
      <c r="I78" s="2140"/>
      <c r="J78" s="2140"/>
      <c r="K78" s="2140"/>
      <c r="L78" s="2140"/>
      <c r="M78" s="2140"/>
      <c r="N78" s="2140"/>
      <c r="O78" s="2140"/>
      <c r="P78" s="2140"/>
      <c r="Q78" s="2140"/>
      <c r="R78" s="2140"/>
    </row>
    <row r="79" spans="1:18">
      <c r="A79" s="2140"/>
      <c r="B79" s="2140"/>
      <c r="C79" s="2140"/>
      <c r="D79" s="2140"/>
      <c r="E79" s="2140"/>
      <c r="F79" s="2140"/>
      <c r="G79" s="2140"/>
      <c r="H79" s="2140"/>
      <c r="I79" s="2140"/>
      <c r="J79" s="2140"/>
      <c r="K79" s="2140"/>
      <c r="L79" s="2140"/>
      <c r="M79" s="2140"/>
      <c r="N79" s="2140"/>
      <c r="O79" s="2140"/>
      <c r="P79" s="2140"/>
      <c r="Q79" s="2140"/>
      <c r="R79" s="2140"/>
    </row>
    <row r="80" spans="1:18">
      <c r="A80" s="2140"/>
      <c r="B80" s="2140"/>
      <c r="C80" s="2140"/>
      <c r="D80" s="2140"/>
      <c r="E80" s="2140"/>
      <c r="F80" s="2140"/>
      <c r="G80" s="2140"/>
      <c r="H80" s="2140"/>
      <c r="I80" s="2140"/>
      <c r="J80" s="2140"/>
      <c r="K80" s="2140"/>
      <c r="L80" s="2140"/>
      <c r="M80" s="2140"/>
      <c r="N80" s="2140"/>
      <c r="O80" s="2140"/>
      <c r="P80" s="2140"/>
      <c r="Q80" s="2140"/>
      <c r="R80" s="2140"/>
    </row>
    <row r="81" spans="1:18">
      <c r="A81" s="2140"/>
      <c r="B81" s="2140"/>
      <c r="C81" s="2140"/>
      <c r="D81" s="2140"/>
      <c r="E81" s="2140"/>
      <c r="F81" s="2140"/>
      <c r="G81" s="2140"/>
      <c r="H81" s="2140"/>
      <c r="I81" s="2140"/>
      <c r="J81" s="2140"/>
      <c r="K81" s="2140"/>
      <c r="L81" s="2140"/>
      <c r="M81" s="2140"/>
      <c r="N81" s="2140"/>
      <c r="O81" s="2140"/>
      <c r="P81" s="2140"/>
      <c r="Q81" s="2140"/>
      <c r="R81" s="2140"/>
    </row>
    <row r="82" spans="1:18">
      <c r="A82" s="2140"/>
      <c r="B82" s="2140"/>
      <c r="C82" s="2140"/>
      <c r="D82" s="2140"/>
      <c r="E82" s="2140"/>
      <c r="F82" s="2140"/>
      <c r="G82" s="2140"/>
      <c r="H82" s="2140"/>
      <c r="I82" s="2140"/>
      <c r="J82" s="2140"/>
      <c r="K82" s="2140"/>
      <c r="L82" s="2140"/>
      <c r="M82" s="2140"/>
      <c r="N82" s="2140"/>
      <c r="O82" s="2140"/>
      <c r="P82" s="2140"/>
      <c r="Q82" s="2140"/>
      <c r="R82" s="2140"/>
    </row>
    <row r="83" spans="1:18">
      <c r="A83" s="2140"/>
      <c r="B83" s="2140"/>
      <c r="C83" s="2140"/>
      <c r="D83" s="2140"/>
      <c r="E83" s="2140"/>
      <c r="F83" s="2140"/>
      <c r="G83" s="2140"/>
      <c r="H83" s="2140"/>
      <c r="I83" s="2140"/>
      <c r="J83" s="2140"/>
      <c r="K83" s="2140"/>
      <c r="L83" s="2140"/>
      <c r="M83" s="2140"/>
      <c r="N83" s="2140"/>
      <c r="O83" s="2140"/>
      <c r="P83" s="2140"/>
      <c r="Q83" s="2140"/>
      <c r="R83" s="2140"/>
    </row>
    <row r="84" spans="1:18">
      <c r="A84" s="2140"/>
      <c r="B84" s="2140"/>
      <c r="C84" s="2140"/>
      <c r="D84" s="2140"/>
      <c r="E84" s="2140"/>
      <c r="F84" s="2140"/>
      <c r="G84" s="2140"/>
      <c r="H84" s="2140"/>
      <c r="I84" s="2140"/>
      <c r="J84" s="2140"/>
      <c r="K84" s="2140"/>
      <c r="L84" s="2140"/>
      <c r="M84" s="2140"/>
      <c r="N84" s="2140"/>
      <c r="O84" s="2140"/>
      <c r="P84" s="2140"/>
      <c r="Q84" s="2140"/>
      <c r="R84" s="2140"/>
    </row>
    <row r="85" spans="1:18">
      <c r="A85" s="2140"/>
      <c r="B85" s="2140"/>
      <c r="C85" s="2140"/>
      <c r="D85" s="2140"/>
      <c r="E85" s="2140"/>
      <c r="F85" s="2140"/>
      <c r="G85" s="2140"/>
      <c r="H85" s="2140"/>
      <c r="I85" s="2140"/>
      <c r="J85" s="2140"/>
      <c r="K85" s="2140"/>
      <c r="L85" s="2140"/>
      <c r="M85" s="2140"/>
      <c r="N85" s="2140"/>
      <c r="O85" s="2140"/>
      <c r="P85" s="2140"/>
      <c r="Q85" s="2140"/>
      <c r="R85" s="2140"/>
    </row>
    <row r="86" spans="1:18">
      <c r="A86" s="2140"/>
      <c r="B86" s="2140"/>
      <c r="C86" s="2140"/>
      <c r="D86" s="2140"/>
      <c r="E86" s="2140"/>
      <c r="F86" s="2140"/>
      <c r="G86" s="2140"/>
      <c r="H86" s="2140"/>
      <c r="I86" s="2140"/>
      <c r="J86" s="2140"/>
      <c r="K86" s="2140"/>
      <c r="L86" s="2140"/>
      <c r="M86" s="2140"/>
      <c r="N86" s="2140"/>
      <c r="O86" s="2140"/>
      <c r="P86" s="2140"/>
      <c r="Q86" s="2140"/>
      <c r="R86" s="2140"/>
    </row>
    <row r="87" spans="1:18">
      <c r="A87" s="2140"/>
      <c r="B87" s="2140"/>
      <c r="C87" s="2140"/>
      <c r="D87" s="2140"/>
      <c r="E87" s="2140"/>
      <c r="F87" s="2140"/>
      <c r="G87" s="2140"/>
      <c r="H87" s="2140"/>
      <c r="I87" s="2140"/>
      <c r="J87" s="2140"/>
      <c r="K87" s="2140"/>
      <c r="L87" s="2140"/>
      <c r="M87" s="2140"/>
      <c r="N87" s="2140"/>
      <c r="O87" s="2140"/>
      <c r="P87" s="2140"/>
      <c r="Q87" s="2140"/>
      <c r="R87" s="2140"/>
    </row>
    <row r="88" spans="1:18">
      <c r="A88" s="2140"/>
      <c r="B88" s="2140"/>
      <c r="C88" s="2140"/>
      <c r="D88" s="2140"/>
      <c r="E88" s="2140"/>
      <c r="F88" s="2140"/>
      <c r="G88" s="2140"/>
      <c r="H88" s="2140"/>
      <c r="I88" s="2140"/>
      <c r="J88" s="2140"/>
      <c r="K88" s="2140"/>
      <c r="L88" s="2140"/>
      <c r="M88" s="2140"/>
      <c r="N88" s="2140"/>
      <c r="O88" s="2140"/>
      <c r="P88" s="2140"/>
      <c r="Q88" s="2140"/>
      <c r="R88" s="2140"/>
    </row>
    <row r="89" spans="1:18">
      <c r="A89" s="2140"/>
      <c r="B89" s="2140"/>
      <c r="C89" s="2140"/>
      <c r="D89" s="2140"/>
      <c r="E89" s="2140"/>
      <c r="F89" s="2140"/>
      <c r="G89" s="2140"/>
      <c r="H89" s="2140"/>
      <c r="I89" s="2140"/>
      <c r="J89" s="2140"/>
      <c r="K89" s="2140"/>
      <c r="L89" s="2140"/>
      <c r="M89" s="2140"/>
      <c r="N89" s="2140"/>
      <c r="O89" s="2140"/>
      <c r="P89" s="2140"/>
      <c r="Q89" s="2140"/>
      <c r="R89" s="2140"/>
    </row>
    <row r="90" spans="1:18">
      <c r="A90" s="2140"/>
      <c r="B90" s="2140"/>
      <c r="C90" s="2140"/>
      <c r="D90" s="2140"/>
      <c r="E90" s="2140"/>
      <c r="F90" s="2140"/>
      <c r="G90" s="2140"/>
      <c r="H90" s="2140"/>
      <c r="I90" s="2140"/>
      <c r="J90" s="2140"/>
      <c r="K90" s="2140"/>
      <c r="L90" s="2140"/>
      <c r="M90" s="2140"/>
      <c r="N90" s="2140"/>
      <c r="O90" s="2140"/>
      <c r="P90" s="2140"/>
      <c r="Q90" s="2140"/>
      <c r="R90" s="2140"/>
    </row>
    <row r="91" spans="1:18">
      <c r="A91" s="2140"/>
      <c r="B91" s="2140"/>
      <c r="C91" s="2140"/>
      <c r="D91" s="2140"/>
      <c r="E91" s="2140"/>
      <c r="F91" s="2140"/>
      <c r="G91" s="2140"/>
      <c r="H91" s="2140"/>
      <c r="I91" s="2140"/>
      <c r="J91" s="2140"/>
      <c r="K91" s="2140"/>
      <c r="L91" s="2140"/>
      <c r="M91" s="2140"/>
      <c r="N91" s="2140"/>
      <c r="O91" s="2140"/>
      <c r="P91" s="2140"/>
      <c r="Q91" s="2140"/>
      <c r="R91" s="2140"/>
    </row>
    <row r="92" spans="1:18">
      <c r="A92" s="2140"/>
      <c r="B92" s="2140"/>
      <c r="C92" s="2140"/>
      <c r="D92" s="2140"/>
      <c r="E92" s="2140"/>
      <c r="F92" s="2140"/>
      <c r="G92" s="2140"/>
      <c r="H92" s="2140"/>
      <c r="I92" s="2140"/>
      <c r="J92" s="2140"/>
      <c r="K92" s="2140"/>
      <c r="L92" s="2140"/>
      <c r="M92" s="2140"/>
      <c r="N92" s="2140"/>
      <c r="O92" s="2140"/>
      <c r="P92" s="2140"/>
      <c r="Q92" s="2140"/>
      <c r="R92" s="2140"/>
    </row>
    <row r="93" spans="1:18">
      <c r="A93" s="2140"/>
      <c r="B93" s="2140"/>
      <c r="C93" s="2140"/>
      <c r="D93" s="2140"/>
      <c r="E93" s="2140"/>
      <c r="F93" s="2140"/>
      <c r="G93" s="2140"/>
      <c r="H93" s="2140"/>
      <c r="I93" s="2140"/>
      <c r="J93" s="2140"/>
      <c r="K93" s="2140"/>
      <c r="L93" s="2140"/>
      <c r="M93" s="2140"/>
      <c r="N93" s="2140"/>
      <c r="O93" s="2140"/>
      <c r="P93" s="2140"/>
      <c r="Q93" s="2140"/>
      <c r="R93" s="2140"/>
    </row>
    <row r="94" spans="1:18">
      <c r="A94" s="2140"/>
      <c r="B94" s="2140"/>
      <c r="C94" s="2140"/>
      <c r="D94" s="2140"/>
      <c r="E94" s="2140"/>
      <c r="F94" s="2140"/>
      <c r="G94" s="2140"/>
      <c r="H94" s="2140"/>
      <c r="I94" s="2140"/>
      <c r="J94" s="2140"/>
      <c r="K94" s="2140"/>
      <c r="L94" s="2140"/>
      <c r="M94" s="2140"/>
      <c r="N94" s="2140"/>
      <c r="O94" s="2140"/>
      <c r="P94" s="2140"/>
      <c r="Q94" s="2140"/>
      <c r="R94" s="2140"/>
    </row>
    <row r="95" spans="1:18">
      <c r="A95" s="2140"/>
      <c r="B95" s="2140"/>
      <c r="C95" s="2140"/>
      <c r="D95" s="2140"/>
      <c r="E95" s="2140"/>
      <c r="F95" s="2140"/>
      <c r="G95" s="2140"/>
      <c r="H95" s="2140"/>
      <c r="I95" s="2140"/>
      <c r="J95" s="2140"/>
      <c r="K95" s="2140"/>
      <c r="L95" s="2140"/>
      <c r="M95" s="2140"/>
      <c r="N95" s="2140"/>
      <c r="O95" s="2140"/>
      <c r="P95" s="2140"/>
      <c r="Q95" s="2140"/>
      <c r="R95" s="2140"/>
    </row>
    <row r="96" spans="1:18">
      <c r="A96" s="2140"/>
      <c r="B96" s="2140"/>
      <c r="C96" s="2140"/>
      <c r="D96" s="2140"/>
      <c r="E96" s="2140"/>
      <c r="F96" s="2140"/>
      <c r="G96" s="2140"/>
      <c r="H96" s="2140"/>
      <c r="I96" s="2140"/>
      <c r="J96" s="2140"/>
      <c r="K96" s="2140"/>
      <c r="L96" s="2140"/>
      <c r="M96" s="2140"/>
      <c r="N96" s="2140"/>
      <c r="O96" s="2140"/>
      <c r="P96" s="2140"/>
      <c r="Q96" s="2140"/>
      <c r="R96" s="2140"/>
    </row>
    <row r="97" spans="1:18">
      <c r="A97" s="2140"/>
      <c r="B97" s="2140"/>
      <c r="C97" s="2140"/>
      <c r="D97" s="2140"/>
      <c r="E97" s="2140"/>
      <c r="F97" s="2140"/>
      <c r="G97" s="2140"/>
      <c r="H97" s="2140"/>
      <c r="I97" s="2140"/>
      <c r="J97" s="2140"/>
      <c r="K97" s="2140"/>
      <c r="L97" s="2140"/>
      <c r="M97" s="2140"/>
      <c r="N97" s="2140"/>
      <c r="O97" s="2140"/>
      <c r="P97" s="2140"/>
      <c r="Q97" s="2140"/>
      <c r="R97" s="2140"/>
    </row>
    <row r="98" spans="1:18">
      <c r="A98" s="2140"/>
      <c r="B98" s="2140"/>
      <c r="C98" s="2140"/>
      <c r="D98" s="2140"/>
      <c r="E98" s="2140"/>
      <c r="F98" s="2140"/>
      <c r="G98" s="2140"/>
      <c r="H98" s="2140"/>
      <c r="I98" s="2140"/>
      <c r="J98" s="2140"/>
      <c r="K98" s="2140"/>
      <c r="L98" s="2140"/>
      <c r="M98" s="2140"/>
      <c r="N98" s="2140"/>
      <c r="O98" s="2140"/>
      <c r="P98" s="2140"/>
      <c r="Q98" s="2140"/>
      <c r="R98" s="2140"/>
    </row>
    <row r="99" spans="1:18">
      <c r="A99" s="2140"/>
      <c r="B99" s="2140"/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2140"/>
      <c r="R99" s="2140"/>
    </row>
    <row r="100" spans="1:18">
      <c r="A100" s="2140"/>
      <c r="B100" s="2140"/>
      <c r="C100" s="2140"/>
      <c r="D100" s="2140"/>
      <c r="E100" s="2140"/>
      <c r="F100" s="2140"/>
      <c r="G100" s="2140"/>
      <c r="H100" s="2140"/>
      <c r="I100" s="2140"/>
      <c r="J100" s="2140"/>
      <c r="K100" s="2140"/>
      <c r="L100" s="2140"/>
      <c r="M100" s="2140"/>
      <c r="N100" s="2140"/>
      <c r="O100" s="2140"/>
      <c r="P100" s="2140"/>
      <c r="Q100" s="2140"/>
      <c r="R100" s="2140"/>
    </row>
    <row r="101" spans="1:18">
      <c r="A101" s="2140"/>
      <c r="B101" s="2140"/>
      <c r="C101" s="2140"/>
      <c r="D101" s="2140"/>
      <c r="E101" s="2140"/>
      <c r="F101" s="2140"/>
      <c r="G101" s="2140"/>
      <c r="H101" s="2140"/>
      <c r="I101" s="2140"/>
      <c r="J101" s="2140"/>
      <c r="K101" s="2140"/>
      <c r="L101" s="2140"/>
      <c r="M101" s="2140"/>
      <c r="N101" s="2140"/>
      <c r="O101" s="2140"/>
      <c r="P101" s="2140"/>
      <c r="Q101" s="2140"/>
      <c r="R101" s="2140"/>
    </row>
    <row r="102" spans="1:18">
      <c r="A102" s="2140"/>
      <c r="B102" s="2140"/>
      <c r="C102" s="2140"/>
      <c r="D102" s="2140"/>
      <c r="E102" s="2140"/>
      <c r="F102" s="2140"/>
      <c r="G102" s="2140"/>
      <c r="H102" s="2140"/>
      <c r="I102" s="2140"/>
      <c r="J102" s="2140"/>
      <c r="K102" s="2140"/>
      <c r="L102" s="2140"/>
      <c r="M102" s="2140"/>
      <c r="N102" s="2140"/>
      <c r="O102" s="2140"/>
      <c r="P102" s="2140"/>
      <c r="Q102" s="2140"/>
      <c r="R102" s="2140"/>
    </row>
    <row r="103" spans="1:18">
      <c r="A103" s="2140"/>
      <c r="B103" s="2140"/>
      <c r="C103" s="2140"/>
      <c r="D103" s="2140"/>
      <c r="E103" s="2140"/>
      <c r="F103" s="2140"/>
      <c r="G103" s="2140"/>
      <c r="H103" s="2140"/>
      <c r="I103" s="2140"/>
      <c r="J103" s="2140"/>
      <c r="K103" s="2140"/>
      <c r="L103" s="2140"/>
      <c r="M103" s="2140"/>
      <c r="N103" s="2140"/>
      <c r="O103" s="2140"/>
      <c r="P103" s="2140"/>
      <c r="Q103" s="2140"/>
      <c r="R103" s="2140"/>
    </row>
    <row r="104" spans="1:18">
      <c r="A104" s="2140"/>
      <c r="B104" s="2140"/>
      <c r="C104" s="2140"/>
      <c r="D104" s="2140"/>
      <c r="E104" s="2140"/>
      <c r="F104" s="2140"/>
      <c r="G104" s="2140"/>
      <c r="H104" s="2140"/>
      <c r="I104" s="2140"/>
      <c r="J104" s="2140"/>
      <c r="K104" s="2140"/>
      <c r="L104" s="2140"/>
      <c r="M104" s="2140"/>
      <c r="N104" s="2140"/>
      <c r="O104" s="2140"/>
      <c r="P104" s="2140"/>
      <c r="Q104" s="2140"/>
      <c r="R104" s="2140"/>
    </row>
    <row r="105" spans="1:18">
      <c r="A105" s="2140"/>
      <c r="B105" s="2140"/>
      <c r="C105" s="2140"/>
      <c r="D105" s="2140"/>
      <c r="E105" s="2140"/>
      <c r="F105" s="2140"/>
      <c r="G105" s="2140"/>
      <c r="H105" s="2140"/>
      <c r="I105" s="2140"/>
      <c r="J105" s="2140"/>
      <c r="K105" s="2140"/>
      <c r="L105" s="2140"/>
      <c r="M105" s="2140"/>
      <c r="N105" s="2140"/>
      <c r="O105" s="2140"/>
      <c r="P105" s="2140"/>
      <c r="Q105" s="2140"/>
      <c r="R105" s="2140"/>
    </row>
    <row r="106" spans="1:18">
      <c r="A106" s="2140"/>
      <c r="B106" s="2140"/>
      <c r="C106" s="2140"/>
      <c r="D106" s="2140"/>
      <c r="E106" s="2140"/>
      <c r="F106" s="2140"/>
      <c r="G106" s="2140"/>
      <c r="H106" s="2140"/>
      <c r="I106" s="2140"/>
      <c r="J106" s="2140"/>
      <c r="K106" s="2140"/>
      <c r="L106" s="2140"/>
      <c r="M106" s="2140"/>
      <c r="N106" s="2140"/>
      <c r="O106" s="2140"/>
      <c r="P106" s="2140"/>
      <c r="Q106" s="2140"/>
      <c r="R106" s="2140"/>
    </row>
    <row r="107" spans="1:18">
      <c r="A107" s="2140"/>
      <c r="B107" s="2140"/>
      <c r="C107" s="2140"/>
      <c r="D107" s="2140"/>
      <c r="E107" s="2140"/>
      <c r="F107" s="2140"/>
      <c r="G107" s="2140"/>
      <c r="H107" s="2140"/>
      <c r="I107" s="2140"/>
      <c r="J107" s="2140"/>
      <c r="K107" s="2140"/>
      <c r="L107" s="2140"/>
      <c r="M107" s="2140"/>
      <c r="N107" s="2140"/>
      <c r="O107" s="2140"/>
      <c r="P107" s="2140"/>
      <c r="Q107" s="2140"/>
      <c r="R107" s="2140"/>
    </row>
    <row r="108" spans="1:18">
      <c r="A108" s="2140"/>
      <c r="B108" s="2140"/>
      <c r="C108" s="2140"/>
      <c r="D108" s="2140"/>
      <c r="E108" s="2140"/>
      <c r="F108" s="2140"/>
      <c r="G108" s="2140"/>
      <c r="H108" s="2140"/>
      <c r="I108" s="2140"/>
      <c r="J108" s="2140"/>
      <c r="K108" s="2140"/>
      <c r="L108" s="2140"/>
      <c r="M108" s="2140"/>
      <c r="N108" s="2140"/>
      <c r="O108" s="2140"/>
      <c r="P108" s="2140"/>
      <c r="Q108" s="2140"/>
      <c r="R108" s="2140"/>
    </row>
    <row r="109" spans="1:18">
      <c r="A109" s="2140"/>
      <c r="B109" s="2140"/>
      <c r="C109" s="2140"/>
      <c r="D109" s="2140"/>
      <c r="E109" s="2140"/>
      <c r="F109" s="2140"/>
      <c r="G109" s="2140"/>
      <c r="H109" s="2140"/>
      <c r="I109" s="2140"/>
      <c r="J109" s="2140"/>
      <c r="K109" s="2140"/>
      <c r="L109" s="2140"/>
      <c r="M109" s="2140"/>
      <c r="N109" s="2140"/>
      <c r="O109" s="2140"/>
      <c r="P109" s="2140"/>
      <c r="Q109" s="2140"/>
      <c r="R109" s="2140"/>
    </row>
    <row r="110" spans="1:18">
      <c r="A110" s="2140"/>
      <c r="B110" s="2140"/>
      <c r="C110" s="2140"/>
      <c r="D110" s="2140"/>
      <c r="E110" s="2140"/>
      <c r="F110" s="2140"/>
      <c r="G110" s="2140"/>
      <c r="H110" s="2140"/>
      <c r="I110" s="2140"/>
      <c r="J110" s="2140"/>
      <c r="K110" s="2140"/>
      <c r="L110" s="2140"/>
      <c r="M110" s="2140"/>
      <c r="N110" s="2140"/>
      <c r="O110" s="2140"/>
      <c r="P110" s="2140"/>
      <c r="Q110" s="2140"/>
      <c r="R110" s="2140"/>
    </row>
    <row r="111" spans="1:18">
      <c r="A111" s="2140"/>
      <c r="B111" s="2140"/>
      <c r="C111" s="2140"/>
      <c r="D111" s="2140"/>
      <c r="E111" s="2140"/>
      <c r="F111" s="2140"/>
      <c r="G111" s="2140"/>
      <c r="H111" s="2140"/>
      <c r="I111" s="2140"/>
      <c r="J111" s="2140"/>
      <c r="K111" s="2140"/>
      <c r="L111" s="2140"/>
      <c r="M111" s="2140"/>
      <c r="N111" s="2140"/>
      <c r="O111" s="2140"/>
      <c r="P111" s="2140"/>
      <c r="Q111" s="2140"/>
      <c r="R111" s="2140"/>
    </row>
    <row r="112" spans="1:18">
      <c r="A112" s="2140"/>
      <c r="B112" s="2140"/>
      <c r="C112" s="2140"/>
      <c r="D112" s="2140"/>
      <c r="E112" s="2140"/>
      <c r="F112" s="2140"/>
      <c r="G112" s="2140"/>
      <c r="H112" s="2140"/>
      <c r="I112" s="2140"/>
      <c r="J112" s="2140"/>
      <c r="K112" s="2140"/>
      <c r="L112" s="2140"/>
      <c r="M112" s="2140"/>
      <c r="N112" s="2140"/>
      <c r="O112" s="2140"/>
      <c r="P112" s="2140"/>
      <c r="Q112" s="2140"/>
      <c r="R112" s="2140"/>
    </row>
    <row r="113" spans="1:18">
      <c r="A113" s="2140"/>
      <c r="B113" s="2140"/>
      <c r="C113" s="2140"/>
      <c r="D113" s="2140"/>
      <c r="E113" s="2140"/>
      <c r="F113" s="2140"/>
      <c r="G113" s="2140"/>
      <c r="H113" s="2140"/>
      <c r="I113" s="2140"/>
      <c r="J113" s="2140"/>
      <c r="K113" s="2140"/>
      <c r="L113" s="2140"/>
      <c r="M113" s="2140"/>
      <c r="N113" s="2140"/>
      <c r="O113" s="2140"/>
      <c r="P113" s="2140"/>
      <c r="Q113" s="2140"/>
      <c r="R113" s="2140"/>
    </row>
    <row r="114" spans="1:18">
      <c r="A114" s="2140"/>
      <c r="B114" s="2140"/>
      <c r="C114" s="2140"/>
      <c r="D114" s="2140"/>
      <c r="E114" s="2140"/>
      <c r="F114" s="2140"/>
      <c r="G114" s="2140"/>
      <c r="H114" s="2140"/>
      <c r="I114" s="2140"/>
      <c r="J114" s="2140"/>
      <c r="K114" s="2140"/>
      <c r="L114" s="2140"/>
      <c r="M114" s="2140"/>
      <c r="N114" s="2140"/>
      <c r="O114" s="2140"/>
      <c r="P114" s="2140"/>
      <c r="Q114" s="2140"/>
      <c r="R114" s="2140"/>
    </row>
    <row r="115" spans="1:18">
      <c r="A115" s="2140"/>
      <c r="B115" s="2140"/>
      <c r="C115" s="2140"/>
      <c r="D115" s="2140"/>
      <c r="E115" s="2140"/>
      <c r="F115" s="2140"/>
      <c r="G115" s="2140"/>
      <c r="H115" s="2140"/>
      <c r="I115" s="2140"/>
      <c r="J115" s="2140"/>
      <c r="K115" s="2140"/>
      <c r="L115" s="2140"/>
      <c r="M115" s="2140"/>
      <c r="N115" s="2140"/>
      <c r="O115" s="2140"/>
      <c r="P115" s="2140"/>
      <c r="Q115" s="2140"/>
      <c r="R115" s="2140"/>
    </row>
    <row r="116" spans="1:18">
      <c r="A116" s="2140"/>
      <c r="B116" s="2140"/>
      <c r="C116" s="2140"/>
      <c r="D116" s="2140"/>
      <c r="E116" s="2140"/>
      <c r="F116" s="2140"/>
      <c r="G116" s="2140"/>
      <c r="H116" s="2140"/>
      <c r="I116" s="2140"/>
      <c r="J116" s="2140"/>
      <c r="K116" s="2140"/>
      <c r="L116" s="2140"/>
      <c r="M116" s="2140"/>
      <c r="N116" s="2140"/>
      <c r="O116" s="2140"/>
      <c r="P116" s="2140"/>
      <c r="Q116" s="2140"/>
      <c r="R116" s="2140"/>
    </row>
    <row r="117" spans="1:18">
      <c r="A117" s="2140"/>
      <c r="B117" s="2140"/>
      <c r="C117" s="2140"/>
      <c r="D117" s="2140"/>
      <c r="E117" s="2140"/>
      <c r="F117" s="2140"/>
      <c r="G117" s="2140"/>
      <c r="H117" s="2140"/>
      <c r="I117" s="2140"/>
      <c r="J117" s="2140"/>
      <c r="K117" s="2140"/>
      <c r="L117" s="2140"/>
      <c r="M117" s="2140"/>
      <c r="N117" s="2140"/>
      <c r="O117" s="2140"/>
      <c r="P117" s="2140"/>
      <c r="Q117" s="2140"/>
      <c r="R117" s="2140"/>
    </row>
    <row r="118" spans="1:18">
      <c r="A118" s="2140"/>
      <c r="B118" s="2140"/>
      <c r="C118" s="2140"/>
      <c r="D118" s="2140"/>
      <c r="E118" s="2140"/>
      <c r="F118" s="2140"/>
      <c r="G118" s="2140"/>
      <c r="H118" s="2140"/>
      <c r="I118" s="2140"/>
      <c r="J118" s="2140"/>
      <c r="K118" s="2140"/>
      <c r="L118" s="2140"/>
      <c r="M118" s="2140"/>
      <c r="N118" s="2140"/>
      <c r="O118" s="2140"/>
      <c r="P118" s="2140"/>
      <c r="Q118" s="2140"/>
      <c r="R118" s="2140"/>
    </row>
    <row r="119" spans="1:18">
      <c r="A119" s="2140"/>
      <c r="B119" s="2140"/>
      <c r="C119" s="2140"/>
      <c r="D119" s="2140"/>
      <c r="E119" s="2140"/>
      <c r="F119" s="2140"/>
      <c r="G119" s="2140"/>
      <c r="H119" s="2140"/>
      <c r="I119" s="2140"/>
      <c r="J119" s="2140"/>
      <c r="K119" s="2140"/>
      <c r="L119" s="2140"/>
      <c r="M119" s="2140"/>
      <c r="N119" s="2140"/>
      <c r="O119" s="2140"/>
      <c r="P119" s="2140"/>
      <c r="Q119" s="2140"/>
      <c r="R119" s="2140"/>
    </row>
    <row r="120" spans="1:18">
      <c r="A120" s="2140"/>
      <c r="B120" s="2140"/>
      <c r="C120" s="2140"/>
      <c r="D120" s="2140"/>
      <c r="E120" s="2140"/>
      <c r="F120" s="2140"/>
      <c r="G120" s="2140"/>
      <c r="H120" s="2140"/>
      <c r="I120" s="2140"/>
      <c r="J120" s="2140"/>
      <c r="K120" s="2140"/>
      <c r="L120" s="2140"/>
      <c r="M120" s="2140"/>
      <c r="N120" s="2140"/>
      <c r="O120" s="2140"/>
      <c r="P120" s="2140"/>
      <c r="Q120" s="2140"/>
      <c r="R120" s="2140"/>
    </row>
    <row r="121" spans="1:18">
      <c r="A121" s="2140"/>
      <c r="B121" s="2140"/>
      <c r="C121" s="2140"/>
      <c r="D121" s="2140"/>
      <c r="E121" s="2140"/>
      <c r="F121" s="2140"/>
      <c r="G121" s="2140"/>
      <c r="H121" s="2140"/>
      <c r="I121" s="2140"/>
      <c r="J121" s="2140"/>
      <c r="K121" s="2140"/>
      <c r="L121" s="2140"/>
      <c r="M121" s="2140"/>
      <c r="N121" s="2140"/>
      <c r="O121" s="2140"/>
      <c r="P121" s="2140"/>
      <c r="Q121" s="2140"/>
      <c r="R121" s="2140"/>
    </row>
    <row r="122" spans="1:18">
      <c r="A122" s="2140"/>
      <c r="B122" s="2140"/>
      <c r="C122" s="2140"/>
      <c r="D122" s="2140"/>
      <c r="E122" s="2140"/>
      <c r="F122" s="2140"/>
      <c r="G122" s="2140"/>
      <c r="H122" s="2140"/>
      <c r="I122" s="2140"/>
      <c r="J122" s="2140"/>
      <c r="K122" s="2140"/>
      <c r="L122" s="2140"/>
      <c r="M122" s="2140"/>
      <c r="N122" s="2140"/>
      <c r="O122" s="2140"/>
      <c r="P122" s="2140"/>
      <c r="Q122" s="2140"/>
      <c r="R122" s="2140"/>
    </row>
    <row r="123" spans="1:18">
      <c r="A123" s="2140"/>
      <c r="B123" s="2140"/>
      <c r="C123" s="2140"/>
      <c r="D123" s="2140"/>
      <c r="E123" s="2140"/>
      <c r="F123" s="2140"/>
      <c r="G123" s="2140"/>
      <c r="H123" s="2140"/>
      <c r="I123" s="2140"/>
      <c r="J123" s="2140"/>
      <c r="K123" s="2140"/>
      <c r="L123" s="2140"/>
      <c r="M123" s="2140"/>
      <c r="N123" s="2140"/>
      <c r="O123" s="2140"/>
      <c r="P123" s="2140"/>
      <c r="Q123" s="2140"/>
      <c r="R123" s="2140"/>
    </row>
    <row r="124" spans="1:18">
      <c r="A124" s="2140"/>
      <c r="B124" s="2140"/>
      <c r="C124" s="2140"/>
      <c r="D124" s="2140"/>
      <c r="E124" s="2140"/>
      <c r="F124" s="2140"/>
      <c r="G124" s="2140"/>
      <c r="H124" s="2140"/>
      <c r="I124" s="2140"/>
      <c r="J124" s="2140"/>
      <c r="K124" s="2140"/>
      <c r="L124" s="2140"/>
      <c r="M124" s="2140"/>
      <c r="N124" s="2140"/>
      <c r="O124" s="2140"/>
      <c r="P124" s="2140"/>
      <c r="Q124" s="2140"/>
      <c r="R124" s="2140"/>
    </row>
    <row r="125" spans="1:18">
      <c r="A125" s="2140"/>
      <c r="B125" s="2140"/>
      <c r="C125" s="2140"/>
      <c r="D125" s="2140"/>
      <c r="E125" s="2140"/>
      <c r="F125" s="2140"/>
      <c r="G125" s="2140"/>
      <c r="H125" s="2140"/>
      <c r="I125" s="2140"/>
      <c r="J125" s="2140"/>
      <c r="K125" s="2140"/>
      <c r="L125" s="2140"/>
      <c r="M125" s="2140"/>
      <c r="N125" s="2140"/>
      <c r="O125" s="2140"/>
      <c r="P125" s="2140"/>
      <c r="Q125" s="2140"/>
      <c r="R125" s="2140"/>
    </row>
    <row r="126" spans="1:18">
      <c r="A126" s="2140"/>
      <c r="B126" s="2140"/>
      <c r="C126" s="2140"/>
      <c r="D126" s="2140"/>
      <c r="E126" s="2140"/>
      <c r="F126" s="2140"/>
      <c r="G126" s="2140"/>
      <c r="H126" s="2140"/>
      <c r="I126" s="2140"/>
      <c r="J126" s="2140"/>
      <c r="K126" s="2140"/>
      <c r="L126" s="2140"/>
      <c r="M126" s="2140"/>
      <c r="N126" s="2140"/>
      <c r="O126" s="2140"/>
      <c r="P126" s="2140"/>
      <c r="Q126" s="2140"/>
      <c r="R126" s="2140"/>
    </row>
    <row r="127" spans="1:18">
      <c r="A127" s="2140"/>
      <c r="B127" s="2140"/>
      <c r="C127" s="2140"/>
      <c r="D127" s="2140"/>
      <c r="E127" s="2140"/>
      <c r="F127" s="2140"/>
      <c r="G127" s="2140"/>
      <c r="H127" s="2140"/>
      <c r="I127" s="2140"/>
      <c r="J127" s="2140"/>
      <c r="K127" s="2140"/>
      <c r="L127" s="2140"/>
      <c r="M127" s="2140"/>
      <c r="N127" s="2140"/>
      <c r="O127" s="2140"/>
      <c r="P127" s="2140"/>
      <c r="Q127" s="2140"/>
      <c r="R127" s="2140"/>
    </row>
    <row r="128" spans="1:18">
      <c r="A128" s="2140"/>
      <c r="B128" s="2140"/>
      <c r="C128" s="2140"/>
      <c r="D128" s="2140"/>
      <c r="E128" s="2140"/>
      <c r="F128" s="2140"/>
      <c r="G128" s="2140"/>
      <c r="H128" s="2140"/>
      <c r="I128" s="2140"/>
      <c r="J128" s="2140"/>
      <c r="K128" s="2140"/>
      <c r="L128" s="2140"/>
      <c r="M128" s="2140"/>
      <c r="N128" s="2140"/>
      <c r="O128" s="2140"/>
      <c r="P128" s="2140"/>
      <c r="Q128" s="2140"/>
      <c r="R128" s="2140"/>
    </row>
    <row r="129" spans="1:18">
      <c r="A129" s="2140"/>
      <c r="B129" s="2140"/>
      <c r="C129" s="2140"/>
      <c r="D129" s="2140"/>
      <c r="E129" s="2140"/>
      <c r="F129" s="2140"/>
      <c r="G129" s="2140"/>
      <c r="H129" s="2140"/>
      <c r="I129" s="2140"/>
      <c r="J129" s="2140"/>
      <c r="K129" s="2140"/>
      <c r="L129" s="2140"/>
      <c r="M129" s="2140"/>
      <c r="N129" s="2140"/>
      <c r="O129" s="2140"/>
      <c r="P129" s="2140"/>
      <c r="Q129" s="2140"/>
      <c r="R129" s="2140"/>
    </row>
    <row r="130" spans="1:18">
      <c r="A130" s="2140"/>
      <c r="B130" s="2140"/>
      <c r="C130" s="2140"/>
      <c r="D130" s="2140"/>
      <c r="E130" s="2140"/>
      <c r="F130" s="2140"/>
      <c r="G130" s="2140"/>
      <c r="H130" s="2140"/>
      <c r="I130" s="2140"/>
      <c r="J130" s="2140"/>
      <c r="K130" s="2140"/>
      <c r="L130" s="2140"/>
      <c r="M130" s="2140"/>
      <c r="N130" s="2140"/>
      <c r="O130" s="2140"/>
      <c r="P130" s="2140"/>
      <c r="Q130" s="2140"/>
      <c r="R130" s="2140"/>
    </row>
    <row r="131" spans="1:18">
      <c r="A131" s="2140"/>
      <c r="B131" s="2140"/>
      <c r="C131" s="2140"/>
      <c r="D131" s="2140"/>
      <c r="E131" s="2140"/>
      <c r="F131" s="2140"/>
      <c r="G131" s="2140"/>
      <c r="H131" s="2140"/>
      <c r="I131" s="2140"/>
      <c r="J131" s="2140"/>
      <c r="K131" s="2140"/>
      <c r="L131" s="2140"/>
      <c r="M131" s="2140"/>
      <c r="N131" s="2140"/>
      <c r="O131" s="2140"/>
      <c r="P131" s="2140"/>
      <c r="Q131" s="2140"/>
      <c r="R131" s="2140"/>
    </row>
    <row r="132" spans="1:18">
      <c r="A132" s="2140"/>
      <c r="B132" s="2140"/>
      <c r="C132" s="2140"/>
      <c r="D132" s="2140"/>
      <c r="E132" s="2140"/>
      <c r="F132" s="2140"/>
      <c r="G132" s="2140"/>
      <c r="H132" s="2140"/>
      <c r="I132" s="2140"/>
      <c r="J132" s="2140"/>
      <c r="K132" s="2140"/>
      <c r="L132" s="2140"/>
      <c r="M132" s="2140"/>
      <c r="N132" s="2140"/>
      <c r="O132" s="2140"/>
      <c r="P132" s="2140"/>
      <c r="Q132" s="2140"/>
      <c r="R132" s="2140"/>
    </row>
    <row r="133" spans="1:18">
      <c r="A133" s="2140"/>
      <c r="B133" s="2140"/>
      <c r="C133" s="2140"/>
      <c r="D133" s="2140"/>
      <c r="E133" s="2140"/>
      <c r="F133" s="2140"/>
      <c r="G133" s="2140"/>
      <c r="H133" s="2140"/>
      <c r="I133" s="2140"/>
      <c r="J133" s="2140"/>
      <c r="K133" s="2140"/>
      <c r="L133" s="2140"/>
      <c r="M133" s="2140"/>
      <c r="N133" s="2140"/>
      <c r="O133" s="2140"/>
      <c r="P133" s="2140"/>
      <c r="Q133" s="2140"/>
      <c r="R133" s="2140"/>
    </row>
    <row r="134" spans="1:18">
      <c r="A134" s="2140"/>
      <c r="B134" s="2140"/>
      <c r="C134" s="2140"/>
      <c r="D134" s="2140"/>
      <c r="E134" s="2140"/>
      <c r="F134" s="2140"/>
      <c r="G134" s="2140"/>
      <c r="H134" s="2140"/>
      <c r="I134" s="2140"/>
      <c r="J134" s="2140"/>
      <c r="K134" s="2140"/>
      <c r="L134" s="2140"/>
      <c r="M134" s="2140"/>
      <c r="N134" s="2140"/>
      <c r="O134" s="2140"/>
      <c r="P134" s="2140"/>
      <c r="Q134" s="2140"/>
      <c r="R134" s="2140"/>
    </row>
    <row r="135" spans="1:18">
      <c r="A135" s="2140"/>
      <c r="B135" s="2140"/>
      <c r="C135" s="2140"/>
      <c r="D135" s="2140"/>
      <c r="E135" s="2140"/>
      <c r="F135" s="2140"/>
      <c r="G135" s="2140"/>
      <c r="H135" s="2140"/>
      <c r="I135" s="2140"/>
      <c r="J135" s="2140"/>
      <c r="K135" s="2140"/>
      <c r="L135" s="2140"/>
      <c r="M135" s="2140"/>
      <c r="N135" s="2140"/>
      <c r="O135" s="2140"/>
      <c r="P135" s="2140"/>
      <c r="Q135" s="2140"/>
      <c r="R135" s="2140"/>
    </row>
    <row r="136" spans="1:18">
      <c r="A136" s="2140"/>
      <c r="B136" s="2140"/>
      <c r="C136" s="2140"/>
      <c r="D136" s="2140"/>
      <c r="E136" s="2140"/>
      <c r="F136" s="2140"/>
      <c r="G136" s="2140"/>
      <c r="H136" s="2140"/>
      <c r="I136" s="2140"/>
      <c r="J136" s="2140"/>
      <c r="K136" s="2140"/>
      <c r="L136" s="2140"/>
      <c r="M136" s="2140"/>
      <c r="N136" s="2140"/>
      <c r="O136" s="2140"/>
      <c r="P136" s="2140"/>
      <c r="Q136" s="2140"/>
      <c r="R136" s="2140"/>
    </row>
    <row r="137" spans="1:18">
      <c r="A137" s="2140"/>
      <c r="B137" s="2140"/>
      <c r="C137" s="2140"/>
      <c r="D137" s="2140"/>
      <c r="E137" s="2140"/>
      <c r="F137" s="2140"/>
      <c r="G137" s="2140"/>
      <c r="H137" s="2140"/>
      <c r="I137" s="2140"/>
      <c r="J137" s="2140"/>
      <c r="K137" s="2140"/>
      <c r="L137" s="2140"/>
      <c r="M137" s="2140"/>
      <c r="N137" s="2140"/>
      <c r="O137" s="2140"/>
      <c r="P137" s="2140"/>
      <c r="Q137" s="2140"/>
      <c r="R137" s="2140"/>
    </row>
    <row r="138" spans="1:18">
      <c r="A138" s="2140"/>
      <c r="B138" s="2140"/>
      <c r="C138" s="2140"/>
      <c r="D138" s="2140"/>
      <c r="E138" s="2140"/>
      <c r="F138" s="2140"/>
      <c r="G138" s="2140"/>
      <c r="H138" s="2140"/>
      <c r="I138" s="2140"/>
      <c r="J138" s="2140"/>
      <c r="K138" s="2140"/>
      <c r="L138" s="2140"/>
      <c r="M138" s="2140"/>
      <c r="N138" s="2140"/>
      <c r="O138" s="2140"/>
      <c r="P138" s="2140"/>
      <c r="Q138" s="2140"/>
      <c r="R138" s="2140"/>
    </row>
    <row r="139" spans="1:18">
      <c r="A139" s="2140"/>
      <c r="B139" s="2140"/>
      <c r="C139" s="2140"/>
      <c r="D139" s="2140"/>
      <c r="E139" s="2140"/>
      <c r="F139" s="2140"/>
      <c r="G139" s="2140"/>
      <c r="H139" s="2140"/>
      <c r="I139" s="2140"/>
      <c r="J139" s="2140"/>
      <c r="K139" s="2140"/>
      <c r="L139" s="2140"/>
      <c r="M139" s="2140"/>
      <c r="N139" s="2140"/>
      <c r="O139" s="2140"/>
      <c r="P139" s="2140"/>
      <c r="Q139" s="2140"/>
      <c r="R139" s="2140"/>
    </row>
    <row r="140" spans="1:18">
      <c r="A140" s="2140"/>
      <c r="B140" s="2140"/>
      <c r="C140" s="2140"/>
      <c r="D140" s="2140"/>
      <c r="E140" s="2140"/>
      <c r="F140" s="2140"/>
      <c r="G140" s="2140"/>
      <c r="H140" s="2140"/>
      <c r="I140" s="2140"/>
      <c r="J140" s="2140"/>
      <c r="K140" s="2140"/>
      <c r="L140" s="2140"/>
      <c r="M140" s="2140"/>
      <c r="N140" s="2140"/>
      <c r="O140" s="2140"/>
      <c r="P140" s="2140"/>
      <c r="Q140" s="2140"/>
      <c r="R140" s="2140"/>
    </row>
    <row r="141" spans="1:18">
      <c r="A141" s="2140"/>
      <c r="B141" s="2140"/>
      <c r="C141" s="2140"/>
      <c r="D141" s="2140"/>
      <c r="E141" s="2140"/>
      <c r="F141" s="2140"/>
      <c r="G141" s="2140"/>
      <c r="H141" s="2140"/>
      <c r="I141" s="2140"/>
      <c r="J141" s="2140"/>
      <c r="K141" s="2140"/>
      <c r="L141" s="2140"/>
      <c r="M141" s="2140"/>
      <c r="N141" s="2140"/>
      <c r="O141" s="2140"/>
      <c r="P141" s="2140"/>
      <c r="Q141" s="2140"/>
      <c r="R141" s="2140"/>
    </row>
    <row r="142" spans="1:18">
      <c r="A142" s="2140"/>
      <c r="B142" s="2140"/>
      <c r="C142" s="2140"/>
      <c r="D142" s="2140"/>
      <c r="E142" s="2140"/>
      <c r="F142" s="2140"/>
      <c r="G142" s="2140"/>
      <c r="H142" s="2140"/>
      <c r="I142" s="2140"/>
      <c r="J142" s="2140"/>
      <c r="K142" s="2140"/>
      <c r="L142" s="2140"/>
      <c r="M142" s="2140"/>
      <c r="N142" s="2140"/>
      <c r="O142" s="2140"/>
      <c r="P142" s="2140"/>
      <c r="Q142" s="2140"/>
      <c r="R142" s="2140"/>
    </row>
    <row r="143" spans="1:18">
      <c r="A143" s="2140"/>
      <c r="B143" s="2140"/>
      <c r="C143" s="2140"/>
      <c r="D143" s="2140"/>
      <c r="E143" s="2140"/>
      <c r="F143" s="2140"/>
      <c r="G143" s="2140"/>
      <c r="H143" s="2140"/>
      <c r="I143" s="2140"/>
      <c r="J143" s="2140"/>
      <c r="K143" s="2140"/>
      <c r="L143" s="2140"/>
      <c r="M143" s="2140"/>
      <c r="N143" s="2140"/>
      <c r="O143" s="2140"/>
      <c r="P143" s="2140"/>
      <c r="Q143" s="2140"/>
      <c r="R143" s="2140"/>
    </row>
    <row r="144" spans="1:18">
      <c r="A144" s="2140"/>
      <c r="B144" s="2140"/>
      <c r="C144" s="2140"/>
      <c r="D144" s="2140"/>
      <c r="E144" s="2140"/>
      <c r="F144" s="2140"/>
      <c r="G144" s="2140"/>
      <c r="H144" s="2140"/>
      <c r="I144" s="2140"/>
      <c r="J144" s="2140"/>
      <c r="K144" s="2140"/>
      <c r="L144" s="2140"/>
      <c r="M144" s="2140"/>
      <c r="N144" s="2140"/>
      <c r="O144" s="2140"/>
      <c r="P144" s="2140"/>
      <c r="Q144" s="2140"/>
      <c r="R144" s="2140"/>
    </row>
    <row r="145" spans="1:18">
      <c r="A145" s="2140"/>
      <c r="B145" s="2140"/>
      <c r="C145" s="2140"/>
      <c r="D145" s="2140"/>
      <c r="E145" s="2140"/>
      <c r="F145" s="2140"/>
      <c r="G145" s="2140"/>
      <c r="H145" s="2140"/>
      <c r="I145" s="2140"/>
      <c r="J145" s="2140"/>
      <c r="K145" s="2140"/>
      <c r="L145" s="2140"/>
      <c r="M145" s="2140"/>
      <c r="N145" s="2140"/>
      <c r="O145" s="2140"/>
      <c r="P145" s="2140"/>
      <c r="Q145" s="2140"/>
      <c r="R145" s="2140"/>
    </row>
    <row r="146" spans="1:18">
      <c r="A146" s="2140"/>
      <c r="B146" s="2140"/>
      <c r="C146" s="2140"/>
      <c r="D146" s="2140"/>
      <c r="E146" s="2140"/>
      <c r="F146" s="2140"/>
      <c r="G146" s="2140"/>
      <c r="H146" s="2140"/>
      <c r="I146" s="2140"/>
      <c r="J146" s="2140"/>
      <c r="K146" s="2140"/>
      <c r="L146" s="2140"/>
      <c r="M146" s="2140"/>
      <c r="N146" s="2140"/>
      <c r="O146" s="2140"/>
      <c r="P146" s="2140"/>
      <c r="Q146" s="2140"/>
      <c r="R146" s="2140"/>
    </row>
    <row r="147" spans="1:18">
      <c r="A147" s="2140"/>
      <c r="B147" s="2140"/>
      <c r="C147" s="2140"/>
      <c r="D147" s="2140"/>
      <c r="E147" s="2140"/>
      <c r="F147" s="2140"/>
      <c r="G147" s="2140"/>
      <c r="H147" s="2140"/>
      <c r="I147" s="2140"/>
      <c r="J147" s="2140"/>
      <c r="K147" s="2140"/>
      <c r="L147" s="2140"/>
      <c r="M147" s="2140"/>
      <c r="N147" s="2140"/>
      <c r="O147" s="2140"/>
      <c r="P147" s="2140"/>
      <c r="Q147" s="2140"/>
      <c r="R147" s="2140"/>
    </row>
    <row r="148" spans="1:18">
      <c r="A148" s="2140"/>
      <c r="B148" s="2140"/>
      <c r="C148" s="2140"/>
      <c r="D148" s="2140"/>
      <c r="E148" s="2140"/>
      <c r="F148" s="2140"/>
      <c r="G148" s="2140"/>
      <c r="H148" s="2140"/>
      <c r="I148" s="2140"/>
      <c r="J148" s="2140"/>
      <c r="K148" s="2140"/>
      <c r="L148" s="2140"/>
      <c r="M148" s="2140"/>
      <c r="N148" s="2140"/>
      <c r="O148" s="2140"/>
      <c r="P148" s="2140"/>
      <c r="Q148" s="2140"/>
      <c r="R148" s="2140"/>
    </row>
    <row r="149" spans="1:18">
      <c r="A149" s="2140"/>
      <c r="B149" s="2140"/>
      <c r="C149" s="2140"/>
      <c r="D149" s="2140"/>
      <c r="E149" s="2140"/>
      <c r="F149" s="2140"/>
      <c r="G149" s="2140"/>
      <c r="H149" s="2140"/>
      <c r="I149" s="2140"/>
      <c r="J149" s="2140"/>
      <c r="K149" s="2140"/>
      <c r="L149" s="2140"/>
      <c r="M149" s="2140"/>
      <c r="N149" s="2140"/>
      <c r="O149" s="2140"/>
      <c r="P149" s="2140"/>
      <c r="Q149" s="2140"/>
      <c r="R149" s="2140"/>
    </row>
    <row r="150" spans="1:18">
      <c r="A150" s="2140"/>
      <c r="B150" s="2140"/>
      <c r="C150" s="2140"/>
      <c r="D150" s="2140"/>
      <c r="E150" s="2140"/>
      <c r="F150" s="2140"/>
      <c r="G150" s="2140"/>
      <c r="H150" s="2140"/>
      <c r="I150" s="2140"/>
      <c r="J150" s="2140"/>
      <c r="K150" s="2140"/>
      <c r="L150" s="2140"/>
      <c r="M150" s="2140"/>
      <c r="N150" s="2140"/>
      <c r="O150" s="2140"/>
      <c r="P150" s="2140"/>
      <c r="Q150" s="2140"/>
      <c r="R150" s="2140"/>
    </row>
    <row r="151" spans="1:18">
      <c r="A151" s="2140"/>
      <c r="B151" s="2140"/>
      <c r="C151" s="2140"/>
      <c r="D151" s="2140"/>
      <c r="E151" s="2140"/>
      <c r="F151" s="2140"/>
      <c r="G151" s="2140"/>
      <c r="H151" s="2140"/>
      <c r="I151" s="2140"/>
      <c r="J151" s="2140"/>
      <c r="K151" s="2140"/>
      <c r="L151" s="2140"/>
      <c r="M151" s="2140"/>
      <c r="N151" s="2140"/>
      <c r="O151" s="2140"/>
      <c r="P151" s="2140"/>
      <c r="Q151" s="2140"/>
      <c r="R151" s="2140"/>
    </row>
    <row r="152" spans="1:18">
      <c r="A152" s="2140"/>
      <c r="B152" s="2140"/>
      <c r="C152" s="2140"/>
      <c r="D152" s="2140"/>
      <c r="E152" s="2140"/>
      <c r="F152" s="2140"/>
      <c r="G152" s="2140"/>
      <c r="H152" s="2140"/>
      <c r="I152" s="2140"/>
      <c r="J152" s="2140"/>
      <c r="K152" s="2140"/>
      <c r="L152" s="2140"/>
      <c r="M152" s="2140"/>
      <c r="N152" s="2140"/>
      <c r="O152" s="2140"/>
      <c r="P152" s="2140"/>
      <c r="Q152" s="2140"/>
      <c r="R152" s="2140"/>
    </row>
    <row r="153" spans="1:18">
      <c r="A153" s="2140"/>
      <c r="B153" s="2140"/>
      <c r="C153" s="2140"/>
      <c r="D153" s="2140"/>
      <c r="E153" s="2140"/>
      <c r="F153" s="2140"/>
      <c r="G153" s="2140"/>
      <c r="H153" s="2140"/>
      <c r="I153" s="2140"/>
      <c r="J153" s="2140"/>
      <c r="K153" s="2140"/>
      <c r="L153" s="2140"/>
      <c r="M153" s="2140"/>
      <c r="N153" s="2140"/>
      <c r="O153" s="2140"/>
      <c r="P153" s="2140"/>
      <c r="Q153" s="2140"/>
      <c r="R153" s="2140"/>
    </row>
    <row r="154" spans="1:18">
      <c r="A154" s="2140"/>
      <c r="B154" s="2140"/>
      <c r="C154" s="2140"/>
      <c r="D154" s="2140"/>
      <c r="E154" s="2140"/>
      <c r="F154" s="2140"/>
      <c r="G154" s="2140"/>
      <c r="H154" s="2140"/>
      <c r="I154" s="2140"/>
      <c r="J154" s="2140"/>
      <c r="K154" s="2140"/>
      <c r="L154" s="2140"/>
      <c r="M154" s="2140"/>
      <c r="N154" s="2140"/>
      <c r="O154" s="2140"/>
      <c r="P154" s="2140"/>
      <c r="Q154" s="2140"/>
      <c r="R154" s="2140"/>
    </row>
    <row r="155" spans="1:18">
      <c r="A155" s="2140"/>
      <c r="B155" s="2140"/>
      <c r="C155" s="2140"/>
      <c r="D155" s="2140"/>
      <c r="E155" s="2140"/>
      <c r="F155" s="2140"/>
      <c r="G155" s="2140"/>
      <c r="H155" s="2140"/>
      <c r="I155" s="2140"/>
      <c r="J155" s="2140"/>
      <c r="K155" s="2140"/>
      <c r="L155" s="2140"/>
      <c r="M155" s="2140"/>
      <c r="N155" s="2140"/>
      <c r="O155" s="2140"/>
      <c r="P155" s="2140"/>
      <c r="Q155" s="2140"/>
      <c r="R155" s="2140"/>
    </row>
    <row r="156" spans="1:18">
      <c r="A156" s="2140"/>
      <c r="B156" s="2140"/>
      <c r="C156" s="2140"/>
      <c r="D156" s="2140"/>
      <c r="E156" s="2140"/>
      <c r="F156" s="2140"/>
      <c r="G156" s="2140"/>
      <c r="H156" s="2140"/>
      <c r="I156" s="2140"/>
      <c r="J156" s="2140"/>
      <c r="K156" s="2140"/>
      <c r="L156" s="2140"/>
      <c r="M156" s="2140"/>
      <c r="N156" s="2140"/>
      <c r="O156" s="2140"/>
      <c r="P156" s="2140"/>
      <c r="Q156" s="2140"/>
      <c r="R156" s="2140"/>
    </row>
    <row r="157" spans="1:18">
      <c r="A157" s="2140"/>
      <c r="B157" s="2140"/>
      <c r="C157" s="2140"/>
      <c r="D157" s="2140"/>
      <c r="E157" s="2140"/>
      <c r="F157" s="2140"/>
      <c r="G157" s="2140"/>
      <c r="H157" s="2140"/>
      <c r="I157" s="2140"/>
      <c r="J157" s="2140"/>
      <c r="K157" s="2140"/>
      <c r="L157" s="2140"/>
      <c r="M157" s="2140"/>
      <c r="N157" s="2140"/>
      <c r="O157" s="2140"/>
      <c r="P157" s="2140"/>
      <c r="Q157" s="2140"/>
      <c r="R157" s="2140"/>
    </row>
    <row r="158" spans="1:18">
      <c r="A158" s="2140"/>
      <c r="B158" s="2140"/>
      <c r="C158" s="2140"/>
      <c r="D158" s="2140"/>
      <c r="E158" s="2140"/>
      <c r="F158" s="2140"/>
      <c r="G158" s="2140"/>
      <c r="H158" s="2140"/>
      <c r="I158" s="2140"/>
      <c r="J158" s="2140"/>
      <c r="K158" s="2140"/>
      <c r="L158" s="2140"/>
      <c r="M158" s="2140"/>
      <c r="N158" s="2140"/>
      <c r="O158" s="2140"/>
      <c r="P158" s="2140"/>
      <c r="Q158" s="2140"/>
      <c r="R158" s="2140"/>
    </row>
    <row r="159" spans="1:18">
      <c r="A159" s="2140"/>
      <c r="B159" s="2140"/>
      <c r="C159" s="2140"/>
      <c r="D159" s="2140"/>
      <c r="E159" s="2140"/>
      <c r="F159" s="2140"/>
      <c r="G159" s="2140"/>
      <c r="H159" s="2140"/>
      <c r="I159" s="2140"/>
      <c r="J159" s="2140"/>
      <c r="K159" s="2140"/>
      <c r="L159" s="2140"/>
      <c r="M159" s="2140"/>
      <c r="N159" s="2140"/>
      <c r="O159" s="2140"/>
      <c r="P159" s="2140"/>
      <c r="Q159" s="2140"/>
      <c r="R159" s="2140"/>
    </row>
    <row r="160" spans="1:18">
      <c r="A160" s="2140"/>
      <c r="B160" s="2140"/>
      <c r="C160" s="2140"/>
      <c r="D160" s="2140"/>
      <c r="E160" s="2140"/>
      <c r="F160" s="2140"/>
      <c r="G160" s="2140"/>
      <c r="H160" s="2140"/>
      <c r="I160" s="2140"/>
      <c r="J160" s="2140"/>
      <c r="K160" s="2140"/>
      <c r="L160" s="2140"/>
      <c r="M160" s="2140"/>
      <c r="N160" s="2140"/>
      <c r="O160" s="2140"/>
      <c r="P160" s="2140"/>
      <c r="Q160" s="2140"/>
      <c r="R160" s="2140"/>
    </row>
    <row r="161" spans="1:18">
      <c r="A161" s="2140"/>
      <c r="B161" s="2140"/>
      <c r="C161" s="2140"/>
      <c r="D161" s="2140"/>
      <c r="E161" s="2140"/>
      <c r="F161" s="2140"/>
      <c r="G161" s="2140"/>
      <c r="H161" s="2140"/>
      <c r="I161" s="2140"/>
      <c r="J161" s="2140"/>
      <c r="K161" s="2140"/>
      <c r="L161" s="2140"/>
      <c r="M161" s="2140"/>
      <c r="N161" s="2140"/>
      <c r="O161" s="2140"/>
      <c r="P161" s="2140"/>
      <c r="Q161" s="2140"/>
      <c r="R161" s="2140"/>
    </row>
    <row r="162" spans="1:18">
      <c r="A162" s="2140"/>
      <c r="B162" s="2140"/>
      <c r="C162" s="2140"/>
      <c r="D162" s="2140"/>
      <c r="E162" s="2140"/>
      <c r="F162" s="2140"/>
      <c r="G162" s="2140"/>
      <c r="H162" s="2140"/>
      <c r="I162" s="2140"/>
      <c r="J162" s="2140"/>
      <c r="K162" s="2140"/>
      <c r="L162" s="2140"/>
      <c r="M162" s="2140"/>
      <c r="N162" s="2140"/>
      <c r="O162" s="2140"/>
      <c r="P162" s="2140"/>
      <c r="Q162" s="2140"/>
      <c r="R162" s="2140"/>
    </row>
    <row r="163" spans="1:18">
      <c r="A163" s="2140"/>
      <c r="B163" s="2140"/>
      <c r="C163" s="2140"/>
      <c r="D163" s="2140"/>
      <c r="E163" s="2140"/>
      <c r="F163" s="2140"/>
      <c r="G163" s="2140"/>
      <c r="H163" s="2140"/>
      <c r="I163" s="2140"/>
      <c r="J163" s="2140"/>
      <c r="K163" s="2140"/>
      <c r="L163" s="2140"/>
      <c r="M163" s="2140"/>
      <c r="N163" s="2140"/>
      <c r="O163" s="2140"/>
      <c r="P163" s="2140"/>
      <c r="Q163" s="2140"/>
      <c r="R163" s="2140"/>
    </row>
    <row r="164" spans="1:18">
      <c r="A164" s="2140"/>
      <c r="B164" s="2140"/>
      <c r="C164" s="2140"/>
      <c r="D164" s="2140"/>
      <c r="E164" s="2140"/>
      <c r="F164" s="2140"/>
      <c r="G164" s="2140"/>
      <c r="H164" s="2140"/>
      <c r="I164" s="2140"/>
      <c r="J164" s="2140"/>
      <c r="K164" s="2140"/>
      <c r="L164" s="2140"/>
      <c r="M164" s="2140"/>
      <c r="N164" s="2140"/>
      <c r="O164" s="2140"/>
      <c r="P164" s="2140"/>
      <c r="Q164" s="2140"/>
      <c r="R164" s="2140"/>
    </row>
    <row r="165" spans="1:18">
      <c r="A165" s="2140"/>
      <c r="B165" s="2140"/>
      <c r="C165" s="2140"/>
      <c r="D165" s="2140"/>
      <c r="E165" s="2140"/>
      <c r="F165" s="2140"/>
      <c r="G165" s="2140"/>
      <c r="H165" s="2140"/>
      <c r="I165" s="2140"/>
      <c r="J165" s="2140"/>
      <c r="K165" s="2140"/>
      <c r="L165" s="2140"/>
      <c r="M165" s="2140"/>
      <c r="N165" s="2140"/>
      <c r="O165" s="2140"/>
      <c r="P165" s="2140"/>
      <c r="Q165" s="2140"/>
      <c r="R165" s="2140"/>
    </row>
    <row r="166" spans="1:18">
      <c r="A166" s="2140"/>
      <c r="B166" s="2140"/>
      <c r="C166" s="2140"/>
      <c r="D166" s="2140"/>
      <c r="E166" s="2140"/>
      <c r="F166" s="2140"/>
      <c r="G166" s="2140"/>
      <c r="H166" s="2140"/>
      <c r="I166" s="2140"/>
      <c r="J166" s="2140"/>
      <c r="K166" s="2140"/>
      <c r="L166" s="2140"/>
      <c r="M166" s="2140"/>
      <c r="N166" s="2140"/>
      <c r="O166" s="2140"/>
      <c r="P166" s="2140"/>
      <c r="Q166" s="2140"/>
      <c r="R166" s="2140"/>
    </row>
    <row r="167" spans="1:18">
      <c r="A167" s="2140"/>
      <c r="B167" s="2140"/>
      <c r="C167" s="2140"/>
      <c r="D167" s="2140"/>
      <c r="E167" s="2140"/>
      <c r="F167" s="2140"/>
      <c r="G167" s="2140"/>
      <c r="H167" s="2140"/>
      <c r="I167" s="2140"/>
      <c r="J167" s="2140"/>
      <c r="K167" s="2140"/>
      <c r="L167" s="2140"/>
      <c r="M167" s="2140"/>
      <c r="N167" s="2140"/>
      <c r="O167" s="2140"/>
      <c r="P167" s="2140"/>
      <c r="Q167" s="2140"/>
      <c r="R167" s="2140"/>
    </row>
    <row r="168" spans="1:18">
      <c r="A168" s="2140"/>
      <c r="B168" s="2140"/>
      <c r="C168" s="2140"/>
      <c r="D168" s="2140"/>
      <c r="E168" s="2140"/>
      <c r="F168" s="2140"/>
      <c r="G168" s="2140"/>
      <c r="H168" s="2140"/>
      <c r="I168" s="2140"/>
      <c r="J168" s="2140"/>
      <c r="K168" s="2140"/>
      <c r="L168" s="2140"/>
      <c r="M168" s="2140"/>
      <c r="N168" s="2140"/>
      <c r="O168" s="2140"/>
      <c r="P168" s="2140"/>
      <c r="Q168" s="2140"/>
      <c r="R168" s="2140"/>
    </row>
    <row r="169" spans="1:18">
      <c r="A169" s="2140"/>
      <c r="B169" s="2140"/>
      <c r="C169" s="2140"/>
      <c r="D169" s="2140"/>
      <c r="E169" s="2140"/>
      <c r="F169" s="2140"/>
      <c r="G169" s="2140"/>
      <c r="H169" s="2140"/>
      <c r="I169" s="2140"/>
      <c r="J169" s="2140"/>
      <c r="K169" s="2140"/>
      <c r="L169" s="2140"/>
      <c r="M169" s="2140"/>
      <c r="N169" s="2140"/>
      <c r="O169" s="2140"/>
      <c r="P169" s="2140"/>
      <c r="Q169" s="2140"/>
      <c r="R169" s="2140"/>
    </row>
    <row r="170" spans="1:18">
      <c r="A170" s="2140"/>
      <c r="B170" s="2140"/>
      <c r="C170" s="2140"/>
      <c r="D170" s="2140"/>
      <c r="E170" s="2140"/>
      <c r="F170" s="2140"/>
      <c r="G170" s="2140"/>
      <c r="H170" s="2140"/>
      <c r="I170" s="2140"/>
      <c r="J170" s="2140"/>
      <c r="K170" s="2140"/>
      <c r="L170" s="2140"/>
      <c r="M170" s="2140"/>
      <c r="N170" s="2140"/>
      <c r="O170" s="2140"/>
      <c r="P170" s="2140"/>
      <c r="Q170" s="2140"/>
      <c r="R170" s="2140"/>
    </row>
    <row r="171" spans="1:18">
      <c r="A171" s="2140"/>
      <c r="B171" s="2140"/>
      <c r="C171" s="2140"/>
      <c r="D171" s="2140"/>
      <c r="E171" s="2140"/>
      <c r="F171" s="2140"/>
      <c r="G171" s="2140"/>
      <c r="H171" s="2140"/>
      <c r="I171" s="2140"/>
      <c r="J171" s="2140"/>
      <c r="K171" s="2140"/>
      <c r="L171" s="2140"/>
      <c r="M171" s="2140"/>
      <c r="N171" s="2140"/>
      <c r="O171" s="2140"/>
      <c r="P171" s="2140"/>
      <c r="Q171" s="2140"/>
      <c r="R171" s="2140"/>
    </row>
    <row r="172" spans="1:18">
      <c r="A172" s="2140"/>
      <c r="B172" s="2140"/>
      <c r="C172" s="2140"/>
      <c r="D172" s="2140"/>
      <c r="E172" s="2140"/>
      <c r="F172" s="2140"/>
      <c r="G172" s="2140"/>
      <c r="H172" s="2140"/>
      <c r="I172" s="2140"/>
      <c r="J172" s="2140"/>
      <c r="K172" s="2140"/>
      <c r="L172" s="2140"/>
      <c r="M172" s="2140"/>
      <c r="N172" s="2140"/>
      <c r="O172" s="2140"/>
      <c r="P172" s="2140"/>
      <c r="Q172" s="2140"/>
      <c r="R172" s="2140"/>
    </row>
    <row r="173" spans="1:18">
      <c r="A173" s="2140"/>
      <c r="B173" s="2140"/>
      <c r="C173" s="2140"/>
      <c r="D173" s="2140"/>
      <c r="E173" s="2140"/>
      <c r="F173" s="2140"/>
      <c r="G173" s="2140"/>
      <c r="H173" s="2140"/>
      <c r="I173" s="2140"/>
      <c r="J173" s="2140"/>
      <c r="K173" s="2140"/>
      <c r="L173" s="2140"/>
      <c r="M173" s="2140"/>
      <c r="N173" s="2140"/>
      <c r="O173" s="2140"/>
      <c r="P173" s="2140"/>
      <c r="Q173" s="2140"/>
      <c r="R173" s="2140"/>
    </row>
    <row r="174" spans="1:18">
      <c r="A174" s="2140"/>
      <c r="B174" s="2140"/>
      <c r="C174" s="2140"/>
      <c r="D174" s="2140"/>
      <c r="E174" s="2140"/>
      <c r="F174" s="2140"/>
      <c r="G174" s="2140"/>
      <c r="H174" s="2140"/>
      <c r="I174" s="2140"/>
      <c r="J174" s="2140"/>
      <c r="K174" s="2140"/>
      <c r="L174" s="2140"/>
      <c r="M174" s="2140"/>
      <c r="N174" s="2140"/>
      <c r="O174" s="2140"/>
      <c r="P174" s="2140"/>
      <c r="Q174" s="2140"/>
      <c r="R174" s="2140"/>
    </row>
    <row r="175" spans="1:18">
      <c r="A175" s="2140"/>
      <c r="B175" s="2140"/>
      <c r="C175" s="2140"/>
      <c r="D175" s="2140"/>
      <c r="E175" s="2140"/>
      <c r="F175" s="2140"/>
      <c r="G175" s="2140"/>
      <c r="H175" s="2140"/>
      <c r="I175" s="2140"/>
      <c r="J175" s="2140"/>
      <c r="K175" s="2140"/>
      <c r="L175" s="2140"/>
      <c r="M175" s="2140"/>
      <c r="N175" s="2140"/>
      <c r="O175" s="2140"/>
      <c r="P175" s="2140"/>
      <c r="Q175" s="2140"/>
      <c r="R175" s="2140"/>
    </row>
    <row r="176" spans="1:18">
      <c r="A176" s="2140"/>
      <c r="B176" s="2140"/>
      <c r="C176" s="2140"/>
      <c r="D176" s="2140"/>
      <c r="E176" s="2140"/>
      <c r="F176" s="2140"/>
      <c r="G176" s="2140"/>
      <c r="H176" s="2140"/>
      <c r="I176" s="2140"/>
      <c r="J176" s="2140"/>
      <c r="K176" s="2140"/>
      <c r="L176" s="2140"/>
      <c r="M176" s="2140"/>
      <c r="N176" s="2140"/>
      <c r="O176" s="2140"/>
      <c r="P176" s="2140"/>
      <c r="Q176" s="2140"/>
      <c r="R176" s="2140"/>
    </row>
    <row r="177" spans="1:18">
      <c r="A177" s="2140"/>
      <c r="B177" s="2140"/>
      <c r="C177" s="2140"/>
      <c r="D177" s="2140"/>
      <c r="E177" s="2140"/>
      <c r="F177" s="2140"/>
      <c r="G177" s="2140"/>
      <c r="H177" s="2140"/>
      <c r="I177" s="2140"/>
      <c r="J177" s="2140"/>
      <c r="K177" s="2140"/>
      <c r="L177" s="2140"/>
      <c r="M177" s="2140"/>
      <c r="N177" s="2140"/>
      <c r="O177" s="2140"/>
      <c r="P177" s="2140"/>
      <c r="Q177" s="2140"/>
      <c r="R177" s="2140"/>
    </row>
    <row r="178" spans="1:18">
      <c r="A178" s="2140"/>
      <c r="B178" s="2140"/>
      <c r="C178" s="2140"/>
      <c r="D178" s="2140"/>
      <c r="E178" s="2140"/>
      <c r="F178" s="2140"/>
      <c r="G178" s="2140"/>
      <c r="H178" s="2140"/>
      <c r="I178" s="2140"/>
      <c r="J178" s="2140"/>
      <c r="K178" s="2140"/>
      <c r="L178" s="2140"/>
      <c r="M178" s="2140"/>
      <c r="N178" s="2140"/>
      <c r="O178" s="2140"/>
      <c r="P178" s="2140"/>
      <c r="Q178" s="2140"/>
      <c r="R178" s="2140"/>
    </row>
    <row r="179" spans="1:18">
      <c r="A179" s="2140"/>
      <c r="B179" s="2140"/>
      <c r="C179" s="2140"/>
      <c r="D179" s="2140"/>
      <c r="E179" s="2140"/>
      <c r="F179" s="2140"/>
      <c r="G179" s="2140"/>
      <c r="H179" s="2140"/>
      <c r="I179" s="2140"/>
      <c r="J179" s="2140"/>
      <c r="K179" s="2140"/>
      <c r="L179" s="2140"/>
      <c r="M179" s="2140"/>
      <c r="N179" s="2140"/>
      <c r="O179" s="2140"/>
      <c r="P179" s="2140"/>
      <c r="Q179" s="2140"/>
      <c r="R179" s="2140"/>
    </row>
    <row r="180" spans="1:18">
      <c r="A180" s="2140"/>
      <c r="B180" s="2140"/>
      <c r="C180" s="2140"/>
      <c r="D180" s="2140"/>
      <c r="E180" s="2140"/>
      <c r="F180" s="2140"/>
      <c r="G180" s="2140"/>
      <c r="H180" s="2140"/>
      <c r="I180" s="2140"/>
      <c r="J180" s="2140"/>
      <c r="K180" s="2140"/>
      <c r="L180" s="2140"/>
      <c r="M180" s="2140"/>
      <c r="N180" s="2140"/>
      <c r="O180" s="2140"/>
      <c r="P180" s="2140"/>
      <c r="Q180" s="2140"/>
      <c r="R180" s="2140"/>
    </row>
    <row r="181" spans="1:18">
      <c r="A181" s="2140"/>
      <c r="B181" s="2140"/>
      <c r="C181" s="2140"/>
      <c r="D181" s="2140"/>
      <c r="E181" s="2140"/>
      <c r="F181" s="2140"/>
      <c r="G181" s="2140"/>
      <c r="H181" s="2140"/>
      <c r="I181" s="2140"/>
      <c r="J181" s="2140"/>
      <c r="K181" s="2140"/>
      <c r="L181" s="2140"/>
      <c r="M181" s="2140"/>
      <c r="N181" s="2140"/>
      <c r="O181" s="2140"/>
      <c r="P181" s="2140"/>
      <c r="Q181" s="2140"/>
      <c r="R181" s="2140"/>
    </row>
    <row r="182" spans="1:18">
      <c r="A182" s="2140"/>
      <c r="B182" s="2140"/>
      <c r="C182" s="2140"/>
      <c r="D182" s="2140"/>
      <c r="E182" s="2140"/>
      <c r="F182" s="2140"/>
      <c r="G182" s="2140"/>
      <c r="H182" s="2140"/>
      <c r="I182" s="2140"/>
      <c r="J182" s="2140"/>
      <c r="K182" s="2140"/>
      <c r="L182" s="2140"/>
      <c r="M182" s="2140"/>
      <c r="N182" s="2140"/>
      <c r="O182" s="2140"/>
      <c r="P182" s="2140"/>
      <c r="Q182" s="2140"/>
      <c r="R182" s="2140"/>
    </row>
    <row r="183" spans="1:18">
      <c r="A183" s="2140"/>
      <c r="B183" s="2140"/>
      <c r="C183" s="2140"/>
      <c r="D183" s="2140"/>
      <c r="E183" s="2140"/>
      <c r="F183" s="2140"/>
      <c r="G183" s="2140"/>
      <c r="H183" s="2140"/>
      <c r="I183" s="2140"/>
      <c r="J183" s="2140"/>
      <c r="K183" s="2140"/>
      <c r="L183" s="2140"/>
      <c r="M183" s="2140"/>
      <c r="N183" s="2140"/>
      <c r="O183" s="2140"/>
      <c r="P183" s="2140"/>
      <c r="Q183" s="2140"/>
      <c r="R183" s="2140"/>
    </row>
    <row r="184" spans="1:18">
      <c r="A184" s="2140"/>
      <c r="B184" s="2140"/>
      <c r="C184" s="2140"/>
      <c r="D184" s="2140"/>
      <c r="E184" s="2140"/>
      <c r="F184" s="2140"/>
      <c r="G184" s="2140"/>
      <c r="H184" s="2140"/>
      <c r="I184" s="2140"/>
      <c r="J184" s="2140"/>
      <c r="K184" s="2140"/>
      <c r="L184" s="2140"/>
      <c r="M184" s="2140"/>
      <c r="N184" s="2140"/>
      <c r="O184" s="2140"/>
      <c r="P184" s="2140"/>
      <c r="Q184" s="2140"/>
      <c r="R184" s="2140"/>
    </row>
    <row r="185" spans="1:18">
      <c r="A185" s="2140"/>
      <c r="B185" s="2140"/>
      <c r="C185" s="2140"/>
      <c r="D185" s="2140"/>
      <c r="E185" s="2140"/>
      <c r="F185" s="2140"/>
      <c r="G185" s="2140"/>
      <c r="H185" s="2140"/>
      <c r="I185" s="2140"/>
      <c r="J185" s="2140"/>
      <c r="K185" s="2140"/>
      <c r="L185" s="2140"/>
      <c r="M185" s="2140"/>
      <c r="N185" s="2140"/>
      <c r="O185" s="2140"/>
      <c r="P185" s="2140"/>
      <c r="Q185" s="2140"/>
      <c r="R185" s="2140"/>
    </row>
    <row r="186" spans="1:18">
      <c r="A186" s="2140"/>
      <c r="B186" s="2140"/>
      <c r="C186" s="2140"/>
      <c r="D186" s="2140"/>
      <c r="E186" s="2140"/>
      <c r="F186" s="2140"/>
      <c r="G186" s="2140"/>
      <c r="H186" s="2140"/>
      <c r="I186" s="2140"/>
      <c r="J186" s="2140"/>
      <c r="K186" s="2140"/>
      <c r="L186" s="2140"/>
      <c r="M186" s="2140"/>
      <c r="N186" s="2140"/>
      <c r="O186" s="2140"/>
      <c r="P186" s="2140"/>
      <c r="Q186" s="2140"/>
      <c r="R186" s="2140"/>
    </row>
    <row r="187" spans="1:18">
      <c r="A187" s="2140"/>
      <c r="B187" s="2140"/>
      <c r="C187" s="2140"/>
      <c r="D187" s="2140"/>
      <c r="E187" s="2140"/>
      <c r="F187" s="2140"/>
      <c r="G187" s="2140"/>
      <c r="H187" s="2140"/>
      <c r="I187" s="2140"/>
      <c r="J187" s="2140"/>
      <c r="K187" s="2140"/>
      <c r="L187" s="2140"/>
      <c r="M187" s="2140"/>
      <c r="N187" s="2140"/>
      <c r="O187" s="2140"/>
      <c r="P187" s="2140"/>
      <c r="Q187" s="2140"/>
      <c r="R187" s="2140"/>
    </row>
    <row r="188" spans="1:18">
      <c r="A188" s="2140"/>
      <c r="B188" s="2140"/>
      <c r="C188" s="2140"/>
      <c r="D188" s="2140"/>
      <c r="E188" s="2140"/>
      <c r="F188" s="2140"/>
      <c r="G188" s="2140"/>
      <c r="H188" s="2140"/>
      <c r="I188" s="2140"/>
      <c r="J188" s="2140"/>
      <c r="K188" s="2140"/>
      <c r="L188" s="2140"/>
      <c r="M188" s="2140"/>
      <c r="N188" s="2140"/>
      <c r="O188" s="2140"/>
      <c r="P188" s="2140"/>
      <c r="Q188" s="2140"/>
      <c r="R188" s="2140"/>
    </row>
    <row r="189" spans="1:18">
      <c r="A189" s="2140"/>
      <c r="B189" s="2140"/>
      <c r="C189" s="2140"/>
      <c r="D189" s="2140"/>
      <c r="E189" s="2140"/>
      <c r="F189" s="2140"/>
      <c r="G189" s="2140"/>
      <c r="H189" s="2140"/>
      <c r="I189" s="2140"/>
      <c r="J189" s="2140"/>
      <c r="K189" s="2140"/>
      <c r="L189" s="2140"/>
      <c r="M189" s="2140"/>
      <c r="N189" s="2140"/>
      <c r="O189" s="2140"/>
      <c r="P189" s="2140"/>
      <c r="Q189" s="2140"/>
      <c r="R189" s="2140"/>
    </row>
    <row r="190" spans="1:18">
      <c r="A190" s="2140"/>
      <c r="B190" s="2140"/>
      <c r="C190" s="2140"/>
      <c r="D190" s="2140"/>
      <c r="E190" s="2140"/>
      <c r="F190" s="2140"/>
      <c r="G190" s="2140"/>
      <c r="H190" s="2140"/>
      <c r="I190" s="2140"/>
      <c r="J190" s="2140"/>
      <c r="K190" s="2140"/>
      <c r="L190" s="2140"/>
      <c r="M190" s="2140"/>
      <c r="N190" s="2140"/>
      <c r="O190" s="2140"/>
      <c r="P190" s="2140"/>
      <c r="Q190" s="2140"/>
      <c r="R190" s="2140"/>
    </row>
    <row r="191" spans="1:18">
      <c r="A191" s="2140"/>
      <c r="B191" s="2140"/>
      <c r="C191" s="2140"/>
      <c r="D191" s="2140"/>
      <c r="E191" s="2140"/>
      <c r="F191" s="2140"/>
      <c r="G191" s="2140"/>
      <c r="H191" s="2140"/>
      <c r="I191" s="2140"/>
      <c r="J191" s="2140"/>
      <c r="K191" s="2140"/>
      <c r="L191" s="2140"/>
      <c r="M191" s="2140"/>
      <c r="N191" s="2140"/>
      <c r="O191" s="2140"/>
      <c r="P191" s="2140"/>
      <c r="Q191" s="2140"/>
      <c r="R191" s="2140"/>
    </row>
    <row r="192" spans="1:18">
      <c r="A192" s="2140"/>
      <c r="B192" s="2140"/>
      <c r="C192" s="2140"/>
      <c r="D192" s="2140"/>
      <c r="E192" s="2140"/>
      <c r="F192" s="2140"/>
      <c r="G192" s="2140"/>
      <c r="H192" s="2140"/>
      <c r="I192" s="2140"/>
      <c r="J192" s="2140"/>
      <c r="K192" s="2140"/>
      <c r="L192" s="2140"/>
      <c r="M192" s="2140"/>
      <c r="N192" s="2140"/>
      <c r="O192" s="2140"/>
      <c r="P192" s="2140"/>
      <c r="Q192" s="2140"/>
      <c r="R192" s="2140"/>
    </row>
    <row r="193" spans="1:18">
      <c r="A193" s="2140"/>
      <c r="B193" s="2140"/>
      <c r="C193" s="2140"/>
      <c r="D193" s="2140"/>
      <c r="E193" s="2140"/>
      <c r="F193" s="2140"/>
      <c r="G193" s="2140"/>
      <c r="H193" s="2140"/>
      <c r="I193" s="2140"/>
      <c r="J193" s="2140"/>
      <c r="K193" s="2140"/>
      <c r="L193" s="2140"/>
      <c r="M193" s="2140"/>
      <c r="N193" s="2140"/>
      <c r="O193" s="2140"/>
      <c r="P193" s="2140"/>
      <c r="Q193" s="2140"/>
      <c r="R193" s="2140"/>
    </row>
    <row r="194" spans="1:18">
      <c r="A194" s="2140"/>
      <c r="B194" s="2140"/>
      <c r="C194" s="2140"/>
      <c r="D194" s="2140"/>
      <c r="E194" s="2140"/>
      <c r="F194" s="2140"/>
      <c r="G194" s="2140"/>
      <c r="H194" s="2140"/>
      <c r="I194" s="2140"/>
      <c r="J194" s="2140"/>
      <c r="K194" s="2140"/>
      <c r="L194" s="2140"/>
      <c r="M194" s="2140"/>
      <c r="N194" s="2140"/>
      <c r="O194" s="2140"/>
      <c r="P194" s="2140"/>
      <c r="Q194" s="2140"/>
      <c r="R194" s="2140"/>
    </row>
    <row r="195" spans="1:18">
      <c r="A195" s="2140"/>
      <c r="B195" s="2140"/>
      <c r="C195" s="2140"/>
      <c r="D195" s="2140"/>
      <c r="E195" s="2140"/>
      <c r="F195" s="2140"/>
      <c r="G195" s="2140"/>
      <c r="H195" s="2140"/>
      <c r="I195" s="2140"/>
      <c r="J195" s="2140"/>
      <c r="K195" s="2140"/>
      <c r="L195" s="2140"/>
      <c r="M195" s="2140"/>
      <c r="N195" s="2140"/>
      <c r="O195" s="2140"/>
      <c r="P195" s="2140"/>
      <c r="Q195" s="2140"/>
      <c r="R195" s="2140"/>
    </row>
    <row r="196" spans="1:18">
      <c r="A196" s="2140"/>
      <c r="B196" s="2140"/>
      <c r="C196" s="2140"/>
      <c r="D196" s="2140"/>
      <c r="E196" s="2140"/>
      <c r="F196" s="2140"/>
      <c r="G196" s="2140"/>
      <c r="H196" s="2140"/>
      <c r="I196" s="2140"/>
      <c r="J196" s="2140"/>
      <c r="K196" s="2140"/>
      <c r="L196" s="2140"/>
      <c r="M196" s="2140"/>
      <c r="N196" s="2140"/>
      <c r="O196" s="2140"/>
      <c r="P196" s="2140"/>
      <c r="Q196" s="2140"/>
      <c r="R196" s="2140"/>
    </row>
    <row r="197" spans="1:18">
      <c r="A197" s="2140"/>
      <c r="B197" s="2140"/>
      <c r="C197" s="2140"/>
      <c r="D197" s="2140"/>
      <c r="E197" s="2140"/>
      <c r="F197" s="2140"/>
      <c r="G197" s="2140"/>
      <c r="H197" s="2140"/>
      <c r="I197" s="2140"/>
      <c r="J197" s="2140"/>
      <c r="K197" s="2140"/>
      <c r="L197" s="2140"/>
      <c r="M197" s="2140"/>
      <c r="N197" s="2140"/>
      <c r="O197" s="2140"/>
      <c r="P197" s="2140"/>
      <c r="Q197" s="2140"/>
      <c r="R197" s="2140"/>
    </row>
    <row r="198" spans="1:18">
      <c r="A198" s="2140"/>
      <c r="B198" s="2140"/>
      <c r="C198" s="2140"/>
      <c r="D198" s="2140"/>
      <c r="E198" s="2140"/>
      <c r="F198" s="2140"/>
      <c r="G198" s="2140"/>
      <c r="H198" s="2140"/>
      <c r="I198" s="2140"/>
      <c r="J198" s="2140"/>
      <c r="K198" s="2140"/>
      <c r="L198" s="2140"/>
      <c r="M198" s="2140"/>
      <c r="N198" s="2140"/>
      <c r="O198" s="2140"/>
      <c r="P198" s="2140"/>
      <c r="Q198" s="2140"/>
      <c r="R198" s="2140"/>
    </row>
    <row r="199" spans="1:18">
      <c r="A199" s="2140"/>
      <c r="B199" s="2140"/>
      <c r="C199" s="2140"/>
      <c r="D199" s="2140"/>
      <c r="E199" s="2140"/>
      <c r="F199" s="2140"/>
      <c r="G199" s="2140"/>
      <c r="H199" s="2140"/>
      <c r="I199" s="2140"/>
      <c r="J199" s="2140"/>
      <c r="K199" s="2140"/>
      <c r="L199" s="2140"/>
      <c r="M199" s="2140"/>
      <c r="N199" s="2140"/>
      <c r="O199" s="2140"/>
      <c r="P199" s="2140"/>
      <c r="Q199" s="2140"/>
      <c r="R199" s="2140"/>
    </row>
    <row r="200" spans="1:18">
      <c r="A200" s="2140"/>
      <c r="B200" s="2140"/>
      <c r="C200" s="2140"/>
      <c r="D200" s="2140"/>
      <c r="E200" s="2140"/>
      <c r="F200" s="2140"/>
      <c r="G200" s="2140"/>
      <c r="H200" s="2140"/>
      <c r="I200" s="2140"/>
      <c r="J200" s="2140"/>
      <c r="K200" s="2140"/>
      <c r="L200" s="2140"/>
      <c r="M200" s="2140"/>
      <c r="N200" s="2140"/>
      <c r="O200" s="2140"/>
      <c r="P200" s="2140"/>
      <c r="Q200" s="2140"/>
      <c r="R200" s="2140"/>
    </row>
    <row r="201" spans="1:18">
      <c r="A201" s="2140"/>
      <c r="B201" s="2140"/>
      <c r="C201" s="2140"/>
      <c r="D201" s="2140"/>
      <c r="E201" s="2140"/>
      <c r="F201" s="2140"/>
      <c r="G201" s="2140"/>
      <c r="H201" s="2140"/>
      <c r="I201" s="2140"/>
      <c r="J201" s="2140"/>
      <c r="K201" s="2140"/>
      <c r="L201" s="2140"/>
      <c r="M201" s="2140"/>
      <c r="N201" s="2140"/>
      <c r="O201" s="2140"/>
      <c r="P201" s="2140"/>
      <c r="Q201" s="2140"/>
      <c r="R201" s="2140"/>
    </row>
    <row r="202" spans="1:18">
      <c r="A202" s="2140"/>
      <c r="B202" s="2140"/>
      <c r="C202" s="2140"/>
      <c r="D202" s="2140"/>
      <c r="E202" s="2140"/>
      <c r="F202" s="2140"/>
      <c r="G202" s="2140"/>
      <c r="H202" s="2140"/>
      <c r="I202" s="2140"/>
      <c r="J202" s="2140"/>
      <c r="K202" s="2140"/>
      <c r="L202" s="2140"/>
      <c r="M202" s="2140"/>
      <c r="N202" s="2140"/>
      <c r="O202" s="2140"/>
      <c r="P202" s="2140"/>
      <c r="Q202" s="2140"/>
      <c r="R202" s="2140"/>
    </row>
    <row r="203" spans="1:18">
      <c r="A203" s="2140"/>
      <c r="B203" s="2140"/>
      <c r="C203" s="2140"/>
      <c r="D203" s="2140"/>
      <c r="E203" s="2140"/>
      <c r="F203" s="2140"/>
      <c r="G203" s="2140"/>
      <c r="H203" s="2140"/>
      <c r="I203" s="2140"/>
      <c r="J203" s="2140"/>
      <c r="K203" s="2140"/>
      <c r="L203" s="2140"/>
      <c r="M203" s="2140"/>
      <c r="N203" s="2140"/>
      <c r="O203" s="2140"/>
      <c r="P203" s="2140"/>
      <c r="Q203" s="2140"/>
      <c r="R203" s="2140"/>
    </row>
    <row r="204" spans="1:18">
      <c r="A204" s="2140"/>
      <c r="B204" s="2140"/>
      <c r="C204" s="2140"/>
      <c r="D204" s="2140"/>
      <c r="E204" s="2140"/>
      <c r="F204" s="2140"/>
      <c r="G204" s="2140"/>
      <c r="H204" s="2140"/>
      <c r="I204" s="2140"/>
      <c r="J204" s="2140"/>
      <c r="K204" s="2140"/>
      <c r="L204" s="2140"/>
      <c r="M204" s="2140"/>
      <c r="N204" s="2140"/>
      <c r="O204" s="2140"/>
      <c r="P204" s="2140"/>
      <c r="Q204" s="2140"/>
      <c r="R204" s="2140"/>
    </row>
    <row r="205" spans="1:18">
      <c r="A205" s="2140"/>
      <c r="B205" s="2140"/>
      <c r="C205" s="2140"/>
      <c r="D205" s="2140"/>
      <c r="E205" s="2140"/>
      <c r="F205" s="2140"/>
      <c r="G205" s="2140"/>
      <c r="H205" s="2140"/>
      <c r="I205" s="2140"/>
      <c r="J205" s="2140"/>
      <c r="K205" s="2140"/>
      <c r="L205" s="2140"/>
      <c r="M205" s="2140"/>
      <c r="N205" s="2140"/>
      <c r="O205" s="2140"/>
      <c r="P205" s="2140"/>
      <c r="Q205" s="2140"/>
      <c r="R205" s="2140"/>
    </row>
    <row r="206" spans="1:18">
      <c r="A206" s="2140"/>
      <c r="B206" s="2140"/>
      <c r="C206" s="2140"/>
      <c r="D206" s="2140"/>
      <c r="E206" s="2140"/>
      <c r="F206" s="2140"/>
      <c r="G206" s="2140"/>
      <c r="H206" s="2140"/>
      <c r="I206" s="2140"/>
      <c r="J206" s="2140"/>
      <c r="K206" s="2140"/>
      <c r="L206" s="2140"/>
      <c r="M206" s="2140"/>
      <c r="N206" s="2140"/>
      <c r="O206" s="2140"/>
      <c r="P206" s="2140"/>
      <c r="Q206" s="2140"/>
      <c r="R206" s="2140"/>
    </row>
    <row r="207" spans="1:18">
      <c r="A207" s="2140"/>
      <c r="B207" s="2140"/>
      <c r="C207" s="2140"/>
      <c r="D207" s="2140"/>
      <c r="E207" s="2140"/>
      <c r="F207" s="2140"/>
      <c r="G207" s="2140"/>
      <c r="H207" s="2140"/>
      <c r="I207" s="2140"/>
      <c r="J207" s="2140"/>
      <c r="K207" s="2140"/>
      <c r="L207" s="2140"/>
      <c r="M207" s="2140"/>
      <c r="N207" s="2140"/>
      <c r="O207" s="2140"/>
      <c r="P207" s="2140"/>
      <c r="Q207" s="2140"/>
      <c r="R207" s="2140"/>
    </row>
    <row r="208" spans="1:18">
      <c r="A208" s="2140"/>
      <c r="B208" s="2140"/>
      <c r="C208" s="2140"/>
      <c r="D208" s="2140"/>
      <c r="E208" s="2140"/>
      <c r="F208" s="2140"/>
      <c r="G208" s="2140"/>
      <c r="H208" s="2140"/>
      <c r="I208" s="2140"/>
      <c r="J208" s="2140"/>
      <c r="K208" s="2140"/>
      <c r="L208" s="2140"/>
      <c r="M208" s="2140"/>
      <c r="N208" s="2140"/>
      <c r="O208" s="2140"/>
      <c r="P208" s="2140"/>
      <c r="Q208" s="2140"/>
      <c r="R208" s="2140"/>
    </row>
    <row r="209" spans="1:18">
      <c r="A209" s="2140"/>
      <c r="B209" s="2140"/>
      <c r="C209" s="2140"/>
      <c r="D209" s="2140"/>
      <c r="E209" s="2140"/>
      <c r="F209" s="2140"/>
      <c r="G209" s="2140"/>
      <c r="H209" s="2140"/>
      <c r="I209" s="2140"/>
      <c r="J209" s="2140"/>
      <c r="K209" s="2140"/>
      <c r="L209" s="2140"/>
      <c r="M209" s="2140"/>
      <c r="N209" s="2140"/>
      <c r="O209" s="2140"/>
      <c r="P209" s="2140"/>
      <c r="Q209" s="2140"/>
      <c r="R209" s="2140"/>
    </row>
    <row r="210" spans="1:18">
      <c r="A210" s="2140"/>
      <c r="B210" s="2140"/>
      <c r="C210" s="2140"/>
      <c r="D210" s="2140"/>
      <c r="E210" s="2140"/>
      <c r="F210" s="2140"/>
      <c r="G210" s="2140"/>
      <c r="H210" s="2140"/>
      <c r="I210" s="2140"/>
      <c r="J210" s="2140"/>
      <c r="K210" s="2140"/>
      <c r="L210" s="2140"/>
      <c r="M210" s="2140"/>
      <c r="N210" s="2140"/>
      <c r="O210" s="2140"/>
      <c r="P210" s="2140"/>
      <c r="Q210" s="2140"/>
      <c r="R210" s="2140"/>
    </row>
    <row r="211" spans="1:18">
      <c r="A211" s="2140"/>
      <c r="B211" s="2140"/>
      <c r="C211" s="2140"/>
      <c r="D211" s="2140"/>
      <c r="E211" s="2140"/>
      <c r="F211" s="2140"/>
      <c r="G211" s="2140"/>
      <c r="H211" s="2140"/>
      <c r="I211" s="2140"/>
      <c r="J211" s="2140"/>
      <c r="K211" s="2140"/>
      <c r="L211" s="2140"/>
      <c r="M211" s="2140"/>
      <c r="N211" s="2140"/>
      <c r="O211" s="2140"/>
      <c r="P211" s="2140"/>
      <c r="Q211" s="2140"/>
      <c r="R211" s="2140"/>
    </row>
    <row r="212" spans="1:18">
      <c r="A212" s="2140"/>
      <c r="B212" s="2140"/>
      <c r="C212" s="2140"/>
      <c r="D212" s="2140"/>
      <c r="E212" s="2140"/>
      <c r="F212" s="2140"/>
      <c r="G212" s="2140"/>
      <c r="H212" s="2140"/>
      <c r="I212" s="2140"/>
      <c r="J212" s="2140"/>
      <c r="K212" s="2140"/>
      <c r="L212" s="2140"/>
      <c r="M212" s="2140"/>
      <c r="N212" s="2140"/>
      <c r="O212" s="2140"/>
      <c r="P212" s="2140"/>
      <c r="Q212" s="2140"/>
      <c r="R212" s="2140"/>
    </row>
    <row r="213" spans="1:18">
      <c r="A213" s="2140"/>
      <c r="B213" s="2140"/>
      <c r="C213" s="2140"/>
      <c r="D213" s="2140"/>
      <c r="E213" s="2140"/>
      <c r="F213" s="2140"/>
      <c r="G213" s="2140"/>
      <c r="H213" s="2140"/>
      <c r="I213" s="2140"/>
      <c r="J213" s="2140"/>
      <c r="K213" s="2140"/>
      <c r="L213" s="2140"/>
      <c r="M213" s="2140"/>
      <c r="N213" s="2140"/>
      <c r="O213" s="2140"/>
      <c r="P213" s="2140"/>
      <c r="Q213" s="2140"/>
      <c r="R213" s="2140"/>
    </row>
    <row r="214" spans="1:18">
      <c r="A214" s="2140"/>
      <c r="B214" s="2140"/>
      <c r="C214" s="2140"/>
      <c r="D214" s="2140"/>
      <c r="E214" s="2140"/>
      <c r="F214" s="2140"/>
      <c r="G214" s="2140"/>
      <c r="H214" s="2140"/>
      <c r="I214" s="2140"/>
      <c r="J214" s="2140"/>
      <c r="K214" s="2140"/>
      <c r="L214" s="2140"/>
      <c r="M214" s="2140"/>
      <c r="N214" s="2140"/>
      <c r="O214" s="2140"/>
      <c r="P214" s="2140"/>
      <c r="Q214" s="2140"/>
      <c r="R214" s="2140"/>
    </row>
    <row r="215" spans="1:18">
      <c r="A215" s="2140"/>
      <c r="B215" s="2140"/>
      <c r="C215" s="2140"/>
      <c r="D215" s="2140"/>
      <c r="E215" s="2140"/>
      <c r="F215" s="2140"/>
      <c r="G215" s="2140"/>
      <c r="H215" s="2140"/>
      <c r="I215" s="2140"/>
      <c r="J215" s="2140"/>
      <c r="K215" s="2140"/>
      <c r="L215" s="2140"/>
      <c r="M215" s="2140"/>
      <c r="N215" s="2140"/>
      <c r="O215" s="2140"/>
      <c r="P215" s="2140"/>
      <c r="Q215" s="2140"/>
      <c r="R215" s="2140"/>
    </row>
    <row r="216" spans="1:18">
      <c r="A216" s="2140"/>
      <c r="B216" s="2140"/>
      <c r="C216" s="2140"/>
      <c r="D216" s="2140"/>
      <c r="E216" s="2140"/>
      <c r="F216" s="2140"/>
      <c r="G216" s="2140"/>
      <c r="H216" s="2140"/>
      <c r="I216" s="2140"/>
      <c r="J216" s="2140"/>
      <c r="K216" s="2140"/>
      <c r="L216" s="2140"/>
      <c r="M216" s="2140"/>
      <c r="N216" s="2140"/>
      <c r="O216" s="2140"/>
      <c r="P216" s="2140"/>
      <c r="Q216" s="2140"/>
      <c r="R216" s="2140"/>
    </row>
    <row r="217" spans="1:18">
      <c r="A217" s="2140"/>
      <c r="B217" s="2140"/>
      <c r="C217" s="2140"/>
      <c r="D217" s="2140"/>
      <c r="E217" s="2140"/>
      <c r="F217" s="2140"/>
      <c r="G217" s="2140"/>
      <c r="H217" s="2140"/>
      <c r="I217" s="2140"/>
      <c r="J217" s="2140"/>
      <c r="K217" s="2140"/>
      <c r="L217" s="2140"/>
      <c r="M217" s="2140"/>
      <c r="N217" s="2140"/>
      <c r="O217" s="2140"/>
      <c r="P217" s="2140"/>
      <c r="Q217" s="2140"/>
      <c r="R217" s="2140"/>
    </row>
    <row r="218" spans="1:18">
      <c r="A218" s="2140"/>
      <c r="B218" s="2140"/>
      <c r="C218" s="2140"/>
      <c r="D218" s="2140"/>
      <c r="E218" s="2140"/>
      <c r="F218" s="2140"/>
      <c r="G218" s="2140"/>
      <c r="H218" s="2140"/>
      <c r="I218" s="2140"/>
      <c r="J218" s="2140"/>
      <c r="K218" s="2140"/>
      <c r="L218" s="2140"/>
      <c r="M218" s="2140"/>
      <c r="N218" s="2140"/>
      <c r="O218" s="2140"/>
      <c r="P218" s="2140"/>
      <c r="Q218" s="2140"/>
      <c r="R218" s="2140"/>
    </row>
    <row r="219" spans="1:18">
      <c r="A219" s="2140"/>
      <c r="B219" s="2140"/>
      <c r="C219" s="2140"/>
      <c r="D219" s="2140"/>
      <c r="E219" s="2140"/>
      <c r="F219" s="2140"/>
      <c r="G219" s="2140"/>
      <c r="H219" s="2140"/>
      <c r="I219" s="2140"/>
      <c r="J219" s="2140"/>
      <c r="K219" s="2140"/>
      <c r="L219" s="2140"/>
      <c r="M219" s="2140"/>
      <c r="N219" s="2140"/>
      <c r="O219" s="2140"/>
      <c r="P219" s="2140"/>
      <c r="Q219" s="2140"/>
      <c r="R219" s="2140"/>
    </row>
    <row r="220" spans="1:18">
      <c r="A220" s="2140"/>
      <c r="B220" s="2140"/>
      <c r="C220" s="2140"/>
      <c r="D220" s="2140"/>
      <c r="E220" s="2140"/>
      <c r="F220" s="2140"/>
      <c r="G220" s="2140"/>
      <c r="H220" s="2140"/>
      <c r="I220" s="2140"/>
      <c r="J220" s="2140"/>
      <c r="K220" s="2140"/>
      <c r="L220" s="2140"/>
      <c r="M220" s="2140"/>
      <c r="N220" s="2140"/>
      <c r="O220" s="2140"/>
      <c r="P220" s="2140"/>
      <c r="Q220" s="2140"/>
      <c r="R220" s="2140"/>
    </row>
    <row r="221" spans="1:18">
      <c r="A221" s="2140"/>
      <c r="B221" s="2140"/>
      <c r="C221" s="2140"/>
      <c r="D221" s="2140"/>
      <c r="E221" s="2140"/>
      <c r="F221" s="2140"/>
      <c r="G221" s="2140"/>
      <c r="H221" s="2140"/>
      <c r="I221" s="2140"/>
      <c r="J221" s="2140"/>
      <c r="K221" s="2140"/>
      <c r="L221" s="2140"/>
      <c r="M221" s="2140"/>
      <c r="N221" s="2140"/>
      <c r="O221" s="2140"/>
      <c r="P221" s="2140"/>
      <c r="Q221" s="2140"/>
      <c r="R221" s="2140"/>
    </row>
    <row r="222" spans="1:18">
      <c r="A222" s="2140"/>
      <c r="B222" s="2140"/>
      <c r="C222" s="2140"/>
      <c r="D222" s="2140"/>
      <c r="E222" s="2140"/>
      <c r="F222" s="2140"/>
      <c r="G222" s="2140"/>
      <c r="H222" s="2140"/>
      <c r="I222" s="2140"/>
      <c r="J222" s="2140"/>
      <c r="K222" s="2140"/>
      <c r="L222" s="2140"/>
      <c r="M222" s="2140"/>
      <c r="N222" s="2140"/>
      <c r="O222" s="2140"/>
      <c r="P222" s="2140"/>
      <c r="Q222" s="2140"/>
      <c r="R222" s="2140"/>
    </row>
    <row r="223" spans="1:18">
      <c r="A223" s="2140"/>
      <c r="B223" s="2140"/>
      <c r="C223" s="2140"/>
      <c r="D223" s="2140"/>
      <c r="E223" s="2140"/>
      <c r="F223" s="2140"/>
      <c r="G223" s="2140"/>
      <c r="H223" s="2140"/>
      <c r="I223" s="2140"/>
      <c r="J223" s="2140"/>
      <c r="K223" s="2140"/>
      <c r="L223" s="2140"/>
      <c r="M223" s="2140"/>
      <c r="N223" s="2140"/>
      <c r="O223" s="2140"/>
      <c r="P223" s="2140"/>
      <c r="Q223" s="2140"/>
      <c r="R223" s="2140"/>
    </row>
    <row r="224" spans="1:18">
      <c r="A224" s="2140"/>
      <c r="B224" s="2140"/>
      <c r="C224" s="2140"/>
      <c r="D224" s="2140"/>
      <c r="E224" s="2140"/>
      <c r="F224" s="2140"/>
      <c r="G224" s="2140"/>
      <c r="H224" s="2140"/>
      <c r="I224" s="2140"/>
      <c r="J224" s="2140"/>
      <c r="K224" s="2140"/>
      <c r="L224" s="2140"/>
      <c r="M224" s="2140"/>
      <c r="N224" s="2140"/>
      <c r="O224" s="2140"/>
      <c r="P224" s="2140"/>
      <c r="Q224" s="2140"/>
      <c r="R224" s="2140"/>
    </row>
    <row r="225" spans="1:18">
      <c r="A225" s="2140"/>
      <c r="B225" s="2140"/>
      <c r="C225" s="2140"/>
      <c r="D225" s="2140"/>
      <c r="E225" s="2140"/>
      <c r="F225" s="2140"/>
      <c r="G225" s="2140"/>
      <c r="H225" s="2140"/>
      <c r="I225" s="2140"/>
      <c r="J225" s="2140"/>
      <c r="K225" s="2140"/>
      <c r="L225" s="2140"/>
      <c r="M225" s="2140"/>
      <c r="N225" s="2140"/>
      <c r="O225" s="2140"/>
      <c r="P225" s="2140"/>
      <c r="Q225" s="2140"/>
      <c r="R225" s="2140"/>
    </row>
    <row r="226" spans="1:18">
      <c r="A226" s="2140"/>
      <c r="B226" s="2140"/>
      <c r="C226" s="2140"/>
      <c r="D226" s="2140"/>
      <c r="E226" s="2140"/>
      <c r="F226" s="2140"/>
      <c r="G226" s="2140"/>
      <c r="H226" s="2140"/>
      <c r="I226" s="2140"/>
      <c r="J226" s="2140"/>
      <c r="K226" s="2140"/>
      <c r="L226" s="2140"/>
      <c r="M226" s="2140"/>
      <c r="N226" s="2140"/>
      <c r="O226" s="2140"/>
      <c r="P226" s="2140"/>
      <c r="Q226" s="2140"/>
      <c r="R226" s="2140"/>
    </row>
    <row r="227" spans="1:18">
      <c r="A227" s="2140"/>
      <c r="B227" s="2140"/>
      <c r="C227" s="2140"/>
      <c r="D227" s="2140"/>
      <c r="E227" s="2140"/>
      <c r="F227" s="2140"/>
      <c r="G227" s="2140"/>
      <c r="H227" s="2140"/>
      <c r="I227" s="2140"/>
      <c r="J227" s="2140"/>
      <c r="K227" s="2140"/>
      <c r="L227" s="2140"/>
      <c r="M227" s="2140"/>
      <c r="N227" s="2140"/>
      <c r="O227" s="2140"/>
      <c r="P227" s="2140"/>
      <c r="Q227" s="2140"/>
      <c r="R227" s="2140"/>
    </row>
    <row r="228" spans="1:18">
      <c r="A228" s="2140"/>
      <c r="B228" s="2140"/>
      <c r="C228" s="2140"/>
      <c r="D228" s="2140"/>
      <c r="E228" s="2140"/>
      <c r="F228" s="2140"/>
      <c r="G228" s="2140"/>
      <c r="H228" s="2140"/>
      <c r="I228" s="2140"/>
      <c r="J228" s="2140"/>
      <c r="K228" s="2140"/>
      <c r="L228" s="2140"/>
      <c r="M228" s="2140"/>
      <c r="N228" s="2140"/>
      <c r="O228" s="2140"/>
      <c r="P228" s="2140"/>
      <c r="Q228" s="2140"/>
      <c r="R228" s="2140"/>
    </row>
    <row r="229" spans="1:18">
      <c r="A229" s="2140"/>
      <c r="B229" s="2140"/>
      <c r="C229" s="2140"/>
      <c r="D229" s="2140"/>
      <c r="E229" s="2140"/>
      <c r="F229" s="2140"/>
      <c r="G229" s="2140"/>
      <c r="H229" s="2140"/>
      <c r="I229" s="2140"/>
      <c r="J229" s="2140"/>
      <c r="K229" s="2140"/>
      <c r="L229" s="2140"/>
      <c r="M229" s="2140"/>
      <c r="N229" s="2140"/>
      <c r="O229" s="2140"/>
      <c r="P229" s="2140"/>
      <c r="Q229" s="2140"/>
      <c r="R229" s="2140"/>
    </row>
    <row r="230" spans="1:18">
      <c r="A230" s="2140"/>
      <c r="B230" s="2140"/>
      <c r="C230" s="2140"/>
      <c r="D230" s="2140"/>
      <c r="E230" s="2140"/>
      <c r="F230" s="2140"/>
      <c r="G230" s="2140"/>
      <c r="H230" s="2140"/>
      <c r="I230" s="2140"/>
      <c r="J230" s="2140"/>
      <c r="K230" s="2140"/>
      <c r="L230" s="2140"/>
      <c r="M230" s="2140"/>
      <c r="N230" s="2140"/>
      <c r="O230" s="2140"/>
      <c r="P230" s="2140"/>
      <c r="Q230" s="2140"/>
      <c r="R230" s="2140"/>
    </row>
    <row r="231" spans="1:18">
      <c r="A231" s="2140"/>
      <c r="B231" s="2140"/>
      <c r="C231" s="2140"/>
      <c r="D231" s="2140"/>
      <c r="E231" s="2140"/>
      <c r="F231" s="2140"/>
      <c r="G231" s="2140"/>
      <c r="H231" s="2140"/>
      <c r="I231" s="2140"/>
      <c r="J231" s="2140"/>
      <c r="K231" s="2140"/>
      <c r="L231" s="2140"/>
      <c r="M231" s="2140"/>
      <c r="N231" s="2140"/>
      <c r="O231" s="2140"/>
      <c r="P231" s="2140"/>
      <c r="Q231" s="2140"/>
      <c r="R231" s="2140"/>
    </row>
    <row r="232" spans="1:18">
      <c r="A232" s="2140"/>
      <c r="B232" s="2140"/>
      <c r="C232" s="2140"/>
      <c r="D232" s="2140"/>
      <c r="E232" s="2140"/>
      <c r="F232" s="2140"/>
      <c r="G232" s="2140"/>
      <c r="H232" s="2140"/>
      <c r="I232" s="2140"/>
      <c r="J232" s="2140"/>
      <c r="K232" s="2140"/>
      <c r="L232" s="2140"/>
      <c r="M232" s="2140"/>
      <c r="N232" s="2140"/>
      <c r="O232" s="2140"/>
      <c r="P232" s="2140"/>
      <c r="Q232" s="2140"/>
      <c r="R232" s="2140"/>
    </row>
    <row r="233" spans="1:18">
      <c r="A233" s="2140"/>
      <c r="B233" s="2140"/>
      <c r="C233" s="2140"/>
      <c r="D233" s="2140"/>
      <c r="E233" s="2140"/>
      <c r="F233" s="2140"/>
      <c r="G233" s="2140"/>
      <c r="H233" s="2140"/>
      <c r="I233" s="2140"/>
      <c r="J233" s="2140"/>
      <c r="K233" s="2140"/>
      <c r="L233" s="2140"/>
      <c r="M233" s="2140"/>
      <c r="N233" s="2140"/>
      <c r="O233" s="2140"/>
      <c r="P233" s="2140"/>
      <c r="Q233" s="2140"/>
      <c r="R233" s="2140"/>
    </row>
    <row r="234" spans="1:18">
      <c r="A234" s="2140"/>
      <c r="B234" s="2140"/>
      <c r="C234" s="2140"/>
      <c r="D234" s="2140"/>
      <c r="E234" s="2140"/>
      <c r="F234" s="2140"/>
      <c r="G234" s="2140"/>
      <c r="H234" s="2140"/>
      <c r="I234" s="2140"/>
      <c r="J234" s="2140"/>
      <c r="K234" s="2140"/>
      <c r="L234" s="2140"/>
      <c r="M234" s="2140"/>
      <c r="N234" s="2140"/>
      <c r="O234" s="2140"/>
      <c r="P234" s="2140"/>
      <c r="Q234" s="2140"/>
      <c r="R234" s="2140"/>
    </row>
    <row r="235" spans="1:18">
      <c r="A235" s="2140"/>
      <c r="B235" s="2140"/>
      <c r="C235" s="2140"/>
      <c r="D235" s="2140"/>
      <c r="E235" s="2140"/>
      <c r="F235" s="2140"/>
      <c r="G235" s="2140"/>
      <c r="H235" s="2140"/>
      <c r="I235" s="2140"/>
      <c r="J235" s="2140"/>
      <c r="K235" s="2140"/>
      <c r="L235" s="2140"/>
      <c r="M235" s="2140"/>
      <c r="N235" s="2140"/>
      <c r="O235" s="2140"/>
      <c r="P235" s="2140"/>
      <c r="Q235" s="2140"/>
      <c r="R235" s="2140"/>
    </row>
    <row r="236" spans="1:18">
      <c r="A236" s="2140"/>
      <c r="B236" s="2140"/>
      <c r="C236" s="2140"/>
      <c r="D236" s="2140"/>
      <c r="E236" s="2140"/>
      <c r="F236" s="2140"/>
      <c r="G236" s="2140"/>
      <c r="H236" s="2140"/>
      <c r="I236" s="2140"/>
      <c r="J236" s="2140"/>
      <c r="K236" s="2140"/>
      <c r="L236" s="2140"/>
      <c r="M236" s="2140"/>
      <c r="N236" s="2140"/>
      <c r="O236" s="2140"/>
      <c r="P236" s="2140"/>
      <c r="Q236" s="2140"/>
      <c r="R236" s="2140"/>
    </row>
    <row r="237" spans="1:18">
      <c r="A237" s="2140"/>
      <c r="B237" s="2140"/>
      <c r="C237" s="2140"/>
      <c r="D237" s="2140"/>
      <c r="E237" s="2140"/>
      <c r="F237" s="2140"/>
      <c r="G237" s="2140"/>
      <c r="H237" s="2140"/>
      <c r="I237" s="2140"/>
      <c r="J237" s="2140"/>
      <c r="K237" s="2140"/>
      <c r="L237" s="2140"/>
      <c r="M237" s="2140"/>
      <c r="N237" s="2140"/>
      <c r="O237" s="2140"/>
      <c r="P237" s="2140"/>
      <c r="Q237" s="2140"/>
      <c r="R237" s="2140"/>
    </row>
    <row r="238" spans="1:18">
      <c r="A238" s="2140"/>
      <c r="B238" s="2140"/>
      <c r="C238" s="2140"/>
      <c r="D238" s="2140"/>
      <c r="E238" s="2140"/>
      <c r="F238" s="2140"/>
      <c r="G238" s="2140"/>
      <c r="H238" s="2140"/>
      <c r="I238" s="2140"/>
      <c r="J238" s="2140"/>
      <c r="K238" s="2140"/>
      <c r="L238" s="2140"/>
      <c r="M238" s="2140"/>
      <c r="N238" s="2140"/>
      <c r="O238" s="2140"/>
      <c r="P238" s="2140"/>
      <c r="Q238" s="2140"/>
      <c r="R238" s="2140"/>
    </row>
    <row r="239" spans="1:18">
      <c r="A239" s="2140"/>
      <c r="B239" s="2140"/>
      <c r="C239" s="2140"/>
      <c r="D239" s="2140"/>
      <c r="E239" s="2140"/>
      <c r="F239" s="2140"/>
      <c r="G239" s="2140"/>
      <c r="H239" s="2140"/>
      <c r="I239" s="2140"/>
      <c r="J239" s="2140"/>
      <c r="K239" s="2140"/>
      <c r="L239" s="2140"/>
      <c r="M239" s="2140"/>
      <c r="N239" s="2140"/>
      <c r="O239" s="2140"/>
      <c r="P239" s="2140"/>
      <c r="Q239" s="2140"/>
      <c r="R239" s="2140"/>
    </row>
    <row r="240" spans="1:18">
      <c r="A240" s="2140"/>
      <c r="B240" s="2140"/>
      <c r="C240" s="2140"/>
      <c r="D240" s="2140"/>
      <c r="E240" s="2140"/>
      <c r="F240" s="2140"/>
      <c r="G240" s="2140"/>
      <c r="H240" s="2140"/>
      <c r="I240" s="2140"/>
      <c r="J240" s="2140"/>
      <c r="K240" s="2140"/>
      <c r="L240" s="2140"/>
      <c r="M240" s="2140"/>
      <c r="N240" s="2140"/>
      <c r="O240" s="2140"/>
      <c r="P240" s="2140"/>
      <c r="Q240" s="2140"/>
      <c r="R240" s="2140"/>
    </row>
    <row r="241" spans="1:18">
      <c r="A241" s="2140"/>
      <c r="B241" s="2140"/>
      <c r="C241" s="2140"/>
      <c r="D241" s="2140"/>
      <c r="E241" s="2140"/>
      <c r="F241" s="2140"/>
      <c r="G241" s="2140"/>
      <c r="H241" s="2140"/>
      <c r="I241" s="2140"/>
      <c r="J241" s="2140"/>
      <c r="K241" s="2140"/>
      <c r="L241" s="2140"/>
      <c r="M241" s="2140"/>
      <c r="N241" s="2140"/>
      <c r="O241" s="2140"/>
      <c r="P241" s="2140"/>
      <c r="Q241" s="2140"/>
      <c r="R241" s="2140"/>
    </row>
    <row r="242" spans="1:18">
      <c r="A242" s="2140"/>
      <c r="B242" s="2140"/>
      <c r="C242" s="2140"/>
      <c r="D242" s="2140"/>
      <c r="E242" s="2140"/>
      <c r="F242" s="2140"/>
      <c r="G242" s="2140"/>
      <c r="H242" s="2140"/>
      <c r="I242" s="2140"/>
      <c r="J242" s="2140"/>
      <c r="K242" s="2140"/>
      <c r="L242" s="2140"/>
      <c r="M242" s="2140"/>
      <c r="N242" s="2140"/>
      <c r="O242" s="2140"/>
      <c r="P242" s="2140"/>
      <c r="Q242" s="2140"/>
      <c r="R242" s="2140"/>
    </row>
    <row r="243" spans="1:18">
      <c r="A243" s="2140"/>
      <c r="B243" s="2140"/>
      <c r="C243" s="2140"/>
      <c r="D243" s="2140"/>
      <c r="E243" s="2140"/>
      <c r="F243" s="2140"/>
      <c r="G243" s="2140"/>
      <c r="H243" s="2140"/>
      <c r="I243" s="2140"/>
      <c r="J243" s="2140"/>
      <c r="K243" s="2140"/>
      <c r="L243" s="2140"/>
      <c r="M243" s="2140"/>
      <c r="N243" s="2140"/>
      <c r="O243" s="2140"/>
      <c r="P243" s="2140"/>
      <c r="Q243" s="2140"/>
      <c r="R243" s="2140"/>
    </row>
    <row r="244" spans="1:18">
      <c r="A244" s="2140"/>
      <c r="B244" s="2140"/>
      <c r="C244" s="2140"/>
      <c r="D244" s="2140"/>
      <c r="E244" s="2140"/>
      <c r="F244" s="2140"/>
      <c r="G244" s="2140"/>
      <c r="H244" s="2140"/>
      <c r="I244" s="2140"/>
      <c r="J244" s="2140"/>
      <c r="K244" s="2140"/>
      <c r="L244" s="2140"/>
      <c r="M244" s="2140"/>
      <c r="N244" s="2140"/>
      <c r="O244" s="2140"/>
      <c r="P244" s="2140"/>
      <c r="Q244" s="2140"/>
      <c r="R244" s="2140"/>
    </row>
    <row r="245" spans="1:18">
      <c r="A245" s="2140"/>
      <c r="B245" s="2140"/>
      <c r="C245" s="2140"/>
      <c r="D245" s="2140"/>
      <c r="E245" s="2140"/>
      <c r="F245" s="2140"/>
      <c r="G245" s="2140"/>
      <c r="H245" s="2140"/>
      <c r="I245" s="2140"/>
      <c r="J245" s="2140"/>
      <c r="K245" s="2140"/>
      <c r="L245" s="2140"/>
      <c r="M245" s="2140"/>
      <c r="N245" s="2140"/>
      <c r="O245" s="2140"/>
      <c r="P245" s="2140"/>
      <c r="Q245" s="2140"/>
      <c r="R245" s="2140"/>
    </row>
    <row r="246" spans="1:18">
      <c r="A246" s="2140"/>
      <c r="B246" s="2140"/>
      <c r="C246" s="2140"/>
      <c r="D246" s="2140"/>
      <c r="E246" s="2140"/>
      <c r="F246" s="2140"/>
      <c r="G246" s="2140"/>
      <c r="H246" s="2140"/>
      <c r="I246" s="2140"/>
      <c r="J246" s="2140"/>
      <c r="K246" s="2140"/>
      <c r="L246" s="2140"/>
      <c r="M246" s="2140"/>
      <c r="N246" s="2140"/>
      <c r="O246" s="2140"/>
      <c r="P246" s="2140"/>
      <c r="Q246" s="2140"/>
      <c r="R246" s="2140"/>
    </row>
    <row r="247" spans="1:18">
      <c r="A247" s="2140"/>
      <c r="B247" s="2140"/>
      <c r="C247" s="2140"/>
      <c r="D247" s="2140"/>
      <c r="E247" s="2140"/>
      <c r="F247" s="2140"/>
      <c r="G247" s="2140"/>
      <c r="H247" s="2140"/>
      <c r="I247" s="2140"/>
      <c r="J247" s="2140"/>
      <c r="K247" s="2140"/>
      <c r="L247" s="2140"/>
      <c r="M247" s="2140"/>
      <c r="N247" s="2140"/>
      <c r="O247" s="2140"/>
      <c r="P247" s="2140"/>
      <c r="Q247" s="2140"/>
      <c r="R247" s="2140"/>
    </row>
    <row r="248" spans="1:18">
      <c r="A248" s="2140"/>
      <c r="B248" s="2140"/>
      <c r="C248" s="2140"/>
      <c r="D248" s="2140"/>
      <c r="E248" s="2140"/>
      <c r="F248" s="2140"/>
      <c r="G248" s="2140"/>
      <c r="H248" s="2140"/>
      <c r="I248" s="2140"/>
      <c r="J248" s="2140"/>
      <c r="K248" s="2140"/>
      <c r="L248" s="2140"/>
      <c r="M248" s="2140"/>
      <c r="N248" s="2140"/>
      <c r="O248" s="2140"/>
      <c r="P248" s="2140"/>
      <c r="Q248" s="2140"/>
      <c r="R248" s="2140"/>
    </row>
    <row r="249" spans="1:18">
      <c r="A249" s="2140"/>
      <c r="B249" s="2140"/>
      <c r="C249" s="2140"/>
      <c r="D249" s="2140"/>
      <c r="E249" s="2140"/>
      <c r="F249" s="2140"/>
      <c r="G249" s="2140"/>
      <c r="H249" s="2140"/>
      <c r="I249" s="2140"/>
      <c r="J249" s="2140"/>
      <c r="K249" s="2140"/>
      <c r="L249" s="2140"/>
      <c r="M249" s="2140"/>
      <c r="N249" s="2140"/>
      <c r="O249" s="2140"/>
      <c r="P249" s="2140"/>
      <c r="Q249" s="2140"/>
      <c r="R249" s="2140"/>
    </row>
    <row r="250" spans="1:18">
      <c r="A250" s="2140"/>
      <c r="B250" s="2140"/>
      <c r="C250" s="2140"/>
      <c r="D250" s="2140"/>
      <c r="E250" s="2140"/>
      <c r="F250" s="2140"/>
      <c r="G250" s="2140"/>
      <c r="H250" s="2140"/>
      <c r="I250" s="2140"/>
      <c r="J250" s="2140"/>
      <c r="K250" s="2140"/>
      <c r="L250" s="2140"/>
      <c r="M250" s="2140"/>
      <c r="N250" s="2140"/>
      <c r="O250" s="2140"/>
      <c r="P250" s="2140"/>
      <c r="Q250" s="2140"/>
      <c r="R250" s="2140"/>
    </row>
    <row r="251" spans="1:18">
      <c r="A251" s="2140"/>
      <c r="B251" s="2140"/>
      <c r="C251" s="2140"/>
      <c r="D251" s="2140"/>
      <c r="E251" s="2140"/>
      <c r="F251" s="2140"/>
      <c r="G251" s="2140"/>
      <c r="H251" s="2140"/>
      <c r="I251" s="2140"/>
      <c r="J251" s="2140"/>
      <c r="K251" s="2140"/>
      <c r="L251" s="2140"/>
      <c r="M251" s="2140"/>
      <c r="N251" s="2140"/>
      <c r="O251" s="2140"/>
      <c r="P251" s="2140"/>
      <c r="Q251" s="2140"/>
      <c r="R251" s="2140"/>
    </row>
    <row r="252" spans="1:18">
      <c r="A252" s="2140"/>
      <c r="B252" s="2140"/>
      <c r="C252" s="2140"/>
      <c r="D252" s="2140"/>
      <c r="E252" s="2140"/>
      <c r="F252" s="2140"/>
      <c r="G252" s="2140"/>
      <c r="H252" s="2140"/>
      <c r="I252" s="2140"/>
      <c r="J252" s="2140"/>
      <c r="K252" s="2140"/>
      <c r="L252" s="2140"/>
      <c r="M252" s="2140"/>
      <c r="N252" s="2140"/>
      <c r="O252" s="2140"/>
      <c r="P252" s="2140"/>
      <c r="Q252" s="2140"/>
      <c r="R252" s="2140"/>
    </row>
    <row r="253" spans="1:18">
      <c r="A253" s="2140"/>
      <c r="B253" s="2140"/>
      <c r="C253" s="2140"/>
      <c r="D253" s="2140"/>
      <c r="E253" s="2140"/>
      <c r="F253" s="2140"/>
      <c r="G253" s="2140"/>
      <c r="H253" s="2140"/>
      <c r="I253" s="2140"/>
      <c r="J253" s="2140"/>
      <c r="K253" s="2140"/>
      <c r="L253" s="2140"/>
      <c r="M253" s="2140"/>
      <c r="N253" s="2140"/>
      <c r="O253" s="2140"/>
      <c r="P253" s="2140"/>
      <c r="Q253" s="2140"/>
      <c r="R253" s="2140"/>
    </row>
    <row r="254" spans="1:18">
      <c r="A254" s="2140"/>
      <c r="B254" s="2140"/>
      <c r="C254" s="2140"/>
      <c r="D254" s="2140"/>
      <c r="E254" s="2140"/>
      <c r="F254" s="2140"/>
      <c r="G254" s="2140"/>
      <c r="H254" s="2140"/>
      <c r="I254" s="2140"/>
      <c r="J254" s="2140"/>
      <c r="K254" s="2140"/>
      <c r="L254" s="2140"/>
      <c r="M254" s="2140"/>
      <c r="N254" s="2140"/>
      <c r="O254" s="2140"/>
      <c r="P254" s="2140"/>
      <c r="Q254" s="2140"/>
      <c r="R254" s="2140"/>
    </row>
    <row r="255" spans="1:18">
      <c r="A255" s="2140"/>
      <c r="B255" s="2140"/>
      <c r="C255" s="2140"/>
      <c r="D255" s="2140"/>
      <c r="E255" s="2140"/>
      <c r="F255" s="2140"/>
      <c r="G255" s="2140"/>
      <c r="H255" s="2140"/>
      <c r="I255" s="2140"/>
      <c r="J255" s="2140"/>
      <c r="K255" s="2140"/>
      <c r="L255" s="2140"/>
      <c r="M255" s="2140"/>
      <c r="N255" s="2140"/>
      <c r="O255" s="2140"/>
      <c r="P255" s="2140"/>
      <c r="Q255" s="2140"/>
      <c r="R255" s="2140"/>
    </row>
    <row r="256" spans="1:18">
      <c r="A256" s="2140"/>
      <c r="B256" s="2140"/>
      <c r="C256" s="2140"/>
      <c r="D256" s="2140"/>
      <c r="E256" s="2140"/>
      <c r="F256" s="2140"/>
      <c r="G256" s="2140"/>
      <c r="H256" s="2140"/>
      <c r="I256" s="2140"/>
      <c r="J256" s="2140"/>
      <c r="K256" s="2140"/>
      <c r="L256" s="2140"/>
      <c r="M256" s="2140"/>
      <c r="N256" s="2140"/>
      <c r="O256" s="2140"/>
      <c r="P256" s="2140"/>
      <c r="Q256" s="2140"/>
      <c r="R256" s="2140"/>
    </row>
    <row r="257" spans="1:18">
      <c r="A257" s="2140"/>
      <c r="B257" s="2140"/>
      <c r="C257" s="2140"/>
      <c r="D257" s="2140"/>
      <c r="E257" s="2140"/>
      <c r="F257" s="2140"/>
      <c r="G257" s="2140"/>
      <c r="H257" s="2140"/>
      <c r="I257" s="2140"/>
      <c r="J257" s="2140"/>
      <c r="K257" s="2140"/>
      <c r="L257" s="2140"/>
      <c r="M257" s="2140"/>
      <c r="N257" s="2140"/>
      <c r="O257" s="2140"/>
      <c r="P257" s="2140"/>
      <c r="Q257" s="2140"/>
      <c r="R257" s="2140"/>
    </row>
    <row r="258" spans="1:18">
      <c r="A258" s="2140"/>
      <c r="B258" s="2140"/>
      <c r="C258" s="2140"/>
      <c r="D258" s="2140"/>
      <c r="E258" s="2140"/>
      <c r="F258" s="2140"/>
      <c r="G258" s="2140"/>
      <c r="H258" s="2140"/>
      <c r="I258" s="2140"/>
      <c r="J258" s="2140"/>
      <c r="K258" s="2140"/>
      <c r="L258" s="2140"/>
      <c r="M258" s="2140"/>
      <c r="N258" s="2140"/>
      <c r="O258" s="2140"/>
      <c r="P258" s="2140"/>
      <c r="Q258" s="2140"/>
      <c r="R258" s="2140"/>
    </row>
    <row r="259" spans="1:18">
      <c r="A259" s="2140"/>
      <c r="B259" s="2140"/>
      <c r="C259" s="2140"/>
      <c r="D259" s="2140"/>
      <c r="E259" s="2140"/>
      <c r="F259" s="2140"/>
      <c r="G259" s="2140"/>
      <c r="H259" s="2140"/>
      <c r="I259" s="2140"/>
      <c r="J259" s="2140"/>
      <c r="K259" s="2140"/>
      <c r="L259" s="2140"/>
      <c r="M259" s="2140"/>
      <c r="N259" s="2140"/>
      <c r="O259" s="2140"/>
      <c r="P259" s="2140"/>
      <c r="Q259" s="2140"/>
      <c r="R259" s="2140"/>
    </row>
    <row r="260" spans="1:18">
      <c r="A260" s="2140"/>
      <c r="B260" s="2140"/>
      <c r="C260" s="2140"/>
      <c r="D260" s="2140"/>
      <c r="E260" s="2140"/>
      <c r="F260" s="2140"/>
      <c r="G260" s="2140"/>
      <c r="H260" s="2140"/>
      <c r="I260" s="2140"/>
      <c r="J260" s="2140"/>
      <c r="K260" s="2140"/>
      <c r="L260" s="2140"/>
      <c r="M260" s="2140"/>
      <c r="N260" s="2140"/>
      <c r="O260" s="2140"/>
      <c r="P260" s="2140"/>
      <c r="Q260" s="2140"/>
      <c r="R260" s="2140"/>
    </row>
    <row r="261" spans="1:18">
      <c r="A261" s="2140"/>
      <c r="B261" s="2140"/>
      <c r="C261" s="2140"/>
      <c r="D261" s="2140"/>
      <c r="E261" s="2140"/>
      <c r="F261" s="2140"/>
      <c r="G261" s="2140"/>
      <c r="H261" s="2140"/>
      <c r="I261" s="2140"/>
      <c r="J261" s="2140"/>
      <c r="K261" s="2140"/>
      <c r="L261" s="2140"/>
      <c r="M261" s="2140"/>
      <c r="N261" s="2140"/>
      <c r="O261" s="2140"/>
      <c r="P261" s="2140"/>
      <c r="Q261" s="2140"/>
      <c r="R261" s="2140"/>
    </row>
    <row r="262" spans="1:18">
      <c r="A262" s="2140"/>
      <c r="B262" s="2140"/>
      <c r="C262" s="2140"/>
      <c r="D262" s="2140"/>
      <c r="E262" s="2140"/>
      <c r="F262" s="2140"/>
      <c r="G262" s="2140"/>
      <c r="H262" s="2140"/>
      <c r="I262" s="2140"/>
      <c r="J262" s="2140"/>
      <c r="K262" s="2140"/>
      <c r="L262" s="2140"/>
      <c r="M262" s="2140"/>
      <c r="N262" s="2140"/>
      <c r="O262" s="2140"/>
      <c r="P262" s="2140"/>
      <c r="Q262" s="2140"/>
      <c r="R262" s="2140"/>
    </row>
    <row r="263" spans="1:18">
      <c r="A263" s="2140"/>
      <c r="B263" s="2140"/>
      <c r="C263" s="2140"/>
      <c r="D263" s="2140"/>
      <c r="E263" s="2140"/>
      <c r="F263" s="2140"/>
      <c r="G263" s="2140"/>
      <c r="H263" s="2140"/>
      <c r="I263" s="2140"/>
      <c r="J263" s="2140"/>
      <c r="K263" s="2140"/>
      <c r="L263" s="2140"/>
      <c r="M263" s="2140"/>
      <c r="N263" s="2140"/>
      <c r="O263" s="2140"/>
      <c r="P263" s="2140"/>
      <c r="Q263" s="2140"/>
      <c r="R263" s="2140"/>
    </row>
    <row r="264" spans="1:18">
      <c r="A264" s="2140"/>
      <c r="B264" s="2140"/>
      <c r="C264" s="2140"/>
      <c r="D264" s="2140"/>
      <c r="E264" s="2140"/>
      <c r="F264" s="2140"/>
      <c r="G264" s="2140"/>
      <c r="H264" s="2140"/>
      <c r="I264" s="2140"/>
      <c r="J264" s="2140"/>
      <c r="K264" s="2140"/>
      <c r="L264" s="2140"/>
      <c r="M264" s="2140"/>
      <c r="N264" s="2140"/>
      <c r="O264" s="2140"/>
      <c r="P264" s="2140"/>
      <c r="Q264" s="2140"/>
      <c r="R264" s="2140"/>
    </row>
    <row r="265" spans="1:18">
      <c r="A265" s="2140"/>
      <c r="B265" s="2140"/>
      <c r="C265" s="2140"/>
      <c r="D265" s="2140"/>
      <c r="E265" s="2140"/>
      <c r="F265" s="2140"/>
      <c r="G265" s="2140"/>
      <c r="H265" s="2140"/>
      <c r="I265" s="2140"/>
      <c r="J265" s="2140"/>
      <c r="K265" s="2140"/>
      <c r="L265" s="2140"/>
      <c r="M265" s="2140"/>
      <c r="N265" s="2140"/>
      <c r="O265" s="2140"/>
      <c r="P265" s="2140"/>
      <c r="Q265" s="2140"/>
      <c r="R265" s="2140"/>
    </row>
    <row r="266" spans="1:18">
      <c r="A266" s="2140"/>
      <c r="B266" s="2140"/>
      <c r="C266" s="2140"/>
      <c r="D266" s="2140"/>
      <c r="E266" s="2140"/>
      <c r="F266" s="2140"/>
      <c r="G266" s="2140"/>
      <c r="H266" s="2140"/>
      <c r="I266" s="2140"/>
      <c r="J266" s="2140"/>
      <c r="K266" s="2140"/>
      <c r="L266" s="2140"/>
      <c r="M266" s="2140"/>
      <c r="N266" s="2140"/>
      <c r="O266" s="2140"/>
      <c r="P266" s="2140"/>
      <c r="Q266" s="2140"/>
      <c r="R266" s="2140"/>
    </row>
    <row r="267" spans="1:18">
      <c r="A267" s="2140"/>
      <c r="B267" s="2140"/>
      <c r="C267" s="2140"/>
      <c r="D267" s="2140"/>
      <c r="E267" s="2140"/>
      <c r="F267" s="2140"/>
      <c r="G267" s="2140"/>
      <c r="H267" s="2140"/>
      <c r="I267" s="2140"/>
      <c r="J267" s="2140"/>
      <c r="K267" s="2140"/>
      <c r="L267" s="2140"/>
      <c r="M267" s="2140"/>
      <c r="N267" s="2140"/>
      <c r="O267" s="2140"/>
      <c r="P267" s="2140"/>
      <c r="Q267" s="2140"/>
      <c r="R267" s="2140"/>
    </row>
    <row r="268" spans="1:18">
      <c r="A268" s="2140"/>
      <c r="B268" s="2140"/>
      <c r="C268" s="2140"/>
      <c r="D268" s="2140"/>
      <c r="E268" s="2140"/>
      <c r="F268" s="2140"/>
      <c r="G268" s="2140"/>
      <c r="H268" s="2140"/>
      <c r="I268" s="2140"/>
      <c r="J268" s="2140"/>
      <c r="K268" s="2140"/>
      <c r="L268" s="2140"/>
      <c r="M268" s="2140"/>
      <c r="N268" s="2140"/>
      <c r="O268" s="2140"/>
      <c r="P268" s="2140"/>
      <c r="Q268" s="2140"/>
      <c r="R268" s="2140"/>
    </row>
    <row r="269" spans="1:18">
      <c r="A269" s="2140"/>
      <c r="B269" s="2140"/>
      <c r="C269" s="2140"/>
      <c r="D269" s="2140"/>
      <c r="E269" s="2140"/>
      <c r="F269" s="2140"/>
      <c r="G269" s="2140"/>
      <c r="H269" s="2140"/>
      <c r="I269" s="2140"/>
      <c r="J269" s="2140"/>
      <c r="K269" s="2140"/>
      <c r="L269" s="2140"/>
      <c r="M269" s="2140"/>
      <c r="N269" s="2140"/>
      <c r="O269" s="2140"/>
      <c r="P269" s="2140"/>
      <c r="Q269" s="2140"/>
      <c r="R269" s="2140"/>
    </row>
    <row r="270" spans="1:18">
      <c r="A270" s="2140"/>
      <c r="B270" s="2140"/>
      <c r="C270" s="2140"/>
      <c r="D270" s="2140"/>
      <c r="E270" s="2140"/>
      <c r="F270" s="2140"/>
      <c r="G270" s="2140"/>
      <c r="H270" s="2140"/>
      <c r="I270" s="2140"/>
      <c r="J270" s="2140"/>
      <c r="K270" s="2140"/>
      <c r="L270" s="2140"/>
      <c r="M270" s="2140"/>
      <c r="N270" s="2140"/>
      <c r="O270" s="2140"/>
      <c r="P270" s="2140"/>
      <c r="Q270" s="2140"/>
      <c r="R270" s="2140"/>
    </row>
    <row r="271" spans="1:18">
      <c r="A271" s="2140"/>
      <c r="B271" s="2140"/>
      <c r="C271" s="2140"/>
      <c r="D271" s="2140"/>
      <c r="E271" s="2140"/>
      <c r="F271" s="2140"/>
      <c r="G271" s="2140"/>
      <c r="H271" s="2140"/>
      <c r="I271" s="2140"/>
      <c r="J271" s="2140"/>
      <c r="K271" s="2140"/>
      <c r="L271" s="2140"/>
      <c r="M271" s="2140"/>
      <c r="N271" s="2140"/>
      <c r="O271" s="2140"/>
      <c r="P271" s="2140"/>
      <c r="Q271" s="2140"/>
      <c r="R271" s="2140"/>
    </row>
    <row r="272" spans="1:18">
      <c r="A272" s="2140"/>
      <c r="B272" s="2140"/>
      <c r="C272" s="2140"/>
      <c r="D272" s="2140"/>
      <c r="E272" s="2140"/>
      <c r="F272" s="2140"/>
      <c r="G272" s="2140"/>
      <c r="H272" s="2140"/>
      <c r="I272" s="2140"/>
      <c r="J272" s="2140"/>
      <c r="K272" s="2140"/>
      <c r="L272" s="2140"/>
      <c r="M272" s="2140"/>
      <c r="N272" s="2140"/>
      <c r="O272" s="2140"/>
      <c r="P272" s="2140"/>
      <c r="Q272" s="2140"/>
      <c r="R272" s="2140"/>
    </row>
    <row r="273" spans="1:18">
      <c r="A273" s="2140"/>
      <c r="B273" s="2140"/>
      <c r="C273" s="2140"/>
      <c r="D273" s="2140"/>
      <c r="E273" s="2140"/>
      <c r="F273" s="2140"/>
      <c r="G273" s="2140"/>
      <c r="H273" s="2140"/>
      <c r="I273" s="2140"/>
      <c r="J273" s="2140"/>
      <c r="K273" s="2140"/>
      <c r="L273" s="2140"/>
      <c r="M273" s="2140"/>
      <c r="N273" s="2140"/>
      <c r="O273" s="2140"/>
      <c r="P273" s="2140"/>
      <c r="Q273" s="2140"/>
      <c r="R273" s="2140"/>
    </row>
    <row r="274" spans="1:18">
      <c r="A274" s="2140"/>
      <c r="B274" s="2140"/>
      <c r="C274" s="2140"/>
      <c r="D274" s="2140"/>
      <c r="E274" s="2140"/>
      <c r="F274" s="2140"/>
      <c r="G274" s="2140"/>
      <c r="H274" s="2140"/>
      <c r="I274" s="2140"/>
      <c r="J274" s="2140"/>
      <c r="K274" s="2140"/>
      <c r="L274" s="2140"/>
      <c r="M274" s="2140"/>
      <c r="N274" s="2140"/>
      <c r="O274" s="2140"/>
      <c r="P274" s="2140"/>
      <c r="Q274" s="2140"/>
      <c r="R274" s="2140"/>
    </row>
    <row r="275" spans="1:18">
      <c r="A275" s="2140"/>
      <c r="B275" s="2140"/>
      <c r="C275" s="2140"/>
      <c r="D275" s="2140"/>
      <c r="E275" s="2140"/>
      <c r="F275" s="2140"/>
      <c r="G275" s="2140"/>
      <c r="H275" s="2140"/>
      <c r="I275" s="2140"/>
      <c r="J275" s="2140"/>
      <c r="K275" s="2140"/>
      <c r="L275" s="2140"/>
      <c r="M275" s="2140"/>
      <c r="N275" s="2140"/>
      <c r="O275" s="2140"/>
      <c r="P275" s="2140"/>
      <c r="Q275" s="2140"/>
      <c r="R275" s="2140"/>
    </row>
    <row r="276" spans="1:18">
      <c r="A276" s="2140"/>
      <c r="B276" s="2140"/>
      <c r="C276" s="2140"/>
      <c r="D276" s="2140"/>
      <c r="E276" s="2140"/>
      <c r="F276" s="2140"/>
      <c r="G276" s="2140"/>
      <c r="H276" s="2140"/>
      <c r="I276" s="2140"/>
      <c r="J276" s="2140"/>
      <c r="K276" s="2140"/>
      <c r="L276" s="2140"/>
      <c r="M276" s="2140"/>
      <c r="N276" s="2140"/>
      <c r="O276" s="2140"/>
      <c r="P276" s="2140"/>
      <c r="Q276" s="2140"/>
      <c r="R276" s="2140"/>
    </row>
    <row r="277" spans="1:18">
      <c r="A277" s="2140"/>
      <c r="B277" s="2140"/>
      <c r="C277" s="2140"/>
      <c r="D277" s="2140"/>
      <c r="E277" s="2140"/>
      <c r="F277" s="2140"/>
      <c r="G277" s="2140"/>
      <c r="H277" s="2140"/>
      <c r="I277" s="2140"/>
      <c r="J277" s="2140"/>
      <c r="K277" s="2140"/>
      <c r="L277" s="2140"/>
      <c r="M277" s="2140"/>
      <c r="N277" s="2140"/>
      <c r="O277" s="2140"/>
      <c r="P277" s="2140"/>
      <c r="Q277" s="2140"/>
      <c r="R277" s="2140"/>
    </row>
    <row r="278" spans="1:18">
      <c r="A278" s="2140"/>
      <c r="B278" s="2140"/>
      <c r="C278" s="2140"/>
      <c r="D278" s="2140"/>
      <c r="E278" s="2140"/>
      <c r="F278" s="2140"/>
      <c r="G278" s="2140"/>
      <c r="H278" s="2140"/>
      <c r="I278" s="2140"/>
      <c r="J278" s="2140"/>
      <c r="K278" s="2140"/>
      <c r="L278" s="2140"/>
      <c r="M278" s="2140"/>
      <c r="N278" s="2140"/>
      <c r="O278" s="2140"/>
      <c r="P278" s="2140"/>
      <c r="Q278" s="2140"/>
      <c r="R278" s="2140"/>
    </row>
    <row r="279" spans="1:18">
      <c r="A279" s="2140"/>
      <c r="B279" s="2140"/>
      <c r="C279" s="2140"/>
      <c r="D279" s="2140"/>
      <c r="E279" s="2140"/>
      <c r="F279" s="2140"/>
      <c r="G279" s="2140"/>
      <c r="H279" s="2140"/>
      <c r="I279" s="2140"/>
      <c r="J279" s="2140"/>
      <c r="K279" s="2140"/>
      <c r="L279" s="2140"/>
      <c r="M279" s="2140"/>
      <c r="N279" s="2140"/>
      <c r="O279" s="2140"/>
      <c r="P279" s="2140"/>
      <c r="Q279" s="2140"/>
      <c r="R279" s="2140"/>
    </row>
    <row r="280" spans="1:18">
      <c r="A280" s="2140"/>
      <c r="B280" s="2140"/>
      <c r="C280" s="2140"/>
      <c r="D280" s="2140"/>
      <c r="E280" s="2140"/>
      <c r="F280" s="2140"/>
      <c r="G280" s="2140"/>
      <c r="H280" s="2140"/>
      <c r="I280" s="2140"/>
      <c r="J280" s="2140"/>
      <c r="K280" s="2140"/>
      <c r="L280" s="2140"/>
      <c r="M280" s="2140"/>
      <c r="N280" s="2140"/>
      <c r="O280" s="2140"/>
      <c r="P280" s="2140"/>
      <c r="Q280" s="2140"/>
      <c r="R280" s="2140"/>
    </row>
    <row r="281" spans="1:18">
      <c r="A281" s="2140"/>
      <c r="B281" s="2140"/>
      <c r="C281" s="2140"/>
      <c r="D281" s="2140"/>
      <c r="E281" s="2140"/>
      <c r="F281" s="2140"/>
      <c r="G281" s="2140"/>
      <c r="H281" s="2140"/>
      <c r="I281" s="2140"/>
      <c r="J281" s="2140"/>
      <c r="K281" s="2140"/>
      <c r="L281" s="2140"/>
      <c r="M281" s="2140"/>
      <c r="N281" s="2140"/>
      <c r="O281" s="2140"/>
      <c r="P281" s="2140"/>
      <c r="Q281" s="2140"/>
      <c r="R281" s="2140"/>
    </row>
    <row r="282" spans="1:18">
      <c r="A282" s="2140"/>
      <c r="B282" s="2140"/>
      <c r="C282" s="2140"/>
      <c r="D282" s="2140"/>
      <c r="E282" s="2140"/>
      <c r="F282" s="2140"/>
      <c r="G282" s="2140"/>
      <c r="H282" s="2140"/>
      <c r="I282" s="2140"/>
      <c r="J282" s="2140"/>
      <c r="K282" s="2140"/>
      <c r="L282" s="2140"/>
      <c r="M282" s="2140"/>
      <c r="N282" s="2140"/>
      <c r="O282" s="2140"/>
      <c r="P282" s="2140"/>
      <c r="Q282" s="2140"/>
      <c r="R282" s="2140"/>
    </row>
    <row r="283" spans="1:18">
      <c r="A283" s="2140"/>
      <c r="B283" s="2140"/>
      <c r="C283" s="2140"/>
      <c r="D283" s="2140"/>
      <c r="E283" s="2140"/>
      <c r="F283" s="2140"/>
      <c r="G283" s="2140"/>
      <c r="H283" s="2140"/>
      <c r="I283" s="2140"/>
      <c r="J283" s="2140"/>
      <c r="K283" s="2140"/>
      <c r="L283" s="2140"/>
      <c r="M283" s="2140"/>
      <c r="N283" s="2140"/>
      <c r="O283" s="2140"/>
      <c r="P283" s="2140"/>
      <c r="Q283" s="2140"/>
      <c r="R283" s="2140"/>
    </row>
    <row r="284" spans="1:18">
      <c r="A284" s="2140"/>
      <c r="B284" s="2140"/>
      <c r="C284" s="2140"/>
      <c r="D284" s="2140"/>
      <c r="E284" s="2140"/>
      <c r="F284" s="2140"/>
      <c r="G284" s="2140"/>
      <c r="H284" s="2140"/>
      <c r="I284" s="2140"/>
      <c r="J284" s="2140"/>
      <c r="K284" s="2140"/>
      <c r="L284" s="2140"/>
      <c r="M284" s="2140"/>
      <c r="N284" s="2140"/>
      <c r="O284" s="2140"/>
      <c r="P284" s="2140"/>
      <c r="Q284" s="2140"/>
      <c r="R284" s="2140"/>
    </row>
    <row r="285" spans="1:18">
      <c r="A285" s="2140"/>
      <c r="B285" s="2140"/>
      <c r="C285" s="2140"/>
      <c r="D285" s="2140"/>
      <c r="E285" s="2140"/>
      <c r="F285" s="2140"/>
      <c r="G285" s="2140"/>
      <c r="H285" s="2140"/>
      <c r="I285" s="2140"/>
      <c r="J285" s="2140"/>
      <c r="K285" s="2140"/>
      <c r="L285" s="2140"/>
      <c r="M285" s="2140"/>
      <c r="N285" s="2140"/>
      <c r="O285" s="2140"/>
      <c r="P285" s="2140"/>
      <c r="Q285" s="2140"/>
      <c r="R285" s="2140"/>
    </row>
    <row r="286" spans="1:18">
      <c r="A286" s="2140"/>
      <c r="B286" s="2140"/>
      <c r="C286" s="2140"/>
      <c r="D286" s="2140"/>
      <c r="E286" s="2140"/>
      <c r="F286" s="2140"/>
      <c r="G286" s="2140"/>
      <c r="H286" s="2140"/>
      <c r="I286" s="2140"/>
      <c r="J286" s="2140"/>
      <c r="K286" s="2140"/>
      <c r="L286" s="2140"/>
      <c r="M286" s="2140"/>
      <c r="N286" s="2140"/>
      <c r="O286" s="2140"/>
      <c r="P286" s="2140"/>
      <c r="Q286" s="2140"/>
      <c r="R286" s="2140"/>
    </row>
    <row r="287" spans="1:18">
      <c r="A287" s="2140"/>
      <c r="B287" s="2140"/>
      <c r="C287" s="2140"/>
      <c r="D287" s="2140"/>
      <c r="E287" s="2140"/>
      <c r="F287" s="2140"/>
      <c r="G287" s="2140"/>
      <c r="H287" s="2140"/>
      <c r="I287" s="2140"/>
      <c r="J287" s="2140"/>
      <c r="K287" s="2140"/>
      <c r="L287" s="2140"/>
      <c r="M287" s="2140"/>
      <c r="N287" s="2140"/>
      <c r="O287" s="2140"/>
      <c r="P287" s="2140"/>
      <c r="Q287" s="2140"/>
      <c r="R287" s="2140"/>
    </row>
    <row r="288" spans="1:18">
      <c r="A288" s="2140"/>
      <c r="B288" s="2140"/>
      <c r="C288" s="2140"/>
      <c r="D288" s="2140"/>
      <c r="E288" s="2140"/>
      <c r="F288" s="2140"/>
      <c r="G288" s="2140"/>
      <c r="H288" s="2140"/>
      <c r="I288" s="2140"/>
      <c r="J288" s="2140"/>
      <c r="K288" s="2140"/>
      <c r="L288" s="2140"/>
      <c r="M288" s="2140"/>
      <c r="N288" s="2140"/>
      <c r="O288" s="2140"/>
      <c r="P288" s="2140"/>
      <c r="Q288" s="2140"/>
      <c r="R288" s="2140"/>
    </row>
    <row r="289" spans="1:18">
      <c r="A289" s="2140"/>
      <c r="B289" s="2140"/>
      <c r="C289" s="2140"/>
      <c r="D289" s="2140"/>
      <c r="E289" s="2140"/>
      <c r="F289" s="2140"/>
      <c r="G289" s="2140"/>
      <c r="H289" s="2140"/>
      <c r="I289" s="2140"/>
      <c r="J289" s="2140"/>
      <c r="K289" s="2140"/>
      <c r="L289" s="2140"/>
      <c r="M289" s="2140"/>
      <c r="N289" s="2140"/>
      <c r="O289" s="2140"/>
      <c r="P289" s="2140"/>
      <c r="Q289" s="2140"/>
      <c r="R289" s="2140"/>
    </row>
    <row r="290" spans="1:18">
      <c r="A290" s="2140"/>
      <c r="B290" s="2140"/>
      <c r="C290" s="2140"/>
      <c r="D290" s="2140"/>
      <c r="E290" s="2140"/>
      <c r="F290" s="2140"/>
      <c r="G290" s="2140"/>
      <c r="H290" s="2140"/>
      <c r="I290" s="2140"/>
      <c r="J290" s="2140"/>
      <c r="K290" s="2140"/>
      <c r="L290" s="2140"/>
      <c r="M290" s="2140"/>
      <c r="N290" s="2140"/>
      <c r="O290" s="2140"/>
      <c r="P290" s="2140"/>
      <c r="Q290" s="2140"/>
      <c r="R290" s="2140"/>
    </row>
    <row r="291" spans="1:18">
      <c r="A291" s="2140"/>
      <c r="B291" s="2140"/>
      <c r="C291" s="2140"/>
      <c r="D291" s="2140"/>
      <c r="E291" s="2140"/>
      <c r="F291" s="2140"/>
      <c r="G291" s="2140"/>
      <c r="H291" s="2140"/>
      <c r="I291" s="2140"/>
      <c r="J291" s="2140"/>
      <c r="K291" s="2140"/>
      <c r="L291" s="2140"/>
      <c r="M291" s="2140"/>
      <c r="N291" s="2140"/>
      <c r="O291" s="2140"/>
      <c r="P291" s="2140"/>
      <c r="Q291" s="2140"/>
      <c r="R291" s="2140"/>
    </row>
    <row r="292" spans="1:18">
      <c r="A292" s="2140"/>
      <c r="B292" s="2140"/>
      <c r="C292" s="2140"/>
      <c r="D292" s="2140"/>
      <c r="E292" s="2140"/>
      <c r="F292" s="2140"/>
      <c r="G292" s="2140"/>
      <c r="H292" s="2140"/>
      <c r="I292" s="2140"/>
      <c r="J292" s="2140"/>
      <c r="K292" s="2140"/>
      <c r="L292" s="2140"/>
      <c r="M292" s="2140"/>
      <c r="N292" s="2140"/>
      <c r="O292" s="2140"/>
      <c r="P292" s="2140"/>
      <c r="Q292" s="2140"/>
      <c r="R292" s="2140"/>
    </row>
    <row r="293" spans="1:18">
      <c r="A293" s="2140"/>
      <c r="B293" s="2140"/>
      <c r="C293" s="2140"/>
      <c r="D293" s="2140"/>
      <c r="E293" s="2140"/>
      <c r="F293" s="2140"/>
      <c r="G293" s="2140"/>
      <c r="H293" s="2140"/>
      <c r="I293" s="2140"/>
      <c r="J293" s="2140"/>
      <c r="K293" s="2140"/>
      <c r="L293" s="2140"/>
      <c r="M293" s="2140"/>
      <c r="N293" s="2140"/>
      <c r="O293" s="2140"/>
      <c r="P293" s="2140"/>
      <c r="Q293" s="2140"/>
      <c r="R293" s="2140"/>
    </row>
    <row r="294" spans="1:18">
      <c r="A294" s="2140"/>
      <c r="B294" s="2140"/>
      <c r="C294" s="2140"/>
      <c r="D294" s="2140"/>
      <c r="E294" s="2140"/>
      <c r="F294" s="2140"/>
      <c r="G294" s="2140"/>
      <c r="H294" s="2140"/>
      <c r="I294" s="2140"/>
      <c r="J294" s="2140"/>
      <c r="K294" s="2140"/>
      <c r="L294" s="2140"/>
      <c r="M294" s="2140"/>
      <c r="N294" s="2140"/>
      <c r="O294" s="2140"/>
      <c r="P294" s="2140"/>
      <c r="Q294" s="2140"/>
      <c r="R294" s="2140"/>
    </row>
    <row r="295" spans="1:18">
      <c r="A295" s="2140"/>
      <c r="B295" s="2140"/>
      <c r="C295" s="2140"/>
      <c r="D295" s="2140"/>
      <c r="E295" s="2140"/>
      <c r="F295" s="2140"/>
      <c r="G295" s="2140"/>
      <c r="H295" s="2140"/>
      <c r="I295" s="2140"/>
      <c r="J295" s="2140"/>
      <c r="K295" s="2140"/>
      <c r="L295" s="2140"/>
      <c r="M295" s="2140"/>
      <c r="N295" s="2140"/>
      <c r="O295" s="2140"/>
      <c r="P295" s="2140"/>
      <c r="Q295" s="2140"/>
      <c r="R295" s="2140"/>
    </row>
    <row r="296" spans="1:18">
      <c r="A296" s="2140"/>
      <c r="B296" s="2140"/>
      <c r="C296" s="2140"/>
      <c r="D296" s="2140"/>
      <c r="E296" s="2140"/>
      <c r="F296" s="2140"/>
      <c r="G296" s="2140"/>
      <c r="H296" s="2140"/>
      <c r="I296" s="2140"/>
      <c r="J296" s="2140"/>
      <c r="K296" s="2140"/>
      <c r="L296" s="2140"/>
      <c r="M296" s="2140"/>
      <c r="N296" s="2140"/>
      <c r="O296" s="2140"/>
      <c r="P296" s="2140"/>
      <c r="Q296" s="2140"/>
      <c r="R296" s="2140"/>
    </row>
    <row r="297" spans="1:18">
      <c r="A297" s="2140"/>
      <c r="B297" s="2140"/>
      <c r="C297" s="2140"/>
      <c r="D297" s="2140"/>
      <c r="E297" s="2140"/>
      <c r="F297" s="2140"/>
      <c r="G297" s="2140"/>
      <c r="H297" s="2140"/>
      <c r="I297" s="2140"/>
      <c r="J297" s="2140"/>
      <c r="K297" s="2140"/>
      <c r="L297" s="2140"/>
      <c r="M297" s="2140"/>
      <c r="N297" s="2140"/>
      <c r="O297" s="2140"/>
      <c r="P297" s="2140"/>
      <c r="Q297" s="2140"/>
      <c r="R297" s="2140"/>
    </row>
    <row r="298" spans="1:18">
      <c r="A298" s="2140"/>
      <c r="B298" s="2140"/>
      <c r="C298" s="2140"/>
      <c r="D298" s="2140"/>
      <c r="E298" s="2140"/>
      <c r="F298" s="2140"/>
      <c r="G298" s="2140"/>
      <c r="H298" s="2140"/>
      <c r="I298" s="2140"/>
      <c r="J298" s="2140"/>
      <c r="K298" s="2140"/>
      <c r="L298" s="2140"/>
      <c r="M298" s="2140"/>
      <c r="N298" s="2140"/>
      <c r="O298" s="2140"/>
      <c r="P298" s="2140"/>
      <c r="Q298" s="2140"/>
      <c r="R298" s="2140"/>
    </row>
    <row r="299" spans="1:18">
      <c r="A299" s="2140"/>
      <c r="B299" s="2140"/>
      <c r="C299" s="2140"/>
      <c r="D299" s="2140"/>
      <c r="E299" s="2140"/>
      <c r="F299" s="2140"/>
      <c r="G299" s="2140"/>
      <c r="H299" s="2140"/>
      <c r="I299" s="2140"/>
      <c r="J299" s="2140"/>
      <c r="K299" s="2140"/>
      <c r="L299" s="2140"/>
      <c r="M299" s="2140"/>
      <c r="N299" s="2140"/>
      <c r="O299" s="2140"/>
      <c r="P299" s="2140"/>
      <c r="Q299" s="2140"/>
      <c r="R299" s="2140"/>
    </row>
    <row r="300" spans="1:18">
      <c r="A300" s="2140"/>
      <c r="B300" s="2140"/>
      <c r="C300" s="2140"/>
      <c r="D300" s="2140"/>
      <c r="E300" s="2140"/>
      <c r="F300" s="2140"/>
      <c r="G300" s="2140"/>
      <c r="H300" s="2140"/>
      <c r="I300" s="2140"/>
      <c r="J300" s="2140"/>
      <c r="K300" s="2140"/>
      <c r="L300" s="2140"/>
      <c r="M300" s="2140"/>
      <c r="N300" s="2140"/>
      <c r="O300" s="2140"/>
      <c r="P300" s="2140"/>
      <c r="Q300" s="2140"/>
      <c r="R300" s="2140"/>
    </row>
    <row r="301" spans="1:18">
      <c r="A301" s="2140"/>
      <c r="B301" s="2140"/>
      <c r="C301" s="2140"/>
      <c r="D301" s="2140"/>
      <c r="E301" s="2140"/>
      <c r="F301" s="2140"/>
      <c r="G301" s="2140"/>
      <c r="H301" s="2140"/>
      <c r="I301" s="2140"/>
      <c r="J301" s="2140"/>
      <c r="K301" s="2140"/>
      <c r="L301" s="2140"/>
      <c r="M301" s="2140"/>
      <c r="N301" s="2140"/>
      <c r="O301" s="2140"/>
      <c r="P301" s="2140"/>
      <c r="Q301" s="2140"/>
      <c r="R301" s="2140"/>
    </row>
    <row r="302" spans="1:18">
      <c r="A302" s="2140"/>
      <c r="B302" s="2140"/>
      <c r="C302" s="2140"/>
      <c r="D302" s="2140"/>
      <c r="E302" s="2140"/>
      <c r="F302" s="2140"/>
      <c r="G302" s="2140"/>
      <c r="H302" s="2140"/>
      <c r="I302" s="2140"/>
      <c r="J302" s="2140"/>
      <c r="K302" s="2140"/>
      <c r="L302" s="2140"/>
      <c r="M302" s="2140"/>
      <c r="N302" s="2140"/>
      <c r="O302" s="2140"/>
      <c r="P302" s="2140"/>
      <c r="Q302" s="2140"/>
      <c r="R302" s="2140"/>
    </row>
    <row r="303" spans="1:18">
      <c r="A303" s="2140"/>
      <c r="B303" s="2140"/>
      <c r="C303" s="2140"/>
      <c r="D303" s="2140"/>
      <c r="E303" s="2140"/>
      <c r="F303" s="2140"/>
      <c r="G303" s="2140"/>
      <c r="H303" s="2140"/>
      <c r="I303" s="2140"/>
      <c r="J303" s="2140"/>
      <c r="K303" s="2140"/>
      <c r="L303" s="2140"/>
      <c r="M303" s="2140"/>
      <c r="N303" s="2140"/>
      <c r="O303" s="2140"/>
      <c r="P303" s="2140"/>
      <c r="Q303" s="2140"/>
      <c r="R303" s="2140"/>
    </row>
    <row r="304" spans="1:18">
      <c r="A304" s="2140"/>
      <c r="B304" s="2140"/>
      <c r="C304" s="2140"/>
      <c r="D304" s="2140"/>
      <c r="E304" s="2140"/>
      <c r="F304" s="2140"/>
      <c r="G304" s="2140"/>
      <c r="H304" s="2140"/>
      <c r="I304" s="2140"/>
      <c r="J304" s="2140"/>
      <c r="K304" s="2140"/>
      <c r="L304" s="2140"/>
      <c r="M304" s="2140"/>
      <c r="N304" s="2140"/>
      <c r="O304" s="2140"/>
      <c r="P304" s="2140"/>
      <c r="Q304" s="2140"/>
      <c r="R304" s="2140"/>
    </row>
    <row r="305" spans="1:18">
      <c r="A305" s="2140"/>
      <c r="B305" s="2140"/>
      <c r="C305" s="2140"/>
      <c r="D305" s="2140"/>
      <c r="E305" s="2140"/>
      <c r="F305" s="2140"/>
      <c r="G305" s="2140"/>
      <c r="H305" s="2140"/>
      <c r="I305" s="2140"/>
      <c r="J305" s="2140"/>
      <c r="K305" s="2140"/>
      <c r="L305" s="2140"/>
      <c r="M305" s="2140"/>
      <c r="N305" s="2140"/>
      <c r="O305" s="2140"/>
      <c r="P305" s="2140"/>
      <c r="Q305" s="2140"/>
      <c r="R305" s="2140"/>
    </row>
    <row r="306" spans="1:18">
      <c r="A306" s="2140"/>
      <c r="B306" s="2140"/>
      <c r="C306" s="2140"/>
      <c r="D306" s="2140"/>
      <c r="E306" s="2140"/>
      <c r="F306" s="2140"/>
      <c r="G306" s="2140"/>
      <c r="H306" s="2140"/>
      <c r="I306" s="2140"/>
      <c r="J306" s="2140"/>
      <c r="K306" s="2140"/>
      <c r="L306" s="2140"/>
      <c r="M306" s="2140"/>
      <c r="N306" s="2140"/>
      <c r="O306" s="2140"/>
      <c r="P306" s="2140"/>
      <c r="Q306" s="2140"/>
      <c r="R306" s="2140"/>
    </row>
    <row r="307" spans="1:18">
      <c r="A307" s="2140"/>
      <c r="B307" s="2140"/>
      <c r="C307" s="2140"/>
      <c r="D307" s="2140"/>
      <c r="E307" s="2140"/>
      <c r="F307" s="2140"/>
      <c r="G307" s="2140"/>
      <c r="H307" s="2140"/>
      <c r="I307" s="2140"/>
      <c r="J307" s="2140"/>
      <c r="K307" s="2140"/>
      <c r="L307" s="2140"/>
      <c r="M307" s="2140"/>
      <c r="N307" s="2140"/>
      <c r="O307" s="2140"/>
      <c r="P307" s="2140"/>
      <c r="Q307" s="2140"/>
      <c r="R307" s="2140"/>
    </row>
    <row r="308" spans="1:18">
      <c r="A308" s="2140"/>
      <c r="B308" s="2140"/>
      <c r="C308" s="2140"/>
      <c r="D308" s="2140"/>
      <c r="E308" s="2140"/>
      <c r="F308" s="2140"/>
      <c r="G308" s="2140"/>
      <c r="H308" s="2140"/>
      <c r="I308" s="2140"/>
      <c r="J308" s="2140"/>
      <c r="K308" s="2140"/>
      <c r="L308" s="2140"/>
      <c r="M308" s="2140"/>
      <c r="N308" s="2140"/>
      <c r="O308" s="2140"/>
      <c r="P308" s="2140"/>
      <c r="Q308" s="2140"/>
      <c r="R308" s="2140"/>
    </row>
    <row r="309" spans="1:18">
      <c r="A309" s="2140"/>
      <c r="B309" s="2140"/>
      <c r="C309" s="2140"/>
      <c r="D309" s="2140"/>
      <c r="E309" s="2140"/>
      <c r="F309" s="2140"/>
      <c r="G309" s="2140"/>
      <c r="H309" s="2140"/>
      <c r="I309" s="2140"/>
      <c r="J309" s="2140"/>
      <c r="K309" s="2140"/>
      <c r="L309" s="2140"/>
      <c r="M309" s="2140"/>
      <c r="N309" s="2140"/>
      <c r="O309" s="2140"/>
      <c r="P309" s="2140"/>
      <c r="Q309" s="2140"/>
      <c r="R309" s="2140"/>
    </row>
    <row r="310" spans="1:18">
      <c r="A310" s="2140"/>
      <c r="B310" s="2140"/>
      <c r="C310" s="2140"/>
      <c r="D310" s="2140"/>
      <c r="E310" s="2140"/>
      <c r="F310" s="2140"/>
      <c r="G310" s="2140"/>
      <c r="H310" s="2140"/>
      <c r="I310" s="2140"/>
      <c r="J310" s="2140"/>
      <c r="K310" s="2140"/>
      <c r="L310" s="2140"/>
      <c r="M310" s="2140"/>
      <c r="N310" s="2140"/>
      <c r="O310" s="2140"/>
      <c r="P310" s="2140"/>
      <c r="Q310" s="2140"/>
      <c r="R310" s="2140"/>
    </row>
    <row r="311" spans="1:18">
      <c r="A311" s="2140"/>
      <c r="B311" s="2140"/>
      <c r="C311" s="2140"/>
      <c r="D311" s="2140"/>
      <c r="E311" s="2140"/>
      <c r="F311" s="2140"/>
      <c r="G311" s="2140"/>
      <c r="H311" s="2140"/>
      <c r="I311" s="2140"/>
      <c r="J311" s="2140"/>
      <c r="K311" s="2140"/>
      <c r="L311" s="2140"/>
      <c r="M311" s="2140"/>
      <c r="N311" s="2140"/>
      <c r="O311" s="2140"/>
      <c r="P311" s="2140"/>
      <c r="Q311" s="2140"/>
      <c r="R311" s="2140"/>
    </row>
    <row r="312" spans="1:18">
      <c r="A312" s="2140"/>
      <c r="B312" s="2140"/>
      <c r="C312" s="2140"/>
      <c r="D312" s="2140"/>
      <c r="E312" s="2140"/>
      <c r="F312" s="2140"/>
      <c r="G312" s="2140"/>
      <c r="H312" s="2140"/>
      <c r="I312" s="2140"/>
      <c r="J312" s="2140"/>
      <c r="K312" s="2140"/>
      <c r="L312" s="2140"/>
      <c r="M312" s="2140"/>
      <c r="N312" s="2140"/>
      <c r="O312" s="2140"/>
      <c r="P312" s="2140"/>
      <c r="Q312" s="2140"/>
      <c r="R312" s="2140"/>
    </row>
    <row r="313" spans="1:18">
      <c r="A313" s="2140"/>
      <c r="B313" s="2140"/>
      <c r="C313" s="2140"/>
      <c r="D313" s="2140"/>
      <c r="E313" s="2140"/>
      <c r="F313" s="2140"/>
      <c r="G313" s="2140"/>
      <c r="H313" s="2140"/>
      <c r="I313" s="2140"/>
      <c r="J313" s="2140"/>
      <c r="K313" s="2140"/>
      <c r="L313" s="2140"/>
      <c r="M313" s="2140"/>
      <c r="N313" s="2140"/>
      <c r="O313" s="2140"/>
      <c r="P313" s="2140"/>
      <c r="Q313" s="2140"/>
      <c r="R313" s="2140"/>
    </row>
    <row r="314" spans="1:18">
      <c r="A314" s="2140"/>
      <c r="B314" s="2140"/>
      <c r="C314" s="2140"/>
      <c r="D314" s="2140"/>
      <c r="E314" s="2140"/>
      <c r="F314" s="2140"/>
      <c r="G314" s="2140"/>
      <c r="H314" s="2140"/>
      <c r="I314" s="2140"/>
      <c r="J314" s="2140"/>
      <c r="K314" s="2140"/>
      <c r="L314" s="2140"/>
      <c r="M314" s="2140"/>
      <c r="N314" s="2140"/>
      <c r="O314" s="2140"/>
      <c r="P314" s="2140"/>
      <c r="Q314" s="2140"/>
      <c r="R314" s="2140"/>
    </row>
    <row r="315" spans="1:18">
      <c r="A315" s="2140"/>
      <c r="B315" s="2140"/>
      <c r="C315" s="2140"/>
      <c r="D315" s="2140"/>
      <c r="E315" s="2140"/>
      <c r="F315" s="2140"/>
      <c r="G315" s="2140"/>
      <c r="H315" s="2140"/>
      <c r="I315" s="2140"/>
      <c r="J315" s="2140"/>
      <c r="K315" s="2140"/>
      <c r="L315" s="2140"/>
      <c r="M315" s="2140"/>
      <c r="N315" s="2140"/>
      <c r="O315" s="2140"/>
      <c r="P315" s="2140"/>
      <c r="Q315" s="2140"/>
      <c r="R315" s="2140"/>
    </row>
    <row r="316" spans="1:18">
      <c r="A316" s="2140"/>
      <c r="B316" s="2140"/>
      <c r="C316" s="2140"/>
      <c r="D316" s="2140"/>
      <c r="E316" s="2140"/>
      <c r="F316" s="2140"/>
      <c r="G316" s="2140"/>
      <c r="H316" s="2140"/>
      <c r="I316" s="2140"/>
      <c r="J316" s="2140"/>
      <c r="K316" s="2140"/>
      <c r="L316" s="2140"/>
      <c r="M316" s="2140"/>
      <c r="N316" s="2140"/>
      <c r="O316" s="2140"/>
      <c r="P316" s="2140"/>
      <c r="Q316" s="2140"/>
      <c r="R316" s="2140"/>
    </row>
    <row r="317" spans="1:18">
      <c r="A317" s="2140"/>
      <c r="B317" s="2140"/>
      <c r="C317" s="2140"/>
      <c r="D317" s="2140"/>
      <c r="E317" s="2140"/>
      <c r="F317" s="2140"/>
      <c r="G317" s="2140"/>
      <c r="H317" s="2140"/>
      <c r="I317" s="2140"/>
      <c r="J317" s="2140"/>
      <c r="K317" s="2140"/>
      <c r="L317" s="2140"/>
      <c r="M317" s="2140"/>
      <c r="N317" s="2140"/>
      <c r="O317" s="2140"/>
      <c r="P317" s="2140"/>
      <c r="Q317" s="2140"/>
      <c r="R317" s="2140"/>
    </row>
    <row r="318" spans="1:18">
      <c r="A318" s="2140"/>
      <c r="B318" s="2140"/>
      <c r="C318" s="2140"/>
      <c r="D318" s="2140"/>
      <c r="E318" s="2140"/>
      <c r="F318" s="2140"/>
      <c r="G318" s="2140"/>
      <c r="H318" s="2140"/>
      <c r="I318" s="2140"/>
      <c r="J318" s="2140"/>
      <c r="K318" s="2140"/>
      <c r="L318" s="2140"/>
      <c r="M318" s="2140"/>
      <c r="N318" s="2140"/>
      <c r="O318" s="2140"/>
      <c r="P318" s="2140"/>
      <c r="Q318" s="2140"/>
      <c r="R318" s="2140"/>
    </row>
    <row r="319" spans="1:18">
      <c r="A319" s="2140"/>
      <c r="B319" s="2140"/>
      <c r="C319" s="2140"/>
      <c r="D319" s="2140"/>
      <c r="E319" s="2140"/>
      <c r="F319" s="2140"/>
      <c r="G319" s="2140"/>
      <c r="H319" s="2140"/>
      <c r="I319" s="2140"/>
      <c r="J319" s="2140"/>
      <c r="K319" s="2140"/>
      <c r="L319" s="2140"/>
      <c r="M319" s="2140"/>
      <c r="N319" s="2140"/>
      <c r="O319" s="2140"/>
      <c r="P319" s="2140"/>
      <c r="Q319" s="2140"/>
      <c r="R319" s="2140"/>
    </row>
    <row r="320" spans="1:18">
      <c r="A320" s="2140"/>
      <c r="B320" s="2140"/>
      <c r="C320" s="2140"/>
      <c r="D320" s="2140"/>
      <c r="E320" s="2140"/>
      <c r="F320" s="2140"/>
      <c r="G320" s="2140"/>
      <c r="H320" s="2140"/>
      <c r="I320" s="2140"/>
      <c r="J320" s="2140"/>
      <c r="K320" s="2140"/>
      <c r="L320" s="2140"/>
      <c r="M320" s="2140"/>
      <c r="N320" s="2140"/>
      <c r="O320" s="2140"/>
      <c r="P320" s="2140"/>
      <c r="Q320" s="2140"/>
      <c r="R320" s="2140"/>
    </row>
    <row r="321" spans="1:18">
      <c r="A321" s="2140"/>
      <c r="B321" s="2140"/>
      <c r="C321" s="2140"/>
      <c r="D321" s="2140"/>
      <c r="E321" s="2140"/>
      <c r="F321" s="2140"/>
      <c r="G321" s="2140"/>
      <c r="H321" s="2140"/>
      <c r="I321" s="2140"/>
      <c r="J321" s="2140"/>
      <c r="K321" s="2140"/>
      <c r="L321" s="2140"/>
      <c r="M321" s="2140"/>
      <c r="N321" s="2140"/>
      <c r="O321" s="2140"/>
      <c r="P321" s="2140"/>
      <c r="Q321" s="2140"/>
      <c r="R321" s="2140"/>
    </row>
    <row r="322" spans="1:18">
      <c r="A322" s="2140"/>
      <c r="B322" s="2140"/>
      <c r="C322" s="2140"/>
      <c r="D322" s="2140"/>
      <c r="E322" s="2140"/>
      <c r="F322" s="2140"/>
      <c r="G322" s="2140"/>
      <c r="H322" s="2140"/>
      <c r="I322" s="2140"/>
      <c r="J322" s="2140"/>
      <c r="K322" s="2140"/>
      <c r="L322" s="2140"/>
      <c r="M322" s="2140"/>
      <c r="N322" s="2140"/>
      <c r="O322" s="2140"/>
      <c r="P322" s="2140"/>
      <c r="Q322" s="2140"/>
      <c r="R322" s="2140"/>
    </row>
    <row r="323" spans="1:18">
      <c r="A323" s="2140"/>
      <c r="B323" s="2140"/>
      <c r="C323" s="2140"/>
      <c r="D323" s="2140"/>
      <c r="E323" s="2140"/>
      <c r="F323" s="2140"/>
      <c r="G323" s="2140"/>
      <c r="H323" s="2140"/>
      <c r="I323" s="2140"/>
      <c r="J323" s="2140"/>
      <c r="K323" s="2140"/>
      <c r="L323" s="2140"/>
      <c r="M323" s="2140"/>
      <c r="N323" s="2140"/>
      <c r="O323" s="2140"/>
      <c r="P323" s="2140"/>
      <c r="Q323" s="2140"/>
      <c r="R323" s="2140"/>
    </row>
    <row r="324" spans="1:18">
      <c r="A324" s="2140"/>
      <c r="B324" s="2140"/>
      <c r="C324" s="2140"/>
      <c r="D324" s="2140"/>
      <c r="E324" s="2140"/>
      <c r="F324" s="2140"/>
      <c r="G324" s="2140"/>
      <c r="H324" s="2140"/>
      <c r="I324" s="2140"/>
      <c r="J324" s="2140"/>
      <c r="K324" s="2140"/>
      <c r="L324" s="2140"/>
      <c r="M324" s="2140"/>
      <c r="N324" s="2140"/>
      <c r="O324" s="2140"/>
      <c r="P324" s="2140"/>
      <c r="Q324" s="2140"/>
      <c r="R324" s="2140"/>
    </row>
    <row r="325" spans="1:18">
      <c r="A325" s="2140"/>
      <c r="B325" s="2140"/>
      <c r="C325" s="2140"/>
      <c r="D325" s="2140"/>
      <c r="E325" s="2140"/>
      <c r="F325" s="2140"/>
      <c r="G325" s="2140"/>
      <c r="H325" s="2140"/>
      <c r="I325" s="2140"/>
      <c r="J325" s="2140"/>
      <c r="K325" s="2140"/>
      <c r="L325" s="2140"/>
      <c r="M325" s="2140"/>
      <c r="N325" s="2140"/>
      <c r="O325" s="2140"/>
      <c r="P325" s="2140"/>
      <c r="Q325" s="2140"/>
      <c r="R325" s="2140"/>
    </row>
    <row r="326" spans="1:18">
      <c r="A326" s="2140"/>
      <c r="B326" s="2140"/>
      <c r="C326" s="2140"/>
      <c r="D326" s="2140"/>
      <c r="E326" s="2140"/>
      <c r="F326" s="2140"/>
      <c r="G326" s="2140"/>
      <c r="H326" s="2140"/>
      <c r="I326" s="2140"/>
      <c r="J326" s="2140"/>
      <c r="K326" s="2140"/>
      <c r="L326" s="2140"/>
      <c r="M326" s="2140"/>
      <c r="N326" s="2140"/>
      <c r="O326" s="2140"/>
      <c r="P326" s="2140"/>
      <c r="Q326" s="2140"/>
      <c r="R326" s="2140"/>
    </row>
    <row r="327" spans="1:18">
      <c r="A327" s="2140"/>
      <c r="B327" s="2140"/>
      <c r="C327" s="2140"/>
      <c r="D327" s="2140"/>
      <c r="E327" s="2140"/>
      <c r="F327" s="2140"/>
      <c r="G327" s="2140"/>
      <c r="H327" s="2140"/>
      <c r="I327" s="2140"/>
      <c r="J327" s="2140"/>
      <c r="K327" s="2140"/>
      <c r="L327" s="2140"/>
      <c r="M327" s="2140"/>
      <c r="N327" s="2140"/>
      <c r="O327" s="2140"/>
      <c r="P327" s="2140"/>
      <c r="Q327" s="2140"/>
      <c r="R327" s="2140"/>
    </row>
    <row r="328" spans="1:18">
      <c r="A328" s="2140"/>
      <c r="B328" s="2140"/>
      <c r="C328" s="2140"/>
      <c r="D328" s="2140"/>
      <c r="E328" s="2140"/>
      <c r="F328" s="2140"/>
      <c r="G328" s="2140"/>
      <c r="H328" s="2140"/>
      <c r="I328" s="2140"/>
      <c r="J328" s="2140"/>
      <c r="K328" s="2140"/>
      <c r="L328" s="2140"/>
      <c r="M328" s="2140"/>
      <c r="N328" s="2140"/>
      <c r="O328" s="2140"/>
      <c r="P328" s="2140"/>
      <c r="Q328" s="2140"/>
      <c r="R328" s="2140"/>
    </row>
    <row r="329" spans="1:18">
      <c r="A329" s="2140"/>
      <c r="B329" s="2140"/>
      <c r="C329" s="2140"/>
      <c r="D329" s="2140"/>
      <c r="E329" s="2140"/>
      <c r="F329" s="2140"/>
      <c r="G329" s="2140"/>
      <c r="H329" s="2140"/>
      <c r="I329" s="2140"/>
      <c r="J329" s="2140"/>
      <c r="K329" s="2140"/>
      <c r="L329" s="2140"/>
      <c r="M329" s="2140"/>
      <c r="N329" s="2140"/>
      <c r="O329" s="2140"/>
      <c r="P329" s="2140"/>
      <c r="Q329" s="2140"/>
      <c r="R329" s="2140"/>
    </row>
    <row r="330" spans="1:18">
      <c r="A330" s="2140"/>
      <c r="B330" s="2140"/>
      <c r="C330" s="2140"/>
      <c r="D330" s="2140"/>
      <c r="E330" s="2140"/>
      <c r="F330" s="2140"/>
      <c r="G330" s="2140"/>
      <c r="H330" s="2140"/>
      <c r="I330" s="2140"/>
      <c r="J330" s="2140"/>
      <c r="K330" s="2140"/>
      <c r="L330" s="2140"/>
      <c r="M330" s="2140"/>
      <c r="N330" s="2140"/>
      <c r="O330" s="2140"/>
      <c r="P330" s="2140"/>
      <c r="Q330" s="2140"/>
      <c r="R330" s="2140"/>
    </row>
    <row r="331" spans="1:18">
      <c r="A331" s="2140"/>
      <c r="B331" s="2140"/>
      <c r="C331" s="2140"/>
      <c r="D331" s="2140"/>
      <c r="E331" s="2140"/>
      <c r="F331" s="2140"/>
      <c r="G331" s="2140"/>
      <c r="H331" s="2140"/>
      <c r="I331" s="2140"/>
      <c r="J331" s="2140"/>
      <c r="K331" s="2140"/>
      <c r="L331" s="2140"/>
      <c r="M331" s="2140"/>
      <c r="N331" s="2140"/>
      <c r="O331" s="2140"/>
      <c r="P331" s="2140"/>
      <c r="Q331" s="2140"/>
      <c r="R331" s="2140"/>
    </row>
    <row r="332" spans="1:18">
      <c r="A332" s="2140"/>
      <c r="B332" s="2140"/>
      <c r="C332" s="2140"/>
      <c r="D332" s="2140"/>
      <c r="E332" s="2140"/>
      <c r="F332" s="2140"/>
      <c r="G332" s="2140"/>
      <c r="H332" s="2140"/>
      <c r="I332" s="2140"/>
      <c r="J332" s="2140"/>
      <c r="K332" s="2140"/>
      <c r="L332" s="2140"/>
      <c r="M332" s="2140"/>
      <c r="N332" s="2140"/>
      <c r="O332" s="2140"/>
      <c r="P332" s="2140"/>
      <c r="Q332" s="2140"/>
      <c r="R332" s="2140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33</vt:i4>
      </vt:variant>
    </vt:vector>
  </HeadingPairs>
  <TitlesOfParts>
    <vt:vector size="33" baseType="lpstr">
      <vt:lpstr>reservedele</vt:lpstr>
      <vt:lpstr>vand</vt:lpstr>
      <vt:lpstr>EL</vt:lpstr>
      <vt:lpstr>lr</vt:lpstr>
      <vt:lpstr>forbrug</vt:lpstr>
      <vt:lpstr>varme 23</vt:lpstr>
      <vt:lpstr>total</vt:lpstr>
      <vt:lpstr>total (2)</vt:lpstr>
      <vt:lpstr>budget</vt:lpstr>
      <vt:lpstr>bil</vt:lpstr>
      <vt:lpstr>panel</vt:lpstr>
      <vt:lpstr>reparation</vt:lpstr>
      <vt:lpstr>medicin</vt:lpstr>
      <vt:lpstr>kr dec</vt:lpstr>
      <vt:lpstr>kWh dec</vt:lpstr>
      <vt:lpstr>OK el</vt:lpstr>
      <vt:lpstr>varme 24</vt:lpstr>
      <vt:lpstr>el-varme</vt:lpstr>
      <vt:lpstr>2024</vt:lpstr>
      <vt:lpstr>2023</vt:lpstr>
      <vt:lpstr>2022</vt:lpstr>
      <vt:lpstr>2021</vt:lpstr>
      <vt:lpstr>2020</vt:lpstr>
      <vt:lpstr>2019</vt:lpstr>
      <vt:lpstr>2018-</vt:lpstr>
      <vt:lpstr>2018</vt:lpstr>
      <vt:lpstr>2017</vt:lpstr>
      <vt:lpstr>div16</vt:lpstr>
      <vt:lpstr>hush18</vt:lpstr>
      <vt:lpstr>div19</vt:lpstr>
      <vt:lpstr>div18</vt:lpstr>
      <vt:lpstr>hush17</vt:lpstr>
      <vt:lpstr>div17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</dc:creator>
  <cp:lastModifiedBy>PC0</cp:lastModifiedBy>
  <cp:lastPrinted>2024-03-04T09:46:51Z</cp:lastPrinted>
  <dcterms:created xsi:type="dcterms:W3CDTF">2022-12-23T04:11:23Z</dcterms:created>
  <dcterms:modified xsi:type="dcterms:W3CDTF">2024-05-16T04:44:20Z</dcterms:modified>
</cp:coreProperties>
</file>